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84.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files\#FILES\AGEAS-RISK-REINSURANCE\Closing\2025\Q4\6 Solo\Annual\QRTs\"/>
    </mc:Choice>
  </mc:AlternateContent>
  <xr:revisionPtr revIDLastSave="0" documentId="13_ncr:1_{B0550A4F-5688-476F-8521-5369E3F32D69}" xr6:coauthVersionLast="47" xr6:coauthVersionMax="47" xr10:uidLastSave="{00000000-0000-0000-0000-000000000000}"/>
  <bookViews>
    <workbookView xWindow="-120" yWindow="-120" windowWidth="29040" windowHeight="15720" firstSheet="30" activeTab="30" xr2:uid="{48B8D551-6CD3-4CC4-8AEF-39D3BC476939}"/>
  </bookViews>
  <sheets>
    <sheet name="General data" sheetId="2" state="hidden" r:id="rId1"/>
    <sheet name="XBRL Errors" sheetId="3" state="hidden" r:id="rId2"/>
    <sheet name="Index" sheetId="4" state="hidden" r:id="rId3"/>
    <sheet name="Show" sheetId="5" state="hidden" r:id="rId4"/>
    <sheet name="Hierarchies" sheetId="6" state="hidden" r:id="rId5"/>
    <sheet name="S.01.01.01" sheetId="7" state="hidden" r:id="rId6"/>
    <sheet name="S.01.01.02" sheetId="8" state="hidden" r:id="rId7"/>
    <sheet name="S.01.01.04" sheetId="9" state="hidden" r:id="rId8"/>
    <sheet name="S.01.01.05" sheetId="10" state="hidden" r:id="rId9"/>
    <sheet name="S.01.01.07" sheetId="11" state="hidden" r:id="rId10"/>
    <sheet name="S.01.01.08" sheetId="12" state="hidden" r:id="rId11"/>
    <sheet name="S.01.01.10" sheetId="13" state="hidden" r:id="rId12"/>
    <sheet name="S.01.01.11" sheetId="14" state="hidden" r:id="rId13"/>
    <sheet name="S.01.01.12" sheetId="15" state="hidden" r:id="rId14"/>
    <sheet name="S.01.01.13" sheetId="16" state="hidden" r:id="rId15"/>
    <sheet name="S.01.01.14" sheetId="17" state="hidden" r:id="rId16"/>
    <sheet name="S.01.01.15" sheetId="18" state="hidden" r:id="rId17"/>
    <sheet name="SR.01.01.01" sheetId="19" state="hidden" r:id="rId18"/>
    <sheet name="SR.01.01.04" sheetId="20" state="hidden" r:id="rId19"/>
    <sheet name="SR.01.01.07" sheetId="21" state="hidden" r:id="rId20"/>
    <sheet name="SE.01.01.16" sheetId="22" state="hidden" r:id="rId21"/>
    <sheet name="SE.01.01.17" sheetId="23" state="hidden" r:id="rId22"/>
    <sheet name="SE.01.01.18" sheetId="24" state="hidden" r:id="rId23"/>
    <sheet name="SE.01.01.19" sheetId="25" state="hidden" r:id="rId24"/>
    <sheet name="S.01.02.01" sheetId="26" state="hidden" r:id="rId25"/>
    <sheet name="S.01.02.04" sheetId="27" state="hidden" r:id="rId26"/>
    <sheet name="S.01.02.07" sheetId="28" state="hidden" r:id="rId27"/>
    <sheet name="S.01.03.01" sheetId="29" state="hidden" r:id="rId28"/>
    <sheet name="S.01.03.04" sheetId="30" state="hidden" r:id="rId29"/>
    <sheet name="S.02.01.01" sheetId="31" state="hidden" r:id="rId30"/>
    <sheet name="S.02.01.02" sheetId="32" r:id="rId31"/>
    <sheet name="S.02.01.07" sheetId="33" state="hidden" r:id="rId32"/>
    <sheet name="S.02.01.08" sheetId="34" state="hidden" r:id="rId33"/>
    <sheet name="SR.02.01.01" sheetId="35" state="hidden" r:id="rId34"/>
    <sheet name="SR.02.01.07" sheetId="36" state="hidden" r:id="rId35"/>
    <sheet name="SE.02.01.16" sheetId="37" state="hidden" r:id="rId36"/>
    <sheet name="SE.02.01.17" sheetId="38" state="hidden" r:id="rId37"/>
    <sheet name="SE.02.01.18" sheetId="39" state="hidden" r:id="rId38"/>
    <sheet name="SE.02.01.19" sheetId="40" state="hidden" r:id="rId39"/>
    <sheet name="S.02.02.01" sheetId="41" state="hidden" r:id="rId40"/>
    <sheet name="S.02.03.07" sheetId="42" state="hidden" r:id="rId41"/>
    <sheet name="S.03.01.01" sheetId="43" state="hidden" r:id="rId42"/>
    <sheet name="S.03.01.04" sheetId="44" state="hidden" r:id="rId43"/>
    <sheet name="S.03.02.01" sheetId="45" state="hidden" r:id="rId44"/>
    <sheet name="S.03.02.04" sheetId="46" state="hidden" r:id="rId45"/>
    <sheet name="S.03.03.01" sheetId="47" state="hidden" r:id="rId46"/>
    <sheet name="S.03.03.04" sheetId="48" state="hidden" r:id="rId47"/>
    <sheet name="S.04.01.01" sheetId="49" state="hidden" r:id="rId48"/>
    <sheet name="S.04.02.01" sheetId="50" state="hidden" r:id="rId49"/>
    <sheet name="S.05.01.01" sheetId="51" state="hidden" r:id="rId50"/>
    <sheet name="S.05.01.02" sheetId="52" r:id="rId51"/>
    <sheet name="S.05.01.13" sheetId="53" state="hidden" r:id="rId52"/>
    <sheet name="S.05.02.01" sheetId="54" r:id="rId53"/>
    <sheet name="S.06.01.01" sheetId="55" state="hidden" r:id="rId54"/>
    <sheet name="S.06.02.01" sheetId="56" state="hidden" r:id="rId55"/>
    <sheet name="S.06.02.04" sheetId="57" state="hidden" r:id="rId56"/>
    <sheet name="S.06.02.07" sheetId="58" state="hidden" r:id="rId57"/>
    <sheet name="SE.06.02.16" sheetId="59" state="hidden" r:id="rId58"/>
    <sheet name="SE.06.02.18" sheetId="60" state="hidden" r:id="rId59"/>
    <sheet name="S.06.03.01" sheetId="61" state="hidden" r:id="rId60"/>
    <sheet name="S.06.03.04" sheetId="62" state="hidden" r:id="rId61"/>
    <sheet name="S.07.01.01" sheetId="63" state="hidden" r:id="rId62"/>
    <sheet name="S.07.01.04" sheetId="64" state="hidden" r:id="rId63"/>
    <sheet name="S.08.01.01" sheetId="65" state="hidden" r:id="rId64"/>
    <sheet name="S.08.01.04" sheetId="66" state="hidden" r:id="rId65"/>
    <sheet name="S.08.02.01" sheetId="67" state="hidden" r:id="rId66"/>
    <sheet name="S.08.02.04" sheetId="68" state="hidden" r:id="rId67"/>
    <sheet name="S.09.01.01" sheetId="69" state="hidden" r:id="rId68"/>
    <sheet name="S.09.01.04" sheetId="70" state="hidden" r:id="rId69"/>
    <sheet name="S.10.01.01" sheetId="71" state="hidden" r:id="rId70"/>
    <sheet name="S.10.01.04" sheetId="72" state="hidden" r:id="rId71"/>
    <sheet name="S.11.01.01" sheetId="73" state="hidden" r:id="rId72"/>
    <sheet name="S.11.01.04" sheetId="74" state="hidden" r:id="rId73"/>
    <sheet name="S.12.01.01" sheetId="75" state="hidden" r:id="rId74"/>
    <sheet name="S.12.01.02" sheetId="76" r:id="rId75"/>
    <sheet name="SR.12.01.01" sheetId="77" state="hidden" r:id="rId76"/>
    <sheet name="S.12.02.01" sheetId="78" state="hidden" r:id="rId77"/>
    <sheet name="S.13.01.01" sheetId="79" state="hidden" r:id="rId78"/>
    <sheet name="S.14.01.01" sheetId="80" state="hidden" r:id="rId79"/>
    <sheet name="S.14.01.10" sheetId="81" state="hidden" r:id="rId80"/>
    <sheet name="S.15.01.01" sheetId="82" state="hidden" r:id="rId81"/>
    <sheet name="S.15.01.04" sheetId="83" state="hidden" r:id="rId82"/>
    <sheet name="S.15.02.01" sheetId="84" state="hidden" r:id="rId83"/>
    <sheet name="S.15.02.04" sheetId="85" state="hidden" r:id="rId84"/>
    <sheet name="S.16.01.01" sheetId="86" state="hidden" r:id="rId85"/>
    <sheet name="S.17.01.01" sheetId="87" state="hidden" r:id="rId86"/>
    <sheet name="S.17.01.02" sheetId="88" r:id="rId87"/>
    <sheet name="SR.17.01.01" sheetId="89" state="hidden" r:id="rId88"/>
    <sheet name="S.17.02.01" sheetId="90" state="hidden" r:id="rId89"/>
    <sheet name="S.18.01.01" sheetId="91" state="hidden" r:id="rId90"/>
    <sheet name="S.19.01.01" sheetId="92" state="hidden" r:id="rId91"/>
    <sheet name="S.19.01.21 AY" sheetId="93" r:id="rId92"/>
    <sheet name="S.20.01.01" sheetId="94" state="hidden" r:id="rId93"/>
    <sheet name="S.21.01.01" sheetId="95" state="hidden" r:id="rId94"/>
    <sheet name="S.21.02.01" sheetId="96" state="hidden" r:id="rId95"/>
    <sheet name="S.21.03.01" sheetId="97" state="hidden" r:id="rId96"/>
    <sheet name="S.22.01.01" sheetId="98" state="hidden" r:id="rId97"/>
    <sheet name="S.22.01.04" sheetId="99" state="hidden" r:id="rId98"/>
    <sheet name="S.19.01.21 UWY" sheetId="204" r:id="rId99"/>
    <sheet name="S.22.01.21" sheetId="100" r:id="rId100"/>
    <sheet name="S.22.01.22" sheetId="101" state="hidden" r:id="rId101"/>
    <sheet name="SR.22.02.01" sheetId="102" state="hidden" r:id="rId102"/>
    <sheet name="SR.22.03.01" sheetId="103" state="hidden" r:id="rId103"/>
    <sheet name="S.22.04.01" sheetId="104" state="hidden" r:id="rId104"/>
    <sheet name="S.22.05.01" sheetId="105" state="hidden" r:id="rId105"/>
    <sheet name="S.22.06.01" sheetId="106" state="hidden" r:id="rId106"/>
    <sheet name="S.23.01.01" sheetId="107" r:id="rId107"/>
    <sheet name="S.23.01.04" sheetId="108" state="hidden" r:id="rId108"/>
    <sheet name="S.23.01.07" sheetId="109" state="hidden" r:id="rId109"/>
    <sheet name="S.23.01.13" sheetId="110" state="hidden" r:id="rId110"/>
    <sheet name="S.23.01.22" sheetId="111" state="hidden" r:id="rId111"/>
    <sheet name="S.23.02.01" sheetId="112" state="hidden" r:id="rId112"/>
    <sheet name="S.23.02.04" sheetId="113" state="hidden" r:id="rId113"/>
    <sheet name="S.23.03.01" sheetId="114" state="hidden" r:id="rId114"/>
    <sheet name="S.23.03.04" sheetId="115" state="hidden" r:id="rId115"/>
    <sheet name="S.23.03.07" sheetId="116" state="hidden" r:id="rId116"/>
    <sheet name="S.23.04.01" sheetId="117" state="hidden" r:id="rId117"/>
    <sheet name="S.23.04.04" sheetId="118" state="hidden" r:id="rId118"/>
    <sheet name="S.24.01.01" sheetId="119" state="hidden" r:id="rId119"/>
    <sheet name="S.25.01.01" sheetId="120" state="hidden" r:id="rId120"/>
    <sheet name="S.25.01.04" sheetId="121" state="hidden" r:id="rId121"/>
    <sheet name="S.25.01.21" sheetId="122" r:id="rId122"/>
    <sheet name="S.25.01.22" sheetId="123" state="hidden" r:id="rId123"/>
    <sheet name="SR.25.01.01" sheetId="124" state="hidden" r:id="rId124"/>
    <sheet name="SR.25.01.04" sheetId="125" state="hidden" r:id="rId125"/>
    <sheet name="S.25.02.01" sheetId="126" state="hidden" r:id="rId126"/>
    <sheet name="S.25.02.04" sheetId="127" state="hidden" r:id="rId127"/>
    <sheet name="S.25.02.21" sheetId="128" state="hidden" r:id="rId128"/>
    <sheet name="S.25.02.22" sheetId="129" state="hidden" r:id="rId129"/>
    <sheet name="SR.25.02.01" sheetId="130" state="hidden" r:id="rId130"/>
    <sheet name="SR.25.02.04" sheetId="131" state="hidden" r:id="rId131"/>
    <sheet name="S.25.03.01" sheetId="132" state="hidden" r:id="rId132"/>
    <sheet name="S.25.03.04" sheetId="133" state="hidden" r:id="rId133"/>
    <sheet name="S.25.03.21" sheetId="134" state="hidden" r:id="rId134"/>
    <sheet name="S.25.03.22" sheetId="135" state="hidden" r:id="rId135"/>
    <sheet name="SR.25.03.01" sheetId="136" state="hidden" r:id="rId136"/>
    <sheet name="SR.25.03.04" sheetId="137" state="hidden" r:id="rId137"/>
    <sheet name="S.25.04.11" sheetId="138" state="hidden" r:id="rId138"/>
    <sheet name="S.25.04.13" sheetId="139" state="hidden" r:id="rId139"/>
    <sheet name="S.26.01.01" sheetId="140" state="hidden" r:id="rId140"/>
    <sheet name="S.26.01.04" sheetId="141" state="hidden" r:id="rId141"/>
    <sheet name="SR.26.01.01" sheetId="142" state="hidden" r:id="rId142"/>
    <sheet name="S.26.02.01" sheetId="143" state="hidden" r:id="rId143"/>
    <sheet name="S.26.02.04" sheetId="144" state="hidden" r:id="rId144"/>
    <sheet name="SR.26.02.01" sheetId="145" state="hidden" r:id="rId145"/>
    <sheet name="S.26.03.01" sheetId="146" state="hidden" r:id="rId146"/>
    <sheet name="S.26.03.04" sheetId="147" state="hidden" r:id="rId147"/>
    <sheet name="SR.26.03.01" sheetId="148" state="hidden" r:id="rId148"/>
    <sheet name="S.26.04.01" sheetId="149" state="hidden" r:id="rId149"/>
    <sheet name="S.26.04.04" sheetId="150" state="hidden" r:id="rId150"/>
    <sheet name="SR.26.04.01" sheetId="151" state="hidden" r:id="rId151"/>
    <sheet name="S.26.05.01" sheetId="152" state="hidden" r:id="rId152"/>
    <sheet name="S.26.05.04" sheetId="153" state="hidden" r:id="rId153"/>
    <sheet name="SR.26.05.01" sheetId="154" state="hidden" r:id="rId154"/>
    <sheet name="S.26.06.01" sheetId="155" state="hidden" r:id="rId155"/>
    <sheet name="S.26.06.04" sheetId="156" state="hidden" r:id="rId156"/>
    <sheet name="SR.26.06.01" sheetId="157" state="hidden" r:id="rId157"/>
    <sheet name="S.26.07.01" sheetId="158" state="hidden" r:id="rId158"/>
    <sheet name="S.26.07.04" sheetId="159" state="hidden" r:id="rId159"/>
    <sheet name="SR.26.07.01" sheetId="160" state="hidden" r:id="rId160"/>
    <sheet name="S.27.01.01" sheetId="161" state="hidden" r:id="rId161"/>
    <sheet name="S.27.01.04" sheetId="162" state="hidden" r:id="rId162"/>
    <sheet name="SR.27.01.01" sheetId="163" state="hidden" r:id="rId163"/>
    <sheet name="S.28.01.01" sheetId="164" r:id="rId164"/>
    <sheet name="S.28.02.01" sheetId="165" state="hidden" r:id="rId165"/>
    <sheet name="S.29.01.01" sheetId="166" state="hidden" r:id="rId166"/>
    <sheet name="S.29.01.07" sheetId="167" state="hidden" r:id="rId167"/>
    <sheet name="S.29.02.01" sheetId="168" state="hidden" r:id="rId168"/>
    <sheet name="S.29.03.01" sheetId="169" state="hidden" r:id="rId169"/>
    <sheet name="S.29.04.01" sheetId="170" state="hidden" r:id="rId170"/>
    <sheet name="S.30.01.01" sheetId="171" state="hidden" r:id="rId171"/>
    <sheet name="S.30.02.01" sheetId="172" state="hidden" r:id="rId172"/>
    <sheet name="S.30.03.01" sheetId="173" state="hidden" r:id="rId173"/>
    <sheet name="S.30.04.01" sheetId="174" state="hidden" r:id="rId174"/>
    <sheet name="S.31.01.01" sheetId="175" state="hidden" r:id="rId175"/>
    <sheet name="S.31.01.04" sheetId="176" state="hidden" r:id="rId176"/>
    <sheet name="S.31.02.01" sheetId="177" state="hidden" r:id="rId177"/>
    <sheet name="S.31.02.04" sheetId="178" state="hidden" r:id="rId178"/>
    <sheet name="S.32.01.04" sheetId="179" state="hidden" r:id="rId179"/>
    <sheet name="S.32.01.22" sheetId="180" state="hidden" r:id="rId180"/>
    <sheet name="S.33.01.04" sheetId="181" state="hidden" r:id="rId181"/>
    <sheet name="S.34.01.04" sheetId="182" state="hidden" r:id="rId182"/>
    <sheet name="S.35.01.04" sheetId="183" state="hidden" r:id="rId183"/>
    <sheet name="S.36.01.01" sheetId="184" state="hidden" r:id="rId184"/>
    <sheet name="S.36.02.01" sheetId="185" state="hidden" r:id="rId185"/>
    <sheet name="S.36.03.01" sheetId="186" state="hidden" r:id="rId186"/>
    <sheet name="S.36.04.01" sheetId="187" state="hidden" r:id="rId187"/>
    <sheet name="S.37.01.04" sheetId="188" state="hidden" r:id="rId188"/>
    <sheet name="S.38.01.10" sheetId="189" state="hidden" r:id="rId189"/>
    <sheet name="S.39.01.11" sheetId="190" state="hidden" r:id="rId190"/>
    <sheet name="S.40.01.10" sheetId="191" state="hidden" r:id="rId191"/>
    <sheet name="S.41.01.11" sheetId="192" state="hidden" r:id="rId192"/>
    <sheet name="E.01.01.16" sheetId="193" state="hidden" r:id="rId193"/>
    <sheet name="E.02.01.16" sheetId="194" state="hidden" r:id="rId194"/>
    <sheet name="E.03.01.16" sheetId="195" state="hidden" r:id="rId195"/>
    <sheet name="SPV.01.01.20" sheetId="196" state="hidden" r:id="rId196"/>
    <sheet name="SPV.01.02.20" sheetId="197" state="hidden" r:id="rId197"/>
    <sheet name="SPV.02.01.20" sheetId="198" state="hidden" r:id="rId198"/>
    <sheet name="SPV.02.02.20" sheetId="199" state="hidden" r:id="rId199"/>
    <sheet name="SPV.03.01.20" sheetId="200" state="hidden" r:id="rId200"/>
    <sheet name="SPV.03.02.20" sheetId="201" state="hidden" r:id="rId201"/>
    <sheet name="T.99.01.01" sheetId="202" state="hidden" r:id="rId202"/>
  </sheets>
  <externalReferences>
    <externalReference r:id="rId203"/>
    <externalReference r:id="rId204"/>
    <externalReference r:id="rId205"/>
    <externalReference r:id="rId206"/>
    <externalReference r:id="rId207"/>
    <externalReference r:id="rId208"/>
    <externalReference r:id="rId209"/>
    <externalReference r:id="rId210"/>
    <externalReference r:id="rId211"/>
  </externalReferences>
  <definedNames>
    <definedName name="anscount" hidden="1">1</definedName>
    <definedName name="Currencies" localSheetId="0">'General data'!$V$1:$V$159</definedName>
    <definedName name="dr_x_0">'S.01.02.07'!$B$61</definedName>
    <definedName name="dr_x_1">'S.01.03.01'!$B$13</definedName>
    <definedName name="dr_x_10">'S.02.03.07'!$B$38</definedName>
    <definedName name="dr_x_100">'S.14.01.01'!$B$37</definedName>
    <definedName name="dr_x_101">'S.14.01.01'!$B$49</definedName>
    <definedName name="dr_x_102">'S.14.01.01'!$C$49</definedName>
    <definedName name="dr_x_103">'S.14.01.10'!$B$13</definedName>
    <definedName name="dr_x_104">'S.15.01.01'!$B$13</definedName>
    <definedName name="dr_x_105">'S.15.01.04'!$B$13</definedName>
    <definedName name="dr_x_106">'S.15.01.04'!$C$13</definedName>
    <definedName name="dr_x_107">'S.15.02.01'!$B$13</definedName>
    <definedName name="dr_x_108">'S.15.02.04'!$B$13</definedName>
    <definedName name="dr_x_109">'S.15.02.04'!$C$13</definedName>
    <definedName name="dr_x_11">'S.03.02.01'!$B$13</definedName>
    <definedName name="dr_x_110">'S.17.02.01'!$D$31</definedName>
    <definedName name="dr_x_111">'S.21.02.01'!$B$13</definedName>
    <definedName name="dr_x_113">'S.22.06.01'!$D$52</definedName>
    <definedName name="dr_x_115">'S.22.06.01'!$D$67</definedName>
    <definedName name="dr_x_116">'S.22.06.01'!$D$69</definedName>
    <definedName name="dr_x_117">'S.23.04.01'!$B$13</definedName>
    <definedName name="dr_x_118">'S.23.04.01'!$B$25</definedName>
    <definedName name="dr_x_119">'S.23.04.01'!$B$37</definedName>
    <definedName name="dr_x_12">'S.03.02.04'!$B$13</definedName>
    <definedName name="dr_x_120">'S.23.04.01'!$B$49</definedName>
    <definedName name="dr_x_121">'S.23.04.01'!$B$61</definedName>
    <definedName name="dr_x_122">'S.23.04.01'!$B$73</definedName>
    <definedName name="dr_x_123">'S.23.04.01'!$B$85</definedName>
    <definedName name="dr_x_124">'S.23.04.04'!$B$13</definedName>
    <definedName name="dr_x_125">'S.23.04.04'!$B$25</definedName>
    <definedName name="dr_x_126">'S.23.04.04'!$B$37</definedName>
    <definedName name="dr_x_127">'S.23.04.04'!$B$49</definedName>
    <definedName name="dr_x_128">'S.23.04.04'!$B$61</definedName>
    <definedName name="dr_x_129">'S.23.04.04'!$B$73</definedName>
    <definedName name="dr_x_13">'S.03.03.01'!$B$13</definedName>
    <definedName name="dr_x_130">'S.23.04.04'!$B$85</definedName>
    <definedName name="dr_x_131">'S.23.04.04'!$B$110</definedName>
    <definedName name="dr_x_132">'S.24.01.01'!$B$13</definedName>
    <definedName name="dr_x_133">'S.24.01.01'!$B$25</definedName>
    <definedName name="dr_x_134">'S.24.01.01'!$B$65</definedName>
    <definedName name="dr_x_135">'S.24.01.01'!$B$77</definedName>
    <definedName name="dr_x_136">'S.24.01.01'!$B$89</definedName>
    <definedName name="dr_x_137">'S.24.01.01'!$B$101</definedName>
    <definedName name="dr_x_138">'S.24.01.01'!$B$113</definedName>
    <definedName name="dr_x_139">'S.25.02.01'!$B$13</definedName>
    <definedName name="dr_x_14">'S.03.03.04'!$B$13</definedName>
    <definedName name="dr_x_140">'S.25.02.04'!$B$13</definedName>
    <definedName name="dr_x_141">'S.25.02.21'!$B$13</definedName>
    <definedName name="dr_x_142">'S.25.02.22'!$B$13</definedName>
    <definedName name="dr_x_143">'SR.25.02.01'!$B$17</definedName>
    <definedName name="dr_x_144">'SR.25.02.04'!$B$17</definedName>
    <definedName name="dr_x_145">'S.25.03.01'!$B$13</definedName>
    <definedName name="dr_x_146">'S.25.03.04'!$B$13</definedName>
    <definedName name="dr_x_147">'S.25.03.21'!$B$13</definedName>
    <definedName name="dr_x_148">'S.25.03.22'!$B$13</definedName>
    <definedName name="dr_x_149">'SR.25.03.01'!$B$17</definedName>
    <definedName name="dr_x_150">'SR.25.03.04'!$B$17</definedName>
    <definedName name="dr_x_151">'S.27.01.01'!$D$629</definedName>
    <definedName name="dr_x_152">'S.27.01.01'!$D$644</definedName>
    <definedName name="dr_x_153">'S.27.01.04'!$D$629</definedName>
    <definedName name="dr_x_154">'S.27.01.04'!$D$644</definedName>
    <definedName name="dr_x_155">'SR.27.01.01'!$D$721</definedName>
    <definedName name="dr_x_156">'SR.27.01.01'!$D$740</definedName>
    <definedName name="dr_x_157">'S.30.01.01'!$B$16</definedName>
    <definedName name="dr_x_158">'S.30.01.01'!$C$16</definedName>
    <definedName name="dr_x_159">'S.30.01.01'!$D$16</definedName>
    <definedName name="dr_x_160">'S.30.01.01'!$B$31</definedName>
    <definedName name="dr_x_161">'S.30.01.01'!$C$31</definedName>
    <definedName name="dr_x_162">'S.30.01.01'!$D$31</definedName>
    <definedName name="dr_x_163">'S.30.02.01'!$B$16</definedName>
    <definedName name="dr_x_164">'S.30.02.01'!$C$16</definedName>
    <definedName name="dr_x_165">'S.30.02.01'!$D$16</definedName>
    <definedName name="dr_x_166">'S.30.02.01'!$E$16</definedName>
    <definedName name="dr_x_167">'S.30.02.01'!$F$16</definedName>
    <definedName name="dr_x_168">'S.30.02.01'!$B$31</definedName>
    <definedName name="dr_x_169">'S.30.02.01'!$C$31</definedName>
    <definedName name="dr_x_170">'S.30.02.01'!$D$31</definedName>
    <definedName name="dr_x_171">'S.30.02.01'!$E$31</definedName>
    <definedName name="dr_x_172">'S.30.02.01'!$F$31</definedName>
    <definedName name="dr_x_173">'S.30.02.01'!$B$43</definedName>
    <definedName name="dr_x_174">'S.30.02.01'!$B$55</definedName>
    <definedName name="dr_x_175">'S.30.03.01'!$B$13</definedName>
    <definedName name="dr_x_176">'S.30.03.01'!$C$13</definedName>
    <definedName name="dr_x_177">'S.30.03.01'!$D$13</definedName>
    <definedName name="dr_x_178">'S.30.03.01'!$E$13</definedName>
    <definedName name="dr_x_179">'S.30.03.01'!$F$13</definedName>
    <definedName name="dr_x_180">'S.30.04.01'!$B$13</definedName>
    <definedName name="dr_x_181">'S.30.04.01'!$C$13</definedName>
    <definedName name="dr_x_182">'S.30.04.01'!$D$13</definedName>
    <definedName name="dr_x_183">'S.30.04.01'!$E$13</definedName>
    <definedName name="dr_x_184">'S.30.04.01'!$F$13</definedName>
    <definedName name="dr_x_185">'S.30.04.01'!$G$13</definedName>
    <definedName name="dr_x_186">'S.30.04.01'!$H$13</definedName>
    <definedName name="dr_x_187">'S.30.04.01'!$I$13</definedName>
    <definedName name="dr_x_188">'S.30.04.01'!$B$25</definedName>
    <definedName name="dr_x_189">'S.30.04.01'!$B$37</definedName>
    <definedName name="dr_x_190">'S.31.01.01'!$B$13</definedName>
    <definedName name="dr_x_191">'S.31.01.01'!$B$25</definedName>
    <definedName name="dr_x_192">'S.31.01.04'!$B$13</definedName>
    <definedName name="dr_x_193">'S.31.01.04'!$C$13</definedName>
    <definedName name="dr_x_194">'S.31.01.04'!$B$25</definedName>
    <definedName name="dr_x_195">'S.31.02.01'!$B$13</definedName>
    <definedName name="dr_x_196">'S.31.02.01'!$C$13</definedName>
    <definedName name="dr_x_197">'S.31.02.01'!$D$13</definedName>
    <definedName name="dr_x_198">'S.31.02.01'!$E$13</definedName>
    <definedName name="dr_x_199">'S.31.02.01'!$B$25</definedName>
    <definedName name="dr_x_2">'S.01.03.01'!$B$25</definedName>
    <definedName name="dr_x_200">'S.31.02.04'!$B$13</definedName>
    <definedName name="dr_x_201">'S.31.02.04'!$C$13</definedName>
    <definedName name="dr_x_202">'S.31.02.04'!$D$13</definedName>
    <definedName name="dr_x_203">'S.31.02.04'!$E$13</definedName>
    <definedName name="dr_x_204">'S.31.02.04'!$F$13</definedName>
    <definedName name="dr_x_205">'S.31.02.04'!$B$25</definedName>
    <definedName name="dr_x_206">'S.32.01.04'!$B$14</definedName>
    <definedName name="dr_x_207">'S.32.01.22'!$B$14</definedName>
    <definedName name="dr_x_208">'S.33.01.04'!$B$15</definedName>
    <definedName name="dr_x_209">'S.33.01.04'!$C$15</definedName>
    <definedName name="dr_x_210">'S.33.01.04'!$D$15</definedName>
    <definedName name="dr_x_211">'S.34.01.04'!$B$13</definedName>
    <definedName name="dr_x_212">'S.35.01.04'!$B$14</definedName>
    <definedName name="dr_x_213">'S.36.01.01'!$B$13</definedName>
    <definedName name="dr_x_214">'S.36.01.01'!$C$13</definedName>
    <definedName name="dr_x_215">'S.36.01.01'!$D$13</definedName>
    <definedName name="dr_x_216">'S.36.01.01'!$E$13</definedName>
    <definedName name="dr_x_217">'S.36.01.01'!$F$13</definedName>
    <definedName name="dr_x_218">'S.36.02.01'!$B$14</definedName>
    <definedName name="dr_x_219">'S.36.02.01'!$C$14</definedName>
    <definedName name="dr_x_220">'S.36.02.01'!$D$14</definedName>
    <definedName name="dr_x_221">'S.36.02.01'!$E$14</definedName>
    <definedName name="dr_x_222">'S.36.02.01'!$F$14</definedName>
    <definedName name="dr_x_223">'S.36.03.01'!$B$13</definedName>
    <definedName name="dr_x_224">'S.36.03.01'!$C$13</definedName>
    <definedName name="dr_x_225">'S.36.03.01'!$D$13</definedName>
    <definedName name="dr_x_226">'S.36.03.01'!$E$13</definedName>
    <definedName name="dr_x_227">'S.36.03.01'!$F$13</definedName>
    <definedName name="dr_x_228">'S.36.04.01'!$B$13</definedName>
    <definedName name="dr_x_229">'S.36.04.01'!$C$13</definedName>
    <definedName name="dr_x_23">'S.06.02.01'!$B$13</definedName>
    <definedName name="dr_x_230">'S.36.04.01'!$D$13</definedName>
    <definedName name="dr_x_231">'S.36.04.01'!$E$13</definedName>
    <definedName name="dr_x_232">'S.37.01.04'!$B$13</definedName>
    <definedName name="dr_x_233">'S.37.01.04'!$C$13</definedName>
    <definedName name="dr_x_234">'S.37.01.04'!$D$13</definedName>
    <definedName name="dr_x_235">'S.37.01.04'!$E$13</definedName>
    <definedName name="dr_x_236">'E.01.01.16'!$B$13</definedName>
    <definedName name="dr_x_237">'E.03.01.16'!$D$29</definedName>
    <definedName name="dr_x_238">'SPV.02.01.20'!$B$46</definedName>
    <definedName name="dr_x_239">'SPV.02.01.20'!$B$58</definedName>
    <definedName name="dr_x_24">'S.06.02.01'!$C$13</definedName>
    <definedName name="dr_x_240">'SPV.02.01.20'!$B$70</definedName>
    <definedName name="dr_x_241">'SPV.02.02.20'!$B$33</definedName>
    <definedName name="dr_x_242">'SPV.02.02.20'!$B$45</definedName>
    <definedName name="dr_x_243">'SPV.03.01.20'!$B$26</definedName>
    <definedName name="dr_x_244">'SPV.03.02.20'!$B$26</definedName>
    <definedName name="dr_x_245">'T.99.01.01'!$B$13</definedName>
    <definedName name="dr_x_246">'T.99.01.01'!$C$13</definedName>
    <definedName name="dr_x_247">'T.99.01.01'!$D$13</definedName>
    <definedName name="dr_x_248">'T.99.01.01'!$E$13</definedName>
    <definedName name="dr_x_25">'S.06.02.01'!$D$13</definedName>
    <definedName name="dr_x_26">'S.06.02.01'!$E$13</definedName>
    <definedName name="dr_x_27">'S.06.02.01'!$B$25</definedName>
    <definedName name="dr_x_28">'S.06.02.04'!$B$13</definedName>
    <definedName name="dr_x_29">'S.06.02.04'!$C$13</definedName>
    <definedName name="dr_x_3">'S.01.03.01'!$C$25</definedName>
    <definedName name="dr_x_30">'S.06.02.04'!$D$13</definedName>
    <definedName name="dr_x_31">'S.06.02.04'!$E$13</definedName>
    <definedName name="dr_x_32">'S.06.02.04'!$F$13</definedName>
    <definedName name="dr_x_33">'S.06.02.04'!$B$25</definedName>
    <definedName name="dr_x_34">'S.06.02.07'!$B$13</definedName>
    <definedName name="dr_x_35">'S.06.02.07'!$C$13</definedName>
    <definedName name="dr_x_36">'S.06.02.07'!$D$13</definedName>
    <definedName name="dr_x_37">'S.06.02.07'!$E$13</definedName>
    <definedName name="dr_x_38">'S.06.02.07'!$B$25</definedName>
    <definedName name="dr_x_39">'SE.06.02.16'!$B$13</definedName>
    <definedName name="dr_x_4">'S.01.03.04'!$B$13</definedName>
    <definedName name="dr_x_40">'SE.06.02.16'!$C$13</definedName>
    <definedName name="dr_x_41">'SE.06.02.16'!$D$13</definedName>
    <definedName name="dr_x_42">'SE.06.02.16'!$E$13</definedName>
    <definedName name="dr_x_43">'SE.06.02.16'!$B$25</definedName>
    <definedName name="dr_x_44">'SE.06.02.18'!$B$13</definedName>
    <definedName name="dr_x_45">'SE.06.02.18'!$C$13</definedName>
    <definedName name="dr_x_46">'SE.06.02.18'!$D$13</definedName>
    <definedName name="dr_x_47">'SE.06.02.18'!$E$13</definedName>
    <definedName name="dr_x_48">'SE.06.02.18'!$B$25</definedName>
    <definedName name="dr_x_49">'S.06.03.01'!$B$13</definedName>
    <definedName name="dr_x_5">'S.01.03.04'!$C$13</definedName>
    <definedName name="dr_x_50">'S.06.03.01'!$C$13</definedName>
    <definedName name="dr_x_51">'S.06.03.04'!$B$13</definedName>
    <definedName name="dr_x_52">'S.06.03.04'!$C$13</definedName>
    <definedName name="dr_x_53">'S.07.01.01'!$B$13</definedName>
    <definedName name="dr_x_54">'S.07.01.01'!$C$13</definedName>
    <definedName name="dr_x_55">'S.07.01.04'!$B$13</definedName>
    <definedName name="dr_x_56">'S.07.01.04'!$C$13</definedName>
    <definedName name="dr_x_57">'S.07.01.04'!$D$13</definedName>
    <definedName name="dr_x_58">'S.08.01.01'!$B$13</definedName>
    <definedName name="dr_x_59">'S.08.01.01'!$C$13</definedName>
    <definedName name="dr_x_6">'S.01.03.04'!$B$25</definedName>
    <definedName name="dr_x_60">'S.08.01.01'!$D$13</definedName>
    <definedName name="dr_x_61">'S.08.01.01'!$E$13</definedName>
    <definedName name="dr_x_62">'S.08.01.01'!$B$25</definedName>
    <definedName name="dr_x_63">'S.08.01.04'!$B$13</definedName>
    <definedName name="dr_x_64">'S.08.01.04'!$C$13</definedName>
    <definedName name="dr_x_65">'S.08.01.04'!$D$13</definedName>
    <definedName name="dr_x_66">'S.08.01.04'!$E$13</definedName>
    <definedName name="dr_x_67">'S.08.01.04'!$F$13</definedName>
    <definedName name="dr_x_68">'S.08.01.04'!$B$25</definedName>
    <definedName name="dr_x_69">'S.08.02.01'!$B$13</definedName>
    <definedName name="dr_x_7">'S.01.03.04'!$C$25</definedName>
    <definedName name="dr_x_70">'S.08.02.01'!$C$13</definedName>
    <definedName name="dr_x_71">'S.08.02.01'!$D$13</definedName>
    <definedName name="dr_x_72">'S.08.02.01'!$E$13</definedName>
    <definedName name="dr_x_73">'S.08.02.01'!$B$25</definedName>
    <definedName name="dr_x_74">'S.08.02.04'!$B$13</definedName>
    <definedName name="dr_x_75">'S.08.02.04'!$C$13</definedName>
    <definedName name="dr_x_76">'S.08.02.04'!$D$13</definedName>
    <definedName name="dr_x_77">'S.08.02.04'!$E$13</definedName>
    <definedName name="dr_x_78">'S.08.02.04'!$F$13</definedName>
    <definedName name="dr_x_79">'S.08.02.04'!$B$25</definedName>
    <definedName name="dr_x_80">'S.09.01.01'!$B$13</definedName>
    <definedName name="dr_x_81">'S.09.01.04'!$B$13</definedName>
    <definedName name="dr_x_82">'S.09.01.04'!$C$13</definedName>
    <definedName name="dr_x_83">'S.10.01.01'!$B$13</definedName>
    <definedName name="dr_x_84">'S.10.01.01'!$C$13</definedName>
    <definedName name="dr_x_85">'S.10.01.04'!$B$13</definedName>
    <definedName name="dr_x_86">'S.10.01.04'!$C$13</definedName>
    <definedName name="dr_x_87">'S.10.01.04'!$D$13</definedName>
    <definedName name="dr_x_88">'S.11.01.01'!$B$14</definedName>
    <definedName name="dr_x_89">'S.11.01.01'!$C$14</definedName>
    <definedName name="dr_x_9">'S.02.03.07'!$B$26</definedName>
    <definedName name="dr_x_90">'S.11.01.01'!$B$27</definedName>
    <definedName name="dr_x_91">'S.11.01.04'!$B$14</definedName>
    <definedName name="dr_x_92">'S.11.01.04'!$C$14</definedName>
    <definedName name="dr_x_93">'S.11.01.04'!$D$14</definedName>
    <definedName name="dr_x_94">'S.11.01.04'!$B$27</definedName>
    <definedName name="dr_x_95">'S.12.02.01'!$D$29</definedName>
    <definedName name="dr_x_96">'S.14.01.01'!$B$13</definedName>
    <definedName name="dr_x_97">'S.14.01.01'!$C$13</definedName>
    <definedName name="dr_x_98">'S.14.01.01'!$D$13</definedName>
    <definedName name="dr_x_99">'S.14.01.01'!$B$25</definedName>
    <definedName name="dr_y_112">'S.22.06.01'!$D$33</definedName>
    <definedName name="dr_y_114">'S.22.06.01'!$E$67</definedName>
    <definedName name="dr_y_15">'S.04.01.01'!$D$36</definedName>
    <definedName name="dr_y_16">'S.04.01.01'!$E$36</definedName>
    <definedName name="dr_y_17">'S.04.01.01'!$D$56</definedName>
    <definedName name="dr_y_18">'S.04.01.01'!$D$76</definedName>
    <definedName name="dr_y_19">'S.04.02.01'!$D$29</definedName>
    <definedName name="dr_y_20">'S.04.02.01'!$E$29</definedName>
    <definedName name="dr_y_21">'S.05.02.01'!$D$57</definedName>
    <definedName name="dr_y_22">'S.05.02.01'!$D$176</definedName>
    <definedName name="dr_y_8">'S.02.02.01'!$D$44</definedName>
    <definedName name="hier_AM_11">Hierarchies!$BC$2:$BC$3</definedName>
    <definedName name="hier_AM_6">Hierarchies!$HQ$2:$HQ$4</definedName>
    <definedName name="hier_AM_7">Hierarchies!$FC$2:$FC$3</definedName>
    <definedName name="hier_AM_8">Hierarchies!$DU$2:$DU$3</definedName>
    <definedName name="hier_AO_1">Hierarchies!$EF$2:$EF$3</definedName>
    <definedName name="hier_AO_2">Hierarchies!$IF$2:$IF$3</definedName>
    <definedName name="hier_AP_11">Hierarchies!$BO$2:$BO$3</definedName>
    <definedName name="hier_AP_12">Hierarchies!$EL$2:$EL$3</definedName>
    <definedName name="hier_AP_13">Hierarchies!$HO$2:$HO$3</definedName>
    <definedName name="hier_AP_14">Hierarchies!$EI$2:$EI$5</definedName>
    <definedName name="hier_AP_15">Hierarchies!$IQ$2:$IQ$3</definedName>
    <definedName name="hier_AP_16">Hierarchies!$IR$2:$IR$3</definedName>
    <definedName name="hier_AP_17">Hierarchies!$EK$2:$EK$3</definedName>
    <definedName name="hier_AP_18">Hierarchies!$EG$2:$EG$5</definedName>
    <definedName name="hier_AP_23">Hierarchies!$CJ$2:$CJ$6</definedName>
    <definedName name="hier_AP_24">Hierarchies!$EH$2:$EH$4</definedName>
    <definedName name="hier_AP_25">Hierarchies!$EJ$2:$EJ$3</definedName>
    <definedName name="hier_AP_26">Hierarchies!$EM$2:$EM$3</definedName>
    <definedName name="hier_AP_27">Hierarchies!$EN$2:$EN$3</definedName>
    <definedName name="hier_AP_28">Hierarchies!$ER$2:$ER$3</definedName>
    <definedName name="hier_AP_3">Hierarchies!$BD$2:$BD$4</definedName>
    <definedName name="hier_AP_4">Hierarchies!$BE$2:$BE$3</definedName>
    <definedName name="hier_AP_5">Hierarchies!$BH$2:$BH$3</definedName>
    <definedName name="hier_AP_6">Hierarchies!$BI$2:$BI$3</definedName>
    <definedName name="hier_AP_7">Hierarchies!$BJ$2:$BJ$3</definedName>
    <definedName name="hier_AP_8">Hierarchies!$HC$2:$HC$3</definedName>
    <definedName name="hier_AP_9">Hierarchies!$BP$2:$BP$4</definedName>
    <definedName name="hier_BR_3">Hierarchies!$DD$2:$DD$9</definedName>
    <definedName name="hier_BR_4">Hierarchies!$CN$2:$CN$12</definedName>
    <definedName name="hier_CA_1">Hierarchies!$DW$2:$DW$3</definedName>
    <definedName name="hier_CG_11">Hierarchies!$CY$2:$CY$4</definedName>
    <definedName name="hier_CG_2">Hierarchies!$CE$2:$CE$6</definedName>
    <definedName name="hier_CG_5">Hierarchies!$CT$2:$CT$4</definedName>
    <definedName name="hier_CG_7">Hierarchies!$DQ$2:$DQ$5</definedName>
    <definedName name="hier_CG_9">Hierarchies!$DO$2:$DO$6</definedName>
    <definedName name="hier_CN_1">Hierarchies!$AF$2:$AF$3</definedName>
    <definedName name="hier_CN_100">Hierarchies!$HZ$2:$HZ$6</definedName>
    <definedName name="hier_CN_101">Hierarchies!$IA$2:$IA$6</definedName>
    <definedName name="hier_CN_102">Hierarchies!$IB$2:$IB$5</definedName>
    <definedName name="hier_CN_103">Hierarchies!$IC$2:$IC$5</definedName>
    <definedName name="hier_CN_104">Hierarchies!$ID$2:$ID$5</definedName>
    <definedName name="hier_CN_106">Hierarchies!$HU$2:$HU$4</definedName>
    <definedName name="hier_CN_108">Hierarchies!$AH$2:$AH$6</definedName>
    <definedName name="hier_CN_109">Hierarchies!$GN$2:$GN$7</definedName>
    <definedName name="hier_CN_111">Hierarchies!$IK$2:$IK$6</definedName>
    <definedName name="hier_CN_112">Hierarchies!$AE$2:$AE$4</definedName>
    <definedName name="hier_CN_113">Hierarchies!$J$2:$J$4</definedName>
    <definedName name="hier_CN_114">Hierarchies!$IJ$2:$IJ$4</definedName>
    <definedName name="hier_CN_115">Hierarchies!$HV$2:$HV$4</definedName>
    <definedName name="hier_CN_116">Hierarchies!$K$2:$K$4</definedName>
    <definedName name="hier_CN_117">Hierarchies!$N$2:$N$7</definedName>
    <definedName name="hier_CN_118">Hierarchies!$GH$2:$GH$7</definedName>
    <definedName name="hier_CN_119">Hierarchies!$HX$2:$HX$7</definedName>
    <definedName name="hier_CN_120">Hierarchies!$O$2:$O$6</definedName>
    <definedName name="hier_CN_121">Hierarchies!$HY$2:$HY$6</definedName>
    <definedName name="hier_CN_122">Hierarchies!$IP$2:$IP$6</definedName>
    <definedName name="hier_CN_123">Hierarchies!$AB$2:$AB$5</definedName>
    <definedName name="hier_CN_124">Hierarchies!$AK$2:$AK$9</definedName>
    <definedName name="hier_CN_125">Hierarchies!$GQ$2:$GQ$10</definedName>
    <definedName name="hier_CN_126">Hierarchies!$GI$2:$GI$6</definedName>
    <definedName name="hier_CN_127">Hierarchies!$BL$2:$BL$8</definedName>
    <definedName name="hier_CN_13">Hierarchies!$GU$2:$GU$4</definedName>
    <definedName name="hier_CN_14">Hierarchies!$B$2:$B$4</definedName>
    <definedName name="hier_CN_15">Hierarchies!$Q$2:$Q$3</definedName>
    <definedName name="hier_CN_16">Hierarchies!$GD$2:$GD$5</definedName>
    <definedName name="hier_CN_17">Hierarchies!$GC$2:$GC$5</definedName>
    <definedName name="hier_CN_18">Hierarchies!$D$2:$D$4</definedName>
    <definedName name="hier_CN_19">Hierarchies!$GE$2:$GE$5</definedName>
    <definedName name="hier_CN_2">Hierarchies!$A$2</definedName>
    <definedName name="hier_CN_20">Hierarchies!$E$2:$E$4</definedName>
    <definedName name="hier_CN_23">Hierarchies!$M$2:$M$5</definedName>
    <definedName name="hier_CN_24">Hierarchies!$GG$2:$GG$5</definedName>
    <definedName name="hier_CN_27">Hierarchies!$L$2:$L$5</definedName>
    <definedName name="hier_CN_28">Hierarchies!$P$2:$P$6</definedName>
    <definedName name="hier_CN_29">Hierarchies!$GJ$2:$GJ$6</definedName>
    <definedName name="hier_CN_30">Hierarchies!$V$2:$V$4</definedName>
    <definedName name="hier_CN_31">Hierarchies!$U$2:$U$5</definedName>
    <definedName name="hier_CN_32">Hierarchies!$AA$2:$AA$4</definedName>
    <definedName name="hier_CN_33">Hierarchies!$Z$2:$Z$6</definedName>
    <definedName name="hier_CN_34">Hierarchies!$F$2:$F$4</definedName>
    <definedName name="hier_CN_35">Hierarchies!$G$2:$G$4</definedName>
    <definedName name="hier_CN_36">Hierarchies!$H$2:$H$4</definedName>
    <definedName name="hier_CN_37">Hierarchies!$I$2:$I$5</definedName>
    <definedName name="hier_CN_39">Hierarchies!$R$2:$R$6</definedName>
    <definedName name="hier_CN_40">Hierarchies!$S$2:$S$5</definedName>
    <definedName name="hier_CN_41">Hierarchies!$W$2:$W$5</definedName>
    <definedName name="hier_CN_42">Hierarchies!$X$2:$X$4</definedName>
    <definedName name="hier_CN_43">Hierarchies!$AC$2:$AC$4</definedName>
    <definedName name="hier_CN_45">Hierarchies!$AD$2:$AD$4</definedName>
    <definedName name="hier_CN_46">Hierarchies!$AG$2:$AG$4</definedName>
    <definedName name="hier_CN_49">Hierarchies!$GO$2:$GO$6</definedName>
    <definedName name="hier_CN_50">Hierarchies!$GP$2:$GP$6</definedName>
    <definedName name="hier_CN_51">Hierarchies!$AN$2:$AN$7</definedName>
    <definedName name="hier_CN_52">Hierarchies!$GT$2:$GT$8</definedName>
    <definedName name="hier_CN_53">Hierarchies!$AL$2:$AL$8</definedName>
    <definedName name="hier_CN_54">Hierarchies!$GR$2:$GR$9</definedName>
    <definedName name="hier_CN_55">Hierarchies!$AM$2:$AM$9</definedName>
    <definedName name="hier_CN_56">Hierarchies!$GS$2:$GS$10</definedName>
    <definedName name="hier_CN_57">Hierarchies!$AQ$2:$AQ$4</definedName>
    <definedName name="hier_CN_58">Hierarchies!$AR$2:$AR$4</definedName>
    <definedName name="hier_CN_59">Hierarchies!$AS$2:$AS$4</definedName>
    <definedName name="hier_CN_60">Hierarchies!$AT$2:$AT$5</definedName>
    <definedName name="hier_CN_61">Hierarchies!$GV$2:$GV$4</definedName>
    <definedName name="hier_CN_62">Hierarchies!$AU$2:$AU$5</definedName>
    <definedName name="hier_CN_63">Hierarchies!$GW$2:$GW$4</definedName>
    <definedName name="hier_CN_64">Hierarchies!$AV$2:$AV$5</definedName>
    <definedName name="hier_CN_65">Hierarchies!$GX$2:$GX$4</definedName>
    <definedName name="hier_CN_66">Hierarchies!$AW$2:$AW$5</definedName>
    <definedName name="hier_CN_67">Hierarchies!$GY$2:$GY$4</definedName>
    <definedName name="hier_CN_68">Hierarchies!$GZ$2:$GZ$4</definedName>
    <definedName name="hier_CN_75">Hierarchies!$II$2:$II$4</definedName>
    <definedName name="hier_CN_77">Hierarchies!$FW$2:$FW$5</definedName>
    <definedName name="hier_CN_78">Hierarchies!$HT$2:$HT$6</definedName>
    <definedName name="hier_CN_79">Hierarchies!$FZ$2:$FZ$5</definedName>
    <definedName name="hier_CN_8">Hierarchies!$AI$2:$AI$5</definedName>
    <definedName name="hier_CN_81">Hierarchies!$C$2:$C$4</definedName>
    <definedName name="hier_CN_83">Hierarchies!$T$2:$T$5</definedName>
    <definedName name="hier_CN_84">Hierarchies!$Y$2:$Y$5</definedName>
    <definedName name="hier_CN_85">Hierarchies!$AO$2:$AO$4</definedName>
    <definedName name="hier_CN_86">Hierarchies!$AP$2:$AP$4</definedName>
    <definedName name="hier_CN_87">Hierarchies!$GF$2:$GF$4</definedName>
    <definedName name="hier_CN_89">Hierarchies!$GK$2:$GK$6</definedName>
    <definedName name="hier_CN_9">Hierarchies!$AJ$2:$AJ$5</definedName>
    <definedName name="hier_CN_90">Hierarchies!$GL$2:$GL$5</definedName>
    <definedName name="hier_CN_92">Hierarchies!$FX$2:$FX$4</definedName>
    <definedName name="hier_CN_93">Hierarchies!$FY$2:$FY$4</definedName>
    <definedName name="hier_CN_94">Hierarchies!$IL$2:$IL$4</definedName>
    <definedName name="hier_CN_95">Hierarchies!$IM$2:$IM$5</definedName>
    <definedName name="hier_CN_96">Hierarchies!$GM$2:$GM$4</definedName>
    <definedName name="hier_CN_97">Hierarchies!$HW$2:$HW$5</definedName>
    <definedName name="hier_CS_10">Hierarchies!$HR$2:$HR$3</definedName>
    <definedName name="hier_CS_11">Hierarchies!$BR$2:$BR$3</definedName>
    <definedName name="hier_CS_12">Hierarchies!$BA$2:$BA$5</definedName>
    <definedName name="hier_CS_13">Hierarchies!$BK$2:$BK$3</definedName>
    <definedName name="hier_CS_14">Hierarchies!$HA$2:$HA$3</definedName>
    <definedName name="hier_CS_15">Hierarchies!$HD$2:$HD$4</definedName>
    <definedName name="hier_CS_16">Hierarchies!$HL$2:$HL$11</definedName>
    <definedName name="hier_CS_20">Hierarchies!$HK$2:$HK$5</definedName>
    <definedName name="hier_CS_21">Hierarchies!$HB$2:$HB$4</definedName>
    <definedName name="hier_CS_3">Hierarchies!$HJ$2:$HJ$3</definedName>
    <definedName name="hier_CS_4">Hierarchies!$HP$2:$HP$3</definedName>
    <definedName name="hier_CU_1">Hierarchies!$CI$2:$CI$193</definedName>
    <definedName name="hier_CU_4">Hierarchies!$CQ$2:$CQ$4</definedName>
    <definedName name="hier_CU_5">Hierarchies!$BB$2:$BB$192</definedName>
    <definedName name="hier_EL_13">Hierarchies!$EC$2:$EC$6</definedName>
    <definedName name="hier_EL_14">Hierarchies!$ED$2:$ED$3</definedName>
    <definedName name="hier_EL_7">Hierarchies!$BT$2:$BT$4</definedName>
    <definedName name="hier_EX_5">Hierarchies!$HS$2:$HS$11</definedName>
    <definedName name="hier_GA_1">Hierarchies!$AY$2:$AY$257</definedName>
    <definedName name="hier_GA_18">Hierarchies!$CB$2:$CB$256</definedName>
    <definedName name="hier_GA_32">Hierarchies!$BX$2:$BX$32</definedName>
    <definedName name="hier_GA_33">Hierarchies!$BZ$2:$BZ$225</definedName>
    <definedName name="hier_GA_35">Hierarchies!$CP$2:$CP$258</definedName>
    <definedName name="hier_GA_36">Hierarchies!$EQ$2:$EQ$223</definedName>
    <definedName name="hier_GA_4">Hierarchies!$CH$2:$CH$259</definedName>
    <definedName name="hier_GA_5">Hierarchies!$FM$2:$FM$257</definedName>
    <definedName name="hier_LA_1">Hierarchies!$AZ$2:$AZ$185</definedName>
    <definedName name="hier_LB_19">Hierarchies!$DL$2:$DL$4</definedName>
    <definedName name="hier_LB_22">Hierarchies!$DN$2:$DN$5</definedName>
    <definedName name="hier_LB_28">Hierarchies!$DM$2:$DM$5</definedName>
    <definedName name="hier_LB_30">Hierarchies!$DY$2:$DY$13</definedName>
    <definedName name="hier_LB_31">Hierarchies!$DS$2:$DS$17</definedName>
    <definedName name="hier_LB_32">Hierarchies!$ET$2:$ET$19</definedName>
    <definedName name="hier_LB_33">Hierarchies!$EV$2:$EV$29</definedName>
    <definedName name="hier_LB_4">Hierarchies!$CD$2:$CD$4</definedName>
    <definedName name="hier_LB_43">Hierarchies!$FR$2:$FR$37</definedName>
    <definedName name="hier_LB_47">Hierarchies!$EB$2:$EB$3</definedName>
    <definedName name="hier_LB_48">Hierarchies!$DK$2:$DK$6</definedName>
    <definedName name="hier_LB_49">Hierarchies!$FA$2:$FA$38</definedName>
    <definedName name="hier_LB_50">Hierarchies!$DJ$2:$DJ$9</definedName>
    <definedName name="hier_LB_51">Hierarchies!$CS$2:$CS$16</definedName>
    <definedName name="hier_LB_52">Hierarchies!$BV$2:$BV$37</definedName>
    <definedName name="hier_LT_1">Hierarchies!$BS$2:$BS$12</definedName>
    <definedName name="hier_LT_3">Hierarchies!$FE$2:$FE$6</definedName>
    <definedName name="hier_LT_4">Hierarchies!$FF$2:$FF$3</definedName>
    <definedName name="hier_LT_5">Hierarchies!$DE$2:$DE$8</definedName>
    <definedName name="hier_MC_18">Hierarchies!$FD$2:$FD$6</definedName>
    <definedName name="hier_MC_26">Hierarchies!$CO$2:$CO$19</definedName>
    <definedName name="hier_MC_28">Hierarchies!$DG$2:$DG$17</definedName>
    <definedName name="hier_MC_29">Hierarchies!$CR$2:$CR$12</definedName>
    <definedName name="hier_MC_30">Hierarchies!$CW$2:$CW$3</definedName>
    <definedName name="hier_MC_31">Hierarchies!$DI$2:$DI$12</definedName>
    <definedName name="hier_MC_32">Hierarchies!$DA$2:$DA$7</definedName>
    <definedName name="hier_MC_33">Hierarchies!$DF$2:$DF$7</definedName>
    <definedName name="hier_MC_35">Hierarchies!$FO$2:$FO$7</definedName>
    <definedName name="hier_MC_36">Hierarchies!$FP$2:$FP$11</definedName>
    <definedName name="hier_MC_37">Hierarchies!$FT$2:$FT$5</definedName>
    <definedName name="hier_MC_48">Hierarchies!$IO$2:$IO$5</definedName>
    <definedName name="hier_MC_50">Hierarchies!$CK$2:$CK$11</definedName>
    <definedName name="hier_NC_1">Hierarchies!$CG$2:$CG$984</definedName>
    <definedName name="hier_PC_1">Hierarchies!$CV$2:$CV$7</definedName>
    <definedName name="hier_PC_2">Hierarchies!$CU$2:$CU$8</definedName>
    <definedName name="hier_PC_3">Hierarchies!$CX$2:$CX$3</definedName>
    <definedName name="hier_PU_15">Hierarchies!$BG$2:$BG$3</definedName>
    <definedName name="hier_PU_17">Hierarchies!$BN$2:$BN$3</definedName>
    <definedName name="hier_PU_19">Hierarchies!$CZ$2:$CZ$5</definedName>
    <definedName name="hier_PU_20">Hierarchies!$FV$2:$FV$3</definedName>
    <definedName name="hier_PU_23">Hierarchies!$BF$2:$BF$3</definedName>
    <definedName name="hier_PU_24">Hierarchies!$IG$2:$IG$3</definedName>
    <definedName name="hier_PU_25">Hierarchies!$IH$2:$IH$3</definedName>
    <definedName name="hier_PU_27">Hierarchies!$HE$2:$HE$9</definedName>
    <definedName name="hier_PU_30">Hierarchies!$GB$2:$GB$3</definedName>
    <definedName name="hier_PU_33">Hierarchies!$CC$2:$CC$7</definedName>
    <definedName name="hier_PU_34">Hierarchies!$BQ$2:$BQ$3</definedName>
    <definedName name="hier_PU_35">Hierarchies!$HN$2:$HN$5</definedName>
    <definedName name="hier_PU_37">Hierarchies!$BM$2:$BM$4</definedName>
    <definedName name="hier_PU_39">Hierarchies!$CL$2:$CL$4</definedName>
    <definedName name="hier_RT_10">Hierarchies!$EO$2:$EO$4</definedName>
    <definedName name="hier_RT_13">Hierarchies!$FG$2:$FG$7</definedName>
    <definedName name="hier_RT_14">Hierarchies!$FH$2:$FH$4</definedName>
    <definedName name="hier_SE_14">Hierarchies!$EY$2:$EY$11</definedName>
    <definedName name="hier_SE_16">Hierarchies!$FI$2:$FI$3</definedName>
    <definedName name="hier_SE_17">Hierarchies!$FL$2:$FL$6</definedName>
    <definedName name="hier_SE_18">Hierarchies!$IN$2:$IN$12</definedName>
    <definedName name="hier_SE_21">Hierarchies!$AX$2:$AX$6</definedName>
    <definedName name="hier_SE_22">Hierarchies!$IE$2:$IE$5</definedName>
    <definedName name="hier_SE_23">Hierarchies!$HH$2:$HH$17</definedName>
    <definedName name="hier_SE_26">Hierarchies!$CM$2:$CM$56</definedName>
    <definedName name="hier_SE_27">Hierarchies!$DC$2:$DC$55</definedName>
    <definedName name="hier_SE_28">Hierarchies!$HG$2:$HG$56</definedName>
    <definedName name="hier_SE_29">Hierarchies!$HF$2:$HF$57</definedName>
    <definedName name="hier_SE_8">Hierarchies!$HI$2:$HI$3</definedName>
    <definedName name="hier_TB_11">Hierarchies!$FB$2:$FB$15</definedName>
    <definedName name="hier_TB_12">Hierarchies!$FJ$2:$FJ$8</definedName>
    <definedName name="hier_TB_13">Hierarchies!$FK$2:$FK$3</definedName>
    <definedName name="hier_TB_14">Hierarchies!$FS$2:$FS$18</definedName>
    <definedName name="hier_TB_2">Hierarchies!$DP$2:$DP$5</definedName>
    <definedName name="hier_TB_3">Hierarchies!$DZ$2:$DZ$6</definedName>
    <definedName name="hier_TB_4">Hierarchies!$EW$2:$EW$4</definedName>
    <definedName name="hier_TB_7">Hierarchies!$FN$2:$FN$5</definedName>
    <definedName name="hier_TB_8">Hierarchies!$DH$2:$DH$5</definedName>
    <definedName name="hier_TB_9">Hierarchies!$EX$2:$EX$3</definedName>
    <definedName name="hier_VM_23">Hierarchies!$CF$2:$CF$7</definedName>
    <definedName name="hier_VM_24">Hierarchies!$DB$2:$DB$5</definedName>
    <definedName name="Modules" localSheetId="0">'General data'!$S$1:$S$19</definedName>
    <definedName name="PP_CompressOutput" localSheetId="0">'General data'!$D$49</definedName>
    <definedName name="PP_ConcatenateAssertionMessages">'General data'!$D$37</definedName>
    <definedName name="PP_Country" localSheetId="0">'General data'!$D$16</definedName>
    <definedName name="PP_Currency" localSheetId="0">'General data'!$D$18</definedName>
    <definedName name="PP_Debug" localSheetId="0">'General data'!$D$51</definedName>
    <definedName name="PP_DecimalDecimals" localSheetId="0">'General data'!$D$33</definedName>
    <definedName name="PP_DecimalPrecision" localSheetId="0">'General data'!$D$35</definedName>
    <definedName name="PP_DeclarerType" localSheetId="0">'General data'!$D$44</definedName>
    <definedName name="PP_Domain" localSheetId="0">'General data'!$D$46</definedName>
    <definedName name="PP_FilingEmailAddress" localSheetId="0">'General data'!$D$42</definedName>
    <definedName name="PP_Identifier" localSheetId="0">'General data'!$D$10</definedName>
    <definedName name="PP_Language" localSheetId="0">'General data'!$D$50</definedName>
    <definedName name="PP_Module" localSheetId="0">'General data'!$D$22</definedName>
    <definedName name="PP_MonetaryDecimals" localSheetId="0">'General data'!$D$29</definedName>
    <definedName name="PP_MonetaryPrecision" localSheetId="0">'General data'!$D$31</definedName>
    <definedName name="PP_Period_end_date" localSheetId="0">'General data'!$D$14</definedName>
    <definedName name="PP_Period_start_date" localSheetId="0">'General data'!$D$12</definedName>
    <definedName name="PP_PostParser" localSheetId="0">'General data'!$D$40</definedName>
    <definedName name="PP_PostParserParameter" localSheetId="0">'General data'!$D$48</definedName>
    <definedName name="PP_Taxonomy" localSheetId="0">'General data'!$D$20</definedName>
    <definedName name="rAddReqs" localSheetId="0">'General data'!$39:$53</definedName>
    <definedName name="rAddTitle" localSheetId="0">'General data'!$B$38</definedName>
    <definedName name="rEntryPointCode">'General data'!$E$22</definedName>
    <definedName name="rEntryPointNumber">'General data'!$J$8</definedName>
    <definedName name="rVersion">'General data'!$J$1</definedName>
    <definedName name="Taxonomies" localSheetId="0">'General data'!$W$1:$W$1</definedName>
    <definedName name="TekstcontroleSchermExcel" localSheetId="2" hidden="1">{"BRIEF",#N/A,FALSE,"BRIEF";"OFFBAL",#N/A,FALSE,"OFFBAL"}</definedName>
    <definedName name="TekstcontroleSchermExcel" localSheetId="1" hidden="1">{"BRIEF",#N/A,FALSE,"BRIEF";"OFFBAL",#N/A,FALSE,"OFFBAL"}</definedName>
    <definedName name="TekstcontroleSchermExcel" hidden="1">{"BRIEF",#N/A,FALSE,"BRIEF";"OFFBAL",#N/A,FALSE,"OFFBAL"}</definedName>
    <definedName name="wrn.TEST." localSheetId="2" hidden="1">{"BRIEF",#N/A,FALSE,"BRIEF";"OFFBAL",#N/A,FALSE,"OFFBAL"}</definedName>
    <definedName name="wrn.TEST." localSheetId="1" hidden="1">{"BRIEF",#N/A,FALSE,"BRIEF";"OFFBAL",#N/A,FALSE,"OFFBAL"}</definedName>
    <definedName name="wrn.TEST." hidden="1">{"BRIEF",#N/A,FALSE,"BRIEF";"OFFBAL",#N/A,FALSE,"OFFBAL"}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7" i="93" l="1"/>
  <c r="D106" i="93"/>
  <c r="D105" i="93"/>
  <c r="D104" i="93"/>
  <c r="D103" i="93"/>
  <c r="D102" i="93"/>
  <c r="D101" i="93"/>
  <c r="D100" i="93"/>
  <c r="D99" i="93"/>
  <c r="D98" i="93"/>
  <c r="D97" i="93"/>
  <c r="D96" i="93"/>
  <c r="D80" i="93"/>
  <c r="E79" i="93"/>
  <c r="D79" i="93"/>
  <c r="F78" i="93"/>
  <c r="E78" i="93"/>
  <c r="D78" i="93"/>
  <c r="G77" i="93"/>
  <c r="F77" i="93"/>
  <c r="E77" i="93"/>
  <c r="D77" i="93"/>
  <c r="H76" i="93"/>
  <c r="G76" i="93"/>
  <c r="F76" i="93"/>
  <c r="E76" i="93"/>
  <c r="D76" i="93"/>
  <c r="I75" i="93"/>
  <c r="H75" i="93"/>
  <c r="G75" i="93"/>
  <c r="F75" i="93"/>
  <c r="E75" i="93"/>
  <c r="D75" i="93"/>
  <c r="J74" i="93"/>
  <c r="I74" i="93"/>
  <c r="H74" i="93"/>
  <c r="G74" i="93"/>
  <c r="F74" i="93"/>
  <c r="E74" i="93"/>
  <c r="D74" i="93"/>
  <c r="K73" i="93"/>
  <c r="J73" i="93"/>
  <c r="I73" i="93"/>
  <c r="H73" i="93"/>
  <c r="G73" i="93"/>
  <c r="F73" i="93"/>
  <c r="E73" i="93"/>
  <c r="D73" i="93"/>
  <c r="L72" i="93"/>
  <c r="K72" i="93"/>
  <c r="J72" i="93"/>
  <c r="I72" i="93"/>
  <c r="H72" i="93"/>
  <c r="G72" i="93"/>
  <c r="F72" i="93"/>
  <c r="E72" i="93"/>
  <c r="D72" i="93"/>
  <c r="M71" i="93"/>
  <c r="L71" i="93"/>
  <c r="K71" i="93"/>
  <c r="J71" i="93"/>
  <c r="I71" i="93"/>
  <c r="H71" i="93"/>
  <c r="G71" i="93"/>
  <c r="F71" i="93"/>
  <c r="E71" i="93"/>
  <c r="D71" i="93"/>
  <c r="N70" i="93"/>
  <c r="E54" i="93"/>
  <c r="D54" i="93"/>
  <c r="E53" i="93"/>
  <c r="D53" i="93"/>
  <c r="E52" i="93"/>
  <c r="D52" i="93"/>
  <c r="E51" i="93"/>
  <c r="D51" i="93"/>
  <c r="E50" i="93"/>
  <c r="D50" i="93"/>
  <c r="E49" i="93"/>
  <c r="D49" i="93"/>
  <c r="E48" i="93"/>
  <c r="D48" i="93"/>
  <c r="E47" i="93"/>
  <c r="D47" i="93"/>
  <c r="E46" i="93"/>
  <c r="D46" i="93"/>
  <c r="E45" i="93"/>
  <c r="D45" i="93"/>
  <c r="E44" i="93"/>
  <c r="D44" i="93"/>
  <c r="E43" i="93"/>
  <c r="D43" i="93"/>
  <c r="D27" i="93"/>
  <c r="E26" i="93"/>
  <c r="D26" i="93"/>
  <c r="F25" i="93"/>
  <c r="E25" i="93"/>
  <c r="D25" i="93"/>
  <c r="G24" i="93"/>
  <c r="F24" i="93"/>
  <c r="E24" i="93"/>
  <c r="D24" i="93"/>
  <c r="H23" i="93"/>
  <c r="G23" i="93"/>
  <c r="F23" i="93"/>
  <c r="E23" i="93"/>
  <c r="D23" i="93"/>
  <c r="I22" i="93"/>
  <c r="H22" i="93"/>
  <c r="G22" i="93"/>
  <c r="F22" i="93"/>
  <c r="E22" i="93"/>
  <c r="D22" i="93"/>
  <c r="J21" i="93"/>
  <c r="I21" i="93"/>
  <c r="H21" i="93"/>
  <c r="G21" i="93"/>
  <c r="F21" i="93"/>
  <c r="E21" i="93"/>
  <c r="D21" i="93"/>
  <c r="K20" i="93"/>
  <c r="J20" i="93"/>
  <c r="I20" i="93"/>
  <c r="H20" i="93"/>
  <c r="G20" i="93"/>
  <c r="F20" i="93"/>
  <c r="E20" i="93"/>
  <c r="D20" i="93"/>
  <c r="L19" i="93"/>
  <c r="K19" i="93"/>
  <c r="J19" i="93"/>
  <c r="I19" i="93"/>
  <c r="H19" i="93"/>
  <c r="G19" i="93"/>
  <c r="F19" i="93"/>
  <c r="E19" i="93"/>
  <c r="D19" i="93"/>
  <c r="M18" i="93"/>
  <c r="L18" i="93"/>
  <c r="K18" i="93"/>
  <c r="J18" i="93"/>
  <c r="I18" i="93"/>
  <c r="H18" i="93"/>
  <c r="G18" i="93"/>
  <c r="F18" i="93"/>
  <c r="E18" i="93"/>
  <c r="D18" i="93"/>
  <c r="N17" i="93"/>
  <c r="D88" i="204"/>
  <c r="D62" i="204"/>
  <c r="D35" i="204"/>
  <c r="D107" i="204"/>
  <c r="D106" i="204"/>
  <c r="D105" i="204"/>
  <c r="D104" i="204"/>
  <c r="D103" i="204"/>
  <c r="D102" i="204"/>
  <c r="D101" i="204"/>
  <c r="D100" i="204"/>
  <c r="D99" i="204"/>
  <c r="D98" i="204"/>
  <c r="D97" i="204"/>
  <c r="D96" i="204"/>
  <c r="D80" i="204"/>
  <c r="E79" i="204"/>
  <c r="D79" i="204"/>
  <c r="F78" i="204"/>
  <c r="E78" i="204"/>
  <c r="D78" i="204"/>
  <c r="G77" i="204"/>
  <c r="F77" i="204"/>
  <c r="E77" i="204"/>
  <c r="D77" i="204"/>
  <c r="H76" i="204"/>
  <c r="G76" i="204"/>
  <c r="F76" i="204"/>
  <c r="E76" i="204"/>
  <c r="D76" i="204"/>
  <c r="I75" i="204"/>
  <c r="H75" i="204"/>
  <c r="G75" i="204"/>
  <c r="F75" i="204"/>
  <c r="E75" i="204"/>
  <c r="D75" i="204"/>
  <c r="J74" i="204"/>
  <c r="I74" i="204"/>
  <c r="H74" i="204"/>
  <c r="G74" i="204"/>
  <c r="F74" i="204"/>
  <c r="E74" i="204"/>
  <c r="D74" i="204"/>
  <c r="K73" i="204"/>
  <c r="J73" i="204"/>
  <c r="I73" i="204"/>
  <c r="H73" i="204"/>
  <c r="G73" i="204"/>
  <c r="F73" i="204"/>
  <c r="E73" i="204"/>
  <c r="D73" i="204"/>
  <c r="L72" i="204"/>
  <c r="K72" i="204"/>
  <c r="J72" i="204"/>
  <c r="I72" i="204"/>
  <c r="H72" i="204"/>
  <c r="G72" i="204"/>
  <c r="F72" i="204"/>
  <c r="E72" i="204"/>
  <c r="D72" i="204"/>
  <c r="M71" i="204"/>
  <c r="L71" i="204"/>
  <c r="K71" i="204"/>
  <c r="J71" i="204"/>
  <c r="I71" i="204"/>
  <c r="H71" i="204"/>
  <c r="G71" i="204"/>
  <c r="F71" i="204"/>
  <c r="E71" i="204"/>
  <c r="D71" i="204"/>
  <c r="N70" i="204"/>
  <c r="E54" i="204"/>
  <c r="D54" i="204"/>
  <c r="E53" i="204"/>
  <c r="D53" i="204"/>
  <c r="E52" i="204"/>
  <c r="D52" i="204"/>
  <c r="E51" i="204"/>
  <c r="D51" i="204"/>
  <c r="E50" i="204"/>
  <c r="D50" i="204"/>
  <c r="E49" i="204"/>
  <c r="D49" i="204"/>
  <c r="E48" i="204"/>
  <c r="D48" i="204"/>
  <c r="E47" i="204"/>
  <c r="D47" i="204"/>
  <c r="E46" i="204"/>
  <c r="D46" i="204"/>
  <c r="E45" i="204"/>
  <c r="D45" i="204"/>
  <c r="E44" i="204"/>
  <c r="D44" i="204"/>
  <c r="E43" i="204"/>
  <c r="D43" i="204"/>
  <c r="D27" i="204"/>
  <c r="E26" i="204"/>
  <c r="D26" i="204"/>
  <c r="F25" i="204"/>
  <c r="E25" i="204"/>
  <c r="D25" i="204"/>
  <c r="G24" i="204"/>
  <c r="F24" i="204"/>
  <c r="E24" i="204"/>
  <c r="D24" i="204"/>
  <c r="H23" i="204"/>
  <c r="G23" i="204"/>
  <c r="F23" i="204"/>
  <c r="E23" i="204"/>
  <c r="D23" i="204"/>
  <c r="I22" i="204"/>
  <c r="H22" i="204"/>
  <c r="G22" i="204"/>
  <c r="F22" i="204"/>
  <c r="E22" i="204"/>
  <c r="D22" i="204"/>
  <c r="J21" i="204"/>
  <c r="I21" i="204"/>
  <c r="H21" i="204"/>
  <c r="G21" i="204"/>
  <c r="F21" i="204"/>
  <c r="E21" i="204"/>
  <c r="D21" i="204"/>
  <c r="K20" i="204"/>
  <c r="J20" i="204"/>
  <c r="I20" i="204"/>
  <c r="H20" i="204"/>
  <c r="G20" i="204"/>
  <c r="F20" i="204"/>
  <c r="E20" i="204"/>
  <c r="D20" i="204"/>
  <c r="L19" i="204"/>
  <c r="K19" i="204"/>
  <c r="J19" i="204"/>
  <c r="I19" i="204"/>
  <c r="H19" i="204"/>
  <c r="G19" i="204"/>
  <c r="F19" i="204"/>
  <c r="E19" i="204"/>
  <c r="D19" i="204"/>
  <c r="M18" i="204"/>
  <c r="L18" i="204"/>
  <c r="K18" i="204"/>
  <c r="J18" i="204"/>
  <c r="I18" i="204"/>
  <c r="H18" i="204"/>
  <c r="G18" i="204"/>
  <c r="F18" i="204"/>
  <c r="E18" i="204"/>
  <c r="D18" i="204"/>
  <c r="N17" i="204"/>
  <c r="O61" i="54"/>
  <c r="H61" i="54" s="1"/>
  <c r="D194" i="54"/>
  <c r="D189" i="54"/>
  <c r="D188" i="54"/>
  <c r="D187" i="54"/>
  <c r="D185" i="54"/>
  <c r="D184" i="54"/>
  <c r="D183" i="54"/>
  <c r="D181" i="54"/>
  <c r="D180" i="54"/>
  <c r="D179" i="54"/>
  <c r="H75" i="54"/>
  <c r="H69" i="54"/>
  <c r="H63" i="54"/>
  <c r="G75" i="54"/>
  <c r="G69" i="54"/>
  <c r="G63" i="54"/>
  <c r="F75" i="54"/>
  <c r="F69" i="54"/>
  <c r="F63" i="54"/>
  <c r="L85" i="54" l="1"/>
  <c r="E85" i="54" s="1"/>
  <c r="K86" i="54"/>
  <c r="D86" i="54" s="1"/>
  <c r="K42" i="54"/>
  <c r="D42" i="54" s="1"/>
  <c r="L75" i="54"/>
  <c r="E75" i="54" s="1"/>
  <c r="K75" i="54"/>
  <c r="D75" i="54" s="1"/>
  <c r="K31" i="54"/>
  <c r="D31" i="54" s="1"/>
  <c r="L69" i="54"/>
  <c r="E69" i="54" s="1"/>
  <c r="K69" i="54"/>
  <c r="D69" i="54" s="1"/>
  <c r="K25" i="54"/>
  <c r="D25" i="54" s="1"/>
  <c r="L63" i="54" l="1"/>
  <c r="E63" i="54" s="1"/>
  <c r="K63" i="54"/>
  <c r="D63" i="54" s="1"/>
  <c r="K19" i="54"/>
  <c r="D19" i="54" s="1"/>
  <c r="K41" i="54" l="1"/>
  <c r="D41" i="54" s="1"/>
  <c r="K30" i="54"/>
  <c r="D30" i="54" s="1"/>
  <c r="K29" i="54"/>
  <c r="D29" i="54" s="1"/>
  <c r="K24" i="54"/>
  <c r="D24" i="54" s="1"/>
  <c r="K23" i="54"/>
  <c r="K18" i="54"/>
  <c r="D18" i="54" s="1"/>
  <c r="K17" i="54"/>
  <c r="O86" i="54"/>
  <c r="H86" i="54" s="1"/>
  <c r="O85" i="54"/>
  <c r="H85" i="54" s="1"/>
  <c r="N86" i="54"/>
  <c r="G86" i="54" s="1"/>
  <c r="N85" i="54"/>
  <c r="G85" i="54" s="1"/>
  <c r="M86" i="54"/>
  <c r="F86" i="54" s="1"/>
  <c r="M85" i="54"/>
  <c r="F85" i="54" s="1"/>
  <c r="L86" i="54"/>
  <c r="E86" i="54" s="1"/>
  <c r="K85" i="54"/>
  <c r="D85" i="54" s="1"/>
  <c r="O74" i="54"/>
  <c r="H74" i="54" s="1"/>
  <c r="N74" i="54"/>
  <c r="G74" i="54" s="1"/>
  <c r="M74" i="54"/>
  <c r="F74" i="54" s="1"/>
  <c r="L74" i="54"/>
  <c r="E74" i="54" s="1"/>
  <c r="O73" i="54"/>
  <c r="N73" i="54"/>
  <c r="M73" i="54"/>
  <c r="L73" i="54"/>
  <c r="K74" i="54"/>
  <c r="D74" i="54" s="1"/>
  <c r="K73" i="54"/>
  <c r="O68" i="54"/>
  <c r="H68" i="54" s="1"/>
  <c r="N68" i="54"/>
  <c r="G68" i="54" s="1"/>
  <c r="M68" i="54"/>
  <c r="F68" i="54" s="1"/>
  <c r="L68" i="54"/>
  <c r="E68" i="54" s="1"/>
  <c r="K68" i="54"/>
  <c r="D68" i="54" s="1"/>
  <c r="O67" i="54"/>
  <c r="N67" i="54"/>
  <c r="M67" i="54"/>
  <c r="L67" i="54"/>
  <c r="K67" i="54"/>
  <c r="N61" i="54"/>
  <c r="M61" i="54"/>
  <c r="L61" i="54"/>
  <c r="K61" i="54"/>
  <c r="O62" i="54"/>
  <c r="N62" i="54"/>
  <c r="G62" i="54" s="1"/>
  <c r="M62" i="54"/>
  <c r="F62" i="54" s="1"/>
  <c r="L62" i="54"/>
  <c r="E62" i="54" s="1"/>
  <c r="K62" i="54"/>
  <c r="D62" i="54" s="1"/>
  <c r="F61" i="54" l="1"/>
  <c r="M64" i="54"/>
  <c r="G61" i="54"/>
  <c r="N64" i="54"/>
  <c r="D67" i="54"/>
  <c r="K70" i="54"/>
  <c r="E73" i="54"/>
  <c r="L76" i="54"/>
  <c r="E67" i="54"/>
  <c r="L70" i="54"/>
  <c r="F73" i="54"/>
  <c r="M76" i="54"/>
  <c r="E61" i="54"/>
  <c r="L64" i="54"/>
  <c r="F67" i="54"/>
  <c r="M70" i="54"/>
  <c r="G73" i="54"/>
  <c r="N76" i="54"/>
  <c r="D61" i="54"/>
  <c r="K64" i="54"/>
  <c r="G67" i="54"/>
  <c r="N70" i="54"/>
  <c r="H73" i="54"/>
  <c r="O76" i="54"/>
  <c r="H67" i="54"/>
  <c r="O70" i="54"/>
  <c r="D17" i="54"/>
  <c r="D20" i="54" s="1"/>
  <c r="K20" i="54"/>
  <c r="D23" i="54"/>
  <c r="D26" i="54" s="1"/>
  <c r="K26" i="54"/>
  <c r="D32" i="54"/>
  <c r="H62" i="54"/>
  <c r="O64" i="54"/>
  <c r="D73" i="54"/>
  <c r="K76" i="54"/>
  <c r="D92" i="164"/>
  <c r="D91" i="164"/>
  <c r="D90" i="164"/>
  <c r="D89" i="164"/>
  <c r="D88" i="164"/>
  <c r="D87" i="164"/>
  <c r="D86" i="164"/>
  <c r="E73" i="164"/>
  <c r="D72" i="164"/>
  <c r="D71" i="164"/>
  <c r="D70" i="164"/>
  <c r="D69" i="164"/>
  <c r="D56" i="164"/>
  <c r="E43" i="164"/>
  <c r="D43" i="164"/>
  <c r="E42" i="164"/>
  <c r="D42" i="164"/>
  <c r="E41" i="164"/>
  <c r="D41" i="164"/>
  <c r="E40" i="164"/>
  <c r="D40" i="164"/>
  <c r="E39" i="164"/>
  <c r="D39" i="164"/>
  <c r="E38" i="164"/>
  <c r="D38" i="164"/>
  <c r="E37" i="164"/>
  <c r="D37" i="164"/>
  <c r="E36" i="164"/>
  <c r="D36" i="164"/>
  <c r="E35" i="164"/>
  <c r="D35" i="164"/>
  <c r="E34" i="164"/>
  <c r="D34" i="164"/>
  <c r="E33" i="164"/>
  <c r="D33" i="164"/>
  <c r="E32" i="164"/>
  <c r="D32" i="164"/>
  <c r="E31" i="164"/>
  <c r="D31" i="164"/>
  <c r="E30" i="164"/>
  <c r="D30" i="164"/>
  <c r="E29" i="164"/>
  <c r="D29" i="164"/>
  <c r="E28" i="164"/>
  <c r="D28" i="164"/>
  <c r="D14" i="164"/>
  <c r="D71" i="107"/>
  <c r="D70" i="107"/>
  <c r="D69" i="107"/>
  <c r="D68" i="107"/>
  <c r="D67" i="107"/>
  <c r="D66" i="107"/>
  <c r="T39" i="88"/>
  <c r="S39" i="88"/>
  <c r="R39" i="88"/>
  <c r="Q39" i="88"/>
  <c r="P39" i="88"/>
  <c r="O39" i="88"/>
  <c r="N39" i="88"/>
  <c r="M39" i="88"/>
  <c r="L39" i="88"/>
  <c r="K39" i="88"/>
  <c r="J39" i="88"/>
  <c r="I39" i="88"/>
  <c r="H39" i="88"/>
  <c r="G39" i="88"/>
  <c r="F39" i="88"/>
  <c r="E39" i="88"/>
  <c r="D39" i="88"/>
  <c r="T38" i="88"/>
  <c r="S38" i="88"/>
  <c r="R38" i="88"/>
  <c r="Q38" i="88"/>
  <c r="P38" i="88"/>
  <c r="O38" i="88"/>
  <c r="N38" i="88"/>
  <c r="M38" i="88"/>
  <c r="L38" i="88"/>
  <c r="K38" i="88"/>
  <c r="J38" i="88"/>
  <c r="I38" i="88"/>
  <c r="H38" i="88"/>
  <c r="G38" i="88"/>
  <c r="F38" i="88"/>
  <c r="E38" i="88"/>
  <c r="D38" i="88"/>
  <c r="T37" i="88"/>
  <c r="S37" i="88"/>
  <c r="R37" i="88"/>
  <c r="Q37" i="88"/>
  <c r="P37" i="88"/>
  <c r="O37" i="88"/>
  <c r="N37" i="88"/>
  <c r="M37" i="88"/>
  <c r="L37" i="88"/>
  <c r="K37" i="88"/>
  <c r="J37" i="88"/>
  <c r="I37" i="88"/>
  <c r="H37" i="88"/>
  <c r="G37" i="88"/>
  <c r="F37" i="88"/>
  <c r="E37" i="88"/>
  <c r="D37" i="88"/>
  <c r="T31" i="88"/>
  <c r="S31" i="88"/>
  <c r="R31" i="88"/>
  <c r="Q31" i="88"/>
  <c r="P31" i="88"/>
  <c r="O31" i="88"/>
  <c r="N31" i="88"/>
  <c r="M31" i="88"/>
  <c r="L31" i="88"/>
  <c r="K31" i="88"/>
  <c r="J31" i="88"/>
  <c r="I31" i="88"/>
  <c r="H31" i="88"/>
  <c r="G31" i="88"/>
  <c r="F31" i="88"/>
  <c r="E31" i="88"/>
  <c r="D31" i="88"/>
  <c r="T30" i="88"/>
  <c r="S30" i="88"/>
  <c r="R30" i="88"/>
  <c r="Q30" i="88"/>
  <c r="P30" i="88"/>
  <c r="O30" i="88"/>
  <c r="N30" i="88"/>
  <c r="M30" i="88"/>
  <c r="L30" i="88"/>
  <c r="K30" i="88"/>
  <c r="J30" i="88"/>
  <c r="I30" i="88"/>
  <c r="H30" i="88"/>
  <c r="G30" i="88"/>
  <c r="F30" i="88"/>
  <c r="E30" i="88"/>
  <c r="D30" i="88"/>
  <c r="T29" i="88"/>
  <c r="S29" i="88"/>
  <c r="R29" i="88"/>
  <c r="Q29" i="88"/>
  <c r="P29" i="88"/>
  <c r="O29" i="88"/>
  <c r="N29" i="88"/>
  <c r="M29" i="88"/>
  <c r="L29" i="88"/>
  <c r="K29" i="88"/>
  <c r="J29" i="88"/>
  <c r="I29" i="88"/>
  <c r="H29" i="88"/>
  <c r="G29" i="88"/>
  <c r="F29" i="88"/>
  <c r="E29" i="88"/>
  <c r="D29" i="88"/>
  <c r="T28" i="88"/>
  <c r="S28" i="88"/>
  <c r="R28" i="88"/>
  <c r="Q28" i="88"/>
  <c r="P28" i="88"/>
  <c r="O28" i="88"/>
  <c r="N28" i="88"/>
  <c r="M28" i="88"/>
  <c r="L28" i="88"/>
  <c r="K28" i="88"/>
  <c r="J28" i="88"/>
  <c r="I28" i="88"/>
  <c r="H28" i="88"/>
  <c r="G28" i="88"/>
  <c r="F28" i="88"/>
  <c r="E28" i="88"/>
  <c r="D28" i="88"/>
  <c r="T27" i="88"/>
  <c r="S27" i="88"/>
  <c r="R27" i="88"/>
  <c r="Q27" i="88"/>
  <c r="P27" i="88"/>
  <c r="O27" i="88"/>
  <c r="N27" i="88"/>
  <c r="M27" i="88"/>
  <c r="L27" i="88"/>
  <c r="K27" i="88"/>
  <c r="J27" i="88"/>
  <c r="I27" i="88"/>
  <c r="H27" i="88"/>
  <c r="G27" i="88"/>
  <c r="F27" i="88"/>
  <c r="E27" i="88"/>
  <c r="D27" i="88"/>
  <c r="T26" i="88"/>
  <c r="S26" i="88"/>
  <c r="R26" i="88"/>
  <c r="Q26" i="88"/>
  <c r="P26" i="88"/>
  <c r="O26" i="88"/>
  <c r="N26" i="88"/>
  <c r="M26" i="88"/>
  <c r="L26" i="88"/>
  <c r="K26" i="88"/>
  <c r="J26" i="88"/>
  <c r="I26" i="88"/>
  <c r="H26" i="88"/>
  <c r="G26" i="88"/>
  <c r="F26" i="88"/>
  <c r="E26" i="88"/>
  <c r="D26" i="88"/>
  <c r="T24" i="88"/>
  <c r="S24" i="88"/>
  <c r="R24" i="88"/>
  <c r="Q24" i="88"/>
  <c r="P24" i="88"/>
  <c r="O24" i="88"/>
  <c r="N24" i="88"/>
  <c r="M24" i="88"/>
  <c r="L24" i="88"/>
  <c r="K24" i="88"/>
  <c r="J24" i="88"/>
  <c r="I24" i="88"/>
  <c r="H24" i="88"/>
  <c r="G24" i="88"/>
  <c r="F24" i="88"/>
  <c r="E24" i="88"/>
  <c r="D24" i="88"/>
  <c r="T23" i="88"/>
  <c r="S23" i="88"/>
  <c r="R23" i="88"/>
  <c r="Q23" i="88"/>
  <c r="P23" i="88"/>
  <c r="O23" i="88"/>
  <c r="N23" i="88"/>
  <c r="M23" i="88"/>
  <c r="L23" i="88"/>
  <c r="K23" i="88"/>
  <c r="J23" i="88"/>
  <c r="I23" i="88"/>
  <c r="H23" i="88"/>
  <c r="G23" i="88"/>
  <c r="F23" i="88"/>
  <c r="E23" i="88"/>
  <c r="D23" i="88"/>
  <c r="T22" i="88"/>
  <c r="S22" i="88"/>
  <c r="R22" i="88"/>
  <c r="Q22" i="88"/>
  <c r="P22" i="88"/>
  <c r="O22" i="88"/>
  <c r="N22" i="88"/>
  <c r="M22" i="88"/>
  <c r="L22" i="88"/>
  <c r="K22" i="88"/>
  <c r="J22" i="88"/>
  <c r="I22" i="88"/>
  <c r="H22" i="88"/>
  <c r="G22" i="88"/>
  <c r="F22" i="88"/>
  <c r="E22" i="88"/>
  <c r="D22" i="88"/>
  <c r="T18" i="88"/>
  <c r="S18" i="88"/>
  <c r="R18" i="88"/>
  <c r="Q18" i="88"/>
  <c r="P18" i="88"/>
  <c r="O18" i="88"/>
  <c r="N18" i="88"/>
  <c r="M18" i="88"/>
  <c r="L18" i="88"/>
  <c r="K18" i="88"/>
  <c r="J18" i="88"/>
  <c r="I18" i="88"/>
  <c r="H18" i="88"/>
  <c r="G18" i="88"/>
  <c r="F18" i="88"/>
  <c r="E18" i="88"/>
  <c r="D18" i="88"/>
  <c r="T17" i="88"/>
  <c r="S17" i="88"/>
  <c r="R17" i="88"/>
  <c r="Q17" i="88"/>
  <c r="P17" i="88"/>
  <c r="O17" i="88"/>
  <c r="N17" i="88"/>
  <c r="M17" i="88"/>
  <c r="L17" i="88"/>
  <c r="K17" i="88"/>
  <c r="J17" i="88"/>
  <c r="I17" i="88"/>
  <c r="H17" i="88"/>
  <c r="G17" i="88"/>
  <c r="F17" i="88"/>
  <c r="E17" i="88"/>
  <c r="D17" i="88"/>
  <c r="R28" i="76"/>
  <c r="Q28" i="76"/>
  <c r="N28" i="76"/>
  <c r="M28" i="76"/>
  <c r="L28" i="76"/>
  <c r="K28" i="76"/>
  <c r="H28" i="76"/>
  <c r="E28" i="76"/>
  <c r="D28" i="76"/>
  <c r="S23" i="76"/>
  <c r="R23" i="76"/>
  <c r="Q23" i="76"/>
  <c r="N23" i="76"/>
  <c r="M23" i="76"/>
  <c r="L23" i="76"/>
  <c r="K23" i="76"/>
  <c r="H23" i="76"/>
  <c r="E23" i="76"/>
  <c r="D23" i="76"/>
  <c r="S22" i="76"/>
  <c r="R22" i="76"/>
  <c r="Q22" i="76"/>
  <c r="P22" i="76"/>
  <c r="O22" i="76"/>
  <c r="M22" i="76"/>
  <c r="L22" i="76"/>
  <c r="K22" i="76"/>
  <c r="J22" i="76"/>
  <c r="I22" i="76"/>
  <c r="G22" i="76"/>
  <c r="F22" i="76"/>
  <c r="D22" i="76"/>
  <c r="S21" i="76"/>
  <c r="R21" i="76"/>
  <c r="Q21" i="76"/>
  <c r="P21" i="76"/>
  <c r="O21" i="76"/>
  <c r="M21" i="76"/>
  <c r="L21" i="76"/>
  <c r="K21" i="76"/>
  <c r="J21" i="76"/>
  <c r="I21" i="76"/>
  <c r="G21" i="76"/>
  <c r="F21" i="76"/>
  <c r="D21" i="76"/>
  <c r="S20" i="76"/>
  <c r="R20" i="76"/>
  <c r="Q20" i="76"/>
  <c r="P20" i="76"/>
  <c r="O20" i="76"/>
  <c r="M20" i="76"/>
  <c r="L20" i="76"/>
  <c r="K20" i="76"/>
  <c r="J20" i="76"/>
  <c r="I20" i="76"/>
  <c r="G20" i="76"/>
  <c r="F20" i="76"/>
  <c r="D20" i="76"/>
  <c r="S17" i="76"/>
  <c r="R17" i="76"/>
  <c r="Q17" i="76"/>
  <c r="N17" i="76"/>
  <c r="M17" i="76"/>
  <c r="L17" i="76"/>
  <c r="K17" i="76"/>
  <c r="H17" i="76"/>
  <c r="E17" i="76"/>
  <c r="D17" i="76"/>
  <c r="S16" i="76"/>
  <c r="R16" i="76"/>
  <c r="Q16" i="76"/>
  <c r="N16" i="76"/>
  <c r="M16" i="76"/>
  <c r="L16" i="76"/>
  <c r="K16" i="76"/>
  <c r="H16" i="76"/>
  <c r="E16" i="76"/>
  <c r="D16" i="76"/>
  <c r="D41" i="122"/>
  <c r="D40" i="122"/>
  <c r="D39" i="122"/>
  <c r="D38" i="122"/>
  <c r="D37" i="122"/>
  <c r="D36" i="122"/>
  <c r="D35" i="122"/>
  <c r="D21" i="122"/>
  <c r="D20" i="122"/>
  <c r="D19" i="122"/>
  <c r="D18" i="122"/>
  <c r="D17" i="122"/>
  <c r="D16" i="122"/>
  <c r="D15" i="122"/>
  <c r="D14" i="122"/>
  <c r="D49" i="107"/>
  <c r="D75" i="107"/>
  <c r="D74" i="107"/>
  <c r="D73" i="107"/>
  <c r="D51" i="107"/>
  <c r="D50" i="107"/>
  <c r="D48" i="107"/>
  <c r="G47" i="107"/>
  <c r="F47" i="107"/>
  <c r="E47" i="107"/>
  <c r="D47" i="107"/>
  <c r="H46" i="107"/>
  <c r="G46" i="107"/>
  <c r="F46" i="107"/>
  <c r="E46" i="107"/>
  <c r="D46" i="107"/>
  <c r="G45" i="107"/>
  <c r="F45" i="107"/>
  <c r="E45" i="107"/>
  <c r="D45" i="107"/>
  <c r="H44" i="107"/>
  <c r="G44" i="107"/>
  <c r="F44" i="107"/>
  <c r="E44" i="107"/>
  <c r="D44" i="107"/>
  <c r="H42" i="107"/>
  <c r="G42" i="107"/>
  <c r="D42" i="107"/>
  <c r="H41" i="107"/>
  <c r="G41" i="107"/>
  <c r="D41" i="107"/>
  <c r="H40" i="107"/>
  <c r="G40" i="107"/>
  <c r="D40" i="107"/>
  <c r="G39" i="107"/>
  <c r="D39" i="107"/>
  <c r="H38" i="107"/>
  <c r="G38" i="107"/>
  <c r="D38" i="107"/>
  <c r="G37" i="107"/>
  <c r="D37" i="107"/>
  <c r="H36" i="107"/>
  <c r="G36" i="107"/>
  <c r="D36" i="107"/>
  <c r="H35" i="107"/>
  <c r="G35" i="107"/>
  <c r="D35" i="107"/>
  <c r="G34" i="107"/>
  <c r="D34" i="107"/>
  <c r="G33" i="107"/>
  <c r="D33" i="107"/>
  <c r="H31" i="107"/>
  <c r="G31" i="107"/>
  <c r="F31" i="107"/>
  <c r="E31" i="107"/>
  <c r="D31" i="107"/>
  <c r="H30" i="107"/>
  <c r="G30" i="107"/>
  <c r="F30" i="107"/>
  <c r="E30" i="107"/>
  <c r="D30" i="107"/>
  <c r="D28" i="107"/>
  <c r="H26" i="107"/>
  <c r="G26" i="107"/>
  <c r="F26" i="107"/>
  <c r="E26" i="107"/>
  <c r="D26" i="107"/>
  <c r="H25" i="107"/>
  <c r="D25" i="107"/>
  <c r="H24" i="107"/>
  <c r="G24" i="107"/>
  <c r="F24" i="107"/>
  <c r="D24" i="107"/>
  <c r="E23" i="107"/>
  <c r="D23" i="107"/>
  <c r="H22" i="107"/>
  <c r="G22" i="107"/>
  <c r="F22" i="107"/>
  <c r="D22" i="107"/>
  <c r="H21" i="107"/>
  <c r="G21" i="107"/>
  <c r="F21" i="107"/>
  <c r="D21" i="107"/>
  <c r="E20" i="107"/>
  <c r="D20" i="107"/>
  <c r="H19" i="107"/>
  <c r="G19" i="107"/>
  <c r="F19" i="107"/>
  <c r="D19" i="107"/>
  <c r="G18" i="107"/>
  <c r="E18" i="107"/>
  <c r="D18" i="107"/>
  <c r="G17" i="107"/>
  <c r="E17" i="107"/>
  <c r="D17" i="107"/>
  <c r="G16" i="107"/>
  <c r="E16" i="107"/>
  <c r="D16" i="107"/>
  <c r="H19" i="100"/>
  <c r="G19" i="100"/>
  <c r="F19" i="100"/>
  <c r="E19" i="100"/>
  <c r="D19" i="100"/>
  <c r="H18" i="100"/>
  <c r="G18" i="100"/>
  <c r="F18" i="100"/>
  <c r="E18" i="100"/>
  <c r="D18" i="100"/>
  <c r="H17" i="100"/>
  <c r="G17" i="100"/>
  <c r="F17" i="100"/>
  <c r="E17" i="100"/>
  <c r="D17" i="100"/>
  <c r="H16" i="100"/>
  <c r="G16" i="100"/>
  <c r="F16" i="100"/>
  <c r="E16" i="100"/>
  <c r="D16" i="100"/>
  <c r="H15" i="100"/>
  <c r="G15" i="100"/>
  <c r="F15" i="100"/>
  <c r="E15" i="100"/>
  <c r="D15" i="100"/>
  <c r="H14" i="100"/>
  <c r="G14" i="100"/>
  <c r="F14" i="100"/>
  <c r="E14" i="100"/>
  <c r="D14" i="100"/>
  <c r="L73" i="52"/>
  <c r="L71" i="52"/>
  <c r="K71" i="52"/>
  <c r="T40" i="52"/>
  <c r="T28" i="52"/>
  <c r="O28" i="52"/>
  <c r="N28" i="52"/>
  <c r="M28" i="52"/>
  <c r="L28" i="52"/>
  <c r="K28" i="52"/>
  <c r="J28" i="52"/>
  <c r="I28" i="52"/>
  <c r="H28" i="52"/>
  <c r="G28" i="52"/>
  <c r="F28" i="52"/>
  <c r="E28" i="52"/>
  <c r="D28" i="52"/>
  <c r="T22" i="52"/>
  <c r="O22" i="52"/>
  <c r="N22" i="52"/>
  <c r="M22" i="52"/>
  <c r="L22" i="52"/>
  <c r="K22" i="52"/>
  <c r="J22" i="52"/>
  <c r="I22" i="52"/>
  <c r="H22" i="52"/>
  <c r="G22" i="52"/>
  <c r="F22" i="52"/>
  <c r="E22" i="52"/>
  <c r="D22" i="52"/>
  <c r="T16" i="52"/>
  <c r="O16" i="52"/>
  <c r="N16" i="52"/>
  <c r="M16" i="52"/>
  <c r="L16" i="52"/>
  <c r="K16" i="52"/>
  <c r="J16" i="52"/>
  <c r="I16" i="52"/>
  <c r="H16" i="52"/>
  <c r="G16" i="52"/>
  <c r="F16" i="52"/>
  <c r="E16" i="52"/>
  <c r="D16" i="52"/>
  <c r="H64" i="54" l="1"/>
  <c r="H76" i="54"/>
  <c r="H70" i="54"/>
  <c r="G76" i="54" l="1"/>
  <c r="G64" i="54"/>
  <c r="F76" i="54"/>
  <c r="F70" i="54"/>
  <c r="F64" i="54"/>
  <c r="E70" i="54"/>
  <c r="E64" i="54"/>
  <c r="D76" i="54"/>
  <c r="D70" i="54"/>
  <c r="D64" i="54"/>
  <c r="G70" i="54" l="1"/>
  <c r="E76" i="54"/>
  <c r="D127" i="54"/>
  <c r="D129" i="54"/>
  <c r="D128" i="54"/>
  <c r="D226" i="54" l="1"/>
  <c r="D228" i="54" s="1"/>
  <c r="D219" i="54"/>
  <c r="D217" i="54"/>
  <c r="D216" i="54"/>
  <c r="D221" i="54"/>
  <c r="D220" i="54"/>
  <c r="D215" i="54"/>
  <c r="D213" i="54"/>
  <c r="D212" i="54"/>
  <c r="D211" i="54"/>
  <c r="D115" i="54"/>
  <c r="D109" i="54"/>
  <c r="D103" i="54"/>
  <c r="D131" i="54"/>
  <c r="D119" i="54"/>
  <c r="D118" i="54"/>
  <c r="D104" i="54"/>
  <c r="D105" i="54" l="1"/>
  <c r="D106" i="54"/>
  <c r="D116" i="54"/>
  <c r="D117" i="54"/>
  <c r="D107" i="54"/>
  <c r="D111" i="54"/>
  <c r="D112" i="54"/>
  <c r="D113" i="54"/>
  <c r="D110" i="54"/>
  <c r="S28" i="76"/>
  <c r="A1618" i="5" l="1"/>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J22" i="196" l="1"/>
  <c r="I22" i="196"/>
  <c r="B1618" i="5"/>
  <c r="B1617" i="5"/>
  <c r="B1616" i="5"/>
  <c r="B1615" i="5"/>
  <c r="B1614" i="5"/>
  <c r="B1613" i="5"/>
  <c r="B1612" i="5"/>
  <c r="B1611" i="5"/>
  <c r="B1610" i="5"/>
  <c r="B1609" i="5"/>
  <c r="B1608" i="5"/>
  <c r="B1607" i="5"/>
  <c r="J13" i="196"/>
  <c r="I13" i="196"/>
  <c r="J29" i="25"/>
  <c r="I29" i="2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J13" i="25"/>
  <c r="I13" i="25"/>
  <c r="J82" i="24"/>
  <c r="I82" i="24"/>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J13" i="24"/>
  <c r="I13" i="24"/>
  <c r="J29" i="23"/>
  <c r="I29" i="23"/>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J13" i="23"/>
  <c r="I13" i="23"/>
  <c r="J90" i="22"/>
  <c r="I90" i="22"/>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J13" i="22"/>
  <c r="I13" i="22"/>
  <c r="J36" i="21"/>
  <c r="I36" i="21"/>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J17" i="21"/>
  <c r="I17" i="21"/>
  <c r="J11" i="21"/>
  <c r="I11" i="21"/>
  <c r="J7" i="21"/>
  <c r="I7" i="21"/>
  <c r="J32" i="20"/>
  <c r="I32" i="20"/>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J17" i="20"/>
  <c r="I17" i="20"/>
  <c r="J11" i="20"/>
  <c r="I11" i="20"/>
  <c r="J7" i="20"/>
  <c r="I7" i="20"/>
  <c r="J36" i="19"/>
  <c r="I36" i="19"/>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J17" i="19"/>
  <c r="I17" i="19"/>
  <c r="J11" i="19"/>
  <c r="I11" i="19"/>
  <c r="J7" i="19"/>
  <c r="I7" i="19"/>
  <c r="J20" i="18"/>
  <c r="I20" i="18"/>
  <c r="B878" i="5"/>
  <c r="B877" i="5"/>
  <c r="B876" i="5"/>
  <c r="B875" i="5"/>
  <c r="B874" i="5"/>
  <c r="B873" i="5"/>
  <c r="J13" i="18"/>
  <c r="I13" i="18"/>
  <c r="J20" i="17"/>
  <c r="I20" i="17"/>
  <c r="B872" i="5"/>
  <c r="B871" i="5"/>
  <c r="B870" i="5"/>
  <c r="B869" i="5"/>
  <c r="B868" i="5"/>
  <c r="B867" i="5"/>
  <c r="J13" i="17"/>
  <c r="I13" i="17"/>
  <c r="J24" i="16"/>
  <c r="I24" i="16"/>
  <c r="B866" i="5"/>
  <c r="B865" i="5"/>
  <c r="B864" i="5"/>
  <c r="B863" i="5"/>
  <c r="B862" i="5"/>
  <c r="B861" i="5"/>
  <c r="B860" i="5"/>
  <c r="B859" i="5"/>
  <c r="B858" i="5"/>
  <c r="B857" i="5"/>
  <c r="J13" i="16"/>
  <c r="I13" i="16"/>
  <c r="J20" i="15"/>
  <c r="I20" i="15"/>
  <c r="B856" i="5"/>
  <c r="B855" i="5"/>
  <c r="B854" i="5"/>
  <c r="B853" i="5"/>
  <c r="J13" i="15"/>
  <c r="I13" i="15"/>
  <c r="J20" i="14"/>
  <c r="I20" i="14"/>
  <c r="B852" i="5"/>
  <c r="B851" i="5"/>
  <c r="B850" i="5"/>
  <c r="B849" i="5"/>
  <c r="J13" i="14"/>
  <c r="I13" i="14"/>
  <c r="J20" i="13"/>
  <c r="I20" i="13"/>
  <c r="B848" i="5"/>
  <c r="B847" i="5"/>
  <c r="B846" i="5"/>
  <c r="B845" i="5"/>
  <c r="J13" i="13"/>
  <c r="I13" i="13"/>
  <c r="J28" i="12"/>
  <c r="I28" i="12"/>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J13" i="12"/>
  <c r="I13" i="12"/>
  <c r="J79" i="11"/>
  <c r="I79" i="11"/>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J13" i="11"/>
  <c r="I13" i="11"/>
  <c r="J24" i="10"/>
  <c r="I24" i="10"/>
  <c r="B607" i="5"/>
  <c r="B606" i="5"/>
  <c r="B605" i="5"/>
  <c r="B604" i="5"/>
  <c r="B603" i="5"/>
  <c r="B602" i="5"/>
  <c r="B601" i="5"/>
  <c r="B600" i="5"/>
  <c r="B599" i="5"/>
  <c r="B598" i="5"/>
  <c r="B597" i="5"/>
  <c r="B596" i="5"/>
  <c r="B595" i="5"/>
  <c r="J13" i="10"/>
  <c r="I13" i="10"/>
  <c r="J63" i="9"/>
  <c r="I63" i="9"/>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J13" i="9"/>
  <c r="I13" i="9"/>
  <c r="J28" i="8"/>
  <c r="I28" i="8"/>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J13" i="8"/>
  <c r="I13" i="8"/>
  <c r="J87" i="7"/>
  <c r="I87" i="7"/>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J13" i="7"/>
  <c r="I13" i="7"/>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F46" i="2"/>
  <c r="E46" i="2"/>
  <c r="F44" i="2"/>
  <c r="E44" i="2"/>
  <c r="F40" i="2"/>
  <c r="F33" i="2"/>
  <c r="F31" i="2"/>
  <c r="E27" i="2"/>
  <c r="F22" i="2"/>
  <c r="E22" i="2"/>
  <c r="B106" i="5" s="1"/>
  <c r="M13" i="111" s="1"/>
  <c r="F20" i="2"/>
  <c r="F18" i="2"/>
  <c r="E18" i="2"/>
  <c r="F14" i="2"/>
  <c r="E14" i="2"/>
  <c r="F12" i="2"/>
  <c r="E12" i="2"/>
  <c r="F10" i="2"/>
  <c r="E10" i="2"/>
  <c r="B96" i="5" l="1"/>
  <c r="N12" i="101" s="1"/>
  <c r="B195" i="5"/>
  <c r="B193" i="5"/>
  <c r="B196" i="5"/>
  <c r="B191" i="5"/>
  <c r="B192" i="5"/>
  <c r="B194" i="5"/>
  <c r="B95" i="5"/>
  <c r="B80" i="5"/>
  <c r="B171" i="5"/>
  <c r="B177" i="5"/>
  <c r="B103" i="5"/>
  <c r="B6" i="5"/>
  <c r="B10" i="5"/>
  <c r="B133" i="5"/>
  <c r="B125" i="5"/>
  <c r="B46" i="5"/>
  <c r="B58" i="5"/>
  <c r="B81" i="5"/>
  <c r="B85" i="5"/>
  <c r="B87" i="5"/>
  <c r="B162" i="5"/>
  <c r="B168" i="5"/>
  <c r="B188" i="5"/>
  <c r="B88" i="5"/>
  <c r="B197" i="5"/>
  <c r="B25" i="5"/>
  <c r="B69" i="5"/>
  <c r="B136" i="5"/>
  <c r="B142" i="5"/>
  <c r="B117" i="5"/>
  <c r="B123" i="5"/>
  <c r="B129" i="5"/>
  <c r="B175" i="5"/>
  <c r="B41" i="5"/>
  <c r="B116" i="5"/>
  <c r="B139" i="5"/>
  <c r="B145" i="5"/>
  <c r="B72" i="5"/>
  <c r="B152" i="5"/>
  <c r="B16" i="5"/>
  <c r="B181" i="5"/>
  <c r="B102" i="5"/>
  <c r="B24" i="5"/>
  <c r="B36" i="5"/>
  <c r="B68" i="5"/>
  <c r="B73" i="5"/>
  <c r="B75" i="5"/>
  <c r="B91" i="5"/>
  <c r="B127" i="5"/>
  <c r="B150" i="5"/>
  <c r="B156" i="5"/>
  <c r="B19" i="5"/>
  <c r="B57" i="5"/>
  <c r="B63" i="5"/>
  <c r="B27" i="5"/>
  <c r="B52" i="5"/>
  <c r="B134" i="5"/>
  <c r="B12" i="5"/>
  <c r="B120" i="5"/>
  <c r="B98" i="5"/>
  <c r="B143" i="5"/>
  <c r="B158" i="5"/>
  <c r="B50" i="5"/>
  <c r="B40" i="5"/>
  <c r="B77" i="5"/>
  <c r="B99" i="5"/>
  <c r="B101" i="5"/>
  <c r="B141" i="5"/>
  <c r="B166" i="5"/>
  <c r="B170" i="5"/>
  <c r="B190" i="5"/>
  <c r="B35" i="5"/>
  <c r="B55" i="5"/>
  <c r="B60" i="5"/>
  <c r="B104" i="5"/>
  <c r="B160" i="5"/>
  <c r="B108" i="5"/>
  <c r="B174" i="5"/>
  <c r="B124" i="5"/>
  <c r="B94" i="5"/>
  <c r="B110" i="5"/>
  <c r="B128" i="5"/>
  <c r="B178" i="5"/>
  <c r="B28" i="5"/>
  <c r="B9" i="5"/>
  <c r="B186" i="5"/>
  <c r="B185" i="5"/>
  <c r="B131" i="5"/>
  <c r="B146" i="5"/>
  <c r="B107" i="5"/>
  <c r="B179" i="5"/>
  <c r="B17" i="5"/>
  <c r="B64" i="5"/>
  <c r="B89" i="5"/>
  <c r="B115" i="5"/>
  <c r="B138" i="5"/>
  <c r="B144" i="5"/>
  <c r="B163" i="5"/>
  <c r="B169" i="5"/>
  <c r="B23" i="5"/>
  <c r="B65" i="5"/>
  <c r="B154" i="5"/>
  <c r="B118" i="5"/>
  <c r="B130" i="5"/>
  <c r="B51" i="5"/>
  <c r="B39" i="5"/>
  <c r="B43" i="5"/>
  <c r="B113" i="5"/>
  <c r="B148" i="5"/>
  <c r="B76" i="5"/>
  <c r="B132" i="5"/>
  <c r="B84" i="5"/>
  <c r="B155" i="5"/>
  <c r="B44" i="5"/>
  <c r="B109" i="5"/>
  <c r="B182" i="5"/>
  <c r="B21" i="5"/>
  <c r="B18" i="5"/>
  <c r="B92" i="5"/>
  <c r="B114" i="5"/>
  <c r="B135" i="5"/>
  <c r="B153" i="5"/>
  <c r="B71" i="5"/>
  <c r="B2" i="5"/>
  <c r="B3" i="5"/>
  <c r="B26" i="5"/>
  <c r="B67" i="5"/>
  <c r="B78" i="5"/>
  <c r="B173" i="5"/>
  <c r="B176" i="5"/>
  <c r="B61" i="5"/>
  <c r="B48" i="5"/>
  <c r="B15" i="5"/>
  <c r="B119" i="5"/>
  <c r="B140" i="5"/>
  <c r="B32" i="5"/>
  <c r="B45" i="5"/>
  <c r="B112" i="5"/>
  <c r="B38" i="5"/>
  <c r="B42" i="5"/>
  <c r="B49" i="5"/>
  <c r="B79" i="5"/>
  <c r="B82" i="5"/>
  <c r="B86" i="5"/>
  <c r="B165" i="5"/>
  <c r="B47" i="5"/>
  <c r="N102" i="111"/>
  <c r="M102" i="111"/>
  <c r="N87" i="111"/>
  <c r="M87" i="111"/>
  <c r="N77" i="111"/>
  <c r="M77" i="111"/>
  <c r="N13" i="111"/>
  <c r="B122" i="5"/>
  <c r="B4" i="5"/>
  <c r="B53" i="5"/>
  <c r="B8" i="5"/>
  <c r="B13" i="5"/>
  <c r="B14" i="5"/>
  <c r="B31" i="5"/>
  <c r="B137" i="5"/>
  <c r="B149" i="5"/>
  <c r="B161" i="5"/>
  <c r="B180" i="5"/>
  <c r="B54" i="5"/>
  <c r="B34" i="5"/>
  <c r="B37" i="5"/>
  <c r="B66" i="5"/>
  <c r="B70" i="5"/>
  <c r="B74" i="5"/>
  <c r="B90" i="5"/>
  <c r="B121" i="5"/>
  <c r="B147" i="5"/>
  <c r="B164" i="5"/>
  <c r="B189" i="5"/>
  <c r="B59" i="5"/>
  <c r="B151" i="5"/>
  <c r="B157" i="5"/>
  <c r="B183" i="5"/>
  <c r="B5" i="5"/>
  <c r="B29" i="5"/>
  <c r="B7" i="5"/>
  <c r="B22" i="5"/>
  <c r="B105" i="5"/>
  <c r="B11" i="5"/>
  <c r="B184" i="5"/>
  <c r="B187" i="5"/>
  <c r="B30" i="5"/>
  <c r="B126" i="5"/>
  <c r="B97" i="5"/>
  <c r="B33" i="5"/>
  <c r="B93" i="5"/>
  <c r="B100" i="5"/>
  <c r="B111" i="5"/>
  <c r="B167" i="5"/>
  <c r="B172" i="5"/>
  <c r="B56" i="5"/>
  <c r="B62" i="5"/>
  <c r="B83" i="5"/>
  <c r="B159" i="5"/>
  <c r="B20" i="5"/>
  <c r="M19" i="101" l="1"/>
  <c r="N19" i="101"/>
  <c r="M12" i="101"/>
  <c r="N27" i="131"/>
  <c r="N11" i="131"/>
  <c r="N23" i="131"/>
  <c r="N7" i="131"/>
  <c r="N45" i="131"/>
  <c r="O16" i="131"/>
  <c r="O45" i="131"/>
  <c r="N16" i="131"/>
  <c r="O33" i="131"/>
  <c r="O11" i="131"/>
  <c r="N33" i="131"/>
  <c r="O7" i="131"/>
  <c r="O27" i="131"/>
  <c r="O19" i="131"/>
  <c r="O23" i="131"/>
  <c r="N19" i="131"/>
  <c r="L111" i="37"/>
  <c r="K111" i="37"/>
  <c r="L15" i="37"/>
  <c r="K15" i="37"/>
  <c r="L49" i="135"/>
  <c r="L25" i="135"/>
  <c r="M15" i="135"/>
  <c r="L15" i="135"/>
  <c r="M12" i="135"/>
  <c r="L12" i="135"/>
  <c r="M49" i="135"/>
  <c r="M25" i="135"/>
  <c r="J106" i="40"/>
  <c r="K15" i="40"/>
  <c r="J15" i="40"/>
  <c r="K106" i="40"/>
  <c r="AA74" i="51"/>
  <c r="AB14" i="51"/>
  <c r="AA14" i="51"/>
  <c r="AB128" i="51"/>
  <c r="AA128" i="51"/>
  <c r="AB85" i="51"/>
  <c r="AA85" i="51"/>
  <c r="AB74" i="51"/>
  <c r="O28" i="42"/>
  <c r="P25" i="42"/>
  <c r="O25" i="42"/>
  <c r="P40" i="42"/>
  <c r="P16" i="42"/>
  <c r="O40" i="42"/>
  <c r="O16" i="42"/>
  <c r="P37" i="42"/>
  <c r="P12" i="42"/>
  <c r="O37" i="42"/>
  <c r="O12" i="42"/>
  <c r="P28" i="42"/>
  <c r="M40" i="97"/>
  <c r="M7" i="97"/>
  <c r="N40" i="97"/>
  <c r="N15" i="97"/>
  <c r="M15" i="97"/>
  <c r="N10" i="97"/>
  <c r="M10" i="97"/>
  <c r="N7" i="97"/>
  <c r="K61" i="123"/>
  <c r="J61" i="123"/>
  <c r="K34" i="123"/>
  <c r="J34" i="123"/>
  <c r="K76" i="123"/>
  <c r="K23" i="123"/>
  <c r="K70" i="123"/>
  <c r="K12" i="123"/>
  <c r="J76" i="123"/>
  <c r="J70" i="123"/>
  <c r="J23" i="123"/>
  <c r="J12" i="123"/>
  <c r="L101" i="120"/>
  <c r="L81" i="120"/>
  <c r="L65" i="120"/>
  <c r="L33" i="120"/>
  <c r="L10" i="120"/>
  <c r="K101" i="120"/>
  <c r="K81" i="120"/>
  <c r="K65" i="120"/>
  <c r="K33" i="120"/>
  <c r="K10" i="120"/>
  <c r="L98" i="120"/>
  <c r="L78" i="120"/>
  <c r="L62" i="120"/>
  <c r="L30" i="120"/>
  <c r="L7" i="120"/>
  <c r="K98" i="120"/>
  <c r="K78" i="120"/>
  <c r="K62" i="120"/>
  <c r="K30" i="120"/>
  <c r="K7" i="120"/>
  <c r="L116" i="120"/>
  <c r="L94" i="120"/>
  <c r="L74" i="120"/>
  <c r="L58" i="120"/>
  <c r="L26" i="120"/>
  <c r="L107" i="120"/>
  <c r="L87" i="120"/>
  <c r="L70" i="120"/>
  <c r="L39" i="120"/>
  <c r="L15" i="120"/>
  <c r="K116" i="120"/>
  <c r="K26" i="120"/>
  <c r="K107" i="120"/>
  <c r="K15" i="120"/>
  <c r="K94" i="120"/>
  <c r="K87" i="120"/>
  <c r="K74" i="120"/>
  <c r="K70" i="120"/>
  <c r="K58" i="120"/>
  <c r="K39" i="120"/>
  <c r="J12" i="190"/>
  <c r="I12" i="190"/>
  <c r="I16" i="190"/>
  <c r="J16" i="190"/>
  <c r="O15" i="129"/>
  <c r="O12" i="129"/>
  <c r="P53" i="129"/>
  <c r="O53" i="129"/>
  <c r="P25" i="129"/>
  <c r="P15" i="129"/>
  <c r="O25" i="129"/>
  <c r="P12" i="129"/>
  <c r="M27" i="195"/>
  <c r="L27" i="195"/>
  <c r="M18" i="195"/>
  <c r="L18" i="195"/>
  <c r="M31" i="195"/>
  <c r="L31" i="195"/>
  <c r="M12" i="195"/>
  <c r="L12" i="195"/>
  <c r="O37" i="55"/>
  <c r="N37" i="55"/>
  <c r="O13" i="55"/>
  <c r="N13" i="55"/>
  <c r="T48" i="80"/>
  <c r="T24" i="80"/>
  <c r="U39" i="80"/>
  <c r="U15" i="80"/>
  <c r="T39" i="80"/>
  <c r="T15" i="80"/>
  <c r="U36" i="80"/>
  <c r="U12" i="80"/>
  <c r="U51" i="80"/>
  <c r="U27" i="80"/>
  <c r="T51" i="80"/>
  <c r="T27" i="80"/>
  <c r="T12" i="80"/>
  <c r="U48" i="80"/>
  <c r="T36" i="80"/>
  <c r="U24" i="80"/>
  <c r="J7" i="157"/>
  <c r="I7" i="157"/>
  <c r="J40" i="157"/>
  <c r="I40" i="157"/>
  <c r="J18" i="157"/>
  <c r="I18" i="157"/>
  <c r="J12" i="157"/>
  <c r="I12" i="157"/>
  <c r="O55" i="128"/>
  <c r="O15" i="128"/>
  <c r="O51" i="128"/>
  <c r="O12" i="128"/>
  <c r="P74" i="128"/>
  <c r="P25" i="128"/>
  <c r="O74" i="128"/>
  <c r="O25" i="128"/>
  <c r="P65" i="128"/>
  <c r="P15" i="128"/>
  <c r="O65" i="128"/>
  <c r="P12" i="128"/>
  <c r="P55" i="128"/>
  <c r="P42" i="128"/>
  <c r="P51" i="128"/>
  <c r="O42" i="128"/>
  <c r="P15" i="193"/>
  <c r="O15" i="193"/>
  <c r="P12" i="193"/>
  <c r="O12" i="193"/>
  <c r="N91" i="130"/>
  <c r="N70" i="130"/>
  <c r="N53" i="130"/>
  <c r="N27" i="130"/>
  <c r="N11" i="130"/>
  <c r="N87" i="130"/>
  <c r="N66" i="130"/>
  <c r="N49" i="130"/>
  <c r="N23" i="130"/>
  <c r="N7" i="130"/>
  <c r="O91" i="130"/>
  <c r="O62" i="130"/>
  <c r="O33" i="130"/>
  <c r="O11" i="130"/>
  <c r="O87" i="130"/>
  <c r="N62" i="130"/>
  <c r="N33" i="130"/>
  <c r="O7" i="130"/>
  <c r="O83" i="130"/>
  <c r="O58" i="130"/>
  <c r="O27" i="130"/>
  <c r="N83" i="130"/>
  <c r="N58" i="130"/>
  <c r="O23" i="130"/>
  <c r="O106" i="130"/>
  <c r="O76" i="130"/>
  <c r="O53" i="130"/>
  <c r="O19" i="130"/>
  <c r="O97" i="130"/>
  <c r="O70" i="130"/>
  <c r="O45" i="130"/>
  <c r="O16" i="130"/>
  <c r="N106" i="130"/>
  <c r="N97" i="130"/>
  <c r="N76" i="130"/>
  <c r="O66" i="130"/>
  <c r="O49" i="130"/>
  <c r="N45" i="130"/>
  <c r="N19" i="130"/>
  <c r="N16" i="130"/>
  <c r="P12" i="61"/>
  <c r="Q15" i="61"/>
  <c r="P15" i="61"/>
  <c r="Q12" i="61"/>
  <c r="P134" i="119"/>
  <c r="P103" i="119"/>
  <c r="P79" i="119"/>
  <c r="P55" i="119"/>
  <c r="P27" i="119"/>
  <c r="O134" i="119"/>
  <c r="O103" i="119"/>
  <c r="O79" i="119"/>
  <c r="O55" i="119"/>
  <c r="O27" i="119"/>
  <c r="P125" i="119"/>
  <c r="P100" i="119"/>
  <c r="P76" i="119"/>
  <c r="P49" i="119"/>
  <c r="P24" i="119"/>
  <c r="O125" i="119"/>
  <c r="O100" i="119"/>
  <c r="O76" i="119"/>
  <c r="O49" i="119"/>
  <c r="O24" i="119"/>
  <c r="P147" i="119"/>
  <c r="P115" i="119"/>
  <c r="P91" i="119"/>
  <c r="P67" i="119"/>
  <c r="P40" i="119"/>
  <c r="P15" i="119"/>
  <c r="P143" i="119"/>
  <c r="P112" i="119"/>
  <c r="P88" i="119"/>
  <c r="P64" i="119"/>
  <c r="P36" i="119"/>
  <c r="P12" i="119"/>
  <c r="O67" i="119"/>
  <c r="O64" i="119"/>
  <c r="O147" i="119"/>
  <c r="O40" i="119"/>
  <c r="O143" i="119"/>
  <c r="O36" i="119"/>
  <c r="O115" i="119"/>
  <c r="O15" i="119"/>
  <c r="O112" i="119"/>
  <c r="O12" i="119"/>
  <c r="O91" i="119"/>
  <c r="O88" i="119"/>
  <c r="Q15" i="45"/>
  <c r="R12" i="45"/>
  <c r="Q12" i="45"/>
  <c r="R15" i="45"/>
  <c r="J107" i="35"/>
  <c r="K19" i="35"/>
  <c r="J19" i="35"/>
  <c r="K11" i="35"/>
  <c r="J11" i="35"/>
  <c r="K7" i="35"/>
  <c r="J7" i="35"/>
  <c r="K107" i="35"/>
  <c r="AA16" i="87"/>
  <c r="AB81" i="87"/>
  <c r="AA81" i="87"/>
  <c r="AB16" i="87"/>
  <c r="Y54" i="172"/>
  <c r="Y30" i="172"/>
  <c r="Y15" i="172"/>
  <c r="X54" i="172"/>
  <c r="X30" i="172"/>
  <c r="X15" i="172"/>
  <c r="Y45" i="172"/>
  <c r="Y25" i="172"/>
  <c r="Y10" i="172"/>
  <c r="X45" i="172"/>
  <c r="X25" i="172"/>
  <c r="X10" i="172"/>
  <c r="X57" i="172"/>
  <c r="X18" i="172"/>
  <c r="Y42" i="172"/>
  <c r="Y7" i="172"/>
  <c r="X42" i="172"/>
  <c r="X7" i="172"/>
  <c r="Y33" i="172"/>
  <c r="X33" i="172"/>
  <c r="Y22" i="172"/>
  <c r="Y57" i="172"/>
  <c r="X22" i="172"/>
  <c r="Y18" i="172"/>
  <c r="J12" i="192"/>
  <c r="I12" i="192"/>
  <c r="J17" i="192"/>
  <c r="I17" i="192"/>
  <c r="AC12" i="188"/>
  <c r="AB12" i="188"/>
  <c r="AC15" i="188"/>
  <c r="AB15" i="188"/>
  <c r="K119" i="169"/>
  <c r="K89" i="169"/>
  <c r="K50" i="169"/>
  <c r="K12" i="169"/>
  <c r="J119" i="169"/>
  <c r="J89" i="169"/>
  <c r="J50" i="169"/>
  <c r="J12" i="169"/>
  <c r="K110" i="169"/>
  <c r="K80" i="169"/>
  <c r="K41" i="169"/>
  <c r="J110" i="169"/>
  <c r="J80" i="169"/>
  <c r="J41" i="169"/>
  <c r="J93" i="169"/>
  <c r="J27" i="169"/>
  <c r="K75" i="169"/>
  <c r="J75" i="169"/>
  <c r="K124" i="169"/>
  <c r="K66" i="169"/>
  <c r="J124" i="169"/>
  <c r="J66" i="169"/>
  <c r="K102" i="169"/>
  <c r="K36" i="169"/>
  <c r="J102" i="169"/>
  <c r="K93" i="169"/>
  <c r="J36" i="169"/>
  <c r="K27" i="169"/>
  <c r="L106" i="39"/>
  <c r="K106" i="39"/>
  <c r="L15" i="39"/>
  <c r="K15" i="39"/>
  <c r="T12" i="84"/>
  <c r="U15" i="84"/>
  <c r="T15" i="84"/>
  <c r="U12" i="84"/>
  <c r="J115" i="124"/>
  <c r="J91" i="124"/>
  <c r="J69" i="124"/>
  <c r="J51" i="124"/>
  <c r="J28" i="124"/>
  <c r="J106" i="124"/>
  <c r="J84" i="124"/>
  <c r="J65" i="124"/>
  <c r="J43" i="124"/>
  <c r="J17" i="124"/>
  <c r="K100" i="124"/>
  <c r="K73" i="124"/>
  <c r="K51" i="124"/>
  <c r="K12" i="124"/>
  <c r="J100" i="124"/>
  <c r="J73" i="124"/>
  <c r="K43" i="124"/>
  <c r="J12" i="124"/>
  <c r="K95" i="124"/>
  <c r="K69" i="124"/>
  <c r="K37" i="124"/>
  <c r="K7" i="124"/>
  <c r="J95" i="124"/>
  <c r="K65" i="124"/>
  <c r="J37" i="124"/>
  <c r="J7" i="124"/>
  <c r="K91" i="124"/>
  <c r="K60" i="124"/>
  <c r="K32" i="124"/>
  <c r="K115" i="124"/>
  <c r="K78" i="124"/>
  <c r="K55" i="124"/>
  <c r="K28" i="124"/>
  <c r="J60" i="124"/>
  <c r="J55" i="124"/>
  <c r="J32" i="124"/>
  <c r="K17" i="124"/>
  <c r="K106" i="124"/>
  <c r="K84" i="124"/>
  <c r="J78" i="124"/>
  <c r="K103" i="31"/>
  <c r="J103" i="31"/>
  <c r="K15" i="31"/>
  <c r="J15" i="31"/>
  <c r="M15" i="81"/>
  <c r="L15" i="81"/>
  <c r="M12" i="81"/>
  <c r="L12" i="81"/>
  <c r="T108" i="159"/>
  <c r="T92" i="159"/>
  <c r="T59" i="159"/>
  <c r="T41" i="159"/>
  <c r="T25" i="159"/>
  <c r="T7" i="159"/>
  <c r="S108" i="159"/>
  <c r="S92" i="159"/>
  <c r="S59" i="159"/>
  <c r="S41" i="159"/>
  <c r="S25" i="159"/>
  <c r="S7" i="159"/>
  <c r="T124" i="159"/>
  <c r="T104" i="159"/>
  <c r="T88" i="159"/>
  <c r="T55" i="159"/>
  <c r="T37" i="159"/>
  <c r="T21" i="159"/>
  <c r="S124" i="159"/>
  <c r="S104" i="159"/>
  <c r="S88" i="159"/>
  <c r="S55" i="159"/>
  <c r="S37" i="159"/>
  <c r="S21" i="159"/>
  <c r="T95" i="159"/>
  <c r="T45" i="159"/>
  <c r="T10" i="159"/>
  <c r="S95" i="159"/>
  <c r="S45" i="159"/>
  <c r="S10" i="159"/>
  <c r="T116" i="159"/>
  <c r="T68" i="159"/>
  <c r="T33" i="159"/>
  <c r="S116" i="159"/>
  <c r="S68" i="159"/>
  <c r="S33" i="159"/>
  <c r="T111" i="159"/>
  <c r="T62" i="159"/>
  <c r="T28" i="159"/>
  <c r="S111" i="159"/>
  <c r="S62" i="159"/>
  <c r="S28" i="159"/>
  <c r="T100" i="159"/>
  <c r="S100" i="159"/>
  <c r="T51" i="159"/>
  <c r="S51" i="159"/>
  <c r="T16" i="159"/>
  <c r="S16" i="159"/>
  <c r="AO19" i="94"/>
  <c r="AP11" i="94"/>
  <c r="AO11" i="94"/>
  <c r="AP7" i="94"/>
  <c r="AO7" i="94"/>
  <c r="AP40" i="94"/>
  <c r="AO40" i="94"/>
  <c r="AP19" i="94"/>
  <c r="J16" i="191"/>
  <c r="I16" i="191"/>
  <c r="J12" i="191"/>
  <c r="I12" i="191"/>
  <c r="AN16" i="179"/>
  <c r="AM16" i="179"/>
  <c r="AN13" i="179"/>
  <c r="AM13" i="179"/>
  <c r="U24" i="175"/>
  <c r="T24" i="175"/>
  <c r="U15" i="175"/>
  <c r="T15" i="175"/>
  <c r="U27" i="175"/>
  <c r="T27" i="175"/>
  <c r="U12" i="175"/>
  <c r="T12" i="175"/>
  <c r="AA813" i="163"/>
  <c r="AA795" i="163"/>
  <c r="AA775" i="163"/>
  <c r="AA756" i="163"/>
  <c r="AA737" i="163"/>
  <c r="AA718" i="163"/>
  <c r="AA669" i="163"/>
  <c r="AA620" i="163"/>
  <c r="AA568" i="163"/>
  <c r="AA543" i="163"/>
  <c r="AA523" i="163"/>
  <c r="AA505" i="163"/>
  <c r="AA485" i="163"/>
  <c r="AA465" i="163"/>
  <c r="AA442" i="163"/>
  <c r="AA424" i="163"/>
  <c r="AA406" i="163"/>
  <c r="AA386" i="163"/>
  <c r="AA368" i="163"/>
  <c r="AA351" i="163"/>
  <c r="AA334" i="163"/>
  <c r="AA316" i="163"/>
  <c r="AA295" i="163"/>
  <c r="AA243" i="163"/>
  <c r="AA188" i="163"/>
  <c r="AA127" i="163"/>
  <c r="AA63" i="163"/>
  <c r="AA18" i="163"/>
  <c r="Z813" i="163"/>
  <c r="Z795" i="163"/>
  <c r="Z775" i="163"/>
  <c r="Z756" i="163"/>
  <c r="Z737" i="163"/>
  <c r="Z718" i="163"/>
  <c r="Z669" i="163"/>
  <c r="Z620" i="163"/>
  <c r="Z568" i="163"/>
  <c r="Z543" i="163"/>
  <c r="Z523" i="163"/>
  <c r="Z505" i="163"/>
  <c r="Z485" i="163"/>
  <c r="Z465" i="163"/>
  <c r="Z442" i="163"/>
  <c r="Z424" i="163"/>
  <c r="Z406" i="163"/>
  <c r="Z386" i="163"/>
  <c r="Z368" i="163"/>
  <c r="Z351" i="163"/>
  <c r="Z334" i="163"/>
  <c r="Z316" i="163"/>
  <c r="Z295" i="163"/>
  <c r="Z243" i="163"/>
  <c r="Z188" i="163"/>
  <c r="Z127" i="163"/>
  <c r="Z63" i="163"/>
  <c r="Z18" i="163"/>
  <c r="AA808" i="163"/>
  <c r="AA790" i="163"/>
  <c r="AA769" i="163"/>
  <c r="AA750" i="163"/>
  <c r="AA731" i="163"/>
  <c r="AA712" i="163"/>
  <c r="AA663" i="163"/>
  <c r="AA614" i="163"/>
  <c r="AA562" i="163"/>
  <c r="AA537" i="163"/>
  <c r="AA517" i="163"/>
  <c r="AA499" i="163"/>
  <c r="AA479" i="163"/>
  <c r="AA459" i="163"/>
  <c r="AA436" i="163"/>
  <c r="AA418" i="163"/>
  <c r="AA400" i="163"/>
  <c r="AA380" i="163"/>
  <c r="AA363" i="163"/>
  <c r="AA346" i="163"/>
  <c r="AA328" i="163"/>
  <c r="AA310" i="163"/>
  <c r="AA289" i="163"/>
  <c r="AA237" i="163"/>
  <c r="AA182" i="163"/>
  <c r="AA121" i="163"/>
  <c r="AA57" i="163"/>
  <c r="AA11" i="163"/>
  <c r="Z808" i="163"/>
  <c r="Z790" i="163"/>
  <c r="Z769" i="163"/>
  <c r="Z750" i="163"/>
  <c r="Z731" i="163"/>
  <c r="Z712" i="163"/>
  <c r="Z663" i="163"/>
  <c r="Z614" i="163"/>
  <c r="Z562" i="163"/>
  <c r="Z537" i="163"/>
  <c r="Z517" i="163"/>
  <c r="Z499" i="163"/>
  <c r="Z479" i="163"/>
  <c r="Z459" i="163"/>
  <c r="Z436" i="163"/>
  <c r="Z418" i="163"/>
  <c r="Z400" i="163"/>
  <c r="Z380" i="163"/>
  <c r="Z363" i="163"/>
  <c r="Z346" i="163"/>
  <c r="Z328" i="163"/>
  <c r="Z310" i="163"/>
  <c r="Z289" i="163"/>
  <c r="Z237" i="163"/>
  <c r="Z182" i="163"/>
  <c r="Z121" i="163"/>
  <c r="Z57" i="163"/>
  <c r="Z11" i="163"/>
  <c r="Z817" i="163"/>
  <c r="Z782" i="163"/>
  <c r="Z742" i="163"/>
  <c r="Z704" i="163"/>
  <c r="Z606" i="163"/>
  <c r="Z529" i="163"/>
  <c r="Z491" i="163"/>
  <c r="Z451" i="163"/>
  <c r="Z410" i="163"/>
  <c r="Z372" i="163"/>
  <c r="Z338" i="163"/>
  <c r="Z302" i="163"/>
  <c r="Z229" i="163"/>
  <c r="Z113" i="163"/>
  <c r="AA804" i="163"/>
  <c r="AA765" i="163"/>
  <c r="AA727" i="163"/>
  <c r="AA659" i="163"/>
  <c r="AA558" i="163"/>
  <c r="AA513" i="163"/>
  <c r="AA475" i="163"/>
  <c r="AA432" i="163"/>
  <c r="AA396" i="163"/>
  <c r="AA359" i="163"/>
  <c r="AA324" i="163"/>
  <c r="AA285" i="163"/>
  <c r="AA178" i="163"/>
  <c r="AA53" i="163"/>
  <c r="Z804" i="163"/>
  <c r="Z765" i="163"/>
  <c r="Z727" i="163"/>
  <c r="Z659" i="163"/>
  <c r="Z558" i="163"/>
  <c r="Z513" i="163"/>
  <c r="Z475" i="163"/>
  <c r="Z432" i="163"/>
  <c r="Z396" i="163"/>
  <c r="Z359" i="163"/>
  <c r="Z324" i="163"/>
  <c r="Z285" i="163"/>
  <c r="Z178" i="163"/>
  <c r="Z53" i="163"/>
  <c r="AA800" i="163"/>
  <c r="AA761" i="163"/>
  <c r="AA723" i="163"/>
  <c r="AA655" i="163"/>
  <c r="AA554" i="163"/>
  <c r="AA509" i="163"/>
  <c r="AA471" i="163"/>
  <c r="AA428" i="163"/>
  <c r="AA392" i="163"/>
  <c r="AA355" i="163"/>
  <c r="AA320" i="163"/>
  <c r="AA281" i="163"/>
  <c r="AA174" i="163"/>
  <c r="AA49" i="163"/>
  <c r="Z800" i="163"/>
  <c r="Z761" i="163"/>
  <c r="Z723" i="163"/>
  <c r="Z655" i="163"/>
  <c r="Z554" i="163"/>
  <c r="Z509" i="163"/>
  <c r="Z471" i="163"/>
  <c r="Z428" i="163"/>
  <c r="Z392" i="163"/>
  <c r="Z355" i="163"/>
  <c r="Z320" i="163"/>
  <c r="Z281" i="163"/>
  <c r="Z174" i="163"/>
  <c r="Z49" i="163"/>
  <c r="AA786" i="163"/>
  <c r="AA746" i="163"/>
  <c r="AA708" i="163"/>
  <c r="AA610" i="163"/>
  <c r="AA533" i="163"/>
  <c r="AA495" i="163"/>
  <c r="AA455" i="163"/>
  <c r="AA414" i="163"/>
  <c r="AA376" i="163"/>
  <c r="AA342" i="163"/>
  <c r="AA782" i="163"/>
  <c r="AA529" i="163"/>
  <c r="AA372" i="163"/>
  <c r="AA229" i="163"/>
  <c r="Z746" i="163"/>
  <c r="Z495" i="163"/>
  <c r="Z342" i="163"/>
  <c r="AA117" i="163"/>
  <c r="AA742" i="163"/>
  <c r="AA491" i="163"/>
  <c r="AA338" i="163"/>
  <c r="Z117" i="163"/>
  <c r="Z708" i="163"/>
  <c r="Z455" i="163"/>
  <c r="AA306" i="163"/>
  <c r="AA113" i="163"/>
  <c r="AA704" i="163"/>
  <c r="AA451" i="163"/>
  <c r="Z306" i="163"/>
  <c r="AA7" i="163"/>
  <c r="Z610" i="163"/>
  <c r="Z414" i="163"/>
  <c r="AA302" i="163"/>
  <c r="Z7" i="163"/>
  <c r="AA410" i="163"/>
  <c r="Z376" i="163"/>
  <c r="AA233" i="163"/>
  <c r="Z233" i="163"/>
  <c r="AA817" i="163"/>
  <c r="Z786" i="163"/>
  <c r="AA606" i="163"/>
  <c r="Z533" i="163"/>
  <c r="AH12" i="68"/>
  <c r="AI27" i="68"/>
  <c r="AH27" i="68"/>
  <c r="AI24" i="68"/>
  <c r="AI15" i="68"/>
  <c r="AH15" i="68"/>
  <c r="AH24" i="68"/>
  <c r="AI12" i="68"/>
  <c r="U12" i="78"/>
  <c r="V31" i="78"/>
  <c r="U31" i="78"/>
  <c r="V27" i="78"/>
  <c r="V18" i="78"/>
  <c r="U18" i="78"/>
  <c r="U27" i="78"/>
  <c r="V12" i="78"/>
  <c r="AA7" i="77"/>
  <c r="AB34" i="77"/>
  <c r="AA34" i="77"/>
  <c r="AB18" i="77"/>
  <c r="AB11" i="77"/>
  <c r="AA11" i="77"/>
  <c r="AA18" i="77"/>
  <c r="AB7" i="77"/>
  <c r="BA15" i="173"/>
  <c r="AZ15" i="173"/>
  <c r="BA12" i="173"/>
  <c r="AZ12" i="173"/>
  <c r="J17" i="138"/>
  <c r="I17" i="138"/>
  <c r="J12" i="138"/>
  <c r="I12" i="138"/>
  <c r="L35" i="199"/>
  <c r="K35" i="199"/>
  <c r="L32" i="199"/>
  <c r="K32" i="199"/>
  <c r="L47" i="199"/>
  <c r="L23" i="199"/>
  <c r="K47" i="199"/>
  <c r="K23" i="199"/>
  <c r="K44" i="199"/>
  <c r="K13" i="199"/>
  <c r="L44" i="199"/>
  <c r="L13" i="199"/>
  <c r="I98" i="34"/>
  <c r="J15" i="34"/>
  <c r="I15" i="34"/>
  <c r="J98" i="34"/>
  <c r="O58" i="143"/>
  <c r="O68" i="143"/>
  <c r="N51" i="143"/>
  <c r="N35" i="143"/>
  <c r="N68" i="143"/>
  <c r="O47" i="143"/>
  <c r="O16" i="143"/>
  <c r="O63" i="143"/>
  <c r="N47" i="143"/>
  <c r="N16" i="143"/>
  <c r="N63" i="143"/>
  <c r="O42" i="143"/>
  <c r="O10" i="143"/>
  <c r="N58" i="143"/>
  <c r="N42" i="143"/>
  <c r="N10" i="143"/>
  <c r="N39" i="143"/>
  <c r="O35" i="143"/>
  <c r="O7" i="143"/>
  <c r="N7" i="143"/>
  <c r="O55" i="143"/>
  <c r="N55" i="143"/>
  <c r="O51" i="143"/>
  <c r="O39" i="143"/>
  <c r="Y15" i="96"/>
  <c r="X15" i="96"/>
  <c r="Y12" i="96"/>
  <c r="X12" i="96"/>
  <c r="X15" i="85"/>
  <c r="W15" i="85"/>
  <c r="X12" i="85"/>
  <c r="W12" i="85"/>
  <c r="J13" i="194"/>
  <c r="I13" i="194"/>
  <c r="I21" i="194"/>
  <c r="J21" i="194"/>
  <c r="AB15" i="72"/>
  <c r="AA15" i="72"/>
  <c r="AB12" i="72"/>
  <c r="AA12" i="72"/>
  <c r="N33" i="116"/>
  <c r="M33" i="116"/>
  <c r="N26" i="116"/>
  <c r="M26" i="116"/>
  <c r="N16" i="116"/>
  <c r="N12" i="116"/>
  <c r="M16" i="116"/>
  <c r="M12" i="116"/>
  <c r="J17" i="189"/>
  <c r="I17" i="189"/>
  <c r="J12" i="189"/>
  <c r="I12" i="189"/>
  <c r="AA701" i="162"/>
  <c r="AA671" i="162"/>
  <c r="AA641" i="162"/>
  <c r="AA581" i="162"/>
  <c r="AA488" i="162"/>
  <c r="AA451" i="162"/>
  <c r="AA421" i="162"/>
  <c r="AA386" i="162"/>
  <c r="AA358" i="162"/>
  <c r="AA328" i="162"/>
  <c r="Z701" i="162"/>
  <c r="Z671" i="162"/>
  <c r="Z641" i="162"/>
  <c r="Z581" i="162"/>
  <c r="Z488" i="162"/>
  <c r="Z451" i="162"/>
  <c r="Z421" i="162"/>
  <c r="Z386" i="162"/>
  <c r="Z358" i="162"/>
  <c r="Z328" i="162"/>
  <c r="Z302" i="162"/>
  <c r="Z271" i="162"/>
  <c r="Z172" i="162"/>
  <c r="AA692" i="162"/>
  <c r="AA661" i="162"/>
  <c r="AA631" i="162"/>
  <c r="AA571" i="162"/>
  <c r="AA478" i="162"/>
  <c r="AA441" i="162"/>
  <c r="Z692" i="162"/>
  <c r="Z661" i="162"/>
  <c r="Z631" i="162"/>
  <c r="Z571" i="162"/>
  <c r="Z478" i="162"/>
  <c r="Z441" i="162"/>
  <c r="Z411" i="162"/>
  <c r="Z376" i="162"/>
  <c r="Z348" i="162"/>
  <c r="Z319" i="162"/>
  <c r="Z292" i="162"/>
  <c r="Z261" i="162"/>
  <c r="Z162" i="162"/>
  <c r="Z45" i="162"/>
  <c r="Z705" i="162"/>
  <c r="Z646" i="162"/>
  <c r="Z526" i="162"/>
  <c r="Z427" i="162"/>
  <c r="Z372" i="162"/>
  <c r="AA319" i="162"/>
  <c r="AA687" i="162"/>
  <c r="AA626" i="162"/>
  <c r="AA467" i="162"/>
  <c r="AA411" i="162"/>
  <c r="AA362" i="162"/>
  <c r="AA315" i="162"/>
  <c r="AA278" i="162"/>
  <c r="AA172" i="162"/>
  <c r="AA45" i="162"/>
  <c r="Z687" i="162"/>
  <c r="Z626" i="162"/>
  <c r="Z467" i="162"/>
  <c r="AA405" i="162"/>
  <c r="Z362" i="162"/>
  <c r="Z315" i="162"/>
  <c r="Z278" i="162"/>
  <c r="AA162" i="162"/>
  <c r="AA14" i="162"/>
  <c r="AA678" i="162"/>
  <c r="AA616" i="162"/>
  <c r="AA457" i="162"/>
  <c r="Z405" i="162"/>
  <c r="AA348" i="162"/>
  <c r="AA306" i="162"/>
  <c r="AA271" i="162"/>
  <c r="AA115" i="162"/>
  <c r="Z14" i="162"/>
  <c r="Z678" i="162"/>
  <c r="Z616" i="162"/>
  <c r="Z457" i="162"/>
  <c r="AA395" i="162"/>
  <c r="AA342" i="162"/>
  <c r="Z306" i="162"/>
  <c r="AA261" i="162"/>
  <c r="Z115" i="162"/>
  <c r="Z656" i="162"/>
  <c r="Z395" i="162"/>
  <c r="AA288" i="162"/>
  <c r="AA55" i="162"/>
  <c r="AA646" i="162"/>
  <c r="AA376" i="162"/>
  <c r="Z288" i="162"/>
  <c r="Z55" i="162"/>
  <c r="AA536" i="162"/>
  <c r="AA372" i="162"/>
  <c r="AA223" i="162"/>
  <c r="Z536" i="162"/>
  <c r="Z342" i="162"/>
  <c r="Z223" i="162"/>
  <c r="AA526" i="162"/>
  <c r="AA332" i="162"/>
  <c r="AA213" i="162"/>
  <c r="AA437" i="162"/>
  <c r="Z332" i="162"/>
  <c r="Z213" i="162"/>
  <c r="AA302" i="162"/>
  <c r="AA292" i="162"/>
  <c r="AA105" i="162"/>
  <c r="Z105" i="162"/>
  <c r="AA705" i="162"/>
  <c r="AA656" i="162"/>
  <c r="Z437" i="162"/>
  <c r="AA427" i="162"/>
  <c r="T101" i="152"/>
  <c r="S96" i="152"/>
  <c r="S78" i="152"/>
  <c r="S62" i="152"/>
  <c r="S45" i="152"/>
  <c r="S16" i="152"/>
  <c r="T91" i="152"/>
  <c r="T73" i="152"/>
  <c r="T56" i="152"/>
  <c r="T40" i="152"/>
  <c r="T10" i="152"/>
  <c r="S91" i="152"/>
  <c r="S73" i="152"/>
  <c r="S56" i="152"/>
  <c r="S40" i="152"/>
  <c r="S10" i="152"/>
  <c r="T88" i="152"/>
  <c r="T70" i="152"/>
  <c r="T53" i="152"/>
  <c r="T37" i="152"/>
  <c r="T7" i="152"/>
  <c r="S88" i="152"/>
  <c r="S70" i="152"/>
  <c r="S53" i="152"/>
  <c r="S37" i="152"/>
  <c r="S7" i="152"/>
  <c r="T84" i="152"/>
  <c r="T66" i="152"/>
  <c r="T49" i="152"/>
  <c r="T33" i="152"/>
  <c r="S49" i="152"/>
  <c r="T45" i="152"/>
  <c r="S101" i="152"/>
  <c r="S33" i="152"/>
  <c r="T96" i="152"/>
  <c r="T16" i="152"/>
  <c r="S84" i="152"/>
  <c r="T78" i="152"/>
  <c r="S66" i="152"/>
  <c r="T62" i="152"/>
  <c r="AH12" i="59"/>
  <c r="AI27" i="59"/>
  <c r="AH27" i="59"/>
  <c r="AI24" i="59"/>
  <c r="AI15" i="59"/>
  <c r="AH15" i="59"/>
  <c r="AH24" i="59"/>
  <c r="AI12" i="59"/>
  <c r="I39" i="26"/>
  <c r="J12" i="26"/>
  <c r="I12" i="26"/>
  <c r="J39" i="26"/>
  <c r="T88" i="153"/>
  <c r="S88" i="153"/>
  <c r="T101" i="153"/>
  <c r="T84" i="153"/>
  <c r="T66" i="153"/>
  <c r="T49" i="153"/>
  <c r="T33" i="153"/>
  <c r="S101" i="153"/>
  <c r="S84" i="153"/>
  <c r="S66" i="153"/>
  <c r="S49" i="153"/>
  <c r="S33" i="153"/>
  <c r="T73" i="153"/>
  <c r="T53" i="153"/>
  <c r="T16" i="153"/>
  <c r="S73" i="153"/>
  <c r="S53" i="153"/>
  <c r="S16" i="153"/>
  <c r="T96" i="153"/>
  <c r="T70" i="153"/>
  <c r="T45" i="153"/>
  <c r="T10" i="153"/>
  <c r="S96" i="153"/>
  <c r="S70" i="153"/>
  <c r="S45" i="153"/>
  <c r="S10" i="153"/>
  <c r="T91" i="153"/>
  <c r="T62" i="153"/>
  <c r="T40" i="153"/>
  <c r="T7" i="153"/>
  <c r="S91" i="153"/>
  <c r="S62" i="153"/>
  <c r="S40" i="153"/>
  <c r="S7" i="153"/>
  <c r="T37" i="153"/>
  <c r="S37" i="153"/>
  <c r="T78" i="153"/>
  <c r="S78" i="153"/>
  <c r="T56" i="153"/>
  <c r="S56" i="153"/>
  <c r="V15" i="70"/>
  <c r="U15" i="70"/>
  <c r="V12" i="70"/>
  <c r="U12" i="70"/>
  <c r="R12" i="69"/>
  <c r="S15" i="69"/>
  <c r="R15" i="69"/>
  <c r="S12" i="69"/>
  <c r="Q91" i="113"/>
  <c r="Q56" i="113"/>
  <c r="P91" i="113"/>
  <c r="P56" i="113"/>
  <c r="Q87" i="113"/>
  <c r="Q50" i="113"/>
  <c r="P87" i="113"/>
  <c r="P50" i="113"/>
  <c r="Q78" i="113"/>
  <c r="Q40" i="113"/>
  <c r="Q66" i="113"/>
  <c r="P78" i="113"/>
  <c r="P66" i="113"/>
  <c r="P40" i="113"/>
  <c r="Q13" i="113"/>
  <c r="P13" i="113"/>
  <c r="AC30" i="171"/>
  <c r="AC15" i="171"/>
  <c r="AB30" i="171"/>
  <c r="AB15" i="171"/>
  <c r="AC25" i="171"/>
  <c r="AC10" i="171"/>
  <c r="AB25" i="171"/>
  <c r="AB10" i="171"/>
  <c r="AB18" i="171"/>
  <c r="AC7" i="171"/>
  <c r="AB7" i="171"/>
  <c r="AC33" i="171"/>
  <c r="AB33" i="171"/>
  <c r="AC22" i="171"/>
  <c r="AC18" i="171"/>
  <c r="AB22" i="171"/>
  <c r="O89" i="148"/>
  <c r="O65" i="148"/>
  <c r="O47" i="148"/>
  <c r="O18" i="148"/>
  <c r="P83" i="148"/>
  <c r="P60" i="148"/>
  <c r="P42" i="148"/>
  <c r="P12" i="148"/>
  <c r="O78" i="148"/>
  <c r="P74" i="148"/>
  <c r="P47" i="148"/>
  <c r="P7" i="148"/>
  <c r="O74" i="148"/>
  <c r="O42" i="148"/>
  <c r="O7" i="148"/>
  <c r="P65" i="148"/>
  <c r="P37" i="148"/>
  <c r="P104" i="148"/>
  <c r="O60" i="148"/>
  <c r="O37" i="148"/>
  <c r="O104" i="148"/>
  <c r="P55" i="148"/>
  <c r="P33" i="148"/>
  <c r="P89" i="148"/>
  <c r="O55" i="148"/>
  <c r="O33" i="148"/>
  <c r="P51" i="148"/>
  <c r="O51" i="148"/>
  <c r="P18" i="148"/>
  <c r="O12" i="148"/>
  <c r="O83" i="148"/>
  <c r="P78" i="148"/>
  <c r="Q15" i="62"/>
  <c r="P15" i="62"/>
  <c r="Q12" i="62"/>
  <c r="P12" i="62"/>
  <c r="W13" i="73"/>
  <c r="X29" i="73"/>
  <c r="W29" i="73"/>
  <c r="X26" i="73"/>
  <c r="X16" i="73"/>
  <c r="W16" i="73"/>
  <c r="W26" i="73"/>
  <c r="X13" i="73"/>
  <c r="S172" i="150"/>
  <c r="S155" i="150"/>
  <c r="S135" i="150"/>
  <c r="S118" i="150"/>
  <c r="S102" i="150"/>
  <c r="S85" i="150"/>
  <c r="S64" i="150"/>
  <c r="S47" i="150"/>
  <c r="S17" i="150"/>
  <c r="T167" i="150"/>
  <c r="T150" i="150"/>
  <c r="T130" i="150"/>
  <c r="T113" i="150"/>
  <c r="T96" i="150"/>
  <c r="T80" i="150"/>
  <c r="T58" i="150"/>
  <c r="T42" i="150"/>
  <c r="T10" i="150"/>
  <c r="S167" i="150"/>
  <c r="S164" i="150"/>
  <c r="S147" i="150"/>
  <c r="S127" i="150"/>
  <c r="S110" i="150"/>
  <c r="S93" i="150"/>
  <c r="S77" i="150"/>
  <c r="S55" i="150"/>
  <c r="S39" i="150"/>
  <c r="S7" i="150"/>
  <c r="T155" i="150"/>
  <c r="T123" i="150"/>
  <c r="S96" i="150"/>
  <c r="S73" i="150"/>
  <c r="T39" i="150"/>
  <c r="S150" i="150"/>
  <c r="S123" i="150"/>
  <c r="T93" i="150"/>
  <c r="T64" i="150"/>
  <c r="T35" i="150"/>
  <c r="T182" i="150"/>
  <c r="T147" i="150"/>
  <c r="T118" i="150"/>
  <c r="T89" i="150"/>
  <c r="S58" i="150"/>
  <c r="S35" i="150"/>
  <c r="S182" i="150"/>
  <c r="T143" i="150"/>
  <c r="S113" i="150"/>
  <c r="S89" i="150"/>
  <c r="T55" i="150"/>
  <c r="T17" i="150"/>
  <c r="T172" i="150"/>
  <c r="S143" i="150"/>
  <c r="T110" i="150"/>
  <c r="T85" i="150"/>
  <c r="T51" i="150"/>
  <c r="S10" i="150"/>
  <c r="T164" i="150"/>
  <c r="T135" i="150"/>
  <c r="T106" i="150"/>
  <c r="S80" i="150"/>
  <c r="S51" i="150"/>
  <c r="T7" i="150"/>
  <c r="T160" i="150"/>
  <c r="T47" i="150"/>
  <c r="S160" i="150"/>
  <c r="S42" i="150"/>
  <c r="S130" i="150"/>
  <c r="T127" i="150"/>
  <c r="S106" i="150"/>
  <c r="T102" i="150"/>
  <c r="T77" i="150"/>
  <c r="T73" i="150"/>
  <c r="O81" i="147"/>
  <c r="O59" i="147"/>
  <c r="O43" i="147"/>
  <c r="O16" i="147"/>
  <c r="P75" i="147"/>
  <c r="P54" i="147"/>
  <c r="P38" i="147"/>
  <c r="P10" i="147"/>
  <c r="P68" i="147"/>
  <c r="P43" i="147"/>
  <c r="P7" i="147"/>
  <c r="O68" i="147"/>
  <c r="O38" i="147"/>
  <c r="O7" i="147"/>
  <c r="P96" i="147"/>
  <c r="P59" i="147"/>
  <c r="P35" i="147"/>
  <c r="O96" i="147"/>
  <c r="O54" i="147"/>
  <c r="O35" i="147"/>
  <c r="P81" i="147"/>
  <c r="P51" i="147"/>
  <c r="P31" i="147"/>
  <c r="O75" i="147"/>
  <c r="O51" i="147"/>
  <c r="O31" i="147"/>
  <c r="P16" i="147"/>
  <c r="O10" i="147"/>
  <c r="P72" i="147"/>
  <c r="O72" i="147"/>
  <c r="P47" i="147"/>
  <c r="O47" i="147"/>
  <c r="J13" i="167"/>
  <c r="I13" i="167"/>
  <c r="J31" i="167"/>
  <c r="I31" i="167"/>
  <c r="J26" i="197"/>
  <c r="I26" i="197"/>
  <c r="J12" i="197"/>
  <c r="I12" i="197"/>
  <c r="X12" i="71"/>
  <c r="Y15" i="71"/>
  <c r="X15" i="71"/>
  <c r="Y12" i="71"/>
  <c r="U15" i="83"/>
  <c r="T15" i="83"/>
  <c r="U12" i="83"/>
  <c r="T12" i="83"/>
  <c r="M106" i="136"/>
  <c r="M83" i="136"/>
  <c r="M62" i="136"/>
  <c r="M45" i="136"/>
  <c r="M19" i="136"/>
  <c r="N97" i="136"/>
  <c r="M97" i="136"/>
  <c r="M76" i="136"/>
  <c r="M58" i="136"/>
  <c r="M33" i="136"/>
  <c r="M16" i="136"/>
  <c r="N91" i="136"/>
  <c r="N70" i="136"/>
  <c r="N53" i="136"/>
  <c r="N27" i="136"/>
  <c r="N11" i="136"/>
  <c r="M91" i="136"/>
  <c r="M70" i="136"/>
  <c r="M53" i="136"/>
  <c r="M27" i="136"/>
  <c r="M11" i="136"/>
  <c r="N66" i="136"/>
  <c r="N23" i="136"/>
  <c r="M66" i="136"/>
  <c r="M23" i="136"/>
  <c r="N62" i="136"/>
  <c r="N19" i="136"/>
  <c r="N106" i="136"/>
  <c r="N58" i="136"/>
  <c r="N16" i="136"/>
  <c r="N87" i="136"/>
  <c r="N49" i="136"/>
  <c r="N7" i="136"/>
  <c r="M87" i="136"/>
  <c r="M49" i="136"/>
  <c r="N83" i="136"/>
  <c r="N45" i="136"/>
  <c r="N76" i="136"/>
  <c r="N33" i="136"/>
  <c r="M7" i="136"/>
  <c r="AD12" i="57"/>
  <c r="AE27" i="57"/>
  <c r="AD27" i="57"/>
  <c r="AE24" i="57"/>
  <c r="AE15" i="57"/>
  <c r="AD15" i="57"/>
  <c r="AD24" i="57"/>
  <c r="AE12" i="57"/>
  <c r="L73" i="134"/>
  <c r="L41" i="134"/>
  <c r="L64" i="134"/>
  <c r="L25" i="134"/>
  <c r="M54" i="134"/>
  <c r="M15" i="134"/>
  <c r="L54" i="134"/>
  <c r="L15" i="134"/>
  <c r="M12" i="134"/>
  <c r="L12" i="134"/>
  <c r="M73" i="134"/>
  <c r="M64" i="134"/>
  <c r="M50" i="134"/>
  <c r="M41" i="134"/>
  <c r="L50" i="134"/>
  <c r="M25" i="134"/>
  <c r="AE24" i="177"/>
  <c r="AD24" i="177"/>
  <c r="AE15" i="177"/>
  <c r="AD15" i="177"/>
  <c r="AE27" i="177"/>
  <c r="AD27" i="177"/>
  <c r="AE12" i="177"/>
  <c r="AD12" i="177"/>
  <c r="N51" i="145"/>
  <c r="N18" i="145"/>
  <c r="O46" i="145"/>
  <c r="O12" i="145"/>
  <c r="O37" i="145"/>
  <c r="N37" i="145"/>
  <c r="O55" i="145"/>
  <c r="O18" i="145"/>
  <c r="N55" i="145"/>
  <c r="N12" i="145"/>
  <c r="O51" i="145"/>
  <c r="O7" i="145"/>
  <c r="N46" i="145"/>
  <c r="O41" i="145"/>
  <c r="N41" i="145"/>
  <c r="N7" i="145"/>
  <c r="M45" i="137"/>
  <c r="M19" i="137"/>
  <c r="N33" i="137"/>
  <c r="N16" i="137"/>
  <c r="M33" i="137"/>
  <c r="M16" i="137"/>
  <c r="N27" i="137"/>
  <c r="N11" i="137"/>
  <c r="M27" i="137"/>
  <c r="M11" i="137"/>
  <c r="N19" i="137"/>
  <c r="N7" i="137"/>
  <c r="M7" i="137"/>
  <c r="N45" i="137"/>
  <c r="N23" i="137"/>
  <c r="M23" i="137"/>
  <c r="J25" i="105"/>
  <c r="I25" i="105"/>
  <c r="J13" i="105"/>
  <c r="I13" i="105"/>
  <c r="J7" i="156"/>
  <c r="I7" i="156"/>
  <c r="J38" i="156"/>
  <c r="I38" i="156"/>
  <c r="J10" i="156"/>
  <c r="I10" i="156"/>
  <c r="J16" i="156"/>
  <c r="I16" i="156"/>
  <c r="O75" i="126"/>
  <c r="O45" i="126"/>
  <c r="O68" i="126"/>
  <c r="O25" i="126"/>
  <c r="P58" i="126"/>
  <c r="P12" i="126"/>
  <c r="O58" i="126"/>
  <c r="O12" i="126"/>
  <c r="P94" i="126"/>
  <c r="P54" i="126"/>
  <c r="O94" i="126"/>
  <c r="O54" i="126"/>
  <c r="P85" i="126"/>
  <c r="P45" i="126"/>
  <c r="P75" i="126"/>
  <c r="P15" i="126"/>
  <c r="P25" i="126"/>
  <c r="O15" i="126"/>
  <c r="O85" i="126"/>
  <c r="P68" i="126"/>
  <c r="AL16" i="185"/>
  <c r="AK16" i="185"/>
  <c r="AL13" i="185"/>
  <c r="AK13" i="185"/>
  <c r="AD12" i="58"/>
  <c r="AE27" i="58"/>
  <c r="AD27" i="58"/>
  <c r="AE24" i="58"/>
  <c r="AE15" i="58"/>
  <c r="AD15" i="58"/>
  <c r="AD24" i="58"/>
  <c r="AE12" i="58"/>
  <c r="Q15" i="47"/>
  <c r="R12" i="47"/>
  <c r="Q12" i="47"/>
  <c r="R15" i="47"/>
  <c r="AA26" i="53"/>
  <c r="AB13" i="53"/>
  <c r="AA13" i="53"/>
  <c r="AB47" i="53"/>
  <c r="AA47" i="53"/>
  <c r="AB36" i="53"/>
  <c r="AA36" i="53"/>
  <c r="AB26" i="53"/>
  <c r="AD15" i="187"/>
  <c r="AC15" i="187"/>
  <c r="AD12" i="187"/>
  <c r="AC12" i="187"/>
  <c r="AC126" i="118"/>
  <c r="AC100" i="118"/>
  <c r="AC75" i="118"/>
  <c r="AC51" i="118"/>
  <c r="AC27" i="118"/>
  <c r="AB126" i="118"/>
  <c r="AB100" i="118"/>
  <c r="AB75" i="118"/>
  <c r="AB51" i="118"/>
  <c r="AB27" i="118"/>
  <c r="AC122" i="118"/>
  <c r="AC96" i="118"/>
  <c r="AC72" i="118"/>
  <c r="AC48" i="118"/>
  <c r="AC24" i="118"/>
  <c r="AB122" i="118"/>
  <c r="AB96" i="118"/>
  <c r="AB72" i="118"/>
  <c r="AB48" i="118"/>
  <c r="AB24" i="118"/>
  <c r="AC112" i="118"/>
  <c r="AC87" i="118"/>
  <c r="AC63" i="118"/>
  <c r="AC39" i="118"/>
  <c r="AC15" i="118"/>
  <c r="AC109" i="118"/>
  <c r="AC84" i="118"/>
  <c r="AC60" i="118"/>
  <c r="AC36" i="118"/>
  <c r="AC12" i="118"/>
  <c r="AB87" i="118"/>
  <c r="AB84" i="118"/>
  <c r="AB63" i="118"/>
  <c r="AB60" i="118"/>
  <c r="AB39" i="118"/>
  <c r="AB36" i="118"/>
  <c r="AB112" i="118"/>
  <c r="AB15" i="118"/>
  <c r="AB12" i="118"/>
  <c r="AB109" i="118"/>
  <c r="L63" i="28"/>
  <c r="L39" i="28"/>
  <c r="M60" i="28"/>
  <c r="M12" i="28"/>
  <c r="L60" i="28"/>
  <c r="L12" i="28"/>
  <c r="M51" i="28"/>
  <c r="L51" i="28"/>
  <c r="M48" i="28"/>
  <c r="L48" i="28"/>
  <c r="M63" i="28"/>
  <c r="M39" i="28"/>
  <c r="K98" i="33"/>
  <c r="J98" i="33"/>
  <c r="K15" i="33"/>
  <c r="J15" i="33"/>
  <c r="P89" i="165"/>
  <c r="P58" i="165"/>
  <c r="P14" i="165"/>
  <c r="O89" i="165"/>
  <c r="O58" i="165"/>
  <c r="O14" i="165"/>
  <c r="P118" i="165"/>
  <c r="P80" i="165"/>
  <c r="P48" i="165"/>
  <c r="O118" i="165"/>
  <c r="O80" i="165"/>
  <c r="O48" i="165"/>
  <c r="O62" i="165"/>
  <c r="P108" i="165"/>
  <c r="P29" i="165"/>
  <c r="O108" i="165"/>
  <c r="O29" i="165"/>
  <c r="P99" i="165"/>
  <c r="P18" i="165"/>
  <c r="O99" i="165"/>
  <c r="O18" i="165"/>
  <c r="P72" i="165"/>
  <c r="O72" i="165"/>
  <c r="P62" i="165"/>
  <c r="O81" i="146"/>
  <c r="O59" i="146"/>
  <c r="O43" i="146"/>
  <c r="O16" i="146"/>
  <c r="P75" i="146"/>
  <c r="P54" i="146"/>
  <c r="P38" i="146"/>
  <c r="P10" i="146"/>
  <c r="P68" i="146"/>
  <c r="P43" i="146"/>
  <c r="P7" i="146"/>
  <c r="O68" i="146"/>
  <c r="O38" i="146"/>
  <c r="O7" i="146"/>
  <c r="P96" i="146"/>
  <c r="P59" i="146"/>
  <c r="P35" i="146"/>
  <c r="O96" i="146"/>
  <c r="O54" i="146"/>
  <c r="O35" i="146"/>
  <c r="P81" i="146"/>
  <c r="P51" i="146"/>
  <c r="P31" i="146"/>
  <c r="O75" i="146"/>
  <c r="O51" i="146"/>
  <c r="O31" i="146"/>
  <c r="P72" i="146"/>
  <c r="O72" i="146"/>
  <c r="P47" i="146"/>
  <c r="O47" i="146"/>
  <c r="P16" i="146"/>
  <c r="O10" i="146"/>
  <c r="I40" i="103"/>
  <c r="J10" i="103"/>
  <c r="J40" i="103"/>
  <c r="J16" i="103"/>
  <c r="I16" i="103"/>
  <c r="I10" i="103"/>
  <c r="J7" i="103"/>
  <c r="I7" i="103"/>
  <c r="K64" i="41"/>
  <c r="L43" i="41"/>
  <c r="K43" i="41"/>
  <c r="L33" i="41"/>
  <c r="K33" i="41"/>
  <c r="L13" i="41"/>
  <c r="K13" i="41"/>
  <c r="L64" i="41"/>
  <c r="N63" i="144"/>
  <c r="N47" i="144"/>
  <c r="N16" i="144"/>
  <c r="O58" i="144"/>
  <c r="O42" i="144"/>
  <c r="O10" i="144"/>
  <c r="O63" i="144"/>
  <c r="O39" i="144"/>
  <c r="N58" i="144"/>
  <c r="N39" i="144"/>
  <c r="O55" i="144"/>
  <c r="O35" i="144"/>
  <c r="N55" i="144"/>
  <c r="N35" i="144"/>
  <c r="O51" i="144"/>
  <c r="O16" i="144"/>
  <c r="N42" i="144"/>
  <c r="N10" i="144"/>
  <c r="O7" i="144"/>
  <c r="N7" i="144"/>
  <c r="O68" i="144"/>
  <c r="N68" i="144"/>
  <c r="N51" i="144"/>
  <c r="O47" i="144"/>
  <c r="O161" i="141"/>
  <c r="O145" i="141"/>
  <c r="O125" i="141"/>
  <c r="O64" i="141"/>
  <c r="P157" i="141"/>
  <c r="P137" i="141"/>
  <c r="P78" i="141"/>
  <c r="P17" i="141"/>
  <c r="O157" i="141"/>
  <c r="O137" i="141"/>
  <c r="O78" i="141"/>
  <c r="O17" i="141"/>
  <c r="P152" i="141"/>
  <c r="P132" i="141"/>
  <c r="P71" i="141"/>
  <c r="P10" i="141"/>
  <c r="O152" i="141"/>
  <c r="O132" i="141"/>
  <c r="O71" i="141"/>
  <c r="O10" i="141"/>
  <c r="P145" i="141"/>
  <c r="O7" i="141"/>
  <c r="P129" i="141"/>
  <c r="O129" i="141"/>
  <c r="P125" i="141"/>
  <c r="P68" i="141"/>
  <c r="P161" i="141"/>
  <c r="O68" i="141"/>
  <c r="P149" i="141"/>
  <c r="P64" i="141"/>
  <c r="O149" i="141"/>
  <c r="P7" i="141"/>
  <c r="X675" i="92"/>
  <c r="X656" i="92"/>
  <c r="X637" i="92"/>
  <c r="X604" i="92"/>
  <c r="X570" i="92"/>
  <c r="X535" i="92"/>
  <c r="X501" i="92"/>
  <c r="X466" i="92"/>
  <c r="X432" i="92"/>
  <c r="X397" i="92"/>
  <c r="X363" i="92"/>
  <c r="X328" i="92"/>
  <c r="X294" i="92"/>
  <c r="X259" i="92"/>
  <c r="X225" i="92"/>
  <c r="X190" i="92"/>
  <c r="X156" i="92"/>
  <c r="X121" i="92"/>
  <c r="X87" i="92"/>
  <c r="X52" i="92"/>
  <c r="X18" i="92"/>
  <c r="Y670" i="92"/>
  <c r="Y651" i="92"/>
  <c r="Y632" i="92"/>
  <c r="Y599" i="92"/>
  <c r="Y565" i="92"/>
  <c r="Y530" i="92"/>
  <c r="Y496" i="92"/>
  <c r="Y461" i="92"/>
  <c r="Y427" i="92"/>
  <c r="Y392" i="92"/>
  <c r="Y358" i="92"/>
  <c r="Y323" i="92"/>
  <c r="Y289" i="92"/>
  <c r="Y254" i="92"/>
  <c r="Y220" i="92"/>
  <c r="Y185" i="92"/>
  <c r="Y151" i="92"/>
  <c r="Y116" i="92"/>
  <c r="Y82" i="92"/>
  <c r="Y47" i="92"/>
  <c r="Y13" i="92"/>
  <c r="X670" i="92"/>
  <c r="X651" i="92"/>
  <c r="X632" i="92"/>
  <c r="X599" i="92"/>
  <c r="X565" i="92"/>
  <c r="X530" i="92"/>
  <c r="X496" i="92"/>
  <c r="X461" i="92"/>
  <c r="X427" i="92"/>
  <c r="X392" i="92"/>
  <c r="X358" i="92"/>
  <c r="X323" i="92"/>
  <c r="X289" i="92"/>
  <c r="X254" i="92"/>
  <c r="X220" i="92"/>
  <c r="X185" i="92"/>
  <c r="X151" i="92"/>
  <c r="X116" i="92"/>
  <c r="X82" i="92"/>
  <c r="X47" i="92"/>
  <c r="X13" i="92"/>
  <c r="Y666" i="92"/>
  <c r="Y647" i="92"/>
  <c r="Y628" i="92"/>
  <c r="Y593" i="92"/>
  <c r="Y559" i="92"/>
  <c r="Y524" i="92"/>
  <c r="Y490" i="92"/>
  <c r="Y455" i="92"/>
  <c r="Y421" i="92"/>
  <c r="Y386" i="92"/>
  <c r="Y352" i="92"/>
  <c r="Y317" i="92"/>
  <c r="Y283" i="92"/>
  <c r="Y248" i="92"/>
  <c r="Y214" i="92"/>
  <c r="Y179" i="92"/>
  <c r="Y145" i="92"/>
  <c r="Y110" i="92"/>
  <c r="Y76" i="92"/>
  <c r="Y41" i="92"/>
  <c r="Y7" i="92"/>
  <c r="X666" i="92"/>
  <c r="X647" i="92"/>
  <c r="X628" i="92"/>
  <c r="X593" i="92"/>
  <c r="X559" i="92"/>
  <c r="X524" i="92"/>
  <c r="X490" i="92"/>
  <c r="X455" i="92"/>
  <c r="X421" i="92"/>
  <c r="X386" i="92"/>
  <c r="X352" i="92"/>
  <c r="X317" i="92"/>
  <c r="X283" i="92"/>
  <c r="X248" i="92"/>
  <c r="X214" i="92"/>
  <c r="X179" i="92"/>
  <c r="X145" i="92"/>
  <c r="Y679" i="92"/>
  <c r="Y662" i="92"/>
  <c r="Y643" i="92"/>
  <c r="Y624" i="92"/>
  <c r="Y589" i="92"/>
  <c r="Y555" i="92"/>
  <c r="Y520" i="92"/>
  <c r="Y486" i="92"/>
  <c r="Y451" i="92"/>
  <c r="Y417" i="92"/>
  <c r="Y382" i="92"/>
  <c r="Y348" i="92"/>
  <c r="Y313" i="92"/>
  <c r="Y279" i="92"/>
  <c r="Y244" i="92"/>
  <c r="Y210" i="92"/>
  <c r="Y175" i="92"/>
  <c r="Y141" i="92"/>
  <c r="Y106" i="92"/>
  <c r="Y72" i="92"/>
  <c r="Y37" i="92"/>
  <c r="X679" i="92"/>
  <c r="X662" i="92"/>
  <c r="X643" i="92"/>
  <c r="X624" i="92"/>
  <c r="X589" i="92"/>
  <c r="X555" i="92"/>
  <c r="X520" i="92"/>
  <c r="X486" i="92"/>
  <c r="X451" i="92"/>
  <c r="X417" i="92"/>
  <c r="X382" i="92"/>
  <c r="X348" i="92"/>
  <c r="X313" i="92"/>
  <c r="X279" i="92"/>
  <c r="X244" i="92"/>
  <c r="X210" i="92"/>
  <c r="X175" i="92"/>
  <c r="X141" i="92"/>
  <c r="X106" i="92"/>
  <c r="X72" i="92"/>
  <c r="X37" i="92"/>
  <c r="Y570" i="92"/>
  <c r="Y294" i="92"/>
  <c r="X76" i="92"/>
  <c r="Y535" i="92"/>
  <c r="Y259" i="92"/>
  <c r="Y52" i="92"/>
  <c r="Y501" i="92"/>
  <c r="Y225" i="92"/>
  <c r="X41" i="92"/>
  <c r="Y466" i="92"/>
  <c r="Y190" i="92"/>
  <c r="Y18" i="92"/>
  <c r="Y675" i="92"/>
  <c r="Y432" i="92"/>
  <c r="Y156" i="92"/>
  <c r="X7" i="92"/>
  <c r="Y656" i="92"/>
  <c r="Y397" i="92"/>
  <c r="Y121" i="92"/>
  <c r="Y637" i="92"/>
  <c r="Y363" i="92"/>
  <c r="X110" i="92"/>
  <c r="Y604" i="92"/>
  <c r="Y328" i="92"/>
  <c r="Y87" i="92"/>
  <c r="W14" i="91"/>
  <c r="X49" i="91"/>
  <c r="W49" i="91"/>
  <c r="X14" i="91"/>
  <c r="S25" i="99"/>
  <c r="T25" i="99"/>
  <c r="T13" i="99"/>
  <c r="S13" i="99"/>
  <c r="T27" i="98"/>
  <c r="T13" i="98"/>
  <c r="S13" i="98"/>
  <c r="S27" i="98"/>
  <c r="AD15" i="64"/>
  <c r="AC15" i="64"/>
  <c r="AD12" i="64"/>
  <c r="AC12" i="64"/>
  <c r="AN16" i="95"/>
  <c r="AO11" i="95"/>
  <c r="AN11" i="95"/>
  <c r="AO7" i="95"/>
  <c r="AN7" i="95"/>
  <c r="AO41" i="95"/>
  <c r="AN41" i="95"/>
  <c r="AO16" i="95"/>
  <c r="L13" i="166"/>
  <c r="K13" i="166"/>
  <c r="L57" i="166"/>
  <c r="K57" i="166"/>
  <c r="K29" i="166"/>
  <c r="L39" i="166"/>
  <c r="L29" i="166"/>
  <c r="K39" i="166"/>
  <c r="J37" i="43"/>
  <c r="K13" i="43"/>
  <c r="J13" i="43"/>
  <c r="K62" i="43"/>
  <c r="J62" i="43"/>
  <c r="K47" i="43"/>
  <c r="J47" i="43"/>
  <c r="K37" i="43"/>
  <c r="AJ12" i="66"/>
  <c r="AK27" i="66"/>
  <c r="AJ27" i="66"/>
  <c r="AK24" i="66"/>
  <c r="AK15" i="66"/>
  <c r="AJ15" i="66"/>
  <c r="AJ24" i="66"/>
  <c r="AK12" i="66"/>
  <c r="O150" i="114"/>
  <c r="O114" i="114"/>
  <c r="O83" i="114"/>
  <c r="O47" i="114"/>
  <c r="N150" i="114"/>
  <c r="N114" i="114"/>
  <c r="N83" i="114"/>
  <c r="N47" i="114"/>
  <c r="O143" i="114"/>
  <c r="O110" i="114"/>
  <c r="O70" i="114"/>
  <c r="O39" i="114"/>
  <c r="N143" i="114"/>
  <c r="N110" i="114"/>
  <c r="N70" i="114"/>
  <c r="N39" i="114"/>
  <c r="O133" i="114"/>
  <c r="O101" i="114"/>
  <c r="O60" i="114"/>
  <c r="O29" i="114"/>
  <c r="O124" i="114"/>
  <c r="O93" i="114"/>
  <c r="O56" i="114"/>
  <c r="O13" i="114"/>
  <c r="N29" i="114"/>
  <c r="N13" i="114"/>
  <c r="N133" i="114"/>
  <c r="N124" i="114"/>
  <c r="N101" i="114"/>
  <c r="N93" i="114"/>
  <c r="N60" i="114"/>
  <c r="N56" i="114"/>
  <c r="Q15" i="48"/>
  <c r="P15" i="48"/>
  <c r="Q12" i="48"/>
  <c r="P12" i="48"/>
  <c r="AG36" i="174"/>
  <c r="AG12" i="174"/>
  <c r="AF36" i="174"/>
  <c r="AF12" i="174"/>
  <c r="AG27" i="174"/>
  <c r="AF27" i="174"/>
  <c r="AF39" i="174"/>
  <c r="AG24" i="174"/>
  <c r="AF24" i="174"/>
  <c r="AG15" i="174"/>
  <c r="AF15" i="174"/>
  <c r="AG39" i="174"/>
  <c r="AE12" i="184"/>
  <c r="AD12" i="184"/>
  <c r="AE15" i="184"/>
  <c r="AD15" i="184"/>
  <c r="AR16" i="183"/>
  <c r="AQ16" i="183"/>
  <c r="AR13" i="183"/>
  <c r="AQ13" i="183"/>
  <c r="N36" i="109"/>
  <c r="M36" i="109"/>
  <c r="N13" i="109"/>
  <c r="M13" i="109"/>
  <c r="N58" i="109"/>
  <c r="M58" i="109"/>
  <c r="N46" i="109"/>
  <c r="M46" i="109"/>
  <c r="N61" i="106"/>
  <c r="N45" i="106"/>
  <c r="N27" i="106"/>
  <c r="N10" i="106"/>
  <c r="M61" i="106"/>
  <c r="M45" i="106"/>
  <c r="M27" i="106"/>
  <c r="M10" i="106"/>
  <c r="N58" i="106"/>
  <c r="N42" i="106"/>
  <c r="N24" i="106"/>
  <c r="N7" i="106"/>
  <c r="M58" i="106"/>
  <c r="M42" i="106"/>
  <c r="M24" i="106"/>
  <c r="M7" i="106"/>
  <c r="N71" i="106"/>
  <c r="N54" i="106"/>
  <c r="N38" i="106"/>
  <c r="N20" i="106"/>
  <c r="N32" i="106"/>
  <c r="M71" i="106"/>
  <c r="M32" i="106"/>
  <c r="N66" i="106"/>
  <c r="M20" i="106"/>
  <c r="M66" i="106"/>
  <c r="N15" i="106"/>
  <c r="M54" i="106"/>
  <c r="M15" i="106"/>
  <c r="N50" i="106"/>
  <c r="M50" i="106"/>
  <c r="M38" i="106"/>
  <c r="J51" i="125"/>
  <c r="J28" i="125"/>
  <c r="J43" i="125"/>
  <c r="J17" i="125"/>
  <c r="K28" i="125"/>
  <c r="K17" i="125"/>
  <c r="K51" i="125"/>
  <c r="K12" i="125"/>
  <c r="K43" i="125"/>
  <c r="J12" i="125"/>
  <c r="K37" i="125"/>
  <c r="K7" i="125"/>
  <c r="K32" i="125"/>
  <c r="J37" i="125"/>
  <c r="J32" i="125"/>
  <c r="J7" i="125"/>
  <c r="Z692" i="161"/>
  <c r="AA687" i="161"/>
  <c r="AA656" i="161"/>
  <c r="AA626" i="161"/>
  <c r="AA536" i="161"/>
  <c r="AA467" i="161"/>
  <c r="AA437" i="161"/>
  <c r="AA405" i="161"/>
  <c r="AA372" i="161"/>
  <c r="AA342" i="161"/>
  <c r="AA315" i="161"/>
  <c r="AA288" i="161"/>
  <c r="AA223" i="161"/>
  <c r="AA115" i="161"/>
  <c r="AA14" i="161"/>
  <c r="Z687" i="161"/>
  <c r="Z656" i="161"/>
  <c r="Z626" i="161"/>
  <c r="Z536" i="161"/>
  <c r="Z467" i="161"/>
  <c r="Z437" i="161"/>
  <c r="Z405" i="161"/>
  <c r="Z372" i="161"/>
  <c r="Z342" i="161"/>
  <c r="Z315" i="161"/>
  <c r="Z288" i="161"/>
  <c r="Z223" i="161"/>
  <c r="Z115" i="161"/>
  <c r="Z14" i="161"/>
  <c r="AA678" i="161"/>
  <c r="AA646" i="161"/>
  <c r="AA616" i="161"/>
  <c r="AA526" i="161"/>
  <c r="AA457" i="161"/>
  <c r="AA427" i="161"/>
  <c r="AA395" i="161"/>
  <c r="AA362" i="161"/>
  <c r="AA332" i="161"/>
  <c r="AA306" i="161"/>
  <c r="AA278" i="161"/>
  <c r="AA213" i="161"/>
  <c r="AA105" i="161"/>
  <c r="AA705" i="161"/>
  <c r="Z678" i="161"/>
  <c r="Z646" i="161"/>
  <c r="Z616" i="161"/>
  <c r="Z526" i="161"/>
  <c r="Z457" i="161"/>
  <c r="Z427" i="161"/>
  <c r="Z395" i="161"/>
  <c r="Z362" i="161"/>
  <c r="Z332" i="161"/>
  <c r="Z306" i="161"/>
  <c r="Z278" i="161"/>
  <c r="Z213" i="161"/>
  <c r="Z105" i="161"/>
  <c r="AA661" i="161"/>
  <c r="AA571" i="161"/>
  <c r="AA441" i="161"/>
  <c r="AA376" i="161"/>
  <c r="AA319" i="161"/>
  <c r="AA261" i="161"/>
  <c r="AA45" i="161"/>
  <c r="Z661" i="161"/>
  <c r="Z571" i="161"/>
  <c r="Z441" i="161"/>
  <c r="Z376" i="161"/>
  <c r="Z319" i="161"/>
  <c r="Z261" i="161"/>
  <c r="Z45" i="161"/>
  <c r="Z705" i="161"/>
  <c r="AA641" i="161"/>
  <c r="AA488" i="161"/>
  <c r="AA421" i="161"/>
  <c r="AA358" i="161"/>
  <c r="AA302" i="161"/>
  <c r="AA172" i="161"/>
  <c r="AA701" i="161"/>
  <c r="Z641" i="161"/>
  <c r="Z488" i="161"/>
  <c r="Z421" i="161"/>
  <c r="Z358" i="161"/>
  <c r="Z302" i="161"/>
  <c r="Z172" i="161"/>
  <c r="Z701" i="161"/>
  <c r="AA631" i="161"/>
  <c r="AA478" i="161"/>
  <c r="AA411" i="161"/>
  <c r="AA348" i="161"/>
  <c r="AA292" i="161"/>
  <c r="AA162" i="161"/>
  <c r="AA692" i="161"/>
  <c r="Z631" i="161"/>
  <c r="Z478" i="161"/>
  <c r="Z411" i="161"/>
  <c r="Z348" i="161"/>
  <c r="Z292" i="161"/>
  <c r="Z162" i="161"/>
  <c r="AA451" i="161"/>
  <c r="AA55" i="161"/>
  <c r="Z451" i="161"/>
  <c r="Z55" i="161"/>
  <c r="AA386" i="161"/>
  <c r="Z386" i="161"/>
  <c r="AA671" i="161"/>
  <c r="AA328" i="161"/>
  <c r="Z671" i="161"/>
  <c r="Z328" i="161"/>
  <c r="AA581" i="161"/>
  <c r="Z581" i="161"/>
  <c r="AA271" i="161"/>
  <c r="Z271" i="161"/>
  <c r="O27" i="29"/>
  <c r="P24" i="29"/>
  <c r="O24" i="29"/>
  <c r="P15" i="29"/>
  <c r="O15" i="29"/>
  <c r="P12" i="29"/>
  <c r="O12" i="29"/>
  <c r="P27" i="29"/>
  <c r="L33" i="121"/>
  <c r="L10" i="121"/>
  <c r="K33" i="121"/>
  <c r="K10" i="121"/>
  <c r="L30" i="121"/>
  <c r="L7" i="121"/>
  <c r="K30" i="121"/>
  <c r="K7" i="121"/>
  <c r="L70" i="121"/>
  <c r="L26" i="121"/>
  <c r="L40" i="121"/>
  <c r="L15" i="121"/>
  <c r="K70" i="121"/>
  <c r="K40" i="121"/>
  <c r="K26" i="121"/>
  <c r="K15" i="121"/>
  <c r="Z13" i="74"/>
  <c r="AA29" i="74"/>
  <c r="Z29" i="74"/>
  <c r="AA26" i="74"/>
  <c r="AA16" i="74"/>
  <c r="Z16" i="74"/>
  <c r="Z26" i="74"/>
  <c r="AA13" i="74"/>
  <c r="X13" i="90"/>
  <c r="Y33" i="90"/>
  <c r="X33" i="90"/>
  <c r="Y29" i="90"/>
  <c r="Y19" i="90"/>
  <c r="X19" i="90"/>
  <c r="X29" i="90"/>
  <c r="Y13" i="90"/>
  <c r="N80" i="108"/>
  <c r="M80" i="108"/>
  <c r="N13" i="108"/>
  <c r="M13" i="108"/>
  <c r="N105" i="108"/>
  <c r="M105" i="108"/>
  <c r="N90" i="108"/>
  <c r="M90" i="108"/>
  <c r="M16" i="201"/>
  <c r="L16" i="201"/>
  <c r="M12" i="201"/>
  <c r="L12" i="201"/>
  <c r="M28" i="201"/>
  <c r="L28" i="201"/>
  <c r="L25" i="201"/>
  <c r="M25" i="201"/>
  <c r="J102" i="36"/>
  <c r="K19" i="36"/>
  <c r="J19" i="36"/>
  <c r="K11" i="36"/>
  <c r="J11" i="36"/>
  <c r="K7" i="36"/>
  <c r="J7" i="36"/>
  <c r="K102" i="36"/>
  <c r="AA7" i="89"/>
  <c r="AB45" i="89"/>
  <c r="AA45" i="89"/>
  <c r="AB19" i="89"/>
  <c r="AB11" i="89"/>
  <c r="AA11" i="89"/>
  <c r="AA19" i="89"/>
  <c r="AB7" i="89"/>
  <c r="N19" i="110"/>
  <c r="M19" i="110"/>
  <c r="N12" i="110"/>
  <c r="M12" i="110"/>
  <c r="J111" i="38"/>
  <c r="K15" i="38"/>
  <c r="J15" i="38"/>
  <c r="K111" i="38"/>
  <c r="J40" i="27"/>
  <c r="I40" i="27"/>
  <c r="J12" i="27"/>
  <c r="I12" i="27"/>
  <c r="BF14" i="79"/>
  <c r="BG51" i="79"/>
  <c r="BF51" i="79"/>
  <c r="BG14" i="79"/>
  <c r="T96" i="154"/>
  <c r="T76" i="154"/>
  <c r="T57" i="154"/>
  <c r="T39" i="154"/>
  <c r="T7" i="154"/>
  <c r="S96" i="154"/>
  <c r="S76" i="154"/>
  <c r="S57" i="154"/>
  <c r="S39" i="154"/>
  <c r="S7" i="154"/>
  <c r="T111" i="154"/>
  <c r="T92" i="154"/>
  <c r="T72" i="154"/>
  <c r="T53" i="154"/>
  <c r="T35" i="154"/>
  <c r="S111" i="154"/>
  <c r="S92" i="154"/>
  <c r="S72" i="154"/>
  <c r="S53" i="154"/>
  <c r="S35" i="154"/>
  <c r="T101" i="154"/>
  <c r="T62" i="154"/>
  <c r="T12" i="154"/>
  <c r="S101" i="154"/>
  <c r="S62" i="154"/>
  <c r="S12" i="154"/>
  <c r="T86" i="154"/>
  <c r="T49" i="154"/>
  <c r="S86" i="154"/>
  <c r="S49" i="154"/>
  <c r="T81" i="154"/>
  <c r="T44" i="154"/>
  <c r="S81" i="154"/>
  <c r="S44" i="154"/>
  <c r="T68" i="154"/>
  <c r="S68" i="154"/>
  <c r="T18" i="154"/>
  <c r="S18" i="154"/>
  <c r="T106" i="154"/>
  <c r="S106" i="154"/>
  <c r="O15" i="127"/>
  <c r="O12" i="127"/>
  <c r="P15" i="127"/>
  <c r="P12" i="127"/>
  <c r="P56" i="127"/>
  <c r="P25" i="127"/>
  <c r="O56" i="127"/>
  <c r="O25" i="127"/>
  <c r="X100" i="117"/>
  <c r="X75" i="117"/>
  <c r="X51" i="117"/>
  <c r="X27" i="117"/>
  <c r="W100" i="117"/>
  <c r="W75" i="117"/>
  <c r="W51" i="117"/>
  <c r="W27" i="117"/>
  <c r="X96" i="117"/>
  <c r="X72" i="117"/>
  <c r="X48" i="117"/>
  <c r="X24" i="117"/>
  <c r="W96" i="117"/>
  <c r="W72" i="117"/>
  <c r="W48" i="117"/>
  <c r="W24" i="117"/>
  <c r="X87" i="117"/>
  <c r="X63" i="117"/>
  <c r="X39" i="117"/>
  <c r="X15" i="117"/>
  <c r="X84" i="117"/>
  <c r="X60" i="117"/>
  <c r="X36" i="117"/>
  <c r="X12" i="117"/>
  <c r="W87" i="117"/>
  <c r="W84" i="117"/>
  <c r="W63" i="117"/>
  <c r="W60" i="117"/>
  <c r="W39" i="117"/>
  <c r="W36" i="117"/>
  <c r="W15" i="117"/>
  <c r="W12" i="117"/>
  <c r="AQ17" i="181"/>
  <c r="AP17" i="181"/>
  <c r="AQ14" i="181"/>
  <c r="AP14" i="181"/>
  <c r="T108" i="158"/>
  <c r="T92" i="158"/>
  <c r="T59" i="158"/>
  <c r="T41" i="158"/>
  <c r="T25" i="158"/>
  <c r="T7" i="158"/>
  <c r="S108" i="158"/>
  <c r="S92" i="158"/>
  <c r="S59" i="158"/>
  <c r="S41" i="158"/>
  <c r="S25" i="158"/>
  <c r="S7" i="158"/>
  <c r="T124" i="158"/>
  <c r="T104" i="158"/>
  <c r="T88" i="158"/>
  <c r="T55" i="158"/>
  <c r="T37" i="158"/>
  <c r="T21" i="158"/>
  <c r="S124" i="158"/>
  <c r="S104" i="158"/>
  <c r="S88" i="158"/>
  <c r="S55" i="158"/>
  <c r="S37" i="158"/>
  <c r="S21" i="158"/>
  <c r="T95" i="158"/>
  <c r="T45" i="158"/>
  <c r="T10" i="158"/>
  <c r="S95" i="158"/>
  <c r="S45" i="158"/>
  <c r="S10" i="158"/>
  <c r="T116" i="158"/>
  <c r="T68" i="158"/>
  <c r="T33" i="158"/>
  <c r="S116" i="158"/>
  <c r="S68" i="158"/>
  <c r="S33" i="158"/>
  <c r="T111" i="158"/>
  <c r="T62" i="158"/>
  <c r="T28" i="158"/>
  <c r="S111" i="158"/>
  <c r="S62" i="158"/>
  <c r="S28" i="158"/>
  <c r="T51" i="158"/>
  <c r="S51" i="158"/>
  <c r="T16" i="158"/>
  <c r="S16" i="158"/>
  <c r="T100" i="158"/>
  <c r="S100" i="158"/>
  <c r="Q69" i="49"/>
  <c r="Q49" i="49"/>
  <c r="Q29" i="49"/>
  <c r="Q10" i="49"/>
  <c r="R66" i="49"/>
  <c r="R46" i="49"/>
  <c r="R26" i="49"/>
  <c r="R7" i="49"/>
  <c r="Q66" i="49"/>
  <c r="Q46" i="49"/>
  <c r="Q26" i="49"/>
  <c r="Q7" i="49"/>
  <c r="R82" i="49"/>
  <c r="R62" i="49"/>
  <c r="R42" i="49"/>
  <c r="R22" i="49"/>
  <c r="Q82" i="49"/>
  <c r="Q62" i="49"/>
  <c r="Q42" i="49"/>
  <c r="Q22" i="49"/>
  <c r="R75" i="49"/>
  <c r="R55" i="49"/>
  <c r="R35" i="49"/>
  <c r="R16" i="49"/>
  <c r="Q75" i="49"/>
  <c r="Q55" i="49"/>
  <c r="Q35" i="49"/>
  <c r="Q16" i="49"/>
  <c r="R69" i="49"/>
  <c r="R49" i="49"/>
  <c r="R29" i="49"/>
  <c r="R10" i="49"/>
  <c r="J34" i="44"/>
  <c r="K13" i="44"/>
  <c r="J13" i="44"/>
  <c r="K59" i="44"/>
  <c r="J59" i="44"/>
  <c r="K44" i="44"/>
  <c r="J44" i="44"/>
  <c r="K34" i="44"/>
  <c r="J29" i="168"/>
  <c r="I29" i="168"/>
  <c r="J13" i="168"/>
  <c r="I13" i="168"/>
  <c r="Q91" i="112"/>
  <c r="Q56" i="112"/>
  <c r="P91" i="112"/>
  <c r="P56" i="112"/>
  <c r="Q87" i="112"/>
  <c r="Q50" i="112"/>
  <c r="P87" i="112"/>
  <c r="P50" i="112"/>
  <c r="Q78" i="112"/>
  <c r="Q40" i="112"/>
  <c r="Q66" i="112"/>
  <c r="P66" i="112"/>
  <c r="P40" i="112"/>
  <c r="Q13" i="112"/>
  <c r="P13" i="112"/>
  <c r="P78" i="112"/>
  <c r="M50" i="133"/>
  <c r="M25" i="133"/>
  <c r="N15" i="133"/>
  <c r="M15" i="133"/>
  <c r="N50" i="133"/>
  <c r="N25" i="133"/>
  <c r="N12" i="133"/>
  <c r="M12" i="133"/>
  <c r="AG12" i="65"/>
  <c r="AH27" i="65"/>
  <c r="AG27" i="65"/>
  <c r="AH24" i="65"/>
  <c r="AH15" i="65"/>
  <c r="AG15" i="65"/>
  <c r="AG24" i="65"/>
  <c r="AH12" i="65"/>
  <c r="J49" i="104"/>
  <c r="J22" i="104"/>
  <c r="K34" i="104"/>
  <c r="J34" i="104"/>
  <c r="K29" i="104"/>
  <c r="K10" i="104"/>
  <c r="K49" i="104"/>
  <c r="K7" i="104"/>
  <c r="J29" i="104"/>
  <c r="J7" i="104"/>
  <c r="K26" i="104"/>
  <c r="J26" i="104"/>
  <c r="K22" i="104"/>
  <c r="K15" i="104"/>
  <c r="J15" i="104"/>
  <c r="J10" i="104"/>
  <c r="J7" i="155"/>
  <c r="I7" i="155"/>
  <c r="J38" i="155"/>
  <c r="I38" i="155"/>
  <c r="J16" i="155"/>
  <c r="I16" i="155"/>
  <c r="J10" i="155"/>
  <c r="I10" i="155"/>
  <c r="Q15" i="46"/>
  <c r="P15" i="46"/>
  <c r="Q12" i="46"/>
  <c r="P12" i="46"/>
  <c r="R27" i="30"/>
  <c r="S24" i="30"/>
  <c r="R24" i="30"/>
  <c r="S15" i="30"/>
  <c r="R15" i="30"/>
  <c r="S12" i="30"/>
  <c r="R12" i="30"/>
  <c r="S27" i="30"/>
  <c r="O27" i="86"/>
  <c r="O7" i="86"/>
  <c r="P59" i="86"/>
  <c r="P23" i="86"/>
  <c r="O59" i="86"/>
  <c r="O23" i="86"/>
  <c r="P39" i="86"/>
  <c r="P17" i="86"/>
  <c r="P33" i="86"/>
  <c r="P12" i="86"/>
  <c r="O33" i="86"/>
  <c r="O12" i="86"/>
  <c r="O39" i="86"/>
  <c r="P27" i="86"/>
  <c r="O17" i="86"/>
  <c r="P7" i="86"/>
  <c r="Q12" i="182"/>
  <c r="P12" i="182"/>
  <c r="P15" i="182"/>
  <c r="Q15" i="182"/>
  <c r="L72" i="198"/>
  <c r="L48" i="198"/>
  <c r="K72" i="198"/>
  <c r="K48" i="198"/>
  <c r="L69" i="198"/>
  <c r="L45" i="198"/>
  <c r="K69" i="198"/>
  <c r="K45" i="198"/>
  <c r="L60" i="198"/>
  <c r="L36" i="198"/>
  <c r="K60" i="198"/>
  <c r="K36" i="198"/>
  <c r="K57" i="198"/>
  <c r="K13" i="198"/>
  <c r="L57" i="198"/>
  <c r="L13" i="198"/>
  <c r="AE12" i="67"/>
  <c r="AF27" i="67"/>
  <c r="AE27" i="67"/>
  <c r="AF24" i="67"/>
  <c r="AF15" i="67"/>
  <c r="AE15" i="67"/>
  <c r="AE24" i="67"/>
  <c r="AF12" i="67"/>
  <c r="O65" i="102"/>
  <c r="P10" i="102"/>
  <c r="P65" i="102"/>
  <c r="P16" i="102"/>
  <c r="O16" i="102"/>
  <c r="O10" i="102"/>
  <c r="P7" i="102"/>
  <c r="O7" i="102"/>
  <c r="AF15" i="75"/>
  <c r="AG54" i="75"/>
  <c r="AF54" i="75"/>
  <c r="AG15" i="75"/>
  <c r="O151" i="142"/>
  <c r="O129" i="142"/>
  <c r="O66" i="142"/>
  <c r="P143" i="142"/>
  <c r="P82" i="142"/>
  <c r="P19" i="142"/>
  <c r="O143" i="142"/>
  <c r="O82" i="142"/>
  <c r="O19" i="142"/>
  <c r="P138" i="142"/>
  <c r="P75" i="142"/>
  <c r="P12" i="142"/>
  <c r="O138" i="142"/>
  <c r="O75" i="142"/>
  <c r="O12" i="142"/>
  <c r="P70" i="142"/>
  <c r="O70" i="142"/>
  <c r="P66" i="142"/>
  <c r="P7" i="142"/>
  <c r="P151" i="142"/>
  <c r="O7" i="142"/>
  <c r="P133" i="142"/>
  <c r="O133" i="142"/>
  <c r="P129" i="142"/>
  <c r="L37" i="170"/>
  <c r="L15" i="170"/>
  <c r="K37" i="170"/>
  <c r="K15" i="170"/>
  <c r="L32" i="170"/>
  <c r="L10" i="170"/>
  <c r="K32" i="170"/>
  <c r="K10" i="170"/>
  <c r="K25" i="170"/>
  <c r="L7" i="170"/>
  <c r="K7" i="170"/>
  <c r="L47" i="170"/>
  <c r="K47" i="170"/>
  <c r="L29" i="170"/>
  <c r="K29" i="170"/>
  <c r="L25" i="170"/>
  <c r="K18" i="50"/>
  <c r="L13" i="50"/>
  <c r="K13" i="50"/>
  <c r="L34" i="50"/>
  <c r="K34" i="50"/>
  <c r="L28" i="50"/>
  <c r="K28" i="50"/>
  <c r="L18" i="50"/>
  <c r="AH24" i="178"/>
  <c r="AG24" i="178"/>
  <c r="AH15" i="178"/>
  <c r="AG15" i="178"/>
  <c r="AG27" i="178"/>
  <c r="AH12" i="178"/>
  <c r="AG12" i="178"/>
  <c r="AH27" i="178"/>
  <c r="O145" i="140"/>
  <c r="O125" i="140"/>
  <c r="O64" i="140"/>
  <c r="P137" i="140"/>
  <c r="P78" i="140"/>
  <c r="P17" i="140"/>
  <c r="O137" i="140"/>
  <c r="O78" i="140"/>
  <c r="O17" i="140"/>
  <c r="P132" i="140"/>
  <c r="P71" i="140"/>
  <c r="P10" i="140"/>
  <c r="O132" i="140"/>
  <c r="O71" i="140"/>
  <c r="O10" i="140"/>
  <c r="P7" i="140"/>
  <c r="P145" i="140"/>
  <c r="O7" i="140"/>
  <c r="P129" i="140"/>
  <c r="O129" i="140"/>
  <c r="P125" i="140"/>
  <c r="P68" i="140"/>
  <c r="O68" i="140"/>
  <c r="P64" i="140"/>
  <c r="T118" i="160"/>
  <c r="T100" i="160"/>
  <c r="T65" i="160"/>
  <c r="T45" i="160"/>
  <c r="T27" i="160"/>
  <c r="T7" i="160"/>
  <c r="S118" i="160"/>
  <c r="S100" i="160"/>
  <c r="S65" i="160"/>
  <c r="S45" i="160"/>
  <c r="S27" i="160"/>
  <c r="S7" i="160"/>
  <c r="T136" i="160"/>
  <c r="T114" i="160"/>
  <c r="T96" i="160"/>
  <c r="T61" i="160"/>
  <c r="T41" i="160"/>
  <c r="T23" i="160"/>
  <c r="S136" i="160"/>
  <c r="S114" i="160"/>
  <c r="S96" i="160"/>
  <c r="S61" i="160"/>
  <c r="S41" i="160"/>
  <c r="S23" i="160"/>
  <c r="T105" i="160"/>
  <c r="T51" i="160"/>
  <c r="T12" i="160"/>
  <c r="S105" i="160"/>
  <c r="S51" i="160"/>
  <c r="S12" i="160"/>
  <c r="T128" i="160"/>
  <c r="T76" i="160"/>
  <c r="T37" i="160"/>
  <c r="S128" i="160"/>
  <c r="S76" i="160"/>
  <c r="S37" i="160"/>
  <c r="T123" i="160"/>
  <c r="T70" i="160"/>
  <c r="T32" i="160"/>
  <c r="S123" i="160"/>
  <c r="S70" i="160"/>
  <c r="S32" i="160"/>
  <c r="T110" i="160"/>
  <c r="S110" i="160"/>
  <c r="T57" i="160"/>
  <c r="S57" i="160"/>
  <c r="T18" i="160"/>
  <c r="S18" i="160"/>
  <c r="AD12" i="56"/>
  <c r="AE27" i="56"/>
  <c r="AD27" i="56"/>
  <c r="AE24" i="56"/>
  <c r="AE15" i="56"/>
  <c r="AD15" i="56"/>
  <c r="AD24" i="56"/>
  <c r="AE12" i="56"/>
  <c r="S172" i="149"/>
  <c r="S155" i="149"/>
  <c r="S135" i="149"/>
  <c r="S118" i="149"/>
  <c r="S102" i="149"/>
  <c r="S85" i="149"/>
  <c r="S64" i="149"/>
  <c r="S47" i="149"/>
  <c r="S17" i="149"/>
  <c r="T167" i="149"/>
  <c r="T150" i="149"/>
  <c r="T130" i="149"/>
  <c r="T113" i="149"/>
  <c r="T96" i="149"/>
  <c r="T80" i="149"/>
  <c r="T58" i="149"/>
  <c r="T42" i="149"/>
  <c r="T10" i="149"/>
  <c r="S164" i="149"/>
  <c r="S147" i="149"/>
  <c r="S127" i="149"/>
  <c r="S110" i="149"/>
  <c r="S93" i="149"/>
  <c r="S77" i="149"/>
  <c r="S55" i="149"/>
  <c r="S39" i="149"/>
  <c r="S7" i="149"/>
  <c r="T172" i="149"/>
  <c r="T143" i="149"/>
  <c r="S113" i="149"/>
  <c r="S89" i="149"/>
  <c r="T55" i="149"/>
  <c r="T17" i="149"/>
  <c r="S167" i="149"/>
  <c r="S143" i="149"/>
  <c r="T110" i="149"/>
  <c r="T85" i="149"/>
  <c r="T51" i="149"/>
  <c r="S10" i="149"/>
  <c r="T164" i="149"/>
  <c r="T135" i="149"/>
  <c r="T106" i="149"/>
  <c r="S80" i="149"/>
  <c r="S51" i="149"/>
  <c r="T7" i="149"/>
  <c r="T160" i="149"/>
  <c r="S130" i="149"/>
  <c r="S106" i="149"/>
  <c r="T77" i="149"/>
  <c r="T47" i="149"/>
  <c r="S160" i="149"/>
  <c r="T127" i="149"/>
  <c r="T102" i="149"/>
  <c r="T73" i="149"/>
  <c r="S42" i="149"/>
  <c r="T155" i="149"/>
  <c r="T123" i="149"/>
  <c r="S96" i="149"/>
  <c r="S73" i="149"/>
  <c r="T39" i="149"/>
  <c r="T93" i="149"/>
  <c r="T89" i="149"/>
  <c r="T182" i="149"/>
  <c r="T64" i="149"/>
  <c r="S182" i="149"/>
  <c r="S58" i="149"/>
  <c r="S150" i="149"/>
  <c r="T35" i="149"/>
  <c r="T147" i="149"/>
  <c r="S35" i="149"/>
  <c r="S123" i="149"/>
  <c r="T118" i="149"/>
  <c r="S190" i="151"/>
  <c r="S171" i="151"/>
  <c r="S149" i="151"/>
  <c r="S130" i="151"/>
  <c r="S112" i="151"/>
  <c r="S93" i="151"/>
  <c r="S70" i="151"/>
  <c r="S51" i="151"/>
  <c r="S19" i="151"/>
  <c r="T185" i="151"/>
  <c r="T166" i="151"/>
  <c r="T144" i="151"/>
  <c r="T125" i="151"/>
  <c r="T106" i="151"/>
  <c r="T88" i="151"/>
  <c r="T64" i="151"/>
  <c r="T46" i="151"/>
  <c r="T12" i="151"/>
  <c r="S185" i="151"/>
  <c r="S166" i="151"/>
  <c r="S144" i="151"/>
  <c r="S125" i="151"/>
  <c r="S106" i="151"/>
  <c r="S88" i="151"/>
  <c r="S64" i="151"/>
  <c r="S46" i="151"/>
  <c r="S12" i="151"/>
  <c r="T180" i="151"/>
  <c r="T161" i="151"/>
  <c r="T139" i="151"/>
  <c r="S180" i="151"/>
  <c r="S161" i="151"/>
  <c r="S139" i="151"/>
  <c r="S120" i="151"/>
  <c r="S101" i="151"/>
  <c r="S83" i="151"/>
  <c r="S59" i="151"/>
  <c r="S41" i="151"/>
  <c r="S7" i="151"/>
  <c r="T200" i="151"/>
  <c r="T176" i="151"/>
  <c r="T157" i="151"/>
  <c r="S157" i="151"/>
  <c r="T112" i="151"/>
  <c r="T70" i="151"/>
  <c r="T19" i="151"/>
  <c r="T149" i="151"/>
  <c r="T101" i="151"/>
  <c r="T59" i="151"/>
  <c r="T7" i="151"/>
  <c r="T135" i="151"/>
  <c r="T97" i="151"/>
  <c r="T55" i="151"/>
  <c r="S135" i="151"/>
  <c r="S97" i="151"/>
  <c r="S55" i="151"/>
  <c r="S200" i="151"/>
  <c r="T130" i="151"/>
  <c r="T93" i="151"/>
  <c r="T51" i="151"/>
  <c r="T190" i="151"/>
  <c r="T120" i="151"/>
  <c r="T83" i="151"/>
  <c r="T41" i="151"/>
  <c r="S176" i="151"/>
  <c r="T171" i="151"/>
  <c r="T116" i="151"/>
  <c r="S116" i="151"/>
  <c r="T79" i="151"/>
  <c r="S79" i="151"/>
  <c r="T37" i="151"/>
  <c r="S37" i="151"/>
  <c r="O150" i="115"/>
  <c r="O114" i="115"/>
  <c r="O83" i="115"/>
  <c r="O47" i="115"/>
  <c r="N150" i="115"/>
  <c r="N114" i="115"/>
  <c r="N83" i="115"/>
  <c r="N47" i="115"/>
  <c r="O143" i="115"/>
  <c r="O110" i="115"/>
  <c r="O70" i="115"/>
  <c r="O39" i="115"/>
  <c r="N143" i="115"/>
  <c r="N110" i="115"/>
  <c r="N70" i="115"/>
  <c r="N39" i="115"/>
  <c r="O133" i="115"/>
  <c r="O101" i="115"/>
  <c r="O60" i="115"/>
  <c r="O29" i="115"/>
  <c r="O124" i="115"/>
  <c r="O93" i="115"/>
  <c r="O56" i="115"/>
  <c r="O13" i="115"/>
  <c r="N29" i="115"/>
  <c r="N13" i="115"/>
  <c r="N133" i="115"/>
  <c r="N124" i="115"/>
  <c r="N101" i="115"/>
  <c r="N93" i="115"/>
  <c r="N60" i="115"/>
  <c r="N56" i="115"/>
  <c r="AH12" i="60"/>
  <c r="AI27" i="60"/>
  <c r="AH27" i="60"/>
  <c r="AI24" i="60"/>
  <c r="AI15" i="60"/>
  <c r="AH15" i="60"/>
  <c r="AH24" i="60"/>
  <c r="AI12" i="60"/>
  <c r="Q12" i="82"/>
  <c r="R15" i="82"/>
  <c r="Q15" i="82"/>
  <c r="R12" i="82"/>
  <c r="I17" i="139"/>
  <c r="J12" i="139"/>
  <c r="I12" i="139"/>
  <c r="J17" i="139"/>
  <c r="M91" i="132"/>
  <c r="M55" i="132"/>
  <c r="M15" i="132"/>
  <c r="M82" i="132"/>
  <c r="M51" i="132"/>
  <c r="M12" i="132"/>
  <c r="N72" i="132"/>
  <c r="M72" i="132"/>
  <c r="M42" i="132"/>
  <c r="N65" i="132"/>
  <c r="N12" i="132"/>
  <c r="M65" i="132"/>
  <c r="N55" i="132"/>
  <c r="N51" i="132"/>
  <c r="N42" i="132"/>
  <c r="N91" i="132"/>
  <c r="M25" i="132"/>
  <c r="N82" i="132"/>
  <c r="N25" i="132"/>
  <c r="N15" i="132"/>
  <c r="AD12" i="186"/>
  <c r="AC12" i="186"/>
  <c r="AC15" i="186"/>
  <c r="AD15" i="186"/>
  <c r="AC13" i="180"/>
  <c r="AB13" i="180"/>
  <c r="AC16" i="180"/>
  <c r="AB16" i="180"/>
  <c r="Y15" i="202"/>
  <c r="X15" i="202"/>
  <c r="Y12" i="202"/>
  <c r="X12" i="202"/>
  <c r="Z12" i="63"/>
  <c r="AA15" i="63"/>
  <c r="Z15" i="63"/>
  <c r="AA12" i="63"/>
  <c r="X24" i="176"/>
  <c r="W24" i="176"/>
  <c r="X15" i="176"/>
  <c r="W15" i="176"/>
  <c r="W27" i="176"/>
  <c r="X12" i="176"/>
  <c r="W12" i="176"/>
  <c r="X27" i="176"/>
  <c r="S16" i="200"/>
  <c r="R16" i="200"/>
  <c r="S12" i="200"/>
  <c r="R12" i="200"/>
  <c r="S28" i="200"/>
  <c r="R28" i="200"/>
  <c r="R25" i="200"/>
  <c r="S25" i="200"/>
  <c r="G17" i="52" l="1"/>
  <c r="K66" i="52"/>
  <c r="K65" i="52"/>
  <c r="K64" i="52"/>
  <c r="K61" i="52"/>
  <c r="K60" i="52"/>
  <c r="K56" i="52"/>
  <c r="S39" i="52"/>
  <c r="R39" i="52"/>
  <c r="Q39" i="52"/>
  <c r="P39" i="52"/>
  <c r="O39" i="52"/>
  <c r="N39" i="52"/>
  <c r="L39" i="52"/>
  <c r="K39" i="52"/>
  <c r="J39" i="52"/>
  <c r="I39" i="52"/>
  <c r="H39" i="52"/>
  <c r="G39" i="52"/>
  <c r="F39" i="52"/>
  <c r="E39" i="52"/>
  <c r="D39" i="52"/>
  <c r="S32" i="52"/>
  <c r="R32" i="52"/>
  <c r="Q32" i="52"/>
  <c r="P32" i="52"/>
  <c r="O32" i="52"/>
  <c r="N32" i="52"/>
  <c r="M32" i="52"/>
  <c r="L32" i="52"/>
  <c r="K32" i="52"/>
  <c r="J32" i="52"/>
  <c r="I32" i="52"/>
  <c r="H32" i="52"/>
  <c r="G32" i="52"/>
  <c r="F32" i="52"/>
  <c r="D32" i="52"/>
  <c r="S31" i="52"/>
  <c r="R31" i="52"/>
  <c r="Q31" i="52"/>
  <c r="P31" i="52"/>
  <c r="O31" i="52"/>
  <c r="N31" i="52"/>
  <c r="M31" i="52"/>
  <c r="L31" i="52"/>
  <c r="K31" i="52"/>
  <c r="J31" i="52"/>
  <c r="I31" i="52"/>
  <c r="H31" i="52"/>
  <c r="G31" i="52"/>
  <c r="F31" i="52"/>
  <c r="D31" i="52"/>
  <c r="S30" i="52"/>
  <c r="R30" i="52"/>
  <c r="Q30" i="52"/>
  <c r="O29" i="52"/>
  <c r="N29" i="52"/>
  <c r="L29" i="52"/>
  <c r="K29" i="52"/>
  <c r="J29" i="52"/>
  <c r="I29" i="52"/>
  <c r="H29" i="52"/>
  <c r="G29" i="52"/>
  <c r="F29" i="52"/>
  <c r="E29" i="52"/>
  <c r="D29" i="52"/>
  <c r="S26" i="52"/>
  <c r="R26" i="52"/>
  <c r="Q26" i="52"/>
  <c r="P26" i="52"/>
  <c r="O26" i="52"/>
  <c r="N26" i="52"/>
  <c r="M26" i="52"/>
  <c r="L26" i="52"/>
  <c r="K26" i="52"/>
  <c r="J26" i="52"/>
  <c r="I26" i="52"/>
  <c r="H26" i="52"/>
  <c r="G26" i="52"/>
  <c r="F26" i="52"/>
  <c r="D26" i="52"/>
  <c r="S25" i="52"/>
  <c r="R25" i="52"/>
  <c r="Q25" i="52"/>
  <c r="P25" i="52"/>
  <c r="O25" i="52"/>
  <c r="N25" i="52"/>
  <c r="M25" i="52"/>
  <c r="L25" i="52"/>
  <c r="K25" i="52"/>
  <c r="J25" i="52"/>
  <c r="H25" i="52"/>
  <c r="G25" i="52"/>
  <c r="F25" i="52"/>
  <c r="E25" i="52"/>
  <c r="D25" i="52"/>
  <c r="S24" i="52"/>
  <c r="R24" i="52"/>
  <c r="Q24" i="52"/>
  <c r="P24" i="52"/>
  <c r="O23" i="52"/>
  <c r="N23" i="52"/>
  <c r="M23" i="52"/>
  <c r="L23" i="52"/>
  <c r="K23" i="52"/>
  <c r="J23" i="52"/>
  <c r="I23" i="52"/>
  <c r="H23" i="52"/>
  <c r="G23" i="52"/>
  <c r="F23" i="52"/>
  <c r="E23" i="52"/>
  <c r="D23" i="52"/>
  <c r="S20" i="52"/>
  <c r="R20" i="52"/>
  <c r="Q20" i="52"/>
  <c r="P20" i="52"/>
  <c r="O20" i="52"/>
  <c r="N20" i="52"/>
  <c r="M20" i="52"/>
  <c r="L20" i="52"/>
  <c r="K20" i="52"/>
  <c r="J20" i="52"/>
  <c r="I20" i="52"/>
  <c r="H20" i="52"/>
  <c r="F20" i="52"/>
  <c r="D20" i="52"/>
  <c r="S19" i="52"/>
  <c r="R19" i="52"/>
  <c r="Q19" i="52"/>
  <c r="P19" i="52"/>
  <c r="O19" i="52"/>
  <c r="N19" i="52"/>
  <c r="M19" i="52"/>
  <c r="L19" i="52"/>
  <c r="K19" i="52"/>
  <c r="J19" i="52"/>
  <c r="I19" i="52"/>
  <c r="H19" i="52"/>
  <c r="G19" i="52"/>
  <c r="F19" i="52"/>
  <c r="D19" i="52"/>
  <c r="S18" i="52"/>
  <c r="R18" i="52"/>
  <c r="Q18" i="52"/>
  <c r="O17" i="52"/>
  <c r="N17" i="52"/>
  <c r="M17" i="52"/>
  <c r="L17" i="52"/>
  <c r="K17" i="52"/>
  <c r="J17" i="52"/>
  <c r="I17" i="52"/>
  <c r="H17" i="52"/>
  <c r="F17" i="52"/>
  <c r="E17" i="52"/>
  <c r="D17" i="52"/>
  <c r="L65" i="52"/>
  <c r="L64" i="52"/>
  <c r="L61" i="52"/>
  <c r="L60" i="52"/>
  <c r="L56" i="52"/>
  <c r="T24" i="52"/>
  <c r="L58" i="52" l="1"/>
  <c r="K58" i="52"/>
  <c r="T31" i="52"/>
  <c r="E31" i="52"/>
  <c r="L62" i="52"/>
  <c r="K62" i="52"/>
  <c r="T19" i="52"/>
  <c r="E19" i="52"/>
  <c r="T23" i="52"/>
  <c r="T25" i="52"/>
  <c r="I25" i="52"/>
  <c r="T26" i="52"/>
  <c r="E26" i="52"/>
  <c r="T29" i="52"/>
  <c r="M29" i="52"/>
  <c r="T32" i="52"/>
  <c r="E32" i="52"/>
  <c r="M39" i="52"/>
  <c r="E20" i="52"/>
  <c r="L66" i="52"/>
  <c r="T30" i="52"/>
  <c r="P30" i="52"/>
  <c r="G20" i="52"/>
  <c r="T18" i="52"/>
  <c r="P18" i="52"/>
  <c r="L57" i="52"/>
  <c r="K57" i="52"/>
  <c r="T17" i="52"/>
  <c r="T20" i="52" l="1"/>
  <c r="T41" i="52"/>
  <c r="T39" i="52"/>
  <c r="D101" i="32" l="1"/>
  <c r="D100" i="32"/>
  <c r="D99" i="32"/>
  <c r="D98" i="32"/>
  <c r="D97" i="32"/>
  <c r="D96" i="32"/>
  <c r="D95" i="32"/>
  <c r="D94" i="32"/>
  <c r="D91" i="32"/>
  <c r="D89" i="32"/>
  <c r="D88" i="32"/>
  <c r="D87" i="32"/>
  <c r="D85" i="32"/>
  <c r="D83" i="32"/>
  <c r="D82" i="32"/>
  <c r="D81" i="32"/>
  <c r="D80" i="32"/>
  <c r="D79" i="32"/>
  <c r="D78" i="32"/>
  <c r="D77" i="32"/>
  <c r="D76" i="32"/>
  <c r="D75" i="32"/>
  <c r="D74" i="32"/>
  <c r="D73" i="32"/>
  <c r="D72" i="32"/>
  <c r="D71" i="32"/>
  <c r="D70" i="32"/>
  <c r="D69" i="32"/>
  <c r="D68" i="32"/>
  <c r="D67" i="32"/>
  <c r="D66" i="32"/>
  <c r="D65" i="32"/>
  <c r="D64" i="32"/>
  <c r="D63"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62" i="32" l="1"/>
  <c r="D86" i="32"/>
  <c r="D93" i="32"/>
  <c r="D90" i="32"/>
  <c r="D9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VANHEULE Pieterjan</author>
  </authors>
  <commentList>
    <comment ref="O61" authorId="0" shapeId="0" xr:uid="{712ABC19-6AFB-4B91-9BA1-D8F3A520C6CE}">
      <text>
        <r>
          <rPr>
            <sz val="9"/>
            <color indexed="81"/>
            <rFont val="Tahoma"/>
            <family val="2"/>
          </rPr>
          <t>missing part from triglav qs manually added</t>
        </r>
      </text>
    </comment>
  </commentList>
</comments>
</file>

<file path=xl/sharedStrings.xml><?xml version="1.0" encoding="utf-8"?>
<sst xmlns="http://schemas.openxmlformats.org/spreadsheetml/2006/main" count="28736" uniqueCount="6113">
  <si>
    <t>Version:</t>
  </si>
  <si>
    <t>Not applicable/All geographical areas</t>
  </si>
  <si>
    <t>http://standards.iso.org/iso/17442</t>
  </si>
  <si>
    <t>01</t>
  </si>
  <si>
    <t>EUR</t>
  </si>
  <si>
    <t>AFGHANISTAN</t>
  </si>
  <si>
    <t>02</t>
  </si>
  <si>
    <t>AED</t>
  </si>
  <si>
    <t xml:space="preserve"> </t>
  </si>
  <si>
    <t>ALBANIA</t>
  </si>
  <si>
    <t>04</t>
  </si>
  <si>
    <t>AFN</t>
  </si>
  <si>
    <t>ALGERIA</t>
  </si>
  <si>
    <t>05</t>
  </si>
  <si>
    <t>ALL</t>
  </si>
  <si>
    <t>AMERICAN SAMOA</t>
  </si>
  <si>
    <t>07</t>
  </si>
  <si>
    <t>AMD</t>
  </si>
  <si>
    <t>ANDORRA</t>
  </si>
  <si>
    <t>08</t>
  </si>
  <si>
    <t>ANG</t>
  </si>
  <si>
    <t>ANGOLA</t>
  </si>
  <si>
    <t>10</t>
  </si>
  <si>
    <t>AOA</t>
  </si>
  <si>
    <t>General Data</t>
  </si>
  <si>
    <t>/General data label{B}</t>
  </si>
  <si>
    <t>/General data value{E}</t>
  </si>
  <si>
    <t>ANGUILLA</t>
  </si>
  <si>
    <t>11</t>
  </si>
  <si>
    <t>ARS</t>
  </si>
  <si>
    <t>ANTARCTICA</t>
  </si>
  <si>
    <t>12</t>
  </si>
  <si>
    <t>AUD</t>
  </si>
  <si>
    <t>*</t>
  </si>
  <si>
    <t>Identifier</t>
  </si>
  <si>
    <t>:</t>
  </si>
  <si>
    <t>ANTIGUA AND BARBUDA</t>
  </si>
  <si>
    <t>13</t>
  </si>
  <si>
    <t>AWG</t>
  </si>
  <si>
    <t>ARGENTINA</t>
  </si>
  <si>
    <t>14</t>
  </si>
  <si>
    <t>AZN</t>
  </si>
  <si>
    <t>Period start date</t>
  </si>
  <si>
    <t>ARMENIA</t>
  </si>
  <si>
    <t>15</t>
  </si>
  <si>
    <t>BAM</t>
  </si>
  <si>
    <t>ARUBA</t>
  </si>
  <si>
    <t>16</t>
  </si>
  <si>
    <t>BBD</t>
  </si>
  <si>
    <t>Period end date</t>
  </si>
  <si>
    <t>AUSTRALIA</t>
  </si>
  <si>
    <t>17</t>
  </si>
  <si>
    <t>BDT</t>
  </si>
  <si>
    <t>AUSTRIA</t>
  </si>
  <si>
    <t>18</t>
  </si>
  <si>
    <t>BGN</t>
  </si>
  <si>
    <t>Country</t>
  </si>
  <si>
    <t>AZERBAIJAN</t>
  </si>
  <si>
    <t>19</t>
  </si>
  <si>
    <t>BHD</t>
  </si>
  <si>
    <t>BAHAMAS</t>
  </si>
  <si>
    <t>20</t>
  </si>
  <si>
    <t>BIF</t>
  </si>
  <si>
    <t>Filing Currency</t>
  </si>
  <si>
    <t>BAHRAIN</t>
  </si>
  <si>
    <t>All</t>
  </si>
  <si>
    <t>BMD</t>
  </si>
  <si>
    <t>BANGLADESH</t>
  </si>
  <si>
    <t>BND</t>
  </si>
  <si>
    <t>Taxonomy</t>
  </si>
  <si>
    <t>BARBADOS</t>
  </si>
  <si>
    <t>BOB</t>
  </si>
  <si>
    <t>BELARUS</t>
  </si>
  <si>
    <t>BRL</t>
  </si>
  <si>
    <t>Module</t>
  </si>
  <si>
    <t>BELGIUM</t>
  </si>
  <si>
    <t>http://www.swift.com</t>
  </si>
  <si>
    <t>BSD</t>
  </si>
  <si>
    <t>BELIZE</t>
  </si>
  <si>
    <t>BTN</t>
  </si>
  <si>
    <t>BENIN</t>
  </si>
  <si>
    <t>BWP</t>
  </si>
  <si>
    <t>Advanced Requirements</t>
  </si>
  <si>
    <t>BERMUDA</t>
  </si>
  <si>
    <t>BYN</t>
  </si>
  <si>
    <t>BHUTAN</t>
  </si>
  <si>
    <t>BZD</t>
  </si>
  <si>
    <t>Identifier scheme</t>
  </si>
  <si>
    <t>BOLIVIA, PLURINATIONAL STATE OF</t>
  </si>
  <si>
    <t>CAD</t>
  </si>
  <si>
    <t>BRAZIL</t>
  </si>
  <si>
    <t>COP</t>
  </si>
  <si>
    <t>Monetary decimals</t>
  </si>
  <si>
    <t>BRITISH INDIAN OCEAN TERRITORY</t>
  </si>
  <si>
    <t>CRC</t>
  </si>
  <si>
    <t>BRUNEI DARUSSALAM</t>
  </si>
  <si>
    <t>CUC</t>
  </si>
  <si>
    <t>Monetary precision</t>
  </si>
  <si>
    <t>BULGARIA</t>
  </si>
  <si>
    <t>CUP</t>
  </si>
  <si>
    <t>BURKINA FASO</t>
  </si>
  <si>
    <t>CVE</t>
  </si>
  <si>
    <t>Pure decimals</t>
  </si>
  <si>
    <t>BURUNDI</t>
  </si>
  <si>
    <t>CZK</t>
  </si>
  <si>
    <t>CAMBODIA</t>
  </si>
  <si>
    <t>DJF</t>
  </si>
  <si>
    <t>Pure precision</t>
  </si>
  <si>
    <r>
      <rPr>
        <b/>
        <sz val="12"/>
        <color rgb="FF14618A"/>
        <rFont val="Calibri"/>
        <family val="2"/>
        <scheme val="minor"/>
      </rPr>
      <t>#XBRL</t>
    </r>
    <r>
      <rPr>
        <sz val="12"/>
        <color rgb="FF14618A"/>
        <rFont val="Calibri"/>
        <family val="2"/>
        <scheme val="minor"/>
      </rPr>
      <t xml:space="preserve"> made simple!</t>
    </r>
  </si>
  <si>
    <t>CAMEROON</t>
  </si>
  <si>
    <t>DKK</t>
  </si>
  <si>
    <t>CANADA</t>
  </si>
  <si>
    <t>DOP</t>
  </si>
  <si>
    <t>Concatenate Errors</t>
  </si>
  <si>
    <t>CAPE VERDE</t>
  </si>
  <si>
    <t>DZD</t>
  </si>
  <si>
    <t>Additional Requirements (Country specific)</t>
  </si>
  <si>
    <t>CAYMAN ISLANDS</t>
  </si>
  <si>
    <t>EGP</t>
  </si>
  <si>
    <t>CENTRAL AFRICAN REPUBLIC</t>
  </si>
  <si>
    <t>ERN</t>
  </si>
  <si>
    <t>Post Parsing features</t>
  </si>
  <si>
    <t>CHAD</t>
  </si>
  <si>
    <t>ETB</t>
  </si>
  <si>
    <t>CHILE</t>
  </si>
  <si>
    <t>Reporter e-mail</t>
  </si>
  <si>
    <t>CHINA</t>
  </si>
  <si>
    <t>FJD</t>
  </si>
  <si>
    <t>CHRISTMAS ISLAND</t>
  </si>
  <si>
    <t>FKP</t>
  </si>
  <si>
    <t>Declarer Type</t>
  </si>
  <si>
    <t>COCOS (KEELING) ISLANDS</t>
  </si>
  <si>
    <t>GBP</t>
  </si>
  <si>
    <t>COLOMBIA</t>
  </si>
  <si>
    <t>GEL</t>
  </si>
  <si>
    <t>Domain</t>
  </si>
  <si>
    <t>COMOROS</t>
  </si>
  <si>
    <t>GGP</t>
  </si>
  <si>
    <t>CONGO</t>
  </si>
  <si>
    <t>GHS</t>
  </si>
  <si>
    <t>ParsePort-specific parameters:</t>
  </si>
  <si>
    <t>SII_</t>
  </si>
  <si>
    <t>CONGO, THE DEMOCRATIC REPUBLIC OF THE</t>
  </si>
  <si>
    <t>GIP</t>
  </si>
  <si>
    <t>Compress contexts</t>
  </si>
  <si>
    <t>COOK ISLANDS</t>
  </si>
  <si>
    <t>GMD</t>
  </si>
  <si>
    <t>Language</t>
  </si>
  <si>
    <t>EN</t>
  </si>
  <si>
    <t>COSTA RICA</t>
  </si>
  <si>
    <t>GNF</t>
  </si>
  <si>
    <t>Debug mode</t>
  </si>
  <si>
    <t>CÔTE D'IVOIRE</t>
  </si>
  <si>
    <t>GTQ</t>
  </si>
  <si>
    <t>LookupValue fallback</t>
  </si>
  <si>
    <t>CROATIA</t>
  </si>
  <si>
    <t>GYD</t>
  </si>
  <si>
    <t>//General data label{B}</t>
  </si>
  <si>
    <t>//General data value{E}</t>
  </si>
  <si>
    <t>CUBA</t>
  </si>
  <si>
    <t>HKD</t>
  </si>
  <si>
    <t>CURAÇAO</t>
  </si>
  <si>
    <t>HNL</t>
  </si>
  <si>
    <t>CYPRUS</t>
  </si>
  <si>
    <t>HRK</t>
  </si>
  <si>
    <t>CZECH REPUBLIC</t>
  </si>
  <si>
    <t>HTG</t>
  </si>
  <si>
    <t>DENMARK</t>
  </si>
  <si>
    <t>HUF</t>
  </si>
  <si>
    <t>DJIBOUTI</t>
  </si>
  <si>
    <t>IDR</t>
  </si>
  <si>
    <t>DOMINICA</t>
  </si>
  <si>
    <t>ILS</t>
  </si>
  <si>
    <t>DOMINICAN REPUBLIC</t>
  </si>
  <si>
    <t>IMP</t>
  </si>
  <si>
    <t>ECUADOR</t>
  </si>
  <si>
    <t>INR</t>
  </si>
  <si>
    <t>EGYPT</t>
  </si>
  <si>
    <t>IQD</t>
  </si>
  <si>
    <t>EL SALVADOR</t>
  </si>
  <si>
    <t>IRR</t>
  </si>
  <si>
    <t>EQUATORIAL GUINEA</t>
  </si>
  <si>
    <t>ISK</t>
  </si>
  <si>
    <t>ERITREA</t>
  </si>
  <si>
    <t>JEP</t>
  </si>
  <si>
    <t>ESTONIA</t>
  </si>
  <si>
    <t>JMD</t>
  </si>
  <si>
    <t>ETHIOPIA</t>
  </si>
  <si>
    <t>JOD</t>
  </si>
  <si>
    <t>FALKLAND ISLANDS (MALVINAS)</t>
  </si>
  <si>
    <t>JPY</t>
  </si>
  <si>
    <t>FAROE ISLANDS</t>
  </si>
  <si>
    <t>KES</t>
  </si>
  <si>
    <t>FIJI</t>
  </si>
  <si>
    <t>KGS</t>
  </si>
  <si>
    <t>FINLAND</t>
  </si>
  <si>
    <t>KHR</t>
  </si>
  <si>
    <t>FRANCE</t>
  </si>
  <si>
    <t>KMF</t>
  </si>
  <si>
    <t>FRENCH GUIANA</t>
  </si>
  <si>
    <t>KPW</t>
  </si>
  <si>
    <t>FRENCH POLYNESIA</t>
  </si>
  <si>
    <t>KRW</t>
  </si>
  <si>
    <t>FRENCH SOUTHERN TERRITORIES</t>
  </si>
  <si>
    <t>KWD</t>
  </si>
  <si>
    <t>GABON</t>
  </si>
  <si>
    <t>KYD</t>
  </si>
  <si>
    <t>GAMBIA</t>
  </si>
  <si>
    <t>KZT</t>
  </si>
  <si>
    <t>GEORGIA</t>
  </si>
  <si>
    <t>LAK</t>
  </si>
  <si>
    <t>GERMANY</t>
  </si>
  <si>
    <t>LBP</t>
  </si>
  <si>
    <t>GHANA</t>
  </si>
  <si>
    <t>LKR</t>
  </si>
  <si>
    <t>GIBRALTAR</t>
  </si>
  <si>
    <t>LRD</t>
  </si>
  <si>
    <t>GREECE</t>
  </si>
  <si>
    <t>LSL</t>
  </si>
  <si>
    <t>GREENLAND</t>
  </si>
  <si>
    <t>LYD</t>
  </si>
  <si>
    <t>GRENADA</t>
  </si>
  <si>
    <t>MAD</t>
  </si>
  <si>
    <t>GUADELOUPE</t>
  </si>
  <si>
    <t>MDL</t>
  </si>
  <si>
    <t>GUAM</t>
  </si>
  <si>
    <t>MGA</t>
  </si>
  <si>
    <t>GUATEMALA</t>
  </si>
  <si>
    <t>MKD</t>
  </si>
  <si>
    <t>GUERNSEY</t>
  </si>
  <si>
    <t>MMK</t>
  </si>
  <si>
    <t>GUINEA</t>
  </si>
  <si>
    <t>MNT</t>
  </si>
  <si>
    <t>GUINEA-BISSAU</t>
  </si>
  <si>
    <t>MOP</t>
  </si>
  <si>
    <t>GUYANA</t>
  </si>
  <si>
    <t>MRO</t>
  </si>
  <si>
    <t>HAITI</t>
  </si>
  <si>
    <t>MUR</t>
  </si>
  <si>
    <t>HEARD ISLAND AND MCDONALD ISLANDS</t>
  </si>
  <si>
    <t>MVR</t>
  </si>
  <si>
    <t>HOLY SEE (VATICAN CITY STATE)</t>
  </si>
  <si>
    <t>MWK</t>
  </si>
  <si>
    <t>HONDURAS</t>
  </si>
  <si>
    <t>MXN</t>
  </si>
  <si>
    <t>HONG KONG</t>
  </si>
  <si>
    <t>MYR</t>
  </si>
  <si>
    <t>HUNGARY</t>
  </si>
  <si>
    <t>MZN</t>
  </si>
  <si>
    <t>ICELAND</t>
  </si>
  <si>
    <t>NAD</t>
  </si>
  <si>
    <t>INDIA</t>
  </si>
  <si>
    <t>NGN</t>
  </si>
  <si>
    <t>INDONESIA</t>
  </si>
  <si>
    <t>NIO</t>
  </si>
  <si>
    <t>IRAN, ISLAMIC REPUBLIC OF</t>
  </si>
  <si>
    <t>NOK</t>
  </si>
  <si>
    <t>IRAQ</t>
  </si>
  <si>
    <t>NPR</t>
  </si>
  <si>
    <t>IRELAND</t>
  </si>
  <si>
    <t>NZD</t>
  </si>
  <si>
    <t>ISLE OF MAN</t>
  </si>
  <si>
    <t>OMR</t>
  </si>
  <si>
    <t>ISRAEL</t>
  </si>
  <si>
    <t>PAB</t>
  </si>
  <si>
    <t>ITALY</t>
  </si>
  <si>
    <t>PEN</t>
  </si>
  <si>
    <t>JAMAICA</t>
  </si>
  <si>
    <t>PGK</t>
  </si>
  <si>
    <t>JAPAN</t>
  </si>
  <si>
    <t>PHP</t>
  </si>
  <si>
    <t>JERSEY</t>
  </si>
  <si>
    <t>PKR</t>
  </si>
  <si>
    <t>JORDAN</t>
  </si>
  <si>
    <t>PLN</t>
  </si>
  <si>
    <t>KAZAKHSTAN</t>
  </si>
  <si>
    <t>PYG</t>
  </si>
  <si>
    <t>KENYA</t>
  </si>
  <si>
    <t>QAR</t>
  </si>
  <si>
    <t>KIRIBATI</t>
  </si>
  <si>
    <t>RON</t>
  </si>
  <si>
    <t>KOREA, DEMOCRATIC PEOPLE'S REPUBLIC OF</t>
  </si>
  <si>
    <t>RSD</t>
  </si>
  <si>
    <t>KOREA, REPUBLIC OF</t>
  </si>
  <si>
    <t>RUB</t>
  </si>
  <si>
    <t>KUWAIT</t>
  </si>
  <si>
    <t>RWF</t>
  </si>
  <si>
    <t>KYRGYZSTAN</t>
  </si>
  <si>
    <t>SAR</t>
  </si>
  <si>
    <t>LAO PEOPLE'S DEMOCRATIC REPUBLIC</t>
  </si>
  <si>
    <t>SBD</t>
  </si>
  <si>
    <t>LATVIA</t>
  </si>
  <si>
    <t>SCR</t>
  </si>
  <si>
    <t>LEBANON</t>
  </si>
  <si>
    <t>SDG</t>
  </si>
  <si>
    <t>LESOTHO</t>
  </si>
  <si>
    <t>SEK</t>
  </si>
  <si>
    <t>LIBERIA</t>
  </si>
  <si>
    <t>SGD</t>
  </si>
  <si>
    <t>LIBYA</t>
  </si>
  <si>
    <t>SHP</t>
  </si>
  <si>
    <t>LIECHTENSTEIN</t>
  </si>
  <si>
    <t>SLL</t>
  </si>
  <si>
    <t>LITHUANIA</t>
  </si>
  <si>
    <t>SOS</t>
  </si>
  <si>
    <t>LUXEMBOURG</t>
  </si>
  <si>
    <t>http://www.cssf.lu</t>
  </si>
  <si>
    <t>SPL</t>
  </si>
  <si>
    <t>MACAO</t>
  </si>
  <si>
    <t>SRD</t>
  </si>
  <si>
    <t>MACEDONIA, THE FORMER YUGOSLAV REPUBLIC OF</t>
  </si>
  <si>
    <t>STD</t>
  </si>
  <si>
    <t>MADAGASCAR</t>
  </si>
  <si>
    <t>SVC</t>
  </si>
  <si>
    <t>MALAWI</t>
  </si>
  <si>
    <t>SYP</t>
  </si>
  <si>
    <t>MALAYSIA</t>
  </si>
  <si>
    <t>SZL</t>
  </si>
  <si>
    <t>MALDIVES</t>
  </si>
  <si>
    <t>THB</t>
  </si>
  <si>
    <t>MALI</t>
  </si>
  <si>
    <t>TJS</t>
  </si>
  <si>
    <t>MALTA</t>
  </si>
  <si>
    <t>TMT</t>
  </si>
  <si>
    <t>MARSHALL ISLANDS</t>
  </si>
  <si>
    <t>TND</t>
  </si>
  <si>
    <t>MARTINIQUE</t>
  </si>
  <si>
    <t>TOP</t>
  </si>
  <si>
    <t>MAURITANIA</t>
  </si>
  <si>
    <t>TRY</t>
  </si>
  <si>
    <t>MAURITIUS</t>
  </si>
  <si>
    <t>TTD</t>
  </si>
  <si>
    <t>MAYOTTE</t>
  </si>
  <si>
    <t>TVD</t>
  </si>
  <si>
    <t>MEXICO</t>
  </si>
  <si>
    <t>TWD</t>
  </si>
  <si>
    <t>MICRONESIA, FEDERATED STATES OF</t>
  </si>
  <si>
    <t>TZS</t>
  </si>
  <si>
    <t>MOLDOVA, REPUBLIC OF</t>
  </si>
  <si>
    <t>UAH</t>
  </si>
  <si>
    <t>MONACO</t>
  </si>
  <si>
    <t>UGX</t>
  </si>
  <si>
    <t>MONGOLIA</t>
  </si>
  <si>
    <t>USD</t>
  </si>
  <si>
    <t>MONTENEGRO</t>
  </si>
  <si>
    <t>UYU</t>
  </si>
  <si>
    <t>MONTSERRAT</t>
  </si>
  <si>
    <t>UZS</t>
  </si>
  <si>
    <t>MOROCCO</t>
  </si>
  <si>
    <t>VEF</t>
  </si>
  <si>
    <t>MOZAMBIQUE</t>
  </si>
  <si>
    <t>VND</t>
  </si>
  <si>
    <t>MYANMAR</t>
  </si>
  <si>
    <t>VUV</t>
  </si>
  <si>
    <t>NAMIBIA</t>
  </si>
  <si>
    <t>WST</t>
  </si>
  <si>
    <t>NAURU</t>
  </si>
  <si>
    <t>XAF</t>
  </si>
  <si>
    <t>NEPAL</t>
  </si>
  <si>
    <t>XCD</t>
  </si>
  <si>
    <t>NETHERLANDS</t>
  </si>
  <si>
    <t>XDR</t>
  </si>
  <si>
    <t>NEW CALEDONIA</t>
  </si>
  <si>
    <t>XOF</t>
  </si>
  <si>
    <t>NEW ZEALAND</t>
  </si>
  <si>
    <t>XPF</t>
  </si>
  <si>
    <t>NICARAGUA</t>
  </si>
  <si>
    <t>YER</t>
  </si>
  <si>
    <t>NIGER</t>
  </si>
  <si>
    <t>ZAR</t>
  </si>
  <si>
    <t>NIGERIA</t>
  </si>
  <si>
    <t>ZMW</t>
  </si>
  <si>
    <t>NIUE</t>
  </si>
  <si>
    <t>ZWD</t>
  </si>
  <si>
    <t>NORFOLK ISLAND</t>
  </si>
  <si>
    <t>NORTHERN MARIANA ISLANDS</t>
  </si>
  <si>
    <t>NORWAY</t>
  </si>
  <si>
    <t>SC</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</si>
  <si>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</si>
  <si>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</si>
  <si>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</si>
  <si>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</si>
  <si>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</si>
  <si>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</si>
  <si>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</si>
  <si>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</si>
  <si>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</si>
  <si>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</si>
  <si>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</si>
  <si>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</si>
  <si>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</si>
  <si>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</si>
  <si>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</si>
  <si>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</si>
  <si>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</si>
  <si>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</si>
  <si>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</si>
  <si>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</si>
  <si>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</si>
  <si>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</si>
  <si>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</si>
  <si>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</si>
  <si>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</si>
  <si>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</si>
  <si>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</si>
  <si>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</si>
  <si>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</si>
  <si>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</si>
  <si>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</si>
  <si>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</si>
  <si>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</si>
  <si>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</si>
  <si>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</si>
  <si>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</si>
  <si>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</si>
  <si>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</si>
  <si>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</si>
  <si>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</si>
  <si>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</si>
  <si>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</si>
  <si>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</si>
  <si>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</si>
  <si>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</si>
  <si>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</si>
  <si>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</si>
  <si>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</si>
  <si>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</si>
  <si>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http://www.fi.se/instnr</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</si>
  <si>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</si>
  <si>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</si>
  <si>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</si>
  <si>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</si>
  <si>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</si>
  <si>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</si>
  <si>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</si>
  <si>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</si>
  <si>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</si>
  <si>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</si>
  <si>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</si>
  <si>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</si>
  <si>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</si>
  <si>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</si>
  <si>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</si>
  <si>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</si>
  <si>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</si>
  <si>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</si>
  <si>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</si>
  <si>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</si>
  <si>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</si>
  <si>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</si>
  <si>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</si>
  <si>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</si>
  <si>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</si>
  <si>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</si>
  <si>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</si>
  <si>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</si>
  <si>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</si>
  <si>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</si>
  <si>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</si>
  <si>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</si>
  <si>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</si>
  <si>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</si>
  <si>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ÅLAND ISLANDS</t>
  </si>
  <si>
    <t>Other Countries</t>
  </si>
  <si>
    <t>Timestamp</t>
  </si>
  <si>
    <t>Error</t>
  </si>
  <si>
    <t>Index</t>
  </si>
  <si>
    <t>Template Code</t>
  </si>
  <si>
    <t>Template Name</t>
  </si>
  <si>
    <t>Reporting Status</t>
  </si>
  <si>
    <t>SII 2.6.0</t>
  </si>
  <si>
    <t>Annual Solvency II reporting Solo</t>
  </si>
  <si>
    <t>Quarterly Solvency II reporting Solo</t>
  </si>
  <si>
    <t>QRS</t>
  </si>
  <si>
    <t>Annual Solvency II reporting Group</t>
  </si>
  <si>
    <t>ARG</t>
  </si>
  <si>
    <t>Quarterly Solvency II reporting Group</t>
  </si>
  <si>
    <t>QRG</t>
  </si>
  <si>
    <t>Annual Solvency II reporting Third country branches</t>
  </si>
  <si>
    <t>ARB</t>
  </si>
  <si>
    <t>Quarterly Solvency II reporting Third country branches</t>
  </si>
  <si>
    <t>QRB</t>
  </si>
  <si>
    <t>Annual Financial Stability reporting Solo</t>
  </si>
  <si>
    <t>AFS</t>
  </si>
  <si>
    <t>Quarterly Financial Stability reporting Solo</t>
  </si>
  <si>
    <t>QFS</t>
  </si>
  <si>
    <t>Annual Financial Stability reporting Group</t>
  </si>
  <si>
    <t>AFG</t>
  </si>
  <si>
    <t>Quarterly Financial Stability reporting Group</t>
  </si>
  <si>
    <t>QFG</t>
  </si>
  <si>
    <t>Annual Financial Stability Third country branches</t>
  </si>
  <si>
    <t>AFB</t>
  </si>
  <si>
    <t>Quarterly Financial Stability Third country branches</t>
  </si>
  <si>
    <t>QFB</t>
  </si>
  <si>
    <t>Annual ECB reporting Solo</t>
  </si>
  <si>
    <t>AES</t>
  </si>
  <si>
    <t>Quarterly ECB reporting Solo</t>
  </si>
  <si>
    <t>QES</t>
  </si>
  <si>
    <t>Annual ECB reporting Third country branches</t>
  </si>
  <si>
    <t>AEB</t>
  </si>
  <si>
    <t>Quarterly ECB reporting Third country branches</t>
  </si>
  <si>
    <t>QEB</t>
  </si>
  <si>
    <t>Annual reporting Special Purpose Vehicles</t>
  </si>
  <si>
    <t>SPV</t>
  </si>
  <si>
    <t>Annual Solvency II public disclosure Solo</t>
  </si>
  <si>
    <t>APS</t>
  </si>
  <si>
    <t>Annual Solvency II public disclosure Group</t>
  </si>
  <si>
    <t>APG</t>
  </si>
  <si>
    <t>Sheet</t>
  </si>
  <si>
    <t>Prefix</t>
  </si>
  <si>
    <t>S.01.01.01</t>
  </si>
  <si>
    <t>X</t>
  </si>
  <si>
    <t>Appendix I: Quantitative reporting templates</t>
  </si>
  <si>
    <t>S.01.01.02</t>
  </si>
  <si>
    <t>S.01.01.04</t>
  </si>
  <si>
    <t>S.01.01.05</t>
  </si>
  <si>
    <t>S.01.01.07</t>
  </si>
  <si>
    <t>S.01.01.08</t>
  </si>
  <si>
    <t>S.01.01.10</t>
  </si>
  <si>
    <t>S.01.01.11</t>
  </si>
  <si>
    <t>S.01.01.12</t>
  </si>
  <si>
    <t>S.01.01.13</t>
  </si>
  <si>
    <t>S.01.01.14</t>
  </si>
  <si>
    <t>S.01.01.15</t>
  </si>
  <si>
    <t>SR.01.01.01</t>
  </si>
  <si>
    <t>SR.01.01.04</t>
  </si>
  <si>
    <t>SR.01.01.07</t>
  </si>
  <si>
    <t>SE.01.01.16</t>
  </si>
  <si>
    <t>Variant of Solvency II template S.01.01.01 with ECB add-ons (annual reporting, solo)</t>
  </si>
  <si>
    <t>SE.01.01.17</t>
  </si>
  <si>
    <t>Variant of Solvency II template S.01.01.02 with ECB add-ons (quarterly reporting, solo)</t>
  </si>
  <si>
    <t>SE.01.01.18</t>
  </si>
  <si>
    <t>Variant of Solvency II template S.01.01.07 with ECB add-ons (annual reporting, third country branches)</t>
  </si>
  <si>
    <t>SE.01.01.19</t>
  </si>
  <si>
    <t>Variant of Solvency II template S.01.01.08 with ECB add-ons (quarterly reporting, third country branches)</t>
  </si>
  <si>
    <t>S.01.02.01</t>
  </si>
  <si>
    <t>Basic Information - General</t>
  </si>
  <si>
    <t>S.01.02.04</t>
  </si>
  <si>
    <t>S.01.02.07</t>
  </si>
  <si>
    <t>Basic Information</t>
  </si>
  <si>
    <t>S.01.03.01</t>
  </si>
  <si>
    <t>Basic Information - RFF and matching adjustment portfolios</t>
  </si>
  <si>
    <t>S.01.03.04</t>
  </si>
  <si>
    <t>S.02.01.01</t>
  </si>
  <si>
    <t>Balance sheet</t>
  </si>
  <si>
    <t>S.02.01.02</t>
  </si>
  <si>
    <t>S.02.01.07</t>
  </si>
  <si>
    <t>S.02.01.08</t>
  </si>
  <si>
    <t>SR.02.01.01</t>
  </si>
  <si>
    <t>SR.02.01.07</t>
  </si>
  <si>
    <t>SE.02.01.16</t>
  </si>
  <si>
    <t>Variant of Solvency II template S.02.01.01 with ECB add-ons (annual reporting, solo)</t>
  </si>
  <si>
    <t>SE.02.01.17</t>
  </si>
  <si>
    <t>Variant of Solvency II template S.02.01.02 with ECB add-ons (quarterly reporting, solo)</t>
  </si>
  <si>
    <t>SE.02.01.18</t>
  </si>
  <si>
    <t>Variant of Solvency II template S.02.01.07 with ECB add-ons (annual reporting, third country branches)</t>
  </si>
  <si>
    <t>SE.02.01.19</t>
  </si>
  <si>
    <t>Variant of Solvency II template S.02.01.08 with ECB add-ons (quarterly reporting, third country branches)</t>
  </si>
  <si>
    <t>S.02.02.01</t>
  </si>
  <si>
    <t>Assets and liabilities by currency</t>
  </si>
  <si>
    <t>S.02.03.07</t>
  </si>
  <si>
    <t>Additional branch balance sheet information</t>
  </si>
  <si>
    <t>S.03.01.01</t>
  </si>
  <si>
    <t>Off-balance sheet items - general</t>
  </si>
  <si>
    <t>S.03.01.04</t>
  </si>
  <si>
    <t>S.03.02.01</t>
  </si>
  <si>
    <t>Off-balance sheet items - List of unlimited guarantees received by the undertaking</t>
  </si>
  <si>
    <t>S.03.02.04</t>
  </si>
  <si>
    <t>Off-balance sheet items - List of unlimited guarantees received by the group</t>
  </si>
  <si>
    <t>S.03.03.01</t>
  </si>
  <si>
    <t>Off-balance sheet items - List of unlimited guarantees provided by the undertaking</t>
  </si>
  <si>
    <t>S.03.03.04</t>
  </si>
  <si>
    <t>Off-balance sheet items - List of unlimited guarantees provided by the group</t>
  </si>
  <si>
    <t>S.04.01.01</t>
  </si>
  <si>
    <t>Activity by country</t>
  </si>
  <si>
    <t>S.04.02.01</t>
  </si>
  <si>
    <t>Information on class 10 in Part A of Annex I of Solvency II Directive, excluding carrier's liability</t>
  </si>
  <si>
    <t>S.05.01.01</t>
  </si>
  <si>
    <t>Premiums, claims and expenses by line of business</t>
  </si>
  <si>
    <t>S.05.01.02</t>
  </si>
  <si>
    <t>S.05.01.13</t>
  </si>
  <si>
    <t>S.05.02.01</t>
  </si>
  <si>
    <t>Premiums, claims and expenses by country</t>
  </si>
  <si>
    <t>S.06.01.01</t>
  </si>
  <si>
    <t>Summary of assets</t>
  </si>
  <si>
    <t>S.06.02.01</t>
  </si>
  <si>
    <t>List of assets</t>
  </si>
  <si>
    <t>S.06.02.04</t>
  </si>
  <si>
    <t>S.06.02.07</t>
  </si>
  <si>
    <t>SE.06.02.16</t>
  </si>
  <si>
    <t>Variant of Solvency II template S.06.02.01 with ECB add-ons (annual and quarterly reporting, solo)</t>
  </si>
  <si>
    <t>SE.06.02.18</t>
  </si>
  <si>
    <t>Variant of Solvency II template S.06.02.07 with ECB add-ons (annual and quarterly reporting, third country branches)</t>
  </si>
  <si>
    <t>S.06.03.01</t>
  </si>
  <si>
    <t>Collective investment undertakings - look-through approach</t>
  </si>
  <si>
    <t>S.06.03.04</t>
  </si>
  <si>
    <t>S.07.01.01</t>
  </si>
  <si>
    <t>Structured products</t>
  </si>
  <si>
    <t>S.07.01.04</t>
  </si>
  <si>
    <t>S.08.01.01</t>
  </si>
  <si>
    <t>Open derivatives</t>
  </si>
  <si>
    <t>S.08.01.04</t>
  </si>
  <si>
    <t>S.08.02.01</t>
  </si>
  <si>
    <t>Derivatives Transactions</t>
  </si>
  <si>
    <t>S.08.02.04</t>
  </si>
  <si>
    <t>S.09.01.01</t>
  </si>
  <si>
    <t>Income/gains and losses in the period</t>
  </si>
  <si>
    <t>S.09.01.04</t>
  </si>
  <si>
    <t>S.10.01.01</t>
  </si>
  <si>
    <t>Securities lending and repos</t>
  </si>
  <si>
    <t>S.10.01.04</t>
  </si>
  <si>
    <t>S.11.01.01</t>
  </si>
  <si>
    <t>Assets held as collateral</t>
  </si>
  <si>
    <t>S.11.01.04</t>
  </si>
  <si>
    <t>S.12.01.01</t>
  </si>
  <si>
    <t>Life and Health SLT Technical Provisions</t>
  </si>
  <si>
    <t>S.12.01.02</t>
  </si>
  <si>
    <t>SR.12.01.01</t>
  </si>
  <si>
    <t>S.12.02.01</t>
  </si>
  <si>
    <t>Life and Health SLT Technical Provisions - by country</t>
  </si>
  <si>
    <t>S.13.01.01</t>
  </si>
  <si>
    <t>Projection of future gross cash flows</t>
  </si>
  <si>
    <t>S.14.01.01</t>
  </si>
  <si>
    <t>Life obligations analysis</t>
  </si>
  <si>
    <t>S.14.01.10</t>
  </si>
  <si>
    <t>S.15.01.01</t>
  </si>
  <si>
    <t>Description of the guarantees of variable annuities</t>
  </si>
  <si>
    <t>S.15.01.04</t>
  </si>
  <si>
    <t>S.15.02.01</t>
  </si>
  <si>
    <t>Hedging of guarantees of variable annuities</t>
  </si>
  <si>
    <t>S.15.02.04</t>
  </si>
  <si>
    <t>S.16.01.01</t>
  </si>
  <si>
    <t>Information on annuities stemming from Non-Life Insurance obligations</t>
  </si>
  <si>
    <t>S.17.01.01</t>
  </si>
  <si>
    <t>Non-Life Technical Provisions</t>
  </si>
  <si>
    <t>S.17.01.02</t>
  </si>
  <si>
    <t>SR.17.01.01</t>
  </si>
  <si>
    <t>S.17.02.01</t>
  </si>
  <si>
    <t>Non-Life Technical Provisions - By country</t>
  </si>
  <si>
    <t>S.18.01.01</t>
  </si>
  <si>
    <t>Projection of future cash flows (Best Estimate - Non Life)</t>
  </si>
  <si>
    <t>S.19.01.01</t>
  </si>
  <si>
    <t>Non-life insurance claims</t>
  </si>
  <si>
    <t>S.19.01.21</t>
  </si>
  <si>
    <t>S.20.01.01</t>
  </si>
  <si>
    <t>Development of the distribution of the claims incurred</t>
  </si>
  <si>
    <t>S.21.01.01</t>
  </si>
  <si>
    <t>Loss distribution risk profile</t>
  </si>
  <si>
    <t>S.21.02.01</t>
  </si>
  <si>
    <t>Underwriting risks non-life</t>
  </si>
  <si>
    <t>S.21.03.01</t>
  </si>
  <si>
    <t>Non-life distribution of underwriting risks - by sum insured</t>
  </si>
  <si>
    <t>S.22.01.01</t>
  </si>
  <si>
    <t>Impact of long term guarantees measures and transitionals</t>
  </si>
  <si>
    <t>S.22.01.04</t>
  </si>
  <si>
    <t>S.22.01.21</t>
  </si>
  <si>
    <t>S.22.01.22</t>
  </si>
  <si>
    <t>SR.22.02.01</t>
  </si>
  <si>
    <t>Projection of future cash flows (Best Estimate - Matching portfolios)</t>
  </si>
  <si>
    <t>SR.22.03.01</t>
  </si>
  <si>
    <t>Information on the matching adjustment calculation</t>
  </si>
  <si>
    <t>S.22.04.01</t>
  </si>
  <si>
    <t>Information on the transitional on interest rates calculation</t>
  </si>
  <si>
    <t>S.22.05.01</t>
  </si>
  <si>
    <t>Overall calculation of the transitional on technical provisions</t>
  </si>
  <si>
    <t>S.22.06.01</t>
  </si>
  <si>
    <t>Best estimate subject to volatility adjustment by country and currency</t>
  </si>
  <si>
    <t>S.23.01.01</t>
  </si>
  <si>
    <t>Own funds</t>
  </si>
  <si>
    <t>S.23.01.04</t>
  </si>
  <si>
    <t>S.23.01.07</t>
  </si>
  <si>
    <t>S.23.01.13</t>
  </si>
  <si>
    <t>S.23.01.22</t>
  </si>
  <si>
    <t>S.23.02.01</t>
  </si>
  <si>
    <t>Detailed information by tiers on own funds</t>
  </si>
  <si>
    <t>S.23.02.04</t>
  </si>
  <si>
    <t>S.23.03.01</t>
  </si>
  <si>
    <t>Annual movements on own funds</t>
  </si>
  <si>
    <t>S.23.03.04</t>
  </si>
  <si>
    <t>S.23.03.07</t>
  </si>
  <si>
    <t>Own funds - movements in the reporting period</t>
  </si>
  <si>
    <t>S.23.04.01</t>
  </si>
  <si>
    <t>List of items on own funds</t>
  </si>
  <si>
    <t>S.23.04.04</t>
  </si>
  <si>
    <t>S.24.01.01</t>
  </si>
  <si>
    <t>Participations held</t>
  </si>
  <si>
    <t>S.25.01.01</t>
  </si>
  <si>
    <t>Solvency Capital Requirement - for undertakings on Standard Formula</t>
  </si>
  <si>
    <t>S.25.01.04</t>
  </si>
  <si>
    <t>Solvency Capital Requirement - for groups on Standard Formula</t>
  </si>
  <si>
    <t>S.25.01.21</t>
  </si>
  <si>
    <t>S.25.01.22</t>
  </si>
  <si>
    <t>SR.25.01.01</t>
  </si>
  <si>
    <t>SR.25.01.04</t>
  </si>
  <si>
    <t>S.25.02.01</t>
  </si>
  <si>
    <t>Solvency Capital Requirement - for undertakings using the standard formula and partial internal model</t>
  </si>
  <si>
    <t>S.25.02.04</t>
  </si>
  <si>
    <t>Solvency Capital Requirement - for groups using the standard formula and partial internal model</t>
  </si>
  <si>
    <t>S.25.02.21</t>
  </si>
  <si>
    <t>S.25.02.22</t>
  </si>
  <si>
    <t>SR.25.02.01</t>
  </si>
  <si>
    <t>SR.25.02.04</t>
  </si>
  <si>
    <t>S.25.03.01</t>
  </si>
  <si>
    <t>Solvency Capital Requirement - for undertakings on Full Internal Models</t>
  </si>
  <si>
    <t>S.25.03.04</t>
  </si>
  <si>
    <t>Solvency Capital Requirement - for groups on Full Internal Models</t>
  </si>
  <si>
    <t>S.25.03.21</t>
  </si>
  <si>
    <t>S.25.03.22</t>
  </si>
  <si>
    <t>SR.25.03.01</t>
  </si>
  <si>
    <t>SR.25.03.04</t>
  </si>
  <si>
    <t>S.25.04.11</t>
  </si>
  <si>
    <t>Solvency Capital Requirement</t>
  </si>
  <si>
    <t>S.25.04.13</t>
  </si>
  <si>
    <t>S.26.01.01</t>
  </si>
  <si>
    <t>Solvency Capital Requirement - Market risk</t>
  </si>
  <si>
    <t>S.26.01.04</t>
  </si>
  <si>
    <t>SR.26.01.01</t>
  </si>
  <si>
    <t>S.26.02.01</t>
  </si>
  <si>
    <t>Solvency Capital Requirement - Counterparty default risk</t>
  </si>
  <si>
    <t>S.26.02.04</t>
  </si>
  <si>
    <t>SR.26.02.01</t>
  </si>
  <si>
    <t>S.26.03.01</t>
  </si>
  <si>
    <t>Solvency Capital Requirement - Life underwriting risk</t>
  </si>
  <si>
    <t>S.26.03.04</t>
  </si>
  <si>
    <t>SR.26.03.01</t>
  </si>
  <si>
    <t>S.26.04.01</t>
  </si>
  <si>
    <t>Solvency Capital Requirement - Health underwriting risk</t>
  </si>
  <si>
    <t>S.26.04.04</t>
  </si>
  <si>
    <t>SR.26.04.01</t>
  </si>
  <si>
    <t>S.26.05.01</t>
  </si>
  <si>
    <t>Solvency Capital Requirement - Non-Life underwriting risk</t>
  </si>
  <si>
    <t>S.26.05.04</t>
  </si>
  <si>
    <t>SR.26.05.01</t>
  </si>
  <si>
    <t>S.26.06.01</t>
  </si>
  <si>
    <t>Solvency Capital Requirement - Operational risk</t>
  </si>
  <si>
    <t>S.26.06.04</t>
  </si>
  <si>
    <t>SR.26.06.01</t>
  </si>
  <si>
    <t>S.26.07.01</t>
  </si>
  <si>
    <t>Solvency Capital Requirement - Simplifications</t>
  </si>
  <si>
    <t>S.26.07.04</t>
  </si>
  <si>
    <t>SR.26.07.01</t>
  </si>
  <si>
    <t>S.27.01.01</t>
  </si>
  <si>
    <t>Solvency Capital Requirement - Non-life and Health catastrophe risk</t>
  </si>
  <si>
    <t>S.27.01.04</t>
  </si>
  <si>
    <t>SR.27.01.01</t>
  </si>
  <si>
    <t>S.28.01.01</t>
  </si>
  <si>
    <t>Minimum Capital Requirement - Only life or only non-life insurance or reinsurance activity</t>
  </si>
  <si>
    <t>S.28.02.01</t>
  </si>
  <si>
    <t>Minimum Capital Requirement - Both life and non-life insurance activity</t>
  </si>
  <si>
    <t>S.29.01.01</t>
  </si>
  <si>
    <t>Excess of Assets over Liabilities</t>
  </si>
  <si>
    <t>S.29.01.07</t>
  </si>
  <si>
    <t>Summary analysis of changes in BOF</t>
  </si>
  <si>
    <t>S.29.02.01</t>
  </si>
  <si>
    <t>Excess of Assets over Liabilities - explained by investments and financial liabilities</t>
  </si>
  <si>
    <t>S.29.03.01</t>
  </si>
  <si>
    <t>Excess of Assets over Liabilities - explained by technical provisions</t>
  </si>
  <si>
    <t>S.29.04.01</t>
  </si>
  <si>
    <t>Detailed analysis per period - Technical flows versus Technical provisions</t>
  </si>
  <si>
    <t>S.30.01.01</t>
  </si>
  <si>
    <t>Facultative covers for non-life and life business basic data</t>
  </si>
  <si>
    <t>S.30.02.01</t>
  </si>
  <si>
    <t>Facultative covers for non-life and life business shares data</t>
  </si>
  <si>
    <t>S.30.03.01</t>
  </si>
  <si>
    <t>Outgoing Reinsurance Program basic data</t>
  </si>
  <si>
    <t>S.30.04.01</t>
  </si>
  <si>
    <t>Outgoing Reinsurance Program shares data</t>
  </si>
  <si>
    <t>S.31.01.01</t>
  </si>
  <si>
    <t>Share of reinsurers (including Finite Reinsurance and SPV's)</t>
  </si>
  <si>
    <t>S.31.01.04</t>
  </si>
  <si>
    <t>S.31.02.01</t>
  </si>
  <si>
    <t>Special Purpose Vehicles</t>
  </si>
  <si>
    <t>S.31.02.04</t>
  </si>
  <si>
    <t>S.32.01.04</t>
  </si>
  <si>
    <t>Undertakings in the scope of the group</t>
  </si>
  <si>
    <t>S.32.01.22</t>
  </si>
  <si>
    <t>S.33.01.04</t>
  </si>
  <si>
    <t>Insurance and Reinsurance individual requirements</t>
  </si>
  <si>
    <t>S.34.01.04</t>
  </si>
  <si>
    <t>Other regulated and non-regulated financial undertakings including insurance holding companies and mixed financial holding company individual requirements</t>
  </si>
  <si>
    <t>S.35.01.04</t>
  </si>
  <si>
    <t>Contribution to group Technical Provisions</t>
  </si>
  <si>
    <t>S.36.01.01</t>
  </si>
  <si>
    <t>IGT - Equity-type transactions, debt and asset transfer</t>
  </si>
  <si>
    <t>S.36.02.01</t>
  </si>
  <si>
    <t>IGT - Derivatives</t>
  </si>
  <si>
    <t>S.36.03.01</t>
  </si>
  <si>
    <t>IGT - Internal reinsurance</t>
  </si>
  <si>
    <t>S.36.04.01</t>
  </si>
  <si>
    <t>IGT - Cost Sharing, contingent liabilities, off BS and other items</t>
  </si>
  <si>
    <t>S.37.01.04</t>
  </si>
  <si>
    <t>Risk concentration</t>
  </si>
  <si>
    <t>S.38.01.10</t>
  </si>
  <si>
    <t>Duration of technical provisions</t>
  </si>
  <si>
    <t>S.39.01.11</t>
  </si>
  <si>
    <t>Profit and Loss</t>
  </si>
  <si>
    <t>S.40.01.10</t>
  </si>
  <si>
    <t>Profit or Loss sharing</t>
  </si>
  <si>
    <t>S.41.01.11</t>
  </si>
  <si>
    <t>Lapses</t>
  </si>
  <si>
    <t>E.01.01.16</t>
  </si>
  <si>
    <t>New template for ESCB purposes (annual and quarterly reporting, solo and third country branches)</t>
  </si>
  <si>
    <t>E.02.01.16</t>
  </si>
  <si>
    <t>New template for ESCB purposes (annual reporting, solo and third country branches)</t>
  </si>
  <si>
    <t>E.03.01.16</t>
  </si>
  <si>
    <t>SPV.01.01.20</t>
  </si>
  <si>
    <t>SPV.01.02.20</t>
  </si>
  <si>
    <t>Basic information</t>
  </si>
  <si>
    <t>SPV.02.01.20</t>
  </si>
  <si>
    <t>SPV.02.02.20</t>
  </si>
  <si>
    <t>Special Purpose Vehicles reporting templates - Off-Balance sheet</t>
  </si>
  <si>
    <t>SPV.03.01.20</t>
  </si>
  <si>
    <t>Special Purpose Vehicles reporting templates - Risks assumed</t>
  </si>
  <si>
    <t>SPV.03.02.20</t>
  </si>
  <si>
    <t>T.99.01.01</t>
  </si>
  <si>
    <t>Technical table</t>
  </si>
  <si>
    <t>hier_CN_2</t>
  </si>
  <si>
    <t>Reported</t>
  </si>
  <si>
    <t>hier_CN_14</t>
  </si>
  <si>
    <t>Not reported as no RFF or MAP</t>
  </si>
  <si>
    <t>Not reported other reason</t>
  </si>
  <si>
    <t>hier_CN_81</t>
  </si>
  <si>
    <t>Exempted under Article 35 (6) to (8)</t>
  </si>
  <si>
    <t>hier_CN_18</t>
  </si>
  <si>
    <t>Not due in accordance with instructions of the template</t>
  </si>
  <si>
    <t>hier_CN_20</t>
  </si>
  <si>
    <t>Not reported as no off-balance sheet items</t>
  </si>
  <si>
    <t>hier_CN_34</t>
  </si>
  <si>
    <t>Not reported as no unlimited guarantees received</t>
  </si>
  <si>
    <t>hier_CN_35</t>
  </si>
  <si>
    <t>Not reported as no unlimited guarantees provided</t>
  </si>
  <si>
    <t>hier_CN_36</t>
  </si>
  <si>
    <t>Not reported as no activity outside the home country</t>
  </si>
  <si>
    <t>hier_CN_37</t>
  </si>
  <si>
    <t>Not reported as no activity outside the home country in relation to specific class</t>
  </si>
  <si>
    <t>Not reported as no direct insurance business</t>
  </si>
  <si>
    <t>hier_CN_113</t>
  </si>
  <si>
    <t>hier_CN_116</t>
  </si>
  <si>
    <t>hier_CN_27</t>
  </si>
  <si>
    <t>Not due as S.06.02 and S.08.01 reported quarterly</t>
  </si>
  <si>
    <t>Not due as S.06.02 and S.08.01 reported annually</t>
  </si>
  <si>
    <t>hier_CN_23</t>
  </si>
  <si>
    <t>Not due annually as reported for Quarter 4</t>
  </si>
  <si>
    <t>hier_CN_117</t>
  </si>
  <si>
    <t>Not reported as no Collective investment undertakings</t>
  </si>
  <si>
    <t>hier_CN_120</t>
  </si>
  <si>
    <t>Not reported as no structured products</t>
  </si>
  <si>
    <t>hier_CN_28</t>
  </si>
  <si>
    <t>Not reported o/a no derivative transactions</t>
  </si>
  <si>
    <t>hier_CN_15</t>
  </si>
  <si>
    <t>hier_CN_39</t>
  </si>
  <si>
    <t>Not reported as no Securities lending and repos</t>
  </si>
  <si>
    <t>hier_CN_40</t>
  </si>
  <si>
    <t>Not reported as no Assets held as collateral</t>
  </si>
  <si>
    <t>hier_CN_83</t>
  </si>
  <si>
    <t>Not reported o/a no life and health SLT business</t>
  </si>
  <si>
    <t>hier_CN_31</t>
  </si>
  <si>
    <t>hier_CN_30</t>
  </si>
  <si>
    <t>hier_CN_41</t>
  </si>
  <si>
    <t>Not reported as no variable annuities</t>
  </si>
  <si>
    <t>hier_CN_42</t>
  </si>
  <si>
    <t>Not reported as no annuities stemming from Non-Life Insurance obligations</t>
  </si>
  <si>
    <t>hier_CN_84</t>
  </si>
  <si>
    <t>Not reported o/a no non-life business</t>
  </si>
  <si>
    <t>hier_CN_33</t>
  </si>
  <si>
    <t>hier_CN_32</t>
  </si>
  <si>
    <t>hier_CN_123</t>
  </si>
  <si>
    <t>hier_CN_43</t>
  </si>
  <si>
    <t>Not reported as no LTG measures or transitional are applied</t>
  </si>
  <si>
    <t>hier_CN_45</t>
  </si>
  <si>
    <t>Not reported as no such transitional measure is applied</t>
  </si>
  <si>
    <t>hier_CN_112</t>
  </si>
  <si>
    <t>Not reported as volatility adjustment not applied</t>
  </si>
  <si>
    <t>hier_CN_1</t>
  </si>
  <si>
    <t>Not reported</t>
  </si>
  <si>
    <t>hier_CN_46</t>
  </si>
  <si>
    <t>Not reported as no participations held</t>
  </si>
  <si>
    <t>hier_CN_108</t>
  </si>
  <si>
    <t>Reported as standard formula is used</t>
  </si>
  <si>
    <t>Reported due to article 112 request</t>
  </si>
  <si>
    <t>Not reported o/a use partial internal model</t>
  </si>
  <si>
    <t>Not reported o/a use full internal model</t>
  </si>
  <si>
    <t>hier_CN_8</t>
  </si>
  <si>
    <t>Not reported o/a full use of Standard Formula</t>
  </si>
  <si>
    <t>hier_CN_9</t>
  </si>
  <si>
    <t>hier_CN_124</t>
  </si>
  <si>
    <t>Not reported as risk not existent</t>
  </si>
  <si>
    <t>Not reported as reported at RFF/MAP level</t>
  </si>
  <si>
    <t>Reported twice due to use of PIM</t>
  </si>
  <si>
    <t>hier_CN_53</t>
  </si>
  <si>
    <t>hier_CN_55</t>
  </si>
  <si>
    <t>Not reported as no simplified calculations used</t>
  </si>
  <si>
    <t>hier_CN_51</t>
  </si>
  <si>
    <t>hier_CN_85</t>
  </si>
  <si>
    <t>Not reported as both life and non-life insurance or reinsurance activity</t>
  </si>
  <si>
    <t>hier_CN_86</t>
  </si>
  <si>
    <t>Not reported as only life or only non-life insurance or reinsurance activity or only reinsurance activity</t>
  </si>
  <si>
    <t>hier_CN_57</t>
  </si>
  <si>
    <t>Not reported as no facultative covers</t>
  </si>
  <si>
    <t>hier_CN_58</t>
  </si>
  <si>
    <t>Not reported as no reinsurance</t>
  </si>
  <si>
    <t>hier_CN_59</t>
  </si>
  <si>
    <t>Not reported as no Special Purpose Insurance Vehicles</t>
  </si>
  <si>
    <t>hier_CN_60</t>
  </si>
  <si>
    <t>Not reported as no IGT on Equity-type transactions, debt and asset transfer</t>
  </si>
  <si>
    <t>Not reported as no parent undertaking is a mixed-activity insurance holding company where they are not part of a group as defined under article 213 (2) (a), (b) and (c) of Solvency II</t>
  </si>
  <si>
    <t>hier_CN_62</t>
  </si>
  <si>
    <t>Not reported as no IGT on Derivatives</t>
  </si>
  <si>
    <t>hier_CN_64</t>
  </si>
  <si>
    <t>Not reported as no IGT on Internal reinsurance</t>
  </si>
  <si>
    <t>hier_CN_66</t>
  </si>
  <si>
    <t>Not reported as no IGT on Cost Sharing, contingent liabilities, off BS and other items</t>
  </si>
  <si>
    <t>hier_SE_21</t>
  </si>
  <si>
    <t>Life undertakings</t>
  </si>
  <si>
    <t>Non-Life undertakings</t>
  </si>
  <si>
    <t>Undertakings pursuing both life and non-life insurance activity - article 73 (2)</t>
  </si>
  <si>
    <t>Undertakings pursuing both life and non-life insurance activity - article 73 (5)</t>
  </si>
  <si>
    <t>Reinsurance undertakings</t>
  </si>
  <si>
    <t>hier_GA_1</t>
  </si>
  <si>
    <t>BONAIRE, SINT EUSTATIUS AND SABA</t>
  </si>
  <si>
    <t>BOSNIA AND HERZEGOVINA</t>
  </si>
  <si>
    <t>BOTSWANA</t>
  </si>
  <si>
    <t>BOUVET ISLAND</t>
  </si>
  <si>
    <t>CZECHIA</t>
  </si>
  <si>
    <t>KOSOVO</t>
  </si>
  <si>
    <t>NORTH MACEDONIA</t>
  </si>
  <si>
    <t>PALESTINE, STATE OF</t>
  </si>
  <si>
    <t>ESWATINI</t>
  </si>
  <si>
    <t>UNITED KINGDOM (GIBRALTAR)</t>
  </si>
  <si>
    <t>UNITED KINGDOM (AFTER BREXIT)</t>
  </si>
  <si>
    <t>UNITED KINGDOM (GIBRALTAR) (AFTER BREXIT)</t>
  </si>
  <si>
    <t>Temporary identifier for country 1</t>
  </si>
  <si>
    <t>Temporary identifier for country 2</t>
  </si>
  <si>
    <t>Temporary identifier for country 3</t>
  </si>
  <si>
    <t>hier_LA_1</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</si>
  <si>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</si>
  <si>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</si>
  <si>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</si>
  <si>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</si>
  <si>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</si>
  <si>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</si>
  <si>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</si>
  <si>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</si>
  <si>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</si>
  <si>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</si>
  <si>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</si>
  <si>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</si>
  <si>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</si>
  <si>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</si>
  <si>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</si>
  <si>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</si>
  <si>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</si>
  <si>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</si>
  <si>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</si>
  <si>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</si>
  <si>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</si>
  <si>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</si>
  <si>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</si>
  <si>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</si>
  <si>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</si>
  <si>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</si>
  <si>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</si>
  <si>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</si>
  <si>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</si>
  <si>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</si>
  <si>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</si>
  <si>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</si>
  <si>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</si>
  <si>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</si>
  <si>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</si>
  <si>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</si>
  <si>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</si>
  <si>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</si>
  <si>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</si>
  <si>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</si>
  <si>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</si>
  <si>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</si>
  <si>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</si>
  <si>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</si>
  <si>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</si>
  <si>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</si>
  <si>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</si>
  <si>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</si>
  <si>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</si>
  <si>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</si>
  <si>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</si>
  <si>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</si>
  <si>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</si>
  <si>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</si>
  <si>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</si>
  <si>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</si>
  <si>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</si>
  <si>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</si>
  <si>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</si>
  <si>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</si>
  <si>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</si>
  <si>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</si>
  <si>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</si>
  <si>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</si>
  <si>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</si>
  <si>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</si>
  <si>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</si>
  <si>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</si>
  <si>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</si>
  <si>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</si>
  <si>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</si>
  <si>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</si>
  <si>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</si>
  <si>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</si>
  <si>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</si>
  <si>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</si>
  <si>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</si>
  <si>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</si>
  <si>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</si>
  <si>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</si>
  <si>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</si>
  <si>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</si>
  <si>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</si>
  <si>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</si>
  <si>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</si>
  <si>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</si>
  <si>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</si>
  <si>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</si>
  <si>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</si>
  <si>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</si>
  <si>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</si>
  <si>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</si>
  <si>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</si>
  <si>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</si>
  <si>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</si>
  <si>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</si>
  <si>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</si>
  <si>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</si>
  <si>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</si>
  <si>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</si>
  <si>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</si>
  <si>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</si>
  <si>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</si>
  <si>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</si>
  <si>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</si>
  <si>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</si>
  <si>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</si>
  <si>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</si>
  <si>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</si>
  <si>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</si>
  <si>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</si>
  <si>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</si>
  <si>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</si>
  <si>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</si>
  <si>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</si>
  <si>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</si>
  <si>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</si>
  <si>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</si>
  <si>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</si>
  <si>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</si>
  <si>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</si>
  <si>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</si>
  <si>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</si>
  <si>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</si>
  <si>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</si>
  <si>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</si>
  <si>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</si>
  <si>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</si>
  <si>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</si>
  <si>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</si>
  <si>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</si>
  <si>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</si>
  <si>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</si>
  <si>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</si>
  <si>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</si>
  <si>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</si>
  <si>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</si>
  <si>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</si>
  <si>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</si>
  <si>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</si>
  <si>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</si>
  <si>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</si>
  <si>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</si>
  <si>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</si>
  <si>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</si>
  <si>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</si>
  <si>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</si>
  <si>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</si>
  <si>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</si>
  <si>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</si>
  <si>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</si>
  <si>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</si>
  <si>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</si>
  <si>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</si>
  <si>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</si>
  <si>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</si>
  <si>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</si>
  <si>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</si>
  <si>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</si>
  <si>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</si>
  <si>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</si>
  <si>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</si>
  <si>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</si>
  <si>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</si>
  <si>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</si>
  <si>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</si>
  <si>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</si>
  <si>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</si>
  <si>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</si>
  <si>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</si>
  <si>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</si>
  <si>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</si>
  <si>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</si>
  <si>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</si>
  <si>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</si>
  <si>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</si>
  <si>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</si>
  <si>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</si>
  <si>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</si>
  <si>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</si>
  <si>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</si>
  <si>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</si>
  <si>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</si>
  <si>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</si>
  <si>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hier_CS_12</t>
  </si>
  <si>
    <t>Regular reporting</t>
  </si>
  <si>
    <t>Ad-hoc reporting</t>
  </si>
  <si>
    <t>Re-submission of S.30 templates in accordance with instructions of the template</t>
  </si>
  <si>
    <t>Empty submission</t>
  </si>
  <si>
    <t>hier_CU_5</t>
  </si>
  <si>
    <t>BOV</t>
  </si>
  <si>
    <t>BYR</t>
  </si>
  <si>
    <t>CDF</t>
  </si>
  <si>
    <t>CHE</t>
  </si>
  <si>
    <t>CHF</t>
  </si>
  <si>
    <t>CHW</t>
  </si>
  <si>
    <t>CLF</t>
  </si>
  <si>
    <t>CLP</t>
  </si>
  <si>
    <t>CNY</t>
  </si>
  <si>
    <t>COU</t>
  </si>
  <si>
    <t>EEK</t>
  </si>
  <si>
    <t>LTL</t>
  </si>
  <si>
    <t>LVL</t>
  </si>
  <si>
    <t>MRU</t>
  </si>
  <si>
    <t>MXV</t>
  </si>
  <si>
    <t>SSP</t>
  </si>
  <si>
    <t>STN</t>
  </si>
  <si>
    <t>USN</t>
  </si>
  <si>
    <t>USS</t>
  </si>
  <si>
    <t>UYI</t>
  </si>
  <si>
    <t>UYW</t>
  </si>
  <si>
    <t>VES</t>
  </si>
  <si>
    <t>XAG</t>
  </si>
  <si>
    <t>XAU</t>
  </si>
  <si>
    <t>XBA</t>
  </si>
  <si>
    <t>XBB</t>
  </si>
  <si>
    <t>XBC</t>
  </si>
  <si>
    <t>XBD</t>
  </si>
  <si>
    <t>XFU</t>
  </si>
  <si>
    <t>XPD</t>
  </si>
  <si>
    <t>XPT</t>
  </si>
  <si>
    <t>XSU</t>
  </si>
  <si>
    <t>XTS</t>
  </si>
  <si>
    <t>XUA</t>
  </si>
  <si>
    <t>ZMK</t>
  </si>
  <si>
    <t>ZWL</t>
  </si>
  <si>
    <t>Temporary identifier for currency 1</t>
  </si>
  <si>
    <t>Temporary identifier for currency 2</t>
  </si>
  <si>
    <t>Temporary identifier for currency 3</t>
  </si>
  <si>
    <t>hier_AM_11</t>
  </si>
  <si>
    <t>IFRS</t>
  </si>
  <si>
    <t>Local GAAP</t>
  </si>
  <si>
    <t>hier_AP_3</t>
  </si>
  <si>
    <t>Standard formula</t>
  </si>
  <si>
    <t>Partial internal model</t>
  </si>
  <si>
    <t>Full internal model</t>
  </si>
  <si>
    <t>hier_AP_4</t>
  </si>
  <si>
    <t>Use of undertaking specific parameters</t>
  </si>
  <si>
    <t>Don’t use undertaking specific parameters</t>
  </si>
  <si>
    <t>hier_PU_23</t>
  </si>
  <si>
    <t>Reporting activity by RFF</t>
  </si>
  <si>
    <t>Not reporting activity by RFF</t>
  </si>
  <si>
    <t>hier_PU_15</t>
  </si>
  <si>
    <t>Use of matching adjustment</t>
  </si>
  <si>
    <t>No use of matching adjustment</t>
  </si>
  <si>
    <t>hier_AP_5</t>
  </si>
  <si>
    <t>Use of volatility adjustment</t>
  </si>
  <si>
    <t>No use of volatility adjustment</t>
  </si>
  <si>
    <t>hier_AP_6</t>
  </si>
  <si>
    <t>Use of transitional measure on the risk-free interest rate</t>
  </si>
  <si>
    <t>No use of transitional measure on the risk-free interest rate</t>
  </si>
  <si>
    <t>hier_AP_7</t>
  </si>
  <si>
    <t>Use of transitional measure on technical provisions</t>
  </si>
  <si>
    <t>No use of transitional measure on technical provisions</t>
  </si>
  <si>
    <t>hier_CS_13</t>
  </si>
  <si>
    <t>Initial submission</t>
  </si>
  <si>
    <t>Re-submission</t>
  </si>
  <si>
    <t>hier_CN_127</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</si>
  <si>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</si>
  <si>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</si>
  <si>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</si>
  <si>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</si>
  <si>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</si>
  <si>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</si>
  <si>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</si>
  <si>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hier_PU_37</t>
  </si>
  <si>
    <t>Ring Fenced Funds</t>
  </si>
  <si>
    <t>Matching Adjustment Portfolios</t>
  </si>
  <si>
    <t>Remaining part of a fund</t>
  </si>
  <si>
    <t>hier_PU_17</t>
  </si>
  <si>
    <t>Fund with other funds embedded</t>
  </si>
  <si>
    <t>Not a fund with other funds embedded</t>
  </si>
  <si>
    <t>hier_AP_11</t>
  </si>
  <si>
    <t>Material</t>
  </si>
  <si>
    <t>Not material</t>
  </si>
  <si>
    <t>hier_AP_9</t>
  </si>
  <si>
    <t>RFF under article 304 - with the option for the equity risk sub-module</t>
  </si>
  <si>
    <t>RFF under article 304 - without the option for the equity risk sub-module</t>
  </si>
  <si>
    <t>RFF not under article 304</t>
  </si>
  <si>
    <t>hier_PU_34</t>
  </si>
  <si>
    <t>hier_CS_11</t>
  </si>
  <si>
    <t>Belonging to the same group</t>
  </si>
  <si>
    <t>Not belonging to the same group</t>
  </si>
  <si>
    <t>hier_LT_1</t>
  </si>
  <si>
    <t>Bankruptcy filing ISDA credit event</t>
  </si>
  <si>
    <t>Downgrading by a rating agency</t>
  </si>
  <si>
    <t>Fall of SCR below a threshold but higher than 100 %</t>
  </si>
  <si>
    <t>Fall of MCR below a threshold but higher than 100 %</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</si>
  <si>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</si>
  <si>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</si>
  <si>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</si>
  <si>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</si>
  <si>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</si>
  <si>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</si>
  <si>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</si>
  <si>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hier_EL_7</t>
  </si>
  <si>
    <t>Total/NA</t>
  </si>
  <si>
    <t>Ancillary own funds</t>
  </si>
  <si>
    <t>Other than ancillary own funds</t>
  </si>
  <si>
    <t>hier_LB_52</t>
  </si>
  <si>
    <t>Medical expense insurance [direct business]</t>
  </si>
  <si>
    <t>Income protection insurance [direct business]</t>
  </si>
  <si>
    <t>Workers' compensation insurance [direct business]</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</si>
  <si>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</si>
  <si>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</si>
  <si>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</si>
  <si>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</si>
  <si>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</si>
  <si>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</si>
  <si>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</si>
  <si>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</si>
  <si>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</si>
  <si>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Medical expense insurance [accepted proportional reinsurance]</t>
  </si>
  <si>
    <t>Income protection insurance [accepted proportional reinsurance]</t>
  </si>
  <si>
    <t>Workers' compensation insurance [accepted proportional reinsurance]</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</si>
  <si>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</si>
  <si>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</si>
  <si>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</si>
  <si>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</si>
  <si>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</si>
  <si>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</si>
  <si>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</si>
  <si>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</si>
  <si>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</si>
  <si>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Health [accepted non-proportional reinsurance]</t>
  </si>
  <si>
    <t>Casualty [accepted non-proportional reinsurance]</t>
  </si>
  <si>
    <t>Marine, aviation, transport [accepted non-proportional reinsurance]</t>
  </si>
  <si>
    <t>Property [accepted non-proportional reinsurance]</t>
  </si>
  <si>
    <t>Health SLT</t>
  </si>
  <si>
    <t>Insurance with profit participation</t>
  </si>
  <si>
    <t>Unit-linked or index-linked</t>
  </si>
  <si>
    <t>Other life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</si>
  <si>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</si>
  <si>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</si>
  <si>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</si>
  <si>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</si>
  <si>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hier_GA_32</t>
  </si>
  <si>
    <t>hier_GA_33</t>
  </si>
  <si>
    <t>hier_GA_18</t>
  </si>
  <si>
    <t>hier_PU_33</t>
  </si>
  <si>
    <t>Life [split applicable]</t>
  </si>
  <si>
    <t>Non-life [split applicable]</t>
  </si>
  <si>
    <t>Other internal funds</t>
  </si>
  <si>
    <t>Shareholders' funds</t>
  </si>
  <si>
    <t>General [no split]</t>
  </si>
  <si>
    <t>hier_LB_4</t>
  </si>
  <si>
    <t>Neither unit-linked nor index-linked</t>
  </si>
  <si>
    <t>hier_CG_2</t>
  </si>
  <si>
    <t>Collateral pledged [CP]</t>
  </si>
  <si>
    <t>Collateral for reinsurance accepted [CR]</t>
  </si>
  <si>
    <t>Collateral for securities borrowed [CB]</t>
  </si>
  <si>
    <t>Repos [R]</t>
  </si>
  <si>
    <t>Not collateral</t>
  </si>
  <si>
    <t>hier_VM_23</t>
  </si>
  <si>
    <t>Quoted market price in active markets for the same assets</t>
  </si>
  <si>
    <t>Quoted market price in active markets for similar assets</t>
  </si>
  <si>
    <t>Alternative valuation methods</t>
  </si>
  <si>
    <t>Adjusted equity methods - applicable for the valuation of participations [AEM]</t>
  </si>
  <si>
    <t>IFRS equity methods - applicable for the valuation of participations [IEM]</t>
  </si>
  <si>
    <t>Market valuation according to article 9(4) of Delegated Regulation 2015/35</t>
  </si>
  <si>
    <t>hier_NC_1</t>
  </si>
  <si>
    <t>A - Agriculture, forestry and fishing</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</si>
  <si>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</si>
  <si>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</si>
  <si>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</si>
  <si>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</si>
  <si>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</si>
  <si>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</si>
  <si>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</si>
  <si>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</si>
  <si>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</si>
  <si>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</si>
  <si>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</si>
  <si>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</si>
  <si>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</si>
  <si>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</si>
  <si>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</si>
  <si>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</si>
  <si>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</si>
  <si>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</si>
  <si>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</si>
  <si>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</si>
  <si>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</si>
  <si>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</si>
  <si>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</si>
  <si>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</si>
  <si>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</si>
  <si>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</si>
  <si>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</si>
  <si>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</si>
  <si>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</si>
  <si>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</si>
  <si>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</si>
  <si>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</si>
  <si>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</si>
  <si>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</si>
  <si>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</si>
  <si>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</si>
  <si>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</si>
  <si>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</si>
  <si>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</si>
  <si>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</si>
  <si>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</si>
  <si>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</si>
  <si>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</si>
  <si>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</si>
  <si>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</si>
  <si>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</si>
  <si>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</si>
  <si>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</si>
  <si>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</si>
  <si>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</si>
  <si>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</si>
  <si>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</si>
  <si>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</si>
  <si>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</si>
  <si>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</si>
  <si>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</si>
  <si>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</si>
  <si>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</si>
  <si>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</si>
  <si>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</si>
  <si>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</si>
  <si>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</si>
  <si>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</si>
  <si>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</si>
  <si>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</si>
  <si>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</si>
  <si>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</si>
  <si>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</si>
  <si>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</si>
  <si>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</si>
  <si>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</si>
  <si>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</si>
  <si>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</si>
  <si>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</si>
  <si>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</si>
  <si>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</si>
  <si>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</si>
  <si>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</si>
  <si>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</si>
  <si>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</si>
  <si>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</si>
  <si>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</si>
  <si>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</si>
  <si>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</si>
  <si>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</si>
  <si>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</si>
  <si>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</si>
  <si>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</si>
  <si>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</si>
  <si>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</si>
  <si>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</si>
  <si>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</si>
  <si>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</si>
  <si>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</si>
  <si>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</si>
  <si>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</si>
  <si>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</si>
  <si>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</si>
  <si>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</si>
  <si>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</si>
  <si>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</si>
  <si>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</si>
  <si>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</si>
  <si>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</si>
  <si>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</si>
  <si>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</si>
  <si>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</si>
  <si>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</si>
  <si>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</si>
  <si>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</si>
  <si>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</si>
  <si>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</si>
  <si>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</si>
  <si>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</si>
  <si>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</si>
  <si>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</si>
  <si>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</si>
  <si>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</si>
  <si>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</si>
  <si>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</si>
  <si>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</si>
  <si>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</si>
  <si>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</si>
  <si>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</si>
  <si>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</si>
  <si>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</si>
  <si>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</si>
  <si>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</si>
  <si>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</si>
  <si>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</si>
  <si>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</si>
  <si>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</si>
  <si>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</si>
  <si>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</si>
  <si>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</si>
  <si>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</si>
  <si>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</si>
  <si>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</si>
  <si>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</si>
  <si>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</si>
  <si>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</si>
  <si>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</si>
  <si>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</si>
  <si>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</si>
  <si>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</si>
  <si>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</si>
  <si>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</si>
  <si>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</si>
  <si>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</si>
  <si>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</si>
  <si>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</si>
  <si>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</si>
  <si>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</si>
  <si>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</si>
  <si>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</si>
  <si>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</si>
  <si>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</si>
  <si>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</si>
  <si>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</si>
  <si>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</si>
  <si>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</si>
  <si>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</si>
  <si>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</si>
  <si>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</si>
  <si>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</si>
  <si>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</si>
  <si>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</si>
  <si>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</si>
  <si>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</si>
  <si>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</si>
  <si>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</si>
  <si>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</si>
  <si>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</si>
  <si>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</si>
  <si>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</si>
  <si>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</si>
  <si>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</si>
  <si>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</si>
  <si>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</si>
  <si>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</si>
  <si>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</si>
  <si>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</si>
  <si>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</si>
  <si>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</si>
  <si>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</si>
  <si>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</si>
  <si>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</si>
  <si>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</si>
  <si>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</si>
  <si>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</si>
  <si>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</si>
  <si>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</si>
  <si>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</si>
  <si>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</si>
  <si>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</si>
  <si>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</si>
  <si>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</si>
  <si>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</si>
  <si>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</si>
  <si>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</si>
  <si>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</si>
  <si>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</si>
  <si>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</si>
  <si>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</si>
  <si>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</si>
  <si>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</si>
  <si>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</si>
  <si>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</si>
  <si>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</si>
  <si>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</si>
  <si>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</si>
  <si>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</si>
  <si>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</si>
  <si>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</si>
  <si>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</si>
  <si>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</si>
  <si>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</si>
  <si>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</si>
  <si>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</si>
  <si>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</si>
  <si>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</si>
  <si>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</si>
  <si>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</si>
  <si>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</si>
  <si>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</si>
  <si>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</si>
  <si>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</si>
  <si>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</si>
  <si>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</si>
  <si>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</si>
  <si>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</si>
  <si>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</si>
  <si>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</si>
  <si>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</si>
  <si>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</si>
  <si>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</si>
  <si>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</si>
  <si>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</si>
  <si>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</si>
  <si>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</si>
  <si>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</si>
  <si>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</si>
  <si>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</si>
  <si>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</si>
  <si>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</si>
  <si>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</si>
  <si>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</si>
  <si>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</si>
  <si>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</si>
  <si>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</si>
  <si>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</si>
  <si>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</si>
  <si>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</si>
  <si>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</si>
  <si>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</si>
  <si>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</si>
  <si>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</si>
  <si>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</si>
  <si>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</si>
  <si>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</si>
  <si>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</si>
  <si>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</si>
  <si>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</si>
  <si>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</si>
  <si>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</si>
  <si>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</si>
  <si>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</si>
  <si>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</si>
  <si>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</si>
  <si>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</si>
  <si>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</si>
  <si>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</si>
  <si>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</si>
  <si>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</si>
  <si>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</si>
  <si>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</si>
  <si>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</si>
  <si>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</si>
  <si>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</si>
  <si>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</si>
  <si>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</si>
  <si>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</si>
  <si>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</si>
  <si>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</si>
  <si>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</si>
  <si>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</si>
  <si>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</si>
  <si>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</si>
  <si>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</si>
  <si>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</si>
  <si>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</si>
  <si>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</si>
  <si>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</si>
  <si>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</si>
  <si>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</si>
  <si>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</si>
  <si>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</si>
  <si>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</si>
  <si>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</si>
  <si>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</si>
  <si>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</si>
  <si>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</si>
  <si>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</si>
  <si>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</si>
  <si>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</si>
  <si>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</si>
  <si>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</si>
  <si>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</si>
  <si>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</si>
  <si>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</si>
  <si>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</si>
  <si>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</si>
  <si>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</si>
  <si>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</si>
  <si>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</si>
  <si>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</si>
  <si>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</si>
  <si>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</si>
  <si>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</si>
  <si>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</si>
  <si>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</si>
  <si>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</si>
  <si>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</si>
  <si>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</si>
  <si>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</si>
  <si>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</si>
  <si>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</si>
  <si>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</si>
  <si>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</si>
  <si>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</si>
  <si>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</si>
  <si>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</si>
  <si>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</si>
  <si>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</si>
  <si>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</si>
  <si>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</si>
  <si>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</si>
  <si>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</si>
  <si>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</si>
  <si>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</si>
  <si>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</si>
  <si>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</si>
  <si>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</si>
  <si>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</si>
  <si>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</si>
  <si>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</si>
  <si>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</si>
  <si>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</si>
  <si>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</si>
  <si>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</si>
  <si>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</si>
  <si>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</si>
  <si>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</si>
  <si>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</si>
  <si>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</si>
  <si>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</si>
  <si>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</si>
  <si>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</si>
  <si>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</si>
  <si>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</si>
  <si>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</si>
  <si>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</si>
  <si>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</si>
  <si>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</si>
  <si>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</si>
  <si>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</si>
  <si>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</si>
  <si>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</si>
  <si>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</si>
  <si>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</si>
  <si>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</si>
  <si>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</si>
  <si>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</si>
  <si>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</si>
  <si>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</si>
  <si>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</si>
  <si>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</si>
  <si>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</si>
  <si>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</si>
  <si>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</si>
  <si>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</si>
  <si>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</si>
  <si>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</si>
  <si>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</si>
  <si>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</si>
  <si>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</si>
  <si>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</si>
  <si>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</si>
  <si>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</si>
  <si>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</si>
  <si>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</si>
  <si>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</si>
  <si>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</si>
  <si>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</si>
  <si>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</si>
  <si>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</si>
  <si>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</si>
  <si>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</si>
  <si>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</si>
  <si>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</si>
  <si>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</si>
  <si>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</si>
  <si>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</si>
  <si>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</si>
  <si>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</si>
  <si>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</si>
  <si>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</si>
  <si>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</si>
  <si>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</si>
  <si>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</si>
  <si>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</si>
  <si>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</si>
  <si>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</si>
  <si>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</si>
  <si>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</si>
  <si>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</si>
  <si>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</si>
  <si>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</si>
  <si>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</si>
  <si>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</si>
  <si>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</si>
  <si>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</si>
  <si>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</si>
  <si>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</si>
  <si>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</si>
  <si>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</si>
  <si>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</si>
  <si>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</si>
  <si>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</si>
  <si>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</si>
  <si>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</si>
  <si>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</si>
  <si>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</si>
  <si>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</si>
  <si>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</si>
  <si>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</si>
  <si>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</si>
  <si>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</si>
  <si>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</si>
  <si>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</si>
  <si>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</si>
  <si>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</si>
  <si>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</si>
  <si>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</si>
  <si>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</si>
  <si>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</si>
  <si>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</si>
  <si>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</si>
  <si>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</si>
  <si>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management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</si>
  <si>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</si>
  <si>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</si>
  <si>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</si>
  <si>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</si>
  <si>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</si>
  <si>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</si>
  <si>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</si>
  <si>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</si>
  <si>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</si>
  <si>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</si>
  <si>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</si>
  <si>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</si>
  <si>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</si>
  <si>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</si>
  <si>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</si>
  <si>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</si>
  <si>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</si>
  <si>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</si>
  <si>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</si>
  <si>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</si>
  <si>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</si>
  <si>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</si>
  <si>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</si>
  <si>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</si>
  <si>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</si>
  <si>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</si>
  <si>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</si>
  <si>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</si>
  <si>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</si>
  <si>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</si>
  <si>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</si>
  <si>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</si>
  <si>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</si>
  <si>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</si>
  <si>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</si>
  <si>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</si>
  <si>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</si>
  <si>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</si>
  <si>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</si>
  <si>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</si>
  <si>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</si>
  <si>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</si>
  <si>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</si>
  <si>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</si>
  <si>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</si>
  <si>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</si>
  <si>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</si>
  <si>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</si>
  <si>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</si>
  <si>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</si>
  <si>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</si>
  <si>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</si>
  <si>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</si>
  <si>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</si>
  <si>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</si>
  <si>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</si>
  <si>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</si>
  <si>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</si>
  <si>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</si>
  <si>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</si>
  <si>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</si>
  <si>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</si>
  <si>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</si>
  <si>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</si>
  <si>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</si>
  <si>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</si>
  <si>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</si>
  <si>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</si>
  <si>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</si>
  <si>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</si>
  <si>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</si>
  <si>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</si>
  <si>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</si>
  <si>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</si>
  <si>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</si>
  <si>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</si>
  <si>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</si>
  <si>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</si>
  <si>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</si>
  <si>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</si>
  <si>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</si>
  <si>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</si>
  <si>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</si>
  <si>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</si>
  <si>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</si>
  <si>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</si>
  <si>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</si>
  <si>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</si>
  <si>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</si>
  <si>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</si>
  <si>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</si>
  <si>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</si>
  <si>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</si>
  <si>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</si>
  <si>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</si>
  <si>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</si>
  <si>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</si>
  <si>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</si>
  <si>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</si>
  <si>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</si>
  <si>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</si>
  <si>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</si>
  <si>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</si>
  <si>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</si>
  <si>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</si>
  <si>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</si>
  <si>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</si>
  <si>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</si>
  <si>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</si>
  <si>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</si>
  <si>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</si>
  <si>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</si>
  <si>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</si>
  <si>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</si>
  <si>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</si>
  <si>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</si>
  <si>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</si>
  <si>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</si>
  <si>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</si>
  <si>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</si>
  <si>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</si>
  <si>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</si>
  <si>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</si>
  <si>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</si>
  <si>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</si>
  <si>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</si>
  <si>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</si>
  <si>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</si>
  <si>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</si>
  <si>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</si>
  <si>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</si>
  <si>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</si>
  <si>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</si>
  <si>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</si>
  <si>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</si>
  <si>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</si>
  <si>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</si>
  <si>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</si>
  <si>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</si>
  <si>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</si>
  <si>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</si>
  <si>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</si>
  <si>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</si>
  <si>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</si>
  <si>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</si>
  <si>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</si>
  <si>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</si>
  <si>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</si>
  <si>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</si>
  <si>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</si>
  <si>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</si>
  <si>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</si>
  <si>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</si>
  <si>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</si>
  <si>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</si>
  <si>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</si>
  <si>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</si>
  <si>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</si>
  <si>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</si>
  <si>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</si>
  <si>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</si>
  <si>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</si>
  <si>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</si>
  <si>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</si>
  <si>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</si>
  <si>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</si>
  <si>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</si>
  <si>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</si>
  <si>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</si>
  <si>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</si>
  <si>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</si>
  <si>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</si>
  <si>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</si>
  <si>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</si>
  <si>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</si>
  <si>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</si>
  <si>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</si>
  <si>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</si>
  <si>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</si>
  <si>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</si>
  <si>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</si>
  <si>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</si>
  <si>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</si>
  <si>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</si>
  <si>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</si>
  <si>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</si>
  <si>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</si>
  <si>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</si>
  <si>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</si>
  <si>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</si>
  <si>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</si>
  <si>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</si>
  <si>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</si>
  <si>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</si>
  <si>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</si>
  <si>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</si>
  <si>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</si>
  <si>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</si>
  <si>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</si>
  <si>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</si>
  <si>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</si>
  <si>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</si>
  <si>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</si>
  <si>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</si>
  <si>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</si>
  <si>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</si>
  <si>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</si>
  <si>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</si>
  <si>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</si>
  <si>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</si>
  <si>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</si>
  <si>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</si>
  <si>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</si>
  <si>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</si>
  <si>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</si>
  <si>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</si>
  <si>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</si>
  <si>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</si>
  <si>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</si>
  <si>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</si>
  <si>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</si>
  <si>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</si>
  <si>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</si>
  <si>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</si>
  <si>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</si>
  <si>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</si>
  <si>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</si>
  <si>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</si>
  <si>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</si>
  <si>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</si>
  <si>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</si>
  <si>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</si>
  <si>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</si>
  <si>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</si>
  <si>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</si>
  <si>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</si>
  <si>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</si>
  <si>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</si>
  <si>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</si>
  <si>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</si>
  <si>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</si>
  <si>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</si>
  <si>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</si>
  <si>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</si>
  <si>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</si>
  <si>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</si>
  <si>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</si>
  <si>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</si>
  <si>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</si>
  <si>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</si>
  <si>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</si>
  <si>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</si>
  <si>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</si>
  <si>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</si>
  <si>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</si>
  <si>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</si>
  <si>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</si>
  <si>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</si>
  <si>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</si>
  <si>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</si>
  <si>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</si>
  <si>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</si>
  <si>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</si>
  <si>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</si>
  <si>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</si>
  <si>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</si>
  <si>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</si>
  <si>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</si>
  <si>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</si>
  <si>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</si>
  <si>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</si>
  <si>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</si>
  <si>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</si>
  <si>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</si>
  <si>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</si>
  <si>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</si>
  <si>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</si>
  <si>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</si>
  <si>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K64.1.1 - Central banking</t>
  </si>
  <si>
    <t>K64.1.9 - Other monetary intermediation</t>
  </si>
  <si>
    <t>K64.2.0 - Activities of holding companies</t>
  </si>
  <si>
    <t>K64.3.0 - Trusts, funds and similar financial entities</t>
  </si>
  <si>
    <t>K64.9.1 - Financial leasing</t>
  </si>
  <si>
    <t>K64.9.2 - Other credit granting</t>
  </si>
  <si>
    <t>K64.9.9 - Other financial service activities, except insurance and pension funding n.e.c.</t>
  </si>
  <si>
    <t>K65.1.1 - Life insurance</t>
  </si>
  <si>
    <t>K65.1.2 - Non-life insurance</t>
  </si>
  <si>
    <t>K65.2.0 - Reinsurance</t>
  </si>
  <si>
    <t>K65.3.0 - Pension funding</t>
  </si>
  <si>
    <t>K66.1.1 - Administration of financial markets</t>
  </si>
  <si>
    <t>K66.1.2 - Security and commodity contracts brokerage</t>
  </si>
  <si>
    <t>K66.1.9 - Other activities auxiliary to financial services, except insurance and pension funding</t>
  </si>
  <si>
    <t>K66.2.1 - Risk and damage evaluation</t>
  </si>
  <si>
    <t>K66.2.2 - Activities of insurance agents and brokers</t>
  </si>
  <si>
    <t>K66.2.9 - Other activities auxiliary to insurance and pension funding</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</si>
  <si>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</si>
  <si>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</si>
  <si>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</si>
  <si>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</si>
  <si>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</si>
  <si>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</si>
  <si>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</si>
  <si>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</si>
  <si>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</si>
  <si>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</si>
  <si>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</si>
  <si>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</si>
  <si>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</si>
  <si>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</si>
  <si>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</si>
  <si>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</si>
  <si>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</si>
  <si>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</si>
  <si>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</si>
  <si>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</si>
  <si>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</si>
  <si>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</si>
  <si>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</si>
  <si>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</si>
  <si>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</si>
  <si>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</si>
  <si>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</si>
  <si>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</si>
  <si>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</si>
  <si>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</si>
  <si>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</si>
  <si>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</si>
  <si>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</si>
  <si>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</si>
  <si>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</si>
  <si>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</si>
  <si>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</si>
  <si>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</si>
  <si>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</si>
  <si>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</si>
  <si>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</si>
  <si>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</si>
  <si>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</si>
  <si>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</si>
  <si>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</si>
  <si>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</si>
  <si>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</si>
  <si>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</si>
  <si>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</si>
  <si>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</si>
  <si>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</si>
  <si>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</si>
  <si>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</si>
  <si>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</si>
  <si>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</si>
  <si>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</si>
  <si>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</si>
  <si>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</si>
  <si>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</si>
  <si>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</si>
  <si>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</si>
  <si>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</si>
  <si>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</si>
  <si>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</si>
  <si>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</si>
  <si>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</si>
  <si>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</si>
  <si>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</si>
  <si>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</si>
  <si>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</si>
  <si>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</si>
  <si>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</si>
  <si>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</si>
  <si>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</si>
  <si>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</si>
  <si>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</si>
  <si>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</si>
  <si>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</si>
  <si>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</si>
  <si>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</si>
  <si>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</si>
  <si>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</si>
  <si>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</si>
  <si>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</si>
  <si>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</si>
  <si>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</si>
  <si>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</si>
  <si>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</si>
  <si>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</si>
  <si>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</si>
  <si>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</si>
  <si>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</si>
  <si>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</si>
  <si>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</si>
  <si>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</si>
  <si>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</si>
  <si>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</si>
  <si>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</si>
  <si>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</si>
  <si>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</si>
  <si>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</si>
  <si>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</si>
  <si>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</si>
  <si>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</si>
  <si>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</si>
  <si>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</si>
  <si>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</si>
  <si>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</si>
  <si>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</si>
  <si>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</si>
  <si>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</si>
  <si>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</si>
  <si>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</si>
  <si>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</si>
  <si>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</si>
  <si>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</si>
  <si>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</si>
  <si>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</si>
  <si>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</si>
  <si>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</si>
  <si>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</si>
  <si>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</si>
  <si>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</si>
  <si>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</si>
  <si>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</si>
  <si>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</si>
  <si>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</si>
  <si>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</si>
  <si>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</si>
  <si>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</si>
  <si>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</si>
  <si>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</si>
  <si>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</si>
  <si>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</si>
  <si>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</si>
  <si>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</si>
  <si>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</si>
  <si>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</si>
  <si>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</si>
  <si>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</si>
  <si>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</si>
  <si>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</si>
  <si>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</si>
  <si>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</si>
  <si>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</si>
  <si>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</si>
  <si>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</si>
  <si>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</si>
  <si>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</si>
  <si>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</si>
  <si>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</si>
  <si>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</si>
  <si>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</si>
  <si>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</si>
  <si>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</si>
  <si>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</si>
  <si>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</si>
  <si>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</si>
  <si>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</si>
  <si>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</si>
  <si>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</si>
  <si>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</si>
  <si>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</si>
  <si>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</si>
  <si>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</si>
  <si>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</si>
  <si>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</si>
  <si>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</si>
  <si>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</si>
  <si>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</si>
  <si>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</si>
  <si>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</si>
  <si>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</si>
  <si>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</si>
  <si>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</si>
  <si>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</si>
  <si>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</si>
  <si>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</si>
  <si>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</si>
  <si>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</si>
  <si>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</si>
  <si>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</si>
  <si>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</si>
  <si>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</si>
  <si>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</si>
  <si>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</si>
  <si>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</si>
  <si>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</si>
  <si>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</si>
  <si>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</si>
  <si>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</si>
  <si>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</si>
  <si>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</si>
  <si>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</si>
  <si>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</si>
  <si>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</si>
  <si>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</si>
  <si>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</si>
  <si>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</si>
  <si>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</si>
  <si>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</si>
  <si>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</si>
  <si>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</si>
  <si>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</si>
  <si>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</si>
  <si>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</si>
  <si>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</si>
  <si>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</si>
  <si>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</si>
  <si>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</si>
  <si>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</si>
  <si>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</si>
  <si>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</si>
  <si>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</si>
  <si>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</si>
  <si>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</si>
  <si>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</si>
  <si>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</si>
  <si>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</si>
  <si>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</si>
  <si>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</si>
  <si>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</si>
  <si>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</si>
  <si>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</si>
  <si>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</si>
  <si>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</si>
  <si>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</si>
  <si>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</si>
  <si>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</si>
  <si>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</si>
  <si>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</si>
  <si>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</si>
  <si>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</si>
  <si>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</si>
  <si>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</si>
  <si>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bodies</t>
  </si>
  <si>
    <t>hier_GA_4</t>
  </si>
  <si>
    <t>European Union institutions</t>
  </si>
  <si>
    <t>Supranational Issuers</t>
  </si>
  <si>
    <t>hier_CU_1</t>
  </si>
  <si>
    <t>hier_AP_23</t>
  </si>
  <si>
    <t>Full look-through</t>
  </si>
  <si>
    <t>“Simplified” look-through based on the underlying asset allocation or last reported asset allocation with data grouping</t>
  </si>
  <si>
    <t>“Simplified” look-through based on the underlying asset allocation or last reported asset allocation without data grouping</t>
  </si>
  <si>
    <t>CIUs for which for the “equity risk type 2” was applied</t>
  </si>
  <si>
    <t>No use of any specific SCR calculation approach for CIUs</t>
  </si>
  <si>
    <t>hier_MC_50</t>
  </si>
  <si>
    <t>Not an infrastructure investment</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</si>
  <si>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</si>
  <si>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</si>
  <si>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</si>
  <si>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</si>
  <si>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</si>
  <si>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</si>
  <si>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non-qualifying: Other non-qualifying infrastructure loans or investments, not classified under the above categories</t>
  </si>
  <si>
    <t>Infrastructure qualifying: Other qualifying infrastructure investments, not classified in the above categories</t>
  </si>
  <si>
    <t>European Long-Term Investment Fund</t>
  </si>
  <si>
    <t>hier_PU_39</t>
  </si>
  <si>
    <t>Not a participation</t>
  </si>
  <si>
    <t>Participation other than a Collective Investment Undertaking or investments packaged as funds, which is an investment vehicle</t>
  </si>
  <si>
    <t>Participation in a Collective Investment Undertaking or investments packaged as funds, which is an investment vehicle</t>
  </si>
  <si>
    <t>hier_SE_26</t>
  </si>
  <si>
    <t>Scope Hamburg GmbH (previously Euler Hermes Rating GmbH) (LEI code: 391200QXGLWHK9VK6V27)</t>
  </si>
  <si>
    <t>Japan Credit Rating Agency Ltd (LEI code: 35380002378CEGMRVW86)</t>
  </si>
  <si>
    <t>BCRA-Credit Rating Agency AD (LEI code: 747800Z0IC3P66HTQ142)</t>
  </si>
  <si>
    <t>Creditreform Rating AG (LEI code: 391200PHL11KDUTTST66)</t>
  </si>
  <si>
    <t>Scope Ratings GmbH (previously Scope Ratings AG and PSR Rating GmbH)(LEI code: 391200WU1EZUQFHDWE91)</t>
  </si>
  <si>
    <t>ICAP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</si>
  <si>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</si>
  <si>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</si>
  <si>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</si>
  <si>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t>
  </si>
  <si>
    <t>A.M. Best (EU) Rating Services B.V. (LEI code: 549300Z2RUKFKV7GON79)</t>
  </si>
  <si>
    <t>AM Best Europe-Rating Services Ltd. (AMBERS) (LEI code: 549300VO8J8E5IQV1T26)</t>
  </si>
  <si>
    <t>DBRS Ratings Limited (LEI code: 5493008CGCDQLGT3EH93)</t>
  </si>
  <si>
    <t>Fitch</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</si>
  <si>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</si>
  <si>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</si>
  <si>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</si>
  <si>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</si>
  <si>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</si>
  <si>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</si>
  <si>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</si>
  <si>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Fitch Ratings Ireland Limited (merger of Fitch Deutschland GmbH, Fitch France S.A.S., Fitch Polska S.A., Fitch Italia S.p.A. and Fitch Ratings España S.A.U.) (LEI code: 213800BTXUQP1JZRO283)</t>
  </si>
  <si>
    <t>Moody’s</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</si>
  <si>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</si>
  <si>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</si>
  <si>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</si>
  <si>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</si>
  <si>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</si>
  <si>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</si>
  <si>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Moody’s Investors Service EMEA Ltd (LEI code: 54930009NU3JYS1HTT72)</t>
  </si>
  <si>
    <t>Moody’s Investors Service (Nordics) AB (LEI code: 549300W79ZVFWJCD2Z23)</t>
  </si>
  <si>
    <t>Standard &amp; Poor's</t>
  </si>
  <si>
    <t>S&amp;P Global Ratings Europe Limited (previously S&amp;P Global Ratings Italy S.r.l, LEI 54930000NMOJ7ZBUQ063 - merger of 1 May 2018)(LEI code:5493008B2TU3S6QE1E12)</t>
  </si>
  <si>
    <t>CRIF Ratings S.r.l. (previously CRIF S.p.a.) (LEI code: 8156001AB6A1D740F237)</t>
  </si>
  <si>
    <t>Capital Intelligence Ratings Ltd (LEI code: 549300RE88OJP9J24Z18)</t>
  </si>
  <si>
    <t>European Rating Agency, a.s. (LEI code: 097900BFME0000038276)</t>
  </si>
  <si>
    <t>Axesor Risk Management SL (LEI code: 959800EC2RH76JYS3844)</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</si>
  <si>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</si>
  <si>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</si>
  <si>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</si>
  <si>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</si>
  <si>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QIVALIO SAS (previously Spread Research) (LEI code: 969500HB6BVM2UJDOC52)</t>
  </si>
  <si>
    <t>EuroRating Sp. z o.o. (LEI code: 25940027QWS5GMO74O03)</t>
  </si>
  <si>
    <t>HR Ratings de México, S.A. de C.V. (HR Ratings) (LEI code: 549300IFL3XJKTRHZ480)</t>
  </si>
  <si>
    <t>Egan-Jones Ratings Co. (EJR) (LEI code: 54930016113PD33V1H31)</t>
  </si>
  <si>
    <t>modeFinance S.r.l. (LEI code: 815600B85A94A0122614)</t>
  </si>
  <si>
    <t>INC Rating Sp. z o.o. (LEI code: 259400SUBF5EPOGK0983)</t>
  </si>
  <si>
    <t>Rating-Agentur Expert RA GmbH (LEI code: 213800P3OOBSGWN2UE81)</t>
  </si>
  <si>
    <t>Kroll Bond Rating Agency Europe Limited (LEI code: 5493001NGHOLC41ZSK05)</t>
  </si>
  <si>
    <t>Nordic Credit Rating AS (LEI code: 549300MLUDYVRQOOXS22)</t>
  </si>
  <si>
    <t>DBRS Rating GmbH (LEI code: 54930033N1HPUEY7I370)</t>
  </si>
  <si>
    <t>Beyond Ratings SAS (LEI code: 9695006ORIPPZ3QSM810)</t>
  </si>
  <si>
    <t>Inbonis S.A. (LEI code: 875500OYQK8S5AGGBZ02)</t>
  </si>
  <si>
    <t>Other nominated ECAI</t>
  </si>
  <si>
    <t>No ECAI has been nominated and a simplification is being used to calculate the SCR</t>
  </si>
  <si>
    <t>hier_BR_4</t>
  </si>
  <si>
    <t>Credit quality step 0</t>
  </si>
  <si>
    <t>Credit quality step 1</t>
  </si>
  <si>
    <t>Credit quality step 2</t>
  </si>
  <si>
    <t>Credit quality step 2 due to article 176a of Delegated Regulation 2015/35 for unrated bonds and loans</t>
  </si>
  <si>
    <t>Credit quality step 3</t>
  </si>
  <si>
    <t>Credit quality step 3 due to simplified calculation under article 105a of Delegated Regulation 2015/35</t>
  </si>
  <si>
    <t>Credit quality step 3 due to article 176a of Delegated Regulation 2015/35 for unrated bonds and loans</t>
  </si>
  <si>
    <t>Credit quality step 4</t>
  </si>
  <si>
    <t>Credit quality step 5</t>
  </si>
  <si>
    <t>Credit quality step 6</t>
  </si>
  <si>
    <t>No rating available</t>
  </si>
  <si>
    <t>hier_MC_26</t>
  </si>
  <si>
    <t>Government Bonds</t>
  </si>
  <si>
    <t>Corporate Bonds</t>
  </si>
  <si>
    <t>Listed equity</t>
  </si>
  <si>
    <t>Unlisted equity</t>
  </si>
  <si>
    <t>Collective investments undertakings</t>
  </si>
  <si>
    <t>Structured notes</t>
  </si>
  <si>
    <t>Collateralised securities</t>
  </si>
  <si>
    <t>Cash and deposits</t>
  </si>
  <si>
    <t>Mortgages and loans</t>
  </si>
  <si>
    <t>Properties</t>
  </si>
  <si>
    <t>Other investments</t>
  </si>
  <si>
    <t>Futures</t>
  </si>
  <si>
    <t>Call Options</t>
  </si>
  <si>
    <t>Put Options</t>
  </si>
  <si>
    <t>Swaps</t>
  </si>
  <si>
    <t>Forwards</t>
  </si>
  <si>
    <t>Credit derivatives</t>
  </si>
  <si>
    <t>Liabilities</t>
  </si>
  <si>
    <t>hier_GA_35</t>
  </si>
  <si>
    <t>Aggregated countries due to application of threshold</t>
  </si>
  <si>
    <t>hier_CU_4</t>
  </si>
  <si>
    <t>Local</t>
  </si>
  <si>
    <t>Foreign</t>
  </si>
  <si>
    <t>hier_MC_29</t>
  </si>
  <si>
    <t>Equity instruments</t>
  </si>
  <si>
    <t>No collateral</t>
  </si>
  <si>
    <t>hier_LB_51</t>
  </si>
  <si>
    <t>CLN [credit linked notes and deposits]</t>
  </si>
  <si>
    <t>CMS [constant maturity swaps]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</si>
  <si>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</si>
  <si>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</si>
  <si>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</si>
  <si>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</si>
  <si>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</si>
  <si>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</si>
  <si>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</si>
  <si>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</si>
  <si>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</si>
  <si>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HLN [Hybrid linked notes and deposits - includes Real Estate and equity securities]</t>
  </si>
  <si>
    <t>MLN [Market-linked notes and deposits]</t>
  </si>
  <si>
    <t>ILN [Insurance-linked Notes and deposits, including Catastrophe and Weather Risk as well as Mortality Risk]</t>
  </si>
  <si>
    <t>Structured products other than CLN, CMS, ABS, MBS, CMBS, CDO, CLO, CMO, IRLN, ELN, FXCLN, HLN, MLN and ILN</t>
  </si>
  <si>
    <t>hier_CG_5</t>
  </si>
  <si>
    <t>Full capital protection</t>
  </si>
  <si>
    <t>Partial capital protection</t>
  </si>
  <si>
    <t>No capital protection</t>
  </si>
  <si>
    <t>hier_PC_2</t>
  </si>
  <si>
    <t>Equity and Funds [EF]</t>
  </si>
  <si>
    <t>Currency [CU]</t>
  </si>
  <si>
    <t>Interest rate and yields [IR]</t>
  </si>
  <si>
    <t>Commodities [Co]</t>
  </si>
  <si>
    <t>Index [In]</t>
  </si>
  <si>
    <t>Multi [M]</t>
  </si>
  <si>
    <t>Other [O]</t>
  </si>
  <si>
    <t>hier_PC_1</t>
  </si>
  <si>
    <t>Call by the buyer</t>
  </si>
  <si>
    <t>Call by the seller</t>
  </si>
  <si>
    <t>Put by the buyer</t>
  </si>
  <si>
    <t>Put by the seller</t>
  </si>
  <si>
    <t>Any combination of the previous options</t>
  </si>
  <si>
    <t>hier_MC_30</t>
  </si>
  <si>
    <t>Structured product without any transfer of asset</t>
  </si>
  <si>
    <t>Structured product with transfer of asset</t>
  </si>
  <si>
    <t>hier_PC_3</t>
  </si>
  <si>
    <t>Prepayments possible</t>
  </si>
  <si>
    <t>Prepayments not possible</t>
  </si>
  <si>
    <t>hier_CG_11</t>
  </si>
  <si>
    <t>Collateralisation performed on a portfolio basis</t>
  </si>
  <si>
    <t>Collateralisation performed on a single contract basis</t>
  </si>
  <si>
    <t>hier_PU_19</t>
  </si>
  <si>
    <t>Micro hedge [MI]</t>
  </si>
  <si>
    <t>Macro hedge [MA]</t>
  </si>
  <si>
    <t>Matching assets and liabilities cash-flows used in the context of matching adjustment portfolios</t>
  </si>
  <si>
    <t>Efficient portfolio management, other than “Matching assets and liabilities cash-flows used in the context of matching adjustment portfolios”</t>
  </si>
  <si>
    <t>hier_MC_32</t>
  </si>
  <si>
    <t>L [open]</t>
  </si>
  <si>
    <t>S [open]</t>
  </si>
  <si>
    <t>FX-FL [open]</t>
  </si>
  <si>
    <t>FX-FX [open]</t>
  </si>
  <si>
    <t>FL-FX [open]</t>
  </si>
  <si>
    <t>FL-FL [open]</t>
  </si>
  <si>
    <t>hier_VM_24</t>
  </si>
  <si>
    <t>Quoted market price in active markets for the same assets or liabilities</t>
  </si>
  <si>
    <t>Quoted market price in active markets for similar assets or liabilities</t>
  </si>
  <si>
    <t>hier_SE_27</t>
  </si>
  <si>
    <t>hier_BR_3</t>
  </si>
  <si>
    <t>hier_LT_5</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</si>
  <si>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</si>
  <si>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</si>
  <si>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</si>
  <si>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</si>
  <si>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</si>
  <si>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</si>
  <si>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No unwind trigger</t>
  </si>
  <si>
    <t>hier_MC_33</t>
  </si>
  <si>
    <t>L [closed]</t>
  </si>
  <si>
    <t>S [closed]</t>
  </si>
  <si>
    <t>FX-FL [closed]</t>
  </si>
  <si>
    <t>FX-FX [closed]</t>
  </si>
  <si>
    <t>FL-FX [closed]</t>
  </si>
  <si>
    <t>FL-FL [closed]</t>
  </si>
  <si>
    <t>hier_MC_28</t>
  </si>
  <si>
    <t>hier_TB_8</t>
  </si>
  <si>
    <t>Buyer [repo]</t>
  </si>
  <si>
    <t>Seller [repo]</t>
  </si>
  <si>
    <t>Lender [securities lending]</t>
  </si>
  <si>
    <t>Borrower [securities lending]</t>
  </si>
  <si>
    <t>hier_MC_31</t>
  </si>
  <si>
    <t>Equities</t>
  </si>
  <si>
    <t>Derivatives</t>
  </si>
  <si>
    <t>hier_LB_50</t>
  </si>
  <si>
    <t>hier_LB_48</t>
  </si>
  <si>
    <t>Single life</t>
  </si>
  <si>
    <t>Joint life</t>
  </si>
  <si>
    <t>Collective</t>
  </si>
  <si>
    <t>Pension entitlements</t>
  </si>
  <si>
    <t>Other</t>
  </si>
  <si>
    <t>hier_LB_19</t>
  </si>
  <si>
    <t>Still commercialised</t>
  </si>
  <si>
    <t>In run-off</t>
  </si>
  <si>
    <t>hier_LB_28</t>
  </si>
  <si>
    <t>Regular premium [R]</t>
  </si>
  <si>
    <t>Single premium with possibility of additional premiums with additional guarantee according to amount paid</t>
  </si>
  <si>
    <t>Single premium without possibility to pay an additional premium in the future [NF]</t>
  </si>
  <si>
    <t>hier_LB_22</t>
  </si>
  <si>
    <t>Product is considered replicable by a financial instrument</t>
  </si>
  <si>
    <t>Product is not considered replicable by a financial instrument</t>
  </si>
  <si>
    <t>Product is considered partially replicable by a financial instrument</t>
  </si>
  <si>
    <t>hier_CG_9</t>
  </si>
  <si>
    <t>Guaranteed minimum death benefit [GMDB]</t>
  </si>
  <si>
    <t>Guaranteed minimum accumulation benefit [GMAB]</t>
  </si>
  <si>
    <t>Guaranteed minimum income benefit [GMIB]</t>
  </si>
  <si>
    <t>Guaranteed minimum withdrawal benefits [GMWB]</t>
  </si>
  <si>
    <t>hier_TB_2</t>
  </si>
  <si>
    <t>None [N]</t>
  </si>
  <si>
    <t>Dynamic [D]</t>
  </si>
  <si>
    <t>Static [S]</t>
  </si>
  <si>
    <t>Ad hoc [A]</t>
  </si>
  <si>
    <t>hier_CG_7</t>
  </si>
  <si>
    <t>Yes [Y]</t>
  </si>
  <si>
    <t>No [N]</t>
  </si>
  <si>
    <t>Partial [P]</t>
  </si>
  <si>
    <t>Not sensitive [NS]</t>
  </si>
  <si>
    <t>hier_LB_31</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</si>
  <si>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</si>
  <si>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</si>
  <si>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</si>
  <si>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</si>
  <si>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</si>
  <si>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</si>
  <si>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</si>
  <si>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</si>
  <si>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</si>
  <si>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Legal expenses insurance [direct business and accepted proportional reinsurance]</t>
  </si>
  <si>
    <t>Assistance [direct business and accepted proportional reinsurance]</t>
  </si>
  <si>
    <t>Miscellaneous financial loss [direct business and accepted proportional reinsurance]</t>
  </si>
  <si>
    <t>hier_AM_8</t>
  </si>
  <si>
    <t>Accident year [AY]</t>
  </si>
  <si>
    <t>Underwriting year [UWY]</t>
  </si>
  <si>
    <t>hier_CA_1</t>
  </si>
  <si>
    <t>Not applicable / Expressed in (converted to) reporting currency</t>
  </si>
  <si>
    <t>Expressed in currency of denomination (not converted to reporting currency)</t>
  </si>
  <si>
    <t>hier_LB_30</t>
  </si>
  <si>
    <t>hier_TB_3</t>
  </si>
  <si>
    <t>Sum Insured [SI]</t>
  </si>
  <si>
    <t>Maximum Possible Loss [MPL]</t>
  </si>
  <si>
    <t>Probable Maximum Loss [PML]</t>
  </si>
  <si>
    <t>Estimated Maximum Loss [EML]</t>
  </si>
  <si>
    <t>Other than sum insured, maximum possible loss, probable maximum loss and estimated maximum loss</t>
  </si>
  <si>
    <t>hier_LB_47</t>
  </si>
  <si>
    <t>Life and Health SLT</t>
  </si>
  <si>
    <t>Non-life and Health non-SLT</t>
  </si>
  <si>
    <t>hier_EL_13</t>
  </si>
  <si>
    <t>Tier 1</t>
  </si>
  <si>
    <t>Tier 1 - unrestricted</t>
  </si>
  <si>
    <t>Tier 1 - restricted</t>
  </si>
  <si>
    <t>Tier 2</t>
  </si>
  <si>
    <t>Tier 3</t>
  </si>
  <si>
    <t>hier_EL_14</t>
  </si>
  <si>
    <t>Counted under transitionals</t>
  </si>
  <si>
    <t>Other than counted under transitionals</t>
  </si>
  <si>
    <t>hier_AO_1</t>
  </si>
  <si>
    <t>No</t>
  </si>
  <si>
    <t>Yes</t>
  </si>
  <si>
    <t>hier_AP_18</t>
  </si>
  <si>
    <t>Full recalculation</t>
  </si>
  <si>
    <t>Simplification at risk sub-module level</t>
  </si>
  <si>
    <t>Simplification at risk module level</t>
  </si>
  <si>
    <t>No adjustment</t>
  </si>
  <si>
    <t>hier_AP_24</t>
  </si>
  <si>
    <t>Approach based on average tax rate</t>
  </si>
  <si>
    <t>Approach not based on average tax rate</t>
  </si>
  <si>
    <t>Approach based on average tax rate is not applicable as LAC DT is not used</t>
  </si>
  <si>
    <t>hier_AP_14</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</si>
  <si>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</si>
  <si>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</si>
  <si>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</si>
  <si>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</si>
  <si>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hier_AP_25</t>
  </si>
  <si>
    <t>Simplifications based on article 105a</t>
  </si>
  <si>
    <t>Simplifications not used</t>
  </si>
  <si>
    <t>hier_AP_17</t>
  </si>
  <si>
    <t>Simplifications used</t>
  </si>
  <si>
    <t>hier_AP_12</t>
  </si>
  <si>
    <t>USP gross</t>
  </si>
  <si>
    <t>USP net</t>
  </si>
  <si>
    <t>hier_AP_26</t>
  </si>
  <si>
    <t>Simplifications based on article 96a</t>
  </si>
  <si>
    <t>hier_AP_27</t>
  </si>
  <si>
    <t>Simplifications based on article 90a</t>
  </si>
  <si>
    <t>hier_RT_10</t>
  </si>
  <si>
    <t>Scenario A</t>
  </si>
  <si>
    <t>Scenario B</t>
  </si>
  <si>
    <t>hier_GA_36</t>
  </si>
  <si>
    <t>hier_AP_28</t>
  </si>
  <si>
    <t>Simplifications based on article 90c</t>
  </si>
  <si>
    <t>hier_LB_32</t>
  </si>
  <si>
    <t>Life</t>
  </si>
  <si>
    <t>hier_LB_33</t>
  </si>
  <si>
    <t>hier_TB_4</t>
  </si>
  <si>
    <t>Non-traditional or Finite RE</t>
  </si>
  <si>
    <t>Other than non-traditional or Finite RE</t>
  </si>
  <si>
    <t>hier_TB_9</t>
  </si>
  <si>
    <t>Proportional</t>
  </si>
  <si>
    <t>Non-proportional</t>
  </si>
  <si>
    <t>hier_SE_14</t>
  </si>
  <si>
    <t>Direct Life insurer</t>
  </si>
  <si>
    <t>Direct Non-life insurer</t>
  </si>
  <si>
    <t>Direct Composite insurer</t>
  </si>
  <si>
    <t>Captive insurance undertaking</t>
  </si>
  <si>
    <t>Internal reinsurer</t>
  </si>
  <si>
    <t>External reinsurer</t>
  </si>
  <si>
    <t>Reinsurance captive</t>
  </si>
  <si>
    <t>Special purpose vehicle [SPV]</t>
  </si>
  <si>
    <t>Pool entity</t>
  </si>
  <si>
    <t>State pool</t>
  </si>
  <si>
    <t>hier_LB_49</t>
  </si>
  <si>
    <t>Multiline</t>
  </si>
  <si>
    <t>hier_TB_11</t>
  </si>
  <si>
    <t>Quota share</t>
  </si>
  <si>
    <t>Variable quota share</t>
  </si>
  <si>
    <t>Surplus</t>
  </si>
  <si>
    <t>Excess of loss [per event and per risk]</t>
  </si>
  <si>
    <t>Excess of loss [per risk]</t>
  </si>
  <si>
    <t>Excess of loss [per event]</t>
  </si>
  <si>
    <t>Excess of loss “back-up”</t>
  </si>
  <si>
    <t>Excess of loss with basic risk</t>
  </si>
  <si>
    <t>Reinstatement cover</t>
  </si>
  <si>
    <t>Aggregate excess of loss</t>
  </si>
  <si>
    <t>Unlimited excess of loss</t>
  </si>
  <si>
    <t>Stop loss [SL]</t>
  </si>
  <si>
    <t>Other proportional treaties</t>
  </si>
  <si>
    <t>Other non proportional treaties</t>
  </si>
  <si>
    <t>hier_AM_7</t>
  </si>
  <si>
    <t>Based on flat premium [Y]</t>
  </si>
  <si>
    <t>Not based on a flat premium [N]</t>
  </si>
  <si>
    <t>hier_MC_18</t>
  </si>
  <si>
    <t>Cash or equivalent in Trust</t>
  </si>
  <si>
    <t>Cash or Funds Withheld</t>
  </si>
  <si>
    <t>Letter of Credit</t>
  </si>
  <si>
    <t>Other than Cash or equivalent in Trust, Cash or Funds Withheld and Letter of Credit</t>
  </si>
  <si>
    <t>hier_LT_3</t>
  </si>
  <si>
    <t>Indemnity</t>
  </si>
  <si>
    <t>Model Loss</t>
  </si>
  <si>
    <t>Index or Parametric</t>
  </si>
  <si>
    <t>Hybrid (including components from above techniques)</t>
  </si>
  <si>
    <t>Other than indemnity, Model Loss, Index or Parametric and Hybrids</t>
  </si>
  <si>
    <t>hier_LT_4</t>
  </si>
  <si>
    <t>The same as in underlying portfolio</t>
  </si>
  <si>
    <t>Other than in underlying portfolio</t>
  </si>
  <si>
    <t>hier_RT_13</t>
  </si>
  <si>
    <t>No basis risk</t>
  </si>
  <si>
    <t>Insufficient subordination for note holders</t>
  </si>
  <si>
    <t>Investors’ additional recourse against cedant</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</si>
  <si>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</si>
  <si>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</si>
  <si>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</si>
  <si>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hier_RT_14</t>
  </si>
  <si>
    <t>Substantial part of risks insured not transferred</t>
  </si>
  <si>
    <t>Insufficient trigger to match risk exposure of cedant</t>
  </si>
  <si>
    <t>hier_SE_16</t>
  </si>
  <si>
    <t>SPV fully funded in relation to cedant obligations</t>
  </si>
  <si>
    <t>SPV not fully funded in relation to cedant obligations</t>
  </si>
  <si>
    <t>hier_TB_12</t>
  </si>
  <si>
    <t>Investments of SPV controlled by cedant and/or sponsor (where it differs from cedant)</t>
  </si>
  <si>
    <t>Investments of SPV held by cedant (equity, notes or other subordinated debt of the SPV)</t>
  </si>
  <si>
    <t>Cedant sells reinsurance or other risk mitigation protection to the SPV</t>
  </si>
  <si>
    <t>Cedant has provided guarantee or other credit enhancement to SPV or note holders</t>
  </si>
  <si>
    <t>Sufficient basis risk retained by cedant</t>
  </si>
  <si>
    <t>hier_TB_13</t>
  </si>
  <si>
    <t>Held in trust with other third party than cedant / sponsor</t>
  </si>
  <si>
    <t>Not held in trust with other third party than cedant / sponsor</t>
  </si>
  <si>
    <t>hier_SE_17</t>
  </si>
  <si>
    <t>Trusts</t>
  </si>
  <si>
    <t>Partnerships</t>
  </si>
  <si>
    <t>Limited liability companies</t>
  </si>
  <si>
    <t>Other legal entity form not referred above</t>
  </si>
  <si>
    <t>Not incorporated</t>
  </si>
  <si>
    <t>hier_GA_5</t>
  </si>
  <si>
    <t>hier_TB_7</t>
  </si>
  <si>
    <t>SPV authorised under article 211(1) of the Directive 2009/138/EC</t>
  </si>
  <si>
    <t>SPV authorised under article 211(3) of the Directive 2009/138/EC (grandfathered)</t>
  </si>
  <si>
    <t>SPV regulated by a third country supervisory authority where requirements equivalent to those set out in Article 211(2) of Directive 2009/138/EC are met by the special purpose vehicle</t>
  </si>
  <si>
    <t>SPV not covered above</t>
  </si>
  <si>
    <t>hier_MC_35</t>
  </si>
  <si>
    <t>Bonds/Debt - collateralised</t>
  </si>
  <si>
    <t>Bonds/Debt - uncollateralised</t>
  </si>
  <si>
    <t>Equity type - shares/participations</t>
  </si>
  <si>
    <t>Equity type - others</t>
  </si>
  <si>
    <t>Other asset transfer - properties</t>
  </si>
  <si>
    <t>Other asset transfer - others</t>
  </si>
  <si>
    <t>hier_MC_36</t>
  </si>
  <si>
    <t>Derivatives - options</t>
  </si>
  <si>
    <t>Derivatives - others</t>
  </si>
  <si>
    <t>Guarantees - credit protection</t>
  </si>
  <si>
    <t>Guarantees - others</t>
  </si>
  <si>
    <t>Swaps - credit default</t>
  </si>
  <si>
    <t>Swaps - interest rate</t>
  </si>
  <si>
    <t>Swaps - currency</t>
  </si>
  <si>
    <t>Swaps - others</t>
  </si>
  <si>
    <t>hier_LB_43</t>
  </si>
  <si>
    <t>hier_TB_14</t>
  </si>
  <si>
    <t>Financial reinsurance</t>
  </si>
  <si>
    <t>Facultative proportional</t>
  </si>
  <si>
    <t>Facultative non-proportional</t>
  </si>
  <si>
    <t>hier_MC_37</t>
  </si>
  <si>
    <t>Contingent liabilities</t>
  </si>
  <si>
    <t>Off balance sheet items</t>
  </si>
  <si>
    <t>Cost sharing</t>
  </si>
  <si>
    <t>Others</t>
  </si>
  <si>
    <t>hier_PU_20</t>
  </si>
  <si>
    <t>Material Ring Fenced Fund or Matching Adjustment Portfolio</t>
  </si>
  <si>
    <t>Remaining part [other than MAPs and material RFFs]</t>
  </si>
  <si>
    <t>hier_CN_77</t>
  </si>
  <si>
    <t>Not reported as refers to MAP fund</t>
  </si>
  <si>
    <t>hier_CN_92</t>
  </si>
  <si>
    <t>Not reported as no RFF/MAP or no life and health SLT business</t>
  </si>
  <si>
    <t>hier_CN_93</t>
  </si>
  <si>
    <t>Not reported as no RFF/MAP or no non-life business</t>
  </si>
  <si>
    <t>hier_CN_79</t>
  </si>
  <si>
    <t>Not reported as no MA is applied</t>
  </si>
  <si>
    <t>Not reported as refers to RFF or remaining part</t>
  </si>
  <si>
    <t>hier_PU_30</t>
  </si>
  <si>
    <t>Material Ring Fenced Funds</t>
  </si>
  <si>
    <t>hier_CN_17</t>
  </si>
  <si>
    <t>Not reported as method 2 is used exclusively</t>
  </si>
  <si>
    <t>hier_CN_16</t>
  </si>
  <si>
    <t>Exempted under Article 254(2)</t>
  </si>
  <si>
    <t>hier_CN_19</t>
  </si>
  <si>
    <t>hier_CN_87</t>
  </si>
  <si>
    <t>hier_CN_24</t>
  </si>
  <si>
    <t>hier_CN_118</t>
  </si>
  <si>
    <t>hier_CN_126</t>
  </si>
  <si>
    <t>hier_CN_29</t>
  </si>
  <si>
    <t>hier_CN_89</t>
  </si>
  <si>
    <t>hier_CN_90</t>
  </si>
  <si>
    <t>hier_CN_96</t>
  </si>
  <si>
    <t>hier_CN_109</t>
  </si>
  <si>
    <t>hier_CN_49</t>
  </si>
  <si>
    <t>hier_CN_50</t>
  </si>
  <si>
    <t>hier_CN_125</t>
  </si>
  <si>
    <t>hier_CN_54</t>
  </si>
  <si>
    <t>hier_CN_56</t>
  </si>
  <si>
    <t>hier_CN_52</t>
  </si>
  <si>
    <t>hier_CN_13</t>
  </si>
  <si>
    <t>Not reported o/a no non-(re)insurance business in the scope of the group</t>
  </si>
  <si>
    <t>hier_CN_61</t>
  </si>
  <si>
    <t>hier_CN_63</t>
  </si>
  <si>
    <t>hier_CN_65</t>
  </si>
  <si>
    <t>hier_CN_67</t>
  </si>
  <si>
    <t>hier_CN_68</t>
  </si>
  <si>
    <t>Not due in accordance with threshold decided by group supervisor</t>
  </si>
  <si>
    <t>hier_CS_14</t>
  </si>
  <si>
    <t>No sub-group information</t>
  </si>
  <si>
    <t>Sub-group information</t>
  </si>
  <si>
    <t>hier_CS_21</t>
  </si>
  <si>
    <t>hier_AP_8</t>
  </si>
  <si>
    <t>Use of group specific parameters</t>
  </si>
  <si>
    <t>Don’t use group specific parameters</t>
  </si>
  <si>
    <t>hier_CS_15</t>
  </si>
  <si>
    <t>Accounting consolidation-based method [method 1]</t>
  </si>
  <si>
    <t>Deduction and aggregation method [method 2]</t>
  </si>
  <si>
    <t>Combination of methods 1 and 2</t>
  </si>
  <si>
    <t>hier_PU_27</t>
  </si>
  <si>
    <t>Non-controlled participation in a related insurance and reinsurance undertaking under method 1</t>
  </si>
  <si>
    <t>Non-controlled participation in related insurance and reinsurance undertaking under method 2</t>
  </si>
  <si>
    <t>Participation in other financial sector</t>
  </si>
  <si>
    <t>Subsidiary under method 2</t>
  </si>
  <si>
    <t>Participation in other strategic related undertaking under method 1</t>
  </si>
  <si>
    <t>Participation in other non-strategic related undertaking under method 1</t>
  </si>
  <si>
    <t>Other participations (e.g. participation in other undertakings under method 2)</t>
  </si>
  <si>
    <t>hier_SE_29</t>
  </si>
  <si>
    <t>Multiple ECAI</t>
  </si>
  <si>
    <t>hier_SE_28</t>
  </si>
  <si>
    <t>hier_SE_23</t>
  </si>
  <si>
    <t>Composite insurer</t>
  </si>
  <si>
    <t>Insurance holding company as defined in Art. 212§ [f] of Directive 2009/138/EC</t>
  </si>
  <si>
    <t>Mixed-activity insurance holding company as defined in Art. 212§1 [g] of Directive 2009/138/EC</t>
  </si>
  <si>
    <t>Mixed financial holding company as defined in Art. 212§1 [h] of Directive 2009/138/EC</t>
  </si>
  <si>
    <t>Credit institutions, investment firms and financial institutions</t>
  </si>
  <si>
    <t>Institutions for occupational retirement provision</t>
  </si>
  <si>
    <t>Ancillary services undertaking as defined in Article 1 (53) of Delegated Regulation (EU) 2015/35</t>
  </si>
  <si>
    <t>Non-regulated undertaking carrying out financial activities as defined in Article 1 (52) of Delegated Regulation (EU) 2015/35</t>
  </si>
  <si>
    <t>Special purpose vehicle authorized in accordance with Art. 211 of Directive 2009/138/EC</t>
  </si>
  <si>
    <t>Special purpose vehicle other special purpose vehicle authorized in accordance with Art. 211 of Directive 2009/138/EC</t>
  </si>
  <si>
    <t>UCITS management companies as defined in Article 1 (54) of Delegated Regulation (EU) 2015/35</t>
  </si>
  <si>
    <t>Alternative investment funds managers as defined in Article 1 (55) of Delegated Regulation (EU) 2015/35</t>
  </si>
  <si>
    <t>hier_SE_8</t>
  </si>
  <si>
    <t>Mutual</t>
  </si>
  <si>
    <t>Non-mutual</t>
  </si>
  <si>
    <t>hier_CS_3</t>
  </si>
  <si>
    <t>Dominant</t>
  </si>
  <si>
    <t>Significant</t>
  </si>
  <si>
    <t>hier_CS_20</t>
  </si>
  <si>
    <t>Included into scope of group supervision</t>
  </si>
  <si>
    <t>Not included into scope of group supervision (art. 214 a)</t>
  </si>
  <si>
    <t>Not included into scope of group supervision (art. 214 b)</t>
  </si>
  <si>
    <t>Not included into scope of group supervision (art. 214 c)</t>
  </si>
  <si>
    <t>hier_CS_16</t>
  </si>
  <si>
    <t>Method 1: Full consolidation</t>
  </si>
  <si>
    <t>Method 1: Proportional consolidation</t>
  </si>
  <si>
    <t>Method 1: Adjusted equity method</t>
  </si>
  <si>
    <t>Method 1: Sectoral rules</t>
  </si>
  <si>
    <t>Method 2: Solvency II</t>
  </si>
  <si>
    <t>Method 2: Other sectoral Rules</t>
  </si>
  <si>
    <t>Method 2: Local rules</t>
  </si>
  <si>
    <t>Deduction of the participation in relation to article 229 of Directive 2009/138/EC</t>
  </si>
  <si>
    <t>No inclusion in the scope of group supervision as defined in Art. 214 Directive 2009/138/EC</t>
  </si>
  <si>
    <t>Other Method</t>
  </si>
  <si>
    <t>hier_PU_35</t>
  </si>
  <si>
    <t>Entity level</t>
  </si>
  <si>
    <t>hier_AP_13</t>
  </si>
  <si>
    <t>Individual Internal Model</t>
  </si>
  <si>
    <t>Group Internal Model</t>
  </si>
  <si>
    <t>hier_CS_4</t>
  </si>
  <si>
    <t>Aggregated</t>
  </si>
  <si>
    <t>Not aggregated</t>
  </si>
  <si>
    <t>hier_AM_6</t>
  </si>
  <si>
    <t>Sectoral</t>
  </si>
  <si>
    <t>Notional</t>
  </si>
  <si>
    <t>No capital requirement</t>
  </si>
  <si>
    <t>hier_CS_10</t>
  </si>
  <si>
    <t>hier_EX_5</t>
  </si>
  <si>
    <t>Assets - Bonds</t>
  </si>
  <si>
    <t>Assets - Equity</t>
  </si>
  <si>
    <t>Assets - reinsurance</t>
  </si>
  <si>
    <t>Assets - others</t>
  </si>
  <si>
    <t>Liabilities - insurance</t>
  </si>
  <si>
    <t>Liabilities - loans</t>
  </si>
  <si>
    <t>Liabilities - debts</t>
  </si>
  <si>
    <t>Liabilities - others</t>
  </si>
  <si>
    <t>Off-balance-sheet (contingent asset)</t>
  </si>
  <si>
    <t>Off-balance-sheet (contingent liability)</t>
  </si>
  <si>
    <t>hier_CN_78</t>
  </si>
  <si>
    <t>hier_CN_106</t>
  </si>
  <si>
    <t>Exempted under Guideline 48</t>
  </si>
  <si>
    <t>hier_CN_115</t>
  </si>
  <si>
    <t>hier_CN_97</t>
  </si>
  <si>
    <t>hier_CN_119</t>
  </si>
  <si>
    <t>hier_CN_121</t>
  </si>
  <si>
    <t>hier_CN_100</t>
  </si>
  <si>
    <t>hier_CN_101</t>
  </si>
  <si>
    <t>hier_CN_102</t>
  </si>
  <si>
    <t>hier_CN_103</t>
  </si>
  <si>
    <t>hier_CN_104</t>
  </si>
  <si>
    <t>hier_SE_22</t>
  </si>
  <si>
    <t>hier_AO_2</t>
  </si>
  <si>
    <t>hier_PU_24</t>
  </si>
  <si>
    <t>Deposit lodged</t>
  </si>
  <si>
    <t>Not in deposit lodged</t>
  </si>
  <si>
    <t>hier_PU_25</t>
  </si>
  <si>
    <t>No rights of set off</t>
  </si>
  <si>
    <t>Rights of set off</t>
  </si>
  <si>
    <t>hier_CN_75</t>
  </si>
  <si>
    <t>Not reported in Q1 and Q3</t>
  </si>
  <si>
    <t>hier_CN_114</t>
  </si>
  <si>
    <t>hier_CN_111</t>
  </si>
  <si>
    <t>hier_CN_94</t>
  </si>
  <si>
    <t>Not reported as no pension entitlements</t>
  </si>
  <si>
    <t>hier_CN_95</t>
  </si>
  <si>
    <t>hier_SE_18</t>
  </si>
  <si>
    <t>Central bank (ESA 2010 sector S.121)</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</si>
  <si>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</si>
  <si>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</si>
  <si>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</si>
  <si>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</si>
  <si>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</si>
  <si>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</si>
  <si>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</si>
  <si>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</si>
  <si>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</si>
  <si>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Households and non-profit institutions serving households (ESA sector S.14 + ESA sector S.15)</t>
  </si>
  <si>
    <t>hier_MC_48</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</si>
  <si>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</si>
  <si>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</si>
  <si>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</si>
  <si>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</si>
  <si>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hier_CN_122</t>
  </si>
  <si>
    <t>hier_AP_15</t>
  </si>
  <si>
    <t>Compliance with fully-funded</t>
  </si>
  <si>
    <t>Non-compliance with fully-funded</t>
  </si>
  <si>
    <t>hier_AP_16</t>
  </si>
  <si>
    <t>Prior to 31 December 2015</t>
  </si>
  <si>
    <t>After 31 December 2015</t>
  </si>
  <si>
    <t>S.01.01.01.01 - Content of the submission</t>
  </si>
  <si>
    <t>Columns</t>
  </si>
  <si>
    <t/>
  </si>
  <si>
    <t>C0010</t>
  </si>
  <si>
    <t>Rows</t>
  </si>
  <si>
    <t>Template Code - Template name</t>
  </si>
  <si>
    <t>S.01.02.01 - Basic Information - General</t>
  </si>
  <si>
    <t>R0010</t>
  </si>
  <si>
    <t>S.01.03.01 - Basic Information - RFF and matching adjustment portfolios</t>
  </si>
  <si>
    <t>R0020</t>
  </si>
  <si>
    <t>S.02.01.01 - Balance sheet</t>
  </si>
  <si>
    <t>R0030</t>
  </si>
  <si>
    <t>S.02.02.01 - Assets and liabilities by currency</t>
  </si>
  <si>
    <t>R0040</t>
  </si>
  <si>
    <t>S.03.01.01 - Off-balance sheet items - general</t>
  </si>
  <si>
    <t>R0060</t>
  </si>
  <si>
    <t>S.03.02.01 - Off-balance sheet items - List of unlimited guarantees received by the undertaking</t>
  </si>
  <si>
    <t>R0070</t>
  </si>
  <si>
    <t>S.03.03.01 - Off-balance sheet items - List of unlimited guarantees provided by the undertaking</t>
  </si>
  <si>
    <t>R0080</t>
  </si>
  <si>
    <t>S.04.01.01 - Activity by country</t>
  </si>
  <si>
    <t>R0090</t>
  </si>
  <si>
    <t>S.04.02.01 - Information on class 10 in Part A of Annex I of Solvency II Directive, excluding carrier's liability</t>
  </si>
  <si>
    <t>R0100</t>
  </si>
  <si>
    <t>S.05.01.01 - Premiums, claims and expenses by line of business</t>
  </si>
  <si>
    <t>R0110</t>
  </si>
  <si>
    <t>S.05.02.01 - Premiums, claims and expenses by country</t>
  </si>
  <si>
    <t>R0120</t>
  </si>
  <si>
    <t>S.06.01.01 - Summary of assets</t>
  </si>
  <si>
    <t>R0130</t>
  </si>
  <si>
    <t>S.06.02.01 - List of assets</t>
  </si>
  <si>
    <t>R0140</t>
  </si>
  <si>
    <t>S.06.03.01 - Collective investment undertakings - look-through approach</t>
  </si>
  <si>
    <t>R0150</t>
  </si>
  <si>
    <t>S.07.01.01 - Structured products</t>
  </si>
  <si>
    <t>R0160</t>
  </si>
  <si>
    <t>S.08.01.01 - Open derivatives</t>
  </si>
  <si>
    <t>R0170</t>
  </si>
  <si>
    <t>S.08.02.01 - Derivatives Transactions</t>
  </si>
  <si>
    <t>R0180</t>
  </si>
  <si>
    <t>S.09.01.01 - Income/gains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</si>
  <si>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</si>
  <si>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</si>
  <si>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</si>
  <si>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</si>
  <si>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</si>
  <si>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</si>
  <si>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</si>
  <si>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</si>
  <si>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</si>
  <si>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t>
  </si>
  <si>
    <t>R0240</t>
  </si>
  <si>
    <t>S.14.01.01 - Life obligations analysis</t>
  </si>
  <si>
    <t>R0250</t>
  </si>
  <si>
    <t>S.15.01.01 - Description of the guarantees of variable annuities</t>
  </si>
  <si>
    <t>R0260</t>
  </si>
  <si>
    <t>S.15.02.01 - Hedging of guarantees of variable annuities</t>
  </si>
  <si>
    <t>R0270</t>
  </si>
  <si>
    <t>S.16.01.01 - Information on annuities stemming from Non-Life Insurance obligations</t>
  </si>
  <si>
    <t>R0280</t>
  </si>
  <si>
    <t>S.17.01.01 - Non-Life Technical Provisions</t>
  </si>
  <si>
    <t>R0290</t>
  </si>
  <si>
    <t>S.17.02.01 -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</si>
  <si>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</si>
  <si>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</si>
  <si>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</si>
  <si>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</si>
  <si>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</si>
  <si>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</si>
  <si>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</si>
  <si>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S.21.01.01 - Loss distribution risk profile</t>
  </si>
  <si>
    <t>R0340</t>
  </si>
  <si>
    <t>S.21.02.01 - Underwriting risks non-life</t>
  </si>
  <si>
    <t>R0350</t>
  </si>
  <si>
    <t>S.21.03.01 - Non-life distribution of underwriting risks - by sum insured</t>
  </si>
  <si>
    <t>R0360</t>
  </si>
  <si>
    <t>S.22.01.01 - Impact of long term guarantees measures and transitionals</t>
  </si>
  <si>
    <t>R0370</t>
  </si>
  <si>
    <t>S.22.04.01 - Information on the transitional on interest rates calculation</t>
  </si>
  <si>
    <t>R0380</t>
  </si>
  <si>
    <t>S.22.05.01 - Overall calculation of the transitional on technical provisions</t>
  </si>
  <si>
    <t>R0390</t>
  </si>
  <si>
    <t>S.22.06.01 - Best estimate subject to volatility adjustment by country and currency</t>
  </si>
  <si>
    <t>R0400</t>
  </si>
  <si>
    <t>S.23.01.01 - Own funds</t>
  </si>
  <si>
    <t>R0410</t>
  </si>
  <si>
    <t>S.23.02.01 - Detailed information by tiers on own funds</t>
  </si>
  <si>
    <t>R0420</t>
  </si>
  <si>
    <t>S.23.03.01 - Annual movements on own funds</t>
  </si>
  <si>
    <t>R0430</t>
  </si>
  <si>
    <t>S.23.04.01 - List of items on own funds</t>
  </si>
  <si>
    <t>R0440</t>
  </si>
  <si>
    <t>S.24.01.01 - Participations held</t>
  </si>
  <si>
    <t>R0450</t>
  </si>
  <si>
    <t>S.25.01.01 - Solvency Capital Requirement - for undertakings on Standard Formula</t>
  </si>
  <si>
    <t>R0460</t>
  </si>
  <si>
    <t>S.25.02.01 - Solvency Capital Requirement - for undertakings using the standard formula and partial internal model</t>
  </si>
  <si>
    <t>R0470</t>
  </si>
  <si>
    <t>S.25.03.01 - Solvency Capital Requirement - for undertakings on Full Internal Models</t>
  </si>
  <si>
    <t>R0480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</si>
  <si>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</si>
  <si>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</si>
  <si>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</si>
  <si>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</si>
  <si>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</si>
  <si>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</si>
  <si>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</si>
  <si>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</si>
  <si>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</si>
  <si>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</si>
  <si>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</si>
  <si>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</si>
  <si>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</si>
  <si>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</si>
  <si>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S.27.01.01 - Solvency Capital Requirement - Non-life and Health catastrophe risk</t>
  </si>
  <si>
    <t>R0570</t>
  </si>
  <si>
    <t>S.28.01.01 - Minimum Capital Requirement - Only life or only non-life insurance or reinsurance activity</t>
  </si>
  <si>
    <t>R0580</t>
  </si>
  <si>
    <t>S.28.02.01 - Minimum Capital Requirement - Both life and non-life insurance activity</t>
  </si>
  <si>
    <t>R0590</t>
  </si>
  <si>
    <t>S.29.01.01 - Excess of Assets over Liabilities</t>
  </si>
  <si>
    <t>R0600</t>
  </si>
  <si>
    <t>S.29.02.01 - Excess of Assets over Liabilities - explained by investments and financial liabilities</t>
  </si>
  <si>
    <t>R0610</t>
  </si>
  <si>
    <t>S.29.03.01 - Excess of Assets over Liabilities - explained by technical provisions</t>
  </si>
  <si>
    <t>R0620</t>
  </si>
  <si>
    <t>S.29.04.01 - Detailed analysis per period - Technical flows versus Technical provisions</t>
  </si>
  <si>
    <t>R0630</t>
  </si>
  <si>
    <t>S.30.01.01 - Facultative covers for non-life and life business basic data</t>
  </si>
  <si>
    <t>R0640</t>
  </si>
  <si>
    <t>S.30.02.01 - Facultative covers for non-life and life business shares data</t>
  </si>
  <si>
    <t>R0650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</si>
  <si>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</si>
  <si>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</si>
  <si>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</si>
  <si>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</si>
  <si>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</si>
  <si>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</si>
  <si>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</si>
  <si>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</si>
  <si>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</si>
  <si>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</si>
  <si>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</si>
  <si>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</si>
  <si>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S.36.03.01 - IGT - Internal reinsurance</t>
  </si>
  <si>
    <t>R0760</t>
  </si>
  <si>
    <t>S.36.04.01 - IGT - Cost Sharing, contingent liabilities, off BS and other items</t>
  </si>
  <si>
    <t>R0770</t>
  </si>
  <si>
    <t>S.01.01.02.01 - Content of the submission</t>
  </si>
  <si>
    <t>S.02.01.02 - Balance sheet</t>
  </si>
  <si>
    <t>S.05.01.02 - Premiums, claims and expenses by line of business</t>
  </si>
  <si>
    <t>S.12.01.02 - Life and Health SLT Technical Provisions</t>
  </si>
  <si>
    <t>S.17.01.02 - Non-Life Technical Provisions</t>
  </si>
  <si>
    <t>S.01.01.04.01 - Content of the submission</t>
  </si>
  <si>
    <t>S.01.02.04 - Basic Information - General</t>
  </si>
  <si>
    <t>S.01.03.04 - Basic Information - RFF and matching adjustment portfolios</t>
  </si>
  <si>
    <t>S.03.01.04 - Off-balance sheet items - general</t>
  </si>
  <si>
    <t>S.03.02.04 - Off-balance sheet items - List of unlimited guarantees received by the group</t>
  </si>
  <si>
    <t>S.03.03.04 - Off-balance sheet items - List of unlimited guarantees provided by the group</t>
  </si>
  <si>
    <t>S.06.02.04 - List of assets</t>
  </si>
  <si>
    <t>S.06.03.04 - Collective investment undertakings - look-through approach</t>
  </si>
  <si>
    <t>S.07.01.04 - Structured products</t>
  </si>
  <si>
    <t>S.08.01.04 - Open derivatives</t>
  </si>
  <si>
    <t>S.08.02.04 - Derivatives Transactions</t>
  </si>
  <si>
    <t>S.09.01.04 - Income/gains and losses in the period</t>
  </si>
  <si>
    <t>S.10.01.04 - Securities lending and repos</t>
  </si>
  <si>
    <t>S.11.01.04 - Assets held as collateral</t>
  </si>
  <si>
    <t>S.15.01.04 - Description of the guarantees of variable annuities</t>
  </si>
  <si>
    <t>S.15.02.04 - Hedging of guarantees of variable annuities</t>
  </si>
  <si>
    <t>S.22.01.04 - Impact of long term guarantees measures and transitionals</t>
  </si>
  <si>
    <t>S.23.01.04 - Own funds</t>
  </si>
  <si>
    <t>S.23.02.04 - Detailed information by tiers on own funds</t>
  </si>
  <si>
    <t>S.23.03.04 - Annual movements on own funds</t>
  </si>
  <si>
    <t>S.23.04.04 - List of items on own funds</t>
  </si>
  <si>
    <t>S.25.01.04 - Solvency Capital Requirement - for groups on Standard Formula</t>
  </si>
  <si>
    <t>S.25.02.04 - Solvency Capital Requirement - for groups using the standard formula and partial internal model</t>
  </si>
  <si>
    <t>S.25.03.04 - Solvency Capital Requirement - for groups on Full Internal Models</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</si>
  <si>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</si>
  <si>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</si>
  <si>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</si>
  <si>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</si>
  <si>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</si>
  <si>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</si>
  <si>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</si>
  <si>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</si>
  <si>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</si>
  <si>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</si>
  <si>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</si>
  <si>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</si>
  <si>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</si>
  <si>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</si>
  <si>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</si>
  <si>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</si>
  <si>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</si>
  <si>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</si>
  <si>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t>
  </si>
  <si>
    <t>R0780</t>
  </si>
  <si>
    <t>S.01.01.05.01 - Content of the submission</t>
  </si>
  <si>
    <t>S.01.01.07.01 - Content of the submission</t>
  </si>
  <si>
    <t>S.01.02.07 - Basic Information - General</t>
  </si>
  <si>
    <t>S.02.01.07 - Balance Sheet</t>
  </si>
  <si>
    <t>S.02.03.07 - Additional branch balance sheet information</t>
  </si>
  <si>
    <t>R0050</t>
  </si>
  <si>
    <t>S.06.02.07 - List of assets</t>
  </si>
  <si>
    <t>S.12.02.01 - Life and Health SLT Technical Provisions - By country</t>
  </si>
  <si>
    <t>S.18.01.01 - Projection of future cash flows (Best Estimate - Non-Life)</t>
  </si>
  <si>
    <t>S.23.01.07 - Own funds</t>
  </si>
  <si>
    <t>S.23.03.07 - Annual movements on own funds</t>
  </si>
  <si>
    <t>S.27.01.01 - Solvency Capital Requirement - Non-Life and Health catastrophe risk</t>
  </si>
  <si>
    <t>S.29.01.07 - Excess of Assets over Liabilities</t>
  </si>
  <si>
    <t>S.01.01.08.01 - Content of the submission</t>
  </si>
  <si>
    <t>S.02.01.08 - Balance Sheet</t>
  </si>
  <si>
    <t>S.01.01.10.01 - Content of the submission</t>
  </si>
  <si>
    <t>S.14.01.10 - Life obligations analysis</t>
  </si>
  <si>
    <t>S.38.01.10 - Duration of technical provisions</t>
  </si>
  <si>
    <t>R0950</t>
  </si>
  <si>
    <t>S.40.01.10 - Profit or Loss sharing</t>
  </si>
  <si>
    <t>R0970</t>
  </si>
  <si>
    <t>S.01.01.11.01 - Content of the submission</t>
  </si>
  <si>
    <t>S.25.04.11 - Solvency Capital Requirement</t>
  </si>
  <si>
    <t>R0490</t>
  </si>
  <si>
    <t>S.39.01.11 - Profit and Loss</t>
  </si>
  <si>
    <t>R0960</t>
  </si>
  <si>
    <t>S.41.01.11 - Lapses</t>
  </si>
  <si>
    <t>R0980</t>
  </si>
  <si>
    <t>S.01.01.12.01 - Content of the submission</t>
  </si>
  <si>
    <t>S.01.01.13.01 - Content of the submission</t>
  </si>
  <si>
    <t>S.02.01.02 - Balance Sheet</t>
  </si>
  <si>
    <t>S.05.01.13 - Premiums, claims and expenses by line of business</t>
  </si>
  <si>
    <t>S.23.01.13 - Own funds</t>
  </si>
  <si>
    <t>S.25.04.13 - Solvency Capital Requirement</t>
  </si>
  <si>
    <t>S.01.01.14.01 - Content of the submission</t>
  </si>
  <si>
    <t>S.01.01.15.01 - Content of the submission</t>
  </si>
  <si>
    <t>SR.01.01.01.01 - Content of the submission</t>
  </si>
  <si>
    <t>Sheets</t>
  </si>
  <si>
    <t>Z Axis:</t>
  </si>
  <si>
    <t>Ring-fenced fund/matching portfolio/remaining part</t>
  </si>
  <si>
    <t>Z0010</t>
  </si>
  <si>
    <t>Fund/Portfolio Number</t>
  </si>
  <si>
    <t>Z0020</t>
  </si>
  <si>
    <t>hier_0</t>
  </si>
  <si>
    <t>SR.02.01.01 - Balance sheet</t>
  </si>
  <si>
    <t>R0790</t>
  </si>
  <si>
    <t>SR.12.01.01 - Life and Health SLT Technical Provisions</t>
  </si>
  <si>
    <t>R0800</t>
  </si>
  <si>
    <t>SR.17.01.01 - Non-Life Technical Provisions</t>
  </si>
  <si>
    <t>R0810</t>
  </si>
  <si>
    <t>SR.22.02.01 - Projection of future cash flows (Best Estimate - Matching portfolios)</t>
  </si>
  <si>
    <t>R0820</t>
  </si>
  <si>
    <t>SR.22.03.01 - Information on the matching adjustment calculation</t>
  </si>
  <si>
    <t>R0830</t>
  </si>
  <si>
    <t>SR.25.01.01 - Solvency Capital Requirement - for undertakings on Standard Formula</t>
  </si>
  <si>
    <t>R0840</t>
  </si>
  <si>
    <t>SR.25.02.01 - Solvency Capital Requirement - for undertakings using the standard formula and partial internal model</t>
  </si>
  <si>
    <t>R0850</t>
  </si>
  <si>
    <t>SR.25.03.01 - Solvency Capital Requirement - for undertakings on Full Internal Models</t>
  </si>
  <si>
    <t>R0860</t>
  </si>
  <si>
    <t>SR.26.01.01 - Solvency Capital Requirement - Market risk</t>
  </si>
  <si>
    <t>R0870</t>
  </si>
  <si>
    <t>SR.26.02.01 - Solvency Capital Requirement - Counterparty default risk</t>
  </si>
  <si>
    <t>R0880</t>
  </si>
  <si>
    <t>SR.26.03.01 - Solvency Capital Requirement - Life underwriting risk</t>
  </si>
  <si>
    <t>R0890</t>
  </si>
  <si>
    <t>SR.26.04.01 - Solvency Capital Requirement - Health underwriting risk</t>
  </si>
  <si>
    <t>R0900</t>
  </si>
  <si>
    <t>SR.26.05.01 - Solvency Capital Requirement - Non-Life underwriting risk</t>
  </si>
  <si>
    <t>R0910</t>
  </si>
  <si>
    <t>SR.26.06.01 - Solvency Capital Requirement - Operational risk</t>
  </si>
  <si>
    <t>R0920</t>
  </si>
  <si>
    <t>SR.26.07.01 - Solvency Capital Requirement - Simplifications</t>
  </si>
  <si>
    <t>R0930</t>
  </si>
  <si>
    <t>SR.27.01.01 - Solvency Capital Requirement - Non-life and Health catastrophe risk</t>
  </si>
  <si>
    <t>R0940</t>
  </si>
  <si>
    <t>SR.01.01.04.01 - Content of the submission</t>
  </si>
  <si>
    <t>SR.25.01.04 - Solvency Capital Requirement - for groups on Standard Formula</t>
  </si>
  <si>
    <t>SR.25.02.04 - Solvency Capital Requirement - for groups using the standard formula and partial internal model</t>
  </si>
  <si>
    <t>SR.25.03.04 - Solvency Capital Requirement - for groups on Full Internal Models</t>
  </si>
  <si>
    <t>SR.01.01.07.01 - Content of the submission</t>
  </si>
  <si>
    <t>SR.02.01.07 - Balance Sheet</t>
  </si>
  <si>
    <t>SR.27.01.01 - Solvency Capital Requirement - Non-Life and Health catastrophe risk</t>
  </si>
  <si>
    <t>SE.01.01.16.01 - Content of the submission</t>
  </si>
  <si>
    <t>SE.02.01.16 - Balance Sheet</t>
  </si>
  <si>
    <t>ER0030</t>
  </si>
  <si>
    <t>SE.06.02.16 - List of assets</t>
  </si>
  <si>
    <t>ER0140</t>
  </si>
  <si>
    <t>E.01.01.16 - Deposits to cedants - line-by-line reporting</t>
  </si>
  <si>
    <t>ER1000</t>
  </si>
  <si>
    <t>E.02.01.16 - Pension entitlements</t>
  </si>
  <si>
    <t>ER1010</t>
  </si>
  <si>
    <t>E.03.01.16 - Non-life Technical Provisions - reinsurance policies - By country</t>
  </si>
  <si>
    <t>ER1020</t>
  </si>
  <si>
    <t>SE.01.01.17.01 - Content of the submission</t>
  </si>
  <si>
    <t>SE.02.01.17 - Balance Sheet</t>
  </si>
  <si>
    <t>SE.01.01.18.01 - Content of the submission</t>
  </si>
  <si>
    <t>SE.02.01.18 - Balance Sheet</t>
  </si>
  <si>
    <t>S.03.01.01 - Off-balance sheet items -general</t>
  </si>
  <si>
    <t>SE.06.02.18 - List of assets</t>
  </si>
  <si>
    <t>SE.01.01.19.01 - Content of the submission</t>
  </si>
  <si>
    <t>SE.02.01.19 - Balance Sheet</t>
  </si>
  <si>
    <t>S.01.02.01.01 - Basic Information - General</t>
  </si>
  <si>
    <t>Undertaking name</t>
  </si>
  <si>
    <t>Undertaking identification code and type of code</t>
  </si>
  <si>
    <t>Type of undertaking</t>
  </si>
  <si>
    <t>Country of authorisation</t>
  </si>
  <si>
    <t>Language of reporting</t>
  </si>
  <si>
    <t>Reporting submission date</t>
  </si>
  <si>
    <t>Financial year end</t>
  </si>
  <si>
    <t>R0081</t>
  </si>
  <si>
    <t>Reporting reference date</t>
  </si>
  <si>
    <t>Regular/Ad-hoc submission</t>
  </si>
  <si>
    <t>Currency used for reporting</t>
  </si>
  <si>
    <t>Accounting standards</t>
  </si>
  <si>
    <t>Method of Calculation of the SCR</t>
  </si>
  <si>
    <t>Ring-fenced funds</t>
  </si>
  <si>
    <t>Matching adjustment</t>
  </si>
  <si>
    <t>Volatility adjustment</t>
  </si>
  <si>
    <t>Transitional measure on the risk-free interest rate</t>
  </si>
  <si>
    <t>Transitional measure on technical provisions</t>
  </si>
  <si>
    <t>Initial submission or re-submission</t>
  </si>
  <si>
    <t>Exemption of reporting ECAI information</t>
  </si>
  <si>
    <t>URL to the webpage where the Solvency and Financial Condition Report (SFCR) is disclosed</t>
  </si>
  <si>
    <t>R0255</t>
  </si>
  <si>
    <t>Direct URL to download the Solvency and Financial Condition Report (SFCR) corresponding to this financial year reporting obligation (R0090)</t>
  </si>
  <si>
    <t>Ad hoc XBRL technical field 1</t>
  </si>
  <si>
    <t>R0990</t>
  </si>
  <si>
    <t>Ad hoc XBRL technical field 2</t>
  </si>
  <si>
    <t>R0991</t>
  </si>
  <si>
    <t>Ad hoc XBRL technical field 3</t>
  </si>
  <si>
    <t>R0992</t>
  </si>
  <si>
    <t>S.01.02.04.01 - Basic Information - General</t>
  </si>
  <si>
    <t>Participating undertaking name</t>
  </si>
  <si>
    <t>Group identification code and type of code</t>
  </si>
  <si>
    <t>Country of the group supervisor</t>
  </si>
  <si>
    <t>Method of Calculation of the group SCR</t>
  </si>
  <si>
    <t>Method of group solvency calculation</t>
  </si>
  <si>
    <t>S.01.02.07.01 - Basic Information</t>
  </si>
  <si>
    <t>Name of Third Country Undertaking</t>
  </si>
  <si>
    <t>Country of third country undertaking</t>
  </si>
  <si>
    <t>Name of a third country branch</t>
  </si>
  <si>
    <t>Country of third country branch</t>
  </si>
  <si>
    <t>Identification code and type of code of third country branch</t>
  </si>
  <si>
    <t>Type of branch</t>
  </si>
  <si>
    <t>S.01.02.07.02 - Article 167</t>
  </si>
  <si>
    <t>C0020</t>
  </si>
  <si>
    <t>Article 167</t>
  </si>
  <si>
    <t>S.01.02.07.03 - Branches included under Article 167</t>
  </si>
  <si>
    <t>Country of a branch</t>
  </si>
  <si>
    <t>C0040</t>
  </si>
  <si>
    <t>Name of a branch</t>
  </si>
  <si>
    <t>C0030</t>
  </si>
  <si>
    <t>S.01.03.01.01 - List of all RFF/MAP (overlaps allowed)</t>
  </si>
  <si>
    <t>Fund /Portfolio Number</t>
  </si>
  <si>
    <t>Name of ring-fenced fund/Matching adjustment portfolio</t>
  </si>
  <si>
    <t>C0050</t>
  </si>
  <si>
    <t>RFF/MAP/Remaining part of a fund</t>
  </si>
  <si>
    <t>C0060</t>
  </si>
  <si>
    <t>RFF/MAP with sub RFF/MAP</t>
  </si>
  <si>
    <t>C0070</t>
  </si>
  <si>
    <t>C0080</t>
  </si>
  <si>
    <t>Article 304</t>
  </si>
  <si>
    <t>C0090</t>
  </si>
  <si>
    <t>S.01.03.01.02 - List of RFF/MAP with sub RFF/MAP</t>
  </si>
  <si>
    <t>Number of RFF/MAP with sub RFF/MAP</t>
  </si>
  <si>
    <t>C0100</t>
  </si>
  <si>
    <t>Number of sub RFF/MAP</t>
  </si>
  <si>
    <t>C0110</t>
  </si>
  <si>
    <t>Sub RFF/MAP</t>
  </si>
  <si>
    <t>C0120</t>
  </si>
  <si>
    <t>S.01.03.04.01 - List of all RFF/MAP (overlaps allowed)</t>
  </si>
  <si>
    <t>Identification code and type of code of the undertaking</t>
  </si>
  <si>
    <t>Legal name of the undertaking</t>
  </si>
  <si>
    <t>S.01.03.04.02 - List of RFF/MAP with sub RFF/MAP</t>
  </si>
  <si>
    <t>Number of RFF / MAP with sub RFF / MAP</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</si>
  <si>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</si>
  <si>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</si>
  <si>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</si>
  <si>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</si>
  <si>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</si>
  <si>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</si>
  <si>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</si>
  <si>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</si>
  <si>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</si>
  <si>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</si>
  <si>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</si>
  <si>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</si>
  <si>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</si>
  <si>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 - listed</t>
  </si>
  <si>
    <t>Equities - unlisted</t>
  </si>
  <si>
    <t>Bonds</t>
  </si>
  <si>
    <t>Collective Investments Undertakings</t>
  </si>
  <si>
    <t>Deposits other than cash equivalents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</si>
  <si>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</si>
  <si>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</si>
  <si>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</si>
  <si>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</si>
  <si>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</si>
  <si>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</si>
  <si>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</si>
  <si>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</si>
  <si>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</si>
  <si>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</si>
  <si>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</si>
  <si>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</si>
  <si>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</si>
  <si>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</si>
  <si>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</si>
  <si>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</si>
  <si>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</si>
  <si>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</si>
  <si>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</si>
  <si>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</si>
  <si>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</si>
  <si>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</si>
  <si>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</si>
  <si>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</si>
  <si>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</si>
  <si>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</si>
  <si>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</si>
  <si>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</si>
  <si>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</si>
  <si>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</si>
  <si>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</si>
  <si>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</si>
  <si>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</si>
  <si>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Provisions other than technical provisions</t>
  </si>
  <si>
    <t>Pension benefit obligations</t>
  </si>
  <si>
    <t>Deposits from reinsurers</t>
  </si>
  <si>
    <t>Deferred tax liabilities</t>
  </si>
  <si>
    <t>Debts owed to credit institutions</t>
  </si>
  <si>
    <t>Financial liabilities other than debts owed to credit institutions</t>
  </si>
  <si>
    <t>Insurance &amp; intermediaries payables</t>
  </si>
  <si>
    <t>Reinsurance payables</t>
  </si>
  <si>
    <t>Payables (trade, not insurance)</t>
  </si>
  <si>
    <t>Subordinated liabilities</t>
  </si>
  <si>
    <t>Subordinated liabilities not in Basic Own Funds</t>
  </si>
  <si>
    <t>Subordinated liabilities in Basic Own Funds</t>
  </si>
  <si>
    <t>Any other liabilities, not elsewhere shown</t>
  </si>
  <si>
    <t>Total liabilities</t>
  </si>
  <si>
    <t>Excess of assets over liabilities</t>
  </si>
  <si>
    <t>R1000</t>
  </si>
  <si>
    <t>S.02.01.02.01 - Balance sheet</t>
  </si>
  <si>
    <t>S.02.01.07.01 - Balance sheet</t>
  </si>
  <si>
    <t>Branch management accounts value</t>
  </si>
  <si>
    <t>S.02.01.08.01 - Balance sheet</t>
  </si>
  <si>
    <t>SR.02.01.01.01 - Balance sheet</t>
  </si>
  <si>
    <t>Ring Fenced Fund or remaining part</t>
  </si>
  <si>
    <t>Fund number</t>
  </si>
  <si>
    <t>Z0030</t>
  </si>
  <si>
    <t>SR.02.01.07.01 - Balance sheet</t>
  </si>
  <si>
    <t>Ring-fenced fund or remaining part</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</si>
  <si>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</si>
  <si>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</si>
  <si>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</si>
  <si>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</si>
  <si>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</si>
  <si>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</si>
  <si>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</si>
  <si>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</si>
  <si>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</si>
  <si>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</si>
  <si>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</si>
  <si>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</si>
  <si>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</si>
  <si>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</si>
  <si>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</si>
  <si>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</si>
  <si>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</si>
  <si>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</si>
  <si>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</si>
  <si>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SE.02.01.17.01 - Balance sheet</t>
  </si>
  <si>
    <t>SE.02.01.18.01 - Balance sheet</t>
  </si>
  <si>
    <t>SE.02.01.19.01 - Balance sheet</t>
  </si>
  <si>
    <t>S.02.02.01.01 - All currencies</t>
  </si>
  <si>
    <t>Total value of all currencies</t>
  </si>
  <si>
    <t>Value of the solvency II reporting currency</t>
  </si>
  <si>
    <t>Value of remaining other currencies</t>
  </si>
  <si>
    <t>Other assets: Property, plant &amp; equipment held for own use, Cash and cash equivalents, Loans on policies, Loans &amp; mortgages to individuals and Other loans &amp; mortgages (other than index-linked and unit-linked contracts)</t>
  </si>
  <si>
    <t>Reinsurance recoverables</t>
  </si>
  <si>
    <t>Deposits to cedants, insurance and intermediaries receivables and reinsurance receivables</t>
  </si>
  <si>
    <t>Any other assets</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</si>
  <si>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</si>
  <si>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</si>
  <si>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</si>
  <si>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</si>
  <si>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</si>
  <si>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S.02.02.01.02 - Material currencies</t>
  </si>
  <si>
    <t>Value of material currencies</t>
  </si>
  <si>
    <t>Material currency</t>
  </si>
  <si>
    <t>S.02.03.07.01 - Net value of encumbered assets</t>
  </si>
  <si>
    <t>Net value of encumbered assets</t>
  </si>
  <si>
    <t>Total assets as per balance sheet</t>
  </si>
  <si>
    <t>S.02.03.07.02 - List of encumbered assets</t>
  </si>
  <si>
    <t>Code and type of code of encumbered assets</t>
  </si>
  <si>
    <t>Description of encumbered assets</t>
  </si>
  <si>
    <t>Gross value as per balance sheet</t>
  </si>
  <si>
    <t>Amount subject to prior security interests</t>
  </si>
  <si>
    <t>Description of encumbrance</t>
  </si>
  <si>
    <t>S.02.03.07.03 - List of preferential claims - payable from branch available assets in priority to insurance claims</t>
  </si>
  <si>
    <t>Line identification</t>
  </si>
  <si>
    <t>C0130</t>
  </si>
  <si>
    <t>Balance sheet liability</t>
  </si>
  <si>
    <t>Gross value</t>
  </si>
  <si>
    <t>Preferential claim</t>
  </si>
  <si>
    <t>Net amount</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</si>
  <si>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</si>
  <si>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</si>
  <si>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</si>
  <si>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</si>
  <si>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</si>
  <si>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</si>
  <si>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</si>
  <si>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</si>
  <si>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</si>
  <si>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</si>
  <si>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</si>
  <si>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</si>
  <si>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</si>
  <si>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</si>
  <si>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</si>
  <si>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</si>
  <si>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</si>
  <si>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</si>
  <si>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</si>
  <si>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</si>
  <si>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</si>
  <si>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</si>
  <si>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</si>
  <si>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S.03.01.01.02 - Value of guaranteed assets and liabilities</t>
  </si>
  <si>
    <t>Value of assets for which collateral is held</t>
  </si>
  <si>
    <t>Value of liabilities for which collateral is pledged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</si>
  <si>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</si>
  <si>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</si>
  <si>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</si>
  <si>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</si>
  <si>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S.03.02.01.01 - List of unlimited guarantees received by the undertaking</t>
  </si>
  <si>
    <t>Code of guarantee</t>
  </si>
  <si>
    <t>Name of provider of guarantee</t>
  </si>
  <si>
    <t>Code and type of code of provider of guarantee</t>
  </si>
  <si>
    <t>Provider of guarantee belonging to the same group</t>
  </si>
  <si>
    <t>Triggering event(s) of guarantee</t>
  </si>
  <si>
    <t>Specific triggering event(s) of guarantee</t>
  </si>
  <si>
    <t>Effective date of guarantee</t>
  </si>
  <si>
    <t>Ancillary Own Funds</t>
  </si>
  <si>
    <t>S.03.02.04.01 - List of unlimited guarantees received by the group</t>
  </si>
  <si>
    <t>S.03.03.01.01 - List of unlimited guarantees provided by the undertaking</t>
  </si>
  <si>
    <t>Name of receiver of guarantee</t>
  </si>
  <si>
    <t>Code and type of code of receiver of guarantee</t>
  </si>
  <si>
    <t>Receiver of guarantee belonging to the same group</t>
  </si>
  <si>
    <t>Estimation of the maximum value of guarantee</t>
  </si>
  <si>
    <t>S.03.03.04.01 - List of unlimited guarantees provided by the group</t>
  </si>
  <si>
    <t>S.04.01.01.01 - Undertaking and all branches</t>
  </si>
  <si>
    <t>Line of business</t>
  </si>
  <si>
    <t>Undertaking</t>
  </si>
  <si>
    <t>Business underwritten in the home country, by the undertaking</t>
  </si>
  <si>
    <t>Business underwritten through FPS, by the undertaking in the EEA countries different from the home country</t>
  </si>
  <si>
    <t>Business underwritten through FPS in the home country, by any EEA branch</t>
  </si>
  <si>
    <t>All EEA members</t>
  </si>
  <si>
    <t>Total business underwritten by all EEA branches in the country where they are established</t>
  </si>
  <si>
    <t>Total business underwritten through FPS, by all EEA branches</t>
  </si>
  <si>
    <t>Total of the business underwritten through FPS by the undertaking and all EEA branches</t>
  </si>
  <si>
    <t>Total business underwritten by all non-EEA branches</t>
  </si>
  <si>
    <t>Premiums written</t>
  </si>
  <si>
    <t>Claims incurred</t>
  </si>
  <si>
    <t>Commissions</t>
  </si>
  <si>
    <t>S.04.01.01.02 - By EEA member (location of the branch)</t>
  </si>
  <si>
    <t>By EEA member</t>
  </si>
  <si>
    <t>Business underwritten in the considered country, by the EEA branch established in this country</t>
  </si>
  <si>
    <t>Business underwritten through FPS, by the EEA branch established in the considered country</t>
  </si>
  <si>
    <t>EEA member</t>
  </si>
  <si>
    <t>S.04.01.01.03 - By EEA member (localization of activity [based on place of underwriting])</t>
  </si>
  <si>
    <t>Business underwritten in the considered country through FPS, by the undertaking or any EEA branch</t>
  </si>
  <si>
    <t>S.04.01.01.04 - By material non-EEA member</t>
  </si>
  <si>
    <t>By material non-EEA member</t>
  </si>
  <si>
    <t>Business underwritten by material non-EEA country branches</t>
  </si>
  <si>
    <t>Non-EEA member</t>
  </si>
  <si>
    <t>S.04.02.01.01 - Information on class 10 in Part A of Annex I of Solvency II Directive, excluding carrier's liability. Part 1</t>
  </si>
  <si>
    <t>FPS</t>
  </si>
  <si>
    <t>Frequency of claims for Motor Vehicle Liability (except carrier's liability)</t>
  </si>
  <si>
    <t>Average cost of claims for Motor Vehicle Liability (except carrier's liability)</t>
  </si>
  <si>
    <t>S.04.02.01.02 - Information on class 10 in Part A of Annex I of Solvency II Directive, excluding carrier's liability. Part 2</t>
  </si>
  <si>
    <t>By EEA Member</t>
  </si>
  <si>
    <t>Branch</t>
  </si>
  <si>
    <t>S.05.01.01.01 - Non-Life (direct business/accepted proportional reinsurance and accepted non-proportional reinsurance)</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</si>
  <si>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</si>
  <si>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</si>
  <si>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</si>
  <si>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</si>
  <si>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</si>
  <si>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</si>
  <si>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</si>
  <si>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</si>
  <si>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</si>
  <si>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</si>
  <si>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</si>
  <si>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</si>
  <si>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</si>
  <si>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</si>
  <si>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</si>
  <si>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Casualty</t>
  </si>
  <si>
    <t>C0140</t>
  </si>
  <si>
    <t>Marine, aviation, transport</t>
  </si>
  <si>
    <t>C0150</t>
  </si>
  <si>
    <t>Property</t>
  </si>
  <si>
    <t>C0160</t>
  </si>
  <si>
    <t>Total</t>
  </si>
  <si>
    <t>C0200</t>
  </si>
  <si>
    <t>Gross - Direct Business</t>
  </si>
  <si>
    <t>Gross - Proportional reinsurance accepted</t>
  </si>
  <si>
    <t>Gross - Non-proportional reinsurance accepted</t>
  </si>
  <si>
    <t>Reinsurers' share</t>
  </si>
  <si>
    <t>Net</t>
  </si>
  <si>
    <t>Premiums earned</t>
  </si>
  <si>
    <t>Changes in other technical provisions</t>
  </si>
  <si>
    <t>Gross - Non- proportional reinsurance accepted</t>
  </si>
  <si>
    <t>Expenses incurred</t>
  </si>
  <si>
    <t>Administrative expenses</t>
  </si>
  <si>
    <t>Investment management expenses</t>
  </si>
  <si>
    <t>Claims management expenses</t>
  </si>
  <si>
    <t>Acquisition expenses</t>
  </si>
  <si>
    <t>Overhead expenses</t>
  </si>
  <si>
    <t>R1010</t>
  </si>
  <si>
    <t>R1020</t>
  </si>
  <si>
    <t>R1030</t>
  </si>
  <si>
    <t>R1040</t>
  </si>
  <si>
    <t>R1100</t>
  </si>
  <si>
    <t>Other expenses</t>
  </si>
  <si>
    <t>R1200</t>
  </si>
  <si>
    <t>Total expenses</t>
  </si>
  <si>
    <t>R1300</t>
  </si>
  <si>
    <t>S.05.01.01.02 - Life</t>
  </si>
  <si>
    <t>Line of Business for: life insurance obligations</t>
  </si>
  <si>
    <t>Health insurance</t>
  </si>
  <si>
    <t>C0210</t>
  </si>
  <si>
    <t>C0220</t>
  </si>
  <si>
    <t>Index-linked and unit-linked insurance</t>
  </si>
  <si>
    <t>C0230</t>
  </si>
  <si>
    <t>Other life insurance</t>
  </si>
  <si>
    <t>C0240</t>
  </si>
  <si>
    <t>C0250</t>
  </si>
  <si>
    <t>C0260</t>
  </si>
  <si>
    <t>Life reinsurance obligations</t>
  </si>
  <si>
    <t>C0270</t>
  </si>
  <si>
    <t>C0280</t>
  </si>
  <si>
    <t>C0300</t>
  </si>
  <si>
    <t>Gross</t>
  </si>
  <si>
    <t>R1410</t>
  </si>
  <si>
    <t>R1420</t>
  </si>
  <si>
    <t>R1500</t>
  </si>
  <si>
    <t>R1510</t>
  </si>
  <si>
    <t>R1520</t>
  </si>
  <si>
    <t>R1600</t>
  </si>
  <si>
    <t>R1610</t>
  </si>
  <si>
    <t>R1620</t>
  </si>
  <si>
    <t>R1700</t>
  </si>
  <si>
    <t>R1710</t>
  </si>
  <si>
    <t>R1720</t>
  </si>
  <si>
    <t>R1800</t>
  </si>
  <si>
    <t>R1900</t>
  </si>
  <si>
    <t>R1910</t>
  </si>
  <si>
    <t>R1920</t>
  </si>
  <si>
    <t>R2000</t>
  </si>
  <si>
    <t>R2010</t>
  </si>
  <si>
    <t>R2020</t>
  </si>
  <si>
    <t>R2100</t>
  </si>
  <si>
    <t>R2110</t>
  </si>
  <si>
    <t>R2120</t>
  </si>
  <si>
    <t>R2200</t>
  </si>
  <si>
    <t>R2210</t>
  </si>
  <si>
    <t>R2220</t>
  </si>
  <si>
    <t>R2300</t>
  </si>
  <si>
    <t>R2310</t>
  </si>
  <si>
    <t>R2320</t>
  </si>
  <si>
    <t>R2400</t>
  </si>
  <si>
    <t>R2500</t>
  </si>
  <si>
    <t>R2600</t>
  </si>
  <si>
    <t>Total amount of surrenders</t>
  </si>
  <si>
    <t>R2700</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</si>
  <si>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</si>
  <si>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</si>
  <si>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</si>
  <si>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</si>
  <si>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</si>
  <si>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S.05.02.01.01 - Home Country - non-life obligations</t>
  </si>
  <si>
    <t>Home country</t>
  </si>
  <si>
    <t>S.05.02.01.02 - Top 5 countries (by amount of gross premiums written) - non-life obligations</t>
  </si>
  <si>
    <t>Country (by amount of gross premiums written) - non-life obligations</t>
  </si>
  <si>
    <t>S.05.02.01.03 - Total Top 5 and home country - non-life obligations</t>
  </si>
  <si>
    <t>Total Top 5 and home country</t>
  </si>
  <si>
    <t>S.05.02.01.04 - Home Country - life obligations</t>
  </si>
  <si>
    <t>S.05.02.01.05 - Top 5 countries (by amount of gross premiums written) - life obligations</t>
  </si>
  <si>
    <t>Country (by amount of gross premiums written) - life obligations</t>
  </si>
  <si>
    <t>S.05.02.01.06 - Total Top 5 and home country - life obligations</t>
  </si>
  <si>
    <t>S.06.01.01.01 - Summary of assets</t>
  </si>
  <si>
    <t>Non-life</t>
  </si>
  <si>
    <t>General</t>
  </si>
  <si>
    <t>Assets listing</t>
  </si>
  <si>
    <t>Assets listed</t>
  </si>
  <si>
    <t>Assets that are not listed in a stock exchange</t>
  </si>
  <si>
    <t>Assets that are not exchange tradable</t>
  </si>
  <si>
    <t>By category</t>
  </si>
  <si>
    <t>Government bonds</t>
  </si>
  <si>
    <t>Corporate bonds</t>
  </si>
  <si>
    <t>Equity</t>
  </si>
  <si>
    <t>Collective Investment Undertakings</t>
  </si>
  <si>
    <t>S.06.02.01.01 - Information on positions held</t>
  </si>
  <si>
    <t>C0001</t>
  </si>
  <si>
    <t>Asset ID Code and Type of code</t>
  </si>
  <si>
    <t>Matching portfolio number</t>
  </si>
  <si>
    <t>Portfolio</t>
  </si>
  <si>
    <t>Asset held in unit linked and index linked contracts</t>
  </si>
  <si>
    <t>Asset pledged as collateral</t>
  </si>
  <si>
    <t>Country of custody</t>
  </si>
  <si>
    <t>Custodian</t>
  </si>
  <si>
    <t>Quantity</t>
  </si>
  <si>
    <t>Par amount</t>
  </si>
  <si>
    <t>Valuation method</t>
  </si>
  <si>
    <t>Acquisition value</t>
  </si>
  <si>
    <t>Total Solvency II amount</t>
  </si>
  <si>
    <t>C0170</t>
  </si>
  <si>
    <t>Accrued interest</t>
  </si>
  <si>
    <t>C0180</t>
  </si>
  <si>
    <t>S.06.02.01.02 - Information on assets</t>
  </si>
  <si>
    <t>Item Title</t>
  </si>
  <si>
    <t>C0190</t>
  </si>
  <si>
    <t>Issuer Name</t>
  </si>
  <si>
    <t>Issuer Code and Type of code</t>
  </si>
  <si>
    <t>Issuer Sector</t>
  </si>
  <si>
    <t>Issuer Group</t>
  </si>
  <si>
    <t>Issuer Group Code and Type of code</t>
  </si>
  <si>
    <t>Issuer Country</t>
  </si>
  <si>
    <t>Currency</t>
  </si>
  <si>
    <t>CIC</t>
  </si>
  <si>
    <t>C0290</t>
  </si>
  <si>
    <t>SCR calculation approach for CIU</t>
  </si>
  <si>
    <t>C0292</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</si>
  <si>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</si>
  <si>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</si>
  <si>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</si>
  <si>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</si>
  <si>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</si>
  <si>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</si>
  <si>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</si>
  <si>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</si>
  <si>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</si>
  <si>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</si>
  <si>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</si>
  <si>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</si>
  <si>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</si>
  <si>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</si>
  <si>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</si>
  <si>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</si>
  <si>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</si>
  <si>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</si>
  <si>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S.06.02.04.01 - Information on positions held</t>
  </si>
  <si>
    <t>S.06.02.04.02 - Information on assets</t>
  </si>
  <si>
    <t>Participation</t>
  </si>
  <si>
    <t>S.06.02.07.01 - Information on positions held</t>
  </si>
  <si>
    <t>Deposit lodged as security in accordance with Article 162 (2)€</t>
  </si>
  <si>
    <t>C0400</t>
  </si>
  <si>
    <t>Confirmation that there are no rights of set off</t>
  </si>
  <si>
    <t>C0410</t>
  </si>
  <si>
    <t>S.06.02.07.02 - Information on assets</t>
  </si>
  <si>
    <t>SE.06.02.16.01 - List of assets. Information on positions held</t>
  </si>
  <si>
    <t>Write-offs/write-downs</t>
  </si>
  <si>
    <t>EC0141</t>
  </si>
  <si>
    <t>SE.06.02.16.02 - List of assets. Information on assets</t>
  </si>
  <si>
    <t>Issuer Sector according to ESA 2010</t>
  </si>
  <si>
    <t>EC0231</t>
  </si>
  <si>
    <t>Country of residence for collective investment undertakings</t>
  </si>
  <si>
    <t>EC0271</t>
  </si>
  <si>
    <t>Instrument classification according to ESA 2010</t>
  </si>
  <si>
    <t>EC0291</t>
  </si>
  <si>
    <t>Issue date</t>
  </si>
  <si>
    <t>EC0381</t>
  </si>
  <si>
    <t>SE.06.02.18.01 - List of assets. Information on positions held</t>
  </si>
  <si>
    <t>SE.06.02.18.02 - List of assets. Information on assets</t>
  </si>
  <si>
    <t>S.06.03.01.01 - Collective investment undertakings - look-through approach</t>
  </si>
  <si>
    <t>Collective Investments Undertaking ID Code and Type of code</t>
  </si>
  <si>
    <t>Underlying asset category</t>
  </si>
  <si>
    <t>Country of issue</t>
  </si>
  <si>
    <t>Total amount</t>
  </si>
  <si>
    <t>S.06.03.04.01 - Collective investment undertakings - look-through approach</t>
  </si>
  <si>
    <t>S.07.01.01.01 - Structured products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</si>
  <si>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</si>
  <si>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</si>
  <si>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</si>
  <si>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</si>
  <si>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</si>
  <si>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</si>
  <si>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</si>
  <si>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</si>
  <si>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</si>
  <si>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</si>
  <si>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</si>
  <si>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</si>
  <si>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</si>
  <si>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</si>
  <si>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S.07.01.04.01 - Structured products</t>
  </si>
  <si>
    <t>S.08.01.01.01 - Information on positions held</t>
  </si>
  <si>
    <t>C0440</t>
  </si>
  <si>
    <t>Derivative ID Code and Type of code</t>
  </si>
  <si>
    <t>Instrument underlying the derivative (code and type of code)</t>
  </si>
  <si>
    <t>Derivatives held in index-linked and unit-linked contracts</t>
  </si>
  <si>
    <t>Use of derivative</t>
  </si>
  <si>
    <t>Delta</t>
  </si>
  <si>
    <t>Notional amount of the derivative</t>
  </si>
  <si>
    <t>Buyer / Seller</t>
  </si>
  <si>
    <t>Premium paid to date</t>
  </si>
  <si>
    <t>Premium received to date</t>
  </si>
  <si>
    <t>Number of contracts</t>
  </si>
  <si>
    <t>Contract size</t>
  </si>
  <si>
    <t>Maximum loss under unwinding event</t>
  </si>
  <si>
    <t>Swap outflow amount</t>
  </si>
  <si>
    <t>Swap inflow amount</t>
  </si>
  <si>
    <t>Initial date</t>
  </si>
  <si>
    <t>S.08.01.01.02 - Information on derivatives</t>
  </si>
  <si>
    <t>Counterparty Name</t>
  </si>
  <si>
    <t>Counterparty Code and Type of code</t>
  </si>
  <si>
    <t>Counterparty Group</t>
  </si>
  <si>
    <t>Counterparty group code and type of code</t>
  </si>
  <si>
    <t>Contract name</t>
  </si>
  <si>
    <t>Trigger value</t>
  </si>
  <si>
    <t>Unwind trigger of contract</t>
  </si>
  <si>
    <t>Swap delivered currency</t>
  </si>
  <si>
    <t>Swap received currency</t>
  </si>
  <si>
    <t>C0420</t>
  </si>
  <si>
    <t>C0430</t>
  </si>
  <si>
    <t>S.08.01.04.01 - Information on positions held</t>
  </si>
  <si>
    <t>S.08.01.04.02 - Information on derivatives</t>
  </si>
  <si>
    <t>S.08.02.01.01 - Information on positions held</t>
  </si>
  <si>
    <t>Profit and loss to date</t>
  </si>
  <si>
    <t>S.08.02.01.02 - Information on derivatives</t>
  </si>
  <si>
    <t>Counterparty group</t>
  </si>
  <si>
    <t>Counterparty Group Code and Type of code</t>
  </si>
  <si>
    <t>S.08.02.04.01 - Information on positions held</t>
  </si>
  <si>
    <t>S.08.02.04.02 - Information on derivatives</t>
  </si>
  <si>
    <t>S.09.01.01.01 - Income/gains and losses in the period</t>
  </si>
  <si>
    <t>Asset category</t>
  </si>
  <si>
    <t>Asset held in unit-linked and index-linked contracts</t>
  </si>
  <si>
    <t>Dividends</t>
  </si>
  <si>
    <t>Interest</t>
  </si>
  <si>
    <t>Rent</t>
  </si>
  <si>
    <t>Net gains and losses</t>
  </si>
  <si>
    <t>Unrealised gains and losses</t>
  </si>
  <si>
    <t>S.09.01.04.01 - Income/gains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</si>
  <si>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</si>
  <si>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</si>
  <si>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</si>
  <si>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</si>
  <si>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</si>
  <si>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</si>
  <si>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</si>
  <si>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</si>
  <si>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</si>
  <si>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S.10.01.04.01 - Securities lending and repos</t>
  </si>
  <si>
    <t>S.11.01.01.01 - Information on positions held</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</si>
  <si>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</si>
  <si>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</si>
  <si>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</si>
  <si>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</si>
  <si>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</si>
  <si>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S.11.01.01.02 - Information on assets</t>
  </si>
  <si>
    <t>Issuer Group name</t>
  </si>
  <si>
    <t>Unit price</t>
  </si>
  <si>
    <t>S.11.01.04.01 - Information on positions held</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</si>
  <si>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</si>
  <si>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</si>
  <si>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</si>
  <si>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</si>
  <si>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</si>
  <si>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</si>
  <si>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</si>
  <si>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</si>
  <si>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</si>
  <si>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</si>
  <si>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</si>
  <si>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</si>
  <si>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</si>
  <si>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</si>
  <si>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</si>
  <si>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</si>
  <si>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</si>
  <si>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</si>
  <si>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</si>
  <si>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</si>
  <si>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</si>
  <si>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</si>
  <si>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</si>
  <si>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</si>
  <si>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</si>
  <si>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</si>
  <si>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</si>
  <si>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</si>
  <si>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</si>
  <si>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</si>
  <si>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</si>
  <si>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</si>
  <si>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</si>
  <si>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</si>
  <si>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</si>
  <si>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</si>
  <si>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</si>
  <si>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</si>
  <si>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</si>
  <si>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</si>
  <si>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</si>
  <si>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</si>
  <si>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</si>
  <si>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</si>
  <si>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S.12.01.02.01 - Life and Health SLT Technical Provisions</t>
  </si>
  <si>
    <t>Best estimate minus recoverables from reinsurance/SPV and Finite Re - total</t>
  </si>
  <si>
    <t>SR.12.01.01.01 - Life and Health SLT Technical Provisions</t>
  </si>
  <si>
    <t>Ring Fenced Fund/Matching adjustment portfolio or remaining part</t>
  </si>
  <si>
    <t>Total (Life other than health insurance, including Unit-Linked)</t>
  </si>
  <si>
    <t>S.12.02.01.01 - Gross TP calculated as a whole and Gross BE for different countries - Home country and countries outside the materiality threshold</t>
  </si>
  <si>
    <t>EEA countries outside the materiality threshold - not reported by country</t>
  </si>
  <si>
    <t>Non-EEA countries outside the materiality threshold - not reported by country</t>
  </si>
  <si>
    <t>S.12.02.01.02 - Gross TP calculated as a whole and Gross BE for different countries - Countries in the materiality threshold</t>
  </si>
  <si>
    <t>Countries in the materiality threshold</t>
  </si>
  <si>
    <t>S.13.01.01.01 - Best Estimate - Life</t>
  </si>
  <si>
    <t>Future Benefits</t>
  </si>
  <si>
    <t>Index linked and unit-linked insurance</t>
  </si>
  <si>
    <t>Annuities stemming from non-life contracts</t>
  </si>
  <si>
    <t>Total recoverable from reinsurance (after the adjustment)</t>
  </si>
  <si>
    <t>Year (projection of undiscounted expected cash-flows)</t>
  </si>
  <si>
    <t>1</t>
  </si>
  <si>
    <t>2</t>
  </si>
  <si>
    <t>3</t>
  </si>
  <si>
    <t>4</t>
  </si>
  <si>
    <t>5</t>
  </si>
  <si>
    <t>6</t>
  </si>
  <si>
    <t>7</t>
  </si>
  <si>
    <t>8</t>
  </si>
  <si>
    <t>9</t>
  </si>
  <si>
    <t>21</t>
  </si>
  <si>
    <t>22</t>
  </si>
  <si>
    <t>23</t>
  </si>
  <si>
    <t>24</t>
  </si>
  <si>
    <t>25</t>
  </si>
  <si>
    <t>26</t>
  </si>
  <si>
    <t>27</t>
  </si>
  <si>
    <t>28</t>
  </si>
  <si>
    <t>29</t>
  </si>
  <si>
    <t>30</t>
  </si>
  <si>
    <t>31-40</t>
  </si>
  <si>
    <t>41-50</t>
  </si>
  <si>
    <t>51 &amp; after</t>
  </si>
  <si>
    <t>S.14.01.01.01 - Portfolio</t>
  </si>
  <si>
    <t>Product ID code</t>
  </si>
  <si>
    <t>Line of Business</t>
  </si>
  <si>
    <t>Number of contracts at the end of the year</t>
  </si>
  <si>
    <t>Number of new contracts during year</t>
  </si>
  <si>
    <t>Total amount of Written premiums</t>
  </si>
  <si>
    <t>Total amount of claims paid during year</t>
  </si>
  <si>
    <t>S.14.01.01.02 - Characteristics of product</t>
  </si>
  <si>
    <t>Product classification</t>
  </si>
  <si>
    <t>Type of product</t>
  </si>
  <si>
    <t>Product denomination</t>
  </si>
  <si>
    <t>Product still commercialised?</t>
  </si>
  <si>
    <t>Type of premium</t>
  </si>
  <si>
    <t>Use of financial instrument for replication?</t>
  </si>
  <si>
    <t>Number of HRGs in products</t>
  </si>
  <si>
    <t>S.14.01.01.03 - Information on Homogeneous risk groups</t>
  </si>
  <si>
    <t>HRG code</t>
  </si>
  <si>
    <t>Best Estimate and Technical Provisions as a whole</t>
  </si>
  <si>
    <t>Capital-at-risk</t>
  </si>
  <si>
    <t>Annualised guaranteed rate (over average duration of guarantee)</t>
  </si>
  <si>
    <t>S.14.01.01.04 - Information on products and homogeneous risk groups</t>
  </si>
  <si>
    <t>Link</t>
  </si>
  <si>
    <t>S.14.01.10.01 - Information on homogenous risk group</t>
  </si>
  <si>
    <t>S.15.01.01.01 - Description of the guarantees of variable annuities</t>
  </si>
  <si>
    <t>Product Denomination</t>
  </si>
  <si>
    <t>Description of the product</t>
  </si>
  <si>
    <t>Initial date of guarantee</t>
  </si>
  <si>
    <t>Final date of guarantee</t>
  </si>
  <si>
    <t>Type of guarantee</t>
  </si>
  <si>
    <t>Guaranteed level</t>
  </si>
  <si>
    <t>Description of the guarantee</t>
  </si>
  <si>
    <t>S.15.01.04.01 - Description of the guarantees of variable annuities</t>
  </si>
  <si>
    <t>S.15.02.01.01 - Hedging of guarantees of variable annuities</t>
  </si>
  <si>
    <t>Type of hedging</t>
  </si>
  <si>
    <t>Delta hedged</t>
  </si>
  <si>
    <t>Rho hedged</t>
  </si>
  <si>
    <t>Gamma hedged</t>
  </si>
  <si>
    <t>Vega hedged</t>
  </si>
  <si>
    <t>FX hedged</t>
  </si>
  <si>
    <t>Other hedged risks</t>
  </si>
  <si>
    <t>Economic result without hedging</t>
  </si>
  <si>
    <t>Economic result with hedging</t>
  </si>
  <si>
    <t>S.15.02.04.01 - Hedging of guarantees of variable annuities</t>
  </si>
  <si>
    <t>S.16.01.01.01 - Information on year N:</t>
  </si>
  <si>
    <t>The related non-life line of business</t>
  </si>
  <si>
    <t>Accident year / Underwriting year</t>
  </si>
  <si>
    <t>Information on year N</t>
  </si>
  <si>
    <t>The average interest rate</t>
  </si>
  <si>
    <t>The average duration of the obligations</t>
  </si>
  <si>
    <t>The weighted average age of the beneficiaries</t>
  </si>
  <si>
    <t>S.16.01.01.02 - Annuities information</t>
  </si>
  <si>
    <t>Currency conversion</t>
  </si>
  <si>
    <t>Z0040</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</si>
  <si>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</si>
  <si>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</si>
  <si>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</si>
  <si>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</si>
  <si>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</si>
  <si>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</si>
  <si>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</si>
  <si>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</si>
  <si>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</si>
  <si>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</si>
  <si>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</si>
  <si>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</si>
  <si>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</si>
  <si>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</si>
  <si>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</si>
  <si>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</si>
  <si>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</si>
  <si>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</si>
  <si>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</si>
  <si>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</si>
  <si>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</si>
  <si>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</si>
  <si>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</si>
  <si>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</si>
  <si>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</si>
  <si>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</si>
  <si>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</si>
  <si>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</si>
  <si>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</si>
  <si>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</si>
  <si>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</si>
  <si>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</si>
  <si>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</si>
  <si>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Accepted non-proportional reinsurance</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</si>
  <si>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</si>
  <si>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</si>
  <si>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</si>
  <si>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</si>
  <si>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</si>
  <si>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</si>
  <si>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</si>
  <si>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</si>
  <si>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</si>
  <si>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</si>
  <si>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</si>
  <si>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</si>
  <si>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</si>
  <si>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</si>
  <si>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</si>
  <si>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</si>
  <si>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</si>
  <si>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</si>
  <si>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</si>
  <si>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</si>
  <si>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</si>
  <si>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</si>
  <si>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</si>
  <si>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</si>
  <si>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</si>
  <si>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S.17.01.02.01 - Non-Life Technical Provisions</t>
  </si>
  <si>
    <t>SR.17.01.01.01 - Non-Life Technical Provisions</t>
  </si>
  <si>
    <t>S.17.02.01.01 - Gross TP calculated as a whole and Gross BE for different countries - Home country and countries outside the materiality threshold</t>
  </si>
  <si>
    <t>S.17.02.01.02 - Gross TP calculated as a whole and Gross BE for different countries - Countries in the materiality threshold</t>
  </si>
  <si>
    <t>S.18.01.01.01 - Best Estimate - Non Life</t>
  </si>
  <si>
    <t>Best Estimate Premium Provision (Gross)</t>
  </si>
  <si>
    <t>Future benefits</t>
  </si>
  <si>
    <t>Other cash-in flows</t>
  </si>
  <si>
    <t>Best Estimate Claim Provision (Gross)</t>
  </si>
  <si>
    <t>31 &amp; after</t>
  </si>
  <si>
    <t>S.19.01.01.01 - Gross Claims Paid (non-cumulative) - Development year (absolute amount)</t>
  </si>
  <si>
    <t>15 &amp; +</t>
  </si>
  <si>
    <t>Prior</t>
  </si>
  <si>
    <t>S.19.01.01.02 - Gross Claims Paid (non-cumulative) - Current year, sum of years (cumulative)</t>
  </si>
  <si>
    <t>In Current year</t>
  </si>
  <si>
    <t>Sum of years (cumulative)</t>
  </si>
  <si>
    <t>S.19.01.01.03 - Gross undiscounted Best Estimate Claims Provisions - Development year (absolute amount)</t>
  </si>
  <si>
    <t>S.19.01.01.04 - Gross discounted Best Estimate Claims Provisions - Current year, sum of years (cumulative)</t>
  </si>
  <si>
    <t>Year end (discounted data)</t>
  </si>
  <si>
    <t>S.19.01.01.05 - Gross Reported but not Settled Claims (RBNS) - Development year (absolute amount)</t>
  </si>
  <si>
    <t>C0450</t>
  </si>
  <si>
    <t>C0460</t>
  </si>
  <si>
    <t>C0470</t>
  </si>
  <si>
    <t>C0480</t>
  </si>
  <si>
    <t>C0490</t>
  </si>
  <si>
    <t>C0500</t>
  </si>
  <si>
    <t>C0510</t>
  </si>
  <si>
    <t>C0520</t>
  </si>
  <si>
    <t>C0530</t>
  </si>
  <si>
    <t>C0540</t>
  </si>
  <si>
    <t>C0550</t>
  </si>
  <si>
    <t>S.19.01.01.06 - Gross Reported but not Settled Claims (RBNS) - Current year, sum of years (cumulative)</t>
  </si>
  <si>
    <t>C0560</t>
  </si>
  <si>
    <t>S.19.01.01.07 - Reinsurance Recoveries received (non-cumulative) - Development year (absolute amount)</t>
  </si>
  <si>
    <t>C0600</t>
  </si>
  <si>
    <t>C0610</t>
  </si>
  <si>
    <t>C0620</t>
  </si>
  <si>
    <t>C0630</t>
  </si>
  <si>
    <t>C0640</t>
  </si>
  <si>
    <t>C0650</t>
  </si>
  <si>
    <t>C0660</t>
  </si>
  <si>
    <t>C0670</t>
  </si>
  <si>
    <t>C0680</t>
  </si>
  <si>
    <t>C0690</t>
  </si>
  <si>
    <t>C0700</t>
  </si>
  <si>
    <t>C0710</t>
  </si>
  <si>
    <t>C0720</t>
  </si>
  <si>
    <t>C0730</t>
  </si>
  <si>
    <t>C0740</t>
  </si>
  <si>
    <t>C0750</t>
  </si>
  <si>
    <t>S.19.01.01.08 - Reinsurance Recoveries received (non-cumulative) - Current year, sum of years (cumulative)</t>
  </si>
  <si>
    <t>C0760</t>
  </si>
  <si>
    <t>C0770</t>
  </si>
  <si>
    <t>S.19.01.01.09 - Undiscounted Best Estimate Claims Provisions - Reinsurance recoverable - Development year (absolute amount)</t>
  </si>
  <si>
    <t>C0800</t>
  </si>
  <si>
    <t>C0810</t>
  </si>
  <si>
    <t>C0820</t>
  </si>
  <si>
    <t>C0830</t>
  </si>
  <si>
    <t>C0840</t>
  </si>
  <si>
    <t>C0850</t>
  </si>
  <si>
    <t>C0860</t>
  </si>
  <si>
    <t>C0870</t>
  </si>
  <si>
    <t>C0880</t>
  </si>
  <si>
    <t>C0890</t>
  </si>
  <si>
    <t>C0900</t>
  </si>
  <si>
    <t>C0910</t>
  </si>
  <si>
    <t>C0920</t>
  </si>
  <si>
    <t>C0930</t>
  </si>
  <si>
    <t>C0940</t>
  </si>
  <si>
    <t>C0950</t>
  </si>
  <si>
    <t>S.19.01.01.10 - Discounted Best Estimate Claims Provisions - Reinsurance recoverable - Current year, sum of years (cumulative)</t>
  </si>
  <si>
    <t>C0960</t>
  </si>
  <si>
    <t>S.19.01.01.11 - Reinsurance RBNS Claims - Development year (absolute amount)</t>
  </si>
  <si>
    <t>C1000</t>
  </si>
  <si>
    <t>C1010</t>
  </si>
  <si>
    <t>C1020</t>
  </si>
  <si>
    <t>C1030</t>
  </si>
  <si>
    <t>C1040</t>
  </si>
  <si>
    <t>C1050</t>
  </si>
  <si>
    <t>C1060</t>
  </si>
  <si>
    <t>C1070</t>
  </si>
  <si>
    <t>C1080</t>
  </si>
  <si>
    <t>C1090</t>
  </si>
  <si>
    <t>C1100</t>
  </si>
  <si>
    <t>C1110</t>
  </si>
  <si>
    <t>C1120</t>
  </si>
  <si>
    <t>C1130</t>
  </si>
  <si>
    <t>C1140</t>
  </si>
  <si>
    <t>C1150</t>
  </si>
  <si>
    <t>S.19.01.01.12 - Reinsurance RBNS - Current year, sum of years (cumulative)</t>
  </si>
  <si>
    <t>C1160</t>
  </si>
  <si>
    <t>S.19.01.01.13 - Net Claims Paid (non-cumulative) - Development year (absolute amount)</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</si>
  <si>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</si>
  <si>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</si>
  <si>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</si>
  <si>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</si>
  <si>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</si>
  <si>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</si>
  <si>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</si>
  <si>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</si>
  <si>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</si>
  <si>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</si>
  <si>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</si>
  <si>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</si>
  <si>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</si>
  <si>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</si>
  <si>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</si>
  <si>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</si>
  <si>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</si>
  <si>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C1360</t>
  </si>
  <si>
    <t>C1370</t>
  </si>
  <si>
    <t>S.19.01.01.15 - Net Undiscounted Best Estimate Claims Provisions - Development year (absolute amount)</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</si>
  <si>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</si>
  <si>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</si>
  <si>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</si>
  <si>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</si>
  <si>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</si>
  <si>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</si>
  <si>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</si>
  <si>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</si>
  <si>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</si>
  <si>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</si>
  <si>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</si>
  <si>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</si>
  <si>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</si>
  <si>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</si>
  <si>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</si>
  <si>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</si>
  <si>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</si>
  <si>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C1560</t>
  </si>
  <si>
    <t>S.19.01.01.17 - Net RBNS Claims - Development year (absolute amount)</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</si>
  <si>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</si>
  <si>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</si>
  <si>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</si>
  <si>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</si>
  <si>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</si>
  <si>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</si>
  <si>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</si>
  <si>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</si>
  <si>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</si>
  <si>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</si>
  <si>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</si>
  <si>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</si>
  <si>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</si>
  <si>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</si>
  <si>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</si>
  <si>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</si>
  <si>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</si>
  <si>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</si>
  <si>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</si>
  <si>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</si>
  <si>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</si>
  <si>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</si>
  <si>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</si>
  <si>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</si>
  <si>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</si>
  <si>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</si>
  <si>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</si>
  <si>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</si>
  <si>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</si>
  <si>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</si>
  <si>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</si>
  <si>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</si>
  <si>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</si>
  <si>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</si>
  <si>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</si>
  <si>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</si>
  <si>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</si>
  <si>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</si>
  <si>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</si>
  <si>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</si>
  <si>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</si>
  <si>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</si>
  <si>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</si>
  <si>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</si>
  <si>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</si>
  <si>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</si>
  <si>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</si>
  <si>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</si>
  <si>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</si>
  <si>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</si>
  <si>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</si>
  <si>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</si>
  <si>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</si>
  <si>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</si>
  <si>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</si>
  <si>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</si>
  <si>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</si>
  <si>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</si>
  <si>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</si>
  <si>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</si>
  <si>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</si>
  <si>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</si>
  <si>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</si>
  <si>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</si>
  <si>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</si>
  <si>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</si>
  <si>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</si>
  <si>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</si>
  <si>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</si>
  <si>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</si>
  <si>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</si>
  <si>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S.19.01.01.21 - Description of inflation rate used</t>
  </si>
  <si>
    <t>Description</t>
  </si>
  <si>
    <t>C2200</t>
  </si>
  <si>
    <t>Description of inflation rate used:</t>
  </si>
  <si>
    <t>S.19.01.21.01 - Gross Claims Paid (non-cumulative) - Development year (absolute amount). Total Non-Life Business</t>
  </si>
  <si>
    <t>10 &amp; +</t>
  </si>
  <si>
    <t>S.19.01.21.02 - Gross Claims Paid (non-cumulative) - Current year, sum of years (cumulative). Total Non-Life Business</t>
  </si>
  <si>
    <t>S.19.01.21.03 - Gross undiscounted Best Estimate Claims Provisions - Development year (absolute amount). Total Non-Life Business</t>
  </si>
  <si>
    <t>S.19.01.21.04 - Gross discounted Best Estimate Claims Provisions - Current year, sum of years (cumulative). Total Non-Life Business</t>
  </si>
  <si>
    <t>S.20.01.01.01 - Development of the distribution of the claims incurred</t>
  </si>
  <si>
    <t>Line of business:</t>
  </si>
  <si>
    <t>Accident year/ underwriting year</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</si>
  <si>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</si>
  <si>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</si>
  <si>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</si>
  <si>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</si>
  <si>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</si>
  <si>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</si>
  <si>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</si>
  <si>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</si>
  <si>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</si>
  <si>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</si>
  <si>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</si>
  <si>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</si>
  <si>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</si>
  <si>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</si>
  <si>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</si>
  <si>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S.21.01.01.01 - Loss distribution risk profile</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</si>
  <si>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</si>
  <si>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</si>
  <si>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</si>
  <si>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</si>
  <si>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</si>
  <si>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</si>
  <si>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</si>
  <si>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</si>
  <si>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</si>
  <si>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</si>
  <si>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</si>
  <si>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</si>
  <si>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</si>
  <si>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</si>
  <si>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</si>
  <si>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</si>
  <si>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</si>
  <si>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</si>
  <si>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</si>
  <si>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</si>
  <si>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</si>
  <si>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</si>
  <si>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</si>
  <si>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</si>
  <si>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</si>
  <si>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</si>
  <si>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</si>
  <si>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</si>
  <si>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</si>
  <si>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</si>
  <si>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</si>
  <si>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</si>
  <si>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Bracket 1</t>
  </si>
  <si>
    <t>Bracket 2</t>
  </si>
  <si>
    <t>Bracket 3</t>
  </si>
  <si>
    <t>Bracket 4</t>
  </si>
  <si>
    <t>Bracket 5</t>
  </si>
  <si>
    <t>Bracket 6</t>
  </si>
  <si>
    <t>Bracket 7</t>
  </si>
  <si>
    <t>Bracket 8</t>
  </si>
  <si>
    <t>Bracket 9</t>
  </si>
  <si>
    <t>Bracket 10</t>
  </si>
  <si>
    <t>Bracket 11</t>
  </si>
  <si>
    <t>Bracket 12</t>
  </si>
  <si>
    <t>Bracket 13</t>
  </si>
  <si>
    <t>Bracket 14</t>
  </si>
  <si>
    <t>Bracket 15</t>
  </si>
  <si>
    <t>Bracket 16</t>
  </si>
  <si>
    <t>Bracket 17</t>
  </si>
  <si>
    <t>Bracket 18</t>
  </si>
  <si>
    <t>Bracket 19</t>
  </si>
  <si>
    <t>Bracket 20</t>
  </si>
  <si>
    <t>Bracket 21</t>
  </si>
  <si>
    <t>S.21.02.01.01 - Underwriting risks non-life</t>
  </si>
  <si>
    <t>Risk identification code</t>
  </si>
  <si>
    <t>Identification of the company / person to which the risk relates</t>
  </si>
  <si>
    <t>Description risk</t>
  </si>
  <si>
    <t>Description risk category covered</t>
  </si>
  <si>
    <t>Validity period (start date)</t>
  </si>
  <si>
    <t>Validity period (expiry date)</t>
  </si>
  <si>
    <t>Sum insured</t>
  </si>
  <si>
    <t>Original deductible policyholder</t>
  </si>
  <si>
    <t>Type of underwriting model</t>
  </si>
  <si>
    <t>Amount underwriting model</t>
  </si>
  <si>
    <t>Sum reinsured on a facultative basis, with all reinsurers</t>
  </si>
  <si>
    <t>Sum reinsured, other than on facultative basis, with all reinsurers</t>
  </si>
  <si>
    <t>Net retention of the insurer</t>
  </si>
  <si>
    <t>S.21.03.01.01 - Non-life underwriting mass risks</t>
  </si>
  <si>
    <t>Start sum insured</t>
  </si>
  <si>
    <t>End sum insured</t>
  </si>
  <si>
    <t>Number of underwriting risks</t>
  </si>
  <si>
    <t>Total sum insured</t>
  </si>
  <si>
    <t>Total annual written premium</t>
  </si>
  <si>
    <t>S.22.01.01.01 - Impact of long term guarantees measures and transitionals</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</si>
  <si>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</si>
  <si>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</si>
  <si>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</si>
  <si>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</si>
  <si>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</si>
  <si>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</si>
  <si>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</si>
  <si>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</si>
  <si>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</si>
  <si>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</si>
  <si>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</si>
  <si>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</si>
  <si>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</si>
  <si>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</si>
  <si>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</si>
  <si>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Eligible own funds to meet Minimum Capital Requirement</t>
  </si>
  <si>
    <t>Minimum Capital Requirement</t>
  </si>
  <si>
    <t>S.22.01.04.01 - Impact of long term guarantees measures and transitionals</t>
  </si>
  <si>
    <t>S.22.01.21.01 - Impact of long term guarantees measures and transitionals</t>
  </si>
  <si>
    <t>S.22.01.22.01 - Impact of long term guarantees measures and transitionals</t>
  </si>
  <si>
    <t>SR.22.02.01.01 - Projection of future cash flows (Best Estimate - Matching portfolios)</t>
  </si>
  <si>
    <t>Matching portfolio</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</si>
  <si>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</si>
  <si>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</si>
  <si>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</si>
  <si>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</si>
  <si>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</si>
  <si>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</si>
  <si>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</si>
  <si>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</si>
  <si>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</si>
  <si>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</si>
  <si>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</si>
  <si>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</si>
  <si>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</si>
  <si>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</si>
  <si>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</si>
  <si>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</si>
  <si>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</si>
  <si>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</si>
  <si>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</si>
  <si>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</si>
  <si>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</si>
  <si>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</si>
  <si>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SR.22.03.01.01 - Information on the matching adjustment calculation</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</si>
  <si>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</si>
  <si>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</si>
  <si>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</si>
  <si>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</si>
  <si>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</si>
  <si>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</si>
  <si>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</si>
  <si>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</si>
  <si>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</si>
  <si>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</si>
  <si>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</si>
  <si>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</si>
  <si>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</si>
  <si>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</si>
  <si>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</si>
  <si>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</si>
  <si>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applied</t>
  </si>
  <si>
    <t>Surrender rights satisfied to policyholders</t>
  </si>
  <si>
    <t>S.22.04.01.01 - Overall calculation of the transitional adjustment</t>
  </si>
  <si>
    <t>Reporting currency</t>
  </si>
  <si>
    <t>Adjustment to risk free rate</t>
  </si>
  <si>
    <t>Solvency I Interest rate</t>
  </si>
  <si>
    <t>Annual effective rate</t>
  </si>
  <si>
    <t>Portion of the difference applied at the reporting date</t>
  </si>
  <si>
    <t>S.22.04.01.02 - Solvency I Interest rate</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</si>
  <si>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</si>
  <si>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</si>
  <si>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</si>
  <si>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</si>
  <si>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</si>
  <si>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</si>
  <si>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</si>
  <si>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</si>
  <si>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</si>
  <si>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</si>
  <si>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</si>
  <si>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</si>
  <si>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</si>
  <si>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S.22.05.01.01 - Overall calculation of the transitional on technical provisions</t>
  </si>
  <si>
    <t>Day 1 Solvency II technical provisions</t>
  </si>
  <si>
    <t>Technical provisions subject to transitional measure on technical provisions</t>
  </si>
  <si>
    <t>TP calculated as a whole</t>
  </si>
  <si>
    <t>Risk magin</t>
  </si>
  <si>
    <t>Solvency I technical provisions</t>
  </si>
  <si>
    <t>Portion of the difference adjusted</t>
  </si>
  <si>
    <t>Limitation applied in accordance to Article 308d(4)</t>
  </si>
  <si>
    <t>Technical provision after transitional on technical provisions</t>
  </si>
  <si>
    <t>S.22.06.01.01 - Best estimate subject to country and currency volatility adjustment - Total and home country by currency (including home country in reporting currency)</t>
  </si>
  <si>
    <t>Total value of Best Estimate subject to volatility adjustment (for all currencies)</t>
  </si>
  <si>
    <t>Part of the Best Estimate subject to volatility adjustment written in the reporting currency</t>
  </si>
  <si>
    <t>Total value of Best Estimate subject to volatility adjustment in all countries</t>
  </si>
  <si>
    <t>Total value of Best Estimate subject to volatility adjustment in the Home country</t>
  </si>
  <si>
    <t>S.22.06.01.02 - Best estimate subject to country and currency volatility adjustment - Total and home country by currency by currency (other than reporting currency)</t>
  </si>
  <si>
    <t>Part of the Best Estimate subject to volatility adjustment written in currencies</t>
  </si>
  <si>
    <t>Other than reporting currency</t>
  </si>
  <si>
    <t>S.22.06.01.03 - Best estimate subject to country and currency volatility adjustment - Total and home country by currency (other than home country)</t>
  </si>
  <si>
    <t>Other than home country</t>
  </si>
  <si>
    <t>Total value of Best Estimate subject to volatility adjustment in countries other than home country</t>
  </si>
  <si>
    <t>S.22.06.01.04 - Best estimate subject to country and currency volatility adjustment - Total and home country by currency by country (other than home country) and by currency (other than reporting currency)</t>
  </si>
  <si>
    <t>S.23.01.01.01 - Own funds</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</si>
  <si>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</si>
  <si>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</si>
  <si>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</si>
  <si>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</si>
  <si>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</si>
  <si>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</si>
  <si>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</si>
  <si>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</si>
  <si>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</si>
  <si>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</si>
  <si>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</si>
  <si>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</si>
  <si>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</si>
  <si>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</si>
  <si>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</si>
  <si>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</si>
  <si>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</si>
  <si>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</si>
  <si>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</si>
  <si>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</si>
  <si>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</si>
  <si>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</si>
  <si>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</si>
  <si>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</si>
  <si>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</si>
  <si>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</si>
  <si>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</si>
  <si>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</si>
  <si>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</si>
  <si>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</si>
  <si>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MCR</t>
  </si>
  <si>
    <t>Ratio of Eligible own funds to SCR</t>
  </si>
  <si>
    <t>Ratio of Eligible own funds to MCR</t>
  </si>
  <si>
    <t>S.23.01.01.02 - Reconciliation reserve</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</si>
  <si>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</si>
  <si>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</si>
  <si>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</si>
  <si>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</si>
  <si>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</si>
  <si>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</si>
  <si>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Expected profits included in future premiums (EPIFP) - Non-life business</t>
  </si>
  <si>
    <t>Total Expected profits included in future premiums (EPIFP)</t>
  </si>
  <si>
    <t>S.23.01.04.01 - Own funds</t>
  </si>
  <si>
    <t>Basic own funds before deduction for participations in other financial sector</t>
  </si>
  <si>
    <t>Non-available called but not paid in ordinary share capital at group level</t>
  </si>
  <si>
    <t>Non-available subordinated mutual member accounts at group level</t>
  </si>
  <si>
    <t>Non-available surplus funds at group level</t>
  </si>
  <si>
    <t>Non-available preference shares at group level</t>
  </si>
  <si>
    <t>Non-available share premium account related to preference shares at group level</t>
  </si>
  <si>
    <t>Non-available subordinated liabilities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</si>
  <si>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</si>
  <si>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</si>
  <si>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</si>
  <si>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Minority interests (if not reported as part of a specific own fund item)</t>
  </si>
  <si>
    <t>Non-available minority interests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</si>
  <si>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</si>
  <si>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</si>
  <si>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</si>
  <si>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by using D&amp;A when a combination of methods is used</t>
  </si>
  <si>
    <t>Total of non-available own fund items</t>
  </si>
  <si>
    <t>Total deductions</t>
  </si>
  <si>
    <t>Non available ancillary own funds at group level</t>
  </si>
  <si>
    <t>Own funds of other financial sectors</t>
  </si>
  <si>
    <t>Credit institutions, investment firms, financial institutions, alternative investment fund managers, UCITS management companies - total</t>
  </si>
  <si>
    <t>Non regulated entities carrying out financial activities</t>
  </si>
  <si>
    <t>Total own funds of other financial sectors</t>
  </si>
  <si>
    <t>Own funds when using the D&amp;A, exclusively or in combination of method 1</t>
  </si>
  <si>
    <t>Own funds aggregated when using the D&amp;A and combination of method</t>
  </si>
  <si>
    <t>Own funds aggregated when using the D&amp;A and combination of method net of IGT</t>
  </si>
  <si>
    <t>Total available own funds to meet the consolidated group SCR (excluding own funds from other financial sector and from the undertakings included via D&amp;A )</t>
  </si>
  <si>
    <t>Total available own funds to meet the minimum consolidated group SCR</t>
  </si>
  <si>
    <t>Total eligible own funds to meet the consolidated group SCR (excluding own funds from other financial sector and from the undertakings included via D&amp;A )</t>
  </si>
  <si>
    <t>Total eligible own funds to meet the minimum consolidated group SCR</t>
  </si>
  <si>
    <t>Consolidated Group SCR</t>
  </si>
  <si>
    <t>Minimum consolidated Group SCR</t>
  </si>
  <si>
    <t>Ratio of Eligible own funds to the consolidated Group SCR (excluding other financial sectors and the undertakings included via D&amp;A )</t>
  </si>
  <si>
    <t>Ratio of Eligible own funds to Minimum Consolidated Group SCR</t>
  </si>
  <si>
    <t>Total eligible own funds to meet the group SCR (including own funds from other financial sector and from the undertakings included via D&amp;A )</t>
  </si>
  <si>
    <t>SCR for entities included with D&amp;A method</t>
  </si>
  <si>
    <t>Group SCR</t>
  </si>
  <si>
    <t>Ratio of Eligible own funds to group SCR including other financial sectors and the undertakings included via D&amp;A</t>
  </si>
  <si>
    <t>S.23.01.04.02 - Reconciliation reserve</t>
  </si>
  <si>
    <t>Other non available own funds</t>
  </si>
  <si>
    <t>S.23.01.07.01 - Own funds</t>
  </si>
  <si>
    <t>S.23.01.07.02 - Reconciliation reserve</t>
  </si>
  <si>
    <t>S.23.01.13.01 - Own funds</t>
  </si>
  <si>
    <t>S.23.01.22.01 - Own funds</t>
  </si>
  <si>
    <t>Total eligible own funds to meet the group SCR (including own funds from other financial sector and from the undertakings included via D&amp;A)</t>
  </si>
  <si>
    <t>S.23.01.22.02 - Reconciliation reserve</t>
  </si>
  <si>
    <t>S.23.02.01.01 - Basic own funds</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</si>
  <si>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</si>
  <si>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</si>
  <si>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</si>
  <si>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</si>
  <si>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</si>
  <si>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</si>
  <si>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</si>
  <si>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</si>
  <si>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</si>
  <si>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</si>
  <si>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</si>
  <si>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</si>
  <si>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</si>
  <si>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</si>
  <si>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</si>
  <si>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</si>
  <si>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</si>
  <si>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</si>
  <si>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</si>
  <si>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</si>
  <si>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</si>
  <si>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S.23.02.01.02 - Ancillary own funds</t>
  </si>
  <si>
    <t>Initial amounts approved</t>
  </si>
  <si>
    <t>Current amounts</t>
  </si>
  <si>
    <t>Items for which an amount was approved</t>
  </si>
  <si>
    <t>Items for which a method was approved</t>
  </si>
  <si>
    <t>S.23.02.01.03 - Excess of assets over liabilities - attribution of valuation differences</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</si>
  <si>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</si>
  <si>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</si>
  <si>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</si>
  <si>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</si>
  <si>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</si>
  <si>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</si>
  <si>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</si>
  <si>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</si>
  <si>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S.23.02.01.04 - Excess of assets over liabilities - attribution of valuation differences - other</t>
  </si>
  <si>
    <t>Explanation</t>
  </si>
  <si>
    <t>S.23.02.04.01 - Basic own funds</t>
  </si>
  <si>
    <t>S.23.02.04.02 - Ancillary own funds</t>
  </si>
  <si>
    <t>S.23.02.04.03 - Excess of assets over liabilities - attribution of valuation differences</t>
  </si>
  <si>
    <t>S.23.02.04.04 - Excess of assets over liabilities - attribution of valuation differences - other</t>
  </si>
  <si>
    <t>S.23.03.01.01 - Ordinary share capital and related share premium, initial fund members' contributions or the equivalent basic own - movements in the reporting period</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</si>
  <si>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</si>
  <si>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</si>
  <si>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</si>
  <si>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</si>
  <si>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</si>
  <si>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</si>
  <si>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</si>
  <si>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</si>
  <si>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S.23.03.01.02 - Subordinated mutual members accounts - movements in the reporting period</t>
  </si>
  <si>
    <t>Issued</t>
  </si>
  <si>
    <t>Redeemed</t>
  </si>
  <si>
    <t>Movements in valuation</t>
  </si>
  <si>
    <t>Regulatory action</t>
  </si>
  <si>
    <t>Subordinated mutual members accounts - movements in the reporting period</t>
  </si>
  <si>
    <t>S.23.03.01.03 - Surplus funds</t>
  </si>
  <si>
    <t>S.23.03.01.04 - Preference shares and related share premium - movements in the reporting period</t>
  </si>
  <si>
    <t>Preference shares - movements in the reporting period</t>
  </si>
  <si>
    <t>Share premium relating to preference shares</t>
  </si>
  <si>
    <t>S.23.03.01.05 - Subordinated liabilities - movements in the reporting period</t>
  </si>
  <si>
    <t>Subordinated liabilities - movements in the reporting period</t>
  </si>
  <si>
    <t>S.23.03.01.06 - An amount equal to the value of net deferred tax assets</t>
  </si>
  <si>
    <t>S.23.03.01.07 -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</si>
  <si>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</si>
  <si>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</si>
  <si>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</si>
  <si>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</si>
  <si>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S.23.03.01.08 - Ancillary own funds - movements in the reporting period</t>
  </si>
  <si>
    <t>New amount made available</t>
  </si>
  <si>
    <t>Reduction to amount available</t>
  </si>
  <si>
    <t>Called up to basic own fund</t>
  </si>
  <si>
    <t>Ancillary own funds - movements in the reporting period</t>
  </si>
  <si>
    <t>R1110</t>
  </si>
  <si>
    <t>R1120</t>
  </si>
  <si>
    <t>S.23.03.04.01 - Ordinary share capital and related share premium, initial fund members' contributions or the equivalent basic own - movements in the reporting period</t>
  </si>
  <si>
    <t>S.23.03.04.02 - Subordinated mutual members accounts - movements in the reporting period</t>
  </si>
  <si>
    <t>S.23.03.04.03 - Surplus funds</t>
  </si>
  <si>
    <t>S.23.03.04.04 - Preference shares and related share premium - movements in the reporting period</t>
  </si>
  <si>
    <t>S.23.03.04.05 - 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</si>
  <si>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</si>
  <si>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</si>
  <si>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S.23.03.04.08 - Ancillary own funds - movements in the reporting period</t>
  </si>
  <si>
    <t>S.23.03.07.01 - An amount equal to the value of net deferred tax assets</t>
  </si>
  <si>
    <t>S.23.03.07.02 - Ancillary own funds - movements in the reporting period</t>
  </si>
  <si>
    <t>S.23.04.01.01 - Subordinated MMA</t>
  </si>
  <si>
    <t>C0005</t>
  </si>
  <si>
    <t>Description of subordinated mutual members' accounts</t>
  </si>
  <si>
    <t>Amount</t>
  </si>
  <si>
    <t>Tier</t>
  </si>
  <si>
    <t>Currency Code</t>
  </si>
  <si>
    <t>Counted under transitionals?</t>
  </si>
  <si>
    <t>Counterparty (if specific)</t>
  </si>
  <si>
    <t>First call date</t>
  </si>
  <si>
    <t>Details of further call dates</t>
  </si>
  <si>
    <t>Details of incentives to redeem</t>
  </si>
  <si>
    <t>Notice period</t>
  </si>
  <si>
    <t>Buy back during the year</t>
  </si>
  <si>
    <t>S.23.04.01.02 - Preference share</t>
  </si>
  <si>
    <t>C0185</t>
  </si>
  <si>
    <t>Description of preference shares</t>
  </si>
  <si>
    <t>S.23.04.01.03 - Subordinated liability</t>
  </si>
  <si>
    <t>C0265</t>
  </si>
  <si>
    <t>Description of subordinated liabilities</t>
  </si>
  <si>
    <t>Lender (if specific)</t>
  </si>
  <si>
    <t>Further call dates</t>
  </si>
  <si>
    <t>S.23.04.01.04 - Items approved by supervisory authority as basic own funds</t>
  </si>
  <si>
    <t>C0445</t>
  </si>
  <si>
    <t>Date of authorisation</t>
  </si>
  <si>
    <t>S.23.04.01.05 - Own funds from the financial statements that shall not be represented by the reconciliation reserve and do not meet the criteria to be classified as Solvency II own funds</t>
  </si>
  <si>
    <t>C0565</t>
  </si>
  <si>
    <t>Description of item</t>
  </si>
  <si>
    <t>C0570</t>
  </si>
  <si>
    <t>C0580</t>
  </si>
  <si>
    <t>S.23.04.01.06 - Ancillary own funds</t>
  </si>
  <si>
    <t>C0585</t>
  </si>
  <si>
    <t>Description of ancillary own funds</t>
  </si>
  <si>
    <t>C0590</t>
  </si>
  <si>
    <t>Counterpart</t>
  </si>
  <si>
    <t>S.23.04.01.07 - Adjustment for ring fenced funds and matching adjustment portfolios</t>
  </si>
  <si>
    <t>Number of ring-fenced fund/Matching adjustment portfolios</t>
  </si>
  <si>
    <t>Notional SCR</t>
  </si>
  <si>
    <t>Notional SCR (negative results set to zero)</t>
  </si>
  <si>
    <t>Excess of assets over liablities</t>
  </si>
  <si>
    <t>Future transfers attributable to shareholders</t>
  </si>
  <si>
    <t>S.23.04.01.09 - RFF/matching adjustment portfolios deduction</t>
  </si>
  <si>
    <t>C0970</t>
  </si>
  <si>
    <t>S.23.04.04.01 - Subordinated MMA</t>
  </si>
  <si>
    <t>Issuing entity</t>
  </si>
  <si>
    <t>Name of supervisory authority having given authorisation</t>
  </si>
  <si>
    <t>% of the issue held by entities in the group</t>
  </si>
  <si>
    <t>Contribution to group subordinated MMA</t>
  </si>
  <si>
    <t>S.23.04.04.02 - Preference share</t>
  </si>
  <si>
    <t>S.23.04.04.03 - Subordinated liability</t>
  </si>
  <si>
    <t>Contribution to group subordinated liabilities</t>
  </si>
  <si>
    <t>S.23.04.04.04 - Items approved by supervisory authority as basic own funds</t>
  </si>
  <si>
    <t>Name of entity concerned</t>
  </si>
  <si>
    <t>Contribution to group other basic own funds</t>
  </si>
  <si>
    <t>S.23.04.04.05 - Own funds from the financial statements that should not be represented by the reconciliation reserve and do not meet the criteria to be classified as Solvency II own funds</t>
  </si>
  <si>
    <t>S.23.04.04.06 - Ancillary own funds</t>
  </si>
  <si>
    <t>S.23.04.04.07 - Adjustment for ring fenced funds and matching adjustment portfolios</t>
  </si>
  <si>
    <t>S.23.04.04.09 - RFF/matching adjustment portfolios deduction</t>
  </si>
  <si>
    <t>S.23.04.04.10 - Calculation of non available own funds at group level (such a calculation has to be done entity by entity) - exceeding the contribution of solo SCR to Group SCR</t>
  </si>
  <si>
    <t>C0715</t>
  </si>
  <si>
    <t>Related (Re)insurance undertakings, Insurance Holding Company, Mixed financial Holding Company, ancillary entities and SPV included in the scope of the group calculation</t>
  </si>
  <si>
    <t>Contribution of solo SCR to Group SCR</t>
  </si>
  <si>
    <t>Non available minority interests</t>
  </si>
  <si>
    <t>Non available surplus funds</t>
  </si>
  <si>
    <t>Non available called but not paid in capital</t>
  </si>
  <si>
    <t>C0780</t>
  </si>
  <si>
    <t>Non available ancillary own funds</t>
  </si>
  <si>
    <t>C0790</t>
  </si>
  <si>
    <t>Non available subordinated mutual member accounts</t>
  </si>
  <si>
    <t>Non available preference shares</t>
  </si>
  <si>
    <t>Non available Subordinated Liabilities</t>
  </si>
  <si>
    <t>Non available share premium account related to preference shares at group level</t>
  </si>
  <si>
    <t>Total non available excess own funds</t>
  </si>
  <si>
    <t>S.23.04.04.11 - Calculation of non available own funds at group level (total) - exceeding the contribution of solo SCR to Group SCR</t>
  </si>
  <si>
    <t>Non available own funds</t>
  </si>
  <si>
    <t>Non - available share premium account related to preference shares at group level</t>
  </si>
  <si>
    <t>S.24.01.01.01 -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</si>
  <si>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Name of related undertaking</t>
  </si>
  <si>
    <t>Common Equity Tier 1</t>
  </si>
  <si>
    <t>Additional Tier 1</t>
  </si>
  <si>
    <t>S.24.01.01.02 -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</si>
  <si>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</si>
  <si>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</si>
  <si>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</si>
  <si>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S.24.01.01.04 - Own funds deductions</t>
  </si>
  <si>
    <t>Article 68 (1) deduction</t>
  </si>
  <si>
    <t>Article 68 (2) deduction</t>
  </si>
  <si>
    <t>S.24.01.01.05 -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</si>
  <si>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Type 1 Equity</t>
  </si>
  <si>
    <t>Type 2 Equity</t>
  </si>
  <si>
    <t>S.24.01.01.06 -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</si>
  <si>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S.24.01.01.07 -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</si>
  <si>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S.24.01.01.08 - Table 6 - Other strategic participations not in financial and credit institution</t>
  </si>
  <si>
    <t>S.24.01.01.09 - Table 7 - Other non-strategic participations not in financial and credit institution</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</si>
  <si>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</si>
  <si>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</si>
  <si>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</si>
  <si>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</si>
  <si>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</si>
  <si>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</si>
  <si>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</si>
  <si>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S.24.01.01.11 - Total all participations</t>
  </si>
  <si>
    <t>Total all participations</t>
  </si>
  <si>
    <t>S.25.01.01.01 - Basic Solvency Capital Requirement</t>
  </si>
  <si>
    <t>Article 112</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</si>
  <si>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</si>
  <si>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</si>
  <si>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</si>
  <si>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</si>
  <si>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</si>
  <si>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</si>
  <si>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</si>
  <si>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</si>
  <si>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</si>
  <si>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</si>
  <si>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</si>
  <si>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S.25.01.01.02 - Calculation of Solvency Capital Requirement</t>
  </si>
  <si>
    <t>Value</t>
  </si>
  <si>
    <t>Adjustment due to RFF/MAP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</si>
  <si>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</si>
  <si>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</si>
  <si>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</si>
  <si>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</si>
  <si>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</si>
  <si>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 already set</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</si>
  <si>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</si>
  <si>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</si>
  <si>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</si>
  <si>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</si>
  <si>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</si>
  <si>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</si>
  <si>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</si>
  <si>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</si>
  <si>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</si>
  <si>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S.25.01.01.03 - Approach to tax rate</t>
  </si>
  <si>
    <t>Yes/No</t>
  </si>
  <si>
    <t>C0109</t>
  </si>
  <si>
    <t>S.25.01.01.04 - Calculation of loss absorbing capacity of deferred taxes</t>
  </si>
  <si>
    <t>Before the shock</t>
  </si>
  <si>
    <t>After the shock</t>
  </si>
  <si>
    <t>DTA</t>
  </si>
  <si>
    <t>DTA carry forward</t>
  </si>
  <si>
    <t>DTA due to deductible temporary differences</t>
  </si>
  <si>
    <t>DTL</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</si>
  <si>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</si>
  <si>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</si>
  <si>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</si>
  <si>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</si>
  <si>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</si>
  <si>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</si>
  <si>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</si>
  <si>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S.25.01.04.01 - Basic Solvency Capital Requirement</t>
  </si>
  <si>
    <t>S.25.01.04.02 - Calculation of Solvency Capital Requirement</t>
  </si>
  <si>
    <t>Capital add-ons already set</t>
  </si>
  <si>
    <t>Solvency capital requirement for undertakings under consolidated method</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</si>
  <si>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</si>
  <si>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</si>
  <si>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</si>
  <si>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</si>
  <si>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</si>
  <si>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 regulated entities carrying out financial activities</t>
  </si>
  <si>
    <t>Capital requirement for non-controlled participation requirements</t>
  </si>
  <si>
    <t>Capital requirement for residual undertakings</t>
  </si>
  <si>
    <t>Overall SCR</t>
  </si>
  <si>
    <t>SCR for undertakings included via D and A</t>
  </si>
  <si>
    <t>S.25.01.21.01 - Basic Solvency Capital Requirement</t>
  </si>
  <si>
    <t>Simplifications</t>
  </si>
  <si>
    <t>S.25.01.21.02 - Calculation of Solvency Capital Requirement</t>
  </si>
  <si>
    <t>S.25.01.21.03 - Basic Solvency Capital Requirement (USP)</t>
  </si>
  <si>
    <t>USP</t>
  </si>
  <si>
    <t>S.25.01.21.04 - Approach to tax rate</t>
  </si>
  <si>
    <t>S.25.01.21.05 - Calculation of loss absorbing capacity of deferred taxes</t>
  </si>
  <si>
    <t>S.25.01.22.01 - Basic Solvency Capital Requirement</t>
  </si>
  <si>
    <t>S.25.01.22.02 - Calculation of Solvency Capital Requirement</t>
  </si>
  <si>
    <t>S.25.01.22.03 - Basic Solvency Capital Requirement (USP)</t>
  </si>
  <si>
    <t>SR.25.01.01.01 - Basic Solvency Capital Requirement</t>
  </si>
  <si>
    <t>SR.25.01.01.02 - Calculation of Solvency Capital Requirement</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</si>
  <si>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</si>
  <si>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</si>
  <si>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</si>
  <si>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</si>
  <si>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</si>
  <si>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S.25.02.01.01 - Component-specific information</t>
  </si>
  <si>
    <t>Unique number of component</t>
  </si>
  <si>
    <t>Components Description</t>
  </si>
  <si>
    <t>Calculation of the Solvency Capital Requirement</t>
  </si>
  <si>
    <t>Consideration of the future management actions regarding technical provisions and/or deferred taxes</t>
  </si>
  <si>
    <t>Amount modelled</t>
  </si>
  <si>
    <t>S.25.02.01.02 - Calculation of Solvency Capital Requirement</t>
  </si>
  <si>
    <t>Total undiversified components</t>
  </si>
  <si>
    <t>Solvency capital requirement excluding capital add-on</t>
  </si>
  <si>
    <t>Amount/estimate of the overall loss-absorbing capacity of technical provisions</t>
  </si>
  <si>
    <t>Amount/estimate of the overall loss-absorbing capacity of deferred taxes</t>
  </si>
  <si>
    <t>Total amount of Notional Solvency Capital Requirement for ring fenced funds</t>
  </si>
  <si>
    <t>Total amount of Notional Solvency Capital Requirement for matching adjustment portfolios</t>
  </si>
  <si>
    <t>S.25.02.01.03 - Approach to tax rate</t>
  </si>
  <si>
    <t>S.25.02.01.04 - Calculation of loss absorbing capacity of deferred taxes</t>
  </si>
  <si>
    <t>S.25.02.01.05 -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</si>
  <si>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</si>
  <si>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</si>
  <si>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</si>
  <si>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AC DT justified by carry back, current year</t>
  </si>
  <si>
    <t>Amount/estimate of LAC DT justified by carry back, future years</t>
  </si>
  <si>
    <t>Amount/estimate of Maximum LAC DT</t>
  </si>
  <si>
    <t>S.25.02.04.01 - Component-specific information</t>
  </si>
  <si>
    <t>S.25.02.04.02 - Calculation of Solvency Capital Requirement</t>
  </si>
  <si>
    <t>S.25.02.21.01 - Component-specific information</t>
  </si>
  <si>
    <t>S.25.02.21.02 - Calculation of Solvency Capital Requirement</t>
  </si>
  <si>
    <t>S.25.02.21.03 - Approach to tax rate</t>
  </si>
  <si>
    <t>S.25.02.21.05 - Calculation of loss absorbing capacity of deferred taxes</t>
  </si>
  <si>
    <t>S.25.02.22.01 - Component-specific information</t>
  </si>
  <si>
    <t>S.25.02.22.02 - Calculation of Solvency Capital Requirement</t>
  </si>
  <si>
    <t>SR.25.02.01.01 - Component-specific information</t>
  </si>
  <si>
    <t>SR.25.02.01.02 - Calculation of Solvency Capital Requirement</t>
  </si>
  <si>
    <t>SR.25.02.01.03 - Approach to tax rate</t>
  </si>
  <si>
    <t>SR.25.02.01.04 - Calculation of loss absorbing capacity of deferred taxes</t>
  </si>
  <si>
    <t>SR.25.02.01.05 - Calculation of loss absorbing capacity of deferred taxes</t>
  </si>
  <si>
    <t>Amount/estimate of LAC DT justified by carry back, current year</t>
  </si>
  <si>
    <t>SR.25.02.04.01 - Component-specific information</t>
  </si>
  <si>
    <t>SR.25.02.04.02 - Calculation of Solvency Capital Requirement</t>
  </si>
  <si>
    <t>S.25.03.01.01 - Component-specific information</t>
  </si>
  <si>
    <t>S.25.03.01.02 - Calculation of Solvency Capital Requirement</t>
  </si>
  <si>
    <t>Capital requirement for business operated in accordance with Art. 4 of Directive 2003/41/EC (transitional)</t>
  </si>
  <si>
    <t>S.25.03.01.03 - Approach to tax rate</t>
  </si>
  <si>
    <t>S.25.03.01.04 - Calculation of loss absorbing capacity of deferred taxes</t>
  </si>
  <si>
    <t>S.25.03.01.05 - Calculation of loss absorbing capacity of deferred taxes</t>
  </si>
  <si>
    <t>S.25.03.04.01 - Component-specific information</t>
  </si>
  <si>
    <t>S.25.03.04.02 - Calculation of Solvency Capital Requirement</t>
  </si>
  <si>
    <t>S.25.03.21.01 - Component-specific information</t>
  </si>
  <si>
    <t>S.25.03.21.02 - Calculation of Solvency Capital Requirement</t>
  </si>
  <si>
    <t>S.25.03.21.03 - Approach to tax rate</t>
  </si>
  <si>
    <t>S.25.03.21.05 - Calculation of loss absorbing capacity of deferred taxes</t>
  </si>
  <si>
    <t>S.25.03.22.01 - Component-specific information</t>
  </si>
  <si>
    <t>S.25.03.22.02 - Calculation of Solvency Capital Requirement</t>
  </si>
  <si>
    <t>SR.25.03.01.01 - Component-specific information</t>
  </si>
  <si>
    <t>SR.25.03.01.02 - Calculation of Solvency Capital Requirement</t>
  </si>
  <si>
    <t>SR.25.03.01.03 - Approach to tax rate</t>
  </si>
  <si>
    <t>SR.25.03.01.04 - Calculation of loss absorbing capacity of deferred taxes</t>
  </si>
  <si>
    <t>SR.25.03.01.05 - Calculation of loss absorbing capacity of deferred taxes</t>
  </si>
  <si>
    <t>SR.25.03.04.01 - Component-specific information</t>
  </si>
  <si>
    <t>SR.25.03.04.02 - Calculation of Solvency Capital Requirement</t>
  </si>
  <si>
    <t>S.25.04.11.01 - Net solvency capital requirement</t>
  </si>
  <si>
    <t>S.25.04.13.01 - Net solvency capital requirement</t>
  </si>
  <si>
    <t>Solvency Capital Requirement Floor</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</si>
  <si>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</si>
  <si>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</si>
  <si>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</si>
  <si>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</si>
  <si>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</si>
  <si>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</si>
  <si>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</si>
  <si>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</si>
  <si>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</si>
  <si>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</si>
  <si>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</si>
  <si>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</si>
  <si>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</si>
  <si>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</si>
  <si>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</si>
  <si>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</si>
  <si>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</si>
  <si>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</si>
  <si>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</si>
  <si>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</si>
  <si>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</si>
  <si>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</si>
  <si>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</si>
  <si>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</si>
  <si>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</si>
  <si>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</si>
  <si>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</si>
  <si>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</si>
  <si>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</si>
  <si>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</si>
  <si>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</si>
  <si>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</si>
  <si>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</si>
  <si>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</si>
  <si>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</si>
  <si>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</si>
  <si>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</si>
  <si>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</si>
  <si>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</si>
  <si>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</si>
  <si>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</si>
  <si>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</si>
  <si>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</si>
  <si>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</si>
  <si>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</si>
  <si>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</si>
  <si>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</si>
  <si>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</si>
  <si>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</si>
  <si>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</si>
  <si>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</si>
  <si>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</si>
  <si>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</si>
  <si>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</si>
  <si>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</si>
  <si>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</si>
  <si>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</si>
  <si>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</si>
  <si>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</si>
  <si>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</si>
  <si>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</si>
  <si>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</si>
  <si>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</si>
  <si>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</si>
  <si>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</si>
  <si>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</si>
  <si>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</si>
  <si>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</si>
  <si>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</si>
  <si>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S.26.01.01.02 - Market risk - basic information, part 2</t>
  </si>
  <si>
    <t>S.26.01.01.03 - 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</si>
  <si>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</si>
  <si>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</si>
  <si>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</si>
  <si>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</si>
  <si>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</si>
  <si>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</si>
  <si>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</si>
  <si>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S.26.01.04.01 - Market risk - basic information, part 1</t>
  </si>
  <si>
    <t>S.26.01.04.02 - Market risk - basic information, part 2</t>
  </si>
  <si>
    <t>S.26.01.04.03 - Simplifications used</t>
  </si>
  <si>
    <t>S.26.01.04.04 - Currency used as a reference to calculate the currency risk</t>
  </si>
  <si>
    <t>Currency used as a reference to calculate the currency risk</t>
  </si>
  <si>
    <t>SR.26.01.01.01 - Market risk - basic information, part 1</t>
  </si>
  <si>
    <t>SR.26.01.01.02 - Market risk - basic information, part 2</t>
  </si>
  <si>
    <t>SR.26.01.01.03 - Simplifications used</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</si>
  <si>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</si>
  <si>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</si>
  <si>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</si>
  <si>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</si>
  <si>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</si>
  <si>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</si>
  <si>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</si>
  <si>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</si>
  <si>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</si>
  <si>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</si>
  <si>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</si>
  <si>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</si>
  <si>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</si>
  <si>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</si>
  <si>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</si>
  <si>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</si>
  <si>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</si>
  <si>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</si>
  <si>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</si>
  <si>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</si>
  <si>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</si>
  <si>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S.26.02.01.02 - Simplifications used</t>
  </si>
  <si>
    <t>S.26.02.01.03 - Further details on mortgages</t>
  </si>
  <si>
    <t>Losses stemming from type 2 mortgage loans</t>
  </si>
  <si>
    <t>Overall losses stemming from mortgage loans</t>
  </si>
  <si>
    <t>S.26.02.04.01 - Counterparty default risk - basic information</t>
  </si>
  <si>
    <t>S.26.02.04.02 - Simplifications used</t>
  </si>
  <si>
    <t>S.26.02.04.03 - Further details on mortgages</t>
  </si>
  <si>
    <t>SR.26.02.01.01 - Counterparty default risk - basic information</t>
  </si>
  <si>
    <t>SR.26.02.01.02 - Simplifications used</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</si>
  <si>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</si>
  <si>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</si>
  <si>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</si>
  <si>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</si>
  <si>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</si>
  <si>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</si>
  <si>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</si>
  <si>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</si>
  <si>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</si>
  <si>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</si>
  <si>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</si>
  <si>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</si>
  <si>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</si>
  <si>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S.26.03.01.02 - Further details on revision risk</t>
  </si>
  <si>
    <t>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</si>
  <si>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</si>
  <si>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</si>
  <si>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</si>
  <si>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</si>
  <si>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</si>
  <si>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</si>
  <si>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</si>
  <si>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S.26.03.01.04 - Life underwriting risk</t>
  </si>
  <si>
    <t>S.26.03.04.01 - Life underwriting risk</t>
  </si>
  <si>
    <t>S.26.03.04.02 - Further details on revision risk</t>
  </si>
  <si>
    <t>S.26.03.04.03 - Simplifications used</t>
  </si>
  <si>
    <t>S.26.03.04.04 - Life underwriting risk</t>
  </si>
  <si>
    <t>SR.26.03.01.01 - Life underwriting risk</t>
  </si>
  <si>
    <t>SR.26.03.01.02 - Further details on revision risk</t>
  </si>
  <si>
    <t>SR.26.03.01.03 - Simplifications used</t>
  </si>
  <si>
    <t>SR.26.03.01.04 -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</si>
  <si>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</si>
  <si>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</si>
  <si>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</si>
  <si>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</si>
  <si>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</si>
  <si>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</si>
  <si>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</si>
  <si>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</si>
  <si>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</si>
  <si>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</si>
  <si>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</si>
  <si>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</si>
  <si>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</si>
  <si>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</si>
  <si>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</si>
  <si>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</si>
  <si>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</si>
  <si>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</si>
  <si>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</si>
  <si>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</si>
  <si>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</si>
  <si>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</si>
  <si>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</si>
  <si>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</si>
  <si>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</si>
  <si>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</si>
  <si>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</si>
  <si>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</si>
  <si>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</si>
  <si>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</si>
  <si>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R1050</t>
  </si>
  <si>
    <t>S.26.04.01.04 - Total NSLT health premium and reserve risk</t>
  </si>
  <si>
    <t>Total NSLT health premium and reserve risk</t>
  </si>
  <si>
    <t>S.26.04.01.05 - NSLT health lapse risk</t>
  </si>
  <si>
    <t>NSLT health lapse risk</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</si>
  <si>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</si>
  <si>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</si>
  <si>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</si>
  <si>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</si>
  <si>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</si>
  <si>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</si>
  <si>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</si>
  <si>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</si>
  <si>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</si>
  <si>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</si>
  <si>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</si>
  <si>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</si>
  <si>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</si>
  <si>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</si>
  <si>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</si>
  <si>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</si>
  <si>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</si>
  <si>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</si>
  <si>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</si>
  <si>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</si>
  <si>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</si>
  <si>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</si>
  <si>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</si>
  <si>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</si>
  <si>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</si>
  <si>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</si>
  <si>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</si>
  <si>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</si>
  <si>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</si>
  <si>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</si>
  <si>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</si>
  <si>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S.26.04.04.08 - Total health underwriting risk</t>
  </si>
  <si>
    <t>S.26.04.04.09 - Simplifications used</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</si>
  <si>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</si>
  <si>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</si>
  <si>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</si>
  <si>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</si>
  <si>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</si>
  <si>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</si>
  <si>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</si>
  <si>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</si>
  <si>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</si>
  <si>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</si>
  <si>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</si>
  <si>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</si>
  <si>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</si>
  <si>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</si>
  <si>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</si>
  <si>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</si>
  <si>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</si>
  <si>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</si>
  <si>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</si>
  <si>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</si>
  <si>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</si>
  <si>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</si>
  <si>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S.26.05.01.02 - Non-life premium and reserve risk</t>
  </si>
  <si>
    <t>Non-life premium and reserve risk</t>
  </si>
  <si>
    <t>S.26.05.01.03 - Non-Life lapse risk</t>
  </si>
  <si>
    <t>Non-life lapse risk</t>
  </si>
  <si>
    <t>S.26.05.01.04 - Non-life catastrophe risk and total non-life underwriting risk</t>
  </si>
  <si>
    <t>Non-life catastrophe risk</t>
  </si>
  <si>
    <t>Diversification within non - life underwriting risk module</t>
  </si>
  <si>
    <t>Total non-life underwriting risk</t>
  </si>
  <si>
    <t>S.26.05.01.05 - Simplifications used</t>
  </si>
  <si>
    <t>Captives simplifications - premium and reserve risk</t>
  </si>
  <si>
    <t>Simplifications used - non-life lapse risk</t>
  </si>
  <si>
    <t>R0011</t>
  </si>
  <si>
    <t>S.26.05.04.01 - Non-life premium and reserve Risk</t>
  </si>
  <si>
    <t>S.26.05.04.02 - Non-life premium and reserve risk</t>
  </si>
  <si>
    <t>S.26.05.04.03 - Non-Life lapse risk</t>
  </si>
  <si>
    <t>S.26.05.04.04 - Non-life catastrophe risk and total non-life underwriting risk</t>
  </si>
  <si>
    <t>S.26.05.04.05 - Simplifications used</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</si>
  <si>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</si>
  <si>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</si>
  <si>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</si>
  <si>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</si>
  <si>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</si>
  <si>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</si>
  <si>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</si>
  <si>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</si>
  <si>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</si>
  <si>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</si>
  <si>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</si>
  <si>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</si>
  <si>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</si>
  <si>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</si>
  <si>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</si>
  <si>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</si>
  <si>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</si>
  <si>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</si>
  <si>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</si>
  <si>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</si>
  <si>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</si>
  <si>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</si>
  <si>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</si>
  <si>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</si>
  <si>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</si>
  <si>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</si>
  <si>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S.26.06.04.01 - Operational risk - basic information</t>
  </si>
  <si>
    <t>SR.26.06.01.01 - Operational risk - basic information</t>
  </si>
  <si>
    <t>S.26.07.01.01 - Market risk - Spread risk (bonds and loans) (including captives)</t>
  </si>
  <si>
    <t>Market value</t>
  </si>
  <si>
    <t>Modified duration</t>
  </si>
  <si>
    <t>S.26.07.01.02 - Market risk - Increase in unit-linked and index-linked technical provisions</t>
  </si>
  <si>
    <t>Increase in unit-linked and index-linked technical provisions</t>
  </si>
  <si>
    <t>S.26.07.01.03 - Market risk - Interest rate risk (captives)</t>
  </si>
  <si>
    <t>Currency for interest rate risk (captives)</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</si>
  <si>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</si>
  <si>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</si>
  <si>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</si>
  <si>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</si>
  <si>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</si>
  <si>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</si>
  <si>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</si>
  <si>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</si>
  <si>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</si>
  <si>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</si>
  <si>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</si>
  <si>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</si>
  <si>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</si>
  <si>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</si>
  <si>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</si>
  <si>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</si>
  <si>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</si>
  <si>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S.26.07.01.05 - Market risk - Market risk concentrations</t>
  </si>
  <si>
    <t>Debt portfolio share</t>
  </si>
  <si>
    <t>S.26.07.01.06 - NAT CAT simplifications</t>
  </si>
  <si>
    <t>Risk weight that was chosen</t>
  </si>
  <si>
    <t>Sum of exposure</t>
  </si>
  <si>
    <t>Windstorm</t>
  </si>
  <si>
    <t>Hail</t>
  </si>
  <si>
    <t>Earthquake</t>
  </si>
  <si>
    <t>Flood</t>
  </si>
  <si>
    <t>Subsidence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</si>
  <si>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</si>
  <si>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</si>
  <si>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</si>
  <si>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</si>
  <si>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</si>
  <si>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</si>
  <si>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</si>
  <si>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</si>
  <si>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</si>
  <si>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</si>
  <si>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</si>
  <si>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</si>
  <si>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</si>
  <si>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</si>
  <si>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</si>
  <si>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</si>
  <si>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</si>
  <si>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</si>
  <si>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</si>
  <si>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</si>
  <si>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</si>
  <si>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</si>
  <si>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</si>
  <si>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</si>
  <si>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</si>
  <si>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&amp; Suretyship</t>
  </si>
  <si>
    <t>Other non-life catastrophe risk</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</si>
  <si>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</si>
  <si>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</si>
  <si>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</si>
  <si>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</si>
  <si>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</si>
  <si>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</si>
  <si>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</si>
  <si>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</si>
  <si>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S.27.01.01.02 - Natural Catastrophe risk -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</si>
  <si>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</si>
  <si>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</si>
  <si>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</si>
  <si>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</si>
  <si>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</si>
  <si>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</si>
  <si>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</si>
  <si>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</si>
  <si>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</si>
  <si>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</si>
  <si>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</si>
  <si>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</si>
  <si>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</si>
  <si>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</si>
  <si>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</si>
  <si>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</si>
  <si>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</si>
  <si>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</si>
  <si>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</si>
  <si>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</si>
  <si>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</si>
  <si>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</si>
  <si>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</si>
  <si>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</si>
  <si>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</si>
  <si>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</si>
  <si>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</si>
  <si>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</si>
  <si>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</si>
  <si>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</si>
  <si>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</si>
  <si>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</si>
  <si>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</si>
  <si>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</si>
  <si>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</si>
  <si>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</si>
  <si>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</si>
  <si>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</si>
  <si>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</si>
  <si>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</si>
  <si>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</si>
  <si>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</si>
  <si>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</si>
  <si>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</si>
  <si>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</si>
  <si>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</si>
  <si>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</si>
  <si>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</si>
  <si>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</si>
  <si>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</si>
  <si>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</si>
  <si>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</si>
  <si>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</si>
  <si>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</si>
  <si>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</si>
  <si>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</si>
  <si>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</si>
  <si>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</si>
  <si>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S.27.01.01.03 - Natural Catastrophe risk -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</si>
  <si>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</si>
  <si>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</si>
  <si>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</si>
  <si>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</si>
  <si>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</si>
  <si>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</si>
  <si>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</si>
  <si>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</si>
  <si>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</si>
  <si>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</si>
  <si>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</si>
  <si>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R1060</t>
  </si>
  <si>
    <t>R1070</t>
  </si>
  <si>
    <t>R1080</t>
  </si>
  <si>
    <t>R1090</t>
  </si>
  <si>
    <t>R1130</t>
  </si>
  <si>
    <t>R1140</t>
  </si>
  <si>
    <t>R1150</t>
  </si>
  <si>
    <t>R1160</t>
  </si>
  <si>
    <t>R1170</t>
  </si>
  <si>
    <t>R1180</t>
  </si>
  <si>
    <t>R1190</t>
  </si>
  <si>
    <t>R1210</t>
  </si>
  <si>
    <t>Total Earthquake Other Regions before diversifications</t>
  </si>
  <si>
    <t>R1220</t>
  </si>
  <si>
    <t>Total Earthquake all Regions before diversification</t>
  </si>
  <si>
    <t>R1230</t>
  </si>
  <si>
    <t>R1240</t>
  </si>
  <si>
    <t>Total Earthquake after diversification</t>
  </si>
  <si>
    <t>R1250</t>
  </si>
  <si>
    <t>S.27.01.01.04 - Natural Catastrophe risk - Flood</t>
  </si>
  <si>
    <t>Natural Catastrophe risk - Flood</t>
  </si>
  <si>
    <t>R1260</t>
  </si>
  <si>
    <t>R1270</t>
  </si>
  <si>
    <t>R1280</t>
  </si>
  <si>
    <t>R1290</t>
  </si>
  <si>
    <t>R1310</t>
  </si>
  <si>
    <t>R1320</t>
  </si>
  <si>
    <t>R1330</t>
  </si>
  <si>
    <t>R1340</t>
  </si>
  <si>
    <t>R1350</t>
  </si>
  <si>
    <t>R1360</t>
  </si>
  <si>
    <t>R1370</t>
  </si>
  <si>
    <t>R1380</t>
  </si>
  <si>
    <t>R1390</t>
  </si>
  <si>
    <t>Total Flood specified Regions before diversification</t>
  </si>
  <si>
    <t>R1430</t>
  </si>
  <si>
    <t>R1440</t>
  </si>
  <si>
    <t>R1450</t>
  </si>
  <si>
    <t>R1460</t>
  </si>
  <si>
    <t>R1470</t>
  </si>
  <si>
    <t>R1480</t>
  </si>
  <si>
    <t>R1490</t>
  </si>
  <si>
    <t>R1550</t>
  </si>
  <si>
    <t>R1560</t>
  </si>
  <si>
    <t>R1570</t>
  </si>
  <si>
    <t>R1580</t>
  </si>
  <si>
    <t>Total Flood Other Regions before diversifications</t>
  </si>
  <si>
    <t>R1590</t>
  </si>
  <si>
    <t>Total Flood all Regions before diversification</t>
  </si>
  <si>
    <t>Total Flood after diversification</t>
  </si>
  <si>
    <t>S.27.01.01.05 - Natural Catastrophe risk - Hail</t>
  </si>
  <si>
    <t>Natural Catastrophe risk - Hail</t>
  </si>
  <si>
    <t>R1630</t>
  </si>
  <si>
    <t>R1640</t>
  </si>
  <si>
    <t>R1641</t>
  </si>
  <si>
    <t>R1650</t>
  </si>
  <si>
    <t>R1660</t>
  </si>
  <si>
    <t>R1670</t>
  </si>
  <si>
    <t>R1680</t>
  </si>
  <si>
    <t>R1690</t>
  </si>
  <si>
    <t>R1701</t>
  </si>
  <si>
    <t>Total Hail specified Regions before diversification</t>
  </si>
  <si>
    <t>R1730</t>
  </si>
  <si>
    <t>R1740</t>
  </si>
  <si>
    <t>R1750</t>
  </si>
  <si>
    <t>R1760</t>
  </si>
  <si>
    <t>R1770</t>
  </si>
  <si>
    <t>R1780</t>
  </si>
  <si>
    <t>R1790</t>
  </si>
  <si>
    <t>R1810</t>
  </si>
  <si>
    <t>R1820</t>
  </si>
  <si>
    <t>R1830</t>
  </si>
  <si>
    <t>R1840</t>
  </si>
  <si>
    <t>R1850</t>
  </si>
  <si>
    <t>R1860</t>
  </si>
  <si>
    <t>R1870</t>
  </si>
  <si>
    <t>R1880</t>
  </si>
  <si>
    <t>R1890</t>
  </si>
  <si>
    <t>Total Hail Other Regions before diversifications</t>
  </si>
  <si>
    <t>Total Hail all Regions before diversification</t>
  </si>
  <si>
    <t>R1930</t>
  </si>
  <si>
    <t>Total Hail after diversification</t>
  </si>
  <si>
    <t>R1940</t>
  </si>
  <si>
    <t>S.27.01.01.06 - Natural Catastrophe risk -Subsidence</t>
  </si>
  <si>
    <t>Natural Catastrophe risk -Subsidence</t>
  </si>
  <si>
    <t>Total Subsidence before diversification</t>
  </si>
  <si>
    <t>R1950</t>
  </si>
  <si>
    <t>Diversification effect between zones</t>
  </si>
  <si>
    <t>R1960</t>
  </si>
  <si>
    <t>Total Subsidence after diversification</t>
  </si>
  <si>
    <t>R1970</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</si>
  <si>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</si>
  <si>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</si>
  <si>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</si>
  <si>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</si>
  <si>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</si>
  <si>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</si>
  <si>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</si>
  <si>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</si>
  <si>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</si>
  <si>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</si>
  <si>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</si>
  <si>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</si>
  <si>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</si>
  <si>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</si>
  <si>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</si>
  <si>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</si>
  <si>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</si>
  <si>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</si>
  <si>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S.27.01.01.10 - 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</si>
  <si>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</si>
  <si>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</si>
  <si>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</si>
  <si>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</si>
  <si>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</si>
  <si>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</si>
  <si>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</si>
  <si>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</si>
  <si>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</si>
  <si>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</si>
  <si>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</si>
  <si>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</si>
  <si>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</si>
  <si>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</si>
  <si>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</si>
  <si>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</si>
  <si>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</si>
  <si>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</si>
  <si>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</si>
  <si>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</si>
  <si>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</si>
  <si>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</si>
  <si>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</si>
  <si>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</si>
  <si>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</si>
  <si>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</si>
  <si>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S.27.01.01.13 - Man made catastrophe risk - Fire</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</si>
  <si>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</si>
  <si>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</si>
  <si>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</si>
  <si>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</si>
  <si>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</si>
  <si>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</si>
  <si>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</si>
  <si>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</si>
  <si>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</si>
  <si>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</si>
  <si>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</si>
  <si>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</si>
  <si>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</si>
  <si>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</si>
  <si>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</si>
  <si>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</si>
  <si>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</si>
  <si>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</si>
  <si>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</si>
  <si>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S.27.01.01.15 - Man made catastrophe risk - Liability</t>
  </si>
  <si>
    <t>C0980</t>
  </si>
  <si>
    <t>R2800</t>
  </si>
  <si>
    <t>Diversification between type of cover</t>
  </si>
  <si>
    <t>R2810</t>
  </si>
  <si>
    <t>R2820</t>
  </si>
  <si>
    <t>S.27.01.01.16 -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</si>
  <si>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</si>
  <si>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</si>
  <si>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</si>
  <si>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</si>
  <si>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</si>
  <si>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Catastrophe Risk Charge Credit &amp; Surety after risk mitigation - Large Credit Default</t>
  </si>
  <si>
    <t>Largest exposure 1</t>
  </si>
  <si>
    <t>R2900</t>
  </si>
  <si>
    <t>Largest exposure 2</t>
  </si>
  <si>
    <t>R2910</t>
  </si>
  <si>
    <t>R2920</t>
  </si>
  <si>
    <t>S.27.01.01.17 - Man made catastrophe risk - Credit &amp; Suretyship - Recession Risk</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</si>
  <si>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</si>
  <si>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</si>
  <si>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</si>
  <si>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</si>
  <si>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S.27.01.01.18 - Man made catastrophe risk - Credit &amp; Suretyship</t>
  </si>
  <si>
    <t>Man made catastrophe risk - Credit &amp; Suretyship</t>
  </si>
  <si>
    <t>Catastrophe Risk Charge Credit &amp; Suretyship before risk mitigation</t>
  </si>
  <si>
    <t>Catastrophe Risk Charge Credit &amp; Suretyship after risk mitigation</t>
  </si>
  <si>
    <t>R3100</t>
  </si>
  <si>
    <t>R3110</t>
  </si>
  <si>
    <t>R3120</t>
  </si>
  <si>
    <t>S.27.01.01.19 - Man made catastrophe risk - Other non-life catastrophe risk</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</si>
  <si>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</si>
  <si>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</si>
  <si>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</si>
  <si>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</si>
  <si>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</si>
  <si>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</si>
  <si>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</si>
  <si>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</si>
  <si>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</si>
  <si>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</si>
  <si>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</si>
  <si>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</si>
  <si>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</si>
  <si>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</si>
  <si>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</si>
  <si>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</si>
  <si>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</si>
  <si>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</si>
  <si>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</si>
  <si>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</si>
  <si>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</si>
  <si>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</si>
  <si>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</si>
  <si>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</si>
  <si>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</si>
  <si>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</si>
  <si>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</si>
  <si>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</si>
  <si>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</si>
  <si>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</si>
  <si>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</si>
  <si>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</si>
  <si>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</si>
  <si>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</si>
  <si>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</si>
  <si>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</si>
  <si>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</si>
  <si>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</si>
  <si>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</si>
  <si>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</si>
  <si>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</si>
  <si>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</si>
  <si>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</si>
  <si>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</si>
  <si>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</si>
  <si>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</si>
  <si>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</si>
  <si>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</si>
  <si>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</si>
  <si>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</si>
  <si>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</si>
  <si>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</si>
  <si>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</si>
  <si>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</si>
  <si>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</si>
  <si>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</si>
  <si>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</si>
  <si>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</si>
  <si>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</si>
  <si>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</si>
  <si>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</si>
  <si>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</si>
  <si>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</si>
  <si>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</si>
  <si>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</si>
  <si>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</si>
  <si>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</si>
  <si>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</si>
  <si>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</si>
  <si>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</si>
  <si>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</si>
  <si>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</si>
  <si>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</si>
  <si>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</si>
  <si>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</si>
  <si>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</si>
  <si>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</si>
  <si>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</si>
  <si>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</si>
  <si>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</si>
  <si>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</si>
  <si>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</si>
  <si>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</si>
  <si>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</si>
  <si>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</si>
  <si>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</si>
  <si>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</si>
  <si>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</si>
  <si>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</si>
  <si>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</si>
  <si>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</si>
  <si>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</si>
  <si>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</si>
  <si>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</si>
  <si>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</si>
  <si>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</si>
  <si>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</si>
  <si>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</si>
  <si>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</si>
  <si>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</si>
  <si>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</si>
  <si>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</si>
  <si>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</si>
  <si>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</si>
  <si>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</si>
  <si>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</si>
  <si>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</si>
  <si>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</si>
  <si>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</si>
  <si>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</si>
  <si>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</si>
  <si>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</si>
  <si>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</si>
  <si>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</si>
  <si>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</si>
  <si>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</si>
  <si>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</si>
  <si>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</si>
  <si>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</si>
  <si>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</si>
  <si>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</si>
  <si>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</si>
  <si>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</si>
  <si>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</si>
  <si>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</si>
  <si>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</si>
  <si>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</si>
  <si>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</si>
  <si>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</si>
  <si>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</si>
  <si>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</si>
  <si>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</si>
  <si>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</si>
  <si>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</si>
  <si>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</si>
  <si>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</si>
  <si>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</si>
  <si>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</si>
  <si>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</si>
  <si>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</si>
  <si>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</si>
  <si>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</si>
  <si>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</si>
  <si>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</si>
  <si>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</si>
  <si>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</si>
  <si>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</si>
  <si>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</si>
  <si>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</si>
  <si>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</si>
  <si>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S.27.01.01.23 - Health Catastrophe risk - Concentration accident</t>
  </si>
  <si>
    <t>Issuer country/country of residence</t>
  </si>
  <si>
    <t>Other countries to be considered in the Concentration accident</t>
  </si>
  <si>
    <t>R4010</t>
  </si>
  <si>
    <t>S.27.01.01.24 - Health Catastrophe risk - Pandemic</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</si>
  <si>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</si>
  <si>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</si>
  <si>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</si>
  <si>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</si>
  <si>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</si>
  <si>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</si>
  <si>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</si>
  <si>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</si>
  <si>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</si>
  <si>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</si>
  <si>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</si>
  <si>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</si>
  <si>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Simplifications used - fire risk</t>
  </si>
  <si>
    <t>Simplifications used - natural catastrophe risk</t>
  </si>
  <si>
    <t>R0002</t>
  </si>
  <si>
    <t>S.27.01.01.28 - Number of vessels</t>
  </si>
  <si>
    <t>Number</t>
  </si>
  <si>
    <t>C0781</t>
  </si>
  <si>
    <t>Number of vessels below the threshold of EUR 250k</t>
  </si>
  <si>
    <t>R2421</t>
  </si>
  <si>
    <t>S.27.01.04.01 - Non-life and Health catastrophe risk - Summary</t>
  </si>
  <si>
    <t>S.27.01.04.02 - Natural Catastrophe risk - Windstorm</t>
  </si>
  <si>
    <t>S.27.01.04.03 - Natural Catastrophe risk - Earthquake</t>
  </si>
  <si>
    <t>S.27.01.04.04 - Natural Catastrophe risk - Flood</t>
  </si>
  <si>
    <t>S.27.01.04.05 - Natural Catastrophe risk - Hail</t>
  </si>
  <si>
    <t>S.27.01.04.06 - Natural Catastrophe risk -Subsidence</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</si>
  <si>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</si>
  <si>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</si>
  <si>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</si>
  <si>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</si>
  <si>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</si>
  <si>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</si>
  <si>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</si>
  <si>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S.27.01.04.14 - Man made catastrophe risk - Liability</t>
  </si>
  <si>
    <t>S.27.01.04.15 - Man made catastrophe risk - Liability</t>
  </si>
  <si>
    <t>S.27.01.04.16 - Man made catastrophe risk - Credit &amp; Suretyship - Large Credit Default</t>
  </si>
  <si>
    <t>S.27.01.04.17 - Man made catastrophe risk - Credit &amp; Suretyship - Recession Risk</t>
  </si>
  <si>
    <t>S.27.01.04.18 - Man made catastrophe risk - Credit &amp; Suretyship</t>
  </si>
  <si>
    <t>S.27.01.04.19 - Man made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</si>
  <si>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</si>
  <si>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</si>
  <si>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</si>
  <si>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</si>
  <si>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S.27.01.04.24 - Health Catastrophe risk - Pandemic</t>
  </si>
  <si>
    <t>S.27.01.04.25 - Health Catastrophe risk - Pandemic. Total</t>
  </si>
  <si>
    <t>S.27.01.04.26 - Health Catastrophe risk - Concentration accident</t>
  </si>
  <si>
    <t>S.27.01.04.27 - Simplifications used</t>
  </si>
  <si>
    <t>S.27.01.04.28 - Number of vessels</t>
  </si>
  <si>
    <t>SR.27.01.01.01 - Non-life and Health catastrophe risk - Summary</t>
  </si>
  <si>
    <t>SR.27.01.01.02 - Natural Catastrophe risk - Windstorm</t>
  </si>
  <si>
    <t>SR.27.01.01.03 - Natural Catastrophe risk - Earthquake</t>
  </si>
  <si>
    <t>SR.27.01.01.04 - Natural Catastrophe risk - Flood</t>
  </si>
  <si>
    <t>SR.27.01.01.05 - Natural Catastrophe risk - Hail</t>
  </si>
  <si>
    <t>SR.27.01.01.06 - Natural Catastrophe risk -Subsidence</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</si>
  <si>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</si>
  <si>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</si>
  <si>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</si>
  <si>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</si>
  <si>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</si>
  <si>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</si>
  <si>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</si>
  <si>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SR.27.01.01.14 - Man made catastrophe risk - Liability</t>
  </si>
  <si>
    <t>Earned premium following last 12 months</t>
  </si>
  <si>
    <t>SR.27.01.01.15 - Man made catastrophe risk - Liability</t>
  </si>
  <si>
    <t>SR.27.01.01.16 - Man made catastrophe risk - Credit &amp; Suretyship - Large Credit Default</t>
  </si>
  <si>
    <t>SR.27.01.01.17 - Man made catastrophe risk - Credit &amp; Suretyship - Recession Risk</t>
  </si>
  <si>
    <t>SR.27.01.01.18 - Man made catastrophe risk - Credit &amp; Suretyship</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</si>
  <si>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</si>
  <si>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</si>
  <si>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</si>
  <si>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</si>
  <si>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</si>
  <si>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</si>
  <si>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</si>
  <si>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</si>
  <si>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</si>
  <si>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</si>
  <si>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S.28.01.01.01 - Linear formula component for non-life insurance and reinsurance obligations</t>
  </si>
  <si>
    <t>MCR components</t>
  </si>
  <si>
    <t>MCRNL Result</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</si>
  <si>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</si>
  <si>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</si>
  <si>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</si>
  <si>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</si>
  <si>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</si>
  <si>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</si>
  <si>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</si>
  <si>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</si>
  <si>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</si>
  <si>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</si>
  <si>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</si>
  <si>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</si>
  <si>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</si>
  <si>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</si>
  <si>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</si>
  <si>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S.28.01.01.03 - Linear formula component for life insurance and reinsurance obligations</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</si>
  <si>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</si>
  <si>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</si>
  <si>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</si>
  <si>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</si>
  <si>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</si>
  <si>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</si>
  <si>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</si>
  <si>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</si>
  <si>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S.28.01.01.05 - Overall MCR calculation</t>
  </si>
  <si>
    <t>Linear MCR</t>
  </si>
  <si>
    <t>MCR cap</t>
  </si>
  <si>
    <t>MCR floor</t>
  </si>
  <si>
    <t>Combined MCR</t>
  </si>
  <si>
    <t>Absolute floor of the MCR</t>
  </si>
  <si>
    <t>S.28.02.01.01 - MCR components</t>
  </si>
  <si>
    <t>Non-life activities</t>
  </si>
  <si>
    <t>MCR(NL, NL) Result</t>
  </si>
  <si>
    <t>Life activities</t>
  </si>
  <si>
    <t>MCR(NL, L)Result</t>
  </si>
  <si>
    <t>Linear formula component for non-life insurance and reinsurance obligations</t>
  </si>
  <si>
    <t>S.28.02.01.02 - Background information</t>
  </si>
  <si>
    <t>Net (of reinsurance/ SPV) best estimate and TP calculated as a whole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</si>
  <si>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</si>
  <si>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</si>
  <si>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</si>
  <si>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</si>
  <si>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</si>
  <si>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</si>
  <si>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</si>
  <si>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</si>
  <si>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</si>
  <si>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</si>
  <si>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</si>
  <si>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</si>
  <si>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</si>
  <si>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</si>
  <si>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S.29.01.01.01 - Reconciliation with Own funds - Items reported in "Own funds"</t>
  </si>
  <si>
    <t>Year N</t>
  </si>
  <si>
    <t>Year N-1</t>
  </si>
  <si>
    <t>Variation</t>
  </si>
  <si>
    <t>Reconciliation reserve before deduction for participations</t>
  </si>
  <si>
    <t>Variation of total BOF items before adjustments</t>
  </si>
  <si>
    <t>S.29.01.01.02 - Variation of components of reconciliation reserve - Items reported in "Own funds"</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</si>
  <si>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</si>
  <si>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</si>
  <si>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</si>
  <si>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</si>
  <si>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Total variation of Reconciliation Reserve</t>
  </si>
  <si>
    <t>Summary Analysis of Variation of Excess of Assets over Liabilities</t>
  </si>
  <si>
    <t>Variations due to investments and financial liabilities</t>
  </si>
  <si>
    <t>Variations due to net technical provisions</t>
  </si>
  <si>
    <t>Variations in capital basic own fund items and other items approved</t>
  </si>
  <si>
    <t>Variation in Deferred Tax position</t>
  </si>
  <si>
    <t>Income Tax of the reporting period</t>
  </si>
  <si>
    <t>Dividend distribution</t>
  </si>
  <si>
    <t>Other variations in Excess of Assets over Liabilities</t>
  </si>
  <si>
    <t>S.29.01.07.01 - Reconciliation with Own funds - Items reported in "Own funds"</t>
  </si>
  <si>
    <t>S.29.02.01.01 - Excess of Assets over Liabilities - explained by investments and financial liabilities</t>
  </si>
  <si>
    <t>Of which movements in valuation with an impact on Excess of Assets over Liabilities</t>
  </si>
  <si>
    <t>Valuation movements on investments</t>
  </si>
  <si>
    <t>Valuation movements on own shares</t>
  </si>
  <si>
    <t>Valuation movements on financial liabilities and subordinated liabilities</t>
  </si>
  <si>
    <t>Of which Investments revenues and expenses with an impact on Excess of Assets over Liabilities</t>
  </si>
  <si>
    <t>Investment revenues</t>
  </si>
  <si>
    <t>Investments expenses incl. Interest charges on subordinated and financial liabilities</t>
  </si>
  <si>
    <t>Variation in Excess of Assets over Liabilities explained by Investments and financial liabilities management</t>
  </si>
  <si>
    <t>Detail of Investment revenues</t>
  </si>
  <si>
    <t>Interests</t>
  </si>
  <si>
    <t>Rents</t>
  </si>
  <si>
    <t>S.29.03.01.01 - Excess of Assets over Liabilities - explained by technical provisions</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</si>
  <si>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</si>
  <si>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</si>
  <si>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</si>
  <si>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</si>
  <si>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</si>
  <si>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</si>
  <si>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</si>
  <si>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</si>
  <si>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</si>
  <si>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</si>
  <si>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 economic assumptions - risks accepted prior to period</t>
  </si>
  <si>
    <t>Variation of Best Estimate due to changes in economic environment - risks accepted prior to period</t>
  </si>
  <si>
    <t>Other changes not elsewhere explained</t>
  </si>
  <si>
    <t>Closing Best Estimate</t>
  </si>
  <si>
    <t>S.29.03.01.02 - Reinsurance recoverables - opening and closing BE [UWY]</t>
  </si>
  <si>
    <t>LIFE - Reinsurance recoverables</t>
  </si>
  <si>
    <t>NON LIFE - Reinsurance recoverables</t>
  </si>
  <si>
    <t>S.29.03.01.03 - Analysis of movements affecting Excess of Assets over Liabilities</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</si>
  <si>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</si>
  <si>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</si>
  <si>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</si>
  <si>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</si>
  <si>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</si>
  <si>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</si>
  <si>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</si>
  <si>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S.29.03.01.04 - Reinsurance recoverables - opening and closing BE [AY]</t>
  </si>
  <si>
    <t>S.29.03.01.05 - Analysis of movements affecting Excess of Assets over Liabilities</t>
  </si>
  <si>
    <t>LIFE</t>
  </si>
  <si>
    <t>Net variation for index-linked and unit-linked business</t>
  </si>
  <si>
    <t>S.29.03.01.06 - Technical flows affecting Technical provisions</t>
  </si>
  <si>
    <t>NON LIFE</t>
  </si>
  <si>
    <t>Premiums written during the period</t>
  </si>
  <si>
    <t>Claims and Benefits during the period, net of salvages and subrogations</t>
  </si>
  <si>
    <t>Expenses (excluding Investment expenses)</t>
  </si>
  <si>
    <t>Total technical flows on gross technical provisions</t>
  </si>
  <si>
    <t>Technical flows related to reinsurance during the period (recoverables received net of premiums paid)</t>
  </si>
  <si>
    <t>S.29.03.01.07 - Variation in Excess of Assets over Liabilities explained by Technical provisions</t>
  </si>
  <si>
    <t>Gross Technical Provisions</t>
  </si>
  <si>
    <t>S.29.04.01.01 - Detailed analysis per period - Technical flows versus Technical provisions - UWY</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</si>
  <si>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</si>
  <si>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</si>
  <si>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</si>
  <si>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</si>
  <si>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</si>
  <si>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</si>
  <si>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</si>
  <si>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S.29.04.01.02 - Detailed analysis per period - Technical flows versus Technical provisions - AY</t>
  </si>
  <si>
    <t>Risks covered after the period</t>
  </si>
  <si>
    <t>Risks covered during the period</t>
  </si>
  <si>
    <t>Risks covered prior to period</t>
  </si>
  <si>
    <t>Variation of BE</t>
  </si>
  <si>
    <t>S.30.01.01.01 - Facultative covers non-life (10 most important risks in terms of reinsured exposure)</t>
  </si>
  <si>
    <t>Reinsurance program code</t>
  </si>
  <si>
    <t>Facultative reinsurance placement identification code</t>
  </si>
  <si>
    <t>Finite reinsurance or similar arrangements</t>
  </si>
  <si>
    <t>Identification of the company/person to which the risk relates</t>
  </si>
  <si>
    <t>Facultative reinsurance premium ceded to all reinsurers for 100% of the reinsurance placement</t>
  </si>
  <si>
    <t>Facultative reinsurance commission</t>
  </si>
  <si>
    <t>S.30.01.01.02 - Facultative covers life (10 most important risks in terms of reinsured exposure)</t>
  </si>
  <si>
    <t>Sum Insured</t>
  </si>
  <si>
    <t>S.30.02.01.01 - Facultative covers non-life (10 most important risks in terms of reinsured exposure)</t>
  </si>
  <si>
    <t>Code and type of code of the reinsurer</t>
  </si>
  <si>
    <t>Code and type of code of the broker</t>
  </si>
  <si>
    <t>Activity code broker</t>
  </si>
  <si>
    <t>Share reinsurer (%)</t>
  </si>
  <si>
    <t>Sum reinsured to facultative reinsurer</t>
  </si>
  <si>
    <t>Facultative ceded reinsurance premium</t>
  </si>
  <si>
    <t>Annotations</t>
  </si>
  <si>
    <t>S.30.02.01.02 - Facultative covers life (10 most important risks in terms of reinsured exposure)</t>
  </si>
  <si>
    <t>S.30.02.01.03 - Reinsurer-specific information</t>
  </si>
  <si>
    <t>Legal name reinsurer</t>
  </si>
  <si>
    <t>Type of reinsurer</t>
  </si>
  <si>
    <t>Country of residency</t>
  </si>
  <si>
    <t>External rating assessment by nominated ECAI</t>
  </si>
  <si>
    <t>S.30.02.01.04 - Broker-specific information</t>
  </si>
  <si>
    <t>Legal name broker</t>
  </si>
  <si>
    <t>S.30.03.01.01 - Outgoing Reinsurance Program basic data</t>
  </si>
  <si>
    <t>Treaty identification code</t>
  </si>
  <si>
    <t>Progressive section number in treaty</t>
  </si>
  <si>
    <t>Progressive number of surplus/layer in program</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</si>
  <si>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</si>
  <si>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</si>
  <si>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</si>
  <si>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</si>
  <si>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</si>
  <si>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</si>
  <si>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</si>
  <si>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</si>
  <si>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</si>
  <si>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</si>
  <si>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</si>
  <si>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</si>
  <si>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</si>
  <si>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Number of reinstatements</t>
  </si>
  <si>
    <t>Descriptions of reinstatements</t>
  </si>
  <si>
    <t>Maximum Reinsurance Commission</t>
  </si>
  <si>
    <t>Minimum Reinsurance Commission</t>
  </si>
  <si>
    <t>Expected Reinsurance Commission</t>
  </si>
  <si>
    <t>Maximum Overriding Commission</t>
  </si>
  <si>
    <t>Minimum Overriding Commission</t>
  </si>
  <si>
    <t>Expected Overriding Commission</t>
  </si>
  <si>
    <t>Maximum profit commission</t>
  </si>
  <si>
    <t>Minimum Profit Commission</t>
  </si>
  <si>
    <t>Expected Profit Commission</t>
  </si>
  <si>
    <t>XL rate 1</t>
  </si>
  <si>
    <t>XL rate 2</t>
  </si>
  <si>
    <t>XL premium flat</t>
  </si>
  <si>
    <t>S.30.04.01.01 - Outgoing Reinsurance Program shares data</t>
  </si>
  <si>
    <t>Code and type of code of collateral provider (if applicable)</t>
  </si>
  <si>
    <t>Exposure ceded for reinsurer's share (amount)</t>
  </si>
  <si>
    <t>Type of collateral (if applicable)</t>
  </si>
  <si>
    <t>Description of the reinsurers limit collateralised</t>
  </si>
  <si>
    <t>Estimated outgoing reinsurance premium for reinsurer's share</t>
  </si>
  <si>
    <t>Collateral provider name (if applicable)</t>
  </si>
  <si>
    <t>S.30.04.01.02 - Information on reinsurers</t>
  </si>
  <si>
    <t>S.30.04.01.03 - Broker-specific information</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</si>
  <si>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</si>
  <si>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</si>
  <si>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</si>
  <si>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</si>
  <si>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</si>
  <si>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</si>
  <si>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</si>
  <si>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</si>
  <si>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</si>
  <si>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</si>
  <si>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</si>
  <si>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S.31.01.01.02 - Information on reinsurers</t>
  </si>
  <si>
    <t>S.31.01.04.01 - Share of reinsurers</t>
  </si>
  <si>
    <t>Legal name of reinsured undertaking</t>
  </si>
  <si>
    <t>S.31.01.04.02 - Information on reinsurers</t>
  </si>
  <si>
    <t>S.31.02.01.01 - Special Purpose Vehicles</t>
  </si>
  <si>
    <t>Internal code and type of code of the SPV</t>
  </si>
  <si>
    <t>ID Code and type of code of SPV notes or other financing mechanism issued</t>
  </si>
  <si>
    <t>Lines of Business SPV securitisation relates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</si>
  <si>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</si>
  <si>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</si>
  <si>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</si>
  <si>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</si>
  <si>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</si>
  <si>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</si>
  <si>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</si>
  <si>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</si>
  <si>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</si>
  <si>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</si>
  <si>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</si>
  <si>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</si>
  <si>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</si>
  <si>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S.31.02.01.02 - Information on SPV</t>
  </si>
  <si>
    <t>Legal nature of SPV</t>
  </si>
  <si>
    <t>Name of SPV</t>
  </si>
  <si>
    <t>Incorporation no. of SPV</t>
  </si>
  <si>
    <t>SPV country of authorisation</t>
  </si>
  <si>
    <t>SPV authorisation conditions</t>
  </si>
  <si>
    <t>S.31.02.04.01 - Special Purpose Vehicles</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</si>
  <si>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</si>
  <si>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</si>
  <si>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</si>
  <si>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</si>
  <si>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</si>
  <si>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</si>
  <si>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</si>
  <si>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</si>
  <si>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</si>
  <si>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</si>
  <si>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</si>
  <si>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or insurance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</si>
  <si>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</si>
  <si>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</si>
  <si>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</si>
  <si>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</si>
  <si>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</si>
  <si>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</si>
  <si>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</si>
  <si>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</si>
  <si>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</si>
  <si>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</si>
  <si>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</si>
  <si>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</si>
  <si>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</si>
  <si>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</si>
  <si>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</si>
  <si>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S.32.01.22.01 - Undertakings in the scope of the group</t>
  </si>
  <si>
    <t>S.33.01.04.01 - Insurance and Reinsurance individual requirements</t>
  </si>
  <si>
    <t>Entity Level/RFF or MAP/ Remaining Part</t>
  </si>
  <si>
    <t>Fund Number</t>
  </si>
  <si>
    <t>EEA and non EEA insurance and reinsurance undertakings (using SII rules) included only via D&amp;A</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</si>
  <si>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</si>
  <si>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</si>
  <si>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</si>
  <si>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</si>
  <si>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</si>
  <si>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</si>
  <si>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</si>
  <si>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</si>
  <si>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</si>
  <si>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</si>
  <si>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</si>
  <si>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</si>
  <si>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</si>
  <si>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</si>
  <si>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</si>
  <si>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</si>
  <si>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</si>
  <si>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</si>
  <si>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</si>
  <si>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</si>
  <si>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</si>
  <si>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</si>
  <si>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</si>
  <si>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</si>
  <si>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S.34.01.04.01 - Other regulated and non-regulated financial undertakings including insurance holding companies and mixed financial holding company individual requirements</t>
  </si>
  <si>
    <t>Aggregated or not</t>
  </si>
  <si>
    <t>Type of capital requirement</t>
  </si>
  <si>
    <t>Notional SCR or Sectoral capital requirement</t>
  </si>
  <si>
    <t>Notional MCR or Sectoral minimum capital requirement</t>
  </si>
  <si>
    <t>Notional or Sectoral Eligible Own Funds</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</si>
  <si>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</si>
  <si>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</si>
  <si>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</si>
  <si>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</si>
  <si>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</si>
  <si>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</si>
  <si>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</si>
  <si>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</si>
  <si>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</si>
  <si>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</si>
  <si>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</si>
  <si>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</si>
  <si>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</si>
  <si>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</si>
  <si>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</si>
  <si>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S.36.01.01.01 - IGT - Equity-type transactions, debt and asset transfer</t>
  </si>
  <si>
    <t>ID of intragroup transaction</t>
  </si>
  <si>
    <t>ID code and type of code of the instrument</t>
  </si>
  <si>
    <t>Identification code and type of code for investor/ lender</t>
  </si>
  <si>
    <t>Identification code and type of code for issuer / borrower</t>
  </si>
  <si>
    <t>Investor/ lender name</t>
  </si>
  <si>
    <t>Issuer/ borrower name</t>
  </si>
  <si>
    <t>Transaction type</t>
  </si>
  <si>
    <t>Transaction Issue date</t>
  </si>
  <si>
    <t>Maturity date of transaction</t>
  </si>
  <si>
    <t>Currency of transaction</t>
  </si>
  <si>
    <t>Contractual amount of transaction/ Transaction price</t>
  </si>
  <si>
    <t>Value of collateral/ asset</t>
  </si>
  <si>
    <t>Amount of redemptions/ prepayments/ paybacks during reporting period</t>
  </si>
  <si>
    <t>Amount of dividends/ interest/ coupon and other payments made during reporting period</t>
  </si>
  <si>
    <t>Balance of contractual amount of transaction at reporting date</t>
  </si>
  <si>
    <t>Coupon/ Interest rate</t>
  </si>
  <si>
    <t>S.36.02.01.01 - IGT - Derivatives</t>
  </si>
  <si>
    <t>Identification code and type of code of investor / buyer</t>
  </si>
  <si>
    <t>Identification code and type of code of the issuer / seller</t>
  </si>
  <si>
    <t>Investor/ Buyer</t>
  </si>
  <si>
    <t>Issuer/ Seller name</t>
  </si>
  <si>
    <t>Transaction Trade date</t>
  </si>
  <si>
    <t>Notional amount at transaction date</t>
  </si>
  <si>
    <t>Notional amount at reporting date</t>
  </si>
  <si>
    <t>Value of collateral</t>
  </si>
  <si>
    <t>Options, futures, forwards and other derivatives</t>
  </si>
  <si>
    <t>Use of derivatives (by buyer)</t>
  </si>
  <si>
    <t>Identification code and type of code Asset / Liability underlying the derivative</t>
  </si>
  <si>
    <t>Credit protection - CDS and Guarantees</t>
  </si>
  <si>
    <t>Counterparty name for which credit protection is purchased</t>
  </si>
  <si>
    <t>Swap delivered interest rate (for buyer)</t>
  </si>
  <si>
    <t>Swap received interest rate (for buyer)</t>
  </si>
  <si>
    <t>Swap delivered currency (for buyer)</t>
  </si>
  <si>
    <t>Swap received currency (for buyer)</t>
  </si>
  <si>
    <t>S.36.03.01.01 - IGT - Internal reinsurance</t>
  </si>
  <si>
    <t>Identification code and type of code of cedent</t>
  </si>
  <si>
    <t>Identification code and type of code of reinsurer</t>
  </si>
  <si>
    <t>Name of cedent</t>
  </si>
  <si>
    <t>Name of reinsurer</t>
  </si>
  <si>
    <t>Currency of contract/treaty</t>
  </si>
  <si>
    <t>Type of reinsurance contract/treaty</t>
  </si>
  <si>
    <t>Maximum cover by reinsurer under contract/treaty</t>
  </si>
  <si>
    <t>Net Receivables</t>
  </si>
  <si>
    <t>Total reinsurance recoverables</t>
  </si>
  <si>
    <t>Reinsurance result (for reinsured entity)</t>
  </si>
  <si>
    <t>S.36.04.01.01 - IGT - Cost Sharing, contingent liabilities, off BS and other items</t>
  </si>
  <si>
    <t>Identification code and type of code of the Investor/ Buyer/ Beneficiary</t>
  </si>
  <si>
    <t>Identification code and type of code of the Issuer/ Seller/ Provider</t>
  </si>
  <si>
    <t>Investor/ Buyer/ Beneficiary name</t>
  </si>
  <si>
    <t>Issuer/ Seller/ Provider name</t>
  </si>
  <si>
    <t>Effective date of agreement/ contract underlying transaction</t>
  </si>
  <si>
    <t>Expiry date of agreement/ contract underlying transaction</t>
  </si>
  <si>
    <t>Trigger event</t>
  </si>
  <si>
    <t>Value of transaction/ collateral / Guarantee</t>
  </si>
  <si>
    <t>Maximum possible value of contingent liabilities</t>
  </si>
  <si>
    <t>Maximum possible value of contingent liabilities not included in Solvency II Balance Sheet</t>
  </si>
  <si>
    <t>Maximum value of letters of credit/ guarantees</t>
  </si>
  <si>
    <t>Value of guaranteed assets</t>
  </si>
  <si>
    <t>S.37.01.04.01 - Risk concentration</t>
  </si>
  <si>
    <t>Identification code and type of code of the counterparty of the group</t>
  </si>
  <si>
    <t>Identification code and type of code of the group entity</t>
  </si>
  <si>
    <t>Identification code and type of code of the exposure</t>
  </si>
  <si>
    <t>Name of the external counterparty</t>
  </si>
  <si>
    <t>Country of the exposure</t>
  </si>
  <si>
    <t>Nature of the exposure</t>
  </si>
  <si>
    <t>External Rating</t>
  </si>
  <si>
    <t>C0091</t>
  </si>
  <si>
    <t>Sector</t>
  </si>
  <si>
    <t>Group entity subject to the exposure</t>
  </si>
  <si>
    <t>Maturity (asset side)/ Validity (liability side)</t>
  </si>
  <si>
    <t>Value of the exposure</t>
  </si>
  <si>
    <t>Maximum amount to be paid by the reinsurer</t>
  </si>
  <si>
    <t>S.38.01.10.01 - Duration of technical provisions</t>
  </si>
  <si>
    <t>Duration of technical provisions, Life excluding unit-linked</t>
  </si>
  <si>
    <t>Duration of technical provisions, Non-Life</t>
  </si>
  <si>
    <t>S.39.01.11.01 - Profit and Loss</t>
  </si>
  <si>
    <t>Statutory Accounting: Profit &amp; Loss</t>
  </si>
  <si>
    <t>S.40.01.10.01 - Profit or Loss sharing</t>
  </si>
  <si>
    <t>Discretionary benefits (profit or loss sharing) allocated to policyholders</t>
  </si>
  <si>
    <t>S.41.01.11.01 - Lapses</t>
  </si>
  <si>
    <t>Lapse/surrender rate contracts</t>
  </si>
  <si>
    <t>Lapse/surrender rate volume</t>
  </si>
  <si>
    <t>E.01.01.16.01 - Deposits to cedants - line-by-line reporting</t>
  </si>
  <si>
    <t>Line identification code</t>
  </si>
  <si>
    <t>EC0010</t>
  </si>
  <si>
    <t>Issuer country</t>
  </si>
  <si>
    <t>EC0020</t>
  </si>
  <si>
    <t>EC0030</t>
  </si>
  <si>
    <t>EC0040</t>
  </si>
  <si>
    <t>EC0050</t>
  </si>
  <si>
    <t>EC0060</t>
  </si>
  <si>
    <t>E.02.01.16.01 - Pension entitlements</t>
  </si>
  <si>
    <t>Gross TP as a whole and Gross Best Estimate</t>
  </si>
  <si>
    <t>ER0010</t>
  </si>
  <si>
    <t>of which: Pillar II pension entitlements</t>
  </si>
  <si>
    <t>ER0020</t>
  </si>
  <si>
    <t>Pillar II defined benefit pension entitlements</t>
  </si>
  <si>
    <t>Pillar II defined contribution pension entitlements</t>
  </si>
  <si>
    <t>ER0040</t>
  </si>
  <si>
    <t>Pillar II hybrid pension entitlements</t>
  </si>
  <si>
    <t>ER0050</t>
  </si>
  <si>
    <t>E.03.01.16.01 - Non-life Technical Provisions - reinsurance policies - Geographical zone</t>
  </si>
  <si>
    <t>E.03.01.16.02 - Non-life Technical Provisions - reinsurance policies - By country</t>
  </si>
  <si>
    <t>SPV.01.01.20.01 - Content of the submission</t>
  </si>
  <si>
    <t>SPV.01.02.20 - Basic Information</t>
  </si>
  <si>
    <t>SPV.02.01.20 - Balance sheet</t>
  </si>
  <si>
    <t>SPV.02.02.20 - Off-balance sheet</t>
  </si>
  <si>
    <t>SPV.03.01.20 - Risks assumed</t>
  </si>
  <si>
    <t>SPV.03.02.20 - Debt or other financing mechanism</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</si>
  <si>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</si>
  <si>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</si>
  <si>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</si>
  <si>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</si>
  <si>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</si>
  <si>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</si>
  <si>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</si>
  <si>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</si>
  <si>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</si>
  <si>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</si>
  <si>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</si>
  <si>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</si>
  <si>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</si>
  <si>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</si>
  <si>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</si>
  <si>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</si>
  <si>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</si>
  <si>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</si>
  <si>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</si>
  <si>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</si>
  <si>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</si>
  <si>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</si>
  <si>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</si>
  <si>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</si>
  <si>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SPV.02.01.20.02 - Description of items</t>
  </si>
  <si>
    <t>Other material classes of assets</t>
  </si>
  <si>
    <t>SPV.02.01.20.03 - Description of items</t>
  </si>
  <si>
    <t>Other material classes of liabilities</t>
  </si>
  <si>
    <t>SPV.02.01.20.04 - Description of items</t>
  </si>
  <si>
    <t>Material Equity item</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</si>
  <si>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</si>
  <si>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</si>
  <si>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</si>
  <si>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</si>
  <si>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</si>
  <si>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</si>
  <si>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</si>
  <si>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SPV.02.02.20.02 - Off-balance sheet items. Description of items</t>
  </si>
  <si>
    <t>Off-balance sheet item</t>
  </si>
  <si>
    <t>SPV.02.02.20.03 - Off-balance sheet obligations. Description of items</t>
  </si>
  <si>
    <t>Off-balance sheet obligation</t>
  </si>
  <si>
    <t>SPV.03.01.20.01 - Assets held for separable risk</t>
  </si>
  <si>
    <t>Aggregate maximum risk exposure per arrangement</t>
  </si>
  <si>
    <t>Assets held for separable risk</t>
  </si>
  <si>
    <t>SPV.03.01.20.02 - Arrangements</t>
  </si>
  <si>
    <t>Arrangement</t>
  </si>
  <si>
    <t>Date of issuance</t>
  </si>
  <si>
    <t>Issues / uses commenced prior to implementation of Directive 2009/138/EC</t>
  </si>
  <si>
    <t>Name of cedant</t>
  </si>
  <si>
    <t>Cedant code and type of code</t>
  </si>
  <si>
    <t>Compliance with the fully funded requirement for the arrangement throughout the reporting period</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</si>
  <si>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</si>
  <si>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</si>
  <si>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</si>
  <si>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</si>
  <si>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T.99.01.01.01 - Technical table</t>
  </si>
  <si>
    <t>Table</t>
  </si>
  <si>
    <t>X axis</t>
  </si>
  <si>
    <t>Y axis</t>
  </si>
  <si>
    <t>Z axis</t>
  </si>
  <si>
    <t>Comment</t>
  </si>
  <si>
    <t>Monetary</t>
  </si>
  <si>
    <t>String</t>
  </si>
  <si>
    <t>Date</t>
  </si>
  <si>
    <t>Integer</t>
  </si>
  <si>
    <t>Decimal</t>
  </si>
  <si>
    <t>Pure</t>
  </si>
  <si>
    <t>Boolean</t>
  </si>
  <si>
    <t>2.6.0.1</t>
  </si>
  <si>
    <t>0451406524</t>
  </si>
  <si>
    <t>One Gate</t>
  </si>
  <si>
    <t>ann.rombaut@ageas.com</t>
  </si>
  <si>
    <t>KBO</t>
  </si>
  <si>
    <t>INS</t>
  </si>
  <si>
    <t>Not Reported</t>
  </si>
  <si>
    <t xml:space="preserve">   Gross Expenses Incurred (direct)</t>
  </si>
  <si>
    <t xml:space="preserve">   Gross Expenses Incurred (proportional reinsurance)</t>
  </si>
  <si>
    <t xml:space="preserve">   Gross Expenses Incurred (non-proportional reinsurance)</t>
  </si>
  <si>
    <t>Protection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</si>
</sst>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0" tint="-4.9989318521683403E-2"/>
      <name val="Calibri"/>
      <family val="2"/>
      <scheme val="minor"/>
    </font>
    <font>
      <sz val="11"/>
      <color theme="1"/>
      <name val="Raleway"/>
      <family val="2"/>
    </font>
    <font>
      <i/>
      <sz val="10"/>
      <color theme="1"/>
      <name val="Calibri"/>
      <family val="2"/>
      <scheme val="minor"/>
    </font>
    <font>
      <sz val="10"/>
      <color theme="1"/>
      <name val="Arial Unicode MS"/>
      <family val="2"/>
    </font>
    <font>
      <b/>
      <sz val="18"/>
      <color theme="1" tint="0.34998626667073579"/>
      <name val="Calibri"/>
      <family val="2"/>
      <scheme val="minor"/>
    </font>
    <font>
      <b/>
      <sz val="18"/>
      <color theme="0" tint="-4.9989318521683403E-2"/>
      <name val="Calibri"/>
      <family val="2"/>
      <scheme val="minor"/>
    </font>
    <font>
      <b/>
      <sz val="11"/>
      <color theme="1" tint="0.34998626667073579"/>
      <name val="Calibri"/>
      <family val="2"/>
      <scheme val="minor"/>
    </font>
    <font>
      <sz val="11"/>
      <color theme="1" tint="0.34998626667073579"/>
      <name val="Calibri"/>
      <family val="2"/>
      <scheme val="minor"/>
    </font>
    <font>
      <sz val="12"/>
      <color rgb="FF14618A"/>
      <name val="Calibri"/>
      <family val="2"/>
      <scheme val="minor"/>
    </font>
    <font>
      <b/>
      <sz val="12"/>
      <color rgb="FF14618A"/>
      <name val="Calibri"/>
      <family val="2"/>
      <scheme val="minor"/>
    </font>
    <font>
      <b/>
      <sz val="18"/>
      <color theme="1"/>
      <name val="Calibri"/>
      <family val="2"/>
      <scheme val="minor"/>
    </font>
    <font>
      <u/>
      <sz val="11"/>
      <color theme="10"/>
      <name val="Calibri"/>
      <family val="2"/>
      <scheme val="minor"/>
    </font>
    <font>
      <b/>
      <sz val="14"/>
      <color rgb="FF1F4E78"/>
      <name val="Calibri"/>
      <family val="2"/>
      <scheme val="minor"/>
    </font>
    <font>
      <b/>
      <sz val="11"/>
      <color rgb="FFFFFFFF"/>
      <name val="Calibri"/>
      <family val="2"/>
      <scheme val="minor"/>
    </font>
    <font>
      <b/>
      <sz val="11"/>
      <color rgb="FFFF0000"/>
      <name val="Calibri"/>
      <family val="2"/>
      <scheme val="minor"/>
    </font>
    <font>
      <sz val="9"/>
      <color indexed="81"/>
      <name val="Tahoma"/>
      <family val="2"/>
    </font>
  </fonts>
  <fills count="10">
    <fill>
      <patternFill patternType="none"/>
    </fill>
    <fill>
      <patternFill patternType="gray125"/>
    </fill>
    <fill>
      <gradientFill type="path" top="1" bottom="1">
        <stop position="0">
          <color rgb="FF407EA1"/>
        </stop>
        <stop position="1">
          <color rgb="FF14618A"/>
        </stop>
      </gradientFill>
    </fill>
    <fill>
      <patternFill patternType="solid">
        <fgColor theme="0"/>
        <bgColor indexed="64"/>
      </patternFill>
    </fill>
    <fill>
      <patternFill patternType="solid">
        <fgColor theme="8" tint="-0.249977111117893"/>
        <bgColor indexed="64"/>
      </patternFill>
    </fill>
    <fill>
      <patternFill patternType="solid">
        <fgColor rgb="FFF2F2F2"/>
        <bgColor indexed="64"/>
      </patternFill>
    </fill>
    <fill>
      <patternFill patternType="solid">
        <fgColor rgb="FF2F75B5"/>
        <bgColor indexed="64"/>
      </patternFill>
    </fill>
    <fill>
      <patternFill patternType="solid">
        <fgColor rgb="FFA6A6A6"/>
        <bgColor indexed="64"/>
      </patternFill>
    </fill>
    <fill>
      <patternFill patternType="solid">
        <fgColor rgb="FFFFFFFF"/>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medium">
        <color rgb="FF145C87"/>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rgb="FF000000"/>
      </diagonal>
    </border>
    <border diagonalUp="1" diagonalDown="1">
      <left style="thin">
        <color indexed="64"/>
      </left>
      <right style="thin">
        <color indexed="64"/>
      </right>
      <top style="thin">
        <color indexed="64"/>
      </top>
      <bottom/>
      <diagonal style="thin">
        <color rgb="FF000000"/>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diagonalUp="1" diagonalDown="1">
      <left style="thin">
        <color indexed="64"/>
      </left>
      <right/>
      <top style="thin">
        <color indexed="64"/>
      </top>
      <bottom style="thin">
        <color indexed="64"/>
      </bottom>
      <diagonal style="thin">
        <color rgb="FF000000"/>
      </diagonal>
    </border>
    <border diagonalUp="1" diagonalDown="1">
      <left/>
      <right style="thin">
        <color indexed="64"/>
      </right>
      <top style="thin">
        <color indexed="64"/>
      </top>
      <bottom style="thin">
        <color indexed="64"/>
      </bottom>
      <diagonal style="thin">
        <color rgb="FF000000"/>
      </diagonal>
    </border>
    <border diagonalUp="1" diagonalDown="1">
      <left style="thin">
        <color indexed="64"/>
      </left>
      <right/>
      <top style="thin">
        <color indexed="64"/>
      </top>
      <bottom/>
      <diagonal style="thin">
        <color rgb="FF000000"/>
      </diagonal>
    </border>
    <border diagonalUp="1" diagonalDown="1">
      <left/>
      <right style="thin">
        <color indexed="64"/>
      </right>
      <top style="thin">
        <color indexed="64"/>
      </top>
      <bottom/>
      <diagonal style="thin">
        <color rgb="FF000000"/>
      </diagonal>
    </border>
    <border diagonalUp="1" diagonalDown="1">
      <left/>
      <right/>
      <top style="thin">
        <color indexed="64"/>
      </top>
      <bottom style="thin">
        <color indexed="64"/>
      </bottom>
      <diagonal style="thin">
        <color rgb="FF000000"/>
      </diagonal>
    </border>
    <border diagonalUp="1" diagonalDown="1">
      <left/>
      <right/>
      <top style="thin">
        <color indexed="64"/>
      </top>
      <bottom/>
      <diagonal style="thin">
        <color rgb="FF000000"/>
      </diagonal>
    </border>
  </borders>
  <cellStyleXfs count="4">
    <xf numFmtId="0" fontId="0" fillId="0" borderId="0"/>
    <xf numFmtId="0" fontId="1" fillId="0" borderId="0"/>
    <xf numFmtId="0" fontId="17" fillId="0" borderId="0" applyNumberFormat="0" applyFill="0" applyBorder="0" applyAlignment="0" applyProtection="0"/>
    <xf numFmtId="9" fontId="1" fillId="0" borderId="0" applyFont="0" applyFill="0" applyBorder="0" applyAlignment="0" applyProtection="0"/>
  </cellStyleXfs>
  <cellXfs count="112">
    <xf numFmtId="0" fontId="0" fillId="0" borderId="0" xfId="0"/>
    <xf numFmtId="0" fontId="6" fillId="0" borderId="0" xfId="0" applyFont="1"/>
    <xf numFmtId="0" fontId="1" fillId="0" borderId="0" xfId="0" applyFont="1"/>
    <xf numFmtId="0" fontId="1" fillId="0" borderId="0" xfId="0" applyFont="1" applyAlignment="1">
      <alignment horizontal="right"/>
    </xf>
    <xf numFmtId="0" fontId="8" fillId="0" borderId="0" xfId="0" applyFont="1" applyAlignment="1">
      <alignment horizontal="right"/>
    </xf>
    <xf numFmtId="0" fontId="8" fillId="0" borderId="0" xfId="0" applyFont="1"/>
    <xf numFmtId="0" fontId="9" fillId="0" borderId="1" xfId="1" applyFont="1" applyBorder="1" applyAlignment="1">
      <alignment horizontal="center" vertical="top"/>
    </xf>
    <xf numFmtId="0" fontId="1" fillId="0" borderId="0" xfId="0" quotePrefix="1" applyFont="1"/>
    <xf numFmtId="0" fontId="9" fillId="0" borderId="1" xfId="0" applyFont="1" applyBorder="1" applyAlignment="1">
      <alignment horizontal="center" vertical="top"/>
    </xf>
    <xf numFmtId="0" fontId="10" fillId="0" borderId="2" xfId="0" applyFont="1" applyBorder="1"/>
    <xf numFmtId="0" fontId="1" fillId="0" borderId="2" xfId="0" applyFont="1" applyBorder="1" applyAlignment="1">
      <alignment horizontal="right"/>
    </xf>
    <xf numFmtId="0" fontId="10" fillId="0" borderId="0" xfId="0" applyFont="1"/>
    <xf numFmtId="0" fontId="11" fillId="0" borderId="0" xfId="0" applyFont="1"/>
    <xf numFmtId="0" fontId="3" fillId="0" borderId="0" xfId="0" applyFont="1"/>
    <xf numFmtId="0" fontId="3" fillId="0" borderId="0" xfId="0" applyFont="1" applyAlignment="1">
      <alignment horizontal="right"/>
    </xf>
    <xf numFmtId="0" fontId="12" fillId="0" borderId="0" xfId="0" applyFont="1"/>
    <xf numFmtId="0" fontId="13" fillId="0" borderId="0" xfId="0" applyFont="1"/>
    <xf numFmtId="0" fontId="13" fillId="3" borderId="1" xfId="0" applyFont="1" applyFill="1" applyBorder="1" applyAlignment="1" applyProtection="1">
      <alignment horizontal="right" indent="1"/>
      <protection locked="0"/>
    </xf>
    <xf numFmtId="0" fontId="4" fillId="0" borderId="0" xfId="0" applyFont="1"/>
    <xf numFmtId="0" fontId="4" fillId="0" borderId="0" xfId="0" applyFont="1" applyAlignment="1">
      <alignment horizontal="right"/>
    </xf>
    <xf numFmtId="0" fontId="13" fillId="0" borderId="0" xfId="0" applyFont="1" applyAlignment="1">
      <alignment horizontal="right"/>
    </xf>
    <xf numFmtId="14" fontId="13" fillId="3" borderId="1" xfId="0" applyNumberFormat="1" applyFont="1" applyFill="1" applyBorder="1" applyAlignment="1" applyProtection="1">
      <alignment horizontal="right" indent="1"/>
      <protection locked="0"/>
    </xf>
    <xf numFmtId="14" fontId="1" fillId="0" borderId="0" xfId="0" applyNumberFormat="1" applyFont="1"/>
    <xf numFmtId="0" fontId="13" fillId="0" borderId="1" xfId="0" applyFont="1" applyBorder="1" applyAlignment="1" applyProtection="1">
      <alignment horizontal="right"/>
      <protection locked="0"/>
    </xf>
    <xf numFmtId="0" fontId="1" fillId="0" borderId="0" xfId="0" applyFont="1" applyAlignment="1">
      <alignment horizontal="left"/>
    </xf>
    <xf numFmtId="0" fontId="13" fillId="0" borderId="2" xfId="0" applyFont="1" applyBorder="1" applyAlignment="1">
      <alignment horizontal="right"/>
    </xf>
    <xf numFmtId="0" fontId="13" fillId="3" borderId="0" xfId="0" applyFont="1" applyFill="1" applyAlignment="1" applyProtection="1">
      <alignment horizontal="right" indent="1"/>
      <protection locked="0"/>
    </xf>
    <xf numFmtId="0" fontId="12" fillId="0" borderId="0" xfId="0" applyFont="1" applyAlignment="1">
      <alignment vertical="center"/>
    </xf>
    <xf numFmtId="0" fontId="1" fillId="0" borderId="0" xfId="0" applyFont="1" applyAlignment="1">
      <alignment vertical="center"/>
    </xf>
    <xf numFmtId="0" fontId="13" fillId="3" borderId="1" xfId="0" applyFont="1" applyFill="1" applyBorder="1" applyAlignment="1" applyProtection="1">
      <alignment horizontal="right" vertical="center" indent="1"/>
      <protection locked="0"/>
    </xf>
    <xf numFmtId="0" fontId="3" fillId="0" borderId="0" xfId="0" applyFont="1" applyAlignment="1">
      <alignment horizontal="right" vertical="center"/>
    </xf>
    <xf numFmtId="0" fontId="14" fillId="0" borderId="0" xfId="0" applyFont="1" applyAlignment="1">
      <alignment horizontal="left" vertical="center" indent="1"/>
    </xf>
    <xf numFmtId="0" fontId="14" fillId="0" borderId="0" xfId="0" applyFont="1" applyAlignment="1">
      <alignment vertical="center"/>
    </xf>
    <xf numFmtId="0" fontId="0" fillId="0" borderId="0" xfId="0" applyAlignment="1">
      <alignment vertical="top" wrapText="1"/>
    </xf>
    <xf numFmtId="0" fontId="0" fillId="0" borderId="0" xfId="0" quotePrefix="1"/>
    <xf numFmtId="0" fontId="0" fillId="0" borderId="4" xfId="0" applyBorder="1" applyAlignment="1">
      <alignment vertical="top" wrapText="1"/>
    </xf>
    <xf numFmtId="0" fontId="2" fillId="4" borderId="5" xfId="0" applyFont="1" applyFill="1" applyBorder="1" applyAlignment="1">
      <alignment vertical="top" wrapText="1"/>
    </xf>
    <xf numFmtId="0" fontId="17" fillId="0" borderId="5" xfId="2" applyBorder="1" applyAlignment="1">
      <alignment vertical="top" wrapText="1"/>
    </xf>
    <xf numFmtId="0" fontId="0" fillId="0" borderId="5" xfId="0" applyBorder="1" applyAlignment="1">
      <alignment vertical="top" wrapText="1"/>
    </xf>
    <xf numFmtId="0" fontId="0" fillId="0" borderId="5" xfId="0" applyBorder="1" applyAlignment="1" applyProtection="1">
      <alignment vertical="top" wrapText="1"/>
      <protection locked="0"/>
    </xf>
    <xf numFmtId="0" fontId="0" fillId="5" borderId="1" xfId="0" applyFill="1" applyBorder="1"/>
    <xf numFmtId="0" fontId="19" fillId="6" borderId="1" xfId="0" quotePrefix="1" applyFont="1" applyFill="1" applyBorder="1"/>
    <xf numFmtId="0" fontId="19" fillId="6" borderId="1" xfId="0" quotePrefix="1" applyFont="1" applyFill="1" applyBorder="1" applyAlignment="1">
      <alignment horizontal="center"/>
    </xf>
    <xf numFmtId="0" fontId="0" fillId="5" borderId="1" xfId="0" applyFill="1" applyBorder="1" applyAlignment="1">
      <alignment wrapText="1"/>
    </xf>
    <xf numFmtId="0" fontId="19" fillId="6" borderId="6" xfId="0" quotePrefix="1" applyFont="1" applyFill="1" applyBorder="1"/>
    <xf numFmtId="0" fontId="19" fillId="6" borderId="5" xfId="0" quotePrefix="1" applyFont="1" applyFill="1" applyBorder="1" applyAlignment="1">
      <alignment horizontal="center"/>
    </xf>
    <xf numFmtId="0" fontId="0" fillId="7" borderId="12" xfId="0" applyFill="1" applyBorder="1"/>
    <xf numFmtId="0" fontId="0" fillId="5" borderId="1" xfId="0" applyFill="1" applyBorder="1" applyAlignment="1">
      <alignment horizontal="left" wrapText="1" indent="2"/>
    </xf>
    <xf numFmtId="0" fontId="0" fillId="7" borderId="13" xfId="0" applyFill="1" applyBorder="1"/>
    <xf numFmtId="0" fontId="0" fillId="5" borderId="1" xfId="0" applyFill="1" applyBorder="1" applyAlignment="1">
      <alignment horizontal="left" wrapText="1" indent="3"/>
    </xf>
    <xf numFmtId="0" fontId="0" fillId="8" borderId="1" xfId="0" applyFill="1" applyBorder="1" applyProtection="1">
      <protection locked="0"/>
    </xf>
    <xf numFmtId="0" fontId="0" fillId="8" borderId="1" xfId="0" applyFill="1" applyBorder="1" applyAlignment="1" applyProtection="1">
      <alignment wrapText="1"/>
      <protection locked="0"/>
    </xf>
    <xf numFmtId="0" fontId="17" fillId="5" borderId="1" xfId="2" applyFill="1" applyBorder="1" applyAlignment="1">
      <alignment horizontal="left" wrapText="1" indent="3"/>
    </xf>
    <xf numFmtId="0" fontId="19" fillId="6" borderId="1" xfId="0" applyFont="1" applyFill="1" applyBorder="1"/>
    <xf numFmtId="164" fontId="0" fillId="8" borderId="1" xfId="0" applyNumberFormat="1" applyFill="1" applyBorder="1" applyProtection="1">
      <protection locked="0"/>
    </xf>
    <xf numFmtId="0" fontId="0" fillId="5" borderId="1" xfId="0" applyFill="1" applyBorder="1" applyAlignment="1">
      <alignment horizontal="center" vertical="center" wrapText="1"/>
    </xf>
    <xf numFmtId="0" fontId="0" fillId="7" borderId="17" xfId="0" applyFill="1" applyBorder="1"/>
    <xf numFmtId="0" fontId="0" fillId="7" borderId="18" xfId="0" applyFill="1" applyBorder="1"/>
    <xf numFmtId="0" fontId="0" fillId="7" borderId="19" xfId="0" applyFill="1" applyBorder="1"/>
    <xf numFmtId="0" fontId="0" fillId="7" borderId="20" xfId="0" applyFill="1" applyBorder="1"/>
    <xf numFmtId="4" fontId="0" fillId="8" borderId="1" xfId="0" applyNumberFormat="1" applyFill="1" applyBorder="1" applyProtection="1">
      <protection locked="0"/>
    </xf>
    <xf numFmtId="0" fontId="0" fillId="5" borderId="1" xfId="0" applyFill="1" applyBorder="1" applyAlignment="1">
      <alignment horizontal="left" wrapText="1" indent="4"/>
    </xf>
    <xf numFmtId="0" fontId="0" fillId="5" borderId="1" xfId="0" applyFill="1" applyBorder="1" applyAlignment="1">
      <alignment horizontal="left" wrapText="1" indent="5"/>
    </xf>
    <xf numFmtId="4" fontId="0" fillId="8" borderId="5" xfId="0" applyNumberFormat="1" applyFill="1" applyBorder="1" applyProtection="1">
      <protection locked="0"/>
    </xf>
    <xf numFmtId="4" fontId="0" fillId="8" borderId="6" xfId="0" applyNumberFormat="1" applyFill="1" applyBorder="1" applyProtection="1">
      <protection locked="0"/>
    </xf>
    <xf numFmtId="4" fontId="0" fillId="8" borderId="3" xfId="0" applyNumberFormat="1" applyFill="1" applyBorder="1" applyProtection="1">
      <protection locked="0"/>
    </xf>
    <xf numFmtId="0" fontId="0" fillId="7" borderId="21" xfId="0" applyFill="1" applyBorder="1"/>
    <xf numFmtId="0" fontId="0" fillId="7" borderId="22" xfId="0" applyFill="1" applyBorder="1"/>
    <xf numFmtId="0" fontId="0" fillId="8" borderId="5" xfId="0" applyFill="1" applyBorder="1" applyAlignment="1" applyProtection="1">
      <alignment wrapText="1"/>
      <protection locked="0"/>
    </xf>
    <xf numFmtId="2" fontId="0" fillId="8" borderId="1" xfId="0" applyNumberFormat="1" applyFill="1" applyBorder="1" applyProtection="1">
      <protection locked="0"/>
    </xf>
    <xf numFmtId="10" fontId="0" fillId="8" borderId="1" xfId="0" applyNumberFormat="1" applyFill="1" applyBorder="1" applyProtection="1">
      <protection locked="0"/>
    </xf>
    <xf numFmtId="10" fontId="0" fillId="8" borderId="6" xfId="0" applyNumberFormat="1" applyFill="1" applyBorder="1" applyProtection="1">
      <protection locked="0"/>
    </xf>
    <xf numFmtId="0" fontId="0" fillId="5" borderId="1" xfId="0" applyFill="1" applyBorder="1" applyAlignment="1">
      <alignment horizontal="left" wrapText="1" indent="6"/>
    </xf>
    <xf numFmtId="0" fontId="0" fillId="8" borderId="6" xfId="0" applyFill="1" applyBorder="1" applyProtection="1">
      <protection locked="0"/>
    </xf>
    <xf numFmtId="0" fontId="0" fillId="8" borderId="5" xfId="0" applyFill="1" applyBorder="1" applyProtection="1">
      <protection locked="0"/>
    </xf>
    <xf numFmtId="0" fontId="0" fillId="8" borderId="3" xfId="0" applyFill="1" applyBorder="1" applyProtection="1">
      <protection locked="0"/>
    </xf>
    <xf numFmtId="10" fontId="0" fillId="8" borderId="5" xfId="0" applyNumberFormat="1" applyFill="1" applyBorder="1" applyProtection="1">
      <protection locked="0"/>
    </xf>
    <xf numFmtId="0" fontId="0" fillId="5" borderId="11" xfId="0" applyFill="1" applyBorder="1" applyAlignment="1">
      <alignment horizontal="center" vertical="center" wrapText="1"/>
    </xf>
    <xf numFmtId="10" fontId="0" fillId="8" borderId="3" xfId="0" applyNumberFormat="1" applyFill="1" applyBorder="1" applyProtection="1">
      <protection locked="0"/>
    </xf>
    <xf numFmtId="2" fontId="0" fillId="8" borderId="6" xfId="0" applyNumberFormat="1" applyFill="1" applyBorder="1" applyProtection="1">
      <protection locked="0"/>
    </xf>
    <xf numFmtId="2" fontId="0" fillId="8" borderId="3" xfId="0" applyNumberFormat="1" applyFill="1" applyBorder="1" applyProtection="1">
      <protection locked="0"/>
    </xf>
    <xf numFmtId="9" fontId="0" fillId="8" borderId="1" xfId="3" applyFont="1" applyFill="1" applyBorder="1" applyProtection="1">
      <protection locked="0"/>
    </xf>
    <xf numFmtId="4" fontId="0" fillId="0" borderId="0" xfId="0" applyNumberFormat="1"/>
    <xf numFmtId="3" fontId="0" fillId="8" borderId="1" xfId="0" applyNumberFormat="1" applyFill="1" applyBorder="1" applyProtection="1">
      <protection locked="0"/>
    </xf>
    <xf numFmtId="3" fontId="0" fillId="7" borderId="12" xfId="0" applyNumberFormat="1" applyFill="1" applyBorder="1"/>
    <xf numFmtId="3" fontId="0" fillId="0" borderId="0" xfId="0" applyNumberFormat="1"/>
    <xf numFmtId="3" fontId="3" fillId="9" borderId="0" xfId="0" applyNumberFormat="1" applyFont="1" applyFill="1"/>
    <xf numFmtId="3" fontId="19" fillId="6" borderId="5" xfId="0" quotePrefix="1" applyNumberFormat="1" applyFont="1" applyFill="1" applyBorder="1" applyAlignment="1">
      <alignment horizontal="center"/>
    </xf>
    <xf numFmtId="3" fontId="0" fillId="7" borderId="13" xfId="0" applyNumberFormat="1" applyFill="1" applyBorder="1"/>
    <xf numFmtId="3" fontId="0" fillId="8" borderId="5" xfId="0" applyNumberFormat="1" applyFill="1" applyBorder="1" applyProtection="1">
      <protection locked="0"/>
    </xf>
    <xf numFmtId="3" fontId="19" fillId="6" borderId="1" xfId="0" quotePrefix="1" applyNumberFormat="1" applyFont="1" applyFill="1" applyBorder="1" applyAlignment="1">
      <alignment horizontal="center"/>
    </xf>
    <xf numFmtId="3" fontId="0" fillId="8" borderId="5" xfId="0" applyNumberFormat="1" applyFill="1" applyBorder="1" applyAlignment="1" applyProtection="1">
      <alignment wrapText="1"/>
      <protection locked="0"/>
    </xf>
    <xf numFmtId="3" fontId="20" fillId="9" borderId="0" xfId="0" applyNumberFormat="1" applyFont="1" applyFill="1"/>
    <xf numFmtId="0" fontId="7" fillId="0" borderId="0" xfId="0" applyFont="1" applyAlignment="1">
      <alignment horizontal="center" vertical="center"/>
    </xf>
    <xf numFmtId="0" fontId="5" fillId="2" borderId="0" xfId="0" applyFont="1" applyFill="1" applyAlignment="1">
      <alignment horizontal="center" vertical="center"/>
    </xf>
    <xf numFmtId="0" fontId="16" fillId="0" borderId="0" xfId="0" applyFont="1"/>
    <xf numFmtId="0" fontId="0" fillId="0" borderId="0" xfId="0"/>
    <xf numFmtId="0" fontId="18" fillId="0" borderId="0" xfId="0" applyFont="1"/>
    <xf numFmtId="0" fontId="0" fillId="5" borderId="5"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6"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3" fontId="0" fillId="5" borderId="5" xfId="0" applyNumberFormat="1" applyFill="1" applyBorder="1" applyAlignment="1">
      <alignment horizontal="center" vertical="center" wrapText="1"/>
    </xf>
    <xf numFmtId="3" fontId="0" fillId="5" borderId="11" xfId="0" applyNumberFormat="1" applyFill="1" applyBorder="1" applyAlignment="1">
      <alignment horizontal="center" vertical="center" wrapText="1"/>
    </xf>
  </cellXfs>
  <cellStyles count="4">
    <cellStyle name="Hyperlink" xfId="2" builtinId="8"/>
    <cellStyle name="Normal" xfId="0" builtinId="0"/>
    <cellStyle name="Percent" xfId="3" builtinId="5"/>
    <cellStyle name="Standaard 8" xfId="1" xr:uid="{82F611F2-3905-4AAD-B6FB-AE2DE46F9F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5.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customXml" Target="../customXml/item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ustomXml" Target="../customXml/item4.xml"/><Relationship Id="rId3" Type="http://schemas.openxmlformats.org/officeDocument/2006/relationships/worksheet" Target="worksheets/sheet3.xml"/><Relationship Id="rId214"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7.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8.xml"/><Relationship Id="rId215"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externalLink" Target="externalLinks/externalLink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6</xdr:col>
      <xdr:colOff>151188</xdr:colOff>
      <xdr:row>19</xdr:row>
      <xdr:rowOff>94762</xdr:rowOff>
    </xdr:from>
    <xdr:to>
      <xdr:col>6</xdr:col>
      <xdr:colOff>311334</xdr:colOff>
      <xdr:row>20</xdr:row>
      <xdr:rowOff>59105</xdr:rowOff>
    </xdr:to>
    <xdr:sp macro="[0]!Show_Advanced_Requirements" textlink="">
      <xdr:nvSpPr>
        <xdr:cNvPr id="2" name="ShowAdvanced" hidden="1">
          <a:extLst>
            <a:ext uri="{FF2B5EF4-FFF2-40B4-BE49-F238E27FC236}">
              <a16:creationId xmlns:a16="http://schemas.microsoft.com/office/drawing/2014/main" id="{EF57D864-1753-4F09-90BA-893304730B6E}"/>
            </a:ext>
          </a:extLst>
        </xdr:cNvPr>
        <xdr:cNvSpPr/>
      </xdr:nvSpPr>
      <xdr:spPr>
        <a:xfrm>
          <a:off x="5542338" y="3276112"/>
          <a:ext cx="160146" cy="15484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b="1"/>
            <a:t>+</a:t>
          </a:r>
        </a:p>
      </xdr:txBody>
    </xdr:sp>
    <xdr:clientData/>
  </xdr:twoCellAnchor>
  <xdr:twoCellAnchor editAs="absolute">
    <xdr:from>
      <xdr:col>7</xdr:col>
      <xdr:colOff>28575</xdr:colOff>
      <xdr:row>23</xdr:row>
      <xdr:rowOff>185497</xdr:rowOff>
    </xdr:from>
    <xdr:to>
      <xdr:col>9</xdr:col>
      <xdr:colOff>447675</xdr:colOff>
      <xdr:row>31</xdr:row>
      <xdr:rowOff>9525</xdr:rowOff>
    </xdr:to>
    <xdr:pic>
      <xdr:nvPicPr>
        <xdr:cNvPr id="3" name="Afbeelding 2">
          <a:extLst>
            <a:ext uri="{FF2B5EF4-FFF2-40B4-BE49-F238E27FC236}">
              <a16:creationId xmlns:a16="http://schemas.microsoft.com/office/drawing/2014/main" id="{272629BC-2CFA-40A7-B984-E54D394C01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4125" y="4033597"/>
          <a:ext cx="1733550" cy="1176578"/>
        </a:xfrm>
        <a:prstGeom prst="rect">
          <a:avLst/>
        </a:prstGeom>
      </xdr:spPr>
    </xdr:pic>
    <xdr:clientData/>
  </xdr:twoCellAnchor>
  <xdr:twoCellAnchor editAs="absolute">
    <xdr:from>
      <xdr:col>0</xdr:col>
      <xdr:colOff>142875</xdr:colOff>
      <xdr:row>1</xdr:row>
      <xdr:rowOff>12434</xdr:rowOff>
    </xdr:from>
    <xdr:to>
      <xdr:col>3</xdr:col>
      <xdr:colOff>192776</xdr:colOff>
      <xdr:row>2</xdr:row>
      <xdr:rowOff>339991</xdr:rowOff>
    </xdr:to>
    <xdr:pic>
      <xdr:nvPicPr>
        <xdr:cNvPr id="4" name="Afbeelding 3">
          <a:extLst>
            <a:ext uri="{FF2B5EF4-FFF2-40B4-BE49-F238E27FC236}">
              <a16:creationId xmlns:a16="http://schemas.microsoft.com/office/drawing/2014/main" id="{481D1352-FCA3-4508-AF68-D12953B583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202934"/>
          <a:ext cx="2135876" cy="5180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s\%23FILES\AGEAS-RISK-REINSURANCE\Closing\2025\Q4\6%20Solo\Annual\QRTs\02-aes%20-%20Balance%20Sheet%20and%20Accounting%20Inputs%20-%202025Q4.xlsx" TargetMode="External"/><Relationship Id="rId1" Type="http://schemas.openxmlformats.org/officeDocument/2006/relationships/externalLinkPath" Target="02-aes%20-%20Balance%20Sheet%20and%20Accounting%20Inputs%20-%202025Q4.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S.05%20P&amp;L%202025Q4.xlsx" TargetMode="External"/><Relationship Id="rId2" Type="http://schemas.openxmlformats.org/officeDocument/2006/relationships/externalLinkPath" Target="file:///\\files\%23FILES\AGEAS-RISK-REINSURANCE\Closing\2025\Q4\6%20Solo\S.05%20P&amp;L%202025Q4.xlsx" TargetMode="External"/><Relationship Id="rId1" Type="http://schemas.openxmlformats.org/officeDocument/2006/relationships/externalLinkPath" Target="/AGEAS-RISK-REINSURANCE/Closing/2025/Q4/6%20Solo/S.05%20P&amp;L%202025Q4.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2%20Input/Protection/P&amp;L%20Protection%20and%20ASBZ%202025Q4%20YTD.xlsx" TargetMode="External"/><Relationship Id="rId2" Type="http://schemas.openxmlformats.org/officeDocument/2006/relationships/externalLinkPath" Target="file:///\\files\%23FILES\AGEAS-RISK-REINSURANCE\Closing\2025\Q4\2%20Input\Protection\P&amp;L%20Protection%20and%20ASBZ%202025Q4%20YTD.xlsx" TargetMode="External"/><Relationship Id="rId1" Type="http://schemas.openxmlformats.org/officeDocument/2006/relationships/externalLinkPath" Target="/AGEAS-RISK-REINSURANCE/Closing/2025/Q4/2%20Input/Protection/P&amp;L%20Protection%20and%20ASBZ%202025Q4%20YTD.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P&amp;L%20retro%202025Q4.xlsx" TargetMode="External"/><Relationship Id="rId2" Type="http://schemas.openxmlformats.org/officeDocument/2006/relationships/externalLinkPath" Target="file:///\\files\%23FILES\AGEAS-RISK-REINSURANCE\Closing\2025\Q4\6%20Solo\P&amp;L%20retro%202025Q4.xlsx" TargetMode="External"/><Relationship Id="rId1" Type="http://schemas.openxmlformats.org/officeDocument/2006/relationships/externalLinkPath" Target="/AGEAS-RISK-REINSURANCE/Closing/2025/Q4/6%20Solo/P&amp;L%20retro%202025Q4.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SecondFloor%20-%202025Q4%20-%20solo.xlsx" TargetMode="External"/><Relationship Id="rId2" Type="http://schemas.openxmlformats.org/officeDocument/2006/relationships/externalLinkPath" Target="file:///\\files\%23FILES\AGEAS-RISK-REINSURANCE\Closing\2025\Q4\6%20Solo\SecondFloor%20-%202025Q4%20-%20solo.xlsx" TargetMode="External"/><Relationship Id="rId1" Type="http://schemas.openxmlformats.org/officeDocument/2006/relationships/externalLinkPath" Target="/AGEAS-RISK-REINSURANCE/Closing/2025/Q4/6%20Solo/SecondFloor%20-%202025Q4%20-%20solo.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Triangles/Total%20business%202025Q4%20-%20AY.xlsx" TargetMode="External"/><Relationship Id="rId1" Type="http://schemas.openxmlformats.org/officeDocument/2006/relationships/externalLinkPath" Target="/AGEAS-RISK-REINSURANCE/Closing/2025/Q4/6%20Solo/Annual/Triangles/Total%20business%202025Q4%20-%20AY.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Triangles/Protection%202025Q4%20-%20UWY.xlsx" TargetMode="External"/><Relationship Id="rId1" Type="http://schemas.openxmlformats.org/officeDocument/2006/relationships/externalLinkPath" Target="/AGEAS-RISK-REINSURANCE/Closing/2025/Q4/6%20Solo/Annual/Triangles/Protection%202025Q4%20-%20UW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6-aes%20-%20Own%20Funds%20and%20Participations%20Inputs%20-%202025Q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7-aes%20-%20SCR%20and%20MCR%20Inputs%20-%202025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Details"/>
      <sheetName val="Introduction"/>
      <sheetName val="SE.02.01.16"/>
      <sheetName val="S.02.02.01"/>
      <sheetName val="S.02.02.01.02"/>
      <sheetName val="S.03.01.01"/>
      <sheetName val="S.04.02.01"/>
      <sheetName val="S.04.02.01.02"/>
      <sheetName val="S.04.03.01.01"/>
      <sheetName val="S.04.04.01.01"/>
      <sheetName val="S.04.04.01.02"/>
      <sheetName val="S.04.05.01.01"/>
      <sheetName val="S.04.05.01.02"/>
      <sheetName val="S.05.01.01"/>
      <sheetName val="S.52.01.01.01"/>
      <sheetName val="S.52.01.01.02"/>
      <sheetName val="E.01.01.16.01"/>
      <sheetName val="E.02.01.16"/>
      <sheetName val="eFrameSelectionFilters"/>
    </sheetNames>
    <sheetDataSet>
      <sheetData sheetId="0"/>
      <sheetData sheetId="1"/>
      <sheetData sheetId="2">
        <row r="11">
          <cell r="D11">
            <v>0</v>
          </cell>
        </row>
        <row r="12">
          <cell r="D12">
            <v>0</v>
          </cell>
        </row>
        <row r="13">
          <cell r="D13">
            <v>0</v>
          </cell>
        </row>
        <row r="14">
          <cell r="D14">
            <v>23528711.810000002</v>
          </cell>
        </row>
        <row r="15">
          <cell r="D15">
            <v>8863471747.2829514</v>
          </cell>
        </row>
        <row r="16">
          <cell r="D16">
            <v>0</v>
          </cell>
        </row>
        <row r="17">
          <cell r="D17">
            <v>5941784818.4325161</v>
          </cell>
        </row>
        <row r="18">
          <cell r="D18">
            <v>0</v>
          </cell>
        </row>
        <row r="19">
          <cell r="D19">
            <v>0</v>
          </cell>
        </row>
        <row r="20">
          <cell r="D20">
            <v>0</v>
          </cell>
        </row>
        <row r="21">
          <cell r="D21">
            <v>1909562422.965575</v>
          </cell>
        </row>
        <row r="22">
          <cell r="D22">
            <v>795316207.31592607</v>
          </cell>
        </row>
        <row r="23">
          <cell r="D23">
            <v>1114246215.6496489</v>
          </cell>
        </row>
        <row r="24">
          <cell r="D24">
            <v>0</v>
          </cell>
        </row>
        <row r="25">
          <cell r="D25">
            <v>0</v>
          </cell>
        </row>
        <row r="26">
          <cell r="D26">
            <v>1011889963.4248605</v>
          </cell>
        </row>
        <row r="27">
          <cell r="D27">
            <v>208142</v>
          </cell>
        </row>
        <row r="28">
          <cell r="D28">
            <v>26400.46</v>
          </cell>
        </row>
        <row r="29">
          <cell r="D29">
            <v>0</v>
          </cell>
        </row>
        <row r="30">
          <cell r="D30">
            <v>0</v>
          </cell>
        </row>
        <row r="31">
          <cell r="D31">
            <v>1284587679.9217379</v>
          </cell>
        </row>
        <row r="32">
          <cell r="D32">
            <v>0</v>
          </cell>
        </row>
        <row r="33">
          <cell r="D33">
            <v>0</v>
          </cell>
        </row>
        <row r="34">
          <cell r="D34">
            <v>1284587679.9217379</v>
          </cell>
        </row>
        <row r="35">
          <cell r="D35">
            <v>17123800.639049329</v>
          </cell>
        </row>
        <row r="36">
          <cell r="D36">
            <v>17123800.639049329</v>
          </cell>
        </row>
        <row r="37">
          <cell r="D37">
            <v>17123800.639049329</v>
          </cell>
        </row>
        <row r="38">
          <cell r="D38">
            <v>0</v>
          </cell>
        </row>
        <row r="39">
          <cell r="D39">
            <v>0</v>
          </cell>
        </row>
        <row r="40">
          <cell r="D40">
            <v>0</v>
          </cell>
        </row>
        <row r="41">
          <cell r="D41">
            <v>0</v>
          </cell>
        </row>
        <row r="42">
          <cell r="D42">
            <v>0</v>
          </cell>
        </row>
        <row r="43">
          <cell r="D43">
            <v>0</v>
          </cell>
        </row>
        <row r="44">
          <cell r="D44">
            <v>282009654.43115097</v>
          </cell>
        </row>
        <row r="45">
          <cell r="D45">
            <v>0</v>
          </cell>
        </row>
        <row r="46">
          <cell r="D46">
            <v>122528058.26062199</v>
          </cell>
        </row>
        <row r="47">
          <cell r="D47">
            <v>462377188</v>
          </cell>
        </row>
        <row r="48">
          <cell r="D48">
            <v>0</v>
          </cell>
        </row>
        <row r="49">
          <cell r="D49">
            <v>86253027.698716551</v>
          </cell>
        </row>
        <row r="50">
          <cell r="D50">
            <v>4524179.96</v>
          </cell>
        </row>
        <row r="51">
          <cell r="D51">
            <v>11146404048.004227</v>
          </cell>
        </row>
        <row r="53">
          <cell r="D53">
            <v>2054483723.2416449</v>
          </cell>
        </row>
        <row r="54">
          <cell r="D54">
            <v>1959190378.3168027</v>
          </cell>
        </row>
        <row r="55">
          <cell r="D55">
            <v>0</v>
          </cell>
        </row>
        <row r="56">
          <cell r="D56">
            <v>1849627320.1324956</v>
          </cell>
        </row>
        <row r="57">
          <cell r="D57">
            <v>109563058.18430702</v>
          </cell>
        </row>
        <row r="58">
          <cell r="D58">
            <v>95293344.924842224</v>
          </cell>
        </row>
        <row r="59">
          <cell r="D59">
            <v>0</v>
          </cell>
        </row>
        <row r="60">
          <cell r="D60">
            <v>86825799.347264931</v>
          </cell>
        </row>
        <row r="61">
          <cell r="D61">
            <v>8467545.5775772948</v>
          </cell>
        </row>
        <row r="62">
          <cell r="D62">
            <v>160649108.52054429</v>
          </cell>
        </row>
        <row r="63">
          <cell r="D63">
            <v>143784482.16318339</v>
          </cell>
        </row>
        <row r="64">
          <cell r="D64">
            <v>0</v>
          </cell>
        </row>
        <row r="65">
          <cell r="D65">
            <v>139958757.79477701</v>
          </cell>
        </row>
        <row r="66">
          <cell r="D66">
            <v>3825724.3684063908</v>
          </cell>
        </row>
        <row r="67">
          <cell r="D67">
            <v>16864626.357360907</v>
          </cell>
        </row>
        <row r="68">
          <cell r="D68">
            <v>0</v>
          </cell>
        </row>
        <row r="69">
          <cell r="D69">
            <v>15257046.568822</v>
          </cell>
        </row>
        <row r="70">
          <cell r="D70">
            <v>1607579.7885389072</v>
          </cell>
        </row>
        <row r="71">
          <cell r="D71">
            <v>0</v>
          </cell>
        </row>
        <row r="72">
          <cell r="D72">
            <v>0</v>
          </cell>
        </row>
        <row r="73">
          <cell r="D73">
            <v>0</v>
          </cell>
        </row>
        <row r="74">
          <cell r="D74">
            <v>0</v>
          </cell>
        </row>
        <row r="76">
          <cell r="D76">
            <v>0</v>
          </cell>
        </row>
        <row r="77">
          <cell r="D77">
            <v>413300000</v>
          </cell>
        </row>
        <row r="78">
          <cell r="D78">
            <v>6743791</v>
          </cell>
        </row>
        <row r="79">
          <cell r="D79">
            <v>0</v>
          </cell>
        </row>
        <row r="80">
          <cell r="D80">
            <v>6131375.6339710336</v>
          </cell>
        </row>
        <row r="81">
          <cell r="D81">
            <v>0</v>
          </cell>
        </row>
        <row r="82">
          <cell r="D82">
            <v>0</v>
          </cell>
        </row>
        <row r="86">
          <cell r="D86">
            <v>480163837.64035827</v>
          </cell>
        </row>
        <row r="92">
          <cell r="D92">
            <v>87685809.632681862</v>
          </cell>
        </row>
        <row r="93">
          <cell r="D93">
            <v>0</v>
          </cell>
        </row>
        <row r="94">
          <cell r="D94">
            <v>48977157.37528</v>
          </cell>
        </row>
        <row r="95">
          <cell r="D95">
            <v>2500624355.6709194</v>
          </cell>
        </row>
        <row r="102">
          <cell r="D102">
            <v>0</v>
          </cell>
        </row>
        <row r="103">
          <cell r="D103">
            <v>2500624355.6709194</v>
          </cell>
        </row>
        <row r="104">
          <cell r="D104">
            <v>119218817.58000004</v>
          </cell>
        </row>
        <row r="105">
          <cell r="D105">
            <v>5877977976.2953997</v>
          </cell>
        </row>
        <row r="106">
          <cell r="D106">
            <v>5268426071.708827</v>
          </cell>
        </row>
      </sheetData>
      <sheetData sheetId="3"/>
      <sheetData sheetId="4"/>
      <sheetData sheetId="5"/>
      <sheetData sheetId="6"/>
      <sheetData sheetId="7"/>
      <sheetData sheetId="8"/>
      <sheetData sheetId="9"/>
      <sheetData sheetId="10"/>
      <sheetData sheetId="11"/>
      <sheetData sheetId="12"/>
      <sheetData sheetId="13">
        <row r="10">
          <cell r="D10"/>
          <cell r="E10"/>
          <cell r="F10"/>
          <cell r="G10"/>
          <cell r="H10"/>
          <cell r="I10"/>
          <cell r="J10"/>
          <cell r="K10"/>
          <cell r="L10"/>
          <cell r="M10"/>
          <cell r="N10"/>
          <cell r="O10"/>
          <cell r="T10"/>
        </row>
        <row r="11">
          <cell r="D11">
            <v>205356856.12</v>
          </cell>
          <cell r="E11">
            <v>25642091.747407947</v>
          </cell>
          <cell r="F11">
            <v>128160029.965</v>
          </cell>
          <cell r="G11">
            <v>1211263391.1344831</v>
          </cell>
          <cell r="H11">
            <v>268126458.68353063</v>
          </cell>
          <cell r="I11">
            <v>2166390.4525000001</v>
          </cell>
          <cell r="J11">
            <v>565285452.86264324</v>
          </cell>
          <cell r="K11">
            <v>62821640.599645577</v>
          </cell>
          <cell r="L11">
            <v>12625090.300000001</v>
          </cell>
          <cell r="M11">
            <v>34840641.652499996</v>
          </cell>
          <cell r="N11">
            <v>31860066.564999998</v>
          </cell>
          <cell r="O11">
            <v>8161281.2417995799</v>
          </cell>
          <cell r="T11">
            <v>2556309391.3245101</v>
          </cell>
        </row>
        <row r="12">
          <cell r="P12">
            <v>635531.25999999989</v>
          </cell>
          <cell r="Q12">
            <v>119365402.97999999</v>
          </cell>
          <cell r="R12">
            <v>26475.199999999993</v>
          </cell>
          <cell r="S12">
            <v>184100047.16999996</v>
          </cell>
          <cell r="T12">
            <v>304127456.60999995</v>
          </cell>
        </row>
        <row r="13">
          <cell r="D13">
            <v>0</v>
          </cell>
          <cell r="E13">
            <v>0</v>
          </cell>
          <cell r="F13">
            <v>0</v>
          </cell>
          <cell r="G13">
            <v>0</v>
          </cell>
          <cell r="H13">
            <v>0</v>
          </cell>
          <cell r="I13">
            <v>0</v>
          </cell>
          <cell r="J13">
            <v>0</v>
          </cell>
          <cell r="K13">
            <v>0</v>
          </cell>
          <cell r="L13">
            <v>0</v>
          </cell>
          <cell r="M13">
            <v>0</v>
          </cell>
          <cell r="N13">
            <v>0</v>
          </cell>
          <cell r="O13">
            <v>0</v>
          </cell>
          <cell r="P13">
            <v>-404.34000000000015</v>
          </cell>
          <cell r="Q13">
            <v>45544368.690000005</v>
          </cell>
          <cell r="R13">
            <v>0</v>
          </cell>
          <cell r="S13">
            <v>113866783.14999993</v>
          </cell>
          <cell r="T13">
            <v>159410747.49999994</v>
          </cell>
        </row>
        <row r="14">
          <cell r="D14">
            <v>205356856.12</v>
          </cell>
          <cell r="E14">
            <v>25642091.747407947</v>
          </cell>
          <cell r="F14">
            <v>128160029.965</v>
          </cell>
          <cell r="G14">
            <v>1211263391.1344831</v>
          </cell>
          <cell r="H14">
            <v>268126458.68353063</v>
          </cell>
          <cell r="I14">
            <v>2166390.4525000001</v>
          </cell>
          <cell r="J14">
            <v>565285452.86264324</v>
          </cell>
          <cell r="K14">
            <v>62821640.599645577</v>
          </cell>
          <cell r="L14">
            <v>12625090.300000001</v>
          </cell>
          <cell r="M14">
            <v>34840641.652499996</v>
          </cell>
          <cell r="N14">
            <v>31860066.564999998</v>
          </cell>
          <cell r="O14">
            <v>8161281.2417995799</v>
          </cell>
          <cell r="P14">
            <v>635935.59999999986</v>
          </cell>
          <cell r="Q14">
            <v>73821034.289999977</v>
          </cell>
          <cell r="R14">
            <v>26475.199999999993</v>
          </cell>
          <cell r="S14">
            <v>70233264.020000011</v>
          </cell>
          <cell r="T14">
            <v>2701026100.4345098</v>
          </cell>
        </row>
        <row r="16">
          <cell r="D16"/>
          <cell r="E16"/>
          <cell r="F16"/>
          <cell r="G16"/>
          <cell r="H16"/>
          <cell r="I16"/>
          <cell r="J16"/>
          <cell r="K16"/>
          <cell r="L16"/>
          <cell r="M16"/>
          <cell r="N16"/>
          <cell r="O16"/>
          <cell r="T16"/>
        </row>
        <row r="17">
          <cell r="D17">
            <v>204166951.47999996</v>
          </cell>
          <cell r="E17">
            <v>25375399.913531236</v>
          </cell>
          <cell r="F17">
            <v>127959611.965</v>
          </cell>
          <cell r="G17">
            <v>748152942.12750947</v>
          </cell>
          <cell r="H17">
            <v>279347438.54865944</v>
          </cell>
          <cell r="I17">
            <v>2120833.8618520498</v>
          </cell>
          <cell r="J17">
            <v>551599326.59281504</v>
          </cell>
          <cell r="K17">
            <v>61013351.852971688</v>
          </cell>
          <cell r="L17">
            <v>5916144.6530912127</v>
          </cell>
          <cell r="M17">
            <v>34727281.417499997</v>
          </cell>
          <cell r="N17">
            <v>31135811.785</v>
          </cell>
          <cell r="O17">
            <v>9993519.1905403938</v>
          </cell>
          <cell r="T17">
            <v>2081508613.3884704</v>
          </cell>
        </row>
        <row r="18">
          <cell r="P18">
            <v>653681.36060126801</v>
          </cell>
          <cell r="Q18">
            <v>117778266.49516463</v>
          </cell>
          <cell r="R18">
            <v>43737.36914552276</v>
          </cell>
          <cell r="S18">
            <v>184082451.94808802</v>
          </cell>
          <cell r="T18">
            <v>302558137.17299944</v>
          </cell>
        </row>
        <row r="19">
          <cell r="D19">
            <v>0</v>
          </cell>
          <cell r="E19">
            <v>0</v>
          </cell>
          <cell r="F19">
            <v>0</v>
          </cell>
          <cell r="G19">
            <v>0</v>
          </cell>
          <cell r="H19">
            <v>0</v>
          </cell>
          <cell r="I19">
            <v>0</v>
          </cell>
          <cell r="J19">
            <v>0</v>
          </cell>
          <cell r="K19">
            <v>0</v>
          </cell>
          <cell r="L19">
            <v>0</v>
          </cell>
          <cell r="M19">
            <v>0</v>
          </cell>
          <cell r="N19">
            <v>0</v>
          </cell>
          <cell r="O19">
            <v>0</v>
          </cell>
          <cell r="P19">
            <v>-409.48128200329313</v>
          </cell>
          <cell r="Q19">
            <v>40736889.655579872</v>
          </cell>
          <cell r="R19">
            <v>0</v>
          </cell>
          <cell r="S19">
            <v>111223265.11570212</v>
          </cell>
          <cell r="T19">
            <v>151959745.28999999</v>
          </cell>
        </row>
        <row r="20">
          <cell r="D20">
            <v>204166951.47999996</v>
          </cell>
          <cell r="E20">
            <v>25375399.913531236</v>
          </cell>
          <cell r="F20">
            <v>127959611.965</v>
          </cell>
          <cell r="G20">
            <v>748152942.12750947</v>
          </cell>
          <cell r="H20">
            <v>279347438.54865944</v>
          </cell>
          <cell r="I20">
            <v>2120833.8618520498</v>
          </cell>
          <cell r="J20">
            <v>551599326.59281504</v>
          </cell>
          <cell r="K20">
            <v>61013351.852971688</v>
          </cell>
          <cell r="L20">
            <v>5916144.6530912127</v>
          </cell>
          <cell r="M20">
            <v>34727281.417499997</v>
          </cell>
          <cell r="N20">
            <v>31135811.785</v>
          </cell>
          <cell r="O20">
            <v>9993519.1905403938</v>
          </cell>
          <cell r="P20">
            <v>654090.84188327135</v>
          </cell>
          <cell r="Q20">
            <v>77041376.839584768</v>
          </cell>
          <cell r="R20">
            <v>43737.36914552276</v>
          </cell>
          <cell r="S20">
            <v>72859186.832385898</v>
          </cell>
          <cell r="T20">
            <v>2232107005.2714696</v>
          </cell>
        </row>
        <row r="22">
          <cell r="D22"/>
          <cell r="E22"/>
          <cell r="F22"/>
          <cell r="G22"/>
          <cell r="H22"/>
          <cell r="I22"/>
          <cell r="J22"/>
          <cell r="K22"/>
          <cell r="L22"/>
          <cell r="M22"/>
          <cell r="N22"/>
          <cell r="O22"/>
          <cell r="T22"/>
        </row>
        <row r="23">
          <cell r="D23">
            <v>135735167.2899999</v>
          </cell>
          <cell r="E23">
            <v>8097250.059673124</v>
          </cell>
          <cell r="F23">
            <v>76446637.289999932</v>
          </cell>
          <cell r="G23">
            <v>628754188.58638895</v>
          </cell>
          <cell r="H23">
            <v>93668889.117200151</v>
          </cell>
          <cell r="I23">
            <v>1349795.0997329545</v>
          </cell>
          <cell r="J23">
            <v>254271876.27892214</v>
          </cell>
          <cell r="K23">
            <v>44171031.033096187</v>
          </cell>
          <cell r="L23">
            <v>12753.404199001954</v>
          </cell>
          <cell r="M23">
            <v>15720286.889999993</v>
          </cell>
          <cell r="N23">
            <v>19464911.675211679</v>
          </cell>
          <cell r="O23">
            <v>4398863.6447248068</v>
          </cell>
          <cell r="T23">
            <v>1282091650.3691487</v>
          </cell>
        </row>
        <row r="24">
          <cell r="P24">
            <v>-2182998.3381742993</v>
          </cell>
          <cell r="Q24">
            <v>34265907.370690912</v>
          </cell>
          <cell r="R24">
            <v>-214885.28359634054</v>
          </cell>
          <cell r="S24">
            <v>37682398.338283636</v>
          </cell>
          <cell r="T24">
            <v>69550422.087203905</v>
          </cell>
        </row>
        <row r="25">
          <cell r="D25">
            <v>0</v>
          </cell>
          <cell r="E25">
            <v>0</v>
          </cell>
          <cell r="F25">
            <v>0</v>
          </cell>
          <cell r="G25">
            <v>0</v>
          </cell>
          <cell r="H25">
            <v>0</v>
          </cell>
          <cell r="I25">
            <v>0</v>
          </cell>
          <cell r="J25">
            <v>0</v>
          </cell>
          <cell r="K25">
            <v>0</v>
          </cell>
          <cell r="L25">
            <v>0</v>
          </cell>
          <cell r="M25">
            <v>0</v>
          </cell>
          <cell r="N25">
            <v>0</v>
          </cell>
          <cell r="O25">
            <v>0</v>
          </cell>
          <cell r="P25">
            <v>0</v>
          </cell>
          <cell r="Q25">
            <v>3466188.6950577032</v>
          </cell>
          <cell r="R25">
            <v>0</v>
          </cell>
          <cell r="S25">
            <v>6526775.5249422975</v>
          </cell>
          <cell r="T25">
            <v>9992964.2200000007</v>
          </cell>
        </row>
        <row r="26">
          <cell r="D26">
            <v>135735167.2899999</v>
          </cell>
          <cell r="E26">
            <v>8097250.059673124</v>
          </cell>
          <cell r="F26">
            <v>76446637.289999932</v>
          </cell>
          <cell r="G26">
            <v>628754188.58638895</v>
          </cell>
          <cell r="H26">
            <v>93668889.117200151</v>
          </cell>
          <cell r="I26">
            <v>1349795.0997329545</v>
          </cell>
          <cell r="J26">
            <v>254271876.27892214</v>
          </cell>
          <cell r="K26">
            <v>44171031.033096187</v>
          </cell>
          <cell r="L26">
            <v>12753.404199001954</v>
          </cell>
          <cell r="M26">
            <v>15720286.889999993</v>
          </cell>
          <cell r="N26">
            <v>19464911.675211679</v>
          </cell>
          <cell r="O26">
            <v>4398863.6447248068</v>
          </cell>
          <cell r="P26">
            <v>-2182998.3381742993</v>
          </cell>
          <cell r="Q26">
            <v>30799718.675633207</v>
          </cell>
          <cell r="R26">
            <v>-214885.28359634054</v>
          </cell>
          <cell r="S26">
            <v>31155622.813341338</v>
          </cell>
          <cell r="T26">
            <v>1341649108.2363527</v>
          </cell>
        </row>
        <row r="27">
          <cell r="D27">
            <v>53220296.604422972</v>
          </cell>
          <cell r="E27">
            <v>12753679.702320637</v>
          </cell>
          <cell r="F27">
            <v>38478048.749264523</v>
          </cell>
          <cell r="G27">
            <v>224613944.48215562</v>
          </cell>
          <cell r="H27">
            <v>90004402.612257957</v>
          </cell>
          <cell r="I27">
            <v>852079.77410119958</v>
          </cell>
          <cell r="J27">
            <v>211799767.3946512</v>
          </cell>
          <cell r="K27">
            <v>27790340.301005933</v>
          </cell>
          <cell r="L27">
            <v>2642690.1474667857</v>
          </cell>
          <cell r="M27">
            <v>18631770.631888274</v>
          </cell>
          <cell r="N27">
            <v>13765653.441889226</v>
          </cell>
          <cell r="O27">
            <v>3754892.5708740735</v>
          </cell>
          <cell r="P27">
            <v>30510.441113370649</v>
          </cell>
          <cell r="Q27">
            <v>12573313.562883325</v>
          </cell>
          <cell r="R27">
            <v>2009.3616082019375</v>
          </cell>
          <cell r="S27">
            <v>16389438.524442688</v>
          </cell>
          <cell r="T27">
            <v>727302838.30234611</v>
          </cell>
        </row>
        <row r="58">
          <cell r="T58"/>
        </row>
        <row r="59">
          <cell r="T59">
            <v>727302838.30234611</v>
          </cell>
        </row>
        <row r="73">
          <cell r="K73">
            <v>81285.11</v>
          </cell>
          <cell r="L73">
            <v>81285.11</v>
          </cell>
        </row>
        <row r="74">
          <cell r="K74">
            <v>0</v>
          </cell>
          <cell r="L74">
            <v>0</v>
          </cell>
        </row>
        <row r="75">
          <cell r="K75">
            <v>81285.11</v>
          </cell>
          <cell r="L75">
            <v>81285.11</v>
          </cell>
        </row>
        <row r="77">
          <cell r="K77">
            <v>81285.14</v>
          </cell>
          <cell r="L77">
            <v>81285.14</v>
          </cell>
        </row>
        <row r="78">
          <cell r="K78">
            <v>0</v>
          </cell>
          <cell r="L78">
            <v>0</v>
          </cell>
        </row>
        <row r="79">
          <cell r="K79">
            <v>81285.14</v>
          </cell>
          <cell r="L79">
            <v>81285.14</v>
          </cell>
        </row>
        <row r="81">
          <cell r="K81">
            <v>145145.89999999994</v>
          </cell>
          <cell r="L81">
            <v>145145.89999999994</v>
          </cell>
        </row>
        <row r="82">
          <cell r="K82">
            <v>0</v>
          </cell>
          <cell r="L82">
            <v>0</v>
          </cell>
        </row>
        <row r="83">
          <cell r="K83">
            <v>145145.89999999994</v>
          </cell>
          <cell r="L83">
            <v>145145.89999999994</v>
          </cell>
        </row>
        <row r="84">
          <cell r="K84">
            <v>0</v>
          </cell>
          <cell r="L84">
            <v>0</v>
          </cell>
        </row>
        <row r="107">
          <cell r="L107">
            <v>0</v>
          </cell>
        </row>
      </sheetData>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emo"/>
      <sheetName val="Apollo Portugal (5660)"/>
      <sheetName val="Apollo Portugal (9893)"/>
      <sheetName val="Apollo Portugal"/>
      <sheetName val="Apollo Belgium"/>
      <sheetName val="Apollo UK"/>
      <sheetName val="Additional cpt mgt"/>
      <sheetName val="France"/>
      <sheetName val="Additional protection"/>
      <sheetName val="Protection-internal"/>
      <sheetName val="Protection-internal-OPCO's"/>
      <sheetName val="Protection-internal-JVs"/>
      <sheetName val="Protection-external BRU"/>
      <sheetName val="Protection-external SWISS"/>
      <sheetName val="Protection-external"/>
      <sheetName val="Protection-total"/>
      <sheetName val="Sheet1"/>
      <sheetName val="Protection-Belgium"/>
      <sheetName val="Protection-UK"/>
      <sheetName val="Protection-Portugal"/>
      <sheetName val="Protection-OCS"/>
      <sheetName val="Protection-ASNL"/>
      <sheetName val="Protection-Médis"/>
      <sheetName val="Protection-RSGI"/>
      <sheetName val="Protection-Taiping"/>
      <sheetName val="Protection-Muang Thai"/>
      <sheetName val="Protection-Aksigorta"/>
      <sheetName val="Protection-Cargeas"/>
      <sheetName val="Protection-Malaysia"/>
      <sheetName val="Protection-Rest"/>
      <sheetName val="Protection-subtotal"/>
      <sheetName val="Total"/>
      <sheetName val="Sheet2"/>
      <sheetName val="QRT S.04"/>
      <sheetName val="METADATA"/>
      <sheetName val="INPUT NL nonICO"/>
      <sheetName val="INPUT NL ICO CapMgmt Premiums"/>
      <sheetName val="INPUT Life nonICO"/>
      <sheetName val="Protection-JV gross"/>
      <sheetName val="Protection-outward"/>
      <sheetName val="for finance"/>
    </sheetNames>
    <sheetDataSet>
      <sheetData sheetId="0"/>
      <sheetData sheetId="1"/>
      <sheetData sheetId="2"/>
      <sheetData sheetId="3">
        <row r="16">
          <cell r="S16">
            <v>431562062.50000006</v>
          </cell>
        </row>
        <row r="17">
          <cell r="S17"/>
        </row>
        <row r="18">
          <cell r="S18"/>
        </row>
        <row r="22">
          <cell r="S22">
            <v>429398849.88</v>
          </cell>
        </row>
        <row r="23">
          <cell r="S23"/>
        </row>
        <row r="24">
          <cell r="S24"/>
        </row>
        <row r="28">
          <cell r="S28">
            <v>263136984.94999987</v>
          </cell>
        </row>
        <row r="29">
          <cell r="S29"/>
        </row>
        <row r="30">
          <cell r="S30"/>
        </row>
        <row r="38">
          <cell r="S38">
            <v>142516468.50102827</v>
          </cell>
        </row>
      </sheetData>
      <sheetData sheetId="4">
        <row r="16">
          <cell r="S16">
            <v>737462770.44000006</v>
          </cell>
        </row>
        <row r="17">
          <cell r="S17"/>
        </row>
        <row r="18">
          <cell r="S18"/>
        </row>
        <row r="22">
          <cell r="S22">
            <v>734333556.12000012</v>
          </cell>
        </row>
        <row r="23">
          <cell r="S23"/>
        </row>
        <row r="24">
          <cell r="S24"/>
        </row>
        <row r="28">
          <cell r="S28">
            <v>404640314.09249997</v>
          </cell>
        </row>
        <row r="29">
          <cell r="S29"/>
        </row>
        <row r="30">
          <cell r="S30"/>
        </row>
        <row r="38">
          <cell r="S38">
            <v>303821740.34030694</v>
          </cell>
        </row>
      </sheetData>
      <sheetData sheetId="5">
        <row r="16">
          <cell r="S16">
            <v>584070411.87451017</v>
          </cell>
        </row>
        <row r="17">
          <cell r="S17">
            <v>0</v>
          </cell>
        </row>
        <row r="18">
          <cell r="S18"/>
        </row>
        <row r="22">
          <cell r="S22">
            <v>628324378.54147017</v>
          </cell>
        </row>
        <row r="23">
          <cell r="S23">
            <v>0</v>
          </cell>
        </row>
        <row r="24">
          <cell r="S24"/>
        </row>
        <row r="28">
          <cell r="S28">
            <v>440304400.07385278</v>
          </cell>
        </row>
        <row r="29">
          <cell r="S29">
            <v>0</v>
          </cell>
        </row>
        <row r="30">
          <cell r="S30"/>
        </row>
        <row r="38">
          <cell r="S38">
            <v>159759144.22352478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5">
          <cell r="L55">
            <v>81285.11</v>
          </cell>
        </row>
        <row r="56">
          <cell r="L56">
            <v>0</v>
          </cell>
        </row>
        <row r="57">
          <cell r="L57">
            <v>81285.11</v>
          </cell>
        </row>
        <row r="59">
          <cell r="L59">
            <v>81285.14</v>
          </cell>
        </row>
        <row r="60">
          <cell r="L60">
            <v>0</v>
          </cell>
        </row>
        <row r="61">
          <cell r="L61">
            <v>81285.14</v>
          </cell>
        </row>
        <row r="63">
          <cell r="L63">
            <v>145145.89999999994</v>
          </cell>
        </row>
        <row r="64">
          <cell r="L64">
            <v>0</v>
          </cell>
        </row>
        <row r="65">
          <cell r="L65">
            <v>145145.89999999994</v>
          </cell>
        </row>
        <row r="70">
          <cell r="L70">
            <v>0</v>
          </cell>
        </row>
      </sheetData>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amp;L Protection"/>
      <sheetName val="P&amp;L ASBZ"/>
      <sheetName val="Link"/>
      <sheetName val="geographical zone"/>
      <sheetName val="Sheet3"/>
    </sheetNames>
    <sheetDataSet>
      <sheetData sheetId="0">
        <row r="1">
          <cell r="L1" t="str">
            <v>Prop - NonProp</v>
          </cell>
          <cell r="S1" t="str">
            <v>Eur Amount</v>
          </cell>
          <cell r="X1" t="str">
            <v>Item</v>
          </cell>
          <cell r="Y1" t="str">
            <v>Country</v>
          </cell>
        </row>
        <row r="2">
          <cell r="L2" t="str">
            <v>Non-proportional</v>
          </cell>
          <cell r="S2">
            <v>32334.99</v>
          </cell>
          <cell r="X2" t="str">
            <v>Claims - gross</v>
          </cell>
          <cell r="Y2" t="str">
            <v>CZECH REPUBLIC</v>
          </cell>
        </row>
        <row r="3">
          <cell r="L3" t="str">
            <v>Non-proportional</v>
          </cell>
          <cell r="S3">
            <v>76737.850000000006</v>
          </cell>
          <cell r="X3" t="str">
            <v>Claims - gross</v>
          </cell>
          <cell r="Y3" t="str">
            <v>United kingdom</v>
          </cell>
        </row>
        <row r="4">
          <cell r="L4" t="str">
            <v>Proportional</v>
          </cell>
          <cell r="S4">
            <v>306.23</v>
          </cell>
          <cell r="X4" t="str">
            <v>Claims - gross</v>
          </cell>
          <cell r="Y4" t="str">
            <v>Hong Kong</v>
          </cell>
        </row>
        <row r="5">
          <cell r="L5" t="str">
            <v>Non-proportional</v>
          </cell>
          <cell r="S5">
            <v>2871.03</v>
          </cell>
          <cell r="X5" t="str">
            <v>Claims - gross</v>
          </cell>
          <cell r="Y5" t="str">
            <v>United kingdom</v>
          </cell>
        </row>
        <row r="6">
          <cell r="L6" t="str">
            <v>Non-proportional</v>
          </cell>
          <cell r="S6">
            <v>256834.5</v>
          </cell>
          <cell r="X6" t="str">
            <v>Claims - gross</v>
          </cell>
          <cell r="Y6" t="str">
            <v>TURKEY</v>
          </cell>
        </row>
        <row r="7">
          <cell r="L7" t="str">
            <v>Proportional</v>
          </cell>
          <cell r="S7">
            <v>894.09</v>
          </cell>
          <cell r="X7" t="str">
            <v>Claims - gross</v>
          </cell>
          <cell r="Y7" t="str">
            <v>Hong Kong</v>
          </cell>
        </row>
        <row r="8">
          <cell r="L8" t="str">
            <v>Proportional</v>
          </cell>
          <cell r="S8">
            <v>2739.48</v>
          </cell>
          <cell r="X8" t="str">
            <v>Claims - gross</v>
          </cell>
          <cell r="Y8" t="str">
            <v>Hong Kong</v>
          </cell>
        </row>
        <row r="9">
          <cell r="L9" t="str">
            <v>Non-proportional</v>
          </cell>
          <cell r="S9">
            <v>516693.47</v>
          </cell>
          <cell r="X9" t="str">
            <v>Claims - gross</v>
          </cell>
          <cell r="Y9" t="str">
            <v>United kingdom</v>
          </cell>
        </row>
        <row r="10">
          <cell r="L10" t="str">
            <v>Proportional</v>
          </cell>
          <cell r="S10">
            <v>8951.7900000000009</v>
          </cell>
          <cell r="X10" t="str">
            <v>Claims - gross</v>
          </cell>
          <cell r="Y10" t="str">
            <v>THAILAND</v>
          </cell>
        </row>
        <row r="11">
          <cell r="L11" t="str">
            <v>Proportional</v>
          </cell>
          <cell r="S11">
            <v>2.93</v>
          </cell>
          <cell r="X11" t="str">
            <v>Claims - gross</v>
          </cell>
          <cell r="Y11" t="str">
            <v>Hong Kong</v>
          </cell>
        </row>
        <row r="12">
          <cell r="L12" t="str">
            <v>Non-proportional</v>
          </cell>
          <cell r="S12">
            <v>3624.5</v>
          </cell>
          <cell r="X12" t="str">
            <v>Claims - gross</v>
          </cell>
          <cell r="Y12" t="str">
            <v>United kingdom</v>
          </cell>
        </row>
        <row r="13">
          <cell r="L13" t="str">
            <v>Proportional</v>
          </cell>
          <cell r="S13">
            <v>161132.28</v>
          </cell>
          <cell r="X13" t="str">
            <v>Claims - gross</v>
          </cell>
          <cell r="Y13" t="str">
            <v>THAILAND</v>
          </cell>
        </row>
        <row r="14">
          <cell r="L14" t="str">
            <v>Non-proportional</v>
          </cell>
          <cell r="S14">
            <v>2010384.01</v>
          </cell>
          <cell r="X14" t="str">
            <v>Claims - gross</v>
          </cell>
          <cell r="Y14" t="str">
            <v>United kingdom</v>
          </cell>
        </row>
        <row r="15">
          <cell r="L15" t="str">
            <v>Proportional</v>
          </cell>
          <cell r="S15">
            <v>-57391.33</v>
          </cell>
          <cell r="X15" t="str">
            <v>Claims - gross</v>
          </cell>
          <cell r="Y15" t="str">
            <v>THAILAND</v>
          </cell>
        </row>
        <row r="16">
          <cell r="L16" t="str">
            <v>Proportional</v>
          </cell>
          <cell r="S16">
            <v>691306.43</v>
          </cell>
          <cell r="X16" t="str">
            <v>Claims - gross</v>
          </cell>
          <cell r="Y16" t="str">
            <v>CANADA</v>
          </cell>
        </row>
        <row r="17">
          <cell r="L17" t="str">
            <v>Non-proportional</v>
          </cell>
          <cell r="S17">
            <v>10660.25</v>
          </cell>
          <cell r="X17" t="str">
            <v>Claims - gross</v>
          </cell>
          <cell r="Y17" t="str">
            <v>United kingdom</v>
          </cell>
        </row>
        <row r="18">
          <cell r="L18" t="str">
            <v>Proportional</v>
          </cell>
          <cell r="S18">
            <v>-57287.32</v>
          </cell>
          <cell r="X18" t="str">
            <v>Claims - gross</v>
          </cell>
          <cell r="Y18" t="str">
            <v>THAILAND</v>
          </cell>
        </row>
        <row r="19">
          <cell r="L19" t="str">
            <v>Proportional</v>
          </cell>
          <cell r="S19">
            <v>39464.51</v>
          </cell>
          <cell r="X19" t="str">
            <v>Claims - gross</v>
          </cell>
          <cell r="Y19" t="str">
            <v>JAPAN</v>
          </cell>
        </row>
        <row r="20">
          <cell r="L20" t="str">
            <v>Proportional</v>
          </cell>
          <cell r="S20">
            <v>49073.05</v>
          </cell>
          <cell r="X20" t="str">
            <v>Claims - gross</v>
          </cell>
          <cell r="Y20" t="str">
            <v>JAPAN</v>
          </cell>
        </row>
        <row r="21">
          <cell r="L21" t="str">
            <v>Non-proportional</v>
          </cell>
          <cell r="S21">
            <v>353088.18</v>
          </cell>
          <cell r="X21" t="str">
            <v>Claims - gross</v>
          </cell>
          <cell r="Y21" t="str">
            <v>United kingdom</v>
          </cell>
        </row>
        <row r="22">
          <cell r="L22" t="str">
            <v>Proportional</v>
          </cell>
          <cell r="S22">
            <v>86804.4</v>
          </cell>
          <cell r="X22" t="str">
            <v>Claims - gross</v>
          </cell>
          <cell r="Y22" t="str">
            <v>Hong Kong</v>
          </cell>
        </row>
        <row r="23">
          <cell r="L23" t="str">
            <v>Proportional</v>
          </cell>
          <cell r="S23">
            <v>10929.02</v>
          </cell>
          <cell r="X23" t="str">
            <v>Claims - gross</v>
          </cell>
          <cell r="Y23" t="str">
            <v>JAPAN</v>
          </cell>
        </row>
        <row r="24">
          <cell r="L24" t="str">
            <v>Non-proportional</v>
          </cell>
          <cell r="S24">
            <v>170994.97</v>
          </cell>
          <cell r="X24" t="str">
            <v>Claims - gross</v>
          </cell>
          <cell r="Y24" t="str">
            <v>United kingdom</v>
          </cell>
        </row>
        <row r="25">
          <cell r="L25" t="str">
            <v>Proportional</v>
          </cell>
          <cell r="S25">
            <v>-4655.07</v>
          </cell>
          <cell r="X25" t="str">
            <v>Claims - gross</v>
          </cell>
          <cell r="Y25" t="str">
            <v>JAPAN</v>
          </cell>
        </row>
        <row r="26">
          <cell r="L26" t="str">
            <v>Non-proportional</v>
          </cell>
          <cell r="S26">
            <v>34194.9</v>
          </cell>
          <cell r="X26" t="str">
            <v>Claims - gross</v>
          </cell>
          <cell r="Y26" t="str">
            <v>SWEDEN</v>
          </cell>
        </row>
        <row r="27">
          <cell r="L27" t="str">
            <v>Non-proportional</v>
          </cell>
          <cell r="S27">
            <v>1005908.08</v>
          </cell>
          <cell r="X27" t="str">
            <v>Claims - gross</v>
          </cell>
          <cell r="Y27" t="str">
            <v>United kingdom</v>
          </cell>
        </row>
        <row r="28">
          <cell r="L28" t="str">
            <v>Proportional</v>
          </cell>
          <cell r="S28">
            <v>48336.55</v>
          </cell>
          <cell r="X28" t="str">
            <v>Claims - gross</v>
          </cell>
          <cell r="Y28" t="str">
            <v>HONG KONG</v>
          </cell>
        </row>
        <row r="29">
          <cell r="L29" t="str">
            <v>Non-proportional</v>
          </cell>
          <cell r="S29">
            <v>32549.200000000001</v>
          </cell>
          <cell r="X29" t="str">
            <v>Claims - gross</v>
          </cell>
          <cell r="Y29" t="str">
            <v>SWEDEN</v>
          </cell>
        </row>
        <row r="30">
          <cell r="L30" t="str">
            <v>Proportional</v>
          </cell>
          <cell r="S30">
            <v>4.45</v>
          </cell>
          <cell r="X30" t="str">
            <v>Claims - gross</v>
          </cell>
          <cell r="Y30" t="str">
            <v>Malaysia</v>
          </cell>
        </row>
        <row r="31">
          <cell r="L31" t="str">
            <v>Proportional</v>
          </cell>
          <cell r="S31">
            <v>166996.04999999999</v>
          </cell>
          <cell r="X31" t="str">
            <v>Claims - gross</v>
          </cell>
          <cell r="Y31" t="str">
            <v>UNITED STATES</v>
          </cell>
        </row>
        <row r="32">
          <cell r="L32" t="str">
            <v>Non-proportional</v>
          </cell>
          <cell r="S32">
            <v>432167.92</v>
          </cell>
          <cell r="X32" t="str">
            <v>Claims - gross</v>
          </cell>
          <cell r="Y32" t="str">
            <v>United kingdom</v>
          </cell>
        </row>
        <row r="33">
          <cell r="L33" t="str">
            <v>Non-proportional</v>
          </cell>
          <cell r="S33">
            <v>47100.86</v>
          </cell>
          <cell r="X33" t="str">
            <v>Claims - gross</v>
          </cell>
          <cell r="Y33" t="str">
            <v>ICELAND</v>
          </cell>
        </row>
        <row r="34">
          <cell r="L34" t="str">
            <v>Proportional</v>
          </cell>
          <cell r="S34">
            <v>37.31</v>
          </cell>
          <cell r="X34" t="str">
            <v>Claims - gross</v>
          </cell>
          <cell r="Y34" t="str">
            <v>HONG KONG</v>
          </cell>
        </row>
        <row r="35">
          <cell r="L35" t="str">
            <v>Proportional</v>
          </cell>
          <cell r="S35">
            <v>8.5500000000000007</v>
          </cell>
          <cell r="X35" t="str">
            <v>Claims - gross</v>
          </cell>
          <cell r="Y35" t="str">
            <v>MALAYSIA</v>
          </cell>
        </row>
        <row r="36">
          <cell r="L36" t="str">
            <v>Proportional</v>
          </cell>
          <cell r="S36">
            <v>308.94</v>
          </cell>
          <cell r="X36" t="str">
            <v>Claims - gross</v>
          </cell>
          <cell r="Y36" t="str">
            <v>HONG KONG</v>
          </cell>
        </row>
        <row r="37">
          <cell r="L37" t="str">
            <v>Proportional</v>
          </cell>
          <cell r="S37">
            <v>-89183.75</v>
          </cell>
          <cell r="X37" t="str">
            <v>Claims - gross</v>
          </cell>
          <cell r="Y37" t="str">
            <v>MEXICO</v>
          </cell>
        </row>
        <row r="38">
          <cell r="L38"/>
          <cell r="S38">
            <v>1591.8</v>
          </cell>
          <cell r="X38" t="str">
            <v>Claims - gross</v>
          </cell>
          <cell r="Y38" t="str">
            <v>PORTUGAL</v>
          </cell>
        </row>
        <row r="39">
          <cell r="L39" t="str">
            <v>Proportional</v>
          </cell>
          <cell r="S39">
            <v>0.87</v>
          </cell>
          <cell r="X39" t="str">
            <v>Claims - gross</v>
          </cell>
          <cell r="Y39" t="str">
            <v>Turkey</v>
          </cell>
        </row>
        <row r="40">
          <cell r="L40" t="str">
            <v>Proportional</v>
          </cell>
          <cell r="S40">
            <v>156114.74</v>
          </cell>
          <cell r="X40" t="str">
            <v>Claims - gross</v>
          </cell>
          <cell r="Y40" t="str">
            <v>TURKEY</v>
          </cell>
        </row>
        <row r="41">
          <cell r="L41" t="str">
            <v>Non-proportional</v>
          </cell>
          <cell r="S41">
            <v>7728.95</v>
          </cell>
          <cell r="X41" t="str">
            <v>Claims - gross</v>
          </cell>
          <cell r="Y41" t="str">
            <v>Portugal</v>
          </cell>
        </row>
        <row r="42">
          <cell r="L42" t="str">
            <v>Non-proportional</v>
          </cell>
          <cell r="S42">
            <v>34973.730000000003</v>
          </cell>
          <cell r="X42" t="str">
            <v>Claims - gross</v>
          </cell>
          <cell r="Y42" t="str">
            <v>GERMANY</v>
          </cell>
        </row>
        <row r="43">
          <cell r="L43" t="str">
            <v>Proportional</v>
          </cell>
          <cell r="S43">
            <v>52214.79</v>
          </cell>
          <cell r="X43" t="str">
            <v>Claims - gross</v>
          </cell>
          <cell r="Y43" t="str">
            <v>Turkey</v>
          </cell>
        </row>
        <row r="44">
          <cell r="L44" t="str">
            <v>Proportional</v>
          </cell>
          <cell r="S44">
            <v>69183.179999999993</v>
          </cell>
          <cell r="X44" t="str">
            <v>Claims - gross</v>
          </cell>
          <cell r="Y44" t="str">
            <v>Turkey</v>
          </cell>
        </row>
        <row r="45">
          <cell r="L45" t="str">
            <v>Proportional</v>
          </cell>
          <cell r="S45">
            <v>103.49</v>
          </cell>
          <cell r="X45" t="str">
            <v>Claims - gross</v>
          </cell>
          <cell r="Y45" t="str">
            <v>Turkey</v>
          </cell>
        </row>
        <row r="46">
          <cell r="L46" t="str">
            <v>Proportional</v>
          </cell>
          <cell r="S46">
            <v>40.4</v>
          </cell>
          <cell r="X46" t="str">
            <v>Claims - gross</v>
          </cell>
          <cell r="Y46" t="str">
            <v>Turkey</v>
          </cell>
        </row>
        <row r="47">
          <cell r="L47" t="str">
            <v>Non-proportional</v>
          </cell>
          <cell r="S47">
            <v>1729.4</v>
          </cell>
          <cell r="X47" t="str">
            <v>Claims - gross</v>
          </cell>
          <cell r="Y47" t="str">
            <v>AUSTRALIA</v>
          </cell>
        </row>
        <row r="48">
          <cell r="L48" t="str">
            <v>Proportional</v>
          </cell>
          <cell r="S48">
            <v>1085.8399999999999</v>
          </cell>
          <cell r="X48" t="str">
            <v>Claims - gross</v>
          </cell>
          <cell r="Y48" t="str">
            <v>Turkey</v>
          </cell>
        </row>
        <row r="49">
          <cell r="L49" t="str">
            <v>Non-proportional</v>
          </cell>
          <cell r="S49">
            <v>153520.24</v>
          </cell>
          <cell r="X49" t="str">
            <v>Claims - gross</v>
          </cell>
          <cell r="Y49" t="str">
            <v>SLOVENIA</v>
          </cell>
        </row>
        <row r="50">
          <cell r="L50" t="str">
            <v>Proportional</v>
          </cell>
          <cell r="S50">
            <v>2814.4</v>
          </cell>
          <cell r="X50" t="str">
            <v>Claims - gross</v>
          </cell>
          <cell r="Y50" t="str">
            <v>Turkey</v>
          </cell>
        </row>
        <row r="51">
          <cell r="L51" t="str">
            <v>Proportional</v>
          </cell>
          <cell r="S51">
            <v>368.48</v>
          </cell>
          <cell r="X51" t="str">
            <v>Claims - gross</v>
          </cell>
          <cell r="Y51" t="str">
            <v>PORTUGAL</v>
          </cell>
        </row>
        <row r="52">
          <cell r="L52"/>
          <cell r="S52">
            <v>600.99</v>
          </cell>
          <cell r="X52" t="str">
            <v>Claims - gross</v>
          </cell>
          <cell r="Y52" t="str">
            <v>PORTUGAL</v>
          </cell>
        </row>
        <row r="53">
          <cell r="L53" t="str">
            <v>Proportional</v>
          </cell>
          <cell r="S53">
            <v>-385.86</v>
          </cell>
          <cell r="X53" t="str">
            <v>Claims - gross</v>
          </cell>
          <cell r="Y53" t="str">
            <v>Turkey</v>
          </cell>
        </row>
        <row r="54">
          <cell r="L54" t="str">
            <v>Proportional</v>
          </cell>
          <cell r="S54">
            <v>8.0399999999999991</v>
          </cell>
          <cell r="X54" t="str">
            <v>Claims - gross</v>
          </cell>
          <cell r="Y54" t="str">
            <v>Turkey</v>
          </cell>
        </row>
        <row r="55">
          <cell r="L55" t="str">
            <v>Proportional</v>
          </cell>
          <cell r="S55">
            <v>23552.83</v>
          </cell>
          <cell r="X55" t="str">
            <v>Claims - gross</v>
          </cell>
          <cell r="Y55" t="str">
            <v>TURKEY</v>
          </cell>
        </row>
        <row r="56">
          <cell r="L56" t="str">
            <v>Non-proportional</v>
          </cell>
          <cell r="S56">
            <v>16004.28</v>
          </cell>
          <cell r="X56" t="str">
            <v>Claims - gross</v>
          </cell>
          <cell r="Y56" t="str">
            <v>ICELAND</v>
          </cell>
        </row>
        <row r="57">
          <cell r="L57" t="str">
            <v>Proportional</v>
          </cell>
          <cell r="S57">
            <v>130799.12</v>
          </cell>
          <cell r="X57" t="str">
            <v>Claims - gross</v>
          </cell>
          <cell r="Y57" t="str">
            <v>HONG KONG</v>
          </cell>
        </row>
        <row r="58">
          <cell r="L58" t="str">
            <v>Proportional</v>
          </cell>
          <cell r="S58">
            <v>109033.86</v>
          </cell>
          <cell r="X58" t="str">
            <v>Claims - gross</v>
          </cell>
          <cell r="Y58" t="str">
            <v>MEXICO</v>
          </cell>
        </row>
        <row r="59">
          <cell r="L59" t="str">
            <v>Proportional</v>
          </cell>
          <cell r="S59">
            <v>-9.1300000000000008</v>
          </cell>
          <cell r="X59" t="str">
            <v>Claims - gross</v>
          </cell>
          <cell r="Y59" t="str">
            <v>Turkey</v>
          </cell>
        </row>
        <row r="60">
          <cell r="L60" t="str">
            <v>Non-proportional</v>
          </cell>
          <cell r="S60">
            <v>33788.67</v>
          </cell>
          <cell r="X60" t="str">
            <v>Claims - gross</v>
          </cell>
          <cell r="Y60" t="str">
            <v>UNITED KINGDOM</v>
          </cell>
        </row>
        <row r="61">
          <cell r="L61"/>
          <cell r="S61">
            <v>932.08</v>
          </cell>
          <cell r="X61" t="str">
            <v>Claims - gross</v>
          </cell>
          <cell r="Y61" t="str">
            <v>PORTUGAL</v>
          </cell>
        </row>
        <row r="62">
          <cell r="L62" t="str">
            <v>Proportional</v>
          </cell>
          <cell r="S62">
            <v>2558.86</v>
          </cell>
          <cell r="X62" t="str">
            <v>Claims - gross</v>
          </cell>
          <cell r="Y62" t="str">
            <v>Turkey</v>
          </cell>
        </row>
        <row r="63">
          <cell r="L63" t="str">
            <v>Proportional</v>
          </cell>
          <cell r="S63">
            <v>146292.07999999999</v>
          </cell>
          <cell r="X63" t="str">
            <v>Claims - gross</v>
          </cell>
          <cell r="Y63" t="str">
            <v>Hong Kong</v>
          </cell>
        </row>
        <row r="64">
          <cell r="L64" t="str">
            <v>Proportional</v>
          </cell>
          <cell r="S64">
            <v>305422.48</v>
          </cell>
          <cell r="X64" t="str">
            <v>Claims - gross</v>
          </cell>
          <cell r="Y64" t="str">
            <v>THAILAND</v>
          </cell>
        </row>
        <row r="65">
          <cell r="L65" t="str">
            <v>Proportional</v>
          </cell>
          <cell r="S65">
            <v>263.07</v>
          </cell>
          <cell r="X65" t="str">
            <v>Claims - gross</v>
          </cell>
          <cell r="Y65" t="str">
            <v>Turkey</v>
          </cell>
        </row>
        <row r="66">
          <cell r="L66" t="str">
            <v>Proportional</v>
          </cell>
          <cell r="S66">
            <v>1142447.4099999999</v>
          </cell>
          <cell r="X66" t="str">
            <v>Claims - gross</v>
          </cell>
          <cell r="Y66" t="str">
            <v>HONG KONG</v>
          </cell>
        </row>
        <row r="67">
          <cell r="L67" t="str">
            <v>Non-proportional</v>
          </cell>
          <cell r="S67">
            <v>11341.2</v>
          </cell>
          <cell r="X67" t="str">
            <v>Claims - gross</v>
          </cell>
          <cell r="Y67" t="str">
            <v>GERMANY</v>
          </cell>
        </row>
        <row r="68">
          <cell r="L68" t="str">
            <v>Non-proportional</v>
          </cell>
          <cell r="S68">
            <v>1219438.29</v>
          </cell>
          <cell r="X68" t="str">
            <v>Claims - gross</v>
          </cell>
          <cell r="Y68" t="str">
            <v>AUSTRIA</v>
          </cell>
        </row>
        <row r="69">
          <cell r="L69" t="str">
            <v>Proportional</v>
          </cell>
          <cell r="S69">
            <v>5870.85</v>
          </cell>
          <cell r="X69" t="str">
            <v>Claims - gross</v>
          </cell>
          <cell r="Y69" t="str">
            <v>Turkey</v>
          </cell>
        </row>
        <row r="70">
          <cell r="L70" t="str">
            <v>Proportional</v>
          </cell>
          <cell r="S70">
            <v>65065.02</v>
          </cell>
          <cell r="X70" t="str">
            <v>Claims - gross</v>
          </cell>
          <cell r="Y70" t="str">
            <v>Turkey</v>
          </cell>
        </row>
        <row r="71">
          <cell r="L71" t="str">
            <v>Proportional</v>
          </cell>
          <cell r="S71">
            <v>1825.59</v>
          </cell>
          <cell r="X71" t="str">
            <v>Claims - gross</v>
          </cell>
          <cell r="Y71" t="str">
            <v>Turkey</v>
          </cell>
        </row>
        <row r="72">
          <cell r="L72" t="str">
            <v>Proportional</v>
          </cell>
          <cell r="S72">
            <v>133966.01</v>
          </cell>
          <cell r="X72" t="str">
            <v>Claims - gross</v>
          </cell>
          <cell r="Y72" t="str">
            <v>PORTUGAL</v>
          </cell>
        </row>
        <row r="73">
          <cell r="L73" t="str">
            <v>Proportional</v>
          </cell>
          <cell r="S73">
            <v>0.37</v>
          </cell>
          <cell r="X73" t="str">
            <v>Claims - gross</v>
          </cell>
          <cell r="Y73" t="str">
            <v>Turkey</v>
          </cell>
        </row>
        <row r="74">
          <cell r="L74" t="str">
            <v>Proportional</v>
          </cell>
          <cell r="S74">
            <v>5088.32</v>
          </cell>
          <cell r="X74" t="str">
            <v>Claims - gross</v>
          </cell>
          <cell r="Y74" t="str">
            <v>TURKEY</v>
          </cell>
        </row>
        <row r="75">
          <cell r="L75" t="str">
            <v>Proportional</v>
          </cell>
          <cell r="S75">
            <v>824.37</v>
          </cell>
          <cell r="X75" t="str">
            <v>Claims - gross</v>
          </cell>
          <cell r="Y75" t="str">
            <v>Turkey</v>
          </cell>
        </row>
        <row r="76">
          <cell r="L76" t="str">
            <v>Proportional</v>
          </cell>
          <cell r="S76">
            <v>4901.2700000000004</v>
          </cell>
          <cell r="X76" t="str">
            <v>Claims - gross</v>
          </cell>
          <cell r="Y76" t="str">
            <v>Turkey</v>
          </cell>
        </row>
        <row r="77">
          <cell r="L77" t="str">
            <v>Proportional</v>
          </cell>
          <cell r="S77">
            <v>5.76</v>
          </cell>
          <cell r="X77" t="str">
            <v>Claims - gross</v>
          </cell>
          <cell r="Y77" t="str">
            <v>Turkey</v>
          </cell>
        </row>
        <row r="78">
          <cell r="L78" t="str">
            <v>Proportional</v>
          </cell>
          <cell r="S78">
            <v>-41175.230000000003</v>
          </cell>
          <cell r="X78" t="str">
            <v>Claims - gross</v>
          </cell>
          <cell r="Y78" t="str">
            <v>MEXICO</v>
          </cell>
        </row>
        <row r="79">
          <cell r="L79"/>
          <cell r="S79">
            <v>7112.44</v>
          </cell>
          <cell r="X79" t="str">
            <v>Claims - gross</v>
          </cell>
          <cell r="Y79" t="str">
            <v>PORTUGAL</v>
          </cell>
        </row>
        <row r="80">
          <cell r="L80" t="str">
            <v>Proportional</v>
          </cell>
          <cell r="S80">
            <v>104457.31</v>
          </cell>
          <cell r="X80" t="str">
            <v>Claims - gross</v>
          </cell>
          <cell r="Y80" t="str">
            <v>THAILAND</v>
          </cell>
        </row>
        <row r="81">
          <cell r="L81" t="str">
            <v>Proportional</v>
          </cell>
          <cell r="S81">
            <v>6925.9</v>
          </cell>
          <cell r="X81" t="str">
            <v>Claims - gross</v>
          </cell>
          <cell r="Y81" t="str">
            <v>Turkey</v>
          </cell>
        </row>
        <row r="82">
          <cell r="L82" t="str">
            <v>Non-proportional</v>
          </cell>
          <cell r="S82">
            <v>-1219438.29</v>
          </cell>
          <cell r="X82" t="str">
            <v>Claims - gross</v>
          </cell>
          <cell r="Y82" t="str">
            <v>AUSTRIA</v>
          </cell>
        </row>
        <row r="83">
          <cell r="L83"/>
          <cell r="S83">
            <v>610.17999999999995</v>
          </cell>
          <cell r="X83" t="str">
            <v>Claims - gross</v>
          </cell>
          <cell r="Y83" t="str">
            <v>PORTUGAL</v>
          </cell>
        </row>
        <row r="84">
          <cell r="L84" t="str">
            <v>Non-proportional</v>
          </cell>
          <cell r="S84">
            <v>54801.120000000003</v>
          </cell>
          <cell r="X84" t="str">
            <v>Claims - gross</v>
          </cell>
          <cell r="Y84" t="str">
            <v>GERMANY</v>
          </cell>
        </row>
        <row r="85">
          <cell r="L85"/>
          <cell r="S85">
            <v>912.58</v>
          </cell>
          <cell r="X85" t="str">
            <v>Claims - gross</v>
          </cell>
          <cell r="Y85" t="str">
            <v>PORTUGAL</v>
          </cell>
        </row>
        <row r="86">
          <cell r="L86"/>
          <cell r="S86">
            <v>12.01</v>
          </cell>
          <cell r="X86" t="str">
            <v>Claims - gross</v>
          </cell>
          <cell r="Y86" t="str">
            <v>PORTUGAL</v>
          </cell>
        </row>
        <row r="87">
          <cell r="L87" t="str">
            <v>Proportional</v>
          </cell>
          <cell r="S87">
            <v>10886.91</v>
          </cell>
          <cell r="X87" t="str">
            <v>Claims - gross</v>
          </cell>
          <cell r="Y87" t="str">
            <v>PORTUGAL</v>
          </cell>
        </row>
        <row r="88">
          <cell r="L88" t="str">
            <v>Proportional</v>
          </cell>
          <cell r="S88">
            <v>26816.93</v>
          </cell>
          <cell r="X88" t="str">
            <v>Claims - gross</v>
          </cell>
          <cell r="Y88" t="str">
            <v>TURKEY</v>
          </cell>
        </row>
        <row r="89">
          <cell r="L89" t="str">
            <v>Proportional</v>
          </cell>
          <cell r="S89">
            <v>1361612.61</v>
          </cell>
          <cell r="X89" t="str">
            <v>Claims - gross</v>
          </cell>
          <cell r="Y89" t="str">
            <v>united states</v>
          </cell>
        </row>
        <row r="90">
          <cell r="L90"/>
          <cell r="S90">
            <v>21.82</v>
          </cell>
          <cell r="X90" t="str">
            <v>Claims - gross</v>
          </cell>
          <cell r="Y90" t="str">
            <v>PORTUGAL</v>
          </cell>
        </row>
        <row r="91">
          <cell r="L91" t="str">
            <v>Non-proportional</v>
          </cell>
          <cell r="S91">
            <v>609719.15</v>
          </cell>
          <cell r="X91" t="str">
            <v>Claims - gross</v>
          </cell>
          <cell r="Y91" t="str">
            <v>AUSTRIA</v>
          </cell>
        </row>
        <row r="92">
          <cell r="L92" t="str">
            <v>Proportional</v>
          </cell>
          <cell r="S92">
            <v>329.97</v>
          </cell>
          <cell r="X92" t="str">
            <v>Claims - gross</v>
          </cell>
          <cell r="Y92" t="str">
            <v>Portugal</v>
          </cell>
        </row>
        <row r="93">
          <cell r="L93" t="str">
            <v>Non-proportional</v>
          </cell>
          <cell r="S93">
            <v>12194.14</v>
          </cell>
          <cell r="X93" t="str">
            <v>Claims - gross</v>
          </cell>
          <cell r="Y93" t="str">
            <v>AUSTRIA</v>
          </cell>
        </row>
        <row r="94">
          <cell r="L94" t="str">
            <v>Proportional</v>
          </cell>
          <cell r="S94">
            <v>6030.88</v>
          </cell>
          <cell r="X94" t="str">
            <v>Claims - gross</v>
          </cell>
          <cell r="Y94" t="str">
            <v>Turkey</v>
          </cell>
        </row>
        <row r="95">
          <cell r="L95" t="str">
            <v>Non-proportional</v>
          </cell>
          <cell r="S95">
            <v>-31739.88</v>
          </cell>
          <cell r="X95" t="str">
            <v>Claims - gross</v>
          </cell>
          <cell r="Y95" t="str">
            <v>Portugal</v>
          </cell>
        </row>
        <row r="96">
          <cell r="L96" t="str">
            <v>Proportional</v>
          </cell>
          <cell r="S96">
            <v>80458.850000000006</v>
          </cell>
          <cell r="X96" t="str">
            <v>Claims - gross</v>
          </cell>
          <cell r="Y96" t="str">
            <v>Portugal</v>
          </cell>
        </row>
        <row r="97">
          <cell r="L97" t="str">
            <v>Proportional</v>
          </cell>
          <cell r="S97">
            <v>1042276.61</v>
          </cell>
          <cell r="X97" t="str">
            <v>Claims - gross</v>
          </cell>
          <cell r="Y97" t="str">
            <v>Hong Kong</v>
          </cell>
        </row>
        <row r="98">
          <cell r="L98"/>
          <cell r="S98">
            <v>1004.61</v>
          </cell>
          <cell r="X98" t="str">
            <v>Claims - gross</v>
          </cell>
          <cell r="Y98" t="str">
            <v>PORTUGAL</v>
          </cell>
        </row>
        <row r="99">
          <cell r="L99" t="str">
            <v>Proportional</v>
          </cell>
          <cell r="S99">
            <v>19691.29</v>
          </cell>
          <cell r="X99" t="str">
            <v>Claims - gross</v>
          </cell>
          <cell r="Y99" t="str">
            <v>PORTUGAL</v>
          </cell>
        </row>
        <row r="100">
          <cell r="L100" t="str">
            <v>Proportional</v>
          </cell>
          <cell r="S100">
            <v>1361612.61</v>
          </cell>
          <cell r="X100" t="str">
            <v>Claims - gross</v>
          </cell>
          <cell r="Y100" t="str">
            <v>UNITED STATES</v>
          </cell>
        </row>
        <row r="101">
          <cell r="L101"/>
          <cell r="S101">
            <v>9.14</v>
          </cell>
          <cell r="X101" t="str">
            <v>Claims - gross</v>
          </cell>
          <cell r="Y101" t="str">
            <v>Portugal</v>
          </cell>
        </row>
        <row r="102">
          <cell r="L102" t="str">
            <v>Non-proportional</v>
          </cell>
          <cell r="S102">
            <v>24388.27</v>
          </cell>
          <cell r="X102" t="str">
            <v>Claims - gross</v>
          </cell>
          <cell r="Y102" t="str">
            <v>AUSTRIA</v>
          </cell>
        </row>
        <row r="103">
          <cell r="L103" t="str">
            <v>Proportional</v>
          </cell>
          <cell r="S103">
            <v>6801.07</v>
          </cell>
          <cell r="X103" t="str">
            <v>Claims - gross</v>
          </cell>
          <cell r="Y103" t="str">
            <v>Turkey</v>
          </cell>
        </row>
        <row r="104">
          <cell r="L104" t="str">
            <v>Proportional</v>
          </cell>
          <cell r="S104">
            <v>-84342.59</v>
          </cell>
          <cell r="X104" t="str">
            <v>Claims - gross</v>
          </cell>
          <cell r="Y104" t="str">
            <v>MEXICO</v>
          </cell>
        </row>
        <row r="105">
          <cell r="L105" t="str">
            <v>Proportional</v>
          </cell>
          <cell r="S105">
            <v>349945.3</v>
          </cell>
          <cell r="X105" t="str">
            <v>Claims - gross</v>
          </cell>
          <cell r="Y105" t="str">
            <v>TURKEY</v>
          </cell>
        </row>
        <row r="106">
          <cell r="L106" t="str">
            <v>Non-proportional</v>
          </cell>
          <cell r="S106">
            <v>206023.12</v>
          </cell>
          <cell r="X106" t="str">
            <v>Claims - gross</v>
          </cell>
          <cell r="Y106" t="str">
            <v>TURKEY</v>
          </cell>
        </row>
        <row r="107">
          <cell r="L107" t="str">
            <v>Proportional</v>
          </cell>
          <cell r="S107">
            <v>1631.58</v>
          </cell>
          <cell r="X107" t="str">
            <v>Claims - gross</v>
          </cell>
          <cell r="Y107" t="str">
            <v>TURKEY</v>
          </cell>
        </row>
        <row r="108">
          <cell r="L108" t="str">
            <v>Proportional</v>
          </cell>
          <cell r="S108">
            <v>-38.450000000000003</v>
          </cell>
          <cell r="X108" t="str">
            <v>Claims - gross</v>
          </cell>
          <cell r="Y108" t="str">
            <v>Turkey</v>
          </cell>
        </row>
        <row r="109">
          <cell r="L109" t="str">
            <v>Non-proportional</v>
          </cell>
          <cell r="S109">
            <v>300262.03999999998</v>
          </cell>
          <cell r="X109" t="str">
            <v>Claims - gross</v>
          </cell>
          <cell r="Y109" t="str">
            <v>UNITED KINGDOM</v>
          </cell>
        </row>
        <row r="110">
          <cell r="L110" t="str">
            <v>Proportional</v>
          </cell>
          <cell r="S110">
            <v>93625.83</v>
          </cell>
          <cell r="X110" t="str">
            <v>Claims - gross</v>
          </cell>
          <cell r="Y110" t="str">
            <v>MEXICO</v>
          </cell>
        </row>
        <row r="111">
          <cell r="L111" t="str">
            <v>Proportional</v>
          </cell>
          <cell r="S111">
            <v>1201.8499999999999</v>
          </cell>
          <cell r="X111" t="str">
            <v>Claims - gross</v>
          </cell>
          <cell r="Y111" t="str">
            <v>MEXICO</v>
          </cell>
        </row>
        <row r="112">
          <cell r="L112" t="str">
            <v>Non-proportional</v>
          </cell>
          <cell r="S112">
            <v>275341.94</v>
          </cell>
          <cell r="X112" t="str">
            <v>Claims - gross</v>
          </cell>
          <cell r="Y112" t="str">
            <v>GERMANY</v>
          </cell>
        </row>
        <row r="113">
          <cell r="L113" t="str">
            <v>Proportional</v>
          </cell>
          <cell r="S113">
            <v>2937896.6</v>
          </cell>
          <cell r="X113" t="str">
            <v>Claims - gross</v>
          </cell>
          <cell r="Y113" t="str">
            <v>PORTUGAL</v>
          </cell>
        </row>
        <row r="114">
          <cell r="L114"/>
          <cell r="S114">
            <v>177.09</v>
          </cell>
          <cell r="X114" t="str">
            <v>Claims - gross</v>
          </cell>
          <cell r="Y114" t="str">
            <v>PORTUGAL</v>
          </cell>
        </row>
        <row r="115">
          <cell r="L115" t="str">
            <v>Proportional</v>
          </cell>
          <cell r="S115">
            <v>60352.18</v>
          </cell>
          <cell r="X115" t="str">
            <v>Claims - gross</v>
          </cell>
          <cell r="Y115" t="str">
            <v>MEXICO</v>
          </cell>
        </row>
        <row r="116">
          <cell r="L116" t="str">
            <v>Proportional</v>
          </cell>
          <cell r="S116">
            <v>1221.3699999999999</v>
          </cell>
          <cell r="X116" t="str">
            <v>Claims - gross</v>
          </cell>
          <cell r="Y116" t="str">
            <v>Turkey</v>
          </cell>
        </row>
        <row r="117">
          <cell r="L117" t="str">
            <v>Non-proportional</v>
          </cell>
          <cell r="S117">
            <v>226664.66</v>
          </cell>
          <cell r="X117" t="str">
            <v>Claims - gross</v>
          </cell>
          <cell r="Y117" t="str">
            <v>JAPAN</v>
          </cell>
        </row>
        <row r="118">
          <cell r="L118" t="str">
            <v>Non-proportional</v>
          </cell>
          <cell r="S118">
            <v>55966.78</v>
          </cell>
          <cell r="X118" t="str">
            <v>Claims - gross</v>
          </cell>
          <cell r="Y118" t="str">
            <v>CZECH REPUBLIC</v>
          </cell>
        </row>
        <row r="119">
          <cell r="L119"/>
          <cell r="S119">
            <v>2372.3200000000002</v>
          </cell>
          <cell r="X119" t="str">
            <v>Claims - gross</v>
          </cell>
          <cell r="Y119" t="str">
            <v>PORTUGAL</v>
          </cell>
        </row>
        <row r="120">
          <cell r="L120" t="str">
            <v>Non-proportional</v>
          </cell>
          <cell r="S120">
            <v>6228.66</v>
          </cell>
          <cell r="X120" t="str">
            <v>Claims - gross</v>
          </cell>
          <cell r="Y120" t="str">
            <v>TURKEY</v>
          </cell>
        </row>
        <row r="121">
          <cell r="L121" t="str">
            <v>Proportional</v>
          </cell>
          <cell r="S121">
            <v>3643.42</v>
          </cell>
          <cell r="X121" t="str">
            <v>Claims - gross</v>
          </cell>
          <cell r="Y121" t="str">
            <v>Turkey</v>
          </cell>
        </row>
        <row r="122">
          <cell r="L122" t="str">
            <v>Proportional</v>
          </cell>
          <cell r="S122">
            <v>532208.65</v>
          </cell>
          <cell r="X122" t="str">
            <v>Claims - gross</v>
          </cell>
          <cell r="Y122" t="str">
            <v>AUSTRIA</v>
          </cell>
        </row>
        <row r="123">
          <cell r="L123" t="str">
            <v>Proportional</v>
          </cell>
          <cell r="S123">
            <v>4351.09</v>
          </cell>
          <cell r="X123" t="str">
            <v>Claims - gross</v>
          </cell>
          <cell r="Y123" t="str">
            <v>Turkey</v>
          </cell>
        </row>
        <row r="124">
          <cell r="L124" t="str">
            <v>Proportional</v>
          </cell>
          <cell r="S124">
            <v>98.02</v>
          </cell>
          <cell r="X124" t="str">
            <v>Claims - gross</v>
          </cell>
          <cell r="Y124" t="str">
            <v>TURKEY</v>
          </cell>
        </row>
        <row r="125">
          <cell r="L125" t="str">
            <v>Proportional</v>
          </cell>
          <cell r="S125">
            <v>47227.89</v>
          </cell>
          <cell r="X125" t="str">
            <v>Claims - gross</v>
          </cell>
          <cell r="Y125" t="str">
            <v>PORTUGAL</v>
          </cell>
        </row>
        <row r="126">
          <cell r="L126" t="str">
            <v>Proportional</v>
          </cell>
          <cell r="S126">
            <v>364215.59</v>
          </cell>
          <cell r="X126" t="str">
            <v>Claims - gross</v>
          </cell>
          <cell r="Y126" t="str">
            <v>HONG KONG</v>
          </cell>
        </row>
        <row r="127">
          <cell r="L127" t="str">
            <v>Proportional</v>
          </cell>
          <cell r="S127">
            <v>142366.54</v>
          </cell>
          <cell r="X127" t="str">
            <v>Claims - gross</v>
          </cell>
          <cell r="Y127" t="str">
            <v>HONG KONG</v>
          </cell>
        </row>
        <row r="128">
          <cell r="L128" t="str">
            <v>Proportional</v>
          </cell>
          <cell r="S128">
            <v>444299.56</v>
          </cell>
          <cell r="X128" t="str">
            <v>Claims - gross</v>
          </cell>
          <cell r="Y128" t="str">
            <v>TURKEY</v>
          </cell>
        </row>
        <row r="129">
          <cell r="L129" t="str">
            <v>Non-proportional</v>
          </cell>
          <cell r="S129">
            <v>-31150.240000000002</v>
          </cell>
          <cell r="X129" t="str">
            <v>Claims - gross</v>
          </cell>
          <cell r="Y129" t="str">
            <v>Portugal</v>
          </cell>
        </row>
        <row r="130">
          <cell r="L130" t="str">
            <v>Proportional</v>
          </cell>
          <cell r="S130">
            <v>-1361612.61</v>
          </cell>
          <cell r="X130" t="str">
            <v>Claims - gross</v>
          </cell>
          <cell r="Y130" t="str">
            <v>united states</v>
          </cell>
        </row>
        <row r="131">
          <cell r="L131" t="str">
            <v>Proportional</v>
          </cell>
          <cell r="S131">
            <v>100618.98</v>
          </cell>
          <cell r="X131" t="str">
            <v>Claims - gross</v>
          </cell>
          <cell r="Y131" t="str">
            <v>MEXICO</v>
          </cell>
        </row>
        <row r="132">
          <cell r="L132" t="str">
            <v>Proportional</v>
          </cell>
          <cell r="S132">
            <v>7786.33</v>
          </cell>
          <cell r="X132" t="str">
            <v>Claims - gross</v>
          </cell>
          <cell r="Y132" t="str">
            <v>THAILAND</v>
          </cell>
        </row>
        <row r="133">
          <cell r="L133" t="str">
            <v>Proportional</v>
          </cell>
          <cell r="S133">
            <v>15745.05</v>
          </cell>
          <cell r="X133" t="str">
            <v>Claims - gross</v>
          </cell>
          <cell r="Y133" t="str">
            <v>Turkey</v>
          </cell>
        </row>
        <row r="134">
          <cell r="L134" t="str">
            <v>Proportional</v>
          </cell>
          <cell r="S134">
            <v>4296.78</v>
          </cell>
          <cell r="X134" t="str">
            <v>Claims - gross</v>
          </cell>
          <cell r="Y134" t="str">
            <v>TURKEY</v>
          </cell>
        </row>
        <row r="135">
          <cell r="L135" t="str">
            <v>Non-proportional</v>
          </cell>
          <cell r="S135">
            <v>-24388.27</v>
          </cell>
          <cell r="X135" t="str">
            <v>Claims - gross</v>
          </cell>
          <cell r="Y135" t="str">
            <v>AUSTRIA</v>
          </cell>
        </row>
        <row r="136">
          <cell r="L136" t="str">
            <v>Proportional</v>
          </cell>
          <cell r="S136">
            <v>35180.46</v>
          </cell>
          <cell r="X136" t="str">
            <v>Claims - gross</v>
          </cell>
          <cell r="Y136" t="str">
            <v>THAILAND</v>
          </cell>
        </row>
        <row r="137">
          <cell r="L137" t="str">
            <v>Proportional</v>
          </cell>
          <cell r="S137">
            <v>56855.98</v>
          </cell>
          <cell r="X137" t="str">
            <v>Claims - gross</v>
          </cell>
          <cell r="Y137" t="str">
            <v>Thailand</v>
          </cell>
        </row>
        <row r="138">
          <cell r="L138" t="str">
            <v>Proportional</v>
          </cell>
          <cell r="S138">
            <v>767.77</v>
          </cell>
          <cell r="X138" t="str">
            <v>Claims - gross</v>
          </cell>
          <cell r="Y138" t="str">
            <v>THAILAND</v>
          </cell>
        </row>
        <row r="139">
          <cell r="L139" t="str">
            <v>Proportional</v>
          </cell>
          <cell r="S139">
            <v>29.23</v>
          </cell>
          <cell r="X139" t="str">
            <v>Claims - gross</v>
          </cell>
          <cell r="Y139" t="str">
            <v>Thailand</v>
          </cell>
        </row>
        <row r="140">
          <cell r="L140" t="str">
            <v>Non-proportional</v>
          </cell>
          <cell r="S140">
            <v>354811.2</v>
          </cell>
          <cell r="X140" t="str">
            <v>Claims - gross</v>
          </cell>
          <cell r="Y140" t="str">
            <v>UNITED KINGDOM</v>
          </cell>
        </row>
        <row r="141">
          <cell r="L141" t="str">
            <v>Non-proportional</v>
          </cell>
          <cell r="S141">
            <v>36076</v>
          </cell>
          <cell r="X141" t="str">
            <v>Claims - gross</v>
          </cell>
          <cell r="Y141" t="str">
            <v>CZECH REPUBLIC</v>
          </cell>
        </row>
        <row r="142">
          <cell r="L142" t="str">
            <v>Proportional</v>
          </cell>
          <cell r="S142">
            <v>12.46</v>
          </cell>
          <cell r="X142" t="str">
            <v>Claims - gross</v>
          </cell>
          <cell r="Y142" t="str">
            <v>Hong Kong</v>
          </cell>
        </row>
        <row r="143">
          <cell r="L143" t="str">
            <v>Proportional</v>
          </cell>
          <cell r="S143">
            <v>14410.93</v>
          </cell>
          <cell r="X143" t="str">
            <v>Claims - gross</v>
          </cell>
          <cell r="Y143" t="str">
            <v>India</v>
          </cell>
        </row>
        <row r="144">
          <cell r="L144" t="str">
            <v>Proportional</v>
          </cell>
          <cell r="S144">
            <v>1734705.46</v>
          </cell>
          <cell r="X144" t="str">
            <v>Claims - gross</v>
          </cell>
          <cell r="Y144" t="str">
            <v>UNITED STATES</v>
          </cell>
        </row>
        <row r="145">
          <cell r="L145" t="str">
            <v>Non-proportional</v>
          </cell>
          <cell r="S145">
            <v>23768.83</v>
          </cell>
          <cell r="X145" t="str">
            <v>Claims - gross</v>
          </cell>
          <cell r="Y145" t="str">
            <v>CZECH REPUBLIC</v>
          </cell>
        </row>
        <row r="146">
          <cell r="L146" t="str">
            <v>Proportional</v>
          </cell>
          <cell r="S146">
            <v>10774.28</v>
          </cell>
          <cell r="X146" t="str">
            <v>Claims - gross</v>
          </cell>
          <cell r="Y146" t="str">
            <v>THAILAND</v>
          </cell>
        </row>
        <row r="147">
          <cell r="L147" t="str">
            <v>Proportional</v>
          </cell>
          <cell r="S147">
            <v>2019.04</v>
          </cell>
          <cell r="X147" t="str">
            <v>Claims - gross</v>
          </cell>
          <cell r="Y147" t="str">
            <v>Thailand</v>
          </cell>
        </row>
        <row r="148">
          <cell r="L148" t="str">
            <v>Non-proportional</v>
          </cell>
          <cell r="S148">
            <v>4598</v>
          </cell>
          <cell r="X148" t="str">
            <v>Claims - gross</v>
          </cell>
          <cell r="Y148" t="str">
            <v>ICELAND</v>
          </cell>
        </row>
        <row r="149">
          <cell r="L149" t="str">
            <v>Proportional</v>
          </cell>
          <cell r="S149">
            <v>2072.42</v>
          </cell>
          <cell r="X149" t="str">
            <v>Claims - gross</v>
          </cell>
          <cell r="Y149" t="str">
            <v>THAILAND</v>
          </cell>
        </row>
        <row r="150">
          <cell r="L150" t="str">
            <v>Proportional</v>
          </cell>
          <cell r="S150">
            <v>82925.56</v>
          </cell>
          <cell r="X150" t="str">
            <v>Claims - gross</v>
          </cell>
          <cell r="Y150" t="str">
            <v>HONG KONG</v>
          </cell>
        </row>
        <row r="151">
          <cell r="L151" t="str">
            <v>Proportional</v>
          </cell>
          <cell r="S151">
            <v>10859.99</v>
          </cell>
          <cell r="X151" t="str">
            <v>Claims - gross</v>
          </cell>
          <cell r="Y151" t="str">
            <v>THAILAND</v>
          </cell>
        </row>
        <row r="152">
          <cell r="L152" t="str">
            <v>Non-proportional</v>
          </cell>
          <cell r="S152">
            <v>83932.49</v>
          </cell>
          <cell r="X152" t="str">
            <v>Claims - gross</v>
          </cell>
          <cell r="Y152" t="str">
            <v>CZECH REPUBLIC</v>
          </cell>
        </row>
        <row r="153">
          <cell r="L153" t="str">
            <v>Proportional</v>
          </cell>
          <cell r="S153">
            <v>23199.68</v>
          </cell>
          <cell r="X153" t="str">
            <v>Claims - gross</v>
          </cell>
          <cell r="Y153" t="str">
            <v>INDIA</v>
          </cell>
        </row>
        <row r="154">
          <cell r="L154" t="str">
            <v>Proportional</v>
          </cell>
          <cell r="S154">
            <v>11430.75</v>
          </cell>
          <cell r="X154" t="str">
            <v>Claims - gross</v>
          </cell>
          <cell r="Y154" t="str">
            <v>India</v>
          </cell>
        </row>
        <row r="155">
          <cell r="L155" t="str">
            <v>Proportional</v>
          </cell>
          <cell r="S155">
            <v>28.83</v>
          </cell>
          <cell r="X155" t="str">
            <v>Claims - gross</v>
          </cell>
          <cell r="Y155" t="str">
            <v>INDIA</v>
          </cell>
        </row>
        <row r="156">
          <cell r="L156" t="str">
            <v>Proportional</v>
          </cell>
          <cell r="S156">
            <v>7629.12</v>
          </cell>
          <cell r="X156" t="str">
            <v>Claims - gross</v>
          </cell>
          <cell r="Y156" t="str">
            <v>THAILAND</v>
          </cell>
        </row>
        <row r="157">
          <cell r="L157" t="str">
            <v>Proportional</v>
          </cell>
          <cell r="S157">
            <v>3833.73</v>
          </cell>
          <cell r="X157" t="str">
            <v>Claims - gross</v>
          </cell>
          <cell r="Y157" t="str">
            <v>THAILAND</v>
          </cell>
        </row>
        <row r="158">
          <cell r="L158" t="str">
            <v>Proportional</v>
          </cell>
          <cell r="S158">
            <v>661.69</v>
          </cell>
          <cell r="X158" t="str">
            <v>Claims - gross</v>
          </cell>
          <cell r="Y158" t="str">
            <v>Thailand</v>
          </cell>
        </row>
        <row r="159">
          <cell r="L159" t="str">
            <v>Proportional</v>
          </cell>
          <cell r="S159">
            <v>888.26</v>
          </cell>
          <cell r="X159" t="str">
            <v>Claims - gross</v>
          </cell>
          <cell r="Y159" t="str">
            <v>India</v>
          </cell>
        </row>
        <row r="160">
          <cell r="L160" t="str">
            <v>Proportional</v>
          </cell>
          <cell r="S160">
            <v>9151.5</v>
          </cell>
          <cell r="X160" t="str">
            <v>Claims - gross</v>
          </cell>
          <cell r="Y160" t="str">
            <v>THAILAND</v>
          </cell>
        </row>
        <row r="161">
          <cell r="L161" t="str">
            <v>Proportional</v>
          </cell>
          <cell r="S161">
            <v>2263.15</v>
          </cell>
          <cell r="X161" t="str">
            <v>Claims - gross</v>
          </cell>
          <cell r="Y161" t="str">
            <v>Thailand</v>
          </cell>
        </row>
        <row r="162">
          <cell r="L162" t="str">
            <v>Proportional</v>
          </cell>
          <cell r="S162">
            <v>1170.29</v>
          </cell>
          <cell r="X162" t="str">
            <v>Claims - gross</v>
          </cell>
          <cell r="Y162" t="str">
            <v>Thailand</v>
          </cell>
        </row>
        <row r="163">
          <cell r="L163" t="str">
            <v>Proportional</v>
          </cell>
          <cell r="S163">
            <v>10536.93</v>
          </cell>
          <cell r="X163" t="str">
            <v>Claims - gross</v>
          </cell>
          <cell r="Y163" t="str">
            <v>INDIA</v>
          </cell>
        </row>
        <row r="164">
          <cell r="L164" t="str">
            <v>Proportional</v>
          </cell>
          <cell r="S164">
            <v>44797.32</v>
          </cell>
          <cell r="X164" t="str">
            <v>Claims - gross</v>
          </cell>
          <cell r="Y164" t="str">
            <v>THAILAND</v>
          </cell>
        </row>
        <row r="165">
          <cell r="L165" t="str">
            <v>Proportional</v>
          </cell>
          <cell r="S165">
            <v>1675166</v>
          </cell>
          <cell r="X165" t="str">
            <v>Claims - gross</v>
          </cell>
          <cell r="Y165" t="str">
            <v>THAILAND</v>
          </cell>
        </row>
        <row r="166">
          <cell r="L166" t="str">
            <v>Proportional</v>
          </cell>
          <cell r="S166">
            <v>238765.6</v>
          </cell>
          <cell r="X166" t="str">
            <v>Claims - gross</v>
          </cell>
          <cell r="Y166" t="str">
            <v>India</v>
          </cell>
        </row>
        <row r="167">
          <cell r="L167" t="str">
            <v>Non-proportional</v>
          </cell>
          <cell r="S167">
            <v>15786.01</v>
          </cell>
          <cell r="X167" t="str">
            <v>Claims - gross</v>
          </cell>
          <cell r="Y167" t="str">
            <v>CZECH REPUBLIC</v>
          </cell>
        </row>
        <row r="168">
          <cell r="L168" t="str">
            <v>Proportional</v>
          </cell>
          <cell r="S168">
            <v>42921.22</v>
          </cell>
          <cell r="X168" t="str">
            <v>Claims - gross</v>
          </cell>
          <cell r="Y168" t="str">
            <v>THAILAND</v>
          </cell>
        </row>
        <row r="169">
          <cell r="L169" t="str">
            <v>Proportional</v>
          </cell>
          <cell r="S169">
            <v>736.17</v>
          </cell>
          <cell r="X169" t="str">
            <v>Claims - gross</v>
          </cell>
          <cell r="Y169" t="str">
            <v>THAILAND</v>
          </cell>
        </row>
        <row r="170">
          <cell r="L170" t="str">
            <v>Proportional</v>
          </cell>
          <cell r="S170">
            <v>9191.7099999999991</v>
          </cell>
          <cell r="X170" t="str">
            <v>Claims - gross</v>
          </cell>
          <cell r="Y170" t="str">
            <v>THAILAND</v>
          </cell>
        </row>
        <row r="171">
          <cell r="L171" t="str">
            <v>Proportional</v>
          </cell>
          <cell r="S171">
            <v>119250.37</v>
          </cell>
          <cell r="X171" t="str">
            <v>Claims - gross</v>
          </cell>
          <cell r="Y171" t="str">
            <v>THAILAND</v>
          </cell>
        </row>
        <row r="172">
          <cell r="L172" t="str">
            <v>Proportional</v>
          </cell>
          <cell r="S172">
            <v>1734705.46</v>
          </cell>
          <cell r="X172" t="str">
            <v>Claims - gross</v>
          </cell>
          <cell r="Y172" t="str">
            <v>UNITED STATES</v>
          </cell>
        </row>
        <row r="173">
          <cell r="L173" t="str">
            <v>Proportional</v>
          </cell>
          <cell r="S173">
            <v>223.08</v>
          </cell>
          <cell r="X173" t="str">
            <v>Claims - gross</v>
          </cell>
          <cell r="Y173" t="str">
            <v>Hong Kong</v>
          </cell>
        </row>
        <row r="174">
          <cell r="L174" t="str">
            <v>Proportional</v>
          </cell>
          <cell r="S174">
            <v>183030.38</v>
          </cell>
          <cell r="X174" t="str">
            <v>Claims - gross</v>
          </cell>
          <cell r="Y174" t="str">
            <v>THAILAND</v>
          </cell>
        </row>
        <row r="175">
          <cell r="L175" t="str">
            <v>Proportional</v>
          </cell>
          <cell r="S175">
            <v>2612.34</v>
          </cell>
          <cell r="X175" t="str">
            <v>Claims - gross</v>
          </cell>
          <cell r="Y175" t="str">
            <v>HONG KONG</v>
          </cell>
        </row>
        <row r="176">
          <cell r="L176" t="str">
            <v>Proportional</v>
          </cell>
          <cell r="S176">
            <v>39.65</v>
          </cell>
          <cell r="X176" t="str">
            <v>Claims - gross</v>
          </cell>
          <cell r="Y176" t="str">
            <v>Hong Kong</v>
          </cell>
        </row>
        <row r="177">
          <cell r="L177" t="str">
            <v>Non-proportional</v>
          </cell>
          <cell r="S177">
            <v>67904.98</v>
          </cell>
          <cell r="X177" t="str">
            <v>Claims - gross</v>
          </cell>
          <cell r="Y177" t="str">
            <v>Belgium</v>
          </cell>
        </row>
        <row r="178">
          <cell r="L178" t="str">
            <v>Proportional</v>
          </cell>
          <cell r="S178">
            <v>45279.13</v>
          </cell>
          <cell r="X178" t="str">
            <v>Claims - gross</v>
          </cell>
          <cell r="Y178" t="str">
            <v>THAILAND</v>
          </cell>
        </row>
        <row r="179">
          <cell r="L179" t="str">
            <v>Non-proportional</v>
          </cell>
          <cell r="S179">
            <v>26865.200000000001</v>
          </cell>
          <cell r="X179" t="str">
            <v>Claims - gross</v>
          </cell>
          <cell r="Y179" t="str">
            <v>FRANCE</v>
          </cell>
        </row>
        <row r="180">
          <cell r="L180" t="str">
            <v>Proportional</v>
          </cell>
          <cell r="S180">
            <v>-1734705.46</v>
          </cell>
          <cell r="X180" t="str">
            <v>Claims - gross</v>
          </cell>
          <cell r="Y180" t="str">
            <v>UNITED STATES</v>
          </cell>
        </row>
        <row r="181">
          <cell r="L181" t="str">
            <v>Non-proportional</v>
          </cell>
          <cell r="S181">
            <v>27133.34</v>
          </cell>
          <cell r="X181" t="str">
            <v>Claims - gross</v>
          </cell>
          <cell r="Y181" t="str">
            <v>Belgium</v>
          </cell>
        </row>
        <row r="182">
          <cell r="L182" t="str">
            <v>Proportional</v>
          </cell>
          <cell r="S182">
            <v>393095.1</v>
          </cell>
          <cell r="X182" t="str">
            <v>Claims - gross</v>
          </cell>
          <cell r="Y182" t="str">
            <v>THAILAND</v>
          </cell>
        </row>
        <row r="183">
          <cell r="L183" t="str">
            <v>Proportional</v>
          </cell>
          <cell r="S183">
            <v>251.09</v>
          </cell>
          <cell r="X183" t="str">
            <v>Claims - gross</v>
          </cell>
          <cell r="Y183" t="str">
            <v>Hong Kong</v>
          </cell>
        </row>
        <row r="184">
          <cell r="L184" t="str">
            <v>Proportional</v>
          </cell>
          <cell r="S184">
            <v>-109203.71</v>
          </cell>
          <cell r="X184" t="str">
            <v>Claims - gross</v>
          </cell>
          <cell r="Y184" t="str">
            <v>THAILAND</v>
          </cell>
        </row>
        <row r="185">
          <cell r="L185" t="str">
            <v>Proportional</v>
          </cell>
          <cell r="S185">
            <v>8411.7900000000009</v>
          </cell>
          <cell r="X185" t="str">
            <v>Claims - gross</v>
          </cell>
          <cell r="Y185" t="str">
            <v>India</v>
          </cell>
        </row>
        <row r="186">
          <cell r="L186" t="str">
            <v>Non-proportional</v>
          </cell>
          <cell r="S186">
            <v>229098.51</v>
          </cell>
          <cell r="X186" t="str">
            <v>Claims - gross</v>
          </cell>
          <cell r="Y186" t="str">
            <v>Belgium</v>
          </cell>
        </row>
        <row r="187">
          <cell r="L187" t="str">
            <v>Proportional</v>
          </cell>
          <cell r="S187">
            <v>74.13</v>
          </cell>
          <cell r="X187" t="str">
            <v>Claims - gross</v>
          </cell>
          <cell r="Y187" t="str">
            <v>Thailand</v>
          </cell>
        </row>
        <row r="188">
          <cell r="L188" t="str">
            <v>Proportional</v>
          </cell>
          <cell r="S188">
            <v>15539.86</v>
          </cell>
          <cell r="X188" t="str">
            <v>Claims - gross</v>
          </cell>
          <cell r="Y188" t="str">
            <v>India</v>
          </cell>
        </row>
        <row r="189">
          <cell r="L189" t="str">
            <v>Proportional</v>
          </cell>
          <cell r="S189">
            <v>23.69</v>
          </cell>
          <cell r="X189" t="str">
            <v>Claims - gross</v>
          </cell>
          <cell r="Y189" t="str">
            <v>Thailand</v>
          </cell>
        </row>
        <row r="190">
          <cell r="L190" t="str">
            <v>Proportional</v>
          </cell>
          <cell r="S190">
            <v>1352.63</v>
          </cell>
          <cell r="X190" t="str">
            <v>Claims - gross</v>
          </cell>
          <cell r="Y190" t="str">
            <v>Hong Kong</v>
          </cell>
        </row>
        <row r="191">
          <cell r="L191" t="str">
            <v>Proportional</v>
          </cell>
          <cell r="S191">
            <v>51.26</v>
          </cell>
          <cell r="X191" t="str">
            <v>Claims - gross</v>
          </cell>
          <cell r="Y191" t="str">
            <v>HONG KONG</v>
          </cell>
        </row>
        <row r="192">
          <cell r="L192" t="str">
            <v>Proportional</v>
          </cell>
          <cell r="S192">
            <v>242.95</v>
          </cell>
          <cell r="X192" t="str">
            <v>Claims - gross</v>
          </cell>
          <cell r="Y192" t="str">
            <v>Thailand</v>
          </cell>
        </row>
        <row r="193">
          <cell r="L193" t="str">
            <v>Non-proportional</v>
          </cell>
          <cell r="S193">
            <v>165500</v>
          </cell>
          <cell r="X193" t="str">
            <v>Claims - gross</v>
          </cell>
          <cell r="Y193" t="str">
            <v>Belgium</v>
          </cell>
        </row>
        <row r="194">
          <cell r="L194" t="str">
            <v>Proportional</v>
          </cell>
          <cell r="S194">
            <v>10.51</v>
          </cell>
          <cell r="X194" t="str">
            <v>Claims - gross</v>
          </cell>
          <cell r="Y194" t="str">
            <v>India</v>
          </cell>
        </row>
        <row r="195">
          <cell r="L195" t="str">
            <v>Proportional</v>
          </cell>
          <cell r="S195">
            <v>28.1</v>
          </cell>
          <cell r="X195" t="str">
            <v>Claims - gross</v>
          </cell>
          <cell r="Y195" t="str">
            <v>Thailand</v>
          </cell>
        </row>
        <row r="196">
          <cell r="L196" t="str">
            <v>Proportional</v>
          </cell>
          <cell r="S196">
            <v>-188.38</v>
          </cell>
          <cell r="X196" t="str">
            <v>Claims - gross</v>
          </cell>
          <cell r="Y196" t="str">
            <v>Thailand</v>
          </cell>
        </row>
        <row r="197">
          <cell r="L197" t="str">
            <v>Proportional</v>
          </cell>
          <cell r="S197">
            <v>-28.83</v>
          </cell>
          <cell r="X197" t="str">
            <v>Claims - gross</v>
          </cell>
          <cell r="Y197" t="str">
            <v>INDIA</v>
          </cell>
        </row>
        <row r="198">
          <cell r="L198" t="str">
            <v>Non-proportional</v>
          </cell>
          <cell r="S198">
            <v>55026.81</v>
          </cell>
          <cell r="X198" t="str">
            <v>Claims - gross</v>
          </cell>
          <cell r="Y198" t="str">
            <v>FRANCE</v>
          </cell>
        </row>
        <row r="199">
          <cell r="L199" t="str">
            <v>Proportional</v>
          </cell>
          <cell r="S199">
            <v>236.23</v>
          </cell>
          <cell r="X199" t="str">
            <v>Claims - gross</v>
          </cell>
          <cell r="Y199" t="str">
            <v>Thailand</v>
          </cell>
        </row>
        <row r="200">
          <cell r="L200" t="str">
            <v>Proportional</v>
          </cell>
          <cell r="S200">
            <v>28086.89</v>
          </cell>
          <cell r="X200" t="str">
            <v>Claims - gross</v>
          </cell>
          <cell r="Y200" t="str">
            <v>THAILAND</v>
          </cell>
        </row>
        <row r="201">
          <cell r="L201" t="str">
            <v>Proportional</v>
          </cell>
          <cell r="S201">
            <v>9513.4599999999991</v>
          </cell>
          <cell r="X201" t="str">
            <v>Claims - gross</v>
          </cell>
          <cell r="Y201" t="str">
            <v>Thailand</v>
          </cell>
        </row>
        <row r="202">
          <cell r="L202" t="str">
            <v>Proportional</v>
          </cell>
          <cell r="S202">
            <v>2425242.9900000002</v>
          </cell>
          <cell r="X202" t="str">
            <v>Claims - gross</v>
          </cell>
          <cell r="Y202" t="str">
            <v>THAILAND</v>
          </cell>
        </row>
        <row r="203">
          <cell r="L203" t="str">
            <v>Proportional</v>
          </cell>
          <cell r="S203">
            <v>1153</v>
          </cell>
          <cell r="X203" t="str">
            <v>Claims - gross</v>
          </cell>
          <cell r="Y203" t="str">
            <v>INDIA</v>
          </cell>
        </row>
        <row r="204">
          <cell r="L204" t="str">
            <v>Non-proportional</v>
          </cell>
          <cell r="S204">
            <v>12730.2</v>
          </cell>
          <cell r="X204" t="str">
            <v>Claims - gross</v>
          </cell>
          <cell r="Y204" t="str">
            <v>United kingdom</v>
          </cell>
        </row>
        <row r="205">
          <cell r="L205" t="str">
            <v>Proportional</v>
          </cell>
          <cell r="S205">
            <v>14711.78</v>
          </cell>
          <cell r="X205" t="str">
            <v>Claims - gross</v>
          </cell>
          <cell r="Y205" t="str">
            <v>India</v>
          </cell>
        </row>
        <row r="206">
          <cell r="L206" t="str">
            <v>Proportional</v>
          </cell>
          <cell r="S206">
            <v>2761.38</v>
          </cell>
          <cell r="X206" t="str">
            <v>Claims - gross</v>
          </cell>
          <cell r="Y206" t="str">
            <v>Thailand</v>
          </cell>
        </row>
        <row r="207">
          <cell r="L207" t="str">
            <v>Proportional</v>
          </cell>
          <cell r="S207">
            <v>1689.53</v>
          </cell>
          <cell r="X207" t="str">
            <v>Claims - gross</v>
          </cell>
          <cell r="Y207" t="str">
            <v>Thailand</v>
          </cell>
        </row>
        <row r="208">
          <cell r="L208" t="str">
            <v>Proportional</v>
          </cell>
          <cell r="S208">
            <v>6039.97</v>
          </cell>
          <cell r="X208" t="str">
            <v>Claims - gross</v>
          </cell>
          <cell r="Y208" t="str">
            <v>Thailand</v>
          </cell>
        </row>
        <row r="209">
          <cell r="L209" t="str">
            <v>Proportional</v>
          </cell>
          <cell r="S209">
            <v>139011.79999999999</v>
          </cell>
          <cell r="X209" t="str">
            <v>Claims - gross</v>
          </cell>
          <cell r="Y209" t="str">
            <v>Thailand</v>
          </cell>
        </row>
        <row r="210">
          <cell r="L210" t="str">
            <v>Proportional</v>
          </cell>
          <cell r="S210">
            <v>27848.43</v>
          </cell>
          <cell r="X210" t="str">
            <v>Claims - gross</v>
          </cell>
          <cell r="Y210" t="str">
            <v>Ireland</v>
          </cell>
        </row>
        <row r="211">
          <cell r="L211" t="str">
            <v>Proportional</v>
          </cell>
          <cell r="S211">
            <v>-378.86</v>
          </cell>
          <cell r="X211" t="str">
            <v>Claims - gross</v>
          </cell>
          <cell r="Y211" t="str">
            <v>Thailand</v>
          </cell>
        </row>
        <row r="212">
          <cell r="L212" t="str">
            <v>Proportional</v>
          </cell>
          <cell r="S212">
            <v>75182.149999999994</v>
          </cell>
          <cell r="X212" t="str">
            <v>Claims - gross</v>
          </cell>
          <cell r="Y212" t="str">
            <v>INDIA</v>
          </cell>
        </row>
        <row r="213">
          <cell r="L213" t="str">
            <v>Proportional</v>
          </cell>
          <cell r="S213">
            <v>29859.31</v>
          </cell>
          <cell r="X213" t="str">
            <v>Claims - gross</v>
          </cell>
          <cell r="Y213" t="str">
            <v>THAILAND</v>
          </cell>
        </row>
        <row r="214">
          <cell r="L214" t="str">
            <v>Proportional</v>
          </cell>
          <cell r="S214">
            <v>1228.8399999999999</v>
          </cell>
          <cell r="X214" t="str">
            <v>Claims - gross</v>
          </cell>
          <cell r="Y214" t="str">
            <v>INDIA</v>
          </cell>
        </row>
        <row r="215">
          <cell r="L215" t="str">
            <v>Proportional</v>
          </cell>
          <cell r="S215">
            <v>47043.360000000001</v>
          </cell>
          <cell r="X215" t="str">
            <v>Claims - gross</v>
          </cell>
          <cell r="Y215" t="str">
            <v>Ireland</v>
          </cell>
        </row>
        <row r="216">
          <cell r="L216" t="str">
            <v>Proportional</v>
          </cell>
          <cell r="S216">
            <v>-109237.05</v>
          </cell>
          <cell r="X216" t="str">
            <v>Claims - gross</v>
          </cell>
          <cell r="Y216" t="str">
            <v>THAILAND</v>
          </cell>
        </row>
        <row r="217">
          <cell r="L217" t="str">
            <v>Proportional</v>
          </cell>
          <cell r="S217">
            <v>1673.7</v>
          </cell>
          <cell r="X217" t="str">
            <v>Claims - gross</v>
          </cell>
          <cell r="Y217" t="str">
            <v>THAILAND</v>
          </cell>
        </row>
        <row r="218">
          <cell r="L218" t="str">
            <v>Proportional</v>
          </cell>
          <cell r="S218">
            <v>64492.9</v>
          </cell>
          <cell r="X218" t="str">
            <v>Claims - gross</v>
          </cell>
          <cell r="Y218" t="str">
            <v>THAILAND</v>
          </cell>
        </row>
        <row r="219">
          <cell r="L219" t="str">
            <v>Non-proportional</v>
          </cell>
          <cell r="S219">
            <v>126424.88</v>
          </cell>
          <cell r="X219" t="str">
            <v>Claims - gross</v>
          </cell>
          <cell r="Y219" t="str">
            <v>Belgium</v>
          </cell>
        </row>
        <row r="220">
          <cell r="L220" t="str">
            <v>Proportional</v>
          </cell>
          <cell r="S220">
            <v>14316.91</v>
          </cell>
          <cell r="X220" t="str">
            <v>Claims - gross</v>
          </cell>
          <cell r="Y220" t="str">
            <v>India</v>
          </cell>
        </row>
        <row r="221">
          <cell r="L221" t="str">
            <v>Non-proportional</v>
          </cell>
          <cell r="S221">
            <v>21221.69</v>
          </cell>
          <cell r="X221" t="str">
            <v>Claims - gross</v>
          </cell>
          <cell r="Y221" t="str">
            <v>CZECH REPUBLIC</v>
          </cell>
        </row>
        <row r="222">
          <cell r="L222" t="str">
            <v>Proportional</v>
          </cell>
          <cell r="S222">
            <v>1356.7</v>
          </cell>
          <cell r="X222" t="str">
            <v>Claims - gross</v>
          </cell>
          <cell r="Y222" t="str">
            <v>Thailand</v>
          </cell>
        </row>
        <row r="223">
          <cell r="L223" t="str">
            <v>Proportional</v>
          </cell>
          <cell r="S223">
            <v>22814.42</v>
          </cell>
          <cell r="X223" t="str">
            <v>Claims - gross</v>
          </cell>
          <cell r="Y223" t="str">
            <v>Thailand</v>
          </cell>
        </row>
        <row r="224">
          <cell r="L224" t="str">
            <v>Proportional</v>
          </cell>
          <cell r="S224">
            <v>2315.48</v>
          </cell>
          <cell r="X224" t="str">
            <v>Claims - gross</v>
          </cell>
          <cell r="Y224" t="str">
            <v>India</v>
          </cell>
        </row>
        <row r="225">
          <cell r="L225" t="str">
            <v>Proportional</v>
          </cell>
          <cell r="S225">
            <v>2523.2399999999998</v>
          </cell>
          <cell r="X225" t="str">
            <v>Claims - gross</v>
          </cell>
          <cell r="Y225" t="str">
            <v>Thailand</v>
          </cell>
        </row>
        <row r="226">
          <cell r="L226"/>
          <cell r="S226">
            <v>26075.5</v>
          </cell>
          <cell r="X226" t="str">
            <v>Claims - gross</v>
          </cell>
          <cell r="Y226" t="str">
            <v>Portugal</v>
          </cell>
        </row>
        <row r="227">
          <cell r="L227"/>
          <cell r="S227">
            <v>3502.86</v>
          </cell>
          <cell r="X227" t="str">
            <v>Claims - gross</v>
          </cell>
          <cell r="Y227" t="str">
            <v>Portugal</v>
          </cell>
        </row>
        <row r="228">
          <cell r="L228" t="str">
            <v>Non-proportional</v>
          </cell>
          <cell r="S228">
            <v>3549989.65</v>
          </cell>
          <cell r="X228" t="str">
            <v>Claims - gross</v>
          </cell>
          <cell r="Y228" t="str">
            <v>United kingdom</v>
          </cell>
        </row>
        <row r="229">
          <cell r="L229" t="str">
            <v>Proportional</v>
          </cell>
          <cell r="S229">
            <v>1226880.47</v>
          </cell>
          <cell r="X229" t="str">
            <v>Claims - gross</v>
          </cell>
          <cell r="Y229" t="str">
            <v>CANADA</v>
          </cell>
        </row>
        <row r="230">
          <cell r="L230" t="str">
            <v>Proportional</v>
          </cell>
          <cell r="S230">
            <v>12220.18</v>
          </cell>
          <cell r="X230" t="str">
            <v>Claims - gross</v>
          </cell>
          <cell r="Y230" t="str">
            <v>UNITED STATES</v>
          </cell>
        </row>
        <row r="231">
          <cell r="L231"/>
          <cell r="S231">
            <v>195.29</v>
          </cell>
          <cell r="X231" t="str">
            <v>Claims - gross</v>
          </cell>
          <cell r="Y231" t="str">
            <v>Portugal</v>
          </cell>
        </row>
        <row r="232">
          <cell r="L232"/>
          <cell r="S232">
            <v>262.82</v>
          </cell>
          <cell r="X232" t="str">
            <v>Claims - gross</v>
          </cell>
          <cell r="Y232" t="str">
            <v>PORTUGAL</v>
          </cell>
        </row>
        <row r="233">
          <cell r="L233" t="str">
            <v>Proportional</v>
          </cell>
          <cell r="S233">
            <v>22.41</v>
          </cell>
          <cell r="X233" t="str">
            <v>Claims - gross</v>
          </cell>
          <cell r="Y233" t="str">
            <v>Malaysia</v>
          </cell>
        </row>
        <row r="234">
          <cell r="L234"/>
          <cell r="S234">
            <v>173.47</v>
          </cell>
          <cell r="X234" t="str">
            <v>Claims - gross</v>
          </cell>
          <cell r="Y234" t="str">
            <v>PORTUGAL</v>
          </cell>
        </row>
        <row r="235">
          <cell r="L235" t="str">
            <v>Non-proportional</v>
          </cell>
          <cell r="S235">
            <v>17510.59</v>
          </cell>
          <cell r="X235" t="str">
            <v>Claims - gross</v>
          </cell>
          <cell r="Y235" t="str">
            <v>SWEDEN</v>
          </cell>
        </row>
        <row r="236">
          <cell r="L236" t="str">
            <v>Non-proportional</v>
          </cell>
          <cell r="S236">
            <v>15229.41</v>
          </cell>
          <cell r="X236" t="str">
            <v>Claims - gross</v>
          </cell>
          <cell r="Y236" t="str">
            <v>SWEDEN</v>
          </cell>
        </row>
        <row r="237">
          <cell r="L237" t="str">
            <v>Proportional</v>
          </cell>
          <cell r="S237">
            <v>-1445.42</v>
          </cell>
          <cell r="X237" t="str">
            <v>Claims - gross</v>
          </cell>
          <cell r="Y237" t="str">
            <v>Ireland</v>
          </cell>
        </row>
        <row r="238">
          <cell r="L238" t="str">
            <v>Proportional</v>
          </cell>
          <cell r="S238">
            <v>14990.09</v>
          </cell>
          <cell r="X238" t="str">
            <v>Claims - gross</v>
          </cell>
          <cell r="Y238" t="str">
            <v>UNITED STATES</v>
          </cell>
        </row>
        <row r="239">
          <cell r="L239" t="str">
            <v>Proportional</v>
          </cell>
          <cell r="S239">
            <v>110171.57</v>
          </cell>
          <cell r="X239" t="str">
            <v>Claims - gross</v>
          </cell>
          <cell r="Y239" t="str">
            <v>UNITED STATES</v>
          </cell>
        </row>
        <row r="240">
          <cell r="L240" t="str">
            <v>Non-proportional</v>
          </cell>
          <cell r="S240">
            <v>6036.27</v>
          </cell>
          <cell r="X240" t="str">
            <v>Claims - gross</v>
          </cell>
          <cell r="Y240" t="str">
            <v>AUSTRALIA</v>
          </cell>
        </row>
        <row r="241">
          <cell r="L241" t="str">
            <v>Proportional</v>
          </cell>
          <cell r="S241">
            <v>-192550.43</v>
          </cell>
          <cell r="X241" t="str">
            <v>Claims - gross</v>
          </cell>
          <cell r="Y241" t="str">
            <v>UNITED STATES</v>
          </cell>
        </row>
        <row r="242">
          <cell r="L242" t="str">
            <v>Non-proportional</v>
          </cell>
          <cell r="S242">
            <v>-41602.78</v>
          </cell>
          <cell r="X242" t="str">
            <v>Claims - gross</v>
          </cell>
          <cell r="Y242" t="str">
            <v>United kingdom</v>
          </cell>
        </row>
        <row r="243">
          <cell r="L243" t="str">
            <v>Proportional</v>
          </cell>
          <cell r="S243">
            <v>70016.679999999993</v>
          </cell>
          <cell r="X243" t="str">
            <v>Claims - gross</v>
          </cell>
          <cell r="Y243" t="str">
            <v>UNITED STATES</v>
          </cell>
        </row>
        <row r="244">
          <cell r="L244" t="str">
            <v>Proportional</v>
          </cell>
          <cell r="S244">
            <v>149140.97</v>
          </cell>
          <cell r="X244" t="str">
            <v>Claims - gross</v>
          </cell>
          <cell r="Y244" t="str">
            <v>THAILAND</v>
          </cell>
        </row>
        <row r="245">
          <cell r="L245"/>
          <cell r="S245">
            <v>1914.34</v>
          </cell>
          <cell r="X245" t="str">
            <v>Claims - gross</v>
          </cell>
          <cell r="Y245" t="str">
            <v>Portugal</v>
          </cell>
        </row>
        <row r="246">
          <cell r="L246" t="str">
            <v>Proportional</v>
          </cell>
          <cell r="S246">
            <v>-22268.85</v>
          </cell>
          <cell r="X246" t="str">
            <v>Claims - gross</v>
          </cell>
          <cell r="Y246" t="str">
            <v>UNITED STATES</v>
          </cell>
        </row>
        <row r="247">
          <cell r="L247" t="str">
            <v>Proportional</v>
          </cell>
          <cell r="S247">
            <v>88926.46</v>
          </cell>
          <cell r="X247" t="str">
            <v>Claims - gross</v>
          </cell>
          <cell r="Y247" t="str">
            <v>UNITED STATES</v>
          </cell>
        </row>
        <row r="248">
          <cell r="L248" t="str">
            <v>Proportional</v>
          </cell>
          <cell r="S248">
            <v>1636.76</v>
          </cell>
          <cell r="X248" t="str">
            <v>Claims - gross</v>
          </cell>
          <cell r="Y248" t="str">
            <v>JAPAN</v>
          </cell>
        </row>
        <row r="249">
          <cell r="L249" t="str">
            <v>Proportional</v>
          </cell>
          <cell r="S249">
            <v>164642.93</v>
          </cell>
          <cell r="X249" t="str">
            <v>Claims - gross</v>
          </cell>
          <cell r="Y249" t="str">
            <v>UNITED STATES</v>
          </cell>
        </row>
        <row r="250">
          <cell r="L250" t="str">
            <v>Proportional</v>
          </cell>
          <cell r="S250">
            <v>345621.4</v>
          </cell>
          <cell r="X250" t="str">
            <v>Claims - gross</v>
          </cell>
          <cell r="Y250" t="str">
            <v>UNITED STATES</v>
          </cell>
        </row>
        <row r="251">
          <cell r="L251" t="str">
            <v>Proportional</v>
          </cell>
          <cell r="S251">
            <v>166016.54</v>
          </cell>
          <cell r="X251" t="str">
            <v>Claims - gross</v>
          </cell>
          <cell r="Y251" t="str">
            <v>UNITED STATES</v>
          </cell>
        </row>
        <row r="252">
          <cell r="L252" t="str">
            <v>Non-proportional</v>
          </cell>
          <cell r="S252">
            <v>42551.49</v>
          </cell>
          <cell r="X252" t="str">
            <v>Claims - gross</v>
          </cell>
          <cell r="Y252" t="str">
            <v>CZECH REPUBLIC</v>
          </cell>
        </row>
        <row r="253">
          <cell r="L253" t="str">
            <v>Proportional</v>
          </cell>
          <cell r="S253">
            <v>2488.6999999999998</v>
          </cell>
          <cell r="X253" t="str">
            <v>Claims - gross</v>
          </cell>
          <cell r="Y253" t="str">
            <v>HONG KONG</v>
          </cell>
        </row>
        <row r="254">
          <cell r="L254" t="str">
            <v>Proportional</v>
          </cell>
          <cell r="S254">
            <v>2224.3000000000002</v>
          </cell>
          <cell r="X254" t="str">
            <v>Claims - gross</v>
          </cell>
          <cell r="Y254" t="str">
            <v>JAPAN</v>
          </cell>
        </row>
        <row r="255">
          <cell r="L255"/>
          <cell r="S255">
            <v>3453.31</v>
          </cell>
          <cell r="X255" t="str">
            <v>Claims - gross</v>
          </cell>
          <cell r="Y255" t="str">
            <v>PORTUGAL</v>
          </cell>
        </row>
        <row r="256">
          <cell r="L256" t="str">
            <v>Non-proportional</v>
          </cell>
          <cell r="S256">
            <v>301050.64</v>
          </cell>
          <cell r="X256" t="str">
            <v>Claims - gross</v>
          </cell>
          <cell r="Y256" t="str">
            <v>FRANCE</v>
          </cell>
        </row>
        <row r="257">
          <cell r="L257"/>
          <cell r="S257">
            <v>278.70999999999998</v>
          </cell>
          <cell r="X257" t="str">
            <v>Claims - gross</v>
          </cell>
          <cell r="Y257" t="str">
            <v>PORTUGAL</v>
          </cell>
        </row>
        <row r="258">
          <cell r="L258" t="str">
            <v>Proportional</v>
          </cell>
          <cell r="S258">
            <v>-121485.91</v>
          </cell>
          <cell r="X258" t="str">
            <v>Claims - gross</v>
          </cell>
          <cell r="Y258" t="str">
            <v>UNITED STATES</v>
          </cell>
        </row>
        <row r="259">
          <cell r="L259" t="str">
            <v>Proportional</v>
          </cell>
          <cell r="S259">
            <v>48802.74</v>
          </cell>
          <cell r="X259" t="str">
            <v>Claims - gross</v>
          </cell>
          <cell r="Y259" t="str">
            <v>UNITED STATES</v>
          </cell>
        </row>
        <row r="260">
          <cell r="L260" t="str">
            <v>Proportional</v>
          </cell>
          <cell r="S260">
            <v>-2488.6999999999998</v>
          </cell>
          <cell r="X260" t="str">
            <v>Claims - gross</v>
          </cell>
          <cell r="Y260" t="str">
            <v>HONG KONG</v>
          </cell>
        </row>
        <row r="261">
          <cell r="L261" t="str">
            <v>Proportional</v>
          </cell>
          <cell r="S261">
            <v>8285.61</v>
          </cell>
          <cell r="X261" t="str">
            <v>Claims - gross</v>
          </cell>
          <cell r="Y261" t="str">
            <v>THAILAND</v>
          </cell>
        </row>
        <row r="262">
          <cell r="L262" t="str">
            <v>Proportional</v>
          </cell>
          <cell r="S262">
            <v>11362.89</v>
          </cell>
          <cell r="X262" t="str">
            <v>Claims - gross</v>
          </cell>
          <cell r="Y262" t="str">
            <v>UNITED STATES</v>
          </cell>
        </row>
        <row r="263">
          <cell r="L263" t="str">
            <v>Non-proportional</v>
          </cell>
          <cell r="S263">
            <v>10887.85</v>
          </cell>
          <cell r="X263" t="str">
            <v>Claims - gross</v>
          </cell>
          <cell r="Y263" t="str">
            <v>FAROE ISLANDS</v>
          </cell>
        </row>
        <row r="264">
          <cell r="L264" t="str">
            <v>Proportional</v>
          </cell>
          <cell r="S264">
            <v>-70016.679999999993</v>
          </cell>
          <cell r="X264" t="str">
            <v>Claims - gross</v>
          </cell>
          <cell r="Y264" t="str">
            <v>UNITED STATES</v>
          </cell>
        </row>
        <row r="265">
          <cell r="L265" t="str">
            <v>Proportional</v>
          </cell>
          <cell r="S265">
            <v>35878.28</v>
          </cell>
          <cell r="X265" t="str">
            <v>Claims - gross</v>
          </cell>
          <cell r="Y265" t="str">
            <v>UNITED STATES</v>
          </cell>
        </row>
        <row r="266">
          <cell r="L266" t="str">
            <v>Non-proportional</v>
          </cell>
          <cell r="S266">
            <v>23983.63</v>
          </cell>
          <cell r="X266" t="str">
            <v>Claims - gross</v>
          </cell>
          <cell r="Y266" t="str">
            <v>SWEDEN</v>
          </cell>
        </row>
        <row r="267">
          <cell r="L267" t="str">
            <v>Proportional</v>
          </cell>
          <cell r="S267">
            <v>70092.72</v>
          </cell>
          <cell r="X267" t="str">
            <v>Claims - gross</v>
          </cell>
          <cell r="Y267" t="str">
            <v>UNITED STATES</v>
          </cell>
        </row>
        <row r="268">
          <cell r="L268"/>
          <cell r="S268">
            <v>1648.31</v>
          </cell>
          <cell r="X268" t="str">
            <v>Claims - gross</v>
          </cell>
          <cell r="Y268" t="str">
            <v>PORTUGAL</v>
          </cell>
        </row>
        <row r="269">
          <cell r="L269" t="str">
            <v>Non-proportional</v>
          </cell>
          <cell r="S269">
            <v>211752.4</v>
          </cell>
          <cell r="X269" t="str">
            <v>Claims - gross</v>
          </cell>
          <cell r="Y269" t="str">
            <v>United kingdom</v>
          </cell>
        </row>
        <row r="270">
          <cell r="L270" t="str">
            <v>Proportional</v>
          </cell>
          <cell r="S270">
            <v>148360.37</v>
          </cell>
          <cell r="X270" t="str">
            <v>Claims - gross</v>
          </cell>
          <cell r="Y270" t="str">
            <v>UNITED STATES</v>
          </cell>
        </row>
        <row r="271">
          <cell r="L271" t="str">
            <v>Proportional</v>
          </cell>
          <cell r="S271">
            <v>26244.75</v>
          </cell>
          <cell r="X271" t="str">
            <v>Claims - gross</v>
          </cell>
          <cell r="Y271" t="str">
            <v>JAPAN</v>
          </cell>
        </row>
        <row r="272">
          <cell r="L272" t="str">
            <v>Non-proportional</v>
          </cell>
          <cell r="S272">
            <v>241099.2</v>
          </cell>
          <cell r="X272" t="str">
            <v>Claims - gross</v>
          </cell>
          <cell r="Y272" t="str">
            <v>THAILAND</v>
          </cell>
        </row>
        <row r="273">
          <cell r="L273" t="str">
            <v>Proportional</v>
          </cell>
          <cell r="S273">
            <v>3112.08</v>
          </cell>
          <cell r="X273" t="str">
            <v>Claims - gross</v>
          </cell>
          <cell r="Y273" t="str">
            <v>India</v>
          </cell>
        </row>
        <row r="274">
          <cell r="L274" t="str">
            <v>Proportional</v>
          </cell>
          <cell r="S274">
            <v>103.8</v>
          </cell>
          <cell r="X274" t="str">
            <v>Claims - gross</v>
          </cell>
          <cell r="Y274" t="str">
            <v>Thailand</v>
          </cell>
        </row>
        <row r="275">
          <cell r="L275" t="str">
            <v>Non-proportional</v>
          </cell>
          <cell r="S275">
            <v>-241099.2</v>
          </cell>
          <cell r="X275" t="str">
            <v>Claims - gross</v>
          </cell>
          <cell r="Y275" t="str">
            <v>THAILAND</v>
          </cell>
        </row>
        <row r="276">
          <cell r="L276" t="str">
            <v>Proportional</v>
          </cell>
          <cell r="S276">
            <v>11902.56</v>
          </cell>
          <cell r="X276" t="str">
            <v>Claims - gross</v>
          </cell>
          <cell r="Y276" t="str">
            <v>THAILAND</v>
          </cell>
        </row>
        <row r="277">
          <cell r="L277" t="str">
            <v>Non-proportional</v>
          </cell>
          <cell r="S277">
            <v>441635.06</v>
          </cell>
          <cell r="X277" t="str">
            <v>Claims - gross</v>
          </cell>
          <cell r="Y277" t="str">
            <v>EUROPE</v>
          </cell>
        </row>
        <row r="278">
          <cell r="L278" t="str">
            <v>Proportional</v>
          </cell>
          <cell r="S278">
            <v>1085.3900000000001</v>
          </cell>
          <cell r="X278" t="str">
            <v>Claims - gross</v>
          </cell>
          <cell r="Y278" t="str">
            <v>THAILAND</v>
          </cell>
        </row>
        <row r="279">
          <cell r="L279" t="str">
            <v>Proportional</v>
          </cell>
          <cell r="S279">
            <v>-90.94</v>
          </cell>
          <cell r="X279" t="str">
            <v>Claims - gross</v>
          </cell>
          <cell r="Y279" t="str">
            <v>Thailand</v>
          </cell>
        </row>
        <row r="280">
          <cell r="L280" t="str">
            <v>Proportional</v>
          </cell>
          <cell r="S280">
            <v>3701.38</v>
          </cell>
          <cell r="X280" t="str">
            <v>Claims - gross</v>
          </cell>
          <cell r="Y280" t="str">
            <v>THAILAND</v>
          </cell>
        </row>
        <row r="281">
          <cell r="L281" t="str">
            <v>Proportional</v>
          </cell>
          <cell r="S281">
            <v>1011.49</v>
          </cell>
          <cell r="X281" t="str">
            <v>Claims - gross</v>
          </cell>
          <cell r="Y281" t="str">
            <v>Thailand</v>
          </cell>
        </row>
        <row r="282">
          <cell r="L282" t="str">
            <v>Proportional</v>
          </cell>
          <cell r="S282">
            <v>10686.62</v>
          </cell>
          <cell r="X282" t="str">
            <v>Claims - gross</v>
          </cell>
          <cell r="Y282" t="str">
            <v>India</v>
          </cell>
        </row>
        <row r="283">
          <cell r="L283" t="str">
            <v>Non-proportional</v>
          </cell>
          <cell r="S283">
            <v>669720</v>
          </cell>
          <cell r="X283" t="str">
            <v>Claims - gross</v>
          </cell>
          <cell r="Y283" t="str">
            <v>THAILAND</v>
          </cell>
        </row>
        <row r="284">
          <cell r="L284" t="str">
            <v>Proportional</v>
          </cell>
          <cell r="S284">
            <v>8620.99</v>
          </cell>
          <cell r="X284" t="str">
            <v>Claims - gross</v>
          </cell>
          <cell r="Y284" t="str">
            <v>India</v>
          </cell>
        </row>
        <row r="285">
          <cell r="L285" t="str">
            <v>Proportional</v>
          </cell>
          <cell r="S285">
            <v>40954.82</v>
          </cell>
          <cell r="X285" t="str">
            <v>Claims - gross</v>
          </cell>
          <cell r="Y285" t="str">
            <v>Thailand</v>
          </cell>
        </row>
        <row r="286">
          <cell r="L286" t="str">
            <v>Non-proportional</v>
          </cell>
          <cell r="S286">
            <v>221118.18</v>
          </cell>
          <cell r="X286" t="str">
            <v>Claims - gross</v>
          </cell>
          <cell r="Y286" t="str">
            <v>Belgium</v>
          </cell>
        </row>
        <row r="287">
          <cell r="L287" t="str">
            <v>Non-proportional</v>
          </cell>
          <cell r="S287">
            <v>241099.2</v>
          </cell>
          <cell r="X287" t="str">
            <v>Claims - gross</v>
          </cell>
          <cell r="Y287" t="str">
            <v>THAILAND</v>
          </cell>
        </row>
        <row r="288">
          <cell r="L288" t="str">
            <v>Proportional</v>
          </cell>
          <cell r="S288">
            <v>6932.45</v>
          </cell>
          <cell r="X288" t="str">
            <v>Claims - gross</v>
          </cell>
          <cell r="Y288" t="str">
            <v>INDIA</v>
          </cell>
        </row>
        <row r="289">
          <cell r="L289" t="str">
            <v>Proportional</v>
          </cell>
          <cell r="S289">
            <v>61612.05</v>
          </cell>
          <cell r="X289" t="str">
            <v>Claims - gross</v>
          </cell>
          <cell r="Y289" t="str">
            <v>INDIA</v>
          </cell>
        </row>
        <row r="290">
          <cell r="L290" t="str">
            <v>Non-proportional</v>
          </cell>
          <cell r="S290">
            <v>-669720</v>
          </cell>
          <cell r="X290" t="str">
            <v>Claims - gross</v>
          </cell>
          <cell r="Y290" t="str">
            <v>THAILAND</v>
          </cell>
        </row>
        <row r="291">
          <cell r="L291" t="str">
            <v>Proportional</v>
          </cell>
          <cell r="S291">
            <v>1.81</v>
          </cell>
          <cell r="X291" t="str">
            <v>Claims - gross</v>
          </cell>
          <cell r="Y291" t="str">
            <v>MALAYSIA</v>
          </cell>
        </row>
        <row r="292">
          <cell r="L292" t="str">
            <v>Proportional</v>
          </cell>
          <cell r="S292">
            <v>581.34</v>
          </cell>
          <cell r="X292" t="str">
            <v>Claims - gross</v>
          </cell>
          <cell r="Y292" t="str">
            <v>Ireland</v>
          </cell>
        </row>
        <row r="293">
          <cell r="L293" t="str">
            <v>Proportional</v>
          </cell>
          <cell r="S293">
            <v>49023.45</v>
          </cell>
          <cell r="X293" t="str">
            <v>Claims - gross</v>
          </cell>
          <cell r="Y293" t="str">
            <v>JAPAN</v>
          </cell>
        </row>
        <row r="294">
          <cell r="L294" t="str">
            <v>Proportional</v>
          </cell>
          <cell r="S294">
            <v>104338.52</v>
          </cell>
          <cell r="X294" t="str">
            <v>Claims - gross</v>
          </cell>
          <cell r="Y294" t="str">
            <v>THAILAND</v>
          </cell>
        </row>
        <row r="295">
          <cell r="L295" t="str">
            <v>Proportional</v>
          </cell>
          <cell r="S295">
            <v>93.91</v>
          </cell>
          <cell r="X295" t="str">
            <v>Claims - gross</v>
          </cell>
          <cell r="Y295" t="str">
            <v>THAILAND</v>
          </cell>
        </row>
        <row r="296">
          <cell r="L296" t="str">
            <v>Non-proportional</v>
          </cell>
          <cell r="S296">
            <v>10283.719999999999</v>
          </cell>
          <cell r="X296" t="str">
            <v>Claims - gross</v>
          </cell>
          <cell r="Y296" t="str">
            <v>INDIA</v>
          </cell>
        </row>
        <row r="297">
          <cell r="L297" t="str">
            <v>Proportional</v>
          </cell>
          <cell r="S297">
            <v>12663.97</v>
          </cell>
          <cell r="X297" t="str">
            <v>Claims - gross</v>
          </cell>
          <cell r="Y297" t="str">
            <v>India</v>
          </cell>
        </row>
        <row r="298">
          <cell r="L298" t="str">
            <v>Proportional</v>
          </cell>
          <cell r="S298">
            <v>3344.83</v>
          </cell>
          <cell r="X298" t="str">
            <v>Claims - gross</v>
          </cell>
          <cell r="Y298" t="str">
            <v>UNITED STATES</v>
          </cell>
        </row>
        <row r="299">
          <cell r="L299" t="str">
            <v>Non-proportional</v>
          </cell>
          <cell r="S299">
            <v>669720</v>
          </cell>
          <cell r="X299" t="str">
            <v>Claims - gross</v>
          </cell>
          <cell r="Y299" t="str">
            <v>THAILAND</v>
          </cell>
        </row>
        <row r="300">
          <cell r="L300" t="str">
            <v>Proportional</v>
          </cell>
          <cell r="S300">
            <v>35.880000000000003</v>
          </cell>
          <cell r="X300" t="str">
            <v>Claims - gross</v>
          </cell>
          <cell r="Y300" t="str">
            <v>Thailand</v>
          </cell>
        </row>
        <row r="301">
          <cell r="L301" t="str">
            <v>Non-proportional</v>
          </cell>
          <cell r="S301">
            <v>669720</v>
          </cell>
          <cell r="X301" t="str">
            <v>Claims - gross</v>
          </cell>
          <cell r="Y301" t="str">
            <v>THAILAND</v>
          </cell>
        </row>
        <row r="302">
          <cell r="L302" t="str">
            <v>Proportional</v>
          </cell>
          <cell r="S302">
            <v>-404.73</v>
          </cell>
          <cell r="X302" t="str">
            <v>Claims - gross</v>
          </cell>
          <cell r="Y302" t="str">
            <v>Thailand</v>
          </cell>
        </row>
        <row r="303">
          <cell r="L303" t="str">
            <v>Proportional</v>
          </cell>
          <cell r="S303">
            <v>63386.48</v>
          </cell>
          <cell r="X303" t="str">
            <v>Claims - gross</v>
          </cell>
          <cell r="Y303" t="str">
            <v>THAILAND</v>
          </cell>
        </row>
        <row r="304">
          <cell r="L304" t="str">
            <v>Proportional</v>
          </cell>
          <cell r="S304">
            <v>20149.919999999998</v>
          </cell>
          <cell r="X304" t="str">
            <v>Claims - gross</v>
          </cell>
          <cell r="Y304" t="str">
            <v>THAILAND</v>
          </cell>
        </row>
        <row r="305">
          <cell r="L305" t="str">
            <v>Proportional</v>
          </cell>
          <cell r="S305">
            <v>540000</v>
          </cell>
          <cell r="X305" t="str">
            <v>Claims - gross</v>
          </cell>
          <cell r="Y305" t="str">
            <v>FRANCE</v>
          </cell>
        </row>
        <row r="306">
          <cell r="L306" t="str">
            <v>Non-proportional</v>
          </cell>
          <cell r="S306">
            <v>7773.09</v>
          </cell>
          <cell r="X306" t="str">
            <v>Claims - gross</v>
          </cell>
          <cell r="Y306" t="str">
            <v>Italy</v>
          </cell>
        </row>
        <row r="307">
          <cell r="L307" t="str">
            <v>Proportional</v>
          </cell>
          <cell r="S307">
            <v>-289974.86</v>
          </cell>
          <cell r="X307" t="str">
            <v>Claims - gross</v>
          </cell>
          <cell r="Y307" t="str">
            <v>THAILAND</v>
          </cell>
        </row>
        <row r="308">
          <cell r="L308" t="str">
            <v>Non-proportional</v>
          </cell>
          <cell r="S308">
            <v>6787.52</v>
          </cell>
          <cell r="X308" t="str">
            <v>Claims - gross</v>
          </cell>
          <cell r="Y308" t="str">
            <v>Belgium</v>
          </cell>
        </row>
        <row r="309">
          <cell r="L309" t="str">
            <v>Proportional</v>
          </cell>
          <cell r="S309">
            <v>3649.12</v>
          </cell>
          <cell r="X309" t="str">
            <v>Claims - gross</v>
          </cell>
          <cell r="Y309" t="str">
            <v>THAILAND</v>
          </cell>
        </row>
        <row r="310">
          <cell r="L310" t="str">
            <v>Proportional</v>
          </cell>
          <cell r="S310">
            <v>116407.54</v>
          </cell>
          <cell r="X310" t="str">
            <v>Claims - gross</v>
          </cell>
          <cell r="Y310" t="str">
            <v>INDIA</v>
          </cell>
        </row>
        <row r="311">
          <cell r="L311" t="str">
            <v>Proportional</v>
          </cell>
          <cell r="S311">
            <v>102047.62</v>
          </cell>
          <cell r="X311" t="str">
            <v>Claims - gross</v>
          </cell>
          <cell r="Y311" t="str">
            <v>India</v>
          </cell>
        </row>
        <row r="312">
          <cell r="L312" t="str">
            <v>Proportional</v>
          </cell>
          <cell r="S312">
            <v>193.21</v>
          </cell>
          <cell r="X312" t="str">
            <v>Claims - gross</v>
          </cell>
          <cell r="Y312" t="str">
            <v>Thailand</v>
          </cell>
        </row>
        <row r="313">
          <cell r="L313" t="str">
            <v>Proportional</v>
          </cell>
          <cell r="S313">
            <v>-150988.17000000001</v>
          </cell>
          <cell r="X313" t="str">
            <v>Claims - gross</v>
          </cell>
          <cell r="Y313" t="str">
            <v>THAILAND</v>
          </cell>
        </row>
        <row r="314">
          <cell r="L314" t="str">
            <v>Non-proportional</v>
          </cell>
          <cell r="S314">
            <v>4172.8100000000004</v>
          </cell>
          <cell r="X314" t="str">
            <v>Claims - gross</v>
          </cell>
          <cell r="Y314" t="str">
            <v>Belgium</v>
          </cell>
        </row>
        <row r="315">
          <cell r="L315" t="str">
            <v>Proportional</v>
          </cell>
          <cell r="S315">
            <v>214317.47</v>
          </cell>
          <cell r="X315" t="str">
            <v>Claims - gross</v>
          </cell>
          <cell r="Y315" t="str">
            <v>UNITED STATES</v>
          </cell>
        </row>
        <row r="316">
          <cell r="L316" t="str">
            <v>Proportional</v>
          </cell>
          <cell r="S316">
            <v>-39.53</v>
          </cell>
          <cell r="X316" t="str">
            <v>Claims - gross</v>
          </cell>
          <cell r="Y316" t="str">
            <v>Thailand</v>
          </cell>
        </row>
        <row r="317">
          <cell r="L317" t="str">
            <v>Non-proportional</v>
          </cell>
          <cell r="S317">
            <v>-669720</v>
          </cell>
          <cell r="X317" t="str">
            <v>Claims - gross</v>
          </cell>
          <cell r="Y317" t="str">
            <v>THAILAND</v>
          </cell>
        </row>
        <row r="318">
          <cell r="L318" t="str">
            <v>Proportional</v>
          </cell>
          <cell r="S318">
            <v>2072.9899999999998</v>
          </cell>
          <cell r="X318" t="str">
            <v>Claims - gross</v>
          </cell>
          <cell r="Y318" t="str">
            <v>INDIA</v>
          </cell>
        </row>
        <row r="319">
          <cell r="L319" t="str">
            <v>Proportional</v>
          </cell>
          <cell r="S319">
            <v>4661.0200000000004</v>
          </cell>
          <cell r="X319" t="str">
            <v>Claims - gross</v>
          </cell>
          <cell r="Y319" t="str">
            <v>Thailand</v>
          </cell>
        </row>
        <row r="320">
          <cell r="L320" t="str">
            <v>Proportional</v>
          </cell>
          <cell r="S320">
            <v>7014.02</v>
          </cell>
          <cell r="X320" t="str">
            <v>Claims - gross</v>
          </cell>
          <cell r="Y320" t="str">
            <v>THAILAND</v>
          </cell>
        </row>
        <row r="321">
          <cell r="L321" t="str">
            <v>Proportional</v>
          </cell>
          <cell r="S321">
            <v>375.35</v>
          </cell>
          <cell r="X321" t="str">
            <v>Claims - gross</v>
          </cell>
          <cell r="Y321" t="str">
            <v>THAILAND</v>
          </cell>
        </row>
        <row r="322">
          <cell r="L322" t="str">
            <v>Proportional</v>
          </cell>
          <cell r="S322">
            <v>3.44</v>
          </cell>
          <cell r="X322" t="str">
            <v>Claims - gross</v>
          </cell>
          <cell r="Y322" t="str">
            <v>Thailand</v>
          </cell>
        </row>
        <row r="323">
          <cell r="L323" t="str">
            <v>Proportional</v>
          </cell>
          <cell r="S323">
            <v>3096452.24</v>
          </cell>
          <cell r="X323" t="str">
            <v>Claims - gross</v>
          </cell>
          <cell r="Y323" t="str">
            <v>THAILAND</v>
          </cell>
        </row>
        <row r="324">
          <cell r="L324" t="str">
            <v>Proportional</v>
          </cell>
          <cell r="S324">
            <v>10670.71</v>
          </cell>
          <cell r="X324" t="str">
            <v>Claims - gross</v>
          </cell>
          <cell r="Y324" t="str">
            <v>India</v>
          </cell>
        </row>
        <row r="325">
          <cell r="L325" t="str">
            <v>Non-proportional</v>
          </cell>
          <cell r="S325">
            <v>-241099.2</v>
          </cell>
          <cell r="X325" t="str">
            <v>Claims - gross</v>
          </cell>
          <cell r="Y325" t="str">
            <v>THAILAND</v>
          </cell>
        </row>
        <row r="326">
          <cell r="L326" t="str">
            <v>Proportional</v>
          </cell>
          <cell r="S326">
            <v>10854.63</v>
          </cell>
          <cell r="X326" t="str">
            <v>Claims - gross</v>
          </cell>
          <cell r="Y326" t="str">
            <v>India</v>
          </cell>
        </row>
        <row r="327">
          <cell r="L327" t="str">
            <v>Proportional</v>
          </cell>
          <cell r="S327">
            <v>74046.48</v>
          </cell>
          <cell r="X327" t="str">
            <v>Claims - gross</v>
          </cell>
          <cell r="Y327" t="str">
            <v>Hong Kong</v>
          </cell>
        </row>
        <row r="328">
          <cell r="L328" t="str">
            <v>Non-proportional</v>
          </cell>
          <cell r="S328">
            <v>241099.2</v>
          </cell>
          <cell r="X328" t="str">
            <v>Claims - gross</v>
          </cell>
          <cell r="Y328" t="str">
            <v>THAILAND</v>
          </cell>
        </row>
        <row r="329">
          <cell r="L329" t="str">
            <v>Proportional</v>
          </cell>
          <cell r="S329">
            <v>579636.87</v>
          </cell>
          <cell r="X329" t="str">
            <v>Claims - gross</v>
          </cell>
          <cell r="Y329" t="str">
            <v>THAILAND</v>
          </cell>
        </row>
        <row r="330">
          <cell r="L330" t="str">
            <v>Proportional</v>
          </cell>
          <cell r="S330">
            <v>-41789.339999999997</v>
          </cell>
          <cell r="X330" t="str">
            <v>Claims - gross</v>
          </cell>
          <cell r="Y330" t="str">
            <v>THAILAND</v>
          </cell>
        </row>
        <row r="331">
          <cell r="L331" t="str">
            <v>Proportional</v>
          </cell>
          <cell r="S331">
            <v>658173.71</v>
          </cell>
          <cell r="X331" t="str">
            <v>Claims - gross</v>
          </cell>
          <cell r="Y331" t="str">
            <v>THAILAND</v>
          </cell>
        </row>
        <row r="332">
          <cell r="L332" t="str">
            <v>Non-proportional</v>
          </cell>
          <cell r="S332">
            <v>2886.25</v>
          </cell>
          <cell r="X332" t="str">
            <v>Claims - gross</v>
          </cell>
          <cell r="Y332" t="str">
            <v>Belgium</v>
          </cell>
        </row>
        <row r="333">
          <cell r="L333" t="str">
            <v>Proportional</v>
          </cell>
          <cell r="S333">
            <v>-516.84</v>
          </cell>
          <cell r="X333" t="str">
            <v>Claims - gross</v>
          </cell>
          <cell r="Y333" t="str">
            <v>India</v>
          </cell>
        </row>
        <row r="334">
          <cell r="L334" t="str">
            <v>Proportional</v>
          </cell>
          <cell r="S334">
            <v>1110.74</v>
          </cell>
          <cell r="X334" t="str">
            <v>Claims - gross</v>
          </cell>
          <cell r="Y334" t="str">
            <v>THAILAND</v>
          </cell>
        </row>
        <row r="335">
          <cell r="L335" t="str">
            <v>Proportional</v>
          </cell>
          <cell r="S335">
            <v>8133.95</v>
          </cell>
          <cell r="X335" t="str">
            <v>Claims - gross</v>
          </cell>
          <cell r="Y335" t="str">
            <v>THAILAND</v>
          </cell>
        </row>
        <row r="336">
          <cell r="L336" t="str">
            <v>Non-proportional</v>
          </cell>
          <cell r="S336">
            <v>669720</v>
          </cell>
          <cell r="X336" t="str">
            <v>Claims - gross</v>
          </cell>
          <cell r="Y336" t="str">
            <v>THAILAND</v>
          </cell>
        </row>
        <row r="337">
          <cell r="L337" t="str">
            <v>Proportional</v>
          </cell>
          <cell r="S337">
            <v>315.97000000000003</v>
          </cell>
          <cell r="X337" t="str">
            <v>Claims - gross</v>
          </cell>
          <cell r="Y337" t="str">
            <v>Thailand</v>
          </cell>
        </row>
        <row r="338">
          <cell r="L338" t="str">
            <v>Proportional</v>
          </cell>
          <cell r="S338">
            <v>344.14</v>
          </cell>
          <cell r="X338" t="str">
            <v>Claims - gross</v>
          </cell>
          <cell r="Y338" t="str">
            <v>Ireland</v>
          </cell>
        </row>
        <row r="339">
          <cell r="L339" t="str">
            <v>Proportional</v>
          </cell>
          <cell r="S339">
            <v>1350.9</v>
          </cell>
          <cell r="X339" t="str">
            <v>Claims - gross</v>
          </cell>
          <cell r="Y339" t="str">
            <v>Thailand</v>
          </cell>
        </row>
        <row r="340">
          <cell r="L340" t="str">
            <v>Proportional</v>
          </cell>
          <cell r="S340">
            <v>409.57</v>
          </cell>
          <cell r="X340" t="str">
            <v>Claims - gross</v>
          </cell>
          <cell r="Y340" t="str">
            <v>THAILAND</v>
          </cell>
        </row>
        <row r="341">
          <cell r="L341" t="str">
            <v>Proportional</v>
          </cell>
          <cell r="S341">
            <v>435.58</v>
          </cell>
          <cell r="X341" t="str">
            <v>Claims - gross</v>
          </cell>
          <cell r="Y341" t="str">
            <v>Thailand</v>
          </cell>
        </row>
        <row r="342">
          <cell r="L342" t="str">
            <v>Proportional</v>
          </cell>
          <cell r="S342">
            <v>6043.68</v>
          </cell>
          <cell r="X342" t="str">
            <v>Claims - gross</v>
          </cell>
          <cell r="Y342" t="str">
            <v>Thailand</v>
          </cell>
        </row>
        <row r="343">
          <cell r="L343" t="str">
            <v>Proportional</v>
          </cell>
          <cell r="S343">
            <v>344443.95</v>
          </cell>
          <cell r="X343" t="str">
            <v>Claims - gross</v>
          </cell>
          <cell r="Y343" t="str">
            <v>UNITED STATES</v>
          </cell>
        </row>
        <row r="344">
          <cell r="L344" t="str">
            <v>Proportional</v>
          </cell>
          <cell r="S344">
            <v>22660.13</v>
          </cell>
          <cell r="X344" t="str">
            <v>Claims - gross</v>
          </cell>
          <cell r="Y344" t="str">
            <v>THAILAND</v>
          </cell>
        </row>
        <row r="345">
          <cell r="L345" t="str">
            <v>Proportional</v>
          </cell>
          <cell r="S345">
            <v>129.34</v>
          </cell>
          <cell r="X345" t="str">
            <v>Claims - gross</v>
          </cell>
          <cell r="Y345" t="str">
            <v>India</v>
          </cell>
        </row>
        <row r="346">
          <cell r="L346" t="str">
            <v>Proportional</v>
          </cell>
          <cell r="S346">
            <v>3907.27</v>
          </cell>
          <cell r="X346" t="str">
            <v>Claims - gross</v>
          </cell>
          <cell r="Y346" t="str">
            <v>UNITED STATES</v>
          </cell>
        </row>
        <row r="347">
          <cell r="L347" t="str">
            <v>Non-proportional</v>
          </cell>
          <cell r="S347">
            <v>-669720</v>
          </cell>
          <cell r="X347" t="str">
            <v>Claims - gross</v>
          </cell>
          <cell r="Y347" t="str">
            <v>THAILAND</v>
          </cell>
        </row>
        <row r="348">
          <cell r="L348" t="str">
            <v>Non-proportional</v>
          </cell>
          <cell r="S348">
            <v>241099.2</v>
          </cell>
          <cell r="X348" t="str">
            <v>Claims - gross</v>
          </cell>
          <cell r="Y348" t="str">
            <v>THAILAND</v>
          </cell>
        </row>
        <row r="349">
          <cell r="L349" t="str">
            <v>Proportional</v>
          </cell>
          <cell r="S349">
            <v>36245.279999999999</v>
          </cell>
          <cell r="X349" t="str">
            <v>Claims - gross</v>
          </cell>
          <cell r="Y349" t="str">
            <v>UNITED STATES</v>
          </cell>
        </row>
        <row r="350">
          <cell r="L350" t="str">
            <v>Proportional</v>
          </cell>
          <cell r="S350">
            <v>4325.2700000000004</v>
          </cell>
          <cell r="X350" t="str">
            <v>Claims - gross</v>
          </cell>
          <cell r="Y350" t="str">
            <v>INDIA</v>
          </cell>
        </row>
        <row r="351">
          <cell r="L351" t="str">
            <v>Non-proportional</v>
          </cell>
          <cell r="S351">
            <v>625000</v>
          </cell>
          <cell r="X351" t="str">
            <v>Claims - gross</v>
          </cell>
          <cell r="Y351" t="str">
            <v>EUROPE</v>
          </cell>
        </row>
        <row r="352">
          <cell r="L352" t="str">
            <v>Proportional</v>
          </cell>
          <cell r="S352">
            <v>3673.73</v>
          </cell>
          <cell r="X352" t="str">
            <v>Claims - gross</v>
          </cell>
          <cell r="Y352" t="str">
            <v>Thailand</v>
          </cell>
        </row>
        <row r="353">
          <cell r="L353" t="str">
            <v>Non-proportional</v>
          </cell>
          <cell r="S353">
            <v>8130.54</v>
          </cell>
          <cell r="X353" t="str">
            <v>Claims - gross</v>
          </cell>
          <cell r="Y353" t="str">
            <v>INDIA</v>
          </cell>
        </row>
        <row r="354">
          <cell r="L354" t="str">
            <v>Proportional</v>
          </cell>
          <cell r="S354">
            <v>-177.2</v>
          </cell>
          <cell r="X354" t="str">
            <v>Claims - gross</v>
          </cell>
          <cell r="Y354" t="str">
            <v>Thailand</v>
          </cell>
        </row>
        <row r="355">
          <cell r="L355" t="str">
            <v>Proportional</v>
          </cell>
          <cell r="S355">
            <v>59290.92</v>
          </cell>
          <cell r="X355" t="str">
            <v>Claims - gross</v>
          </cell>
          <cell r="Y355" t="str">
            <v>Thailand</v>
          </cell>
        </row>
        <row r="356">
          <cell r="L356" t="str">
            <v>Proportional</v>
          </cell>
          <cell r="S356">
            <v>-111744.74</v>
          </cell>
          <cell r="X356" t="str">
            <v>Claims - gross</v>
          </cell>
          <cell r="Y356" t="str">
            <v>THAILAND</v>
          </cell>
        </row>
        <row r="357">
          <cell r="L357" t="str">
            <v>Proportional</v>
          </cell>
          <cell r="S357">
            <v>43511.9</v>
          </cell>
          <cell r="X357" t="str">
            <v>Claims - gross</v>
          </cell>
          <cell r="Y357" t="str">
            <v>UNITED STATES</v>
          </cell>
        </row>
        <row r="358">
          <cell r="L358" t="str">
            <v>Proportional</v>
          </cell>
          <cell r="S358">
            <v>4182.07</v>
          </cell>
          <cell r="X358" t="str">
            <v>Claims - gross</v>
          </cell>
          <cell r="Y358" t="str">
            <v>THAILAND</v>
          </cell>
        </row>
        <row r="359">
          <cell r="L359" t="str">
            <v>Proportional</v>
          </cell>
          <cell r="S359">
            <v>1059.19</v>
          </cell>
          <cell r="X359" t="str">
            <v>Claims - gross</v>
          </cell>
          <cell r="Y359" t="str">
            <v>THAILAND</v>
          </cell>
        </row>
        <row r="360">
          <cell r="L360" t="str">
            <v>Proportional</v>
          </cell>
          <cell r="S360">
            <v>1431342.09</v>
          </cell>
          <cell r="X360" t="str">
            <v>Claims - gross</v>
          </cell>
          <cell r="Y360" t="str">
            <v>UNITED STATES</v>
          </cell>
        </row>
        <row r="361">
          <cell r="L361" t="str">
            <v>Proportional</v>
          </cell>
          <cell r="S361">
            <v>8647.35</v>
          </cell>
          <cell r="X361" t="str">
            <v>Claims - gross</v>
          </cell>
          <cell r="Y361" t="str">
            <v>THAILAND</v>
          </cell>
        </row>
        <row r="362">
          <cell r="L362" t="str">
            <v>Proportional</v>
          </cell>
          <cell r="S362">
            <v>32.82</v>
          </cell>
          <cell r="X362" t="str">
            <v>Claims - gross</v>
          </cell>
          <cell r="Y362" t="str">
            <v>THAILAND</v>
          </cell>
        </row>
        <row r="363">
          <cell r="L363" t="str">
            <v>Proportional</v>
          </cell>
          <cell r="S363">
            <v>1644.74</v>
          </cell>
          <cell r="X363" t="str">
            <v>Claims - gross</v>
          </cell>
          <cell r="Y363" t="str">
            <v>Thailand</v>
          </cell>
        </row>
        <row r="364">
          <cell r="L364" t="str">
            <v>Proportional</v>
          </cell>
          <cell r="S364">
            <v>23543.01</v>
          </cell>
          <cell r="X364" t="str">
            <v>Claims - gross</v>
          </cell>
          <cell r="Y364" t="str">
            <v>THAILAND</v>
          </cell>
        </row>
        <row r="365">
          <cell r="L365" t="str">
            <v>Proportional</v>
          </cell>
          <cell r="S365">
            <v>98918.77</v>
          </cell>
          <cell r="X365" t="str">
            <v>Claims - gross</v>
          </cell>
          <cell r="Y365" t="str">
            <v>THAILAND</v>
          </cell>
        </row>
        <row r="366">
          <cell r="L366" t="str">
            <v>Non-proportional</v>
          </cell>
          <cell r="S366">
            <v>-192499.39</v>
          </cell>
          <cell r="X366" t="str">
            <v>Claims - gross</v>
          </cell>
          <cell r="Y366" t="str">
            <v>TURKEY</v>
          </cell>
        </row>
        <row r="367">
          <cell r="L367" t="str">
            <v>Proportional</v>
          </cell>
          <cell r="S367">
            <v>3104.83</v>
          </cell>
          <cell r="X367" t="str">
            <v>Claims - gross</v>
          </cell>
          <cell r="Y367" t="str">
            <v>THAILAND</v>
          </cell>
        </row>
        <row r="368">
          <cell r="L368" t="str">
            <v>Proportional</v>
          </cell>
          <cell r="S368">
            <v>24.11</v>
          </cell>
          <cell r="X368" t="str">
            <v>Claims - gross</v>
          </cell>
          <cell r="Y368" t="str">
            <v>Thailand</v>
          </cell>
        </row>
        <row r="369">
          <cell r="L369" t="str">
            <v>Proportional</v>
          </cell>
          <cell r="S369">
            <v>6987.8</v>
          </cell>
          <cell r="X369" t="str">
            <v>Claims - gross</v>
          </cell>
          <cell r="Y369" t="str">
            <v>Thailand</v>
          </cell>
        </row>
        <row r="370">
          <cell r="L370" t="str">
            <v>Proportional</v>
          </cell>
          <cell r="S370">
            <v>52667.11</v>
          </cell>
          <cell r="X370" t="str">
            <v>Claims - gross</v>
          </cell>
          <cell r="Y370" t="str">
            <v>THAILAND</v>
          </cell>
        </row>
        <row r="371">
          <cell r="L371" t="str">
            <v>Proportional</v>
          </cell>
          <cell r="S371">
            <v>222241.34</v>
          </cell>
          <cell r="X371" t="str">
            <v>Claims - gross</v>
          </cell>
          <cell r="Y371" t="str">
            <v>THAILAND</v>
          </cell>
        </row>
        <row r="372">
          <cell r="L372" t="str">
            <v>Proportional</v>
          </cell>
          <cell r="S372">
            <v>477.02</v>
          </cell>
          <cell r="X372" t="str">
            <v>Claims - gross</v>
          </cell>
          <cell r="Y372" t="str">
            <v>Thailand</v>
          </cell>
        </row>
        <row r="373">
          <cell r="L373" t="str">
            <v>Proportional</v>
          </cell>
          <cell r="S373">
            <v>1903.62</v>
          </cell>
          <cell r="X373" t="str">
            <v>Claims - gross</v>
          </cell>
          <cell r="Y373" t="str">
            <v>India</v>
          </cell>
        </row>
        <row r="374">
          <cell r="L374" t="str">
            <v>Non-proportional</v>
          </cell>
          <cell r="S374">
            <v>5714.51</v>
          </cell>
          <cell r="X374" t="str">
            <v>Claims - gross</v>
          </cell>
          <cell r="Y374" t="str">
            <v>GERMANY</v>
          </cell>
        </row>
        <row r="375">
          <cell r="L375" t="str">
            <v>Non-proportional</v>
          </cell>
          <cell r="S375">
            <v>-241099.2</v>
          </cell>
          <cell r="X375" t="str">
            <v>Claims - gross</v>
          </cell>
          <cell r="Y375" t="str">
            <v>THAILAND</v>
          </cell>
        </row>
        <row r="376">
          <cell r="L376" t="str">
            <v>Proportional</v>
          </cell>
          <cell r="S376">
            <v>-61753.67</v>
          </cell>
          <cell r="X376" t="str">
            <v>Claims - gross</v>
          </cell>
          <cell r="Y376" t="str">
            <v>THAILAND</v>
          </cell>
        </row>
        <row r="377">
          <cell r="L377" t="str">
            <v>Proportional</v>
          </cell>
          <cell r="S377">
            <v>14559.07</v>
          </cell>
          <cell r="X377" t="str">
            <v>Claims - gross</v>
          </cell>
          <cell r="Y377" t="str">
            <v>TURKEY</v>
          </cell>
        </row>
        <row r="378">
          <cell r="L378" t="str">
            <v>Non-proportional</v>
          </cell>
          <cell r="S378">
            <v>99746.19</v>
          </cell>
          <cell r="X378" t="str">
            <v>Claims - gross</v>
          </cell>
          <cell r="Y378" t="str">
            <v>CZECH REPUBLIC</v>
          </cell>
        </row>
        <row r="379">
          <cell r="L379" t="str">
            <v>Proportional</v>
          </cell>
          <cell r="S379">
            <v>2545.1</v>
          </cell>
          <cell r="X379" t="str">
            <v>Claims - gross</v>
          </cell>
          <cell r="Y379" t="str">
            <v>Turkey</v>
          </cell>
        </row>
        <row r="380">
          <cell r="L380" t="str">
            <v>Proportional</v>
          </cell>
          <cell r="S380">
            <v>28764.36</v>
          </cell>
          <cell r="X380" t="str">
            <v>Claims - gross</v>
          </cell>
          <cell r="Y380" t="str">
            <v>JAPAN</v>
          </cell>
        </row>
        <row r="381">
          <cell r="L381" t="str">
            <v>Non-proportional</v>
          </cell>
          <cell r="S381">
            <v>312331.5</v>
          </cell>
          <cell r="X381" t="str">
            <v>Claims - gross</v>
          </cell>
          <cell r="Y381" t="str">
            <v>United kingdom</v>
          </cell>
        </row>
        <row r="382">
          <cell r="L382" t="str">
            <v>Proportional</v>
          </cell>
          <cell r="S382">
            <v>-175.1</v>
          </cell>
          <cell r="X382" t="str">
            <v>Claims - gross</v>
          </cell>
          <cell r="Y382" t="str">
            <v>Turkey</v>
          </cell>
        </row>
        <row r="383">
          <cell r="L383" t="str">
            <v>Proportional</v>
          </cell>
          <cell r="S383">
            <v>27.81</v>
          </cell>
          <cell r="X383" t="str">
            <v>Claims - gross</v>
          </cell>
          <cell r="Y383" t="str">
            <v>TURKEY</v>
          </cell>
        </row>
        <row r="384">
          <cell r="L384" t="str">
            <v>Non-proportional</v>
          </cell>
          <cell r="S384">
            <v>16342.13</v>
          </cell>
          <cell r="X384" t="str">
            <v>Claims - gross</v>
          </cell>
          <cell r="Y384" t="str">
            <v>CZECH REPUBLIC</v>
          </cell>
        </row>
        <row r="385">
          <cell r="L385" t="str">
            <v>Non-proportional</v>
          </cell>
          <cell r="S385">
            <v>3976.84</v>
          </cell>
          <cell r="X385" t="str">
            <v>Claims - gross</v>
          </cell>
          <cell r="Y385" t="str">
            <v>CZECH REPUBLIC</v>
          </cell>
        </row>
        <row r="386">
          <cell r="L386" t="str">
            <v>Proportional</v>
          </cell>
          <cell r="S386">
            <v>104989.15</v>
          </cell>
          <cell r="X386" t="str">
            <v>Claims - gross</v>
          </cell>
          <cell r="Y386" t="str">
            <v>THAILAND</v>
          </cell>
        </row>
        <row r="387">
          <cell r="L387" t="str">
            <v>Non-proportional</v>
          </cell>
          <cell r="S387">
            <v>42170.239999999998</v>
          </cell>
          <cell r="X387" t="str">
            <v>Claims - gross</v>
          </cell>
          <cell r="Y387" t="str">
            <v>ICELAND</v>
          </cell>
        </row>
        <row r="388">
          <cell r="L388" t="str">
            <v>Non-proportional</v>
          </cell>
          <cell r="S388">
            <v>1066762.43</v>
          </cell>
          <cell r="X388" t="str">
            <v>Claims - gross</v>
          </cell>
          <cell r="Y388" t="str">
            <v>United kingdom</v>
          </cell>
        </row>
        <row r="389">
          <cell r="L389" t="str">
            <v>Proportional</v>
          </cell>
          <cell r="S389">
            <v>627.94000000000005</v>
          </cell>
          <cell r="X389" t="str">
            <v>Claims - gross</v>
          </cell>
          <cell r="Y389" t="str">
            <v>Hong Kong</v>
          </cell>
        </row>
        <row r="390">
          <cell r="L390" t="str">
            <v>Proportional</v>
          </cell>
          <cell r="S390">
            <v>1756.25</v>
          </cell>
          <cell r="X390" t="str">
            <v>Claims - gross</v>
          </cell>
          <cell r="Y390" t="str">
            <v>Turkey</v>
          </cell>
        </row>
        <row r="391">
          <cell r="L391" t="str">
            <v>Proportional</v>
          </cell>
          <cell r="S391">
            <v>-160696.04</v>
          </cell>
          <cell r="X391" t="str">
            <v>Claims - gross</v>
          </cell>
          <cell r="Y391" t="str">
            <v>UNITED STATES</v>
          </cell>
        </row>
        <row r="392">
          <cell r="L392" t="str">
            <v>Proportional</v>
          </cell>
          <cell r="S392">
            <v>1329.98</v>
          </cell>
          <cell r="X392" t="str">
            <v>Claims - gross</v>
          </cell>
          <cell r="Y392" t="str">
            <v>Hong Kong</v>
          </cell>
        </row>
        <row r="393">
          <cell r="L393" t="str">
            <v>Proportional</v>
          </cell>
          <cell r="S393">
            <v>2.2000000000000002</v>
          </cell>
          <cell r="X393" t="str">
            <v>Claims - gross</v>
          </cell>
          <cell r="Y393" t="str">
            <v>MEXICO</v>
          </cell>
        </row>
        <row r="394">
          <cell r="L394" t="str">
            <v>Proportional</v>
          </cell>
          <cell r="S394">
            <v>160696.04</v>
          </cell>
          <cell r="X394" t="str">
            <v>Claims - gross</v>
          </cell>
          <cell r="Y394" t="str">
            <v>UNITED STATES</v>
          </cell>
        </row>
        <row r="395">
          <cell r="L395" t="str">
            <v>Proportional</v>
          </cell>
          <cell r="S395">
            <v>42457.22</v>
          </cell>
          <cell r="X395" t="str">
            <v>Claims - gross</v>
          </cell>
          <cell r="Y395" t="str">
            <v>JAPAN</v>
          </cell>
        </row>
        <row r="396">
          <cell r="L396" t="str">
            <v>Proportional</v>
          </cell>
          <cell r="S396">
            <v>1157.08</v>
          </cell>
          <cell r="X396" t="str">
            <v>Claims - gross</v>
          </cell>
          <cell r="Y396" t="str">
            <v>PORTUGAL</v>
          </cell>
        </row>
        <row r="397">
          <cell r="L397" t="str">
            <v>Proportional</v>
          </cell>
          <cell r="S397">
            <v>35.06</v>
          </cell>
          <cell r="X397" t="str">
            <v>Claims - gross</v>
          </cell>
          <cell r="Y397" t="str">
            <v>Turkey</v>
          </cell>
        </row>
        <row r="398">
          <cell r="L398" t="str">
            <v>Proportional</v>
          </cell>
          <cell r="S398">
            <v>11314.59</v>
          </cell>
          <cell r="X398" t="str">
            <v>Claims - gross</v>
          </cell>
          <cell r="Y398" t="str">
            <v>PORTUGAL</v>
          </cell>
        </row>
        <row r="399">
          <cell r="L399" t="str">
            <v>Non-proportional</v>
          </cell>
          <cell r="S399">
            <v>22371.09</v>
          </cell>
          <cell r="X399" t="str">
            <v>Claims - gross</v>
          </cell>
          <cell r="Y399" t="str">
            <v>United kingdom</v>
          </cell>
        </row>
        <row r="400">
          <cell r="L400" t="str">
            <v>Non-proportional</v>
          </cell>
          <cell r="S400">
            <v>802.83</v>
          </cell>
          <cell r="X400" t="str">
            <v>Claims - gross</v>
          </cell>
          <cell r="Y400" t="str">
            <v>United kingdom</v>
          </cell>
        </row>
        <row r="401">
          <cell r="L401" t="str">
            <v>Proportional</v>
          </cell>
          <cell r="S401">
            <v>46.93</v>
          </cell>
          <cell r="X401" t="str">
            <v>Claims - gross</v>
          </cell>
          <cell r="Y401" t="str">
            <v>TURKEY</v>
          </cell>
        </row>
        <row r="402">
          <cell r="L402" t="str">
            <v>Proportional</v>
          </cell>
          <cell r="S402">
            <v>2123.64</v>
          </cell>
          <cell r="X402" t="str">
            <v>Claims - gross</v>
          </cell>
          <cell r="Y402" t="str">
            <v>TURKEY</v>
          </cell>
        </row>
        <row r="403">
          <cell r="L403" t="str">
            <v>Proportional</v>
          </cell>
          <cell r="S403">
            <v>33056.11</v>
          </cell>
          <cell r="X403" t="str">
            <v>Claims - gross</v>
          </cell>
          <cell r="Y403" t="str">
            <v>Hong Kong</v>
          </cell>
        </row>
        <row r="404">
          <cell r="L404" t="str">
            <v>Proportional</v>
          </cell>
          <cell r="S404">
            <v>228163.78</v>
          </cell>
          <cell r="X404" t="str">
            <v>Claims - gross</v>
          </cell>
          <cell r="Y404" t="str">
            <v>TURKEY</v>
          </cell>
        </row>
        <row r="405">
          <cell r="L405" t="str">
            <v>Proportional</v>
          </cell>
          <cell r="S405">
            <v>-37.64</v>
          </cell>
          <cell r="X405" t="str">
            <v>Claims - gross</v>
          </cell>
          <cell r="Y405" t="str">
            <v>Turkey</v>
          </cell>
        </row>
        <row r="406">
          <cell r="L406" t="str">
            <v>Proportional</v>
          </cell>
          <cell r="S406">
            <v>825.59</v>
          </cell>
          <cell r="X406" t="str">
            <v>Claims - gross</v>
          </cell>
          <cell r="Y406" t="str">
            <v>Hong Kong</v>
          </cell>
        </row>
        <row r="407">
          <cell r="L407" t="str">
            <v>Proportional</v>
          </cell>
          <cell r="S407">
            <v>40576.65</v>
          </cell>
          <cell r="X407" t="str">
            <v>Claims - gross</v>
          </cell>
          <cell r="Y407" t="str">
            <v>TURKEY</v>
          </cell>
        </row>
        <row r="408">
          <cell r="L408" t="str">
            <v>Non-proportional</v>
          </cell>
          <cell r="S408">
            <v>221736.32000000001</v>
          </cell>
          <cell r="X408" t="str">
            <v>Claims - gross</v>
          </cell>
          <cell r="Y408" t="str">
            <v>United kingdom</v>
          </cell>
        </row>
        <row r="409">
          <cell r="L409" t="str">
            <v>Non-proportional</v>
          </cell>
          <cell r="S409">
            <v>6080.77</v>
          </cell>
          <cell r="X409" t="str">
            <v>Claims - gross</v>
          </cell>
          <cell r="Y409" t="str">
            <v>CZECH REPUBLIC</v>
          </cell>
        </row>
        <row r="410">
          <cell r="L410" t="str">
            <v>Non-proportional</v>
          </cell>
          <cell r="S410">
            <v>17762.54</v>
          </cell>
          <cell r="X410" t="str">
            <v>Claims - gross</v>
          </cell>
          <cell r="Y410" t="str">
            <v>CZECH REPUBLIC</v>
          </cell>
        </row>
        <row r="411">
          <cell r="L411" t="str">
            <v>Non-proportional</v>
          </cell>
          <cell r="S411">
            <v>94393.11</v>
          </cell>
          <cell r="X411" t="str">
            <v>Claims - gross</v>
          </cell>
          <cell r="Y411" t="str">
            <v>SLOVENIA</v>
          </cell>
        </row>
        <row r="412">
          <cell r="L412" t="str">
            <v>Proportional</v>
          </cell>
          <cell r="S412">
            <v>145985.97</v>
          </cell>
          <cell r="X412" t="str">
            <v>Claims - gross</v>
          </cell>
          <cell r="Y412" t="str">
            <v>TURKEY</v>
          </cell>
        </row>
        <row r="413">
          <cell r="L413" t="str">
            <v>Proportional</v>
          </cell>
          <cell r="S413">
            <v>5562.23</v>
          </cell>
          <cell r="X413" t="str">
            <v>Claims - gross</v>
          </cell>
          <cell r="Y413" t="str">
            <v>Turkey</v>
          </cell>
        </row>
        <row r="414">
          <cell r="L414" t="str">
            <v>Proportional</v>
          </cell>
          <cell r="S414">
            <v>3481.97</v>
          </cell>
          <cell r="X414" t="str">
            <v>Claims - gross</v>
          </cell>
          <cell r="Y414" t="str">
            <v>Turkey</v>
          </cell>
        </row>
        <row r="415">
          <cell r="L415" t="str">
            <v>Proportional</v>
          </cell>
          <cell r="S415">
            <v>0.35</v>
          </cell>
          <cell r="X415" t="str">
            <v>Claims - gross</v>
          </cell>
          <cell r="Y415" t="str">
            <v>Turkey</v>
          </cell>
        </row>
        <row r="416">
          <cell r="L416" t="str">
            <v>Proportional</v>
          </cell>
          <cell r="S416">
            <v>157.04</v>
          </cell>
          <cell r="X416" t="str">
            <v>Claims - gross</v>
          </cell>
          <cell r="Y416" t="str">
            <v>TURKEY</v>
          </cell>
        </row>
        <row r="417">
          <cell r="L417" t="str">
            <v>Proportional</v>
          </cell>
          <cell r="S417">
            <v>43724.78</v>
          </cell>
          <cell r="X417" t="str">
            <v>Claims - gross</v>
          </cell>
          <cell r="Y417" t="str">
            <v>Portugal</v>
          </cell>
        </row>
        <row r="418">
          <cell r="L418" t="str">
            <v>Non-proportional</v>
          </cell>
          <cell r="S418">
            <v>23895.599999999999</v>
          </cell>
          <cell r="X418" t="str">
            <v>Claims - gross</v>
          </cell>
          <cell r="Y418" t="str">
            <v>United kingdom</v>
          </cell>
        </row>
        <row r="419">
          <cell r="L419" t="str">
            <v>Proportional</v>
          </cell>
          <cell r="S419">
            <v>36.770000000000003</v>
          </cell>
          <cell r="X419" t="str">
            <v>Claims - gross</v>
          </cell>
          <cell r="Y419" t="str">
            <v>Turkey</v>
          </cell>
        </row>
        <row r="420">
          <cell r="L420" t="str">
            <v>Proportional</v>
          </cell>
          <cell r="S420">
            <v>-12321.07</v>
          </cell>
          <cell r="X420" t="str">
            <v>Claims - gross</v>
          </cell>
          <cell r="Y420" t="str">
            <v>UNITED STATES</v>
          </cell>
        </row>
        <row r="421">
          <cell r="L421" t="str">
            <v>Proportional</v>
          </cell>
          <cell r="S421">
            <v>387.12</v>
          </cell>
          <cell r="X421" t="str">
            <v>Claims - gross</v>
          </cell>
          <cell r="Y421" t="str">
            <v>Turkey</v>
          </cell>
        </row>
        <row r="422">
          <cell r="L422" t="str">
            <v>Proportional</v>
          </cell>
          <cell r="S422">
            <v>1832.3</v>
          </cell>
          <cell r="X422" t="str">
            <v>Claims - gross</v>
          </cell>
          <cell r="Y422" t="str">
            <v>Turkey</v>
          </cell>
        </row>
        <row r="423">
          <cell r="L423" t="str">
            <v>Proportional</v>
          </cell>
          <cell r="S423">
            <v>1.47</v>
          </cell>
          <cell r="X423" t="str">
            <v>Claims - gross</v>
          </cell>
          <cell r="Y423" t="str">
            <v>Turkey</v>
          </cell>
        </row>
        <row r="424">
          <cell r="L424" t="str">
            <v>Proportional</v>
          </cell>
          <cell r="S424">
            <v>2066.0700000000002</v>
          </cell>
          <cell r="X424" t="str">
            <v>Claims - gross</v>
          </cell>
          <cell r="Y424" t="str">
            <v>Turkey</v>
          </cell>
        </row>
        <row r="425">
          <cell r="L425" t="str">
            <v>Proportional</v>
          </cell>
          <cell r="S425">
            <v>4770.62</v>
          </cell>
          <cell r="X425" t="str">
            <v>Claims - gross</v>
          </cell>
          <cell r="Y425" t="str">
            <v>Turkey</v>
          </cell>
        </row>
        <row r="426">
          <cell r="L426" t="str">
            <v>Proportional</v>
          </cell>
          <cell r="S426">
            <v>39.520000000000003</v>
          </cell>
          <cell r="X426" t="str">
            <v>Claims - gross</v>
          </cell>
          <cell r="Y426" t="str">
            <v>HONG KONG</v>
          </cell>
        </row>
        <row r="427">
          <cell r="L427" t="str">
            <v>Proportional</v>
          </cell>
          <cell r="S427">
            <v>356145.12</v>
          </cell>
          <cell r="X427" t="str">
            <v>Claims - gross</v>
          </cell>
          <cell r="Y427" t="str">
            <v>Turkey</v>
          </cell>
        </row>
        <row r="428">
          <cell r="L428" t="str">
            <v>Non-proportional</v>
          </cell>
          <cell r="S428">
            <v>74174.710000000006</v>
          </cell>
          <cell r="X428" t="str">
            <v>Claims - gross</v>
          </cell>
          <cell r="Y428" t="str">
            <v>TURKEY</v>
          </cell>
        </row>
        <row r="429">
          <cell r="L429" t="str">
            <v>Proportional</v>
          </cell>
          <cell r="S429">
            <v>548.85</v>
          </cell>
          <cell r="X429" t="str">
            <v>Claims - gross</v>
          </cell>
          <cell r="Y429" t="str">
            <v>Turkey</v>
          </cell>
        </row>
        <row r="430">
          <cell r="L430" t="str">
            <v>Proportional</v>
          </cell>
          <cell r="S430">
            <v>93.14</v>
          </cell>
          <cell r="X430" t="str">
            <v>Claims - gross</v>
          </cell>
          <cell r="Y430" t="str">
            <v>Turkey</v>
          </cell>
        </row>
        <row r="431">
          <cell r="L431" t="str">
            <v>Non-proportional</v>
          </cell>
          <cell r="S431">
            <v>1868.66</v>
          </cell>
          <cell r="X431" t="str">
            <v>Claims - gross</v>
          </cell>
          <cell r="Y431" t="str">
            <v>United kingdom</v>
          </cell>
        </row>
        <row r="432">
          <cell r="L432" t="str">
            <v>Non-proportional</v>
          </cell>
          <cell r="S432">
            <v>30240.93</v>
          </cell>
          <cell r="X432" t="str">
            <v>Claims - gross</v>
          </cell>
          <cell r="Y432" t="str">
            <v>Portugal</v>
          </cell>
        </row>
        <row r="433">
          <cell r="L433" t="str">
            <v>Non-proportional</v>
          </cell>
          <cell r="S433">
            <v>9770.5499999999993</v>
          </cell>
          <cell r="X433" t="str">
            <v>Claims - gross</v>
          </cell>
          <cell r="Y433" t="str">
            <v>AUSTRALIA</v>
          </cell>
        </row>
        <row r="434">
          <cell r="L434" t="str">
            <v>Proportional</v>
          </cell>
          <cell r="S434">
            <v>-1243.1600000000001</v>
          </cell>
          <cell r="X434" t="str">
            <v>Claims - gross</v>
          </cell>
          <cell r="Y434" t="str">
            <v>Ireland</v>
          </cell>
        </row>
        <row r="435">
          <cell r="L435" t="str">
            <v>Proportional</v>
          </cell>
          <cell r="S435">
            <v>36.26</v>
          </cell>
          <cell r="X435" t="str">
            <v>Claims - gross</v>
          </cell>
          <cell r="Y435" t="str">
            <v>Hong Kong</v>
          </cell>
        </row>
        <row r="436">
          <cell r="L436" t="str">
            <v>Proportional</v>
          </cell>
          <cell r="S436">
            <v>1036.02</v>
          </cell>
          <cell r="X436" t="str">
            <v>Claims - gross</v>
          </cell>
          <cell r="Y436" t="str">
            <v>Turkey</v>
          </cell>
        </row>
        <row r="437">
          <cell r="L437" t="str">
            <v>Proportional</v>
          </cell>
          <cell r="S437">
            <v>5370.98</v>
          </cell>
          <cell r="X437" t="str">
            <v>Claims - gross</v>
          </cell>
          <cell r="Y437" t="str">
            <v>UNITED STATES</v>
          </cell>
        </row>
        <row r="438">
          <cell r="L438" t="str">
            <v>Proportional</v>
          </cell>
          <cell r="S438">
            <v>27774.68</v>
          </cell>
          <cell r="X438" t="str">
            <v>Claims - gross</v>
          </cell>
          <cell r="Y438" t="str">
            <v>PORTUGAL</v>
          </cell>
        </row>
        <row r="439">
          <cell r="L439" t="str">
            <v>Proportional</v>
          </cell>
          <cell r="S439">
            <v>45.6</v>
          </cell>
          <cell r="X439" t="str">
            <v>Claims - gross</v>
          </cell>
          <cell r="Y439" t="str">
            <v>TURKEY</v>
          </cell>
        </row>
        <row r="440">
          <cell r="L440" t="str">
            <v>Proportional</v>
          </cell>
          <cell r="S440">
            <v>-394914.68</v>
          </cell>
          <cell r="X440" t="str">
            <v>Claims - gross</v>
          </cell>
          <cell r="Y440" t="str">
            <v>TURKEY</v>
          </cell>
        </row>
        <row r="441">
          <cell r="L441" t="str">
            <v>Proportional</v>
          </cell>
          <cell r="S441">
            <v>861.88</v>
          </cell>
          <cell r="X441" t="str">
            <v>Claims - gross</v>
          </cell>
          <cell r="Y441" t="str">
            <v>Turkey</v>
          </cell>
        </row>
        <row r="442">
          <cell r="L442" t="str">
            <v>Proportional</v>
          </cell>
          <cell r="S442">
            <v>357.17</v>
          </cell>
          <cell r="X442" t="str">
            <v>Claims - gross</v>
          </cell>
          <cell r="Y442" t="str">
            <v>Portugal</v>
          </cell>
        </row>
        <row r="443">
          <cell r="L443" t="str">
            <v>Non-proportional</v>
          </cell>
          <cell r="S443">
            <v>698218.02</v>
          </cell>
          <cell r="X443" t="str">
            <v>Claims - gross</v>
          </cell>
          <cell r="Y443" t="str">
            <v>United kingdom</v>
          </cell>
        </row>
        <row r="444">
          <cell r="L444" t="str">
            <v>Non-proportional</v>
          </cell>
          <cell r="S444">
            <v>669724.09</v>
          </cell>
          <cell r="X444" t="str">
            <v>Claims - gross</v>
          </cell>
          <cell r="Y444" t="str">
            <v>UNITED KINGDOM</v>
          </cell>
        </row>
        <row r="445">
          <cell r="L445" t="str">
            <v>Proportional</v>
          </cell>
          <cell r="S445">
            <v>6536677.21</v>
          </cell>
          <cell r="X445" t="str">
            <v>Claims - gross</v>
          </cell>
          <cell r="Y445" t="str">
            <v>PORTUGAL</v>
          </cell>
        </row>
        <row r="446">
          <cell r="L446" t="str">
            <v>Proportional</v>
          </cell>
          <cell r="S446">
            <v>5.17</v>
          </cell>
          <cell r="X446" t="str">
            <v>Claims - gross</v>
          </cell>
          <cell r="Y446" t="str">
            <v>Hong Kong</v>
          </cell>
        </row>
        <row r="447">
          <cell r="L447" t="str">
            <v>Proportional</v>
          </cell>
          <cell r="S447">
            <v>-1210266.3600000001</v>
          </cell>
          <cell r="X447" t="str">
            <v>Claims - gross</v>
          </cell>
          <cell r="Y447" t="str">
            <v>UNITED STATES</v>
          </cell>
        </row>
        <row r="448">
          <cell r="L448" t="str">
            <v>Proportional</v>
          </cell>
          <cell r="S448">
            <v>3233.64</v>
          </cell>
          <cell r="X448" t="str">
            <v>Claims - gross</v>
          </cell>
          <cell r="Y448" t="str">
            <v>TURKEY</v>
          </cell>
        </row>
        <row r="449">
          <cell r="L449" t="str">
            <v>Proportional</v>
          </cell>
          <cell r="S449">
            <v>-45.6</v>
          </cell>
          <cell r="X449" t="str">
            <v>Claims - gross</v>
          </cell>
          <cell r="Y449" t="str">
            <v>TURKEY</v>
          </cell>
        </row>
        <row r="450">
          <cell r="L450" t="str">
            <v>Proportional</v>
          </cell>
          <cell r="S450">
            <v>43475.21</v>
          </cell>
          <cell r="X450" t="str">
            <v>Claims - gross</v>
          </cell>
          <cell r="Y450" t="str">
            <v>Portugal</v>
          </cell>
        </row>
        <row r="451">
          <cell r="L451" t="str">
            <v>Proportional</v>
          </cell>
          <cell r="S451">
            <v>30682.11</v>
          </cell>
          <cell r="X451" t="str">
            <v>Claims - gross</v>
          </cell>
          <cell r="Y451" t="str">
            <v>TURKEY</v>
          </cell>
        </row>
        <row r="452">
          <cell r="L452" t="str">
            <v>Proportional</v>
          </cell>
          <cell r="S452">
            <v>344.22</v>
          </cell>
          <cell r="X452" t="str">
            <v>Claims - gross</v>
          </cell>
          <cell r="Y452" t="str">
            <v>TURKEY</v>
          </cell>
        </row>
        <row r="453">
          <cell r="L453" t="str">
            <v>Proportional</v>
          </cell>
          <cell r="S453">
            <v>180.29</v>
          </cell>
          <cell r="X453" t="str">
            <v>Claims - gross</v>
          </cell>
          <cell r="Y453" t="str">
            <v>HONG KONG</v>
          </cell>
        </row>
        <row r="454">
          <cell r="L454" t="str">
            <v>Proportional</v>
          </cell>
          <cell r="S454">
            <v>333824.21000000002</v>
          </cell>
          <cell r="X454" t="str">
            <v>Claims - gross</v>
          </cell>
          <cell r="Y454" t="str">
            <v>UNITED STATES</v>
          </cell>
        </row>
        <row r="455">
          <cell r="L455" t="str">
            <v>Proportional</v>
          </cell>
          <cell r="S455">
            <v>412.93</v>
          </cell>
          <cell r="X455" t="str">
            <v>Claims - gross</v>
          </cell>
          <cell r="Y455" t="str">
            <v>Portugal</v>
          </cell>
        </row>
        <row r="456">
          <cell r="L456" t="str">
            <v>Proportional</v>
          </cell>
          <cell r="S456">
            <v>121685.57</v>
          </cell>
          <cell r="X456" t="str">
            <v>Claims - gross</v>
          </cell>
          <cell r="Y456" t="str">
            <v>HONG KONG</v>
          </cell>
        </row>
        <row r="457">
          <cell r="L457" t="str">
            <v>Proportional</v>
          </cell>
          <cell r="S457">
            <v>22498.34</v>
          </cell>
          <cell r="X457" t="str">
            <v>Claims - gross</v>
          </cell>
          <cell r="Y457" t="str">
            <v>Turkey</v>
          </cell>
        </row>
        <row r="458">
          <cell r="L458" t="str">
            <v>Proportional</v>
          </cell>
          <cell r="S458">
            <v>32.770000000000003</v>
          </cell>
          <cell r="X458" t="str">
            <v>Claims - gross</v>
          </cell>
          <cell r="Y458" t="str">
            <v>Turkey</v>
          </cell>
        </row>
        <row r="459">
          <cell r="L459" t="str">
            <v>Proportional</v>
          </cell>
          <cell r="S459">
            <v>1.4</v>
          </cell>
          <cell r="X459" t="str">
            <v>Claims - gross</v>
          </cell>
          <cell r="Y459" t="str">
            <v>Turkey</v>
          </cell>
        </row>
        <row r="460">
          <cell r="L460" t="str">
            <v>Proportional</v>
          </cell>
          <cell r="S460">
            <v>5.95</v>
          </cell>
          <cell r="X460" t="str">
            <v>Claims - gross</v>
          </cell>
          <cell r="Y460" t="str">
            <v>Hong Kong</v>
          </cell>
        </row>
        <row r="461">
          <cell r="L461" t="str">
            <v>Proportional</v>
          </cell>
          <cell r="S461">
            <v>34661.4</v>
          </cell>
          <cell r="X461" t="str">
            <v>Claims - gross</v>
          </cell>
          <cell r="Y461" t="str">
            <v>Turkey</v>
          </cell>
        </row>
        <row r="462">
          <cell r="L462" t="str">
            <v>Proportional</v>
          </cell>
          <cell r="S462">
            <v>25005.89</v>
          </cell>
          <cell r="X462" t="str">
            <v>Claims - gross</v>
          </cell>
          <cell r="Y462" t="str">
            <v>PORTUGAL</v>
          </cell>
        </row>
        <row r="463">
          <cell r="L463" t="str">
            <v>Proportional</v>
          </cell>
          <cell r="S463">
            <v>12321.07</v>
          </cell>
          <cell r="X463" t="str">
            <v>Claims - gross</v>
          </cell>
          <cell r="Y463" t="str">
            <v>UNITED STATES</v>
          </cell>
        </row>
        <row r="464">
          <cell r="L464" t="str">
            <v>Proportional</v>
          </cell>
          <cell r="S464">
            <v>10027.99</v>
          </cell>
          <cell r="X464" t="str">
            <v>Claims - gross</v>
          </cell>
          <cell r="Y464" t="str">
            <v>MEXICO</v>
          </cell>
        </row>
        <row r="465">
          <cell r="L465" t="str">
            <v>Proportional</v>
          </cell>
          <cell r="S465">
            <v>12.23</v>
          </cell>
          <cell r="X465" t="str">
            <v>Claims - gross</v>
          </cell>
          <cell r="Y465" t="str">
            <v>Turkey</v>
          </cell>
        </row>
        <row r="466">
          <cell r="L466" t="str">
            <v>Proportional</v>
          </cell>
          <cell r="S466">
            <v>6087.53</v>
          </cell>
          <cell r="X466" t="str">
            <v>Claims - gross</v>
          </cell>
          <cell r="Y466" t="str">
            <v>UNITED STATES</v>
          </cell>
        </row>
        <row r="467">
          <cell r="L467" t="str">
            <v>Proportional</v>
          </cell>
          <cell r="S467">
            <v>1497417.34</v>
          </cell>
          <cell r="X467" t="str">
            <v>Claims - gross</v>
          </cell>
          <cell r="Y467" t="str">
            <v>UNITED STATES</v>
          </cell>
        </row>
        <row r="468">
          <cell r="L468"/>
          <cell r="S468">
            <v>13276.97</v>
          </cell>
          <cell r="X468" t="str">
            <v>Claims - gross</v>
          </cell>
          <cell r="Y468" t="str">
            <v>PORTUGAL</v>
          </cell>
        </row>
        <row r="469">
          <cell r="L469" t="str">
            <v>Proportional</v>
          </cell>
          <cell r="S469">
            <v>2404.5</v>
          </cell>
          <cell r="X469" t="str">
            <v>Claims - gross</v>
          </cell>
          <cell r="Y469" t="str">
            <v>Portugal</v>
          </cell>
        </row>
        <row r="470">
          <cell r="L470" t="str">
            <v>Non-proportional</v>
          </cell>
          <cell r="S470">
            <v>5089.9399999999996</v>
          </cell>
          <cell r="X470" t="str">
            <v>Claims - gross</v>
          </cell>
          <cell r="Y470" t="str">
            <v>FAROE ISLANDS</v>
          </cell>
        </row>
        <row r="471">
          <cell r="L471" t="str">
            <v>Non-proportional</v>
          </cell>
          <cell r="S471">
            <v>7929.32</v>
          </cell>
          <cell r="X471" t="str">
            <v>Claims - gross</v>
          </cell>
          <cell r="Y471" t="str">
            <v>POLAND</v>
          </cell>
        </row>
        <row r="472">
          <cell r="L472" t="str">
            <v>Non-proportional</v>
          </cell>
          <cell r="S472">
            <v>-79558.080000000002</v>
          </cell>
          <cell r="X472" t="str">
            <v>Claims - gross</v>
          </cell>
          <cell r="Y472" t="str">
            <v>ECUADOR</v>
          </cell>
        </row>
        <row r="473">
          <cell r="L473" t="str">
            <v>Non-proportional</v>
          </cell>
          <cell r="S473">
            <v>241605.02</v>
          </cell>
          <cell r="X473" t="str">
            <v>Claims - gross</v>
          </cell>
          <cell r="Y473" t="str">
            <v>TURKEY</v>
          </cell>
        </row>
        <row r="474">
          <cell r="L474" t="str">
            <v>Non-proportional</v>
          </cell>
          <cell r="S474">
            <v>79558.080000000002</v>
          </cell>
          <cell r="X474" t="str">
            <v>Claims - gross</v>
          </cell>
          <cell r="Y474" t="str">
            <v>ECUADOR</v>
          </cell>
        </row>
        <row r="475">
          <cell r="L475" t="str">
            <v>Non-proportional</v>
          </cell>
          <cell r="S475">
            <v>23918.36</v>
          </cell>
          <cell r="X475" t="str">
            <v>Claims - gross</v>
          </cell>
          <cell r="Y475" t="str">
            <v>CZECH REPUBLIC</v>
          </cell>
        </row>
        <row r="476">
          <cell r="L476" t="str">
            <v>Proportional</v>
          </cell>
          <cell r="S476">
            <v>2885183.68</v>
          </cell>
          <cell r="X476" t="str">
            <v>Claims - gross</v>
          </cell>
          <cell r="Y476" t="str">
            <v>PORTUGAL</v>
          </cell>
        </row>
        <row r="477">
          <cell r="L477" t="str">
            <v>Non-proportional</v>
          </cell>
          <cell r="S477">
            <v>93.34</v>
          </cell>
          <cell r="X477" t="str">
            <v>Claims - gross</v>
          </cell>
          <cell r="Y477" t="str">
            <v>Portugal</v>
          </cell>
        </row>
        <row r="478">
          <cell r="L478" t="str">
            <v>Non-proportional</v>
          </cell>
          <cell r="S478">
            <v>17516.900000000001</v>
          </cell>
          <cell r="X478" t="str">
            <v>Claims - gross</v>
          </cell>
          <cell r="Y478" t="str">
            <v>UNITED KINGDOM</v>
          </cell>
        </row>
        <row r="479">
          <cell r="L479" t="str">
            <v>Proportional</v>
          </cell>
          <cell r="S479">
            <v>6496.02</v>
          </cell>
          <cell r="X479" t="str">
            <v>Claims - gross</v>
          </cell>
          <cell r="Y479" t="str">
            <v>Portugal</v>
          </cell>
        </row>
        <row r="480">
          <cell r="L480" t="str">
            <v>Non-proportional</v>
          </cell>
          <cell r="S480">
            <v>7465.49</v>
          </cell>
          <cell r="X480" t="str">
            <v>Claims - gross</v>
          </cell>
          <cell r="Y480" t="str">
            <v>United kingdom</v>
          </cell>
        </row>
        <row r="481">
          <cell r="L481" t="str">
            <v>Non-proportional</v>
          </cell>
          <cell r="S481">
            <v>6072.67</v>
          </cell>
          <cell r="X481" t="str">
            <v>Claims - gross</v>
          </cell>
          <cell r="Y481" t="str">
            <v>SWEDEN</v>
          </cell>
        </row>
        <row r="482">
          <cell r="L482" t="str">
            <v>Proportional</v>
          </cell>
          <cell r="S482">
            <v>1549.33</v>
          </cell>
          <cell r="X482" t="str">
            <v>Claims - gross</v>
          </cell>
          <cell r="Y482" t="str">
            <v>Malaysia</v>
          </cell>
        </row>
        <row r="483">
          <cell r="L483" t="str">
            <v>Proportional</v>
          </cell>
          <cell r="S483">
            <v>6525.03</v>
          </cell>
          <cell r="X483" t="str">
            <v>Claims - gross</v>
          </cell>
          <cell r="Y483" t="str">
            <v>JAPAN</v>
          </cell>
        </row>
        <row r="484">
          <cell r="L484" t="str">
            <v>Proportional</v>
          </cell>
          <cell r="S484">
            <v>6246.5</v>
          </cell>
          <cell r="X484" t="str">
            <v>Claims - gross</v>
          </cell>
          <cell r="Y484" t="str">
            <v>PORTUGAL</v>
          </cell>
        </row>
        <row r="485">
          <cell r="L485" t="str">
            <v>Proportional</v>
          </cell>
          <cell r="S485">
            <v>299623.13</v>
          </cell>
          <cell r="X485" t="str">
            <v>Claims - gross</v>
          </cell>
          <cell r="Y485" t="str">
            <v>CANADA</v>
          </cell>
        </row>
        <row r="486">
          <cell r="L486" t="str">
            <v>Proportional</v>
          </cell>
          <cell r="S486">
            <v>-3206.02</v>
          </cell>
          <cell r="X486" t="str">
            <v>Claims - gross</v>
          </cell>
          <cell r="Y486" t="str">
            <v>JAPAN</v>
          </cell>
        </row>
        <row r="487">
          <cell r="L487" t="str">
            <v>Non-proportional</v>
          </cell>
          <cell r="S487">
            <v>14686.44</v>
          </cell>
          <cell r="X487" t="str">
            <v>Claims - gross</v>
          </cell>
          <cell r="Y487" t="str">
            <v>ICELAND</v>
          </cell>
        </row>
        <row r="488">
          <cell r="L488"/>
          <cell r="S488">
            <v>40.33</v>
          </cell>
          <cell r="X488" t="str">
            <v>Claims - gross</v>
          </cell>
          <cell r="Y488" t="str">
            <v>PORTUGAL</v>
          </cell>
        </row>
        <row r="489">
          <cell r="L489" t="str">
            <v>Non-proportional</v>
          </cell>
          <cell r="S489">
            <v>20253.09</v>
          </cell>
          <cell r="X489" t="str">
            <v>Claims - gross</v>
          </cell>
          <cell r="Y489" t="str">
            <v>UNITED KINGDOM</v>
          </cell>
        </row>
        <row r="490">
          <cell r="L490" t="str">
            <v>Proportional</v>
          </cell>
          <cell r="S490">
            <v>1204.8800000000001</v>
          </cell>
          <cell r="X490" t="str">
            <v>Claims - gross</v>
          </cell>
          <cell r="Y490" t="str">
            <v>ITALY</v>
          </cell>
        </row>
        <row r="491">
          <cell r="L491" t="str">
            <v>Non-proportional</v>
          </cell>
          <cell r="S491">
            <v>79558.080000000002</v>
          </cell>
          <cell r="X491" t="str">
            <v>Claims - gross</v>
          </cell>
          <cell r="Y491" t="str">
            <v>ECUADOR</v>
          </cell>
        </row>
        <row r="492">
          <cell r="L492" t="str">
            <v>Non-proportional</v>
          </cell>
          <cell r="S492">
            <v>-1431.38</v>
          </cell>
          <cell r="X492" t="str">
            <v>Claims - gross</v>
          </cell>
          <cell r="Y492" t="str">
            <v>United kingdom</v>
          </cell>
        </row>
        <row r="493">
          <cell r="L493" t="str">
            <v>Proportional</v>
          </cell>
          <cell r="S493">
            <v>5672.4</v>
          </cell>
          <cell r="X493" t="str">
            <v>Claims - gross</v>
          </cell>
          <cell r="Y493" t="str">
            <v>MEXICO</v>
          </cell>
        </row>
        <row r="494">
          <cell r="L494"/>
          <cell r="S494">
            <v>387.88</v>
          </cell>
          <cell r="X494" t="str">
            <v>Claims - gross</v>
          </cell>
          <cell r="Y494" t="str">
            <v>Portugal</v>
          </cell>
        </row>
        <row r="495">
          <cell r="L495" t="str">
            <v>Non-proportional</v>
          </cell>
          <cell r="S495">
            <v>731945.98</v>
          </cell>
          <cell r="X495" t="str">
            <v>Claims - gross</v>
          </cell>
          <cell r="Y495" t="str">
            <v>United kingdom</v>
          </cell>
        </row>
        <row r="496">
          <cell r="L496" t="str">
            <v>Proportional</v>
          </cell>
          <cell r="S496">
            <v>86506.51</v>
          </cell>
          <cell r="X496" t="str">
            <v>Claims - gross</v>
          </cell>
          <cell r="Y496" t="str">
            <v>MEXICO</v>
          </cell>
        </row>
        <row r="497">
          <cell r="L497" t="str">
            <v>Proportional</v>
          </cell>
          <cell r="S497">
            <v>188878.39</v>
          </cell>
          <cell r="X497" t="str">
            <v>Claims - gross</v>
          </cell>
          <cell r="Y497" t="str">
            <v>PORTUGAL</v>
          </cell>
        </row>
        <row r="498">
          <cell r="L498" t="str">
            <v>Non-proportional</v>
          </cell>
          <cell r="S498">
            <v>5086.99</v>
          </cell>
          <cell r="X498" t="str">
            <v>Claims - gross</v>
          </cell>
          <cell r="Y498" t="str">
            <v>UNITED KINGDOM</v>
          </cell>
        </row>
        <row r="499">
          <cell r="L499" t="str">
            <v>Proportional</v>
          </cell>
          <cell r="S499">
            <v>8.5399999999999991</v>
          </cell>
          <cell r="X499" t="str">
            <v>Claims - gross</v>
          </cell>
          <cell r="Y499" t="str">
            <v>Italy</v>
          </cell>
        </row>
        <row r="500">
          <cell r="L500" t="str">
            <v>Proportional</v>
          </cell>
          <cell r="S500">
            <v>46.85</v>
          </cell>
          <cell r="X500" t="str">
            <v>Claims - gross</v>
          </cell>
          <cell r="Y500" t="str">
            <v>Italy</v>
          </cell>
        </row>
        <row r="501">
          <cell r="L501" t="str">
            <v>Proportional</v>
          </cell>
          <cell r="S501">
            <v>106.16</v>
          </cell>
          <cell r="X501" t="str">
            <v>Claims - gross</v>
          </cell>
          <cell r="Y501" t="str">
            <v>Portugal</v>
          </cell>
        </row>
        <row r="502">
          <cell r="L502" t="str">
            <v>Non-proportional</v>
          </cell>
          <cell r="S502">
            <v>1170.81</v>
          </cell>
          <cell r="X502" t="str">
            <v>Claims - gross</v>
          </cell>
          <cell r="Y502" t="str">
            <v>SWEDEN</v>
          </cell>
        </row>
        <row r="503">
          <cell r="L503" t="str">
            <v>Proportional</v>
          </cell>
          <cell r="S503">
            <v>-295.54000000000002</v>
          </cell>
          <cell r="X503" t="str">
            <v>Claims - gross</v>
          </cell>
          <cell r="Y503" t="str">
            <v>Ireland</v>
          </cell>
        </row>
        <row r="504">
          <cell r="L504" t="str">
            <v>Proportional</v>
          </cell>
          <cell r="S504">
            <v>3138.01</v>
          </cell>
          <cell r="X504" t="str">
            <v>Claims - gross</v>
          </cell>
          <cell r="Y504" t="str">
            <v>PORTUGAL</v>
          </cell>
        </row>
        <row r="505">
          <cell r="L505"/>
          <cell r="S505">
            <v>63.37</v>
          </cell>
          <cell r="X505" t="str">
            <v>Claims - gross</v>
          </cell>
          <cell r="Y505" t="str">
            <v>PORTUGAL</v>
          </cell>
        </row>
        <row r="506">
          <cell r="L506" t="str">
            <v>Proportional</v>
          </cell>
          <cell r="S506">
            <v>15489.79</v>
          </cell>
          <cell r="X506" t="str">
            <v>Claims - gross</v>
          </cell>
          <cell r="Y506" t="str">
            <v>PORTUGAL</v>
          </cell>
        </row>
        <row r="507">
          <cell r="L507" t="str">
            <v>Non-proportional</v>
          </cell>
          <cell r="S507">
            <v>-17516.900000000001</v>
          </cell>
          <cell r="X507" t="str">
            <v>Claims - gross</v>
          </cell>
          <cell r="Y507" t="str">
            <v>UNITED KINGDOM</v>
          </cell>
        </row>
        <row r="508">
          <cell r="L508" t="str">
            <v>Proportional</v>
          </cell>
          <cell r="S508">
            <v>-499.24</v>
          </cell>
          <cell r="X508" t="str">
            <v>Claims - gross</v>
          </cell>
          <cell r="Y508" t="str">
            <v>Ireland</v>
          </cell>
        </row>
        <row r="509">
          <cell r="L509" t="str">
            <v>Proportional</v>
          </cell>
          <cell r="S509">
            <v>59.6</v>
          </cell>
          <cell r="X509" t="str">
            <v>Claims - gross</v>
          </cell>
          <cell r="Y509" t="str">
            <v>PORTUGAL</v>
          </cell>
        </row>
        <row r="510">
          <cell r="L510" t="str">
            <v>Proportional</v>
          </cell>
          <cell r="S510">
            <v>126109.39</v>
          </cell>
          <cell r="X510" t="str">
            <v>Claims - gross</v>
          </cell>
          <cell r="Y510" t="str">
            <v>THAILAND</v>
          </cell>
        </row>
        <row r="511">
          <cell r="L511" t="str">
            <v>Non-proportional</v>
          </cell>
          <cell r="S511">
            <v>12654.32</v>
          </cell>
          <cell r="X511" t="str">
            <v>Claims - gross</v>
          </cell>
          <cell r="Y511" t="str">
            <v>FAROE ISLANDS</v>
          </cell>
        </row>
        <row r="512">
          <cell r="L512" t="str">
            <v>Non-proportional</v>
          </cell>
          <cell r="S512">
            <v>76060.06</v>
          </cell>
          <cell r="X512" t="str">
            <v>Claims - gross</v>
          </cell>
          <cell r="Y512" t="str">
            <v>UNITED KINGDOM</v>
          </cell>
        </row>
        <row r="513">
          <cell r="L513" t="str">
            <v>Proportional</v>
          </cell>
          <cell r="S513">
            <v>7443.23</v>
          </cell>
          <cell r="X513" t="str">
            <v>Claims - gross</v>
          </cell>
          <cell r="Y513" t="str">
            <v>PORTUGAL</v>
          </cell>
        </row>
        <row r="514">
          <cell r="L514" t="str">
            <v>Proportional</v>
          </cell>
          <cell r="S514">
            <v>5581.68</v>
          </cell>
          <cell r="X514" t="str">
            <v>Claims - gross</v>
          </cell>
          <cell r="Y514" t="str">
            <v>PORTUGAL</v>
          </cell>
        </row>
        <row r="515">
          <cell r="L515" t="str">
            <v>Proportional</v>
          </cell>
          <cell r="S515">
            <v>23583.85</v>
          </cell>
          <cell r="X515" t="str">
            <v>Claims - gross</v>
          </cell>
          <cell r="Y515" t="str">
            <v>UNITED STATES</v>
          </cell>
        </row>
        <row r="516">
          <cell r="L516" t="str">
            <v>Proportional</v>
          </cell>
          <cell r="S516">
            <v>-17.2</v>
          </cell>
          <cell r="X516" t="str">
            <v>Claims - gross</v>
          </cell>
          <cell r="Y516" t="str">
            <v>India</v>
          </cell>
        </row>
        <row r="517">
          <cell r="L517" t="str">
            <v>Proportional</v>
          </cell>
          <cell r="S517">
            <v>10365.86</v>
          </cell>
          <cell r="X517" t="str">
            <v>Claims - gross</v>
          </cell>
          <cell r="Y517" t="str">
            <v>Turkey</v>
          </cell>
        </row>
        <row r="518">
          <cell r="L518" t="str">
            <v>Proportional</v>
          </cell>
          <cell r="S518">
            <v>-58.95</v>
          </cell>
          <cell r="X518" t="str">
            <v>Claims - gross</v>
          </cell>
          <cell r="Y518" t="str">
            <v>Ireland</v>
          </cell>
        </row>
        <row r="519">
          <cell r="L519" t="str">
            <v>Proportional</v>
          </cell>
          <cell r="S519">
            <v>2562.31</v>
          </cell>
          <cell r="X519" t="str">
            <v>Claims - gross</v>
          </cell>
          <cell r="Y519" t="str">
            <v>India</v>
          </cell>
        </row>
        <row r="520">
          <cell r="L520" t="str">
            <v>Proportional</v>
          </cell>
          <cell r="S520">
            <v>13.78</v>
          </cell>
          <cell r="X520" t="str">
            <v>Claims - gross</v>
          </cell>
          <cell r="Y520" t="str">
            <v>Turkey</v>
          </cell>
        </row>
        <row r="521">
          <cell r="L521" t="str">
            <v>Proportional</v>
          </cell>
          <cell r="S521">
            <v>13.32</v>
          </cell>
          <cell r="X521" t="str">
            <v>Claims - gross</v>
          </cell>
          <cell r="Y521" t="str">
            <v>Turkey</v>
          </cell>
        </row>
        <row r="522">
          <cell r="L522" t="str">
            <v>Proportional</v>
          </cell>
          <cell r="S522">
            <v>4.6399999999999997</v>
          </cell>
          <cell r="X522" t="str">
            <v>Claims - gross</v>
          </cell>
          <cell r="Y522" t="str">
            <v>Turkey</v>
          </cell>
        </row>
        <row r="523">
          <cell r="L523" t="str">
            <v>Non-proportional</v>
          </cell>
          <cell r="S523">
            <v>1953.54</v>
          </cell>
          <cell r="X523" t="str">
            <v>Claims - gross</v>
          </cell>
          <cell r="Y523" t="str">
            <v>India</v>
          </cell>
        </row>
        <row r="524">
          <cell r="L524" t="str">
            <v>Proportional</v>
          </cell>
          <cell r="S524">
            <v>1117592.69</v>
          </cell>
          <cell r="X524" t="str">
            <v>Claims - gross</v>
          </cell>
          <cell r="Y524" t="str">
            <v>UNITED STATES</v>
          </cell>
        </row>
        <row r="525">
          <cell r="L525" t="str">
            <v>Proportional</v>
          </cell>
          <cell r="S525">
            <v>94187.28</v>
          </cell>
          <cell r="X525" t="str">
            <v>Claims - gross</v>
          </cell>
          <cell r="Y525" t="str">
            <v>India</v>
          </cell>
        </row>
        <row r="526">
          <cell r="L526" t="str">
            <v>Proportional</v>
          </cell>
          <cell r="S526">
            <v>-228163.78</v>
          </cell>
          <cell r="X526" t="str">
            <v>Claims - gross</v>
          </cell>
          <cell r="Y526" t="str">
            <v>TURKEY</v>
          </cell>
        </row>
        <row r="527">
          <cell r="L527" t="str">
            <v>Proportional</v>
          </cell>
          <cell r="S527">
            <v>25510</v>
          </cell>
          <cell r="X527" t="str">
            <v>Claims - gross</v>
          </cell>
          <cell r="Y527" t="str">
            <v>FRANCE</v>
          </cell>
        </row>
        <row r="528">
          <cell r="L528" t="str">
            <v>Proportional</v>
          </cell>
          <cell r="S528">
            <v>216.8</v>
          </cell>
          <cell r="X528" t="str">
            <v>Claims - gross</v>
          </cell>
          <cell r="Y528" t="str">
            <v>SWITZERLAND</v>
          </cell>
        </row>
        <row r="529">
          <cell r="L529" t="str">
            <v>Non-proportional</v>
          </cell>
          <cell r="S529">
            <v>777916.33</v>
          </cell>
          <cell r="X529" t="str">
            <v>Claims - gross</v>
          </cell>
          <cell r="Y529" t="str">
            <v>EUROPE</v>
          </cell>
        </row>
        <row r="530">
          <cell r="L530" t="str">
            <v>Non-proportional</v>
          </cell>
          <cell r="S530">
            <v>257297.52</v>
          </cell>
          <cell r="X530" t="str">
            <v>Claims - gross</v>
          </cell>
          <cell r="Y530" t="str">
            <v>Belgium</v>
          </cell>
        </row>
        <row r="531">
          <cell r="L531" t="str">
            <v>Proportional</v>
          </cell>
          <cell r="S531">
            <v>95.01</v>
          </cell>
          <cell r="X531" t="str">
            <v>Claims - gross</v>
          </cell>
          <cell r="Y531" t="str">
            <v>Turkey</v>
          </cell>
        </row>
        <row r="532">
          <cell r="L532" t="str">
            <v>Proportional</v>
          </cell>
          <cell r="S532">
            <v>1.58</v>
          </cell>
          <cell r="X532" t="str">
            <v>Claims - gross</v>
          </cell>
          <cell r="Y532" t="str">
            <v>HONG KONG</v>
          </cell>
        </row>
        <row r="533">
          <cell r="L533" t="str">
            <v>Proportional</v>
          </cell>
          <cell r="S533">
            <v>1273.5999999999999</v>
          </cell>
          <cell r="X533" t="str">
            <v>Claims - gross</v>
          </cell>
          <cell r="Y533" t="str">
            <v>INDIA</v>
          </cell>
        </row>
        <row r="534">
          <cell r="L534" t="str">
            <v>Proportional</v>
          </cell>
          <cell r="S534">
            <v>13443.41</v>
          </cell>
          <cell r="X534" t="str">
            <v>Claims - gross</v>
          </cell>
          <cell r="Y534" t="str">
            <v>TURKEY</v>
          </cell>
        </row>
        <row r="535">
          <cell r="L535" t="str">
            <v>Proportional</v>
          </cell>
          <cell r="S535">
            <v>1022.31</v>
          </cell>
          <cell r="X535" t="str">
            <v>Claims - gross</v>
          </cell>
          <cell r="Y535" t="str">
            <v>India</v>
          </cell>
        </row>
        <row r="536">
          <cell r="L536" t="str">
            <v>Proportional</v>
          </cell>
          <cell r="S536">
            <v>52593.54</v>
          </cell>
          <cell r="X536" t="str">
            <v>Claims - gross</v>
          </cell>
          <cell r="Y536" t="str">
            <v>INDIA</v>
          </cell>
        </row>
        <row r="537">
          <cell r="L537" t="str">
            <v>Proportional</v>
          </cell>
          <cell r="S537">
            <v>444.89</v>
          </cell>
          <cell r="X537" t="str">
            <v>Claims - gross</v>
          </cell>
          <cell r="Y537" t="str">
            <v>Turkey</v>
          </cell>
        </row>
        <row r="538">
          <cell r="L538" t="str">
            <v>Proportional</v>
          </cell>
          <cell r="S538">
            <v>60989.34</v>
          </cell>
          <cell r="X538" t="str">
            <v>Claims - gross</v>
          </cell>
          <cell r="Y538" t="str">
            <v>TURKEY</v>
          </cell>
        </row>
        <row r="539">
          <cell r="L539" t="str">
            <v>Proportional</v>
          </cell>
          <cell r="S539">
            <v>251470.18</v>
          </cell>
          <cell r="X539" t="str">
            <v>Claims - gross</v>
          </cell>
          <cell r="Y539" t="str">
            <v>TURKEY</v>
          </cell>
        </row>
        <row r="540">
          <cell r="L540" t="str">
            <v>Proportional</v>
          </cell>
          <cell r="S540">
            <v>540000</v>
          </cell>
          <cell r="X540" t="str">
            <v>Claims - gross</v>
          </cell>
          <cell r="Y540" t="str">
            <v>FRANCE</v>
          </cell>
        </row>
        <row r="541">
          <cell r="L541" t="str">
            <v>Proportional</v>
          </cell>
          <cell r="S541">
            <v>7333.61</v>
          </cell>
          <cell r="X541" t="str">
            <v>Claims - gross</v>
          </cell>
          <cell r="Y541" t="str">
            <v>India</v>
          </cell>
        </row>
        <row r="542">
          <cell r="L542" t="str">
            <v>Proportional</v>
          </cell>
          <cell r="S542">
            <v>342.8</v>
          </cell>
          <cell r="X542" t="str">
            <v>Claims - gross</v>
          </cell>
          <cell r="Y542" t="str">
            <v>MALAYSIA</v>
          </cell>
        </row>
        <row r="543">
          <cell r="L543" t="str">
            <v>Proportional</v>
          </cell>
          <cell r="S543">
            <v>53.73</v>
          </cell>
          <cell r="X543" t="str">
            <v>Claims - gross</v>
          </cell>
          <cell r="Y543" t="str">
            <v>Turkey</v>
          </cell>
        </row>
        <row r="544">
          <cell r="L544" t="str">
            <v>Proportional</v>
          </cell>
          <cell r="S544">
            <v>23583.85</v>
          </cell>
          <cell r="X544" t="str">
            <v>Claims - gross</v>
          </cell>
          <cell r="Y544" t="str">
            <v>UNITED STATES</v>
          </cell>
        </row>
        <row r="545">
          <cell r="L545" t="str">
            <v>Non-proportional</v>
          </cell>
          <cell r="S545">
            <v>56076.54</v>
          </cell>
          <cell r="X545" t="str">
            <v>Claims - gross</v>
          </cell>
          <cell r="Y545" t="str">
            <v>Belgium</v>
          </cell>
        </row>
        <row r="546">
          <cell r="L546" t="str">
            <v>Proportional</v>
          </cell>
          <cell r="S546">
            <v>4234.26</v>
          </cell>
          <cell r="X546" t="str">
            <v>Claims - gross</v>
          </cell>
          <cell r="Y546" t="str">
            <v>Turkey</v>
          </cell>
        </row>
        <row r="547">
          <cell r="L547" t="str">
            <v>Proportional</v>
          </cell>
          <cell r="S547">
            <v>-160364.78</v>
          </cell>
          <cell r="X547" t="str">
            <v>Claims - gross</v>
          </cell>
          <cell r="Y547" t="str">
            <v>UNITED STATES</v>
          </cell>
        </row>
        <row r="548">
          <cell r="L548" t="str">
            <v>Proportional</v>
          </cell>
          <cell r="S548">
            <v>597.79999999999995</v>
          </cell>
          <cell r="X548" t="str">
            <v>Claims - gross</v>
          </cell>
          <cell r="Y548" t="str">
            <v>TURKEY</v>
          </cell>
        </row>
        <row r="549">
          <cell r="L549" t="str">
            <v>Proportional</v>
          </cell>
          <cell r="S549">
            <v>9614.85</v>
          </cell>
          <cell r="X549" t="str">
            <v>Claims - gross</v>
          </cell>
          <cell r="Y549" t="str">
            <v>TURKEY</v>
          </cell>
        </row>
        <row r="550">
          <cell r="L550" t="str">
            <v>Non-proportional</v>
          </cell>
          <cell r="S550">
            <v>701.23</v>
          </cell>
          <cell r="X550" t="str">
            <v>Claims - gross</v>
          </cell>
          <cell r="Y550" t="str">
            <v>Belgium</v>
          </cell>
        </row>
        <row r="551">
          <cell r="L551" t="str">
            <v>Proportional</v>
          </cell>
          <cell r="S551">
            <v>121538.13</v>
          </cell>
          <cell r="X551" t="str">
            <v>Claims - gross</v>
          </cell>
          <cell r="Y551" t="str">
            <v>INDIA</v>
          </cell>
        </row>
        <row r="552">
          <cell r="L552" t="str">
            <v>Proportional</v>
          </cell>
          <cell r="S552">
            <v>425.48</v>
          </cell>
          <cell r="X552" t="str">
            <v>Claims - gross</v>
          </cell>
          <cell r="Y552" t="str">
            <v>Turkey</v>
          </cell>
        </row>
        <row r="553">
          <cell r="L553" t="str">
            <v>Proportional</v>
          </cell>
          <cell r="S553">
            <v>707.63</v>
          </cell>
          <cell r="X553" t="str">
            <v>Claims - gross</v>
          </cell>
          <cell r="Y553" t="str">
            <v>Turkey</v>
          </cell>
        </row>
        <row r="554">
          <cell r="L554" t="str">
            <v>Proportional</v>
          </cell>
          <cell r="S554">
            <v>-23583.85</v>
          </cell>
          <cell r="X554" t="str">
            <v>Claims - gross</v>
          </cell>
          <cell r="Y554" t="str">
            <v>UNITED STATES</v>
          </cell>
        </row>
        <row r="555">
          <cell r="L555" t="str">
            <v>Proportional</v>
          </cell>
          <cell r="S555">
            <v>20.13</v>
          </cell>
          <cell r="X555" t="str">
            <v>Claims - gross</v>
          </cell>
          <cell r="Y555" t="str">
            <v>Turkey</v>
          </cell>
        </row>
        <row r="556">
          <cell r="L556" t="str">
            <v>Non-proportional</v>
          </cell>
          <cell r="S556">
            <v>101.03</v>
          </cell>
          <cell r="X556" t="str">
            <v>Claims - gross</v>
          </cell>
          <cell r="Y556" t="str">
            <v>Belgium</v>
          </cell>
        </row>
        <row r="557">
          <cell r="L557" t="str">
            <v>Proportional</v>
          </cell>
          <cell r="S557">
            <v>23853.1</v>
          </cell>
          <cell r="X557" t="str">
            <v>Claims - gross</v>
          </cell>
          <cell r="Y557" t="str">
            <v>PORTUGAL</v>
          </cell>
        </row>
        <row r="558">
          <cell r="L558" t="str">
            <v>Proportional</v>
          </cell>
          <cell r="S558">
            <v>883529.36</v>
          </cell>
          <cell r="X558" t="str">
            <v>Claims - gross</v>
          </cell>
          <cell r="Y558" t="str">
            <v>UNITED STATES</v>
          </cell>
        </row>
        <row r="559">
          <cell r="L559" t="str">
            <v>Non-proportional</v>
          </cell>
          <cell r="S559">
            <v>-10368</v>
          </cell>
          <cell r="X559" t="str">
            <v>Claims - gross</v>
          </cell>
          <cell r="Y559" t="str">
            <v>Belgium</v>
          </cell>
        </row>
        <row r="560">
          <cell r="L560" t="str">
            <v>Proportional</v>
          </cell>
          <cell r="S560">
            <v>662.5</v>
          </cell>
          <cell r="X560" t="str">
            <v>Claims - gross</v>
          </cell>
          <cell r="Y560" t="str">
            <v>Turkey</v>
          </cell>
        </row>
        <row r="561">
          <cell r="L561" t="str">
            <v>Proportional</v>
          </cell>
          <cell r="S561">
            <v>1658.19</v>
          </cell>
          <cell r="X561" t="str">
            <v>Claims - gross</v>
          </cell>
          <cell r="Y561" t="str">
            <v>Turkey</v>
          </cell>
        </row>
        <row r="562">
          <cell r="L562" t="str">
            <v>Non-proportional</v>
          </cell>
          <cell r="S562">
            <v>5168.34</v>
          </cell>
          <cell r="X562" t="str">
            <v>Claims - gross</v>
          </cell>
          <cell r="Y562" t="str">
            <v>United kingdom</v>
          </cell>
        </row>
        <row r="563">
          <cell r="L563" t="str">
            <v>Proportional</v>
          </cell>
          <cell r="S563">
            <v>3425.4</v>
          </cell>
          <cell r="X563" t="str">
            <v>Claims - gross</v>
          </cell>
          <cell r="Y563" t="str">
            <v>Turkey</v>
          </cell>
        </row>
        <row r="564">
          <cell r="L564" t="str">
            <v>Proportional</v>
          </cell>
          <cell r="S564">
            <v>22071.69</v>
          </cell>
          <cell r="X564" t="str">
            <v>Claims - gross</v>
          </cell>
          <cell r="Y564" t="str">
            <v>UNITED KINGDOM</v>
          </cell>
        </row>
        <row r="565">
          <cell r="L565" t="str">
            <v>Proportional</v>
          </cell>
          <cell r="S565">
            <v>4299.1899999999996</v>
          </cell>
          <cell r="X565" t="str">
            <v>Claims - gross</v>
          </cell>
          <cell r="Y565" t="str">
            <v>UNITED STATES</v>
          </cell>
        </row>
        <row r="566">
          <cell r="L566" t="str">
            <v>Proportional</v>
          </cell>
          <cell r="S566">
            <v>-481145.94</v>
          </cell>
          <cell r="X566" t="str">
            <v>Claims - gross</v>
          </cell>
          <cell r="Y566" t="str">
            <v>UNITED STATES</v>
          </cell>
        </row>
        <row r="567">
          <cell r="L567" t="str">
            <v>Proportional</v>
          </cell>
          <cell r="S567">
            <v>3298.41</v>
          </cell>
          <cell r="X567" t="str">
            <v>Claims - gross</v>
          </cell>
          <cell r="Y567" t="str">
            <v>UNITED STATES</v>
          </cell>
        </row>
        <row r="568">
          <cell r="L568" t="str">
            <v>Proportional</v>
          </cell>
          <cell r="S568">
            <v>37010.559999999998</v>
          </cell>
          <cell r="X568" t="str">
            <v>Claims - gross</v>
          </cell>
          <cell r="Y568" t="str">
            <v>UNITED STATES</v>
          </cell>
        </row>
        <row r="569">
          <cell r="L569" t="str">
            <v>Proportional</v>
          </cell>
          <cell r="S569">
            <v>392.22</v>
          </cell>
          <cell r="X569" t="str">
            <v>Claims - gross</v>
          </cell>
          <cell r="Y569" t="str">
            <v>Turkey</v>
          </cell>
        </row>
        <row r="570">
          <cell r="L570" t="str">
            <v>Non-proportional</v>
          </cell>
          <cell r="S570">
            <v>58328.86</v>
          </cell>
          <cell r="X570" t="str">
            <v>Claims - gross</v>
          </cell>
          <cell r="Y570" t="str">
            <v>TURKEY</v>
          </cell>
        </row>
        <row r="571">
          <cell r="L571" t="str">
            <v>Proportional</v>
          </cell>
          <cell r="S571">
            <v>23903.02</v>
          </cell>
          <cell r="X571" t="str">
            <v>Claims - gross</v>
          </cell>
          <cell r="Y571" t="str">
            <v>INDIA</v>
          </cell>
        </row>
        <row r="572">
          <cell r="L572" t="str">
            <v>Proportional</v>
          </cell>
          <cell r="S572">
            <v>124.37</v>
          </cell>
          <cell r="X572" t="str">
            <v>Claims - gross</v>
          </cell>
          <cell r="Y572" t="str">
            <v>Hong Kong</v>
          </cell>
        </row>
        <row r="573">
          <cell r="L573" t="str">
            <v>Proportional</v>
          </cell>
          <cell r="S573">
            <v>-540000</v>
          </cell>
          <cell r="X573" t="str">
            <v>Claims - gross</v>
          </cell>
          <cell r="Y573" t="str">
            <v>FRANCE</v>
          </cell>
        </row>
        <row r="574">
          <cell r="L574" t="str">
            <v>Proportional</v>
          </cell>
          <cell r="S574">
            <v>105250.18</v>
          </cell>
          <cell r="X574" t="str">
            <v>Claims - gross</v>
          </cell>
          <cell r="Y574" t="str">
            <v>UNITED STATES</v>
          </cell>
        </row>
        <row r="575">
          <cell r="L575" t="str">
            <v>Proportional</v>
          </cell>
          <cell r="S575">
            <v>-14559.07</v>
          </cell>
          <cell r="X575" t="str">
            <v>Claims - gross</v>
          </cell>
          <cell r="Y575" t="str">
            <v>TURKEY</v>
          </cell>
        </row>
        <row r="576">
          <cell r="L576" t="str">
            <v>Non-proportional</v>
          </cell>
          <cell r="S576">
            <v>280447.01</v>
          </cell>
          <cell r="X576" t="str">
            <v>Claims - gross</v>
          </cell>
          <cell r="Y576" t="str">
            <v>Belgium</v>
          </cell>
        </row>
        <row r="577">
          <cell r="L577" t="str">
            <v>Proportional</v>
          </cell>
          <cell r="S577">
            <v>1243.8499999999999</v>
          </cell>
          <cell r="X577" t="str">
            <v>Claims - gross</v>
          </cell>
          <cell r="Y577" t="str">
            <v>India</v>
          </cell>
        </row>
        <row r="578">
          <cell r="L578" t="str">
            <v>Proportional</v>
          </cell>
          <cell r="S578">
            <v>0.63</v>
          </cell>
          <cell r="X578" t="str">
            <v>Claims - gross</v>
          </cell>
          <cell r="Y578" t="str">
            <v>Turkey</v>
          </cell>
        </row>
        <row r="579">
          <cell r="L579" t="str">
            <v>Non-proportional</v>
          </cell>
          <cell r="S579">
            <v>308360.55</v>
          </cell>
          <cell r="X579" t="str">
            <v>Claims - gross</v>
          </cell>
          <cell r="Y579" t="str">
            <v>Belgium</v>
          </cell>
        </row>
        <row r="580">
          <cell r="L580" t="str">
            <v>Non-proportional</v>
          </cell>
          <cell r="S580">
            <v>-440.92</v>
          </cell>
          <cell r="X580" t="str">
            <v>Claims - gross</v>
          </cell>
          <cell r="Y580" t="str">
            <v>UNITED KINGDOM</v>
          </cell>
        </row>
        <row r="581">
          <cell r="L581" t="str">
            <v>Proportional</v>
          </cell>
          <cell r="S581">
            <v>-367.39</v>
          </cell>
          <cell r="X581" t="str">
            <v>Claims - gross</v>
          </cell>
          <cell r="Y581" t="str">
            <v>TURKEY</v>
          </cell>
        </row>
        <row r="582">
          <cell r="L582" t="str">
            <v>Proportional</v>
          </cell>
          <cell r="S582">
            <v>122046.27</v>
          </cell>
          <cell r="X582" t="str">
            <v>Claims - gross</v>
          </cell>
          <cell r="Y582" t="str">
            <v>UNITED STATES</v>
          </cell>
        </row>
        <row r="583">
          <cell r="L583" t="str">
            <v>Non-proportional</v>
          </cell>
          <cell r="S583">
            <v>53672</v>
          </cell>
          <cell r="X583" t="str">
            <v>Claims - gross</v>
          </cell>
          <cell r="Y583" t="str">
            <v>Belgium</v>
          </cell>
        </row>
        <row r="584">
          <cell r="L584" t="str">
            <v>Proportional</v>
          </cell>
          <cell r="S584">
            <v>5048.21</v>
          </cell>
          <cell r="X584" t="str">
            <v>Claims - gross</v>
          </cell>
          <cell r="Y584" t="str">
            <v>INDIA</v>
          </cell>
        </row>
        <row r="585">
          <cell r="L585" t="str">
            <v>Proportional</v>
          </cell>
          <cell r="S585">
            <v>22854.12</v>
          </cell>
          <cell r="X585" t="str">
            <v>Claims - gross</v>
          </cell>
          <cell r="Y585" t="str">
            <v>India</v>
          </cell>
        </row>
        <row r="586">
          <cell r="L586" t="str">
            <v>Proportional</v>
          </cell>
          <cell r="S586">
            <v>2774.59</v>
          </cell>
          <cell r="X586" t="str">
            <v>Claims - gross</v>
          </cell>
          <cell r="Y586" t="str">
            <v>Turkey</v>
          </cell>
        </row>
        <row r="587">
          <cell r="L587" t="str">
            <v>Proportional</v>
          </cell>
          <cell r="S587">
            <v>75404.61</v>
          </cell>
          <cell r="X587" t="str">
            <v>Claims - gross</v>
          </cell>
          <cell r="Y587" t="str">
            <v>ITALY</v>
          </cell>
        </row>
        <row r="588">
          <cell r="L588" t="str">
            <v>Proportional</v>
          </cell>
          <cell r="S588">
            <v>18863.7</v>
          </cell>
          <cell r="X588" t="str">
            <v>Claims - gross</v>
          </cell>
          <cell r="Y588" t="str">
            <v>India</v>
          </cell>
        </row>
        <row r="589">
          <cell r="L589" t="str">
            <v>Proportional</v>
          </cell>
          <cell r="S589">
            <v>22133.08</v>
          </cell>
          <cell r="X589" t="str">
            <v>Claims - gross</v>
          </cell>
          <cell r="Y589" t="str">
            <v>INDIA</v>
          </cell>
        </row>
        <row r="590">
          <cell r="L590" t="str">
            <v>Proportional</v>
          </cell>
          <cell r="S590">
            <v>7813.1</v>
          </cell>
          <cell r="X590" t="str">
            <v>Claims - gross</v>
          </cell>
          <cell r="Y590" t="str">
            <v>TURKEY</v>
          </cell>
        </row>
        <row r="591">
          <cell r="L591" t="str">
            <v>Proportional</v>
          </cell>
          <cell r="S591">
            <v>25.02</v>
          </cell>
          <cell r="X591" t="str">
            <v>Claims - gross</v>
          </cell>
          <cell r="Y591" t="str">
            <v>PORTUGAL</v>
          </cell>
        </row>
        <row r="592">
          <cell r="L592" t="str">
            <v>Proportional</v>
          </cell>
          <cell r="S592">
            <v>118.97</v>
          </cell>
          <cell r="X592" t="str">
            <v>Claims - gross</v>
          </cell>
          <cell r="Y592" t="str">
            <v>HONG KONG</v>
          </cell>
        </row>
        <row r="593">
          <cell r="L593" t="str">
            <v>Proportional</v>
          </cell>
          <cell r="S593">
            <v>161.03</v>
          </cell>
          <cell r="X593" t="str">
            <v>Claims - gross</v>
          </cell>
          <cell r="Y593" t="str">
            <v>Turkey</v>
          </cell>
        </row>
        <row r="594">
          <cell r="L594" t="str">
            <v>Proportional</v>
          </cell>
          <cell r="S594">
            <v>7765.61</v>
          </cell>
          <cell r="X594" t="str">
            <v>Claims - gross</v>
          </cell>
          <cell r="Y594" t="str">
            <v>India</v>
          </cell>
        </row>
        <row r="595">
          <cell r="L595" t="str">
            <v>Proportional</v>
          </cell>
          <cell r="S595">
            <v>-119.6</v>
          </cell>
          <cell r="X595" t="str">
            <v>Claims - gross</v>
          </cell>
          <cell r="Y595" t="str">
            <v>Turkey</v>
          </cell>
        </row>
        <row r="596">
          <cell r="L596" t="str">
            <v>Proportional</v>
          </cell>
          <cell r="S596">
            <v>105294.14</v>
          </cell>
          <cell r="X596" t="str">
            <v>Claims - gross</v>
          </cell>
          <cell r="Y596" t="str">
            <v>UNITED STATES</v>
          </cell>
        </row>
        <row r="597">
          <cell r="L597" t="str">
            <v>Proportional</v>
          </cell>
          <cell r="S597">
            <v>2742.41</v>
          </cell>
          <cell r="X597" t="str">
            <v>Claims - gross</v>
          </cell>
          <cell r="Y597" t="str">
            <v>Turkey</v>
          </cell>
        </row>
        <row r="598">
          <cell r="L598" t="str">
            <v>Proportional</v>
          </cell>
          <cell r="S598">
            <v>-2123.64</v>
          </cell>
          <cell r="X598" t="str">
            <v>Claims - gross</v>
          </cell>
          <cell r="Y598" t="str">
            <v>TURKEY</v>
          </cell>
        </row>
        <row r="599">
          <cell r="L599" t="str">
            <v>Non-proportional</v>
          </cell>
          <cell r="S599">
            <v>89766.54</v>
          </cell>
          <cell r="X599" t="str">
            <v>Claims - gross</v>
          </cell>
          <cell r="Y599" t="str">
            <v>Belgium</v>
          </cell>
        </row>
        <row r="600">
          <cell r="L600" t="str">
            <v>Proportional</v>
          </cell>
          <cell r="S600">
            <v>693363.31</v>
          </cell>
          <cell r="X600" t="str">
            <v>Claims - gross</v>
          </cell>
          <cell r="Y600" t="str">
            <v>UNITED STATES</v>
          </cell>
        </row>
        <row r="601">
          <cell r="L601" t="str">
            <v>Proportional</v>
          </cell>
          <cell r="S601">
            <v>1308.44</v>
          </cell>
          <cell r="X601" t="str">
            <v>Claims - gross</v>
          </cell>
          <cell r="Y601" t="str">
            <v>UNITED STATES</v>
          </cell>
        </row>
        <row r="602">
          <cell r="L602" t="str">
            <v>Proportional</v>
          </cell>
          <cell r="S602">
            <v>-99.58</v>
          </cell>
          <cell r="X602" t="str">
            <v>Claims - gross</v>
          </cell>
          <cell r="Y602" t="str">
            <v>Ireland</v>
          </cell>
        </row>
        <row r="603">
          <cell r="L603" t="str">
            <v>Proportional</v>
          </cell>
          <cell r="S603">
            <v>7773.26</v>
          </cell>
          <cell r="X603" t="str">
            <v>Claims - gross</v>
          </cell>
          <cell r="Y603" t="str">
            <v>INDIA</v>
          </cell>
        </row>
        <row r="604">
          <cell r="L604" t="str">
            <v>Proportional</v>
          </cell>
          <cell r="S604">
            <v>1815.78</v>
          </cell>
          <cell r="X604" t="str">
            <v>Claims - gross</v>
          </cell>
          <cell r="Y604" t="str">
            <v>Turkey</v>
          </cell>
        </row>
        <row r="605">
          <cell r="L605" t="str">
            <v>Proportional</v>
          </cell>
          <cell r="S605">
            <v>127.02</v>
          </cell>
          <cell r="X605" t="str">
            <v>Claims - gross</v>
          </cell>
          <cell r="Y605" t="str">
            <v>Turkey</v>
          </cell>
        </row>
        <row r="606">
          <cell r="L606" t="str">
            <v>Proportional</v>
          </cell>
          <cell r="S606">
            <v>142.41</v>
          </cell>
          <cell r="X606" t="str">
            <v>Claims - gross</v>
          </cell>
          <cell r="Y606" t="str">
            <v>Hong Kong</v>
          </cell>
        </row>
        <row r="607">
          <cell r="L607" t="str">
            <v>Proportional</v>
          </cell>
          <cell r="S607">
            <v>25.05</v>
          </cell>
          <cell r="X607" t="str">
            <v>Claims - gross</v>
          </cell>
          <cell r="Y607" t="str">
            <v>Turkey</v>
          </cell>
        </row>
        <row r="608">
          <cell r="L608" t="str">
            <v>Proportional</v>
          </cell>
          <cell r="S608">
            <v>6763.57</v>
          </cell>
          <cell r="X608" t="str">
            <v>Claims - gross</v>
          </cell>
          <cell r="Y608" t="str">
            <v>Hong Kong</v>
          </cell>
        </row>
        <row r="609">
          <cell r="L609" t="str">
            <v>Proportional</v>
          </cell>
          <cell r="S609">
            <v>-5382.05</v>
          </cell>
          <cell r="X609" t="str">
            <v>Claims - gross</v>
          </cell>
          <cell r="Y609" t="str">
            <v>Turkey</v>
          </cell>
        </row>
        <row r="610">
          <cell r="L610" t="str">
            <v>Non-proportional</v>
          </cell>
          <cell r="S610">
            <v>40367.72</v>
          </cell>
          <cell r="X610" t="str">
            <v>Claims - gross</v>
          </cell>
          <cell r="Y610" t="str">
            <v>POLAND</v>
          </cell>
        </row>
        <row r="611">
          <cell r="L611" t="str">
            <v>Proportional</v>
          </cell>
          <cell r="S611">
            <v>55.17</v>
          </cell>
          <cell r="X611" t="str">
            <v>Claims - gross</v>
          </cell>
          <cell r="Y611" t="str">
            <v>India</v>
          </cell>
        </row>
        <row r="612">
          <cell r="L612" t="str">
            <v>Proportional</v>
          </cell>
          <cell r="S612">
            <v>-149054.62</v>
          </cell>
          <cell r="X612" t="str">
            <v>Claims - gross</v>
          </cell>
          <cell r="Y612" t="str">
            <v>THAILAND</v>
          </cell>
        </row>
        <row r="613">
          <cell r="L613" t="str">
            <v>Proportional</v>
          </cell>
          <cell r="S613">
            <v>-203</v>
          </cell>
          <cell r="X613" t="str">
            <v>Claims - gross</v>
          </cell>
          <cell r="Y613" t="str">
            <v>Ireland</v>
          </cell>
        </row>
        <row r="614">
          <cell r="L614" t="str">
            <v>Proportional</v>
          </cell>
          <cell r="S614">
            <v>-28095.119999999999</v>
          </cell>
          <cell r="X614" t="str">
            <v>Claims - gross</v>
          </cell>
          <cell r="Y614" t="str">
            <v>UNITED STATES</v>
          </cell>
        </row>
        <row r="615">
          <cell r="L615" t="str">
            <v>Proportional</v>
          </cell>
          <cell r="S615">
            <v>702.09</v>
          </cell>
          <cell r="X615" t="str">
            <v>Claims - gross</v>
          </cell>
          <cell r="Y615" t="str">
            <v>Thailand</v>
          </cell>
        </row>
        <row r="616">
          <cell r="L616" t="str">
            <v>Non-proportional</v>
          </cell>
          <cell r="S616">
            <v>-4923.83</v>
          </cell>
          <cell r="X616" t="str">
            <v>Claims - gross</v>
          </cell>
          <cell r="Y616" t="str">
            <v>United kingdom</v>
          </cell>
        </row>
        <row r="617">
          <cell r="L617" t="str">
            <v>Proportional</v>
          </cell>
          <cell r="S617">
            <v>4969</v>
          </cell>
          <cell r="X617" t="str">
            <v>Claims - gross</v>
          </cell>
          <cell r="Y617" t="str">
            <v>THAILAND</v>
          </cell>
        </row>
        <row r="618">
          <cell r="L618" t="str">
            <v>Proportional</v>
          </cell>
          <cell r="S618">
            <v>84.65</v>
          </cell>
          <cell r="X618" t="str">
            <v>Claims - gross</v>
          </cell>
          <cell r="Y618" t="str">
            <v>Thailand</v>
          </cell>
        </row>
        <row r="619">
          <cell r="L619" t="str">
            <v>Proportional</v>
          </cell>
          <cell r="S619">
            <v>36350.58</v>
          </cell>
          <cell r="X619" t="str">
            <v>Claims - gross</v>
          </cell>
          <cell r="Y619" t="str">
            <v>MEXICO</v>
          </cell>
        </row>
        <row r="620">
          <cell r="L620" t="str">
            <v>Proportional</v>
          </cell>
          <cell r="S620">
            <v>2287.2199999999998</v>
          </cell>
          <cell r="X620" t="str">
            <v>Claims - gross</v>
          </cell>
          <cell r="Y620" t="str">
            <v>THAILAND</v>
          </cell>
        </row>
        <row r="621">
          <cell r="L621" t="str">
            <v>Proportional</v>
          </cell>
          <cell r="S621">
            <v>31081.61</v>
          </cell>
          <cell r="X621" t="str">
            <v>Claims - gross</v>
          </cell>
          <cell r="Y621" t="str">
            <v>Hong Kong</v>
          </cell>
        </row>
        <row r="622">
          <cell r="L622" t="str">
            <v>Proportional</v>
          </cell>
          <cell r="S622">
            <v>20.74</v>
          </cell>
          <cell r="X622" t="str">
            <v>Claims - gross</v>
          </cell>
          <cell r="Y622" t="str">
            <v>Thailand</v>
          </cell>
        </row>
        <row r="623">
          <cell r="L623" t="str">
            <v>Proportional</v>
          </cell>
          <cell r="S623">
            <v>-63.56</v>
          </cell>
          <cell r="X623" t="str">
            <v>Claims - gross</v>
          </cell>
          <cell r="Y623" t="str">
            <v>Thailand</v>
          </cell>
        </row>
        <row r="624">
          <cell r="L624" t="str">
            <v>Non-proportional</v>
          </cell>
          <cell r="S624">
            <v>13449.35</v>
          </cell>
          <cell r="X624" t="str">
            <v>Claims - gross</v>
          </cell>
          <cell r="Y624" t="str">
            <v>CZECH REPUBLIC</v>
          </cell>
        </row>
        <row r="625">
          <cell r="L625" t="str">
            <v>Proportional</v>
          </cell>
          <cell r="S625">
            <v>33939.699999999997</v>
          </cell>
          <cell r="X625" t="str">
            <v>Claims - gross</v>
          </cell>
          <cell r="Y625" t="str">
            <v>JAPAN</v>
          </cell>
        </row>
        <row r="626">
          <cell r="L626" t="str">
            <v>Proportional</v>
          </cell>
          <cell r="S626">
            <v>-36350.58</v>
          </cell>
          <cell r="X626" t="str">
            <v>Claims - gross</v>
          </cell>
          <cell r="Y626" t="str">
            <v>MEXICO</v>
          </cell>
        </row>
        <row r="627">
          <cell r="L627" t="str">
            <v>Proportional</v>
          </cell>
          <cell r="S627">
            <v>927.83</v>
          </cell>
          <cell r="X627" t="str">
            <v>Claims - gross</v>
          </cell>
          <cell r="Y627" t="str">
            <v>Thailand</v>
          </cell>
        </row>
        <row r="628">
          <cell r="L628" t="str">
            <v>Proportional</v>
          </cell>
          <cell r="S628">
            <v>135515.67000000001</v>
          </cell>
          <cell r="X628" t="str">
            <v>Claims - gross</v>
          </cell>
          <cell r="Y628" t="str">
            <v>THAILAND</v>
          </cell>
        </row>
        <row r="629">
          <cell r="L629" t="str">
            <v>Proportional</v>
          </cell>
          <cell r="S629">
            <v>-97197.88</v>
          </cell>
          <cell r="X629" t="str">
            <v>Claims - gross</v>
          </cell>
          <cell r="Y629" t="str">
            <v>THAILAND</v>
          </cell>
        </row>
        <row r="630">
          <cell r="L630" t="str">
            <v>Proportional</v>
          </cell>
          <cell r="S630">
            <v>107376.81</v>
          </cell>
          <cell r="X630" t="str">
            <v>Claims - gross</v>
          </cell>
          <cell r="Y630" t="str">
            <v>THAILAND</v>
          </cell>
        </row>
        <row r="631">
          <cell r="L631" t="str">
            <v>Proportional</v>
          </cell>
          <cell r="S631">
            <v>-29.76</v>
          </cell>
          <cell r="X631" t="str">
            <v>Claims - gross</v>
          </cell>
          <cell r="Y631" t="str">
            <v>Thailand</v>
          </cell>
        </row>
        <row r="632">
          <cell r="L632" t="str">
            <v>Proportional</v>
          </cell>
          <cell r="S632">
            <v>3.44</v>
          </cell>
          <cell r="X632" t="str">
            <v>Claims - gross</v>
          </cell>
          <cell r="Y632" t="str">
            <v>Thailand</v>
          </cell>
        </row>
        <row r="633">
          <cell r="L633" t="str">
            <v>Proportional</v>
          </cell>
          <cell r="S633">
            <v>1886.43</v>
          </cell>
          <cell r="X633" t="str">
            <v>Claims - gross</v>
          </cell>
          <cell r="Y633" t="str">
            <v>Thailand</v>
          </cell>
        </row>
        <row r="634">
          <cell r="L634" t="str">
            <v>Proportional</v>
          </cell>
          <cell r="S634">
            <v>1597891.12</v>
          </cell>
          <cell r="X634" t="str">
            <v>Claims - gross</v>
          </cell>
          <cell r="Y634" t="str">
            <v>UNITED STATES</v>
          </cell>
        </row>
        <row r="635">
          <cell r="L635" t="str">
            <v>Proportional</v>
          </cell>
          <cell r="S635">
            <v>-105091.14</v>
          </cell>
          <cell r="X635" t="str">
            <v>Claims - gross</v>
          </cell>
          <cell r="Y635" t="str">
            <v>THAILAND</v>
          </cell>
        </row>
        <row r="636">
          <cell r="L636" t="str">
            <v>Proportional</v>
          </cell>
          <cell r="S636">
            <v>535974.63</v>
          </cell>
          <cell r="X636" t="str">
            <v>Claims - gross</v>
          </cell>
          <cell r="Y636" t="str">
            <v>THAILAND</v>
          </cell>
        </row>
        <row r="637">
          <cell r="L637" t="str">
            <v>Non-proportional</v>
          </cell>
          <cell r="S637">
            <v>841.37</v>
          </cell>
          <cell r="X637" t="str">
            <v>Claims - gross</v>
          </cell>
          <cell r="Y637" t="str">
            <v>CZECH REPUBLIC</v>
          </cell>
        </row>
        <row r="638">
          <cell r="L638" t="str">
            <v>Proportional</v>
          </cell>
          <cell r="S638">
            <v>1439.01</v>
          </cell>
          <cell r="X638" t="str">
            <v>Claims - gross</v>
          </cell>
          <cell r="Y638" t="str">
            <v>THAILAND</v>
          </cell>
        </row>
        <row r="639">
          <cell r="L639" t="str">
            <v>Non-proportional</v>
          </cell>
          <cell r="S639">
            <v>51102.97</v>
          </cell>
          <cell r="X639" t="str">
            <v>Claims - gross</v>
          </cell>
          <cell r="Y639" t="str">
            <v>MEXICO</v>
          </cell>
        </row>
        <row r="640">
          <cell r="L640" t="str">
            <v>Proportional</v>
          </cell>
          <cell r="S640">
            <v>28.53</v>
          </cell>
          <cell r="X640" t="str">
            <v>Claims - gross</v>
          </cell>
          <cell r="Y640" t="str">
            <v>THAILAND</v>
          </cell>
        </row>
        <row r="641">
          <cell r="L641" t="str">
            <v>Proportional</v>
          </cell>
          <cell r="S641">
            <v>281.45999999999998</v>
          </cell>
          <cell r="X641" t="str">
            <v>Claims - gross</v>
          </cell>
          <cell r="Y641" t="str">
            <v>Thailand</v>
          </cell>
        </row>
        <row r="642">
          <cell r="L642" t="str">
            <v>Proportional</v>
          </cell>
          <cell r="S642">
            <v>24776.45</v>
          </cell>
          <cell r="X642" t="str">
            <v>Claims - gross</v>
          </cell>
          <cell r="Y642" t="str">
            <v>HONG KONG</v>
          </cell>
        </row>
        <row r="643">
          <cell r="L643" t="str">
            <v>Proportional</v>
          </cell>
          <cell r="S643">
            <v>44702.64</v>
          </cell>
          <cell r="X643" t="str">
            <v>Claims - gross</v>
          </cell>
          <cell r="Y643" t="str">
            <v>THAILAND</v>
          </cell>
        </row>
        <row r="644">
          <cell r="L644" t="str">
            <v>Proportional</v>
          </cell>
          <cell r="S644">
            <v>-150.47999999999999</v>
          </cell>
          <cell r="X644" t="str">
            <v>Claims - gross</v>
          </cell>
          <cell r="Y644" t="str">
            <v>Thailand</v>
          </cell>
        </row>
        <row r="645">
          <cell r="L645" t="str">
            <v>Proportional</v>
          </cell>
          <cell r="S645">
            <v>4786.43</v>
          </cell>
          <cell r="X645" t="str">
            <v>Claims - gross</v>
          </cell>
          <cell r="Y645" t="str">
            <v>THAILAND</v>
          </cell>
        </row>
        <row r="646">
          <cell r="L646" t="str">
            <v>Proportional</v>
          </cell>
          <cell r="S646">
            <v>37.1</v>
          </cell>
          <cell r="X646" t="str">
            <v>Claims - gross</v>
          </cell>
          <cell r="Y646" t="str">
            <v>Thailand</v>
          </cell>
        </row>
        <row r="647">
          <cell r="L647" t="str">
            <v>Proportional</v>
          </cell>
          <cell r="S647">
            <v>5391.85</v>
          </cell>
          <cell r="X647" t="str">
            <v>Claims - gross</v>
          </cell>
          <cell r="Y647" t="str">
            <v>Thailand</v>
          </cell>
        </row>
        <row r="648">
          <cell r="L648" t="str">
            <v>Proportional</v>
          </cell>
          <cell r="S648">
            <v>13.39</v>
          </cell>
          <cell r="X648" t="str">
            <v>Claims - gross</v>
          </cell>
          <cell r="Y648" t="str">
            <v>Thailand</v>
          </cell>
        </row>
        <row r="649">
          <cell r="L649" t="str">
            <v>Proportional</v>
          </cell>
          <cell r="S649">
            <v>18685.87</v>
          </cell>
          <cell r="X649" t="str">
            <v>Claims - gross</v>
          </cell>
          <cell r="Y649" t="str">
            <v>THAILAND</v>
          </cell>
        </row>
        <row r="650">
          <cell r="L650" t="str">
            <v>Proportional</v>
          </cell>
          <cell r="S650">
            <v>647824</v>
          </cell>
          <cell r="X650" t="str">
            <v>Claims - gross</v>
          </cell>
          <cell r="Y650" t="str">
            <v>Turkey</v>
          </cell>
        </row>
        <row r="651">
          <cell r="L651" t="str">
            <v>Proportional</v>
          </cell>
          <cell r="S651">
            <v>18334.8</v>
          </cell>
          <cell r="X651" t="str">
            <v>Claims - gross</v>
          </cell>
          <cell r="Y651" t="str">
            <v>THAILAND</v>
          </cell>
        </row>
        <row r="652">
          <cell r="L652" t="str">
            <v>Proportional</v>
          </cell>
          <cell r="S652">
            <v>1035645.85</v>
          </cell>
          <cell r="X652" t="str">
            <v>Claims - gross</v>
          </cell>
          <cell r="Y652" t="str">
            <v>HONG KONG</v>
          </cell>
        </row>
        <row r="653">
          <cell r="L653" t="str">
            <v>Proportional</v>
          </cell>
          <cell r="S653">
            <v>536.80999999999995</v>
          </cell>
          <cell r="X653" t="str">
            <v>Claims - gross</v>
          </cell>
          <cell r="Y653" t="str">
            <v>THAILAND</v>
          </cell>
        </row>
        <row r="654">
          <cell r="L654" t="str">
            <v>Proportional</v>
          </cell>
          <cell r="S654">
            <v>-8280.81</v>
          </cell>
          <cell r="X654" t="str">
            <v>Claims - gross</v>
          </cell>
          <cell r="Y654" t="str">
            <v>THAILAND</v>
          </cell>
        </row>
        <row r="655">
          <cell r="L655" t="str">
            <v>Proportional</v>
          </cell>
          <cell r="S655">
            <v>0.44</v>
          </cell>
          <cell r="X655" t="str">
            <v>Claims - gross</v>
          </cell>
          <cell r="Y655" t="str">
            <v>SINGAPORE</v>
          </cell>
        </row>
        <row r="656">
          <cell r="L656" t="str">
            <v>Proportional</v>
          </cell>
          <cell r="S656">
            <v>10235.81</v>
          </cell>
          <cell r="X656" t="str">
            <v>Claims - gross</v>
          </cell>
          <cell r="Y656" t="str">
            <v>THAILAND</v>
          </cell>
        </row>
        <row r="657">
          <cell r="L657" t="str">
            <v>Proportional</v>
          </cell>
          <cell r="S657">
            <v>-343</v>
          </cell>
          <cell r="X657" t="str">
            <v>Claims - gross</v>
          </cell>
          <cell r="Y657" t="str">
            <v>Ireland</v>
          </cell>
        </row>
        <row r="658">
          <cell r="L658" t="str">
            <v>Proportional</v>
          </cell>
          <cell r="S658">
            <v>2798600.64</v>
          </cell>
          <cell r="X658" t="str">
            <v>Claims - gross</v>
          </cell>
          <cell r="Y658" t="str">
            <v>THAILAND</v>
          </cell>
        </row>
        <row r="659">
          <cell r="L659" t="str">
            <v>Proportional</v>
          </cell>
          <cell r="S659">
            <v>-7245.21</v>
          </cell>
          <cell r="X659" t="str">
            <v>Claims - gross</v>
          </cell>
          <cell r="Y659" t="str">
            <v>THAILAND</v>
          </cell>
        </row>
        <row r="660">
          <cell r="L660" t="str">
            <v>Proportional</v>
          </cell>
          <cell r="S660">
            <v>39071.35</v>
          </cell>
          <cell r="X660" t="str">
            <v>Claims - gross</v>
          </cell>
          <cell r="Y660" t="str">
            <v>THAILAND</v>
          </cell>
        </row>
        <row r="661">
          <cell r="L661" t="str">
            <v>Non-proportional</v>
          </cell>
          <cell r="S661">
            <v>70452.509999999995</v>
          </cell>
          <cell r="X661" t="str">
            <v>Claims - gross</v>
          </cell>
          <cell r="Y661" t="str">
            <v>SLOVENIA</v>
          </cell>
        </row>
        <row r="662">
          <cell r="L662" t="str">
            <v>Proportional</v>
          </cell>
          <cell r="S662">
            <v>21831.61</v>
          </cell>
          <cell r="X662" t="str">
            <v>Claims - gross</v>
          </cell>
          <cell r="Y662" t="str">
            <v>MEXICO</v>
          </cell>
        </row>
        <row r="663">
          <cell r="L663" t="str">
            <v>Proportional</v>
          </cell>
          <cell r="S663">
            <v>100943.87</v>
          </cell>
          <cell r="X663" t="str">
            <v>Claims - gross</v>
          </cell>
          <cell r="Y663" t="str">
            <v>Hong Kong</v>
          </cell>
        </row>
        <row r="664">
          <cell r="L664" t="str">
            <v>Proportional</v>
          </cell>
          <cell r="S664">
            <v>6.91</v>
          </cell>
          <cell r="X664" t="str">
            <v>Claims - gross</v>
          </cell>
          <cell r="Y664" t="str">
            <v>Malaysia</v>
          </cell>
        </row>
        <row r="665">
          <cell r="L665" t="str">
            <v>Proportional</v>
          </cell>
          <cell r="S665">
            <v>32256.55</v>
          </cell>
          <cell r="X665" t="str">
            <v>Claims - gross</v>
          </cell>
          <cell r="Y665" t="str">
            <v>Thailand</v>
          </cell>
        </row>
        <row r="666">
          <cell r="L666" t="str">
            <v>Non-proportional</v>
          </cell>
          <cell r="S666">
            <v>85171.62</v>
          </cell>
          <cell r="X666" t="str">
            <v>Claims - gross</v>
          </cell>
          <cell r="Y666" t="str">
            <v>MEXICO</v>
          </cell>
        </row>
        <row r="667">
          <cell r="L667" t="str">
            <v>Proportional</v>
          </cell>
          <cell r="S667">
            <v>3964.2</v>
          </cell>
          <cell r="X667" t="str">
            <v>Claims - gross</v>
          </cell>
          <cell r="Y667" t="str">
            <v>THAILAND</v>
          </cell>
        </row>
        <row r="668">
          <cell r="L668" t="str">
            <v>Proportional</v>
          </cell>
          <cell r="S668">
            <v>114806.59</v>
          </cell>
          <cell r="X668" t="str">
            <v>Claims - gross</v>
          </cell>
          <cell r="Y668" t="str">
            <v>HONG KONG</v>
          </cell>
        </row>
        <row r="669">
          <cell r="L669" t="str">
            <v>Proportional</v>
          </cell>
          <cell r="S669">
            <v>901.08</v>
          </cell>
          <cell r="X669" t="str">
            <v>Claims - gross</v>
          </cell>
          <cell r="Y669" t="str">
            <v>THAILAND</v>
          </cell>
        </row>
        <row r="670">
          <cell r="L670" t="str">
            <v>Proportional</v>
          </cell>
          <cell r="S670">
            <v>42597.72</v>
          </cell>
          <cell r="X670" t="str">
            <v>Claims - gross</v>
          </cell>
          <cell r="Y670" t="str">
            <v>JAPAN</v>
          </cell>
        </row>
        <row r="671">
          <cell r="L671" t="str">
            <v>Proportional</v>
          </cell>
          <cell r="S671">
            <v>563.85</v>
          </cell>
          <cell r="X671" t="str">
            <v>Claims - gross</v>
          </cell>
          <cell r="Y671" t="str">
            <v>Thailand</v>
          </cell>
        </row>
        <row r="672">
          <cell r="L672" t="str">
            <v>Proportional</v>
          </cell>
          <cell r="S672">
            <v>45822.41</v>
          </cell>
          <cell r="X672" t="str">
            <v>Claims - gross</v>
          </cell>
          <cell r="Y672" t="str">
            <v>HONG KONG</v>
          </cell>
        </row>
        <row r="673">
          <cell r="L673" t="str">
            <v>Proportional</v>
          </cell>
          <cell r="S673">
            <v>197975.33</v>
          </cell>
          <cell r="X673" t="str">
            <v>Claims - gross</v>
          </cell>
          <cell r="Y673" t="str">
            <v>THAILAND</v>
          </cell>
        </row>
        <row r="674">
          <cell r="L674" t="str">
            <v>Non-proportional</v>
          </cell>
          <cell r="S674">
            <v>22612.45</v>
          </cell>
          <cell r="X674" t="str">
            <v>Claims - gross</v>
          </cell>
          <cell r="Y674" t="str">
            <v>CZECH REPUBLIC</v>
          </cell>
        </row>
        <row r="675">
          <cell r="L675" t="str">
            <v>Proportional</v>
          </cell>
          <cell r="S675">
            <v>7106.39</v>
          </cell>
          <cell r="X675" t="str">
            <v>Claims - gross</v>
          </cell>
          <cell r="Y675" t="str">
            <v>THAILAND</v>
          </cell>
        </row>
        <row r="676">
          <cell r="L676" t="str">
            <v>Non-proportional</v>
          </cell>
          <cell r="S676">
            <v>66592.83</v>
          </cell>
          <cell r="X676" t="str">
            <v>Claims - gross</v>
          </cell>
          <cell r="Y676" t="str">
            <v>TURKEY</v>
          </cell>
        </row>
        <row r="677">
          <cell r="L677" t="str">
            <v>Proportional</v>
          </cell>
          <cell r="S677">
            <v>13200</v>
          </cell>
          <cell r="X677" t="str">
            <v>Claims - gross</v>
          </cell>
          <cell r="Y677" t="str">
            <v>ITALY</v>
          </cell>
        </row>
        <row r="678">
          <cell r="L678" t="str">
            <v>Proportional</v>
          </cell>
          <cell r="S678">
            <v>1452.71</v>
          </cell>
          <cell r="X678" t="str">
            <v>Claims - gross</v>
          </cell>
          <cell r="Y678" t="str">
            <v>Thailand</v>
          </cell>
        </row>
        <row r="679">
          <cell r="L679" t="str">
            <v>Proportional</v>
          </cell>
          <cell r="S679">
            <v>197228.98</v>
          </cell>
          <cell r="X679" t="str">
            <v>Claims - gross</v>
          </cell>
          <cell r="Y679" t="str">
            <v>ITALY</v>
          </cell>
        </row>
        <row r="680">
          <cell r="L680" t="str">
            <v>Proportional</v>
          </cell>
          <cell r="S680">
            <v>12000</v>
          </cell>
          <cell r="X680" t="str">
            <v>Claims - gross</v>
          </cell>
          <cell r="Y680" t="str">
            <v>ITALY</v>
          </cell>
        </row>
        <row r="681">
          <cell r="L681" t="str">
            <v>Proportional</v>
          </cell>
          <cell r="S681">
            <v>306.95</v>
          </cell>
          <cell r="X681" t="str">
            <v>Claims - gross</v>
          </cell>
          <cell r="Y681" t="str">
            <v>THAILAND</v>
          </cell>
        </row>
        <row r="682">
          <cell r="L682" t="str">
            <v>Non-proportional</v>
          </cell>
          <cell r="S682">
            <v>636770.5</v>
          </cell>
          <cell r="X682" t="str">
            <v>Claims - gross</v>
          </cell>
          <cell r="Y682" t="str">
            <v>EUROPE</v>
          </cell>
        </row>
        <row r="683">
          <cell r="L683" t="str">
            <v>Proportional</v>
          </cell>
          <cell r="S683">
            <v>9518.69</v>
          </cell>
          <cell r="X683" t="str">
            <v>Claims - gross</v>
          </cell>
          <cell r="Y683" t="str">
            <v>THAILAND</v>
          </cell>
        </row>
        <row r="684">
          <cell r="L684" t="str">
            <v>Proportional</v>
          </cell>
          <cell r="S684">
            <v>23519.47</v>
          </cell>
          <cell r="X684" t="str">
            <v>Claims - gross</v>
          </cell>
          <cell r="Y684" t="str">
            <v>HONG KONG</v>
          </cell>
        </row>
        <row r="685">
          <cell r="L685" t="str">
            <v>Proportional</v>
          </cell>
          <cell r="S685">
            <v>7.3</v>
          </cell>
          <cell r="X685" t="str">
            <v>Claims - gross</v>
          </cell>
          <cell r="Y685" t="str">
            <v>Thailand</v>
          </cell>
        </row>
        <row r="686">
          <cell r="L686" t="str">
            <v>Proportional</v>
          </cell>
          <cell r="S686">
            <v>-43636.21</v>
          </cell>
          <cell r="X686" t="str">
            <v>Claims - gross</v>
          </cell>
          <cell r="Y686" t="str">
            <v>THAILAND</v>
          </cell>
        </row>
        <row r="687">
          <cell r="L687" t="str">
            <v>Proportional</v>
          </cell>
          <cell r="S687">
            <v>1463.95</v>
          </cell>
          <cell r="X687" t="str">
            <v>Claims - gross</v>
          </cell>
          <cell r="Y687" t="str">
            <v>HONG KONG</v>
          </cell>
        </row>
        <row r="688">
          <cell r="L688" t="str">
            <v>Proportional</v>
          </cell>
          <cell r="S688">
            <v>704882.47</v>
          </cell>
          <cell r="X688" t="str">
            <v>Claims - gross</v>
          </cell>
          <cell r="Y688" t="str">
            <v>THAILAND</v>
          </cell>
        </row>
        <row r="689">
          <cell r="L689" t="str">
            <v>Proportional</v>
          </cell>
          <cell r="S689">
            <v>17544.599999999999</v>
          </cell>
          <cell r="X689" t="str">
            <v>Claims - gross</v>
          </cell>
          <cell r="Y689" t="str">
            <v>THAILAND</v>
          </cell>
        </row>
        <row r="690">
          <cell r="L690" t="str">
            <v>Proportional</v>
          </cell>
          <cell r="S690">
            <v>7889.99</v>
          </cell>
          <cell r="X690" t="str">
            <v>Claims - gross</v>
          </cell>
          <cell r="Y690" t="str">
            <v>Thailand</v>
          </cell>
        </row>
        <row r="691">
          <cell r="L691" t="str">
            <v>Non-proportional</v>
          </cell>
          <cell r="S691">
            <v>6999.94</v>
          </cell>
          <cell r="X691" t="str">
            <v>Claims - gross</v>
          </cell>
          <cell r="Y691" t="str">
            <v>CZECH REPUBLIC</v>
          </cell>
        </row>
        <row r="692">
          <cell r="L692" t="str">
            <v>Proportional</v>
          </cell>
          <cell r="S692">
            <v>1805.88</v>
          </cell>
          <cell r="X692" t="str">
            <v>Claims - gross</v>
          </cell>
          <cell r="Y692" t="str">
            <v>Thailand</v>
          </cell>
        </row>
        <row r="693">
          <cell r="L693" t="str">
            <v>Non-proportional</v>
          </cell>
          <cell r="S693">
            <v>89347.97</v>
          </cell>
          <cell r="X693" t="str">
            <v>Claims - gross</v>
          </cell>
          <cell r="Y693" t="str">
            <v>United kingdom</v>
          </cell>
        </row>
        <row r="694">
          <cell r="L694" t="str">
            <v>Proportional</v>
          </cell>
          <cell r="S694">
            <v>179402.43</v>
          </cell>
          <cell r="X694" t="str">
            <v>Claims - gross</v>
          </cell>
          <cell r="Y694" t="str">
            <v>THAILAND</v>
          </cell>
        </row>
        <row r="695">
          <cell r="L695" t="str">
            <v>Proportional</v>
          </cell>
          <cell r="S695">
            <v>1138.44</v>
          </cell>
          <cell r="X695" t="str">
            <v>Claims - gross</v>
          </cell>
          <cell r="Y695" t="str">
            <v>THAILAND</v>
          </cell>
        </row>
        <row r="696">
          <cell r="L696" t="str">
            <v>Non-proportional</v>
          </cell>
          <cell r="S696">
            <v>18231.830000000002</v>
          </cell>
          <cell r="X696" t="str">
            <v>Claims - gross</v>
          </cell>
          <cell r="Y696" t="str">
            <v>POLAND</v>
          </cell>
        </row>
        <row r="697">
          <cell r="L697" t="str">
            <v>Non-proportional</v>
          </cell>
          <cell r="S697">
            <v>30596.66</v>
          </cell>
          <cell r="X697" t="str">
            <v>Claims - gross</v>
          </cell>
          <cell r="Y697" t="str">
            <v>INDIA</v>
          </cell>
        </row>
        <row r="698">
          <cell r="L698" t="str">
            <v>Proportional</v>
          </cell>
          <cell r="S698">
            <v>2.4300000000000002</v>
          </cell>
          <cell r="X698" t="str">
            <v>Claims - gross</v>
          </cell>
          <cell r="Y698" t="str">
            <v>Thailand</v>
          </cell>
        </row>
        <row r="699">
          <cell r="L699" t="str">
            <v>Proportional</v>
          </cell>
          <cell r="S699">
            <v>36350.58</v>
          </cell>
          <cell r="X699" t="str">
            <v>Claims - gross</v>
          </cell>
          <cell r="Y699" t="str">
            <v>MEXICO</v>
          </cell>
        </row>
        <row r="700">
          <cell r="L700" t="str">
            <v>Proportional</v>
          </cell>
          <cell r="S700">
            <v>28095.119999999999</v>
          </cell>
          <cell r="X700" t="str">
            <v>Claims - gross</v>
          </cell>
          <cell r="Y700" t="str">
            <v>UNITED STATES</v>
          </cell>
        </row>
        <row r="701">
          <cell r="L701" t="str">
            <v>Proportional</v>
          </cell>
          <cell r="S701">
            <v>17.36</v>
          </cell>
          <cell r="X701" t="str">
            <v>Claims - gross</v>
          </cell>
          <cell r="Y701" t="str">
            <v>Thailand</v>
          </cell>
        </row>
        <row r="702">
          <cell r="L702" t="str">
            <v>Non-proportional</v>
          </cell>
          <cell r="S702">
            <v>5532.24</v>
          </cell>
          <cell r="X702" t="str">
            <v>Claims - gross</v>
          </cell>
          <cell r="Y702" t="str">
            <v>GERMANY</v>
          </cell>
        </row>
        <row r="703">
          <cell r="L703" t="str">
            <v>Proportional</v>
          </cell>
          <cell r="S703">
            <v>40100.230000000003</v>
          </cell>
          <cell r="X703" t="str">
            <v>Claims - gross</v>
          </cell>
          <cell r="Y703" t="str">
            <v>THAILAND</v>
          </cell>
        </row>
        <row r="704">
          <cell r="L704" t="str">
            <v>Proportional</v>
          </cell>
          <cell r="S704">
            <v>3715.69</v>
          </cell>
          <cell r="X704" t="str">
            <v>Claims - gross</v>
          </cell>
          <cell r="Y704" t="str">
            <v>THAILAND</v>
          </cell>
        </row>
        <row r="705">
          <cell r="L705" t="str">
            <v>Non-proportional</v>
          </cell>
          <cell r="S705">
            <v>10941.06</v>
          </cell>
          <cell r="X705" t="str">
            <v>Claims - gross</v>
          </cell>
          <cell r="Y705" t="str">
            <v>AUSTRALIA</v>
          </cell>
        </row>
        <row r="706">
          <cell r="L706" t="str">
            <v>Proportional</v>
          </cell>
          <cell r="S706">
            <v>-378831.94</v>
          </cell>
          <cell r="X706" t="str">
            <v>Claims - gross</v>
          </cell>
          <cell r="Y706" t="str">
            <v>THAILAND</v>
          </cell>
        </row>
        <row r="707">
          <cell r="L707" t="str">
            <v>Proportional</v>
          </cell>
          <cell r="S707">
            <v>559919.84</v>
          </cell>
          <cell r="X707" t="str">
            <v>Claims - gross</v>
          </cell>
          <cell r="Y707" t="str">
            <v>Hong Kong</v>
          </cell>
        </row>
        <row r="708">
          <cell r="L708" t="str">
            <v>Non-proportional</v>
          </cell>
          <cell r="S708">
            <v>9930.33</v>
          </cell>
          <cell r="X708" t="str">
            <v>Claims - gross</v>
          </cell>
          <cell r="Y708" t="str">
            <v>CZECH REPUBLIC</v>
          </cell>
        </row>
        <row r="709">
          <cell r="L709" t="str">
            <v>Non-proportional</v>
          </cell>
          <cell r="S709">
            <v>38386.519999999997</v>
          </cell>
          <cell r="X709" t="str">
            <v>Claims - gross</v>
          </cell>
          <cell r="Y709" t="str">
            <v>United kingdom</v>
          </cell>
        </row>
        <row r="710">
          <cell r="L710" t="str">
            <v>Non-proportional</v>
          </cell>
          <cell r="S710">
            <v>3260.24</v>
          </cell>
          <cell r="X710" t="str">
            <v>Claims - gross</v>
          </cell>
          <cell r="Y710" t="str">
            <v>United kingdom</v>
          </cell>
        </row>
        <row r="711">
          <cell r="L711" t="str">
            <v>Proportional</v>
          </cell>
          <cell r="S711">
            <v>2596.84</v>
          </cell>
          <cell r="X711" t="str">
            <v>Claims - gross</v>
          </cell>
          <cell r="Y711" t="str">
            <v>THAILAND</v>
          </cell>
        </row>
        <row r="712">
          <cell r="L712" t="str">
            <v>Proportional</v>
          </cell>
          <cell r="S712">
            <v>170406.84</v>
          </cell>
          <cell r="X712" t="str">
            <v>Claims - gross</v>
          </cell>
          <cell r="Y712" t="str">
            <v>HONG KONG</v>
          </cell>
        </row>
        <row r="713">
          <cell r="L713" t="str">
            <v>Proportional</v>
          </cell>
          <cell r="S713">
            <v>7.88</v>
          </cell>
          <cell r="X713" t="str">
            <v>Claims - gross</v>
          </cell>
          <cell r="Y713" t="str">
            <v>Thailand</v>
          </cell>
        </row>
        <row r="714">
          <cell r="L714" t="str">
            <v>Proportional</v>
          </cell>
          <cell r="S714">
            <v>732280.13</v>
          </cell>
          <cell r="X714" t="str">
            <v>Claims - gross</v>
          </cell>
          <cell r="Y714" t="str">
            <v>HONG KONG</v>
          </cell>
        </row>
        <row r="715">
          <cell r="L715" t="str">
            <v>Proportional</v>
          </cell>
          <cell r="S715">
            <v>-23625.5</v>
          </cell>
          <cell r="X715" t="str">
            <v>Claims - gross</v>
          </cell>
          <cell r="Y715" t="str">
            <v>INDIA</v>
          </cell>
        </row>
        <row r="716">
          <cell r="L716" t="str">
            <v>Proportional</v>
          </cell>
          <cell r="S716">
            <v>-1597891.12</v>
          </cell>
          <cell r="X716" t="str">
            <v>Claims - gross</v>
          </cell>
          <cell r="Y716" t="str">
            <v>UNITED STATES</v>
          </cell>
        </row>
        <row r="717">
          <cell r="L717" t="str">
            <v>Proportional</v>
          </cell>
          <cell r="S717">
            <v>17464.509999999998</v>
          </cell>
          <cell r="X717" t="str">
            <v>Claims - gross</v>
          </cell>
          <cell r="Y717" t="str">
            <v>CANADA</v>
          </cell>
        </row>
        <row r="718">
          <cell r="L718" t="str">
            <v>Proportional</v>
          </cell>
          <cell r="S718">
            <v>8362.7099999999991</v>
          </cell>
          <cell r="X718" t="str">
            <v>Claims - gross</v>
          </cell>
          <cell r="Y718" t="str">
            <v>THAILAND</v>
          </cell>
        </row>
        <row r="719">
          <cell r="L719" t="str">
            <v>Proportional</v>
          </cell>
          <cell r="S719">
            <v>22.83</v>
          </cell>
          <cell r="X719" t="str">
            <v>Claims - gross</v>
          </cell>
          <cell r="Y719" t="str">
            <v>FRANCE</v>
          </cell>
        </row>
        <row r="720">
          <cell r="L720" t="str">
            <v>Non-proportional</v>
          </cell>
          <cell r="S720">
            <v>468566</v>
          </cell>
          <cell r="X720" t="str">
            <v>Claims - gross</v>
          </cell>
          <cell r="Y720" t="str">
            <v>THAILAND</v>
          </cell>
        </row>
        <row r="721">
          <cell r="L721" t="str">
            <v>Proportional</v>
          </cell>
          <cell r="S721">
            <v>5387.44</v>
          </cell>
          <cell r="X721" t="str">
            <v>Claims - gross</v>
          </cell>
          <cell r="Y721" t="str">
            <v>Thailand</v>
          </cell>
        </row>
        <row r="722">
          <cell r="L722" t="str">
            <v>Proportional</v>
          </cell>
          <cell r="S722">
            <v>748.16</v>
          </cell>
          <cell r="X722" t="str">
            <v>Claims - gross</v>
          </cell>
          <cell r="Y722" t="str">
            <v>JAPAN</v>
          </cell>
        </row>
        <row r="723">
          <cell r="L723" t="str">
            <v>Proportional</v>
          </cell>
          <cell r="S723">
            <v>-23911.65</v>
          </cell>
          <cell r="X723" t="str">
            <v>Claims - gross</v>
          </cell>
          <cell r="Y723" t="str">
            <v>HONG KONG</v>
          </cell>
        </row>
        <row r="724">
          <cell r="L724" t="str">
            <v>Non-proportional</v>
          </cell>
          <cell r="S724">
            <v>40401.410000000003</v>
          </cell>
          <cell r="X724" t="str">
            <v>Claims - gross</v>
          </cell>
          <cell r="Y724" t="str">
            <v>SLOVENIA</v>
          </cell>
        </row>
        <row r="725">
          <cell r="L725" t="str">
            <v>Proportional</v>
          </cell>
          <cell r="S725">
            <v>109.25</v>
          </cell>
          <cell r="X725" t="str">
            <v>Claims - gross</v>
          </cell>
          <cell r="Y725" t="str">
            <v>CHILE</v>
          </cell>
        </row>
        <row r="726">
          <cell r="L726" t="str">
            <v>Proportional</v>
          </cell>
          <cell r="S726">
            <v>23.57</v>
          </cell>
          <cell r="X726" t="str">
            <v>Claims - gross</v>
          </cell>
          <cell r="Y726" t="str">
            <v>MEXICO</v>
          </cell>
        </row>
        <row r="727">
          <cell r="L727" t="str">
            <v>Proportional</v>
          </cell>
          <cell r="S727">
            <v>60244.83</v>
          </cell>
          <cell r="X727" t="str">
            <v>Claims - gross</v>
          </cell>
          <cell r="Y727" t="str">
            <v>THAILAND</v>
          </cell>
        </row>
        <row r="728">
          <cell r="L728" t="str">
            <v>Proportional</v>
          </cell>
          <cell r="S728">
            <v>32552.51</v>
          </cell>
          <cell r="X728" t="str">
            <v>Claims - gross</v>
          </cell>
          <cell r="Y728" t="str">
            <v>Thailand</v>
          </cell>
        </row>
        <row r="729">
          <cell r="L729" t="str">
            <v>Proportional</v>
          </cell>
          <cell r="S729">
            <v>3944.8</v>
          </cell>
          <cell r="X729" t="str">
            <v>Claims - gross</v>
          </cell>
          <cell r="Y729" t="str">
            <v>Thailand</v>
          </cell>
        </row>
        <row r="730">
          <cell r="L730" t="str">
            <v>Non-proportional</v>
          </cell>
          <cell r="S730">
            <v>4966.82</v>
          </cell>
          <cell r="X730" t="str">
            <v>Claims - gross</v>
          </cell>
          <cell r="Y730" t="str">
            <v>Belgium</v>
          </cell>
        </row>
        <row r="731">
          <cell r="L731" t="str">
            <v>Non-proportional</v>
          </cell>
          <cell r="S731">
            <v>23620.1</v>
          </cell>
          <cell r="X731" t="str">
            <v>Claims - gross</v>
          </cell>
          <cell r="Y731" t="str">
            <v>ICELAND</v>
          </cell>
        </row>
        <row r="732">
          <cell r="L732" t="str">
            <v>Proportional</v>
          </cell>
          <cell r="S732">
            <v>314.23</v>
          </cell>
          <cell r="X732" t="str">
            <v>Claims - gross</v>
          </cell>
          <cell r="Y732" t="str">
            <v>MEXICO</v>
          </cell>
        </row>
        <row r="733">
          <cell r="L733" t="str">
            <v>Proportional</v>
          </cell>
          <cell r="S733">
            <v>-23.57</v>
          </cell>
          <cell r="X733" t="str">
            <v>Claims - gross</v>
          </cell>
          <cell r="Y733" t="str">
            <v>MEXICO</v>
          </cell>
        </row>
        <row r="734">
          <cell r="L734" t="str">
            <v>Proportional</v>
          </cell>
          <cell r="S734">
            <v>652.87</v>
          </cell>
          <cell r="X734" t="str">
            <v>Claims - gross</v>
          </cell>
          <cell r="Y734" t="str">
            <v>Thailand</v>
          </cell>
        </row>
        <row r="735">
          <cell r="L735" t="str">
            <v>Proportional</v>
          </cell>
          <cell r="S735">
            <v>980255.58</v>
          </cell>
          <cell r="X735" t="str">
            <v>Claims - gross</v>
          </cell>
          <cell r="Y735" t="str">
            <v>ITALY</v>
          </cell>
        </row>
        <row r="736">
          <cell r="L736" t="str">
            <v>Proportional</v>
          </cell>
          <cell r="S736">
            <v>74330.7</v>
          </cell>
          <cell r="X736" t="str">
            <v>Claims - gross</v>
          </cell>
          <cell r="Y736" t="str">
            <v>Ireland</v>
          </cell>
        </row>
        <row r="737">
          <cell r="L737" t="str">
            <v>Proportional</v>
          </cell>
          <cell r="S737">
            <v>23911.65</v>
          </cell>
          <cell r="X737" t="str">
            <v>Claims - gross</v>
          </cell>
          <cell r="Y737" t="str">
            <v>HONG KONG</v>
          </cell>
        </row>
        <row r="738">
          <cell r="L738" t="str">
            <v>Proportional</v>
          </cell>
          <cell r="S738">
            <v>25.88</v>
          </cell>
          <cell r="X738" t="str">
            <v>Claims - gross</v>
          </cell>
          <cell r="Y738" t="str">
            <v>AUSTRALIA</v>
          </cell>
        </row>
        <row r="739">
          <cell r="L739" t="str">
            <v>Non-proportional</v>
          </cell>
          <cell r="S739">
            <v>6773.89</v>
          </cell>
          <cell r="X739" t="str">
            <v>Claims - gross</v>
          </cell>
          <cell r="Y739" t="str">
            <v>SWEDEN</v>
          </cell>
        </row>
        <row r="740">
          <cell r="L740" t="str">
            <v>Non-proportional</v>
          </cell>
          <cell r="S740">
            <v>9513.2000000000007</v>
          </cell>
          <cell r="X740" t="str">
            <v>Claims - gross</v>
          </cell>
          <cell r="Y740" t="str">
            <v>CYPRUS</v>
          </cell>
        </row>
        <row r="741">
          <cell r="L741" t="str">
            <v>Proportional</v>
          </cell>
          <cell r="S741">
            <v>-75321.69</v>
          </cell>
          <cell r="X741" t="str">
            <v>Claims - gross</v>
          </cell>
          <cell r="Y741" t="str">
            <v>Ireland</v>
          </cell>
        </row>
        <row r="742">
          <cell r="L742" t="str">
            <v>Proportional</v>
          </cell>
          <cell r="S742">
            <v>393424.05</v>
          </cell>
          <cell r="X742" t="str">
            <v>Claims - gross</v>
          </cell>
          <cell r="Y742" t="str">
            <v>CANADA</v>
          </cell>
        </row>
        <row r="743">
          <cell r="L743" t="str">
            <v>Proportional</v>
          </cell>
          <cell r="S743">
            <v>4274.1000000000004</v>
          </cell>
          <cell r="X743" t="str">
            <v>Claims - gross</v>
          </cell>
          <cell r="Y743" t="str">
            <v>MEXICO</v>
          </cell>
        </row>
        <row r="744">
          <cell r="L744" t="str">
            <v>Non-proportional</v>
          </cell>
          <cell r="S744">
            <v>4059.91</v>
          </cell>
          <cell r="X744" t="str">
            <v>Claims - gross</v>
          </cell>
          <cell r="Y744" t="str">
            <v>SWEDEN</v>
          </cell>
        </row>
        <row r="745">
          <cell r="L745" t="str">
            <v>Non-proportional</v>
          </cell>
          <cell r="S745">
            <v>7466.24</v>
          </cell>
          <cell r="X745" t="str">
            <v>Claims - gross</v>
          </cell>
          <cell r="Y745" t="str">
            <v>United kingdom</v>
          </cell>
        </row>
        <row r="746">
          <cell r="L746" t="str">
            <v>Proportional</v>
          </cell>
          <cell r="S746">
            <v>1624.15</v>
          </cell>
          <cell r="X746" t="str">
            <v>Claims - gross</v>
          </cell>
          <cell r="Y746" t="str">
            <v>SWITZERLAND</v>
          </cell>
        </row>
        <row r="747">
          <cell r="L747" t="str">
            <v>Proportional</v>
          </cell>
          <cell r="S747">
            <v>8360.0499999999993</v>
          </cell>
          <cell r="X747" t="str">
            <v>Claims - gross</v>
          </cell>
          <cell r="Y747" t="str">
            <v>THAILAND</v>
          </cell>
        </row>
        <row r="748">
          <cell r="L748" t="str">
            <v>Non-proportional</v>
          </cell>
          <cell r="S748">
            <v>2317.2399999999998</v>
          </cell>
          <cell r="X748" t="str">
            <v>Claims - gross</v>
          </cell>
          <cell r="Y748" t="str">
            <v>SWEDEN</v>
          </cell>
        </row>
        <row r="749">
          <cell r="L749" t="str">
            <v>Proportional</v>
          </cell>
          <cell r="S749">
            <v>2071.7199999999998</v>
          </cell>
          <cell r="X749" t="str">
            <v>Claims - gross</v>
          </cell>
          <cell r="Y749" t="str">
            <v>MEXICO</v>
          </cell>
        </row>
        <row r="750">
          <cell r="L750" t="str">
            <v>Proportional</v>
          </cell>
          <cell r="S750">
            <v>311.47000000000003</v>
          </cell>
          <cell r="X750" t="str">
            <v>Claims - gross</v>
          </cell>
          <cell r="Y750" t="str">
            <v>JAPAN</v>
          </cell>
        </row>
        <row r="751">
          <cell r="L751" t="str">
            <v>Non-proportional</v>
          </cell>
          <cell r="S751">
            <v>23200.99</v>
          </cell>
          <cell r="X751" t="str">
            <v>Claims - gross</v>
          </cell>
          <cell r="Y751" t="str">
            <v>EUROPE</v>
          </cell>
        </row>
        <row r="752">
          <cell r="L752" t="str">
            <v>Non-proportional</v>
          </cell>
          <cell r="S752">
            <v>85568.17</v>
          </cell>
          <cell r="X752" t="str">
            <v>Claims - gross</v>
          </cell>
          <cell r="Y752" t="str">
            <v>CZECH REPUBLIC</v>
          </cell>
        </row>
        <row r="753">
          <cell r="L753" t="str">
            <v>Non-proportional</v>
          </cell>
          <cell r="S753">
            <v>8309.0300000000007</v>
          </cell>
          <cell r="X753" t="str">
            <v>Claims - gross</v>
          </cell>
          <cell r="Y753" t="str">
            <v>POLAND</v>
          </cell>
        </row>
        <row r="754">
          <cell r="L754" t="str">
            <v>Proportional</v>
          </cell>
          <cell r="S754">
            <v>48441.77</v>
          </cell>
          <cell r="X754" t="str">
            <v>Claims - gross</v>
          </cell>
          <cell r="Y754" t="str">
            <v>THAILAND</v>
          </cell>
        </row>
        <row r="755">
          <cell r="L755" t="str">
            <v>Proportional</v>
          </cell>
          <cell r="S755">
            <v>60247.16</v>
          </cell>
          <cell r="X755" t="str">
            <v>Claims - gross</v>
          </cell>
          <cell r="Y755" t="str">
            <v>THAILAND</v>
          </cell>
        </row>
        <row r="756">
          <cell r="L756" t="str">
            <v>Non-proportional</v>
          </cell>
          <cell r="S756">
            <v>567150.64</v>
          </cell>
          <cell r="X756" t="str">
            <v>Claims - gross</v>
          </cell>
          <cell r="Y756" t="str">
            <v>UNITED KINGDOM</v>
          </cell>
        </row>
        <row r="757">
          <cell r="L757" t="str">
            <v>Proportional</v>
          </cell>
          <cell r="S757">
            <v>582.66999999999996</v>
          </cell>
          <cell r="X757" t="str">
            <v>Claims - gross</v>
          </cell>
          <cell r="Y757" t="str">
            <v>CHILE</v>
          </cell>
        </row>
        <row r="758">
          <cell r="L758" t="str">
            <v>Proportional</v>
          </cell>
          <cell r="S758">
            <v>13075.37</v>
          </cell>
          <cell r="X758" t="str">
            <v>Claims - gross</v>
          </cell>
          <cell r="Y758" t="str">
            <v>UNITED KINGDOM</v>
          </cell>
        </row>
        <row r="759">
          <cell r="L759" t="str">
            <v>Non-proportional</v>
          </cell>
          <cell r="S759">
            <v>263.32</v>
          </cell>
          <cell r="X759" t="str">
            <v>Claims - gross</v>
          </cell>
          <cell r="Y759" t="str">
            <v>SWEDEN</v>
          </cell>
        </row>
        <row r="760">
          <cell r="L760" t="str">
            <v>Proportional</v>
          </cell>
          <cell r="S760">
            <v>764.15</v>
          </cell>
          <cell r="X760" t="str">
            <v>Claims - gross</v>
          </cell>
          <cell r="Y760" t="str">
            <v>MEXICO</v>
          </cell>
        </row>
        <row r="761">
          <cell r="L761" t="str">
            <v>Proportional</v>
          </cell>
          <cell r="S761">
            <v>57550.42</v>
          </cell>
          <cell r="X761" t="str">
            <v>Claims - gross</v>
          </cell>
          <cell r="Y761" t="str">
            <v>MEXICO</v>
          </cell>
        </row>
        <row r="762">
          <cell r="L762" t="str">
            <v>Proportional</v>
          </cell>
          <cell r="S762">
            <v>-314.23</v>
          </cell>
          <cell r="X762" t="str">
            <v>Claims - gross</v>
          </cell>
          <cell r="Y762" t="str">
            <v>MEXICO</v>
          </cell>
        </row>
        <row r="763">
          <cell r="L763" t="str">
            <v>Proportional</v>
          </cell>
          <cell r="S763">
            <v>36.42</v>
          </cell>
          <cell r="X763" t="str">
            <v>Claims - gross</v>
          </cell>
          <cell r="Y763" t="str">
            <v>CHILE</v>
          </cell>
        </row>
        <row r="764">
          <cell r="L764" t="str">
            <v>Non-proportional</v>
          </cell>
          <cell r="S764">
            <v>12008.21</v>
          </cell>
          <cell r="X764" t="str">
            <v>Claims - gross</v>
          </cell>
          <cell r="Y764" t="str">
            <v>ITALY</v>
          </cell>
        </row>
        <row r="765">
          <cell r="L765" t="str">
            <v>Non-proportional</v>
          </cell>
          <cell r="S765">
            <v>653.48</v>
          </cell>
          <cell r="X765" t="str">
            <v>Claims - gross</v>
          </cell>
          <cell r="Y765" t="str">
            <v>ITALY</v>
          </cell>
        </row>
        <row r="766">
          <cell r="L766" t="str">
            <v>Proportional</v>
          </cell>
          <cell r="S766">
            <v>1209.4100000000001</v>
          </cell>
          <cell r="X766" t="str">
            <v>Claims - gross</v>
          </cell>
          <cell r="Y766" t="str">
            <v>MEXICO</v>
          </cell>
        </row>
        <row r="767">
          <cell r="L767" t="str">
            <v>Proportional</v>
          </cell>
          <cell r="S767">
            <v>-314.23</v>
          </cell>
          <cell r="X767" t="str">
            <v>Claims - gross</v>
          </cell>
          <cell r="Y767" t="str">
            <v>MEXICO</v>
          </cell>
        </row>
        <row r="768">
          <cell r="L768" t="str">
            <v>Proportional</v>
          </cell>
          <cell r="S768">
            <v>993.91</v>
          </cell>
          <cell r="X768" t="str">
            <v>Claims - gross</v>
          </cell>
          <cell r="Y768" t="str">
            <v>FRANCE</v>
          </cell>
        </row>
        <row r="769">
          <cell r="L769"/>
          <cell r="S769">
            <v>115.89</v>
          </cell>
          <cell r="X769" t="str">
            <v>Claims - gross</v>
          </cell>
          <cell r="Y769" t="str">
            <v>PORTUGAL</v>
          </cell>
        </row>
        <row r="770">
          <cell r="L770" t="str">
            <v>Proportional</v>
          </cell>
          <cell r="S770">
            <v>1005.2</v>
          </cell>
          <cell r="X770" t="str">
            <v>Claims - gross</v>
          </cell>
          <cell r="Y770" t="str">
            <v>India</v>
          </cell>
        </row>
        <row r="771">
          <cell r="L771" t="str">
            <v>Proportional</v>
          </cell>
          <cell r="S771">
            <v>7618.6</v>
          </cell>
          <cell r="X771" t="str">
            <v>Claims - gross</v>
          </cell>
          <cell r="Y771" t="str">
            <v>THAILAND</v>
          </cell>
        </row>
        <row r="772">
          <cell r="L772" t="str">
            <v>Proportional</v>
          </cell>
          <cell r="S772">
            <v>26.14</v>
          </cell>
          <cell r="X772" t="str">
            <v>Claims - gross</v>
          </cell>
          <cell r="Y772" t="str">
            <v>India</v>
          </cell>
        </row>
        <row r="773">
          <cell r="L773" t="str">
            <v>Proportional</v>
          </cell>
          <cell r="S773">
            <v>3157.38</v>
          </cell>
          <cell r="X773" t="str">
            <v>Claims - gross</v>
          </cell>
          <cell r="Y773" t="str">
            <v>Thailand</v>
          </cell>
        </row>
        <row r="774">
          <cell r="L774" t="str">
            <v>Non-proportional</v>
          </cell>
          <cell r="S774">
            <v>6621.55</v>
          </cell>
          <cell r="X774" t="str">
            <v>Claims - gross</v>
          </cell>
          <cell r="Y774" t="str">
            <v>CZECH REPUBLIC</v>
          </cell>
        </row>
        <row r="775">
          <cell r="L775" t="str">
            <v>Proportional</v>
          </cell>
          <cell r="S775">
            <v>2210.66</v>
          </cell>
          <cell r="X775" t="str">
            <v>Claims - gross</v>
          </cell>
          <cell r="Y775" t="str">
            <v>CHILE</v>
          </cell>
        </row>
        <row r="776">
          <cell r="L776" t="str">
            <v>Proportional</v>
          </cell>
          <cell r="S776">
            <v>52.92</v>
          </cell>
          <cell r="X776" t="str">
            <v>Claims - gross</v>
          </cell>
          <cell r="Y776" t="str">
            <v>Thailand</v>
          </cell>
        </row>
        <row r="777">
          <cell r="L777" t="str">
            <v>Proportional</v>
          </cell>
          <cell r="S777">
            <v>69195.81</v>
          </cell>
          <cell r="X777" t="str">
            <v>Claims - gross</v>
          </cell>
          <cell r="Y777" t="str">
            <v>THAILAND</v>
          </cell>
        </row>
        <row r="778">
          <cell r="L778" t="str">
            <v>Proportional</v>
          </cell>
          <cell r="S778">
            <v>114707.54</v>
          </cell>
          <cell r="X778" t="str">
            <v>Claims - gross</v>
          </cell>
          <cell r="Y778" t="str">
            <v>UNITED STATES</v>
          </cell>
        </row>
        <row r="779">
          <cell r="L779" t="str">
            <v>Proportional</v>
          </cell>
          <cell r="S779">
            <v>33.409999999999997</v>
          </cell>
          <cell r="X779" t="str">
            <v>Claims - gross</v>
          </cell>
          <cell r="Y779" t="str">
            <v>ITALY</v>
          </cell>
        </row>
        <row r="780">
          <cell r="L780" t="str">
            <v>Proportional</v>
          </cell>
          <cell r="S780">
            <v>2742.47</v>
          </cell>
          <cell r="X780" t="str">
            <v>Claims - gross</v>
          </cell>
          <cell r="Y780" t="str">
            <v>Thailand</v>
          </cell>
        </row>
        <row r="781">
          <cell r="L781" t="str">
            <v>Proportional</v>
          </cell>
          <cell r="S781">
            <v>825.33</v>
          </cell>
          <cell r="X781" t="str">
            <v>Claims - gross</v>
          </cell>
          <cell r="Y781" t="str">
            <v>THAILAND</v>
          </cell>
        </row>
        <row r="782">
          <cell r="L782" t="str">
            <v>Proportional</v>
          </cell>
          <cell r="S782">
            <v>368.44</v>
          </cell>
          <cell r="X782" t="str">
            <v>Claims - gross</v>
          </cell>
          <cell r="Y782" t="str">
            <v>CHILE</v>
          </cell>
        </row>
        <row r="783">
          <cell r="L783" t="str">
            <v>Proportional</v>
          </cell>
          <cell r="S783">
            <v>-2069.5700000000002</v>
          </cell>
          <cell r="X783" t="str">
            <v>Claims - gross</v>
          </cell>
          <cell r="Y783" t="str">
            <v>MEXICO</v>
          </cell>
        </row>
        <row r="784">
          <cell r="L784" t="str">
            <v>Proportional</v>
          </cell>
          <cell r="S784">
            <v>52661.69</v>
          </cell>
          <cell r="X784" t="str">
            <v>Claims - gross</v>
          </cell>
          <cell r="Y784" t="str">
            <v>UNITED STATES</v>
          </cell>
        </row>
        <row r="785">
          <cell r="L785" t="str">
            <v>Proportional</v>
          </cell>
          <cell r="S785">
            <v>3039378.72</v>
          </cell>
          <cell r="X785" t="str">
            <v>Claims - gross</v>
          </cell>
          <cell r="Y785" t="str">
            <v>PORTUGAL</v>
          </cell>
        </row>
        <row r="786">
          <cell r="L786" t="str">
            <v>Proportional</v>
          </cell>
          <cell r="S786">
            <v>138.09</v>
          </cell>
          <cell r="X786" t="str">
            <v>Claims - gross</v>
          </cell>
          <cell r="Y786" t="str">
            <v>THAILAND</v>
          </cell>
        </row>
        <row r="787">
          <cell r="L787" t="str">
            <v>Proportional</v>
          </cell>
          <cell r="S787">
            <v>238.19</v>
          </cell>
          <cell r="X787" t="str">
            <v>Claims - gross</v>
          </cell>
          <cell r="Y787" t="str">
            <v>MALAYSIA</v>
          </cell>
        </row>
        <row r="788">
          <cell r="L788" t="str">
            <v>Proportional</v>
          </cell>
          <cell r="S788">
            <v>333.41</v>
          </cell>
          <cell r="X788" t="str">
            <v>Claims - gross</v>
          </cell>
          <cell r="Y788" t="str">
            <v>CHILE</v>
          </cell>
        </row>
        <row r="789">
          <cell r="L789"/>
          <cell r="S789">
            <v>479.43</v>
          </cell>
          <cell r="X789" t="str">
            <v>Claims - gross</v>
          </cell>
          <cell r="Y789" t="str">
            <v>PORTUGAL</v>
          </cell>
        </row>
        <row r="790">
          <cell r="L790" t="str">
            <v>Proportional</v>
          </cell>
          <cell r="S790">
            <v>54106.51</v>
          </cell>
          <cell r="X790" t="str">
            <v>Claims - gross</v>
          </cell>
          <cell r="Y790" t="str">
            <v>PORTUGAL</v>
          </cell>
        </row>
        <row r="791">
          <cell r="L791" t="str">
            <v>Proportional</v>
          </cell>
          <cell r="S791">
            <v>1740.3</v>
          </cell>
          <cell r="X791" t="str">
            <v>Claims - gross</v>
          </cell>
          <cell r="Y791" t="str">
            <v>INDIA</v>
          </cell>
        </row>
        <row r="792">
          <cell r="L792" t="str">
            <v>Non-proportional</v>
          </cell>
          <cell r="S792">
            <v>8128.05</v>
          </cell>
          <cell r="X792" t="str">
            <v>Claims - gross</v>
          </cell>
          <cell r="Y792" t="str">
            <v>CZECH REPUBLIC</v>
          </cell>
        </row>
        <row r="793">
          <cell r="L793" t="str">
            <v>Proportional</v>
          </cell>
          <cell r="S793">
            <v>-36606.11</v>
          </cell>
          <cell r="X793" t="str">
            <v>Claims - gross</v>
          </cell>
          <cell r="Y793" t="str">
            <v>Thailand</v>
          </cell>
        </row>
        <row r="794">
          <cell r="L794" t="str">
            <v>Proportional</v>
          </cell>
          <cell r="S794">
            <v>239353.62</v>
          </cell>
          <cell r="X794" t="str">
            <v>Claims - gross</v>
          </cell>
          <cell r="Y794" t="str">
            <v>THAILAND</v>
          </cell>
        </row>
        <row r="795">
          <cell r="L795" t="str">
            <v>Proportional</v>
          </cell>
          <cell r="S795">
            <v>16.72</v>
          </cell>
          <cell r="X795" t="str">
            <v>Claims - gross</v>
          </cell>
          <cell r="Y795" t="str">
            <v>Thailand</v>
          </cell>
        </row>
        <row r="796">
          <cell r="L796" t="str">
            <v>Proportional</v>
          </cell>
          <cell r="S796">
            <v>15364.18</v>
          </cell>
          <cell r="X796" t="str">
            <v>Claims - gross</v>
          </cell>
          <cell r="Y796" t="str">
            <v>THAILAND</v>
          </cell>
        </row>
        <row r="797">
          <cell r="L797" t="str">
            <v>Proportional</v>
          </cell>
          <cell r="S797">
            <v>3705.04</v>
          </cell>
          <cell r="X797" t="str">
            <v>Claims - gross</v>
          </cell>
          <cell r="Y797" t="str">
            <v>Ireland</v>
          </cell>
        </row>
        <row r="798">
          <cell r="L798" t="str">
            <v>Proportional</v>
          </cell>
          <cell r="S798">
            <v>19073.560000000001</v>
          </cell>
          <cell r="X798" t="str">
            <v>Claims - gross</v>
          </cell>
          <cell r="Y798" t="str">
            <v>THAILAND</v>
          </cell>
        </row>
        <row r="799">
          <cell r="L799" t="str">
            <v>Proportional</v>
          </cell>
          <cell r="S799">
            <v>360920.33</v>
          </cell>
          <cell r="X799" t="str">
            <v>Claims - gross</v>
          </cell>
          <cell r="Y799" t="str">
            <v>UNITED STATES</v>
          </cell>
        </row>
        <row r="800">
          <cell r="L800" t="str">
            <v>Proportional</v>
          </cell>
          <cell r="S800">
            <v>117958.61</v>
          </cell>
          <cell r="X800" t="str">
            <v>Claims - gross</v>
          </cell>
          <cell r="Y800" t="str">
            <v>India</v>
          </cell>
        </row>
        <row r="801">
          <cell r="L801" t="str">
            <v>Proportional</v>
          </cell>
          <cell r="S801">
            <v>3124.34</v>
          </cell>
          <cell r="X801" t="str">
            <v>Claims - gross</v>
          </cell>
          <cell r="Y801" t="str">
            <v>THAILAND</v>
          </cell>
        </row>
        <row r="802">
          <cell r="L802" t="str">
            <v>Proportional</v>
          </cell>
          <cell r="S802">
            <v>17777.32</v>
          </cell>
          <cell r="X802" t="str">
            <v>Claims - gross</v>
          </cell>
          <cell r="Y802" t="str">
            <v>UNITED STATES</v>
          </cell>
        </row>
        <row r="803">
          <cell r="L803" t="str">
            <v>Non-proportional</v>
          </cell>
          <cell r="S803">
            <v>3273.66</v>
          </cell>
          <cell r="X803" t="str">
            <v>Claims - gross</v>
          </cell>
          <cell r="Y803" t="str">
            <v>CZECH REPUBLIC</v>
          </cell>
        </row>
        <row r="804">
          <cell r="L804" t="str">
            <v>Proportional</v>
          </cell>
          <cell r="S804">
            <v>38089.07</v>
          </cell>
          <cell r="X804" t="str">
            <v>Claims - gross</v>
          </cell>
          <cell r="Y804" t="str">
            <v>Thailand</v>
          </cell>
        </row>
        <row r="805">
          <cell r="L805" t="str">
            <v>Proportional</v>
          </cell>
          <cell r="S805">
            <v>-6058.31</v>
          </cell>
          <cell r="X805" t="str">
            <v>Claims - gross</v>
          </cell>
          <cell r="Y805" t="str">
            <v>Thailand</v>
          </cell>
        </row>
        <row r="806">
          <cell r="L806" t="str">
            <v>Non-proportional</v>
          </cell>
          <cell r="S806">
            <v>-12209.97</v>
          </cell>
          <cell r="X806" t="str">
            <v>Claims - gross</v>
          </cell>
          <cell r="Y806" t="str">
            <v>United kingdom</v>
          </cell>
        </row>
        <row r="807">
          <cell r="L807" t="str">
            <v>Proportional</v>
          </cell>
          <cell r="S807">
            <v>70659.839999999997</v>
          </cell>
          <cell r="X807" t="str">
            <v>Claims - gross</v>
          </cell>
          <cell r="Y807" t="str">
            <v>MEXICO</v>
          </cell>
        </row>
        <row r="808">
          <cell r="L808" t="str">
            <v>Proportional</v>
          </cell>
          <cell r="S808">
            <v>4615.53</v>
          </cell>
          <cell r="X808" t="str">
            <v>Claims - gross</v>
          </cell>
          <cell r="Y808" t="str">
            <v>Thailand</v>
          </cell>
        </row>
        <row r="809">
          <cell r="L809" t="str">
            <v>Proportional</v>
          </cell>
          <cell r="S809">
            <v>4710.46</v>
          </cell>
          <cell r="X809" t="str">
            <v>Claims - gross</v>
          </cell>
          <cell r="Y809" t="str">
            <v>India</v>
          </cell>
        </row>
        <row r="810">
          <cell r="L810" t="str">
            <v>Proportional</v>
          </cell>
          <cell r="S810">
            <v>333.41</v>
          </cell>
          <cell r="X810" t="str">
            <v>Claims - gross</v>
          </cell>
          <cell r="Y810" t="str">
            <v>CHILE</v>
          </cell>
        </row>
        <row r="811">
          <cell r="L811" t="str">
            <v>Proportional</v>
          </cell>
          <cell r="S811">
            <v>3667.01</v>
          </cell>
          <cell r="X811" t="str">
            <v>Claims - gross</v>
          </cell>
          <cell r="Y811" t="str">
            <v>ITALY</v>
          </cell>
        </row>
        <row r="812">
          <cell r="L812" t="str">
            <v>Proportional</v>
          </cell>
          <cell r="S812">
            <v>118.81</v>
          </cell>
          <cell r="X812" t="str">
            <v>Claims - gross</v>
          </cell>
          <cell r="Y812" t="str">
            <v>THAILAND</v>
          </cell>
        </row>
        <row r="813">
          <cell r="L813" t="str">
            <v>Proportional</v>
          </cell>
          <cell r="S813">
            <v>13361.08</v>
          </cell>
          <cell r="X813" t="str">
            <v>Claims - gross</v>
          </cell>
          <cell r="Y813" t="str">
            <v>THAILAND</v>
          </cell>
        </row>
        <row r="814">
          <cell r="L814" t="str">
            <v>Proportional</v>
          </cell>
          <cell r="S814">
            <v>13328.58</v>
          </cell>
          <cell r="X814" t="str">
            <v>Claims - gross</v>
          </cell>
          <cell r="Y814" t="str">
            <v>THAILAND</v>
          </cell>
        </row>
        <row r="815">
          <cell r="L815" t="str">
            <v>Proportional</v>
          </cell>
          <cell r="S815">
            <v>136.26</v>
          </cell>
          <cell r="X815" t="str">
            <v>Claims - gross</v>
          </cell>
          <cell r="Y815" t="str">
            <v>THAILAND</v>
          </cell>
        </row>
        <row r="816">
          <cell r="L816" t="str">
            <v>Proportional</v>
          </cell>
          <cell r="S816">
            <v>110.53</v>
          </cell>
          <cell r="X816" t="str">
            <v>Claims - gross</v>
          </cell>
          <cell r="Y816" t="str">
            <v>CHILE</v>
          </cell>
        </row>
        <row r="817">
          <cell r="L817" t="str">
            <v>Proportional</v>
          </cell>
          <cell r="S817">
            <v>109.52</v>
          </cell>
          <cell r="X817" t="str">
            <v>Claims - gross</v>
          </cell>
          <cell r="Y817" t="str">
            <v>Thailand</v>
          </cell>
        </row>
        <row r="818">
          <cell r="L818" t="str">
            <v>Proportional</v>
          </cell>
          <cell r="S818">
            <v>23227.09</v>
          </cell>
          <cell r="X818" t="str">
            <v>Claims - gross</v>
          </cell>
          <cell r="Y818" t="str">
            <v>THAILAND</v>
          </cell>
        </row>
        <row r="819">
          <cell r="L819" t="str">
            <v>Proportional</v>
          </cell>
          <cell r="S819">
            <v>42491.72</v>
          </cell>
          <cell r="X819" t="str">
            <v>Claims - gross</v>
          </cell>
          <cell r="Y819" t="str">
            <v>THAILAND</v>
          </cell>
        </row>
        <row r="820">
          <cell r="L820" t="str">
            <v>Non-proportional</v>
          </cell>
          <cell r="S820">
            <v>37880.620000000003</v>
          </cell>
          <cell r="X820" t="str">
            <v>Claims - gross</v>
          </cell>
          <cell r="Y820" t="str">
            <v>POLAND</v>
          </cell>
        </row>
        <row r="821">
          <cell r="L821" t="str">
            <v>Proportional</v>
          </cell>
          <cell r="S821">
            <v>133.27000000000001</v>
          </cell>
          <cell r="X821" t="str">
            <v>Claims - gross</v>
          </cell>
          <cell r="Y821" t="str">
            <v>Thailand</v>
          </cell>
        </row>
        <row r="822">
          <cell r="L822" t="str">
            <v>Proportional</v>
          </cell>
          <cell r="S822">
            <v>-542.6</v>
          </cell>
          <cell r="X822" t="str">
            <v>Claims - gross</v>
          </cell>
          <cell r="Y822" t="str">
            <v>THAILAND</v>
          </cell>
        </row>
        <row r="823">
          <cell r="L823" t="str">
            <v>Proportional</v>
          </cell>
          <cell r="S823">
            <v>351.48</v>
          </cell>
          <cell r="X823" t="str">
            <v>Claims - gross</v>
          </cell>
          <cell r="Y823" t="str">
            <v>Portugal</v>
          </cell>
        </row>
        <row r="824">
          <cell r="L824" t="str">
            <v>Proportional</v>
          </cell>
          <cell r="S824">
            <v>-333.42</v>
          </cell>
          <cell r="X824" t="str">
            <v>Claims - gross</v>
          </cell>
          <cell r="Y824" t="str">
            <v>CHILE</v>
          </cell>
        </row>
        <row r="825">
          <cell r="L825" t="str">
            <v>Proportional</v>
          </cell>
          <cell r="S825">
            <v>21494.84</v>
          </cell>
          <cell r="X825" t="str">
            <v>Claims - gross</v>
          </cell>
          <cell r="Y825" t="str">
            <v>PORTUGAL</v>
          </cell>
        </row>
        <row r="826">
          <cell r="L826" t="str">
            <v>Proportional</v>
          </cell>
          <cell r="S826">
            <v>64.45</v>
          </cell>
          <cell r="X826" t="str">
            <v>Claims - gross</v>
          </cell>
          <cell r="Y826" t="str">
            <v>Thailand</v>
          </cell>
        </row>
        <row r="827">
          <cell r="L827" t="str">
            <v>Proportional</v>
          </cell>
          <cell r="S827">
            <v>174.38</v>
          </cell>
          <cell r="X827" t="str">
            <v>Claims - gross</v>
          </cell>
          <cell r="Y827" t="str">
            <v>India</v>
          </cell>
        </row>
        <row r="828">
          <cell r="L828" t="str">
            <v>Proportional</v>
          </cell>
          <cell r="S828">
            <v>784.8</v>
          </cell>
          <cell r="X828" t="str">
            <v>Claims - gross</v>
          </cell>
          <cell r="Y828" t="str">
            <v>FRANCE</v>
          </cell>
        </row>
        <row r="829">
          <cell r="L829" t="str">
            <v>Proportional</v>
          </cell>
          <cell r="S829">
            <v>52661.69</v>
          </cell>
          <cell r="X829" t="str">
            <v>Claims - gross</v>
          </cell>
          <cell r="Y829" t="str">
            <v>UNITED STATES</v>
          </cell>
        </row>
        <row r="830">
          <cell r="L830" t="str">
            <v>Proportional</v>
          </cell>
          <cell r="S830">
            <v>-333.42</v>
          </cell>
          <cell r="X830" t="str">
            <v>Claims - gross</v>
          </cell>
          <cell r="Y830" t="str">
            <v>CHILE</v>
          </cell>
        </row>
        <row r="831">
          <cell r="L831" t="str">
            <v>Proportional</v>
          </cell>
          <cell r="S831">
            <v>33932.639999999999</v>
          </cell>
          <cell r="X831" t="str">
            <v>Claims - gross</v>
          </cell>
          <cell r="Y831" t="str">
            <v>THAILAND</v>
          </cell>
        </row>
        <row r="832">
          <cell r="L832" t="str">
            <v>Proportional</v>
          </cell>
          <cell r="S832">
            <v>312.10000000000002</v>
          </cell>
          <cell r="X832" t="str">
            <v>Claims - gross</v>
          </cell>
          <cell r="Y832" t="str">
            <v>THAILAND</v>
          </cell>
        </row>
        <row r="833">
          <cell r="L833" t="str">
            <v>Proportional</v>
          </cell>
          <cell r="S833">
            <v>2234.09</v>
          </cell>
          <cell r="X833" t="str">
            <v>Claims - gross</v>
          </cell>
          <cell r="Y833" t="str">
            <v>THAILAND</v>
          </cell>
        </row>
        <row r="834">
          <cell r="L834" t="str">
            <v>Non-proportional</v>
          </cell>
          <cell r="S834">
            <v>5314.44</v>
          </cell>
          <cell r="X834" t="str">
            <v>Claims - gross</v>
          </cell>
          <cell r="Y834" t="str">
            <v>United kingdom</v>
          </cell>
        </row>
        <row r="835">
          <cell r="L835" t="str">
            <v>Proportional</v>
          </cell>
          <cell r="S835">
            <v>552.70000000000005</v>
          </cell>
          <cell r="X835" t="str">
            <v>Claims - gross</v>
          </cell>
          <cell r="Y835" t="str">
            <v>India</v>
          </cell>
        </row>
        <row r="836">
          <cell r="L836" t="str">
            <v>Proportional</v>
          </cell>
          <cell r="S836">
            <v>48586.16</v>
          </cell>
          <cell r="X836" t="str">
            <v>Claims - gross</v>
          </cell>
          <cell r="Y836" t="str">
            <v>THAILAND</v>
          </cell>
        </row>
        <row r="837">
          <cell r="L837" t="str">
            <v>Proportional</v>
          </cell>
          <cell r="S837">
            <v>221.07</v>
          </cell>
          <cell r="X837" t="str">
            <v>Claims - gross</v>
          </cell>
          <cell r="Y837" t="str">
            <v>CHILE</v>
          </cell>
        </row>
        <row r="838">
          <cell r="L838" t="str">
            <v>Proportional</v>
          </cell>
          <cell r="S838">
            <v>4995.76</v>
          </cell>
          <cell r="X838" t="str">
            <v>Claims - gross</v>
          </cell>
          <cell r="Y838" t="str">
            <v>India</v>
          </cell>
        </row>
        <row r="839">
          <cell r="L839" t="str">
            <v>Proportional</v>
          </cell>
          <cell r="S839">
            <v>-1511.7</v>
          </cell>
          <cell r="X839" t="str">
            <v>Claims - gross</v>
          </cell>
          <cell r="Y839" t="str">
            <v>Ireland</v>
          </cell>
        </row>
        <row r="840">
          <cell r="L840" t="str">
            <v>Proportional</v>
          </cell>
          <cell r="S840">
            <v>993.91</v>
          </cell>
          <cell r="X840" t="str">
            <v>Claims - gross</v>
          </cell>
          <cell r="Y840" t="str">
            <v>FRANCE</v>
          </cell>
        </row>
        <row r="841">
          <cell r="L841" t="str">
            <v>Proportional</v>
          </cell>
          <cell r="S841">
            <v>31877.5</v>
          </cell>
          <cell r="X841" t="str">
            <v>Claims - gross</v>
          </cell>
          <cell r="Y841" t="str">
            <v>Thailand</v>
          </cell>
        </row>
        <row r="842">
          <cell r="L842" t="str">
            <v>Proportional</v>
          </cell>
          <cell r="S842">
            <v>-124.73</v>
          </cell>
          <cell r="X842" t="str">
            <v>Claims - gross</v>
          </cell>
          <cell r="Y842" t="str">
            <v>Thailand</v>
          </cell>
        </row>
        <row r="843">
          <cell r="L843" t="str">
            <v>Proportional</v>
          </cell>
          <cell r="S843">
            <v>-282.83999999999997</v>
          </cell>
          <cell r="X843" t="str">
            <v>Claims - gross</v>
          </cell>
          <cell r="Y843" t="str">
            <v>Thailand</v>
          </cell>
        </row>
        <row r="844">
          <cell r="L844" t="str">
            <v>Proportional</v>
          </cell>
          <cell r="S844">
            <v>5928.82</v>
          </cell>
          <cell r="X844" t="str">
            <v>Claims - gross</v>
          </cell>
          <cell r="Y844" t="str">
            <v>UNITED STATES</v>
          </cell>
        </row>
        <row r="845">
          <cell r="L845" t="str">
            <v>Proportional</v>
          </cell>
          <cell r="S845">
            <v>2903.95</v>
          </cell>
          <cell r="X845" t="str">
            <v>Claims - gross</v>
          </cell>
          <cell r="Y845" t="str">
            <v>Thailand</v>
          </cell>
        </row>
        <row r="846">
          <cell r="L846" t="str">
            <v>Proportional</v>
          </cell>
          <cell r="S846">
            <v>16012.47</v>
          </cell>
          <cell r="X846" t="str">
            <v>Claims - gross</v>
          </cell>
          <cell r="Y846" t="str">
            <v>INDIA</v>
          </cell>
        </row>
        <row r="847">
          <cell r="L847" t="str">
            <v>Proportional</v>
          </cell>
          <cell r="S847">
            <v>2927.59</v>
          </cell>
          <cell r="X847" t="str">
            <v>Claims - gross</v>
          </cell>
          <cell r="Y847" t="str">
            <v>Thailand</v>
          </cell>
        </row>
        <row r="848">
          <cell r="L848" t="str">
            <v>Non-proportional</v>
          </cell>
          <cell r="S848">
            <v>3041.49</v>
          </cell>
          <cell r="X848" t="str">
            <v>Claims - gross</v>
          </cell>
          <cell r="Y848" t="str">
            <v>GERMANY</v>
          </cell>
        </row>
        <row r="849">
          <cell r="L849" t="str">
            <v>Proportional</v>
          </cell>
          <cell r="S849">
            <v>-221.07</v>
          </cell>
          <cell r="X849" t="str">
            <v>Claims - gross</v>
          </cell>
          <cell r="Y849" t="str">
            <v>CHILE</v>
          </cell>
        </row>
        <row r="850">
          <cell r="L850" t="str">
            <v>Proportional</v>
          </cell>
          <cell r="S850">
            <v>2446902.1800000002</v>
          </cell>
          <cell r="X850" t="str">
            <v>Claims - gross</v>
          </cell>
          <cell r="Y850" t="str">
            <v>THAILAND</v>
          </cell>
        </row>
        <row r="851">
          <cell r="L851" t="str">
            <v>Proportional</v>
          </cell>
          <cell r="S851">
            <v>88.86</v>
          </cell>
          <cell r="X851" t="str">
            <v>Claims - gross</v>
          </cell>
          <cell r="Y851" t="str">
            <v>PORTUGAL</v>
          </cell>
        </row>
        <row r="852">
          <cell r="L852" t="str">
            <v>Proportional</v>
          </cell>
          <cell r="S852">
            <v>380.53</v>
          </cell>
          <cell r="X852" t="str">
            <v>Claims - gross</v>
          </cell>
          <cell r="Y852" t="str">
            <v>India</v>
          </cell>
        </row>
        <row r="853">
          <cell r="L853" t="str">
            <v>Proportional</v>
          </cell>
          <cell r="S853">
            <v>5868.02</v>
          </cell>
          <cell r="X853" t="str">
            <v>Claims - gross</v>
          </cell>
          <cell r="Y853" t="str">
            <v>THAILAND</v>
          </cell>
        </row>
        <row r="854">
          <cell r="L854" t="str">
            <v>Proportional</v>
          </cell>
          <cell r="S854">
            <v>25548.34</v>
          </cell>
          <cell r="X854" t="str">
            <v>Claims - gross</v>
          </cell>
          <cell r="Y854" t="str">
            <v>PORTUGAL</v>
          </cell>
        </row>
        <row r="855">
          <cell r="L855" t="str">
            <v>Proportional</v>
          </cell>
          <cell r="S855">
            <v>33671.379999999997</v>
          </cell>
          <cell r="X855" t="str">
            <v>Claims - gross</v>
          </cell>
          <cell r="Y855" t="str">
            <v>THAILAND</v>
          </cell>
        </row>
        <row r="856">
          <cell r="L856" t="str">
            <v>Proportional</v>
          </cell>
          <cell r="S856">
            <v>1391.88</v>
          </cell>
          <cell r="X856" t="str">
            <v>Claims - gross</v>
          </cell>
          <cell r="Y856" t="str">
            <v>Thailand</v>
          </cell>
        </row>
        <row r="857">
          <cell r="L857" t="str">
            <v>Proportional</v>
          </cell>
          <cell r="S857">
            <v>32136.43</v>
          </cell>
          <cell r="X857" t="str">
            <v>Claims - gross</v>
          </cell>
          <cell r="Y857" t="str">
            <v>INDIA</v>
          </cell>
        </row>
        <row r="858">
          <cell r="L858" t="str">
            <v>Proportional</v>
          </cell>
          <cell r="S858">
            <v>15462.1</v>
          </cell>
          <cell r="X858" t="str">
            <v>Claims - gross</v>
          </cell>
          <cell r="Y858" t="str">
            <v>THAILAND</v>
          </cell>
        </row>
        <row r="859">
          <cell r="L859" t="str">
            <v>Non-proportional</v>
          </cell>
          <cell r="S859">
            <v>18.88</v>
          </cell>
          <cell r="X859" t="str">
            <v>Claims - gross</v>
          </cell>
          <cell r="Y859" t="str">
            <v>India</v>
          </cell>
        </row>
        <row r="860">
          <cell r="L860" t="str">
            <v>Proportional</v>
          </cell>
          <cell r="S860">
            <v>77328.23</v>
          </cell>
          <cell r="X860" t="str">
            <v>Claims - gross</v>
          </cell>
          <cell r="Y860" t="str">
            <v>UNITED STATES</v>
          </cell>
        </row>
        <row r="861">
          <cell r="L861" t="str">
            <v>Proportional</v>
          </cell>
          <cell r="S861">
            <v>123.64</v>
          </cell>
          <cell r="X861" t="str">
            <v>Claims - gross</v>
          </cell>
          <cell r="Y861" t="str">
            <v>Thailand</v>
          </cell>
        </row>
        <row r="862">
          <cell r="L862" t="str">
            <v>Proportional</v>
          </cell>
          <cell r="S862">
            <v>465.9</v>
          </cell>
          <cell r="X862" t="str">
            <v>Claims - gross</v>
          </cell>
          <cell r="Y862" t="str">
            <v>THAILAND</v>
          </cell>
        </row>
        <row r="863">
          <cell r="L863" t="str">
            <v>Proportional</v>
          </cell>
          <cell r="S863">
            <v>223.14</v>
          </cell>
          <cell r="X863" t="str">
            <v>Claims - gross</v>
          </cell>
          <cell r="Y863" t="str">
            <v>Thailand</v>
          </cell>
        </row>
        <row r="864">
          <cell r="L864" t="str">
            <v>Proportional</v>
          </cell>
          <cell r="S864">
            <v>1138.69</v>
          </cell>
          <cell r="X864" t="str">
            <v>Claims - gross</v>
          </cell>
          <cell r="Y864" t="str">
            <v>UNITED STATES</v>
          </cell>
        </row>
        <row r="865">
          <cell r="L865" t="str">
            <v>Proportional</v>
          </cell>
          <cell r="S865">
            <v>87896.86</v>
          </cell>
          <cell r="X865" t="str">
            <v>Claims - gross</v>
          </cell>
          <cell r="Y865" t="str">
            <v>Portugal</v>
          </cell>
        </row>
        <row r="866">
          <cell r="L866" t="str">
            <v>Proportional</v>
          </cell>
          <cell r="S866">
            <v>127047.09</v>
          </cell>
          <cell r="X866" t="str">
            <v>Claims - gross</v>
          </cell>
          <cell r="Y866" t="str">
            <v>THAILAND</v>
          </cell>
        </row>
        <row r="867">
          <cell r="L867" t="str">
            <v>Proportional</v>
          </cell>
          <cell r="S867">
            <v>37404.58</v>
          </cell>
          <cell r="X867" t="str">
            <v>Claims - gross</v>
          </cell>
          <cell r="Y867" t="str">
            <v>UNITED STATES</v>
          </cell>
        </row>
        <row r="868">
          <cell r="L868" t="str">
            <v>Proportional</v>
          </cell>
          <cell r="S868">
            <v>47252.9</v>
          </cell>
          <cell r="X868" t="str">
            <v>Claims - gross</v>
          </cell>
          <cell r="Y868" t="str">
            <v>THAILAND</v>
          </cell>
        </row>
        <row r="869">
          <cell r="L869" t="str">
            <v>Proportional</v>
          </cell>
          <cell r="S869">
            <v>1288649.68</v>
          </cell>
          <cell r="X869" t="str">
            <v>Claims - gross</v>
          </cell>
          <cell r="Y869" t="str">
            <v>THAILAND</v>
          </cell>
        </row>
        <row r="870">
          <cell r="L870" t="str">
            <v>Proportional</v>
          </cell>
          <cell r="S870">
            <v>48035.519999999997</v>
          </cell>
          <cell r="X870" t="str">
            <v>Claims - gross</v>
          </cell>
          <cell r="Y870" t="str">
            <v>UNITED STATES</v>
          </cell>
        </row>
        <row r="871">
          <cell r="L871" t="str">
            <v>Proportional</v>
          </cell>
          <cell r="S871">
            <v>4943.0600000000004</v>
          </cell>
          <cell r="X871" t="str">
            <v>Claims - gross</v>
          </cell>
          <cell r="Y871" t="str">
            <v>THAILAND</v>
          </cell>
        </row>
        <row r="872">
          <cell r="L872" t="str">
            <v>Proportional</v>
          </cell>
          <cell r="S872">
            <v>100.13</v>
          </cell>
          <cell r="X872" t="str">
            <v>Claims - gross</v>
          </cell>
          <cell r="Y872" t="str">
            <v>Portugal</v>
          </cell>
        </row>
        <row r="873">
          <cell r="L873" t="str">
            <v>Proportional</v>
          </cell>
          <cell r="S873">
            <v>1185.69</v>
          </cell>
          <cell r="X873" t="str">
            <v>Claims - gross</v>
          </cell>
          <cell r="Y873" t="str">
            <v>THAILAND</v>
          </cell>
        </row>
        <row r="874">
          <cell r="L874" t="str">
            <v>Non-proportional</v>
          </cell>
          <cell r="S874">
            <v>152433.22</v>
          </cell>
          <cell r="X874" t="str">
            <v>Claims - gross</v>
          </cell>
          <cell r="Y874" t="str">
            <v>United kingdom</v>
          </cell>
        </row>
        <row r="875">
          <cell r="L875" t="str">
            <v>Non-proportional</v>
          </cell>
          <cell r="S875">
            <v>342778.79</v>
          </cell>
          <cell r="X875" t="str">
            <v>Claims - gross</v>
          </cell>
          <cell r="Y875" t="str">
            <v>UNITED KINGDOM</v>
          </cell>
        </row>
        <row r="876">
          <cell r="L876" t="str">
            <v>Proportional</v>
          </cell>
          <cell r="S876">
            <v>5228.7</v>
          </cell>
          <cell r="X876" t="str">
            <v>Claims - gross</v>
          </cell>
          <cell r="Y876" t="str">
            <v>PORTUGAL</v>
          </cell>
        </row>
        <row r="877">
          <cell r="L877" t="str">
            <v>Proportional</v>
          </cell>
          <cell r="S877">
            <v>17000.150000000001</v>
          </cell>
          <cell r="X877" t="str">
            <v>Claims - gross</v>
          </cell>
          <cell r="Y877" t="str">
            <v>THAILAND</v>
          </cell>
        </row>
        <row r="878">
          <cell r="L878" t="str">
            <v>Proportional</v>
          </cell>
          <cell r="S878">
            <v>333.41</v>
          </cell>
          <cell r="X878" t="str">
            <v>Claims - gross</v>
          </cell>
          <cell r="Y878" t="str">
            <v>CHILE</v>
          </cell>
        </row>
        <row r="879">
          <cell r="L879" t="str">
            <v>Proportional</v>
          </cell>
          <cell r="S879">
            <v>221.07</v>
          </cell>
          <cell r="X879" t="str">
            <v>Claims - gross</v>
          </cell>
          <cell r="Y879" t="str">
            <v>CHILE</v>
          </cell>
        </row>
        <row r="880">
          <cell r="L880" t="str">
            <v>Proportional</v>
          </cell>
          <cell r="S880">
            <v>58100.66</v>
          </cell>
          <cell r="X880" t="str">
            <v>Claims - gross</v>
          </cell>
          <cell r="Y880" t="str">
            <v>INDIA</v>
          </cell>
        </row>
        <row r="881">
          <cell r="L881" t="str">
            <v>Non-proportional</v>
          </cell>
          <cell r="S881">
            <v>143678.1</v>
          </cell>
          <cell r="X881" t="str">
            <v>Claims - gross</v>
          </cell>
          <cell r="Y881" t="str">
            <v>EUROPE</v>
          </cell>
        </row>
        <row r="882">
          <cell r="L882" t="str">
            <v>Proportional</v>
          </cell>
          <cell r="S882">
            <v>2651768.42</v>
          </cell>
          <cell r="X882" t="str">
            <v>Claims - gross</v>
          </cell>
          <cell r="Y882" t="str">
            <v>ITALY</v>
          </cell>
        </row>
        <row r="883">
          <cell r="L883" t="str">
            <v>Proportional</v>
          </cell>
          <cell r="S883">
            <v>731.23</v>
          </cell>
          <cell r="X883" t="str">
            <v>Claims - gross</v>
          </cell>
          <cell r="Y883" t="str">
            <v>THAILAND</v>
          </cell>
        </row>
        <row r="884">
          <cell r="L884" t="str">
            <v>Proportional</v>
          </cell>
          <cell r="S884">
            <v>3259.87</v>
          </cell>
          <cell r="X884" t="str">
            <v>Claims - gross</v>
          </cell>
          <cell r="Y884" t="str">
            <v>UNITED STATES</v>
          </cell>
        </row>
        <row r="885">
          <cell r="L885" t="str">
            <v>Non-proportional</v>
          </cell>
          <cell r="S885">
            <v>-1953.54</v>
          </cell>
          <cell r="X885" t="str">
            <v>Claims - gross</v>
          </cell>
          <cell r="Y885" t="str">
            <v>India</v>
          </cell>
        </row>
        <row r="886">
          <cell r="L886" t="str">
            <v>Proportional</v>
          </cell>
          <cell r="S886">
            <v>442.57</v>
          </cell>
          <cell r="X886" t="str">
            <v>Claims - gross</v>
          </cell>
          <cell r="Y886" t="str">
            <v>Portugal</v>
          </cell>
        </row>
        <row r="887">
          <cell r="L887" t="str">
            <v>Proportional</v>
          </cell>
          <cell r="S887">
            <v>9830.9500000000007</v>
          </cell>
          <cell r="X887" t="str">
            <v>Claims - gross</v>
          </cell>
          <cell r="Y887" t="str">
            <v>Thailand</v>
          </cell>
        </row>
        <row r="888">
          <cell r="L888" t="str">
            <v>Non-proportional</v>
          </cell>
          <cell r="S888">
            <v>384414.61</v>
          </cell>
          <cell r="X888" t="str">
            <v>Claims - gross</v>
          </cell>
          <cell r="Y888" t="str">
            <v>EUROPE</v>
          </cell>
        </row>
        <row r="889">
          <cell r="L889" t="str">
            <v>Non-proportional</v>
          </cell>
          <cell r="S889">
            <v>-5245.77</v>
          </cell>
          <cell r="X889" t="str">
            <v>Claims - gross</v>
          </cell>
          <cell r="Y889" t="str">
            <v>United kingdom</v>
          </cell>
        </row>
        <row r="890">
          <cell r="L890" t="str">
            <v>Proportional</v>
          </cell>
          <cell r="S890">
            <v>551.6</v>
          </cell>
          <cell r="X890" t="str">
            <v>Claims - gross</v>
          </cell>
          <cell r="Y890" t="str">
            <v>PORTUGAL</v>
          </cell>
        </row>
        <row r="891">
          <cell r="L891" t="str">
            <v>Proportional</v>
          </cell>
          <cell r="S891">
            <v>3205.5</v>
          </cell>
          <cell r="X891" t="str">
            <v>Claims - gross</v>
          </cell>
          <cell r="Y891" t="str">
            <v>Thailand</v>
          </cell>
        </row>
        <row r="892">
          <cell r="L892" t="str">
            <v>Proportional</v>
          </cell>
          <cell r="S892">
            <v>-1182.6400000000001</v>
          </cell>
          <cell r="X892" t="str">
            <v>Claims - gross</v>
          </cell>
          <cell r="Y892" t="str">
            <v>Thailand</v>
          </cell>
        </row>
        <row r="893">
          <cell r="L893" t="str">
            <v>Proportional</v>
          </cell>
          <cell r="S893">
            <v>3208.65</v>
          </cell>
          <cell r="X893" t="str">
            <v>Claims - gross</v>
          </cell>
          <cell r="Y893" t="str">
            <v>Portugal</v>
          </cell>
        </row>
        <row r="894">
          <cell r="L894" t="str">
            <v>Proportional</v>
          </cell>
          <cell r="S894">
            <v>446.67</v>
          </cell>
          <cell r="X894" t="str">
            <v>Claims - gross</v>
          </cell>
          <cell r="Y894" t="str">
            <v>India</v>
          </cell>
        </row>
        <row r="895">
          <cell r="L895" t="str">
            <v>Proportional</v>
          </cell>
          <cell r="S895">
            <v>-48586.16</v>
          </cell>
          <cell r="X895" t="str">
            <v>Claims - gross</v>
          </cell>
          <cell r="Y895" t="str">
            <v>THAILAND</v>
          </cell>
        </row>
        <row r="896">
          <cell r="L896"/>
          <cell r="S896">
            <v>56302.46</v>
          </cell>
          <cell r="X896" t="str">
            <v>Claims - gross</v>
          </cell>
          <cell r="Y896" t="str">
            <v>Portugal</v>
          </cell>
        </row>
        <row r="897">
          <cell r="L897" t="str">
            <v>Proportional</v>
          </cell>
          <cell r="S897">
            <v>19570.990000000002</v>
          </cell>
          <cell r="X897" t="str">
            <v>Claims - gross</v>
          </cell>
          <cell r="Y897" t="str">
            <v>THAILAND</v>
          </cell>
        </row>
        <row r="898">
          <cell r="L898" t="str">
            <v>Proportional</v>
          </cell>
          <cell r="S898">
            <v>-120.38</v>
          </cell>
          <cell r="X898" t="str">
            <v>Claims - gross</v>
          </cell>
          <cell r="Y898" t="str">
            <v>Thailand</v>
          </cell>
        </row>
        <row r="899">
          <cell r="L899" t="str">
            <v>Proportional</v>
          </cell>
          <cell r="S899">
            <v>4573.55</v>
          </cell>
          <cell r="X899" t="str">
            <v>Claims - gross</v>
          </cell>
          <cell r="Y899" t="str">
            <v>SWITZERLAND</v>
          </cell>
        </row>
        <row r="900">
          <cell r="L900" t="str">
            <v>Proportional</v>
          </cell>
          <cell r="S900">
            <v>130.74</v>
          </cell>
          <cell r="X900" t="str">
            <v>Claims - gross</v>
          </cell>
          <cell r="Y900" t="str">
            <v>FRANCE</v>
          </cell>
        </row>
        <row r="901">
          <cell r="L901" t="str">
            <v>Proportional</v>
          </cell>
          <cell r="S901">
            <v>296.79000000000002</v>
          </cell>
          <cell r="X901" t="str">
            <v>Claims - gross</v>
          </cell>
          <cell r="Y901" t="str">
            <v>THAILAND</v>
          </cell>
        </row>
        <row r="902">
          <cell r="L902" t="str">
            <v>Proportional</v>
          </cell>
          <cell r="S902">
            <v>9865.02</v>
          </cell>
          <cell r="X902" t="str">
            <v>Claims - gross</v>
          </cell>
          <cell r="Y902" t="str">
            <v>THAILAND</v>
          </cell>
        </row>
        <row r="903">
          <cell r="L903" t="str">
            <v>Proportional</v>
          </cell>
          <cell r="S903">
            <v>1.44</v>
          </cell>
          <cell r="X903" t="str">
            <v>Claims - gross</v>
          </cell>
          <cell r="Y903" t="str">
            <v>THAILAND</v>
          </cell>
        </row>
        <row r="904">
          <cell r="L904" t="str">
            <v>Non-proportional</v>
          </cell>
          <cell r="S904">
            <v>24645.79</v>
          </cell>
          <cell r="X904" t="str">
            <v>Claims - gross</v>
          </cell>
          <cell r="Y904" t="str">
            <v>ICELAND</v>
          </cell>
        </row>
        <row r="905">
          <cell r="L905" t="str">
            <v>Proportional</v>
          </cell>
          <cell r="S905">
            <v>2528.79</v>
          </cell>
          <cell r="X905" t="str">
            <v>Claims - gross</v>
          </cell>
          <cell r="Y905" t="str">
            <v>Thailand</v>
          </cell>
        </row>
        <row r="906">
          <cell r="L906" t="str">
            <v>Proportional</v>
          </cell>
          <cell r="S906">
            <v>17964.509999999998</v>
          </cell>
          <cell r="X906" t="str">
            <v>Claims - gross</v>
          </cell>
          <cell r="Y906" t="str">
            <v>India</v>
          </cell>
        </row>
        <row r="907">
          <cell r="L907" t="str">
            <v>Non-proportional</v>
          </cell>
          <cell r="S907">
            <v>10084.34</v>
          </cell>
          <cell r="X907" t="str">
            <v>Claims - gross</v>
          </cell>
          <cell r="Y907" t="str">
            <v>EUROPE</v>
          </cell>
        </row>
        <row r="908">
          <cell r="L908" t="str">
            <v>Proportional</v>
          </cell>
          <cell r="S908">
            <v>993.91</v>
          </cell>
          <cell r="X908" t="str">
            <v>Claims - gross</v>
          </cell>
          <cell r="Y908" t="str">
            <v>FRANCE</v>
          </cell>
        </row>
        <row r="909">
          <cell r="L909" t="str">
            <v>Proportional</v>
          </cell>
          <cell r="S909">
            <v>34248.620000000003</v>
          </cell>
          <cell r="X909" t="str">
            <v>Claims - gross</v>
          </cell>
          <cell r="Y909" t="str">
            <v>THAILAND</v>
          </cell>
        </row>
        <row r="910">
          <cell r="L910" t="str">
            <v>Proportional</v>
          </cell>
          <cell r="S910">
            <v>5375.07</v>
          </cell>
          <cell r="X910" t="str">
            <v>Claims - gross</v>
          </cell>
          <cell r="Y910" t="str">
            <v>THAILAND</v>
          </cell>
        </row>
        <row r="911">
          <cell r="L911" t="str">
            <v>Non-proportional</v>
          </cell>
          <cell r="S911">
            <v>23600.83</v>
          </cell>
          <cell r="X911" t="str">
            <v>Claims - gross</v>
          </cell>
          <cell r="Y911" t="str">
            <v>CZECH REPUBLIC</v>
          </cell>
        </row>
        <row r="912">
          <cell r="L912" t="str">
            <v>Non-proportional</v>
          </cell>
          <cell r="S912">
            <v>113876.65</v>
          </cell>
          <cell r="X912" t="str">
            <v>Claims - gross</v>
          </cell>
          <cell r="Y912" t="str">
            <v>UNITED KINGDOM</v>
          </cell>
        </row>
        <row r="913">
          <cell r="L913" t="str">
            <v>Proportional</v>
          </cell>
          <cell r="S913">
            <v>70659.839999999997</v>
          </cell>
          <cell r="X913" t="str">
            <v>Claims - gross</v>
          </cell>
          <cell r="Y913" t="str">
            <v>MEXICO</v>
          </cell>
        </row>
        <row r="914">
          <cell r="L914" t="str">
            <v>Proportional</v>
          </cell>
          <cell r="S914">
            <v>-6096.18</v>
          </cell>
          <cell r="X914" t="str">
            <v>Claims - gross</v>
          </cell>
          <cell r="Y914" t="str">
            <v>MEXICO</v>
          </cell>
        </row>
        <row r="915">
          <cell r="L915" t="str">
            <v>Proportional</v>
          </cell>
          <cell r="S915">
            <v>-647824</v>
          </cell>
          <cell r="X915" t="str">
            <v>Claims - gross</v>
          </cell>
          <cell r="Y915" t="str">
            <v>Turkey</v>
          </cell>
        </row>
        <row r="916">
          <cell r="L916" t="str">
            <v>Non-proportional</v>
          </cell>
          <cell r="S916">
            <v>195926.53</v>
          </cell>
          <cell r="X916" t="str">
            <v>Claims - gross</v>
          </cell>
          <cell r="Y916" t="str">
            <v>EUROPE</v>
          </cell>
        </row>
        <row r="917">
          <cell r="L917" t="str">
            <v>Proportional</v>
          </cell>
          <cell r="S917">
            <v>-185.48</v>
          </cell>
          <cell r="X917" t="str">
            <v>Claims - gross</v>
          </cell>
          <cell r="Y917" t="str">
            <v>Turkey</v>
          </cell>
        </row>
        <row r="918">
          <cell r="L918" t="str">
            <v>Proportional</v>
          </cell>
          <cell r="S918">
            <v>1655.33</v>
          </cell>
          <cell r="X918" t="str">
            <v>Claims - gross</v>
          </cell>
          <cell r="Y918" t="str">
            <v>Turkey</v>
          </cell>
        </row>
        <row r="919">
          <cell r="L919" t="str">
            <v>Proportional</v>
          </cell>
          <cell r="S919">
            <v>-45984.44</v>
          </cell>
          <cell r="X919" t="str">
            <v>Claims - gross</v>
          </cell>
          <cell r="Y919" t="str">
            <v>INDIA</v>
          </cell>
        </row>
        <row r="920">
          <cell r="L920" t="str">
            <v>Proportional</v>
          </cell>
          <cell r="S920">
            <v>6755.89</v>
          </cell>
          <cell r="X920" t="str">
            <v>Claims - gross</v>
          </cell>
          <cell r="Y920" t="str">
            <v>Turkey</v>
          </cell>
        </row>
        <row r="921">
          <cell r="L921" t="str">
            <v>Proportional</v>
          </cell>
          <cell r="S921">
            <v>12.66</v>
          </cell>
          <cell r="X921" t="str">
            <v>Claims - gross</v>
          </cell>
          <cell r="Y921" t="str">
            <v>Hong Kong</v>
          </cell>
        </row>
        <row r="922">
          <cell r="L922" t="str">
            <v>Proportional</v>
          </cell>
          <cell r="S922">
            <v>-12.66</v>
          </cell>
          <cell r="X922" t="str">
            <v>Claims - gross</v>
          </cell>
          <cell r="Y922" t="str">
            <v>Hong Kong</v>
          </cell>
        </row>
        <row r="923">
          <cell r="L923" t="str">
            <v>Proportional</v>
          </cell>
          <cell r="S923">
            <v>0.34</v>
          </cell>
          <cell r="X923" t="str">
            <v>Claims - gross</v>
          </cell>
          <cell r="Y923" t="str">
            <v>Turkey</v>
          </cell>
        </row>
        <row r="924">
          <cell r="L924" t="str">
            <v>Proportional</v>
          </cell>
          <cell r="S924">
            <v>627.04</v>
          </cell>
          <cell r="X924" t="str">
            <v>Claims - gross</v>
          </cell>
          <cell r="Y924" t="str">
            <v>HONG KONG</v>
          </cell>
        </row>
        <row r="925">
          <cell r="L925" t="str">
            <v>Proportional</v>
          </cell>
          <cell r="S925">
            <v>37.9</v>
          </cell>
          <cell r="X925" t="str">
            <v>Claims - gross</v>
          </cell>
          <cell r="Y925" t="str">
            <v>HONG KONG</v>
          </cell>
        </row>
        <row r="926">
          <cell r="L926" t="str">
            <v>Proportional</v>
          </cell>
          <cell r="S926">
            <v>1009.56</v>
          </cell>
          <cell r="X926" t="str">
            <v>Claims - gross</v>
          </cell>
          <cell r="Y926" t="str">
            <v>Ireland</v>
          </cell>
        </row>
        <row r="927">
          <cell r="L927" t="str">
            <v>Non-proportional</v>
          </cell>
          <cell r="S927">
            <v>24486.53</v>
          </cell>
          <cell r="X927" t="str">
            <v>Claims - gross</v>
          </cell>
          <cell r="Y927" t="str">
            <v>TURKEY</v>
          </cell>
        </row>
        <row r="928">
          <cell r="L928" t="str">
            <v>Proportional</v>
          </cell>
          <cell r="S928">
            <v>117.14</v>
          </cell>
          <cell r="X928" t="str">
            <v>Claims - gross</v>
          </cell>
          <cell r="Y928" t="str">
            <v>Hong Kong</v>
          </cell>
        </row>
        <row r="929">
          <cell r="L929" t="str">
            <v>Proportional</v>
          </cell>
          <cell r="S929">
            <v>2961.38</v>
          </cell>
          <cell r="X929" t="str">
            <v>Claims - gross</v>
          </cell>
          <cell r="Y929" t="str">
            <v>TURKEY</v>
          </cell>
        </row>
        <row r="930">
          <cell r="L930" t="str">
            <v>Proportional</v>
          </cell>
          <cell r="S930">
            <v>84.05</v>
          </cell>
          <cell r="X930" t="str">
            <v>Claims - gross</v>
          </cell>
          <cell r="Y930" t="str">
            <v>TURKEY</v>
          </cell>
        </row>
        <row r="931">
          <cell r="L931" t="str">
            <v>Proportional</v>
          </cell>
          <cell r="S931">
            <v>14803.68</v>
          </cell>
          <cell r="X931" t="str">
            <v>Claims - gross</v>
          </cell>
          <cell r="Y931" t="str">
            <v>TURKEY</v>
          </cell>
        </row>
        <row r="932">
          <cell r="L932" t="str">
            <v>Proportional</v>
          </cell>
          <cell r="S932">
            <v>479.31</v>
          </cell>
          <cell r="X932" t="str">
            <v>Claims - gross</v>
          </cell>
          <cell r="Y932" t="str">
            <v>Turkey</v>
          </cell>
        </row>
        <row r="933">
          <cell r="L933" t="str">
            <v>Proportional</v>
          </cell>
          <cell r="S933">
            <v>804.9</v>
          </cell>
          <cell r="X933" t="str">
            <v>Claims - gross</v>
          </cell>
          <cell r="Y933" t="str">
            <v>Hong Kong</v>
          </cell>
        </row>
        <row r="934">
          <cell r="L934" t="str">
            <v>Proportional</v>
          </cell>
          <cell r="S934">
            <v>1.75</v>
          </cell>
          <cell r="X934" t="str">
            <v>Claims - gross</v>
          </cell>
          <cell r="Y934" t="str">
            <v>Turkey</v>
          </cell>
        </row>
        <row r="935">
          <cell r="L935" t="str">
            <v>Proportional</v>
          </cell>
          <cell r="S935">
            <v>17933.84</v>
          </cell>
          <cell r="X935" t="str">
            <v>Claims - gross</v>
          </cell>
          <cell r="Y935" t="str">
            <v>Turkey</v>
          </cell>
        </row>
        <row r="936">
          <cell r="L936" t="str">
            <v>Proportional</v>
          </cell>
          <cell r="S936">
            <v>512.66</v>
          </cell>
          <cell r="X936" t="str">
            <v>Claims - gross</v>
          </cell>
          <cell r="Y936" t="str">
            <v>TURKEY</v>
          </cell>
        </row>
        <row r="937">
          <cell r="L937" t="str">
            <v>Non-proportional</v>
          </cell>
          <cell r="S937">
            <v>49096.95</v>
          </cell>
          <cell r="X937" t="str">
            <v>Claims - gross</v>
          </cell>
          <cell r="Y937" t="str">
            <v>United kingdom</v>
          </cell>
        </row>
        <row r="938">
          <cell r="L938" t="str">
            <v>Proportional</v>
          </cell>
          <cell r="S938">
            <v>5429.28</v>
          </cell>
          <cell r="X938" t="str">
            <v>Claims - gross</v>
          </cell>
          <cell r="Y938" t="str">
            <v>Turkey</v>
          </cell>
        </row>
        <row r="939">
          <cell r="L939" t="str">
            <v>Proportional</v>
          </cell>
          <cell r="S939">
            <v>61.05</v>
          </cell>
          <cell r="X939" t="str">
            <v>Claims - gross</v>
          </cell>
          <cell r="Y939" t="str">
            <v>EUROPE</v>
          </cell>
        </row>
        <row r="940">
          <cell r="L940" t="str">
            <v>Proportional</v>
          </cell>
          <cell r="S940">
            <v>19.329999999999998</v>
          </cell>
          <cell r="X940" t="str">
            <v>Claims - gross</v>
          </cell>
          <cell r="Y940" t="str">
            <v>Turkey</v>
          </cell>
        </row>
        <row r="941">
          <cell r="L941" t="str">
            <v>Proportional</v>
          </cell>
          <cell r="S941">
            <v>42392.9</v>
          </cell>
          <cell r="X941" t="str">
            <v>Claims - gross</v>
          </cell>
          <cell r="Y941" t="str">
            <v>TURKEY</v>
          </cell>
        </row>
        <row r="942">
          <cell r="L942" t="str">
            <v>Proportional</v>
          </cell>
          <cell r="S942">
            <v>-68.72</v>
          </cell>
          <cell r="X942" t="str">
            <v>Claims - gross</v>
          </cell>
          <cell r="Y942" t="str">
            <v>Turkey</v>
          </cell>
        </row>
        <row r="943">
          <cell r="L943" t="str">
            <v>Proportional</v>
          </cell>
          <cell r="S943">
            <v>6.98</v>
          </cell>
          <cell r="X943" t="str">
            <v>Claims - gross</v>
          </cell>
          <cell r="Y943" t="str">
            <v>Turkey</v>
          </cell>
        </row>
        <row r="944">
          <cell r="L944" t="str">
            <v>Proportional</v>
          </cell>
          <cell r="S944">
            <v>-2587.79</v>
          </cell>
          <cell r="X944" t="str">
            <v>Claims - gross</v>
          </cell>
          <cell r="Y944" t="str">
            <v>INDIA</v>
          </cell>
        </row>
        <row r="945">
          <cell r="L945" t="str">
            <v>Proportional</v>
          </cell>
          <cell r="S945">
            <v>4177577.7</v>
          </cell>
          <cell r="X945" t="str">
            <v>Claims - gross</v>
          </cell>
          <cell r="Y945" t="str">
            <v>ITALY</v>
          </cell>
        </row>
        <row r="946">
          <cell r="L946" t="str">
            <v>Proportional</v>
          </cell>
          <cell r="S946">
            <v>861.94</v>
          </cell>
          <cell r="X946" t="str">
            <v>Claims - gross</v>
          </cell>
          <cell r="Y946" t="str">
            <v>Turkey</v>
          </cell>
        </row>
        <row r="947">
          <cell r="L947" t="str">
            <v>Proportional</v>
          </cell>
          <cell r="S947">
            <v>12.66</v>
          </cell>
          <cell r="X947" t="str">
            <v>Claims - gross</v>
          </cell>
          <cell r="Y947" t="str">
            <v>Hong Kong</v>
          </cell>
        </row>
        <row r="948">
          <cell r="L948" t="str">
            <v>Proportional</v>
          </cell>
          <cell r="S948">
            <v>1770.37</v>
          </cell>
          <cell r="X948" t="str">
            <v>Claims - gross</v>
          </cell>
          <cell r="Y948" t="str">
            <v>TURKEY</v>
          </cell>
        </row>
        <row r="949">
          <cell r="L949" t="str">
            <v>Proportional</v>
          </cell>
          <cell r="S949">
            <v>696.71</v>
          </cell>
          <cell r="X949" t="str">
            <v>Claims - gross</v>
          </cell>
          <cell r="Y949" t="str">
            <v>Turkey</v>
          </cell>
        </row>
        <row r="950">
          <cell r="L950" t="str">
            <v>Proportional</v>
          </cell>
          <cell r="S950">
            <v>5165.5600000000004</v>
          </cell>
          <cell r="X950" t="str">
            <v>Claims - gross</v>
          </cell>
          <cell r="Y950" t="str">
            <v>MALAYSIA</v>
          </cell>
        </row>
        <row r="951">
          <cell r="L951" t="str">
            <v>Proportional</v>
          </cell>
          <cell r="S951">
            <v>624338.48</v>
          </cell>
          <cell r="X951" t="str">
            <v>Claims - gross</v>
          </cell>
          <cell r="Y951" t="str">
            <v>Turkey</v>
          </cell>
        </row>
        <row r="952">
          <cell r="L952" t="str">
            <v>Proportional</v>
          </cell>
          <cell r="S952">
            <v>5587.22</v>
          </cell>
          <cell r="X952" t="str">
            <v>Claims - gross</v>
          </cell>
          <cell r="Y952" t="str">
            <v>Turkey</v>
          </cell>
        </row>
        <row r="953">
          <cell r="L953" t="str">
            <v>Proportional</v>
          </cell>
          <cell r="S953">
            <v>37.46</v>
          </cell>
          <cell r="X953" t="str">
            <v>Claims - gross</v>
          </cell>
          <cell r="Y953" t="str">
            <v>TURKEY</v>
          </cell>
        </row>
        <row r="954">
          <cell r="L954" t="str">
            <v>Non-proportional</v>
          </cell>
          <cell r="S954">
            <v>7918.17</v>
          </cell>
          <cell r="X954" t="str">
            <v>Claims - gross</v>
          </cell>
          <cell r="Y954" t="str">
            <v>EUROPE</v>
          </cell>
        </row>
        <row r="955">
          <cell r="L955" t="str">
            <v>Proportional</v>
          </cell>
          <cell r="S955">
            <v>1489.32</v>
          </cell>
          <cell r="X955" t="str">
            <v>Claims - gross</v>
          </cell>
          <cell r="Y955" t="str">
            <v>Turkey</v>
          </cell>
        </row>
        <row r="956">
          <cell r="L956" t="str">
            <v>Proportional</v>
          </cell>
          <cell r="S956">
            <v>4279.95</v>
          </cell>
          <cell r="X956" t="str">
            <v>Claims - gross</v>
          </cell>
          <cell r="Y956" t="str">
            <v>Hong Kong</v>
          </cell>
        </row>
        <row r="957">
          <cell r="L957" t="str">
            <v>Proportional</v>
          </cell>
          <cell r="S957">
            <v>-30.52</v>
          </cell>
          <cell r="X957" t="str">
            <v>Claims - gross</v>
          </cell>
          <cell r="Y957" t="str">
            <v>Turkey</v>
          </cell>
        </row>
        <row r="958">
          <cell r="L958" t="str">
            <v>Proportional</v>
          </cell>
          <cell r="S958">
            <v>12.62</v>
          </cell>
          <cell r="X958" t="str">
            <v>Claims - gross</v>
          </cell>
          <cell r="Y958" t="str">
            <v>Turkey</v>
          </cell>
        </row>
        <row r="959">
          <cell r="L959" t="str">
            <v>Proportional</v>
          </cell>
          <cell r="S959">
            <v>5549.01</v>
          </cell>
          <cell r="X959" t="str">
            <v>Claims - gross</v>
          </cell>
          <cell r="Y959" t="str">
            <v>Turkey</v>
          </cell>
        </row>
        <row r="960">
          <cell r="L960" t="str">
            <v>Proportional</v>
          </cell>
          <cell r="S960">
            <v>29868.09</v>
          </cell>
          <cell r="X960" t="str">
            <v>Claims - gross</v>
          </cell>
          <cell r="Y960" t="str">
            <v>TURKEY</v>
          </cell>
        </row>
        <row r="961">
          <cell r="L961" t="str">
            <v>Proportional</v>
          </cell>
          <cell r="S961">
            <v>-45984.44</v>
          </cell>
          <cell r="X961" t="str">
            <v>Claims - gross</v>
          </cell>
          <cell r="Y961" t="str">
            <v>INDIA</v>
          </cell>
        </row>
        <row r="962">
          <cell r="L962" t="str">
            <v>Proportional</v>
          </cell>
          <cell r="S962">
            <v>111.2</v>
          </cell>
          <cell r="X962" t="str">
            <v>Claims - gross</v>
          </cell>
          <cell r="Y962" t="str">
            <v>Hong Kong</v>
          </cell>
        </row>
        <row r="963">
          <cell r="L963" t="str">
            <v>Proportional</v>
          </cell>
          <cell r="S963">
            <v>-69553.34</v>
          </cell>
          <cell r="X963" t="str">
            <v>Claims - gross</v>
          </cell>
          <cell r="Y963" t="str">
            <v>MEXICO</v>
          </cell>
        </row>
        <row r="964">
          <cell r="L964" t="str">
            <v>Proportional</v>
          </cell>
          <cell r="S964">
            <v>2587.79</v>
          </cell>
          <cell r="X964" t="str">
            <v>Claims - gross</v>
          </cell>
          <cell r="Y964" t="str">
            <v>INDIA</v>
          </cell>
        </row>
        <row r="965">
          <cell r="L965" t="str">
            <v>Proportional</v>
          </cell>
          <cell r="S965">
            <v>-31.2</v>
          </cell>
          <cell r="X965" t="str">
            <v>Claims - gross</v>
          </cell>
          <cell r="Y965" t="str">
            <v>Turkey</v>
          </cell>
        </row>
        <row r="966">
          <cell r="L966" t="str">
            <v>Non-proportional</v>
          </cell>
          <cell r="S966">
            <v>470202.6</v>
          </cell>
          <cell r="X966" t="str">
            <v>Claims - gross</v>
          </cell>
          <cell r="Y966" t="str">
            <v>THAILAND</v>
          </cell>
        </row>
        <row r="967">
          <cell r="L967" t="str">
            <v>Proportional</v>
          </cell>
          <cell r="S967">
            <v>45984.44</v>
          </cell>
          <cell r="X967" t="str">
            <v>Claims - gross</v>
          </cell>
          <cell r="Y967" t="str">
            <v>INDIA</v>
          </cell>
        </row>
        <row r="968">
          <cell r="L968" t="str">
            <v>Proportional</v>
          </cell>
          <cell r="S968">
            <v>2.9</v>
          </cell>
          <cell r="X968" t="str">
            <v>Claims - gross</v>
          </cell>
          <cell r="Y968" t="str">
            <v>Turkey</v>
          </cell>
        </row>
        <row r="969">
          <cell r="L969" t="str">
            <v>Proportional</v>
          </cell>
          <cell r="S969">
            <v>156.52000000000001</v>
          </cell>
          <cell r="X969" t="str">
            <v>Claims - gross</v>
          </cell>
          <cell r="Y969" t="str">
            <v>Turkey</v>
          </cell>
        </row>
        <row r="970">
          <cell r="L970" t="str">
            <v>Proportional</v>
          </cell>
          <cell r="S970">
            <v>605.87</v>
          </cell>
          <cell r="X970" t="str">
            <v>Claims - gross</v>
          </cell>
          <cell r="Y970" t="str">
            <v>Turkey</v>
          </cell>
        </row>
        <row r="971">
          <cell r="L971" t="str">
            <v>Proportional</v>
          </cell>
          <cell r="S971">
            <v>0.45</v>
          </cell>
          <cell r="X971" t="str">
            <v>Claims - gross</v>
          </cell>
          <cell r="Y971" t="str">
            <v>Turkey</v>
          </cell>
        </row>
        <row r="972">
          <cell r="L972" t="str">
            <v>Proportional</v>
          </cell>
          <cell r="S972">
            <v>-88.7</v>
          </cell>
          <cell r="X972" t="str">
            <v>Claims - gross</v>
          </cell>
          <cell r="Y972" t="str">
            <v>HONG KONG</v>
          </cell>
        </row>
        <row r="973">
          <cell r="L973" t="str">
            <v>Proportional</v>
          </cell>
          <cell r="S973">
            <v>-2474.34</v>
          </cell>
          <cell r="X973" t="str">
            <v>Claims - gross</v>
          </cell>
          <cell r="Y973" t="str">
            <v>Ireland</v>
          </cell>
        </row>
        <row r="974">
          <cell r="L974" t="str">
            <v>Proportional</v>
          </cell>
          <cell r="S974">
            <v>2644.07</v>
          </cell>
          <cell r="X974" t="str">
            <v>Claims - gross</v>
          </cell>
          <cell r="Y974" t="str">
            <v>HONG KONG</v>
          </cell>
        </row>
        <row r="975">
          <cell r="L975" t="str">
            <v>Non-proportional</v>
          </cell>
          <cell r="S975">
            <v>-66260.92</v>
          </cell>
          <cell r="X975" t="str">
            <v>Claims - gross</v>
          </cell>
          <cell r="Y975" t="str">
            <v>UNITED KINGDOM</v>
          </cell>
        </row>
        <row r="976">
          <cell r="L976" t="str">
            <v>Non-proportional</v>
          </cell>
          <cell r="S976">
            <v>6274.75</v>
          </cell>
          <cell r="X976" t="str">
            <v>Claims - gross</v>
          </cell>
          <cell r="Y976" t="str">
            <v>FRANCE</v>
          </cell>
        </row>
        <row r="977">
          <cell r="L977" t="str">
            <v>Proportional</v>
          </cell>
          <cell r="S977">
            <v>-76661.52</v>
          </cell>
          <cell r="X977" t="str">
            <v>Claims - gross</v>
          </cell>
          <cell r="Y977" t="str">
            <v>UNITED STATES</v>
          </cell>
        </row>
        <row r="978">
          <cell r="L978" t="str">
            <v>Non-proportional</v>
          </cell>
          <cell r="S978">
            <v>-58036.63</v>
          </cell>
          <cell r="X978" t="str">
            <v>Claims - gross</v>
          </cell>
          <cell r="Y978" t="str">
            <v>UNITED KINGDOM</v>
          </cell>
        </row>
        <row r="979">
          <cell r="L979" t="str">
            <v>Non-proportional</v>
          </cell>
          <cell r="S979">
            <v>-24392.51</v>
          </cell>
          <cell r="X979" t="str">
            <v>Claims - gross</v>
          </cell>
          <cell r="Y979" t="str">
            <v>SWEDEN</v>
          </cell>
        </row>
        <row r="980">
          <cell r="L980" t="str">
            <v>Proportional</v>
          </cell>
          <cell r="S980">
            <v>-515.28</v>
          </cell>
          <cell r="X980" t="str">
            <v>Claims - gross</v>
          </cell>
          <cell r="Y980" t="str">
            <v>MALAYSIA</v>
          </cell>
        </row>
        <row r="981">
          <cell r="L981" t="str">
            <v>Non-proportional</v>
          </cell>
          <cell r="S981">
            <v>-374408.66</v>
          </cell>
          <cell r="X981" t="str">
            <v>Claims - gross</v>
          </cell>
          <cell r="Y981" t="str">
            <v>United kingdom</v>
          </cell>
        </row>
        <row r="982">
          <cell r="L982" t="str">
            <v>Proportional</v>
          </cell>
          <cell r="S982">
            <v>9.26</v>
          </cell>
          <cell r="X982" t="str">
            <v>Claims - gross</v>
          </cell>
          <cell r="Y982" t="str">
            <v>UNITED STATES</v>
          </cell>
        </row>
        <row r="983">
          <cell r="L983" t="str">
            <v>Proportional</v>
          </cell>
          <cell r="S983">
            <v>-694.62</v>
          </cell>
          <cell r="X983" t="str">
            <v>Claims - gross</v>
          </cell>
          <cell r="Y983" t="str">
            <v>JAPAN</v>
          </cell>
        </row>
        <row r="984">
          <cell r="L984" t="str">
            <v>Proportional</v>
          </cell>
          <cell r="S984">
            <v>150536.6</v>
          </cell>
          <cell r="X984" t="str">
            <v>Claims - gross</v>
          </cell>
          <cell r="Y984" t="str">
            <v>JAPAN</v>
          </cell>
        </row>
        <row r="985">
          <cell r="L985" t="str">
            <v>Proportional</v>
          </cell>
          <cell r="S985">
            <v>44985.43</v>
          </cell>
          <cell r="X985" t="str">
            <v>Claims - gross</v>
          </cell>
          <cell r="Y985" t="str">
            <v>HONG KONG</v>
          </cell>
        </row>
        <row r="986">
          <cell r="L986" t="str">
            <v>Non-proportional</v>
          </cell>
          <cell r="S986">
            <v>1330.78</v>
          </cell>
          <cell r="X986" t="str">
            <v>Claims - gross</v>
          </cell>
          <cell r="Y986" t="str">
            <v>UNITED KINGDOM</v>
          </cell>
        </row>
        <row r="987">
          <cell r="L987" t="str">
            <v>Non-proportional</v>
          </cell>
          <cell r="S987">
            <v>143372.4</v>
          </cell>
          <cell r="X987" t="str">
            <v>Claims - gross</v>
          </cell>
          <cell r="Y987" t="str">
            <v>UNITED KINGDOM</v>
          </cell>
        </row>
        <row r="988">
          <cell r="L988" t="str">
            <v>Non-proportional</v>
          </cell>
          <cell r="S988">
            <v>1499.88</v>
          </cell>
          <cell r="X988" t="str">
            <v>Claims - gross</v>
          </cell>
          <cell r="Y988" t="str">
            <v>Portugal</v>
          </cell>
        </row>
        <row r="989">
          <cell r="L989" t="str">
            <v>Proportional</v>
          </cell>
          <cell r="S989">
            <v>-3635.74</v>
          </cell>
          <cell r="X989" t="str">
            <v>Claims - gross</v>
          </cell>
          <cell r="Y989" t="str">
            <v>Malaysia</v>
          </cell>
        </row>
        <row r="990">
          <cell r="L990" t="str">
            <v>Proportional</v>
          </cell>
          <cell r="S990">
            <v>990.05</v>
          </cell>
          <cell r="X990" t="str">
            <v>Claims - gross</v>
          </cell>
          <cell r="Y990" t="str">
            <v>JAPAN</v>
          </cell>
        </row>
        <row r="991">
          <cell r="L991" t="str">
            <v>Non-proportional</v>
          </cell>
          <cell r="S991">
            <v>-256834.5</v>
          </cell>
          <cell r="X991" t="str">
            <v>Claims - gross</v>
          </cell>
          <cell r="Y991" t="str">
            <v>TURKEY</v>
          </cell>
        </row>
        <row r="992">
          <cell r="L992" t="str">
            <v>Non-proportional</v>
          </cell>
          <cell r="S992">
            <v>358431</v>
          </cell>
          <cell r="X992" t="str">
            <v>Claims - gross</v>
          </cell>
          <cell r="Y992" t="str">
            <v>UNITED KINGDOM</v>
          </cell>
        </row>
        <row r="993">
          <cell r="L993" t="str">
            <v>Non-proportional</v>
          </cell>
          <cell r="S993">
            <v>-14160.9</v>
          </cell>
          <cell r="X993" t="str">
            <v>Claims - gross</v>
          </cell>
          <cell r="Y993" t="str">
            <v>UNITED KINGDOM</v>
          </cell>
        </row>
        <row r="994">
          <cell r="L994" t="str">
            <v>Non-proportional</v>
          </cell>
          <cell r="S994">
            <v>25209.98</v>
          </cell>
          <cell r="X994" t="str">
            <v>Claims - gross</v>
          </cell>
          <cell r="Y994" t="str">
            <v>FRANCE</v>
          </cell>
        </row>
        <row r="995">
          <cell r="L995" t="str">
            <v>Proportional</v>
          </cell>
          <cell r="S995">
            <v>-102515.18</v>
          </cell>
          <cell r="X995" t="str">
            <v>Claims - gross</v>
          </cell>
          <cell r="Y995" t="str">
            <v>UNITED STATES</v>
          </cell>
        </row>
        <row r="996">
          <cell r="L996" t="str">
            <v>Non-proportional</v>
          </cell>
          <cell r="S996">
            <v>-8134.31</v>
          </cell>
          <cell r="X996" t="str">
            <v>Claims - gross</v>
          </cell>
          <cell r="Y996" t="str">
            <v>ICELAND</v>
          </cell>
        </row>
        <row r="997">
          <cell r="L997" t="str">
            <v>Non-proportional</v>
          </cell>
          <cell r="S997">
            <v>-66819.11</v>
          </cell>
          <cell r="X997" t="str">
            <v>Claims - gross</v>
          </cell>
          <cell r="Y997" t="str">
            <v>UNITED KINGDOM</v>
          </cell>
        </row>
        <row r="998">
          <cell r="L998" t="str">
            <v>Non-proportional</v>
          </cell>
          <cell r="S998">
            <v>-476502.04</v>
          </cell>
          <cell r="X998" t="str">
            <v>Claims - gross</v>
          </cell>
          <cell r="Y998" t="str">
            <v>UNITED KINGDOM</v>
          </cell>
        </row>
        <row r="999">
          <cell r="L999" t="str">
            <v>Proportional</v>
          </cell>
          <cell r="S999">
            <v>-4509.8900000000003</v>
          </cell>
          <cell r="X999" t="str">
            <v>Claims - gross</v>
          </cell>
          <cell r="Y999" t="str">
            <v>UNITED STATES</v>
          </cell>
        </row>
        <row r="1000">
          <cell r="L1000" t="str">
            <v>Non-proportional</v>
          </cell>
          <cell r="S1000">
            <v>19780.2</v>
          </cell>
          <cell r="X1000" t="str">
            <v>Claims - gross</v>
          </cell>
          <cell r="Y1000" t="str">
            <v>POLAND</v>
          </cell>
        </row>
        <row r="1001">
          <cell r="L1001" t="str">
            <v>Non-proportional</v>
          </cell>
          <cell r="S1001">
            <v>-1016720.12</v>
          </cell>
          <cell r="X1001" t="str">
            <v>Claims - gross</v>
          </cell>
          <cell r="Y1001" t="str">
            <v>United kingdom</v>
          </cell>
        </row>
        <row r="1002">
          <cell r="L1002" t="str">
            <v>Non-proportional</v>
          </cell>
          <cell r="S1002">
            <v>-346483.3</v>
          </cell>
          <cell r="X1002" t="str">
            <v>Claims - gross</v>
          </cell>
          <cell r="Y1002" t="str">
            <v>United kingdom</v>
          </cell>
        </row>
        <row r="1003">
          <cell r="L1003" t="str">
            <v>Non-proportional</v>
          </cell>
          <cell r="S1003">
            <v>7863.7</v>
          </cell>
          <cell r="X1003" t="str">
            <v>Claims - gross</v>
          </cell>
          <cell r="Y1003" t="str">
            <v>POLAND</v>
          </cell>
        </row>
        <row r="1004">
          <cell r="L1004" t="str">
            <v>Non-proportional</v>
          </cell>
          <cell r="S1004">
            <v>-106967.44</v>
          </cell>
          <cell r="X1004" t="str">
            <v>Claims - gross</v>
          </cell>
          <cell r="Y1004" t="str">
            <v>United kingdom</v>
          </cell>
        </row>
        <row r="1005">
          <cell r="L1005" t="str">
            <v>Non-proportional</v>
          </cell>
          <cell r="S1005">
            <v>-29249.4</v>
          </cell>
          <cell r="X1005" t="str">
            <v>Claims - gross</v>
          </cell>
          <cell r="Y1005" t="str">
            <v>UNITED KINGDOM</v>
          </cell>
        </row>
        <row r="1006">
          <cell r="L1006" t="str">
            <v>Non-proportional</v>
          </cell>
          <cell r="S1006">
            <v>-806469.75</v>
          </cell>
          <cell r="X1006" t="str">
            <v>Claims - gross</v>
          </cell>
          <cell r="Y1006" t="str">
            <v>United kingdom</v>
          </cell>
        </row>
        <row r="1007">
          <cell r="L1007" t="str">
            <v>Proportional</v>
          </cell>
          <cell r="S1007">
            <v>83018.25</v>
          </cell>
          <cell r="X1007" t="str">
            <v>Claims - gross</v>
          </cell>
          <cell r="Y1007" t="str">
            <v>CANADA</v>
          </cell>
        </row>
        <row r="1008">
          <cell r="L1008" t="str">
            <v>Non-proportional</v>
          </cell>
          <cell r="S1008">
            <v>77894.38</v>
          </cell>
          <cell r="X1008" t="str">
            <v>Claims - gross</v>
          </cell>
          <cell r="Y1008" t="str">
            <v>UNITED KINGDOM</v>
          </cell>
        </row>
        <row r="1009">
          <cell r="L1009" t="str">
            <v>Proportional</v>
          </cell>
          <cell r="S1009">
            <v>-9.26</v>
          </cell>
          <cell r="X1009" t="str">
            <v>Claims - gross</v>
          </cell>
          <cell r="Y1009" t="str">
            <v>UNITED STATES</v>
          </cell>
        </row>
        <row r="1010">
          <cell r="L1010" t="str">
            <v>Non-proportional</v>
          </cell>
          <cell r="S1010">
            <v>23587.63</v>
          </cell>
          <cell r="X1010" t="str">
            <v>Claims - gross</v>
          </cell>
          <cell r="Y1010" t="str">
            <v>UNITED KINGDOM</v>
          </cell>
        </row>
        <row r="1011">
          <cell r="L1011" t="str">
            <v>Non-proportional</v>
          </cell>
          <cell r="S1011">
            <v>277554.49</v>
          </cell>
          <cell r="X1011" t="str">
            <v>Claims - gross</v>
          </cell>
          <cell r="Y1011" t="str">
            <v>UNITED KINGDOM</v>
          </cell>
        </row>
        <row r="1012">
          <cell r="L1012" t="str">
            <v>Non-proportional</v>
          </cell>
          <cell r="S1012">
            <v>-247967.73</v>
          </cell>
          <cell r="X1012" t="str">
            <v>Claims - gross</v>
          </cell>
          <cell r="Y1012" t="str">
            <v>UNITED KINGDOM</v>
          </cell>
        </row>
        <row r="1013">
          <cell r="L1013" t="str">
            <v>Non-proportional</v>
          </cell>
          <cell r="S1013">
            <v>-160435.63</v>
          </cell>
          <cell r="X1013" t="str">
            <v>Claims - gross</v>
          </cell>
          <cell r="Y1013" t="str">
            <v>UNITED KINGDOM</v>
          </cell>
        </row>
        <row r="1014">
          <cell r="L1014" t="str">
            <v>Non-proportional</v>
          </cell>
          <cell r="S1014">
            <v>111024</v>
          </cell>
          <cell r="X1014" t="str">
            <v>Claims - gross</v>
          </cell>
          <cell r="Y1014" t="str">
            <v>UNITED KINGDOM</v>
          </cell>
        </row>
        <row r="1015">
          <cell r="L1015" t="str">
            <v>Non-proportional</v>
          </cell>
          <cell r="S1015">
            <v>116164.29</v>
          </cell>
          <cell r="X1015" t="str">
            <v>Claims - gross</v>
          </cell>
          <cell r="Y1015" t="str">
            <v>UNITED KINGDOM</v>
          </cell>
        </row>
        <row r="1016">
          <cell r="L1016" t="str">
            <v>Non-proportional</v>
          </cell>
          <cell r="S1016">
            <v>12041.9</v>
          </cell>
          <cell r="X1016" t="str">
            <v>Claims - gross</v>
          </cell>
          <cell r="Y1016" t="str">
            <v>UNITED KINGDOM</v>
          </cell>
        </row>
        <row r="1017">
          <cell r="L1017" t="str">
            <v>Proportional</v>
          </cell>
          <cell r="S1017">
            <v>-1025.46</v>
          </cell>
          <cell r="X1017" t="str">
            <v>Claims - gross</v>
          </cell>
          <cell r="Y1017" t="str">
            <v>Hong Kong</v>
          </cell>
        </row>
        <row r="1018">
          <cell r="L1018" t="str">
            <v>Proportional</v>
          </cell>
          <cell r="S1018">
            <v>-70.95</v>
          </cell>
          <cell r="X1018" t="str">
            <v>Claims - gross</v>
          </cell>
          <cell r="Y1018" t="str">
            <v>HONG KONG</v>
          </cell>
        </row>
        <row r="1019">
          <cell r="L1019" t="str">
            <v>Proportional</v>
          </cell>
          <cell r="S1019">
            <v>1269.58</v>
          </cell>
          <cell r="X1019" t="str">
            <v>Claims - gross</v>
          </cell>
          <cell r="Y1019" t="str">
            <v>Hong Kong</v>
          </cell>
        </row>
        <row r="1020">
          <cell r="L1020" t="str">
            <v>Non-proportional</v>
          </cell>
          <cell r="S1020">
            <v>8534.41</v>
          </cell>
          <cell r="X1020" t="str">
            <v>Claims - gross</v>
          </cell>
          <cell r="Y1020" t="str">
            <v>SWEDEN</v>
          </cell>
        </row>
        <row r="1021">
          <cell r="L1021" t="str">
            <v>Non-proportional</v>
          </cell>
          <cell r="S1021">
            <v>43631.09</v>
          </cell>
          <cell r="X1021" t="str">
            <v>Claims - gross</v>
          </cell>
          <cell r="Y1021" t="str">
            <v>UNITED KINGDOM</v>
          </cell>
        </row>
        <row r="1022">
          <cell r="L1022" t="str">
            <v>Non-proportional</v>
          </cell>
          <cell r="S1022">
            <v>239084.09</v>
          </cell>
          <cell r="X1022" t="str">
            <v>Claims - gross</v>
          </cell>
          <cell r="Y1022" t="str">
            <v>UNITED KINGDOM</v>
          </cell>
        </row>
        <row r="1023">
          <cell r="L1023" t="str">
            <v>Non-proportional</v>
          </cell>
          <cell r="S1023">
            <v>-15.71</v>
          </cell>
          <cell r="X1023" t="str">
            <v>Claims - gross</v>
          </cell>
          <cell r="Y1023" t="str">
            <v>UNITED KINGDOM</v>
          </cell>
        </row>
        <row r="1024">
          <cell r="L1024" t="str">
            <v>Non-proportional</v>
          </cell>
          <cell r="S1024">
            <v>126424.5</v>
          </cell>
          <cell r="X1024" t="str">
            <v>Claims - gross</v>
          </cell>
          <cell r="Y1024" t="str">
            <v>Belgium</v>
          </cell>
        </row>
        <row r="1025">
          <cell r="L1025" t="str">
            <v>Proportional</v>
          </cell>
          <cell r="S1025">
            <v>4509.8900000000003</v>
          </cell>
          <cell r="X1025" t="str">
            <v>Claims - gross</v>
          </cell>
          <cell r="Y1025" t="str">
            <v>UNITED STATES</v>
          </cell>
        </row>
        <row r="1026">
          <cell r="L1026" t="str">
            <v>Non-proportional</v>
          </cell>
          <cell r="S1026">
            <v>228194.02</v>
          </cell>
          <cell r="X1026" t="str">
            <v>Claims - gross</v>
          </cell>
          <cell r="Y1026" t="str">
            <v>UNITED KINGDOM</v>
          </cell>
        </row>
        <row r="1027">
          <cell r="L1027" t="str">
            <v>Non-proportional</v>
          </cell>
          <cell r="S1027">
            <v>-1706471.4</v>
          </cell>
          <cell r="X1027" t="str">
            <v>Claims - gross</v>
          </cell>
          <cell r="Y1027" t="str">
            <v>United kingdom</v>
          </cell>
        </row>
        <row r="1028">
          <cell r="L1028" t="str">
            <v>Non-proportional</v>
          </cell>
          <cell r="S1028">
            <v>65156.87</v>
          </cell>
          <cell r="X1028" t="str">
            <v>Claims - gross</v>
          </cell>
          <cell r="Y1028" t="str">
            <v>United kingdom</v>
          </cell>
        </row>
        <row r="1029">
          <cell r="L1029" t="str">
            <v>Non-proportional</v>
          </cell>
          <cell r="S1029">
            <v>64989.67</v>
          </cell>
          <cell r="X1029" t="str">
            <v>Claims - gross</v>
          </cell>
          <cell r="Y1029" t="str">
            <v>BELGIUM</v>
          </cell>
        </row>
        <row r="1030">
          <cell r="L1030" t="str">
            <v>Proportional</v>
          </cell>
          <cell r="S1030">
            <v>-55625.93</v>
          </cell>
          <cell r="X1030" t="str">
            <v>Claims - gross</v>
          </cell>
          <cell r="Y1030" t="str">
            <v>Hong Kong</v>
          </cell>
        </row>
        <row r="1031">
          <cell r="L1031" t="str">
            <v>Non-proportional</v>
          </cell>
          <cell r="S1031">
            <v>75897.759999999995</v>
          </cell>
          <cell r="X1031" t="str">
            <v>Claims - gross</v>
          </cell>
          <cell r="Y1031" t="str">
            <v>UNITED KINGDOM</v>
          </cell>
        </row>
        <row r="1032">
          <cell r="L1032" t="str">
            <v>Non-proportional</v>
          </cell>
          <cell r="S1032">
            <v>98568.53</v>
          </cell>
          <cell r="X1032" t="str">
            <v>Claims - gross</v>
          </cell>
          <cell r="Y1032" t="str">
            <v>UNITED KINGDOM</v>
          </cell>
        </row>
        <row r="1033">
          <cell r="L1033" t="str">
            <v>Non-proportional</v>
          </cell>
          <cell r="S1033">
            <v>-1944398.82</v>
          </cell>
          <cell r="X1033" t="str">
            <v>Claims - gross</v>
          </cell>
          <cell r="Y1033" t="str">
            <v>United kingdom</v>
          </cell>
        </row>
        <row r="1034">
          <cell r="L1034" t="str">
            <v>Non-proportional</v>
          </cell>
          <cell r="S1034">
            <v>-7949.56</v>
          </cell>
          <cell r="X1034" t="str">
            <v>Claims - gross</v>
          </cell>
          <cell r="Y1034" t="str">
            <v>CZECH REPUBLIC</v>
          </cell>
        </row>
        <row r="1035">
          <cell r="L1035" t="str">
            <v>Proportional</v>
          </cell>
          <cell r="S1035">
            <v>8484.2999999999993</v>
          </cell>
          <cell r="X1035" t="str">
            <v>Claims - gross</v>
          </cell>
          <cell r="Y1035" t="str">
            <v>HONG KONG</v>
          </cell>
        </row>
        <row r="1036">
          <cell r="L1036" t="str">
            <v>Non-proportional</v>
          </cell>
          <cell r="S1036">
            <v>-32549.200000000001</v>
          </cell>
          <cell r="X1036" t="str">
            <v>Claims - gross</v>
          </cell>
          <cell r="Y1036" t="str">
            <v>SWEDEN</v>
          </cell>
        </row>
        <row r="1037">
          <cell r="L1037" t="str">
            <v>Proportional</v>
          </cell>
          <cell r="S1037">
            <v>-119089.29</v>
          </cell>
          <cell r="X1037" t="str">
            <v>Claims - gross</v>
          </cell>
          <cell r="Y1037" t="str">
            <v>JAPAN</v>
          </cell>
        </row>
        <row r="1038">
          <cell r="L1038" t="str">
            <v>Non-proportional</v>
          </cell>
          <cell r="S1038">
            <v>-68118.95</v>
          </cell>
          <cell r="X1038" t="str">
            <v>Claims - gross</v>
          </cell>
          <cell r="Y1038" t="str">
            <v>UNITED KINGDOM</v>
          </cell>
        </row>
        <row r="1039">
          <cell r="L1039" t="str">
            <v>Non-proportional</v>
          </cell>
          <cell r="S1039">
            <v>3888.13</v>
          </cell>
          <cell r="X1039" t="str">
            <v>Claims - gross</v>
          </cell>
          <cell r="Y1039" t="str">
            <v>AUSTRALIA</v>
          </cell>
        </row>
        <row r="1040">
          <cell r="L1040" t="str">
            <v>Non-proportional</v>
          </cell>
          <cell r="S1040">
            <v>-76737.850000000006</v>
          </cell>
          <cell r="X1040" t="str">
            <v>Claims - gross</v>
          </cell>
          <cell r="Y1040" t="str">
            <v>United kingdom</v>
          </cell>
        </row>
        <row r="1041">
          <cell r="L1041" t="str">
            <v>Proportional</v>
          </cell>
          <cell r="S1041">
            <v>-14033.35</v>
          </cell>
          <cell r="X1041" t="str">
            <v>Claims - gross</v>
          </cell>
          <cell r="Y1041" t="str">
            <v>Ireland</v>
          </cell>
        </row>
        <row r="1042">
          <cell r="L1042" t="str">
            <v>Non-proportional</v>
          </cell>
          <cell r="S1042">
            <v>132.43</v>
          </cell>
          <cell r="X1042" t="str">
            <v>Claims - gross</v>
          </cell>
          <cell r="Y1042" t="str">
            <v>UNITED KINGDOM</v>
          </cell>
        </row>
        <row r="1043">
          <cell r="L1043" t="str">
            <v>Non-proportional</v>
          </cell>
          <cell r="S1043">
            <v>-4849.01</v>
          </cell>
          <cell r="X1043" t="str">
            <v>Claims - gross</v>
          </cell>
          <cell r="Y1043" t="str">
            <v>Malaysia</v>
          </cell>
        </row>
        <row r="1044">
          <cell r="L1044" t="str">
            <v>Proportional</v>
          </cell>
          <cell r="S1044">
            <v>-6643.49</v>
          </cell>
          <cell r="X1044" t="str">
            <v>Claims - gross</v>
          </cell>
          <cell r="Y1044" t="str">
            <v>Turkey</v>
          </cell>
        </row>
        <row r="1045">
          <cell r="L1045" t="str">
            <v>Proportional</v>
          </cell>
          <cell r="S1045">
            <v>14482.47</v>
          </cell>
          <cell r="X1045" t="str">
            <v>Claims - gross</v>
          </cell>
          <cell r="Y1045" t="str">
            <v>Turkey</v>
          </cell>
        </row>
        <row r="1046">
          <cell r="L1046" t="str">
            <v>Non-proportional</v>
          </cell>
          <cell r="S1046">
            <v>1274.56</v>
          </cell>
          <cell r="X1046" t="str">
            <v>Claims - gross</v>
          </cell>
          <cell r="Y1046" t="str">
            <v>GERMANY</v>
          </cell>
        </row>
        <row r="1047">
          <cell r="L1047" t="str">
            <v>Non-proportional</v>
          </cell>
          <cell r="S1047">
            <v>8072.32</v>
          </cell>
          <cell r="X1047" t="str">
            <v>Claims - gross</v>
          </cell>
          <cell r="Y1047" t="str">
            <v>SLOVENIA</v>
          </cell>
        </row>
        <row r="1048">
          <cell r="L1048" t="str">
            <v>Proportional</v>
          </cell>
          <cell r="S1048">
            <v>16990.55</v>
          </cell>
          <cell r="X1048" t="str">
            <v>Claims - gross</v>
          </cell>
          <cell r="Y1048" t="str">
            <v>AUSTRIA</v>
          </cell>
        </row>
        <row r="1049">
          <cell r="L1049" t="str">
            <v>Proportional</v>
          </cell>
          <cell r="S1049">
            <v>844.01</v>
          </cell>
          <cell r="X1049" t="str">
            <v>Claims - gross</v>
          </cell>
          <cell r="Y1049" t="str">
            <v>Turkey</v>
          </cell>
        </row>
        <row r="1050">
          <cell r="L1050" t="str">
            <v>Non-proportional</v>
          </cell>
          <cell r="S1050">
            <v>-500057.25</v>
          </cell>
          <cell r="X1050" t="str">
            <v>Claims - gross</v>
          </cell>
          <cell r="Y1050" t="str">
            <v>United kingdom</v>
          </cell>
        </row>
        <row r="1051">
          <cell r="L1051" t="str">
            <v>Proportional</v>
          </cell>
          <cell r="S1051">
            <v>-18590.86</v>
          </cell>
          <cell r="X1051" t="str">
            <v>Claims - gross</v>
          </cell>
          <cell r="Y1051" t="str">
            <v>TURKEY</v>
          </cell>
        </row>
        <row r="1052">
          <cell r="L1052" t="str">
            <v>Proportional</v>
          </cell>
          <cell r="S1052">
            <v>-21.29</v>
          </cell>
          <cell r="X1052" t="str">
            <v>Claims - gross</v>
          </cell>
          <cell r="Y1052" t="str">
            <v>Turkey</v>
          </cell>
        </row>
        <row r="1053">
          <cell r="L1053" t="str">
            <v>Non-proportional</v>
          </cell>
          <cell r="S1053">
            <v>16850.45</v>
          </cell>
          <cell r="X1053" t="str">
            <v>Claims - gross</v>
          </cell>
          <cell r="Y1053" t="str">
            <v>UNITED KINGDOM</v>
          </cell>
        </row>
        <row r="1054">
          <cell r="L1054" t="str">
            <v>Non-proportional</v>
          </cell>
          <cell r="S1054">
            <v>1578000.18</v>
          </cell>
          <cell r="X1054" t="str">
            <v>Claims - gross</v>
          </cell>
          <cell r="Y1054" t="str">
            <v>UNITED KINGDOM</v>
          </cell>
        </row>
        <row r="1055">
          <cell r="L1055" t="str">
            <v>Non-proportional</v>
          </cell>
          <cell r="S1055">
            <v>-71988.350000000006</v>
          </cell>
          <cell r="X1055" t="str">
            <v>Claims - gross</v>
          </cell>
          <cell r="Y1055" t="str">
            <v>JAPAN</v>
          </cell>
        </row>
        <row r="1056">
          <cell r="L1056" t="str">
            <v>Proportional</v>
          </cell>
          <cell r="S1056">
            <v>-2101.6799999999998</v>
          </cell>
          <cell r="X1056" t="str">
            <v>Claims - gross</v>
          </cell>
          <cell r="Y1056" t="str">
            <v>Turkey</v>
          </cell>
        </row>
        <row r="1057">
          <cell r="L1057" t="str">
            <v>Non-proportional</v>
          </cell>
          <cell r="S1057">
            <v>28116.400000000001</v>
          </cell>
          <cell r="X1057" t="str">
            <v>Claims - gross</v>
          </cell>
          <cell r="Y1057" t="str">
            <v>TURKEY</v>
          </cell>
        </row>
        <row r="1058">
          <cell r="L1058" t="str">
            <v>Non-proportional</v>
          </cell>
          <cell r="S1058">
            <v>-1151.6500000000001</v>
          </cell>
          <cell r="X1058" t="str">
            <v>Claims - gross</v>
          </cell>
          <cell r="Y1058" t="str">
            <v>UNITED KINGDOM</v>
          </cell>
        </row>
        <row r="1059">
          <cell r="L1059" t="str">
            <v>Non-proportional</v>
          </cell>
          <cell r="S1059">
            <v>32692.67</v>
          </cell>
          <cell r="X1059" t="str">
            <v>Claims - gross</v>
          </cell>
          <cell r="Y1059" t="str">
            <v>CZECH REPUBLIC</v>
          </cell>
        </row>
        <row r="1060">
          <cell r="L1060" t="str">
            <v>Non-proportional</v>
          </cell>
          <cell r="S1060">
            <v>-55966.78</v>
          </cell>
          <cell r="X1060" t="str">
            <v>Claims - gross</v>
          </cell>
          <cell r="Y1060" t="str">
            <v>CZECH REPUBLIC</v>
          </cell>
        </row>
        <row r="1061">
          <cell r="L1061" t="str">
            <v>Non-proportional</v>
          </cell>
          <cell r="S1061">
            <v>329355.89</v>
          </cell>
          <cell r="X1061" t="str">
            <v>Claims - gross</v>
          </cell>
          <cell r="Y1061" t="str">
            <v>United kingdom</v>
          </cell>
        </row>
        <row r="1062">
          <cell r="L1062" t="str">
            <v>Proportional</v>
          </cell>
          <cell r="S1062">
            <v>43317.37</v>
          </cell>
          <cell r="X1062" t="str">
            <v>Claims - gross</v>
          </cell>
          <cell r="Y1062" t="str">
            <v>Portugal</v>
          </cell>
        </row>
        <row r="1063">
          <cell r="L1063" t="str">
            <v>Non-proportional</v>
          </cell>
          <cell r="S1063">
            <v>15</v>
          </cell>
          <cell r="X1063" t="str">
            <v>Claims - gross</v>
          </cell>
          <cell r="Y1063" t="str">
            <v>ITALY</v>
          </cell>
        </row>
        <row r="1064">
          <cell r="L1064" t="str">
            <v>Non-proportional</v>
          </cell>
          <cell r="S1064">
            <v>1442.96</v>
          </cell>
          <cell r="X1064" t="str">
            <v>Claims - gross</v>
          </cell>
          <cell r="Y1064" t="str">
            <v>GERMANY</v>
          </cell>
        </row>
        <row r="1065">
          <cell r="L1065" t="str">
            <v>Non-proportional</v>
          </cell>
          <cell r="S1065">
            <v>89000</v>
          </cell>
          <cell r="X1065" t="str">
            <v>Claims - gross</v>
          </cell>
          <cell r="Y1065" t="str">
            <v>EUROPE</v>
          </cell>
        </row>
        <row r="1066">
          <cell r="L1066" t="str">
            <v>Proportional</v>
          </cell>
          <cell r="S1066">
            <v>-760.96</v>
          </cell>
          <cell r="X1066" t="str">
            <v>Claims - gross</v>
          </cell>
          <cell r="Y1066" t="str">
            <v>Turkey</v>
          </cell>
        </row>
        <row r="1067">
          <cell r="L1067" t="str">
            <v>Non-proportional</v>
          </cell>
          <cell r="S1067">
            <v>-10185.68</v>
          </cell>
          <cell r="X1067" t="str">
            <v>Claims - gross</v>
          </cell>
          <cell r="Y1067" t="str">
            <v>GERMANY</v>
          </cell>
        </row>
        <row r="1068">
          <cell r="L1068" t="str">
            <v>Proportional</v>
          </cell>
          <cell r="S1068">
            <v>116492.7</v>
          </cell>
          <cell r="X1068" t="str">
            <v>Claims - gross</v>
          </cell>
          <cell r="Y1068" t="str">
            <v>MEXICO</v>
          </cell>
        </row>
        <row r="1069">
          <cell r="L1069"/>
          <cell r="S1069">
            <v>262.82</v>
          </cell>
          <cell r="X1069" t="str">
            <v>Claims - gross</v>
          </cell>
          <cell r="Y1069" t="str">
            <v>PORTUGAL</v>
          </cell>
        </row>
        <row r="1070">
          <cell r="L1070" t="str">
            <v>Non-proportional</v>
          </cell>
          <cell r="S1070">
            <v>-208508.72</v>
          </cell>
          <cell r="X1070" t="str">
            <v>Claims - gross</v>
          </cell>
          <cell r="Y1070" t="str">
            <v>UNITED KINGDOM</v>
          </cell>
        </row>
        <row r="1071">
          <cell r="L1071" t="str">
            <v>Non-proportional</v>
          </cell>
          <cell r="S1071">
            <v>46848.06</v>
          </cell>
          <cell r="X1071" t="str">
            <v>Claims - gross</v>
          </cell>
          <cell r="Y1071" t="str">
            <v>GERMANY</v>
          </cell>
        </row>
        <row r="1072">
          <cell r="L1072" t="str">
            <v>Proportional</v>
          </cell>
          <cell r="S1072">
            <v>249514.6</v>
          </cell>
          <cell r="X1072" t="str">
            <v>Claims - gross</v>
          </cell>
          <cell r="Y1072" t="str">
            <v>HONG KONG</v>
          </cell>
        </row>
        <row r="1073">
          <cell r="L1073" t="str">
            <v>Proportional</v>
          </cell>
          <cell r="S1073">
            <v>-384.64</v>
          </cell>
          <cell r="X1073" t="str">
            <v>Claims - gross</v>
          </cell>
          <cell r="Y1073" t="str">
            <v>TURKEY</v>
          </cell>
        </row>
        <row r="1074">
          <cell r="L1074" t="str">
            <v>Proportional</v>
          </cell>
          <cell r="S1074">
            <v>-8574814.0800000001</v>
          </cell>
          <cell r="X1074" t="str">
            <v>Claims - gross</v>
          </cell>
          <cell r="Y1074" t="str">
            <v>PORTUGAL</v>
          </cell>
        </row>
        <row r="1075">
          <cell r="L1075"/>
          <cell r="S1075">
            <v>3752.65</v>
          </cell>
          <cell r="X1075" t="str">
            <v>Claims - gross</v>
          </cell>
          <cell r="Y1075" t="str">
            <v>PORTUGAL</v>
          </cell>
        </row>
        <row r="1076">
          <cell r="L1076"/>
          <cell r="S1076">
            <v>-2207.06</v>
          </cell>
          <cell r="X1076" t="str">
            <v>Claims - gross</v>
          </cell>
          <cell r="Y1076" t="str">
            <v>PORTUGAL</v>
          </cell>
        </row>
        <row r="1077">
          <cell r="L1077"/>
          <cell r="S1077">
            <v>-1004.61</v>
          </cell>
          <cell r="X1077" t="str">
            <v>Claims - gross</v>
          </cell>
          <cell r="Y1077" t="str">
            <v>PORTUGAL</v>
          </cell>
        </row>
        <row r="1078">
          <cell r="L1078" t="str">
            <v>Proportional</v>
          </cell>
          <cell r="S1078">
            <v>-7557.67</v>
          </cell>
          <cell r="X1078" t="str">
            <v>Claims - gross</v>
          </cell>
          <cell r="Y1078" t="str">
            <v>Turkey</v>
          </cell>
        </row>
        <row r="1079">
          <cell r="L1079" t="str">
            <v>Non-proportional</v>
          </cell>
          <cell r="S1079">
            <v>-73520.240000000005</v>
          </cell>
          <cell r="X1079" t="str">
            <v>Claims - gross</v>
          </cell>
          <cell r="Y1079" t="str">
            <v>SLOVENIA</v>
          </cell>
        </row>
        <row r="1080">
          <cell r="L1080" t="str">
            <v>Proportional</v>
          </cell>
          <cell r="S1080">
            <v>3794.53</v>
          </cell>
          <cell r="X1080" t="str">
            <v>Claims - gross</v>
          </cell>
          <cell r="Y1080" t="str">
            <v>Turkey</v>
          </cell>
        </row>
        <row r="1081">
          <cell r="L1081"/>
          <cell r="S1081">
            <v>-932.08</v>
          </cell>
          <cell r="X1081" t="str">
            <v>Claims - gross</v>
          </cell>
          <cell r="Y1081" t="str">
            <v>PORTUGAL</v>
          </cell>
        </row>
        <row r="1082">
          <cell r="L1082" t="str">
            <v>Non-proportional</v>
          </cell>
          <cell r="S1082">
            <v>-33788.67</v>
          </cell>
          <cell r="X1082" t="str">
            <v>Claims - gross</v>
          </cell>
          <cell r="Y1082" t="str">
            <v>UNITED KINGDOM</v>
          </cell>
        </row>
        <row r="1083">
          <cell r="L1083" t="str">
            <v>Non-proportional</v>
          </cell>
          <cell r="S1083">
            <v>-949545.38</v>
          </cell>
          <cell r="X1083" t="str">
            <v>Claims - gross</v>
          </cell>
          <cell r="Y1083" t="str">
            <v>AUSTRIA</v>
          </cell>
        </row>
        <row r="1084">
          <cell r="L1084" t="str">
            <v>Non-proportional</v>
          </cell>
          <cell r="S1084">
            <v>563354.51</v>
          </cell>
          <cell r="X1084" t="str">
            <v>Claims - gross</v>
          </cell>
          <cell r="Y1084" t="str">
            <v>BELGIUM</v>
          </cell>
        </row>
        <row r="1085">
          <cell r="L1085" t="str">
            <v>Proportional</v>
          </cell>
          <cell r="S1085">
            <v>42829.85</v>
          </cell>
          <cell r="X1085" t="str">
            <v>Claims - gross</v>
          </cell>
          <cell r="Y1085" t="str">
            <v>TURKEY</v>
          </cell>
        </row>
        <row r="1086">
          <cell r="L1086" t="str">
            <v>Proportional</v>
          </cell>
          <cell r="S1086">
            <v>122.6</v>
          </cell>
          <cell r="X1086" t="str">
            <v>Claims - gross</v>
          </cell>
          <cell r="Y1086" t="str">
            <v>Turkey</v>
          </cell>
        </row>
        <row r="1087">
          <cell r="L1087" t="str">
            <v>Non-proportional</v>
          </cell>
          <cell r="S1087">
            <v>-300262.03999999998</v>
          </cell>
          <cell r="X1087" t="str">
            <v>Claims - gross</v>
          </cell>
          <cell r="Y1087" t="str">
            <v>UNITED KINGDOM</v>
          </cell>
        </row>
        <row r="1088">
          <cell r="L1088" t="str">
            <v>Proportional</v>
          </cell>
          <cell r="S1088">
            <v>-68075.56</v>
          </cell>
          <cell r="X1088" t="str">
            <v>Claims - gross</v>
          </cell>
          <cell r="Y1088" t="str">
            <v>Turkey</v>
          </cell>
        </row>
        <row r="1089">
          <cell r="L1089" t="str">
            <v>Non-proportional</v>
          </cell>
          <cell r="S1089">
            <v>30898.81</v>
          </cell>
          <cell r="X1089" t="str">
            <v>Claims - gross</v>
          </cell>
          <cell r="Y1089" t="str">
            <v>UNITED KINGDOM</v>
          </cell>
        </row>
        <row r="1090">
          <cell r="L1090" t="str">
            <v>Non-proportional</v>
          </cell>
          <cell r="S1090">
            <v>174419.57</v>
          </cell>
          <cell r="X1090" t="str">
            <v>Claims - gross</v>
          </cell>
          <cell r="Y1090" t="str">
            <v>AUSTRIA</v>
          </cell>
        </row>
        <row r="1091">
          <cell r="L1091" t="str">
            <v>Proportional</v>
          </cell>
          <cell r="S1091">
            <v>185.53</v>
          </cell>
          <cell r="X1091" t="str">
            <v>Claims - gross</v>
          </cell>
          <cell r="Y1091" t="str">
            <v>Turkey</v>
          </cell>
        </row>
        <row r="1092">
          <cell r="L1092" t="str">
            <v>Non-proportional</v>
          </cell>
          <cell r="S1092">
            <v>60000</v>
          </cell>
          <cell r="X1092" t="str">
            <v>Claims - gross</v>
          </cell>
          <cell r="Y1092" t="str">
            <v>MEXICO</v>
          </cell>
        </row>
        <row r="1093">
          <cell r="L1093" t="str">
            <v>Non-proportional</v>
          </cell>
          <cell r="S1093">
            <v>145471.20000000001</v>
          </cell>
          <cell r="X1093" t="str">
            <v>Claims - gross</v>
          </cell>
          <cell r="Y1093" t="str">
            <v>UNITED KINGDOM</v>
          </cell>
        </row>
        <row r="1094">
          <cell r="L1094"/>
          <cell r="S1094">
            <v>-1321.8</v>
          </cell>
          <cell r="X1094" t="str">
            <v>Claims - gross</v>
          </cell>
          <cell r="Y1094" t="str">
            <v>PORTUGAL</v>
          </cell>
        </row>
        <row r="1095">
          <cell r="L1095" t="str">
            <v>Non-proportional</v>
          </cell>
          <cell r="S1095">
            <v>348839.14</v>
          </cell>
          <cell r="X1095" t="str">
            <v>Claims - gross</v>
          </cell>
          <cell r="Y1095" t="str">
            <v>AUSTRIA</v>
          </cell>
        </row>
        <row r="1096">
          <cell r="L1096" t="str">
            <v>Non-proportional</v>
          </cell>
          <cell r="S1096">
            <v>-53692.54</v>
          </cell>
          <cell r="X1096" t="str">
            <v>Claims - gross</v>
          </cell>
          <cell r="Y1096" t="str">
            <v>GERMANY</v>
          </cell>
        </row>
        <row r="1097">
          <cell r="L1097" t="str">
            <v>Non-proportional</v>
          </cell>
          <cell r="S1097">
            <v>606130</v>
          </cell>
          <cell r="X1097" t="str">
            <v>Claims - gross</v>
          </cell>
          <cell r="Y1097" t="str">
            <v>UNITED KINGDOM</v>
          </cell>
        </row>
        <row r="1098">
          <cell r="L1098" t="str">
            <v>Proportional</v>
          </cell>
          <cell r="S1098">
            <v>-42013.08</v>
          </cell>
          <cell r="X1098" t="str">
            <v>Claims - gross</v>
          </cell>
          <cell r="Y1098" t="str">
            <v>TURKEY</v>
          </cell>
        </row>
        <row r="1099">
          <cell r="L1099"/>
          <cell r="S1099">
            <v>-2236.66</v>
          </cell>
          <cell r="X1099" t="str">
            <v>Claims - gross</v>
          </cell>
          <cell r="Y1099" t="str">
            <v>PORTUGAL</v>
          </cell>
        </row>
        <row r="1100">
          <cell r="L1100" t="str">
            <v>Non-proportional</v>
          </cell>
          <cell r="S1100">
            <v>-388589.2</v>
          </cell>
          <cell r="X1100" t="str">
            <v>Claims - gross</v>
          </cell>
          <cell r="Y1100" t="str">
            <v>United kingdom</v>
          </cell>
        </row>
        <row r="1101">
          <cell r="L1101" t="str">
            <v>Proportional</v>
          </cell>
          <cell r="S1101">
            <v>-5309.3</v>
          </cell>
          <cell r="X1101" t="str">
            <v>Claims - gross</v>
          </cell>
          <cell r="Y1101" t="str">
            <v>Portugal</v>
          </cell>
        </row>
        <row r="1102">
          <cell r="L1102"/>
          <cell r="S1102">
            <v>-550</v>
          </cell>
          <cell r="X1102" t="str">
            <v>Claims - gross</v>
          </cell>
          <cell r="Y1102" t="str">
            <v>PORTUGAL</v>
          </cell>
        </row>
        <row r="1103">
          <cell r="L1103" t="str">
            <v>Proportional</v>
          </cell>
          <cell r="S1103">
            <v>116.13</v>
          </cell>
          <cell r="X1103" t="str">
            <v>Claims - gross</v>
          </cell>
          <cell r="Y1103" t="str">
            <v>Turkey</v>
          </cell>
        </row>
        <row r="1104">
          <cell r="L1104" t="str">
            <v>Proportional</v>
          </cell>
          <cell r="S1104">
            <v>-54201.34</v>
          </cell>
          <cell r="X1104" t="str">
            <v>Claims - gross</v>
          </cell>
          <cell r="Y1104" t="str">
            <v>Turkey</v>
          </cell>
        </row>
        <row r="1105">
          <cell r="L1105" t="str">
            <v>Non-proportional</v>
          </cell>
          <cell r="S1105">
            <v>102500</v>
          </cell>
          <cell r="X1105" t="str">
            <v>Claims - gross</v>
          </cell>
          <cell r="Y1105" t="str">
            <v>ITALY</v>
          </cell>
        </row>
        <row r="1106">
          <cell r="L1106" t="str">
            <v>Non-proportional</v>
          </cell>
          <cell r="S1106">
            <v>306.64999999999998</v>
          </cell>
          <cell r="X1106" t="str">
            <v>Claims - gross</v>
          </cell>
          <cell r="Y1106" t="str">
            <v>ITALY</v>
          </cell>
        </row>
        <row r="1107">
          <cell r="L1107" t="str">
            <v>Proportional</v>
          </cell>
          <cell r="S1107">
            <v>-112785.88</v>
          </cell>
          <cell r="X1107" t="str">
            <v>Claims - gross</v>
          </cell>
          <cell r="Y1107" t="str">
            <v>Ireland</v>
          </cell>
        </row>
        <row r="1108">
          <cell r="L1108" t="str">
            <v>Non-proportional</v>
          </cell>
          <cell r="S1108">
            <v>-5556.37</v>
          </cell>
          <cell r="X1108" t="str">
            <v>Claims - gross</v>
          </cell>
          <cell r="Y1108" t="str">
            <v>ICELAND</v>
          </cell>
        </row>
        <row r="1109">
          <cell r="L1109"/>
          <cell r="S1109">
            <v>3179.61</v>
          </cell>
          <cell r="X1109" t="str">
            <v>Claims - gross</v>
          </cell>
          <cell r="Y1109" t="str">
            <v>PORTUGAL</v>
          </cell>
        </row>
        <row r="1110">
          <cell r="L1110"/>
          <cell r="S1110">
            <v>499.77</v>
          </cell>
          <cell r="X1110" t="str">
            <v>Claims - gross</v>
          </cell>
          <cell r="Y1110" t="str">
            <v>PORTUGAL</v>
          </cell>
        </row>
        <row r="1111">
          <cell r="L1111" t="str">
            <v>Non-proportional</v>
          </cell>
          <cell r="S1111">
            <v>474772.69</v>
          </cell>
          <cell r="X1111" t="str">
            <v>Claims - gross</v>
          </cell>
          <cell r="Y1111" t="str">
            <v>AUSTRIA</v>
          </cell>
        </row>
        <row r="1112">
          <cell r="L1112" t="str">
            <v>Proportional</v>
          </cell>
          <cell r="S1112">
            <v>-6686.05</v>
          </cell>
          <cell r="X1112" t="str">
            <v>Claims - gross</v>
          </cell>
          <cell r="Y1112" t="str">
            <v>Turkey</v>
          </cell>
        </row>
        <row r="1113">
          <cell r="L1113" t="str">
            <v>Non-proportional</v>
          </cell>
          <cell r="S1113">
            <v>-8471.15</v>
          </cell>
          <cell r="X1113" t="str">
            <v>Claims - gross</v>
          </cell>
          <cell r="Y1113" t="str">
            <v>Portugal</v>
          </cell>
        </row>
        <row r="1114">
          <cell r="L1114" t="str">
            <v>Proportional</v>
          </cell>
          <cell r="S1114">
            <v>-5130.7</v>
          </cell>
          <cell r="X1114" t="str">
            <v>Claims - gross</v>
          </cell>
          <cell r="Y1114" t="str">
            <v>Turkey</v>
          </cell>
        </row>
        <row r="1115">
          <cell r="L1115" t="str">
            <v>Non-proportional</v>
          </cell>
          <cell r="S1115">
            <v>49404.84</v>
          </cell>
          <cell r="X1115" t="str">
            <v>Claims - gross</v>
          </cell>
          <cell r="Y1115" t="str">
            <v>GERMANY</v>
          </cell>
        </row>
        <row r="1116">
          <cell r="L1116" t="str">
            <v>Proportional</v>
          </cell>
          <cell r="S1116">
            <v>-28.78</v>
          </cell>
          <cell r="X1116" t="str">
            <v>Claims - gross</v>
          </cell>
          <cell r="Y1116" t="str">
            <v>Turkey</v>
          </cell>
        </row>
        <row r="1117">
          <cell r="L1117" t="str">
            <v>Proportional</v>
          </cell>
          <cell r="S1117">
            <v>49.07</v>
          </cell>
          <cell r="X1117" t="str">
            <v>Claims - gross</v>
          </cell>
          <cell r="Y1117" t="str">
            <v>Turkey</v>
          </cell>
        </row>
        <row r="1118">
          <cell r="L1118"/>
          <cell r="S1118">
            <v>-1407.75</v>
          </cell>
          <cell r="X1118" t="str">
            <v>Claims - gross</v>
          </cell>
          <cell r="Y1118" t="str">
            <v>PORTUGAL</v>
          </cell>
        </row>
        <row r="1119">
          <cell r="L1119"/>
          <cell r="S1119">
            <v>22070.58</v>
          </cell>
          <cell r="X1119" t="str">
            <v>Claims - gross</v>
          </cell>
          <cell r="Y1119" t="str">
            <v>Portugal</v>
          </cell>
        </row>
        <row r="1120">
          <cell r="L1120" t="str">
            <v>Non-proportional</v>
          </cell>
          <cell r="S1120">
            <v>90063.26</v>
          </cell>
          <cell r="X1120" t="str">
            <v>Claims - gross</v>
          </cell>
          <cell r="Y1120" t="str">
            <v>UNITED KINGDOM</v>
          </cell>
        </row>
        <row r="1121">
          <cell r="L1121" t="str">
            <v>Non-proportional</v>
          </cell>
          <cell r="S1121">
            <v>-60000</v>
          </cell>
          <cell r="X1121" t="str">
            <v>Claims - gross</v>
          </cell>
          <cell r="Y1121" t="str">
            <v>MEXICO</v>
          </cell>
        </row>
        <row r="1122">
          <cell r="L1122" t="str">
            <v>Non-proportional</v>
          </cell>
          <cell r="S1122">
            <v>6312000.7000000002</v>
          </cell>
          <cell r="X1122" t="str">
            <v>Claims - gross</v>
          </cell>
          <cell r="Y1122" t="str">
            <v>UNITED KINGDOM</v>
          </cell>
        </row>
        <row r="1123">
          <cell r="L1123" t="str">
            <v>Proportional</v>
          </cell>
          <cell r="S1123">
            <v>137.76</v>
          </cell>
          <cell r="X1123" t="str">
            <v>Claims - gross</v>
          </cell>
          <cell r="Y1123" t="str">
            <v>Turkey</v>
          </cell>
        </row>
        <row r="1124">
          <cell r="L1124" t="str">
            <v>Proportional</v>
          </cell>
          <cell r="S1124">
            <v>-16.989999999999998</v>
          </cell>
          <cell r="X1124" t="str">
            <v>Claims - gross</v>
          </cell>
          <cell r="Y1124" t="str">
            <v>Turkey</v>
          </cell>
        </row>
        <row r="1125">
          <cell r="L1125" t="str">
            <v>Proportional</v>
          </cell>
          <cell r="S1125">
            <v>293.04000000000002</v>
          </cell>
          <cell r="X1125" t="str">
            <v>Claims - gross</v>
          </cell>
          <cell r="Y1125" t="str">
            <v>PORTUGAL</v>
          </cell>
        </row>
        <row r="1126">
          <cell r="L1126" t="str">
            <v>Non-proportional</v>
          </cell>
          <cell r="S1126">
            <v>-52127.18</v>
          </cell>
          <cell r="X1126" t="str">
            <v>Claims - gross</v>
          </cell>
          <cell r="Y1126" t="str">
            <v>UNITED KINGDOM</v>
          </cell>
        </row>
        <row r="1127">
          <cell r="L1127" t="str">
            <v>Non-proportional</v>
          </cell>
          <cell r="S1127">
            <v>38500</v>
          </cell>
          <cell r="X1127" t="str">
            <v>Claims - gross</v>
          </cell>
          <cell r="Y1127" t="str">
            <v>FRANCE</v>
          </cell>
        </row>
        <row r="1128">
          <cell r="L1128" t="str">
            <v>Proportional</v>
          </cell>
          <cell r="S1128">
            <v>159991.42000000001</v>
          </cell>
          <cell r="X1128" t="str">
            <v>Claims - gross</v>
          </cell>
          <cell r="Y1128" t="str">
            <v>Portugal</v>
          </cell>
        </row>
        <row r="1129">
          <cell r="L1129" t="str">
            <v>Non-proportional</v>
          </cell>
          <cell r="S1129">
            <v>-1499.88</v>
          </cell>
          <cell r="X1129" t="str">
            <v>Claims - gross</v>
          </cell>
          <cell r="Y1129" t="str">
            <v>Portugal</v>
          </cell>
        </row>
        <row r="1130">
          <cell r="L1130"/>
          <cell r="S1130">
            <v>389.44</v>
          </cell>
          <cell r="X1130" t="str">
            <v>Claims - gross</v>
          </cell>
          <cell r="Y1130" t="str">
            <v>PORTUGAL</v>
          </cell>
        </row>
        <row r="1131">
          <cell r="L1131" t="str">
            <v>Non-proportional</v>
          </cell>
          <cell r="S1131">
            <v>141501.04999999999</v>
          </cell>
          <cell r="X1131" t="str">
            <v>Claims - gross</v>
          </cell>
          <cell r="Y1131" t="str">
            <v>United kingdom</v>
          </cell>
        </row>
        <row r="1132">
          <cell r="L1132" t="str">
            <v>Non-proportional</v>
          </cell>
          <cell r="S1132">
            <v>-64787.54</v>
          </cell>
          <cell r="X1132" t="str">
            <v>Claims - gross</v>
          </cell>
          <cell r="Y1132" t="str">
            <v>UNITED KINGDOM</v>
          </cell>
        </row>
        <row r="1133">
          <cell r="L1133" t="str">
            <v>Non-proportional</v>
          </cell>
          <cell r="S1133">
            <v>949545.38</v>
          </cell>
          <cell r="X1133" t="str">
            <v>Claims - gross</v>
          </cell>
          <cell r="Y1133" t="str">
            <v>AUSTRIA</v>
          </cell>
        </row>
        <row r="1134">
          <cell r="L1134" t="str">
            <v>Proportional</v>
          </cell>
          <cell r="S1134">
            <v>2994.57</v>
          </cell>
          <cell r="X1134" t="str">
            <v>Claims - gross</v>
          </cell>
          <cell r="Y1134" t="str">
            <v>Turkey</v>
          </cell>
        </row>
        <row r="1135">
          <cell r="L1135" t="str">
            <v>Non-proportional</v>
          </cell>
          <cell r="S1135">
            <v>233880.9</v>
          </cell>
          <cell r="X1135" t="str">
            <v>Claims - gross</v>
          </cell>
          <cell r="Y1135" t="str">
            <v>United kingdom</v>
          </cell>
        </row>
        <row r="1136">
          <cell r="L1136" t="str">
            <v>Proportional</v>
          </cell>
          <cell r="S1136">
            <v>-33.85</v>
          </cell>
          <cell r="X1136" t="str">
            <v>Claims - gross</v>
          </cell>
          <cell r="Y1136" t="str">
            <v>Turkey</v>
          </cell>
        </row>
        <row r="1137">
          <cell r="L1137" t="str">
            <v>Proportional</v>
          </cell>
          <cell r="S1137">
            <v>-1431.04</v>
          </cell>
          <cell r="X1137" t="str">
            <v>Claims - gross</v>
          </cell>
          <cell r="Y1137" t="str">
            <v>Turkey</v>
          </cell>
        </row>
        <row r="1138">
          <cell r="L1138" t="str">
            <v>Proportional</v>
          </cell>
          <cell r="S1138">
            <v>33358.410000000003</v>
          </cell>
          <cell r="X1138" t="str">
            <v>Claims - gross</v>
          </cell>
          <cell r="Y1138" t="str">
            <v>HONG KONG</v>
          </cell>
        </row>
        <row r="1139">
          <cell r="L1139" t="str">
            <v>Non-proportional</v>
          </cell>
          <cell r="S1139">
            <v>2424520</v>
          </cell>
          <cell r="X1139" t="str">
            <v>Claims - gross</v>
          </cell>
          <cell r="Y1139" t="str">
            <v>UNITED KINGDOM</v>
          </cell>
        </row>
        <row r="1140">
          <cell r="L1140" t="str">
            <v>Proportional</v>
          </cell>
          <cell r="S1140">
            <v>345580.11</v>
          </cell>
          <cell r="X1140" t="str">
            <v>Claims - gross</v>
          </cell>
          <cell r="Y1140" t="str">
            <v>PORTUGAL</v>
          </cell>
        </row>
        <row r="1141">
          <cell r="L1141"/>
          <cell r="S1141">
            <v>-2372.3200000000002</v>
          </cell>
          <cell r="X1141" t="str">
            <v>Claims - gross</v>
          </cell>
          <cell r="Y1141" t="str">
            <v>PORTUGAL</v>
          </cell>
        </row>
        <row r="1142">
          <cell r="L1142" t="str">
            <v>Non-proportional</v>
          </cell>
          <cell r="S1142">
            <v>0.16</v>
          </cell>
          <cell r="X1142" t="str">
            <v>Claims - gross</v>
          </cell>
          <cell r="Y1142" t="str">
            <v>ITALY</v>
          </cell>
        </row>
        <row r="1143">
          <cell r="L1143" t="str">
            <v>Non-proportional</v>
          </cell>
          <cell r="S1143">
            <v>-10455.26</v>
          </cell>
          <cell r="X1143" t="str">
            <v>Claims - gross</v>
          </cell>
          <cell r="Y1143" t="str">
            <v>POLAND</v>
          </cell>
        </row>
        <row r="1144">
          <cell r="L1144" t="str">
            <v>Proportional</v>
          </cell>
          <cell r="S1144">
            <v>10.78</v>
          </cell>
          <cell r="X1144" t="str">
            <v>Claims - gross</v>
          </cell>
          <cell r="Y1144" t="str">
            <v>Turkey</v>
          </cell>
        </row>
        <row r="1145">
          <cell r="L1145"/>
          <cell r="S1145">
            <v>-4051.89</v>
          </cell>
          <cell r="X1145" t="str">
            <v>Claims - gross</v>
          </cell>
          <cell r="Y1145" t="str">
            <v>PORTUGAL</v>
          </cell>
        </row>
        <row r="1146">
          <cell r="L1146" t="str">
            <v>Proportional</v>
          </cell>
          <cell r="S1146">
            <v>271724.46000000002</v>
          </cell>
          <cell r="X1146" t="str">
            <v>Claims - gross</v>
          </cell>
          <cell r="Y1146" t="str">
            <v>PORTUGAL</v>
          </cell>
        </row>
        <row r="1147">
          <cell r="L1147" t="str">
            <v>Proportional</v>
          </cell>
          <cell r="S1147">
            <v>35136.61</v>
          </cell>
          <cell r="X1147" t="str">
            <v>Claims - gross</v>
          </cell>
          <cell r="Y1147" t="str">
            <v>TURKEY</v>
          </cell>
        </row>
        <row r="1148">
          <cell r="L1148"/>
          <cell r="S1148">
            <v>173.47</v>
          </cell>
          <cell r="X1148" t="str">
            <v>Claims - gross</v>
          </cell>
          <cell r="Y1148" t="str">
            <v>PORTUGAL</v>
          </cell>
        </row>
        <row r="1149">
          <cell r="L1149"/>
          <cell r="S1149">
            <v>-81.790000000000006</v>
          </cell>
          <cell r="X1149" t="str">
            <v>Claims - gross</v>
          </cell>
          <cell r="Y1149" t="str">
            <v>PORTUGAL</v>
          </cell>
        </row>
        <row r="1150">
          <cell r="L1150" t="str">
            <v>Proportional</v>
          </cell>
          <cell r="S1150">
            <v>802.51</v>
          </cell>
          <cell r="X1150" t="str">
            <v>Claims - gross</v>
          </cell>
          <cell r="Y1150" t="str">
            <v>Turkey</v>
          </cell>
        </row>
        <row r="1151">
          <cell r="L1151"/>
          <cell r="S1151">
            <v>542.79999999999995</v>
          </cell>
          <cell r="X1151" t="str">
            <v>Claims - gross</v>
          </cell>
          <cell r="Y1151" t="str">
            <v>PORTUGAL</v>
          </cell>
        </row>
        <row r="1152">
          <cell r="L1152" t="str">
            <v>Proportional</v>
          </cell>
          <cell r="S1152">
            <v>-158.18</v>
          </cell>
          <cell r="X1152" t="str">
            <v>Claims - gross</v>
          </cell>
          <cell r="Y1152" t="str">
            <v>Turkey</v>
          </cell>
        </row>
        <row r="1153">
          <cell r="L1153" t="str">
            <v>Proportional</v>
          </cell>
          <cell r="S1153">
            <v>9091.0300000000007</v>
          </cell>
          <cell r="X1153" t="str">
            <v>Claims - gross</v>
          </cell>
          <cell r="Y1153" t="str">
            <v>Turkey</v>
          </cell>
        </row>
        <row r="1154">
          <cell r="L1154" t="str">
            <v>Non-proportional</v>
          </cell>
          <cell r="S1154">
            <v>-275341.94</v>
          </cell>
          <cell r="X1154" t="str">
            <v>Claims - gross</v>
          </cell>
          <cell r="Y1154" t="str">
            <v>GERMANY</v>
          </cell>
        </row>
        <row r="1155">
          <cell r="L1155" t="str">
            <v>Proportional</v>
          </cell>
          <cell r="S1155">
            <v>-77188.91</v>
          </cell>
          <cell r="X1155" t="str">
            <v>Claims - gross</v>
          </cell>
          <cell r="Y1155" t="str">
            <v>Turkey</v>
          </cell>
        </row>
        <row r="1156">
          <cell r="L1156" t="str">
            <v>Non-proportional</v>
          </cell>
          <cell r="S1156">
            <v>-4252.05</v>
          </cell>
          <cell r="X1156" t="str">
            <v>Claims - gross</v>
          </cell>
          <cell r="Y1156" t="str">
            <v>AUSTRALIA</v>
          </cell>
        </row>
        <row r="1157">
          <cell r="L1157" t="str">
            <v>Proportional</v>
          </cell>
          <cell r="S1157">
            <v>1214432.04</v>
          </cell>
          <cell r="X1157" t="str">
            <v>Claims - gross</v>
          </cell>
          <cell r="Y1157" t="str">
            <v>HONG KONG</v>
          </cell>
        </row>
        <row r="1158">
          <cell r="L1158" t="str">
            <v>Proportional</v>
          </cell>
          <cell r="S1158">
            <v>-2928.85</v>
          </cell>
          <cell r="X1158" t="str">
            <v>Claims - gross</v>
          </cell>
          <cell r="Y1158" t="str">
            <v>Portugal</v>
          </cell>
        </row>
        <row r="1159">
          <cell r="L1159" t="str">
            <v>Proportional</v>
          </cell>
          <cell r="S1159">
            <v>715293.93</v>
          </cell>
          <cell r="X1159" t="str">
            <v>Claims - gross</v>
          </cell>
          <cell r="Y1159" t="str">
            <v>HONG KONG</v>
          </cell>
        </row>
        <row r="1160">
          <cell r="L1160"/>
          <cell r="S1160">
            <v>-21.82</v>
          </cell>
          <cell r="X1160" t="str">
            <v>Claims - gross</v>
          </cell>
          <cell r="Y1160" t="str">
            <v>PORTUGAL</v>
          </cell>
        </row>
        <row r="1161">
          <cell r="L1161" t="str">
            <v>Proportional</v>
          </cell>
          <cell r="S1161">
            <v>156418.29999999999</v>
          </cell>
          <cell r="X1161" t="str">
            <v>Claims - gross</v>
          </cell>
          <cell r="Y1161" t="str">
            <v>Hong Kong</v>
          </cell>
        </row>
        <row r="1162">
          <cell r="L1162" t="str">
            <v>Non-proportional</v>
          </cell>
          <cell r="S1162">
            <v>-348839.14</v>
          </cell>
          <cell r="X1162" t="str">
            <v>Claims - gross</v>
          </cell>
          <cell r="Y1162" t="str">
            <v>AUSTRIA</v>
          </cell>
        </row>
        <row r="1163">
          <cell r="L1163" t="str">
            <v>Proportional</v>
          </cell>
          <cell r="S1163">
            <v>8773.43</v>
          </cell>
          <cell r="X1163" t="str">
            <v>Claims - gross</v>
          </cell>
          <cell r="Y1163" t="str">
            <v>Portugal</v>
          </cell>
        </row>
        <row r="1164">
          <cell r="L1164" t="str">
            <v>Proportional</v>
          </cell>
          <cell r="S1164">
            <v>10462241.359999999</v>
          </cell>
          <cell r="X1164" t="str">
            <v>Claims - gross</v>
          </cell>
          <cell r="Y1164" t="str">
            <v>PORTUGAL</v>
          </cell>
        </row>
        <row r="1165">
          <cell r="L1165"/>
          <cell r="S1165">
            <v>1662.36</v>
          </cell>
          <cell r="X1165" t="str">
            <v>Claims - gross</v>
          </cell>
          <cell r="Y1165" t="str">
            <v>Portugal</v>
          </cell>
        </row>
        <row r="1166">
          <cell r="L1166"/>
          <cell r="S1166">
            <v>1260.67</v>
          </cell>
          <cell r="X1166" t="str">
            <v>Claims - gross</v>
          </cell>
          <cell r="Y1166" t="str">
            <v>PORTUGAL</v>
          </cell>
        </row>
        <row r="1167">
          <cell r="L1167" t="str">
            <v>Proportional</v>
          </cell>
          <cell r="S1167">
            <v>-6220.14</v>
          </cell>
          <cell r="X1167" t="str">
            <v>Claims - gross</v>
          </cell>
          <cell r="Y1167" t="str">
            <v>Turkey</v>
          </cell>
        </row>
        <row r="1168">
          <cell r="L1168" t="str">
            <v>Proportional</v>
          </cell>
          <cell r="S1168">
            <v>-18002.43</v>
          </cell>
          <cell r="X1168" t="str">
            <v>Claims - gross</v>
          </cell>
          <cell r="Y1168" t="str">
            <v>TURKEY</v>
          </cell>
        </row>
        <row r="1169">
          <cell r="L1169" t="str">
            <v>Proportional</v>
          </cell>
          <cell r="S1169">
            <v>1314193.44</v>
          </cell>
          <cell r="X1169" t="str">
            <v>Claims - gross</v>
          </cell>
          <cell r="Y1169" t="str">
            <v>Turkey</v>
          </cell>
        </row>
        <row r="1170">
          <cell r="L1170" t="str">
            <v>Non-proportional</v>
          </cell>
          <cell r="S1170">
            <v>-206023.16</v>
          </cell>
          <cell r="X1170" t="str">
            <v>Claims - gross</v>
          </cell>
          <cell r="Y1170" t="str">
            <v>TURKEY</v>
          </cell>
        </row>
        <row r="1171">
          <cell r="L1171" t="str">
            <v>Proportional</v>
          </cell>
          <cell r="S1171">
            <v>17259.54</v>
          </cell>
          <cell r="X1171" t="str">
            <v>Claims - gross</v>
          </cell>
          <cell r="Y1171" t="str">
            <v>Turkey</v>
          </cell>
        </row>
        <row r="1172">
          <cell r="L1172" t="str">
            <v>Proportional</v>
          </cell>
          <cell r="S1172">
            <v>-176765.35</v>
          </cell>
          <cell r="X1172" t="str">
            <v>Claims - gross</v>
          </cell>
          <cell r="Y1172" t="str">
            <v>Hong Kong</v>
          </cell>
        </row>
        <row r="1173">
          <cell r="L1173" t="str">
            <v>Proportional</v>
          </cell>
          <cell r="S1173">
            <v>-6986.78</v>
          </cell>
          <cell r="X1173" t="str">
            <v>Claims - gross</v>
          </cell>
          <cell r="Y1173" t="str">
            <v>TURKEY</v>
          </cell>
        </row>
        <row r="1174">
          <cell r="L1174" t="str">
            <v>Non-proportional</v>
          </cell>
          <cell r="S1174">
            <v>-60613</v>
          </cell>
          <cell r="X1174" t="str">
            <v>Claims - gross</v>
          </cell>
          <cell r="Y1174" t="str">
            <v>United kingdom</v>
          </cell>
        </row>
        <row r="1175">
          <cell r="L1175" t="str">
            <v>Proportional</v>
          </cell>
          <cell r="S1175">
            <v>-1252.4100000000001</v>
          </cell>
          <cell r="X1175" t="str">
            <v>Claims - gross</v>
          </cell>
          <cell r="Y1175" t="str">
            <v>Turkey</v>
          </cell>
        </row>
        <row r="1176">
          <cell r="L1176"/>
          <cell r="S1176">
            <v>-1773.72</v>
          </cell>
          <cell r="X1176" t="str">
            <v>Claims - gross</v>
          </cell>
          <cell r="Y1176" t="str">
            <v>PORTUGAL</v>
          </cell>
        </row>
        <row r="1177">
          <cell r="L1177" t="str">
            <v>Non-proportional</v>
          </cell>
          <cell r="S1177">
            <v>202816.71</v>
          </cell>
          <cell r="X1177" t="str">
            <v>Claims - gross</v>
          </cell>
          <cell r="Y1177" t="str">
            <v>UNITED KINGDOM</v>
          </cell>
        </row>
        <row r="1178">
          <cell r="L1178" t="str">
            <v>Proportional</v>
          </cell>
          <cell r="S1178">
            <v>-3386.91</v>
          </cell>
          <cell r="X1178" t="str">
            <v>Claims - gross</v>
          </cell>
          <cell r="Y1178" t="str">
            <v>TURKEY</v>
          </cell>
        </row>
        <row r="1179">
          <cell r="L1179" t="str">
            <v>Non-proportional</v>
          </cell>
          <cell r="S1179">
            <v>-39087.65</v>
          </cell>
          <cell r="X1179" t="str">
            <v>Claims - gross</v>
          </cell>
          <cell r="Y1179" t="str">
            <v>GERMANY</v>
          </cell>
        </row>
        <row r="1180">
          <cell r="L1180" t="str">
            <v>Non-proportional</v>
          </cell>
          <cell r="S1180">
            <v>34271.31</v>
          </cell>
          <cell r="X1180" t="str">
            <v>Claims - gross</v>
          </cell>
          <cell r="Y1180" t="str">
            <v>TURKEY</v>
          </cell>
        </row>
        <row r="1181">
          <cell r="L1181" t="str">
            <v>Non-proportional</v>
          </cell>
          <cell r="S1181">
            <v>-26221.71</v>
          </cell>
          <cell r="X1181" t="str">
            <v>Claims - gross</v>
          </cell>
          <cell r="Y1181" t="str">
            <v>FRANCE</v>
          </cell>
        </row>
        <row r="1182">
          <cell r="L1182" t="str">
            <v>Proportional</v>
          </cell>
          <cell r="S1182">
            <v>-2349.41</v>
          </cell>
          <cell r="X1182" t="str">
            <v>Claims - gross</v>
          </cell>
          <cell r="Y1182" t="str">
            <v>HONG KONG</v>
          </cell>
        </row>
        <row r="1183">
          <cell r="L1183" t="str">
            <v>Proportional</v>
          </cell>
          <cell r="S1183">
            <v>-293.04000000000002</v>
          </cell>
          <cell r="X1183" t="str">
            <v>Claims - gross</v>
          </cell>
          <cell r="Y1183" t="str">
            <v>PORTUGAL</v>
          </cell>
        </row>
        <row r="1184">
          <cell r="L1184" t="str">
            <v>Non-proportional</v>
          </cell>
          <cell r="S1184">
            <v>77482.38</v>
          </cell>
          <cell r="X1184" t="str">
            <v>Claims - gross</v>
          </cell>
          <cell r="Y1184" t="str">
            <v>UNITED KINGDOM</v>
          </cell>
        </row>
        <row r="1185">
          <cell r="L1185" t="str">
            <v>Proportional</v>
          </cell>
          <cell r="S1185">
            <v>-17.68</v>
          </cell>
          <cell r="X1185" t="str">
            <v>Claims - gross</v>
          </cell>
          <cell r="Y1185" t="str">
            <v>Thailand</v>
          </cell>
        </row>
        <row r="1186">
          <cell r="L1186" t="str">
            <v>Proportional</v>
          </cell>
          <cell r="S1186">
            <v>-30304.99</v>
          </cell>
          <cell r="X1186" t="str">
            <v>Claims - gross</v>
          </cell>
          <cell r="Y1186" t="str">
            <v>India</v>
          </cell>
        </row>
        <row r="1187">
          <cell r="L1187" t="str">
            <v>Proportional</v>
          </cell>
          <cell r="S1187">
            <v>-267046.96000000002</v>
          </cell>
          <cell r="X1187" t="str">
            <v>Claims - gross</v>
          </cell>
          <cell r="Y1187" t="str">
            <v>Portugal</v>
          </cell>
        </row>
        <row r="1188">
          <cell r="L1188" t="str">
            <v>Non-proportional</v>
          </cell>
          <cell r="S1188">
            <v>156.66999999999999</v>
          </cell>
          <cell r="X1188" t="str">
            <v>Claims - gross</v>
          </cell>
          <cell r="Y1188" t="str">
            <v>UNITED KINGDOM</v>
          </cell>
        </row>
        <row r="1189">
          <cell r="L1189" t="str">
            <v>Non-proportional</v>
          </cell>
          <cell r="S1189">
            <v>137280.25</v>
          </cell>
          <cell r="X1189" t="str">
            <v>Claims - gross</v>
          </cell>
          <cell r="Y1189" t="str">
            <v>UNITED KINGDOM</v>
          </cell>
        </row>
        <row r="1190">
          <cell r="L1190" t="str">
            <v>Proportional</v>
          </cell>
          <cell r="S1190">
            <v>256914.73</v>
          </cell>
          <cell r="X1190" t="str">
            <v>Claims - gross</v>
          </cell>
          <cell r="Y1190" t="str">
            <v>THAILAND</v>
          </cell>
        </row>
        <row r="1191">
          <cell r="L1191" t="str">
            <v>Non-proportional</v>
          </cell>
          <cell r="S1191">
            <v>164599.69</v>
          </cell>
          <cell r="X1191" t="str">
            <v>Claims - gross</v>
          </cell>
          <cell r="Y1191" t="str">
            <v>UNITED KINGDOM</v>
          </cell>
        </row>
        <row r="1192">
          <cell r="L1192" t="str">
            <v>Proportional</v>
          </cell>
          <cell r="S1192">
            <v>-142980.19</v>
          </cell>
          <cell r="X1192" t="str">
            <v>Claims - gross</v>
          </cell>
          <cell r="Y1192" t="str">
            <v>THAILAND</v>
          </cell>
        </row>
        <row r="1193">
          <cell r="L1193" t="str">
            <v>Proportional</v>
          </cell>
          <cell r="S1193">
            <v>205221.11</v>
          </cell>
          <cell r="X1193" t="str">
            <v>Claims - gross</v>
          </cell>
          <cell r="Y1193" t="str">
            <v>HONG KONG</v>
          </cell>
        </row>
        <row r="1194">
          <cell r="L1194" t="str">
            <v>Non-proportional</v>
          </cell>
          <cell r="S1194">
            <v>181133.8</v>
          </cell>
          <cell r="X1194" t="str">
            <v>Claims - gross</v>
          </cell>
          <cell r="Y1194" t="str">
            <v>UNITED KINGDOM</v>
          </cell>
        </row>
        <row r="1195">
          <cell r="L1195" t="str">
            <v>Proportional</v>
          </cell>
          <cell r="S1195">
            <v>-3684.27</v>
          </cell>
          <cell r="X1195" t="str">
            <v>Claims - gross</v>
          </cell>
          <cell r="Y1195" t="str">
            <v>Thailand</v>
          </cell>
        </row>
        <row r="1196">
          <cell r="L1196" t="str">
            <v>Proportional</v>
          </cell>
          <cell r="S1196">
            <v>10031.49</v>
          </cell>
          <cell r="X1196" t="str">
            <v>Claims - gross</v>
          </cell>
          <cell r="Y1196" t="str">
            <v>India</v>
          </cell>
        </row>
        <row r="1197">
          <cell r="L1197" t="str">
            <v>Proportional</v>
          </cell>
          <cell r="S1197">
            <v>-10647.2</v>
          </cell>
          <cell r="X1197" t="str">
            <v>Claims - gross</v>
          </cell>
          <cell r="Y1197" t="str">
            <v>Thailand</v>
          </cell>
        </row>
        <row r="1198">
          <cell r="L1198" t="str">
            <v>Proportional</v>
          </cell>
          <cell r="S1198">
            <v>-5015.8599999999997</v>
          </cell>
          <cell r="X1198" t="str">
            <v>Claims - gross</v>
          </cell>
          <cell r="Y1198" t="str">
            <v>THAILAND</v>
          </cell>
        </row>
        <row r="1199">
          <cell r="L1199" t="str">
            <v>Proportional</v>
          </cell>
          <cell r="S1199">
            <v>-1025920.79</v>
          </cell>
          <cell r="X1199" t="str">
            <v>Claims - gross</v>
          </cell>
          <cell r="Y1199" t="str">
            <v>AUSTRIA</v>
          </cell>
        </row>
        <row r="1200">
          <cell r="L1200" t="str">
            <v>Proportional</v>
          </cell>
          <cell r="S1200">
            <v>-313.45999999999998</v>
          </cell>
          <cell r="X1200" t="str">
            <v>Claims - gross</v>
          </cell>
          <cell r="Y1200" t="str">
            <v>India</v>
          </cell>
        </row>
        <row r="1201">
          <cell r="L1201" t="str">
            <v>Proportional</v>
          </cell>
          <cell r="S1201">
            <v>5111.55</v>
          </cell>
          <cell r="X1201" t="str">
            <v>Claims - gross</v>
          </cell>
          <cell r="Y1201" t="str">
            <v>HONG KONG</v>
          </cell>
        </row>
        <row r="1202">
          <cell r="L1202" t="str">
            <v>Proportional</v>
          </cell>
          <cell r="S1202">
            <v>3161.85</v>
          </cell>
          <cell r="X1202" t="str">
            <v>Claims - gross</v>
          </cell>
          <cell r="Y1202" t="str">
            <v>Thailand</v>
          </cell>
        </row>
        <row r="1203">
          <cell r="L1203" t="str">
            <v>Non-proportional</v>
          </cell>
          <cell r="S1203">
            <v>1004</v>
          </cell>
          <cell r="X1203" t="str">
            <v>Claims - gross</v>
          </cell>
          <cell r="Y1203" t="str">
            <v>United kingdom</v>
          </cell>
        </row>
        <row r="1204">
          <cell r="L1204" t="str">
            <v>Non-proportional</v>
          </cell>
          <cell r="S1204">
            <v>-29156.98</v>
          </cell>
          <cell r="X1204" t="str">
            <v>Claims - gross</v>
          </cell>
          <cell r="Y1204" t="str">
            <v>Belgium</v>
          </cell>
        </row>
        <row r="1205">
          <cell r="L1205" t="str">
            <v>Proportional</v>
          </cell>
          <cell r="S1205">
            <v>-30848.83</v>
          </cell>
          <cell r="X1205" t="str">
            <v>Claims - gross</v>
          </cell>
          <cell r="Y1205" t="str">
            <v>THAILAND</v>
          </cell>
        </row>
        <row r="1206">
          <cell r="L1206" t="str">
            <v>Non-proportional</v>
          </cell>
          <cell r="S1206">
            <v>-360415.89</v>
          </cell>
          <cell r="X1206" t="str">
            <v>Claims - gross</v>
          </cell>
          <cell r="Y1206" t="str">
            <v>UNITED KINGDOM</v>
          </cell>
        </row>
        <row r="1207">
          <cell r="L1207" t="str">
            <v>Proportional</v>
          </cell>
          <cell r="S1207">
            <v>-59932.84</v>
          </cell>
          <cell r="X1207" t="str">
            <v>Claims - gross</v>
          </cell>
          <cell r="Y1207" t="str">
            <v>THAILAND</v>
          </cell>
        </row>
        <row r="1208">
          <cell r="L1208" t="str">
            <v>Proportional</v>
          </cell>
          <cell r="S1208">
            <v>9.8699999999999992</v>
          </cell>
          <cell r="X1208" t="str">
            <v>Claims - gross</v>
          </cell>
          <cell r="Y1208" t="str">
            <v>Thailand</v>
          </cell>
        </row>
        <row r="1209">
          <cell r="L1209" t="str">
            <v>Non-proportional</v>
          </cell>
          <cell r="S1209">
            <v>239417.74</v>
          </cell>
          <cell r="X1209" t="str">
            <v>Claims - gross</v>
          </cell>
          <cell r="Y1209" t="str">
            <v>UNITED KINGDOM</v>
          </cell>
        </row>
        <row r="1210">
          <cell r="L1210" t="str">
            <v>Non-proportional</v>
          </cell>
          <cell r="S1210">
            <v>-13958.5</v>
          </cell>
          <cell r="X1210" t="str">
            <v>Claims - gross</v>
          </cell>
          <cell r="Y1210" t="str">
            <v>CZECH REPUBLIC</v>
          </cell>
        </row>
        <row r="1211">
          <cell r="L1211" t="str">
            <v>Non-proportional</v>
          </cell>
          <cell r="S1211">
            <v>143650.64000000001</v>
          </cell>
          <cell r="X1211" t="str">
            <v>Claims - gross</v>
          </cell>
          <cell r="Y1211" t="str">
            <v>UNITED KINGDOM</v>
          </cell>
        </row>
        <row r="1212">
          <cell r="L1212" t="str">
            <v>Proportional</v>
          </cell>
          <cell r="S1212">
            <v>2925.2</v>
          </cell>
          <cell r="X1212" t="str">
            <v>Claims - gross</v>
          </cell>
          <cell r="Y1212" t="str">
            <v>THAILAND</v>
          </cell>
        </row>
        <row r="1213">
          <cell r="L1213" t="str">
            <v>Non-proportional</v>
          </cell>
          <cell r="S1213">
            <v>59841.66</v>
          </cell>
          <cell r="X1213" t="str">
            <v>Claims - gross</v>
          </cell>
          <cell r="Y1213" t="str">
            <v>UNITED KINGDOM</v>
          </cell>
        </row>
        <row r="1214">
          <cell r="L1214" t="str">
            <v>Proportional</v>
          </cell>
          <cell r="S1214">
            <v>-1449094.02</v>
          </cell>
          <cell r="X1214" t="str">
            <v>Claims - gross</v>
          </cell>
          <cell r="Y1214" t="str">
            <v>Thailand</v>
          </cell>
        </row>
        <row r="1215">
          <cell r="L1215" t="str">
            <v>Non-proportional</v>
          </cell>
          <cell r="S1215">
            <v>12573.99</v>
          </cell>
          <cell r="X1215" t="str">
            <v>Claims - gross</v>
          </cell>
          <cell r="Y1215" t="str">
            <v>FRANCE</v>
          </cell>
        </row>
        <row r="1216">
          <cell r="L1216" t="str">
            <v>Proportional</v>
          </cell>
          <cell r="S1216">
            <v>1672144.2</v>
          </cell>
          <cell r="X1216" t="str">
            <v>Claims - gross</v>
          </cell>
          <cell r="Y1216" t="str">
            <v>THAILAND</v>
          </cell>
        </row>
        <row r="1217">
          <cell r="L1217" t="str">
            <v>Proportional</v>
          </cell>
          <cell r="S1217">
            <v>9709.52</v>
          </cell>
          <cell r="X1217" t="str">
            <v>Claims - gross</v>
          </cell>
          <cell r="Y1217" t="str">
            <v>THAILAND</v>
          </cell>
        </row>
        <row r="1218">
          <cell r="L1218" t="str">
            <v>Non-proportional</v>
          </cell>
          <cell r="S1218">
            <v>38777.949999999997</v>
          </cell>
          <cell r="X1218" t="str">
            <v>Claims - gross</v>
          </cell>
          <cell r="Y1218" t="str">
            <v>UNITED KINGDOM</v>
          </cell>
        </row>
        <row r="1219">
          <cell r="L1219" t="str">
            <v>Proportional</v>
          </cell>
          <cell r="S1219">
            <v>8574814.0800000001</v>
          </cell>
          <cell r="X1219" t="str">
            <v>Claims - gross</v>
          </cell>
          <cell r="Y1219" t="str">
            <v>PORTUGAL</v>
          </cell>
        </row>
        <row r="1220">
          <cell r="L1220" t="str">
            <v>Proportional</v>
          </cell>
          <cell r="S1220">
            <v>296.2</v>
          </cell>
          <cell r="X1220" t="str">
            <v>Claims - gross</v>
          </cell>
          <cell r="Y1220" t="str">
            <v>Thailand</v>
          </cell>
        </row>
        <row r="1221">
          <cell r="L1221" t="str">
            <v>Proportional</v>
          </cell>
          <cell r="S1221">
            <v>-3461.73</v>
          </cell>
          <cell r="X1221" t="str">
            <v>Claims - gross</v>
          </cell>
          <cell r="Y1221" t="str">
            <v>Thailand</v>
          </cell>
        </row>
        <row r="1222">
          <cell r="L1222" t="str">
            <v>Proportional</v>
          </cell>
          <cell r="S1222">
            <v>0.68</v>
          </cell>
          <cell r="X1222" t="str">
            <v>Claims - gross</v>
          </cell>
          <cell r="Y1222" t="str">
            <v>Thailand</v>
          </cell>
        </row>
        <row r="1223">
          <cell r="L1223" t="str">
            <v>Proportional</v>
          </cell>
          <cell r="S1223">
            <v>17106.37</v>
          </cell>
          <cell r="X1223" t="str">
            <v>Claims - gross</v>
          </cell>
          <cell r="Y1223" t="str">
            <v>THAILAND</v>
          </cell>
        </row>
        <row r="1224">
          <cell r="L1224" t="str">
            <v>Proportional</v>
          </cell>
          <cell r="S1224">
            <v>-102174.61</v>
          </cell>
          <cell r="X1224" t="str">
            <v>Claims - gross</v>
          </cell>
          <cell r="Y1224" t="str">
            <v>THAILAND</v>
          </cell>
        </row>
        <row r="1225">
          <cell r="L1225" t="str">
            <v>Non-proportional</v>
          </cell>
          <cell r="S1225">
            <v>0.04</v>
          </cell>
          <cell r="X1225" t="str">
            <v>Claims - gross</v>
          </cell>
          <cell r="Y1225" t="str">
            <v>UNITED KINGDOM</v>
          </cell>
        </row>
        <row r="1226">
          <cell r="L1226" t="str">
            <v>Non-proportional</v>
          </cell>
          <cell r="S1226">
            <v>-86296.4</v>
          </cell>
          <cell r="X1226" t="str">
            <v>Claims - gross</v>
          </cell>
          <cell r="Y1226" t="str">
            <v>UNITED KINGDOM</v>
          </cell>
        </row>
        <row r="1227">
          <cell r="L1227" t="str">
            <v>Non-proportional</v>
          </cell>
          <cell r="S1227">
            <v>-4598</v>
          </cell>
          <cell r="X1227" t="str">
            <v>Claims - gross</v>
          </cell>
          <cell r="Y1227" t="str">
            <v>ICELAND</v>
          </cell>
        </row>
        <row r="1228">
          <cell r="L1228" t="str">
            <v>Non-proportional</v>
          </cell>
          <cell r="S1228">
            <v>-11719</v>
          </cell>
          <cell r="X1228" t="str">
            <v>Claims - gross</v>
          </cell>
          <cell r="Y1228" t="str">
            <v>CZECH REPUBLIC</v>
          </cell>
        </row>
        <row r="1229">
          <cell r="L1229" t="str">
            <v>Proportional</v>
          </cell>
          <cell r="S1229">
            <v>9375.2199999999993</v>
          </cell>
          <cell r="X1229" t="str">
            <v>Claims - gross</v>
          </cell>
          <cell r="Y1229" t="str">
            <v>Thailand</v>
          </cell>
        </row>
        <row r="1230">
          <cell r="L1230" t="str">
            <v>Proportional</v>
          </cell>
          <cell r="S1230">
            <v>-5017.3</v>
          </cell>
          <cell r="X1230" t="str">
            <v>Claims - gross</v>
          </cell>
          <cell r="Y1230" t="str">
            <v>Thailand</v>
          </cell>
        </row>
        <row r="1231">
          <cell r="L1231" t="str">
            <v>Non-proportional</v>
          </cell>
          <cell r="S1231">
            <v>2105.5500000000002</v>
          </cell>
          <cell r="X1231" t="str">
            <v>Claims - gross</v>
          </cell>
          <cell r="Y1231" t="str">
            <v>FRANCE</v>
          </cell>
        </row>
        <row r="1232">
          <cell r="L1232" t="str">
            <v>Proportional</v>
          </cell>
          <cell r="S1232">
            <v>-22734.41</v>
          </cell>
          <cell r="X1232" t="str">
            <v>Claims - gross</v>
          </cell>
          <cell r="Y1232" t="str">
            <v>INDIA</v>
          </cell>
        </row>
        <row r="1233">
          <cell r="L1233" t="str">
            <v>Proportional</v>
          </cell>
          <cell r="S1233">
            <v>293.04000000000002</v>
          </cell>
          <cell r="X1233" t="str">
            <v>Claims - gross</v>
          </cell>
          <cell r="Y1233" t="str">
            <v>PORTUGAL</v>
          </cell>
        </row>
        <row r="1234">
          <cell r="L1234" t="str">
            <v>Proportional</v>
          </cell>
          <cell r="S1234">
            <v>-657757.28</v>
          </cell>
          <cell r="X1234" t="str">
            <v>Claims - gross</v>
          </cell>
          <cell r="Y1234" t="str">
            <v>THAILAND</v>
          </cell>
        </row>
        <row r="1235">
          <cell r="L1235" t="str">
            <v>Non-proportional</v>
          </cell>
          <cell r="S1235">
            <v>98759.82</v>
          </cell>
          <cell r="X1235" t="str">
            <v>Claims - gross</v>
          </cell>
          <cell r="Y1235" t="str">
            <v>UNITED KINGDOM</v>
          </cell>
        </row>
        <row r="1236">
          <cell r="L1236" t="str">
            <v>Proportional</v>
          </cell>
          <cell r="S1236">
            <v>-5134.12</v>
          </cell>
          <cell r="X1236" t="str">
            <v>Claims - gross</v>
          </cell>
          <cell r="Y1236" t="str">
            <v>Thailand</v>
          </cell>
        </row>
        <row r="1237">
          <cell r="L1237" t="str">
            <v>Proportional</v>
          </cell>
          <cell r="S1237">
            <v>-23569.759999999998</v>
          </cell>
          <cell r="X1237" t="str">
            <v>Claims - gross</v>
          </cell>
          <cell r="Y1237" t="str">
            <v>India</v>
          </cell>
        </row>
        <row r="1238">
          <cell r="L1238" t="str">
            <v>Proportional</v>
          </cell>
          <cell r="S1238">
            <v>10921.58</v>
          </cell>
          <cell r="X1238" t="str">
            <v>Claims - gross</v>
          </cell>
          <cell r="Y1238" t="str">
            <v>Hong Kong</v>
          </cell>
        </row>
        <row r="1239">
          <cell r="L1239" t="str">
            <v>Proportional</v>
          </cell>
          <cell r="S1239">
            <v>291760.52</v>
          </cell>
          <cell r="X1239" t="str">
            <v>Claims - gross</v>
          </cell>
          <cell r="Y1239" t="str">
            <v>Ireland</v>
          </cell>
        </row>
        <row r="1240">
          <cell r="L1240" t="str">
            <v>Proportional</v>
          </cell>
          <cell r="S1240">
            <v>-12344.13</v>
          </cell>
          <cell r="X1240" t="str">
            <v>Claims - gross</v>
          </cell>
          <cell r="Y1240" t="str">
            <v>THAILAND</v>
          </cell>
        </row>
        <row r="1241">
          <cell r="L1241" t="str">
            <v>Proportional</v>
          </cell>
          <cell r="S1241">
            <v>50861.25</v>
          </cell>
          <cell r="X1241" t="str">
            <v>Claims - gross</v>
          </cell>
          <cell r="Y1241" t="str">
            <v>INDIA</v>
          </cell>
        </row>
        <row r="1242">
          <cell r="L1242" t="str">
            <v>Proportional</v>
          </cell>
          <cell r="S1242">
            <v>-432.67</v>
          </cell>
          <cell r="X1242" t="str">
            <v>Claims - gross</v>
          </cell>
          <cell r="Y1242" t="str">
            <v>Thailand</v>
          </cell>
        </row>
        <row r="1243">
          <cell r="L1243" t="str">
            <v>Proportional</v>
          </cell>
          <cell r="S1243">
            <v>-14141.02</v>
          </cell>
          <cell r="X1243" t="str">
            <v>Claims - gross</v>
          </cell>
          <cell r="Y1243" t="str">
            <v>India</v>
          </cell>
        </row>
        <row r="1244">
          <cell r="L1244" t="str">
            <v>Non-proportional</v>
          </cell>
          <cell r="S1244">
            <v>0.03</v>
          </cell>
          <cell r="X1244" t="str">
            <v>Claims - gross</v>
          </cell>
          <cell r="Y1244" t="str">
            <v>Belgium</v>
          </cell>
        </row>
        <row r="1245">
          <cell r="L1245" t="str">
            <v>Proportional</v>
          </cell>
          <cell r="S1245">
            <v>-1359.2</v>
          </cell>
          <cell r="X1245" t="str">
            <v>Claims - gross</v>
          </cell>
          <cell r="Y1245" t="str">
            <v>Thailand</v>
          </cell>
        </row>
        <row r="1246">
          <cell r="L1246" t="str">
            <v>Non-proportional</v>
          </cell>
          <cell r="S1246">
            <v>13500</v>
          </cell>
          <cell r="X1246" t="str">
            <v>Claims - gross</v>
          </cell>
          <cell r="Y1246" t="str">
            <v>FRANCE</v>
          </cell>
        </row>
        <row r="1247">
          <cell r="L1247" t="str">
            <v>Non-proportional</v>
          </cell>
          <cell r="S1247">
            <v>0.05</v>
          </cell>
          <cell r="X1247" t="str">
            <v>Claims - gross</v>
          </cell>
          <cell r="Y1247" t="str">
            <v>Belgium</v>
          </cell>
        </row>
        <row r="1248">
          <cell r="L1248" t="str">
            <v>Proportional</v>
          </cell>
          <cell r="S1248">
            <v>-124.87</v>
          </cell>
          <cell r="X1248" t="str">
            <v>Claims - gross</v>
          </cell>
          <cell r="Y1248" t="str">
            <v>Thailand</v>
          </cell>
        </row>
        <row r="1249">
          <cell r="L1249" t="str">
            <v>Proportional</v>
          </cell>
          <cell r="S1249">
            <v>-10636.09</v>
          </cell>
          <cell r="X1249" t="str">
            <v>Claims - gross</v>
          </cell>
          <cell r="Y1249" t="str">
            <v>THAILAND</v>
          </cell>
        </row>
        <row r="1250">
          <cell r="L1250" t="str">
            <v>Proportional</v>
          </cell>
          <cell r="S1250">
            <v>-10462241.359999999</v>
          </cell>
          <cell r="X1250" t="str">
            <v>Claims - gross</v>
          </cell>
          <cell r="Y1250" t="str">
            <v>PORTUGAL</v>
          </cell>
        </row>
        <row r="1251">
          <cell r="L1251" t="str">
            <v>Proportional</v>
          </cell>
          <cell r="S1251">
            <v>21382.42</v>
          </cell>
          <cell r="X1251" t="str">
            <v>Claims - gross</v>
          </cell>
          <cell r="Y1251" t="str">
            <v>India</v>
          </cell>
        </row>
        <row r="1252">
          <cell r="L1252" t="str">
            <v>Proportional</v>
          </cell>
          <cell r="S1252">
            <v>-3328.29</v>
          </cell>
          <cell r="X1252" t="str">
            <v>Claims - gross</v>
          </cell>
          <cell r="Y1252" t="str">
            <v>THAILAND</v>
          </cell>
        </row>
        <row r="1253">
          <cell r="L1253" t="str">
            <v>Non-proportional</v>
          </cell>
          <cell r="S1253">
            <v>-79592.5</v>
          </cell>
          <cell r="X1253" t="str">
            <v>Claims - gross</v>
          </cell>
          <cell r="Y1253" t="str">
            <v>Belgium</v>
          </cell>
        </row>
        <row r="1254">
          <cell r="L1254" t="str">
            <v>Non-proportional</v>
          </cell>
          <cell r="S1254">
            <v>-24487.4</v>
          </cell>
          <cell r="X1254" t="str">
            <v>Claims - gross</v>
          </cell>
          <cell r="Y1254" t="str">
            <v>CZECH REPUBLIC</v>
          </cell>
        </row>
        <row r="1255">
          <cell r="L1255" t="str">
            <v>Proportional</v>
          </cell>
          <cell r="S1255">
            <v>85255.06</v>
          </cell>
          <cell r="X1255" t="str">
            <v>Claims - gross</v>
          </cell>
          <cell r="Y1255" t="str">
            <v>THAILAND</v>
          </cell>
        </row>
        <row r="1256">
          <cell r="L1256" t="str">
            <v>Non-proportional</v>
          </cell>
          <cell r="S1256">
            <v>51406.48</v>
          </cell>
          <cell r="X1256" t="str">
            <v>Claims - gross</v>
          </cell>
          <cell r="Y1256" t="str">
            <v>AUSTRIA</v>
          </cell>
        </row>
        <row r="1257">
          <cell r="L1257" t="str">
            <v>Proportional</v>
          </cell>
          <cell r="S1257">
            <v>-57.02</v>
          </cell>
          <cell r="X1257" t="str">
            <v>Claims - gross</v>
          </cell>
          <cell r="Y1257" t="str">
            <v>Thailand</v>
          </cell>
        </row>
        <row r="1258">
          <cell r="L1258" t="str">
            <v>Proportional</v>
          </cell>
          <cell r="S1258">
            <v>-59541.64</v>
          </cell>
          <cell r="X1258" t="str">
            <v>Claims - gross</v>
          </cell>
          <cell r="Y1258" t="str">
            <v>Thailand</v>
          </cell>
        </row>
        <row r="1259">
          <cell r="L1259" t="str">
            <v>Proportional</v>
          </cell>
          <cell r="S1259">
            <v>2051841.58</v>
          </cell>
          <cell r="X1259" t="str">
            <v>Claims - gross</v>
          </cell>
          <cell r="Y1259" t="str">
            <v>AUSTRIA</v>
          </cell>
        </row>
        <row r="1260">
          <cell r="L1260" t="str">
            <v>Proportional</v>
          </cell>
          <cell r="S1260">
            <v>-634.84</v>
          </cell>
          <cell r="X1260" t="str">
            <v>Claims - gross</v>
          </cell>
          <cell r="Y1260" t="str">
            <v>Thailand</v>
          </cell>
        </row>
        <row r="1261">
          <cell r="L1261" t="str">
            <v>Proportional</v>
          </cell>
          <cell r="S1261">
            <v>202.46</v>
          </cell>
          <cell r="X1261" t="str">
            <v>Claims - gross</v>
          </cell>
          <cell r="Y1261" t="str">
            <v>THAILAND</v>
          </cell>
        </row>
        <row r="1262">
          <cell r="L1262" t="str">
            <v>Proportional</v>
          </cell>
          <cell r="S1262">
            <v>1106777.8600000001</v>
          </cell>
          <cell r="X1262" t="str">
            <v>Claims - gross</v>
          </cell>
          <cell r="Y1262" t="str">
            <v>THAILAND</v>
          </cell>
        </row>
        <row r="1263">
          <cell r="L1263" t="str">
            <v>Non-proportional</v>
          </cell>
          <cell r="S1263">
            <v>-154539.98000000001</v>
          </cell>
          <cell r="X1263" t="str">
            <v>Claims - gross</v>
          </cell>
          <cell r="Y1263" t="str">
            <v>Belgium</v>
          </cell>
        </row>
        <row r="1264">
          <cell r="L1264" t="str">
            <v>Proportional</v>
          </cell>
          <cell r="S1264">
            <v>-15817.3</v>
          </cell>
          <cell r="X1264" t="str">
            <v>Claims - gross</v>
          </cell>
          <cell r="Y1264" t="str">
            <v>INDIA</v>
          </cell>
        </row>
        <row r="1265">
          <cell r="L1265" t="str">
            <v>Proportional</v>
          </cell>
          <cell r="S1265">
            <v>-29.75</v>
          </cell>
          <cell r="X1265" t="str">
            <v>Claims - gross</v>
          </cell>
          <cell r="Y1265" t="str">
            <v>Thailand</v>
          </cell>
        </row>
        <row r="1266">
          <cell r="L1266" t="str">
            <v>Proportional</v>
          </cell>
          <cell r="S1266">
            <v>-35896.410000000003</v>
          </cell>
          <cell r="X1266" t="str">
            <v>Claims - gross</v>
          </cell>
          <cell r="Y1266" t="str">
            <v>India</v>
          </cell>
        </row>
        <row r="1267">
          <cell r="L1267" t="str">
            <v>Non-proportional</v>
          </cell>
          <cell r="S1267">
            <v>-126424.5</v>
          </cell>
          <cell r="X1267" t="str">
            <v>Claims - gross</v>
          </cell>
          <cell r="Y1267" t="str">
            <v>Belgium</v>
          </cell>
        </row>
        <row r="1268">
          <cell r="L1268" t="str">
            <v>Non-proportional</v>
          </cell>
          <cell r="S1268">
            <v>-26748.15</v>
          </cell>
          <cell r="X1268" t="str">
            <v>Claims - gross</v>
          </cell>
          <cell r="Y1268" t="str">
            <v>CZECH REPUBLIC</v>
          </cell>
        </row>
        <row r="1269">
          <cell r="L1269" t="str">
            <v>Proportional</v>
          </cell>
          <cell r="S1269">
            <v>1887427.28</v>
          </cell>
          <cell r="X1269" t="str">
            <v>Claims - gross</v>
          </cell>
          <cell r="Y1269" t="str">
            <v>PORTUGAL</v>
          </cell>
        </row>
        <row r="1270">
          <cell r="L1270" t="str">
            <v>Proportional</v>
          </cell>
          <cell r="S1270">
            <v>15629.75</v>
          </cell>
          <cell r="X1270" t="str">
            <v>Claims - gross</v>
          </cell>
          <cell r="Y1270" t="str">
            <v>INDIA</v>
          </cell>
        </row>
        <row r="1271">
          <cell r="L1271" t="str">
            <v>Proportional</v>
          </cell>
          <cell r="S1271">
            <v>-18663</v>
          </cell>
          <cell r="X1271" t="str">
            <v>Claims - gross</v>
          </cell>
          <cell r="Y1271" t="str">
            <v>Thailand</v>
          </cell>
        </row>
        <row r="1272">
          <cell r="L1272" t="str">
            <v>Proportional</v>
          </cell>
          <cell r="S1272">
            <v>13531.78</v>
          </cell>
          <cell r="X1272" t="str">
            <v>Claims - gross</v>
          </cell>
          <cell r="Y1272" t="str">
            <v>THAILAND</v>
          </cell>
        </row>
        <row r="1273">
          <cell r="L1273" t="str">
            <v>Proportional</v>
          </cell>
          <cell r="S1273">
            <v>-9852.07</v>
          </cell>
          <cell r="X1273" t="str">
            <v>Claims - gross</v>
          </cell>
          <cell r="Y1273" t="str">
            <v>India</v>
          </cell>
        </row>
        <row r="1274">
          <cell r="L1274" t="str">
            <v>Proportional</v>
          </cell>
          <cell r="S1274">
            <v>21836.240000000002</v>
          </cell>
          <cell r="X1274" t="str">
            <v>Claims - gross</v>
          </cell>
          <cell r="Y1274" t="str">
            <v>THAILAND</v>
          </cell>
        </row>
        <row r="1275">
          <cell r="L1275" t="str">
            <v>Non-proportional</v>
          </cell>
          <cell r="S1275">
            <v>-57475.27</v>
          </cell>
          <cell r="X1275" t="str">
            <v>Claims - gross</v>
          </cell>
          <cell r="Y1275" t="str">
            <v>CZECH REPUBLIC</v>
          </cell>
        </row>
        <row r="1276">
          <cell r="L1276" t="str">
            <v>Non-proportional</v>
          </cell>
          <cell r="S1276">
            <v>99934.88</v>
          </cell>
          <cell r="X1276" t="str">
            <v>Claims - gross</v>
          </cell>
          <cell r="Y1276" t="str">
            <v>UNITED KINGDOM</v>
          </cell>
        </row>
        <row r="1277">
          <cell r="L1277" t="str">
            <v>Proportional</v>
          </cell>
          <cell r="S1277">
            <v>5631.87</v>
          </cell>
          <cell r="X1277" t="str">
            <v>Claims - gross</v>
          </cell>
          <cell r="Y1277" t="str">
            <v>THAILAND</v>
          </cell>
        </row>
        <row r="1278">
          <cell r="L1278" t="str">
            <v>Non-proportional</v>
          </cell>
          <cell r="S1278">
            <v>2601.39</v>
          </cell>
          <cell r="X1278" t="str">
            <v>Claims - gross</v>
          </cell>
          <cell r="Y1278" t="str">
            <v>FRANCE</v>
          </cell>
        </row>
        <row r="1279">
          <cell r="L1279" t="str">
            <v>Non-proportional</v>
          </cell>
          <cell r="S1279">
            <v>-0.04</v>
          </cell>
          <cell r="X1279" t="str">
            <v>Claims - gross</v>
          </cell>
          <cell r="Y1279" t="str">
            <v>Belgium</v>
          </cell>
        </row>
        <row r="1280">
          <cell r="L1280" t="str">
            <v>Non-proportional</v>
          </cell>
          <cell r="S1280">
            <v>0.02</v>
          </cell>
          <cell r="X1280" t="str">
            <v>Claims - gross</v>
          </cell>
          <cell r="Y1280" t="str">
            <v>Belgium</v>
          </cell>
        </row>
        <row r="1281">
          <cell r="L1281" t="str">
            <v>Proportional</v>
          </cell>
          <cell r="S1281">
            <v>-2708.95</v>
          </cell>
          <cell r="X1281" t="str">
            <v>Claims - gross</v>
          </cell>
          <cell r="Y1281" t="str">
            <v>India</v>
          </cell>
        </row>
        <row r="1282">
          <cell r="L1282" t="str">
            <v>Proportional</v>
          </cell>
          <cell r="S1282">
            <v>-479735</v>
          </cell>
          <cell r="X1282" t="str">
            <v>Claims - gross</v>
          </cell>
          <cell r="Y1282" t="str">
            <v>Ireland</v>
          </cell>
        </row>
        <row r="1283">
          <cell r="L1283" t="str">
            <v>Proportional</v>
          </cell>
          <cell r="S1283">
            <v>3693.88</v>
          </cell>
          <cell r="X1283" t="str">
            <v>Claims - gross</v>
          </cell>
          <cell r="Y1283" t="str">
            <v>INDIA</v>
          </cell>
        </row>
        <row r="1284">
          <cell r="L1284" t="str">
            <v>Non-proportional</v>
          </cell>
          <cell r="S1284">
            <v>-55026.81</v>
          </cell>
          <cell r="X1284" t="str">
            <v>Claims - gross</v>
          </cell>
          <cell r="Y1284" t="str">
            <v>FRANCE</v>
          </cell>
        </row>
        <row r="1285">
          <cell r="L1285" t="str">
            <v>Proportional</v>
          </cell>
          <cell r="S1285">
            <v>-1025920.79</v>
          </cell>
          <cell r="X1285" t="str">
            <v>Claims - gross</v>
          </cell>
          <cell r="Y1285" t="str">
            <v>AUSTRIA</v>
          </cell>
        </row>
        <row r="1286">
          <cell r="L1286" t="str">
            <v>Proportional</v>
          </cell>
          <cell r="S1286">
            <v>1339.44</v>
          </cell>
          <cell r="X1286" t="str">
            <v>Claims - gross</v>
          </cell>
          <cell r="Y1286" t="str">
            <v>Hong Kong</v>
          </cell>
        </row>
        <row r="1287">
          <cell r="L1287" t="str">
            <v>Non-proportional</v>
          </cell>
          <cell r="S1287">
            <v>192473.95</v>
          </cell>
          <cell r="X1287" t="str">
            <v>Claims - gross</v>
          </cell>
          <cell r="Y1287" t="str">
            <v>UNITED KINGDOM</v>
          </cell>
        </row>
        <row r="1288">
          <cell r="L1288" t="str">
            <v>Proportional</v>
          </cell>
          <cell r="S1288">
            <v>-237139.84</v>
          </cell>
          <cell r="X1288" t="str">
            <v>Claims - gross</v>
          </cell>
          <cell r="Y1288" t="str">
            <v>India</v>
          </cell>
        </row>
        <row r="1289">
          <cell r="L1289" t="str">
            <v>Proportional</v>
          </cell>
          <cell r="S1289">
            <v>-65235.18</v>
          </cell>
          <cell r="X1289" t="str">
            <v>Claims - gross</v>
          </cell>
          <cell r="Y1289" t="str">
            <v>PORTUGAL</v>
          </cell>
        </row>
        <row r="1290">
          <cell r="L1290" t="str">
            <v>Non-proportional</v>
          </cell>
          <cell r="S1290">
            <v>7999.99</v>
          </cell>
          <cell r="X1290" t="str">
            <v>Claims - gross</v>
          </cell>
          <cell r="Y1290" t="str">
            <v>Belgium</v>
          </cell>
        </row>
        <row r="1291">
          <cell r="L1291" t="str">
            <v>Non-proportional</v>
          </cell>
          <cell r="S1291">
            <v>-4300.62</v>
          </cell>
          <cell r="X1291" t="str">
            <v>Claims - gross</v>
          </cell>
          <cell r="Y1291" t="str">
            <v>UNITED KINGDOM</v>
          </cell>
        </row>
        <row r="1292">
          <cell r="L1292" t="str">
            <v>Non-proportional</v>
          </cell>
          <cell r="S1292">
            <v>106077.29</v>
          </cell>
          <cell r="X1292" t="str">
            <v>Claims - gross</v>
          </cell>
          <cell r="Y1292" t="str">
            <v>UNITED KINGDOM</v>
          </cell>
        </row>
        <row r="1293">
          <cell r="L1293"/>
          <cell r="S1293">
            <v>-1648.31</v>
          </cell>
          <cell r="X1293" t="str">
            <v>Claims - gross</v>
          </cell>
          <cell r="Y1293" t="str">
            <v>PORTUGAL</v>
          </cell>
        </row>
        <row r="1294">
          <cell r="L1294" t="str">
            <v>Proportional</v>
          </cell>
          <cell r="S1294">
            <v>-5664.28</v>
          </cell>
          <cell r="X1294" t="str">
            <v>Claims - gross</v>
          </cell>
          <cell r="Y1294" t="str">
            <v>Ireland</v>
          </cell>
        </row>
        <row r="1295">
          <cell r="L1295" t="str">
            <v>Non-proportional</v>
          </cell>
          <cell r="S1295">
            <v>4000</v>
          </cell>
          <cell r="X1295" t="str">
            <v>Claims - gross</v>
          </cell>
          <cell r="Y1295" t="str">
            <v>GERMANY</v>
          </cell>
        </row>
        <row r="1296">
          <cell r="L1296"/>
          <cell r="S1296">
            <v>885.22</v>
          </cell>
          <cell r="X1296" t="str">
            <v>Claims - gross</v>
          </cell>
          <cell r="Y1296" t="str">
            <v>PORTUGAL</v>
          </cell>
        </row>
        <row r="1297">
          <cell r="L1297" t="str">
            <v>Non-proportional</v>
          </cell>
          <cell r="S1297">
            <v>-210729.89</v>
          </cell>
          <cell r="X1297" t="str">
            <v>Claims - gross</v>
          </cell>
          <cell r="Y1297" t="str">
            <v>UNITED KINGDOM</v>
          </cell>
        </row>
        <row r="1298">
          <cell r="L1298" t="str">
            <v>Non-proportional</v>
          </cell>
          <cell r="S1298">
            <v>-10887.85</v>
          </cell>
          <cell r="X1298" t="str">
            <v>Claims - gross</v>
          </cell>
          <cell r="Y1298" t="str">
            <v>FAROE ISLANDS</v>
          </cell>
        </row>
        <row r="1299">
          <cell r="L1299" t="str">
            <v>Proportional</v>
          </cell>
          <cell r="S1299">
            <v>-1283152.54</v>
          </cell>
          <cell r="X1299" t="str">
            <v>Claims - gross</v>
          </cell>
          <cell r="Y1299" t="str">
            <v>CANADA</v>
          </cell>
        </row>
        <row r="1300">
          <cell r="L1300" t="str">
            <v>Non-proportional</v>
          </cell>
          <cell r="S1300">
            <v>-25196.57</v>
          </cell>
          <cell r="X1300" t="str">
            <v>Claims - gross</v>
          </cell>
          <cell r="Y1300" t="str">
            <v>UNITED KINGDOM</v>
          </cell>
        </row>
        <row r="1301">
          <cell r="L1301" t="str">
            <v>Proportional</v>
          </cell>
          <cell r="S1301">
            <v>-53834.75</v>
          </cell>
          <cell r="X1301" t="str">
            <v>Claims - gross</v>
          </cell>
          <cell r="Y1301" t="str">
            <v>UNITED STATES</v>
          </cell>
        </row>
        <row r="1302">
          <cell r="L1302"/>
          <cell r="S1302">
            <v>-2279.08</v>
          </cell>
          <cell r="X1302" t="str">
            <v>Claims - gross</v>
          </cell>
          <cell r="Y1302" t="str">
            <v>PORTUGAL</v>
          </cell>
        </row>
        <row r="1303">
          <cell r="L1303" t="str">
            <v>Proportional</v>
          </cell>
          <cell r="S1303">
            <v>55615.48</v>
          </cell>
          <cell r="X1303" t="str">
            <v>Claims - gross</v>
          </cell>
          <cell r="Y1303" t="str">
            <v>UNITED STATES</v>
          </cell>
        </row>
        <row r="1304">
          <cell r="L1304" t="str">
            <v>Non-proportional</v>
          </cell>
          <cell r="S1304">
            <v>99989.6</v>
          </cell>
          <cell r="X1304" t="str">
            <v>Claims - gross</v>
          </cell>
          <cell r="Y1304" t="str">
            <v>UNITED KINGDOM</v>
          </cell>
        </row>
        <row r="1305">
          <cell r="L1305" t="str">
            <v>Non-proportional</v>
          </cell>
          <cell r="S1305">
            <v>2715.51</v>
          </cell>
          <cell r="X1305" t="str">
            <v>Claims - gross</v>
          </cell>
          <cell r="Y1305" t="str">
            <v>FRANCE</v>
          </cell>
        </row>
        <row r="1306">
          <cell r="L1306" t="str">
            <v>Non-proportional</v>
          </cell>
          <cell r="S1306">
            <v>-294431.39</v>
          </cell>
          <cell r="X1306" t="str">
            <v>Claims - gross</v>
          </cell>
          <cell r="Y1306" t="str">
            <v>UNITED KINGDOM</v>
          </cell>
        </row>
        <row r="1307">
          <cell r="L1307"/>
          <cell r="S1307">
            <v>-278.70999999999998</v>
          </cell>
          <cell r="X1307" t="str">
            <v>Claims - gross</v>
          </cell>
          <cell r="Y1307" t="str">
            <v>PORTUGAL</v>
          </cell>
        </row>
        <row r="1308">
          <cell r="L1308" t="str">
            <v>Non-proportional</v>
          </cell>
          <cell r="S1308">
            <v>-2489.6799999999998</v>
          </cell>
          <cell r="X1308" t="str">
            <v>Claims - gross</v>
          </cell>
          <cell r="Y1308" t="str">
            <v>GERMANY</v>
          </cell>
        </row>
        <row r="1309">
          <cell r="L1309" t="str">
            <v>Non-proportional</v>
          </cell>
          <cell r="S1309">
            <v>-320000</v>
          </cell>
          <cell r="X1309" t="str">
            <v>Claims - gross</v>
          </cell>
          <cell r="Y1309" t="str">
            <v>GERMANY</v>
          </cell>
        </row>
        <row r="1310">
          <cell r="L1310" t="str">
            <v>Proportional</v>
          </cell>
          <cell r="S1310">
            <v>1635.05</v>
          </cell>
          <cell r="X1310" t="str">
            <v>Claims - gross</v>
          </cell>
          <cell r="Y1310" t="str">
            <v>JAPAN</v>
          </cell>
        </row>
        <row r="1311">
          <cell r="L1311"/>
          <cell r="S1311">
            <v>-389.44</v>
          </cell>
          <cell r="X1311" t="str">
            <v>Claims - gross</v>
          </cell>
          <cell r="Y1311" t="str">
            <v>PORTUGAL</v>
          </cell>
        </row>
        <row r="1312">
          <cell r="L1312" t="str">
            <v>Non-proportional</v>
          </cell>
          <cell r="S1312">
            <v>25914.21</v>
          </cell>
          <cell r="X1312" t="str">
            <v>Claims - gross</v>
          </cell>
          <cell r="Y1312" t="str">
            <v>United kingdom</v>
          </cell>
        </row>
        <row r="1313">
          <cell r="L1313" t="str">
            <v>Non-proportional</v>
          </cell>
          <cell r="S1313">
            <v>-125134.08</v>
          </cell>
          <cell r="X1313" t="str">
            <v>Claims - gross</v>
          </cell>
          <cell r="Y1313" t="str">
            <v>FRANCE</v>
          </cell>
        </row>
        <row r="1314">
          <cell r="L1314" t="str">
            <v>Non-proportional</v>
          </cell>
          <cell r="S1314">
            <v>-249440.81</v>
          </cell>
          <cell r="X1314" t="str">
            <v>Claims - gross</v>
          </cell>
          <cell r="Y1314" t="str">
            <v>United kingdom</v>
          </cell>
        </row>
        <row r="1315">
          <cell r="L1315" t="str">
            <v>Proportional</v>
          </cell>
          <cell r="S1315">
            <v>452520.45</v>
          </cell>
          <cell r="X1315" t="str">
            <v>Claims - gross</v>
          </cell>
          <cell r="Y1315" t="str">
            <v>UNITED STATES</v>
          </cell>
        </row>
        <row r="1316">
          <cell r="L1316" t="str">
            <v>Proportional</v>
          </cell>
          <cell r="S1316">
            <v>-28626.78</v>
          </cell>
          <cell r="X1316" t="str">
            <v>Claims - gross</v>
          </cell>
          <cell r="Y1316" t="str">
            <v>UNITED STATES</v>
          </cell>
        </row>
        <row r="1317">
          <cell r="L1317" t="str">
            <v>Non-proportional</v>
          </cell>
          <cell r="S1317">
            <v>-33486.89</v>
          </cell>
          <cell r="X1317" t="str">
            <v>Claims - gross</v>
          </cell>
          <cell r="Y1317" t="str">
            <v>CZECH REPUBLIC</v>
          </cell>
        </row>
        <row r="1318">
          <cell r="L1318"/>
          <cell r="S1318">
            <v>-1260.67</v>
          </cell>
          <cell r="X1318" t="str">
            <v>Claims - gross</v>
          </cell>
          <cell r="Y1318" t="str">
            <v>PORTUGAL</v>
          </cell>
        </row>
        <row r="1319">
          <cell r="L1319" t="str">
            <v>Non-proportional</v>
          </cell>
          <cell r="S1319">
            <v>-17510.59</v>
          </cell>
          <cell r="X1319" t="str">
            <v>Claims - gross</v>
          </cell>
          <cell r="Y1319" t="str">
            <v>SWEDEN</v>
          </cell>
        </row>
        <row r="1320">
          <cell r="L1320" t="str">
            <v>Non-proportional</v>
          </cell>
          <cell r="S1320">
            <v>16943.04</v>
          </cell>
          <cell r="X1320" t="str">
            <v>Claims - gross</v>
          </cell>
          <cell r="Y1320" t="str">
            <v>EUROPE</v>
          </cell>
        </row>
        <row r="1321">
          <cell r="L1321" t="str">
            <v>Proportional</v>
          </cell>
          <cell r="S1321">
            <v>204543.18</v>
          </cell>
          <cell r="X1321" t="str">
            <v>Claims - gross</v>
          </cell>
          <cell r="Y1321" t="str">
            <v>UNITED STATES</v>
          </cell>
        </row>
        <row r="1322">
          <cell r="L1322" t="str">
            <v>Non-proportional</v>
          </cell>
          <cell r="S1322">
            <v>71482.42</v>
          </cell>
          <cell r="X1322" t="str">
            <v>Claims - gross</v>
          </cell>
          <cell r="Y1322" t="str">
            <v>FRANCE</v>
          </cell>
        </row>
        <row r="1323">
          <cell r="L1323" t="str">
            <v>Non-proportional</v>
          </cell>
          <cell r="S1323">
            <v>-453321.75</v>
          </cell>
          <cell r="X1323" t="str">
            <v>Claims - gross</v>
          </cell>
          <cell r="Y1323" t="str">
            <v>UNITED KINGDOM</v>
          </cell>
        </row>
        <row r="1324">
          <cell r="L1324" t="str">
            <v>Proportional</v>
          </cell>
          <cell r="S1324">
            <v>-359114.93</v>
          </cell>
          <cell r="X1324" t="str">
            <v>Claims - gross</v>
          </cell>
          <cell r="Y1324" t="str">
            <v>UNITED STATES</v>
          </cell>
        </row>
        <row r="1325">
          <cell r="L1325" t="str">
            <v>Non-proportional</v>
          </cell>
          <cell r="S1325">
            <v>0.01</v>
          </cell>
          <cell r="X1325" t="str">
            <v>Claims - gross</v>
          </cell>
          <cell r="Y1325" t="str">
            <v>United kingdom</v>
          </cell>
        </row>
        <row r="1326">
          <cell r="L1326" t="str">
            <v>Non-proportional</v>
          </cell>
          <cell r="S1326">
            <v>94000</v>
          </cell>
          <cell r="X1326" t="str">
            <v>Claims - gross</v>
          </cell>
          <cell r="Y1326" t="str">
            <v>ITALY</v>
          </cell>
        </row>
        <row r="1327">
          <cell r="L1327" t="str">
            <v>Non-proportional</v>
          </cell>
          <cell r="S1327">
            <v>9944.39</v>
          </cell>
          <cell r="X1327" t="str">
            <v>Claims - gross</v>
          </cell>
          <cell r="Y1327" t="str">
            <v>CZECH REPUBLIC</v>
          </cell>
        </row>
        <row r="1328">
          <cell r="L1328" t="str">
            <v>Non-proportional</v>
          </cell>
          <cell r="S1328">
            <v>8755.2199999999993</v>
          </cell>
          <cell r="X1328" t="str">
            <v>Claims - gross</v>
          </cell>
          <cell r="Y1328" t="str">
            <v>United kingdom</v>
          </cell>
        </row>
        <row r="1329">
          <cell r="L1329" t="str">
            <v>Proportional</v>
          </cell>
          <cell r="S1329">
            <v>-853.48</v>
          </cell>
          <cell r="X1329" t="str">
            <v>Claims - gross</v>
          </cell>
          <cell r="Y1329" t="str">
            <v>Malaysia</v>
          </cell>
        </row>
        <row r="1330">
          <cell r="L1330" t="str">
            <v>Non-proportional</v>
          </cell>
          <cell r="S1330">
            <v>-60047.91</v>
          </cell>
          <cell r="X1330" t="str">
            <v>Claims - gross</v>
          </cell>
          <cell r="Y1330" t="str">
            <v>UNITED KINGDOM</v>
          </cell>
        </row>
        <row r="1331">
          <cell r="L1331" t="str">
            <v>Non-proportional</v>
          </cell>
          <cell r="S1331">
            <v>-240191.64</v>
          </cell>
          <cell r="X1331" t="str">
            <v>Claims - gross</v>
          </cell>
          <cell r="Y1331" t="str">
            <v>UNITED KINGDOM</v>
          </cell>
        </row>
        <row r="1332">
          <cell r="L1332" t="str">
            <v>Non-proportional</v>
          </cell>
          <cell r="S1332">
            <v>-798198.62</v>
          </cell>
          <cell r="X1332" t="str">
            <v>Claims - gross</v>
          </cell>
          <cell r="Y1332" t="str">
            <v>United kingdom</v>
          </cell>
        </row>
        <row r="1333">
          <cell r="L1333"/>
          <cell r="S1333">
            <v>-173.47</v>
          </cell>
          <cell r="X1333" t="str">
            <v>Claims - gross</v>
          </cell>
          <cell r="Y1333" t="str">
            <v>PORTUGAL</v>
          </cell>
        </row>
        <row r="1334">
          <cell r="L1334" t="str">
            <v>Non-proportional</v>
          </cell>
          <cell r="S1334">
            <v>-27377.97</v>
          </cell>
          <cell r="X1334" t="str">
            <v>Claims - gross</v>
          </cell>
          <cell r="Y1334" t="str">
            <v>SWEDEN</v>
          </cell>
        </row>
        <row r="1335">
          <cell r="L1335" t="str">
            <v>Non-proportional</v>
          </cell>
          <cell r="S1335">
            <v>-588705</v>
          </cell>
          <cell r="X1335" t="str">
            <v>Claims - gross</v>
          </cell>
          <cell r="Y1335" t="str">
            <v>United kingdom</v>
          </cell>
        </row>
        <row r="1336">
          <cell r="L1336" t="str">
            <v>Non-proportional</v>
          </cell>
          <cell r="S1336">
            <v>320000</v>
          </cell>
          <cell r="X1336" t="str">
            <v>Claims - gross</v>
          </cell>
          <cell r="Y1336" t="str">
            <v>GERMANY</v>
          </cell>
        </row>
        <row r="1337">
          <cell r="L1337" t="str">
            <v>Proportional</v>
          </cell>
          <cell r="S1337">
            <v>-1344.83</v>
          </cell>
          <cell r="X1337" t="str">
            <v>Claims - gross</v>
          </cell>
          <cell r="Y1337" t="str">
            <v>JAPAN</v>
          </cell>
        </row>
        <row r="1338">
          <cell r="L1338" t="str">
            <v>Non-proportional</v>
          </cell>
          <cell r="S1338">
            <v>-416030.61</v>
          </cell>
          <cell r="X1338" t="str">
            <v>Claims - gross</v>
          </cell>
          <cell r="Y1338" t="str">
            <v>UNITED KINGDOM</v>
          </cell>
        </row>
        <row r="1339">
          <cell r="L1339" t="str">
            <v>Non-proportional</v>
          </cell>
          <cell r="S1339">
            <v>-319520.90000000002</v>
          </cell>
          <cell r="X1339" t="str">
            <v>Claims - gross</v>
          </cell>
          <cell r="Y1339" t="str">
            <v>PORTUGAL</v>
          </cell>
        </row>
        <row r="1340">
          <cell r="L1340" t="str">
            <v>Non-proportional</v>
          </cell>
          <cell r="S1340">
            <v>-1234632.1299999999</v>
          </cell>
          <cell r="X1340" t="str">
            <v>Claims - gross</v>
          </cell>
          <cell r="Y1340" t="str">
            <v>UNITED KINGDOM</v>
          </cell>
        </row>
        <row r="1341">
          <cell r="L1341" t="str">
            <v>Non-proportional</v>
          </cell>
          <cell r="S1341">
            <v>-3324814.08</v>
          </cell>
          <cell r="X1341" t="str">
            <v>Claims - gross</v>
          </cell>
          <cell r="Y1341" t="str">
            <v>United kingdom</v>
          </cell>
        </row>
        <row r="1342">
          <cell r="L1342"/>
          <cell r="S1342">
            <v>388.24</v>
          </cell>
          <cell r="X1342" t="str">
            <v>Claims - gross</v>
          </cell>
          <cell r="Y1342" t="str">
            <v>PORTUGAL</v>
          </cell>
        </row>
        <row r="1343">
          <cell r="L1343" t="str">
            <v>Non-proportional</v>
          </cell>
          <cell r="S1343">
            <v>319520.90000000002</v>
          </cell>
          <cell r="X1343" t="str">
            <v>Claims - gross</v>
          </cell>
          <cell r="Y1343" t="str">
            <v>PORTUGAL</v>
          </cell>
        </row>
        <row r="1344">
          <cell r="L1344" t="str">
            <v>Non-proportional</v>
          </cell>
          <cell r="S1344">
            <v>34440</v>
          </cell>
          <cell r="X1344" t="str">
            <v>Claims - gross</v>
          </cell>
          <cell r="Y1344" t="str">
            <v>GERMANY</v>
          </cell>
        </row>
        <row r="1345">
          <cell r="L1345" t="str">
            <v>Non-proportional</v>
          </cell>
          <cell r="S1345">
            <v>424309.15</v>
          </cell>
          <cell r="X1345" t="str">
            <v>Claims - gross</v>
          </cell>
          <cell r="Y1345" t="str">
            <v>UNITED KINGDOM</v>
          </cell>
        </row>
        <row r="1346">
          <cell r="L1346" t="str">
            <v>Non-proportional</v>
          </cell>
          <cell r="S1346">
            <v>1720.66</v>
          </cell>
          <cell r="X1346" t="str">
            <v>Claims - gross</v>
          </cell>
          <cell r="Y1346" t="str">
            <v>EUROPE</v>
          </cell>
        </row>
        <row r="1347">
          <cell r="L1347" t="str">
            <v>Non-proportional</v>
          </cell>
          <cell r="S1347">
            <v>-501898.3</v>
          </cell>
          <cell r="X1347" t="str">
            <v>Claims - gross</v>
          </cell>
          <cell r="Y1347" t="str">
            <v>UNITED KINGDOM</v>
          </cell>
        </row>
        <row r="1348">
          <cell r="L1348" t="str">
            <v>Non-proportional</v>
          </cell>
          <cell r="S1348">
            <v>-260796.24</v>
          </cell>
          <cell r="X1348" t="str">
            <v>Claims - gross</v>
          </cell>
          <cell r="Y1348" t="str">
            <v>UNITED KINGDOM</v>
          </cell>
        </row>
        <row r="1349">
          <cell r="L1349" t="str">
            <v>Proportional</v>
          </cell>
          <cell r="S1349">
            <v>48395.98</v>
          </cell>
          <cell r="X1349" t="str">
            <v>Claims - gross</v>
          </cell>
          <cell r="Y1349" t="str">
            <v>UNITED STATES</v>
          </cell>
        </row>
        <row r="1350">
          <cell r="L1350" t="str">
            <v>Non-proportional</v>
          </cell>
          <cell r="S1350">
            <v>-655148.06999999995</v>
          </cell>
          <cell r="X1350" t="str">
            <v>Claims - gross</v>
          </cell>
          <cell r="Y1350" t="str">
            <v>United kingdom</v>
          </cell>
        </row>
        <row r="1351">
          <cell r="L1351" t="str">
            <v>Non-proportional</v>
          </cell>
          <cell r="S1351">
            <v>-1043184.95</v>
          </cell>
          <cell r="X1351" t="str">
            <v>Claims - gross</v>
          </cell>
          <cell r="Y1351" t="str">
            <v>UNITED KINGDOM</v>
          </cell>
        </row>
        <row r="1352">
          <cell r="L1352" t="str">
            <v>Non-proportional</v>
          </cell>
          <cell r="S1352">
            <v>10553.87</v>
          </cell>
          <cell r="X1352" t="str">
            <v>Claims - gross</v>
          </cell>
          <cell r="Y1352" t="str">
            <v>FRANCE</v>
          </cell>
        </row>
        <row r="1353">
          <cell r="L1353" t="str">
            <v>Non-proportional</v>
          </cell>
          <cell r="S1353">
            <v>1092.48</v>
          </cell>
          <cell r="X1353" t="str">
            <v>Claims - gross</v>
          </cell>
          <cell r="Y1353" t="str">
            <v>FAROE ISLANDS</v>
          </cell>
        </row>
        <row r="1354">
          <cell r="L1354" t="str">
            <v>Non-proportional</v>
          </cell>
          <cell r="S1354">
            <v>-266827.86</v>
          </cell>
          <cell r="X1354" t="str">
            <v>Claims - gross</v>
          </cell>
          <cell r="Y1354" t="str">
            <v>UNITED KINGDOM</v>
          </cell>
        </row>
        <row r="1355">
          <cell r="L1355" t="str">
            <v>Non-proportional</v>
          </cell>
          <cell r="S1355">
            <v>4052.36</v>
          </cell>
          <cell r="X1355" t="str">
            <v>Claims - gross</v>
          </cell>
          <cell r="Y1355" t="str">
            <v>United kingdom</v>
          </cell>
        </row>
        <row r="1356">
          <cell r="L1356"/>
          <cell r="S1356">
            <v>1750</v>
          </cell>
          <cell r="X1356" t="str">
            <v>Claims - gross</v>
          </cell>
          <cell r="Y1356" t="str">
            <v>PORTUGAL</v>
          </cell>
        </row>
        <row r="1357">
          <cell r="L1357" t="str">
            <v>Non-proportional</v>
          </cell>
          <cell r="S1357">
            <v>-8490.42</v>
          </cell>
          <cell r="X1357" t="str">
            <v>Claims - gross</v>
          </cell>
          <cell r="Y1357" t="str">
            <v>UNITED KINGDOM</v>
          </cell>
        </row>
        <row r="1358">
          <cell r="L1358" t="str">
            <v>Non-proportional</v>
          </cell>
          <cell r="S1358">
            <v>-8106.46</v>
          </cell>
          <cell r="X1358" t="str">
            <v>Claims - gross</v>
          </cell>
          <cell r="Y1358" t="str">
            <v>EUROPE</v>
          </cell>
        </row>
        <row r="1359">
          <cell r="L1359"/>
          <cell r="S1359">
            <v>2494</v>
          </cell>
          <cell r="X1359" t="str">
            <v>Claims - gross</v>
          </cell>
          <cell r="Y1359" t="str">
            <v>PORTUGAL</v>
          </cell>
        </row>
        <row r="1360">
          <cell r="L1360"/>
          <cell r="S1360">
            <v>1112.8599999999999</v>
          </cell>
          <cell r="X1360" t="str">
            <v>Claims - gross</v>
          </cell>
          <cell r="Y1360" t="str">
            <v>PORTUGAL</v>
          </cell>
        </row>
        <row r="1361">
          <cell r="L1361"/>
          <cell r="S1361">
            <v>-4230.24</v>
          </cell>
          <cell r="X1361" t="str">
            <v>Claims - gross</v>
          </cell>
          <cell r="Y1361" t="str">
            <v>PORTUGAL</v>
          </cell>
        </row>
        <row r="1362">
          <cell r="L1362"/>
          <cell r="S1362">
            <v>3050.58</v>
          </cell>
          <cell r="X1362" t="str">
            <v>Claims - gross</v>
          </cell>
          <cell r="Y1362" t="str">
            <v>PORTUGAL</v>
          </cell>
        </row>
        <row r="1363">
          <cell r="L1363"/>
          <cell r="S1363">
            <v>-262.82</v>
          </cell>
          <cell r="X1363" t="str">
            <v>Claims - gross</v>
          </cell>
          <cell r="Y1363" t="str">
            <v>PORTUGAL</v>
          </cell>
        </row>
        <row r="1364">
          <cell r="L1364" t="str">
            <v>Non-proportional</v>
          </cell>
          <cell r="S1364">
            <v>-9251.4599999999991</v>
          </cell>
          <cell r="X1364" t="str">
            <v>Claims - gross</v>
          </cell>
          <cell r="Y1364" t="str">
            <v>UNITED KINGDOM</v>
          </cell>
        </row>
        <row r="1365">
          <cell r="L1365" t="str">
            <v>Non-proportional</v>
          </cell>
          <cell r="S1365">
            <v>12500</v>
          </cell>
          <cell r="X1365" t="str">
            <v>Claims - gross</v>
          </cell>
          <cell r="Y1365" t="str">
            <v>GERMANY</v>
          </cell>
        </row>
        <row r="1366">
          <cell r="L1366" t="str">
            <v>Non-proportional</v>
          </cell>
          <cell r="S1366">
            <v>-1274.56</v>
          </cell>
          <cell r="X1366" t="str">
            <v>Claims - gross</v>
          </cell>
          <cell r="Y1366" t="str">
            <v>GERMANY</v>
          </cell>
        </row>
        <row r="1367">
          <cell r="L1367" t="str">
            <v>Non-proportional</v>
          </cell>
          <cell r="S1367">
            <v>-5445.46</v>
          </cell>
          <cell r="X1367" t="str">
            <v>Claims - gross</v>
          </cell>
          <cell r="Y1367" t="str">
            <v>UNITED KINGDOM</v>
          </cell>
        </row>
        <row r="1368">
          <cell r="L1368"/>
          <cell r="S1368">
            <v>1413.55</v>
          </cell>
          <cell r="X1368" t="str">
            <v>Claims - gross</v>
          </cell>
          <cell r="Y1368" t="str">
            <v>PORTUGAL</v>
          </cell>
        </row>
        <row r="1369">
          <cell r="L1369"/>
          <cell r="S1369">
            <v>-499.77</v>
          </cell>
          <cell r="X1369" t="str">
            <v>Claims - gross</v>
          </cell>
          <cell r="Y1369" t="str">
            <v>PORTUGAL</v>
          </cell>
        </row>
        <row r="1370">
          <cell r="L1370" t="str">
            <v>Proportional</v>
          </cell>
          <cell r="S1370">
            <v>118158.26</v>
          </cell>
          <cell r="X1370" t="str">
            <v>Claims - gross</v>
          </cell>
          <cell r="Y1370" t="str">
            <v>UNITED STATES</v>
          </cell>
        </row>
        <row r="1371">
          <cell r="L1371" t="str">
            <v>Non-proportional</v>
          </cell>
          <cell r="S1371">
            <v>-301050.64</v>
          </cell>
          <cell r="X1371" t="str">
            <v>Claims - gross</v>
          </cell>
          <cell r="Y1371" t="str">
            <v>FRANCE</v>
          </cell>
        </row>
        <row r="1372">
          <cell r="L1372" t="str">
            <v>Non-proportional</v>
          </cell>
          <cell r="S1372">
            <v>-7875.89</v>
          </cell>
          <cell r="X1372" t="str">
            <v>Claims - gross</v>
          </cell>
          <cell r="Y1372" t="str">
            <v>SWEDEN</v>
          </cell>
        </row>
        <row r="1373">
          <cell r="L1373" t="str">
            <v>Non-proportional</v>
          </cell>
          <cell r="S1373">
            <v>-1968.04</v>
          </cell>
          <cell r="X1373" t="str">
            <v>Claims - gross</v>
          </cell>
          <cell r="Y1373" t="str">
            <v>AUSTRALIA</v>
          </cell>
        </row>
        <row r="1374">
          <cell r="L1374" t="str">
            <v>Non-proportional</v>
          </cell>
          <cell r="S1374">
            <v>-245881.14</v>
          </cell>
          <cell r="X1374" t="str">
            <v>Claims - gross</v>
          </cell>
          <cell r="Y1374" t="str">
            <v>United kingdom</v>
          </cell>
        </row>
        <row r="1375">
          <cell r="L1375" t="str">
            <v>Proportional</v>
          </cell>
          <cell r="S1375">
            <v>162923.47</v>
          </cell>
          <cell r="X1375" t="str">
            <v>Claims - gross</v>
          </cell>
          <cell r="Y1375" t="str">
            <v>UNITED STATES</v>
          </cell>
        </row>
        <row r="1376">
          <cell r="L1376" t="str">
            <v>Non-proportional</v>
          </cell>
          <cell r="S1376">
            <v>-41554.14</v>
          </cell>
          <cell r="X1376" t="str">
            <v>Claims - gross</v>
          </cell>
          <cell r="Y1376" t="str">
            <v>UNITED KINGDOM</v>
          </cell>
        </row>
        <row r="1377">
          <cell r="L1377" t="str">
            <v>Non-proportional</v>
          </cell>
          <cell r="S1377">
            <v>-5723.85</v>
          </cell>
          <cell r="X1377" t="str">
            <v>Claims - gross</v>
          </cell>
          <cell r="Y1377" t="str">
            <v>SWEDEN</v>
          </cell>
        </row>
        <row r="1378">
          <cell r="L1378" t="str">
            <v>Non-proportional</v>
          </cell>
          <cell r="S1378">
            <v>-503931.86</v>
          </cell>
          <cell r="X1378" t="str">
            <v>Claims - gross</v>
          </cell>
          <cell r="Y1378" t="str">
            <v>UNITED KINGDOM</v>
          </cell>
        </row>
        <row r="1379">
          <cell r="L1379" t="str">
            <v>Non-proportional</v>
          </cell>
          <cell r="S1379">
            <v>-125474.58</v>
          </cell>
          <cell r="X1379" t="str">
            <v>Claims - gross</v>
          </cell>
          <cell r="Y1379" t="str">
            <v>UNITED KINGDOM</v>
          </cell>
        </row>
        <row r="1380">
          <cell r="L1380" t="str">
            <v>Proportional</v>
          </cell>
          <cell r="S1380">
            <v>59321.04</v>
          </cell>
          <cell r="X1380" t="str">
            <v>Claims - gross</v>
          </cell>
          <cell r="Y1380" t="str">
            <v>UNITED STATES</v>
          </cell>
        </row>
        <row r="1381">
          <cell r="L1381" t="str">
            <v>Proportional</v>
          </cell>
          <cell r="S1381">
            <v>7095.69</v>
          </cell>
          <cell r="X1381" t="str">
            <v>Claims - gross</v>
          </cell>
          <cell r="Y1381" t="str">
            <v>UNITED STATES</v>
          </cell>
        </row>
        <row r="1382">
          <cell r="L1382" t="str">
            <v>Non-proportional</v>
          </cell>
          <cell r="S1382">
            <v>-125982.96</v>
          </cell>
          <cell r="X1382" t="str">
            <v>Claims - gross</v>
          </cell>
          <cell r="Y1382" t="str">
            <v>UNITED KINGDOM</v>
          </cell>
        </row>
        <row r="1383">
          <cell r="L1383" t="str">
            <v>Proportional</v>
          </cell>
          <cell r="S1383">
            <v>21893.82</v>
          </cell>
          <cell r="X1383" t="str">
            <v>Claims - gross</v>
          </cell>
          <cell r="Y1383" t="str">
            <v>UNITED STATES</v>
          </cell>
        </row>
        <row r="1384">
          <cell r="L1384" t="str">
            <v>Non-proportional</v>
          </cell>
          <cell r="S1384">
            <v>319520.90000000002</v>
          </cell>
          <cell r="X1384" t="str">
            <v>Claims - gross</v>
          </cell>
          <cell r="Y1384" t="str">
            <v>PORTUGAL</v>
          </cell>
        </row>
        <row r="1385">
          <cell r="L1385"/>
          <cell r="S1385">
            <v>-17940.43</v>
          </cell>
          <cell r="X1385" t="str">
            <v>Claims - gross</v>
          </cell>
          <cell r="Y1385" t="str">
            <v>Portugal</v>
          </cell>
        </row>
        <row r="1386">
          <cell r="L1386"/>
          <cell r="S1386">
            <v>-3752.65</v>
          </cell>
          <cell r="X1386" t="str">
            <v>Claims - gross</v>
          </cell>
          <cell r="Y1386" t="str">
            <v>PORTUGAL</v>
          </cell>
        </row>
        <row r="1387">
          <cell r="L1387" t="str">
            <v>Non-proportional</v>
          </cell>
          <cell r="S1387">
            <v>-12731.25</v>
          </cell>
          <cell r="X1387" t="str">
            <v>Claims - gross</v>
          </cell>
          <cell r="Y1387" t="str">
            <v>INDIA</v>
          </cell>
        </row>
        <row r="1388">
          <cell r="L1388" t="str">
            <v>Non-proportional</v>
          </cell>
          <cell r="S1388">
            <v>-28670.43</v>
          </cell>
          <cell r="X1388" t="str">
            <v>Claims - gross</v>
          </cell>
          <cell r="Y1388" t="str">
            <v>Portugal</v>
          </cell>
        </row>
        <row r="1389">
          <cell r="L1389" t="str">
            <v>Non-proportional</v>
          </cell>
          <cell r="S1389">
            <v>43575.54</v>
          </cell>
          <cell r="X1389" t="str">
            <v>Claims - gross</v>
          </cell>
          <cell r="Y1389" t="str">
            <v>UNITED KINGDOM</v>
          </cell>
        </row>
        <row r="1390">
          <cell r="L1390" t="str">
            <v>Proportional</v>
          </cell>
          <cell r="S1390">
            <v>-4047.21</v>
          </cell>
          <cell r="X1390" t="str">
            <v>Claims - gross</v>
          </cell>
          <cell r="Y1390" t="str">
            <v>Thailand</v>
          </cell>
        </row>
        <row r="1391">
          <cell r="L1391" t="str">
            <v>Non-proportional</v>
          </cell>
          <cell r="S1391">
            <v>-1067604.3500000001</v>
          </cell>
          <cell r="X1391" t="str">
            <v>Claims - gross</v>
          </cell>
          <cell r="Y1391" t="str">
            <v>UNITED KINGDOM</v>
          </cell>
        </row>
        <row r="1392">
          <cell r="L1392" t="str">
            <v>Non-proportional</v>
          </cell>
          <cell r="S1392">
            <v>-191392.86</v>
          </cell>
          <cell r="X1392" t="str">
            <v>Claims - gross</v>
          </cell>
          <cell r="Y1392" t="str">
            <v>United kingdom</v>
          </cell>
        </row>
        <row r="1393">
          <cell r="L1393" t="str">
            <v>Non-proportional</v>
          </cell>
          <cell r="S1393">
            <v>647469.89</v>
          </cell>
          <cell r="X1393" t="str">
            <v>Claims - gross</v>
          </cell>
          <cell r="Y1393" t="str">
            <v>EUROPE</v>
          </cell>
        </row>
        <row r="1394">
          <cell r="L1394" t="str">
            <v>Non-proportional</v>
          </cell>
          <cell r="S1394">
            <v>176164.33</v>
          </cell>
          <cell r="X1394" t="str">
            <v>Claims - gross</v>
          </cell>
          <cell r="Y1394" t="str">
            <v>UNITED KINGDOM</v>
          </cell>
        </row>
        <row r="1395">
          <cell r="L1395" t="str">
            <v>Non-proportional</v>
          </cell>
          <cell r="S1395">
            <v>-33360.53</v>
          </cell>
          <cell r="X1395" t="str">
            <v>Claims - gross</v>
          </cell>
          <cell r="Y1395" t="str">
            <v>Belgium</v>
          </cell>
        </row>
        <row r="1396">
          <cell r="L1396" t="str">
            <v>Proportional</v>
          </cell>
          <cell r="S1396">
            <v>255.81</v>
          </cell>
          <cell r="X1396" t="str">
            <v>Claims - gross</v>
          </cell>
          <cell r="Y1396" t="str">
            <v>India</v>
          </cell>
        </row>
        <row r="1397">
          <cell r="L1397" t="str">
            <v>Non-proportional</v>
          </cell>
          <cell r="S1397">
            <v>-334968.8</v>
          </cell>
          <cell r="X1397" t="str">
            <v>Claims - gross</v>
          </cell>
          <cell r="Y1397" t="str">
            <v>UNITED KINGDOM</v>
          </cell>
        </row>
        <row r="1398">
          <cell r="L1398" t="str">
            <v>Proportional</v>
          </cell>
          <cell r="S1398">
            <v>-102683.31</v>
          </cell>
          <cell r="X1398" t="str">
            <v>Claims - gross</v>
          </cell>
          <cell r="Y1398" t="str">
            <v>THAILAND</v>
          </cell>
        </row>
        <row r="1399">
          <cell r="L1399" t="str">
            <v>Non-proportional</v>
          </cell>
          <cell r="S1399">
            <v>144758.76999999999</v>
          </cell>
          <cell r="X1399" t="str">
            <v>Claims - gross</v>
          </cell>
          <cell r="Y1399" t="str">
            <v>Italy</v>
          </cell>
        </row>
        <row r="1400">
          <cell r="L1400" t="str">
            <v>Proportional</v>
          </cell>
          <cell r="S1400">
            <v>8312.36</v>
          </cell>
          <cell r="X1400" t="str">
            <v>Claims - gross</v>
          </cell>
          <cell r="Y1400" t="str">
            <v>THAILAND</v>
          </cell>
        </row>
        <row r="1401">
          <cell r="L1401" t="str">
            <v>Proportional</v>
          </cell>
          <cell r="S1401">
            <v>41077.4</v>
          </cell>
          <cell r="X1401" t="str">
            <v>Claims - gross</v>
          </cell>
          <cell r="Y1401" t="str">
            <v>THAILAND</v>
          </cell>
        </row>
        <row r="1402">
          <cell r="L1402" t="str">
            <v>Proportional</v>
          </cell>
          <cell r="S1402">
            <v>46043.21</v>
          </cell>
          <cell r="X1402" t="str">
            <v>Claims - gross</v>
          </cell>
          <cell r="Y1402" t="str">
            <v>JAPAN</v>
          </cell>
        </row>
        <row r="1403">
          <cell r="L1403" t="str">
            <v>Non-proportional</v>
          </cell>
          <cell r="S1403">
            <v>-12569.43</v>
          </cell>
          <cell r="X1403" t="str">
            <v>Claims - gross</v>
          </cell>
          <cell r="Y1403" t="str">
            <v>Belgium</v>
          </cell>
        </row>
        <row r="1404">
          <cell r="L1404" t="str">
            <v>Proportional</v>
          </cell>
          <cell r="S1404">
            <v>-2219</v>
          </cell>
          <cell r="X1404" t="str">
            <v>Claims - gross</v>
          </cell>
          <cell r="Y1404" t="str">
            <v>Italy</v>
          </cell>
        </row>
        <row r="1405">
          <cell r="L1405" t="str">
            <v>Proportional</v>
          </cell>
          <cell r="S1405">
            <v>-49.14</v>
          </cell>
          <cell r="X1405" t="str">
            <v>Claims - gross</v>
          </cell>
          <cell r="Y1405" t="str">
            <v>Thailand</v>
          </cell>
        </row>
        <row r="1406">
          <cell r="L1406" t="str">
            <v>Proportional</v>
          </cell>
          <cell r="S1406">
            <v>-3540.11</v>
          </cell>
          <cell r="X1406" t="str">
            <v>Claims - gross</v>
          </cell>
          <cell r="Y1406" t="str">
            <v>THAILAND</v>
          </cell>
        </row>
        <row r="1407">
          <cell r="L1407" t="str">
            <v>Proportional</v>
          </cell>
          <cell r="S1407">
            <v>3605.42</v>
          </cell>
          <cell r="X1407" t="str">
            <v>Claims - gross</v>
          </cell>
          <cell r="Y1407" t="str">
            <v>Ireland</v>
          </cell>
        </row>
        <row r="1408">
          <cell r="L1408" t="str">
            <v>Proportional</v>
          </cell>
          <cell r="S1408">
            <v>-7643.41</v>
          </cell>
          <cell r="X1408" t="str">
            <v>Claims - gross</v>
          </cell>
          <cell r="Y1408" t="str">
            <v>Ireland</v>
          </cell>
        </row>
        <row r="1409">
          <cell r="L1409" t="str">
            <v>Non-proportional</v>
          </cell>
          <cell r="S1409">
            <v>57111.11</v>
          </cell>
          <cell r="X1409" t="str">
            <v>Claims - gross</v>
          </cell>
          <cell r="Y1409" t="str">
            <v>CZECH REPUBLIC</v>
          </cell>
        </row>
        <row r="1410">
          <cell r="L1410" t="str">
            <v>Proportional</v>
          </cell>
          <cell r="S1410">
            <v>-8699.36</v>
          </cell>
          <cell r="X1410" t="str">
            <v>Claims - gross</v>
          </cell>
          <cell r="Y1410" t="str">
            <v>THAILAND</v>
          </cell>
        </row>
        <row r="1411">
          <cell r="L1411" t="str">
            <v>Non-proportional</v>
          </cell>
          <cell r="S1411">
            <v>-17815.169999999998</v>
          </cell>
          <cell r="X1411" t="str">
            <v>Claims - gross</v>
          </cell>
          <cell r="Y1411" t="str">
            <v>FRANCE</v>
          </cell>
        </row>
        <row r="1412">
          <cell r="L1412" t="str">
            <v>Proportional</v>
          </cell>
          <cell r="S1412">
            <v>-18965.22</v>
          </cell>
          <cell r="X1412" t="str">
            <v>Claims - gross</v>
          </cell>
          <cell r="Y1412" t="str">
            <v>THAILAND</v>
          </cell>
        </row>
        <row r="1413">
          <cell r="L1413" t="str">
            <v>Proportional</v>
          </cell>
          <cell r="S1413">
            <v>-113366.54</v>
          </cell>
          <cell r="X1413" t="str">
            <v>Claims - gross</v>
          </cell>
          <cell r="Y1413" t="str">
            <v>THAILAND</v>
          </cell>
        </row>
        <row r="1414">
          <cell r="L1414" t="str">
            <v>Non-proportional</v>
          </cell>
          <cell r="S1414">
            <v>-220221.93</v>
          </cell>
          <cell r="X1414" t="str">
            <v>Claims - gross</v>
          </cell>
          <cell r="Y1414" t="str">
            <v>Belgium</v>
          </cell>
        </row>
        <row r="1415">
          <cell r="L1415" t="str">
            <v>Proportional</v>
          </cell>
          <cell r="S1415">
            <v>-30385.35</v>
          </cell>
          <cell r="X1415" t="str">
            <v>Claims - gross</v>
          </cell>
          <cell r="Y1415" t="str">
            <v>Thailand</v>
          </cell>
        </row>
        <row r="1416">
          <cell r="L1416" t="str">
            <v>Non-proportional</v>
          </cell>
          <cell r="S1416">
            <v>-88297.04</v>
          </cell>
          <cell r="X1416" t="str">
            <v>Claims - gross</v>
          </cell>
          <cell r="Y1416" t="str">
            <v>TURKEY</v>
          </cell>
        </row>
        <row r="1417">
          <cell r="L1417" t="str">
            <v>Proportional</v>
          </cell>
          <cell r="S1417">
            <v>-15209.81</v>
          </cell>
          <cell r="X1417" t="str">
            <v>Claims - gross</v>
          </cell>
          <cell r="Y1417" t="str">
            <v>India</v>
          </cell>
        </row>
        <row r="1418">
          <cell r="L1418" t="str">
            <v>Proportional</v>
          </cell>
          <cell r="S1418">
            <v>-127.19</v>
          </cell>
          <cell r="X1418" t="str">
            <v>Claims - gross</v>
          </cell>
          <cell r="Y1418" t="str">
            <v>Thailand</v>
          </cell>
        </row>
        <row r="1419">
          <cell r="L1419" t="str">
            <v>Non-proportional</v>
          </cell>
          <cell r="S1419">
            <v>36657.18</v>
          </cell>
          <cell r="X1419" t="str">
            <v>Claims - gross</v>
          </cell>
          <cell r="Y1419" t="str">
            <v>Belgium</v>
          </cell>
        </row>
        <row r="1420">
          <cell r="L1420" t="str">
            <v>Non-proportional</v>
          </cell>
          <cell r="S1420">
            <v>296432.5</v>
          </cell>
          <cell r="X1420" t="str">
            <v>Claims - gross</v>
          </cell>
          <cell r="Y1420" t="str">
            <v>UNITED KINGDOM</v>
          </cell>
        </row>
        <row r="1421">
          <cell r="L1421" t="str">
            <v>Proportional</v>
          </cell>
          <cell r="S1421">
            <v>-4434.2700000000004</v>
          </cell>
          <cell r="X1421" t="str">
            <v>Claims - gross</v>
          </cell>
          <cell r="Y1421" t="str">
            <v>Thailand</v>
          </cell>
        </row>
        <row r="1422">
          <cell r="L1422" t="str">
            <v>Proportional</v>
          </cell>
          <cell r="S1422">
            <v>797.95</v>
          </cell>
          <cell r="X1422" t="str">
            <v>Claims - gross</v>
          </cell>
          <cell r="Y1422" t="str">
            <v>THAILAND</v>
          </cell>
        </row>
        <row r="1423">
          <cell r="L1423" t="str">
            <v>Non-proportional</v>
          </cell>
          <cell r="S1423">
            <v>241099.2</v>
          </cell>
          <cell r="X1423" t="str">
            <v>Claims - gross</v>
          </cell>
          <cell r="Y1423" t="str">
            <v>THAILAND</v>
          </cell>
        </row>
        <row r="1424">
          <cell r="L1424" t="str">
            <v>Proportional</v>
          </cell>
          <cell r="S1424">
            <v>-386.55</v>
          </cell>
          <cell r="X1424" t="str">
            <v>Claims - gross</v>
          </cell>
          <cell r="Y1424" t="str">
            <v>Thailand</v>
          </cell>
        </row>
        <row r="1425">
          <cell r="L1425" t="str">
            <v>Proportional</v>
          </cell>
          <cell r="S1425">
            <v>36680.65</v>
          </cell>
          <cell r="X1425" t="str">
            <v>Claims - gross</v>
          </cell>
          <cell r="Y1425" t="str">
            <v>UNITED STATES</v>
          </cell>
        </row>
        <row r="1426">
          <cell r="L1426" t="str">
            <v>Non-proportional</v>
          </cell>
          <cell r="S1426">
            <v>-427055.45</v>
          </cell>
          <cell r="X1426" t="str">
            <v>Claims - gross</v>
          </cell>
          <cell r="Y1426" t="str">
            <v>United kingdom</v>
          </cell>
        </row>
        <row r="1427">
          <cell r="L1427" t="str">
            <v>Non-proportional</v>
          </cell>
          <cell r="S1427">
            <v>-21787.85</v>
          </cell>
          <cell r="X1427" t="str">
            <v>Claims - gross</v>
          </cell>
          <cell r="Y1427" t="str">
            <v>UNITED KINGDOM</v>
          </cell>
        </row>
        <row r="1428">
          <cell r="L1428" t="str">
            <v>Proportional</v>
          </cell>
          <cell r="S1428">
            <v>91326.73</v>
          </cell>
          <cell r="X1428" t="str">
            <v>Claims - gross</v>
          </cell>
          <cell r="Y1428" t="str">
            <v>THAILAND</v>
          </cell>
        </row>
        <row r="1429">
          <cell r="L1429" t="str">
            <v>Proportional</v>
          </cell>
          <cell r="S1429">
            <v>-13241.44</v>
          </cell>
          <cell r="X1429" t="str">
            <v>Claims - gross</v>
          </cell>
          <cell r="Y1429" t="str">
            <v>India</v>
          </cell>
        </row>
        <row r="1430">
          <cell r="L1430" t="str">
            <v>Non-proportional</v>
          </cell>
          <cell r="S1430">
            <v>-4172.8100000000004</v>
          </cell>
          <cell r="X1430" t="str">
            <v>Claims - gross</v>
          </cell>
          <cell r="Y1430" t="str">
            <v>Belgium</v>
          </cell>
        </row>
        <row r="1431">
          <cell r="L1431" t="str">
            <v>Proportional</v>
          </cell>
          <cell r="S1431">
            <v>-21985.81</v>
          </cell>
          <cell r="X1431" t="str">
            <v>Claims - gross</v>
          </cell>
          <cell r="Y1431" t="str">
            <v>India</v>
          </cell>
        </row>
        <row r="1432">
          <cell r="L1432" t="str">
            <v>Proportional</v>
          </cell>
          <cell r="S1432">
            <v>-47294.7</v>
          </cell>
          <cell r="X1432" t="str">
            <v>Claims - gross</v>
          </cell>
          <cell r="Y1432" t="str">
            <v>THAILAND</v>
          </cell>
        </row>
        <row r="1433">
          <cell r="L1433" t="str">
            <v>Proportional</v>
          </cell>
          <cell r="S1433">
            <v>223.09</v>
          </cell>
          <cell r="X1433" t="str">
            <v>Claims - gross</v>
          </cell>
          <cell r="Y1433" t="str">
            <v>THAILAND</v>
          </cell>
        </row>
        <row r="1434">
          <cell r="L1434" t="str">
            <v>Proportional</v>
          </cell>
          <cell r="S1434">
            <v>4609.74</v>
          </cell>
          <cell r="X1434" t="str">
            <v>Claims - gross</v>
          </cell>
          <cell r="Y1434" t="str">
            <v>THAILAND</v>
          </cell>
        </row>
        <row r="1435">
          <cell r="L1435" t="str">
            <v>Proportional</v>
          </cell>
          <cell r="S1435">
            <v>6879.48</v>
          </cell>
          <cell r="X1435" t="str">
            <v>Claims - gross</v>
          </cell>
          <cell r="Y1435" t="str">
            <v>THAILAND</v>
          </cell>
        </row>
        <row r="1436">
          <cell r="L1436" t="str">
            <v>Non-proportional</v>
          </cell>
          <cell r="S1436">
            <v>-255000</v>
          </cell>
          <cell r="X1436" t="str">
            <v>Claims - gross</v>
          </cell>
          <cell r="Y1436" t="str">
            <v>FRANCE</v>
          </cell>
        </row>
        <row r="1437">
          <cell r="L1437" t="str">
            <v>Non-proportional</v>
          </cell>
          <cell r="S1437">
            <v>5442.32</v>
          </cell>
          <cell r="X1437" t="str">
            <v>Claims - gross</v>
          </cell>
          <cell r="Y1437" t="str">
            <v>UNITED KINGDOM</v>
          </cell>
        </row>
        <row r="1438">
          <cell r="L1438" t="str">
            <v>Non-proportional</v>
          </cell>
          <cell r="S1438">
            <v>104507</v>
          </cell>
          <cell r="X1438" t="str">
            <v>Claims - gross</v>
          </cell>
          <cell r="Y1438" t="str">
            <v>ITALY</v>
          </cell>
        </row>
        <row r="1439">
          <cell r="L1439" t="str">
            <v>Proportional</v>
          </cell>
          <cell r="S1439">
            <v>-5970.31</v>
          </cell>
          <cell r="X1439" t="str">
            <v>Claims - gross</v>
          </cell>
          <cell r="Y1439" t="str">
            <v>THAILAND</v>
          </cell>
        </row>
        <row r="1440">
          <cell r="L1440" t="str">
            <v>Proportional</v>
          </cell>
          <cell r="S1440">
            <v>3737.24</v>
          </cell>
          <cell r="X1440" t="str">
            <v>Claims - gross</v>
          </cell>
          <cell r="Y1440" t="str">
            <v>INDIA</v>
          </cell>
        </row>
        <row r="1441">
          <cell r="L1441" t="str">
            <v>Non-proportional</v>
          </cell>
          <cell r="S1441">
            <v>4746.74</v>
          </cell>
          <cell r="X1441" t="str">
            <v>Claims - gross</v>
          </cell>
          <cell r="Y1441" t="str">
            <v>UNITED KINGDOM</v>
          </cell>
        </row>
        <row r="1442">
          <cell r="L1442" t="str">
            <v>Proportional</v>
          </cell>
          <cell r="S1442">
            <v>426540.47</v>
          </cell>
          <cell r="X1442" t="str">
            <v>Claims - gross</v>
          </cell>
          <cell r="Y1442" t="str">
            <v>THAILAND</v>
          </cell>
        </row>
        <row r="1443">
          <cell r="L1443" t="str">
            <v>Proportional</v>
          </cell>
          <cell r="S1443">
            <v>-99745.1</v>
          </cell>
          <cell r="X1443" t="str">
            <v>Claims - gross</v>
          </cell>
          <cell r="Y1443" t="str">
            <v>Thailand</v>
          </cell>
        </row>
        <row r="1444">
          <cell r="L1444" t="str">
            <v>Proportional</v>
          </cell>
          <cell r="S1444">
            <v>1827.62</v>
          </cell>
          <cell r="X1444" t="str">
            <v>Claims - gross</v>
          </cell>
          <cell r="Y1444" t="str">
            <v>THAILAND</v>
          </cell>
        </row>
        <row r="1445">
          <cell r="L1445" t="str">
            <v>Proportional</v>
          </cell>
          <cell r="S1445">
            <v>-7397.31</v>
          </cell>
          <cell r="X1445" t="str">
            <v>Claims - gross</v>
          </cell>
          <cell r="Y1445" t="str">
            <v>Thailand</v>
          </cell>
        </row>
        <row r="1446">
          <cell r="L1446" t="str">
            <v>Proportional</v>
          </cell>
          <cell r="S1446">
            <v>3919.83</v>
          </cell>
          <cell r="X1446" t="str">
            <v>Claims - gross</v>
          </cell>
          <cell r="Y1446" t="str">
            <v>MALAYSIA</v>
          </cell>
        </row>
        <row r="1447">
          <cell r="L1447" t="str">
            <v>Proportional</v>
          </cell>
          <cell r="S1447">
            <v>243.68</v>
          </cell>
          <cell r="X1447" t="str">
            <v>Claims - gross</v>
          </cell>
          <cell r="Y1447" t="str">
            <v>THAILAND</v>
          </cell>
        </row>
        <row r="1448">
          <cell r="L1448" t="str">
            <v>Proportional</v>
          </cell>
          <cell r="S1448">
            <v>-3637.64</v>
          </cell>
          <cell r="X1448" t="str">
            <v>Claims - gross</v>
          </cell>
          <cell r="Y1448" t="str">
            <v>Thailand</v>
          </cell>
        </row>
        <row r="1449">
          <cell r="L1449" t="str">
            <v>Proportional</v>
          </cell>
          <cell r="S1449">
            <v>-5837.69</v>
          </cell>
          <cell r="X1449" t="str">
            <v>Claims - gross</v>
          </cell>
          <cell r="Y1449" t="str">
            <v>Thailand</v>
          </cell>
        </row>
        <row r="1450">
          <cell r="L1450" t="str">
            <v>Proportional</v>
          </cell>
          <cell r="S1450">
            <v>-45426.74</v>
          </cell>
          <cell r="X1450" t="str">
            <v>Claims - gross</v>
          </cell>
          <cell r="Y1450" t="str">
            <v>Thailand</v>
          </cell>
        </row>
        <row r="1451">
          <cell r="L1451" t="str">
            <v>Non-proportional</v>
          </cell>
          <cell r="S1451">
            <v>96.87</v>
          </cell>
          <cell r="X1451" t="str">
            <v>Claims - gross</v>
          </cell>
          <cell r="Y1451" t="str">
            <v>UNITED KINGDOM</v>
          </cell>
        </row>
        <row r="1452">
          <cell r="L1452" t="str">
            <v>Non-proportional</v>
          </cell>
          <cell r="S1452">
            <v>1442.54</v>
          </cell>
          <cell r="X1452" t="str">
            <v>Claims - gross</v>
          </cell>
          <cell r="Y1452" t="str">
            <v>UNITED KINGDOM</v>
          </cell>
        </row>
        <row r="1453">
          <cell r="L1453" t="str">
            <v>Proportional</v>
          </cell>
          <cell r="S1453">
            <v>-1142354.8999999999</v>
          </cell>
          <cell r="X1453" t="str">
            <v>Claims - gross</v>
          </cell>
          <cell r="Y1453" t="str">
            <v>Thailand</v>
          </cell>
        </row>
        <row r="1454">
          <cell r="L1454" t="str">
            <v>Proportional</v>
          </cell>
          <cell r="S1454">
            <v>5161.8</v>
          </cell>
          <cell r="X1454" t="str">
            <v>Claims - gross</v>
          </cell>
          <cell r="Y1454" t="str">
            <v>INDIA</v>
          </cell>
        </row>
        <row r="1455">
          <cell r="L1455" t="str">
            <v>Non-proportional</v>
          </cell>
          <cell r="S1455">
            <v>-20032.330000000002</v>
          </cell>
          <cell r="X1455" t="str">
            <v>Claims - gross</v>
          </cell>
          <cell r="Y1455" t="str">
            <v>ITALY</v>
          </cell>
        </row>
        <row r="1456">
          <cell r="L1456" t="str">
            <v>Proportional</v>
          </cell>
          <cell r="S1456">
            <v>-3057.94</v>
          </cell>
          <cell r="X1456" t="str">
            <v>Claims - gross</v>
          </cell>
          <cell r="Y1456" t="str">
            <v>Thailand</v>
          </cell>
        </row>
        <row r="1457">
          <cell r="L1457" t="str">
            <v>Proportional</v>
          </cell>
          <cell r="S1457">
            <v>990.11</v>
          </cell>
          <cell r="X1457" t="str">
            <v>Claims - gross</v>
          </cell>
          <cell r="Y1457" t="str">
            <v>THAILAND</v>
          </cell>
        </row>
        <row r="1458">
          <cell r="L1458" t="str">
            <v>Non-proportional</v>
          </cell>
          <cell r="S1458">
            <v>-11188.59</v>
          </cell>
          <cell r="X1458" t="str">
            <v>Claims - gross</v>
          </cell>
          <cell r="Y1458" t="str">
            <v>INDIA</v>
          </cell>
        </row>
        <row r="1459">
          <cell r="L1459" t="str">
            <v>Non-proportional</v>
          </cell>
          <cell r="S1459">
            <v>25537.73</v>
          </cell>
          <cell r="X1459" t="str">
            <v>Claims - gross</v>
          </cell>
          <cell r="Y1459" t="str">
            <v>Belgium</v>
          </cell>
        </row>
        <row r="1460">
          <cell r="L1460" t="str">
            <v>Proportional</v>
          </cell>
          <cell r="S1460">
            <v>-7223.27</v>
          </cell>
          <cell r="X1460" t="str">
            <v>Claims - gross</v>
          </cell>
          <cell r="Y1460" t="str">
            <v>India</v>
          </cell>
        </row>
        <row r="1461">
          <cell r="L1461" t="str">
            <v>Non-proportional</v>
          </cell>
          <cell r="S1461">
            <v>-9417.8700000000008</v>
          </cell>
          <cell r="X1461" t="str">
            <v>Claims - gross</v>
          </cell>
          <cell r="Y1461" t="str">
            <v>UNITED KINGDOM</v>
          </cell>
        </row>
        <row r="1462">
          <cell r="L1462" t="str">
            <v>Non-proportional</v>
          </cell>
          <cell r="S1462">
            <v>1558364.94</v>
          </cell>
          <cell r="X1462" t="str">
            <v>Claims - gross</v>
          </cell>
          <cell r="Y1462" t="str">
            <v>EUROPE</v>
          </cell>
        </row>
        <row r="1463">
          <cell r="L1463" t="str">
            <v>Proportional</v>
          </cell>
          <cell r="S1463">
            <v>5620.52</v>
          </cell>
          <cell r="X1463" t="str">
            <v>Claims - gross</v>
          </cell>
          <cell r="Y1463" t="str">
            <v>THAILAND</v>
          </cell>
        </row>
        <row r="1464">
          <cell r="L1464" t="str">
            <v>Proportional</v>
          </cell>
          <cell r="S1464">
            <v>-30477.759999999998</v>
          </cell>
          <cell r="X1464" t="str">
            <v>Claims - gross</v>
          </cell>
          <cell r="Y1464" t="str">
            <v>THAILAND</v>
          </cell>
        </row>
        <row r="1465">
          <cell r="L1465" t="str">
            <v>Proportional</v>
          </cell>
          <cell r="S1465">
            <v>5180.0600000000004</v>
          </cell>
          <cell r="X1465" t="str">
            <v>Claims - gross</v>
          </cell>
          <cell r="Y1465" t="str">
            <v>INDIA</v>
          </cell>
        </row>
        <row r="1466">
          <cell r="L1466" t="str">
            <v>Non-proportional</v>
          </cell>
          <cell r="S1466">
            <v>1542.34</v>
          </cell>
          <cell r="X1466" t="str">
            <v>Claims - gross</v>
          </cell>
          <cell r="Y1466" t="str">
            <v>UNITED KINGDOM</v>
          </cell>
        </row>
        <row r="1467">
          <cell r="L1467" t="str">
            <v>Non-proportional</v>
          </cell>
          <cell r="S1467">
            <v>-35000000</v>
          </cell>
          <cell r="X1467" t="str">
            <v>Claims - gross</v>
          </cell>
          <cell r="Y1467" t="str">
            <v>THAILAND</v>
          </cell>
        </row>
        <row r="1468">
          <cell r="L1468" t="str">
            <v>Non-proportional</v>
          </cell>
          <cell r="S1468">
            <v>-13620.47</v>
          </cell>
          <cell r="X1468" t="str">
            <v>Claims - gross</v>
          </cell>
          <cell r="Y1468" t="str">
            <v>Belgium</v>
          </cell>
        </row>
        <row r="1469">
          <cell r="L1469" t="str">
            <v>Proportional</v>
          </cell>
          <cell r="S1469">
            <v>-193504.07</v>
          </cell>
          <cell r="X1469" t="str">
            <v>Claims - gross</v>
          </cell>
          <cell r="Y1469" t="str">
            <v>India</v>
          </cell>
        </row>
        <row r="1470">
          <cell r="L1470" t="str">
            <v>Proportional</v>
          </cell>
          <cell r="S1470">
            <v>11.55</v>
          </cell>
          <cell r="X1470" t="str">
            <v>Claims - gross</v>
          </cell>
          <cell r="Y1470" t="str">
            <v>Thailand</v>
          </cell>
        </row>
        <row r="1471">
          <cell r="L1471" t="str">
            <v>Non-proportional</v>
          </cell>
          <cell r="S1471">
            <v>-669720</v>
          </cell>
          <cell r="X1471" t="str">
            <v>Claims - gross</v>
          </cell>
          <cell r="Y1471" t="str">
            <v>THAILAND</v>
          </cell>
        </row>
        <row r="1472">
          <cell r="L1472" t="str">
            <v>Non-proportional</v>
          </cell>
          <cell r="S1472">
            <v>937608</v>
          </cell>
          <cell r="X1472" t="str">
            <v>Claims - gross</v>
          </cell>
          <cell r="Y1472" t="str">
            <v>THAILAND</v>
          </cell>
        </row>
        <row r="1473">
          <cell r="L1473" t="str">
            <v>Proportional</v>
          </cell>
          <cell r="S1473">
            <v>-12396.16</v>
          </cell>
          <cell r="X1473" t="str">
            <v>Claims - gross</v>
          </cell>
          <cell r="Y1473" t="str">
            <v>Thailand</v>
          </cell>
        </row>
        <row r="1474">
          <cell r="L1474" t="str">
            <v>Proportional</v>
          </cell>
          <cell r="S1474">
            <v>-37702.870000000003</v>
          </cell>
          <cell r="X1474" t="str">
            <v>Claims - gross</v>
          </cell>
          <cell r="Y1474" t="str">
            <v>India</v>
          </cell>
        </row>
        <row r="1475">
          <cell r="L1475" t="str">
            <v>Proportional</v>
          </cell>
          <cell r="S1475">
            <v>44767.67</v>
          </cell>
          <cell r="X1475" t="str">
            <v>Claims - gross</v>
          </cell>
          <cell r="Y1475" t="str">
            <v>Thailand</v>
          </cell>
        </row>
        <row r="1476">
          <cell r="L1476" t="str">
            <v>Proportional</v>
          </cell>
          <cell r="S1476">
            <v>35868</v>
          </cell>
          <cell r="X1476" t="str">
            <v>Claims - gross</v>
          </cell>
          <cell r="Y1476" t="str">
            <v>THAILAND</v>
          </cell>
        </row>
        <row r="1477">
          <cell r="L1477" t="str">
            <v>Proportional</v>
          </cell>
          <cell r="S1477">
            <v>266.42</v>
          </cell>
          <cell r="X1477" t="str">
            <v>Claims - gross</v>
          </cell>
          <cell r="Y1477" t="str">
            <v>THAILAND</v>
          </cell>
        </row>
        <row r="1478">
          <cell r="L1478" t="str">
            <v>Proportional</v>
          </cell>
          <cell r="S1478">
            <v>3341.97</v>
          </cell>
          <cell r="X1478" t="str">
            <v>Claims - gross</v>
          </cell>
          <cell r="Y1478" t="str">
            <v>UNITED STATES</v>
          </cell>
        </row>
        <row r="1479">
          <cell r="L1479" t="str">
            <v>Non-proportional</v>
          </cell>
          <cell r="S1479">
            <v>-390355.49</v>
          </cell>
          <cell r="X1479" t="str">
            <v>Claims - gross</v>
          </cell>
          <cell r="Y1479" t="str">
            <v>UNITED KINGDOM</v>
          </cell>
        </row>
        <row r="1480">
          <cell r="L1480" t="str">
            <v>Proportional</v>
          </cell>
          <cell r="S1480">
            <v>-91236.84</v>
          </cell>
          <cell r="X1480" t="str">
            <v>Claims - gross</v>
          </cell>
          <cell r="Y1480" t="str">
            <v>INDIA</v>
          </cell>
        </row>
        <row r="1481">
          <cell r="L1481" t="str">
            <v>Proportional</v>
          </cell>
          <cell r="S1481">
            <v>136622.29</v>
          </cell>
          <cell r="X1481" t="str">
            <v>Claims - gross</v>
          </cell>
          <cell r="Y1481" t="str">
            <v>Thailand</v>
          </cell>
        </row>
        <row r="1482">
          <cell r="L1482" t="str">
            <v>Non-proportional</v>
          </cell>
          <cell r="S1482">
            <v>238885.84</v>
          </cell>
          <cell r="X1482" t="str">
            <v>Claims - gross</v>
          </cell>
          <cell r="Y1482" t="str">
            <v>BELGIUM</v>
          </cell>
        </row>
        <row r="1483">
          <cell r="L1483" t="str">
            <v>Non-proportional</v>
          </cell>
          <cell r="S1483">
            <v>35000000</v>
          </cell>
          <cell r="X1483" t="str">
            <v>Claims - gross</v>
          </cell>
          <cell r="Y1483" t="str">
            <v>THAILAND</v>
          </cell>
        </row>
        <row r="1484">
          <cell r="L1484" t="str">
            <v>Proportional</v>
          </cell>
          <cell r="S1484">
            <v>-24.11</v>
          </cell>
          <cell r="X1484" t="str">
            <v>Claims - gross</v>
          </cell>
          <cell r="Y1484" t="str">
            <v>Thailand</v>
          </cell>
        </row>
        <row r="1485">
          <cell r="L1485" t="str">
            <v>Non-proportional</v>
          </cell>
          <cell r="S1485">
            <v>9709.6</v>
          </cell>
          <cell r="X1485" t="str">
            <v>Claims - gross</v>
          </cell>
          <cell r="Y1485" t="str">
            <v>UNITED KINGDOM</v>
          </cell>
        </row>
        <row r="1486">
          <cell r="L1486" t="str">
            <v>Proportional</v>
          </cell>
          <cell r="S1486">
            <v>-190460.42</v>
          </cell>
          <cell r="X1486" t="str">
            <v>Claims - gross</v>
          </cell>
          <cell r="Y1486" t="str">
            <v>Thailand</v>
          </cell>
        </row>
        <row r="1487">
          <cell r="L1487" t="str">
            <v>Proportional</v>
          </cell>
          <cell r="S1487">
            <v>-8077.02</v>
          </cell>
          <cell r="X1487" t="str">
            <v>Claims - gross</v>
          </cell>
          <cell r="Y1487" t="str">
            <v>THAILAND</v>
          </cell>
        </row>
        <row r="1488">
          <cell r="L1488" t="str">
            <v>Proportional</v>
          </cell>
          <cell r="S1488">
            <v>-91144.31</v>
          </cell>
          <cell r="X1488" t="str">
            <v>Claims - gross</v>
          </cell>
          <cell r="Y1488" t="str">
            <v>THAILAND</v>
          </cell>
        </row>
        <row r="1489">
          <cell r="L1489" t="str">
            <v>Proportional</v>
          </cell>
          <cell r="S1489">
            <v>-9868.2800000000007</v>
          </cell>
          <cell r="X1489" t="str">
            <v>Claims - gross</v>
          </cell>
          <cell r="Y1489" t="str">
            <v>INDIA</v>
          </cell>
        </row>
        <row r="1490">
          <cell r="L1490" t="str">
            <v>Non-proportional</v>
          </cell>
          <cell r="S1490">
            <v>40</v>
          </cell>
          <cell r="X1490" t="str">
            <v>Claims - gross</v>
          </cell>
          <cell r="Y1490" t="str">
            <v>Portugal</v>
          </cell>
        </row>
        <row r="1491">
          <cell r="L1491" t="str">
            <v>Proportional</v>
          </cell>
          <cell r="S1491">
            <v>-22804.12</v>
          </cell>
          <cell r="X1491" t="str">
            <v>Claims - gross</v>
          </cell>
          <cell r="Y1491" t="str">
            <v>INDIA</v>
          </cell>
        </row>
        <row r="1492">
          <cell r="L1492" t="str">
            <v>Non-proportional</v>
          </cell>
          <cell r="S1492">
            <v>1750</v>
          </cell>
          <cell r="X1492" t="str">
            <v>Claims - gross</v>
          </cell>
          <cell r="Y1492" t="str">
            <v>Italy</v>
          </cell>
        </row>
        <row r="1493">
          <cell r="L1493" t="str">
            <v>Non-proportional</v>
          </cell>
          <cell r="S1493">
            <v>-7966.43</v>
          </cell>
          <cell r="X1493" t="str">
            <v>Claims - gross</v>
          </cell>
          <cell r="Y1493" t="str">
            <v>UNITED KINGDOM</v>
          </cell>
        </row>
        <row r="1494">
          <cell r="L1494" t="str">
            <v>Proportional</v>
          </cell>
          <cell r="S1494">
            <v>12311.94</v>
          </cell>
          <cell r="X1494" t="str">
            <v>Claims - gross</v>
          </cell>
          <cell r="Y1494" t="str">
            <v>JAPAN</v>
          </cell>
        </row>
        <row r="1495">
          <cell r="L1495" t="str">
            <v>Proportional</v>
          </cell>
          <cell r="S1495">
            <v>164.9</v>
          </cell>
          <cell r="X1495" t="str">
            <v>Claims - gross</v>
          </cell>
          <cell r="Y1495" t="str">
            <v>INDIA</v>
          </cell>
        </row>
        <row r="1496">
          <cell r="L1496" t="str">
            <v>Proportional</v>
          </cell>
          <cell r="S1496">
            <v>1264.6400000000001</v>
          </cell>
          <cell r="X1496" t="str">
            <v>Claims - gross</v>
          </cell>
          <cell r="Y1496" t="str">
            <v>THAILAND</v>
          </cell>
        </row>
        <row r="1497">
          <cell r="L1497" t="str">
            <v>Proportional</v>
          </cell>
          <cell r="S1497">
            <v>170870.04</v>
          </cell>
          <cell r="X1497" t="str">
            <v>Claims - gross</v>
          </cell>
          <cell r="Y1497" t="str">
            <v>UNITED STATES</v>
          </cell>
        </row>
        <row r="1498">
          <cell r="L1498" t="str">
            <v>Non-proportional</v>
          </cell>
          <cell r="S1498">
            <v>61326.73</v>
          </cell>
          <cell r="X1498" t="str">
            <v>Claims - gross</v>
          </cell>
          <cell r="Y1498" t="str">
            <v>POLAND</v>
          </cell>
        </row>
        <row r="1499">
          <cell r="L1499" t="str">
            <v>Non-proportional</v>
          </cell>
          <cell r="S1499">
            <v>20032.330000000002</v>
          </cell>
          <cell r="X1499" t="str">
            <v>Claims - gross</v>
          </cell>
          <cell r="Y1499" t="str">
            <v>ITALY</v>
          </cell>
        </row>
        <row r="1500">
          <cell r="L1500" t="str">
            <v>Non-proportional</v>
          </cell>
          <cell r="S1500">
            <v>-0.21</v>
          </cell>
          <cell r="X1500" t="str">
            <v>Claims - gross</v>
          </cell>
          <cell r="Y1500" t="str">
            <v>United kingdom</v>
          </cell>
        </row>
        <row r="1501">
          <cell r="L1501" t="str">
            <v>Non-proportional</v>
          </cell>
          <cell r="S1501">
            <v>-1339875.21</v>
          </cell>
          <cell r="X1501" t="str">
            <v>Claims - gross</v>
          </cell>
          <cell r="Y1501" t="str">
            <v>UNITED KINGDOM</v>
          </cell>
        </row>
        <row r="1502">
          <cell r="L1502" t="str">
            <v>Non-proportional</v>
          </cell>
          <cell r="S1502">
            <v>355719</v>
          </cell>
          <cell r="X1502" t="str">
            <v>Claims - gross</v>
          </cell>
          <cell r="Y1502" t="str">
            <v>UNITED KINGDOM</v>
          </cell>
        </row>
        <row r="1503">
          <cell r="L1503" t="str">
            <v>Non-proportional</v>
          </cell>
          <cell r="S1503">
            <v>669720</v>
          </cell>
          <cell r="X1503" t="str">
            <v>Claims - gross</v>
          </cell>
          <cell r="Y1503" t="str">
            <v>THAILAND</v>
          </cell>
        </row>
        <row r="1504">
          <cell r="L1504" t="str">
            <v>Non-proportional</v>
          </cell>
          <cell r="S1504">
            <v>0</v>
          </cell>
          <cell r="X1504" t="str">
            <v>Claims - gross</v>
          </cell>
          <cell r="Y1504" t="str">
            <v>INDIA</v>
          </cell>
        </row>
        <row r="1505">
          <cell r="L1505" t="str">
            <v>Non-proportional</v>
          </cell>
          <cell r="S1505">
            <v>-16481.68</v>
          </cell>
          <cell r="X1505" t="str">
            <v>Claims - gross</v>
          </cell>
          <cell r="Y1505" t="str">
            <v>UNITED KINGDOM</v>
          </cell>
        </row>
        <row r="1506">
          <cell r="L1506" t="str">
            <v>Proportional</v>
          </cell>
          <cell r="S1506">
            <v>4955.26</v>
          </cell>
          <cell r="X1506" t="str">
            <v>Claims - gross</v>
          </cell>
          <cell r="Y1506" t="str">
            <v>THAILAND</v>
          </cell>
        </row>
        <row r="1507">
          <cell r="L1507" t="str">
            <v>Proportional</v>
          </cell>
          <cell r="S1507">
            <v>-6980.13</v>
          </cell>
          <cell r="X1507" t="str">
            <v>Claims - gross</v>
          </cell>
          <cell r="Y1507" t="str">
            <v>India</v>
          </cell>
        </row>
        <row r="1508">
          <cell r="L1508" t="str">
            <v>Proportional</v>
          </cell>
          <cell r="S1508">
            <v>-3496369.18</v>
          </cell>
          <cell r="X1508" t="str">
            <v>Claims - gross</v>
          </cell>
          <cell r="Y1508" t="str">
            <v>THAILAND</v>
          </cell>
        </row>
        <row r="1509">
          <cell r="L1509" t="str">
            <v>Non-proportional</v>
          </cell>
          <cell r="S1509">
            <v>-35761.57</v>
          </cell>
          <cell r="X1509" t="str">
            <v>Claims - gross</v>
          </cell>
          <cell r="Y1509" t="str">
            <v>UNITED KINGDOM</v>
          </cell>
        </row>
        <row r="1510">
          <cell r="L1510" t="str">
            <v>Non-proportional</v>
          </cell>
          <cell r="S1510">
            <v>-585472.16</v>
          </cell>
          <cell r="X1510" t="str">
            <v>Claims - gross</v>
          </cell>
          <cell r="Y1510" t="str">
            <v>UNITED KINGDOM</v>
          </cell>
        </row>
        <row r="1511">
          <cell r="L1511" t="str">
            <v>Proportional</v>
          </cell>
          <cell r="S1511">
            <v>708973.05</v>
          </cell>
          <cell r="X1511" t="str">
            <v>Claims - gross</v>
          </cell>
          <cell r="Y1511" t="str">
            <v>UNITED STATES</v>
          </cell>
        </row>
        <row r="1512">
          <cell r="L1512" t="str">
            <v>Non-proportional</v>
          </cell>
          <cell r="S1512">
            <v>2797.64</v>
          </cell>
          <cell r="X1512" t="str">
            <v>Claims - gross</v>
          </cell>
          <cell r="Y1512" t="str">
            <v>Italy</v>
          </cell>
        </row>
        <row r="1513">
          <cell r="L1513" t="str">
            <v>Non-proportional</v>
          </cell>
          <cell r="S1513">
            <v>-11948.41</v>
          </cell>
          <cell r="X1513" t="str">
            <v>Claims - gross</v>
          </cell>
          <cell r="Y1513" t="str">
            <v>UNITED KINGDOM</v>
          </cell>
        </row>
        <row r="1514">
          <cell r="L1514" t="str">
            <v>Non-proportional</v>
          </cell>
          <cell r="S1514">
            <v>-461475.73</v>
          </cell>
          <cell r="X1514" t="str">
            <v>Claims - gross</v>
          </cell>
          <cell r="Y1514" t="str">
            <v>UNITED KINGDOM</v>
          </cell>
        </row>
        <row r="1515">
          <cell r="L1515" t="str">
            <v>Non-proportional</v>
          </cell>
          <cell r="S1515">
            <v>-31023.34</v>
          </cell>
          <cell r="X1515" t="str">
            <v>Claims - gross</v>
          </cell>
          <cell r="Y1515" t="str">
            <v>Belgium</v>
          </cell>
        </row>
        <row r="1516">
          <cell r="L1516" t="str">
            <v>Proportional</v>
          </cell>
          <cell r="S1516">
            <v>618872.78</v>
          </cell>
          <cell r="X1516" t="str">
            <v>Claims - gross</v>
          </cell>
          <cell r="Y1516" t="str">
            <v>UNITED STATES</v>
          </cell>
        </row>
        <row r="1517">
          <cell r="L1517" t="str">
            <v>Proportional</v>
          </cell>
          <cell r="S1517">
            <v>-277361.32</v>
          </cell>
          <cell r="X1517" t="str">
            <v>Claims - gross</v>
          </cell>
          <cell r="Y1517" t="str">
            <v>THAILAND</v>
          </cell>
        </row>
        <row r="1518">
          <cell r="L1518" t="str">
            <v>Proportional</v>
          </cell>
          <cell r="S1518">
            <v>-4141098.37</v>
          </cell>
          <cell r="X1518" t="str">
            <v>Claims - gross</v>
          </cell>
          <cell r="Y1518" t="str">
            <v>THAILAND</v>
          </cell>
        </row>
        <row r="1519">
          <cell r="L1519" t="str">
            <v>Non-proportional</v>
          </cell>
          <cell r="S1519">
            <v>-241099.2</v>
          </cell>
          <cell r="X1519" t="str">
            <v>Claims - gross</v>
          </cell>
          <cell r="Y1519" t="str">
            <v>THAILAND</v>
          </cell>
        </row>
        <row r="1520">
          <cell r="L1520" t="str">
            <v>Proportional</v>
          </cell>
          <cell r="S1520">
            <v>9443.73</v>
          </cell>
          <cell r="X1520" t="str">
            <v>Claims - gross</v>
          </cell>
          <cell r="Y1520" t="str">
            <v>India</v>
          </cell>
        </row>
        <row r="1521">
          <cell r="L1521" t="str">
            <v>Non-proportional</v>
          </cell>
          <cell r="S1521">
            <v>-27969.26</v>
          </cell>
          <cell r="X1521" t="str">
            <v>Claims - gross</v>
          </cell>
          <cell r="Y1521" t="str">
            <v>UNITED KINGDOM</v>
          </cell>
        </row>
        <row r="1522">
          <cell r="L1522" t="str">
            <v>Proportional</v>
          </cell>
          <cell r="S1522">
            <v>508611.35</v>
          </cell>
          <cell r="X1522" t="str">
            <v>Claims - gross</v>
          </cell>
          <cell r="Y1522" t="str">
            <v>UNITED STATES</v>
          </cell>
        </row>
        <row r="1523">
          <cell r="L1523" t="str">
            <v>Proportional</v>
          </cell>
          <cell r="S1523">
            <v>157666.92000000001</v>
          </cell>
          <cell r="X1523" t="str">
            <v>Claims - gross</v>
          </cell>
          <cell r="Y1523" t="str">
            <v>UNITED STATES</v>
          </cell>
        </row>
        <row r="1524">
          <cell r="L1524" t="str">
            <v>Non-proportional</v>
          </cell>
          <cell r="S1524">
            <v>-30104.5</v>
          </cell>
          <cell r="X1524" t="str">
            <v>Claims - gross</v>
          </cell>
          <cell r="Y1524" t="str">
            <v>UNITED KINGDOM</v>
          </cell>
        </row>
        <row r="1525">
          <cell r="L1525" t="str">
            <v>Non-proportional</v>
          </cell>
          <cell r="S1525">
            <v>113276.28</v>
          </cell>
          <cell r="X1525" t="str">
            <v>Claims - gross</v>
          </cell>
          <cell r="Y1525" t="str">
            <v>UNITED KINGDOM</v>
          </cell>
        </row>
        <row r="1526">
          <cell r="L1526" t="str">
            <v>Proportional</v>
          </cell>
          <cell r="S1526">
            <v>1261.1199999999999</v>
          </cell>
          <cell r="X1526" t="str">
            <v>Claims - gross</v>
          </cell>
          <cell r="Y1526" t="str">
            <v>THAILAND</v>
          </cell>
        </row>
        <row r="1527">
          <cell r="L1527" t="str">
            <v>Non-proportional</v>
          </cell>
          <cell r="S1527">
            <v>-1370493.76</v>
          </cell>
          <cell r="X1527" t="str">
            <v>Claims - gross</v>
          </cell>
          <cell r="Y1527" t="str">
            <v>UNITED KINGDOM</v>
          </cell>
        </row>
        <row r="1528">
          <cell r="L1528" t="str">
            <v>Proportional</v>
          </cell>
          <cell r="S1528">
            <v>-63874.13</v>
          </cell>
          <cell r="X1528" t="str">
            <v>Claims - gross</v>
          </cell>
          <cell r="Y1528" t="str">
            <v>Hong Kong</v>
          </cell>
        </row>
        <row r="1529">
          <cell r="L1529" t="str">
            <v>Proportional</v>
          </cell>
          <cell r="S1529">
            <v>-3.44</v>
          </cell>
          <cell r="X1529" t="str">
            <v>Claims - gross</v>
          </cell>
          <cell r="Y1529" t="str">
            <v>Thailand</v>
          </cell>
        </row>
        <row r="1530">
          <cell r="L1530" t="str">
            <v>Proportional</v>
          </cell>
          <cell r="S1530">
            <v>-2562.7600000000002</v>
          </cell>
          <cell r="X1530" t="str">
            <v>Claims - gross</v>
          </cell>
          <cell r="Y1530" t="str">
            <v>Thailand</v>
          </cell>
        </row>
        <row r="1531">
          <cell r="L1531" t="str">
            <v>Proportional</v>
          </cell>
          <cell r="S1531">
            <v>-350</v>
          </cell>
          <cell r="X1531" t="str">
            <v>Claims - gross</v>
          </cell>
          <cell r="Y1531" t="str">
            <v>Italy</v>
          </cell>
        </row>
        <row r="1532">
          <cell r="L1532" t="str">
            <v>Proportional</v>
          </cell>
          <cell r="S1532">
            <v>3.24</v>
          </cell>
          <cell r="X1532" t="str">
            <v>Claims - gross</v>
          </cell>
          <cell r="Y1532" t="str">
            <v>India</v>
          </cell>
        </row>
        <row r="1533">
          <cell r="L1533" t="str">
            <v>Proportional</v>
          </cell>
          <cell r="S1533">
            <v>229.51</v>
          </cell>
          <cell r="X1533" t="str">
            <v>Claims - gross</v>
          </cell>
          <cell r="Y1533" t="str">
            <v>Turkey</v>
          </cell>
        </row>
        <row r="1534">
          <cell r="L1534" t="str">
            <v>Proportional</v>
          </cell>
          <cell r="S1534">
            <v>-5465.22</v>
          </cell>
          <cell r="X1534" t="str">
            <v>Claims - gross</v>
          </cell>
          <cell r="Y1534" t="str">
            <v>Turkey</v>
          </cell>
        </row>
        <row r="1535">
          <cell r="L1535" t="str">
            <v>Proportional</v>
          </cell>
          <cell r="S1535">
            <v>2884.3</v>
          </cell>
          <cell r="X1535" t="str">
            <v>Claims - gross</v>
          </cell>
          <cell r="Y1535" t="str">
            <v>Hong Kong</v>
          </cell>
        </row>
        <row r="1536">
          <cell r="L1536" t="str">
            <v>Non-proportional</v>
          </cell>
          <cell r="S1536">
            <v>83199.06</v>
          </cell>
          <cell r="X1536" t="str">
            <v>Claims - gross</v>
          </cell>
          <cell r="Y1536" t="str">
            <v>Portugal</v>
          </cell>
        </row>
        <row r="1537">
          <cell r="L1537" t="str">
            <v>Non-proportional</v>
          </cell>
          <cell r="S1537">
            <v>-5045.2299999999996</v>
          </cell>
          <cell r="X1537" t="str">
            <v>Claims - gross</v>
          </cell>
          <cell r="Y1537" t="str">
            <v>Belgium</v>
          </cell>
        </row>
        <row r="1538">
          <cell r="L1538" t="str">
            <v>Non-proportional</v>
          </cell>
          <cell r="S1538">
            <v>2337814.14</v>
          </cell>
          <cell r="X1538" t="str">
            <v>Claims - gross</v>
          </cell>
          <cell r="Y1538" t="str">
            <v>UNITED KINGDOM</v>
          </cell>
        </row>
        <row r="1539">
          <cell r="L1539" t="str">
            <v>Proportional</v>
          </cell>
          <cell r="S1539">
            <v>4.04</v>
          </cell>
          <cell r="X1539" t="str">
            <v>Claims - gross</v>
          </cell>
          <cell r="Y1539" t="str">
            <v>HONG KONG</v>
          </cell>
        </row>
        <row r="1540">
          <cell r="L1540" t="str">
            <v>Non-proportional</v>
          </cell>
          <cell r="S1540">
            <v>7013442.4199999999</v>
          </cell>
          <cell r="X1540" t="str">
            <v>Claims - gross</v>
          </cell>
          <cell r="Y1540" t="str">
            <v>UNITED KINGDOM</v>
          </cell>
        </row>
        <row r="1541">
          <cell r="L1541" t="str">
            <v>Non-proportional</v>
          </cell>
          <cell r="S1541">
            <v>-11843.24</v>
          </cell>
          <cell r="X1541" t="str">
            <v>Claims - gross</v>
          </cell>
          <cell r="Y1541" t="str">
            <v>CZECH REPUBLIC</v>
          </cell>
        </row>
        <row r="1542">
          <cell r="L1542" t="str">
            <v>Non-proportional</v>
          </cell>
          <cell r="S1542">
            <v>226767.97</v>
          </cell>
          <cell r="X1542" t="str">
            <v>Claims - gross</v>
          </cell>
          <cell r="Y1542" t="str">
            <v>UNITED KINGDOM</v>
          </cell>
        </row>
        <row r="1543">
          <cell r="L1543" t="str">
            <v>Proportional</v>
          </cell>
          <cell r="S1543">
            <v>-3376.19</v>
          </cell>
          <cell r="X1543" t="str">
            <v>Claims - gross</v>
          </cell>
          <cell r="Y1543" t="str">
            <v>Turkey</v>
          </cell>
        </row>
        <row r="1544">
          <cell r="L1544" t="str">
            <v>Proportional</v>
          </cell>
          <cell r="S1544">
            <v>82.76</v>
          </cell>
          <cell r="X1544" t="str">
            <v>Claims - gross</v>
          </cell>
          <cell r="Y1544" t="str">
            <v>Turkey</v>
          </cell>
        </row>
        <row r="1545">
          <cell r="L1545" t="str">
            <v>Non-proportional</v>
          </cell>
          <cell r="S1545">
            <v>24613.02</v>
          </cell>
          <cell r="X1545" t="str">
            <v>Claims - gross</v>
          </cell>
          <cell r="Y1545" t="str">
            <v>SLOVENIA</v>
          </cell>
        </row>
        <row r="1546">
          <cell r="L1546" t="str">
            <v>Non-proportional</v>
          </cell>
          <cell r="S1546">
            <v>11527.2</v>
          </cell>
          <cell r="X1546" t="str">
            <v>Claims - gross</v>
          </cell>
          <cell r="Y1546" t="str">
            <v>UNITED KINGDOM</v>
          </cell>
        </row>
        <row r="1547">
          <cell r="L1547" t="str">
            <v>Proportional</v>
          </cell>
          <cell r="S1547">
            <v>6051.53</v>
          </cell>
          <cell r="X1547" t="str">
            <v>Claims - gross</v>
          </cell>
          <cell r="Y1547" t="str">
            <v>Turkey</v>
          </cell>
        </row>
        <row r="1548">
          <cell r="L1548" t="str">
            <v>Proportional</v>
          </cell>
          <cell r="S1548">
            <v>21365</v>
          </cell>
          <cell r="X1548" t="str">
            <v>Claims - gross</v>
          </cell>
          <cell r="Y1548" t="str">
            <v>UNITED STATES</v>
          </cell>
        </row>
        <row r="1549">
          <cell r="L1549" t="str">
            <v>Non-proportional</v>
          </cell>
          <cell r="S1549">
            <v>1753360.61</v>
          </cell>
          <cell r="X1549" t="str">
            <v>Claims - gross</v>
          </cell>
          <cell r="Y1549" t="str">
            <v>UNITED KINGDOM</v>
          </cell>
        </row>
        <row r="1550">
          <cell r="L1550" t="str">
            <v>Proportional</v>
          </cell>
          <cell r="S1550">
            <v>1324.55</v>
          </cell>
          <cell r="X1550" t="str">
            <v>Claims - gross</v>
          </cell>
          <cell r="Y1550" t="str">
            <v>Turkey</v>
          </cell>
        </row>
        <row r="1551">
          <cell r="L1551" t="str">
            <v>Proportional</v>
          </cell>
          <cell r="S1551">
            <v>-161.63</v>
          </cell>
          <cell r="X1551" t="str">
            <v>Claims - gross</v>
          </cell>
          <cell r="Y1551" t="str">
            <v>Turkey</v>
          </cell>
        </row>
        <row r="1552">
          <cell r="L1552" t="str">
            <v>Non-proportional</v>
          </cell>
          <cell r="S1552">
            <v>-99746.19</v>
          </cell>
          <cell r="X1552" t="str">
            <v>Claims - gross</v>
          </cell>
          <cell r="Y1552" t="str">
            <v>CZECH REPUBLIC</v>
          </cell>
        </row>
        <row r="1553">
          <cell r="L1553" t="str">
            <v>Proportional</v>
          </cell>
          <cell r="S1553">
            <v>-1870.91</v>
          </cell>
          <cell r="X1553" t="str">
            <v>Claims - gross</v>
          </cell>
          <cell r="Y1553" t="str">
            <v>Turkey</v>
          </cell>
        </row>
        <row r="1554">
          <cell r="L1554" t="str">
            <v>Non-proportional</v>
          </cell>
          <cell r="S1554">
            <v>-312331.5</v>
          </cell>
          <cell r="X1554" t="str">
            <v>Claims - gross</v>
          </cell>
          <cell r="Y1554" t="str">
            <v>United kingdom</v>
          </cell>
        </row>
        <row r="1555">
          <cell r="L1555" t="str">
            <v>Non-proportional</v>
          </cell>
          <cell r="S1555">
            <v>-85012.87</v>
          </cell>
          <cell r="X1555" t="str">
            <v>Claims - gross</v>
          </cell>
          <cell r="Y1555" t="str">
            <v>Belgium</v>
          </cell>
        </row>
        <row r="1556">
          <cell r="L1556" t="str">
            <v>Non-proportional</v>
          </cell>
          <cell r="S1556">
            <v>-135335.04000000001</v>
          </cell>
          <cell r="X1556" t="str">
            <v>Claims - gross</v>
          </cell>
          <cell r="Y1556" t="str">
            <v>TURKEY</v>
          </cell>
        </row>
        <row r="1557">
          <cell r="L1557" t="str">
            <v>Proportional</v>
          </cell>
          <cell r="S1557">
            <v>-1299.51</v>
          </cell>
          <cell r="X1557" t="str">
            <v>Claims - gross</v>
          </cell>
          <cell r="Y1557" t="str">
            <v>Turkey</v>
          </cell>
        </row>
        <row r="1558">
          <cell r="L1558" t="str">
            <v>Non-proportional</v>
          </cell>
          <cell r="S1558">
            <v>-4983.37</v>
          </cell>
          <cell r="X1558" t="str">
            <v>Claims - gross</v>
          </cell>
          <cell r="Y1558" t="str">
            <v>Belgium</v>
          </cell>
        </row>
        <row r="1559">
          <cell r="L1559" t="str">
            <v>Proportional</v>
          </cell>
          <cell r="S1559">
            <v>78670.33</v>
          </cell>
          <cell r="X1559" t="str">
            <v>Claims - gross</v>
          </cell>
          <cell r="Y1559" t="str">
            <v>TURKEY</v>
          </cell>
        </row>
        <row r="1560">
          <cell r="L1560" t="str">
            <v>Proportional</v>
          </cell>
          <cell r="S1560">
            <v>2030.74</v>
          </cell>
          <cell r="X1560" t="str">
            <v>Claims - gross</v>
          </cell>
          <cell r="Y1560" t="str">
            <v>Turkey</v>
          </cell>
        </row>
        <row r="1561">
          <cell r="L1561" t="str">
            <v>Proportional</v>
          </cell>
          <cell r="S1561">
            <v>53.99</v>
          </cell>
          <cell r="X1561" t="str">
            <v>Claims - gross</v>
          </cell>
          <cell r="Y1561" t="str">
            <v>Turkey</v>
          </cell>
        </row>
        <row r="1562">
          <cell r="L1562" t="str">
            <v>Non-proportional</v>
          </cell>
          <cell r="S1562">
            <v>-15376.39</v>
          </cell>
          <cell r="X1562" t="str">
            <v>Claims - gross</v>
          </cell>
          <cell r="Y1562" t="str">
            <v>United kingdom</v>
          </cell>
        </row>
        <row r="1563">
          <cell r="L1563" t="str">
            <v>Proportional</v>
          </cell>
          <cell r="S1563">
            <v>81996.69</v>
          </cell>
          <cell r="X1563" t="str">
            <v>Claims - gross</v>
          </cell>
          <cell r="Y1563" t="str">
            <v>UNITED STATES</v>
          </cell>
        </row>
        <row r="1564">
          <cell r="L1564" t="str">
            <v>Proportional</v>
          </cell>
          <cell r="S1564">
            <v>25863.25</v>
          </cell>
          <cell r="X1564" t="str">
            <v>Claims - gross</v>
          </cell>
          <cell r="Y1564" t="str">
            <v>FRANCE</v>
          </cell>
        </row>
        <row r="1565">
          <cell r="L1565" t="str">
            <v>Non-proportional</v>
          </cell>
          <cell r="S1565">
            <v>43070.82</v>
          </cell>
          <cell r="X1565" t="str">
            <v>Claims - gross</v>
          </cell>
          <cell r="Y1565" t="str">
            <v>MEXICO</v>
          </cell>
        </row>
        <row r="1566">
          <cell r="L1566" t="str">
            <v>Proportional</v>
          </cell>
          <cell r="S1566">
            <v>-1234.73</v>
          </cell>
          <cell r="X1566" t="str">
            <v>Claims - gross</v>
          </cell>
          <cell r="Y1566" t="str">
            <v>Hong Kong</v>
          </cell>
        </row>
        <row r="1567">
          <cell r="L1567" t="str">
            <v>Non-proportional</v>
          </cell>
          <cell r="S1567">
            <v>-16426.400000000001</v>
          </cell>
          <cell r="X1567" t="str">
            <v>Claims - gross</v>
          </cell>
          <cell r="Y1567" t="str">
            <v>BELGIUM</v>
          </cell>
        </row>
        <row r="1568">
          <cell r="L1568" t="str">
            <v>Non-proportional</v>
          </cell>
          <cell r="S1568">
            <v>-3476.42</v>
          </cell>
          <cell r="X1568" t="str">
            <v>Claims - gross</v>
          </cell>
          <cell r="Y1568" t="str">
            <v>CZECH REPUBLIC</v>
          </cell>
        </row>
        <row r="1569">
          <cell r="L1569" t="str">
            <v>Non-proportional</v>
          </cell>
          <cell r="S1569">
            <v>-517127.35</v>
          </cell>
          <cell r="X1569" t="str">
            <v>Claims - gross</v>
          </cell>
          <cell r="Y1569" t="str">
            <v>United kingdom</v>
          </cell>
        </row>
        <row r="1570">
          <cell r="L1570" t="str">
            <v>Proportional</v>
          </cell>
          <cell r="S1570">
            <v>-4183.95</v>
          </cell>
          <cell r="X1570" t="str">
            <v>Claims - gross</v>
          </cell>
          <cell r="Y1570" t="str">
            <v>TURKEY</v>
          </cell>
        </row>
        <row r="1571">
          <cell r="L1571" t="str">
            <v>Proportional</v>
          </cell>
          <cell r="S1571">
            <v>32061.54</v>
          </cell>
          <cell r="X1571" t="str">
            <v>Claims - gross</v>
          </cell>
          <cell r="Y1571" t="str">
            <v>Turkey</v>
          </cell>
        </row>
        <row r="1572">
          <cell r="L1572" t="str">
            <v>Non-proportional</v>
          </cell>
          <cell r="S1572">
            <v>60000</v>
          </cell>
          <cell r="X1572" t="str">
            <v>Claims - gross</v>
          </cell>
          <cell r="Y1572" t="str">
            <v>MEXICO</v>
          </cell>
        </row>
        <row r="1573">
          <cell r="L1573" t="str">
            <v>Proportional</v>
          </cell>
          <cell r="S1573">
            <v>-62237.83</v>
          </cell>
          <cell r="X1573" t="str">
            <v>Claims - gross</v>
          </cell>
          <cell r="Y1573" t="str">
            <v>Hong Kong</v>
          </cell>
        </row>
        <row r="1574">
          <cell r="L1574" t="str">
            <v>Non-proportional</v>
          </cell>
          <cell r="S1574">
            <v>40770.79</v>
          </cell>
          <cell r="X1574" t="str">
            <v>Claims - gross</v>
          </cell>
          <cell r="Y1574" t="str">
            <v>CZECH REPUBLIC</v>
          </cell>
        </row>
        <row r="1575">
          <cell r="L1575" t="str">
            <v>Non-proportional</v>
          </cell>
          <cell r="S1575">
            <v>4500</v>
          </cell>
          <cell r="X1575" t="str">
            <v>Claims - gross</v>
          </cell>
          <cell r="Y1575" t="str">
            <v>ITALY</v>
          </cell>
        </row>
        <row r="1576">
          <cell r="L1576" t="str">
            <v>Proportional</v>
          </cell>
          <cell r="S1576">
            <v>5424.11</v>
          </cell>
          <cell r="X1576" t="str">
            <v>Claims - gross</v>
          </cell>
          <cell r="Y1576" t="str">
            <v>Ireland</v>
          </cell>
        </row>
        <row r="1577">
          <cell r="L1577" t="str">
            <v>Non-proportional</v>
          </cell>
          <cell r="S1577">
            <v>-669724.09</v>
          </cell>
          <cell r="X1577" t="str">
            <v>Claims - gross</v>
          </cell>
          <cell r="Y1577" t="str">
            <v>UNITED KINGDOM</v>
          </cell>
        </row>
        <row r="1578">
          <cell r="L1578" t="str">
            <v>Proportional</v>
          </cell>
          <cell r="S1578">
            <v>6195.36</v>
          </cell>
          <cell r="X1578" t="str">
            <v>Claims - gross</v>
          </cell>
          <cell r="Y1578" t="str">
            <v>Turkey</v>
          </cell>
        </row>
        <row r="1579">
          <cell r="L1579" t="str">
            <v>Non-proportional</v>
          </cell>
          <cell r="S1579">
            <v>1440166.45</v>
          </cell>
          <cell r="X1579" t="str">
            <v>Claims - gross</v>
          </cell>
          <cell r="Y1579" t="str">
            <v>UNITED KINGDOM</v>
          </cell>
        </row>
        <row r="1580">
          <cell r="L1580" t="str">
            <v>Proportional</v>
          </cell>
          <cell r="S1580">
            <v>53.07</v>
          </cell>
          <cell r="X1580" t="str">
            <v>Claims - gross</v>
          </cell>
          <cell r="Y1580" t="str">
            <v>Turkey</v>
          </cell>
        </row>
        <row r="1581">
          <cell r="L1581" t="str">
            <v>Non-proportional</v>
          </cell>
          <cell r="S1581">
            <v>5760665.7999999998</v>
          </cell>
          <cell r="X1581" t="str">
            <v>Claims - gross</v>
          </cell>
          <cell r="Y1581" t="str">
            <v>UNITED KINGDOM</v>
          </cell>
        </row>
        <row r="1582">
          <cell r="L1582" t="str">
            <v>Proportional</v>
          </cell>
          <cell r="S1582">
            <v>-367789.93</v>
          </cell>
          <cell r="X1582" t="str">
            <v>Claims - gross</v>
          </cell>
          <cell r="Y1582" t="str">
            <v>Turkey</v>
          </cell>
        </row>
        <row r="1583">
          <cell r="L1583" t="str">
            <v>Proportional</v>
          </cell>
          <cell r="S1583">
            <v>13523.71</v>
          </cell>
          <cell r="X1583" t="str">
            <v>Claims - gross</v>
          </cell>
          <cell r="Y1583" t="str">
            <v>JAPAN</v>
          </cell>
        </row>
        <row r="1584">
          <cell r="L1584" t="str">
            <v>Proportional</v>
          </cell>
          <cell r="S1584">
            <v>152805.79999999999</v>
          </cell>
          <cell r="X1584" t="str">
            <v>Claims - gross</v>
          </cell>
          <cell r="Y1584" t="str">
            <v>UNITED STATES</v>
          </cell>
        </row>
        <row r="1585">
          <cell r="L1585" t="str">
            <v>Proportional</v>
          </cell>
          <cell r="S1585">
            <v>-833527.87</v>
          </cell>
          <cell r="X1585" t="str">
            <v>Claims - gross</v>
          </cell>
          <cell r="Y1585" t="str">
            <v>UNITED STATES</v>
          </cell>
        </row>
        <row r="1586">
          <cell r="L1586" t="str">
            <v>Non-proportional</v>
          </cell>
          <cell r="S1586">
            <v>-49452.93</v>
          </cell>
          <cell r="X1586" t="str">
            <v>Claims - gross</v>
          </cell>
          <cell r="Y1586" t="str">
            <v>Belgium</v>
          </cell>
        </row>
        <row r="1587">
          <cell r="L1587" t="str">
            <v>Non-proportional</v>
          </cell>
          <cell r="S1587">
            <v>-6954.67</v>
          </cell>
          <cell r="X1587" t="str">
            <v>Claims - gross</v>
          </cell>
          <cell r="Y1587" t="str">
            <v>CZECH REPUBLIC</v>
          </cell>
        </row>
        <row r="1588">
          <cell r="L1588" t="str">
            <v>Non-proportional</v>
          </cell>
          <cell r="S1588">
            <v>-30731.73</v>
          </cell>
          <cell r="X1588" t="str">
            <v>Claims - gross</v>
          </cell>
          <cell r="Y1588" t="str">
            <v>Portugal</v>
          </cell>
        </row>
        <row r="1589">
          <cell r="L1589" t="str">
            <v>Non-proportional</v>
          </cell>
          <cell r="S1589">
            <v>1721412.3</v>
          </cell>
          <cell r="X1589" t="str">
            <v>Claims - gross</v>
          </cell>
          <cell r="Y1589" t="str">
            <v>EUROPE</v>
          </cell>
        </row>
        <row r="1590">
          <cell r="L1590" t="str">
            <v>Non-proportional</v>
          </cell>
          <cell r="S1590">
            <v>8.6999999999999993</v>
          </cell>
          <cell r="X1590" t="str">
            <v>Claims - gross</v>
          </cell>
          <cell r="Y1590" t="str">
            <v>UNITED KINGDOM</v>
          </cell>
        </row>
        <row r="1591">
          <cell r="L1591" t="str">
            <v>Non-proportional</v>
          </cell>
          <cell r="S1591">
            <v>-1032868.09</v>
          </cell>
          <cell r="X1591" t="str">
            <v>Claims - gross</v>
          </cell>
          <cell r="Y1591" t="str">
            <v>United kingdom</v>
          </cell>
        </row>
        <row r="1592">
          <cell r="L1592" t="str">
            <v>Non-proportional</v>
          </cell>
          <cell r="S1592">
            <v>-11058.86</v>
          </cell>
          <cell r="X1592" t="str">
            <v>Claims - gross</v>
          </cell>
          <cell r="Y1592" t="str">
            <v>Belgium</v>
          </cell>
        </row>
        <row r="1593">
          <cell r="L1593" t="str">
            <v>Proportional</v>
          </cell>
          <cell r="S1593">
            <v>1040.6199999999999</v>
          </cell>
          <cell r="X1593" t="str">
            <v>Claims - gross</v>
          </cell>
          <cell r="Y1593" t="str">
            <v>Turkey</v>
          </cell>
        </row>
        <row r="1594">
          <cell r="L1594" t="str">
            <v>Non-proportional</v>
          </cell>
          <cell r="S1594">
            <v>-584453.54</v>
          </cell>
          <cell r="X1594" t="str">
            <v>Claims - gross</v>
          </cell>
          <cell r="Y1594" t="str">
            <v>United kingdom</v>
          </cell>
        </row>
        <row r="1595">
          <cell r="L1595" t="str">
            <v>Proportional</v>
          </cell>
          <cell r="S1595">
            <v>-16900.12</v>
          </cell>
          <cell r="X1595" t="str">
            <v>Claims - gross</v>
          </cell>
          <cell r="Y1595" t="str">
            <v>UNITED STATES</v>
          </cell>
        </row>
        <row r="1596">
          <cell r="L1596" t="str">
            <v>Proportional</v>
          </cell>
          <cell r="S1596">
            <v>-34.32</v>
          </cell>
          <cell r="X1596" t="str">
            <v>Claims - gross</v>
          </cell>
          <cell r="Y1596" t="str">
            <v>Turkey</v>
          </cell>
        </row>
        <row r="1597">
          <cell r="L1597" t="str">
            <v>Proportional</v>
          </cell>
          <cell r="S1597">
            <v>633.48</v>
          </cell>
          <cell r="X1597" t="str">
            <v>Claims - gross</v>
          </cell>
          <cell r="Y1597" t="str">
            <v>Turkey</v>
          </cell>
        </row>
        <row r="1598">
          <cell r="L1598" t="str">
            <v>Non-proportional</v>
          </cell>
          <cell r="S1598">
            <v>-8086.5</v>
          </cell>
          <cell r="X1598" t="str">
            <v>Claims - gross</v>
          </cell>
          <cell r="Y1598" t="str">
            <v>CZECH REPUBLIC</v>
          </cell>
        </row>
        <row r="1599">
          <cell r="L1599" t="str">
            <v>Proportional</v>
          </cell>
          <cell r="S1599">
            <v>-21490.15</v>
          </cell>
          <cell r="X1599" t="str">
            <v>Claims - gross</v>
          </cell>
          <cell r="Y1599" t="str">
            <v>Turkey</v>
          </cell>
        </row>
        <row r="1600">
          <cell r="L1600" t="str">
            <v>Non-proportional</v>
          </cell>
          <cell r="S1600">
            <v>-10949.53</v>
          </cell>
          <cell r="X1600" t="str">
            <v>Claims - gross</v>
          </cell>
          <cell r="Y1600" t="str">
            <v>INDIA</v>
          </cell>
        </row>
        <row r="1601">
          <cell r="L1601" t="str">
            <v>Non-proportional</v>
          </cell>
          <cell r="S1601">
            <v>2337814.14</v>
          </cell>
          <cell r="X1601" t="str">
            <v>Claims - gross</v>
          </cell>
          <cell r="Y1601" t="str">
            <v>UNITED KINGDOM</v>
          </cell>
        </row>
        <row r="1602">
          <cell r="L1602" t="str">
            <v>Proportional</v>
          </cell>
          <cell r="S1602">
            <v>169022.13</v>
          </cell>
          <cell r="X1602" t="str">
            <v>Claims - gross</v>
          </cell>
          <cell r="Y1602" t="str">
            <v>HONG KONG</v>
          </cell>
        </row>
        <row r="1603">
          <cell r="L1603" t="str">
            <v>Proportional</v>
          </cell>
          <cell r="S1603">
            <v>253.16</v>
          </cell>
          <cell r="X1603" t="str">
            <v>Claims - gross</v>
          </cell>
          <cell r="Y1603" t="str">
            <v>Turkey</v>
          </cell>
        </row>
        <row r="1604">
          <cell r="L1604" t="str">
            <v>Non-proportional</v>
          </cell>
          <cell r="S1604">
            <v>-2149903.98</v>
          </cell>
          <cell r="X1604" t="str">
            <v>Claims - gross</v>
          </cell>
          <cell r="Y1604" t="str">
            <v>United kingdom</v>
          </cell>
        </row>
        <row r="1605">
          <cell r="L1605" t="str">
            <v>Proportional</v>
          </cell>
          <cell r="S1605">
            <v>34621.910000000003</v>
          </cell>
          <cell r="X1605" t="str">
            <v>Claims - gross</v>
          </cell>
          <cell r="Y1605" t="str">
            <v>JAPAN</v>
          </cell>
        </row>
        <row r="1606">
          <cell r="L1606" t="str">
            <v>Non-proportional</v>
          </cell>
          <cell r="S1606">
            <v>1834.79</v>
          </cell>
          <cell r="X1606" t="str">
            <v>Claims - gross</v>
          </cell>
          <cell r="Y1606" t="str">
            <v>POLAND</v>
          </cell>
        </row>
        <row r="1607">
          <cell r="L1607" t="str">
            <v>Non-proportional</v>
          </cell>
          <cell r="S1607">
            <v>88387.32</v>
          </cell>
          <cell r="X1607" t="str">
            <v>Claims - gross</v>
          </cell>
          <cell r="Y1607" t="str">
            <v>UNITED KINGDOM</v>
          </cell>
        </row>
        <row r="1608">
          <cell r="L1608" t="str">
            <v>Non-proportional</v>
          </cell>
          <cell r="S1608">
            <v>-94393.11</v>
          </cell>
          <cell r="X1608" t="str">
            <v>Claims - gross</v>
          </cell>
          <cell r="Y1608" t="str">
            <v>SLOVENIA</v>
          </cell>
        </row>
        <row r="1609">
          <cell r="L1609" t="str">
            <v>Proportional</v>
          </cell>
          <cell r="S1609">
            <v>-499.35</v>
          </cell>
          <cell r="X1609" t="str">
            <v>Claims - gross</v>
          </cell>
          <cell r="Y1609" t="str">
            <v>TURKEY</v>
          </cell>
        </row>
        <row r="1610">
          <cell r="L1610" t="str">
            <v>Non-proportional</v>
          </cell>
          <cell r="S1610">
            <v>11906.24</v>
          </cell>
          <cell r="X1610" t="str">
            <v>Claims - gross</v>
          </cell>
          <cell r="Y1610" t="str">
            <v>Belgium</v>
          </cell>
        </row>
        <row r="1611">
          <cell r="L1611" t="str">
            <v>Proportional</v>
          </cell>
          <cell r="S1611">
            <v>17.89</v>
          </cell>
          <cell r="X1611" t="str">
            <v>Claims - gross</v>
          </cell>
          <cell r="Y1611" t="str">
            <v>Turkey</v>
          </cell>
        </row>
        <row r="1612">
          <cell r="L1612" t="str">
            <v>Proportional</v>
          </cell>
          <cell r="S1612">
            <v>516737.02</v>
          </cell>
          <cell r="X1612" t="str">
            <v>Claims - gross</v>
          </cell>
          <cell r="Y1612" t="str">
            <v>Turkey</v>
          </cell>
        </row>
        <row r="1613">
          <cell r="L1613" t="str">
            <v>Proportional</v>
          </cell>
          <cell r="S1613">
            <v>16900.12</v>
          </cell>
          <cell r="X1613" t="str">
            <v>Claims - gross</v>
          </cell>
          <cell r="Y1613" t="str">
            <v>UNITED STATES</v>
          </cell>
        </row>
        <row r="1614">
          <cell r="L1614" t="str">
            <v>Non-proportional</v>
          </cell>
          <cell r="S1614">
            <v>143191.12</v>
          </cell>
          <cell r="X1614" t="str">
            <v>Claims - gross</v>
          </cell>
          <cell r="Y1614" t="str">
            <v>UNITED KINGDOM</v>
          </cell>
        </row>
        <row r="1615">
          <cell r="L1615" t="str">
            <v>Proportional</v>
          </cell>
          <cell r="S1615">
            <v>44.89</v>
          </cell>
          <cell r="X1615" t="str">
            <v>Claims - gross</v>
          </cell>
          <cell r="Y1615" t="str">
            <v>HONG KONG</v>
          </cell>
        </row>
        <row r="1616">
          <cell r="L1616" t="str">
            <v>Non-proportional</v>
          </cell>
          <cell r="S1616">
            <v>-53057.73</v>
          </cell>
          <cell r="X1616" t="str">
            <v>Claims - gross</v>
          </cell>
          <cell r="Y1616" t="str">
            <v>UNITED KINGDOM</v>
          </cell>
        </row>
        <row r="1617">
          <cell r="L1617" t="str">
            <v>Non-proportional</v>
          </cell>
          <cell r="S1617">
            <v>0.01</v>
          </cell>
          <cell r="X1617" t="str">
            <v>Claims - gross</v>
          </cell>
          <cell r="Y1617" t="str">
            <v>UNITED KINGDOM</v>
          </cell>
        </row>
        <row r="1618">
          <cell r="L1618" t="str">
            <v>Proportional</v>
          </cell>
          <cell r="S1618">
            <v>10682.5</v>
          </cell>
          <cell r="X1618" t="str">
            <v>Claims - gross</v>
          </cell>
          <cell r="Y1618" t="str">
            <v>UNITED STATES</v>
          </cell>
        </row>
        <row r="1619">
          <cell r="L1619" t="str">
            <v>Proportional</v>
          </cell>
          <cell r="S1619">
            <v>2235.19</v>
          </cell>
          <cell r="X1619" t="str">
            <v>Claims - gross</v>
          </cell>
          <cell r="Y1619" t="str">
            <v>UNITED STATES</v>
          </cell>
        </row>
        <row r="1620">
          <cell r="L1620" t="str">
            <v>Non-proportional</v>
          </cell>
          <cell r="S1620">
            <v>-0.82</v>
          </cell>
          <cell r="X1620" t="str">
            <v>Claims - gross</v>
          </cell>
          <cell r="Y1620" t="str">
            <v>United kingdom</v>
          </cell>
        </row>
        <row r="1621">
          <cell r="L1621" t="str">
            <v>Non-proportional</v>
          </cell>
          <cell r="S1621">
            <v>442.9</v>
          </cell>
          <cell r="X1621" t="str">
            <v>Claims - gross</v>
          </cell>
          <cell r="Y1621" t="str">
            <v>ITALY</v>
          </cell>
        </row>
        <row r="1622">
          <cell r="L1622" t="str">
            <v>Proportional</v>
          </cell>
          <cell r="S1622">
            <v>43.11</v>
          </cell>
          <cell r="X1622" t="str">
            <v>Claims - gross</v>
          </cell>
          <cell r="Y1622" t="str">
            <v>Turkey</v>
          </cell>
        </row>
        <row r="1623">
          <cell r="L1623" t="str">
            <v>Proportional</v>
          </cell>
          <cell r="S1623">
            <v>23.98</v>
          </cell>
          <cell r="X1623" t="str">
            <v>Claims - gross</v>
          </cell>
          <cell r="Y1623" t="str">
            <v>Turkey</v>
          </cell>
        </row>
        <row r="1624">
          <cell r="L1624" t="str">
            <v>Proportional</v>
          </cell>
          <cell r="S1624">
            <v>44.92</v>
          </cell>
          <cell r="X1624" t="str">
            <v>Claims - gross</v>
          </cell>
          <cell r="Y1624" t="str">
            <v>Turkey</v>
          </cell>
        </row>
        <row r="1625">
          <cell r="L1625" t="str">
            <v>Proportional</v>
          </cell>
          <cell r="S1625">
            <v>-148472.94</v>
          </cell>
          <cell r="X1625" t="str">
            <v>Claims - gross</v>
          </cell>
          <cell r="Y1625" t="str">
            <v>TURKEY</v>
          </cell>
        </row>
        <row r="1626">
          <cell r="L1626" t="str">
            <v>Non-proportional</v>
          </cell>
          <cell r="S1626">
            <v>584453.54</v>
          </cell>
          <cell r="X1626" t="str">
            <v>Claims - gross</v>
          </cell>
          <cell r="Y1626" t="str">
            <v>UNITED KINGDOM</v>
          </cell>
        </row>
        <row r="1627">
          <cell r="L1627" t="str">
            <v>Non-proportional</v>
          </cell>
          <cell r="S1627">
            <v>-41140.89</v>
          </cell>
          <cell r="X1627" t="str">
            <v>Claims - gross</v>
          </cell>
          <cell r="Y1627" t="str">
            <v>ICELAND</v>
          </cell>
        </row>
        <row r="1628">
          <cell r="L1628" t="str">
            <v>Proportional</v>
          </cell>
          <cell r="S1628">
            <v>-165.93</v>
          </cell>
          <cell r="X1628" t="str">
            <v>Claims - gross</v>
          </cell>
          <cell r="Y1628" t="str">
            <v>Turkey</v>
          </cell>
        </row>
        <row r="1629">
          <cell r="L1629" t="str">
            <v>Proportional</v>
          </cell>
          <cell r="S1629">
            <v>15014.19</v>
          </cell>
          <cell r="X1629" t="str">
            <v>Claims - gross</v>
          </cell>
          <cell r="Y1629" t="str">
            <v>Turkey</v>
          </cell>
        </row>
        <row r="1630">
          <cell r="L1630" t="str">
            <v>Proportional</v>
          </cell>
          <cell r="S1630">
            <v>1164.6500000000001</v>
          </cell>
          <cell r="X1630" t="str">
            <v>Claims - gross</v>
          </cell>
          <cell r="Y1630" t="str">
            <v>HONG KONG</v>
          </cell>
        </row>
        <row r="1631">
          <cell r="L1631" t="str">
            <v>Non-proportional</v>
          </cell>
          <cell r="S1631">
            <v>-3963.97</v>
          </cell>
          <cell r="X1631" t="str">
            <v>Claims - gross</v>
          </cell>
          <cell r="Y1631" t="str">
            <v>AUSTRALIA</v>
          </cell>
        </row>
        <row r="1632">
          <cell r="L1632" t="str">
            <v>Non-proportional</v>
          </cell>
          <cell r="S1632">
            <v>4499.47</v>
          </cell>
          <cell r="X1632" t="str">
            <v>Claims - gross</v>
          </cell>
          <cell r="Y1632" t="str">
            <v>UNITED KINGDOM</v>
          </cell>
        </row>
        <row r="1633">
          <cell r="L1633" t="str">
            <v>Proportional</v>
          </cell>
          <cell r="S1633">
            <v>32482.61</v>
          </cell>
          <cell r="X1633" t="str">
            <v>Claims - gross</v>
          </cell>
          <cell r="Y1633" t="str">
            <v>TURKEY</v>
          </cell>
        </row>
        <row r="1634">
          <cell r="L1634" t="str">
            <v>Proportional</v>
          </cell>
          <cell r="S1634">
            <v>10.39</v>
          </cell>
          <cell r="X1634" t="str">
            <v>Claims - gross</v>
          </cell>
          <cell r="Y1634" t="str">
            <v>Turkey</v>
          </cell>
        </row>
        <row r="1635">
          <cell r="L1635" t="str">
            <v>Non-proportional</v>
          </cell>
          <cell r="S1635">
            <v>-60497.66</v>
          </cell>
          <cell r="X1635" t="str">
            <v>Claims - gross</v>
          </cell>
          <cell r="Y1635" t="str">
            <v>Belgium</v>
          </cell>
        </row>
        <row r="1636">
          <cell r="L1636" t="str">
            <v>Proportional</v>
          </cell>
          <cell r="S1636">
            <v>-21365</v>
          </cell>
          <cell r="X1636" t="str">
            <v>Claims - gross</v>
          </cell>
          <cell r="Y1636" t="str">
            <v>UNITED STATES</v>
          </cell>
        </row>
        <row r="1637">
          <cell r="L1637" t="str">
            <v>Proportional</v>
          </cell>
          <cell r="S1637">
            <v>-10682.5</v>
          </cell>
          <cell r="X1637" t="str">
            <v>Claims - gross</v>
          </cell>
          <cell r="Y1637" t="str">
            <v>UNITED STATES</v>
          </cell>
        </row>
        <row r="1638">
          <cell r="L1638" t="str">
            <v>Non-proportional</v>
          </cell>
          <cell r="S1638">
            <v>1200</v>
          </cell>
          <cell r="X1638" t="str">
            <v>Claims - gross</v>
          </cell>
          <cell r="Y1638" t="str">
            <v>ITALY</v>
          </cell>
        </row>
        <row r="1639">
          <cell r="L1639" t="str">
            <v>Non-proportional</v>
          </cell>
          <cell r="S1639">
            <v>584453.54</v>
          </cell>
          <cell r="X1639" t="str">
            <v>Claims - gross</v>
          </cell>
          <cell r="Y1639" t="str">
            <v>UNITED KINGDOM</v>
          </cell>
        </row>
        <row r="1640">
          <cell r="L1640" t="str">
            <v>Proportional</v>
          </cell>
          <cell r="S1640">
            <v>-174.48</v>
          </cell>
          <cell r="X1640" t="str">
            <v>Claims - gross</v>
          </cell>
          <cell r="Y1640" t="str">
            <v>TURKEY</v>
          </cell>
        </row>
        <row r="1641">
          <cell r="L1641" t="str">
            <v>Proportional</v>
          </cell>
          <cell r="S1641">
            <v>-0.31</v>
          </cell>
          <cell r="X1641" t="str">
            <v>Claims - gross</v>
          </cell>
          <cell r="Y1641" t="str">
            <v>Turkey</v>
          </cell>
        </row>
        <row r="1642">
          <cell r="L1642" t="str">
            <v>Proportional</v>
          </cell>
          <cell r="S1642">
            <v>1270339.3400000001</v>
          </cell>
          <cell r="X1642" t="str">
            <v>Claims - gross</v>
          </cell>
          <cell r="Y1642" t="str">
            <v>UNITED STATES</v>
          </cell>
        </row>
        <row r="1643">
          <cell r="L1643" t="str">
            <v>Proportional</v>
          </cell>
          <cell r="S1643">
            <v>39.47</v>
          </cell>
          <cell r="X1643" t="str">
            <v>Claims - gross</v>
          </cell>
          <cell r="Y1643" t="str">
            <v>Turkey</v>
          </cell>
        </row>
        <row r="1644">
          <cell r="L1644" t="str">
            <v>Proportional</v>
          </cell>
          <cell r="S1644">
            <v>4.5999999999999996</v>
          </cell>
          <cell r="X1644" t="str">
            <v>Claims - gross</v>
          </cell>
          <cell r="Y1644" t="str">
            <v>Turkey</v>
          </cell>
        </row>
        <row r="1645">
          <cell r="L1645" t="str">
            <v>Proportional</v>
          </cell>
          <cell r="S1645">
            <v>284.87</v>
          </cell>
          <cell r="X1645" t="str">
            <v>Claims - gross</v>
          </cell>
          <cell r="Y1645" t="str">
            <v>TURKEY</v>
          </cell>
        </row>
        <row r="1646">
          <cell r="L1646" t="str">
            <v>Non-proportional</v>
          </cell>
          <cell r="S1646">
            <v>907071.89</v>
          </cell>
          <cell r="X1646" t="str">
            <v>Claims - gross</v>
          </cell>
          <cell r="Y1646" t="str">
            <v>UNITED KINGDOM</v>
          </cell>
        </row>
        <row r="1647">
          <cell r="L1647"/>
          <cell r="S1647">
            <v>729.85</v>
          </cell>
          <cell r="X1647" t="str">
            <v>Claims - gross</v>
          </cell>
          <cell r="Y1647" t="str">
            <v>PORTUGAL</v>
          </cell>
        </row>
        <row r="1648">
          <cell r="L1648" t="str">
            <v>Non-proportional</v>
          </cell>
          <cell r="S1648">
            <v>-1.47</v>
          </cell>
          <cell r="X1648" t="str">
            <v>Claims - gross</v>
          </cell>
          <cell r="Y1648" t="str">
            <v>United kingdom</v>
          </cell>
        </row>
        <row r="1649">
          <cell r="L1649" t="str">
            <v>Non-proportional</v>
          </cell>
          <cell r="S1649">
            <v>-1170.81</v>
          </cell>
          <cell r="X1649" t="str">
            <v>Claims - gross</v>
          </cell>
          <cell r="Y1649" t="str">
            <v>SWEDEN</v>
          </cell>
        </row>
        <row r="1650">
          <cell r="L1650" t="str">
            <v>Non-proportional</v>
          </cell>
          <cell r="S1650">
            <v>544.9</v>
          </cell>
          <cell r="X1650" t="str">
            <v>Claims - gross</v>
          </cell>
          <cell r="Y1650" t="str">
            <v>UNITED KINGDOM</v>
          </cell>
        </row>
        <row r="1651">
          <cell r="L1651" t="str">
            <v>Proportional</v>
          </cell>
          <cell r="S1651">
            <v>164253.95000000001</v>
          </cell>
          <cell r="X1651" t="str">
            <v>Claims - gross</v>
          </cell>
          <cell r="Y1651" t="str">
            <v>THAILAND</v>
          </cell>
        </row>
        <row r="1652">
          <cell r="L1652" t="str">
            <v>Proportional</v>
          </cell>
          <cell r="S1652">
            <v>-3096.28</v>
          </cell>
          <cell r="X1652" t="str">
            <v>Claims - gross</v>
          </cell>
          <cell r="Y1652" t="str">
            <v>Ireland</v>
          </cell>
        </row>
        <row r="1653">
          <cell r="L1653" t="str">
            <v>Proportional</v>
          </cell>
          <cell r="S1653">
            <v>537672.13</v>
          </cell>
          <cell r="X1653" t="str">
            <v>Claims - gross</v>
          </cell>
          <cell r="Y1653" t="str">
            <v>Thailand</v>
          </cell>
        </row>
        <row r="1654">
          <cell r="L1654" t="str">
            <v>Non-proportional</v>
          </cell>
          <cell r="S1654">
            <v>-214648.57</v>
          </cell>
          <cell r="X1654" t="str">
            <v>Claims - gross</v>
          </cell>
          <cell r="Y1654" t="str">
            <v>TURKEY</v>
          </cell>
        </row>
        <row r="1655">
          <cell r="L1655" t="str">
            <v>Non-proportional</v>
          </cell>
          <cell r="S1655">
            <v>-46511.83</v>
          </cell>
          <cell r="X1655" t="str">
            <v>Claims - gross</v>
          </cell>
          <cell r="Y1655" t="str">
            <v>UNITED KINGDOM</v>
          </cell>
        </row>
        <row r="1656">
          <cell r="L1656" t="str">
            <v>Proportional</v>
          </cell>
          <cell r="S1656">
            <v>-287523.74</v>
          </cell>
          <cell r="X1656" t="str">
            <v>Claims - gross</v>
          </cell>
          <cell r="Y1656" t="str">
            <v>CANADA</v>
          </cell>
        </row>
        <row r="1657">
          <cell r="L1657" t="str">
            <v>Non-proportional</v>
          </cell>
          <cell r="S1657">
            <v>0.37</v>
          </cell>
          <cell r="X1657" t="str">
            <v>Claims - gross</v>
          </cell>
          <cell r="Y1657" t="str">
            <v>UNITED KINGDOM</v>
          </cell>
        </row>
        <row r="1658">
          <cell r="L1658" t="str">
            <v>Non-proportional</v>
          </cell>
          <cell r="S1658">
            <v>-563354.51</v>
          </cell>
          <cell r="X1658" t="str">
            <v>Claims - gross</v>
          </cell>
          <cell r="Y1658" t="str">
            <v>BELGIUM</v>
          </cell>
        </row>
        <row r="1659">
          <cell r="L1659" t="str">
            <v>Non-proportional</v>
          </cell>
          <cell r="S1659">
            <v>-60000</v>
          </cell>
          <cell r="X1659" t="str">
            <v>Claims - gross</v>
          </cell>
          <cell r="Y1659" t="str">
            <v>MEXICO</v>
          </cell>
        </row>
        <row r="1660">
          <cell r="L1660" t="str">
            <v>Non-proportional</v>
          </cell>
          <cell r="S1660">
            <v>-93.34</v>
          </cell>
          <cell r="X1660" t="str">
            <v>Claims - gross</v>
          </cell>
          <cell r="Y1660" t="str">
            <v>Portugal</v>
          </cell>
        </row>
        <row r="1661">
          <cell r="L1661" t="str">
            <v>Non-proportional</v>
          </cell>
          <cell r="S1661">
            <v>-12654.32</v>
          </cell>
          <cell r="X1661" t="str">
            <v>Claims - gross</v>
          </cell>
          <cell r="Y1661" t="str">
            <v>FAROE ISLANDS</v>
          </cell>
        </row>
        <row r="1662">
          <cell r="L1662" t="str">
            <v>Proportional</v>
          </cell>
          <cell r="S1662">
            <v>-1511.65</v>
          </cell>
          <cell r="X1662" t="str">
            <v>Claims - gross</v>
          </cell>
          <cell r="Y1662" t="str">
            <v>Malaysia</v>
          </cell>
        </row>
        <row r="1663">
          <cell r="L1663" t="str">
            <v>Non-proportional</v>
          </cell>
          <cell r="S1663">
            <v>-14934.51</v>
          </cell>
          <cell r="X1663" t="str">
            <v>Claims - gross</v>
          </cell>
          <cell r="Y1663" t="str">
            <v>SWEDEN</v>
          </cell>
        </row>
        <row r="1664">
          <cell r="L1664" t="str">
            <v>Non-proportional</v>
          </cell>
          <cell r="S1664">
            <v>18695.05</v>
          </cell>
          <cell r="X1664" t="str">
            <v>Claims - gross</v>
          </cell>
          <cell r="Y1664" t="str">
            <v>MEXICO</v>
          </cell>
        </row>
        <row r="1665">
          <cell r="L1665"/>
          <cell r="S1665">
            <v>59390.46</v>
          </cell>
          <cell r="X1665" t="str">
            <v>Claims - gross</v>
          </cell>
          <cell r="Y1665" t="str">
            <v>PORTUGAL</v>
          </cell>
        </row>
        <row r="1666">
          <cell r="L1666" t="str">
            <v>Non-proportional</v>
          </cell>
          <cell r="S1666">
            <v>0.03</v>
          </cell>
          <cell r="X1666" t="str">
            <v>Claims - gross</v>
          </cell>
          <cell r="Y1666" t="str">
            <v>UNITED KINGDOM</v>
          </cell>
        </row>
        <row r="1667">
          <cell r="L1667" t="str">
            <v>Proportional</v>
          </cell>
          <cell r="S1667">
            <v>30502.41</v>
          </cell>
          <cell r="X1667" t="str">
            <v>Claims - gross</v>
          </cell>
          <cell r="Y1667" t="str">
            <v>CANADA</v>
          </cell>
        </row>
        <row r="1668">
          <cell r="L1668" t="str">
            <v>Non-proportional</v>
          </cell>
          <cell r="S1668">
            <v>58972.57</v>
          </cell>
          <cell r="X1668" t="str">
            <v>Claims - gross</v>
          </cell>
          <cell r="Y1668" t="str">
            <v>MEXICO</v>
          </cell>
        </row>
        <row r="1669">
          <cell r="L1669"/>
          <cell r="S1669">
            <v>2210.37</v>
          </cell>
          <cell r="X1669" t="str">
            <v>Claims - gross</v>
          </cell>
          <cell r="Y1669" t="str">
            <v>PORTUGAL</v>
          </cell>
        </row>
        <row r="1670">
          <cell r="L1670" t="str">
            <v>Proportional</v>
          </cell>
          <cell r="S1670">
            <v>2004.04</v>
          </cell>
          <cell r="X1670" t="str">
            <v>Claims - gross</v>
          </cell>
          <cell r="Y1670" t="str">
            <v>THAILAND</v>
          </cell>
        </row>
        <row r="1671">
          <cell r="L1671"/>
          <cell r="S1671">
            <v>-885.22</v>
          </cell>
          <cell r="X1671" t="str">
            <v>Claims - gross</v>
          </cell>
          <cell r="Y1671" t="str">
            <v>PORTUGAL</v>
          </cell>
        </row>
        <row r="1672">
          <cell r="L1672" t="str">
            <v>Proportional</v>
          </cell>
          <cell r="S1672">
            <v>6055.95</v>
          </cell>
          <cell r="X1672" t="str">
            <v>Claims - gross</v>
          </cell>
          <cell r="Y1672" t="str">
            <v>Thailand</v>
          </cell>
        </row>
        <row r="1673">
          <cell r="L1673" t="str">
            <v>Non-proportional</v>
          </cell>
          <cell r="S1673">
            <v>44963.02</v>
          </cell>
          <cell r="X1673" t="str">
            <v>Claims - gross</v>
          </cell>
          <cell r="Y1673" t="str">
            <v>UNITED KINGDOM</v>
          </cell>
        </row>
        <row r="1674">
          <cell r="L1674" t="str">
            <v>Non-proportional</v>
          </cell>
          <cell r="S1674">
            <v>-71241.69</v>
          </cell>
          <cell r="X1674" t="str">
            <v>Claims - gross</v>
          </cell>
          <cell r="Y1674" t="str">
            <v>UNITED KINGDOM</v>
          </cell>
        </row>
        <row r="1675">
          <cell r="L1675" t="str">
            <v>Non-proportional</v>
          </cell>
          <cell r="S1675">
            <v>-23918.36</v>
          </cell>
          <cell r="X1675" t="str">
            <v>Claims - gross</v>
          </cell>
          <cell r="Y1675" t="str">
            <v>CZECH REPUBLIC</v>
          </cell>
        </row>
        <row r="1676">
          <cell r="L1676" t="str">
            <v>Non-proportional</v>
          </cell>
          <cell r="S1676">
            <v>-657.42</v>
          </cell>
          <cell r="X1676" t="str">
            <v>Claims - gross</v>
          </cell>
          <cell r="Y1676" t="str">
            <v>FAROE ISLANDS</v>
          </cell>
        </row>
        <row r="1677">
          <cell r="L1677" t="str">
            <v>Proportional</v>
          </cell>
          <cell r="S1677">
            <v>38619.919999999998</v>
          </cell>
          <cell r="X1677" t="str">
            <v>Claims - gross</v>
          </cell>
          <cell r="Y1677" t="str">
            <v>ITALY</v>
          </cell>
        </row>
        <row r="1678">
          <cell r="L1678" t="str">
            <v>Proportional</v>
          </cell>
          <cell r="S1678">
            <v>68735.41</v>
          </cell>
          <cell r="X1678" t="str">
            <v>Claims - gross</v>
          </cell>
          <cell r="Y1678" t="str">
            <v>THAILAND</v>
          </cell>
        </row>
        <row r="1679">
          <cell r="L1679" t="str">
            <v>Proportional</v>
          </cell>
          <cell r="S1679">
            <v>1719</v>
          </cell>
          <cell r="X1679" t="str">
            <v>Claims - gross</v>
          </cell>
          <cell r="Y1679" t="str">
            <v>Thailand</v>
          </cell>
        </row>
        <row r="1680">
          <cell r="L1680" t="str">
            <v>Proportional</v>
          </cell>
          <cell r="S1680">
            <v>4876983.63</v>
          </cell>
          <cell r="X1680" t="str">
            <v>Claims - gross</v>
          </cell>
          <cell r="Y1680" t="str">
            <v>THAILAND</v>
          </cell>
        </row>
        <row r="1681">
          <cell r="L1681" t="str">
            <v>Non-proportional</v>
          </cell>
          <cell r="S1681">
            <v>0.09</v>
          </cell>
          <cell r="X1681" t="str">
            <v>Claims - gross</v>
          </cell>
          <cell r="Y1681" t="str">
            <v>UNITED KINGDOM</v>
          </cell>
        </row>
        <row r="1682">
          <cell r="L1682" t="str">
            <v>Non-proportional</v>
          </cell>
          <cell r="S1682">
            <v>41034.660000000003</v>
          </cell>
          <cell r="X1682" t="str">
            <v>Claims - gross</v>
          </cell>
          <cell r="Y1682" t="str">
            <v>CZECH REPUBLIC</v>
          </cell>
        </row>
        <row r="1683">
          <cell r="L1683" t="str">
            <v>Non-proportional</v>
          </cell>
          <cell r="S1683">
            <v>-3087.21</v>
          </cell>
          <cell r="X1683" t="str">
            <v>Claims - gross</v>
          </cell>
          <cell r="Y1683" t="str">
            <v>FAROE ISLANDS</v>
          </cell>
        </row>
        <row r="1684">
          <cell r="L1684"/>
          <cell r="S1684">
            <v>-40.32</v>
          </cell>
          <cell r="X1684" t="str">
            <v>Claims - gross</v>
          </cell>
          <cell r="Y1684" t="str">
            <v>PORTUGAL</v>
          </cell>
        </row>
        <row r="1685">
          <cell r="L1685" t="str">
            <v>Non-proportional</v>
          </cell>
          <cell r="S1685">
            <v>-55797.5</v>
          </cell>
          <cell r="X1685" t="str">
            <v>Claims - gross</v>
          </cell>
          <cell r="Y1685" t="str">
            <v>ITALY</v>
          </cell>
        </row>
        <row r="1686">
          <cell r="L1686"/>
          <cell r="S1686">
            <v>410.14</v>
          </cell>
          <cell r="X1686" t="str">
            <v>Claims - gross</v>
          </cell>
          <cell r="Y1686" t="str">
            <v>PORTUGAL</v>
          </cell>
        </row>
        <row r="1687">
          <cell r="L1687"/>
          <cell r="S1687">
            <v>-1750</v>
          </cell>
          <cell r="X1687" t="str">
            <v>Claims - gross</v>
          </cell>
          <cell r="Y1687" t="str">
            <v>PORTUGAL</v>
          </cell>
        </row>
        <row r="1688">
          <cell r="L1688" t="str">
            <v>Non-proportional</v>
          </cell>
          <cell r="S1688">
            <v>-727566.7</v>
          </cell>
          <cell r="X1688" t="str">
            <v>Claims - gross</v>
          </cell>
          <cell r="Y1688" t="str">
            <v>United kingdom</v>
          </cell>
        </row>
        <row r="1689">
          <cell r="L1689" t="str">
            <v>Non-proportional</v>
          </cell>
          <cell r="S1689">
            <v>-133888.6</v>
          </cell>
          <cell r="X1689" t="str">
            <v>Claims - gross</v>
          </cell>
          <cell r="Y1689" t="str">
            <v>UNITED KINGDOM</v>
          </cell>
        </row>
        <row r="1690">
          <cell r="L1690" t="str">
            <v>Proportional</v>
          </cell>
          <cell r="S1690">
            <v>98409.08</v>
          </cell>
          <cell r="X1690" t="str">
            <v>Claims - gross</v>
          </cell>
          <cell r="Y1690" t="str">
            <v>Thailand</v>
          </cell>
        </row>
        <row r="1691">
          <cell r="L1691" t="str">
            <v>Non-proportional</v>
          </cell>
          <cell r="S1691">
            <v>-18252.71</v>
          </cell>
          <cell r="X1691" t="str">
            <v>Claims - gross</v>
          </cell>
          <cell r="Y1691" t="str">
            <v>ICELAND</v>
          </cell>
        </row>
        <row r="1692">
          <cell r="L1692" t="str">
            <v>Proportional</v>
          </cell>
          <cell r="S1692">
            <v>41903.629999999997</v>
          </cell>
          <cell r="X1692" t="str">
            <v>Claims - gross</v>
          </cell>
          <cell r="Y1692" t="str">
            <v>THAILAND</v>
          </cell>
        </row>
        <row r="1693">
          <cell r="L1693"/>
          <cell r="S1693">
            <v>81.599999999999994</v>
          </cell>
          <cell r="X1693" t="str">
            <v>Claims - gross</v>
          </cell>
          <cell r="Y1693" t="str">
            <v>PORTUGAL</v>
          </cell>
        </row>
        <row r="1694">
          <cell r="L1694" t="str">
            <v>Proportional</v>
          </cell>
          <cell r="S1694">
            <v>331722.88</v>
          </cell>
          <cell r="X1694" t="str">
            <v>Claims - gross</v>
          </cell>
          <cell r="Y1694" t="str">
            <v>THAILAND</v>
          </cell>
        </row>
        <row r="1695">
          <cell r="L1695"/>
          <cell r="S1695">
            <v>-387.88</v>
          </cell>
          <cell r="X1695" t="str">
            <v>Claims - gross</v>
          </cell>
          <cell r="Y1695" t="str">
            <v>Portugal</v>
          </cell>
        </row>
        <row r="1696">
          <cell r="L1696"/>
          <cell r="S1696">
            <v>1666.27</v>
          </cell>
          <cell r="X1696" t="str">
            <v>Claims - gross</v>
          </cell>
          <cell r="Y1696" t="str">
            <v>PORTUGAL</v>
          </cell>
        </row>
        <row r="1697">
          <cell r="L1697" t="str">
            <v>Non-proportional</v>
          </cell>
          <cell r="S1697">
            <v>-96716.38</v>
          </cell>
          <cell r="X1697" t="str">
            <v>Claims - gross</v>
          </cell>
          <cell r="Y1697" t="str">
            <v>UNITED KINGDOM</v>
          </cell>
        </row>
        <row r="1698">
          <cell r="L1698" t="str">
            <v>Proportional</v>
          </cell>
          <cell r="S1698">
            <v>4708.22</v>
          </cell>
          <cell r="X1698" t="str">
            <v>Claims - gross</v>
          </cell>
          <cell r="Y1698" t="str">
            <v>JAPAN</v>
          </cell>
        </row>
        <row r="1699">
          <cell r="L1699" t="str">
            <v>Non-proportional</v>
          </cell>
          <cell r="S1699">
            <v>92142.2</v>
          </cell>
          <cell r="X1699" t="str">
            <v>Claims - gross</v>
          </cell>
          <cell r="Y1699" t="str">
            <v>UNITED KINGDOM</v>
          </cell>
        </row>
        <row r="1700">
          <cell r="L1700" t="str">
            <v>Proportional</v>
          </cell>
          <cell r="S1700">
            <v>26804.02</v>
          </cell>
          <cell r="X1700" t="str">
            <v>Claims - gross</v>
          </cell>
          <cell r="Y1700" t="str">
            <v>Thailand</v>
          </cell>
        </row>
        <row r="1701">
          <cell r="L1701"/>
          <cell r="S1701">
            <v>81.790000000000006</v>
          </cell>
          <cell r="X1701" t="str">
            <v>Claims - gross</v>
          </cell>
          <cell r="Y1701" t="str">
            <v>PORTUGAL</v>
          </cell>
        </row>
        <row r="1702">
          <cell r="L1702" t="str">
            <v>Non-proportional</v>
          </cell>
          <cell r="S1702">
            <v>346860.91</v>
          </cell>
          <cell r="X1702" t="str">
            <v>Claims - gross</v>
          </cell>
          <cell r="Y1702" t="str">
            <v>UNITED KINGDOM</v>
          </cell>
        </row>
        <row r="1703">
          <cell r="L1703" t="str">
            <v>Non-proportional</v>
          </cell>
          <cell r="S1703">
            <v>12546.54</v>
          </cell>
          <cell r="X1703" t="str">
            <v>Claims - gross</v>
          </cell>
          <cell r="Y1703" t="str">
            <v>United kingdom</v>
          </cell>
        </row>
        <row r="1704">
          <cell r="L1704" t="str">
            <v>Non-proportional</v>
          </cell>
          <cell r="S1704">
            <v>-7929.32</v>
          </cell>
          <cell r="X1704" t="str">
            <v>Claims - gross</v>
          </cell>
          <cell r="Y1704" t="str">
            <v>POLAND</v>
          </cell>
        </row>
        <row r="1705">
          <cell r="L1705" t="str">
            <v>Non-proportional</v>
          </cell>
          <cell r="S1705">
            <v>5125.1099999999997</v>
          </cell>
          <cell r="X1705" t="str">
            <v>Claims - gross</v>
          </cell>
          <cell r="Y1705" t="str">
            <v>ITALY</v>
          </cell>
        </row>
        <row r="1706">
          <cell r="L1706"/>
          <cell r="S1706">
            <v>-2494</v>
          </cell>
          <cell r="X1706" t="str">
            <v>Claims - gross</v>
          </cell>
          <cell r="Y1706" t="str">
            <v>PORTUGAL</v>
          </cell>
        </row>
        <row r="1707">
          <cell r="L1707"/>
          <cell r="S1707">
            <v>-3179.61</v>
          </cell>
          <cell r="X1707" t="str">
            <v>Claims - gross</v>
          </cell>
          <cell r="Y1707" t="str">
            <v>PORTUGAL</v>
          </cell>
        </row>
        <row r="1708">
          <cell r="L1708"/>
          <cell r="S1708">
            <v>-63.37</v>
          </cell>
          <cell r="X1708" t="str">
            <v>Claims - gross</v>
          </cell>
          <cell r="Y1708" t="str">
            <v>PORTUGAL</v>
          </cell>
        </row>
        <row r="1709">
          <cell r="L1709" t="str">
            <v>Non-proportional</v>
          </cell>
          <cell r="S1709">
            <v>12908.81</v>
          </cell>
          <cell r="X1709" t="str">
            <v>Claims - gross</v>
          </cell>
          <cell r="Y1709" t="str">
            <v>SLOVENIA</v>
          </cell>
        </row>
        <row r="1710">
          <cell r="L1710" t="str">
            <v>Proportional</v>
          </cell>
          <cell r="S1710">
            <v>110410.25</v>
          </cell>
          <cell r="X1710" t="str">
            <v>Claims - gross</v>
          </cell>
          <cell r="Y1710" t="str">
            <v>THAILAND</v>
          </cell>
        </row>
        <row r="1711">
          <cell r="L1711" t="str">
            <v>Proportional</v>
          </cell>
          <cell r="S1711">
            <v>3059804.44</v>
          </cell>
          <cell r="X1711" t="str">
            <v>Claims - gross</v>
          </cell>
          <cell r="Y1711" t="str">
            <v>THAILAND</v>
          </cell>
        </row>
        <row r="1712">
          <cell r="L1712" t="str">
            <v>Proportional</v>
          </cell>
          <cell r="S1712">
            <v>3876.53</v>
          </cell>
          <cell r="X1712" t="str">
            <v>Claims - gross</v>
          </cell>
          <cell r="Y1712" t="str">
            <v>Thailand</v>
          </cell>
        </row>
        <row r="1713">
          <cell r="L1713"/>
          <cell r="S1713">
            <v>-1087.5</v>
          </cell>
          <cell r="X1713" t="str">
            <v>Claims - gross</v>
          </cell>
          <cell r="Y1713" t="str">
            <v>PORTUGAL</v>
          </cell>
        </row>
        <row r="1714">
          <cell r="L1714" t="str">
            <v>Non-proportional</v>
          </cell>
          <cell r="S1714">
            <v>71427.740000000005</v>
          </cell>
          <cell r="X1714" t="str">
            <v>Claims - gross</v>
          </cell>
          <cell r="Y1714" t="str">
            <v>UNITED KINGDOM</v>
          </cell>
        </row>
        <row r="1715">
          <cell r="L1715" t="str">
            <v>Proportional</v>
          </cell>
          <cell r="S1715">
            <v>2768.29</v>
          </cell>
          <cell r="X1715" t="str">
            <v>Claims - gross</v>
          </cell>
          <cell r="Y1715" t="str">
            <v>Thailand</v>
          </cell>
        </row>
        <row r="1716">
          <cell r="L1716"/>
          <cell r="S1716">
            <v>895.17</v>
          </cell>
          <cell r="X1716" t="str">
            <v>Claims - gross</v>
          </cell>
          <cell r="Y1716" t="str">
            <v>PORTUGAL</v>
          </cell>
        </row>
        <row r="1717">
          <cell r="L1717" t="str">
            <v>Non-proportional</v>
          </cell>
          <cell r="S1717">
            <v>-6518.79</v>
          </cell>
          <cell r="X1717" t="str">
            <v>Claims - gross</v>
          </cell>
          <cell r="Y1717" t="str">
            <v>SWEDEN</v>
          </cell>
        </row>
        <row r="1718">
          <cell r="L1718" t="str">
            <v>Non-proportional</v>
          </cell>
          <cell r="S1718">
            <v>52420.06</v>
          </cell>
          <cell r="X1718" t="str">
            <v>Claims - gross</v>
          </cell>
          <cell r="Y1718" t="str">
            <v>MEXICO</v>
          </cell>
        </row>
        <row r="1719">
          <cell r="L1719" t="str">
            <v>Non-proportional</v>
          </cell>
          <cell r="S1719">
            <v>15019.99</v>
          </cell>
          <cell r="X1719" t="str">
            <v>Claims - gross</v>
          </cell>
          <cell r="Y1719" t="str">
            <v>CZECH REPUBLIC</v>
          </cell>
        </row>
        <row r="1720">
          <cell r="L1720" t="str">
            <v>Non-proportional</v>
          </cell>
          <cell r="S1720">
            <v>7288.61</v>
          </cell>
          <cell r="X1720" t="str">
            <v>Claims - gross</v>
          </cell>
          <cell r="Y1720" t="str">
            <v>POLAND</v>
          </cell>
        </row>
        <row r="1721">
          <cell r="L1721" t="str">
            <v>Non-proportional</v>
          </cell>
          <cell r="S1721">
            <v>-1445.25</v>
          </cell>
          <cell r="X1721" t="str">
            <v>Claims - gross</v>
          </cell>
          <cell r="Y1721" t="str">
            <v>United kingdom</v>
          </cell>
        </row>
        <row r="1722">
          <cell r="L1722" t="str">
            <v>Non-proportional</v>
          </cell>
          <cell r="S1722">
            <v>-752.69</v>
          </cell>
          <cell r="X1722" t="str">
            <v>Claims - gross</v>
          </cell>
          <cell r="Y1722" t="str">
            <v>United kingdom</v>
          </cell>
        </row>
        <row r="1723">
          <cell r="L1723" t="str">
            <v>Proportional</v>
          </cell>
          <cell r="S1723">
            <v>1258.73</v>
          </cell>
          <cell r="X1723" t="str">
            <v>Claims - gross</v>
          </cell>
          <cell r="Y1723" t="str">
            <v>THAILAND</v>
          </cell>
        </row>
        <row r="1724">
          <cell r="L1724" t="str">
            <v>Non-proportional</v>
          </cell>
          <cell r="S1724">
            <v>-4624.5200000000004</v>
          </cell>
          <cell r="X1724" t="str">
            <v>Claims - gross</v>
          </cell>
          <cell r="Y1724" t="str">
            <v>UNITED KINGDOM</v>
          </cell>
        </row>
        <row r="1725">
          <cell r="L1725" t="str">
            <v>Proportional</v>
          </cell>
          <cell r="S1725">
            <v>6564.04</v>
          </cell>
          <cell r="X1725" t="str">
            <v>Claims - gross</v>
          </cell>
          <cell r="Y1725" t="str">
            <v>Ireland</v>
          </cell>
        </row>
        <row r="1726">
          <cell r="L1726" t="str">
            <v>Non-proportional</v>
          </cell>
          <cell r="S1726">
            <v>-4322.57</v>
          </cell>
          <cell r="X1726" t="str">
            <v>Claims - gross</v>
          </cell>
          <cell r="Y1726" t="str">
            <v>GERMANY</v>
          </cell>
        </row>
        <row r="1727">
          <cell r="L1727" t="str">
            <v>Non-proportional</v>
          </cell>
          <cell r="S1727">
            <v>4700.01</v>
          </cell>
          <cell r="X1727" t="str">
            <v>Claims - gross</v>
          </cell>
          <cell r="Y1727" t="str">
            <v>FRANCE</v>
          </cell>
        </row>
        <row r="1728">
          <cell r="L1728" t="str">
            <v>Proportional</v>
          </cell>
          <cell r="S1728">
            <v>45583.05</v>
          </cell>
          <cell r="X1728" t="str">
            <v>Claims - gross</v>
          </cell>
          <cell r="Y1728" t="str">
            <v>UNITED KINGDOM</v>
          </cell>
        </row>
        <row r="1729">
          <cell r="L1729" t="str">
            <v>Non-proportional</v>
          </cell>
          <cell r="S1729">
            <v>21746.7</v>
          </cell>
          <cell r="X1729" t="str">
            <v>Claims - gross</v>
          </cell>
          <cell r="Y1729" t="str">
            <v>UNITED KINGDOM</v>
          </cell>
        </row>
        <row r="1730">
          <cell r="L1730" t="str">
            <v>Proportional</v>
          </cell>
          <cell r="S1730">
            <v>-541.04999999999995</v>
          </cell>
          <cell r="X1730" t="str">
            <v>Claims - gross</v>
          </cell>
          <cell r="Y1730" t="str">
            <v>JAPAN</v>
          </cell>
        </row>
        <row r="1731">
          <cell r="L1731" t="str">
            <v>Proportional</v>
          </cell>
          <cell r="S1731">
            <v>6.38</v>
          </cell>
          <cell r="X1731" t="str">
            <v>Claims - gross</v>
          </cell>
          <cell r="Y1731" t="str">
            <v>Turkey</v>
          </cell>
        </row>
        <row r="1732">
          <cell r="L1732" t="str">
            <v>Proportional</v>
          </cell>
          <cell r="S1732">
            <v>-89.6</v>
          </cell>
          <cell r="X1732" t="str">
            <v>Claims - gross</v>
          </cell>
          <cell r="Y1732" t="str">
            <v>Turkey</v>
          </cell>
        </row>
        <row r="1733">
          <cell r="L1733" t="str">
            <v>Proportional</v>
          </cell>
          <cell r="S1733">
            <v>-63351.360000000001</v>
          </cell>
          <cell r="X1733" t="str">
            <v>Claims - gross</v>
          </cell>
          <cell r="Y1733" t="str">
            <v>UNITED STATES</v>
          </cell>
        </row>
        <row r="1734">
          <cell r="L1734" t="str">
            <v>Non-proportional</v>
          </cell>
          <cell r="S1734">
            <v>33428.699999999997</v>
          </cell>
          <cell r="X1734" t="str">
            <v>Claims - gross</v>
          </cell>
          <cell r="Y1734" t="str">
            <v>TURKEY</v>
          </cell>
        </row>
        <row r="1735">
          <cell r="L1735" t="str">
            <v>Non-proportional</v>
          </cell>
          <cell r="S1735">
            <v>-98952</v>
          </cell>
          <cell r="X1735" t="str">
            <v>Claims - gross</v>
          </cell>
          <cell r="Y1735" t="str">
            <v>Belgium</v>
          </cell>
        </row>
        <row r="1736">
          <cell r="L1736" t="str">
            <v>Proportional</v>
          </cell>
          <cell r="S1736">
            <v>-70.290000000000006</v>
          </cell>
          <cell r="X1736" t="str">
            <v>Claims - gross</v>
          </cell>
          <cell r="Y1736" t="str">
            <v>Turkey</v>
          </cell>
        </row>
        <row r="1737">
          <cell r="L1737" t="str">
            <v>Proportional</v>
          </cell>
          <cell r="S1737">
            <v>117018.07</v>
          </cell>
          <cell r="X1737" t="str">
            <v>Claims - gross</v>
          </cell>
          <cell r="Y1737" t="str">
            <v>TURKEY</v>
          </cell>
        </row>
        <row r="1738">
          <cell r="L1738" t="str">
            <v>Proportional</v>
          </cell>
          <cell r="S1738">
            <v>9610.98</v>
          </cell>
          <cell r="X1738" t="str">
            <v>Claims - gross</v>
          </cell>
          <cell r="Y1738" t="str">
            <v>Turkey</v>
          </cell>
        </row>
        <row r="1739">
          <cell r="L1739" t="str">
            <v>Non-proportional</v>
          </cell>
          <cell r="S1739">
            <v>-76650.47</v>
          </cell>
          <cell r="X1739" t="str">
            <v>Claims - gross</v>
          </cell>
          <cell r="Y1739" t="str">
            <v>Belgium</v>
          </cell>
        </row>
        <row r="1740">
          <cell r="L1740" t="str">
            <v>Non-proportional</v>
          </cell>
          <cell r="S1740">
            <v>4044.14</v>
          </cell>
          <cell r="X1740" t="str">
            <v>Claims - gross</v>
          </cell>
          <cell r="Y1740" t="str">
            <v>UNITED KINGDOM</v>
          </cell>
        </row>
        <row r="1741">
          <cell r="L1741" t="str">
            <v>Non-proportional</v>
          </cell>
          <cell r="S1741">
            <v>-235550</v>
          </cell>
          <cell r="X1741" t="str">
            <v>Claims - gross</v>
          </cell>
          <cell r="Y1741" t="str">
            <v>Belgium</v>
          </cell>
        </row>
        <row r="1742">
          <cell r="L1742" t="str">
            <v>Non-proportional</v>
          </cell>
          <cell r="S1742">
            <v>54898.13</v>
          </cell>
          <cell r="X1742" t="str">
            <v>Claims - gross</v>
          </cell>
          <cell r="Y1742" t="str">
            <v>UNITED KINGDOM</v>
          </cell>
        </row>
        <row r="1743">
          <cell r="L1743" t="str">
            <v>Proportional</v>
          </cell>
          <cell r="S1743">
            <v>9939.4500000000007</v>
          </cell>
          <cell r="X1743" t="str">
            <v>Claims - gross</v>
          </cell>
          <cell r="Y1743" t="str">
            <v>Turkey</v>
          </cell>
        </row>
        <row r="1744">
          <cell r="L1744" t="str">
            <v>Proportional</v>
          </cell>
          <cell r="S1744">
            <v>-64.290000000000006</v>
          </cell>
          <cell r="X1744" t="str">
            <v>Claims - gross</v>
          </cell>
          <cell r="Y1744" t="str">
            <v>India</v>
          </cell>
        </row>
        <row r="1745">
          <cell r="L1745" t="str">
            <v>Proportional</v>
          </cell>
          <cell r="S1745">
            <v>-10885.96</v>
          </cell>
          <cell r="X1745" t="str">
            <v>Claims - gross</v>
          </cell>
          <cell r="Y1745" t="str">
            <v>India</v>
          </cell>
        </row>
        <row r="1746">
          <cell r="L1746" t="str">
            <v>Proportional</v>
          </cell>
          <cell r="S1746">
            <v>4076.35</v>
          </cell>
          <cell r="X1746" t="str">
            <v>Claims - gross</v>
          </cell>
          <cell r="Y1746" t="str">
            <v>Turkey</v>
          </cell>
        </row>
        <row r="1747">
          <cell r="L1747" t="str">
            <v>Non-proportional</v>
          </cell>
          <cell r="S1747">
            <v>265362.51</v>
          </cell>
          <cell r="X1747" t="str">
            <v>Claims - gross</v>
          </cell>
          <cell r="Y1747" t="str">
            <v>UNITED KINGDOM</v>
          </cell>
        </row>
        <row r="1748">
          <cell r="L1748" t="str">
            <v>Proportional</v>
          </cell>
          <cell r="S1748">
            <v>12272.63</v>
          </cell>
          <cell r="X1748" t="str">
            <v>Claims - gross</v>
          </cell>
          <cell r="Y1748" t="str">
            <v>UNITED KINGDOM</v>
          </cell>
        </row>
        <row r="1749">
          <cell r="L1749" t="str">
            <v>Proportional</v>
          </cell>
          <cell r="S1749">
            <v>61.7</v>
          </cell>
          <cell r="X1749" t="str">
            <v>Claims - gross</v>
          </cell>
          <cell r="Y1749" t="str">
            <v>Turkey</v>
          </cell>
        </row>
        <row r="1750">
          <cell r="L1750" t="str">
            <v>Non-proportional</v>
          </cell>
          <cell r="S1750">
            <v>110627.79</v>
          </cell>
          <cell r="X1750" t="str">
            <v>Claims - gross</v>
          </cell>
          <cell r="Y1750" t="str">
            <v>UNITED KINGDOM</v>
          </cell>
        </row>
        <row r="1751">
          <cell r="L1751" t="str">
            <v>Proportional</v>
          </cell>
          <cell r="S1751">
            <v>355172.23</v>
          </cell>
          <cell r="X1751" t="str">
            <v>Claims - gross</v>
          </cell>
          <cell r="Y1751" t="str">
            <v>UNITED STATES</v>
          </cell>
        </row>
        <row r="1752">
          <cell r="L1752" t="str">
            <v>Proportional</v>
          </cell>
          <cell r="S1752">
            <v>462.16</v>
          </cell>
          <cell r="X1752" t="str">
            <v>Claims - gross</v>
          </cell>
          <cell r="Y1752" t="str">
            <v>Turkey</v>
          </cell>
        </row>
        <row r="1753">
          <cell r="L1753" t="str">
            <v>Proportional</v>
          </cell>
          <cell r="S1753">
            <v>-112431.05</v>
          </cell>
          <cell r="X1753" t="str">
            <v>Claims - gross</v>
          </cell>
          <cell r="Y1753" t="str">
            <v>India</v>
          </cell>
        </row>
        <row r="1754">
          <cell r="L1754" t="str">
            <v>Non-proportional</v>
          </cell>
          <cell r="S1754">
            <v>209299.92</v>
          </cell>
          <cell r="X1754" t="str">
            <v>Claims - gross</v>
          </cell>
          <cell r="Y1754" t="str">
            <v>UNITED KINGDOM</v>
          </cell>
        </row>
        <row r="1755">
          <cell r="L1755" t="str">
            <v>Proportional</v>
          </cell>
          <cell r="S1755">
            <v>-29889.63</v>
          </cell>
          <cell r="X1755" t="str">
            <v>Claims - gross</v>
          </cell>
          <cell r="Y1755" t="str">
            <v>India</v>
          </cell>
        </row>
        <row r="1756">
          <cell r="L1756" t="str">
            <v>Proportional</v>
          </cell>
          <cell r="S1756">
            <v>2396.7800000000002</v>
          </cell>
          <cell r="X1756" t="str">
            <v>Claims - gross</v>
          </cell>
          <cell r="Y1756" t="str">
            <v>Turkey</v>
          </cell>
        </row>
        <row r="1757">
          <cell r="L1757" t="str">
            <v>Proportional</v>
          </cell>
          <cell r="S1757">
            <v>20469.18</v>
          </cell>
          <cell r="X1757" t="str">
            <v>Claims - gross</v>
          </cell>
          <cell r="Y1757" t="str">
            <v>TURKEY</v>
          </cell>
        </row>
        <row r="1758">
          <cell r="L1758" t="str">
            <v>Non-proportional</v>
          </cell>
          <cell r="S1758">
            <v>-88895.5</v>
          </cell>
          <cell r="X1758" t="str">
            <v>Claims - gross</v>
          </cell>
          <cell r="Y1758" t="str">
            <v>Belgium</v>
          </cell>
        </row>
        <row r="1759">
          <cell r="L1759" t="str">
            <v>Non-proportional</v>
          </cell>
          <cell r="S1759">
            <v>57864.77</v>
          </cell>
          <cell r="X1759" t="str">
            <v>Claims - gross</v>
          </cell>
          <cell r="Y1759" t="str">
            <v>UNITED KINGDOM</v>
          </cell>
        </row>
        <row r="1760">
          <cell r="L1760" t="str">
            <v>Proportional</v>
          </cell>
          <cell r="S1760">
            <v>-2749.46</v>
          </cell>
          <cell r="X1760" t="str">
            <v>Claims - gross</v>
          </cell>
          <cell r="Y1760" t="str">
            <v>Turkey</v>
          </cell>
        </row>
        <row r="1761">
          <cell r="L1761" t="str">
            <v>Non-proportional</v>
          </cell>
          <cell r="S1761">
            <v>3150000</v>
          </cell>
          <cell r="X1761" t="str">
            <v>Claims - gross</v>
          </cell>
          <cell r="Y1761" t="str">
            <v>EUROPE</v>
          </cell>
        </row>
        <row r="1762">
          <cell r="L1762" t="str">
            <v>Proportional</v>
          </cell>
          <cell r="S1762">
            <v>-486.43</v>
          </cell>
          <cell r="X1762" t="str">
            <v>Claims - gross</v>
          </cell>
          <cell r="Y1762" t="str">
            <v>TURKEY</v>
          </cell>
        </row>
        <row r="1763">
          <cell r="L1763" t="str">
            <v>Proportional</v>
          </cell>
          <cell r="S1763">
            <v>489130.44</v>
          </cell>
          <cell r="X1763" t="str">
            <v>Claims - gross</v>
          </cell>
          <cell r="Y1763" t="str">
            <v>Turkey</v>
          </cell>
        </row>
        <row r="1764">
          <cell r="L1764" t="str">
            <v>Non-proportional</v>
          </cell>
          <cell r="S1764">
            <v>507423.47</v>
          </cell>
          <cell r="X1764" t="str">
            <v>Claims - gross</v>
          </cell>
          <cell r="Y1764" t="str">
            <v>EUROPE</v>
          </cell>
        </row>
        <row r="1765">
          <cell r="L1765" t="str">
            <v>Proportional</v>
          </cell>
          <cell r="S1765">
            <v>-24733.07</v>
          </cell>
          <cell r="X1765" t="str">
            <v>Claims - gross</v>
          </cell>
          <cell r="Y1765" t="str">
            <v>INDIA</v>
          </cell>
        </row>
        <row r="1766">
          <cell r="L1766" t="str">
            <v>Proportional</v>
          </cell>
          <cell r="S1766">
            <v>17958.95</v>
          </cell>
          <cell r="X1766" t="str">
            <v>Claims - gross</v>
          </cell>
          <cell r="Y1766" t="str">
            <v>TURKEY</v>
          </cell>
        </row>
        <row r="1767">
          <cell r="L1767" t="str">
            <v>Proportional</v>
          </cell>
          <cell r="S1767">
            <v>1273.07</v>
          </cell>
          <cell r="X1767" t="str">
            <v>Claims - gross</v>
          </cell>
          <cell r="Y1767" t="str">
            <v>TURKEY</v>
          </cell>
        </row>
        <row r="1768">
          <cell r="L1768" t="str">
            <v>Non-proportional</v>
          </cell>
          <cell r="S1768">
            <v>244851.44</v>
          </cell>
          <cell r="X1768" t="str">
            <v>Claims - gross</v>
          </cell>
          <cell r="Y1768" t="str">
            <v>Belgium</v>
          </cell>
        </row>
        <row r="1769">
          <cell r="L1769" t="str">
            <v>Proportional</v>
          </cell>
          <cell r="S1769">
            <v>38.06</v>
          </cell>
          <cell r="X1769" t="str">
            <v>Claims - gross</v>
          </cell>
          <cell r="Y1769" t="str">
            <v>Turkey</v>
          </cell>
        </row>
        <row r="1770">
          <cell r="L1770" t="str">
            <v>Proportional</v>
          </cell>
          <cell r="S1770">
            <v>3.45</v>
          </cell>
          <cell r="X1770" t="str">
            <v>Claims - gross</v>
          </cell>
          <cell r="Y1770" t="str">
            <v>Turkey</v>
          </cell>
        </row>
        <row r="1771">
          <cell r="L1771" t="str">
            <v>Proportional</v>
          </cell>
          <cell r="S1771">
            <v>1966.69</v>
          </cell>
          <cell r="X1771" t="str">
            <v>Claims - gross</v>
          </cell>
          <cell r="Y1771" t="str">
            <v>Turkey</v>
          </cell>
        </row>
        <row r="1772">
          <cell r="L1772" t="str">
            <v>Proportional</v>
          </cell>
          <cell r="S1772">
            <v>2428.7800000000002</v>
          </cell>
          <cell r="X1772" t="str">
            <v>Claims - gross</v>
          </cell>
          <cell r="Y1772" t="str">
            <v>Turkey</v>
          </cell>
        </row>
        <row r="1773">
          <cell r="L1773" t="str">
            <v>Proportional</v>
          </cell>
          <cell r="S1773">
            <v>-479.36</v>
          </cell>
          <cell r="X1773" t="str">
            <v>Claims - gross</v>
          </cell>
          <cell r="Y1773" t="str">
            <v>Turkey</v>
          </cell>
        </row>
        <row r="1774">
          <cell r="L1774" t="str">
            <v>Proportional</v>
          </cell>
          <cell r="S1774">
            <v>-11344.37</v>
          </cell>
          <cell r="X1774" t="str">
            <v>Claims - gross</v>
          </cell>
          <cell r="Y1774" t="str">
            <v>India</v>
          </cell>
        </row>
        <row r="1775">
          <cell r="L1775" t="str">
            <v>Proportional</v>
          </cell>
          <cell r="S1775">
            <v>-8091.99</v>
          </cell>
          <cell r="X1775" t="str">
            <v>Claims - gross</v>
          </cell>
          <cell r="Y1775" t="str">
            <v>TURKEY</v>
          </cell>
        </row>
        <row r="1776">
          <cell r="L1776" t="str">
            <v>Non-proportional</v>
          </cell>
          <cell r="S1776">
            <v>365203.6</v>
          </cell>
          <cell r="X1776" t="str">
            <v>Claims - gross</v>
          </cell>
          <cell r="Y1776" t="str">
            <v>PORTUGAL</v>
          </cell>
        </row>
        <row r="1777">
          <cell r="L1777" t="str">
            <v>Proportional</v>
          </cell>
          <cell r="S1777">
            <v>10508.14</v>
          </cell>
          <cell r="X1777" t="str">
            <v>Claims - gross</v>
          </cell>
          <cell r="Y1777" t="str">
            <v>HONG KONG</v>
          </cell>
        </row>
        <row r="1778">
          <cell r="L1778" t="str">
            <v>Non-proportional</v>
          </cell>
          <cell r="S1778">
            <v>208767.56</v>
          </cell>
          <cell r="X1778" t="str">
            <v>Claims - gross</v>
          </cell>
          <cell r="Y1778" t="str">
            <v>UNITED KINGDOM</v>
          </cell>
        </row>
        <row r="1779">
          <cell r="L1779" t="str">
            <v>Proportional</v>
          </cell>
          <cell r="S1779">
            <v>8774.23</v>
          </cell>
          <cell r="X1779" t="str">
            <v>Claims - gross</v>
          </cell>
          <cell r="Y1779" t="str">
            <v>HONG KONG</v>
          </cell>
        </row>
        <row r="1780">
          <cell r="L1780" t="str">
            <v>Non-proportional</v>
          </cell>
          <cell r="S1780">
            <v>-231.15</v>
          </cell>
          <cell r="X1780" t="str">
            <v>Claims - gross</v>
          </cell>
          <cell r="Y1780" t="str">
            <v>UNITED KINGDOM</v>
          </cell>
        </row>
        <row r="1781">
          <cell r="L1781" t="str">
            <v>Proportional</v>
          </cell>
          <cell r="S1781">
            <v>-13722.29</v>
          </cell>
          <cell r="X1781" t="str">
            <v>Claims - gross</v>
          </cell>
          <cell r="Y1781" t="str">
            <v>India</v>
          </cell>
        </row>
        <row r="1782">
          <cell r="L1782" t="str">
            <v>Non-proportional</v>
          </cell>
          <cell r="S1782">
            <v>-133786.5</v>
          </cell>
          <cell r="X1782" t="str">
            <v>Claims - gross</v>
          </cell>
          <cell r="Y1782" t="str">
            <v>Belgium</v>
          </cell>
        </row>
        <row r="1783">
          <cell r="L1783" t="str">
            <v>Proportional</v>
          </cell>
          <cell r="S1783">
            <v>1567.94</v>
          </cell>
          <cell r="X1783" t="str">
            <v>Claims - gross</v>
          </cell>
          <cell r="Y1783" t="str">
            <v>INDIA</v>
          </cell>
        </row>
        <row r="1784">
          <cell r="L1784" t="str">
            <v>Proportional</v>
          </cell>
          <cell r="S1784">
            <v>7983.02</v>
          </cell>
          <cell r="X1784" t="str">
            <v>Claims - gross</v>
          </cell>
          <cell r="Y1784" t="str">
            <v>Turkey</v>
          </cell>
        </row>
        <row r="1785">
          <cell r="L1785" t="str">
            <v>Proportional</v>
          </cell>
          <cell r="S1785">
            <v>15.62</v>
          </cell>
          <cell r="X1785" t="str">
            <v>Claims - gross</v>
          </cell>
          <cell r="Y1785" t="str">
            <v>Turkey</v>
          </cell>
        </row>
        <row r="1786">
          <cell r="L1786" t="str">
            <v>Proportional</v>
          </cell>
          <cell r="S1786">
            <v>-11642.45</v>
          </cell>
          <cell r="X1786" t="str">
            <v>Claims - gross</v>
          </cell>
          <cell r="Y1786" t="str">
            <v>INDIA</v>
          </cell>
        </row>
        <row r="1787">
          <cell r="L1787" t="str">
            <v>Proportional</v>
          </cell>
          <cell r="S1787">
            <v>-263367.69</v>
          </cell>
          <cell r="X1787" t="str">
            <v>Claims - gross</v>
          </cell>
          <cell r="Y1787" t="str">
            <v>Turkey</v>
          </cell>
        </row>
        <row r="1788">
          <cell r="L1788" t="str">
            <v>Proportional</v>
          </cell>
          <cell r="S1788">
            <v>-227.77</v>
          </cell>
          <cell r="X1788" t="str">
            <v>Claims - gross</v>
          </cell>
          <cell r="Y1788" t="str">
            <v>Turkey</v>
          </cell>
        </row>
        <row r="1789">
          <cell r="L1789" t="str">
            <v>Non-proportional</v>
          </cell>
          <cell r="S1789">
            <v>-147197</v>
          </cell>
          <cell r="X1789" t="str">
            <v>Claims - gross</v>
          </cell>
          <cell r="Y1789" t="str">
            <v>Belgium</v>
          </cell>
        </row>
        <row r="1790">
          <cell r="L1790" t="str">
            <v>Proportional</v>
          </cell>
          <cell r="S1790">
            <v>26679.94</v>
          </cell>
          <cell r="X1790" t="str">
            <v>Claims - gross</v>
          </cell>
          <cell r="Y1790" t="str">
            <v>INDIA</v>
          </cell>
        </row>
        <row r="1791">
          <cell r="L1791" t="str">
            <v>Proportional</v>
          </cell>
          <cell r="S1791">
            <v>-19096.62</v>
          </cell>
          <cell r="X1791" t="str">
            <v>Claims - gross</v>
          </cell>
          <cell r="Y1791" t="str">
            <v>UNITED STATES</v>
          </cell>
        </row>
        <row r="1792">
          <cell r="L1792" t="str">
            <v>Proportional</v>
          </cell>
          <cell r="S1792">
            <v>-312904.53999999998</v>
          </cell>
          <cell r="X1792" t="str">
            <v>Claims - gross</v>
          </cell>
          <cell r="Y1792" t="str">
            <v>UNITED STATES</v>
          </cell>
        </row>
        <row r="1793">
          <cell r="L1793" t="str">
            <v>Non-proportional</v>
          </cell>
          <cell r="S1793">
            <v>-7607.05</v>
          </cell>
          <cell r="X1793" t="str">
            <v>Claims - gross</v>
          </cell>
          <cell r="Y1793" t="str">
            <v>Belgium</v>
          </cell>
        </row>
        <row r="1794">
          <cell r="L1794" t="str">
            <v>Proportional</v>
          </cell>
          <cell r="S1794">
            <v>34222.300000000003</v>
          </cell>
          <cell r="X1794" t="str">
            <v>Claims - gross</v>
          </cell>
          <cell r="Y1794" t="str">
            <v>INDIA</v>
          </cell>
        </row>
        <row r="1795">
          <cell r="L1795" t="str">
            <v>Proportional</v>
          </cell>
          <cell r="S1795">
            <v>553.76</v>
          </cell>
          <cell r="X1795" t="str">
            <v>Claims - gross</v>
          </cell>
          <cell r="Y1795" t="str">
            <v>MALAYSIA</v>
          </cell>
        </row>
        <row r="1796">
          <cell r="L1796" t="str">
            <v>Proportional</v>
          </cell>
          <cell r="S1796">
            <v>8566.99</v>
          </cell>
          <cell r="X1796" t="str">
            <v>Claims - gross</v>
          </cell>
          <cell r="Y1796" t="str">
            <v>UNITED STATES</v>
          </cell>
        </row>
        <row r="1797">
          <cell r="L1797" t="str">
            <v>Non-proportional</v>
          </cell>
          <cell r="S1797">
            <v>-85049</v>
          </cell>
          <cell r="X1797" t="str">
            <v>Claims - gross</v>
          </cell>
          <cell r="Y1797" t="str">
            <v>Belgium</v>
          </cell>
        </row>
        <row r="1798">
          <cell r="L1798" t="str">
            <v>Proportional</v>
          </cell>
          <cell r="S1798">
            <v>1366.97</v>
          </cell>
          <cell r="X1798" t="str">
            <v>Claims - gross</v>
          </cell>
          <cell r="Y1798" t="str">
            <v>Turkey</v>
          </cell>
        </row>
        <row r="1799">
          <cell r="L1799" t="str">
            <v>Proportional</v>
          </cell>
          <cell r="S1799">
            <v>-8856.74</v>
          </cell>
          <cell r="X1799" t="str">
            <v>Claims - gross</v>
          </cell>
          <cell r="Y1799" t="str">
            <v>Hong Kong</v>
          </cell>
        </row>
        <row r="1800">
          <cell r="L1800" t="str">
            <v>Proportional</v>
          </cell>
          <cell r="S1800">
            <v>-2475.4699999999998</v>
          </cell>
          <cell r="X1800" t="str">
            <v>Claims - gross</v>
          </cell>
          <cell r="Y1800" t="str">
            <v>Turkey</v>
          </cell>
        </row>
        <row r="1801">
          <cell r="L1801" t="str">
            <v>Proportional</v>
          </cell>
          <cell r="S1801">
            <v>-5881.05</v>
          </cell>
          <cell r="X1801" t="str">
            <v>Claims - gross</v>
          </cell>
          <cell r="Y1801" t="str">
            <v>Turkey</v>
          </cell>
        </row>
        <row r="1802">
          <cell r="L1802" t="str">
            <v>Proportional</v>
          </cell>
          <cell r="S1802">
            <v>513.05999999999995</v>
          </cell>
          <cell r="X1802" t="str">
            <v>Claims - gross</v>
          </cell>
          <cell r="Y1802" t="str">
            <v>India</v>
          </cell>
        </row>
        <row r="1803">
          <cell r="L1803" t="str">
            <v>Non-proportional</v>
          </cell>
          <cell r="S1803">
            <v>-130.9</v>
          </cell>
          <cell r="X1803" t="str">
            <v>Claims - gross</v>
          </cell>
          <cell r="Y1803" t="str">
            <v>United kingdom</v>
          </cell>
        </row>
        <row r="1804">
          <cell r="L1804" t="str">
            <v>Proportional</v>
          </cell>
          <cell r="S1804">
            <v>-220065.37</v>
          </cell>
          <cell r="X1804" t="str">
            <v>Claims - gross</v>
          </cell>
          <cell r="Y1804" t="str">
            <v>TURKEY</v>
          </cell>
        </row>
        <row r="1805">
          <cell r="L1805" t="str">
            <v>Non-proportional</v>
          </cell>
          <cell r="S1805">
            <v>-38292.99</v>
          </cell>
          <cell r="X1805" t="str">
            <v>Claims - gross</v>
          </cell>
          <cell r="Y1805" t="str">
            <v>POLAND</v>
          </cell>
        </row>
        <row r="1806">
          <cell r="L1806" t="str">
            <v>Proportional</v>
          </cell>
          <cell r="S1806">
            <v>919363.91</v>
          </cell>
          <cell r="X1806" t="str">
            <v>Claims - gross</v>
          </cell>
          <cell r="Y1806" t="str">
            <v>ITALY</v>
          </cell>
        </row>
        <row r="1807">
          <cell r="L1807" t="str">
            <v>Proportional</v>
          </cell>
          <cell r="S1807">
            <v>184.18</v>
          </cell>
          <cell r="X1807" t="str">
            <v>Claims - gross</v>
          </cell>
          <cell r="Y1807" t="str">
            <v>Turkey</v>
          </cell>
        </row>
        <row r="1808">
          <cell r="L1808" t="str">
            <v>Non-proportional</v>
          </cell>
          <cell r="S1808">
            <v>2648382.33</v>
          </cell>
          <cell r="X1808" t="str">
            <v>Claims - gross</v>
          </cell>
          <cell r="Y1808" t="str">
            <v>EUROPE</v>
          </cell>
        </row>
        <row r="1809">
          <cell r="L1809" t="str">
            <v>Proportional</v>
          </cell>
          <cell r="S1809">
            <v>1962.98</v>
          </cell>
          <cell r="X1809" t="str">
            <v>Claims - gross</v>
          </cell>
          <cell r="Y1809" t="str">
            <v>UNITED STATES</v>
          </cell>
        </row>
        <row r="1810">
          <cell r="L1810" t="str">
            <v>Proportional</v>
          </cell>
          <cell r="S1810">
            <v>-617.6</v>
          </cell>
          <cell r="X1810" t="str">
            <v>Claims - gross</v>
          </cell>
          <cell r="Y1810" t="str">
            <v>Ireland</v>
          </cell>
        </row>
        <row r="1811">
          <cell r="L1811" t="str">
            <v>Proportional</v>
          </cell>
          <cell r="S1811">
            <v>-749711.15</v>
          </cell>
          <cell r="X1811" t="str">
            <v>Claims - gross</v>
          </cell>
          <cell r="Y1811" t="str">
            <v>UNITED STATES</v>
          </cell>
        </row>
        <row r="1812">
          <cell r="L1812" t="str">
            <v>Proportional</v>
          </cell>
          <cell r="S1812">
            <v>1309.29</v>
          </cell>
          <cell r="X1812" t="str">
            <v>Claims - gross</v>
          </cell>
          <cell r="Y1812" t="str">
            <v>Ireland</v>
          </cell>
        </row>
        <row r="1813">
          <cell r="L1813" t="str">
            <v>Proportional</v>
          </cell>
          <cell r="S1813">
            <v>4352.87</v>
          </cell>
          <cell r="X1813" t="str">
            <v>Claims - gross</v>
          </cell>
          <cell r="Y1813" t="str">
            <v>India</v>
          </cell>
        </row>
        <row r="1814">
          <cell r="L1814" t="str">
            <v>Proportional</v>
          </cell>
          <cell r="S1814">
            <v>-17133.97</v>
          </cell>
          <cell r="X1814" t="str">
            <v>Claims - gross</v>
          </cell>
          <cell r="Y1814" t="str">
            <v>UNITED STATES</v>
          </cell>
        </row>
        <row r="1815">
          <cell r="L1815" t="str">
            <v>Proportional</v>
          </cell>
          <cell r="S1815">
            <v>-614.6</v>
          </cell>
          <cell r="X1815" t="str">
            <v>Claims - gross</v>
          </cell>
          <cell r="Y1815" t="str">
            <v>Turkey</v>
          </cell>
        </row>
        <row r="1816">
          <cell r="L1816" t="str">
            <v>Proportional</v>
          </cell>
          <cell r="S1816">
            <v>132.54</v>
          </cell>
          <cell r="X1816" t="str">
            <v>Claims - gross</v>
          </cell>
          <cell r="Y1816" t="str">
            <v>Turkey</v>
          </cell>
        </row>
        <row r="1817">
          <cell r="L1817" t="str">
            <v>Proportional</v>
          </cell>
          <cell r="S1817">
            <v>696434.89</v>
          </cell>
          <cell r="X1817" t="str">
            <v>Claims - gross</v>
          </cell>
          <cell r="Y1817" t="str">
            <v>UNITED STATES</v>
          </cell>
        </row>
        <row r="1818">
          <cell r="L1818" t="str">
            <v>Proportional</v>
          </cell>
          <cell r="S1818">
            <v>39.89</v>
          </cell>
          <cell r="X1818" t="str">
            <v>Claims - gross</v>
          </cell>
          <cell r="Y1818" t="str">
            <v>Turkey</v>
          </cell>
        </row>
        <row r="1819">
          <cell r="L1819" t="str">
            <v>Proportional</v>
          </cell>
          <cell r="S1819">
            <v>837194.08</v>
          </cell>
          <cell r="X1819" t="str">
            <v>Claims - gross</v>
          </cell>
          <cell r="Y1819" t="str">
            <v>UNITED STATES</v>
          </cell>
        </row>
        <row r="1820">
          <cell r="L1820" t="str">
            <v>Non-proportional</v>
          </cell>
          <cell r="S1820">
            <v>-777916.33</v>
          </cell>
          <cell r="X1820" t="str">
            <v>Claims - gross</v>
          </cell>
          <cell r="Y1820" t="str">
            <v>EUROPE</v>
          </cell>
        </row>
        <row r="1821">
          <cell r="L1821" t="str">
            <v>Non-proportional</v>
          </cell>
          <cell r="S1821">
            <v>-2414.09</v>
          </cell>
          <cell r="X1821" t="str">
            <v>Claims - gross</v>
          </cell>
          <cell r="Y1821" t="str">
            <v>Belgium</v>
          </cell>
        </row>
        <row r="1822">
          <cell r="L1822" t="str">
            <v>Non-proportional</v>
          </cell>
          <cell r="S1822">
            <v>-831113.53</v>
          </cell>
          <cell r="X1822" t="str">
            <v>Claims - gross</v>
          </cell>
          <cell r="Y1822" t="str">
            <v>EUROPE</v>
          </cell>
        </row>
        <row r="1823">
          <cell r="L1823" t="str">
            <v>Proportional</v>
          </cell>
          <cell r="S1823">
            <v>2.66</v>
          </cell>
          <cell r="X1823" t="str">
            <v>Claims - gross</v>
          </cell>
          <cell r="Y1823" t="str">
            <v>Turkey</v>
          </cell>
        </row>
        <row r="1824">
          <cell r="L1824" t="str">
            <v>Proportional</v>
          </cell>
          <cell r="S1824">
            <v>-16.53</v>
          </cell>
          <cell r="X1824" t="str">
            <v>Claims - gross</v>
          </cell>
          <cell r="Y1824" t="str">
            <v>Turkey</v>
          </cell>
        </row>
        <row r="1825">
          <cell r="L1825" t="str">
            <v>Proportional</v>
          </cell>
          <cell r="S1825">
            <v>1466.79</v>
          </cell>
          <cell r="X1825" t="str">
            <v>Claims - gross</v>
          </cell>
          <cell r="Y1825" t="str">
            <v>UNITED STATES</v>
          </cell>
        </row>
        <row r="1826">
          <cell r="L1826" t="str">
            <v>Proportional</v>
          </cell>
          <cell r="S1826">
            <v>-571.57000000000005</v>
          </cell>
          <cell r="X1826" t="str">
            <v>Claims - gross</v>
          </cell>
          <cell r="Y1826" t="str">
            <v>Hong Kong</v>
          </cell>
        </row>
        <row r="1827">
          <cell r="L1827" t="str">
            <v>Proportional</v>
          </cell>
          <cell r="S1827">
            <v>-821.78</v>
          </cell>
          <cell r="X1827" t="str">
            <v>Claims - gross</v>
          </cell>
          <cell r="Y1827" t="str">
            <v>Thailand</v>
          </cell>
        </row>
        <row r="1828">
          <cell r="L1828" t="str">
            <v>Proportional</v>
          </cell>
          <cell r="S1828">
            <v>-90185.94</v>
          </cell>
          <cell r="X1828" t="str">
            <v>Claims - gross</v>
          </cell>
          <cell r="Y1828" t="str">
            <v>UNITED STATES</v>
          </cell>
        </row>
        <row r="1829">
          <cell r="L1829" t="str">
            <v>Proportional</v>
          </cell>
          <cell r="S1829">
            <v>493940.82</v>
          </cell>
          <cell r="X1829" t="str">
            <v>Claims - gross</v>
          </cell>
          <cell r="Y1829" t="str">
            <v>UNITED STATES</v>
          </cell>
        </row>
        <row r="1830">
          <cell r="L1830" t="str">
            <v>Proportional</v>
          </cell>
          <cell r="S1830">
            <v>-10379.93</v>
          </cell>
          <cell r="X1830" t="str">
            <v>Claims - gross</v>
          </cell>
          <cell r="Y1830" t="str">
            <v>Thailand</v>
          </cell>
        </row>
        <row r="1831">
          <cell r="L1831" t="str">
            <v>Proportional</v>
          </cell>
          <cell r="S1831">
            <v>-86877.5</v>
          </cell>
          <cell r="X1831" t="str">
            <v>Claims - gross</v>
          </cell>
          <cell r="Y1831" t="str">
            <v>UNITED STATES</v>
          </cell>
        </row>
        <row r="1832">
          <cell r="L1832" t="str">
            <v>Non-proportional</v>
          </cell>
          <cell r="S1832">
            <v>-563235.06000000006</v>
          </cell>
          <cell r="X1832" t="str">
            <v>Claims - gross</v>
          </cell>
          <cell r="Y1832" t="str">
            <v>United kingdom</v>
          </cell>
        </row>
        <row r="1833">
          <cell r="L1833" t="str">
            <v>Proportional</v>
          </cell>
          <cell r="S1833">
            <v>-1373.11</v>
          </cell>
          <cell r="X1833" t="str">
            <v>Claims - gross</v>
          </cell>
          <cell r="Y1833" t="str">
            <v>Thailand</v>
          </cell>
        </row>
        <row r="1834">
          <cell r="L1834" t="str">
            <v>Non-proportional</v>
          </cell>
          <cell r="S1834">
            <v>1651.02</v>
          </cell>
          <cell r="X1834" t="str">
            <v>Claims - gross</v>
          </cell>
          <cell r="Y1834" t="str">
            <v>AUSTRALIA</v>
          </cell>
        </row>
        <row r="1835">
          <cell r="L1835" t="str">
            <v>Non-proportional</v>
          </cell>
          <cell r="S1835">
            <v>178116.83</v>
          </cell>
          <cell r="X1835" t="str">
            <v>Claims - gross</v>
          </cell>
          <cell r="Y1835" t="str">
            <v>FRANCE</v>
          </cell>
        </row>
        <row r="1836">
          <cell r="L1836" t="str">
            <v>Proportional</v>
          </cell>
          <cell r="S1836">
            <v>-40.15</v>
          </cell>
          <cell r="X1836" t="str">
            <v>Claims - gross</v>
          </cell>
          <cell r="Y1836" t="str">
            <v>Thailand</v>
          </cell>
        </row>
        <row r="1837">
          <cell r="L1837" t="str">
            <v>Proportional</v>
          </cell>
          <cell r="S1837">
            <v>-112022.1</v>
          </cell>
          <cell r="X1837" t="str">
            <v>Claims - gross</v>
          </cell>
          <cell r="Y1837" t="str">
            <v>HONG KONG</v>
          </cell>
        </row>
        <row r="1838">
          <cell r="L1838" t="str">
            <v>Proportional</v>
          </cell>
          <cell r="S1838">
            <v>-204.16</v>
          </cell>
          <cell r="X1838" t="str">
            <v>Claims - gross</v>
          </cell>
          <cell r="Y1838" t="str">
            <v>Thailand</v>
          </cell>
        </row>
        <row r="1839">
          <cell r="L1839" t="str">
            <v>Proportional</v>
          </cell>
          <cell r="S1839">
            <v>-359435</v>
          </cell>
          <cell r="X1839" t="str">
            <v>Claims - gross</v>
          </cell>
          <cell r="Y1839" t="str">
            <v>HONG KONG</v>
          </cell>
        </row>
        <row r="1840">
          <cell r="L1840" t="str">
            <v>Non-proportional</v>
          </cell>
          <cell r="S1840">
            <v>-3287.98</v>
          </cell>
          <cell r="X1840" t="str">
            <v>Claims - gross</v>
          </cell>
          <cell r="Y1840" t="str">
            <v>CZECH REPUBLIC</v>
          </cell>
        </row>
        <row r="1841">
          <cell r="L1841" t="str">
            <v>Proportional</v>
          </cell>
          <cell r="S1841">
            <v>-243956.41</v>
          </cell>
          <cell r="X1841" t="str">
            <v>Claims - gross</v>
          </cell>
          <cell r="Y1841" t="str">
            <v>Hong Kong</v>
          </cell>
        </row>
        <row r="1842">
          <cell r="L1842"/>
          <cell r="S1842">
            <v>-81.790000000000006</v>
          </cell>
          <cell r="X1842" t="str">
            <v>Claims - gross</v>
          </cell>
          <cell r="Y1842" t="str">
            <v>PORTUGAL</v>
          </cell>
        </row>
        <row r="1843">
          <cell r="L1843" t="str">
            <v>Proportional</v>
          </cell>
          <cell r="S1843">
            <v>4625.3999999999996</v>
          </cell>
          <cell r="X1843" t="str">
            <v>Claims - gross</v>
          </cell>
          <cell r="Y1843" t="str">
            <v>THAILAND</v>
          </cell>
        </row>
        <row r="1844">
          <cell r="L1844" t="str">
            <v>Non-proportional</v>
          </cell>
          <cell r="S1844">
            <v>-39644.660000000003</v>
          </cell>
          <cell r="X1844" t="str">
            <v>Claims - gross</v>
          </cell>
          <cell r="Y1844" t="str">
            <v>FRANCE</v>
          </cell>
        </row>
        <row r="1845">
          <cell r="L1845" t="str">
            <v>Non-proportional</v>
          </cell>
          <cell r="S1845">
            <v>-85171.62</v>
          </cell>
          <cell r="X1845" t="str">
            <v>Claims - gross</v>
          </cell>
          <cell r="Y1845" t="str">
            <v>MEXICO</v>
          </cell>
        </row>
        <row r="1846">
          <cell r="L1846" t="str">
            <v>Proportional</v>
          </cell>
          <cell r="S1846">
            <v>-2111.2399999999998</v>
          </cell>
          <cell r="X1846" t="str">
            <v>Claims - gross</v>
          </cell>
          <cell r="Y1846" t="str">
            <v>THAILAND</v>
          </cell>
        </row>
        <row r="1847">
          <cell r="L1847" t="str">
            <v>Non-proportional</v>
          </cell>
          <cell r="S1847">
            <v>-14764.63</v>
          </cell>
          <cell r="X1847" t="str">
            <v>Claims - gross</v>
          </cell>
          <cell r="Y1847" t="str">
            <v>POLAND</v>
          </cell>
        </row>
        <row r="1848">
          <cell r="L1848" t="str">
            <v>Proportional</v>
          </cell>
          <cell r="S1848">
            <v>158.69999999999999</v>
          </cell>
          <cell r="X1848" t="str">
            <v>Claims - gross</v>
          </cell>
          <cell r="Y1848" t="str">
            <v>Thailand</v>
          </cell>
        </row>
        <row r="1849">
          <cell r="L1849" t="str">
            <v>Proportional</v>
          </cell>
          <cell r="S1849">
            <v>25595.32</v>
          </cell>
          <cell r="X1849" t="str">
            <v>Claims - gross</v>
          </cell>
          <cell r="Y1849" t="str">
            <v>THAILAND</v>
          </cell>
        </row>
        <row r="1850">
          <cell r="L1850" t="str">
            <v>Proportional</v>
          </cell>
          <cell r="S1850">
            <v>88278.7</v>
          </cell>
          <cell r="X1850" t="str">
            <v>Claims - gross</v>
          </cell>
          <cell r="Y1850" t="str">
            <v>HONG KONG</v>
          </cell>
        </row>
        <row r="1851">
          <cell r="L1851" t="str">
            <v>Proportional</v>
          </cell>
          <cell r="S1851">
            <v>523.59</v>
          </cell>
          <cell r="X1851" t="str">
            <v>Claims - gross</v>
          </cell>
          <cell r="Y1851" t="str">
            <v>THAILAND</v>
          </cell>
        </row>
        <row r="1852">
          <cell r="L1852" t="str">
            <v>Proportional</v>
          </cell>
          <cell r="S1852">
            <v>2992.7</v>
          </cell>
          <cell r="X1852" t="str">
            <v>Claims - gross</v>
          </cell>
          <cell r="Y1852" t="str">
            <v>THAILAND</v>
          </cell>
        </row>
        <row r="1853">
          <cell r="L1853" t="str">
            <v>Non-proportional</v>
          </cell>
          <cell r="S1853">
            <v>-22612.45</v>
          </cell>
          <cell r="X1853" t="str">
            <v>Claims - gross</v>
          </cell>
          <cell r="Y1853" t="str">
            <v>CZECH REPUBLIC</v>
          </cell>
        </row>
        <row r="1854">
          <cell r="L1854" t="str">
            <v>Proportional</v>
          </cell>
          <cell r="S1854">
            <v>22058.85</v>
          </cell>
          <cell r="X1854" t="str">
            <v>Claims - gross</v>
          </cell>
          <cell r="Y1854" t="str">
            <v>THAILAND</v>
          </cell>
        </row>
        <row r="1855">
          <cell r="L1855" t="str">
            <v>Proportional</v>
          </cell>
          <cell r="S1855">
            <v>-816.93</v>
          </cell>
          <cell r="X1855" t="str">
            <v>Claims - gross</v>
          </cell>
          <cell r="Y1855" t="str">
            <v>Thailand</v>
          </cell>
        </row>
        <row r="1856">
          <cell r="L1856" t="str">
            <v>Proportional</v>
          </cell>
          <cell r="S1856">
            <v>-1025920.79</v>
          </cell>
          <cell r="X1856" t="str">
            <v>Claims - gross</v>
          </cell>
          <cell r="Y1856" t="str">
            <v>AUSTRIA</v>
          </cell>
        </row>
        <row r="1857">
          <cell r="L1857" t="str">
            <v>Proportional</v>
          </cell>
          <cell r="S1857">
            <v>-1067.51</v>
          </cell>
          <cell r="X1857" t="str">
            <v>Claims - gross</v>
          </cell>
          <cell r="Y1857" t="str">
            <v>Thailand</v>
          </cell>
        </row>
        <row r="1858">
          <cell r="L1858" t="str">
            <v>Non-proportional</v>
          </cell>
          <cell r="S1858">
            <v>-398013.51</v>
          </cell>
          <cell r="X1858" t="str">
            <v>Claims - gross</v>
          </cell>
          <cell r="Y1858" t="str">
            <v>United kingdom</v>
          </cell>
        </row>
        <row r="1859">
          <cell r="L1859" t="str">
            <v>Non-proportional</v>
          </cell>
          <cell r="S1859">
            <v>-16679.599999999999</v>
          </cell>
          <cell r="X1859" t="str">
            <v>Claims - gross</v>
          </cell>
          <cell r="Y1859" t="str">
            <v>CZECH REPUBLIC</v>
          </cell>
        </row>
        <row r="1860">
          <cell r="L1860" t="str">
            <v>Proportional</v>
          </cell>
          <cell r="S1860">
            <v>-0.06</v>
          </cell>
          <cell r="X1860" t="str">
            <v>Claims - gross</v>
          </cell>
          <cell r="Y1860" t="str">
            <v>Malaysia</v>
          </cell>
        </row>
        <row r="1861">
          <cell r="L1861" t="str">
            <v>Non-proportional</v>
          </cell>
          <cell r="S1861">
            <v>-5683.61</v>
          </cell>
          <cell r="X1861" t="str">
            <v>Claims - gross</v>
          </cell>
          <cell r="Y1861" t="str">
            <v>CZECH REPUBLIC</v>
          </cell>
        </row>
        <row r="1862">
          <cell r="L1862" t="str">
            <v>Non-proportional</v>
          </cell>
          <cell r="S1862">
            <v>3091.03</v>
          </cell>
          <cell r="X1862" t="str">
            <v>Claims - gross</v>
          </cell>
          <cell r="Y1862" t="str">
            <v>MEXICO</v>
          </cell>
        </row>
        <row r="1863">
          <cell r="L1863" t="str">
            <v>Proportional</v>
          </cell>
          <cell r="S1863">
            <v>14275.11</v>
          </cell>
          <cell r="X1863" t="str">
            <v>Claims - gross</v>
          </cell>
          <cell r="Y1863" t="str">
            <v>JAPAN</v>
          </cell>
        </row>
        <row r="1864">
          <cell r="L1864" t="str">
            <v>Non-proportional</v>
          </cell>
          <cell r="S1864">
            <v>-170998.39999999999</v>
          </cell>
          <cell r="X1864" t="str">
            <v>Claims - gross</v>
          </cell>
          <cell r="Y1864" t="str">
            <v>United kingdom</v>
          </cell>
        </row>
        <row r="1865">
          <cell r="L1865" t="str">
            <v>Proportional</v>
          </cell>
          <cell r="S1865">
            <v>1392671.23</v>
          </cell>
          <cell r="X1865" t="str">
            <v>Claims - gross</v>
          </cell>
          <cell r="Y1865" t="str">
            <v>united states</v>
          </cell>
        </row>
        <row r="1866">
          <cell r="L1866" t="str">
            <v>Proportional</v>
          </cell>
          <cell r="S1866">
            <v>6189.98</v>
          </cell>
          <cell r="X1866" t="str">
            <v>Claims - gross</v>
          </cell>
          <cell r="Y1866" t="str">
            <v>THAILAND</v>
          </cell>
        </row>
        <row r="1867">
          <cell r="L1867" t="str">
            <v>Proportional</v>
          </cell>
          <cell r="S1867">
            <v>51466.9</v>
          </cell>
          <cell r="X1867" t="str">
            <v>Claims - gross</v>
          </cell>
          <cell r="Y1867" t="str">
            <v>THAILAND</v>
          </cell>
        </row>
        <row r="1868">
          <cell r="L1868" t="str">
            <v>Proportional</v>
          </cell>
          <cell r="S1868">
            <v>55705.48</v>
          </cell>
          <cell r="X1868" t="str">
            <v>Claims - gross</v>
          </cell>
          <cell r="Y1868" t="str">
            <v>JAPAN</v>
          </cell>
        </row>
        <row r="1869">
          <cell r="L1869" t="str">
            <v>Proportional</v>
          </cell>
          <cell r="S1869">
            <v>899444.32</v>
          </cell>
          <cell r="X1869" t="str">
            <v>Claims - gross</v>
          </cell>
          <cell r="Y1869" t="str">
            <v>Turkey</v>
          </cell>
        </row>
        <row r="1870">
          <cell r="L1870" t="str">
            <v>Proportional</v>
          </cell>
          <cell r="S1870">
            <v>-144.87</v>
          </cell>
          <cell r="X1870" t="str">
            <v>Claims - gross</v>
          </cell>
          <cell r="Y1870" t="str">
            <v>Thailand</v>
          </cell>
        </row>
        <row r="1871">
          <cell r="L1871" t="str">
            <v>Proportional</v>
          </cell>
          <cell r="S1871">
            <v>1392671.23</v>
          </cell>
          <cell r="X1871" t="str">
            <v>Claims - gross</v>
          </cell>
          <cell r="Y1871" t="str">
            <v>united states</v>
          </cell>
        </row>
        <row r="1872">
          <cell r="L1872" t="str">
            <v>Proportional</v>
          </cell>
          <cell r="S1872">
            <v>-99952.74</v>
          </cell>
          <cell r="X1872" t="str">
            <v>Claims - gross</v>
          </cell>
          <cell r="Y1872" t="str">
            <v>Hong Kong</v>
          </cell>
        </row>
        <row r="1873">
          <cell r="L1873" t="str">
            <v>Proportional</v>
          </cell>
          <cell r="S1873">
            <v>7077.91</v>
          </cell>
          <cell r="X1873" t="str">
            <v>Claims - gross</v>
          </cell>
          <cell r="Y1873" t="str">
            <v>THAILAND</v>
          </cell>
        </row>
        <row r="1874">
          <cell r="L1874" t="str">
            <v>Proportional</v>
          </cell>
          <cell r="S1874">
            <v>390827.62</v>
          </cell>
          <cell r="X1874" t="str">
            <v>Claims - gross</v>
          </cell>
          <cell r="Y1874" t="str">
            <v>HONG KONG</v>
          </cell>
        </row>
        <row r="1875">
          <cell r="L1875" t="str">
            <v>Non-proportional</v>
          </cell>
          <cell r="S1875">
            <v>160000</v>
          </cell>
          <cell r="X1875" t="str">
            <v>Claims - gross</v>
          </cell>
          <cell r="Y1875" t="str">
            <v>FRANCE</v>
          </cell>
        </row>
        <row r="1876">
          <cell r="L1876" t="str">
            <v>Proportional</v>
          </cell>
          <cell r="S1876">
            <v>-14881.2</v>
          </cell>
          <cell r="X1876" t="str">
            <v>Claims - gross</v>
          </cell>
          <cell r="Y1876" t="str">
            <v>THAILAND</v>
          </cell>
        </row>
        <row r="1877">
          <cell r="L1877" t="str">
            <v>Non-proportional</v>
          </cell>
          <cell r="S1877">
            <v>228990.15</v>
          </cell>
          <cell r="X1877" t="str">
            <v>Claims - gross</v>
          </cell>
          <cell r="Y1877" t="str">
            <v>UNITED KINGDOM</v>
          </cell>
        </row>
        <row r="1878">
          <cell r="L1878" t="str">
            <v>Proportional</v>
          </cell>
          <cell r="S1878">
            <v>3050420.67</v>
          </cell>
          <cell r="X1878" t="str">
            <v>Claims - gross</v>
          </cell>
          <cell r="Y1878" t="str">
            <v>ITALY</v>
          </cell>
        </row>
        <row r="1879">
          <cell r="L1879" t="str">
            <v>Proportional</v>
          </cell>
          <cell r="S1879">
            <v>210389.89</v>
          </cell>
          <cell r="X1879" t="str">
            <v>Claims - gross</v>
          </cell>
          <cell r="Y1879" t="str">
            <v>HONG KONG</v>
          </cell>
        </row>
        <row r="1880">
          <cell r="L1880" t="str">
            <v>Non-proportional</v>
          </cell>
          <cell r="S1880">
            <v>137394.09</v>
          </cell>
          <cell r="X1880" t="str">
            <v>Claims - gross</v>
          </cell>
          <cell r="Y1880" t="str">
            <v>UNITED KINGDOM</v>
          </cell>
        </row>
        <row r="1881">
          <cell r="L1881" t="str">
            <v>Proportional</v>
          </cell>
          <cell r="S1881">
            <v>868886.14</v>
          </cell>
          <cell r="X1881" t="str">
            <v>Claims - gross</v>
          </cell>
          <cell r="Y1881" t="str">
            <v>THAILAND</v>
          </cell>
        </row>
        <row r="1882">
          <cell r="L1882" t="str">
            <v>Proportional</v>
          </cell>
          <cell r="S1882">
            <v>9160.34</v>
          </cell>
          <cell r="X1882" t="str">
            <v>Claims - gross</v>
          </cell>
          <cell r="Y1882" t="str">
            <v>THAILAND</v>
          </cell>
        </row>
        <row r="1883">
          <cell r="L1883" t="str">
            <v>Proportional</v>
          </cell>
          <cell r="S1883">
            <v>-2125</v>
          </cell>
          <cell r="X1883" t="str">
            <v>Claims - gross</v>
          </cell>
          <cell r="Y1883" t="str">
            <v>Ireland</v>
          </cell>
        </row>
        <row r="1884">
          <cell r="L1884" t="str">
            <v>Proportional</v>
          </cell>
          <cell r="S1884">
            <v>-1169.26</v>
          </cell>
          <cell r="X1884" t="str">
            <v>Claims - gross</v>
          </cell>
          <cell r="Y1884" t="str">
            <v>THAILAND</v>
          </cell>
        </row>
        <row r="1885">
          <cell r="L1885" t="str">
            <v>Proportional</v>
          </cell>
          <cell r="S1885">
            <v>-11.82</v>
          </cell>
          <cell r="X1885" t="str">
            <v>Claims - gross</v>
          </cell>
          <cell r="Y1885" t="str">
            <v>Thailand</v>
          </cell>
        </row>
        <row r="1886">
          <cell r="L1886" t="str">
            <v>Proportional</v>
          </cell>
          <cell r="S1886">
            <v>-579476.12</v>
          </cell>
          <cell r="X1886" t="str">
            <v>Claims - gross</v>
          </cell>
          <cell r="Y1886" t="str">
            <v>THAILAND</v>
          </cell>
        </row>
        <row r="1887">
          <cell r="L1887" t="str">
            <v>Non-proportional</v>
          </cell>
          <cell r="S1887">
            <v>0.5</v>
          </cell>
          <cell r="X1887" t="str">
            <v>Claims - gross</v>
          </cell>
          <cell r="Y1887" t="str">
            <v>UNITED KINGDOM</v>
          </cell>
        </row>
        <row r="1888">
          <cell r="L1888" t="str">
            <v>Proportional</v>
          </cell>
          <cell r="S1888">
            <v>-699.6</v>
          </cell>
          <cell r="X1888" t="str">
            <v>Claims - gross</v>
          </cell>
          <cell r="Y1888" t="str">
            <v>Thailand</v>
          </cell>
        </row>
        <row r="1889">
          <cell r="L1889" t="str">
            <v>Non-proportional</v>
          </cell>
          <cell r="S1889">
            <v>-234109</v>
          </cell>
          <cell r="X1889" t="str">
            <v>Claims - gross</v>
          </cell>
          <cell r="Y1889" t="str">
            <v>UNITED KINGDOM</v>
          </cell>
        </row>
        <row r="1890">
          <cell r="L1890" t="str">
            <v>Proportional</v>
          </cell>
          <cell r="S1890">
            <v>622490.79</v>
          </cell>
          <cell r="X1890" t="str">
            <v>Claims - gross</v>
          </cell>
          <cell r="Y1890" t="str">
            <v>HONG KONG</v>
          </cell>
        </row>
        <row r="1891">
          <cell r="L1891" t="str">
            <v>Non-proportional</v>
          </cell>
          <cell r="S1891">
            <v>-51102.97</v>
          </cell>
          <cell r="X1891" t="str">
            <v>Claims - gross</v>
          </cell>
          <cell r="Y1891" t="str">
            <v>MEXICO</v>
          </cell>
        </row>
        <row r="1892">
          <cell r="L1892" t="str">
            <v>Proportional</v>
          </cell>
          <cell r="S1892">
            <v>-2556.79</v>
          </cell>
          <cell r="X1892" t="str">
            <v>Claims - gross</v>
          </cell>
          <cell r="Y1892" t="str">
            <v>Thailand</v>
          </cell>
        </row>
        <row r="1893">
          <cell r="L1893" t="str">
            <v>Proportional</v>
          </cell>
          <cell r="S1893">
            <v>4505</v>
          </cell>
          <cell r="X1893" t="str">
            <v>Claims - gross</v>
          </cell>
          <cell r="Y1893" t="str">
            <v>Ireland</v>
          </cell>
        </row>
        <row r="1894">
          <cell r="L1894" t="str">
            <v>Non-proportional</v>
          </cell>
          <cell r="S1894">
            <v>228990.15</v>
          </cell>
          <cell r="X1894" t="str">
            <v>Claims - gross</v>
          </cell>
          <cell r="Y1894" t="str">
            <v>UNITED KINGDOM</v>
          </cell>
        </row>
        <row r="1895">
          <cell r="L1895" t="str">
            <v>Proportional</v>
          </cell>
          <cell r="S1895">
            <v>34422.449999999997</v>
          </cell>
          <cell r="X1895" t="str">
            <v>Claims - gross</v>
          </cell>
          <cell r="Y1895" t="str">
            <v>THAILAND</v>
          </cell>
        </row>
        <row r="1896">
          <cell r="L1896" t="str">
            <v>Non-proportional</v>
          </cell>
          <cell r="S1896">
            <v>28330.99</v>
          </cell>
          <cell r="X1896" t="str">
            <v>Claims - gross</v>
          </cell>
          <cell r="Y1896" t="str">
            <v>UNITED KINGDOM</v>
          </cell>
        </row>
        <row r="1897">
          <cell r="L1897"/>
          <cell r="S1897">
            <v>-5142789.6900000004</v>
          </cell>
          <cell r="X1897" t="str">
            <v>Claims - gross</v>
          </cell>
          <cell r="Y1897" t="str">
            <v>United kingdom</v>
          </cell>
        </row>
        <row r="1898">
          <cell r="L1898" t="str">
            <v>Proportional</v>
          </cell>
          <cell r="S1898">
            <v>-4370.71</v>
          </cell>
          <cell r="X1898" t="str">
            <v>Claims - gross</v>
          </cell>
          <cell r="Y1898" t="str">
            <v>THAILAND</v>
          </cell>
        </row>
        <row r="1899">
          <cell r="L1899" t="str">
            <v>Proportional</v>
          </cell>
          <cell r="S1899">
            <v>-16.59</v>
          </cell>
          <cell r="X1899" t="str">
            <v>Claims - gross</v>
          </cell>
          <cell r="Y1899" t="str">
            <v>Thailand</v>
          </cell>
        </row>
        <row r="1900">
          <cell r="L1900" t="str">
            <v>Proportional</v>
          </cell>
          <cell r="S1900">
            <v>11878.27</v>
          </cell>
          <cell r="X1900" t="str">
            <v>Claims - gross</v>
          </cell>
          <cell r="Y1900" t="str">
            <v>THAILAND</v>
          </cell>
        </row>
        <row r="1901">
          <cell r="L1901" t="str">
            <v>Non-proportional</v>
          </cell>
          <cell r="S1901">
            <v>-936436.02</v>
          </cell>
          <cell r="X1901" t="str">
            <v>Claims - gross</v>
          </cell>
          <cell r="Y1901" t="str">
            <v>UNITED KINGDOM</v>
          </cell>
        </row>
        <row r="1902">
          <cell r="L1902" t="str">
            <v>Proportional</v>
          </cell>
          <cell r="S1902">
            <v>1201.72</v>
          </cell>
          <cell r="X1902" t="str">
            <v>Claims - gross</v>
          </cell>
          <cell r="Y1902" t="str">
            <v>THAILAND</v>
          </cell>
        </row>
        <row r="1903">
          <cell r="L1903" t="str">
            <v>Non-proportional</v>
          </cell>
          <cell r="S1903">
            <v>-10258.32</v>
          </cell>
          <cell r="X1903" t="str">
            <v>Claims - gross</v>
          </cell>
          <cell r="Y1903" t="str">
            <v>AUSTRALIA</v>
          </cell>
        </row>
        <row r="1904">
          <cell r="L1904" t="str">
            <v>Proportional</v>
          </cell>
          <cell r="S1904">
            <v>136796.9</v>
          </cell>
          <cell r="X1904" t="str">
            <v>Claims - gross</v>
          </cell>
          <cell r="Y1904" t="str">
            <v>THAILAND</v>
          </cell>
        </row>
        <row r="1905">
          <cell r="L1905" t="str">
            <v>Proportional</v>
          </cell>
          <cell r="S1905">
            <v>-166422.81</v>
          </cell>
          <cell r="X1905" t="str">
            <v>Claims - gross</v>
          </cell>
          <cell r="Y1905" t="str">
            <v>THAILAND</v>
          </cell>
        </row>
        <row r="1906">
          <cell r="L1906" t="str">
            <v>Proportional</v>
          </cell>
          <cell r="S1906">
            <v>-57700.24</v>
          </cell>
          <cell r="X1906" t="str">
            <v>Claims - gross</v>
          </cell>
          <cell r="Y1906" t="str">
            <v>THAILAND</v>
          </cell>
        </row>
        <row r="1907">
          <cell r="L1907" t="str">
            <v>Proportional</v>
          </cell>
          <cell r="S1907">
            <v>541925.34</v>
          </cell>
          <cell r="X1907" t="str">
            <v>Claims - gross</v>
          </cell>
          <cell r="Y1907" t="str">
            <v>Turkey</v>
          </cell>
        </row>
        <row r="1908">
          <cell r="L1908" t="str">
            <v>Non-proportional</v>
          </cell>
          <cell r="S1908">
            <v>-5532.24</v>
          </cell>
          <cell r="X1908" t="str">
            <v>Claims - gross</v>
          </cell>
          <cell r="Y1908" t="str">
            <v>GERMANY</v>
          </cell>
        </row>
        <row r="1909">
          <cell r="L1909" t="str">
            <v>Proportional</v>
          </cell>
          <cell r="S1909">
            <v>127.03</v>
          </cell>
          <cell r="X1909" t="str">
            <v>Claims - gross</v>
          </cell>
          <cell r="Y1909" t="str">
            <v>THAILAND</v>
          </cell>
        </row>
        <row r="1910">
          <cell r="L1910" t="str">
            <v>Proportional</v>
          </cell>
          <cell r="S1910">
            <v>746197.92</v>
          </cell>
          <cell r="X1910" t="str">
            <v>Claims - gross</v>
          </cell>
          <cell r="Y1910" t="str">
            <v>UNITED STATES</v>
          </cell>
        </row>
        <row r="1911">
          <cell r="L1911" t="str">
            <v>Proportional</v>
          </cell>
          <cell r="S1911">
            <v>-1738.89</v>
          </cell>
          <cell r="X1911" t="str">
            <v>Claims - gross</v>
          </cell>
          <cell r="Y1911" t="str">
            <v>THAILAND</v>
          </cell>
        </row>
        <row r="1912">
          <cell r="L1912" t="str">
            <v>Non-proportional</v>
          </cell>
          <cell r="S1912">
            <v>-1200</v>
          </cell>
          <cell r="X1912" t="str">
            <v>Claims - gross</v>
          </cell>
          <cell r="Y1912" t="str">
            <v>ITALY</v>
          </cell>
        </row>
        <row r="1913">
          <cell r="L1913" t="str">
            <v>Non-proportional</v>
          </cell>
          <cell r="S1913">
            <v>42177.84</v>
          </cell>
          <cell r="X1913" t="str">
            <v>Claims - gross</v>
          </cell>
          <cell r="Y1913" t="str">
            <v>MEXICO</v>
          </cell>
        </row>
        <row r="1914">
          <cell r="L1914" t="str">
            <v>Non-proportional</v>
          </cell>
          <cell r="S1914">
            <v>111103.6</v>
          </cell>
          <cell r="X1914" t="str">
            <v>Claims - gross</v>
          </cell>
          <cell r="Y1914" t="str">
            <v>UNITED KINGDOM</v>
          </cell>
        </row>
        <row r="1915">
          <cell r="L1915" t="str">
            <v>Non-proportional</v>
          </cell>
          <cell r="S1915">
            <v>57247.54</v>
          </cell>
          <cell r="X1915" t="str">
            <v>Claims - gross</v>
          </cell>
          <cell r="Y1915" t="str">
            <v>UNITED KINGDOM</v>
          </cell>
        </row>
        <row r="1916">
          <cell r="L1916" t="str">
            <v>Non-proportional</v>
          </cell>
          <cell r="S1916">
            <v>-327717.99</v>
          </cell>
          <cell r="X1916" t="str">
            <v>Claims - gross</v>
          </cell>
          <cell r="Y1916" t="str">
            <v>UNITED KINGDOM</v>
          </cell>
        </row>
        <row r="1917">
          <cell r="L1917" t="str">
            <v>Proportional</v>
          </cell>
          <cell r="S1917">
            <v>-3435.3</v>
          </cell>
          <cell r="X1917" t="str">
            <v>Claims - gross</v>
          </cell>
          <cell r="Y1917" t="str">
            <v>UNITED STATES</v>
          </cell>
        </row>
        <row r="1918">
          <cell r="L1918" t="str">
            <v>Proportional</v>
          </cell>
          <cell r="S1918">
            <v>62259.97</v>
          </cell>
          <cell r="X1918" t="str">
            <v>Claims - gross</v>
          </cell>
          <cell r="Y1918" t="str">
            <v>THAILAND</v>
          </cell>
        </row>
        <row r="1919">
          <cell r="L1919" t="str">
            <v>Non-proportional</v>
          </cell>
          <cell r="S1919">
            <v>-1620674.35</v>
          </cell>
          <cell r="X1919" t="str">
            <v>Claims - gross</v>
          </cell>
          <cell r="Y1919" t="str">
            <v>United kingdom</v>
          </cell>
        </row>
        <row r="1920">
          <cell r="L1920" t="str">
            <v>Non-proportional</v>
          </cell>
          <cell r="S1920">
            <v>310800.14</v>
          </cell>
          <cell r="X1920" t="str">
            <v>Claims - gross</v>
          </cell>
          <cell r="Y1920" t="str">
            <v>UNITED KINGDOM</v>
          </cell>
        </row>
        <row r="1921">
          <cell r="L1921" t="str">
            <v>Proportional</v>
          </cell>
          <cell r="S1921">
            <v>-159559.5</v>
          </cell>
          <cell r="X1921" t="str">
            <v>Claims - gross</v>
          </cell>
          <cell r="Y1921" t="str">
            <v>THAILAND</v>
          </cell>
        </row>
        <row r="1922">
          <cell r="L1922" t="str">
            <v>Proportional</v>
          </cell>
          <cell r="S1922">
            <v>-2785342.46</v>
          </cell>
          <cell r="X1922" t="str">
            <v>Claims - gross</v>
          </cell>
          <cell r="Y1922" t="str">
            <v>united states</v>
          </cell>
        </row>
        <row r="1923">
          <cell r="L1923" t="str">
            <v>Proportional</v>
          </cell>
          <cell r="S1923">
            <v>-317.44</v>
          </cell>
          <cell r="X1923" t="str">
            <v>Claims - gross</v>
          </cell>
          <cell r="Y1923" t="str">
            <v>Thailand</v>
          </cell>
        </row>
        <row r="1924">
          <cell r="L1924" t="str">
            <v>Proportional</v>
          </cell>
          <cell r="S1924">
            <v>-13706.6</v>
          </cell>
          <cell r="X1924" t="str">
            <v>Claims - gross</v>
          </cell>
          <cell r="Y1924" t="str">
            <v>Hong Kong</v>
          </cell>
        </row>
        <row r="1925">
          <cell r="L1925" t="str">
            <v>Proportional</v>
          </cell>
          <cell r="S1925">
            <v>414252.76</v>
          </cell>
          <cell r="X1925" t="str">
            <v>Claims - gross</v>
          </cell>
          <cell r="Y1925" t="str">
            <v>THAILAND</v>
          </cell>
        </row>
        <row r="1926">
          <cell r="L1926" t="str">
            <v>Non-proportional</v>
          </cell>
          <cell r="S1926">
            <v>188339.91</v>
          </cell>
          <cell r="X1926" t="str">
            <v>Claims - gross</v>
          </cell>
          <cell r="Y1926" t="str">
            <v>FRANCE</v>
          </cell>
        </row>
        <row r="1927">
          <cell r="L1927" t="str">
            <v>Proportional</v>
          </cell>
          <cell r="S1927">
            <v>6371.49</v>
          </cell>
          <cell r="X1927" t="str">
            <v>Claims - gross</v>
          </cell>
          <cell r="Y1927" t="str">
            <v>THAILAND</v>
          </cell>
        </row>
        <row r="1928">
          <cell r="L1928" t="str">
            <v>Non-proportional</v>
          </cell>
          <cell r="S1928">
            <v>-6688.13</v>
          </cell>
          <cell r="X1928" t="str">
            <v>Claims - gross</v>
          </cell>
          <cell r="Y1928" t="str">
            <v>UNITED KINGDOM</v>
          </cell>
        </row>
        <row r="1929">
          <cell r="L1929" t="str">
            <v>Proportional</v>
          </cell>
          <cell r="S1929">
            <v>9856.0499999999993</v>
          </cell>
          <cell r="X1929" t="str">
            <v>Claims - gross</v>
          </cell>
          <cell r="Y1929" t="str">
            <v>THAILAND</v>
          </cell>
        </row>
        <row r="1930">
          <cell r="L1930" t="str">
            <v>Non-proportional</v>
          </cell>
          <cell r="S1930">
            <v>-636770.5</v>
          </cell>
          <cell r="X1930" t="str">
            <v>Claims - gross</v>
          </cell>
          <cell r="Y1930" t="str">
            <v>EUROPE</v>
          </cell>
        </row>
        <row r="1931">
          <cell r="L1931" t="str">
            <v>Non-proportional</v>
          </cell>
          <cell r="S1931">
            <v>81.52</v>
          </cell>
          <cell r="X1931" t="str">
            <v>Claims - gross</v>
          </cell>
          <cell r="Y1931" t="str">
            <v>CZECH REPUBLIC</v>
          </cell>
        </row>
        <row r="1932">
          <cell r="L1932" t="str">
            <v>Proportional</v>
          </cell>
          <cell r="S1932">
            <v>-77502.460000000006</v>
          </cell>
          <cell r="X1932" t="str">
            <v>Claims - gross</v>
          </cell>
          <cell r="Y1932" t="str">
            <v>HONG KONG</v>
          </cell>
        </row>
        <row r="1933">
          <cell r="L1933" t="str">
            <v>Proportional</v>
          </cell>
          <cell r="S1933">
            <v>-23.17</v>
          </cell>
          <cell r="X1933" t="str">
            <v>Claims - gross</v>
          </cell>
          <cell r="Y1933" t="str">
            <v>Thailand</v>
          </cell>
        </row>
        <row r="1934">
          <cell r="L1934" t="str">
            <v>Non-proportional</v>
          </cell>
          <cell r="S1934">
            <v>84192.76</v>
          </cell>
          <cell r="X1934" t="str">
            <v>Claims - gross</v>
          </cell>
          <cell r="Y1934" t="str">
            <v>SLOVENIA</v>
          </cell>
        </row>
        <row r="1935">
          <cell r="L1935" t="str">
            <v>Proportional</v>
          </cell>
          <cell r="S1935">
            <v>908.07</v>
          </cell>
          <cell r="X1935" t="str">
            <v>Claims - gross</v>
          </cell>
          <cell r="Y1935" t="str">
            <v>JAPAN</v>
          </cell>
        </row>
        <row r="1936">
          <cell r="L1936" t="str">
            <v>Proportional</v>
          </cell>
          <cell r="S1936">
            <v>-1055031.72</v>
          </cell>
          <cell r="X1936" t="str">
            <v>Claims - gross</v>
          </cell>
          <cell r="Y1936" t="str">
            <v>Turkey</v>
          </cell>
        </row>
        <row r="1937">
          <cell r="L1937" t="str">
            <v>Proportional</v>
          </cell>
          <cell r="S1937">
            <v>-8580.7800000000007</v>
          </cell>
          <cell r="X1937" t="str">
            <v>Claims - gross</v>
          </cell>
          <cell r="Y1937" t="str">
            <v>THAILAND</v>
          </cell>
        </row>
        <row r="1938">
          <cell r="L1938" t="str">
            <v>Proportional</v>
          </cell>
          <cell r="S1938">
            <v>-3.44</v>
          </cell>
          <cell r="X1938" t="str">
            <v>Claims - gross</v>
          </cell>
          <cell r="Y1938" t="str">
            <v>Thailand</v>
          </cell>
        </row>
        <row r="1939">
          <cell r="L1939" t="str">
            <v>Non-proportional</v>
          </cell>
          <cell r="S1939">
            <v>351882.23999999999</v>
          </cell>
          <cell r="X1939" t="str">
            <v>Claims - gross</v>
          </cell>
          <cell r="Y1939" t="str">
            <v>FRANCE</v>
          </cell>
        </row>
        <row r="1940">
          <cell r="L1940" t="str">
            <v>Non-proportional</v>
          </cell>
          <cell r="S1940">
            <v>600</v>
          </cell>
          <cell r="X1940" t="str">
            <v>Claims - gross</v>
          </cell>
          <cell r="Y1940" t="str">
            <v>ITALY</v>
          </cell>
        </row>
        <row r="1941">
          <cell r="L1941" t="str">
            <v>Proportional</v>
          </cell>
          <cell r="S1941">
            <v>335378.51</v>
          </cell>
          <cell r="X1941" t="str">
            <v>Claims - gross</v>
          </cell>
          <cell r="Y1941" t="str">
            <v>HONG KONG</v>
          </cell>
        </row>
        <row r="1942">
          <cell r="L1942" t="str">
            <v>Non-proportional</v>
          </cell>
          <cell r="S1942">
            <v>-12316.4</v>
          </cell>
          <cell r="X1942" t="str">
            <v>Claims - gross</v>
          </cell>
          <cell r="Y1942" t="str">
            <v>United kingdom</v>
          </cell>
        </row>
        <row r="1943">
          <cell r="L1943" t="str">
            <v>Non-proportional</v>
          </cell>
          <cell r="S1943">
            <v>-70452.509999999995</v>
          </cell>
          <cell r="X1943" t="str">
            <v>Claims - gross</v>
          </cell>
          <cell r="Y1943" t="str">
            <v>SLOVENIA</v>
          </cell>
        </row>
        <row r="1944">
          <cell r="L1944" t="str">
            <v>Proportional</v>
          </cell>
          <cell r="S1944">
            <v>2999.8</v>
          </cell>
          <cell r="X1944" t="str">
            <v>Claims - gross</v>
          </cell>
          <cell r="Y1944" t="str">
            <v>Thailand</v>
          </cell>
        </row>
        <row r="1945">
          <cell r="L1945" t="str">
            <v>Non-proportional</v>
          </cell>
          <cell r="S1945">
            <v>-109420.97</v>
          </cell>
          <cell r="X1945" t="str">
            <v>Claims - gross</v>
          </cell>
          <cell r="Y1945" t="str">
            <v>TURKEY</v>
          </cell>
        </row>
        <row r="1946">
          <cell r="L1946" t="str">
            <v>Proportional</v>
          </cell>
          <cell r="S1946">
            <v>-270793.7</v>
          </cell>
          <cell r="X1946" t="str">
            <v>Claims - gross</v>
          </cell>
          <cell r="Y1946" t="str">
            <v>Thailand</v>
          </cell>
        </row>
        <row r="1947">
          <cell r="L1947" t="str">
            <v>Proportional</v>
          </cell>
          <cell r="S1947">
            <v>-1022629.83</v>
          </cell>
          <cell r="X1947" t="str">
            <v>Claims - gross</v>
          </cell>
          <cell r="Y1947" t="str">
            <v>Turkey</v>
          </cell>
        </row>
        <row r="1948">
          <cell r="L1948" t="str">
            <v>Non-proportional</v>
          </cell>
          <cell r="S1948">
            <v>-278297.05</v>
          </cell>
          <cell r="X1948" t="str">
            <v>Claims - gross</v>
          </cell>
          <cell r="Y1948" t="str">
            <v>United kingdom</v>
          </cell>
        </row>
        <row r="1949">
          <cell r="L1949"/>
          <cell r="S1949">
            <v>5142789.6900000004</v>
          </cell>
          <cell r="X1949" t="str">
            <v>Claims - gross</v>
          </cell>
          <cell r="Y1949" t="str">
            <v>United kingdom</v>
          </cell>
        </row>
        <row r="1950">
          <cell r="L1950" t="str">
            <v>Proportional</v>
          </cell>
          <cell r="S1950">
            <v>249981.48</v>
          </cell>
          <cell r="X1950" t="str">
            <v>Claims - gross</v>
          </cell>
          <cell r="Y1950" t="str">
            <v>UNITED KINGDOM</v>
          </cell>
        </row>
        <row r="1951">
          <cell r="L1951" t="str">
            <v>Non-proportional</v>
          </cell>
          <cell r="S1951">
            <v>406419.58</v>
          </cell>
          <cell r="X1951" t="str">
            <v>Claims - gross</v>
          </cell>
          <cell r="Y1951" t="str">
            <v>United kingdom</v>
          </cell>
        </row>
        <row r="1952">
          <cell r="L1952" t="str">
            <v>Non-proportional</v>
          </cell>
          <cell r="S1952">
            <v>5000</v>
          </cell>
          <cell r="X1952" t="str">
            <v>Claims - gross</v>
          </cell>
          <cell r="Y1952" t="str">
            <v>FRANCE</v>
          </cell>
        </row>
        <row r="1953">
          <cell r="L1953" t="str">
            <v>Non-proportional</v>
          </cell>
          <cell r="S1953">
            <v>195251.20000000001</v>
          </cell>
          <cell r="X1953" t="str">
            <v>Claims - gross</v>
          </cell>
          <cell r="Y1953" t="str">
            <v>BELGIUM</v>
          </cell>
        </row>
        <row r="1954">
          <cell r="L1954" t="str">
            <v>Proportional</v>
          </cell>
          <cell r="S1954">
            <v>-435839.54</v>
          </cell>
          <cell r="X1954" t="str">
            <v>Claims - gross</v>
          </cell>
          <cell r="Y1954" t="str">
            <v>CANADA</v>
          </cell>
        </row>
        <row r="1955">
          <cell r="L1955" t="str">
            <v>Non-proportional</v>
          </cell>
          <cell r="S1955">
            <v>-351882.23999999999</v>
          </cell>
          <cell r="X1955" t="str">
            <v>Claims - gross</v>
          </cell>
          <cell r="Y1955" t="str">
            <v>FRANCE</v>
          </cell>
        </row>
        <row r="1956">
          <cell r="L1956" t="str">
            <v>Non-proportional</v>
          </cell>
          <cell r="S1956">
            <v>-630.29999999999995</v>
          </cell>
          <cell r="X1956" t="str">
            <v>Claims - gross</v>
          </cell>
          <cell r="Y1956" t="str">
            <v>ITALY</v>
          </cell>
        </row>
        <row r="1957">
          <cell r="L1957" t="str">
            <v>Proportional</v>
          </cell>
          <cell r="S1957">
            <v>886415.63</v>
          </cell>
          <cell r="X1957" t="str">
            <v>Claims - gross</v>
          </cell>
          <cell r="Y1957" t="str">
            <v>THAILAND</v>
          </cell>
        </row>
        <row r="1958">
          <cell r="L1958" t="str">
            <v>Non-proportional</v>
          </cell>
          <cell r="S1958">
            <v>101954.66</v>
          </cell>
          <cell r="X1958" t="str">
            <v>Claims - gross</v>
          </cell>
          <cell r="Y1958" t="str">
            <v>UNITED KINGDOM</v>
          </cell>
        </row>
        <row r="1959">
          <cell r="L1959" t="str">
            <v>Non-proportional</v>
          </cell>
          <cell r="S1959">
            <v>-387258.13</v>
          </cell>
          <cell r="X1959" t="str">
            <v>Claims - gross</v>
          </cell>
          <cell r="Y1959" t="str">
            <v>FRANCE</v>
          </cell>
        </row>
        <row r="1960">
          <cell r="L1960" t="str">
            <v>Non-proportional</v>
          </cell>
          <cell r="S1960">
            <v>9882.25</v>
          </cell>
          <cell r="X1960" t="str">
            <v>Claims - gross</v>
          </cell>
          <cell r="Y1960" t="str">
            <v>ICELAND</v>
          </cell>
        </row>
        <row r="1961">
          <cell r="L1961" t="str">
            <v>Non-proportional</v>
          </cell>
          <cell r="S1961">
            <v>9513.2000000000007</v>
          </cell>
          <cell r="X1961" t="str">
            <v>Claims - gross</v>
          </cell>
          <cell r="Y1961" t="str">
            <v>CYPRUS</v>
          </cell>
        </row>
        <row r="1962">
          <cell r="L1962" t="str">
            <v>Non-proportional</v>
          </cell>
          <cell r="S1962">
            <v>-1936.28</v>
          </cell>
          <cell r="X1962" t="str">
            <v>Claims - gross</v>
          </cell>
          <cell r="Y1962" t="str">
            <v>SWEDEN</v>
          </cell>
        </row>
        <row r="1963">
          <cell r="L1963" t="str">
            <v>Non-proportional</v>
          </cell>
          <cell r="S1963">
            <v>-50664.95</v>
          </cell>
          <cell r="X1963" t="str">
            <v>Claims - gross</v>
          </cell>
          <cell r="Y1963" t="str">
            <v>FRANCE</v>
          </cell>
        </row>
        <row r="1964">
          <cell r="L1964" t="str">
            <v>Proportional</v>
          </cell>
          <cell r="S1964">
            <v>39067.61</v>
          </cell>
          <cell r="X1964" t="str">
            <v>Claims - gross</v>
          </cell>
          <cell r="Y1964" t="str">
            <v>CANADA</v>
          </cell>
        </row>
        <row r="1965">
          <cell r="L1965" t="str">
            <v>Non-proportional</v>
          </cell>
          <cell r="S1965">
            <v>7500</v>
          </cell>
          <cell r="X1965" t="str">
            <v>Claims - gross</v>
          </cell>
          <cell r="Y1965" t="str">
            <v>REPUBLIC OF IRELAND</v>
          </cell>
        </row>
        <row r="1966">
          <cell r="L1966" t="str">
            <v>Non-proportional</v>
          </cell>
          <cell r="S1966">
            <v>567150.64</v>
          </cell>
          <cell r="X1966" t="str">
            <v>Claims - gross</v>
          </cell>
          <cell r="Y1966" t="str">
            <v>UNITED KINGDOM</v>
          </cell>
        </row>
        <row r="1967">
          <cell r="L1967" t="str">
            <v>Proportional</v>
          </cell>
          <cell r="S1967">
            <v>1344.52</v>
          </cell>
          <cell r="X1967" t="str">
            <v>Claims - gross</v>
          </cell>
          <cell r="Y1967" t="str">
            <v>SWITZERLAND</v>
          </cell>
        </row>
        <row r="1968">
          <cell r="L1968" t="str">
            <v>Non-proportional</v>
          </cell>
          <cell r="S1968">
            <v>6440.53</v>
          </cell>
          <cell r="X1968" t="str">
            <v>Claims - gross</v>
          </cell>
          <cell r="Y1968" t="str">
            <v>MEXICO</v>
          </cell>
        </row>
        <row r="1969">
          <cell r="L1969" t="str">
            <v>Non-proportional</v>
          </cell>
          <cell r="S1969">
            <v>1984.71</v>
          </cell>
          <cell r="X1969" t="str">
            <v>Claims - gross</v>
          </cell>
          <cell r="Y1969" t="str">
            <v>SWEDEN</v>
          </cell>
        </row>
        <row r="1970">
          <cell r="L1970" t="str">
            <v>Non-proportional</v>
          </cell>
          <cell r="S1970">
            <v>275840.33</v>
          </cell>
          <cell r="X1970" t="str">
            <v>Claims - gross</v>
          </cell>
          <cell r="Y1970" t="str">
            <v>ECUADOR</v>
          </cell>
        </row>
        <row r="1971">
          <cell r="L1971" t="str">
            <v>Proportional</v>
          </cell>
          <cell r="S1971">
            <v>-207115.81</v>
          </cell>
          <cell r="X1971" t="str">
            <v>Claims - gross</v>
          </cell>
          <cell r="Y1971" t="str">
            <v>Ireland</v>
          </cell>
        </row>
        <row r="1972">
          <cell r="L1972" t="str">
            <v>Proportional</v>
          </cell>
          <cell r="S1972">
            <v>-1848605.24</v>
          </cell>
          <cell r="X1972" t="str">
            <v>Claims - gross</v>
          </cell>
          <cell r="Y1972" t="str">
            <v>Ireland</v>
          </cell>
        </row>
        <row r="1973">
          <cell r="L1973" t="str">
            <v>Proportional</v>
          </cell>
          <cell r="S1973">
            <v>52995.02</v>
          </cell>
          <cell r="X1973" t="str">
            <v>Claims - gross</v>
          </cell>
          <cell r="Y1973" t="str">
            <v>Hong Kong</v>
          </cell>
        </row>
        <row r="1974">
          <cell r="L1974" t="str">
            <v>Non-proportional</v>
          </cell>
          <cell r="S1974">
            <v>340290.38</v>
          </cell>
          <cell r="X1974" t="str">
            <v>Claims - gross</v>
          </cell>
          <cell r="Y1974" t="str">
            <v>UNITED KINGDOM</v>
          </cell>
        </row>
        <row r="1975">
          <cell r="L1975" t="str">
            <v>Non-proportional</v>
          </cell>
          <cell r="S1975">
            <v>-14161.91</v>
          </cell>
          <cell r="X1975" t="str">
            <v>Claims - gross</v>
          </cell>
          <cell r="Y1975" t="str">
            <v>UNITED KINGDOM</v>
          </cell>
        </row>
        <row r="1976">
          <cell r="L1976" t="str">
            <v>Non-proportional</v>
          </cell>
          <cell r="S1976">
            <v>-14783.08</v>
          </cell>
          <cell r="X1976" t="str">
            <v>Claims - gross</v>
          </cell>
          <cell r="Y1976" t="str">
            <v>SWEDEN</v>
          </cell>
        </row>
        <row r="1977">
          <cell r="L1977" t="str">
            <v>Proportional</v>
          </cell>
          <cell r="S1977">
            <v>4319.88</v>
          </cell>
          <cell r="X1977" t="str">
            <v>Claims - gross</v>
          </cell>
          <cell r="Y1977" t="str">
            <v>AUSTRALIA</v>
          </cell>
        </row>
        <row r="1978">
          <cell r="L1978" t="str">
            <v>Non-proportional</v>
          </cell>
          <cell r="S1978">
            <v>340290.38</v>
          </cell>
          <cell r="X1978" t="str">
            <v>Claims - gross</v>
          </cell>
          <cell r="Y1978" t="str">
            <v>UNITED KINGDOM</v>
          </cell>
        </row>
        <row r="1979">
          <cell r="L1979" t="str">
            <v>Non-proportional</v>
          </cell>
          <cell r="S1979">
            <v>3024.6</v>
          </cell>
          <cell r="X1979" t="str">
            <v>Claims - gross</v>
          </cell>
          <cell r="Y1979" t="str">
            <v>ITALY</v>
          </cell>
        </row>
        <row r="1980">
          <cell r="L1980" t="str">
            <v>Proportional</v>
          </cell>
          <cell r="S1980">
            <v>91523.17</v>
          </cell>
          <cell r="X1980" t="str">
            <v>Claims - gross</v>
          </cell>
          <cell r="Y1980" t="str">
            <v>HONG KONG</v>
          </cell>
        </row>
        <row r="1981">
          <cell r="L1981" t="str">
            <v>Proportional</v>
          </cell>
          <cell r="S1981">
            <v>5964714.0700000003</v>
          </cell>
          <cell r="X1981" t="str">
            <v>Claims - gross</v>
          </cell>
          <cell r="Y1981" t="str">
            <v>ITALY</v>
          </cell>
        </row>
        <row r="1982">
          <cell r="L1982" t="str">
            <v>Proportional</v>
          </cell>
          <cell r="S1982">
            <v>-25.86</v>
          </cell>
          <cell r="X1982" t="str">
            <v>Claims - gross</v>
          </cell>
          <cell r="Y1982" t="str">
            <v>JAPAN</v>
          </cell>
        </row>
        <row r="1983">
          <cell r="L1983" t="str">
            <v>Non-proportional</v>
          </cell>
          <cell r="S1983">
            <v>18047.84</v>
          </cell>
          <cell r="X1983" t="str">
            <v>Claims - gross</v>
          </cell>
          <cell r="Y1983" t="str">
            <v>EUROPE</v>
          </cell>
        </row>
        <row r="1984">
          <cell r="L1984" t="str">
            <v>Non-proportional</v>
          </cell>
          <cell r="S1984">
            <v>-85568.17</v>
          </cell>
          <cell r="X1984" t="str">
            <v>Claims - gross</v>
          </cell>
          <cell r="Y1984" t="str">
            <v>CZECH REPUBLIC</v>
          </cell>
        </row>
        <row r="1985">
          <cell r="L1985" t="str">
            <v>Non-proportional</v>
          </cell>
          <cell r="S1985">
            <v>113430.13</v>
          </cell>
          <cell r="X1985" t="str">
            <v>Claims - gross</v>
          </cell>
          <cell r="Y1985" t="str">
            <v>UNITED KINGDOM</v>
          </cell>
        </row>
        <row r="1986">
          <cell r="L1986" t="str">
            <v>Non-proportional</v>
          </cell>
          <cell r="S1986">
            <v>404337.76</v>
          </cell>
          <cell r="X1986" t="str">
            <v>Claims - gross</v>
          </cell>
          <cell r="Y1986" t="str">
            <v>BELGIUM</v>
          </cell>
        </row>
        <row r="1987">
          <cell r="L1987" t="str">
            <v>Non-proportional</v>
          </cell>
          <cell r="S1987">
            <v>-23200.99</v>
          </cell>
          <cell r="X1987" t="str">
            <v>Claims - gross</v>
          </cell>
          <cell r="Y1987" t="str">
            <v>EUROPE</v>
          </cell>
        </row>
        <row r="1988">
          <cell r="L1988" t="str">
            <v>Non-proportional</v>
          </cell>
          <cell r="S1988">
            <v>103668.24</v>
          </cell>
          <cell r="X1988" t="str">
            <v>Claims - gross</v>
          </cell>
          <cell r="Y1988" t="str">
            <v>UNITED KINGDOM</v>
          </cell>
        </row>
        <row r="1989">
          <cell r="L1989" t="str">
            <v>Non-proportional</v>
          </cell>
          <cell r="S1989">
            <v>-468566</v>
          </cell>
          <cell r="X1989" t="str">
            <v>Claims - gross</v>
          </cell>
          <cell r="Y1989" t="str">
            <v>THAILAND</v>
          </cell>
        </row>
        <row r="1990">
          <cell r="L1990" t="str">
            <v>Proportional</v>
          </cell>
          <cell r="S1990">
            <v>12066.76</v>
          </cell>
          <cell r="X1990" t="str">
            <v>Claims - gross</v>
          </cell>
          <cell r="Y1990" t="str">
            <v>malaysia</v>
          </cell>
        </row>
        <row r="1991">
          <cell r="L1991" t="str">
            <v>Non-proportional</v>
          </cell>
          <cell r="S1991">
            <v>14428.93</v>
          </cell>
          <cell r="X1991" t="str">
            <v>Claims - gross</v>
          </cell>
          <cell r="Y1991" t="str">
            <v>ITALY</v>
          </cell>
        </row>
        <row r="1992">
          <cell r="L1992" t="str">
            <v>Non-proportional</v>
          </cell>
          <cell r="S1992">
            <v>-40401.410000000003</v>
          </cell>
          <cell r="X1992" t="str">
            <v>Claims - gross</v>
          </cell>
          <cell r="Y1992" t="str">
            <v>SLOVENIA</v>
          </cell>
        </row>
        <row r="1993">
          <cell r="L1993" t="str">
            <v>Non-proportional</v>
          </cell>
          <cell r="S1993">
            <v>900000</v>
          </cell>
          <cell r="X1993" t="str">
            <v>Claims - gross</v>
          </cell>
          <cell r="Y1993" t="str">
            <v>UNITED KINGDOM</v>
          </cell>
        </row>
        <row r="1994">
          <cell r="L1994" t="str">
            <v>Non-proportional</v>
          </cell>
          <cell r="S1994">
            <v>125</v>
          </cell>
          <cell r="X1994" t="str">
            <v>Claims - gross</v>
          </cell>
          <cell r="Y1994" t="str">
            <v>ITALY</v>
          </cell>
        </row>
        <row r="1995">
          <cell r="L1995" t="str">
            <v>Non-proportional</v>
          </cell>
          <cell r="S1995">
            <v>-35750.6</v>
          </cell>
          <cell r="X1995" t="str">
            <v>Claims - gross</v>
          </cell>
          <cell r="Y1995" t="str">
            <v>CZECH REPUBLIC</v>
          </cell>
        </row>
        <row r="1996">
          <cell r="L1996" t="str">
            <v>Non-proportional</v>
          </cell>
          <cell r="S1996">
            <v>342990.43</v>
          </cell>
          <cell r="X1996" t="str">
            <v>Claims - gross</v>
          </cell>
          <cell r="Y1996" t="str">
            <v>UNITED KINGDOM</v>
          </cell>
        </row>
        <row r="1997">
          <cell r="L1997" t="str">
            <v>Non-proportional</v>
          </cell>
          <cell r="S1997">
            <v>154.66</v>
          </cell>
          <cell r="X1997" t="str">
            <v>Claims - gross</v>
          </cell>
          <cell r="Y1997" t="str">
            <v>UNITED KINGDOM</v>
          </cell>
        </row>
        <row r="1998">
          <cell r="L1998" t="str">
            <v>Non-proportional</v>
          </cell>
          <cell r="S1998">
            <v>2268602.54</v>
          </cell>
          <cell r="X1998" t="str">
            <v>Claims - gross</v>
          </cell>
          <cell r="Y1998" t="str">
            <v>UNITED KINGDOM</v>
          </cell>
        </row>
        <row r="1999">
          <cell r="L1999" t="str">
            <v>Non-proportional</v>
          </cell>
          <cell r="S1999">
            <v>68562.929999999993</v>
          </cell>
          <cell r="X1999" t="str">
            <v>Claims - gross</v>
          </cell>
          <cell r="Y1999" t="str">
            <v>EUROPE</v>
          </cell>
        </row>
        <row r="2000">
          <cell r="L2000" t="str">
            <v>Non-proportional</v>
          </cell>
          <cell r="S2000">
            <v>250000</v>
          </cell>
          <cell r="X2000" t="str">
            <v>Claims - gross</v>
          </cell>
          <cell r="Y2000" t="str">
            <v>EUROPE</v>
          </cell>
        </row>
        <row r="2001">
          <cell r="L2001" t="str">
            <v>Non-proportional</v>
          </cell>
          <cell r="S2001">
            <v>-299352.38</v>
          </cell>
          <cell r="X2001" t="str">
            <v>Claims - gross</v>
          </cell>
          <cell r="Y2001" t="str">
            <v>Belgium</v>
          </cell>
        </row>
        <row r="2002">
          <cell r="L2002" t="str">
            <v>Proportional</v>
          </cell>
          <cell r="S2002">
            <v>2321.2600000000002</v>
          </cell>
          <cell r="X2002" t="str">
            <v>Claims - gross</v>
          </cell>
          <cell r="Y2002" t="str">
            <v>Turkey</v>
          </cell>
        </row>
        <row r="2003">
          <cell r="L2003" t="str">
            <v>Non-proportional</v>
          </cell>
          <cell r="S2003">
            <v>6065.5</v>
          </cell>
          <cell r="X2003" t="str">
            <v>Claims - gross</v>
          </cell>
          <cell r="Y2003" t="str">
            <v>EUROPE</v>
          </cell>
        </row>
        <row r="2004">
          <cell r="L2004" t="str">
            <v>Non-proportional</v>
          </cell>
          <cell r="S2004">
            <v>56501.98</v>
          </cell>
          <cell r="X2004" t="str">
            <v>Claims - gross</v>
          </cell>
          <cell r="Y2004" t="str">
            <v>EUROPE</v>
          </cell>
        </row>
        <row r="2005">
          <cell r="L2005" t="str">
            <v>Non-proportional</v>
          </cell>
          <cell r="S2005">
            <v>-20593.48</v>
          </cell>
          <cell r="X2005" t="str">
            <v>Claims - gross</v>
          </cell>
          <cell r="Y2005" t="str">
            <v>FRANCE</v>
          </cell>
        </row>
        <row r="2006">
          <cell r="L2006" t="str">
            <v>Non-proportional</v>
          </cell>
          <cell r="S2006">
            <v>-8259.66</v>
          </cell>
          <cell r="X2006" t="str">
            <v>Claims - gross</v>
          </cell>
          <cell r="Y2006" t="str">
            <v>SWEDEN</v>
          </cell>
        </row>
        <row r="2007">
          <cell r="L2007" t="str">
            <v>Non-proportional</v>
          </cell>
          <cell r="S2007">
            <v>-567150.64</v>
          </cell>
          <cell r="X2007" t="str">
            <v>Claims - gross</v>
          </cell>
          <cell r="Y2007" t="str">
            <v>UNITED KINGDOM</v>
          </cell>
        </row>
        <row r="2008">
          <cell r="L2008" t="str">
            <v>Non-proportional</v>
          </cell>
          <cell r="S2008">
            <v>453720.51</v>
          </cell>
          <cell r="X2008" t="str">
            <v>Claims - gross</v>
          </cell>
          <cell r="Y2008" t="str">
            <v>UNITED KINGDOM</v>
          </cell>
        </row>
        <row r="2009">
          <cell r="L2009" t="str">
            <v>Non-proportional</v>
          </cell>
          <cell r="S2009">
            <v>340290.38</v>
          </cell>
          <cell r="X2009" t="str">
            <v>Claims - gross</v>
          </cell>
          <cell r="Y2009" t="str">
            <v>UNITED KINGDOM</v>
          </cell>
        </row>
        <row r="2010">
          <cell r="L2010" t="str">
            <v>Non-proportional</v>
          </cell>
          <cell r="S2010">
            <v>-7476.4</v>
          </cell>
          <cell r="X2010" t="str">
            <v>Claims - gross</v>
          </cell>
          <cell r="Y2010" t="str">
            <v>Belgium</v>
          </cell>
        </row>
        <row r="2011">
          <cell r="L2011" t="str">
            <v>Non-proportional</v>
          </cell>
          <cell r="S2011">
            <v>171357.37</v>
          </cell>
          <cell r="X2011" t="str">
            <v>Claims - gross</v>
          </cell>
          <cell r="Y2011" t="str">
            <v>MEXICO</v>
          </cell>
        </row>
        <row r="2012">
          <cell r="L2012" t="str">
            <v>Non-proportional</v>
          </cell>
          <cell r="S2012">
            <v>-29401.200000000001</v>
          </cell>
          <cell r="X2012" t="str">
            <v>Claims - gross</v>
          </cell>
          <cell r="Y2012" t="str">
            <v>EUROPE</v>
          </cell>
        </row>
        <row r="2013">
          <cell r="L2013" t="str">
            <v>Non-proportional</v>
          </cell>
          <cell r="S2013">
            <v>-102.17</v>
          </cell>
          <cell r="X2013" t="str">
            <v>Claims - gross</v>
          </cell>
          <cell r="Y2013" t="str">
            <v>ITALY</v>
          </cell>
        </row>
        <row r="2014">
          <cell r="L2014" t="str">
            <v>Proportional</v>
          </cell>
          <cell r="S2014">
            <v>282.83999999999997</v>
          </cell>
          <cell r="X2014" t="str">
            <v>Claims - gross</v>
          </cell>
          <cell r="Y2014" t="str">
            <v>JAPAN</v>
          </cell>
        </row>
        <row r="2015">
          <cell r="L2015" t="str">
            <v>Proportional</v>
          </cell>
          <cell r="S2015">
            <v>1817.73</v>
          </cell>
          <cell r="X2015" t="str">
            <v>Claims - gross</v>
          </cell>
          <cell r="Y2015" t="str">
            <v>singapore</v>
          </cell>
        </row>
        <row r="2016">
          <cell r="L2016" t="str">
            <v>Non-proportional</v>
          </cell>
          <cell r="S2016">
            <v>-9513.2000000000007</v>
          </cell>
          <cell r="X2016" t="str">
            <v>Claims - gross</v>
          </cell>
          <cell r="Y2016" t="str">
            <v>CYPRUS</v>
          </cell>
        </row>
        <row r="2017">
          <cell r="L2017" t="str">
            <v>Non-proportional</v>
          </cell>
          <cell r="S2017">
            <v>21.96</v>
          </cell>
          <cell r="X2017" t="str">
            <v>Claims - gross</v>
          </cell>
          <cell r="Y2017" t="str">
            <v>ITALY</v>
          </cell>
        </row>
        <row r="2018">
          <cell r="L2018" t="str">
            <v>Non-proportional</v>
          </cell>
          <cell r="S2018">
            <v>841.14</v>
          </cell>
          <cell r="X2018" t="str">
            <v>Claims - gross</v>
          </cell>
          <cell r="Y2018" t="str">
            <v>SLOVENIA</v>
          </cell>
        </row>
        <row r="2019">
          <cell r="L2019" t="str">
            <v>Non-proportional</v>
          </cell>
          <cell r="S2019">
            <v>573.88</v>
          </cell>
          <cell r="X2019" t="str">
            <v>Claims - gross</v>
          </cell>
          <cell r="Y2019" t="str">
            <v>Belgium</v>
          </cell>
        </row>
        <row r="2020">
          <cell r="L2020" t="str">
            <v>Proportional</v>
          </cell>
          <cell r="S2020">
            <v>1297.8800000000001</v>
          </cell>
          <cell r="X2020" t="str">
            <v>Claims - gross</v>
          </cell>
          <cell r="Y2020" t="str">
            <v>UNITED KINGDOM</v>
          </cell>
        </row>
        <row r="2021">
          <cell r="L2021" t="str">
            <v>Non-proportional</v>
          </cell>
          <cell r="S2021">
            <v>7500</v>
          </cell>
          <cell r="X2021" t="str">
            <v>Claims - gross</v>
          </cell>
          <cell r="Y2021" t="str">
            <v>REPUBLIC OF IRELAND</v>
          </cell>
        </row>
        <row r="2022">
          <cell r="L2022" t="str">
            <v>Non-proportional</v>
          </cell>
          <cell r="S2022">
            <v>21901.05</v>
          </cell>
          <cell r="X2022" t="str">
            <v>Claims - gross</v>
          </cell>
          <cell r="Y2022" t="str">
            <v>ITALY</v>
          </cell>
        </row>
        <row r="2023">
          <cell r="L2023" t="str">
            <v>Non-proportional</v>
          </cell>
          <cell r="S2023">
            <v>340290.38</v>
          </cell>
          <cell r="X2023" t="str">
            <v>Claims - gross</v>
          </cell>
          <cell r="Y2023" t="str">
            <v>UNITED KINGDOM</v>
          </cell>
        </row>
        <row r="2024">
          <cell r="L2024" t="str">
            <v>Non-proportional</v>
          </cell>
          <cell r="S2024">
            <v>-8838.7999999999993</v>
          </cell>
          <cell r="X2024" t="str">
            <v>Claims - gross</v>
          </cell>
          <cell r="Y2024" t="str">
            <v>POLAND</v>
          </cell>
        </row>
        <row r="2025">
          <cell r="L2025" t="str">
            <v>Non-proportional</v>
          </cell>
          <cell r="S2025">
            <v>1361161.52</v>
          </cell>
          <cell r="X2025" t="str">
            <v>Claims - gross</v>
          </cell>
          <cell r="Y2025" t="str">
            <v>UNITED KINGDOM</v>
          </cell>
        </row>
        <row r="2026">
          <cell r="L2026" t="str">
            <v>Proportional</v>
          </cell>
          <cell r="S2026">
            <v>-1162705.75</v>
          </cell>
          <cell r="X2026" t="str">
            <v>Claims - gross</v>
          </cell>
          <cell r="Y2026" t="str">
            <v>PORTUGAL</v>
          </cell>
        </row>
        <row r="2027">
          <cell r="L2027" t="str">
            <v>Non-proportional</v>
          </cell>
          <cell r="S2027">
            <v>375000</v>
          </cell>
          <cell r="X2027" t="str">
            <v>Claims - gross</v>
          </cell>
          <cell r="Y2027" t="str">
            <v>REPUBLIC OF IRELAND</v>
          </cell>
        </row>
        <row r="2028">
          <cell r="L2028" t="str">
            <v>Non-proportional</v>
          </cell>
          <cell r="S2028">
            <v>57565.62</v>
          </cell>
          <cell r="X2028" t="str">
            <v>Claims - gross</v>
          </cell>
          <cell r="Y2028" t="str">
            <v>CZECH REPUBLIC</v>
          </cell>
        </row>
        <row r="2029">
          <cell r="L2029" t="str">
            <v>Non-proportional</v>
          </cell>
          <cell r="S2029">
            <v>103731.75</v>
          </cell>
          <cell r="X2029" t="str">
            <v>Claims - gross</v>
          </cell>
          <cell r="Y2029" t="str">
            <v>UNITED KINGDOM</v>
          </cell>
        </row>
        <row r="2030">
          <cell r="L2030" t="str">
            <v>Non-proportional</v>
          </cell>
          <cell r="S2030">
            <v>-263.32</v>
          </cell>
          <cell r="X2030" t="str">
            <v>Claims - gross</v>
          </cell>
          <cell r="Y2030" t="str">
            <v>SWEDEN</v>
          </cell>
        </row>
        <row r="2031">
          <cell r="L2031" t="str">
            <v>Non-proportional</v>
          </cell>
          <cell r="S2031">
            <v>1538300.43</v>
          </cell>
          <cell r="X2031" t="str">
            <v>Claims - gross</v>
          </cell>
          <cell r="Y2031" t="str">
            <v>THAILAND</v>
          </cell>
        </row>
        <row r="2032">
          <cell r="L2032" t="str">
            <v>Non-proportional</v>
          </cell>
          <cell r="S2032">
            <v>-186050.82</v>
          </cell>
          <cell r="X2032" t="str">
            <v>Claims - gross</v>
          </cell>
          <cell r="Y2032" t="str">
            <v>Belgium</v>
          </cell>
        </row>
        <row r="2033">
          <cell r="L2033" t="str">
            <v>Non-proportional</v>
          </cell>
          <cell r="S2033">
            <v>567150.64</v>
          </cell>
          <cell r="X2033" t="str">
            <v>Claims - gross</v>
          </cell>
          <cell r="Y2033" t="str">
            <v>UNITED KINGDOM</v>
          </cell>
        </row>
        <row r="2034">
          <cell r="L2034" t="str">
            <v>Non-proportional</v>
          </cell>
          <cell r="S2034">
            <v>2268602.54</v>
          </cell>
          <cell r="X2034" t="str">
            <v>Claims - gross</v>
          </cell>
          <cell r="Y2034" t="str">
            <v>UNITED KINGDOM</v>
          </cell>
        </row>
        <row r="2035">
          <cell r="L2035" t="str">
            <v>Non-proportional</v>
          </cell>
          <cell r="S2035">
            <v>37500</v>
          </cell>
          <cell r="X2035" t="str">
            <v>Claims - gross</v>
          </cell>
          <cell r="Y2035" t="str">
            <v>ITALY</v>
          </cell>
        </row>
        <row r="2036">
          <cell r="L2036" t="str">
            <v>Non-proportional</v>
          </cell>
          <cell r="S2036">
            <v>17984.330000000002</v>
          </cell>
          <cell r="X2036" t="str">
            <v>Claims - gross</v>
          </cell>
          <cell r="Y2036" t="str">
            <v>REPUBLIC OF IRELAND</v>
          </cell>
        </row>
        <row r="2037">
          <cell r="L2037" t="str">
            <v>Non-proportional</v>
          </cell>
          <cell r="S2037">
            <v>7500</v>
          </cell>
          <cell r="X2037" t="str">
            <v>Claims - gross</v>
          </cell>
          <cell r="Y2037" t="str">
            <v>REPUBLIC OF IRELAND</v>
          </cell>
        </row>
        <row r="2038">
          <cell r="L2038" t="str">
            <v>Non-proportional</v>
          </cell>
          <cell r="S2038">
            <v>769083.98</v>
          </cell>
          <cell r="X2038" t="str">
            <v>Claims - gross</v>
          </cell>
          <cell r="Y2038" t="str">
            <v>UNITED KINGDOM</v>
          </cell>
        </row>
        <row r="2039">
          <cell r="L2039" t="str">
            <v>Non-proportional</v>
          </cell>
          <cell r="S2039">
            <v>351882.23999999999</v>
          </cell>
          <cell r="X2039" t="str">
            <v>Claims - gross</v>
          </cell>
          <cell r="Y2039" t="str">
            <v>FRANCE</v>
          </cell>
        </row>
        <row r="2040">
          <cell r="L2040" t="str">
            <v>Non-proportional</v>
          </cell>
          <cell r="S2040">
            <v>146480.60999999999</v>
          </cell>
          <cell r="X2040" t="str">
            <v>Claims - gross</v>
          </cell>
          <cell r="Y2040" t="str">
            <v>PORTUGAL</v>
          </cell>
        </row>
        <row r="2041">
          <cell r="L2041" t="str">
            <v>Proportional</v>
          </cell>
          <cell r="S2041">
            <v>66692.5</v>
          </cell>
          <cell r="X2041" t="str">
            <v>Claims - gross</v>
          </cell>
          <cell r="Y2041" t="str">
            <v>India</v>
          </cell>
        </row>
        <row r="2042">
          <cell r="L2042" t="str">
            <v>Proportional</v>
          </cell>
          <cell r="S2042">
            <v>-44.69</v>
          </cell>
          <cell r="X2042" t="str">
            <v>Claims - gross</v>
          </cell>
          <cell r="Y2042" t="str">
            <v>Thailand</v>
          </cell>
        </row>
        <row r="2043">
          <cell r="L2043" t="str">
            <v>Proportional</v>
          </cell>
          <cell r="S2043">
            <v>-599078.15</v>
          </cell>
          <cell r="X2043" t="str">
            <v>Claims - gross</v>
          </cell>
          <cell r="Y2043" t="str">
            <v>THAILAND</v>
          </cell>
        </row>
        <row r="2044">
          <cell r="L2044" t="str">
            <v>Proportional</v>
          </cell>
          <cell r="S2044">
            <v>-274968.55</v>
          </cell>
          <cell r="X2044" t="str">
            <v>Claims - gross</v>
          </cell>
          <cell r="Y2044" t="str">
            <v>UNITED STATES</v>
          </cell>
        </row>
        <row r="2045">
          <cell r="L2045" t="str">
            <v>Proportional</v>
          </cell>
          <cell r="S2045">
            <v>-293.04000000000002</v>
          </cell>
          <cell r="X2045" t="str">
            <v>Claims - gross</v>
          </cell>
          <cell r="Y2045" t="str">
            <v>PORTUGAL</v>
          </cell>
        </row>
        <row r="2046">
          <cell r="L2046" t="str">
            <v>Proportional</v>
          </cell>
          <cell r="S2046">
            <v>-5649.95</v>
          </cell>
          <cell r="X2046" t="str">
            <v>Claims - gross</v>
          </cell>
          <cell r="Y2046" t="str">
            <v>THAILAND</v>
          </cell>
        </row>
        <row r="2047">
          <cell r="L2047" t="str">
            <v>Non-proportional</v>
          </cell>
          <cell r="S2047">
            <v>-11427.81</v>
          </cell>
          <cell r="X2047" t="str">
            <v>Claims - gross</v>
          </cell>
          <cell r="Y2047" t="str">
            <v>FRANCE</v>
          </cell>
        </row>
        <row r="2048">
          <cell r="L2048" t="str">
            <v>Non-proportional</v>
          </cell>
          <cell r="S2048">
            <v>-4000</v>
          </cell>
          <cell r="X2048" t="str">
            <v>Claims - gross</v>
          </cell>
          <cell r="Y2048" t="str">
            <v>GERMANY</v>
          </cell>
        </row>
        <row r="2049">
          <cell r="L2049" t="str">
            <v>Proportional</v>
          </cell>
          <cell r="S2049">
            <v>-511.5</v>
          </cell>
          <cell r="X2049" t="str">
            <v>Claims - gross</v>
          </cell>
          <cell r="Y2049" t="str">
            <v>Thailand</v>
          </cell>
        </row>
        <row r="2050">
          <cell r="L2050" t="str">
            <v>Proportional</v>
          </cell>
          <cell r="S2050">
            <v>38255.589999999997</v>
          </cell>
          <cell r="X2050" t="str">
            <v>Claims - gross</v>
          </cell>
          <cell r="Y2050" t="str">
            <v>UNITED STATES</v>
          </cell>
        </row>
        <row r="2051">
          <cell r="L2051" t="str">
            <v>Proportional</v>
          </cell>
          <cell r="S2051">
            <v>-66528.36</v>
          </cell>
          <cell r="X2051" t="str">
            <v>Claims - gross</v>
          </cell>
          <cell r="Y2051" t="str">
            <v>THAILAND</v>
          </cell>
        </row>
        <row r="2052">
          <cell r="L2052" t="str">
            <v>Non-proportional</v>
          </cell>
          <cell r="S2052">
            <v>4890.3599999999997</v>
          </cell>
          <cell r="X2052" t="str">
            <v>Claims - gross</v>
          </cell>
          <cell r="Y2052" t="str">
            <v>UNITED KINGDOM</v>
          </cell>
        </row>
        <row r="2053">
          <cell r="L2053"/>
          <cell r="S2053">
            <v>-1413.55</v>
          </cell>
          <cell r="X2053" t="str">
            <v>Claims - gross</v>
          </cell>
          <cell r="Y2053" t="str">
            <v>PORTUGAL</v>
          </cell>
        </row>
        <row r="2054">
          <cell r="L2054" t="str">
            <v>Proportional</v>
          </cell>
          <cell r="S2054">
            <v>-6071.3</v>
          </cell>
          <cell r="X2054" t="str">
            <v>Claims - gross</v>
          </cell>
          <cell r="Y2054" t="str">
            <v>Portugal</v>
          </cell>
        </row>
        <row r="2055">
          <cell r="L2055" t="str">
            <v>Proportional</v>
          </cell>
          <cell r="S2055">
            <v>-23722.51</v>
          </cell>
          <cell r="X2055" t="str">
            <v>Claims - gross</v>
          </cell>
          <cell r="Y2055" t="str">
            <v>Thailand</v>
          </cell>
        </row>
        <row r="2056">
          <cell r="L2056" t="str">
            <v>Non-proportional</v>
          </cell>
          <cell r="S2056">
            <v>36831.68</v>
          </cell>
          <cell r="X2056" t="str">
            <v>Claims - gross</v>
          </cell>
          <cell r="Y2056" t="str">
            <v>REPUBLIC OF IRELAND</v>
          </cell>
        </row>
        <row r="2057">
          <cell r="L2057" t="str">
            <v>Proportional</v>
          </cell>
          <cell r="S2057">
            <v>-75767.839999999997</v>
          </cell>
          <cell r="X2057" t="str">
            <v>Claims - gross</v>
          </cell>
          <cell r="Y2057" t="str">
            <v>Ireland</v>
          </cell>
        </row>
        <row r="2058">
          <cell r="L2058" t="str">
            <v>Non-proportional</v>
          </cell>
          <cell r="S2058">
            <v>-8473.49</v>
          </cell>
          <cell r="X2058" t="str">
            <v>Claims - gross</v>
          </cell>
          <cell r="Y2058" t="str">
            <v>EUROPE</v>
          </cell>
        </row>
        <row r="2059">
          <cell r="L2059" t="str">
            <v>Proportional</v>
          </cell>
          <cell r="S2059">
            <v>19688.27</v>
          </cell>
          <cell r="X2059" t="str">
            <v>Claims - gross</v>
          </cell>
          <cell r="Y2059" t="str">
            <v>SWITZERLAND</v>
          </cell>
        </row>
        <row r="2060">
          <cell r="L2060" t="str">
            <v>Proportional</v>
          </cell>
          <cell r="S2060">
            <v>-6818.03</v>
          </cell>
          <cell r="X2060" t="str">
            <v>Claims - gross</v>
          </cell>
          <cell r="Y2060" t="str">
            <v>THAILAND</v>
          </cell>
        </row>
        <row r="2061">
          <cell r="L2061" t="str">
            <v>Non-proportional</v>
          </cell>
          <cell r="S2061">
            <v>-72583.42</v>
          </cell>
          <cell r="X2061" t="str">
            <v>Claims - gross</v>
          </cell>
          <cell r="Y2061" t="str">
            <v>UNITED KINGDOM</v>
          </cell>
        </row>
        <row r="2062">
          <cell r="L2062"/>
          <cell r="S2062">
            <v>-479.43</v>
          </cell>
          <cell r="X2062" t="str">
            <v>Claims - gross</v>
          </cell>
          <cell r="Y2062" t="str">
            <v>PORTUGAL</v>
          </cell>
        </row>
        <row r="2063">
          <cell r="L2063" t="str">
            <v>Proportional</v>
          </cell>
          <cell r="S2063">
            <v>-194204.05</v>
          </cell>
          <cell r="X2063" t="str">
            <v>Claims - gross</v>
          </cell>
          <cell r="Y2063" t="str">
            <v>INDIA</v>
          </cell>
        </row>
        <row r="2064">
          <cell r="L2064" t="str">
            <v>Proportional</v>
          </cell>
          <cell r="S2064">
            <v>33238.26</v>
          </cell>
          <cell r="X2064" t="str">
            <v>Claims - gross</v>
          </cell>
          <cell r="Y2064" t="str">
            <v>THAILAND</v>
          </cell>
        </row>
        <row r="2065">
          <cell r="L2065" t="str">
            <v>Non-proportional</v>
          </cell>
          <cell r="S2065">
            <v>11337.43</v>
          </cell>
          <cell r="X2065" t="str">
            <v>Claims - gross</v>
          </cell>
          <cell r="Y2065" t="str">
            <v>UNITED KINGDOM</v>
          </cell>
        </row>
        <row r="2066">
          <cell r="L2066" t="str">
            <v>Proportional</v>
          </cell>
          <cell r="S2066">
            <v>7708.22</v>
          </cell>
          <cell r="X2066" t="str">
            <v>Claims - gross</v>
          </cell>
          <cell r="Y2066" t="str">
            <v>THAILAND</v>
          </cell>
        </row>
        <row r="2067">
          <cell r="L2067" t="str">
            <v>Non-proportional</v>
          </cell>
          <cell r="S2067">
            <v>-20000.990000000002</v>
          </cell>
          <cell r="X2067" t="str">
            <v>Claims - gross</v>
          </cell>
          <cell r="Y2067" t="str">
            <v>United kingdom</v>
          </cell>
        </row>
        <row r="2068">
          <cell r="L2068" t="str">
            <v>Proportional</v>
          </cell>
          <cell r="S2068">
            <v>1269799.3500000001</v>
          </cell>
          <cell r="X2068" t="str">
            <v>Claims - gross</v>
          </cell>
          <cell r="Y2068" t="str">
            <v>THAILAND</v>
          </cell>
        </row>
        <row r="2069">
          <cell r="L2069"/>
          <cell r="S2069">
            <v>1819.04</v>
          </cell>
          <cell r="X2069" t="str">
            <v>Claims - gross</v>
          </cell>
          <cell r="Y2069" t="str">
            <v>PORTUGAL</v>
          </cell>
        </row>
        <row r="2070">
          <cell r="L2070" t="str">
            <v>Proportional</v>
          </cell>
          <cell r="S2070">
            <v>-8025.38</v>
          </cell>
          <cell r="X2070" t="str">
            <v>Claims - gross</v>
          </cell>
          <cell r="Y2070" t="str">
            <v>India</v>
          </cell>
        </row>
        <row r="2071">
          <cell r="L2071"/>
          <cell r="S2071">
            <v>625</v>
          </cell>
          <cell r="X2071" t="str">
            <v>Claims - gross</v>
          </cell>
          <cell r="Y2071" t="str">
            <v>PORTUGAL</v>
          </cell>
        </row>
        <row r="2072">
          <cell r="L2072" t="str">
            <v>Proportional</v>
          </cell>
          <cell r="S2072">
            <v>25293.25</v>
          </cell>
          <cell r="X2072" t="str">
            <v>Claims - gross</v>
          </cell>
          <cell r="Y2072" t="str">
            <v>INDIA</v>
          </cell>
        </row>
        <row r="2073">
          <cell r="L2073" t="str">
            <v>Proportional</v>
          </cell>
          <cell r="S2073">
            <v>-7406.54</v>
          </cell>
          <cell r="X2073" t="str">
            <v>Claims - gross</v>
          </cell>
          <cell r="Y2073" t="str">
            <v>PORTUGAL</v>
          </cell>
        </row>
        <row r="2074">
          <cell r="L2074" t="str">
            <v>Proportional</v>
          </cell>
          <cell r="S2074">
            <v>-45866.46</v>
          </cell>
          <cell r="X2074" t="str">
            <v>Claims - gross</v>
          </cell>
          <cell r="Y2074" t="str">
            <v>Thailand</v>
          </cell>
        </row>
        <row r="2075">
          <cell r="L2075" t="str">
            <v>Non-proportional</v>
          </cell>
          <cell r="S2075">
            <v>-48358.12</v>
          </cell>
          <cell r="X2075" t="str">
            <v>Claims - gross</v>
          </cell>
          <cell r="Y2075" t="str">
            <v>GERMANY</v>
          </cell>
        </row>
        <row r="2076">
          <cell r="L2076" t="str">
            <v>Non-proportional</v>
          </cell>
          <cell r="S2076">
            <v>-91891.62</v>
          </cell>
          <cell r="X2076" t="str">
            <v>Claims - gross</v>
          </cell>
          <cell r="Y2076" t="str">
            <v>EUROPE</v>
          </cell>
        </row>
        <row r="2077">
          <cell r="L2077" t="str">
            <v>Proportional</v>
          </cell>
          <cell r="S2077">
            <v>-1594.59</v>
          </cell>
          <cell r="X2077" t="str">
            <v>Claims - gross</v>
          </cell>
          <cell r="Y2077" t="str">
            <v>THAILAND</v>
          </cell>
        </row>
        <row r="2078">
          <cell r="L2078" t="str">
            <v>Proportional</v>
          </cell>
          <cell r="S2078">
            <v>-307.57</v>
          </cell>
          <cell r="X2078" t="str">
            <v>Claims - gross</v>
          </cell>
          <cell r="Y2078" t="str">
            <v>Thailand</v>
          </cell>
        </row>
        <row r="2079">
          <cell r="L2079" t="str">
            <v>Proportional</v>
          </cell>
          <cell r="S2079">
            <v>66940.23</v>
          </cell>
          <cell r="X2079" t="str">
            <v>Claims - gross</v>
          </cell>
          <cell r="Y2079" t="str">
            <v>UNITED STATES</v>
          </cell>
        </row>
        <row r="2080">
          <cell r="L2080" t="str">
            <v>Proportional</v>
          </cell>
          <cell r="S2080">
            <v>-13635.46</v>
          </cell>
          <cell r="X2080" t="str">
            <v>Claims - gross</v>
          </cell>
          <cell r="Y2080" t="str">
            <v>India</v>
          </cell>
        </row>
        <row r="2081">
          <cell r="L2081" t="str">
            <v>Non-proportional</v>
          </cell>
          <cell r="S2081">
            <v>-8671.25</v>
          </cell>
          <cell r="X2081" t="str">
            <v>Claims - gross</v>
          </cell>
          <cell r="Y2081" t="str">
            <v>CZECH REPUBLIC</v>
          </cell>
        </row>
        <row r="2082">
          <cell r="L2082" t="str">
            <v>Proportional</v>
          </cell>
          <cell r="S2082">
            <v>-43724.78</v>
          </cell>
          <cell r="X2082" t="str">
            <v>Claims - gross</v>
          </cell>
          <cell r="Y2082" t="str">
            <v>Portugal</v>
          </cell>
        </row>
        <row r="2083">
          <cell r="L2083" t="str">
            <v>Non-proportional</v>
          </cell>
          <cell r="S2083">
            <v>-1.01</v>
          </cell>
          <cell r="X2083" t="str">
            <v>Claims - gross</v>
          </cell>
          <cell r="Y2083" t="str">
            <v>United kingdom</v>
          </cell>
        </row>
        <row r="2084">
          <cell r="L2084" t="str">
            <v>Proportional</v>
          </cell>
          <cell r="S2084">
            <v>2233.65</v>
          </cell>
          <cell r="X2084" t="str">
            <v>Claims - gross</v>
          </cell>
          <cell r="Y2084" t="str">
            <v>Ireland</v>
          </cell>
        </row>
        <row r="2085">
          <cell r="L2085" t="str">
            <v>Proportional</v>
          </cell>
          <cell r="S2085">
            <v>-20.420000000000002</v>
          </cell>
          <cell r="X2085" t="str">
            <v>Claims - gross</v>
          </cell>
          <cell r="Y2085" t="str">
            <v>Thailand</v>
          </cell>
        </row>
        <row r="2086">
          <cell r="L2086" t="str">
            <v>Proportional</v>
          </cell>
          <cell r="S2086">
            <v>2466.7399999999998</v>
          </cell>
          <cell r="X2086" t="str">
            <v>Claims - gross</v>
          </cell>
          <cell r="Y2086" t="str">
            <v>India</v>
          </cell>
        </row>
        <row r="2087">
          <cell r="L2087" t="str">
            <v>Proportional</v>
          </cell>
          <cell r="S2087">
            <v>-1022122.68</v>
          </cell>
          <cell r="X2087" t="str">
            <v>Claims - gross</v>
          </cell>
          <cell r="Y2087" t="str">
            <v>UNITED STATES</v>
          </cell>
        </row>
        <row r="2088">
          <cell r="L2088" t="str">
            <v>Proportional</v>
          </cell>
          <cell r="S2088">
            <v>1358.77</v>
          </cell>
          <cell r="X2088" t="str">
            <v>Claims - gross</v>
          </cell>
          <cell r="Y2088" t="str">
            <v>THAILAND</v>
          </cell>
        </row>
        <row r="2089">
          <cell r="L2089" t="str">
            <v>Non-proportional</v>
          </cell>
          <cell r="S2089">
            <v>622.6</v>
          </cell>
          <cell r="X2089" t="str">
            <v>Claims - gross</v>
          </cell>
          <cell r="Y2089" t="str">
            <v>UNITED KINGDOM</v>
          </cell>
        </row>
        <row r="2090">
          <cell r="L2090" t="str">
            <v>Proportional</v>
          </cell>
          <cell r="S2090">
            <v>10872703.609999999</v>
          </cell>
          <cell r="X2090" t="str">
            <v>Claims - gross</v>
          </cell>
          <cell r="Y2090" t="str">
            <v>ITALY</v>
          </cell>
        </row>
        <row r="2091">
          <cell r="L2091" t="str">
            <v>Non-proportional</v>
          </cell>
          <cell r="S2091">
            <v>-2097.7399999999998</v>
          </cell>
          <cell r="X2091" t="str">
            <v>Claims - gross</v>
          </cell>
          <cell r="Y2091" t="str">
            <v>GERMANY</v>
          </cell>
        </row>
        <row r="2092">
          <cell r="L2092" t="str">
            <v>Proportional</v>
          </cell>
          <cell r="S2092">
            <v>-2342.2199999999998</v>
          </cell>
          <cell r="X2092" t="str">
            <v>Claims - gross</v>
          </cell>
          <cell r="Y2092" t="str">
            <v>Thailand</v>
          </cell>
        </row>
        <row r="2093">
          <cell r="L2093" t="str">
            <v>Proportional</v>
          </cell>
          <cell r="S2093">
            <v>20011.34</v>
          </cell>
          <cell r="X2093" t="str">
            <v>Claims - gross</v>
          </cell>
          <cell r="Y2093" t="str">
            <v>THAILAND</v>
          </cell>
        </row>
        <row r="2094">
          <cell r="L2094" t="str">
            <v>Non-proportional</v>
          </cell>
          <cell r="S2094">
            <v>-2137.64</v>
          </cell>
          <cell r="X2094" t="str">
            <v>Claims - gross</v>
          </cell>
          <cell r="Y2094" t="str">
            <v>GERMANY</v>
          </cell>
        </row>
        <row r="2095">
          <cell r="L2095" t="str">
            <v>Proportional</v>
          </cell>
          <cell r="S2095">
            <v>43938.13</v>
          </cell>
          <cell r="X2095" t="str">
            <v>Claims - gross</v>
          </cell>
          <cell r="Y2095" t="str">
            <v>PORTUGAL</v>
          </cell>
        </row>
        <row r="2096">
          <cell r="L2096" t="str">
            <v>Non-proportional</v>
          </cell>
          <cell r="S2096">
            <v>174245.89</v>
          </cell>
          <cell r="X2096" t="str">
            <v>Claims - gross</v>
          </cell>
          <cell r="Y2096" t="str">
            <v>United kingdom</v>
          </cell>
        </row>
        <row r="2097">
          <cell r="L2097" t="str">
            <v>Proportional</v>
          </cell>
          <cell r="S2097">
            <v>-9858.16</v>
          </cell>
          <cell r="X2097" t="str">
            <v>Claims - gross</v>
          </cell>
          <cell r="Y2097" t="str">
            <v>Thailand</v>
          </cell>
        </row>
        <row r="2098">
          <cell r="L2098"/>
          <cell r="S2098">
            <v>-895.17</v>
          </cell>
          <cell r="X2098" t="str">
            <v>Claims - gross</v>
          </cell>
          <cell r="Y2098" t="str">
            <v>PORTUGAL</v>
          </cell>
        </row>
        <row r="2099">
          <cell r="L2099" t="str">
            <v>Proportional</v>
          </cell>
          <cell r="S2099">
            <v>91778.82</v>
          </cell>
          <cell r="X2099" t="str">
            <v>Claims - gross</v>
          </cell>
          <cell r="Y2099" t="str">
            <v>India</v>
          </cell>
        </row>
        <row r="2100">
          <cell r="L2100" t="str">
            <v>Proportional</v>
          </cell>
          <cell r="S2100">
            <v>-2787.91</v>
          </cell>
          <cell r="X2100" t="str">
            <v>Claims - gross</v>
          </cell>
          <cell r="Y2100" t="str">
            <v>Thailand</v>
          </cell>
        </row>
        <row r="2101">
          <cell r="L2101" t="str">
            <v>Proportional</v>
          </cell>
          <cell r="S2101">
            <v>-164170.09</v>
          </cell>
          <cell r="X2101" t="str">
            <v>Claims - gross</v>
          </cell>
          <cell r="Y2101" t="str">
            <v>THAILAND</v>
          </cell>
        </row>
        <row r="2102">
          <cell r="L2102" t="str">
            <v>Proportional</v>
          </cell>
          <cell r="S2102">
            <v>-3976.21</v>
          </cell>
          <cell r="X2102" t="str">
            <v>Claims - gross</v>
          </cell>
          <cell r="Y2102" t="str">
            <v>THAILAND</v>
          </cell>
        </row>
        <row r="2103">
          <cell r="L2103" t="str">
            <v>Non-proportional</v>
          </cell>
          <cell r="S2103">
            <v>-342778.79</v>
          </cell>
          <cell r="X2103" t="str">
            <v>Claims - gross</v>
          </cell>
          <cell r="Y2103" t="str">
            <v>UNITED KINGDOM</v>
          </cell>
        </row>
        <row r="2104">
          <cell r="L2104" t="str">
            <v>Proportional</v>
          </cell>
          <cell r="S2104">
            <v>8368.44</v>
          </cell>
          <cell r="X2104" t="str">
            <v>Claims - gross</v>
          </cell>
          <cell r="Y2104" t="str">
            <v>FRANCE</v>
          </cell>
        </row>
        <row r="2105">
          <cell r="L2105"/>
          <cell r="S2105">
            <v>225.8</v>
          </cell>
          <cell r="X2105" t="str">
            <v>Claims - gross</v>
          </cell>
          <cell r="Y2105" t="str">
            <v>PORTUGAL</v>
          </cell>
        </row>
        <row r="2106">
          <cell r="L2106" t="str">
            <v>Proportional</v>
          </cell>
          <cell r="S2106">
            <v>1223490.48</v>
          </cell>
          <cell r="X2106" t="str">
            <v>Claims - gross</v>
          </cell>
          <cell r="Y2106" t="str">
            <v>THAILAND</v>
          </cell>
        </row>
        <row r="2107">
          <cell r="L2107" t="str">
            <v>Non-proportional</v>
          </cell>
          <cell r="S2107">
            <v>-20574.189999999999</v>
          </cell>
          <cell r="X2107" t="str">
            <v>Claims - gross</v>
          </cell>
          <cell r="Y2107" t="str">
            <v>CZECH REPUBLIC</v>
          </cell>
        </row>
        <row r="2108">
          <cell r="L2108" t="str">
            <v>Proportional</v>
          </cell>
          <cell r="S2108">
            <v>18595</v>
          </cell>
          <cell r="X2108" t="str">
            <v>Claims - gross</v>
          </cell>
          <cell r="Y2108" t="str">
            <v>THAILAND</v>
          </cell>
        </row>
        <row r="2109">
          <cell r="L2109" t="str">
            <v>Proportional</v>
          </cell>
          <cell r="S2109">
            <v>2582.12</v>
          </cell>
          <cell r="X2109" t="str">
            <v>Claims - gross</v>
          </cell>
          <cell r="Y2109" t="str">
            <v>India</v>
          </cell>
        </row>
        <row r="2110">
          <cell r="L2110" t="str">
            <v>Proportional</v>
          </cell>
          <cell r="S2110">
            <v>385.22</v>
          </cell>
          <cell r="X2110" t="str">
            <v>Claims - gross</v>
          </cell>
          <cell r="Y2110" t="str">
            <v>Portugal</v>
          </cell>
        </row>
        <row r="2111">
          <cell r="L2111" t="str">
            <v>Proportional</v>
          </cell>
          <cell r="S2111">
            <v>-15274.91</v>
          </cell>
          <cell r="X2111" t="str">
            <v>Claims - gross</v>
          </cell>
          <cell r="Y2111" t="str">
            <v>UNITED STATES</v>
          </cell>
        </row>
        <row r="2112">
          <cell r="L2112" t="str">
            <v>Proportional</v>
          </cell>
          <cell r="S2112">
            <v>1384.47</v>
          </cell>
          <cell r="X2112" t="str">
            <v>Claims - gross</v>
          </cell>
          <cell r="Y2112" t="str">
            <v>FRANCE</v>
          </cell>
        </row>
        <row r="2113">
          <cell r="L2113"/>
          <cell r="S2113">
            <v>6059.96</v>
          </cell>
          <cell r="X2113" t="str">
            <v>Claims - gross</v>
          </cell>
          <cell r="Y2113" t="str">
            <v>PORTUGAL</v>
          </cell>
        </row>
        <row r="2114">
          <cell r="L2114" t="str">
            <v>Proportional</v>
          </cell>
          <cell r="S2114">
            <v>102359.74</v>
          </cell>
          <cell r="X2114" t="str">
            <v>Claims - gross</v>
          </cell>
          <cell r="Y2114" t="str">
            <v>THAILAND</v>
          </cell>
        </row>
        <row r="2115">
          <cell r="L2115" t="str">
            <v>Proportional</v>
          </cell>
          <cell r="S2115">
            <v>317342.78999999998</v>
          </cell>
          <cell r="X2115" t="str">
            <v>Claims - gross</v>
          </cell>
          <cell r="Y2115" t="str">
            <v>THAILAND</v>
          </cell>
        </row>
        <row r="2116">
          <cell r="L2116" t="str">
            <v>Non-proportional</v>
          </cell>
          <cell r="S2116">
            <v>-19733.990000000002</v>
          </cell>
          <cell r="X2116" t="str">
            <v>Claims - gross</v>
          </cell>
          <cell r="Y2116" t="str">
            <v>ICELAND</v>
          </cell>
        </row>
        <row r="2117">
          <cell r="L2117" t="str">
            <v>Proportional</v>
          </cell>
          <cell r="S2117">
            <v>-52.92</v>
          </cell>
          <cell r="X2117" t="str">
            <v>Claims - gross</v>
          </cell>
          <cell r="Y2117" t="str">
            <v>Thailand</v>
          </cell>
        </row>
        <row r="2118">
          <cell r="L2118" t="str">
            <v>Non-proportional</v>
          </cell>
          <cell r="S2118">
            <v>-1391894.24</v>
          </cell>
          <cell r="X2118" t="str">
            <v>Claims - gross</v>
          </cell>
          <cell r="Y2118" t="str">
            <v>EUROPE</v>
          </cell>
        </row>
        <row r="2119">
          <cell r="L2119" t="str">
            <v>Proportional</v>
          </cell>
          <cell r="S2119">
            <v>84945.52</v>
          </cell>
          <cell r="X2119" t="str">
            <v>Claims - gross</v>
          </cell>
          <cell r="Y2119" t="str">
            <v>Portugal</v>
          </cell>
        </row>
        <row r="2120">
          <cell r="L2120" t="str">
            <v>Non-proportional</v>
          </cell>
          <cell r="S2120">
            <v>-2357.31</v>
          </cell>
          <cell r="X2120" t="str">
            <v>Claims - gross</v>
          </cell>
          <cell r="Y2120" t="str">
            <v>CZECH REPUBLIC</v>
          </cell>
        </row>
        <row r="2121">
          <cell r="L2121" t="str">
            <v>Proportional</v>
          </cell>
          <cell r="S2121">
            <v>-11640.55</v>
          </cell>
          <cell r="X2121" t="str">
            <v>Claims - gross</v>
          </cell>
          <cell r="Y2121" t="str">
            <v>THAILAND</v>
          </cell>
        </row>
        <row r="2122">
          <cell r="L2122" t="str">
            <v>Non-proportional</v>
          </cell>
          <cell r="S2122">
            <v>-2421.63</v>
          </cell>
          <cell r="X2122" t="str">
            <v>Claims - gross</v>
          </cell>
          <cell r="Y2122" t="str">
            <v>CZECH REPUBLIC</v>
          </cell>
        </row>
        <row r="2123">
          <cell r="L2123" t="str">
            <v>Proportional</v>
          </cell>
          <cell r="S2123">
            <v>594.73</v>
          </cell>
          <cell r="X2123" t="str">
            <v>Claims - gross</v>
          </cell>
          <cell r="Y2123" t="str">
            <v>India</v>
          </cell>
        </row>
        <row r="2124">
          <cell r="L2124"/>
          <cell r="S2124">
            <v>-1666.27</v>
          </cell>
          <cell r="X2124" t="str">
            <v>Claims - gross</v>
          </cell>
          <cell r="Y2124" t="str">
            <v>PORTUGAL</v>
          </cell>
        </row>
        <row r="2125">
          <cell r="L2125" t="str">
            <v>Proportional</v>
          </cell>
          <cell r="S2125">
            <v>-27871.54</v>
          </cell>
          <cell r="X2125" t="str">
            <v>Claims - gross</v>
          </cell>
          <cell r="Y2125" t="str">
            <v>PORTUGAL</v>
          </cell>
        </row>
        <row r="2126">
          <cell r="L2126" t="str">
            <v>Proportional</v>
          </cell>
          <cell r="S2126">
            <v>-9.35</v>
          </cell>
          <cell r="X2126" t="str">
            <v>Claims - gross</v>
          </cell>
          <cell r="Y2126" t="str">
            <v>Thailand</v>
          </cell>
        </row>
        <row r="2127">
          <cell r="L2127" t="str">
            <v>Proportional</v>
          </cell>
          <cell r="S2127">
            <v>-227934.68</v>
          </cell>
          <cell r="X2127" t="str">
            <v>Claims - gross</v>
          </cell>
          <cell r="Y2127" t="str">
            <v>Thailand</v>
          </cell>
        </row>
        <row r="2128">
          <cell r="L2128" t="str">
            <v>Non-proportional</v>
          </cell>
          <cell r="S2128">
            <v>566823.26</v>
          </cell>
          <cell r="X2128" t="str">
            <v>Claims - gross</v>
          </cell>
          <cell r="Y2128" t="str">
            <v>United kingdom</v>
          </cell>
        </row>
        <row r="2129">
          <cell r="L2129" t="str">
            <v>Proportional</v>
          </cell>
          <cell r="S2129">
            <v>-6497.54</v>
          </cell>
          <cell r="X2129" t="str">
            <v>Claims - gross</v>
          </cell>
          <cell r="Y2129" t="str">
            <v>THAILAND</v>
          </cell>
        </row>
        <row r="2130">
          <cell r="L2130" t="str">
            <v>Proportional</v>
          </cell>
          <cell r="S2130">
            <v>-5815.63</v>
          </cell>
          <cell r="X2130" t="str">
            <v>Claims - gross</v>
          </cell>
          <cell r="Y2130" t="str">
            <v>THAILAND</v>
          </cell>
        </row>
        <row r="2131">
          <cell r="L2131" t="str">
            <v>Proportional</v>
          </cell>
          <cell r="S2131">
            <v>37619</v>
          </cell>
          <cell r="X2131" t="str">
            <v>Claims - gross</v>
          </cell>
          <cell r="Y2131" t="str">
            <v>UNITED STATES</v>
          </cell>
        </row>
        <row r="2132">
          <cell r="L2132" t="str">
            <v>Proportional</v>
          </cell>
          <cell r="S2132">
            <v>-2224.4299999999998</v>
          </cell>
          <cell r="X2132" t="str">
            <v>Claims - gross</v>
          </cell>
          <cell r="Y2132" t="str">
            <v>Thailand</v>
          </cell>
        </row>
        <row r="2133">
          <cell r="L2133" t="str">
            <v>Proportional</v>
          </cell>
          <cell r="S2133">
            <v>-519.02</v>
          </cell>
          <cell r="X2133" t="str">
            <v>Claims - gross</v>
          </cell>
          <cell r="Y2133" t="str">
            <v>Thailand</v>
          </cell>
        </row>
        <row r="2134">
          <cell r="L2134" t="str">
            <v>Non-proportional</v>
          </cell>
          <cell r="S2134">
            <v>23764.95</v>
          </cell>
          <cell r="X2134" t="str">
            <v>Claims - gross</v>
          </cell>
          <cell r="Y2134" t="str">
            <v>UNITED KINGDOM</v>
          </cell>
        </row>
        <row r="2135">
          <cell r="L2135" t="str">
            <v>Non-proportional</v>
          </cell>
          <cell r="S2135">
            <v>-544.9</v>
          </cell>
          <cell r="X2135" t="str">
            <v>Claims - gross</v>
          </cell>
          <cell r="Y2135" t="str">
            <v>UNITED KINGDOM</v>
          </cell>
        </row>
        <row r="2136">
          <cell r="L2136" t="str">
            <v>Non-proportional</v>
          </cell>
          <cell r="S2136">
            <v>-80330.039999999994</v>
          </cell>
          <cell r="X2136" t="str">
            <v>Claims - gross</v>
          </cell>
          <cell r="Y2136" t="str">
            <v>UNITED KINGDOM</v>
          </cell>
        </row>
        <row r="2137">
          <cell r="L2137"/>
          <cell r="S2137">
            <v>-3050.58</v>
          </cell>
          <cell r="X2137" t="str">
            <v>Claims - gross</v>
          </cell>
          <cell r="Y2137" t="str">
            <v>PORTUGAL</v>
          </cell>
        </row>
        <row r="2138">
          <cell r="L2138" t="str">
            <v>Non-proportional</v>
          </cell>
          <cell r="S2138">
            <v>-27600</v>
          </cell>
          <cell r="X2138" t="str">
            <v>Claims - gross</v>
          </cell>
          <cell r="Y2138" t="str">
            <v>GERMANY</v>
          </cell>
        </row>
        <row r="2139">
          <cell r="L2139" t="str">
            <v>Proportional</v>
          </cell>
          <cell r="S2139">
            <v>-1911.83</v>
          </cell>
          <cell r="X2139" t="str">
            <v>Claims - gross</v>
          </cell>
          <cell r="Y2139" t="str">
            <v>India</v>
          </cell>
        </row>
        <row r="2140">
          <cell r="L2140" t="str">
            <v>Proportional</v>
          </cell>
          <cell r="S2140">
            <v>-9662.1200000000008</v>
          </cell>
          <cell r="X2140" t="str">
            <v>Claims - gross</v>
          </cell>
          <cell r="Y2140" t="str">
            <v>INDIA</v>
          </cell>
        </row>
        <row r="2141">
          <cell r="L2141" t="str">
            <v>Proportional</v>
          </cell>
          <cell r="S2141">
            <v>249038.83</v>
          </cell>
          <cell r="X2141" t="str">
            <v>Claims - gross</v>
          </cell>
          <cell r="Y2141" t="str">
            <v>THAILAND</v>
          </cell>
        </row>
        <row r="2142">
          <cell r="L2142" t="str">
            <v>Non-proportional</v>
          </cell>
          <cell r="S2142">
            <v>228519.2</v>
          </cell>
          <cell r="X2142" t="str">
            <v>Claims - gross</v>
          </cell>
          <cell r="Y2142" t="str">
            <v>United kingdom</v>
          </cell>
        </row>
        <row r="2143">
          <cell r="L2143" t="str">
            <v>Non-proportional</v>
          </cell>
          <cell r="S2143">
            <v>200610.15</v>
          </cell>
          <cell r="X2143" t="str">
            <v>Claims - gross</v>
          </cell>
          <cell r="Y2143" t="str">
            <v>UNITED KINGDOM</v>
          </cell>
        </row>
        <row r="2144">
          <cell r="L2144" t="str">
            <v>Proportional</v>
          </cell>
          <cell r="S2144">
            <v>-7975.89</v>
          </cell>
          <cell r="X2144" t="str">
            <v>Claims - gross</v>
          </cell>
          <cell r="Y2144" t="str">
            <v>Thailand</v>
          </cell>
        </row>
        <row r="2145">
          <cell r="L2145" t="str">
            <v>Proportional</v>
          </cell>
          <cell r="S2145">
            <v>1231970.3500000001</v>
          </cell>
          <cell r="X2145" t="str">
            <v>Claims - gross</v>
          </cell>
          <cell r="Y2145" t="str">
            <v>UNITED STATES</v>
          </cell>
        </row>
        <row r="2146">
          <cell r="L2146" t="str">
            <v>Non-proportional</v>
          </cell>
          <cell r="S2146">
            <v>-143678.10999999999</v>
          </cell>
          <cell r="X2146" t="str">
            <v>Claims - gross</v>
          </cell>
          <cell r="Y2146" t="str">
            <v>EUROPE</v>
          </cell>
        </row>
        <row r="2147">
          <cell r="L2147" t="str">
            <v>Proportional</v>
          </cell>
          <cell r="S2147">
            <v>5397.89</v>
          </cell>
          <cell r="X2147" t="str">
            <v>Claims - gross</v>
          </cell>
          <cell r="Y2147" t="str">
            <v>THAILAND</v>
          </cell>
        </row>
        <row r="2148">
          <cell r="L2148" t="str">
            <v>Non-proportional</v>
          </cell>
          <cell r="S2148">
            <v>-622.6</v>
          </cell>
          <cell r="X2148" t="str">
            <v>Claims - gross</v>
          </cell>
          <cell r="Y2148" t="str">
            <v>UNITED KINGDOM</v>
          </cell>
        </row>
        <row r="2149">
          <cell r="L2149" t="str">
            <v>Non-proportional</v>
          </cell>
          <cell r="S2149">
            <v>231.38</v>
          </cell>
          <cell r="X2149" t="str">
            <v>Claims - gross</v>
          </cell>
          <cell r="Y2149" t="str">
            <v>UNITED KINGDOM</v>
          </cell>
        </row>
        <row r="2150">
          <cell r="L2150" t="str">
            <v>Non-proportional</v>
          </cell>
          <cell r="S2150">
            <v>-1596.58</v>
          </cell>
          <cell r="X2150" t="str">
            <v>Claims - gross</v>
          </cell>
          <cell r="Y2150" t="str">
            <v>SLOVENIA</v>
          </cell>
        </row>
        <row r="2151">
          <cell r="L2151" t="str">
            <v>Proportional</v>
          </cell>
          <cell r="S2151">
            <v>1185.58</v>
          </cell>
          <cell r="X2151" t="str">
            <v>Claims - gross</v>
          </cell>
          <cell r="Y2151" t="str">
            <v>THAILAND</v>
          </cell>
        </row>
        <row r="2152">
          <cell r="L2152" t="str">
            <v>Proportional</v>
          </cell>
          <cell r="S2152">
            <v>49458.7</v>
          </cell>
          <cell r="X2152" t="str">
            <v>Claims - gross</v>
          </cell>
          <cell r="Y2152" t="str">
            <v>THAILAND</v>
          </cell>
        </row>
        <row r="2153">
          <cell r="L2153" t="str">
            <v>Non-proportional</v>
          </cell>
          <cell r="S2153">
            <v>-45338.42</v>
          </cell>
          <cell r="X2153" t="str">
            <v>Claims - gross</v>
          </cell>
          <cell r="Y2153" t="str">
            <v>POLAND</v>
          </cell>
        </row>
        <row r="2154">
          <cell r="L2154" t="str">
            <v>Proportional</v>
          </cell>
          <cell r="S2154">
            <v>-5264.8</v>
          </cell>
          <cell r="X2154" t="str">
            <v>Claims - gross</v>
          </cell>
          <cell r="Y2154" t="str">
            <v>THAILAND</v>
          </cell>
        </row>
        <row r="2155">
          <cell r="L2155" t="str">
            <v>Proportional</v>
          </cell>
          <cell r="S2155">
            <v>-550619.30000000005</v>
          </cell>
          <cell r="X2155" t="str">
            <v>Claims - gross</v>
          </cell>
          <cell r="Y2155" t="str">
            <v>THAILAND</v>
          </cell>
        </row>
        <row r="2156">
          <cell r="L2156" t="str">
            <v>Proportional</v>
          </cell>
          <cell r="S2156">
            <v>-317342.78999999998</v>
          </cell>
          <cell r="X2156" t="str">
            <v>Claims - gross</v>
          </cell>
          <cell r="Y2156" t="str">
            <v>THAILAND</v>
          </cell>
        </row>
        <row r="2157">
          <cell r="L2157" t="str">
            <v>Proportional</v>
          </cell>
          <cell r="S2157">
            <v>-1880.58</v>
          </cell>
          <cell r="X2157" t="str">
            <v>Claims - gross</v>
          </cell>
          <cell r="Y2157" t="str">
            <v>UNITED STATES</v>
          </cell>
        </row>
        <row r="2158">
          <cell r="L2158" t="str">
            <v>Proportional</v>
          </cell>
          <cell r="S2158">
            <v>46900.55</v>
          </cell>
          <cell r="X2158" t="str">
            <v>Claims - gross</v>
          </cell>
          <cell r="Y2158" t="str">
            <v>India</v>
          </cell>
        </row>
        <row r="2159">
          <cell r="L2159" t="str">
            <v>Non-proportional</v>
          </cell>
          <cell r="S2159">
            <v>-61985.8</v>
          </cell>
          <cell r="X2159" t="str">
            <v>Claims - gross</v>
          </cell>
          <cell r="Y2159" t="str">
            <v>UNITED KINGDOM</v>
          </cell>
        </row>
        <row r="2160">
          <cell r="L2160" t="str">
            <v>Proportional</v>
          </cell>
          <cell r="S2160">
            <v>-1269799.3500000001</v>
          </cell>
          <cell r="X2160" t="str">
            <v>Claims - gross</v>
          </cell>
          <cell r="Y2160" t="str">
            <v>THAILAND</v>
          </cell>
        </row>
        <row r="2161">
          <cell r="L2161" t="str">
            <v>Non-proportional</v>
          </cell>
          <cell r="S2161">
            <v>428473.49</v>
          </cell>
          <cell r="X2161" t="str">
            <v>Claims - gross</v>
          </cell>
          <cell r="Y2161" t="str">
            <v>United kingdom</v>
          </cell>
        </row>
        <row r="2162">
          <cell r="L2162"/>
          <cell r="S2162">
            <v>15957.9</v>
          </cell>
          <cell r="X2162" t="str">
            <v>Claims - gross</v>
          </cell>
          <cell r="Y2162" t="str">
            <v>PORTUGAL</v>
          </cell>
        </row>
        <row r="2163">
          <cell r="L2163"/>
          <cell r="S2163">
            <v>873.56</v>
          </cell>
          <cell r="X2163" t="str">
            <v>Claims - gross</v>
          </cell>
          <cell r="Y2163" t="str">
            <v>PORTUGAL</v>
          </cell>
        </row>
        <row r="2164">
          <cell r="L2164" t="str">
            <v>Proportional</v>
          </cell>
          <cell r="S2164">
            <v>-84201.23</v>
          </cell>
          <cell r="X2164" t="str">
            <v>Claims - gross</v>
          </cell>
          <cell r="Y2164" t="str">
            <v>Portugal</v>
          </cell>
        </row>
        <row r="2165">
          <cell r="L2165" t="str">
            <v>Proportional</v>
          </cell>
          <cell r="S2165">
            <v>30340</v>
          </cell>
          <cell r="X2165" t="str">
            <v>Claims - gross</v>
          </cell>
          <cell r="Y2165" t="str">
            <v>THAILAND</v>
          </cell>
        </row>
        <row r="2166">
          <cell r="L2166" t="str">
            <v>Proportional</v>
          </cell>
          <cell r="S2166">
            <v>5172.18</v>
          </cell>
          <cell r="X2166" t="str">
            <v>Claims - gross</v>
          </cell>
          <cell r="Y2166" t="str">
            <v>THAILAND</v>
          </cell>
        </row>
        <row r="2167">
          <cell r="L2167" t="str">
            <v>Proportional</v>
          </cell>
          <cell r="S2167">
            <v>61286.59</v>
          </cell>
          <cell r="X2167" t="str">
            <v>Claims - gross</v>
          </cell>
          <cell r="Y2167" t="str">
            <v>INDIA</v>
          </cell>
        </row>
        <row r="2168">
          <cell r="L2168" t="str">
            <v>Non-proportional</v>
          </cell>
          <cell r="S2168">
            <v>-106917.28</v>
          </cell>
          <cell r="X2168" t="str">
            <v>Claims - gross</v>
          </cell>
          <cell r="Y2168" t="str">
            <v>UNITED KINGDOM</v>
          </cell>
        </row>
        <row r="2169">
          <cell r="L2169" t="str">
            <v>Proportional</v>
          </cell>
          <cell r="S2169">
            <v>3335.79</v>
          </cell>
          <cell r="X2169" t="str">
            <v>Claims - gross</v>
          </cell>
          <cell r="Y2169" t="str">
            <v>MALAYSIA</v>
          </cell>
        </row>
        <row r="2170">
          <cell r="L2170"/>
          <cell r="S2170">
            <v>-729.85</v>
          </cell>
          <cell r="X2170" t="str">
            <v>Claims - gross</v>
          </cell>
          <cell r="Y2170" t="str">
            <v>PORTUGAL</v>
          </cell>
        </row>
        <row r="2171">
          <cell r="L2171" t="str">
            <v>Proportional</v>
          </cell>
          <cell r="S2171">
            <v>70.540000000000006</v>
          </cell>
          <cell r="X2171" t="str">
            <v>Claims - gross</v>
          </cell>
          <cell r="Y2171" t="str">
            <v>India</v>
          </cell>
        </row>
        <row r="2172">
          <cell r="L2172" t="str">
            <v>Non-proportional</v>
          </cell>
          <cell r="S2172">
            <v>792065.76</v>
          </cell>
          <cell r="X2172" t="str">
            <v>Claims - gross</v>
          </cell>
          <cell r="Y2172" t="str">
            <v>United kingdom</v>
          </cell>
        </row>
        <row r="2173">
          <cell r="L2173" t="str">
            <v>Proportional</v>
          </cell>
          <cell r="S2173">
            <v>-385.41</v>
          </cell>
          <cell r="X2173" t="str">
            <v>Claims - gross</v>
          </cell>
          <cell r="Y2173" t="str">
            <v>THAILAND</v>
          </cell>
        </row>
        <row r="2174">
          <cell r="L2174" t="str">
            <v>Proportional</v>
          </cell>
          <cell r="S2174">
            <v>-141038.72</v>
          </cell>
          <cell r="X2174" t="str">
            <v>Claims - gross</v>
          </cell>
          <cell r="Y2174" t="str">
            <v>THAILAND</v>
          </cell>
        </row>
        <row r="2175">
          <cell r="L2175" t="str">
            <v>Proportional</v>
          </cell>
          <cell r="S2175">
            <v>-5484183.1500000004</v>
          </cell>
          <cell r="X2175" t="str">
            <v>Claims - gross</v>
          </cell>
          <cell r="Y2175" t="str">
            <v>PORTUGAL</v>
          </cell>
        </row>
        <row r="2176">
          <cell r="L2176" t="str">
            <v>Non-proportional</v>
          </cell>
          <cell r="S2176">
            <v>3438.28</v>
          </cell>
          <cell r="X2176" t="str">
            <v>Claims - gross</v>
          </cell>
          <cell r="Y2176" t="str">
            <v>UNITED KINGDOM</v>
          </cell>
        </row>
        <row r="2177">
          <cell r="L2177" t="str">
            <v>Proportional</v>
          </cell>
          <cell r="S2177">
            <v>-11041.2</v>
          </cell>
          <cell r="X2177" t="str">
            <v>Claims - gross</v>
          </cell>
          <cell r="Y2177" t="str">
            <v>THAILAND</v>
          </cell>
        </row>
        <row r="2178">
          <cell r="L2178" t="str">
            <v>Proportional</v>
          </cell>
          <cell r="S2178">
            <v>-61196.58</v>
          </cell>
          <cell r="X2178" t="str">
            <v>Claims - gross</v>
          </cell>
          <cell r="Y2178" t="str">
            <v>THAILAND</v>
          </cell>
        </row>
        <row r="2179">
          <cell r="L2179"/>
          <cell r="S2179">
            <v>-410.14</v>
          </cell>
          <cell r="X2179" t="str">
            <v>Claims - gross</v>
          </cell>
          <cell r="Y2179" t="str">
            <v>PORTUGAL</v>
          </cell>
        </row>
        <row r="2180">
          <cell r="L2180" t="str">
            <v>Proportional</v>
          </cell>
          <cell r="S2180">
            <v>-17509.64</v>
          </cell>
          <cell r="X2180" t="str">
            <v>Claims - gross</v>
          </cell>
          <cell r="Y2180" t="str">
            <v>THAILAND</v>
          </cell>
        </row>
        <row r="2181">
          <cell r="L2181" t="str">
            <v>Proportional</v>
          </cell>
          <cell r="S2181">
            <v>45116.61</v>
          </cell>
          <cell r="X2181" t="str">
            <v>Claims - gross</v>
          </cell>
          <cell r="Y2181" t="str">
            <v>UNITED STATES</v>
          </cell>
        </row>
        <row r="2182">
          <cell r="L2182" t="str">
            <v>Non-proportional</v>
          </cell>
          <cell r="S2182">
            <v>370.13</v>
          </cell>
          <cell r="X2182" t="str">
            <v>Claims - gross</v>
          </cell>
          <cell r="Y2182" t="str">
            <v>UNITED KINGDOM</v>
          </cell>
        </row>
        <row r="2183">
          <cell r="L2183" t="str">
            <v>Proportional</v>
          </cell>
          <cell r="S2183">
            <v>172592.62</v>
          </cell>
          <cell r="X2183" t="str">
            <v>Claims - gross</v>
          </cell>
          <cell r="Y2183" t="str">
            <v>THAILAND</v>
          </cell>
        </row>
        <row r="2184">
          <cell r="L2184" t="str">
            <v>Non-proportional</v>
          </cell>
          <cell r="S2184">
            <v>-40609.370000000003</v>
          </cell>
          <cell r="X2184" t="str">
            <v>Claims - gross</v>
          </cell>
          <cell r="Y2184" t="str">
            <v>United kingdom</v>
          </cell>
        </row>
        <row r="2185">
          <cell r="L2185" t="str">
            <v>Proportional</v>
          </cell>
          <cell r="S2185">
            <v>-236.73</v>
          </cell>
          <cell r="X2185" t="str">
            <v>Claims - gross</v>
          </cell>
          <cell r="Y2185" t="str">
            <v>Thailand</v>
          </cell>
        </row>
        <row r="2186">
          <cell r="L2186" t="str">
            <v>Non-proportional</v>
          </cell>
          <cell r="S2186">
            <v>483.73</v>
          </cell>
          <cell r="X2186" t="str">
            <v>Claims - gross</v>
          </cell>
          <cell r="Y2186" t="str">
            <v>ITALY</v>
          </cell>
        </row>
        <row r="2187">
          <cell r="L2187" t="str">
            <v>Proportional</v>
          </cell>
          <cell r="S2187">
            <v>-1203.71</v>
          </cell>
          <cell r="X2187" t="str">
            <v>Claims - gross</v>
          </cell>
          <cell r="Y2187" t="str">
            <v>Thailand</v>
          </cell>
        </row>
        <row r="2188">
          <cell r="L2188" t="str">
            <v>Proportional</v>
          </cell>
          <cell r="S2188">
            <v>-3192.09</v>
          </cell>
          <cell r="X2188" t="str">
            <v>Claims - gross</v>
          </cell>
          <cell r="Y2188" t="str">
            <v>Thailand</v>
          </cell>
        </row>
        <row r="2189">
          <cell r="L2189" t="str">
            <v>Proportional</v>
          </cell>
          <cell r="S2189">
            <v>3513.95</v>
          </cell>
          <cell r="X2189" t="str">
            <v>Claims - gross</v>
          </cell>
          <cell r="Y2189" t="str">
            <v>THAILAND</v>
          </cell>
        </row>
        <row r="2190">
          <cell r="L2190"/>
          <cell r="S2190">
            <v>-4669661.24</v>
          </cell>
          <cell r="X2190" t="str">
            <v>Claims - gross</v>
          </cell>
          <cell r="Y2190" t="str">
            <v>United kingdom</v>
          </cell>
        </row>
        <row r="2191">
          <cell r="L2191" t="str">
            <v>Proportional</v>
          </cell>
          <cell r="S2191">
            <v>1183.73</v>
          </cell>
          <cell r="X2191" t="str">
            <v>Claims - gross</v>
          </cell>
          <cell r="Y2191" t="str">
            <v>Turkey</v>
          </cell>
        </row>
        <row r="2192">
          <cell r="L2192" t="str">
            <v>Non-proportional</v>
          </cell>
          <cell r="S2192">
            <v>92597.87</v>
          </cell>
          <cell r="X2192" t="str">
            <v>Claims - gross</v>
          </cell>
          <cell r="Y2192" t="str">
            <v>ECUADOR</v>
          </cell>
        </row>
        <row r="2193">
          <cell r="L2193" t="str">
            <v>Proportional</v>
          </cell>
          <cell r="S2193">
            <v>5120.66</v>
          </cell>
          <cell r="X2193" t="str">
            <v>Claims - gross</v>
          </cell>
          <cell r="Y2193" t="str">
            <v>TURKEY</v>
          </cell>
        </row>
        <row r="2194">
          <cell r="L2194" t="str">
            <v>Proportional</v>
          </cell>
          <cell r="S2194">
            <v>3.64</v>
          </cell>
          <cell r="X2194" t="str">
            <v>Claims - gross</v>
          </cell>
          <cell r="Y2194" t="str">
            <v>Turkey</v>
          </cell>
        </row>
        <row r="2195">
          <cell r="L2195" t="str">
            <v>Non-proportional</v>
          </cell>
          <cell r="S2195">
            <v>137520.06</v>
          </cell>
          <cell r="X2195" t="str">
            <v>Claims - gross</v>
          </cell>
          <cell r="Y2195" t="str">
            <v>UNITED KINGDOM</v>
          </cell>
        </row>
        <row r="2196">
          <cell r="L2196" t="str">
            <v>Non-proportional</v>
          </cell>
          <cell r="S2196">
            <v>6917.95</v>
          </cell>
          <cell r="X2196" t="str">
            <v>Claims - gross</v>
          </cell>
          <cell r="Y2196" t="str">
            <v>EUROPE</v>
          </cell>
        </row>
        <row r="2197">
          <cell r="L2197" t="str">
            <v>Proportional</v>
          </cell>
          <cell r="S2197">
            <v>15269.34</v>
          </cell>
          <cell r="X2197" t="str">
            <v>Claims - gross</v>
          </cell>
          <cell r="Y2197" t="str">
            <v>HONG KONG</v>
          </cell>
        </row>
        <row r="2198">
          <cell r="L2198" t="str">
            <v>Proportional</v>
          </cell>
          <cell r="S2198">
            <v>2.38</v>
          </cell>
          <cell r="X2198" t="str">
            <v>Claims - gross</v>
          </cell>
          <cell r="Y2198" t="str">
            <v>Turkey</v>
          </cell>
        </row>
        <row r="2199">
          <cell r="L2199" t="str">
            <v>Non-proportional</v>
          </cell>
          <cell r="S2199">
            <v>149968.53</v>
          </cell>
          <cell r="X2199" t="str">
            <v>Claims - gross</v>
          </cell>
          <cell r="Y2199" t="str">
            <v>EUROPE</v>
          </cell>
        </row>
        <row r="2200">
          <cell r="L2200" t="str">
            <v>Proportional</v>
          </cell>
          <cell r="S2200">
            <v>-5658.45</v>
          </cell>
          <cell r="X2200" t="str">
            <v>Claims - gross</v>
          </cell>
          <cell r="Y2200" t="str">
            <v>Turkey</v>
          </cell>
        </row>
        <row r="2201">
          <cell r="L2201" t="str">
            <v>Non-proportional</v>
          </cell>
          <cell r="S2201">
            <v>7275.3</v>
          </cell>
          <cell r="X2201" t="str">
            <v>Claims - gross</v>
          </cell>
          <cell r="Y2201" t="str">
            <v>ITALY</v>
          </cell>
        </row>
        <row r="2202">
          <cell r="L2202" t="str">
            <v>Non-proportional</v>
          </cell>
          <cell r="S2202">
            <v>-470202.6</v>
          </cell>
          <cell r="X2202" t="str">
            <v>Claims - gross</v>
          </cell>
          <cell r="Y2202" t="str">
            <v>THAILAND</v>
          </cell>
        </row>
        <row r="2203">
          <cell r="L2203" t="str">
            <v>Proportional</v>
          </cell>
          <cell r="S2203">
            <v>-134.04</v>
          </cell>
          <cell r="X2203" t="str">
            <v>Claims - gross</v>
          </cell>
          <cell r="Y2203" t="str">
            <v>Turkey</v>
          </cell>
        </row>
        <row r="2204">
          <cell r="L2204" t="str">
            <v>Proportional</v>
          </cell>
          <cell r="S2204">
            <v>10121766.52</v>
          </cell>
          <cell r="X2204" t="str">
            <v>Claims - gross</v>
          </cell>
          <cell r="Y2204" t="str">
            <v>ITALY</v>
          </cell>
        </row>
        <row r="2205">
          <cell r="L2205" t="str">
            <v>Proportional</v>
          </cell>
          <cell r="S2205">
            <v>-123235.11</v>
          </cell>
          <cell r="X2205" t="str">
            <v>Claims - gross</v>
          </cell>
          <cell r="Y2205" t="str">
            <v>TURKEY</v>
          </cell>
        </row>
        <row r="2206">
          <cell r="L2206" t="str">
            <v>Proportional</v>
          </cell>
          <cell r="S2206">
            <v>3659.93</v>
          </cell>
          <cell r="X2206" t="str">
            <v>Claims - gross</v>
          </cell>
          <cell r="Y2206" t="str">
            <v>Turkey</v>
          </cell>
        </row>
        <row r="2207">
          <cell r="L2207" t="str">
            <v>Non-proportional</v>
          </cell>
          <cell r="S2207">
            <v>393067.19</v>
          </cell>
          <cell r="X2207" t="str">
            <v>Claims - gross</v>
          </cell>
          <cell r="Y2207" t="str">
            <v>UNITED KINGDOM</v>
          </cell>
        </row>
        <row r="2208">
          <cell r="L2208" t="str">
            <v>Non-proportional</v>
          </cell>
          <cell r="S2208">
            <v>34680.85</v>
          </cell>
          <cell r="X2208" t="str">
            <v>Claims - gross</v>
          </cell>
          <cell r="Y2208" t="str">
            <v>ECUADOR</v>
          </cell>
        </row>
        <row r="2209">
          <cell r="L2209" t="str">
            <v>Non-proportional</v>
          </cell>
          <cell r="S2209">
            <v>-900000</v>
          </cell>
          <cell r="X2209" t="str">
            <v>Claims - gross</v>
          </cell>
          <cell r="Y2209" t="str">
            <v>UNITED KINGDOM</v>
          </cell>
        </row>
        <row r="2210">
          <cell r="L2210" t="str">
            <v>Non-proportional</v>
          </cell>
          <cell r="S2210">
            <v>-49096.95</v>
          </cell>
          <cell r="X2210" t="str">
            <v>Claims - gross</v>
          </cell>
          <cell r="Y2210" t="str">
            <v>United kingdom</v>
          </cell>
        </row>
        <row r="2211">
          <cell r="L2211" t="str">
            <v>Proportional</v>
          </cell>
          <cell r="S2211">
            <v>27.14</v>
          </cell>
          <cell r="X2211" t="str">
            <v>Claims - gross</v>
          </cell>
          <cell r="Y2211" t="str">
            <v>Turkey</v>
          </cell>
        </row>
        <row r="2212">
          <cell r="L2212" t="str">
            <v>Proportional</v>
          </cell>
          <cell r="S2212">
            <v>32.01</v>
          </cell>
          <cell r="X2212" t="str">
            <v>Claims - gross</v>
          </cell>
          <cell r="Y2212" t="str">
            <v>Turkey</v>
          </cell>
        </row>
        <row r="2213">
          <cell r="L2213" t="str">
            <v>Non-proportional</v>
          </cell>
          <cell r="S2213">
            <v>-299636</v>
          </cell>
          <cell r="X2213" t="str">
            <v>Claims - gross</v>
          </cell>
          <cell r="Y2213" t="str">
            <v>EUROPE</v>
          </cell>
        </row>
        <row r="2214">
          <cell r="L2214" t="str">
            <v>Proportional</v>
          </cell>
          <cell r="S2214">
            <v>221.26</v>
          </cell>
          <cell r="X2214" t="str">
            <v>Claims - gross</v>
          </cell>
          <cell r="Y2214" t="str">
            <v>Turkey</v>
          </cell>
        </row>
        <row r="2215">
          <cell r="L2215" t="str">
            <v>Proportional</v>
          </cell>
          <cell r="S2215">
            <v>-665.07</v>
          </cell>
          <cell r="X2215" t="str">
            <v>Claims - gross</v>
          </cell>
          <cell r="Y2215" t="str">
            <v>Turkey</v>
          </cell>
        </row>
        <row r="2216">
          <cell r="L2216" t="str">
            <v>Proportional</v>
          </cell>
          <cell r="S2216">
            <v>308.3</v>
          </cell>
          <cell r="X2216" t="str">
            <v>Claims - gross</v>
          </cell>
          <cell r="Y2216" t="str">
            <v>Turkey</v>
          </cell>
        </row>
        <row r="2217">
          <cell r="L2217" t="str">
            <v>Proportional</v>
          </cell>
          <cell r="S2217">
            <v>1012.44</v>
          </cell>
          <cell r="X2217" t="str">
            <v>Claims - gross</v>
          </cell>
          <cell r="Y2217" t="str">
            <v>TURKEY</v>
          </cell>
        </row>
        <row r="2218">
          <cell r="L2218" t="str">
            <v>Proportional</v>
          </cell>
          <cell r="S2218">
            <v>-33366.1</v>
          </cell>
          <cell r="X2218" t="str">
            <v>Claims - gross</v>
          </cell>
          <cell r="Y2218" t="str">
            <v>INDIA</v>
          </cell>
        </row>
        <row r="2219">
          <cell r="L2219" t="str">
            <v>Non-proportional</v>
          </cell>
          <cell r="S2219">
            <v>-7731.67</v>
          </cell>
          <cell r="X2219" t="str">
            <v>Claims - gross</v>
          </cell>
          <cell r="Y2219" t="str">
            <v>TURKEY</v>
          </cell>
        </row>
        <row r="2220">
          <cell r="L2220" t="str">
            <v>Proportional</v>
          </cell>
          <cell r="S2220">
            <v>1877.75</v>
          </cell>
          <cell r="X2220" t="str">
            <v>Claims - gross</v>
          </cell>
          <cell r="Y2220" t="str">
            <v>Hong Kong</v>
          </cell>
        </row>
        <row r="2221">
          <cell r="L2221" t="str">
            <v>Non-proportional</v>
          </cell>
          <cell r="S2221">
            <v>-4700.01</v>
          </cell>
          <cell r="X2221" t="str">
            <v>Claims - gross</v>
          </cell>
          <cell r="Y2221" t="str">
            <v>FRANCE</v>
          </cell>
        </row>
        <row r="2222">
          <cell r="L2222" t="str">
            <v>Proportional</v>
          </cell>
          <cell r="S2222">
            <v>62.83</v>
          </cell>
          <cell r="X2222" t="str">
            <v>Claims - gross</v>
          </cell>
          <cell r="Y2222" t="str">
            <v>TURKEY</v>
          </cell>
        </row>
        <row r="2223">
          <cell r="L2223" t="str">
            <v>Proportional</v>
          </cell>
          <cell r="S2223">
            <v>-85.41</v>
          </cell>
          <cell r="X2223" t="str">
            <v>Claims - gross</v>
          </cell>
          <cell r="Y2223" t="str">
            <v>Turkey</v>
          </cell>
        </row>
        <row r="2224">
          <cell r="L2224" t="str">
            <v>Non-proportional</v>
          </cell>
          <cell r="S2224">
            <v>3168794.89</v>
          </cell>
          <cell r="X2224" t="str">
            <v>Claims - gross</v>
          </cell>
          <cell r="Y2224" t="str">
            <v>PORTUGAL</v>
          </cell>
        </row>
        <row r="2225">
          <cell r="L2225" t="str">
            <v>Proportional</v>
          </cell>
          <cell r="S2225">
            <v>-1793.97</v>
          </cell>
          <cell r="X2225" t="str">
            <v>Claims - gross</v>
          </cell>
          <cell r="Y2225" t="str">
            <v>INDIA</v>
          </cell>
        </row>
        <row r="2226">
          <cell r="L2226" t="str">
            <v>Proportional</v>
          </cell>
          <cell r="S2226">
            <v>-736.28</v>
          </cell>
          <cell r="X2226" t="str">
            <v>Claims - gross</v>
          </cell>
          <cell r="Y2226" t="str">
            <v>Turkey</v>
          </cell>
        </row>
        <row r="2227">
          <cell r="L2227" t="str">
            <v>Proportional</v>
          </cell>
          <cell r="S2227">
            <v>5200.3599999999997</v>
          </cell>
          <cell r="X2227" t="str">
            <v>Claims - gross</v>
          </cell>
          <cell r="Y2227" t="str">
            <v>Turkey</v>
          </cell>
        </row>
        <row r="2228">
          <cell r="L2228" t="str">
            <v>Non-proportional</v>
          </cell>
          <cell r="S2228">
            <v>123.81</v>
          </cell>
          <cell r="X2228" t="str">
            <v>Claims - gross</v>
          </cell>
          <cell r="Y2228" t="str">
            <v>UNITED KINGDOM</v>
          </cell>
        </row>
        <row r="2229">
          <cell r="L2229" t="str">
            <v>Non-proportional</v>
          </cell>
          <cell r="S2229">
            <v>14684.5</v>
          </cell>
          <cell r="X2229" t="str">
            <v>Claims - gross</v>
          </cell>
          <cell r="Y2229" t="str">
            <v>GERMANY</v>
          </cell>
        </row>
        <row r="2230">
          <cell r="L2230" t="str">
            <v>Proportional</v>
          </cell>
          <cell r="S2230">
            <v>-6821.85</v>
          </cell>
          <cell r="X2230" t="str">
            <v>Claims - gross</v>
          </cell>
          <cell r="Y2230" t="str">
            <v>HONG KONG</v>
          </cell>
        </row>
        <row r="2231">
          <cell r="L2231" t="str">
            <v>Proportional</v>
          </cell>
          <cell r="S2231">
            <v>8357.89</v>
          </cell>
          <cell r="X2231" t="str">
            <v>Claims - gross</v>
          </cell>
          <cell r="Y2231" t="str">
            <v>Turkey</v>
          </cell>
        </row>
        <row r="2232">
          <cell r="L2232" t="str">
            <v>Non-proportional</v>
          </cell>
          <cell r="S2232">
            <v>-200000.43</v>
          </cell>
          <cell r="X2232" t="str">
            <v>Claims - gross</v>
          </cell>
          <cell r="Y2232" t="str">
            <v>BELGIUM</v>
          </cell>
        </row>
        <row r="2233">
          <cell r="L2233" t="str">
            <v>Proportional</v>
          </cell>
          <cell r="S2233">
            <v>1.96</v>
          </cell>
          <cell r="X2233" t="str">
            <v>Claims - gross</v>
          </cell>
          <cell r="Y2233" t="str">
            <v>Turkey</v>
          </cell>
        </row>
        <row r="2234">
          <cell r="L2234" t="str">
            <v>Proportional</v>
          </cell>
          <cell r="S2234">
            <v>-7169.24</v>
          </cell>
          <cell r="X2234" t="str">
            <v>Claims - gross</v>
          </cell>
          <cell r="Y2234" t="str">
            <v>Turkey</v>
          </cell>
        </row>
        <row r="2235">
          <cell r="L2235" t="str">
            <v>Proportional</v>
          </cell>
          <cell r="S2235">
            <v>351.08</v>
          </cell>
          <cell r="X2235" t="str">
            <v>Claims - gross</v>
          </cell>
          <cell r="Y2235" t="str">
            <v>TURKEY</v>
          </cell>
        </row>
        <row r="2236">
          <cell r="L2236" t="str">
            <v>Non-proportional</v>
          </cell>
          <cell r="S2236">
            <v>-7201.4</v>
          </cell>
          <cell r="X2236" t="str">
            <v>Claims - gross</v>
          </cell>
          <cell r="Y2236" t="str">
            <v>EUROPE</v>
          </cell>
        </row>
        <row r="2237">
          <cell r="L2237" t="str">
            <v>Proportional</v>
          </cell>
          <cell r="S2237">
            <v>-52282.79</v>
          </cell>
          <cell r="X2237" t="str">
            <v>Claims - gross</v>
          </cell>
          <cell r="Y2237" t="str">
            <v>TURKEY</v>
          </cell>
        </row>
        <row r="2238">
          <cell r="L2238" t="str">
            <v>Proportional</v>
          </cell>
          <cell r="S2238">
            <v>-23.1</v>
          </cell>
          <cell r="X2238" t="str">
            <v>Claims - gross</v>
          </cell>
          <cell r="Y2238" t="str">
            <v>Turkey</v>
          </cell>
        </row>
        <row r="2239">
          <cell r="L2239" t="str">
            <v>Proportional</v>
          </cell>
          <cell r="S2239">
            <v>121.56</v>
          </cell>
          <cell r="X2239" t="str">
            <v>Claims - gross</v>
          </cell>
          <cell r="Y2239" t="str">
            <v>Hong Kong</v>
          </cell>
        </row>
        <row r="2240">
          <cell r="L2240" t="str">
            <v>Proportional</v>
          </cell>
          <cell r="S2240">
            <v>-626466.79</v>
          </cell>
          <cell r="X2240" t="str">
            <v>Claims - gross</v>
          </cell>
          <cell r="Y2240" t="str">
            <v>Turkey</v>
          </cell>
        </row>
        <row r="2241">
          <cell r="L2241" t="str">
            <v>Proportional</v>
          </cell>
          <cell r="S2241">
            <v>2331.5100000000002</v>
          </cell>
          <cell r="X2241" t="str">
            <v>Claims - gross</v>
          </cell>
          <cell r="Y2241" t="str">
            <v>HONG KONG</v>
          </cell>
        </row>
        <row r="2242">
          <cell r="L2242" t="str">
            <v>Proportional</v>
          </cell>
          <cell r="S2242">
            <v>20706.29</v>
          </cell>
          <cell r="X2242" t="str">
            <v>Claims - gross</v>
          </cell>
          <cell r="Y2242" t="str">
            <v>TURKEY</v>
          </cell>
        </row>
        <row r="2243">
          <cell r="L2243" t="str">
            <v>Non-proportional</v>
          </cell>
          <cell r="S2243">
            <v>-342990.43</v>
          </cell>
          <cell r="X2243" t="str">
            <v>Claims - gross</v>
          </cell>
          <cell r="Y2243" t="str">
            <v>UNITED KINGDOM</v>
          </cell>
        </row>
        <row r="2244">
          <cell r="L2244" t="str">
            <v>Proportional</v>
          </cell>
          <cell r="S2244">
            <v>21.05</v>
          </cell>
          <cell r="X2244" t="str">
            <v>Claims - gross</v>
          </cell>
          <cell r="Y2244" t="str">
            <v>Turkey</v>
          </cell>
        </row>
        <row r="2245">
          <cell r="L2245" t="str">
            <v>Non-proportional</v>
          </cell>
          <cell r="S2245">
            <v>6932.02</v>
          </cell>
          <cell r="X2245" t="str">
            <v>Claims - gross</v>
          </cell>
          <cell r="Y2245" t="str">
            <v>UNITED KINGDOM</v>
          </cell>
        </row>
        <row r="2246">
          <cell r="L2246" t="str">
            <v>Non-proportional</v>
          </cell>
          <cell r="S2246">
            <v>1031400.41</v>
          </cell>
          <cell r="X2246" t="str">
            <v>Claims - gross</v>
          </cell>
          <cell r="Y2246" t="str">
            <v>UNITED KINGDOM</v>
          </cell>
        </row>
        <row r="2247">
          <cell r="L2247" t="str">
            <v>Proportional</v>
          </cell>
          <cell r="S2247">
            <v>50600.09</v>
          </cell>
          <cell r="X2247" t="str">
            <v>Claims - gross</v>
          </cell>
          <cell r="Y2247" t="str">
            <v>Ireland</v>
          </cell>
        </row>
        <row r="2248">
          <cell r="L2248" t="str">
            <v>Non-proportional</v>
          </cell>
          <cell r="S2248">
            <v>-195926.53</v>
          </cell>
          <cell r="X2248" t="str">
            <v>Claims - gross</v>
          </cell>
          <cell r="Y2248" t="str">
            <v>EUROPE</v>
          </cell>
        </row>
        <row r="2249">
          <cell r="L2249" t="str">
            <v>Proportional</v>
          </cell>
          <cell r="S2249">
            <v>-3444.19</v>
          </cell>
          <cell r="X2249" t="str">
            <v>Claims - gross</v>
          </cell>
          <cell r="Y2249" t="str">
            <v>Hong Kong</v>
          </cell>
        </row>
        <row r="2250">
          <cell r="L2250" t="str">
            <v>Non-proportional</v>
          </cell>
          <cell r="S2250">
            <v>-31704.69</v>
          </cell>
          <cell r="X2250" t="str">
            <v>Claims - gross</v>
          </cell>
          <cell r="Y2250" t="str">
            <v>GERMANY</v>
          </cell>
        </row>
        <row r="2251">
          <cell r="L2251" t="str">
            <v>Proportional</v>
          </cell>
          <cell r="S2251">
            <v>7.71</v>
          </cell>
          <cell r="X2251" t="str">
            <v>Claims - gross</v>
          </cell>
          <cell r="Y2251" t="str">
            <v>Turkey</v>
          </cell>
        </row>
        <row r="2252">
          <cell r="L2252" t="str">
            <v>Proportional</v>
          </cell>
          <cell r="S2252">
            <v>26.47</v>
          </cell>
          <cell r="X2252" t="str">
            <v>Claims - gross</v>
          </cell>
          <cell r="Y2252" t="str">
            <v>TURKEY</v>
          </cell>
        </row>
        <row r="2253">
          <cell r="L2253" t="str">
            <v>Proportional</v>
          </cell>
          <cell r="S2253">
            <v>27.83</v>
          </cell>
          <cell r="X2253" t="str">
            <v>Claims - gross</v>
          </cell>
          <cell r="Y2253" t="str">
            <v>Turkey</v>
          </cell>
        </row>
        <row r="2254">
          <cell r="L2254" t="str">
            <v>Proportional</v>
          </cell>
          <cell r="S2254">
            <v>1199.76</v>
          </cell>
          <cell r="X2254" t="str">
            <v>Claims - gross</v>
          </cell>
          <cell r="Y2254" t="str">
            <v>Turkey</v>
          </cell>
        </row>
        <row r="2255">
          <cell r="L2255" t="str">
            <v>Proportional</v>
          </cell>
          <cell r="S2255">
            <v>446.63</v>
          </cell>
          <cell r="X2255" t="str">
            <v>Claims - gross</v>
          </cell>
          <cell r="Y2255" t="str">
            <v>HONG KONG</v>
          </cell>
        </row>
        <row r="2256">
          <cell r="L2256" t="str">
            <v>Proportional</v>
          </cell>
          <cell r="S2256">
            <v>6.84</v>
          </cell>
          <cell r="X2256" t="str">
            <v>Claims - gross</v>
          </cell>
          <cell r="Y2256" t="str">
            <v>Turkey</v>
          </cell>
        </row>
        <row r="2257">
          <cell r="L2257" t="str">
            <v>Non-proportional</v>
          </cell>
          <cell r="S2257">
            <v>44447.28</v>
          </cell>
          <cell r="X2257" t="str">
            <v>Claims - gross</v>
          </cell>
          <cell r="Y2257" t="str">
            <v>United kingdom</v>
          </cell>
        </row>
        <row r="2258">
          <cell r="L2258" t="str">
            <v>Proportional</v>
          </cell>
          <cell r="S2258">
            <v>8214.92</v>
          </cell>
          <cell r="X2258" t="str">
            <v>Claims - gross</v>
          </cell>
          <cell r="Y2258" t="str">
            <v>Turkey</v>
          </cell>
        </row>
        <row r="2259">
          <cell r="L2259" t="str">
            <v>Non-proportional</v>
          </cell>
          <cell r="S2259">
            <v>431311.43</v>
          </cell>
          <cell r="X2259" t="str">
            <v>Claims - gross</v>
          </cell>
          <cell r="Y2259" t="str">
            <v>BELGIUM</v>
          </cell>
        </row>
        <row r="2260">
          <cell r="L2260" t="str">
            <v>Proportional</v>
          </cell>
          <cell r="S2260">
            <v>-1498.58</v>
          </cell>
          <cell r="X2260" t="str">
            <v>Claims - gross</v>
          </cell>
          <cell r="Y2260" t="str">
            <v>Ireland</v>
          </cell>
        </row>
        <row r="2261">
          <cell r="L2261" t="str">
            <v>Proportional</v>
          </cell>
          <cell r="S2261">
            <v>-1492.56</v>
          </cell>
          <cell r="X2261" t="str">
            <v>Claims - gross</v>
          </cell>
          <cell r="Y2261" t="str">
            <v>Turkey</v>
          </cell>
        </row>
        <row r="2262">
          <cell r="L2262" t="str">
            <v>Proportional</v>
          </cell>
          <cell r="S2262">
            <v>-2718.67</v>
          </cell>
          <cell r="X2262" t="str">
            <v>Claims - gross</v>
          </cell>
          <cell r="Y2262" t="str">
            <v>Turkey</v>
          </cell>
        </row>
        <row r="2263">
          <cell r="L2263" t="str">
            <v>Proportional</v>
          </cell>
          <cell r="S2263">
            <v>1784.81</v>
          </cell>
          <cell r="X2263" t="str">
            <v>Claims - gross</v>
          </cell>
          <cell r="Y2263" t="str">
            <v>Turkey</v>
          </cell>
        </row>
        <row r="2264">
          <cell r="L2264" t="str">
            <v>Non-proportional</v>
          </cell>
          <cell r="S2264">
            <v>683890.97</v>
          </cell>
          <cell r="X2264" t="str">
            <v>Claims - gross</v>
          </cell>
          <cell r="Y2264" t="str">
            <v>UNITED KINGDOM</v>
          </cell>
        </row>
        <row r="2265">
          <cell r="L2265" t="str">
            <v>Proportional</v>
          </cell>
          <cell r="S2265">
            <v>58064.959999999999</v>
          </cell>
          <cell r="X2265" t="str">
            <v>Claims - gross</v>
          </cell>
          <cell r="Y2265" t="str">
            <v>THAILAND</v>
          </cell>
        </row>
        <row r="2266">
          <cell r="L2266" t="str">
            <v>Non-proportional</v>
          </cell>
          <cell r="S2266">
            <v>4931.1899999999996</v>
          </cell>
          <cell r="X2266" t="str">
            <v>Claims - gross</v>
          </cell>
          <cell r="Y2266" t="str">
            <v>UNITED KINGDOM</v>
          </cell>
        </row>
        <row r="2267">
          <cell r="L2267" t="str">
            <v>Non-proportional</v>
          </cell>
          <cell r="S2267">
            <v>709333.35</v>
          </cell>
          <cell r="X2267" t="str">
            <v>Claims - gross</v>
          </cell>
          <cell r="Y2267" t="str">
            <v>UNITED KINGDOM</v>
          </cell>
        </row>
        <row r="2268">
          <cell r="L2268" t="str">
            <v>Non-proportional</v>
          </cell>
          <cell r="S2268">
            <v>21033</v>
          </cell>
          <cell r="X2268" t="str">
            <v>Claims - gross</v>
          </cell>
          <cell r="Y2268" t="str">
            <v>TURKEY</v>
          </cell>
        </row>
        <row r="2269">
          <cell r="L2269"/>
          <cell r="S2269">
            <v>21714.880000000001</v>
          </cell>
          <cell r="X2269" t="str">
            <v>Claims - gross</v>
          </cell>
          <cell r="Y2269" t="str">
            <v>PORTUGAL</v>
          </cell>
        </row>
        <row r="2270">
          <cell r="L2270" t="str">
            <v>Non-proportional</v>
          </cell>
          <cell r="S2270">
            <v>-34186.76</v>
          </cell>
          <cell r="X2270" t="str">
            <v>Claims - gross</v>
          </cell>
          <cell r="Y2270" t="str">
            <v>AUSTRALIA</v>
          </cell>
        </row>
        <row r="2271">
          <cell r="L2271" t="str">
            <v>Non-proportional</v>
          </cell>
          <cell r="S2271">
            <v>-1860983.7</v>
          </cell>
          <cell r="X2271" t="str">
            <v>Claims - gross</v>
          </cell>
          <cell r="Y2271" t="str">
            <v>AUSTRALIA</v>
          </cell>
        </row>
        <row r="2272">
          <cell r="L2272" t="str">
            <v>Non-proportional</v>
          </cell>
          <cell r="S2272">
            <v>19295</v>
          </cell>
          <cell r="X2272" t="str">
            <v>Claims - gross</v>
          </cell>
          <cell r="Y2272" t="str">
            <v>PORTUGAL</v>
          </cell>
        </row>
        <row r="2273">
          <cell r="L2273" t="str">
            <v>Proportional</v>
          </cell>
          <cell r="S2273">
            <v>556417.96</v>
          </cell>
          <cell r="X2273" t="str">
            <v>Claims - gross</v>
          </cell>
          <cell r="Y2273" t="str">
            <v>AUSTRALIA</v>
          </cell>
        </row>
        <row r="2274">
          <cell r="L2274" t="str">
            <v>Proportional</v>
          </cell>
          <cell r="S2274">
            <v>5800223.6299999999</v>
          </cell>
          <cell r="X2274" t="str">
            <v>Claims - gross</v>
          </cell>
          <cell r="Y2274" t="str">
            <v>UNITED STATES</v>
          </cell>
        </row>
        <row r="2275">
          <cell r="L2275" t="str">
            <v>Non-proportional</v>
          </cell>
          <cell r="S2275">
            <v>585406.39</v>
          </cell>
          <cell r="X2275" t="str">
            <v>Claims - gross</v>
          </cell>
          <cell r="Y2275" t="str">
            <v>POLAND</v>
          </cell>
        </row>
        <row r="2276">
          <cell r="L2276" t="str">
            <v>Non-proportional</v>
          </cell>
          <cell r="S2276">
            <v>449.71</v>
          </cell>
          <cell r="X2276" t="str">
            <v>Claims - gross</v>
          </cell>
          <cell r="Y2276" t="str">
            <v>INDIA</v>
          </cell>
        </row>
        <row r="2277">
          <cell r="L2277" t="str">
            <v>Non-proportional</v>
          </cell>
          <cell r="S2277">
            <v>986.38</v>
          </cell>
          <cell r="X2277" t="str">
            <v>Claims - gross</v>
          </cell>
          <cell r="Y2277" t="str">
            <v>INDIA</v>
          </cell>
        </row>
        <row r="2278">
          <cell r="L2278" t="str">
            <v>Non-proportional</v>
          </cell>
          <cell r="S2278">
            <v>-49314.17</v>
          </cell>
          <cell r="X2278" t="str">
            <v>Claims - gross</v>
          </cell>
          <cell r="Y2278" t="str">
            <v>INDIA</v>
          </cell>
        </row>
        <row r="2279">
          <cell r="L2279" t="str">
            <v>Proportional</v>
          </cell>
          <cell r="S2279">
            <v>6612.88</v>
          </cell>
          <cell r="X2279" t="str">
            <v>Claims - gross</v>
          </cell>
          <cell r="Y2279" t="str">
            <v>Thailand</v>
          </cell>
        </row>
        <row r="2280">
          <cell r="L2280" t="str">
            <v>Non-proportional</v>
          </cell>
          <cell r="S2280">
            <v>34701.870000000003</v>
          </cell>
          <cell r="X2280" t="str">
            <v>Claims - gross</v>
          </cell>
          <cell r="Y2280" t="str">
            <v>AUSTRALIA</v>
          </cell>
        </row>
        <row r="2281">
          <cell r="L2281" t="str">
            <v>Proportional</v>
          </cell>
          <cell r="S2281">
            <v>689600.54</v>
          </cell>
          <cell r="X2281" t="str">
            <v>Claims - gross</v>
          </cell>
          <cell r="Y2281" t="str">
            <v>PORTUGAL</v>
          </cell>
        </row>
        <row r="2282">
          <cell r="L2282"/>
          <cell r="S2282">
            <v>-858.32</v>
          </cell>
          <cell r="X2282" t="str">
            <v>Claims - gross</v>
          </cell>
          <cell r="Y2282" t="str">
            <v>Portugal</v>
          </cell>
        </row>
        <row r="2283">
          <cell r="L2283" t="str">
            <v>Non-proportional</v>
          </cell>
          <cell r="S2283">
            <v>39059.269999999997</v>
          </cell>
          <cell r="X2283" t="str">
            <v>Claims - gross</v>
          </cell>
          <cell r="Y2283" t="str">
            <v>PORTUGAL</v>
          </cell>
        </row>
        <row r="2284">
          <cell r="L2284" t="str">
            <v>Non-proportional</v>
          </cell>
          <cell r="S2284">
            <v>35556.839999999997</v>
          </cell>
          <cell r="X2284" t="str">
            <v>Claims - gross</v>
          </cell>
          <cell r="Y2284" t="str">
            <v>EUROPE</v>
          </cell>
        </row>
        <row r="2285">
          <cell r="L2285" t="str">
            <v>Non-proportional</v>
          </cell>
          <cell r="S2285">
            <v>-27995.73</v>
          </cell>
          <cell r="X2285" t="str">
            <v>Claims - gross</v>
          </cell>
          <cell r="Y2285" t="str">
            <v>AUSTRALIA</v>
          </cell>
        </row>
        <row r="2286">
          <cell r="L2286" t="str">
            <v>Proportional</v>
          </cell>
          <cell r="S2286">
            <v>415863.81</v>
          </cell>
          <cell r="X2286" t="str">
            <v>Claims - gross</v>
          </cell>
          <cell r="Y2286" t="str">
            <v>THAILAND</v>
          </cell>
        </row>
        <row r="2287">
          <cell r="L2287" t="str">
            <v>Non-proportional</v>
          </cell>
          <cell r="S2287">
            <v>333951.42</v>
          </cell>
          <cell r="X2287" t="str">
            <v>Claims - gross</v>
          </cell>
          <cell r="Y2287" t="str">
            <v>UNITED KINGDOM</v>
          </cell>
        </row>
        <row r="2288">
          <cell r="L2288" t="str">
            <v>Non-proportional</v>
          </cell>
          <cell r="S2288">
            <v>116927.67999999999</v>
          </cell>
          <cell r="X2288" t="str">
            <v>Claims - gross</v>
          </cell>
          <cell r="Y2288" t="str">
            <v>SLOVENIA</v>
          </cell>
        </row>
        <row r="2289">
          <cell r="L2289" t="str">
            <v>Proportional</v>
          </cell>
          <cell r="S2289">
            <v>-2261824.58</v>
          </cell>
          <cell r="X2289" t="str">
            <v>Claims - gross</v>
          </cell>
          <cell r="Y2289" t="str">
            <v>Hong Kong</v>
          </cell>
        </row>
        <row r="2290">
          <cell r="L2290" t="str">
            <v>Proportional</v>
          </cell>
          <cell r="S2290">
            <v>54.37</v>
          </cell>
          <cell r="X2290" t="str">
            <v>Claims - gross</v>
          </cell>
          <cell r="Y2290" t="str">
            <v>Thailand</v>
          </cell>
        </row>
        <row r="2291">
          <cell r="L2291" t="str">
            <v>Proportional</v>
          </cell>
          <cell r="S2291">
            <v>1478319.03</v>
          </cell>
          <cell r="X2291" t="str">
            <v>Claims - gross</v>
          </cell>
          <cell r="Y2291" t="str">
            <v>AUSTRALIA</v>
          </cell>
        </row>
        <row r="2292">
          <cell r="L2292" t="str">
            <v>Non-proportional</v>
          </cell>
          <cell r="S2292">
            <v>3900.94</v>
          </cell>
          <cell r="X2292" t="str">
            <v>Claims - gross</v>
          </cell>
          <cell r="Y2292" t="str">
            <v>PORTUGAL</v>
          </cell>
        </row>
        <row r="2293">
          <cell r="L2293" t="str">
            <v>Non-proportional</v>
          </cell>
          <cell r="S2293">
            <v>27942.83</v>
          </cell>
          <cell r="X2293" t="str">
            <v>Claims - gross</v>
          </cell>
          <cell r="Y2293" t="str">
            <v>UNITED KINGDOM</v>
          </cell>
        </row>
        <row r="2294">
          <cell r="L2294" t="str">
            <v>Proportional</v>
          </cell>
          <cell r="S2294">
            <v>223478.52</v>
          </cell>
          <cell r="X2294" t="str">
            <v>Claims - gross</v>
          </cell>
          <cell r="Y2294" t="str">
            <v>MEXICO</v>
          </cell>
        </row>
        <row r="2295">
          <cell r="L2295" t="str">
            <v>Proportional</v>
          </cell>
          <cell r="S2295">
            <v>111820.18</v>
          </cell>
          <cell r="X2295" t="str">
            <v>Claims - gross</v>
          </cell>
          <cell r="Y2295" t="str">
            <v>THAILAND</v>
          </cell>
        </row>
        <row r="2296">
          <cell r="L2296" t="str">
            <v>Proportional</v>
          </cell>
          <cell r="S2296">
            <v>81047.39</v>
          </cell>
          <cell r="X2296" t="str">
            <v>Claims - gross</v>
          </cell>
          <cell r="Y2296" t="str">
            <v>THAILAND</v>
          </cell>
        </row>
        <row r="2297">
          <cell r="L2297" t="str">
            <v>Proportional</v>
          </cell>
          <cell r="S2297">
            <v>6817270.4500000002</v>
          </cell>
          <cell r="X2297" t="str">
            <v>Claims - gross</v>
          </cell>
          <cell r="Y2297" t="str">
            <v>UNITED STATES</v>
          </cell>
        </row>
        <row r="2298">
          <cell r="L2298" t="str">
            <v>Proportional</v>
          </cell>
          <cell r="S2298">
            <v>-3293784.04</v>
          </cell>
          <cell r="X2298" t="str">
            <v>Claims - gross</v>
          </cell>
          <cell r="Y2298" t="str">
            <v>HONG KONG</v>
          </cell>
        </row>
        <row r="2299">
          <cell r="L2299" t="str">
            <v>Non-proportional</v>
          </cell>
          <cell r="S2299">
            <v>-27537.8</v>
          </cell>
          <cell r="X2299" t="str">
            <v>Claims - gross</v>
          </cell>
          <cell r="Y2299" t="str">
            <v>UNITED KINGDOM</v>
          </cell>
        </row>
        <row r="2300">
          <cell r="L2300" t="str">
            <v>Non-proportional</v>
          </cell>
          <cell r="S2300">
            <v>77939.67</v>
          </cell>
          <cell r="X2300" t="str">
            <v>Claims - gross</v>
          </cell>
          <cell r="Y2300" t="str">
            <v>GERMANY</v>
          </cell>
        </row>
        <row r="2301">
          <cell r="L2301" t="str">
            <v>Non-proportional</v>
          </cell>
          <cell r="S2301">
            <v>36437.71</v>
          </cell>
          <cell r="X2301" t="str">
            <v>Claims - gross</v>
          </cell>
          <cell r="Y2301" t="str">
            <v>UNITED KINGDOM</v>
          </cell>
        </row>
        <row r="2302">
          <cell r="L2302" t="str">
            <v>Non-proportional</v>
          </cell>
          <cell r="S2302">
            <v>-1872718.21</v>
          </cell>
          <cell r="X2302" t="str">
            <v>Claims - gross</v>
          </cell>
          <cell r="Y2302" t="str">
            <v>UNITED STATES</v>
          </cell>
        </row>
        <row r="2303">
          <cell r="L2303" t="str">
            <v>Proportional</v>
          </cell>
          <cell r="S2303">
            <v>49823.41</v>
          </cell>
          <cell r="X2303" t="str">
            <v>Claims - gross</v>
          </cell>
          <cell r="Y2303" t="str">
            <v>PORTUGAL</v>
          </cell>
        </row>
        <row r="2304">
          <cell r="L2304" t="str">
            <v>Proportional</v>
          </cell>
          <cell r="S2304">
            <v>-2358.7600000000002</v>
          </cell>
          <cell r="X2304" t="str">
            <v>Claims - gross</v>
          </cell>
          <cell r="Y2304" t="str">
            <v>SINGAPORE</v>
          </cell>
        </row>
        <row r="2305">
          <cell r="L2305" t="str">
            <v>Non-proportional</v>
          </cell>
          <cell r="S2305">
            <v>114681.89</v>
          </cell>
          <cell r="X2305" t="str">
            <v>Claims - gross</v>
          </cell>
          <cell r="Y2305" t="str">
            <v>UNITED KINGDOM</v>
          </cell>
        </row>
        <row r="2306">
          <cell r="L2306" t="str">
            <v>Non-proportional</v>
          </cell>
          <cell r="S2306">
            <v>144622.68</v>
          </cell>
          <cell r="X2306" t="str">
            <v>Claims - gross</v>
          </cell>
          <cell r="Y2306" t="str">
            <v>MEXICO</v>
          </cell>
        </row>
        <row r="2307">
          <cell r="L2307" t="str">
            <v>Non-proportional</v>
          </cell>
          <cell r="S2307">
            <v>98725.440000000002</v>
          </cell>
          <cell r="X2307" t="str">
            <v>Claims - gross</v>
          </cell>
          <cell r="Y2307" t="str">
            <v>GERMANY</v>
          </cell>
        </row>
        <row r="2308">
          <cell r="L2308" t="str">
            <v>Non-proportional</v>
          </cell>
          <cell r="S2308">
            <v>-77286.539999999994</v>
          </cell>
          <cell r="X2308" t="str">
            <v>Claims - gross</v>
          </cell>
          <cell r="Y2308" t="str">
            <v>AUSTRALIA</v>
          </cell>
        </row>
        <row r="2309">
          <cell r="L2309" t="str">
            <v>Non-proportional</v>
          </cell>
          <cell r="S2309">
            <v>-66828.37</v>
          </cell>
          <cell r="X2309" t="str">
            <v>Claims - gross</v>
          </cell>
          <cell r="Y2309" t="str">
            <v>Belgium</v>
          </cell>
        </row>
        <row r="2310">
          <cell r="L2310" t="str">
            <v>Proportional</v>
          </cell>
          <cell r="S2310">
            <v>45701.69</v>
          </cell>
          <cell r="X2310" t="str">
            <v>Claims - gross</v>
          </cell>
          <cell r="Y2310" t="str">
            <v>HONG KONG</v>
          </cell>
        </row>
        <row r="2311">
          <cell r="L2311" t="str">
            <v>Proportional</v>
          </cell>
          <cell r="S2311">
            <v>58970.75</v>
          </cell>
          <cell r="X2311" t="str">
            <v>Claims - gross</v>
          </cell>
          <cell r="Y2311" t="str">
            <v>THAILAND</v>
          </cell>
        </row>
        <row r="2312">
          <cell r="L2312" t="str">
            <v>Non-proportional</v>
          </cell>
          <cell r="S2312">
            <v>-1005894.75</v>
          </cell>
          <cell r="X2312" t="str">
            <v>Claims - gross</v>
          </cell>
          <cell r="Y2312" t="str">
            <v>TURKEY</v>
          </cell>
        </row>
        <row r="2313">
          <cell r="L2313" t="str">
            <v>Non-proportional</v>
          </cell>
          <cell r="S2313">
            <v>-1300345.3500000001</v>
          </cell>
          <cell r="X2313" t="str">
            <v>Claims - gross</v>
          </cell>
          <cell r="Y2313" t="str">
            <v>Belgium</v>
          </cell>
        </row>
        <row r="2314">
          <cell r="L2314" t="str">
            <v>Non-proportional</v>
          </cell>
          <cell r="S2314">
            <v>111661</v>
          </cell>
          <cell r="X2314" t="str">
            <v>Claims - gross</v>
          </cell>
          <cell r="Y2314" t="str">
            <v>PORTUGAL</v>
          </cell>
        </row>
        <row r="2315">
          <cell r="L2315" t="str">
            <v>Non-proportional</v>
          </cell>
          <cell r="S2315">
            <v>1607.85</v>
          </cell>
          <cell r="X2315" t="str">
            <v>Claims - gross</v>
          </cell>
          <cell r="Y2315" t="str">
            <v>INDIA</v>
          </cell>
        </row>
        <row r="2316">
          <cell r="L2316" t="str">
            <v>Proportional</v>
          </cell>
          <cell r="S2316">
            <v>3784.85</v>
          </cell>
          <cell r="X2316" t="str">
            <v>Claims - gross</v>
          </cell>
          <cell r="Y2316" t="str">
            <v>INDIA</v>
          </cell>
        </row>
        <row r="2317">
          <cell r="L2317" t="str">
            <v>Non-proportional</v>
          </cell>
          <cell r="S2317">
            <v>19301.93</v>
          </cell>
          <cell r="X2317" t="str">
            <v>Claims - gross</v>
          </cell>
          <cell r="Y2317" t="str">
            <v>AUSTRALIA</v>
          </cell>
        </row>
        <row r="2318">
          <cell r="L2318" t="str">
            <v>Proportional</v>
          </cell>
          <cell r="S2318">
            <v>1854258.12</v>
          </cell>
          <cell r="X2318" t="str">
            <v>Claims - gross</v>
          </cell>
          <cell r="Y2318" t="str">
            <v>JAPAN</v>
          </cell>
        </row>
        <row r="2319">
          <cell r="L2319" t="str">
            <v>Proportional</v>
          </cell>
          <cell r="S2319">
            <v>75402.09</v>
          </cell>
          <cell r="X2319" t="str">
            <v>Claims - gross</v>
          </cell>
          <cell r="Y2319" t="str">
            <v>HONG KONG</v>
          </cell>
        </row>
        <row r="2320">
          <cell r="L2320" t="str">
            <v>Non-proportional</v>
          </cell>
          <cell r="S2320">
            <v>53626.400000000001</v>
          </cell>
          <cell r="X2320" t="str">
            <v>Claims - gross</v>
          </cell>
          <cell r="Y2320" t="str">
            <v>PORTUGAL</v>
          </cell>
        </row>
        <row r="2321">
          <cell r="L2321" t="str">
            <v>Proportional</v>
          </cell>
          <cell r="S2321">
            <v>940790.67</v>
          </cell>
          <cell r="X2321" t="str">
            <v>Claims - gross</v>
          </cell>
          <cell r="Y2321" t="str">
            <v>CANADA</v>
          </cell>
        </row>
        <row r="2322">
          <cell r="L2322" t="str">
            <v>Proportional</v>
          </cell>
          <cell r="S2322">
            <v>99216.38</v>
          </cell>
          <cell r="X2322" t="str">
            <v>Claims - gross</v>
          </cell>
          <cell r="Y2322" t="str">
            <v>THAILAND</v>
          </cell>
        </row>
        <row r="2323">
          <cell r="L2323" t="str">
            <v>Non-proportional</v>
          </cell>
          <cell r="S2323">
            <v>945.84</v>
          </cell>
          <cell r="X2323" t="str">
            <v>Claims - gross</v>
          </cell>
          <cell r="Y2323" t="str">
            <v>PORTUGAL</v>
          </cell>
        </row>
        <row r="2324">
          <cell r="L2324" t="str">
            <v>Non-proportional</v>
          </cell>
          <cell r="S2324">
            <v>-25125</v>
          </cell>
          <cell r="X2324" t="str">
            <v>Claims - gross</v>
          </cell>
          <cell r="Y2324" t="str">
            <v>Portugal</v>
          </cell>
        </row>
        <row r="2325">
          <cell r="L2325" t="str">
            <v>Non-proportional</v>
          </cell>
          <cell r="S2325">
            <v>93250.37</v>
          </cell>
          <cell r="X2325" t="str">
            <v>Claims - gross</v>
          </cell>
          <cell r="Y2325" t="str">
            <v>PORTUGAL</v>
          </cell>
        </row>
        <row r="2326">
          <cell r="L2326" t="str">
            <v>Non-proportional</v>
          </cell>
          <cell r="S2326">
            <v>18176.09</v>
          </cell>
          <cell r="X2326" t="str">
            <v>Claims - gross</v>
          </cell>
          <cell r="Y2326" t="str">
            <v>UNITED KINGDOM</v>
          </cell>
        </row>
        <row r="2327">
          <cell r="L2327" t="str">
            <v>Non-proportional</v>
          </cell>
          <cell r="S2327">
            <v>149484.6</v>
          </cell>
          <cell r="X2327" t="str">
            <v>Claims - gross</v>
          </cell>
          <cell r="Y2327" t="str">
            <v>AUSTRALIA</v>
          </cell>
        </row>
        <row r="2328">
          <cell r="L2328" t="str">
            <v>Proportional</v>
          </cell>
          <cell r="S2328">
            <v>9781.77</v>
          </cell>
          <cell r="X2328" t="str">
            <v>Claims - gross</v>
          </cell>
          <cell r="Y2328" t="str">
            <v>THAILAND</v>
          </cell>
        </row>
        <row r="2329">
          <cell r="L2329" t="str">
            <v>Non-proportional</v>
          </cell>
          <cell r="S2329">
            <v>1449333.04</v>
          </cell>
          <cell r="X2329" t="str">
            <v>Claims - gross</v>
          </cell>
          <cell r="Y2329" t="str">
            <v>GERMANY</v>
          </cell>
        </row>
        <row r="2330">
          <cell r="L2330" t="str">
            <v>Non-proportional</v>
          </cell>
          <cell r="S2330">
            <v>3207.02</v>
          </cell>
          <cell r="X2330" t="str">
            <v>Claims - gross</v>
          </cell>
          <cell r="Y2330" t="str">
            <v>UNITED KINGDOM</v>
          </cell>
        </row>
        <row r="2331">
          <cell r="L2331" t="str">
            <v>Proportional</v>
          </cell>
          <cell r="S2331">
            <v>2110.13</v>
          </cell>
          <cell r="X2331" t="str">
            <v>Claims - gross</v>
          </cell>
          <cell r="Y2331" t="str">
            <v>Thailand</v>
          </cell>
        </row>
        <row r="2332">
          <cell r="L2332" t="str">
            <v>Proportional</v>
          </cell>
          <cell r="S2332">
            <v>-62265.37</v>
          </cell>
          <cell r="X2332" t="str">
            <v>Claims - gross</v>
          </cell>
          <cell r="Y2332" t="str">
            <v>TURKEY</v>
          </cell>
        </row>
        <row r="2333">
          <cell r="L2333" t="str">
            <v>Non-proportional</v>
          </cell>
          <cell r="S2333">
            <v>20330.97</v>
          </cell>
          <cell r="X2333" t="str">
            <v>Claims - gross</v>
          </cell>
          <cell r="Y2333" t="str">
            <v>UNITED KINGDOM</v>
          </cell>
        </row>
        <row r="2334">
          <cell r="L2334" t="str">
            <v>Proportional</v>
          </cell>
          <cell r="S2334">
            <v>-3686384.8</v>
          </cell>
          <cell r="X2334" t="str">
            <v>Claims - gross</v>
          </cell>
          <cell r="Y2334" t="str">
            <v>AUSTRALIA</v>
          </cell>
        </row>
        <row r="2335">
          <cell r="L2335" t="str">
            <v>Non-proportional</v>
          </cell>
          <cell r="S2335">
            <v>962.02</v>
          </cell>
          <cell r="X2335" t="str">
            <v>Claims - gross</v>
          </cell>
          <cell r="Y2335" t="str">
            <v>INDIA</v>
          </cell>
        </row>
        <row r="2336">
          <cell r="L2336" t="str">
            <v>Non-proportional</v>
          </cell>
          <cell r="S2336">
            <v>-22763.61</v>
          </cell>
          <cell r="X2336" t="str">
            <v>Claims - gross</v>
          </cell>
          <cell r="Y2336" t="str">
            <v>CZECH REPUBLIC</v>
          </cell>
        </row>
        <row r="2337">
          <cell r="L2337" t="str">
            <v>Non-proportional</v>
          </cell>
          <cell r="S2337">
            <v>-225793.6</v>
          </cell>
          <cell r="X2337" t="str">
            <v>Claims - gross</v>
          </cell>
          <cell r="Y2337" t="str">
            <v>AUSTRALIA</v>
          </cell>
        </row>
        <row r="2338">
          <cell r="L2338" t="str">
            <v>Non-proportional</v>
          </cell>
          <cell r="S2338">
            <v>15511.93</v>
          </cell>
          <cell r="X2338" t="str">
            <v>Claims - gross</v>
          </cell>
          <cell r="Y2338" t="str">
            <v>INDIA</v>
          </cell>
        </row>
        <row r="2339">
          <cell r="L2339" t="str">
            <v>Proportional</v>
          </cell>
          <cell r="S2339">
            <v>62774.71</v>
          </cell>
          <cell r="X2339" t="str">
            <v>Claims - gross</v>
          </cell>
          <cell r="Y2339" t="str">
            <v>PORTUGAL</v>
          </cell>
        </row>
        <row r="2340">
          <cell r="L2340" t="str">
            <v>Non-proportional</v>
          </cell>
          <cell r="S2340">
            <v>11789.09</v>
          </cell>
          <cell r="X2340" t="str">
            <v>Claims - gross</v>
          </cell>
          <cell r="Y2340" t="str">
            <v>INDIA</v>
          </cell>
        </row>
        <row r="2341">
          <cell r="L2341" t="str">
            <v>Non-proportional</v>
          </cell>
          <cell r="S2341">
            <v>965394.82</v>
          </cell>
          <cell r="X2341" t="str">
            <v>Claims - gross</v>
          </cell>
          <cell r="Y2341" t="str">
            <v>TURKEY</v>
          </cell>
        </row>
        <row r="2342">
          <cell r="L2342" t="str">
            <v>Non-proportional</v>
          </cell>
          <cell r="S2342">
            <v>123768.49</v>
          </cell>
          <cell r="X2342" t="str">
            <v>Claims - gross</v>
          </cell>
          <cell r="Y2342" t="str">
            <v>UNITED KINGDOM</v>
          </cell>
        </row>
        <row r="2343">
          <cell r="L2343" t="str">
            <v>Non-proportional</v>
          </cell>
          <cell r="S2343">
            <v>27030.58</v>
          </cell>
          <cell r="X2343" t="str">
            <v>Claims - gross</v>
          </cell>
          <cell r="Y2343" t="str">
            <v>INDIA</v>
          </cell>
        </row>
        <row r="2344">
          <cell r="L2344" t="str">
            <v>Proportional</v>
          </cell>
          <cell r="S2344">
            <v>71136.37</v>
          </cell>
          <cell r="X2344" t="str">
            <v>Claims - gross</v>
          </cell>
          <cell r="Y2344" t="str">
            <v>BELGIUM</v>
          </cell>
        </row>
        <row r="2345">
          <cell r="L2345" t="str">
            <v>Proportional</v>
          </cell>
          <cell r="S2345">
            <v>3157.97</v>
          </cell>
          <cell r="X2345" t="str">
            <v>Claims - gross</v>
          </cell>
          <cell r="Y2345" t="str">
            <v>HONG KONG</v>
          </cell>
        </row>
        <row r="2346">
          <cell r="L2346" t="str">
            <v>Non-proportional</v>
          </cell>
          <cell r="S2346">
            <v>529492.36</v>
          </cell>
          <cell r="X2346" t="str">
            <v>Claims - gross</v>
          </cell>
          <cell r="Y2346" t="str">
            <v>UNITED KINGDOM</v>
          </cell>
        </row>
        <row r="2347">
          <cell r="L2347" t="str">
            <v>Non-proportional</v>
          </cell>
          <cell r="S2347">
            <v>-2844705.8</v>
          </cell>
          <cell r="X2347" t="str">
            <v>Claims - gross</v>
          </cell>
          <cell r="Y2347" t="str">
            <v>AUSTRALIA</v>
          </cell>
        </row>
        <row r="2348">
          <cell r="L2348" t="str">
            <v>Proportional</v>
          </cell>
          <cell r="S2348">
            <v>7230.47</v>
          </cell>
          <cell r="X2348" t="str">
            <v>Claims - gross</v>
          </cell>
          <cell r="Y2348" t="str">
            <v>Hong Kong</v>
          </cell>
        </row>
        <row r="2349">
          <cell r="L2349" t="str">
            <v>Proportional</v>
          </cell>
          <cell r="S2349">
            <v>68558.69</v>
          </cell>
          <cell r="X2349" t="str">
            <v>Claims - gross</v>
          </cell>
          <cell r="Y2349" t="str">
            <v>THAILAND</v>
          </cell>
        </row>
        <row r="2350">
          <cell r="L2350" t="str">
            <v>Proportional</v>
          </cell>
          <cell r="S2350">
            <v>99327.37</v>
          </cell>
          <cell r="X2350" t="str">
            <v>Claims - gross</v>
          </cell>
          <cell r="Y2350" t="str">
            <v>TURKEY</v>
          </cell>
        </row>
        <row r="2351">
          <cell r="L2351" t="str">
            <v>Non-proportional</v>
          </cell>
          <cell r="S2351">
            <v>86438.05</v>
          </cell>
          <cell r="X2351" t="str">
            <v>Claims - gross</v>
          </cell>
          <cell r="Y2351" t="str">
            <v>Portugal</v>
          </cell>
        </row>
        <row r="2352">
          <cell r="L2352" t="str">
            <v>Proportional</v>
          </cell>
          <cell r="S2352">
            <v>52039.55</v>
          </cell>
          <cell r="X2352" t="str">
            <v>Claims - gross</v>
          </cell>
          <cell r="Y2352" t="str">
            <v>TURKEY</v>
          </cell>
        </row>
        <row r="2353">
          <cell r="L2353" t="str">
            <v>Non-proportional</v>
          </cell>
          <cell r="S2353">
            <v>458727.53</v>
          </cell>
          <cell r="X2353" t="str">
            <v>Claims - gross</v>
          </cell>
          <cell r="Y2353" t="str">
            <v>UNITED KINGDOM</v>
          </cell>
        </row>
        <row r="2354">
          <cell r="L2354" t="str">
            <v>Non-proportional</v>
          </cell>
          <cell r="S2354">
            <v>-19205.88</v>
          </cell>
          <cell r="X2354" t="str">
            <v>Claims - gross</v>
          </cell>
          <cell r="Y2354" t="str">
            <v>AUSTRALIA</v>
          </cell>
        </row>
        <row r="2355">
          <cell r="L2355" t="str">
            <v>Non-proportional</v>
          </cell>
          <cell r="S2355">
            <v>1146.43</v>
          </cell>
          <cell r="X2355" t="str">
            <v>Claims - gross</v>
          </cell>
          <cell r="Y2355" t="str">
            <v>INDIA</v>
          </cell>
        </row>
        <row r="2356">
          <cell r="L2356" t="str">
            <v>Non-proportional</v>
          </cell>
          <cell r="S2356">
            <v>2212.8200000000002</v>
          </cell>
          <cell r="X2356" t="str">
            <v>Claims - gross</v>
          </cell>
          <cell r="Y2356" t="str">
            <v>INDIA</v>
          </cell>
        </row>
        <row r="2357">
          <cell r="L2357" t="str">
            <v>Proportional</v>
          </cell>
          <cell r="S2357">
            <v>55135.24</v>
          </cell>
          <cell r="X2357" t="str">
            <v>Claims - gross</v>
          </cell>
          <cell r="Y2357" t="str">
            <v>INDIA</v>
          </cell>
        </row>
        <row r="2358">
          <cell r="L2358" t="str">
            <v>Proportional</v>
          </cell>
          <cell r="S2358">
            <v>-11618.58</v>
          </cell>
          <cell r="X2358" t="str">
            <v>Claims - gross</v>
          </cell>
          <cell r="Y2358" t="str">
            <v>UNITED STATES</v>
          </cell>
        </row>
        <row r="2359">
          <cell r="L2359" t="str">
            <v>Non-proportional</v>
          </cell>
          <cell r="S2359">
            <v>4113.92</v>
          </cell>
          <cell r="X2359" t="str">
            <v>Claims - gross</v>
          </cell>
          <cell r="Y2359" t="str">
            <v>GERMANY</v>
          </cell>
        </row>
        <row r="2360">
          <cell r="L2360" t="str">
            <v>Non-proportional</v>
          </cell>
          <cell r="S2360">
            <v>-765.06</v>
          </cell>
          <cell r="X2360" t="str">
            <v>Claims - gross</v>
          </cell>
          <cell r="Y2360" t="str">
            <v>AUSTRALIA</v>
          </cell>
        </row>
        <row r="2361">
          <cell r="L2361" t="str">
            <v>Non-proportional</v>
          </cell>
          <cell r="S2361">
            <v>-15621.68</v>
          </cell>
          <cell r="X2361" t="str">
            <v>Claims - gross</v>
          </cell>
          <cell r="Y2361" t="str">
            <v>SWEDEN</v>
          </cell>
        </row>
        <row r="2362">
          <cell r="L2362" t="str">
            <v>Proportional</v>
          </cell>
          <cell r="S2362">
            <v>2016.88</v>
          </cell>
          <cell r="X2362" t="str">
            <v>Claims - gross</v>
          </cell>
          <cell r="Y2362" t="str">
            <v>INDIA</v>
          </cell>
        </row>
        <row r="2363">
          <cell r="L2363" t="str">
            <v>Non-proportional</v>
          </cell>
          <cell r="S2363">
            <v>-903.73</v>
          </cell>
          <cell r="X2363" t="str">
            <v>Claims - gross</v>
          </cell>
          <cell r="Y2363" t="str">
            <v>GERMANY</v>
          </cell>
        </row>
        <row r="2364">
          <cell r="L2364" t="str">
            <v>Non-proportional</v>
          </cell>
          <cell r="S2364">
            <v>245648.95</v>
          </cell>
          <cell r="X2364" t="str">
            <v>Claims - gross</v>
          </cell>
          <cell r="Y2364" t="str">
            <v>UNITED STATES</v>
          </cell>
        </row>
        <row r="2365">
          <cell r="L2365" t="str">
            <v>Proportional</v>
          </cell>
          <cell r="S2365">
            <v>115150.36</v>
          </cell>
          <cell r="X2365" t="str">
            <v>Claims - gross</v>
          </cell>
          <cell r="Y2365" t="str">
            <v>HONG KONG</v>
          </cell>
        </row>
        <row r="2366">
          <cell r="L2366" t="str">
            <v>Non-proportional</v>
          </cell>
          <cell r="S2366">
            <v>1030.58</v>
          </cell>
          <cell r="X2366" t="str">
            <v>Claims - gross</v>
          </cell>
          <cell r="Y2366" t="str">
            <v>INDIA</v>
          </cell>
        </row>
        <row r="2367">
          <cell r="L2367" t="str">
            <v>Proportional</v>
          </cell>
          <cell r="S2367">
            <v>-302595.99</v>
          </cell>
          <cell r="X2367" t="str">
            <v>Claims - gross</v>
          </cell>
          <cell r="Y2367" t="str">
            <v>TURKEY</v>
          </cell>
        </row>
        <row r="2368">
          <cell r="L2368" t="str">
            <v>Proportional</v>
          </cell>
          <cell r="S2368">
            <v>460.97</v>
          </cell>
          <cell r="X2368" t="str">
            <v>Claims - gross</v>
          </cell>
          <cell r="Y2368" t="str">
            <v>THAILAND</v>
          </cell>
        </row>
        <row r="2369">
          <cell r="L2369" t="str">
            <v>Non-proportional</v>
          </cell>
          <cell r="S2369">
            <v>4700349.3099999996</v>
          </cell>
          <cell r="X2369" t="str">
            <v>Claims - gross</v>
          </cell>
          <cell r="Y2369" t="str">
            <v>UNITED KINGDOM</v>
          </cell>
        </row>
        <row r="2370">
          <cell r="L2370" t="str">
            <v>Proportional</v>
          </cell>
          <cell r="S2370">
            <v>586371.51</v>
          </cell>
          <cell r="X2370" t="str">
            <v>Claims - gross</v>
          </cell>
          <cell r="Y2370" t="str">
            <v>CANADA</v>
          </cell>
        </row>
        <row r="2371">
          <cell r="L2371" t="str">
            <v>Proportional</v>
          </cell>
          <cell r="S2371">
            <v>-90711.58</v>
          </cell>
          <cell r="X2371" t="str">
            <v>Claims - gross</v>
          </cell>
          <cell r="Y2371" t="str">
            <v>Thailand</v>
          </cell>
        </row>
        <row r="2372">
          <cell r="L2372" t="str">
            <v>Proportional</v>
          </cell>
          <cell r="S2372">
            <v>2489.1</v>
          </cell>
          <cell r="X2372" t="str">
            <v>Claims - gross</v>
          </cell>
          <cell r="Y2372" t="str">
            <v>THAILAND</v>
          </cell>
        </row>
        <row r="2373">
          <cell r="L2373" t="str">
            <v>Non-proportional</v>
          </cell>
          <cell r="S2373">
            <v>33179.870000000003</v>
          </cell>
          <cell r="X2373" t="str">
            <v>Claims - gross</v>
          </cell>
          <cell r="Y2373" t="str">
            <v>UNITED KINGDOM</v>
          </cell>
        </row>
        <row r="2374">
          <cell r="L2374" t="str">
            <v>Proportional</v>
          </cell>
          <cell r="S2374">
            <v>82887.97</v>
          </cell>
          <cell r="X2374" t="str">
            <v>Claims - gross</v>
          </cell>
          <cell r="Y2374" t="str">
            <v>THAILAND</v>
          </cell>
        </row>
        <row r="2375">
          <cell r="L2375" t="str">
            <v>Proportional</v>
          </cell>
          <cell r="S2375">
            <v>5796.4</v>
          </cell>
          <cell r="X2375" t="str">
            <v>Claims - gross</v>
          </cell>
          <cell r="Y2375" t="str">
            <v>THAILAND</v>
          </cell>
        </row>
        <row r="2376">
          <cell r="L2376" t="str">
            <v>Non-proportional</v>
          </cell>
          <cell r="S2376">
            <v>16436.740000000002</v>
          </cell>
          <cell r="X2376" t="str">
            <v>Claims - gross</v>
          </cell>
          <cell r="Y2376" t="str">
            <v>INDIA</v>
          </cell>
        </row>
        <row r="2377">
          <cell r="L2377" t="str">
            <v>Non-proportional</v>
          </cell>
          <cell r="S2377">
            <v>242642.78</v>
          </cell>
          <cell r="X2377" t="str">
            <v>Claims - gross</v>
          </cell>
          <cell r="Y2377" t="str">
            <v>AUSTRALIA</v>
          </cell>
        </row>
        <row r="2378">
          <cell r="L2378" t="str">
            <v>Non-proportional</v>
          </cell>
          <cell r="S2378">
            <v>185774.09</v>
          </cell>
          <cell r="X2378" t="str">
            <v>Claims - gross</v>
          </cell>
          <cell r="Y2378" t="str">
            <v>UNITED KINGDOM</v>
          </cell>
        </row>
        <row r="2379">
          <cell r="L2379" t="str">
            <v>Proportional</v>
          </cell>
          <cell r="S2379">
            <v>-369920.74</v>
          </cell>
          <cell r="X2379" t="str">
            <v>Claims - gross</v>
          </cell>
          <cell r="Y2379" t="str">
            <v>Thailand</v>
          </cell>
        </row>
        <row r="2380">
          <cell r="L2380" t="str">
            <v>Non-proportional</v>
          </cell>
          <cell r="S2380">
            <v>10558.34</v>
          </cell>
          <cell r="X2380" t="str">
            <v>Claims - gross</v>
          </cell>
          <cell r="Y2380" t="str">
            <v>PORTUGAL</v>
          </cell>
        </row>
        <row r="2381">
          <cell r="L2381" t="str">
            <v>Non-proportional</v>
          </cell>
          <cell r="S2381">
            <v>5980.74</v>
          </cell>
          <cell r="X2381" t="str">
            <v>Claims - gross</v>
          </cell>
          <cell r="Y2381" t="str">
            <v>INDIA</v>
          </cell>
        </row>
        <row r="2382">
          <cell r="L2382" t="str">
            <v>Non-proportional</v>
          </cell>
          <cell r="S2382">
            <v>15633.01</v>
          </cell>
          <cell r="X2382" t="str">
            <v>Claims - gross</v>
          </cell>
          <cell r="Y2382" t="str">
            <v>AUSTRALIA</v>
          </cell>
        </row>
        <row r="2383">
          <cell r="L2383" t="str">
            <v>Proportional</v>
          </cell>
          <cell r="S2383">
            <v>4092622.28</v>
          </cell>
          <cell r="X2383" t="str">
            <v>Claims - gross</v>
          </cell>
          <cell r="Y2383" t="str">
            <v>UNITED STATES</v>
          </cell>
        </row>
        <row r="2384">
          <cell r="L2384" t="str">
            <v>Non-proportional</v>
          </cell>
          <cell r="S2384">
            <v>-9647.5</v>
          </cell>
          <cell r="X2384" t="str">
            <v>Claims - gross</v>
          </cell>
          <cell r="Y2384" t="str">
            <v>PORTUGAL</v>
          </cell>
        </row>
        <row r="2385">
          <cell r="L2385" t="str">
            <v>Non-proportional</v>
          </cell>
          <cell r="S2385">
            <v>170972.74</v>
          </cell>
          <cell r="X2385" t="str">
            <v>Claims - gross</v>
          </cell>
          <cell r="Y2385" t="str">
            <v>UNITED KINGDOM</v>
          </cell>
        </row>
        <row r="2386">
          <cell r="L2386" t="str">
            <v>Non-proportional</v>
          </cell>
          <cell r="S2386">
            <v>-705041.37</v>
          </cell>
          <cell r="X2386" t="str">
            <v>Claims - gross</v>
          </cell>
          <cell r="Y2386" t="str">
            <v>GERMANY</v>
          </cell>
        </row>
        <row r="2387">
          <cell r="L2387" t="str">
            <v>Non-proportional</v>
          </cell>
          <cell r="S2387">
            <v>223322</v>
          </cell>
          <cell r="X2387" t="str">
            <v>Claims - gross</v>
          </cell>
          <cell r="Y2387" t="str">
            <v>PORTUGAL</v>
          </cell>
        </row>
        <row r="2388">
          <cell r="L2388" t="str">
            <v>Proportional</v>
          </cell>
          <cell r="S2388">
            <v>309663.61</v>
          </cell>
          <cell r="X2388" t="str">
            <v>Claims - gross</v>
          </cell>
          <cell r="Y2388" t="str">
            <v>HONG KONG</v>
          </cell>
        </row>
        <row r="2389">
          <cell r="L2389" t="str">
            <v>Non-proportional</v>
          </cell>
          <cell r="S2389">
            <v>93161.84</v>
          </cell>
          <cell r="X2389" t="str">
            <v>Claims - gross</v>
          </cell>
          <cell r="Y2389" t="str">
            <v>PORTUGAL</v>
          </cell>
        </row>
        <row r="2390">
          <cell r="L2390" t="str">
            <v>Non-proportional</v>
          </cell>
          <cell r="S2390">
            <v>4442216.74</v>
          </cell>
          <cell r="X2390" t="str">
            <v>Claims - gross</v>
          </cell>
          <cell r="Y2390" t="str">
            <v>UNITED KINGDOM</v>
          </cell>
        </row>
        <row r="2391">
          <cell r="L2391" t="str">
            <v>Proportional</v>
          </cell>
          <cell r="S2391">
            <v>206922</v>
          </cell>
          <cell r="X2391" t="str">
            <v>Claims - gross</v>
          </cell>
          <cell r="Y2391" t="str">
            <v>AUSTRALIA</v>
          </cell>
        </row>
        <row r="2392">
          <cell r="L2392" t="str">
            <v>Proportional</v>
          </cell>
          <cell r="S2392">
            <v>-353290.68</v>
          </cell>
          <cell r="X2392" t="str">
            <v>Claims - gross</v>
          </cell>
          <cell r="Y2392" t="str">
            <v>THAILAND</v>
          </cell>
        </row>
        <row r="2393">
          <cell r="L2393" t="str">
            <v>Proportional</v>
          </cell>
          <cell r="S2393">
            <v>6092.51</v>
          </cell>
          <cell r="X2393" t="str">
            <v>Claims - gross</v>
          </cell>
          <cell r="Y2393" t="str">
            <v>THAILAND</v>
          </cell>
        </row>
        <row r="2394">
          <cell r="L2394" t="str">
            <v>Proportional</v>
          </cell>
          <cell r="S2394">
            <v>-4073213.97</v>
          </cell>
          <cell r="X2394" t="str">
            <v>Claims - gross</v>
          </cell>
          <cell r="Y2394" t="str">
            <v>PORTUGAL</v>
          </cell>
        </row>
        <row r="2395">
          <cell r="L2395" t="str">
            <v>Non-proportional</v>
          </cell>
          <cell r="S2395">
            <v>5453.3</v>
          </cell>
          <cell r="X2395" t="str">
            <v>Claims - gross</v>
          </cell>
          <cell r="Y2395" t="str">
            <v>INDIA</v>
          </cell>
        </row>
        <row r="2396">
          <cell r="L2396" t="str">
            <v>Proportional</v>
          </cell>
          <cell r="S2396">
            <v>69339.53</v>
          </cell>
          <cell r="X2396" t="str">
            <v>Claims - gross</v>
          </cell>
          <cell r="Y2396" t="str">
            <v>INDIA</v>
          </cell>
        </row>
        <row r="2397">
          <cell r="L2397" t="str">
            <v>Proportional</v>
          </cell>
          <cell r="S2397">
            <v>55334.02</v>
          </cell>
          <cell r="X2397" t="str">
            <v>Claims - gross</v>
          </cell>
          <cell r="Y2397" t="str">
            <v>CANADA</v>
          </cell>
        </row>
        <row r="2398">
          <cell r="L2398" t="str">
            <v>Proportional</v>
          </cell>
          <cell r="S2398">
            <v>25918.06</v>
          </cell>
          <cell r="X2398" t="str">
            <v>Claims - gross</v>
          </cell>
          <cell r="Y2398" t="str">
            <v>MALAYSIA</v>
          </cell>
        </row>
        <row r="2399">
          <cell r="L2399" t="str">
            <v>Non-proportional</v>
          </cell>
          <cell r="S2399">
            <v>252497.85</v>
          </cell>
          <cell r="X2399" t="str">
            <v>Claims - gross</v>
          </cell>
          <cell r="Y2399" t="str">
            <v>UNITED KINGDOM</v>
          </cell>
        </row>
        <row r="2400">
          <cell r="L2400" t="str">
            <v>Proportional</v>
          </cell>
          <cell r="S2400">
            <v>1232.0899999999999</v>
          </cell>
          <cell r="X2400" t="str">
            <v>Claims - gross</v>
          </cell>
          <cell r="Y2400" t="str">
            <v>THAILAND</v>
          </cell>
        </row>
        <row r="2401">
          <cell r="L2401" t="str">
            <v>Non-proportional</v>
          </cell>
          <cell r="S2401">
            <v>113386.3</v>
          </cell>
          <cell r="X2401" t="str">
            <v>Claims - gross</v>
          </cell>
          <cell r="Y2401" t="str">
            <v>AUSTRIA</v>
          </cell>
        </row>
        <row r="2402">
          <cell r="L2402" t="str">
            <v>Non-proportional</v>
          </cell>
          <cell r="S2402">
            <v>718.58</v>
          </cell>
          <cell r="X2402" t="str">
            <v>Claims - gross</v>
          </cell>
          <cell r="Y2402" t="str">
            <v>CZECH REPUBLIC</v>
          </cell>
        </row>
        <row r="2403">
          <cell r="L2403" t="str">
            <v>Proportional</v>
          </cell>
          <cell r="S2403">
            <v>1094391.6399999999</v>
          </cell>
          <cell r="X2403" t="str">
            <v>Claims - gross</v>
          </cell>
          <cell r="Y2403" t="str">
            <v>PORTUGAL</v>
          </cell>
        </row>
        <row r="2404">
          <cell r="L2404" t="str">
            <v>Proportional</v>
          </cell>
          <cell r="S2404">
            <v>419391.23</v>
          </cell>
          <cell r="X2404" t="str">
            <v>Claims - gross</v>
          </cell>
          <cell r="Y2404" t="str">
            <v>PORTUGAL</v>
          </cell>
        </row>
        <row r="2405">
          <cell r="L2405" t="str">
            <v>Non-proportional</v>
          </cell>
          <cell r="S2405">
            <v>-180321.82</v>
          </cell>
          <cell r="X2405" t="str">
            <v>Claims - gross</v>
          </cell>
          <cell r="Y2405" t="str">
            <v>AUSTRALIA</v>
          </cell>
        </row>
        <row r="2406">
          <cell r="L2406" t="str">
            <v>Non-proportional</v>
          </cell>
          <cell r="S2406">
            <v>-6919.83</v>
          </cell>
          <cell r="X2406" t="str">
            <v>Claims - gross</v>
          </cell>
          <cell r="Y2406" t="str">
            <v>AUSTRALIA</v>
          </cell>
        </row>
        <row r="2407">
          <cell r="L2407" t="str">
            <v>Proportional</v>
          </cell>
          <cell r="S2407">
            <v>1263138.44</v>
          </cell>
          <cell r="X2407" t="str">
            <v>Claims - gross</v>
          </cell>
          <cell r="Y2407" t="str">
            <v>JAPAN</v>
          </cell>
        </row>
        <row r="2408">
          <cell r="L2408" t="str">
            <v>Non-proportional</v>
          </cell>
          <cell r="S2408">
            <v>21737.759999999998</v>
          </cell>
          <cell r="X2408" t="str">
            <v>Claims - gross</v>
          </cell>
          <cell r="Y2408" t="str">
            <v>PORTUGAL</v>
          </cell>
        </row>
        <row r="2409">
          <cell r="L2409" t="str">
            <v>Proportional</v>
          </cell>
          <cell r="S2409">
            <v>16999.939999999999</v>
          </cell>
          <cell r="X2409" t="str">
            <v>Claims - gross</v>
          </cell>
          <cell r="Y2409" t="str">
            <v>THAILAND</v>
          </cell>
        </row>
        <row r="2410">
          <cell r="L2410" t="str">
            <v>Non-proportional</v>
          </cell>
          <cell r="S2410">
            <v>-7390.81</v>
          </cell>
          <cell r="X2410" t="str">
            <v>Claims - gross</v>
          </cell>
          <cell r="Y2410" t="str">
            <v>AUSTRALIA</v>
          </cell>
        </row>
        <row r="2411">
          <cell r="L2411" t="str">
            <v>Proportional</v>
          </cell>
          <cell r="S2411">
            <v>2622690.5299999998</v>
          </cell>
          <cell r="X2411" t="str">
            <v>Claims - gross</v>
          </cell>
          <cell r="Y2411" t="str">
            <v>PORTUGAL</v>
          </cell>
        </row>
        <row r="2412">
          <cell r="L2412" t="str">
            <v>Non-proportional</v>
          </cell>
          <cell r="S2412">
            <v>20389.22</v>
          </cell>
          <cell r="X2412" t="str">
            <v>Claims - gross</v>
          </cell>
          <cell r="Y2412" t="str">
            <v>EUROPE</v>
          </cell>
        </row>
        <row r="2413">
          <cell r="L2413" t="str">
            <v>Non-proportional</v>
          </cell>
          <cell r="S2413">
            <v>-629415.68999999994</v>
          </cell>
          <cell r="X2413" t="str">
            <v>Claims - gross</v>
          </cell>
          <cell r="Y2413" t="str">
            <v>AUSTRALIA</v>
          </cell>
        </row>
        <row r="2414">
          <cell r="L2414" t="str">
            <v>Non-proportional</v>
          </cell>
          <cell r="S2414">
            <v>420575.57</v>
          </cell>
          <cell r="X2414" t="str">
            <v>Claims - gross</v>
          </cell>
          <cell r="Y2414" t="str">
            <v>PORTUGAL</v>
          </cell>
        </row>
        <row r="2415">
          <cell r="L2415" t="str">
            <v>Non-proportional</v>
          </cell>
          <cell r="S2415">
            <v>-188167.5</v>
          </cell>
          <cell r="X2415" t="str">
            <v>Claims - gross</v>
          </cell>
          <cell r="Y2415" t="str">
            <v>EUROPE</v>
          </cell>
        </row>
        <row r="2416">
          <cell r="L2416" t="str">
            <v>Non-proportional</v>
          </cell>
          <cell r="S2416">
            <v>120363.83</v>
          </cell>
          <cell r="X2416" t="str">
            <v>Claims - gross</v>
          </cell>
          <cell r="Y2416" t="str">
            <v>PORTUGAL</v>
          </cell>
        </row>
        <row r="2417">
          <cell r="L2417" t="str">
            <v>Non-proportional</v>
          </cell>
          <cell r="S2417">
            <v>-4000000</v>
          </cell>
          <cell r="X2417" t="str">
            <v>Claims - gross</v>
          </cell>
          <cell r="Y2417" t="str">
            <v>UNITED STATES</v>
          </cell>
        </row>
        <row r="2418">
          <cell r="L2418" t="str">
            <v>Non-proportional</v>
          </cell>
          <cell r="S2418">
            <v>1261.1300000000001</v>
          </cell>
          <cell r="X2418" t="str">
            <v>Claims - gross</v>
          </cell>
          <cell r="Y2418" t="str">
            <v>PORTUGAL</v>
          </cell>
        </row>
        <row r="2419">
          <cell r="L2419" t="str">
            <v>Proportional</v>
          </cell>
          <cell r="S2419">
            <v>-5974003.1399999997</v>
          </cell>
          <cell r="X2419" t="str">
            <v>Claims - gross</v>
          </cell>
          <cell r="Y2419" t="str">
            <v>PORTUGAL</v>
          </cell>
        </row>
        <row r="2420">
          <cell r="L2420" t="str">
            <v>Non-proportional</v>
          </cell>
          <cell r="S2420">
            <v>35971.18</v>
          </cell>
          <cell r="X2420" t="str">
            <v>Claims - gross</v>
          </cell>
          <cell r="Y2420" t="str">
            <v>BELGIUM</v>
          </cell>
        </row>
        <row r="2421">
          <cell r="L2421" t="str">
            <v>Non-proportional</v>
          </cell>
          <cell r="S2421">
            <v>-1243.3900000000001</v>
          </cell>
          <cell r="X2421" t="str">
            <v>Claims - gross</v>
          </cell>
          <cell r="Y2421" t="str">
            <v>United kingdom</v>
          </cell>
        </row>
        <row r="2422">
          <cell r="L2422" t="str">
            <v>Non-proportional</v>
          </cell>
          <cell r="S2422">
            <v>10068.66</v>
          </cell>
          <cell r="X2422" t="str">
            <v>Claims - gross</v>
          </cell>
          <cell r="Y2422" t="str">
            <v>INDIA</v>
          </cell>
        </row>
        <row r="2423">
          <cell r="L2423" t="str">
            <v>Proportional</v>
          </cell>
          <cell r="S2423">
            <v>56018.04</v>
          </cell>
          <cell r="X2423" t="str">
            <v>Claims - gross</v>
          </cell>
          <cell r="Y2423" t="str">
            <v>TURKEY</v>
          </cell>
        </row>
        <row r="2424">
          <cell r="L2424" t="str">
            <v>Non-proportional</v>
          </cell>
          <cell r="S2424">
            <v>-43399.1</v>
          </cell>
          <cell r="X2424" t="str">
            <v>Claims - gross</v>
          </cell>
          <cell r="Y2424" t="str">
            <v>PORTUGAL</v>
          </cell>
        </row>
        <row r="2425">
          <cell r="L2425" t="str">
            <v>Non-proportional</v>
          </cell>
          <cell r="S2425">
            <v>22846.37</v>
          </cell>
          <cell r="X2425" t="str">
            <v>Claims - gross</v>
          </cell>
          <cell r="Y2425" t="str">
            <v>BELGIUM</v>
          </cell>
        </row>
        <row r="2426">
          <cell r="L2426" t="str">
            <v>Proportional</v>
          </cell>
          <cell r="S2426">
            <v>-18987.46</v>
          </cell>
          <cell r="X2426" t="str">
            <v>Claims - gross</v>
          </cell>
          <cell r="Y2426" t="str">
            <v>Turkey</v>
          </cell>
        </row>
        <row r="2427">
          <cell r="L2427" t="str">
            <v>Proportional</v>
          </cell>
          <cell r="S2427">
            <v>30096.84</v>
          </cell>
          <cell r="X2427" t="str">
            <v>Claims - gross</v>
          </cell>
          <cell r="Y2427" t="str">
            <v>THAILAND</v>
          </cell>
        </row>
        <row r="2428">
          <cell r="L2428" t="str">
            <v>Proportional</v>
          </cell>
          <cell r="S2428">
            <v>13151.61</v>
          </cell>
          <cell r="X2428" t="str">
            <v>Claims - gross</v>
          </cell>
          <cell r="Y2428" t="str">
            <v>CANADA</v>
          </cell>
        </row>
        <row r="2429">
          <cell r="L2429" t="str">
            <v>Non-proportional</v>
          </cell>
          <cell r="S2429">
            <v>3346119.87</v>
          </cell>
          <cell r="X2429" t="str">
            <v>Claims - gross</v>
          </cell>
          <cell r="Y2429" t="str">
            <v>AUSTRALIA</v>
          </cell>
        </row>
        <row r="2430">
          <cell r="L2430" t="str">
            <v>Non-proportional</v>
          </cell>
          <cell r="S2430">
            <v>587634.39</v>
          </cell>
          <cell r="X2430" t="str">
            <v>Claims - gross</v>
          </cell>
          <cell r="Y2430" t="str">
            <v>UNITED KINGDOM</v>
          </cell>
        </row>
        <row r="2431">
          <cell r="L2431" t="str">
            <v>Non-proportional</v>
          </cell>
          <cell r="S2431">
            <v>9647.5</v>
          </cell>
          <cell r="X2431" t="str">
            <v>Claims - gross</v>
          </cell>
          <cell r="Y2431" t="str">
            <v>PORTUGAL</v>
          </cell>
        </row>
        <row r="2432">
          <cell r="L2432" t="str">
            <v>Non-proportional</v>
          </cell>
          <cell r="S2432">
            <v>26152.36</v>
          </cell>
          <cell r="X2432" t="str">
            <v>Claims - gross</v>
          </cell>
          <cell r="Y2432" t="str">
            <v>AUSTRALIA</v>
          </cell>
        </row>
        <row r="2433">
          <cell r="L2433" t="str">
            <v>Non-proportional</v>
          </cell>
          <cell r="S2433">
            <v>1880.51</v>
          </cell>
          <cell r="X2433" t="str">
            <v>Claims - gross</v>
          </cell>
          <cell r="Y2433" t="str">
            <v>INDIA</v>
          </cell>
        </row>
        <row r="2434">
          <cell r="L2434" t="str">
            <v>Proportional</v>
          </cell>
          <cell r="S2434">
            <v>9114.09</v>
          </cell>
          <cell r="X2434" t="str">
            <v>Claims - gross</v>
          </cell>
          <cell r="Y2434" t="str">
            <v>THAILAND</v>
          </cell>
        </row>
        <row r="2435">
          <cell r="L2435" t="str">
            <v>Non-proportional</v>
          </cell>
          <cell r="S2435">
            <v>42280.61</v>
          </cell>
          <cell r="X2435" t="str">
            <v>Claims - gross</v>
          </cell>
          <cell r="Y2435" t="str">
            <v>Belgium</v>
          </cell>
        </row>
        <row r="2436">
          <cell r="L2436" t="str">
            <v>Non-proportional</v>
          </cell>
          <cell r="S2436">
            <v>2081.13</v>
          </cell>
          <cell r="X2436" t="str">
            <v>Claims - gross</v>
          </cell>
          <cell r="Y2436" t="str">
            <v>INDIA</v>
          </cell>
        </row>
        <row r="2437">
          <cell r="L2437" t="str">
            <v>Non-proportional</v>
          </cell>
          <cell r="S2437">
            <v>87291.57</v>
          </cell>
          <cell r="X2437" t="str">
            <v>Claims - gross</v>
          </cell>
          <cell r="Y2437" t="str">
            <v>UNITED KINGDOM</v>
          </cell>
        </row>
        <row r="2438">
          <cell r="L2438" t="str">
            <v>Non-proportional</v>
          </cell>
          <cell r="S2438">
            <v>970.18</v>
          </cell>
          <cell r="X2438" t="str">
            <v>Claims - gross</v>
          </cell>
          <cell r="Y2438" t="str">
            <v>INDIA</v>
          </cell>
        </row>
        <row r="2439">
          <cell r="L2439" t="str">
            <v>Non-proportional</v>
          </cell>
          <cell r="S2439">
            <v>-126829.59</v>
          </cell>
          <cell r="X2439" t="str">
            <v>Claims - gross</v>
          </cell>
          <cell r="Y2439" t="str">
            <v>AUSTRALIA</v>
          </cell>
        </row>
        <row r="2440">
          <cell r="L2440" t="str">
            <v>Proportional</v>
          </cell>
          <cell r="S2440">
            <v>-382862.29</v>
          </cell>
          <cell r="X2440" t="str">
            <v>Claims - gross</v>
          </cell>
          <cell r="Y2440" t="str">
            <v>THAILAND</v>
          </cell>
        </row>
        <row r="2441">
          <cell r="L2441" t="str">
            <v>Proportional</v>
          </cell>
          <cell r="S2441">
            <v>-1465948.38</v>
          </cell>
          <cell r="X2441" t="str">
            <v>Claims - gross</v>
          </cell>
          <cell r="Y2441" t="str">
            <v>THAILAND</v>
          </cell>
        </row>
        <row r="2442">
          <cell r="L2442" t="str">
            <v>Non-proportional</v>
          </cell>
          <cell r="S2442">
            <v>-159698.29</v>
          </cell>
          <cell r="X2442" t="str">
            <v>Claims - gross</v>
          </cell>
          <cell r="Y2442" t="str">
            <v>Portugal</v>
          </cell>
        </row>
        <row r="2443">
          <cell r="L2443" t="str">
            <v>Non-proportional</v>
          </cell>
          <cell r="S2443">
            <v>76509.14</v>
          </cell>
          <cell r="X2443" t="str">
            <v>Claims - gross</v>
          </cell>
          <cell r="Y2443" t="str">
            <v>ICELAND</v>
          </cell>
        </row>
        <row r="2444">
          <cell r="L2444" t="str">
            <v>Non-proportional</v>
          </cell>
          <cell r="S2444">
            <v>30942.12</v>
          </cell>
          <cell r="X2444" t="str">
            <v>Claims - gross</v>
          </cell>
          <cell r="Y2444" t="str">
            <v>UNITED KINGDOM</v>
          </cell>
        </row>
        <row r="2445">
          <cell r="L2445" t="str">
            <v>Non-proportional</v>
          </cell>
          <cell r="S2445">
            <v>4192.28</v>
          </cell>
          <cell r="X2445" t="str">
            <v>Claims - gross</v>
          </cell>
          <cell r="Y2445" t="str">
            <v>PORTUGAL</v>
          </cell>
        </row>
        <row r="2446">
          <cell r="L2446" t="str">
            <v>Non-proportional</v>
          </cell>
          <cell r="S2446">
            <v>-1108.58</v>
          </cell>
          <cell r="X2446" t="str">
            <v>Claims - gross</v>
          </cell>
          <cell r="Y2446" t="str">
            <v>GERMANY</v>
          </cell>
        </row>
        <row r="2447">
          <cell r="L2447" t="str">
            <v>Non-proportional</v>
          </cell>
          <cell r="S2447">
            <v>124896.32000000001</v>
          </cell>
          <cell r="X2447" t="str">
            <v>Claims - gross</v>
          </cell>
          <cell r="Y2447" t="str">
            <v>UNITED KINGDOM</v>
          </cell>
        </row>
        <row r="2448">
          <cell r="L2448" t="str">
            <v>Proportional</v>
          </cell>
          <cell r="S2448">
            <v>303887.02</v>
          </cell>
          <cell r="X2448" t="str">
            <v>Claims - gross</v>
          </cell>
          <cell r="Y2448" t="str">
            <v>CANADA</v>
          </cell>
        </row>
        <row r="2449">
          <cell r="L2449" t="str">
            <v>Non-proportional</v>
          </cell>
          <cell r="S2449">
            <v>132719.51</v>
          </cell>
          <cell r="X2449" t="str">
            <v>Claims - gross</v>
          </cell>
          <cell r="Y2449" t="str">
            <v>UNITED KINGDOM</v>
          </cell>
        </row>
        <row r="2450">
          <cell r="L2450" t="str">
            <v>Proportional</v>
          </cell>
          <cell r="S2450">
            <v>3073257.32</v>
          </cell>
          <cell r="X2450" t="str">
            <v>Claims - gross</v>
          </cell>
          <cell r="Y2450" t="str">
            <v>PORTUGAL</v>
          </cell>
        </row>
        <row r="2451">
          <cell r="L2451" t="str">
            <v>Non-proportional</v>
          </cell>
          <cell r="S2451">
            <v>-695675.66</v>
          </cell>
          <cell r="X2451" t="str">
            <v>Claims - gross</v>
          </cell>
          <cell r="Y2451" t="str">
            <v>PORTUGAL</v>
          </cell>
        </row>
        <row r="2452">
          <cell r="L2452" t="str">
            <v>Non-proportional</v>
          </cell>
          <cell r="S2452">
            <v>-53333.93</v>
          </cell>
          <cell r="X2452" t="str">
            <v>Claims - gross</v>
          </cell>
          <cell r="Y2452" t="str">
            <v>AUSTRALIA</v>
          </cell>
        </row>
        <row r="2453">
          <cell r="L2453" t="str">
            <v>Non-proportional</v>
          </cell>
          <cell r="S2453">
            <v>-12335.62</v>
          </cell>
          <cell r="X2453" t="str">
            <v>Claims - gross</v>
          </cell>
          <cell r="Y2453" t="str">
            <v>United kingdom</v>
          </cell>
        </row>
        <row r="2454">
          <cell r="L2454" t="str">
            <v>Non-proportional</v>
          </cell>
          <cell r="S2454">
            <v>-96306.19</v>
          </cell>
          <cell r="X2454" t="str">
            <v>Claims - gross</v>
          </cell>
          <cell r="Y2454" t="str">
            <v>AUSTRALIA</v>
          </cell>
        </row>
        <row r="2455">
          <cell r="L2455" t="str">
            <v>Non-proportional</v>
          </cell>
          <cell r="S2455">
            <v>9576.4</v>
          </cell>
          <cell r="X2455" t="str">
            <v>Claims - gross</v>
          </cell>
          <cell r="Y2455" t="str">
            <v>INDIA</v>
          </cell>
        </row>
        <row r="2456">
          <cell r="L2456" t="str">
            <v>Non-proportional</v>
          </cell>
          <cell r="S2456">
            <v>-3644387.87</v>
          </cell>
          <cell r="X2456" t="str">
            <v>Claims - gross</v>
          </cell>
          <cell r="Y2456" t="str">
            <v>UNITED KINGDOM</v>
          </cell>
        </row>
        <row r="2457">
          <cell r="L2457" t="str">
            <v>Proportional</v>
          </cell>
          <cell r="S2457">
            <v>3858750.02</v>
          </cell>
          <cell r="X2457" t="str">
            <v>Claims - gross</v>
          </cell>
          <cell r="Y2457" t="str">
            <v>PORTUGAL</v>
          </cell>
        </row>
        <row r="2458">
          <cell r="L2458" t="str">
            <v>Non-proportional</v>
          </cell>
          <cell r="S2458">
            <v>-351026.86</v>
          </cell>
          <cell r="X2458" t="str">
            <v>Claims - gross</v>
          </cell>
          <cell r="Y2458" t="str">
            <v>AUSTRALIA</v>
          </cell>
        </row>
        <row r="2459">
          <cell r="L2459" t="str">
            <v>Non-proportional</v>
          </cell>
          <cell r="S2459">
            <v>90046.41</v>
          </cell>
          <cell r="X2459" t="str">
            <v>Claims - gross</v>
          </cell>
          <cell r="Y2459" t="str">
            <v>FRANCE</v>
          </cell>
        </row>
        <row r="2460">
          <cell r="L2460" t="str">
            <v>Non-proportional</v>
          </cell>
          <cell r="S2460">
            <v>-161889.64000000001</v>
          </cell>
          <cell r="X2460" t="str">
            <v>Claims - gross</v>
          </cell>
          <cell r="Y2460" t="str">
            <v>AUSTRALIA</v>
          </cell>
        </row>
        <row r="2461">
          <cell r="L2461" t="str">
            <v>Proportional</v>
          </cell>
          <cell r="S2461">
            <v>102806.43</v>
          </cell>
          <cell r="X2461" t="str">
            <v>Claims - gross</v>
          </cell>
          <cell r="Y2461" t="str">
            <v>AUSTRALIA</v>
          </cell>
        </row>
        <row r="2462">
          <cell r="L2462" t="str">
            <v>Non-proportional</v>
          </cell>
          <cell r="S2462">
            <v>185000</v>
          </cell>
          <cell r="X2462" t="str">
            <v>Claims - gross</v>
          </cell>
          <cell r="Y2462" t="str">
            <v>FRANCE</v>
          </cell>
        </row>
        <row r="2463">
          <cell r="L2463" t="str">
            <v>Proportional</v>
          </cell>
          <cell r="S2463">
            <v>3572.22</v>
          </cell>
          <cell r="X2463" t="str">
            <v>Claims - gross</v>
          </cell>
          <cell r="Y2463" t="str">
            <v>THAILAND</v>
          </cell>
        </row>
        <row r="2464">
          <cell r="L2464" t="str">
            <v>Non-proportional</v>
          </cell>
          <cell r="S2464">
            <v>-36024.160000000003</v>
          </cell>
          <cell r="X2464" t="str">
            <v>Claims - gross</v>
          </cell>
          <cell r="Y2464" t="str">
            <v>BELGIUM</v>
          </cell>
        </row>
        <row r="2465">
          <cell r="L2465" t="str">
            <v>Non-proportional</v>
          </cell>
          <cell r="S2465">
            <v>-111661</v>
          </cell>
          <cell r="X2465" t="str">
            <v>Claims - gross</v>
          </cell>
          <cell r="Y2465" t="str">
            <v>PORTUGAL</v>
          </cell>
        </row>
        <row r="2466">
          <cell r="L2466" t="str">
            <v>Non-proportional</v>
          </cell>
          <cell r="S2466">
            <v>4703.3999999999996</v>
          </cell>
          <cell r="X2466" t="str">
            <v>Claims - gross</v>
          </cell>
          <cell r="Y2466" t="str">
            <v>AUSTRALIA</v>
          </cell>
        </row>
        <row r="2467">
          <cell r="L2467" t="str">
            <v>Non-proportional</v>
          </cell>
          <cell r="S2467">
            <v>58789.67</v>
          </cell>
          <cell r="X2467" t="str">
            <v>Claims - gross</v>
          </cell>
          <cell r="Y2467" t="str">
            <v>PORTUGAL</v>
          </cell>
        </row>
        <row r="2468">
          <cell r="L2468" t="str">
            <v>Proportional</v>
          </cell>
          <cell r="S2468">
            <v>2500.21</v>
          </cell>
          <cell r="X2468" t="str">
            <v>Claims - gross</v>
          </cell>
          <cell r="Y2468" t="str">
            <v>SINGAPORE</v>
          </cell>
        </row>
        <row r="2469">
          <cell r="L2469" t="str">
            <v>Non-proportional</v>
          </cell>
          <cell r="S2469">
            <v>5758.01</v>
          </cell>
          <cell r="X2469" t="str">
            <v>Claims - gross</v>
          </cell>
          <cell r="Y2469" t="str">
            <v>UNITED KINGDOM</v>
          </cell>
        </row>
        <row r="2470">
          <cell r="L2470" t="str">
            <v>Proportional</v>
          </cell>
          <cell r="S2470">
            <v>-1735032.04</v>
          </cell>
          <cell r="X2470" t="str">
            <v>Claims - gross</v>
          </cell>
          <cell r="Y2470" t="str">
            <v>HONG KONG</v>
          </cell>
        </row>
        <row r="2471">
          <cell r="L2471" t="str">
            <v>Non-proportional</v>
          </cell>
          <cell r="S2471">
            <v>146908.59</v>
          </cell>
          <cell r="X2471" t="str">
            <v>Claims - gross</v>
          </cell>
          <cell r="Y2471" t="str">
            <v>UNITED KINGDOM</v>
          </cell>
        </row>
        <row r="2472">
          <cell r="L2472" t="str">
            <v>Proportional</v>
          </cell>
          <cell r="S2472">
            <v>-21973.35</v>
          </cell>
          <cell r="X2472" t="str">
            <v>Claims - gross</v>
          </cell>
          <cell r="Y2472" t="str">
            <v>SINGAPORE</v>
          </cell>
        </row>
        <row r="2473">
          <cell r="L2473" t="str">
            <v>Proportional</v>
          </cell>
          <cell r="S2473">
            <v>-76367.78</v>
          </cell>
          <cell r="X2473" t="str">
            <v>Claims - gross</v>
          </cell>
          <cell r="Y2473" t="str">
            <v>Turkey</v>
          </cell>
        </row>
        <row r="2474">
          <cell r="L2474" t="str">
            <v>Non-proportional</v>
          </cell>
          <cell r="S2474">
            <v>9440.76</v>
          </cell>
          <cell r="X2474" t="str">
            <v>Claims - gross</v>
          </cell>
          <cell r="Y2474" t="str">
            <v>GERMANY</v>
          </cell>
        </row>
        <row r="2475">
          <cell r="L2475" t="str">
            <v>Non-proportional</v>
          </cell>
          <cell r="S2475">
            <v>176801.25</v>
          </cell>
          <cell r="X2475" t="str">
            <v>Claims - gross</v>
          </cell>
          <cell r="Y2475" t="str">
            <v>AUSTRALIA</v>
          </cell>
        </row>
        <row r="2476">
          <cell r="L2476" t="str">
            <v>Proportional</v>
          </cell>
          <cell r="S2476">
            <v>657415.04</v>
          </cell>
          <cell r="X2476" t="str">
            <v>Claims - gross</v>
          </cell>
          <cell r="Y2476" t="str">
            <v>THAILAND</v>
          </cell>
        </row>
        <row r="2477">
          <cell r="L2477" t="str">
            <v>Proportional</v>
          </cell>
          <cell r="S2477">
            <v>1055812.5</v>
          </cell>
          <cell r="X2477" t="str">
            <v>Claims - gross</v>
          </cell>
          <cell r="Y2477" t="str">
            <v>PORTUGAL</v>
          </cell>
        </row>
        <row r="2478">
          <cell r="L2478" t="str">
            <v>Non-proportional</v>
          </cell>
          <cell r="S2478">
            <v>-46848.06</v>
          </cell>
          <cell r="X2478" t="str">
            <v>Claims - gross</v>
          </cell>
          <cell r="Y2478" t="str">
            <v>GERMANY</v>
          </cell>
        </row>
        <row r="2479">
          <cell r="L2479" t="str">
            <v>Proportional</v>
          </cell>
          <cell r="S2479">
            <v>-9714.16</v>
          </cell>
          <cell r="X2479" t="str">
            <v>Claims - gross</v>
          </cell>
          <cell r="Y2479" t="str">
            <v>Turkey</v>
          </cell>
        </row>
        <row r="2480">
          <cell r="L2480" t="str">
            <v>Proportional</v>
          </cell>
          <cell r="S2480">
            <v>15334.49</v>
          </cell>
          <cell r="X2480" t="str">
            <v>Claims - gross</v>
          </cell>
          <cell r="Y2480" t="str">
            <v>PORTUGAL</v>
          </cell>
        </row>
        <row r="2481">
          <cell r="L2481" t="str">
            <v>Proportional</v>
          </cell>
          <cell r="S2481">
            <v>2953.88</v>
          </cell>
          <cell r="X2481" t="str">
            <v>Claims - gross</v>
          </cell>
          <cell r="Y2481" t="str">
            <v>Thailand</v>
          </cell>
        </row>
        <row r="2482">
          <cell r="L2482" t="str">
            <v>Non-proportional</v>
          </cell>
          <cell r="S2482">
            <v>370879.96</v>
          </cell>
          <cell r="X2482" t="str">
            <v>Claims - gross</v>
          </cell>
          <cell r="Y2482" t="str">
            <v>EUROPE</v>
          </cell>
        </row>
        <row r="2483">
          <cell r="L2483" t="str">
            <v>Proportional</v>
          </cell>
          <cell r="S2483">
            <v>90252.76</v>
          </cell>
          <cell r="X2483" t="str">
            <v>Claims - gross</v>
          </cell>
          <cell r="Y2483" t="str">
            <v>THAILAND</v>
          </cell>
        </row>
        <row r="2484">
          <cell r="L2484" t="str">
            <v>Proportional</v>
          </cell>
          <cell r="S2484">
            <v>2820000</v>
          </cell>
          <cell r="X2484" t="str">
            <v>Claims - gross</v>
          </cell>
          <cell r="Y2484" t="str">
            <v>UNITED STATES</v>
          </cell>
        </row>
        <row r="2485">
          <cell r="L2485" t="str">
            <v>Proportional</v>
          </cell>
          <cell r="S2485">
            <v>101428.29</v>
          </cell>
          <cell r="X2485" t="str">
            <v>Claims - gross</v>
          </cell>
          <cell r="Y2485" t="str">
            <v>THAILAND</v>
          </cell>
        </row>
        <row r="2486">
          <cell r="L2486" t="str">
            <v>Non-proportional</v>
          </cell>
          <cell r="S2486">
            <v>7573.06</v>
          </cell>
          <cell r="X2486" t="str">
            <v>Claims - gross</v>
          </cell>
          <cell r="Y2486" t="str">
            <v>AUSTRALIA</v>
          </cell>
        </row>
        <row r="2487">
          <cell r="L2487" t="str">
            <v>Proportional</v>
          </cell>
          <cell r="S2487">
            <v>46812.07</v>
          </cell>
          <cell r="X2487" t="str">
            <v>Claims - gross</v>
          </cell>
          <cell r="Y2487" t="str">
            <v>THAILAND</v>
          </cell>
        </row>
        <row r="2488">
          <cell r="L2488" t="str">
            <v>Non-proportional</v>
          </cell>
          <cell r="S2488">
            <v>417359.86</v>
          </cell>
          <cell r="X2488" t="str">
            <v>Claims - gross</v>
          </cell>
          <cell r="Y2488" t="str">
            <v>BELGIUM</v>
          </cell>
        </row>
        <row r="2489">
          <cell r="L2489" t="str">
            <v>Non-proportional</v>
          </cell>
          <cell r="S2489">
            <v>26248.81</v>
          </cell>
          <cell r="X2489" t="str">
            <v>Claims - gross</v>
          </cell>
          <cell r="Y2489" t="str">
            <v>AUSTRALIA</v>
          </cell>
        </row>
        <row r="2490">
          <cell r="L2490" t="str">
            <v>Non-proportional</v>
          </cell>
          <cell r="S2490">
            <v>26471.71</v>
          </cell>
          <cell r="X2490" t="str">
            <v>Claims - gross</v>
          </cell>
          <cell r="Y2490" t="str">
            <v>GERMANY</v>
          </cell>
        </row>
        <row r="2491">
          <cell r="L2491" t="str">
            <v>Non-proportional</v>
          </cell>
          <cell r="S2491">
            <v>74027.77</v>
          </cell>
          <cell r="X2491" t="str">
            <v>Claims - gross</v>
          </cell>
          <cell r="Y2491" t="str">
            <v>EUROPE</v>
          </cell>
        </row>
        <row r="2492">
          <cell r="L2492" t="str">
            <v>Proportional</v>
          </cell>
          <cell r="S2492">
            <v>-105674.52</v>
          </cell>
          <cell r="X2492" t="str">
            <v>Claims - gross</v>
          </cell>
          <cell r="Y2492" t="str">
            <v>INDIA</v>
          </cell>
        </row>
        <row r="2493">
          <cell r="L2493" t="str">
            <v>Non-proportional</v>
          </cell>
          <cell r="S2493">
            <v>-4210.83</v>
          </cell>
          <cell r="X2493" t="str">
            <v>Claims - gross</v>
          </cell>
          <cell r="Y2493" t="str">
            <v>INDIA</v>
          </cell>
        </row>
        <row r="2494">
          <cell r="L2494" t="str">
            <v>Non-proportional</v>
          </cell>
          <cell r="S2494">
            <v>158691.70000000001</v>
          </cell>
          <cell r="X2494" t="str">
            <v>Claims - gross</v>
          </cell>
          <cell r="Y2494" t="str">
            <v>UNITED KINGDOM</v>
          </cell>
        </row>
        <row r="2495">
          <cell r="L2495" t="str">
            <v>Proportional</v>
          </cell>
          <cell r="S2495">
            <v>2015248.38</v>
          </cell>
          <cell r="X2495" t="str">
            <v>Claims - gross</v>
          </cell>
          <cell r="Y2495" t="str">
            <v>HONG KONG</v>
          </cell>
        </row>
        <row r="2496">
          <cell r="L2496" t="str">
            <v>Non-proportional</v>
          </cell>
          <cell r="S2496">
            <v>9132.5499999999993</v>
          </cell>
          <cell r="X2496" t="str">
            <v>Claims - gross</v>
          </cell>
          <cell r="Y2496" t="str">
            <v>AUSTRALIA</v>
          </cell>
        </row>
        <row r="2497">
          <cell r="L2497" t="str">
            <v>Non-proportional</v>
          </cell>
          <cell r="S2497">
            <v>-10584.83</v>
          </cell>
          <cell r="X2497" t="str">
            <v>Claims - gross</v>
          </cell>
          <cell r="Y2497" t="str">
            <v>India</v>
          </cell>
        </row>
        <row r="2498">
          <cell r="L2498" t="str">
            <v>Non-proportional</v>
          </cell>
          <cell r="S2498">
            <v>-129595.06</v>
          </cell>
          <cell r="X2498" t="str">
            <v>Claims - gross</v>
          </cell>
          <cell r="Y2498" t="str">
            <v>UNITED KINGDOM</v>
          </cell>
        </row>
        <row r="2499">
          <cell r="L2499" t="str">
            <v>Non-proportional</v>
          </cell>
          <cell r="S2499">
            <v>-19158.97</v>
          </cell>
          <cell r="X2499" t="str">
            <v>Claims - gross</v>
          </cell>
          <cell r="Y2499" t="str">
            <v>PORTUGAL</v>
          </cell>
        </row>
        <row r="2500">
          <cell r="L2500" t="str">
            <v>Non-proportional</v>
          </cell>
          <cell r="S2500">
            <v>256478.84</v>
          </cell>
          <cell r="X2500" t="str">
            <v>Claims - gross</v>
          </cell>
          <cell r="Y2500" t="str">
            <v>AUSTRALIA</v>
          </cell>
        </row>
        <row r="2501">
          <cell r="L2501" t="str">
            <v>Non-proportional</v>
          </cell>
          <cell r="S2501">
            <v>-65414.29</v>
          </cell>
          <cell r="X2501" t="str">
            <v>Claims - gross</v>
          </cell>
          <cell r="Y2501" t="str">
            <v>India</v>
          </cell>
        </row>
        <row r="2502">
          <cell r="L2502" t="str">
            <v>Non-proportional</v>
          </cell>
          <cell r="S2502">
            <v>34306.769999999997</v>
          </cell>
          <cell r="X2502" t="str">
            <v>Claims - gross</v>
          </cell>
          <cell r="Y2502" t="str">
            <v>AUSTRALIA</v>
          </cell>
        </row>
        <row r="2503">
          <cell r="L2503" t="str">
            <v>Non-proportional</v>
          </cell>
          <cell r="S2503">
            <v>-7490.97</v>
          </cell>
          <cell r="X2503" t="str">
            <v>Claims - gross</v>
          </cell>
          <cell r="Y2503" t="str">
            <v>India</v>
          </cell>
        </row>
        <row r="2504">
          <cell r="L2504" t="str">
            <v>Proportional</v>
          </cell>
          <cell r="S2504">
            <v>8681.89</v>
          </cell>
          <cell r="X2504" t="str">
            <v>Claims - gross</v>
          </cell>
          <cell r="Y2504" t="str">
            <v>HONG KONG</v>
          </cell>
        </row>
        <row r="2505">
          <cell r="L2505" t="str">
            <v>Non-proportional</v>
          </cell>
          <cell r="S2505">
            <v>31096</v>
          </cell>
          <cell r="X2505" t="str">
            <v>Claims - gross</v>
          </cell>
          <cell r="Y2505" t="str">
            <v>GERMANY</v>
          </cell>
        </row>
        <row r="2506">
          <cell r="L2506" t="str">
            <v>Non-proportional</v>
          </cell>
          <cell r="S2506">
            <v>-58056.06</v>
          </cell>
          <cell r="X2506" t="str">
            <v>Claims - gross</v>
          </cell>
          <cell r="Y2506" t="str">
            <v>India</v>
          </cell>
        </row>
        <row r="2507">
          <cell r="L2507" t="str">
            <v>Non-proportional</v>
          </cell>
          <cell r="S2507">
            <v>-2500000</v>
          </cell>
          <cell r="X2507" t="str">
            <v>Claims - gross</v>
          </cell>
          <cell r="Y2507" t="str">
            <v>UNITED STATES</v>
          </cell>
        </row>
        <row r="2508">
          <cell r="L2508" t="str">
            <v>Non-proportional</v>
          </cell>
          <cell r="S2508">
            <v>-831279.52</v>
          </cell>
          <cell r="X2508" t="str">
            <v>Claims - gross</v>
          </cell>
          <cell r="Y2508" t="str">
            <v>UNITED KINGDOM</v>
          </cell>
        </row>
        <row r="2509">
          <cell r="L2509" t="str">
            <v>Non-proportional</v>
          </cell>
          <cell r="S2509">
            <v>1074004.21</v>
          </cell>
          <cell r="X2509" t="str">
            <v>Claims - gross</v>
          </cell>
          <cell r="Y2509" t="str">
            <v>AUSTRALIA</v>
          </cell>
        </row>
        <row r="2510">
          <cell r="L2510" t="str">
            <v>Non-proportional</v>
          </cell>
          <cell r="S2510">
            <v>-132256.95000000001</v>
          </cell>
          <cell r="X2510" t="str">
            <v>Claims - gross</v>
          </cell>
          <cell r="Y2510" t="str">
            <v>UNITED KINGDOM</v>
          </cell>
        </row>
        <row r="2511">
          <cell r="L2511" t="str">
            <v>Non-proportional</v>
          </cell>
          <cell r="S2511">
            <v>-45281.82</v>
          </cell>
          <cell r="X2511" t="str">
            <v>Claims - gross</v>
          </cell>
          <cell r="Y2511" t="str">
            <v>CZECH REPUBLIC</v>
          </cell>
        </row>
        <row r="2512">
          <cell r="L2512" t="str">
            <v>Proportional</v>
          </cell>
          <cell r="S2512">
            <v>53011.91</v>
          </cell>
          <cell r="X2512" t="str">
            <v>Claims - gross</v>
          </cell>
          <cell r="Y2512" t="str">
            <v>INDIA</v>
          </cell>
        </row>
        <row r="2513">
          <cell r="L2513" t="str">
            <v>Non-proportional</v>
          </cell>
          <cell r="S2513">
            <v>-2056.5300000000002</v>
          </cell>
          <cell r="X2513" t="str">
            <v>Claims - gross</v>
          </cell>
          <cell r="Y2513" t="str">
            <v>India</v>
          </cell>
        </row>
        <row r="2514">
          <cell r="L2514" t="str">
            <v>Proportional</v>
          </cell>
          <cell r="S2514">
            <v>-6366.76</v>
          </cell>
          <cell r="X2514" t="str">
            <v>Claims - gross</v>
          </cell>
          <cell r="Y2514" t="str">
            <v>Thailand</v>
          </cell>
        </row>
        <row r="2515">
          <cell r="L2515" t="str">
            <v>Proportional</v>
          </cell>
          <cell r="S2515">
            <v>-2031.59</v>
          </cell>
          <cell r="X2515" t="str">
            <v>Claims - gross</v>
          </cell>
          <cell r="Y2515" t="str">
            <v>Thailand</v>
          </cell>
        </row>
        <row r="2516">
          <cell r="L2516" t="str">
            <v>Non-proportional</v>
          </cell>
          <cell r="S2516">
            <v>-46434.98</v>
          </cell>
          <cell r="X2516" t="str">
            <v>Claims - gross</v>
          </cell>
          <cell r="Y2516" t="str">
            <v>PORTUGAL</v>
          </cell>
        </row>
        <row r="2517">
          <cell r="L2517" t="str">
            <v>Non-proportional</v>
          </cell>
          <cell r="S2517">
            <v>3900.94</v>
          </cell>
          <cell r="X2517" t="str">
            <v>Claims - gross</v>
          </cell>
          <cell r="Y2517" t="str">
            <v>PORTUGAL</v>
          </cell>
        </row>
        <row r="2518">
          <cell r="L2518" t="str">
            <v>Non-proportional</v>
          </cell>
          <cell r="S2518">
            <v>-2049.52</v>
          </cell>
          <cell r="X2518" t="str">
            <v>Claims - gross</v>
          </cell>
          <cell r="Y2518" t="str">
            <v>INDIA</v>
          </cell>
        </row>
        <row r="2519">
          <cell r="L2519" t="str">
            <v>Non-proportional</v>
          </cell>
          <cell r="S2519">
            <v>-2070</v>
          </cell>
          <cell r="X2519" t="str">
            <v>Claims - gross</v>
          </cell>
          <cell r="Y2519" t="str">
            <v>Portugal</v>
          </cell>
        </row>
        <row r="2520">
          <cell r="L2520" t="str">
            <v>Non-proportional</v>
          </cell>
          <cell r="S2520">
            <v>-35595</v>
          </cell>
          <cell r="X2520" t="str">
            <v>Claims - gross</v>
          </cell>
          <cell r="Y2520" t="str">
            <v>Portugal</v>
          </cell>
        </row>
        <row r="2521">
          <cell r="L2521" t="str">
            <v>Proportional</v>
          </cell>
          <cell r="S2521">
            <v>-513452.24</v>
          </cell>
          <cell r="X2521" t="str">
            <v>Claims - gross</v>
          </cell>
          <cell r="Y2521" t="str">
            <v>AUSTRALIA</v>
          </cell>
        </row>
        <row r="2522">
          <cell r="L2522" t="str">
            <v>Non-proportional</v>
          </cell>
          <cell r="S2522">
            <v>20402.46</v>
          </cell>
          <cell r="X2522" t="str">
            <v>Claims - gross</v>
          </cell>
          <cell r="Y2522" t="str">
            <v>UNITED KINGDOM</v>
          </cell>
        </row>
        <row r="2523">
          <cell r="L2523" t="str">
            <v>Non-proportional</v>
          </cell>
          <cell r="S2523">
            <v>-23391</v>
          </cell>
          <cell r="X2523" t="str">
            <v>Claims - gross</v>
          </cell>
          <cell r="Y2523" t="str">
            <v>Portugal</v>
          </cell>
        </row>
        <row r="2524">
          <cell r="L2524" t="str">
            <v>Non-proportional</v>
          </cell>
          <cell r="S2524">
            <v>6532.18</v>
          </cell>
          <cell r="X2524" t="str">
            <v>Claims - gross</v>
          </cell>
          <cell r="Y2524" t="str">
            <v>UNITED KINGDOM</v>
          </cell>
        </row>
        <row r="2525">
          <cell r="L2525" t="str">
            <v>Proportional</v>
          </cell>
          <cell r="S2525">
            <v>-64914.15</v>
          </cell>
          <cell r="X2525" t="str">
            <v>Claims - gross</v>
          </cell>
          <cell r="Y2525" t="str">
            <v>TURKEY</v>
          </cell>
        </row>
        <row r="2526">
          <cell r="L2526" t="str">
            <v>Non-proportional</v>
          </cell>
          <cell r="S2526">
            <v>-4416</v>
          </cell>
          <cell r="X2526" t="str">
            <v>Claims - gross</v>
          </cell>
          <cell r="Y2526" t="str">
            <v>Portugal</v>
          </cell>
        </row>
        <row r="2527">
          <cell r="L2527" t="str">
            <v>Non-proportional</v>
          </cell>
          <cell r="S2527">
            <v>-207700</v>
          </cell>
          <cell r="X2527" t="str">
            <v>Claims - gross</v>
          </cell>
          <cell r="Y2527" t="str">
            <v>Portugal</v>
          </cell>
        </row>
        <row r="2528">
          <cell r="L2528" t="str">
            <v>Proportional</v>
          </cell>
          <cell r="S2528">
            <v>-222110.14</v>
          </cell>
          <cell r="X2528" t="str">
            <v>Claims - gross</v>
          </cell>
          <cell r="Y2528" t="str">
            <v>CANADA</v>
          </cell>
        </row>
        <row r="2529">
          <cell r="L2529" t="str">
            <v>Proportional</v>
          </cell>
          <cell r="S2529">
            <v>589.23</v>
          </cell>
          <cell r="X2529" t="str">
            <v>Claims - gross</v>
          </cell>
          <cell r="Y2529" t="str">
            <v>THAILAND</v>
          </cell>
        </row>
        <row r="2530">
          <cell r="L2530" t="str">
            <v>Non-proportional</v>
          </cell>
          <cell r="S2530">
            <v>-107250</v>
          </cell>
          <cell r="X2530" t="str">
            <v>Claims - gross</v>
          </cell>
          <cell r="Y2530" t="str">
            <v>PORTUGAL</v>
          </cell>
        </row>
        <row r="2531">
          <cell r="L2531" t="str">
            <v>Non-proportional</v>
          </cell>
          <cell r="S2531">
            <v>208921.63</v>
          </cell>
          <cell r="X2531" t="str">
            <v>Claims - gross</v>
          </cell>
          <cell r="Y2531" t="str">
            <v>PORTUGAL</v>
          </cell>
        </row>
        <row r="2532">
          <cell r="L2532" t="str">
            <v>Non-proportional</v>
          </cell>
          <cell r="S2532">
            <v>-1489.06</v>
          </cell>
          <cell r="X2532" t="str">
            <v>Claims - gross</v>
          </cell>
          <cell r="Y2532" t="str">
            <v>INDIA</v>
          </cell>
        </row>
        <row r="2533">
          <cell r="L2533" t="str">
            <v>Non-proportional</v>
          </cell>
          <cell r="S2533">
            <v>25234.38</v>
          </cell>
          <cell r="X2533" t="str">
            <v>Claims - gross</v>
          </cell>
          <cell r="Y2533" t="str">
            <v>AUSTRALIA</v>
          </cell>
        </row>
        <row r="2534">
          <cell r="L2534" t="str">
            <v>Non-proportional</v>
          </cell>
          <cell r="S2534">
            <v>-5814</v>
          </cell>
          <cell r="X2534" t="str">
            <v>Claims - gross</v>
          </cell>
          <cell r="Y2534" t="str">
            <v>Portugal</v>
          </cell>
        </row>
        <row r="2535">
          <cell r="L2535" t="str">
            <v>Non-proportional</v>
          </cell>
          <cell r="S2535">
            <v>5960.21</v>
          </cell>
          <cell r="X2535" t="str">
            <v>Claims - gross</v>
          </cell>
          <cell r="Y2535" t="str">
            <v>INDIA</v>
          </cell>
        </row>
        <row r="2536">
          <cell r="L2536" t="str">
            <v>Non-proportional</v>
          </cell>
          <cell r="S2536">
            <v>-6490.86</v>
          </cell>
          <cell r="X2536" t="str">
            <v>Claims - gross</v>
          </cell>
          <cell r="Y2536" t="str">
            <v>PORTUGAL</v>
          </cell>
        </row>
        <row r="2537">
          <cell r="L2537" t="str">
            <v>Non-proportional</v>
          </cell>
          <cell r="S2537">
            <v>-4816.24</v>
          </cell>
          <cell r="X2537" t="str">
            <v>Claims - gross</v>
          </cell>
          <cell r="Y2537" t="str">
            <v>India</v>
          </cell>
        </row>
        <row r="2538">
          <cell r="L2538" t="str">
            <v>Proportional</v>
          </cell>
          <cell r="S2538">
            <v>-8138.82</v>
          </cell>
          <cell r="X2538" t="str">
            <v>Claims - gross</v>
          </cell>
          <cell r="Y2538" t="str">
            <v>THAILAND</v>
          </cell>
        </row>
        <row r="2539">
          <cell r="L2539" t="str">
            <v>Proportional</v>
          </cell>
          <cell r="S2539">
            <v>-6611.88</v>
          </cell>
          <cell r="X2539" t="str">
            <v>Claims - gross</v>
          </cell>
          <cell r="Y2539" t="str">
            <v>Hong Kong</v>
          </cell>
        </row>
        <row r="2540">
          <cell r="L2540" t="str">
            <v>Non-proportional</v>
          </cell>
          <cell r="S2540">
            <v>21735.040000000001</v>
          </cell>
          <cell r="X2540" t="str">
            <v>Claims - gross</v>
          </cell>
          <cell r="Y2540" t="str">
            <v>PORTUGAL</v>
          </cell>
        </row>
        <row r="2541">
          <cell r="L2541" t="str">
            <v>Proportional</v>
          </cell>
          <cell r="S2541">
            <v>2500000</v>
          </cell>
          <cell r="X2541" t="str">
            <v>Claims - gross</v>
          </cell>
          <cell r="Y2541" t="str">
            <v>HONG KONG</v>
          </cell>
        </row>
        <row r="2542">
          <cell r="L2542" t="str">
            <v>Non-proportional</v>
          </cell>
          <cell r="S2542">
            <v>-14736</v>
          </cell>
          <cell r="X2542" t="str">
            <v>Claims - gross</v>
          </cell>
          <cell r="Y2542" t="str">
            <v>Portugal</v>
          </cell>
        </row>
        <row r="2543">
          <cell r="L2543" t="str">
            <v>Non-proportional</v>
          </cell>
          <cell r="S2543">
            <v>-4117.24</v>
          </cell>
          <cell r="X2543" t="str">
            <v>Claims - gross</v>
          </cell>
          <cell r="Y2543" t="str">
            <v>FRANCE</v>
          </cell>
        </row>
        <row r="2544">
          <cell r="L2544" t="str">
            <v>Non-proportional</v>
          </cell>
          <cell r="S2544">
            <v>-4566.28</v>
          </cell>
          <cell r="X2544" t="str">
            <v>Claims - gross</v>
          </cell>
          <cell r="Y2544" t="str">
            <v>AUSTRALIA</v>
          </cell>
        </row>
        <row r="2545">
          <cell r="L2545" t="str">
            <v>Non-proportional</v>
          </cell>
          <cell r="S2545">
            <v>-2072.65</v>
          </cell>
          <cell r="X2545" t="str">
            <v>Claims - gross</v>
          </cell>
          <cell r="Y2545" t="str">
            <v>India</v>
          </cell>
        </row>
        <row r="2546">
          <cell r="L2546" t="str">
            <v>Non-proportional</v>
          </cell>
          <cell r="S2546">
            <v>-370879.96</v>
          </cell>
          <cell r="X2546" t="str">
            <v>Claims - gross</v>
          </cell>
          <cell r="Y2546" t="str">
            <v>EUROPE</v>
          </cell>
        </row>
        <row r="2547">
          <cell r="L2547" t="str">
            <v>Proportional</v>
          </cell>
          <cell r="S2547">
            <v>220.94</v>
          </cell>
          <cell r="X2547" t="str">
            <v>Claims - gross</v>
          </cell>
          <cell r="Y2547" t="str">
            <v>INDIA</v>
          </cell>
        </row>
        <row r="2548">
          <cell r="L2548" t="str">
            <v>Non-proportional</v>
          </cell>
          <cell r="S2548">
            <v>-39712.5</v>
          </cell>
          <cell r="X2548" t="str">
            <v>Claims - gross</v>
          </cell>
          <cell r="Y2548" t="str">
            <v>Portugal</v>
          </cell>
        </row>
        <row r="2549">
          <cell r="L2549" t="str">
            <v>Proportional</v>
          </cell>
          <cell r="S2549">
            <v>4632194.6500000004</v>
          </cell>
          <cell r="X2549" t="str">
            <v>Claims - gross</v>
          </cell>
          <cell r="Y2549" t="str">
            <v>UNITED STATES</v>
          </cell>
        </row>
        <row r="2550">
          <cell r="L2550" t="str">
            <v>Non-proportional</v>
          </cell>
          <cell r="S2550">
            <v>92882.31</v>
          </cell>
          <cell r="X2550" t="str">
            <v>Claims - gross</v>
          </cell>
          <cell r="Y2550" t="str">
            <v>HONG KONG</v>
          </cell>
        </row>
        <row r="2551">
          <cell r="L2551" t="str">
            <v>Non-proportional</v>
          </cell>
          <cell r="S2551">
            <v>7537.16</v>
          </cell>
          <cell r="X2551" t="str">
            <v>Claims - gross</v>
          </cell>
          <cell r="Y2551" t="str">
            <v>INDIA</v>
          </cell>
        </row>
        <row r="2552">
          <cell r="L2552" t="str">
            <v>Proportional</v>
          </cell>
          <cell r="S2552">
            <v>-8178089.5800000001</v>
          </cell>
          <cell r="X2552" t="str">
            <v>Claims - gross</v>
          </cell>
          <cell r="Y2552" t="str">
            <v>UNITED STATES</v>
          </cell>
        </row>
        <row r="2553">
          <cell r="L2553" t="str">
            <v>Proportional</v>
          </cell>
          <cell r="S2553">
            <v>-53628.46</v>
          </cell>
          <cell r="X2553" t="str">
            <v>Claims - gross</v>
          </cell>
          <cell r="Y2553" t="str">
            <v>CANADA</v>
          </cell>
        </row>
        <row r="2554">
          <cell r="L2554" t="str">
            <v>Non-proportional</v>
          </cell>
          <cell r="S2554">
            <v>252511.39</v>
          </cell>
          <cell r="X2554" t="str">
            <v>Claims - gross</v>
          </cell>
          <cell r="Y2554" t="str">
            <v>UNITED KINGDOM</v>
          </cell>
        </row>
        <row r="2555">
          <cell r="L2555" t="str">
            <v>Non-proportional</v>
          </cell>
          <cell r="S2555">
            <v>1333.59</v>
          </cell>
          <cell r="X2555" t="str">
            <v>Claims - gross</v>
          </cell>
          <cell r="Y2555" t="str">
            <v>INDIA</v>
          </cell>
        </row>
        <row r="2556">
          <cell r="L2556" t="str">
            <v>Non-proportional</v>
          </cell>
          <cell r="S2556">
            <v>-517027.16</v>
          </cell>
          <cell r="X2556" t="str">
            <v>Claims - gross</v>
          </cell>
          <cell r="Y2556" t="str">
            <v>UNITED KINGDOM</v>
          </cell>
        </row>
        <row r="2557">
          <cell r="L2557" t="str">
            <v>Non-proportional</v>
          </cell>
          <cell r="S2557">
            <v>77921.8</v>
          </cell>
          <cell r="X2557" t="str">
            <v>Claims - gross</v>
          </cell>
          <cell r="Y2557" t="str">
            <v>UNITED KINGDOM</v>
          </cell>
        </row>
        <row r="2558">
          <cell r="L2558" t="str">
            <v>Proportional</v>
          </cell>
          <cell r="S2558">
            <v>303114.51</v>
          </cell>
          <cell r="X2558" t="str">
            <v>Claims - gross</v>
          </cell>
          <cell r="Y2558" t="str">
            <v>HONG KONG</v>
          </cell>
        </row>
        <row r="2559">
          <cell r="L2559" t="str">
            <v>Non-proportional</v>
          </cell>
          <cell r="S2559">
            <v>22846.37</v>
          </cell>
          <cell r="X2559" t="str">
            <v>Claims - gross</v>
          </cell>
          <cell r="Y2559" t="str">
            <v>BELGIUM</v>
          </cell>
        </row>
        <row r="2560">
          <cell r="L2560" t="str">
            <v>Non-proportional</v>
          </cell>
          <cell r="S2560">
            <v>5283.66</v>
          </cell>
          <cell r="X2560" t="str">
            <v>Claims - gross</v>
          </cell>
          <cell r="Y2560" t="str">
            <v>INDIA</v>
          </cell>
        </row>
        <row r="2561">
          <cell r="L2561" t="str">
            <v>Non-proportional</v>
          </cell>
          <cell r="S2561">
            <v>125134.08</v>
          </cell>
          <cell r="X2561" t="str">
            <v>Claims - gross</v>
          </cell>
          <cell r="Y2561" t="str">
            <v>FRANCE</v>
          </cell>
        </row>
        <row r="2562">
          <cell r="L2562" t="str">
            <v>Proportional</v>
          </cell>
          <cell r="S2562">
            <v>4130.07</v>
          </cell>
          <cell r="X2562" t="str">
            <v>Claims - gross</v>
          </cell>
          <cell r="Y2562" t="str">
            <v>Turkey</v>
          </cell>
        </row>
        <row r="2563">
          <cell r="L2563" t="str">
            <v>Non-proportional</v>
          </cell>
          <cell r="S2563">
            <v>-667790.94999999995</v>
          </cell>
          <cell r="X2563" t="str">
            <v>Claims - gross</v>
          </cell>
          <cell r="Y2563" t="str">
            <v>UNITED KINGDOM</v>
          </cell>
        </row>
        <row r="2564">
          <cell r="L2564" t="str">
            <v>Non-proportional</v>
          </cell>
          <cell r="S2564">
            <v>-177588.72</v>
          </cell>
          <cell r="X2564" t="str">
            <v>Claims - gross</v>
          </cell>
          <cell r="Y2564" t="str">
            <v>AUSTRALIA</v>
          </cell>
        </row>
        <row r="2565">
          <cell r="L2565" t="str">
            <v>Proportional</v>
          </cell>
          <cell r="S2565">
            <v>-470869.68</v>
          </cell>
          <cell r="X2565" t="str">
            <v>Claims - gross</v>
          </cell>
          <cell r="Y2565" t="str">
            <v>CANADA</v>
          </cell>
        </row>
        <row r="2566">
          <cell r="L2566" t="str">
            <v>Non-proportional</v>
          </cell>
          <cell r="S2566">
            <v>-472640</v>
          </cell>
          <cell r="X2566" t="str">
            <v>Claims - gross</v>
          </cell>
          <cell r="Y2566" t="str">
            <v>Portugal</v>
          </cell>
        </row>
        <row r="2567">
          <cell r="L2567" t="str">
            <v>Non-proportional</v>
          </cell>
          <cell r="S2567">
            <v>1640.14</v>
          </cell>
          <cell r="X2567" t="str">
            <v>Claims - gross</v>
          </cell>
          <cell r="Y2567" t="str">
            <v>INDIA</v>
          </cell>
        </row>
        <row r="2568">
          <cell r="L2568" t="str">
            <v>Proportional</v>
          </cell>
          <cell r="S2568">
            <v>129593.95</v>
          </cell>
          <cell r="X2568" t="str">
            <v>Claims - gross</v>
          </cell>
          <cell r="Y2568" t="str">
            <v>THAILAND</v>
          </cell>
        </row>
        <row r="2569">
          <cell r="L2569" t="str">
            <v>Non-proportional</v>
          </cell>
          <cell r="S2569">
            <v>-150083.54</v>
          </cell>
          <cell r="X2569" t="str">
            <v>Claims - gross</v>
          </cell>
          <cell r="Y2569" t="str">
            <v>AUSTRALIA</v>
          </cell>
        </row>
        <row r="2570">
          <cell r="L2570" t="str">
            <v>Proportional</v>
          </cell>
          <cell r="S2570">
            <v>-2123.64</v>
          </cell>
          <cell r="X2570" t="str">
            <v>Claims - gross</v>
          </cell>
          <cell r="Y2570" t="str">
            <v>TURKEY</v>
          </cell>
        </row>
        <row r="2571">
          <cell r="L2571" t="str">
            <v>Non-proportional</v>
          </cell>
          <cell r="S2571">
            <v>-4284</v>
          </cell>
          <cell r="X2571" t="str">
            <v>Claims - gross</v>
          </cell>
          <cell r="Y2571" t="str">
            <v>Portugal</v>
          </cell>
        </row>
        <row r="2572">
          <cell r="L2572" t="str">
            <v>Non-proportional</v>
          </cell>
          <cell r="S2572">
            <v>5828.59</v>
          </cell>
          <cell r="X2572" t="str">
            <v>Claims - gross</v>
          </cell>
          <cell r="Y2572" t="str">
            <v>INDIA</v>
          </cell>
        </row>
        <row r="2573">
          <cell r="L2573" t="str">
            <v>Non-proportional</v>
          </cell>
          <cell r="S2573">
            <v>243882.01</v>
          </cell>
          <cell r="X2573" t="str">
            <v>Claims - gross</v>
          </cell>
          <cell r="Y2573" t="str">
            <v>UNITED KINGDOM</v>
          </cell>
        </row>
        <row r="2574">
          <cell r="L2574" t="str">
            <v>Non-proportional</v>
          </cell>
          <cell r="S2574">
            <v>13513.56</v>
          </cell>
          <cell r="X2574" t="str">
            <v>Claims - gross</v>
          </cell>
          <cell r="Y2574" t="str">
            <v>THAILAND</v>
          </cell>
        </row>
        <row r="2575">
          <cell r="L2575" t="str">
            <v>Non-proportional</v>
          </cell>
          <cell r="S2575">
            <v>71763.850000000006</v>
          </cell>
          <cell r="X2575" t="str">
            <v>Claims - gross</v>
          </cell>
          <cell r="Y2575" t="str">
            <v>UNITED STATES</v>
          </cell>
        </row>
        <row r="2576">
          <cell r="L2576" t="str">
            <v>Non-proportional</v>
          </cell>
          <cell r="S2576">
            <v>-946.84</v>
          </cell>
          <cell r="X2576" t="str">
            <v>Claims - gross</v>
          </cell>
          <cell r="Y2576" t="str">
            <v>India</v>
          </cell>
        </row>
        <row r="2577">
          <cell r="L2577" t="str">
            <v>Non-proportional</v>
          </cell>
          <cell r="S2577">
            <v>70910.399999999994</v>
          </cell>
          <cell r="X2577" t="str">
            <v>Claims - gross</v>
          </cell>
          <cell r="Y2577" t="str">
            <v>HONG KONG</v>
          </cell>
        </row>
        <row r="2578">
          <cell r="L2578" t="str">
            <v>Proportional</v>
          </cell>
          <cell r="S2578">
            <v>316526.67</v>
          </cell>
          <cell r="X2578" t="str">
            <v>Claims - gross</v>
          </cell>
          <cell r="Y2578" t="str">
            <v>HONG KONG</v>
          </cell>
        </row>
        <row r="2579">
          <cell r="L2579" t="str">
            <v>Non-proportional</v>
          </cell>
          <cell r="S2579">
            <v>340525.42</v>
          </cell>
          <cell r="X2579" t="str">
            <v>Claims - gross</v>
          </cell>
          <cell r="Y2579" t="str">
            <v>UNITED KINGDOM</v>
          </cell>
        </row>
        <row r="2580">
          <cell r="L2580" t="str">
            <v>Non-proportional</v>
          </cell>
          <cell r="S2580">
            <v>-4416</v>
          </cell>
          <cell r="X2580" t="str">
            <v>Claims - gross</v>
          </cell>
          <cell r="Y2580" t="str">
            <v>Portugal</v>
          </cell>
        </row>
        <row r="2581">
          <cell r="L2581" t="str">
            <v>Non-proportional</v>
          </cell>
          <cell r="S2581">
            <v>20508.61</v>
          </cell>
          <cell r="X2581" t="str">
            <v>Claims - gross</v>
          </cell>
          <cell r="Y2581" t="str">
            <v>UNITED KINGDOM</v>
          </cell>
        </row>
        <row r="2582">
          <cell r="L2582" t="str">
            <v>Non-proportional</v>
          </cell>
          <cell r="S2582">
            <v>37072.17</v>
          </cell>
          <cell r="X2582" t="str">
            <v>Claims - gross</v>
          </cell>
          <cell r="Y2582" t="str">
            <v>AUSTRALIA</v>
          </cell>
        </row>
        <row r="2583">
          <cell r="L2583" t="str">
            <v>Non-proportional</v>
          </cell>
          <cell r="S2583">
            <v>-1464.31</v>
          </cell>
          <cell r="X2583" t="str">
            <v>Claims - gross</v>
          </cell>
          <cell r="Y2583" t="str">
            <v>India</v>
          </cell>
        </row>
        <row r="2584">
          <cell r="L2584" t="str">
            <v>Proportional</v>
          </cell>
          <cell r="S2584">
            <v>-1759094.51</v>
          </cell>
          <cell r="X2584" t="str">
            <v>Claims - gross</v>
          </cell>
          <cell r="Y2584" t="str">
            <v>THAILAND</v>
          </cell>
        </row>
        <row r="2585">
          <cell r="L2585" t="str">
            <v>Non-proportional</v>
          </cell>
          <cell r="S2585">
            <v>-9210</v>
          </cell>
          <cell r="X2585" t="str">
            <v>Claims - gross</v>
          </cell>
          <cell r="Y2585" t="str">
            <v>Portugal</v>
          </cell>
        </row>
        <row r="2586">
          <cell r="L2586" t="str">
            <v>Non-proportional</v>
          </cell>
          <cell r="S2586">
            <v>-12568.68</v>
          </cell>
          <cell r="X2586" t="str">
            <v>Claims - gross</v>
          </cell>
          <cell r="Y2586" t="str">
            <v>INDIA</v>
          </cell>
        </row>
        <row r="2587">
          <cell r="L2587" t="str">
            <v>Non-proportional</v>
          </cell>
          <cell r="S2587">
            <v>-710.17</v>
          </cell>
          <cell r="X2587" t="str">
            <v>Claims - gross</v>
          </cell>
          <cell r="Y2587" t="str">
            <v>INDIA</v>
          </cell>
        </row>
        <row r="2588">
          <cell r="L2588" t="str">
            <v>Non-proportional</v>
          </cell>
          <cell r="S2588">
            <v>-13607.78</v>
          </cell>
          <cell r="X2588" t="str">
            <v>Claims - gross</v>
          </cell>
          <cell r="Y2588" t="str">
            <v>India</v>
          </cell>
        </row>
        <row r="2589">
          <cell r="L2589" t="str">
            <v>Proportional</v>
          </cell>
          <cell r="S2589">
            <v>-419391.23</v>
          </cell>
          <cell r="X2589" t="str">
            <v>Claims - gross</v>
          </cell>
          <cell r="Y2589" t="str">
            <v>PORTUGAL</v>
          </cell>
        </row>
        <row r="2590">
          <cell r="L2590" t="str">
            <v>Non-proportional</v>
          </cell>
          <cell r="S2590">
            <v>199932.06</v>
          </cell>
          <cell r="X2590" t="str">
            <v>Claims - gross</v>
          </cell>
          <cell r="Y2590" t="str">
            <v>AUSTRALIA</v>
          </cell>
        </row>
        <row r="2591">
          <cell r="L2591" t="str">
            <v>Proportional</v>
          </cell>
          <cell r="S2591">
            <v>47702.34</v>
          </cell>
          <cell r="X2591" t="str">
            <v>Claims - gross</v>
          </cell>
          <cell r="Y2591" t="str">
            <v>THAILAND</v>
          </cell>
        </row>
        <row r="2592">
          <cell r="L2592" t="str">
            <v>Non-proportional</v>
          </cell>
          <cell r="S2592">
            <v>154066.73000000001</v>
          </cell>
          <cell r="X2592" t="str">
            <v>Claims - gross</v>
          </cell>
          <cell r="Y2592" t="str">
            <v>TURKEY</v>
          </cell>
        </row>
        <row r="2593">
          <cell r="L2593" t="str">
            <v>Non-proportional</v>
          </cell>
          <cell r="S2593">
            <v>-6750</v>
          </cell>
          <cell r="X2593" t="str">
            <v>Claims - gross</v>
          </cell>
          <cell r="Y2593" t="str">
            <v>Portugal</v>
          </cell>
        </row>
        <row r="2594">
          <cell r="L2594" t="str">
            <v>Non-proportional</v>
          </cell>
          <cell r="S2594">
            <v>-94232.1</v>
          </cell>
          <cell r="X2594" t="str">
            <v>Claims - gross</v>
          </cell>
          <cell r="Y2594" t="str">
            <v>AUSTRALIA</v>
          </cell>
        </row>
        <row r="2595">
          <cell r="L2595" t="str">
            <v>Non-proportional</v>
          </cell>
          <cell r="S2595">
            <v>-225805.71</v>
          </cell>
          <cell r="X2595" t="str">
            <v>Claims - gross</v>
          </cell>
          <cell r="Y2595" t="str">
            <v>AUSTRALIA</v>
          </cell>
        </row>
        <row r="2596">
          <cell r="L2596" t="str">
            <v>Non-proportional</v>
          </cell>
          <cell r="S2596">
            <v>-7633.22</v>
          </cell>
          <cell r="X2596" t="str">
            <v>Claims - gross</v>
          </cell>
          <cell r="Y2596" t="str">
            <v>INDIA</v>
          </cell>
        </row>
        <row r="2597">
          <cell r="L2597" t="str">
            <v>Non-proportional</v>
          </cell>
          <cell r="S2597">
            <v>-1646.12</v>
          </cell>
          <cell r="X2597" t="str">
            <v>Claims - gross</v>
          </cell>
          <cell r="Y2597" t="str">
            <v>India</v>
          </cell>
        </row>
        <row r="2598">
          <cell r="L2598" t="str">
            <v>Non-proportional</v>
          </cell>
          <cell r="S2598">
            <v>-1892440.51</v>
          </cell>
          <cell r="X2598" t="str">
            <v>Claims - gross</v>
          </cell>
          <cell r="Y2598" t="str">
            <v>United kingdom</v>
          </cell>
        </row>
        <row r="2599">
          <cell r="L2599" t="str">
            <v>Proportional</v>
          </cell>
          <cell r="S2599">
            <v>-87971.27</v>
          </cell>
          <cell r="X2599" t="str">
            <v>Claims - gross</v>
          </cell>
          <cell r="Y2599" t="str">
            <v>JAPAN</v>
          </cell>
        </row>
        <row r="2600">
          <cell r="L2600" t="str">
            <v>Proportional</v>
          </cell>
          <cell r="S2600">
            <v>46909.04</v>
          </cell>
          <cell r="X2600" t="str">
            <v>Claims - gross</v>
          </cell>
          <cell r="Y2600" t="str">
            <v>THAILAND</v>
          </cell>
        </row>
        <row r="2601">
          <cell r="L2601" t="str">
            <v>Non-proportional</v>
          </cell>
          <cell r="S2601">
            <v>-662.93</v>
          </cell>
          <cell r="X2601" t="str">
            <v>Claims - gross</v>
          </cell>
          <cell r="Y2601" t="str">
            <v>INDIA</v>
          </cell>
        </row>
        <row r="2602">
          <cell r="L2602" t="str">
            <v>Non-proportional</v>
          </cell>
          <cell r="S2602">
            <v>-573800.42000000004</v>
          </cell>
          <cell r="X2602" t="str">
            <v>Claims - gross</v>
          </cell>
          <cell r="Y2602" t="str">
            <v>UNITED KINGDOM</v>
          </cell>
        </row>
        <row r="2603">
          <cell r="L2603" t="str">
            <v>Non-proportional</v>
          </cell>
          <cell r="S2603">
            <v>-51925</v>
          </cell>
          <cell r="X2603" t="str">
            <v>Claims - gross</v>
          </cell>
          <cell r="Y2603" t="str">
            <v>Portugal</v>
          </cell>
        </row>
        <row r="2604">
          <cell r="L2604" t="str">
            <v>Proportional</v>
          </cell>
          <cell r="S2604">
            <v>-14559.07</v>
          </cell>
          <cell r="X2604" t="str">
            <v>Claims - gross</v>
          </cell>
          <cell r="Y2604" t="str">
            <v>TURKEY</v>
          </cell>
        </row>
        <row r="2605">
          <cell r="L2605" t="str">
            <v>Non-proportional</v>
          </cell>
          <cell r="S2605">
            <v>-9879.5499999999993</v>
          </cell>
          <cell r="X2605" t="str">
            <v>Claims - gross</v>
          </cell>
          <cell r="Y2605" t="str">
            <v>AUSTRALIA</v>
          </cell>
        </row>
        <row r="2606">
          <cell r="L2606" t="str">
            <v>Non-proportional</v>
          </cell>
          <cell r="S2606">
            <v>-1160.57</v>
          </cell>
          <cell r="X2606" t="str">
            <v>Claims - gross</v>
          </cell>
          <cell r="Y2606" t="str">
            <v>India</v>
          </cell>
        </row>
        <row r="2607">
          <cell r="L2607" t="str">
            <v>Non-proportional</v>
          </cell>
          <cell r="S2607">
            <v>-34875</v>
          </cell>
          <cell r="X2607" t="str">
            <v>Claims - gross</v>
          </cell>
          <cell r="Y2607" t="str">
            <v>Portugal</v>
          </cell>
        </row>
        <row r="2608">
          <cell r="L2608" t="str">
            <v>Non-proportional</v>
          </cell>
          <cell r="S2608">
            <v>3971.31</v>
          </cell>
          <cell r="X2608" t="str">
            <v>Claims - gross</v>
          </cell>
          <cell r="Y2608" t="str">
            <v>THAILAND</v>
          </cell>
        </row>
        <row r="2609">
          <cell r="L2609" t="str">
            <v>Non-proportional</v>
          </cell>
          <cell r="S2609">
            <v>285744.15000000002</v>
          </cell>
          <cell r="X2609" t="str">
            <v>Claims - gross</v>
          </cell>
          <cell r="Y2609" t="str">
            <v>UNITED KINGDOM</v>
          </cell>
        </row>
        <row r="2610">
          <cell r="L2610" t="str">
            <v>Non-proportional</v>
          </cell>
          <cell r="S2610">
            <v>-13289.15</v>
          </cell>
          <cell r="X2610" t="str">
            <v>Claims - gross</v>
          </cell>
          <cell r="Y2610" t="str">
            <v>PORTUGAL</v>
          </cell>
        </row>
        <row r="2611">
          <cell r="L2611" t="str">
            <v>Non-proportional</v>
          </cell>
          <cell r="S2611">
            <v>-177958.93</v>
          </cell>
          <cell r="X2611" t="str">
            <v>Claims - gross</v>
          </cell>
          <cell r="Y2611" t="str">
            <v>THAILAND</v>
          </cell>
        </row>
        <row r="2612">
          <cell r="L2612" t="str">
            <v>Non-proportional</v>
          </cell>
          <cell r="S2612">
            <v>-173880</v>
          </cell>
          <cell r="X2612" t="str">
            <v>Claims - gross</v>
          </cell>
          <cell r="Y2612" t="str">
            <v>Portugal</v>
          </cell>
        </row>
        <row r="2613">
          <cell r="L2613" t="str">
            <v>Non-proportional</v>
          </cell>
          <cell r="S2613">
            <v>2606.17</v>
          </cell>
          <cell r="X2613" t="str">
            <v>Claims - gross</v>
          </cell>
          <cell r="Y2613" t="str">
            <v>THAILAND</v>
          </cell>
        </row>
        <row r="2614">
          <cell r="L2614" t="str">
            <v>Non-proportional</v>
          </cell>
          <cell r="S2614">
            <v>273.39</v>
          </cell>
          <cell r="X2614" t="str">
            <v>Claims - gross</v>
          </cell>
          <cell r="Y2614" t="str">
            <v>INDIA</v>
          </cell>
        </row>
        <row r="2615">
          <cell r="L2615" t="str">
            <v>Non-proportional</v>
          </cell>
          <cell r="S2615">
            <v>-59127.5</v>
          </cell>
          <cell r="X2615" t="str">
            <v>Claims - gross</v>
          </cell>
          <cell r="Y2615" t="str">
            <v>Portugal</v>
          </cell>
        </row>
        <row r="2616">
          <cell r="L2616" t="str">
            <v>Non-proportional</v>
          </cell>
          <cell r="S2616">
            <v>-1320276.0900000001</v>
          </cell>
          <cell r="X2616" t="str">
            <v>Claims - gross</v>
          </cell>
          <cell r="Y2616" t="str">
            <v>United kingdom</v>
          </cell>
        </row>
        <row r="2617">
          <cell r="L2617" t="str">
            <v>Non-proportional</v>
          </cell>
          <cell r="S2617">
            <v>-11055</v>
          </cell>
          <cell r="X2617" t="str">
            <v>Claims - gross</v>
          </cell>
          <cell r="Y2617" t="str">
            <v>Portugal</v>
          </cell>
        </row>
        <row r="2618">
          <cell r="L2618" t="str">
            <v>Non-proportional</v>
          </cell>
          <cell r="S2618">
            <v>-699322.64</v>
          </cell>
          <cell r="X2618" t="str">
            <v>Claims - gross</v>
          </cell>
          <cell r="Y2618" t="str">
            <v>UNITED KINGDOM</v>
          </cell>
        </row>
        <row r="2619">
          <cell r="L2619" t="str">
            <v>Non-proportional</v>
          </cell>
          <cell r="S2619">
            <v>260174.32</v>
          </cell>
          <cell r="X2619" t="str">
            <v>Claims - gross</v>
          </cell>
          <cell r="Y2619" t="str">
            <v>AUSTRALIA</v>
          </cell>
        </row>
        <row r="2620">
          <cell r="L2620" t="str">
            <v>Non-proportional</v>
          </cell>
          <cell r="S2620">
            <v>-260454.59</v>
          </cell>
          <cell r="X2620" t="str">
            <v>Claims - gross</v>
          </cell>
          <cell r="Y2620" t="str">
            <v>United kingdom</v>
          </cell>
        </row>
        <row r="2621">
          <cell r="L2621" t="str">
            <v>Non-proportional</v>
          </cell>
          <cell r="S2621">
            <v>939.58</v>
          </cell>
          <cell r="X2621" t="str">
            <v>Claims - gross</v>
          </cell>
          <cell r="Y2621" t="str">
            <v>INDIA</v>
          </cell>
        </row>
        <row r="2622">
          <cell r="L2622" t="str">
            <v>Non-proportional</v>
          </cell>
          <cell r="S2622">
            <v>-31181.78</v>
          </cell>
          <cell r="X2622" t="str">
            <v>Claims - gross</v>
          </cell>
          <cell r="Y2622" t="str">
            <v>PORTUGAL</v>
          </cell>
        </row>
        <row r="2623">
          <cell r="L2623" t="str">
            <v>Non-proportional</v>
          </cell>
          <cell r="S2623">
            <v>215493.57</v>
          </cell>
          <cell r="X2623" t="str">
            <v>Claims - gross</v>
          </cell>
          <cell r="Y2623" t="str">
            <v>CANADA</v>
          </cell>
        </row>
        <row r="2624">
          <cell r="L2624" t="str">
            <v>Proportional</v>
          </cell>
          <cell r="S2624">
            <v>171862.56</v>
          </cell>
          <cell r="X2624" t="str">
            <v>Claims - gross</v>
          </cell>
          <cell r="Y2624" t="str">
            <v>PORTUGAL</v>
          </cell>
        </row>
        <row r="2625">
          <cell r="L2625" t="str">
            <v>Non-proportional</v>
          </cell>
          <cell r="S2625">
            <v>-37125</v>
          </cell>
          <cell r="X2625" t="str">
            <v>Claims - gross</v>
          </cell>
          <cell r="Y2625" t="str">
            <v>Portugal</v>
          </cell>
        </row>
        <row r="2626">
          <cell r="L2626" t="str">
            <v>Non-proportional</v>
          </cell>
          <cell r="S2626">
            <v>18254.740000000002</v>
          </cell>
          <cell r="X2626" t="str">
            <v>Claims - gross</v>
          </cell>
          <cell r="Y2626" t="str">
            <v>THAILAND</v>
          </cell>
        </row>
        <row r="2627">
          <cell r="L2627" t="str">
            <v>Proportional</v>
          </cell>
          <cell r="S2627">
            <v>-1024.6400000000001</v>
          </cell>
          <cell r="X2627" t="str">
            <v>Claims - gross</v>
          </cell>
          <cell r="Y2627" t="str">
            <v>HONG KONG</v>
          </cell>
        </row>
        <row r="2628">
          <cell r="L2628" t="str">
            <v>Non-proportional</v>
          </cell>
          <cell r="S2628">
            <v>-6261.3</v>
          </cell>
          <cell r="X2628" t="str">
            <v>Claims - gross</v>
          </cell>
          <cell r="Y2628" t="str">
            <v>India</v>
          </cell>
        </row>
        <row r="2629">
          <cell r="L2629" t="str">
            <v>Non-proportional</v>
          </cell>
          <cell r="S2629">
            <v>-309.89999999999998</v>
          </cell>
          <cell r="X2629" t="str">
            <v>Claims - gross</v>
          </cell>
          <cell r="Y2629" t="str">
            <v>INDIA</v>
          </cell>
        </row>
        <row r="2630">
          <cell r="L2630" t="str">
            <v>Non-proportional</v>
          </cell>
          <cell r="S2630">
            <v>-28.45</v>
          </cell>
          <cell r="X2630" t="str">
            <v>Claims - gross</v>
          </cell>
          <cell r="Y2630" t="str">
            <v>India</v>
          </cell>
        </row>
        <row r="2631">
          <cell r="L2631" t="str">
            <v>Proportional</v>
          </cell>
          <cell r="S2631">
            <v>-689600.54</v>
          </cell>
          <cell r="X2631" t="str">
            <v>Claims - gross</v>
          </cell>
          <cell r="Y2631" t="str">
            <v>PORTUGAL</v>
          </cell>
        </row>
        <row r="2632">
          <cell r="L2632" t="str">
            <v>Proportional</v>
          </cell>
          <cell r="S2632">
            <v>-3776596.41</v>
          </cell>
          <cell r="X2632" t="str">
            <v>Claims - gross</v>
          </cell>
          <cell r="Y2632" t="str">
            <v>UNITED STATES</v>
          </cell>
        </row>
        <row r="2633">
          <cell r="L2633" t="str">
            <v>Non-proportional</v>
          </cell>
          <cell r="S2633">
            <v>-50250</v>
          </cell>
          <cell r="X2633" t="str">
            <v>Claims - gross</v>
          </cell>
          <cell r="Y2633" t="str">
            <v>Portugal</v>
          </cell>
        </row>
        <row r="2634">
          <cell r="L2634" t="str">
            <v>Non-proportional</v>
          </cell>
          <cell r="S2634">
            <v>-126000</v>
          </cell>
          <cell r="X2634" t="str">
            <v>Claims - gross</v>
          </cell>
          <cell r="Y2634" t="str">
            <v>Portugal</v>
          </cell>
        </row>
        <row r="2635">
          <cell r="L2635" t="str">
            <v>Non-proportional</v>
          </cell>
          <cell r="S2635">
            <v>-19793.689999999999</v>
          </cell>
          <cell r="X2635" t="str">
            <v>Claims - gross</v>
          </cell>
          <cell r="Y2635" t="str">
            <v>AUSTRALIA</v>
          </cell>
        </row>
        <row r="2636">
          <cell r="L2636" t="str">
            <v>Proportional</v>
          </cell>
          <cell r="S2636">
            <v>-316.18</v>
          </cell>
          <cell r="X2636" t="str">
            <v>Claims - gross</v>
          </cell>
          <cell r="Y2636" t="str">
            <v>TURKEY</v>
          </cell>
        </row>
        <row r="2637">
          <cell r="L2637" t="str">
            <v>Non-proportional</v>
          </cell>
          <cell r="S2637">
            <v>-197948.91</v>
          </cell>
          <cell r="X2637" t="str">
            <v>Claims - gross</v>
          </cell>
          <cell r="Y2637" t="str">
            <v>AUSTRALIA</v>
          </cell>
        </row>
        <row r="2638">
          <cell r="L2638" t="str">
            <v>Proportional</v>
          </cell>
          <cell r="S2638">
            <v>-8020.7</v>
          </cell>
          <cell r="X2638" t="str">
            <v>Claims - gross</v>
          </cell>
          <cell r="Y2638" t="str">
            <v>THAILAND</v>
          </cell>
        </row>
        <row r="2639">
          <cell r="L2639" t="str">
            <v>Proportional</v>
          </cell>
          <cell r="S2639">
            <v>2352.9299999999998</v>
          </cell>
          <cell r="X2639" t="str">
            <v>Claims - gross</v>
          </cell>
          <cell r="Y2639" t="str">
            <v>THAILAND</v>
          </cell>
        </row>
        <row r="2640">
          <cell r="L2640" t="str">
            <v>Non-proportional</v>
          </cell>
          <cell r="S2640">
            <v>-43038.14</v>
          </cell>
          <cell r="X2640" t="str">
            <v>Claims - gross</v>
          </cell>
          <cell r="Y2640" t="str">
            <v>UNITED KINGDOM</v>
          </cell>
        </row>
        <row r="2641">
          <cell r="L2641" t="str">
            <v>Non-proportional</v>
          </cell>
          <cell r="S2641">
            <v>-15104.4</v>
          </cell>
          <cell r="X2641" t="str">
            <v>Claims - gross</v>
          </cell>
          <cell r="Y2641" t="str">
            <v>Portugal</v>
          </cell>
        </row>
        <row r="2642">
          <cell r="L2642" t="str">
            <v>Proportional</v>
          </cell>
          <cell r="S2642">
            <v>-4000.56</v>
          </cell>
          <cell r="X2642" t="str">
            <v>Claims - gross</v>
          </cell>
          <cell r="Y2642" t="str">
            <v>MALAYSIA</v>
          </cell>
        </row>
        <row r="2643">
          <cell r="L2643" t="str">
            <v>Non-proportional</v>
          </cell>
          <cell r="S2643">
            <v>-111982.07</v>
          </cell>
          <cell r="X2643" t="str">
            <v>Claims - gross</v>
          </cell>
          <cell r="Y2643" t="str">
            <v>UNITED KINGDOM</v>
          </cell>
        </row>
        <row r="2644">
          <cell r="L2644" t="str">
            <v>Non-proportional</v>
          </cell>
          <cell r="S2644">
            <v>5940.24</v>
          </cell>
          <cell r="X2644" t="str">
            <v>Claims - gross</v>
          </cell>
          <cell r="Y2644" t="str">
            <v>INDIA</v>
          </cell>
        </row>
        <row r="2645">
          <cell r="L2645" t="str">
            <v>Proportional</v>
          </cell>
          <cell r="S2645">
            <v>-20712.3</v>
          </cell>
          <cell r="X2645" t="str">
            <v>Claims - gross</v>
          </cell>
          <cell r="Y2645" t="str">
            <v>UNITED STATES</v>
          </cell>
        </row>
        <row r="2646">
          <cell r="L2646" t="str">
            <v>Non-proportional</v>
          </cell>
          <cell r="S2646">
            <v>-32398.76</v>
          </cell>
          <cell r="X2646" t="str">
            <v>Claims - gross</v>
          </cell>
          <cell r="Y2646" t="str">
            <v>UNITED KINGDOM</v>
          </cell>
        </row>
        <row r="2647">
          <cell r="L2647" t="str">
            <v>Non-proportional</v>
          </cell>
          <cell r="S2647">
            <v>10557.02</v>
          </cell>
          <cell r="X2647" t="str">
            <v>Claims - gross</v>
          </cell>
          <cell r="Y2647" t="str">
            <v>PORTUGAL</v>
          </cell>
        </row>
        <row r="2648">
          <cell r="L2648" t="str">
            <v>Non-proportional</v>
          </cell>
          <cell r="S2648">
            <v>-6363.98</v>
          </cell>
          <cell r="X2648" t="str">
            <v>Claims - gross</v>
          </cell>
          <cell r="Y2648" t="str">
            <v>PORTUGAL</v>
          </cell>
        </row>
        <row r="2649">
          <cell r="L2649" t="str">
            <v>Proportional</v>
          </cell>
          <cell r="S2649">
            <v>25794.91</v>
          </cell>
          <cell r="X2649" t="str">
            <v>Claims - gross</v>
          </cell>
          <cell r="Y2649" t="str">
            <v>THAILAND</v>
          </cell>
        </row>
        <row r="2650">
          <cell r="L2650" t="str">
            <v>Proportional</v>
          </cell>
          <cell r="S2650">
            <v>-2602244.02</v>
          </cell>
          <cell r="X2650" t="str">
            <v>Claims - gross</v>
          </cell>
          <cell r="Y2650" t="str">
            <v>UNITED STATES</v>
          </cell>
        </row>
        <row r="2651">
          <cell r="L2651" t="str">
            <v>Non-proportional</v>
          </cell>
          <cell r="S2651">
            <v>-82215</v>
          </cell>
          <cell r="X2651" t="str">
            <v>Claims - gross</v>
          </cell>
          <cell r="Y2651" t="str">
            <v>Portugal</v>
          </cell>
        </row>
        <row r="2652">
          <cell r="L2652" t="str">
            <v>Non-proportional</v>
          </cell>
          <cell r="S2652">
            <v>-22.94</v>
          </cell>
          <cell r="X2652" t="str">
            <v>Claims - gross</v>
          </cell>
          <cell r="Y2652" t="str">
            <v>India</v>
          </cell>
        </row>
        <row r="2653">
          <cell r="L2653" t="str">
            <v>Non-proportional</v>
          </cell>
          <cell r="S2653">
            <v>400821.73</v>
          </cell>
          <cell r="X2653" t="str">
            <v>Claims - gross</v>
          </cell>
          <cell r="Y2653" t="str">
            <v>HONG KONG</v>
          </cell>
        </row>
        <row r="2654">
          <cell r="L2654" t="str">
            <v>Non-proportional</v>
          </cell>
          <cell r="S2654">
            <v>-24750</v>
          </cell>
          <cell r="X2654" t="str">
            <v>Claims - gross</v>
          </cell>
          <cell r="Y2654" t="str">
            <v>Portugal</v>
          </cell>
        </row>
        <row r="2655">
          <cell r="L2655" t="str">
            <v>Non-proportional</v>
          </cell>
          <cell r="S2655">
            <v>11074.01</v>
          </cell>
          <cell r="X2655" t="str">
            <v>Claims - gross</v>
          </cell>
          <cell r="Y2655" t="str">
            <v>THAILAND</v>
          </cell>
        </row>
        <row r="2656">
          <cell r="L2656" t="str">
            <v>Non-proportional</v>
          </cell>
          <cell r="S2656">
            <v>10035</v>
          </cell>
          <cell r="X2656" t="str">
            <v>Claims - gross</v>
          </cell>
          <cell r="Y2656" t="str">
            <v>TURKEY</v>
          </cell>
        </row>
        <row r="2657">
          <cell r="L2657" t="str">
            <v>Proportional</v>
          </cell>
          <cell r="S2657">
            <v>-2742.72</v>
          </cell>
          <cell r="X2657" t="str">
            <v>Claims - gross</v>
          </cell>
          <cell r="Y2657" t="str">
            <v>INDIA</v>
          </cell>
        </row>
        <row r="2658">
          <cell r="L2658" t="str">
            <v>Proportional</v>
          </cell>
          <cell r="S2658">
            <v>518686.93</v>
          </cell>
          <cell r="X2658" t="str">
            <v>Claims - gross</v>
          </cell>
          <cell r="Y2658" t="str">
            <v>THAILAND</v>
          </cell>
        </row>
        <row r="2659">
          <cell r="L2659" t="str">
            <v>Non-proportional</v>
          </cell>
          <cell r="S2659">
            <v>-2770.28</v>
          </cell>
          <cell r="X2659" t="str">
            <v>Claims - gross</v>
          </cell>
          <cell r="Y2659" t="str">
            <v>India</v>
          </cell>
        </row>
        <row r="2660">
          <cell r="L2660" t="str">
            <v>Non-proportional</v>
          </cell>
          <cell r="S2660">
            <v>-3848555.98</v>
          </cell>
          <cell r="X2660" t="str">
            <v>Claims - gross</v>
          </cell>
          <cell r="Y2660" t="str">
            <v>UNITED KINGDOM</v>
          </cell>
        </row>
        <row r="2661">
          <cell r="L2661" t="str">
            <v>Non-proportional</v>
          </cell>
          <cell r="S2661">
            <v>-363675.25</v>
          </cell>
          <cell r="X2661" t="str">
            <v>Claims - gross</v>
          </cell>
          <cell r="Y2661" t="str">
            <v>PORTUGAL</v>
          </cell>
        </row>
        <row r="2662">
          <cell r="L2662" t="str">
            <v>Non-proportional</v>
          </cell>
          <cell r="S2662">
            <v>-12600</v>
          </cell>
          <cell r="X2662" t="str">
            <v>Claims - gross</v>
          </cell>
          <cell r="Y2662" t="str">
            <v>Portugal</v>
          </cell>
        </row>
        <row r="2663">
          <cell r="L2663" t="str">
            <v>Non-proportional</v>
          </cell>
          <cell r="S2663">
            <v>16625.349999999999</v>
          </cell>
          <cell r="X2663" t="str">
            <v>Claims - gross</v>
          </cell>
          <cell r="Y2663" t="str">
            <v>UNITED KINGDOM</v>
          </cell>
        </row>
        <row r="2664">
          <cell r="L2664" t="str">
            <v>Proportional</v>
          </cell>
          <cell r="S2664">
            <v>-5253.34</v>
          </cell>
          <cell r="X2664" t="str">
            <v>Claims - gross</v>
          </cell>
          <cell r="Y2664" t="str">
            <v>Turkey</v>
          </cell>
        </row>
        <row r="2665">
          <cell r="L2665" t="str">
            <v>Non-proportional</v>
          </cell>
          <cell r="S2665">
            <v>-3312</v>
          </cell>
          <cell r="X2665" t="str">
            <v>Claims - gross</v>
          </cell>
          <cell r="Y2665" t="str">
            <v>Portugal</v>
          </cell>
        </row>
        <row r="2666">
          <cell r="L2666" t="str">
            <v>Non-proportional</v>
          </cell>
          <cell r="S2666">
            <v>-1273.02</v>
          </cell>
          <cell r="X2666" t="str">
            <v>Claims - gross</v>
          </cell>
          <cell r="Y2666" t="str">
            <v>India</v>
          </cell>
        </row>
        <row r="2667">
          <cell r="L2667" t="str">
            <v>Non-proportional</v>
          </cell>
          <cell r="S2667">
            <v>67052.56</v>
          </cell>
          <cell r="X2667" t="str">
            <v>Claims - gross</v>
          </cell>
          <cell r="Y2667" t="str">
            <v>AUSTRALIA</v>
          </cell>
        </row>
        <row r="2668">
          <cell r="L2668" t="str">
            <v>Proportional</v>
          </cell>
          <cell r="S2668">
            <v>20558.73</v>
          </cell>
          <cell r="X2668" t="str">
            <v>Claims - gross</v>
          </cell>
          <cell r="Y2668" t="str">
            <v>INDIA</v>
          </cell>
        </row>
        <row r="2669">
          <cell r="L2669" t="str">
            <v>Proportional</v>
          </cell>
          <cell r="S2669">
            <v>-230.35</v>
          </cell>
          <cell r="X2669" t="str">
            <v>Claims - gross</v>
          </cell>
          <cell r="Y2669" t="str">
            <v>THAILAND</v>
          </cell>
        </row>
        <row r="2670">
          <cell r="L2670" t="str">
            <v>Non-proportional</v>
          </cell>
          <cell r="S2670">
            <v>-1867.15</v>
          </cell>
          <cell r="X2670" t="str">
            <v>Claims - gross</v>
          </cell>
          <cell r="Y2670" t="str">
            <v>India</v>
          </cell>
        </row>
        <row r="2671">
          <cell r="L2671" t="str">
            <v>Non-proportional</v>
          </cell>
          <cell r="S2671">
            <v>-10050</v>
          </cell>
          <cell r="X2671" t="str">
            <v>Claims - gross</v>
          </cell>
          <cell r="Y2671" t="str">
            <v>Portugal</v>
          </cell>
        </row>
        <row r="2672">
          <cell r="L2672" t="str">
            <v>Non-proportional</v>
          </cell>
          <cell r="S2672">
            <v>-5945.75</v>
          </cell>
          <cell r="X2672" t="str">
            <v>Claims - gross</v>
          </cell>
          <cell r="Y2672" t="str">
            <v>India</v>
          </cell>
        </row>
        <row r="2673">
          <cell r="L2673" t="str">
            <v>Non-proportional</v>
          </cell>
          <cell r="S2673">
            <v>1431776.18</v>
          </cell>
          <cell r="X2673" t="str">
            <v>Claims - gross</v>
          </cell>
          <cell r="Y2673" t="str">
            <v>GERMANY</v>
          </cell>
        </row>
        <row r="2674">
          <cell r="L2674" t="str">
            <v>Non-proportional</v>
          </cell>
          <cell r="S2674">
            <v>-238372.97</v>
          </cell>
          <cell r="X2674" t="str">
            <v>Claims - gross</v>
          </cell>
          <cell r="Y2674" t="str">
            <v>AUSTRALIA</v>
          </cell>
        </row>
        <row r="2675">
          <cell r="L2675" t="str">
            <v>Non-proportional</v>
          </cell>
          <cell r="S2675">
            <v>-4769.59</v>
          </cell>
          <cell r="X2675" t="str">
            <v>Claims - gross</v>
          </cell>
          <cell r="Y2675" t="str">
            <v>India</v>
          </cell>
        </row>
        <row r="2676">
          <cell r="L2676" t="str">
            <v>Proportional</v>
          </cell>
          <cell r="S2676">
            <v>-258316.56</v>
          </cell>
          <cell r="X2676" t="str">
            <v>Claims - gross</v>
          </cell>
          <cell r="Y2676" t="str">
            <v>JAPAN</v>
          </cell>
        </row>
        <row r="2677">
          <cell r="L2677" t="str">
            <v>Proportional</v>
          </cell>
          <cell r="S2677">
            <v>62727.85</v>
          </cell>
          <cell r="X2677" t="str">
            <v>Claims - gross</v>
          </cell>
          <cell r="Y2677" t="str">
            <v>JAPAN</v>
          </cell>
        </row>
        <row r="2678">
          <cell r="L2678" t="str">
            <v>Non-proportional</v>
          </cell>
          <cell r="S2678">
            <v>948.23</v>
          </cell>
          <cell r="X2678" t="str">
            <v>Claims - gross</v>
          </cell>
          <cell r="Y2678" t="str">
            <v>INDIA</v>
          </cell>
        </row>
        <row r="2679">
          <cell r="L2679" t="str">
            <v>Proportional</v>
          </cell>
          <cell r="S2679">
            <v>-2843.94</v>
          </cell>
          <cell r="X2679" t="str">
            <v>Claims - gross</v>
          </cell>
          <cell r="Y2679" t="str">
            <v>Thailand</v>
          </cell>
        </row>
        <row r="2680">
          <cell r="L2680" t="str">
            <v>Non-proportional</v>
          </cell>
          <cell r="S2680">
            <v>21630.87</v>
          </cell>
          <cell r="X2680" t="str">
            <v>Claims - gross</v>
          </cell>
          <cell r="Y2680" t="str">
            <v>UNITED KINGDOM</v>
          </cell>
        </row>
        <row r="2681">
          <cell r="L2681" t="str">
            <v>Non-proportional</v>
          </cell>
          <cell r="S2681">
            <v>4515259.5</v>
          </cell>
          <cell r="X2681" t="str">
            <v>Claims - gross</v>
          </cell>
          <cell r="Y2681" t="str">
            <v>UNITED KINGDOM</v>
          </cell>
        </row>
        <row r="2682">
          <cell r="L2682"/>
          <cell r="S2682">
            <v>-79259.44</v>
          </cell>
          <cell r="X2682" t="str">
            <v>Claims - gross</v>
          </cell>
          <cell r="Y2682" t="str">
            <v>PORTUGAL</v>
          </cell>
        </row>
        <row r="2683">
          <cell r="L2683" t="str">
            <v>Non-proportional</v>
          </cell>
          <cell r="S2683">
            <v>4937.79</v>
          </cell>
          <cell r="X2683" t="str">
            <v>Claims - gross</v>
          </cell>
          <cell r="Y2683" t="str">
            <v>INDIA</v>
          </cell>
        </row>
        <row r="2684">
          <cell r="L2684" t="str">
            <v>Non-proportional</v>
          </cell>
          <cell r="S2684">
            <v>292993</v>
          </cell>
          <cell r="X2684" t="str">
            <v>Claims - gross</v>
          </cell>
          <cell r="Y2684" t="str">
            <v>ITALY</v>
          </cell>
        </row>
        <row r="2685">
          <cell r="L2685" t="str">
            <v>Proportional</v>
          </cell>
          <cell r="S2685">
            <v>16507.02</v>
          </cell>
          <cell r="X2685" t="str">
            <v>Claims - gross</v>
          </cell>
          <cell r="Y2685" t="str">
            <v>THAILAND</v>
          </cell>
        </row>
        <row r="2686">
          <cell r="L2686" t="str">
            <v>Non-proportional</v>
          </cell>
          <cell r="S2686">
            <v>-17567.27</v>
          </cell>
          <cell r="X2686" t="str">
            <v>Claims - gross</v>
          </cell>
          <cell r="Y2686" t="str">
            <v>AUSTRALIA</v>
          </cell>
        </row>
        <row r="2687">
          <cell r="L2687" t="str">
            <v>Non-proportional</v>
          </cell>
          <cell r="S2687">
            <v>-361869.04</v>
          </cell>
          <cell r="X2687" t="str">
            <v>Claims - gross</v>
          </cell>
          <cell r="Y2687" t="str">
            <v>AUSTRALIA</v>
          </cell>
        </row>
        <row r="2688">
          <cell r="L2688" t="str">
            <v>Non-proportional</v>
          </cell>
          <cell r="S2688">
            <v>28057.360000000001</v>
          </cell>
          <cell r="X2688" t="str">
            <v>Claims - gross</v>
          </cell>
          <cell r="Y2688" t="str">
            <v>UNITED KINGDOM</v>
          </cell>
        </row>
        <row r="2689">
          <cell r="L2689" t="str">
            <v>Non-proportional</v>
          </cell>
          <cell r="S2689">
            <v>-19278</v>
          </cell>
          <cell r="X2689" t="str">
            <v>Claims - gross</v>
          </cell>
          <cell r="Y2689" t="str">
            <v>Portugal</v>
          </cell>
        </row>
        <row r="2690">
          <cell r="L2690" t="str">
            <v>Non-proportional</v>
          </cell>
          <cell r="S2690">
            <v>-4526.3999999999996</v>
          </cell>
          <cell r="X2690" t="str">
            <v>Claims - gross</v>
          </cell>
          <cell r="Y2690" t="str">
            <v>Portugal</v>
          </cell>
        </row>
        <row r="2691">
          <cell r="L2691" t="str">
            <v>Proportional</v>
          </cell>
          <cell r="S2691">
            <v>-1052323.8700000001</v>
          </cell>
          <cell r="X2691" t="str">
            <v>Claims - gross</v>
          </cell>
          <cell r="Y2691" t="str">
            <v>AUSTRALIA</v>
          </cell>
        </row>
        <row r="2692">
          <cell r="L2692" t="str">
            <v>Non-proportional</v>
          </cell>
          <cell r="S2692">
            <v>-159698.44</v>
          </cell>
          <cell r="X2692" t="str">
            <v>Claims - gross</v>
          </cell>
          <cell r="Y2692" t="str">
            <v>Portugal</v>
          </cell>
        </row>
        <row r="2693">
          <cell r="L2693" t="str">
            <v>Non-proportional</v>
          </cell>
          <cell r="S2693">
            <v>6248.01</v>
          </cell>
          <cell r="X2693" t="str">
            <v>Claims - gross</v>
          </cell>
          <cell r="Y2693" t="str">
            <v>AUSTRALIA</v>
          </cell>
        </row>
        <row r="2694">
          <cell r="L2694" t="str">
            <v>Proportional</v>
          </cell>
          <cell r="S2694">
            <v>23259.96</v>
          </cell>
          <cell r="X2694" t="str">
            <v>Claims - gross</v>
          </cell>
          <cell r="Y2694" t="str">
            <v>HONG KONG</v>
          </cell>
        </row>
        <row r="2695">
          <cell r="L2695" t="str">
            <v>Non-proportional</v>
          </cell>
          <cell r="S2695">
            <v>-51143.13</v>
          </cell>
          <cell r="X2695" t="str">
            <v>Claims - gross</v>
          </cell>
          <cell r="Y2695" t="str">
            <v>GERMANY</v>
          </cell>
        </row>
        <row r="2696">
          <cell r="L2696" t="str">
            <v>Proportional</v>
          </cell>
          <cell r="S2696">
            <v>1800613.53</v>
          </cell>
          <cell r="X2696" t="str">
            <v>Claims - gross</v>
          </cell>
          <cell r="Y2696" t="str">
            <v>THAILAND</v>
          </cell>
        </row>
        <row r="2697">
          <cell r="L2697" t="str">
            <v>Non-proportional</v>
          </cell>
          <cell r="S2697">
            <v>2038.98</v>
          </cell>
          <cell r="X2697" t="str">
            <v>Claims - gross</v>
          </cell>
          <cell r="Y2697" t="str">
            <v>THAILAND</v>
          </cell>
        </row>
        <row r="2698">
          <cell r="L2698" t="str">
            <v>Non-proportional</v>
          </cell>
          <cell r="S2698">
            <v>-7745.64</v>
          </cell>
          <cell r="X2698" t="str">
            <v>Claims - gross</v>
          </cell>
          <cell r="Y2698" t="str">
            <v>India</v>
          </cell>
        </row>
        <row r="2699">
          <cell r="L2699" t="str">
            <v>Non-proportional</v>
          </cell>
          <cell r="S2699">
            <v>-1626.58</v>
          </cell>
          <cell r="X2699" t="str">
            <v>Claims - gross</v>
          </cell>
          <cell r="Y2699" t="str">
            <v>India</v>
          </cell>
        </row>
        <row r="2700">
          <cell r="L2700" t="str">
            <v>Non-proportional</v>
          </cell>
          <cell r="S2700">
            <v>-30987.5</v>
          </cell>
          <cell r="X2700" t="str">
            <v>Claims - gross</v>
          </cell>
          <cell r="Y2700" t="str">
            <v>Portugal</v>
          </cell>
        </row>
        <row r="2701">
          <cell r="L2701" t="str">
            <v>Non-proportional</v>
          </cell>
          <cell r="S2701">
            <v>-18961.77</v>
          </cell>
          <cell r="X2701" t="str">
            <v>Claims - gross</v>
          </cell>
          <cell r="Y2701" t="str">
            <v>GERMANY</v>
          </cell>
        </row>
        <row r="2702">
          <cell r="L2702" t="str">
            <v>Proportional</v>
          </cell>
          <cell r="S2702">
            <v>-52.34</v>
          </cell>
          <cell r="X2702" t="str">
            <v>Claims - gross</v>
          </cell>
          <cell r="Y2702" t="str">
            <v>Thailand</v>
          </cell>
        </row>
        <row r="2703">
          <cell r="L2703" t="str">
            <v>Non-proportional</v>
          </cell>
          <cell r="S2703">
            <v>1568.04</v>
          </cell>
          <cell r="X2703" t="str">
            <v>Claims - gross</v>
          </cell>
          <cell r="Y2703" t="str">
            <v>INDIA</v>
          </cell>
        </row>
        <row r="2704">
          <cell r="L2704" t="str">
            <v>Non-proportional</v>
          </cell>
          <cell r="S2704">
            <v>-9852.66</v>
          </cell>
          <cell r="X2704" t="str">
            <v>Claims - gross</v>
          </cell>
          <cell r="Y2704" t="str">
            <v>India</v>
          </cell>
        </row>
        <row r="2705">
          <cell r="L2705" t="str">
            <v>Non-proportional</v>
          </cell>
          <cell r="S2705">
            <v>-187600</v>
          </cell>
          <cell r="X2705" t="str">
            <v>Claims - gross</v>
          </cell>
          <cell r="Y2705" t="str">
            <v>Portugal</v>
          </cell>
        </row>
        <row r="2706">
          <cell r="L2706" t="str">
            <v>Non-proportional</v>
          </cell>
          <cell r="S2706">
            <v>-176924.78</v>
          </cell>
          <cell r="X2706" t="str">
            <v>Claims - gross</v>
          </cell>
          <cell r="Y2706" t="str">
            <v>POLAND</v>
          </cell>
        </row>
        <row r="2707">
          <cell r="L2707" t="str">
            <v>Non-proportional</v>
          </cell>
          <cell r="S2707">
            <v>-82550.8</v>
          </cell>
          <cell r="X2707" t="str">
            <v>Claims - gross</v>
          </cell>
          <cell r="Y2707" t="str">
            <v>AUSTRALIA</v>
          </cell>
        </row>
        <row r="2708">
          <cell r="L2708" t="str">
            <v>Proportional</v>
          </cell>
          <cell r="S2708">
            <v>53366.59</v>
          </cell>
          <cell r="X2708" t="str">
            <v>Claims - gross</v>
          </cell>
          <cell r="Y2708" t="str">
            <v>TURKEY</v>
          </cell>
        </row>
        <row r="2709">
          <cell r="L2709" t="str">
            <v>Non-proportional</v>
          </cell>
          <cell r="S2709">
            <v>-1434.12</v>
          </cell>
          <cell r="X2709" t="str">
            <v>Claims - gross</v>
          </cell>
          <cell r="Y2709" t="str">
            <v>INDIA</v>
          </cell>
        </row>
        <row r="2710">
          <cell r="L2710" t="str">
            <v>Non-proportional</v>
          </cell>
          <cell r="S2710">
            <v>-30213.69</v>
          </cell>
          <cell r="X2710" t="str">
            <v>Claims - gross</v>
          </cell>
          <cell r="Y2710" t="str">
            <v>UNITED KINGDOM</v>
          </cell>
        </row>
        <row r="2711">
          <cell r="L2711" t="str">
            <v>Non-proportional</v>
          </cell>
          <cell r="S2711">
            <v>-5218.7700000000004</v>
          </cell>
          <cell r="X2711" t="str">
            <v>Claims - gross</v>
          </cell>
          <cell r="Y2711" t="str">
            <v>India</v>
          </cell>
        </row>
        <row r="2712">
          <cell r="L2712" t="str">
            <v>Proportional</v>
          </cell>
          <cell r="S2712">
            <v>1819.45</v>
          </cell>
          <cell r="X2712" t="str">
            <v>Claims - gross</v>
          </cell>
          <cell r="Y2712" t="str">
            <v>TURKEY</v>
          </cell>
        </row>
        <row r="2713">
          <cell r="L2713" t="str">
            <v>Non-proportional</v>
          </cell>
          <cell r="S2713">
            <v>-241746.24</v>
          </cell>
          <cell r="X2713" t="str">
            <v>Claims - gross</v>
          </cell>
          <cell r="Y2713" t="str">
            <v>Portugal</v>
          </cell>
        </row>
        <row r="2714">
          <cell r="L2714" t="str">
            <v>Proportional</v>
          </cell>
          <cell r="S2714">
            <v>-1044.51</v>
          </cell>
          <cell r="X2714" t="str">
            <v>Claims - gross</v>
          </cell>
          <cell r="Y2714" t="str">
            <v>THAILAND</v>
          </cell>
        </row>
        <row r="2715">
          <cell r="L2715" t="str">
            <v>Non-proportional</v>
          </cell>
          <cell r="S2715">
            <v>-668.56</v>
          </cell>
          <cell r="X2715" t="str">
            <v>Claims - gross</v>
          </cell>
          <cell r="Y2715" t="str">
            <v>INDIA</v>
          </cell>
        </row>
        <row r="2716">
          <cell r="L2716" t="str">
            <v>Non-proportional</v>
          </cell>
          <cell r="S2716">
            <v>945.85</v>
          </cell>
          <cell r="X2716" t="str">
            <v>Claims - gross</v>
          </cell>
          <cell r="Y2716" t="str">
            <v>PORTUGAL</v>
          </cell>
        </row>
        <row r="2717">
          <cell r="L2717" t="str">
            <v>Proportional</v>
          </cell>
          <cell r="S2717">
            <v>32009.33</v>
          </cell>
          <cell r="X2717" t="str">
            <v>Claims - gross</v>
          </cell>
          <cell r="Y2717" t="str">
            <v>THAILAND</v>
          </cell>
        </row>
        <row r="2718">
          <cell r="L2718" t="str">
            <v>Non-proportional</v>
          </cell>
          <cell r="S2718">
            <v>-2760</v>
          </cell>
          <cell r="X2718" t="str">
            <v>Claims - gross</v>
          </cell>
          <cell r="Y2718" t="str">
            <v>Portugal</v>
          </cell>
        </row>
        <row r="2719">
          <cell r="L2719" t="str">
            <v>Non-proportional</v>
          </cell>
          <cell r="S2719">
            <v>-36504.07</v>
          </cell>
          <cell r="X2719" t="str">
            <v>Claims - gross</v>
          </cell>
          <cell r="Y2719" t="str">
            <v>GERMANY</v>
          </cell>
        </row>
        <row r="2720">
          <cell r="L2720" t="str">
            <v>Non-proportional</v>
          </cell>
          <cell r="S2720">
            <v>-47622.53</v>
          </cell>
          <cell r="X2720" t="str">
            <v>Claims - gross</v>
          </cell>
          <cell r="Y2720" t="str">
            <v>India</v>
          </cell>
        </row>
        <row r="2721">
          <cell r="L2721" t="str">
            <v>Non-proportional</v>
          </cell>
          <cell r="S2721">
            <v>43912.71</v>
          </cell>
          <cell r="X2721" t="str">
            <v>Claims - gross</v>
          </cell>
          <cell r="Y2721" t="str">
            <v>AUSTRALIA</v>
          </cell>
        </row>
        <row r="2722">
          <cell r="L2722" t="str">
            <v>Proportional</v>
          </cell>
          <cell r="S2722">
            <v>-43346.37</v>
          </cell>
          <cell r="X2722" t="str">
            <v>Claims - gross</v>
          </cell>
          <cell r="Y2722" t="str">
            <v>SINGAPORE</v>
          </cell>
        </row>
        <row r="2723">
          <cell r="L2723" t="str">
            <v>Non-proportional</v>
          </cell>
          <cell r="S2723">
            <v>-5920.79</v>
          </cell>
          <cell r="X2723" t="str">
            <v>Claims - gross</v>
          </cell>
          <cell r="Y2723" t="str">
            <v>PORTUGAL</v>
          </cell>
        </row>
        <row r="2724">
          <cell r="L2724" t="str">
            <v>Non-proportional</v>
          </cell>
          <cell r="S2724">
            <v>116285.37</v>
          </cell>
          <cell r="X2724" t="str">
            <v>Claims - gross</v>
          </cell>
          <cell r="Y2724" t="str">
            <v>GERMANY</v>
          </cell>
        </row>
        <row r="2725">
          <cell r="L2725" t="str">
            <v>Non-proportional</v>
          </cell>
          <cell r="S2725">
            <v>-55275</v>
          </cell>
          <cell r="X2725" t="str">
            <v>Claims - gross</v>
          </cell>
          <cell r="Y2725" t="str">
            <v>Portugal</v>
          </cell>
        </row>
        <row r="2726">
          <cell r="L2726" t="str">
            <v>Non-proportional</v>
          </cell>
          <cell r="S2726">
            <v>-143450.1</v>
          </cell>
          <cell r="X2726" t="str">
            <v>Claims - gross</v>
          </cell>
          <cell r="Y2726" t="str">
            <v>UNITED KINGDOM</v>
          </cell>
        </row>
        <row r="2727">
          <cell r="L2727" t="str">
            <v>Proportional</v>
          </cell>
          <cell r="S2727">
            <v>636.23</v>
          </cell>
          <cell r="X2727" t="str">
            <v>Claims - gross</v>
          </cell>
          <cell r="Y2727" t="str">
            <v>THAILAND</v>
          </cell>
        </row>
        <row r="2728">
          <cell r="L2728" t="str">
            <v>Proportional</v>
          </cell>
          <cell r="S2728">
            <v>-783856.62</v>
          </cell>
          <cell r="X2728" t="str">
            <v>Claims - gross</v>
          </cell>
          <cell r="Y2728" t="str">
            <v>THAILAND</v>
          </cell>
        </row>
        <row r="2729">
          <cell r="L2729" t="str">
            <v>Proportional</v>
          </cell>
          <cell r="S2729">
            <v>-2622690.5299999998</v>
          </cell>
          <cell r="X2729" t="str">
            <v>Claims - gross</v>
          </cell>
          <cell r="Y2729" t="str">
            <v>PORTUGAL</v>
          </cell>
        </row>
        <row r="2730">
          <cell r="L2730" t="str">
            <v>Non-proportional</v>
          </cell>
          <cell r="S2730">
            <v>-29.12</v>
          </cell>
          <cell r="X2730" t="str">
            <v>Claims - gross</v>
          </cell>
          <cell r="Y2730" t="str">
            <v>India</v>
          </cell>
        </row>
        <row r="2731">
          <cell r="L2731" t="str">
            <v>Non-proportional</v>
          </cell>
          <cell r="S2731">
            <v>20583.59</v>
          </cell>
          <cell r="X2731" t="str">
            <v>Claims - gross</v>
          </cell>
          <cell r="Y2731" t="str">
            <v>PORTUGAL</v>
          </cell>
        </row>
        <row r="2732">
          <cell r="L2732" t="str">
            <v>Non-proportional</v>
          </cell>
          <cell r="S2732">
            <v>-139500</v>
          </cell>
          <cell r="X2732" t="str">
            <v>Claims - gross</v>
          </cell>
          <cell r="Y2732" t="str">
            <v>Portugal</v>
          </cell>
        </row>
        <row r="2733">
          <cell r="L2733" t="str">
            <v>Proportional</v>
          </cell>
          <cell r="S2733">
            <v>9558.5499999999993</v>
          </cell>
          <cell r="X2733" t="str">
            <v>Claims - gross</v>
          </cell>
          <cell r="Y2733" t="str">
            <v>THAILAND</v>
          </cell>
        </row>
        <row r="2734">
          <cell r="L2734" t="str">
            <v>Non-proportional</v>
          </cell>
          <cell r="S2734">
            <v>55966.67</v>
          </cell>
          <cell r="X2734" t="str">
            <v>Claims - gross</v>
          </cell>
          <cell r="Y2734" t="str">
            <v>CHINA</v>
          </cell>
        </row>
        <row r="2735">
          <cell r="L2735" t="str">
            <v>Proportional</v>
          </cell>
          <cell r="S2735">
            <v>-283213.64</v>
          </cell>
          <cell r="X2735" t="str">
            <v>Claims - gross</v>
          </cell>
          <cell r="Y2735" t="str">
            <v>BELGIUM</v>
          </cell>
        </row>
        <row r="2736">
          <cell r="L2736" t="str">
            <v>Non-proportional</v>
          </cell>
          <cell r="S2736">
            <v>-24613.02</v>
          </cell>
          <cell r="X2736" t="str">
            <v>Claims - gross</v>
          </cell>
          <cell r="Y2736" t="str">
            <v>SLOVENIA</v>
          </cell>
        </row>
        <row r="2737">
          <cell r="L2737" t="str">
            <v>Non-proportional</v>
          </cell>
          <cell r="S2737">
            <v>-18536.080000000002</v>
          </cell>
          <cell r="X2737" t="str">
            <v>Claims - gross</v>
          </cell>
          <cell r="Y2737" t="str">
            <v>TURKEY</v>
          </cell>
        </row>
        <row r="2738">
          <cell r="L2738" t="str">
            <v>Non-proportional</v>
          </cell>
          <cell r="S2738">
            <v>-10553.87</v>
          </cell>
          <cell r="X2738" t="str">
            <v>Claims - gross</v>
          </cell>
          <cell r="Y2738" t="str">
            <v>FRANCE</v>
          </cell>
        </row>
        <row r="2739">
          <cell r="L2739" t="str">
            <v>Non-proportional</v>
          </cell>
          <cell r="S2739">
            <v>-884611.36</v>
          </cell>
          <cell r="X2739" t="str">
            <v>Claims - gross</v>
          </cell>
          <cell r="Y2739" t="str">
            <v>THAILAND</v>
          </cell>
        </row>
        <row r="2740">
          <cell r="L2740" t="str">
            <v>Non-proportional</v>
          </cell>
          <cell r="S2740">
            <v>-1428.26</v>
          </cell>
          <cell r="X2740" t="str">
            <v>Claims - gross</v>
          </cell>
          <cell r="Y2740" t="str">
            <v>ICELAND</v>
          </cell>
        </row>
        <row r="2741">
          <cell r="L2741" t="str">
            <v>Non-proportional</v>
          </cell>
          <cell r="S2741">
            <v>-39005.35</v>
          </cell>
          <cell r="X2741" t="str">
            <v>Claims - gross</v>
          </cell>
          <cell r="Y2741" t="str">
            <v>UNITED KINGDOM</v>
          </cell>
        </row>
        <row r="2742">
          <cell r="L2742" t="str">
            <v>Proportional</v>
          </cell>
          <cell r="S2742">
            <v>-57907.01</v>
          </cell>
          <cell r="X2742" t="str">
            <v>Claims - gross</v>
          </cell>
          <cell r="Y2742" t="str">
            <v>THAILAND</v>
          </cell>
        </row>
        <row r="2743">
          <cell r="L2743" t="str">
            <v>Proportional</v>
          </cell>
          <cell r="S2743">
            <v>-9015.75</v>
          </cell>
          <cell r="X2743" t="str">
            <v>Claims - gross</v>
          </cell>
          <cell r="Y2743" t="str">
            <v>CANADA</v>
          </cell>
        </row>
        <row r="2744">
          <cell r="L2744" t="str">
            <v>Non-proportional</v>
          </cell>
          <cell r="S2744">
            <v>-594429.85</v>
          </cell>
          <cell r="X2744" t="str">
            <v>Claims - gross</v>
          </cell>
          <cell r="Y2744" t="str">
            <v>THAILAND</v>
          </cell>
        </row>
        <row r="2745">
          <cell r="L2745" t="str">
            <v>Non-proportional</v>
          </cell>
          <cell r="S2745">
            <v>8207.32</v>
          </cell>
          <cell r="X2745" t="str">
            <v>Claims - gross</v>
          </cell>
          <cell r="Y2745" t="str">
            <v>AUSTRALIA</v>
          </cell>
        </row>
        <row r="2746">
          <cell r="L2746" t="str">
            <v>Proportional</v>
          </cell>
          <cell r="S2746">
            <v>-173517.83</v>
          </cell>
          <cell r="X2746" t="str">
            <v>Claims - gross</v>
          </cell>
          <cell r="Y2746" t="str">
            <v>TURKEY</v>
          </cell>
        </row>
        <row r="2747">
          <cell r="L2747" t="str">
            <v>Non-proportional</v>
          </cell>
          <cell r="S2747">
            <v>491337.08</v>
          </cell>
          <cell r="X2747" t="str">
            <v>Claims - gross</v>
          </cell>
          <cell r="Y2747" t="str">
            <v>AUSTRALIA</v>
          </cell>
        </row>
        <row r="2748">
          <cell r="L2748" t="str">
            <v>Non-proportional</v>
          </cell>
          <cell r="S2748">
            <v>-99763</v>
          </cell>
          <cell r="X2748" t="str">
            <v>Claims - gross</v>
          </cell>
          <cell r="Y2748" t="str">
            <v>SWEDEN</v>
          </cell>
        </row>
        <row r="2749">
          <cell r="L2749" t="str">
            <v>Non-proportional</v>
          </cell>
          <cell r="S2749">
            <v>-156188.51999999999</v>
          </cell>
          <cell r="X2749" t="str">
            <v>Claims - gross</v>
          </cell>
          <cell r="Y2749" t="str">
            <v>UNITED KINGDOM</v>
          </cell>
        </row>
        <row r="2750">
          <cell r="L2750" t="str">
            <v>Non-proportional</v>
          </cell>
          <cell r="S2750">
            <v>15553.1</v>
          </cell>
          <cell r="X2750" t="str">
            <v>Claims - gross</v>
          </cell>
          <cell r="Y2750" t="str">
            <v>AUSTRALIA</v>
          </cell>
        </row>
        <row r="2751">
          <cell r="L2751" t="str">
            <v>Non-proportional</v>
          </cell>
          <cell r="S2751">
            <v>-8471.27</v>
          </cell>
          <cell r="X2751" t="str">
            <v>Claims - gross</v>
          </cell>
          <cell r="Y2751" t="str">
            <v>PORTUGAL</v>
          </cell>
        </row>
        <row r="2752">
          <cell r="L2752" t="str">
            <v>Proportional</v>
          </cell>
          <cell r="S2752">
            <v>1334.3</v>
          </cell>
          <cell r="X2752" t="str">
            <v>Claims - gross</v>
          </cell>
          <cell r="Y2752" t="str">
            <v>THAILAND</v>
          </cell>
        </row>
        <row r="2753">
          <cell r="L2753" t="str">
            <v>Proportional</v>
          </cell>
          <cell r="S2753">
            <v>162468.75</v>
          </cell>
          <cell r="X2753" t="str">
            <v>Claims - gross</v>
          </cell>
          <cell r="Y2753" t="str">
            <v>THAILAND</v>
          </cell>
        </row>
        <row r="2754">
          <cell r="L2754" t="str">
            <v>Non-proportional</v>
          </cell>
          <cell r="S2754">
            <v>4912.54</v>
          </cell>
          <cell r="X2754" t="str">
            <v>Claims - gross</v>
          </cell>
          <cell r="Y2754" t="str">
            <v>THAILAND</v>
          </cell>
        </row>
        <row r="2755">
          <cell r="L2755" t="str">
            <v>Non-proportional</v>
          </cell>
          <cell r="S2755">
            <v>179127.66</v>
          </cell>
          <cell r="X2755" t="str">
            <v>Claims - gross</v>
          </cell>
          <cell r="Y2755" t="str">
            <v>UNITED KINGDOM</v>
          </cell>
        </row>
        <row r="2756">
          <cell r="L2756" t="str">
            <v>Non-proportional</v>
          </cell>
          <cell r="S2756">
            <v>109478.18</v>
          </cell>
          <cell r="X2756" t="str">
            <v>Claims - gross</v>
          </cell>
          <cell r="Y2756" t="str">
            <v>TURKEY</v>
          </cell>
        </row>
        <row r="2757">
          <cell r="L2757" t="str">
            <v>Proportional</v>
          </cell>
          <cell r="S2757">
            <v>3572759.41</v>
          </cell>
          <cell r="X2757" t="str">
            <v>Claims - gross</v>
          </cell>
          <cell r="Y2757" t="str">
            <v>AUSTRALIA</v>
          </cell>
        </row>
        <row r="2758">
          <cell r="L2758" t="str">
            <v>Non-proportional</v>
          </cell>
          <cell r="S2758">
            <v>-2017.35</v>
          </cell>
          <cell r="X2758" t="str">
            <v>Claims - gross</v>
          </cell>
          <cell r="Y2758" t="str">
            <v>India</v>
          </cell>
        </row>
        <row r="2759">
          <cell r="L2759" t="str">
            <v>Non-proportional</v>
          </cell>
          <cell r="S2759">
            <v>-471387.57</v>
          </cell>
          <cell r="X2759" t="str">
            <v>Claims - gross</v>
          </cell>
          <cell r="Y2759" t="str">
            <v>Belgium</v>
          </cell>
        </row>
        <row r="2760">
          <cell r="L2760" t="str">
            <v>Proportional</v>
          </cell>
          <cell r="S2760">
            <v>97955.42</v>
          </cell>
          <cell r="X2760" t="str">
            <v>Claims - gross</v>
          </cell>
          <cell r="Y2760" t="str">
            <v>PORTUGAL</v>
          </cell>
        </row>
        <row r="2761">
          <cell r="L2761" t="str">
            <v>Non-proportional</v>
          </cell>
          <cell r="S2761">
            <v>-98725.440000000002</v>
          </cell>
          <cell r="X2761" t="str">
            <v>Claims - gross</v>
          </cell>
          <cell r="Y2761" t="str">
            <v>GERMANY</v>
          </cell>
        </row>
        <row r="2762">
          <cell r="L2762" t="str">
            <v>Non-proportional</v>
          </cell>
          <cell r="S2762">
            <v>-692275.41</v>
          </cell>
          <cell r="X2762" t="str">
            <v>Claims - gross</v>
          </cell>
          <cell r="Y2762" t="str">
            <v>Belgium</v>
          </cell>
        </row>
        <row r="2763">
          <cell r="L2763" t="str">
            <v>Non-proportional</v>
          </cell>
          <cell r="S2763">
            <v>-33750</v>
          </cell>
          <cell r="X2763" t="str">
            <v>Claims - gross</v>
          </cell>
          <cell r="Y2763" t="str">
            <v>Portugal</v>
          </cell>
        </row>
        <row r="2764">
          <cell r="L2764" t="str">
            <v>Proportional</v>
          </cell>
          <cell r="S2764">
            <v>765.81</v>
          </cell>
          <cell r="X2764" t="str">
            <v>Claims - gross</v>
          </cell>
          <cell r="Y2764" t="str">
            <v>TURKEY</v>
          </cell>
        </row>
        <row r="2765">
          <cell r="L2765" t="str">
            <v>Non-proportional</v>
          </cell>
          <cell r="S2765">
            <v>-4087.08</v>
          </cell>
          <cell r="X2765" t="str">
            <v>Claims - gross</v>
          </cell>
          <cell r="Y2765" t="str">
            <v>India</v>
          </cell>
        </row>
        <row r="2766">
          <cell r="L2766" t="str">
            <v>Non-proportional</v>
          </cell>
          <cell r="S2766">
            <v>-1295.8699999999999</v>
          </cell>
          <cell r="X2766" t="str">
            <v>Claims - gross</v>
          </cell>
          <cell r="Y2766" t="str">
            <v>INDIA</v>
          </cell>
        </row>
        <row r="2767">
          <cell r="L2767" t="str">
            <v>Non-proportional</v>
          </cell>
          <cell r="S2767">
            <v>224607.11</v>
          </cell>
          <cell r="X2767" t="str">
            <v>Claims - gross</v>
          </cell>
          <cell r="Y2767" t="str">
            <v>AUSTRALIA</v>
          </cell>
        </row>
        <row r="2768">
          <cell r="L2768" t="str">
            <v>Proportional</v>
          </cell>
          <cell r="S2768">
            <v>-199658.75</v>
          </cell>
          <cell r="X2768" t="str">
            <v>Claims - gross</v>
          </cell>
          <cell r="Y2768" t="str">
            <v>AUSTRALIA</v>
          </cell>
        </row>
        <row r="2769">
          <cell r="L2769" t="str">
            <v>Non-proportional</v>
          </cell>
          <cell r="S2769">
            <v>-23625</v>
          </cell>
          <cell r="X2769" t="str">
            <v>Claims - gross</v>
          </cell>
          <cell r="Y2769" t="str">
            <v>Portugal</v>
          </cell>
        </row>
        <row r="2770">
          <cell r="L2770" t="str">
            <v>Non-proportional</v>
          </cell>
          <cell r="S2770">
            <v>-10050</v>
          </cell>
          <cell r="X2770" t="str">
            <v>Claims - gross</v>
          </cell>
          <cell r="Y2770" t="str">
            <v>Portugal</v>
          </cell>
        </row>
        <row r="2771">
          <cell r="L2771" t="str">
            <v>Non-proportional</v>
          </cell>
          <cell r="S2771">
            <v>-1107.98</v>
          </cell>
          <cell r="X2771" t="str">
            <v>Claims - gross</v>
          </cell>
          <cell r="Y2771" t="str">
            <v>INDIA</v>
          </cell>
        </row>
        <row r="2772">
          <cell r="L2772" t="str">
            <v>Non-proportional</v>
          </cell>
          <cell r="S2772">
            <v>-20812.5</v>
          </cell>
          <cell r="X2772" t="str">
            <v>Claims - gross</v>
          </cell>
          <cell r="Y2772" t="str">
            <v>Portugal</v>
          </cell>
        </row>
        <row r="2773">
          <cell r="L2773" t="str">
            <v>Proportional</v>
          </cell>
          <cell r="S2773">
            <v>17410.009999999998</v>
          </cell>
          <cell r="X2773" t="str">
            <v>Claims - gross</v>
          </cell>
          <cell r="Y2773" t="str">
            <v>PORTUGAL</v>
          </cell>
        </row>
        <row r="2774">
          <cell r="L2774" t="str">
            <v>Non-proportional</v>
          </cell>
          <cell r="S2774">
            <v>-12259.72</v>
          </cell>
          <cell r="X2774" t="str">
            <v>Claims - gross</v>
          </cell>
          <cell r="Y2774" t="str">
            <v>AUSTRALIA</v>
          </cell>
        </row>
        <row r="2775">
          <cell r="L2775" t="str">
            <v>Non-proportional</v>
          </cell>
          <cell r="S2775">
            <v>-10654.55</v>
          </cell>
          <cell r="X2775" t="str">
            <v>Claims - gross</v>
          </cell>
          <cell r="Y2775" t="str">
            <v>India</v>
          </cell>
        </row>
        <row r="2776">
          <cell r="L2776" t="str">
            <v>Non-proportional</v>
          </cell>
          <cell r="S2776">
            <v>-1326.86</v>
          </cell>
          <cell r="X2776" t="str">
            <v>Claims - gross</v>
          </cell>
          <cell r="Y2776" t="str">
            <v>India</v>
          </cell>
        </row>
        <row r="2777">
          <cell r="L2777" t="str">
            <v>Proportional</v>
          </cell>
          <cell r="S2777">
            <v>11853.65</v>
          </cell>
          <cell r="X2777" t="str">
            <v>Claims - gross</v>
          </cell>
          <cell r="Y2777" t="str">
            <v>THAILAND</v>
          </cell>
        </row>
        <row r="2778">
          <cell r="L2778" t="str">
            <v>Non-proportional</v>
          </cell>
          <cell r="S2778">
            <v>-300035.02</v>
          </cell>
          <cell r="X2778" t="str">
            <v>Claims - gross</v>
          </cell>
          <cell r="Y2778" t="str">
            <v>PORTUGAL</v>
          </cell>
        </row>
        <row r="2779">
          <cell r="L2779" t="str">
            <v>Non-proportional</v>
          </cell>
          <cell r="S2779">
            <v>250000</v>
          </cell>
          <cell r="X2779" t="str">
            <v>Claims - gross</v>
          </cell>
          <cell r="Y2779" t="str">
            <v>GERMANY</v>
          </cell>
        </row>
        <row r="2780">
          <cell r="L2780" t="str">
            <v>Non-proportional</v>
          </cell>
          <cell r="S2780">
            <v>-3312</v>
          </cell>
          <cell r="X2780" t="str">
            <v>Claims - gross</v>
          </cell>
          <cell r="Y2780" t="str">
            <v>Portugal</v>
          </cell>
        </row>
        <row r="2781">
          <cell r="L2781" t="str">
            <v>Proportional</v>
          </cell>
          <cell r="S2781">
            <v>20.170000000000002</v>
          </cell>
          <cell r="X2781" t="str">
            <v>Claims - gross</v>
          </cell>
          <cell r="Y2781" t="str">
            <v>SINGAPORE</v>
          </cell>
        </row>
        <row r="2782">
          <cell r="L2782" t="str">
            <v>Non-proportional</v>
          </cell>
          <cell r="S2782">
            <v>2967.95</v>
          </cell>
          <cell r="X2782" t="str">
            <v>Claims - gross</v>
          </cell>
          <cell r="Y2782" t="str">
            <v>INDIA</v>
          </cell>
        </row>
        <row r="2783">
          <cell r="L2783" t="str">
            <v>Proportional</v>
          </cell>
          <cell r="S2783">
            <v>-2824252.23</v>
          </cell>
          <cell r="X2783" t="str">
            <v>Claims - gross</v>
          </cell>
          <cell r="Y2783" t="str">
            <v>PORTUGAL</v>
          </cell>
        </row>
        <row r="2784">
          <cell r="L2784" t="str">
            <v>Non-proportional</v>
          </cell>
          <cell r="S2784">
            <v>-27950</v>
          </cell>
          <cell r="X2784" t="str">
            <v>Claims - gross</v>
          </cell>
          <cell r="Y2784" t="str">
            <v>PORTUGAL</v>
          </cell>
        </row>
        <row r="2785">
          <cell r="L2785" t="str">
            <v>Proportional</v>
          </cell>
          <cell r="S2785">
            <v>-21067.14</v>
          </cell>
          <cell r="X2785" t="str">
            <v>Claims - gross</v>
          </cell>
          <cell r="Y2785" t="str">
            <v>UNITED STATES</v>
          </cell>
        </row>
        <row r="2786">
          <cell r="L2786" t="str">
            <v>Non-proportional</v>
          </cell>
          <cell r="S2786">
            <v>-7813504.9800000004</v>
          </cell>
          <cell r="X2786" t="str">
            <v>Claims - gross</v>
          </cell>
          <cell r="Y2786" t="str">
            <v>UNITED KINGDOM</v>
          </cell>
        </row>
        <row r="2787">
          <cell r="L2787" t="str">
            <v>Proportional</v>
          </cell>
          <cell r="S2787">
            <v>383202.18</v>
          </cell>
          <cell r="X2787" t="str">
            <v>Claims - gross</v>
          </cell>
          <cell r="Y2787" t="str">
            <v>PORTUGAL</v>
          </cell>
        </row>
        <row r="2788">
          <cell r="L2788" t="str">
            <v>Non-proportional</v>
          </cell>
          <cell r="S2788">
            <v>-96993.4</v>
          </cell>
          <cell r="X2788" t="str">
            <v>Claims - gross</v>
          </cell>
          <cell r="Y2788" t="str">
            <v>AUSTRALIA</v>
          </cell>
        </row>
        <row r="2789">
          <cell r="L2789" t="str">
            <v>Non-proportional</v>
          </cell>
          <cell r="S2789">
            <v>368041.51</v>
          </cell>
          <cell r="X2789" t="str">
            <v>Claims - gross</v>
          </cell>
          <cell r="Y2789" t="str">
            <v>AUSTRALIA</v>
          </cell>
        </row>
        <row r="2790">
          <cell r="L2790" t="str">
            <v>Non-proportional</v>
          </cell>
          <cell r="S2790">
            <v>-1194.57</v>
          </cell>
          <cell r="X2790" t="str">
            <v>Claims - gross</v>
          </cell>
          <cell r="Y2790" t="str">
            <v>India</v>
          </cell>
        </row>
        <row r="2791">
          <cell r="L2791" t="str">
            <v>Non-proportional</v>
          </cell>
          <cell r="S2791">
            <v>-1338.43</v>
          </cell>
          <cell r="X2791" t="str">
            <v>Claims - gross</v>
          </cell>
          <cell r="Y2791" t="str">
            <v>India</v>
          </cell>
        </row>
        <row r="2792">
          <cell r="L2792" t="str">
            <v>Non-proportional</v>
          </cell>
          <cell r="S2792">
            <v>-15229.32</v>
          </cell>
          <cell r="X2792" t="str">
            <v>Claims - gross</v>
          </cell>
          <cell r="Y2792" t="str">
            <v>India</v>
          </cell>
        </row>
        <row r="2793">
          <cell r="L2793" t="str">
            <v>Non-proportional</v>
          </cell>
          <cell r="S2793">
            <v>-42120</v>
          </cell>
          <cell r="X2793" t="str">
            <v>Claims - gross</v>
          </cell>
          <cell r="Y2793" t="str">
            <v>Portugal</v>
          </cell>
        </row>
        <row r="2794">
          <cell r="L2794" t="str">
            <v>Non-proportional</v>
          </cell>
          <cell r="S2794">
            <v>-14235.32</v>
          </cell>
          <cell r="X2794" t="str">
            <v>Claims - gross</v>
          </cell>
          <cell r="Y2794" t="str">
            <v>INDIA</v>
          </cell>
        </row>
        <row r="2795">
          <cell r="L2795" t="str">
            <v>Non-proportional</v>
          </cell>
          <cell r="S2795">
            <v>1324035.3400000001</v>
          </cell>
          <cell r="X2795" t="str">
            <v>Claims - gross</v>
          </cell>
          <cell r="Y2795" t="str">
            <v>UNITED STATES</v>
          </cell>
        </row>
        <row r="2796">
          <cell r="L2796" t="str">
            <v>Non-proportional</v>
          </cell>
          <cell r="S2796">
            <v>-187968.38</v>
          </cell>
          <cell r="X2796" t="str">
            <v>Claims - gross</v>
          </cell>
          <cell r="Y2796" t="str">
            <v>CZECH REPUBLIC</v>
          </cell>
        </row>
        <row r="2797">
          <cell r="L2797" t="str">
            <v>Proportional</v>
          </cell>
          <cell r="S2797">
            <v>3566.31</v>
          </cell>
          <cell r="X2797" t="str">
            <v>Claims - gross</v>
          </cell>
          <cell r="Y2797" t="str">
            <v>THAILAND</v>
          </cell>
        </row>
        <row r="2798">
          <cell r="L2798" t="str">
            <v>Non-proportional</v>
          </cell>
          <cell r="S2798">
            <v>21237.02</v>
          </cell>
          <cell r="X2798" t="str">
            <v>Claims - gross</v>
          </cell>
          <cell r="Y2798" t="str">
            <v>CHINA</v>
          </cell>
        </row>
        <row r="2799">
          <cell r="L2799" t="str">
            <v>Non-proportional</v>
          </cell>
          <cell r="S2799">
            <v>-6750</v>
          </cell>
          <cell r="X2799" t="str">
            <v>Claims - gross</v>
          </cell>
          <cell r="Y2799" t="str">
            <v>Portugal</v>
          </cell>
        </row>
        <row r="2800">
          <cell r="L2800" t="str">
            <v>Non-proportional</v>
          </cell>
          <cell r="S2800">
            <v>93150.16</v>
          </cell>
          <cell r="X2800" t="str">
            <v>Claims - gross</v>
          </cell>
          <cell r="Y2800" t="str">
            <v>PORTUGAL</v>
          </cell>
        </row>
        <row r="2801">
          <cell r="L2801" t="str">
            <v>Non-proportional</v>
          </cell>
          <cell r="S2801">
            <v>5581.45</v>
          </cell>
          <cell r="X2801" t="str">
            <v>Claims - gross</v>
          </cell>
          <cell r="Y2801" t="str">
            <v>GERMANY</v>
          </cell>
        </row>
        <row r="2802">
          <cell r="L2802" t="str">
            <v>Non-proportional</v>
          </cell>
          <cell r="S2802">
            <v>-1354.63</v>
          </cell>
          <cell r="X2802" t="str">
            <v>Claims - gross</v>
          </cell>
          <cell r="Y2802" t="str">
            <v>India</v>
          </cell>
        </row>
        <row r="2803">
          <cell r="L2803" t="str">
            <v>Non-proportional</v>
          </cell>
          <cell r="S2803">
            <v>-1505.16</v>
          </cell>
          <cell r="X2803" t="str">
            <v>Claims - gross</v>
          </cell>
          <cell r="Y2803" t="str">
            <v>India</v>
          </cell>
        </row>
        <row r="2804">
          <cell r="L2804" t="str">
            <v>Non-proportional</v>
          </cell>
          <cell r="S2804">
            <v>-28810</v>
          </cell>
          <cell r="X2804" t="str">
            <v>Claims - gross</v>
          </cell>
          <cell r="Y2804" t="str">
            <v>Portugal</v>
          </cell>
        </row>
        <row r="2805">
          <cell r="L2805" t="str">
            <v>Non-proportional</v>
          </cell>
          <cell r="S2805">
            <v>4550179.93</v>
          </cell>
          <cell r="X2805" t="str">
            <v>Claims - gross</v>
          </cell>
          <cell r="Y2805" t="str">
            <v>AUSTRALIA</v>
          </cell>
        </row>
        <row r="2806">
          <cell r="L2806" t="str">
            <v>Non-proportional</v>
          </cell>
          <cell r="S2806">
            <v>-4484760.28</v>
          </cell>
          <cell r="X2806" t="str">
            <v>Claims - gross</v>
          </cell>
          <cell r="Y2806" t="str">
            <v>United kingdom</v>
          </cell>
        </row>
        <row r="2807">
          <cell r="L2807" t="str">
            <v>Proportional</v>
          </cell>
          <cell r="S2807">
            <v>71136.38</v>
          </cell>
          <cell r="X2807" t="str">
            <v>Claims - gross</v>
          </cell>
          <cell r="Y2807" t="str">
            <v>BELGIUM</v>
          </cell>
        </row>
        <row r="2808">
          <cell r="L2808" t="str">
            <v>Non-proportional</v>
          </cell>
          <cell r="S2808">
            <v>2218.16</v>
          </cell>
          <cell r="X2808" t="str">
            <v>Claims - gross</v>
          </cell>
          <cell r="Y2808" t="str">
            <v>AUSTRALIA</v>
          </cell>
        </row>
        <row r="2809">
          <cell r="L2809" t="str">
            <v>Non-proportional</v>
          </cell>
          <cell r="S2809">
            <v>-68617.56</v>
          </cell>
          <cell r="X2809" t="str">
            <v>Claims - gross</v>
          </cell>
          <cell r="Y2809" t="str">
            <v>AUSTRALIA</v>
          </cell>
        </row>
        <row r="2810">
          <cell r="L2810" t="str">
            <v>Non-proportional</v>
          </cell>
          <cell r="S2810">
            <v>2860.3</v>
          </cell>
          <cell r="X2810" t="str">
            <v>Claims - gross</v>
          </cell>
          <cell r="Y2810" t="str">
            <v>INDIA</v>
          </cell>
        </row>
        <row r="2811">
          <cell r="L2811" t="str">
            <v>Proportional</v>
          </cell>
          <cell r="S2811">
            <v>1240664.48</v>
          </cell>
          <cell r="X2811" t="str">
            <v>Claims - gross</v>
          </cell>
          <cell r="Y2811" t="str">
            <v>HONG KONG</v>
          </cell>
        </row>
        <row r="2812">
          <cell r="L2812" t="str">
            <v>Non-proportional</v>
          </cell>
          <cell r="S2812">
            <v>-15600</v>
          </cell>
          <cell r="X2812" t="str">
            <v>Claims - gross</v>
          </cell>
          <cell r="Y2812" t="str">
            <v>PORTUGAL</v>
          </cell>
        </row>
        <row r="2813">
          <cell r="L2813" t="str">
            <v>Non-proportional</v>
          </cell>
          <cell r="S2813">
            <v>-42666.080000000002</v>
          </cell>
          <cell r="X2813" t="str">
            <v>Claims - gross</v>
          </cell>
          <cell r="Y2813" t="str">
            <v>India</v>
          </cell>
        </row>
        <row r="2814">
          <cell r="L2814" t="str">
            <v>Non-proportional</v>
          </cell>
          <cell r="S2814">
            <v>-2326.3000000000002</v>
          </cell>
          <cell r="X2814" t="str">
            <v>Claims - gross</v>
          </cell>
          <cell r="Y2814" t="str">
            <v>India</v>
          </cell>
        </row>
        <row r="2815">
          <cell r="L2815" t="str">
            <v>Non-proportional</v>
          </cell>
          <cell r="S2815">
            <v>-3260442.28</v>
          </cell>
          <cell r="X2815" t="str">
            <v>Claims - gross</v>
          </cell>
          <cell r="Y2815" t="str">
            <v>AUSTRALIA</v>
          </cell>
        </row>
        <row r="2816">
          <cell r="L2816" t="str">
            <v>Non-proportional</v>
          </cell>
          <cell r="S2816">
            <v>122315.47</v>
          </cell>
          <cell r="X2816" t="str">
            <v>Claims - gross</v>
          </cell>
          <cell r="Y2816" t="str">
            <v>UNITED KINGDOM</v>
          </cell>
        </row>
        <row r="2817">
          <cell r="L2817" t="str">
            <v>Proportional</v>
          </cell>
          <cell r="S2817">
            <v>42171.56</v>
          </cell>
          <cell r="X2817" t="str">
            <v>Claims - gross</v>
          </cell>
          <cell r="Y2817" t="str">
            <v>THAILAND</v>
          </cell>
        </row>
        <row r="2818">
          <cell r="L2818" t="str">
            <v>Non-proportional</v>
          </cell>
          <cell r="S2818">
            <v>-25795</v>
          </cell>
          <cell r="X2818" t="str">
            <v>Claims - gross</v>
          </cell>
          <cell r="Y2818" t="str">
            <v>Portugal</v>
          </cell>
        </row>
        <row r="2819">
          <cell r="L2819" t="str">
            <v>Non-proportional</v>
          </cell>
          <cell r="S2819">
            <v>-4679.3900000000003</v>
          </cell>
          <cell r="X2819" t="str">
            <v>Claims - gross</v>
          </cell>
          <cell r="Y2819" t="str">
            <v>India</v>
          </cell>
        </row>
        <row r="2820">
          <cell r="L2820" t="str">
            <v>Non-proportional</v>
          </cell>
          <cell r="S2820">
            <v>-13668.54</v>
          </cell>
          <cell r="X2820" t="str">
            <v>Claims - gross</v>
          </cell>
          <cell r="Y2820" t="str">
            <v>GERMANY</v>
          </cell>
        </row>
        <row r="2821">
          <cell r="L2821" t="str">
            <v>Non-proportional</v>
          </cell>
          <cell r="S2821">
            <v>-19350</v>
          </cell>
          <cell r="X2821" t="str">
            <v>Claims - gross</v>
          </cell>
          <cell r="Y2821" t="str">
            <v>Portugal</v>
          </cell>
        </row>
        <row r="2822">
          <cell r="L2822" t="str">
            <v>Non-proportional</v>
          </cell>
          <cell r="S2822">
            <v>-1073.8900000000001</v>
          </cell>
          <cell r="X2822" t="str">
            <v>Claims - gross</v>
          </cell>
          <cell r="Y2822" t="str">
            <v>India</v>
          </cell>
        </row>
        <row r="2823">
          <cell r="L2823" t="str">
            <v>Non-proportional</v>
          </cell>
          <cell r="S2823">
            <v>-97946.240000000005</v>
          </cell>
          <cell r="X2823" t="str">
            <v>Claims - gross</v>
          </cell>
          <cell r="Y2823" t="str">
            <v>United kingdom</v>
          </cell>
        </row>
        <row r="2824">
          <cell r="L2824" t="str">
            <v>Proportional</v>
          </cell>
          <cell r="S2824">
            <v>-327795.24</v>
          </cell>
          <cell r="X2824" t="str">
            <v>Claims - gross</v>
          </cell>
          <cell r="Y2824" t="str">
            <v>THAILAND</v>
          </cell>
        </row>
        <row r="2825">
          <cell r="L2825" t="str">
            <v>Non-proportional</v>
          </cell>
          <cell r="S2825">
            <v>8592.52</v>
          </cell>
          <cell r="X2825" t="str">
            <v>Claims - gross</v>
          </cell>
          <cell r="Y2825" t="str">
            <v>AUSTRALIA</v>
          </cell>
        </row>
        <row r="2826">
          <cell r="L2826" t="str">
            <v>Proportional</v>
          </cell>
          <cell r="S2826">
            <v>-927128.74</v>
          </cell>
          <cell r="X2826" t="str">
            <v>Claims - gross</v>
          </cell>
          <cell r="Y2826" t="str">
            <v>PORTUGAL</v>
          </cell>
        </row>
        <row r="2827">
          <cell r="L2827" t="str">
            <v>Proportional</v>
          </cell>
          <cell r="S2827">
            <v>-7363.98</v>
          </cell>
          <cell r="X2827" t="str">
            <v>Claims - gross</v>
          </cell>
          <cell r="Y2827" t="str">
            <v>THAILAND</v>
          </cell>
        </row>
        <row r="2828">
          <cell r="L2828" t="str">
            <v>Non-proportional</v>
          </cell>
          <cell r="S2828">
            <v>250000</v>
          </cell>
          <cell r="X2828" t="str">
            <v>Claims - gross</v>
          </cell>
          <cell r="Y2828" t="str">
            <v>EUROPE</v>
          </cell>
        </row>
        <row r="2829">
          <cell r="L2829" t="str">
            <v>Proportional</v>
          </cell>
          <cell r="S2829">
            <v>-70014.03</v>
          </cell>
          <cell r="X2829" t="str">
            <v>Claims - gross</v>
          </cell>
          <cell r="Y2829" t="str">
            <v>CANADA</v>
          </cell>
        </row>
        <row r="2830">
          <cell r="L2830" t="str">
            <v>Proportional</v>
          </cell>
          <cell r="S2830">
            <v>-1382404.75</v>
          </cell>
          <cell r="X2830" t="str">
            <v>Claims - gross</v>
          </cell>
          <cell r="Y2830" t="str">
            <v>PORTUGAL</v>
          </cell>
        </row>
        <row r="2831">
          <cell r="L2831" t="str">
            <v>Proportional</v>
          </cell>
          <cell r="S2831">
            <v>-65223.87</v>
          </cell>
          <cell r="X2831" t="str">
            <v>Claims - gross</v>
          </cell>
          <cell r="Y2831" t="str">
            <v>THAILAND</v>
          </cell>
        </row>
        <row r="2832">
          <cell r="L2832" t="str">
            <v>Non-proportional</v>
          </cell>
          <cell r="S2832">
            <v>35556.839999999997</v>
          </cell>
          <cell r="X2832" t="str">
            <v>Claims - gross</v>
          </cell>
          <cell r="Y2832" t="str">
            <v>EUROPE</v>
          </cell>
        </row>
        <row r="2833">
          <cell r="L2833" t="str">
            <v>Non-proportional</v>
          </cell>
          <cell r="S2833">
            <v>-174432.05</v>
          </cell>
          <cell r="X2833" t="str">
            <v>Claims - gross</v>
          </cell>
          <cell r="Y2833" t="str">
            <v>AUSTRALIA</v>
          </cell>
        </row>
        <row r="2834">
          <cell r="L2834" t="str">
            <v>Non-proportional</v>
          </cell>
          <cell r="S2834">
            <v>34621.620000000003</v>
          </cell>
          <cell r="X2834" t="str">
            <v>Claims - gross</v>
          </cell>
          <cell r="Y2834" t="str">
            <v>UNITED KINGDOM</v>
          </cell>
        </row>
        <row r="2835">
          <cell r="L2835" t="str">
            <v>Non-proportional</v>
          </cell>
          <cell r="S2835">
            <v>-790.01</v>
          </cell>
          <cell r="X2835" t="str">
            <v>Claims - gross</v>
          </cell>
          <cell r="Y2835" t="str">
            <v>INDIA</v>
          </cell>
        </row>
        <row r="2836">
          <cell r="L2836" t="str">
            <v>Non-proportional</v>
          </cell>
          <cell r="S2836">
            <v>-54027</v>
          </cell>
          <cell r="X2836" t="str">
            <v>Claims - gross</v>
          </cell>
          <cell r="Y2836" t="str">
            <v>Portugal</v>
          </cell>
        </row>
        <row r="2837">
          <cell r="L2837" t="str">
            <v>Non-proportional</v>
          </cell>
          <cell r="S2837">
            <v>23410.15</v>
          </cell>
          <cell r="X2837" t="str">
            <v>Claims - gross</v>
          </cell>
          <cell r="Y2837" t="str">
            <v>GERMANY</v>
          </cell>
        </row>
        <row r="2838">
          <cell r="L2838" t="str">
            <v>Non-proportional</v>
          </cell>
          <cell r="S2838">
            <v>-71482.42</v>
          </cell>
          <cell r="X2838" t="str">
            <v>Claims - gross</v>
          </cell>
          <cell r="Y2838" t="str">
            <v>GERMANY</v>
          </cell>
        </row>
        <row r="2839">
          <cell r="L2839" t="str">
            <v>Non-proportional</v>
          </cell>
          <cell r="S2839">
            <v>-31096</v>
          </cell>
          <cell r="X2839" t="str">
            <v>Claims - gross</v>
          </cell>
          <cell r="Y2839" t="str">
            <v>GERMANY</v>
          </cell>
        </row>
        <row r="2840">
          <cell r="L2840" t="str">
            <v>Non-proportional</v>
          </cell>
          <cell r="S2840">
            <v>-3394.8</v>
          </cell>
          <cell r="X2840" t="str">
            <v>Claims - gross</v>
          </cell>
          <cell r="Y2840" t="str">
            <v>Portugal</v>
          </cell>
        </row>
        <row r="2841">
          <cell r="L2841" t="str">
            <v>Proportional</v>
          </cell>
          <cell r="S2841">
            <v>-20742.34</v>
          </cell>
          <cell r="X2841" t="str">
            <v>Claims - gross</v>
          </cell>
          <cell r="Y2841" t="str">
            <v>INDIA</v>
          </cell>
        </row>
        <row r="2842">
          <cell r="L2842" t="str">
            <v>Non-proportional</v>
          </cell>
          <cell r="S2842">
            <v>-470998.47</v>
          </cell>
          <cell r="X2842" t="str">
            <v>Claims - gross</v>
          </cell>
          <cell r="Y2842" t="str">
            <v>Portugal</v>
          </cell>
        </row>
        <row r="2843">
          <cell r="L2843" t="str">
            <v>Non-proportional</v>
          </cell>
          <cell r="S2843">
            <v>4191.76</v>
          </cell>
          <cell r="X2843" t="str">
            <v>Claims - gross</v>
          </cell>
          <cell r="Y2843" t="str">
            <v>PORTUGAL</v>
          </cell>
        </row>
        <row r="2844">
          <cell r="L2844" t="str">
            <v>Proportional</v>
          </cell>
          <cell r="S2844">
            <v>-100386.18</v>
          </cell>
          <cell r="X2844" t="str">
            <v>Claims - gross</v>
          </cell>
          <cell r="Y2844" t="str">
            <v>AUSTRALIA</v>
          </cell>
        </row>
        <row r="2845">
          <cell r="L2845" t="str">
            <v>Non-proportional</v>
          </cell>
          <cell r="S2845">
            <v>-4767.2</v>
          </cell>
          <cell r="X2845" t="str">
            <v>Claims - gross</v>
          </cell>
          <cell r="Y2845" t="str">
            <v>India</v>
          </cell>
        </row>
        <row r="2846">
          <cell r="L2846" t="str">
            <v>Proportional</v>
          </cell>
          <cell r="S2846">
            <v>-15050.34</v>
          </cell>
          <cell r="X2846" t="str">
            <v>Claims - gross</v>
          </cell>
          <cell r="Y2846" t="str">
            <v>THAILAND</v>
          </cell>
        </row>
        <row r="2847">
          <cell r="L2847" t="str">
            <v>Non-proportional</v>
          </cell>
          <cell r="S2847">
            <v>-502630.04</v>
          </cell>
          <cell r="X2847" t="str">
            <v>Claims - gross</v>
          </cell>
          <cell r="Y2847" t="str">
            <v>United kingdom</v>
          </cell>
        </row>
        <row r="2848">
          <cell r="L2848" t="str">
            <v>Non-proportional</v>
          </cell>
          <cell r="S2848">
            <v>144378.49</v>
          </cell>
          <cell r="X2848" t="str">
            <v>Claims - gross</v>
          </cell>
          <cell r="Y2848" t="str">
            <v>AUSTRALIA</v>
          </cell>
        </row>
        <row r="2849">
          <cell r="L2849" t="str">
            <v>Non-proportional</v>
          </cell>
          <cell r="S2849">
            <v>-600000</v>
          </cell>
          <cell r="X2849" t="str">
            <v>Claims - gross</v>
          </cell>
          <cell r="Y2849" t="str">
            <v>TURKEY</v>
          </cell>
        </row>
        <row r="2850">
          <cell r="L2850" t="str">
            <v>Non-proportional</v>
          </cell>
          <cell r="S2850">
            <v>-10886582.27</v>
          </cell>
          <cell r="X2850" t="str">
            <v>Claims - gross</v>
          </cell>
          <cell r="Y2850" t="str">
            <v>UNITED KINGDOM</v>
          </cell>
        </row>
        <row r="2851">
          <cell r="L2851" t="str">
            <v>Non-proportional</v>
          </cell>
          <cell r="S2851">
            <v>81568.899999999994</v>
          </cell>
          <cell r="X2851" t="str">
            <v>Claims - gross</v>
          </cell>
          <cell r="Y2851" t="str">
            <v>UNITED STATES</v>
          </cell>
        </row>
        <row r="2852">
          <cell r="L2852" t="str">
            <v>Non-proportional</v>
          </cell>
          <cell r="S2852">
            <v>-9472.08</v>
          </cell>
          <cell r="X2852" t="str">
            <v>Claims - gross</v>
          </cell>
          <cell r="Y2852" t="str">
            <v>INDIA</v>
          </cell>
        </row>
        <row r="2853">
          <cell r="L2853" t="str">
            <v>Non-proportional</v>
          </cell>
          <cell r="S2853">
            <v>-679.72</v>
          </cell>
          <cell r="X2853" t="str">
            <v>Claims - gross</v>
          </cell>
          <cell r="Y2853" t="str">
            <v>INDIA</v>
          </cell>
        </row>
        <row r="2854">
          <cell r="L2854" t="str">
            <v>Non-proportional</v>
          </cell>
          <cell r="S2854">
            <v>1685533.89</v>
          </cell>
          <cell r="X2854" t="str">
            <v>Claims - gross</v>
          </cell>
          <cell r="Y2854" t="str">
            <v>AUSTRALIA</v>
          </cell>
        </row>
        <row r="2855">
          <cell r="L2855" t="str">
            <v>Non-proportional</v>
          </cell>
          <cell r="S2855">
            <v>-10050</v>
          </cell>
          <cell r="X2855" t="str">
            <v>Claims - gross</v>
          </cell>
          <cell r="Y2855" t="str">
            <v>Portugal</v>
          </cell>
        </row>
        <row r="2856">
          <cell r="L2856" t="str">
            <v>Non-proportional</v>
          </cell>
          <cell r="S2856">
            <v>-25924.880000000001</v>
          </cell>
          <cell r="X2856" t="str">
            <v>Claims - gross</v>
          </cell>
          <cell r="Y2856" t="str">
            <v>AUSTRALIA</v>
          </cell>
        </row>
        <row r="2857">
          <cell r="L2857" t="str">
            <v>Proportional</v>
          </cell>
          <cell r="S2857">
            <v>20540.53</v>
          </cell>
          <cell r="X2857" t="str">
            <v>Claims - gross</v>
          </cell>
          <cell r="Y2857" t="str">
            <v>THAILAND</v>
          </cell>
        </row>
        <row r="2858">
          <cell r="L2858" t="str">
            <v>Proportional</v>
          </cell>
          <cell r="S2858">
            <v>8349344.3600000003</v>
          </cell>
          <cell r="X2858" t="str">
            <v>Claims - gross</v>
          </cell>
          <cell r="Y2858" t="str">
            <v>THAILAND</v>
          </cell>
        </row>
        <row r="2859">
          <cell r="L2859" t="str">
            <v>Non-proportional</v>
          </cell>
          <cell r="S2859">
            <v>281.26</v>
          </cell>
          <cell r="X2859" t="str">
            <v>Claims - gross</v>
          </cell>
          <cell r="Y2859" t="str">
            <v>INDIA</v>
          </cell>
        </row>
        <row r="2860">
          <cell r="L2860" t="str">
            <v>Non-proportional</v>
          </cell>
          <cell r="S2860">
            <v>-14736</v>
          </cell>
          <cell r="X2860" t="str">
            <v>Claims - gross</v>
          </cell>
          <cell r="Y2860" t="str">
            <v>Portugal</v>
          </cell>
        </row>
        <row r="2861">
          <cell r="L2861" t="str">
            <v>Proportional</v>
          </cell>
          <cell r="S2861">
            <v>-6517.29</v>
          </cell>
          <cell r="X2861" t="str">
            <v>Claims - gross</v>
          </cell>
          <cell r="Y2861" t="str">
            <v>PORTUGAL</v>
          </cell>
        </row>
        <row r="2862">
          <cell r="L2862" t="str">
            <v>Non-proportional</v>
          </cell>
          <cell r="S2862">
            <v>-137411.99</v>
          </cell>
          <cell r="X2862" t="str">
            <v>Claims - gross</v>
          </cell>
          <cell r="Y2862" t="str">
            <v>Belgium</v>
          </cell>
        </row>
        <row r="2863">
          <cell r="L2863" t="str">
            <v>Non-proportional</v>
          </cell>
          <cell r="S2863">
            <v>-10587.71</v>
          </cell>
          <cell r="X2863" t="str">
            <v>Claims - gross</v>
          </cell>
          <cell r="Y2863" t="str">
            <v>India</v>
          </cell>
        </row>
        <row r="2864">
          <cell r="L2864" t="str">
            <v>Proportional</v>
          </cell>
          <cell r="S2864">
            <v>-32413.85</v>
          </cell>
          <cell r="X2864" t="str">
            <v>Claims - gross</v>
          </cell>
          <cell r="Y2864" t="str">
            <v>THAILAND</v>
          </cell>
        </row>
        <row r="2865">
          <cell r="L2865" t="str">
            <v>Non-proportional</v>
          </cell>
          <cell r="S2865">
            <v>1261.1199999999999</v>
          </cell>
          <cell r="X2865" t="str">
            <v>Claims - gross</v>
          </cell>
          <cell r="Y2865" t="str">
            <v>PORTUGAL</v>
          </cell>
        </row>
        <row r="2866">
          <cell r="L2866" t="str">
            <v>Non-proportional</v>
          </cell>
          <cell r="S2866">
            <v>-4225.28</v>
          </cell>
          <cell r="X2866" t="str">
            <v>Claims - gross</v>
          </cell>
          <cell r="Y2866" t="str">
            <v>India</v>
          </cell>
        </row>
        <row r="2867">
          <cell r="L2867" t="str">
            <v>Proportional</v>
          </cell>
          <cell r="S2867">
            <v>851327.7</v>
          </cell>
          <cell r="X2867" t="str">
            <v>Claims - gross</v>
          </cell>
          <cell r="Y2867" t="str">
            <v>HONG KONG</v>
          </cell>
        </row>
        <row r="2868">
          <cell r="L2868" t="str">
            <v>Non-proportional</v>
          </cell>
          <cell r="S2868">
            <v>-8079.16</v>
          </cell>
          <cell r="X2868" t="str">
            <v>Claims - gross</v>
          </cell>
          <cell r="Y2868" t="str">
            <v>INDIA</v>
          </cell>
        </row>
        <row r="2869">
          <cell r="L2869" t="str">
            <v>Non-proportional</v>
          </cell>
          <cell r="S2869">
            <v>11668.24</v>
          </cell>
          <cell r="X2869" t="str">
            <v>Claims - gross</v>
          </cell>
          <cell r="Y2869" t="str">
            <v>EUROPE</v>
          </cell>
        </row>
        <row r="2870">
          <cell r="L2870" t="str">
            <v>Non-proportional</v>
          </cell>
          <cell r="S2870">
            <v>417359.87</v>
          </cell>
          <cell r="X2870" t="str">
            <v>Claims - gross</v>
          </cell>
          <cell r="Y2870" t="str">
            <v>BELGIUM</v>
          </cell>
        </row>
        <row r="2871">
          <cell r="L2871" t="str">
            <v>Non-proportional</v>
          </cell>
          <cell r="S2871">
            <v>-166947.74</v>
          </cell>
          <cell r="X2871" t="str">
            <v>Claims - gross</v>
          </cell>
          <cell r="Y2871" t="str">
            <v>UNITED KINGDOM</v>
          </cell>
        </row>
        <row r="2872">
          <cell r="L2872" t="str">
            <v>Non-proportional</v>
          </cell>
          <cell r="S2872">
            <v>-481583.42</v>
          </cell>
          <cell r="X2872" t="str">
            <v>Claims - gross</v>
          </cell>
          <cell r="Y2872" t="str">
            <v>SWEDEN</v>
          </cell>
        </row>
        <row r="2873">
          <cell r="L2873" t="str">
            <v>Proportional</v>
          </cell>
          <cell r="S2873">
            <v>-8511196.7100000009</v>
          </cell>
          <cell r="X2873" t="str">
            <v>Claims - gross</v>
          </cell>
          <cell r="Y2873" t="str">
            <v>THAILAND</v>
          </cell>
        </row>
        <row r="2874">
          <cell r="L2874" t="str">
            <v>Proportional</v>
          </cell>
          <cell r="S2874">
            <v>-111700345.09999999</v>
          </cell>
          <cell r="X2874" t="str">
            <v>Claims - gross</v>
          </cell>
          <cell r="Y2874" t="str">
            <v>ITALY</v>
          </cell>
        </row>
        <row r="2875">
          <cell r="L2875" t="str">
            <v>Proportional</v>
          </cell>
          <cell r="S2875">
            <v>-112658329</v>
          </cell>
          <cell r="X2875" t="str">
            <v>Claims - gross</v>
          </cell>
          <cell r="Y2875" t="str">
            <v>ITALY</v>
          </cell>
        </row>
        <row r="2876">
          <cell r="L2876" t="str">
            <v>Proportional</v>
          </cell>
          <cell r="S2876">
            <v>111623735.59999999</v>
          </cell>
          <cell r="X2876" t="str">
            <v>Claims - gross</v>
          </cell>
          <cell r="Y2876" t="str">
            <v>ITALY</v>
          </cell>
        </row>
        <row r="2877">
          <cell r="L2877" t="str">
            <v>Proportional</v>
          </cell>
          <cell r="S2877">
            <v>-111623735.59999999</v>
          </cell>
          <cell r="X2877" t="str">
            <v>Claims - gross</v>
          </cell>
          <cell r="Y2877" t="str">
            <v>ITALY</v>
          </cell>
        </row>
        <row r="2878">
          <cell r="L2878" t="str">
            <v>Proportional</v>
          </cell>
          <cell r="S2878">
            <v>111700345.09999999</v>
          </cell>
          <cell r="X2878" t="str">
            <v>Claims - gross</v>
          </cell>
          <cell r="Y2878" t="str">
            <v>ITALY</v>
          </cell>
        </row>
        <row r="2879">
          <cell r="L2879" t="str">
            <v>Proportional</v>
          </cell>
          <cell r="S2879">
            <v>9332672.5899999999</v>
          </cell>
          <cell r="X2879" t="str">
            <v>Claims - gross</v>
          </cell>
          <cell r="Y2879" t="str">
            <v>ITALY</v>
          </cell>
        </row>
        <row r="2880">
          <cell r="L2880" t="str">
            <v>Proportional</v>
          </cell>
          <cell r="S2880">
            <v>112658329</v>
          </cell>
          <cell r="X2880" t="str">
            <v>Claims - gross</v>
          </cell>
          <cell r="Y2880" t="str">
            <v>ITALY</v>
          </cell>
        </row>
        <row r="2881">
          <cell r="L2881" t="str">
            <v>Non-proportional</v>
          </cell>
          <cell r="S2881">
            <v>-116285.37</v>
          </cell>
          <cell r="X2881" t="str">
            <v>Claims - gross</v>
          </cell>
          <cell r="Y2881" t="str">
            <v>GERMANY</v>
          </cell>
        </row>
        <row r="2882">
          <cell r="L2882" t="str">
            <v>Non-proportional</v>
          </cell>
          <cell r="S2882">
            <v>115056.79</v>
          </cell>
          <cell r="X2882" t="str">
            <v>Claims - gross</v>
          </cell>
          <cell r="Y2882" t="str">
            <v>UNITED KINGDOM</v>
          </cell>
        </row>
        <row r="2883">
          <cell r="L2883" t="str">
            <v>Proportional</v>
          </cell>
          <cell r="S2883">
            <v>577402.9</v>
          </cell>
          <cell r="X2883" t="str">
            <v>Claims - gross</v>
          </cell>
          <cell r="Y2883" t="str">
            <v>PORTUGAL</v>
          </cell>
        </row>
        <row r="2884">
          <cell r="L2884" t="str">
            <v>Proportional</v>
          </cell>
          <cell r="S2884">
            <v>-339.39</v>
          </cell>
          <cell r="X2884" t="str">
            <v>Claims - gross</v>
          </cell>
          <cell r="Y2884" t="str">
            <v>THAILAND</v>
          </cell>
        </row>
        <row r="2885">
          <cell r="L2885" t="str">
            <v>Proportional</v>
          </cell>
          <cell r="S2885">
            <v>-959481.83</v>
          </cell>
          <cell r="X2885" t="str">
            <v>Claims - gross</v>
          </cell>
          <cell r="Y2885" t="str">
            <v>HONG KONG</v>
          </cell>
        </row>
        <row r="2886">
          <cell r="L2886" t="str">
            <v>Non-proportional</v>
          </cell>
          <cell r="S2886">
            <v>3975.15</v>
          </cell>
          <cell r="X2886" t="str">
            <v>Claims - gross</v>
          </cell>
          <cell r="Y2886" t="str">
            <v>THAILAND</v>
          </cell>
        </row>
        <row r="2887">
          <cell r="L2887" t="str">
            <v>Non-proportional</v>
          </cell>
          <cell r="S2887">
            <v>11084.72</v>
          </cell>
          <cell r="X2887" t="str">
            <v>Claims - gross</v>
          </cell>
          <cell r="Y2887" t="str">
            <v>THAILAND</v>
          </cell>
        </row>
        <row r="2888">
          <cell r="L2888" t="str">
            <v>Proportional</v>
          </cell>
          <cell r="S2888">
            <v>-21176.48</v>
          </cell>
          <cell r="X2888" t="str">
            <v>Claims - gross</v>
          </cell>
          <cell r="Y2888" t="str">
            <v>MALAYSIA</v>
          </cell>
        </row>
        <row r="2889">
          <cell r="L2889" t="str">
            <v>Proportional</v>
          </cell>
          <cell r="S2889">
            <v>504425.49</v>
          </cell>
          <cell r="X2889" t="str">
            <v>Claims - gross</v>
          </cell>
          <cell r="Y2889" t="str">
            <v>HONG KONG</v>
          </cell>
        </row>
        <row r="2890">
          <cell r="L2890" t="str">
            <v>Proportional</v>
          </cell>
          <cell r="S2890">
            <v>-848335.3</v>
          </cell>
          <cell r="X2890" t="str">
            <v>Claims - gross</v>
          </cell>
          <cell r="Y2890" t="str">
            <v>HONG KONG</v>
          </cell>
        </row>
        <row r="2891">
          <cell r="L2891" t="str">
            <v>Non-proportional</v>
          </cell>
          <cell r="S2891">
            <v>-524.80999999999995</v>
          </cell>
          <cell r="X2891" t="str">
            <v>Claims - gross</v>
          </cell>
          <cell r="Y2891" t="str">
            <v>INDIA</v>
          </cell>
        </row>
        <row r="2892">
          <cell r="L2892" t="str">
            <v>Non-proportional</v>
          </cell>
          <cell r="S2892">
            <v>0</v>
          </cell>
          <cell r="X2892" t="str">
            <v>Claims - gross</v>
          </cell>
          <cell r="Y2892" t="str">
            <v>India</v>
          </cell>
        </row>
        <row r="2893">
          <cell r="L2893" t="str">
            <v>Non-proportional</v>
          </cell>
          <cell r="S2893">
            <v>35556.839999999997</v>
          </cell>
          <cell r="X2893" t="str">
            <v>Claims - gross</v>
          </cell>
          <cell r="Y2893" t="str">
            <v>EUROPE</v>
          </cell>
        </row>
        <row r="2894">
          <cell r="L2894" t="str">
            <v>Non-proportional</v>
          </cell>
          <cell r="S2894">
            <v>244183.09</v>
          </cell>
          <cell r="X2894" t="str">
            <v>Claims - gross</v>
          </cell>
          <cell r="Y2894" t="str">
            <v>UNITED KINGDOM</v>
          </cell>
        </row>
        <row r="2895">
          <cell r="L2895" t="str">
            <v>Non-proportional</v>
          </cell>
          <cell r="S2895">
            <v>-1624.09</v>
          </cell>
          <cell r="X2895" t="str">
            <v>Claims - gross</v>
          </cell>
          <cell r="Y2895" t="str">
            <v>INDIA</v>
          </cell>
        </row>
        <row r="2896">
          <cell r="L2896" t="str">
            <v>Proportional</v>
          </cell>
          <cell r="S2896">
            <v>18749747.34</v>
          </cell>
          <cell r="X2896" t="str">
            <v>Claims - gross</v>
          </cell>
          <cell r="Y2896" t="str">
            <v>ITALY</v>
          </cell>
        </row>
        <row r="2897">
          <cell r="L2897" t="str">
            <v>Non-proportional</v>
          </cell>
          <cell r="S2897">
            <v>945.84</v>
          </cell>
          <cell r="X2897" t="str">
            <v>Claims - gross</v>
          </cell>
          <cell r="Y2897" t="str">
            <v>PORTUGAL</v>
          </cell>
        </row>
        <row r="2898">
          <cell r="L2898" t="str">
            <v>Proportional</v>
          </cell>
          <cell r="S2898">
            <v>71136.37</v>
          </cell>
          <cell r="X2898" t="str">
            <v>Claims - gross</v>
          </cell>
          <cell r="Y2898" t="str">
            <v>BELGIUM</v>
          </cell>
        </row>
        <row r="2899">
          <cell r="L2899" t="str">
            <v>Non-proportional</v>
          </cell>
          <cell r="S2899">
            <v>8829.39</v>
          </cell>
          <cell r="X2899" t="str">
            <v>Claims - gross</v>
          </cell>
          <cell r="Y2899" t="str">
            <v>AUSTRALIA</v>
          </cell>
        </row>
        <row r="2900">
          <cell r="L2900" t="str">
            <v>Non-proportional</v>
          </cell>
          <cell r="S2900">
            <v>17680.14</v>
          </cell>
          <cell r="X2900" t="str">
            <v>Claims - gross</v>
          </cell>
          <cell r="Y2900" t="str">
            <v>AUSTRALIA</v>
          </cell>
        </row>
        <row r="2901">
          <cell r="L2901" t="str">
            <v>Non-proportional</v>
          </cell>
          <cell r="S2901">
            <v>35678.019999999997</v>
          </cell>
          <cell r="X2901" t="str">
            <v>Claims - gross</v>
          </cell>
          <cell r="Y2901" t="str">
            <v>UNITED KINGDOM</v>
          </cell>
        </row>
        <row r="2902">
          <cell r="L2902" t="str">
            <v>Non-proportional</v>
          </cell>
          <cell r="S2902">
            <v>-214.96</v>
          </cell>
          <cell r="X2902" t="str">
            <v>Claims - gross</v>
          </cell>
          <cell r="Y2902" t="str">
            <v>INDIA</v>
          </cell>
        </row>
        <row r="2903">
          <cell r="L2903" t="str">
            <v>Non-proportional</v>
          </cell>
          <cell r="S2903">
            <v>83489.67</v>
          </cell>
          <cell r="X2903" t="str">
            <v>Claims - gross</v>
          </cell>
          <cell r="Y2903" t="str">
            <v>UNITED KINGDOM</v>
          </cell>
        </row>
        <row r="2904">
          <cell r="L2904" t="str">
            <v>Proportional</v>
          </cell>
          <cell r="S2904">
            <v>-78834.92</v>
          </cell>
          <cell r="X2904" t="str">
            <v>Claims - gross</v>
          </cell>
          <cell r="Y2904" t="str">
            <v>THAILAND</v>
          </cell>
        </row>
        <row r="2905">
          <cell r="L2905" t="str">
            <v>Proportional</v>
          </cell>
          <cell r="S2905">
            <v>-2416.7600000000002</v>
          </cell>
          <cell r="X2905" t="str">
            <v>Claims - gross</v>
          </cell>
          <cell r="Y2905" t="str">
            <v>SINGAPORE</v>
          </cell>
        </row>
        <row r="2906">
          <cell r="L2906" t="str">
            <v>Non-proportional</v>
          </cell>
          <cell r="S2906">
            <v>-213.15</v>
          </cell>
          <cell r="X2906" t="str">
            <v>Claims - gross</v>
          </cell>
          <cell r="Y2906" t="str">
            <v>INDIA</v>
          </cell>
        </row>
        <row r="2907">
          <cell r="L2907" t="str">
            <v>Non-proportional</v>
          </cell>
          <cell r="S2907">
            <v>906.29</v>
          </cell>
          <cell r="X2907" t="str">
            <v>Claims - gross</v>
          </cell>
          <cell r="Y2907" t="str">
            <v>INDIA</v>
          </cell>
        </row>
        <row r="2908">
          <cell r="L2908" t="str">
            <v>Proportional</v>
          </cell>
          <cell r="S2908">
            <v>-2500000</v>
          </cell>
          <cell r="X2908" t="str">
            <v>Claims - gross</v>
          </cell>
          <cell r="Y2908" t="str">
            <v>HONG KONG</v>
          </cell>
        </row>
        <row r="2909">
          <cell r="L2909" t="str">
            <v>Proportional</v>
          </cell>
          <cell r="S2909">
            <v>2327.31</v>
          </cell>
          <cell r="X2909" t="str">
            <v>Claims - gross</v>
          </cell>
          <cell r="Y2909" t="str">
            <v>THAILAND</v>
          </cell>
        </row>
        <row r="2910">
          <cell r="L2910" t="str">
            <v>Proportional</v>
          </cell>
          <cell r="S2910">
            <v>-68403.89</v>
          </cell>
          <cell r="X2910" t="str">
            <v>Claims - gross</v>
          </cell>
          <cell r="Y2910" t="str">
            <v>HONG KONG</v>
          </cell>
        </row>
        <row r="2911">
          <cell r="L2911" t="str">
            <v>Proportional</v>
          </cell>
          <cell r="S2911">
            <v>900403.81</v>
          </cell>
          <cell r="X2911" t="str">
            <v>Claims - gross</v>
          </cell>
          <cell r="Y2911" t="str">
            <v>PORTUGAL</v>
          </cell>
        </row>
        <row r="2912">
          <cell r="L2912" t="str">
            <v>Non-proportional</v>
          </cell>
          <cell r="S2912">
            <v>5749.01</v>
          </cell>
          <cell r="X2912" t="str">
            <v>Claims - gross</v>
          </cell>
          <cell r="Y2912" t="str">
            <v>INDIA</v>
          </cell>
        </row>
        <row r="2913">
          <cell r="L2913" t="str">
            <v>Non-proportional</v>
          </cell>
          <cell r="S2913">
            <v>914.63</v>
          </cell>
          <cell r="X2913" t="str">
            <v>Claims - gross</v>
          </cell>
          <cell r="Y2913" t="str">
            <v>INDIA</v>
          </cell>
        </row>
        <row r="2914">
          <cell r="L2914" t="str">
            <v>Proportional</v>
          </cell>
          <cell r="S2914">
            <v>1261.8</v>
          </cell>
          <cell r="X2914" t="str">
            <v>Claims - gross</v>
          </cell>
          <cell r="Y2914" t="str">
            <v>THAILAND</v>
          </cell>
        </row>
        <row r="2915">
          <cell r="L2915" t="str">
            <v>Non-proportional</v>
          </cell>
          <cell r="S2915">
            <v>571403.68999999994</v>
          </cell>
          <cell r="X2915" t="str">
            <v>Claims - gross</v>
          </cell>
          <cell r="Y2915" t="str">
            <v>UNITED KINGDOM</v>
          </cell>
        </row>
        <row r="2916">
          <cell r="L2916" t="str">
            <v>Proportional</v>
          </cell>
          <cell r="S2916">
            <v>-113253.24</v>
          </cell>
          <cell r="X2916" t="str">
            <v>Claims - gross</v>
          </cell>
          <cell r="Y2916" t="str">
            <v>JAPAN</v>
          </cell>
        </row>
        <row r="2917">
          <cell r="L2917" t="str">
            <v>Non-proportional</v>
          </cell>
          <cell r="S2917">
            <v>3000.91</v>
          </cell>
          <cell r="X2917" t="str">
            <v>Claims - gross</v>
          </cell>
          <cell r="Y2917" t="str">
            <v>ICELAND</v>
          </cell>
        </row>
        <row r="2918">
          <cell r="L2918" t="str">
            <v>Proportional</v>
          </cell>
          <cell r="S2918">
            <v>328113.67</v>
          </cell>
          <cell r="X2918" t="str">
            <v>Claims - gross</v>
          </cell>
          <cell r="Y2918" t="str">
            <v>THAILAND</v>
          </cell>
        </row>
        <row r="2919">
          <cell r="L2919" t="str">
            <v>Proportional</v>
          </cell>
          <cell r="S2919">
            <v>-137828.91</v>
          </cell>
          <cell r="X2919" t="str">
            <v>Claims - gross</v>
          </cell>
          <cell r="Y2919" t="str">
            <v>THAILAND</v>
          </cell>
        </row>
        <row r="2920">
          <cell r="L2920" t="str">
            <v>Non-proportional</v>
          </cell>
          <cell r="S2920">
            <v>27622.71</v>
          </cell>
          <cell r="X2920" t="str">
            <v>Claims - gross</v>
          </cell>
          <cell r="Y2920" t="str">
            <v>UNITED KINGDOM</v>
          </cell>
        </row>
        <row r="2921">
          <cell r="L2921" t="str">
            <v>Non-proportional</v>
          </cell>
          <cell r="S2921">
            <v>-53490.06</v>
          </cell>
          <cell r="X2921" t="str">
            <v>Claims - gross</v>
          </cell>
          <cell r="Y2921" t="str">
            <v>AUSTRALIA</v>
          </cell>
        </row>
        <row r="2922">
          <cell r="L2922" t="str">
            <v>Proportional</v>
          </cell>
          <cell r="S2922">
            <v>6085022.9400000004</v>
          </cell>
          <cell r="X2922" t="str">
            <v>Claims - gross</v>
          </cell>
          <cell r="Y2922" t="str">
            <v>ITALY</v>
          </cell>
        </row>
        <row r="2923">
          <cell r="L2923" t="str">
            <v>Proportional</v>
          </cell>
          <cell r="S2923">
            <v>-58206.91</v>
          </cell>
          <cell r="X2923" t="str">
            <v>Claims - gross</v>
          </cell>
          <cell r="Y2923" t="str">
            <v>CANADA</v>
          </cell>
        </row>
        <row r="2924">
          <cell r="L2924" t="str">
            <v>Non-proportional</v>
          </cell>
          <cell r="S2924">
            <v>15871.69</v>
          </cell>
          <cell r="X2924" t="str">
            <v>Claims - gross</v>
          </cell>
          <cell r="Y2924" t="str">
            <v>TURKEY</v>
          </cell>
        </row>
        <row r="2925">
          <cell r="L2925" t="str">
            <v>Non-proportional</v>
          </cell>
          <cell r="S2925">
            <v>155905.54999999999</v>
          </cell>
          <cell r="X2925" t="str">
            <v>Claims - gross</v>
          </cell>
          <cell r="Y2925" t="str">
            <v>UNITED KINGDOM</v>
          </cell>
        </row>
        <row r="2926">
          <cell r="L2926" t="str">
            <v>Proportional</v>
          </cell>
          <cell r="S2926">
            <v>69444.100000000006</v>
          </cell>
          <cell r="X2926" t="str">
            <v>Claims - gross</v>
          </cell>
          <cell r="Y2926" t="str">
            <v>THAILAND</v>
          </cell>
        </row>
        <row r="2927">
          <cell r="L2927" t="str">
            <v>Non-proportional</v>
          </cell>
          <cell r="S2927">
            <v>-1376560.47</v>
          </cell>
          <cell r="X2927" t="str">
            <v>Claims - gross</v>
          </cell>
          <cell r="Y2927" t="str">
            <v>UNITED KINGDOM</v>
          </cell>
        </row>
        <row r="2928">
          <cell r="L2928" t="str">
            <v>Non-proportional</v>
          </cell>
          <cell r="S2928">
            <v>-240251.78</v>
          </cell>
          <cell r="X2928" t="str">
            <v>Claims - gross</v>
          </cell>
          <cell r="Y2928" t="str">
            <v>UNITED KINGDOM</v>
          </cell>
        </row>
        <row r="2929">
          <cell r="L2929" t="str">
            <v>Proportional</v>
          </cell>
          <cell r="S2929">
            <v>-37536.43</v>
          </cell>
          <cell r="X2929" t="str">
            <v>Claims - gross</v>
          </cell>
          <cell r="Y2929" t="str">
            <v>INDIA</v>
          </cell>
        </row>
        <row r="2930">
          <cell r="L2930" t="str">
            <v>Non-proportional</v>
          </cell>
          <cell r="S2930">
            <v>-416.65</v>
          </cell>
          <cell r="X2930" t="str">
            <v>Claims - gross</v>
          </cell>
          <cell r="Y2930" t="str">
            <v>INDIA</v>
          </cell>
        </row>
        <row r="2931">
          <cell r="L2931" t="str">
            <v>Proportional</v>
          </cell>
          <cell r="S2931">
            <v>-284545.5</v>
          </cell>
          <cell r="X2931" t="str">
            <v>Claims - gross</v>
          </cell>
          <cell r="Y2931" t="str">
            <v>BELGIUM</v>
          </cell>
        </row>
        <row r="2932">
          <cell r="L2932" t="str">
            <v>Non-proportional</v>
          </cell>
          <cell r="S2932">
            <v>21073.95</v>
          </cell>
          <cell r="X2932" t="str">
            <v>Claims - gross</v>
          </cell>
          <cell r="Y2932" t="str">
            <v>UNITED KINGDOM</v>
          </cell>
        </row>
        <row r="2933">
          <cell r="L2933" t="str">
            <v>Non-proportional</v>
          </cell>
          <cell r="S2933">
            <v>-616964.9</v>
          </cell>
          <cell r="X2933" t="str">
            <v>Claims - gross</v>
          </cell>
          <cell r="Y2933" t="str">
            <v>AUSTRALIA</v>
          </cell>
        </row>
        <row r="2934">
          <cell r="L2934" t="str">
            <v>Non-proportional</v>
          </cell>
          <cell r="S2934">
            <v>-195834.53</v>
          </cell>
          <cell r="X2934" t="str">
            <v>Claims - gross</v>
          </cell>
          <cell r="Y2934" t="str">
            <v>AUSTRALIA</v>
          </cell>
        </row>
        <row r="2935">
          <cell r="L2935" t="str">
            <v>Non-proportional</v>
          </cell>
          <cell r="S2935">
            <v>417359.86</v>
          </cell>
          <cell r="X2935" t="str">
            <v>Claims - gross</v>
          </cell>
          <cell r="Y2935" t="str">
            <v>BELGIUM</v>
          </cell>
        </row>
        <row r="2936">
          <cell r="L2936" t="str">
            <v>Proportional</v>
          </cell>
          <cell r="S2936">
            <v>-1673519.68</v>
          </cell>
          <cell r="X2936" t="str">
            <v>Claims - gross</v>
          </cell>
          <cell r="Y2936" t="str">
            <v>THAILAND</v>
          </cell>
        </row>
        <row r="2937">
          <cell r="L2937" t="str">
            <v>Proportional</v>
          </cell>
          <cell r="S2937">
            <v>-115501.83</v>
          </cell>
          <cell r="X2937" t="str">
            <v>Claims - gross</v>
          </cell>
          <cell r="Y2937" t="str">
            <v>CANADA</v>
          </cell>
        </row>
        <row r="2938">
          <cell r="L2938" t="str">
            <v>Proportional</v>
          </cell>
          <cell r="S2938">
            <v>-36846.26</v>
          </cell>
          <cell r="X2938" t="str">
            <v>Claims - gross</v>
          </cell>
          <cell r="Y2938" t="str">
            <v>PORTUGAL</v>
          </cell>
        </row>
        <row r="2939">
          <cell r="L2939" t="str">
            <v>Non-proportional</v>
          </cell>
          <cell r="S2939">
            <v>0</v>
          </cell>
          <cell r="X2939" t="str">
            <v>Claims - gross</v>
          </cell>
          <cell r="Y2939" t="str">
            <v>India</v>
          </cell>
        </row>
        <row r="2940">
          <cell r="L2940" t="str">
            <v>Non-proportional</v>
          </cell>
          <cell r="S2940">
            <v>6188.67</v>
          </cell>
          <cell r="X2940" t="str">
            <v>Claims - gross</v>
          </cell>
          <cell r="Y2940" t="str">
            <v>AUSTRALIA</v>
          </cell>
        </row>
        <row r="2941">
          <cell r="L2941" t="str">
            <v>Non-proportional</v>
          </cell>
          <cell r="S2941">
            <v>75331.62</v>
          </cell>
          <cell r="X2941" t="str">
            <v>Claims - gross</v>
          </cell>
          <cell r="Y2941" t="str">
            <v>AUSTRALIA</v>
          </cell>
        </row>
        <row r="2942">
          <cell r="L2942" t="str">
            <v>Non-proportional</v>
          </cell>
          <cell r="S2942">
            <v>-1311.6</v>
          </cell>
          <cell r="X2942" t="str">
            <v>Claims - gross</v>
          </cell>
          <cell r="Y2942" t="str">
            <v>INDIA</v>
          </cell>
        </row>
        <row r="2943">
          <cell r="L2943" t="str">
            <v>Non-proportional</v>
          </cell>
          <cell r="S2943">
            <v>3900.93</v>
          </cell>
          <cell r="X2943" t="str">
            <v>Claims - gross</v>
          </cell>
          <cell r="Y2943" t="str">
            <v>PORTUGAL</v>
          </cell>
        </row>
        <row r="2944">
          <cell r="L2944" t="str">
            <v>Non-proportional</v>
          </cell>
          <cell r="S2944">
            <v>4762.8100000000004</v>
          </cell>
          <cell r="X2944" t="str">
            <v>Claims - gross</v>
          </cell>
          <cell r="Y2944" t="str">
            <v>INDIA</v>
          </cell>
        </row>
        <row r="2945">
          <cell r="L2945" t="str">
            <v>Non-proportional</v>
          </cell>
          <cell r="S2945">
            <v>972938.47</v>
          </cell>
          <cell r="X2945" t="str">
            <v>Claims - gross</v>
          </cell>
          <cell r="Y2945" t="str">
            <v>United kingdom</v>
          </cell>
        </row>
        <row r="2946">
          <cell r="L2946" t="str">
            <v>Proportional</v>
          </cell>
          <cell r="S2946">
            <v>22439.72</v>
          </cell>
          <cell r="X2946" t="str">
            <v>Claims - gross</v>
          </cell>
          <cell r="Y2946" t="str">
            <v>THAILAND</v>
          </cell>
        </row>
        <row r="2947">
          <cell r="L2947" t="str">
            <v>Non-proportional</v>
          </cell>
          <cell r="S2947">
            <v>-5096.43</v>
          </cell>
          <cell r="X2947" t="str">
            <v>Claims - gross</v>
          </cell>
          <cell r="Y2947" t="str">
            <v>INDIA</v>
          </cell>
        </row>
        <row r="2948">
          <cell r="L2948" t="str">
            <v>Proportional</v>
          </cell>
          <cell r="S2948">
            <v>-23184.54</v>
          </cell>
          <cell r="X2948" t="str">
            <v>Claims - gross</v>
          </cell>
          <cell r="Y2948" t="str">
            <v>INDIA</v>
          </cell>
        </row>
        <row r="2949">
          <cell r="L2949" t="str">
            <v>Non-proportional</v>
          </cell>
          <cell r="S2949">
            <v>100183.54</v>
          </cell>
          <cell r="X2949" t="str">
            <v>Claims - gross</v>
          </cell>
          <cell r="Y2949" t="str">
            <v>UNITED KINGDOM</v>
          </cell>
        </row>
        <row r="2950">
          <cell r="L2950" t="str">
            <v>Proportional</v>
          </cell>
          <cell r="S2950">
            <v>165505.29</v>
          </cell>
          <cell r="X2950" t="str">
            <v>Claims - gross</v>
          </cell>
          <cell r="Y2950" t="str">
            <v>TURKEY</v>
          </cell>
        </row>
        <row r="2951">
          <cell r="L2951" t="str">
            <v>Non-proportional</v>
          </cell>
          <cell r="S2951">
            <v>12366.79</v>
          </cell>
          <cell r="X2951" t="str">
            <v>Claims - gross</v>
          </cell>
          <cell r="Y2951" t="str">
            <v>AUSTRALIA</v>
          </cell>
        </row>
        <row r="2952">
          <cell r="L2952" t="str">
            <v>Non-proportional</v>
          </cell>
          <cell r="S2952">
            <v>152886.39999999999</v>
          </cell>
          <cell r="X2952" t="str">
            <v>Claims - gross</v>
          </cell>
          <cell r="Y2952" t="str">
            <v>THAILAND</v>
          </cell>
        </row>
        <row r="2953">
          <cell r="L2953" t="str">
            <v>Proportional</v>
          </cell>
          <cell r="S2953">
            <v>15064.96</v>
          </cell>
          <cell r="X2953" t="str">
            <v>Claims - gross</v>
          </cell>
          <cell r="Y2953" t="str">
            <v>THAILAND</v>
          </cell>
        </row>
        <row r="2954">
          <cell r="L2954" t="str">
            <v>Proportional</v>
          </cell>
          <cell r="S2954">
            <v>-62731.72</v>
          </cell>
          <cell r="X2954" t="str">
            <v>Claims - gross</v>
          </cell>
          <cell r="Y2954" t="str">
            <v>THAILAND</v>
          </cell>
        </row>
        <row r="2955">
          <cell r="L2955" t="str">
            <v>Proportional</v>
          </cell>
          <cell r="S2955">
            <v>-477037.1</v>
          </cell>
          <cell r="X2955" t="str">
            <v>Claims - gross</v>
          </cell>
          <cell r="Y2955" t="str">
            <v>PORTUGAL</v>
          </cell>
        </row>
        <row r="2956">
          <cell r="L2956" t="str">
            <v>Non-proportional</v>
          </cell>
          <cell r="S2956">
            <v>1512.47</v>
          </cell>
          <cell r="X2956" t="str">
            <v>Claims - gross</v>
          </cell>
          <cell r="Y2956" t="str">
            <v>INDIA</v>
          </cell>
        </row>
        <row r="2957">
          <cell r="L2957" t="str">
            <v>Proportional</v>
          </cell>
          <cell r="S2957">
            <v>189147.14</v>
          </cell>
          <cell r="X2957" t="str">
            <v>Claims - gross</v>
          </cell>
          <cell r="Y2957" t="str">
            <v>THAILAND</v>
          </cell>
        </row>
        <row r="2958">
          <cell r="L2958" t="str">
            <v>Non-proportional</v>
          </cell>
          <cell r="S2958">
            <v>10557.68</v>
          </cell>
          <cell r="X2958" t="str">
            <v>Claims - gross</v>
          </cell>
          <cell r="Y2958" t="str">
            <v>PORTUGAL</v>
          </cell>
        </row>
        <row r="2959">
          <cell r="L2959" t="str">
            <v>Non-proportional</v>
          </cell>
          <cell r="S2959">
            <v>601420.37</v>
          </cell>
          <cell r="X2959" t="str">
            <v>Claims - gross</v>
          </cell>
          <cell r="Y2959" t="str">
            <v>United kingdom</v>
          </cell>
        </row>
        <row r="2960">
          <cell r="L2960" t="str">
            <v>Non-proportional</v>
          </cell>
          <cell r="S2960">
            <v>-836.12</v>
          </cell>
          <cell r="X2960" t="str">
            <v>Claims - gross</v>
          </cell>
          <cell r="Y2960" t="str">
            <v>INDIA</v>
          </cell>
        </row>
        <row r="2961">
          <cell r="L2961" t="str">
            <v>Non-proportional</v>
          </cell>
          <cell r="S2961">
            <v>2614.21</v>
          </cell>
          <cell r="X2961" t="str">
            <v>Claims - gross</v>
          </cell>
          <cell r="Y2961" t="str">
            <v>THAILAND</v>
          </cell>
        </row>
        <row r="2962">
          <cell r="L2962" t="str">
            <v>Non-proportional</v>
          </cell>
          <cell r="S2962">
            <v>874778.58</v>
          </cell>
          <cell r="X2962" t="str">
            <v>Claims - gross</v>
          </cell>
          <cell r="Y2962" t="str">
            <v>UNITED KINGDOM</v>
          </cell>
        </row>
        <row r="2963">
          <cell r="L2963" t="str">
            <v>Non-proportional</v>
          </cell>
          <cell r="S2963">
            <v>271.29000000000002</v>
          </cell>
          <cell r="X2963" t="str">
            <v>Claims - gross</v>
          </cell>
          <cell r="Y2963" t="str">
            <v>INDIA</v>
          </cell>
        </row>
        <row r="2964">
          <cell r="L2964" t="str">
            <v>Non-proportional</v>
          </cell>
          <cell r="S2964">
            <v>-804819.66</v>
          </cell>
          <cell r="X2964" t="str">
            <v>Claims - gross</v>
          </cell>
          <cell r="Y2964" t="str">
            <v>GERMANY</v>
          </cell>
        </row>
        <row r="2965">
          <cell r="L2965" t="str">
            <v>Non-proportional</v>
          </cell>
          <cell r="S2965">
            <v>170556.19</v>
          </cell>
          <cell r="X2965" t="str">
            <v>Claims - gross</v>
          </cell>
          <cell r="Y2965" t="str">
            <v>United kingdom</v>
          </cell>
        </row>
        <row r="2966">
          <cell r="L2966" t="str">
            <v>Non-proportional</v>
          </cell>
          <cell r="S2966">
            <v>131889.15</v>
          </cell>
          <cell r="X2966" t="str">
            <v>Claims - gross</v>
          </cell>
          <cell r="Y2966" t="str">
            <v>AUSTRALIA</v>
          </cell>
        </row>
        <row r="2967">
          <cell r="L2967" t="str">
            <v>Proportional</v>
          </cell>
          <cell r="S2967">
            <v>-23721.55</v>
          </cell>
          <cell r="X2967" t="str">
            <v>Claims - gross</v>
          </cell>
          <cell r="Y2967" t="str">
            <v>INDIA</v>
          </cell>
        </row>
        <row r="2968">
          <cell r="L2968" t="str">
            <v>Non-proportional</v>
          </cell>
          <cell r="S2968">
            <v>4918.13</v>
          </cell>
          <cell r="X2968" t="str">
            <v>Claims - gross</v>
          </cell>
          <cell r="Y2968" t="str">
            <v>THAILAND</v>
          </cell>
        </row>
        <row r="2969">
          <cell r="L2969" t="str">
            <v>Non-proportional</v>
          </cell>
          <cell r="S2969">
            <v>-49060.38</v>
          </cell>
          <cell r="X2969" t="str">
            <v>Claims - gross</v>
          </cell>
          <cell r="Y2969" t="str">
            <v>UNITED KINGDOM</v>
          </cell>
        </row>
        <row r="2970">
          <cell r="L2970" t="str">
            <v>Non-proportional</v>
          </cell>
          <cell r="S2970">
            <v>-52246.23</v>
          </cell>
          <cell r="X2970" t="str">
            <v>Claims - gross</v>
          </cell>
          <cell r="Y2970" t="str">
            <v>AUSTRALIA</v>
          </cell>
        </row>
        <row r="2971">
          <cell r="L2971" t="str">
            <v>Proportional</v>
          </cell>
          <cell r="S2971">
            <v>297554.78999999998</v>
          </cell>
          <cell r="X2971" t="str">
            <v>Claims - gross</v>
          </cell>
          <cell r="Y2971" t="str">
            <v>PORTUGAL</v>
          </cell>
        </row>
        <row r="2972">
          <cell r="L2972" t="str">
            <v>Proportional</v>
          </cell>
          <cell r="S2972">
            <v>2224.09</v>
          </cell>
          <cell r="X2972" t="str">
            <v>Claims - gross</v>
          </cell>
          <cell r="Y2972" t="str">
            <v>THAILAND</v>
          </cell>
        </row>
        <row r="2973">
          <cell r="L2973" t="str">
            <v>Non-proportional</v>
          </cell>
          <cell r="S2973">
            <v>0</v>
          </cell>
          <cell r="X2973" t="str">
            <v>Claims - gross</v>
          </cell>
          <cell r="Y2973" t="str">
            <v>India</v>
          </cell>
        </row>
        <row r="2974">
          <cell r="L2974" t="str">
            <v>Non-proportional</v>
          </cell>
          <cell r="S2974">
            <v>-172897.55</v>
          </cell>
          <cell r="X2974" t="str">
            <v>Claims - gross</v>
          </cell>
          <cell r="Y2974" t="str">
            <v>AUSTRALIA</v>
          </cell>
        </row>
        <row r="2975">
          <cell r="L2975" t="str">
            <v>Non-proportional</v>
          </cell>
          <cell r="S2975">
            <v>5729.75</v>
          </cell>
          <cell r="X2975" t="str">
            <v>Claims - gross</v>
          </cell>
          <cell r="Y2975" t="str">
            <v>INDIA</v>
          </cell>
        </row>
        <row r="2976">
          <cell r="L2976" t="str">
            <v>Proportional</v>
          </cell>
          <cell r="S2976">
            <v>213925.15</v>
          </cell>
          <cell r="X2976" t="str">
            <v>Claims - gross</v>
          </cell>
          <cell r="Y2976" t="str">
            <v>THAILAND</v>
          </cell>
        </row>
        <row r="2977">
          <cell r="L2977" t="str">
            <v>Proportional</v>
          </cell>
          <cell r="S2977">
            <v>326086.52</v>
          </cell>
          <cell r="X2977" t="str">
            <v>Claims - gross</v>
          </cell>
          <cell r="Y2977" t="str">
            <v>HONG KONG</v>
          </cell>
        </row>
        <row r="2978">
          <cell r="L2978" t="str">
            <v>Non-proportional</v>
          </cell>
          <cell r="S2978">
            <v>522056.93</v>
          </cell>
          <cell r="X2978" t="str">
            <v>Claims - gross</v>
          </cell>
          <cell r="Y2978" t="str">
            <v>EUROPE</v>
          </cell>
        </row>
        <row r="2979">
          <cell r="L2979" t="str">
            <v>Proportional</v>
          </cell>
          <cell r="S2979">
            <v>2913.46</v>
          </cell>
          <cell r="X2979" t="str">
            <v>Claims - gross</v>
          </cell>
          <cell r="Y2979" t="str">
            <v>THAILAND</v>
          </cell>
        </row>
        <row r="2980">
          <cell r="L2980" t="str">
            <v>Proportional</v>
          </cell>
          <cell r="S2980">
            <v>441131.15</v>
          </cell>
          <cell r="X2980" t="str">
            <v>Claims - gross</v>
          </cell>
          <cell r="Y2980" t="str">
            <v>HONG KONG</v>
          </cell>
        </row>
        <row r="2981">
          <cell r="L2981" t="str">
            <v>Proportional</v>
          </cell>
          <cell r="S2981">
            <v>-5143.04</v>
          </cell>
          <cell r="X2981" t="str">
            <v>Claims - gross</v>
          </cell>
          <cell r="Y2981" t="str">
            <v>Turkey</v>
          </cell>
        </row>
        <row r="2982">
          <cell r="L2982" t="str">
            <v>Non-proportional</v>
          </cell>
          <cell r="S2982">
            <v>33115.19</v>
          </cell>
          <cell r="X2982" t="str">
            <v>Claims - gross</v>
          </cell>
          <cell r="Y2982" t="str">
            <v>AUSTRALIA</v>
          </cell>
        </row>
        <row r="2983">
          <cell r="L2983" t="str">
            <v>Proportional</v>
          </cell>
          <cell r="S2983">
            <v>-269063.46999999997</v>
          </cell>
          <cell r="X2983" t="str">
            <v>Claims - gross</v>
          </cell>
          <cell r="Y2983" t="str">
            <v>THAILAND</v>
          </cell>
        </row>
        <row r="2984">
          <cell r="L2984" t="str">
            <v>Non-proportional</v>
          </cell>
          <cell r="S2984">
            <v>-7270.07</v>
          </cell>
          <cell r="X2984" t="str">
            <v>Claims - gross</v>
          </cell>
          <cell r="Y2984" t="str">
            <v>INDIA</v>
          </cell>
        </row>
        <row r="2985">
          <cell r="L2985" t="str">
            <v>Non-proportional</v>
          </cell>
          <cell r="S2985">
            <v>635918.93000000005</v>
          </cell>
          <cell r="X2985" t="str">
            <v>Claims - gross</v>
          </cell>
          <cell r="Y2985" t="str">
            <v>THAILAND</v>
          </cell>
        </row>
        <row r="2986">
          <cell r="L2986" t="str">
            <v>Non-proportional</v>
          </cell>
          <cell r="S2986">
            <v>22846.37</v>
          </cell>
          <cell r="X2986" t="str">
            <v>Claims - gross</v>
          </cell>
          <cell r="Y2986" t="str">
            <v>BELGIUM</v>
          </cell>
        </row>
        <row r="2987">
          <cell r="L2987" t="str">
            <v>Non-proportional</v>
          </cell>
          <cell r="S2987">
            <v>24049.82</v>
          </cell>
          <cell r="X2987" t="str">
            <v>Claims - gross</v>
          </cell>
          <cell r="Y2987" t="str">
            <v>GERMANY</v>
          </cell>
        </row>
        <row r="2988">
          <cell r="L2988" t="str">
            <v>Non-proportional</v>
          </cell>
          <cell r="S2988">
            <v>-1124.32</v>
          </cell>
          <cell r="X2988" t="str">
            <v>Claims - gross</v>
          </cell>
          <cell r="Y2988" t="str">
            <v>INDIA</v>
          </cell>
        </row>
        <row r="2989">
          <cell r="L2989" t="str">
            <v>Non-proportional</v>
          </cell>
          <cell r="S2989">
            <v>2758.94</v>
          </cell>
          <cell r="X2989" t="str">
            <v>Claims - gross</v>
          </cell>
          <cell r="Y2989" t="str">
            <v>INDIA</v>
          </cell>
        </row>
        <row r="2990">
          <cell r="L2990" t="str">
            <v>Proportional</v>
          </cell>
          <cell r="S2990">
            <v>-104922.16</v>
          </cell>
          <cell r="X2990" t="str">
            <v>Claims - gross</v>
          </cell>
          <cell r="Y2990" t="str">
            <v>Hong Kong</v>
          </cell>
        </row>
        <row r="2991">
          <cell r="L2991" t="str">
            <v>Non-proportional</v>
          </cell>
          <cell r="S2991">
            <v>-372159.04</v>
          </cell>
          <cell r="X2991" t="str">
            <v>Claims - gross</v>
          </cell>
          <cell r="Y2991" t="str">
            <v>UNITED KINGDOM</v>
          </cell>
        </row>
        <row r="2992">
          <cell r="L2992" t="str">
            <v>Non-proportional</v>
          </cell>
          <cell r="S2992">
            <v>907773.33</v>
          </cell>
          <cell r="X2992" t="str">
            <v>Claims - gross</v>
          </cell>
          <cell r="Y2992" t="str">
            <v>THAILAND</v>
          </cell>
        </row>
        <row r="2993">
          <cell r="L2993" t="str">
            <v>Non-proportional</v>
          </cell>
          <cell r="S2993">
            <v>19939.29</v>
          </cell>
          <cell r="X2993" t="str">
            <v>Claims - gross</v>
          </cell>
          <cell r="Y2993" t="str">
            <v>PORTUGAL</v>
          </cell>
        </row>
        <row r="2994">
          <cell r="L2994" t="str">
            <v>Non-proportional</v>
          </cell>
          <cell r="S2994">
            <v>-5735.31</v>
          </cell>
          <cell r="X2994" t="str">
            <v>Claims - gross</v>
          </cell>
          <cell r="Y2994" t="str">
            <v>GERMANY</v>
          </cell>
        </row>
        <row r="2995">
          <cell r="L2995" t="str">
            <v>Non-proportional</v>
          </cell>
          <cell r="S2995">
            <v>-356.24</v>
          </cell>
          <cell r="X2995" t="str">
            <v>Claims - gross</v>
          </cell>
          <cell r="Y2995" t="str">
            <v>INDIA</v>
          </cell>
        </row>
        <row r="2996">
          <cell r="L2996" t="str">
            <v>Non-proportional</v>
          </cell>
          <cell r="S2996">
            <v>-97748</v>
          </cell>
          <cell r="X2996" t="str">
            <v>Claims - gross</v>
          </cell>
          <cell r="Y2996" t="str">
            <v>AUSTRALIA</v>
          </cell>
        </row>
        <row r="2997">
          <cell r="L2997" t="str">
            <v>Proportional</v>
          </cell>
          <cell r="S2997">
            <v>-31260.05</v>
          </cell>
          <cell r="X2997" t="str">
            <v>Claims - gross</v>
          </cell>
          <cell r="Y2997" t="str">
            <v>TURKEY</v>
          </cell>
        </row>
        <row r="2998">
          <cell r="L2998" t="str">
            <v>Non-proportional</v>
          </cell>
          <cell r="S2998">
            <v>-658.96</v>
          </cell>
          <cell r="X2998" t="str">
            <v>Claims - gross</v>
          </cell>
          <cell r="Y2998" t="str">
            <v>INDIA</v>
          </cell>
        </row>
        <row r="2999">
          <cell r="L2999" t="str">
            <v>Non-proportional</v>
          </cell>
          <cell r="S2999">
            <v>-20942.48</v>
          </cell>
          <cell r="X2999" t="str">
            <v>Claims - gross</v>
          </cell>
          <cell r="Y2999" t="str">
            <v>AUSTRALIA</v>
          </cell>
        </row>
        <row r="3000">
          <cell r="L3000" t="str">
            <v>Non-proportional</v>
          </cell>
          <cell r="S3000">
            <v>-4182.24</v>
          </cell>
          <cell r="X3000" t="str">
            <v>Claims - gross</v>
          </cell>
          <cell r="Y3000" t="str">
            <v>INDIA</v>
          </cell>
        </row>
        <row r="3001">
          <cell r="L3001" t="str">
            <v>Non-proportional</v>
          </cell>
          <cell r="S3001">
            <v>-228.34</v>
          </cell>
          <cell r="X3001" t="str">
            <v>Claims - gross</v>
          </cell>
          <cell r="Y3001" t="str">
            <v>INDIA</v>
          </cell>
        </row>
        <row r="3002">
          <cell r="L3002" t="str">
            <v>Non-proportional</v>
          </cell>
          <cell r="S3002">
            <v>6588903.0999999996</v>
          </cell>
          <cell r="X3002" t="str">
            <v>Claims - gross</v>
          </cell>
          <cell r="Y3002" t="str">
            <v>UNITED KINGDOM</v>
          </cell>
        </row>
        <row r="3003">
          <cell r="L3003" t="str">
            <v>Non-proportional</v>
          </cell>
          <cell r="S3003">
            <v>-227460.32</v>
          </cell>
          <cell r="X3003" t="str">
            <v>Claims - gross</v>
          </cell>
          <cell r="Y3003" t="str">
            <v>AUSTRALIA</v>
          </cell>
        </row>
        <row r="3004">
          <cell r="L3004" t="str">
            <v>Non-proportional</v>
          </cell>
          <cell r="S3004">
            <v>4709.04</v>
          </cell>
          <cell r="X3004" t="str">
            <v>Claims - gross</v>
          </cell>
          <cell r="Y3004" t="str">
            <v>AUSTRALIA</v>
          </cell>
        </row>
        <row r="3005">
          <cell r="L3005" t="str">
            <v>Non-proportional</v>
          </cell>
          <cell r="S3005">
            <v>-2669.9</v>
          </cell>
          <cell r="X3005" t="str">
            <v>Claims - gross</v>
          </cell>
          <cell r="Y3005" t="str">
            <v>AUSTRALIA</v>
          </cell>
        </row>
        <row r="3006">
          <cell r="L3006" t="str">
            <v>Non-proportional</v>
          </cell>
          <cell r="S3006">
            <v>88965.65</v>
          </cell>
          <cell r="X3006" t="str">
            <v>Claims - gross</v>
          </cell>
          <cell r="Y3006" t="str">
            <v>UNITED KINGDOM</v>
          </cell>
        </row>
        <row r="3007">
          <cell r="L3007" t="str">
            <v>Non-proportional</v>
          </cell>
          <cell r="S3007">
            <v>-820.87</v>
          </cell>
          <cell r="X3007" t="str">
            <v>Claims - gross</v>
          </cell>
          <cell r="Y3007" t="str">
            <v>INDIA</v>
          </cell>
        </row>
        <row r="3008">
          <cell r="L3008" t="str">
            <v>Proportional</v>
          </cell>
          <cell r="S3008">
            <v>11980.77</v>
          </cell>
          <cell r="X3008" t="str">
            <v>Claims - gross</v>
          </cell>
          <cell r="Y3008" t="str">
            <v>THAILAND</v>
          </cell>
        </row>
        <row r="3009">
          <cell r="L3009" t="str">
            <v>Proportional</v>
          </cell>
          <cell r="S3009">
            <v>-425995.16</v>
          </cell>
          <cell r="X3009" t="str">
            <v>Claims - gross</v>
          </cell>
          <cell r="Y3009" t="str">
            <v>AUSTRALIA</v>
          </cell>
        </row>
        <row r="3010">
          <cell r="L3010" t="str">
            <v>Proportional</v>
          </cell>
          <cell r="S3010">
            <v>15496.56</v>
          </cell>
          <cell r="X3010" t="str">
            <v>Claims - gross</v>
          </cell>
          <cell r="Y3010" t="str">
            <v>THAILAND</v>
          </cell>
        </row>
        <row r="3011">
          <cell r="L3011" t="str">
            <v>Non-proportional</v>
          </cell>
          <cell r="S3011">
            <v>4080151.42</v>
          </cell>
          <cell r="X3011" t="str">
            <v>Claims - gross</v>
          </cell>
          <cell r="Y3011" t="str">
            <v>UNITED KINGDOM</v>
          </cell>
        </row>
        <row r="3012">
          <cell r="L3012" t="str">
            <v>Non-proportional</v>
          </cell>
          <cell r="S3012">
            <v>216121.82</v>
          </cell>
          <cell r="X3012" t="str">
            <v>Claims - gross</v>
          </cell>
          <cell r="Y3012" t="str">
            <v>PORTUGAL</v>
          </cell>
        </row>
        <row r="3013">
          <cell r="L3013" t="str">
            <v>Non-proportional</v>
          </cell>
          <cell r="S3013">
            <v>61624.29</v>
          </cell>
          <cell r="X3013" t="str">
            <v>Claims - gross</v>
          </cell>
          <cell r="Y3013" t="str">
            <v>UNITED KINGDOM</v>
          </cell>
        </row>
        <row r="3014">
          <cell r="L3014" t="str">
            <v>Non-proportional</v>
          </cell>
          <cell r="S3014">
            <v>-126955.16</v>
          </cell>
          <cell r="X3014" t="str">
            <v>Claims - gross</v>
          </cell>
          <cell r="Y3014" t="str">
            <v>AUSTRALIA</v>
          </cell>
        </row>
        <row r="3015">
          <cell r="L3015" t="str">
            <v>Proportional</v>
          </cell>
          <cell r="S3015">
            <v>-43442.39</v>
          </cell>
          <cell r="X3015" t="str">
            <v>Claims - gross</v>
          </cell>
          <cell r="Y3015" t="str">
            <v>TURKEY</v>
          </cell>
        </row>
        <row r="3016">
          <cell r="L3016" t="str">
            <v>Proportional</v>
          </cell>
          <cell r="S3016">
            <v>26411.48</v>
          </cell>
          <cell r="X3016" t="str">
            <v>Claims - gross</v>
          </cell>
          <cell r="Y3016" t="str">
            <v>THAILAND</v>
          </cell>
        </row>
        <row r="3017">
          <cell r="L3017" t="str">
            <v>Proportional</v>
          </cell>
          <cell r="S3017">
            <v>7380.68</v>
          </cell>
          <cell r="X3017" t="str">
            <v>Claims - gross</v>
          </cell>
          <cell r="Y3017" t="str">
            <v>INDIA</v>
          </cell>
        </row>
        <row r="3018">
          <cell r="L3018" t="str">
            <v>Non-proportional</v>
          </cell>
          <cell r="S3018">
            <v>2114851.39</v>
          </cell>
          <cell r="X3018" t="str">
            <v>Claims - gross</v>
          </cell>
          <cell r="Y3018" t="str">
            <v>UNITED KINGDOM</v>
          </cell>
        </row>
        <row r="3019">
          <cell r="L3019" t="str">
            <v>Non-proportional</v>
          </cell>
          <cell r="S3019">
            <v>0</v>
          </cell>
          <cell r="X3019" t="str">
            <v>Claims - gross</v>
          </cell>
          <cell r="Y3019" t="str">
            <v>India</v>
          </cell>
        </row>
        <row r="3020">
          <cell r="L3020" t="str">
            <v>Proportional</v>
          </cell>
          <cell r="S3020">
            <v>18749747.34</v>
          </cell>
          <cell r="X3020" t="str">
            <v>Claims - gross</v>
          </cell>
          <cell r="Y3020" t="str">
            <v>ITALY</v>
          </cell>
        </row>
        <row r="3021">
          <cell r="L3021" t="str">
            <v>Non-proportional</v>
          </cell>
          <cell r="S3021">
            <v>-0.01</v>
          </cell>
          <cell r="X3021" t="str">
            <v>Claims - gross</v>
          </cell>
          <cell r="Y3021" t="str">
            <v>AUSTRIA</v>
          </cell>
        </row>
        <row r="3022">
          <cell r="L3022" t="str">
            <v>Proportional</v>
          </cell>
          <cell r="S3022">
            <v>9351.2800000000007</v>
          </cell>
          <cell r="X3022" t="str">
            <v>Claims - gross</v>
          </cell>
          <cell r="Y3022" t="str">
            <v>PORTUGAL</v>
          </cell>
        </row>
        <row r="3023">
          <cell r="L3023" t="str">
            <v>Non-proportional</v>
          </cell>
          <cell r="S3023">
            <v>320426.21999999997</v>
          </cell>
          <cell r="X3023" t="str">
            <v>Claims - gross</v>
          </cell>
          <cell r="Y3023" t="str">
            <v>AUSTRALIA</v>
          </cell>
        </row>
        <row r="3024">
          <cell r="L3024" t="str">
            <v>Proportional</v>
          </cell>
          <cell r="S3024">
            <v>1441275.81</v>
          </cell>
          <cell r="X3024" t="str">
            <v>Claims - gross</v>
          </cell>
          <cell r="Y3024" t="str">
            <v>THAILAND</v>
          </cell>
        </row>
        <row r="3025">
          <cell r="L3025" t="str">
            <v>Proportional</v>
          </cell>
          <cell r="S3025">
            <v>-110923.99</v>
          </cell>
          <cell r="X3025" t="str">
            <v>Claims - gross</v>
          </cell>
          <cell r="Y3025" t="str">
            <v>THAILAND</v>
          </cell>
        </row>
        <row r="3026">
          <cell r="L3026" t="str">
            <v>Proportional</v>
          </cell>
          <cell r="S3026">
            <v>-47818.7</v>
          </cell>
          <cell r="X3026" t="str">
            <v>Claims - gross</v>
          </cell>
          <cell r="Y3026" t="str">
            <v>TURKEY</v>
          </cell>
        </row>
        <row r="3027">
          <cell r="L3027" t="str">
            <v>Proportional</v>
          </cell>
          <cell r="S3027">
            <v>-12062.89</v>
          </cell>
          <cell r="X3027" t="str">
            <v>Claims - gross</v>
          </cell>
          <cell r="Y3027" t="str">
            <v>THAILAND</v>
          </cell>
        </row>
        <row r="3028">
          <cell r="L3028" t="str">
            <v>Proportional</v>
          </cell>
          <cell r="S3028">
            <v>-6085022.9400000004</v>
          </cell>
          <cell r="X3028" t="str">
            <v>Claims - gross</v>
          </cell>
          <cell r="Y3028" t="str">
            <v>ITALY</v>
          </cell>
        </row>
        <row r="3029">
          <cell r="L3029" t="str">
            <v>Non-proportional</v>
          </cell>
          <cell r="S3029">
            <v>243062.44</v>
          </cell>
          <cell r="X3029" t="str">
            <v>Claims - gross</v>
          </cell>
          <cell r="Y3029" t="str">
            <v>CANADA</v>
          </cell>
        </row>
        <row r="3030">
          <cell r="L3030" t="str">
            <v>Non-proportional</v>
          </cell>
          <cell r="S3030">
            <v>59144.26</v>
          </cell>
          <cell r="X3030" t="str">
            <v>Claims - gross</v>
          </cell>
          <cell r="Y3030" t="str">
            <v>UNITED KINGDOM</v>
          </cell>
        </row>
        <row r="3031">
          <cell r="L3031" t="str">
            <v>Non-proportional</v>
          </cell>
          <cell r="S3031">
            <v>1682.69</v>
          </cell>
          <cell r="X3031" t="str">
            <v>Claims - gross</v>
          </cell>
          <cell r="Y3031" t="str">
            <v>GERMANY</v>
          </cell>
        </row>
        <row r="3032">
          <cell r="L3032" t="str">
            <v>Proportional</v>
          </cell>
          <cell r="S3032">
            <v>-3076.85</v>
          </cell>
          <cell r="X3032" t="str">
            <v>Claims - gross</v>
          </cell>
          <cell r="Y3032" t="str">
            <v>CANADA</v>
          </cell>
        </row>
        <row r="3033">
          <cell r="L3033" t="str">
            <v>Non-proportional</v>
          </cell>
          <cell r="S3033">
            <v>36788.959999999999</v>
          </cell>
          <cell r="X3033" t="str">
            <v>Claims - gross</v>
          </cell>
          <cell r="Y3033" t="str">
            <v>GERMANY</v>
          </cell>
        </row>
        <row r="3034">
          <cell r="L3034" t="str">
            <v>Non-proportional</v>
          </cell>
          <cell r="S3034">
            <v>3745612.58</v>
          </cell>
          <cell r="X3034" t="str">
            <v>Claims - gross</v>
          </cell>
          <cell r="Y3034" t="str">
            <v>AUSTRALIA</v>
          </cell>
        </row>
        <row r="3035">
          <cell r="L3035" t="str">
            <v>Proportional</v>
          </cell>
          <cell r="S3035">
            <v>9691.99</v>
          </cell>
          <cell r="X3035" t="str">
            <v>Claims - gross</v>
          </cell>
          <cell r="Y3035" t="str">
            <v>UNITED STATES</v>
          </cell>
        </row>
        <row r="3036">
          <cell r="L3036" t="str">
            <v>Non-proportional</v>
          </cell>
          <cell r="S3036">
            <v>-461.1</v>
          </cell>
          <cell r="X3036" t="str">
            <v>Claims - gross</v>
          </cell>
          <cell r="Y3036" t="str">
            <v>INDIA</v>
          </cell>
        </row>
        <row r="3037">
          <cell r="L3037" t="str">
            <v>Non-proportional</v>
          </cell>
          <cell r="S3037">
            <v>263.7</v>
          </cell>
          <cell r="X3037" t="str">
            <v>Claims - gross</v>
          </cell>
          <cell r="Y3037" t="str">
            <v>INDIA</v>
          </cell>
        </row>
        <row r="3038">
          <cell r="L3038" t="str">
            <v>Non-proportional</v>
          </cell>
          <cell r="S3038">
            <v>216907.21</v>
          </cell>
          <cell r="X3038" t="str">
            <v>Claims - gross</v>
          </cell>
          <cell r="Y3038" t="str">
            <v>THAILAND</v>
          </cell>
        </row>
        <row r="3039">
          <cell r="L3039" t="str">
            <v>Proportional</v>
          </cell>
          <cell r="S3039">
            <v>-43366.35</v>
          </cell>
          <cell r="X3039" t="str">
            <v>Claims - gross</v>
          </cell>
          <cell r="Y3039" t="str">
            <v>THAILAND</v>
          </cell>
        </row>
        <row r="3040">
          <cell r="L3040" t="str">
            <v>Proportional</v>
          </cell>
          <cell r="S3040">
            <v>-9332672.5899999999</v>
          </cell>
          <cell r="X3040" t="str">
            <v>Claims - gross</v>
          </cell>
          <cell r="Y3040" t="str">
            <v>ITALY</v>
          </cell>
        </row>
        <row r="3041">
          <cell r="L3041" t="str">
            <v>Non-proportional</v>
          </cell>
          <cell r="S3041">
            <v>-99.64</v>
          </cell>
          <cell r="X3041" t="str">
            <v>Claims - gross</v>
          </cell>
          <cell r="Y3041" t="str">
            <v>INDIA</v>
          </cell>
        </row>
        <row r="3042">
          <cell r="L3042" t="str">
            <v>Non-proportional</v>
          </cell>
          <cell r="S3042">
            <v>322032.59000000003</v>
          </cell>
          <cell r="X3042" t="str">
            <v>Claims - gross</v>
          </cell>
          <cell r="Y3042" t="str">
            <v>AUSTRALIA</v>
          </cell>
        </row>
        <row r="3043">
          <cell r="L3043" t="str">
            <v>Non-proportional</v>
          </cell>
          <cell r="S3043">
            <v>39143.54</v>
          </cell>
          <cell r="X3043" t="str">
            <v>Claims - gross</v>
          </cell>
          <cell r="Y3043" t="str">
            <v>GERMANY</v>
          </cell>
        </row>
        <row r="3044">
          <cell r="L3044" t="str">
            <v>Non-proportional</v>
          </cell>
          <cell r="S3044">
            <v>0</v>
          </cell>
          <cell r="X3044" t="str">
            <v>Claims - gross</v>
          </cell>
          <cell r="Y3044" t="str">
            <v>India</v>
          </cell>
        </row>
        <row r="3045">
          <cell r="L3045" t="str">
            <v>Non-proportional</v>
          </cell>
          <cell r="S3045">
            <v>32385.33</v>
          </cell>
          <cell r="X3045" t="str">
            <v>Claims - gross</v>
          </cell>
          <cell r="Y3045" t="str">
            <v>GERMANY</v>
          </cell>
        </row>
        <row r="3046">
          <cell r="L3046" t="str">
            <v>Proportional</v>
          </cell>
          <cell r="S3046">
            <v>2123.64</v>
          </cell>
          <cell r="X3046" t="str">
            <v>Claims - gross</v>
          </cell>
          <cell r="Y3046" t="str">
            <v>TURKEY</v>
          </cell>
        </row>
        <row r="3047">
          <cell r="L3047" t="str">
            <v>Non-proportional</v>
          </cell>
          <cell r="S3047">
            <v>446847.59</v>
          </cell>
          <cell r="X3047" t="str">
            <v>Claims - gross</v>
          </cell>
          <cell r="Y3047" t="str">
            <v>UNITED STATES</v>
          </cell>
        </row>
        <row r="3048">
          <cell r="L3048" t="str">
            <v>Proportional</v>
          </cell>
          <cell r="S3048">
            <v>-87614.84</v>
          </cell>
          <cell r="X3048" t="str">
            <v>Claims - gross</v>
          </cell>
          <cell r="Y3048" t="str">
            <v>THAILAND</v>
          </cell>
        </row>
        <row r="3049">
          <cell r="L3049" t="str">
            <v>Non-proportional</v>
          </cell>
          <cell r="S3049">
            <v>1582.02</v>
          </cell>
          <cell r="X3049" t="str">
            <v>Claims - gross</v>
          </cell>
          <cell r="Y3049" t="str">
            <v>INDIA</v>
          </cell>
        </row>
        <row r="3050">
          <cell r="L3050" t="str">
            <v>Proportional</v>
          </cell>
          <cell r="S3050">
            <v>-77876.08</v>
          </cell>
          <cell r="X3050" t="str">
            <v>Claims - gross</v>
          </cell>
          <cell r="Y3050" t="str">
            <v>THAILAND</v>
          </cell>
        </row>
        <row r="3051">
          <cell r="L3051" t="str">
            <v>Non-proportional</v>
          </cell>
          <cell r="S3051">
            <v>-5622.05</v>
          </cell>
          <cell r="X3051" t="str">
            <v>Claims - gross</v>
          </cell>
          <cell r="Y3051" t="str">
            <v>INDIA</v>
          </cell>
        </row>
        <row r="3052">
          <cell r="L3052" t="str">
            <v>Non-proportional</v>
          </cell>
          <cell r="S3052">
            <v>4192.0200000000004</v>
          </cell>
          <cell r="X3052" t="str">
            <v>Claims - gross</v>
          </cell>
          <cell r="Y3052" t="str">
            <v>PORTUGAL</v>
          </cell>
        </row>
        <row r="3053">
          <cell r="L3053" t="str">
            <v>Non-proportional</v>
          </cell>
          <cell r="S3053">
            <v>0</v>
          </cell>
          <cell r="X3053" t="str">
            <v>Claims - gross</v>
          </cell>
          <cell r="Y3053" t="str">
            <v>India</v>
          </cell>
        </row>
        <row r="3054">
          <cell r="L3054" t="str">
            <v>Non-proportional</v>
          </cell>
          <cell r="S3054">
            <v>9387.93</v>
          </cell>
          <cell r="X3054" t="str">
            <v>Claims - gross</v>
          </cell>
          <cell r="Y3054" t="str">
            <v>United kingdom</v>
          </cell>
        </row>
        <row r="3055">
          <cell r="L3055" t="str">
            <v>Non-proportional</v>
          </cell>
          <cell r="S3055">
            <v>-90892.94</v>
          </cell>
          <cell r="X3055" t="str">
            <v>Claims - gross</v>
          </cell>
          <cell r="Y3055" t="str">
            <v>AUSTRALIA</v>
          </cell>
        </row>
        <row r="3056">
          <cell r="L3056" t="str">
            <v>Non-proportional</v>
          </cell>
          <cell r="S3056">
            <v>-0.4</v>
          </cell>
          <cell r="X3056" t="str">
            <v>Claims - gross</v>
          </cell>
          <cell r="Y3056" t="str">
            <v>Portugal</v>
          </cell>
        </row>
        <row r="3057">
          <cell r="L3057" t="str">
            <v>Non-proportional</v>
          </cell>
          <cell r="S3057">
            <v>-84192.76</v>
          </cell>
          <cell r="X3057" t="str">
            <v>Claims - gross</v>
          </cell>
          <cell r="Y3057" t="str">
            <v>SLOVENIA</v>
          </cell>
        </row>
        <row r="3058">
          <cell r="L3058" t="str">
            <v>Non-proportional</v>
          </cell>
          <cell r="S3058">
            <v>-2862.78</v>
          </cell>
          <cell r="X3058" t="str">
            <v>Claims - gross</v>
          </cell>
          <cell r="Y3058" t="str">
            <v>INDIA</v>
          </cell>
        </row>
        <row r="3059">
          <cell r="L3059" t="str">
            <v>Non-proportional</v>
          </cell>
          <cell r="S3059">
            <v>2040.97</v>
          </cell>
          <cell r="X3059" t="str">
            <v>Claims - gross</v>
          </cell>
          <cell r="Y3059" t="str">
            <v>THAILAND</v>
          </cell>
        </row>
        <row r="3060">
          <cell r="L3060" t="str">
            <v>Non-proportional</v>
          </cell>
          <cell r="S3060">
            <v>-25977.91</v>
          </cell>
          <cell r="X3060" t="str">
            <v>Claims - gross</v>
          </cell>
          <cell r="Y3060" t="str">
            <v>AUSTRALIA</v>
          </cell>
        </row>
        <row r="3061">
          <cell r="L3061" t="str">
            <v>Non-proportional</v>
          </cell>
          <cell r="S3061">
            <v>223411.67</v>
          </cell>
          <cell r="X3061" t="str">
            <v>Claims - gross</v>
          </cell>
          <cell r="Y3061" t="str">
            <v>AUSTRALIA</v>
          </cell>
        </row>
        <row r="3062">
          <cell r="L3062" t="str">
            <v>Non-proportional</v>
          </cell>
          <cell r="S3062">
            <v>-1130.44</v>
          </cell>
          <cell r="X3062" t="str">
            <v>Claims - gross</v>
          </cell>
          <cell r="Y3062" t="str">
            <v>INDIA</v>
          </cell>
        </row>
        <row r="3063">
          <cell r="L3063" t="str">
            <v>Proportional</v>
          </cell>
          <cell r="S3063">
            <v>-4487868.16</v>
          </cell>
          <cell r="X3063" t="str">
            <v>Claims - gross</v>
          </cell>
          <cell r="Y3063" t="str">
            <v>UNITED STATES</v>
          </cell>
        </row>
        <row r="3064">
          <cell r="L3064" t="str">
            <v>Proportional</v>
          </cell>
          <cell r="S3064">
            <v>14908.72</v>
          </cell>
          <cell r="X3064" t="str">
            <v>Claims - gross</v>
          </cell>
          <cell r="Y3064" t="str">
            <v>HONG KONG</v>
          </cell>
        </row>
        <row r="3065">
          <cell r="L3065" t="str">
            <v>Non-proportional</v>
          </cell>
          <cell r="S3065">
            <v>-17319.16</v>
          </cell>
          <cell r="X3065" t="str">
            <v>Claims - gross</v>
          </cell>
          <cell r="Y3065" t="str">
            <v>INDIA</v>
          </cell>
        </row>
        <row r="3066">
          <cell r="L3066" t="str">
            <v>Proportional</v>
          </cell>
          <cell r="S3066">
            <v>42762.5</v>
          </cell>
          <cell r="X3066" t="str">
            <v>Claims - gross</v>
          </cell>
          <cell r="Y3066" t="str">
            <v>SINGAPORE</v>
          </cell>
        </row>
        <row r="3067">
          <cell r="L3067" t="str">
            <v>Proportional</v>
          </cell>
          <cell r="S3067">
            <v>14559.06</v>
          </cell>
          <cell r="X3067" t="str">
            <v>Claims - gross</v>
          </cell>
          <cell r="Y3067" t="str">
            <v>HONG KONG</v>
          </cell>
        </row>
        <row r="3068">
          <cell r="L3068" t="str">
            <v>Proportional</v>
          </cell>
          <cell r="S3068">
            <v>-14955.16</v>
          </cell>
          <cell r="X3068" t="str">
            <v>Claims - gross</v>
          </cell>
          <cell r="Y3068" t="str">
            <v>THAILAND</v>
          </cell>
        </row>
        <row r="3069">
          <cell r="L3069" t="str">
            <v>Non-proportional</v>
          </cell>
          <cell r="S3069">
            <v>20593.48</v>
          </cell>
          <cell r="X3069" t="str">
            <v>Claims - gross</v>
          </cell>
          <cell r="Y3069" t="str">
            <v>FRANCE</v>
          </cell>
        </row>
        <row r="3070">
          <cell r="L3070" t="str">
            <v>Non-proportional</v>
          </cell>
          <cell r="S3070">
            <v>507994.49</v>
          </cell>
          <cell r="X3070" t="str">
            <v>Claims - gross</v>
          </cell>
          <cell r="Y3070" t="str">
            <v>UNITED KINGDOM</v>
          </cell>
        </row>
        <row r="3071">
          <cell r="L3071" t="str">
            <v>Non-proportional</v>
          </cell>
          <cell r="S3071">
            <v>-254.01</v>
          </cell>
          <cell r="X3071" t="str">
            <v>Claims - gross</v>
          </cell>
          <cell r="Y3071" t="str">
            <v>INDIA</v>
          </cell>
        </row>
        <row r="3072">
          <cell r="L3072" t="str">
            <v>Non-proportional</v>
          </cell>
          <cell r="S3072">
            <v>-129044.08</v>
          </cell>
          <cell r="X3072" t="str">
            <v>Claims - gross</v>
          </cell>
          <cell r="Y3072" t="str">
            <v>Belgium</v>
          </cell>
        </row>
        <row r="3073">
          <cell r="L3073" t="str">
            <v>Proportional</v>
          </cell>
          <cell r="S3073">
            <v>-24691.919999999998</v>
          </cell>
          <cell r="X3073" t="str">
            <v>Claims - gross</v>
          </cell>
          <cell r="Y3073" t="str">
            <v>Turkey</v>
          </cell>
        </row>
        <row r="3074">
          <cell r="L3074" t="str">
            <v>Non-proportional</v>
          </cell>
          <cell r="S3074">
            <v>1261.1300000000001</v>
          </cell>
          <cell r="X3074" t="str">
            <v>Claims - gross</v>
          </cell>
          <cell r="Y3074" t="str">
            <v>PORTUGAL</v>
          </cell>
        </row>
        <row r="3075">
          <cell r="L3075" t="str">
            <v>Non-proportional</v>
          </cell>
          <cell r="S3075">
            <v>-67105.100000000006</v>
          </cell>
          <cell r="X3075" t="str">
            <v>Claims - gross</v>
          </cell>
          <cell r="Y3075" t="str">
            <v>POLAND</v>
          </cell>
        </row>
        <row r="3076">
          <cell r="L3076" t="str">
            <v>Non-proportional</v>
          </cell>
          <cell r="S3076">
            <v>727530.11</v>
          </cell>
          <cell r="X3076" t="str">
            <v>Claims - gross</v>
          </cell>
          <cell r="Y3076" t="str">
            <v>EUROPE</v>
          </cell>
        </row>
        <row r="3077">
          <cell r="L3077" t="str">
            <v>Non-proportional</v>
          </cell>
          <cell r="S3077">
            <v>539005.56000000006</v>
          </cell>
          <cell r="X3077" t="str">
            <v>Claims - gross</v>
          </cell>
          <cell r="Y3077" t="str">
            <v>AUSTRALIA</v>
          </cell>
        </row>
        <row r="3078">
          <cell r="L3078" t="str">
            <v>Proportional</v>
          </cell>
          <cell r="S3078">
            <v>-18749747.34</v>
          </cell>
          <cell r="X3078" t="str">
            <v>Claims - gross</v>
          </cell>
          <cell r="Y3078" t="str">
            <v>ITALY</v>
          </cell>
        </row>
        <row r="3079">
          <cell r="L3079" t="str">
            <v>Non-proportional</v>
          </cell>
          <cell r="S3079">
            <v>89907.71</v>
          </cell>
          <cell r="X3079" t="str">
            <v>Claims - gross</v>
          </cell>
          <cell r="Y3079" t="str">
            <v>AUSTRALIA</v>
          </cell>
        </row>
        <row r="3080">
          <cell r="L3080" t="str">
            <v>Non-proportional</v>
          </cell>
          <cell r="S3080">
            <v>-882.46</v>
          </cell>
          <cell r="X3080" t="str">
            <v>Claims - gross</v>
          </cell>
          <cell r="Y3080" t="str">
            <v>INDIA</v>
          </cell>
        </row>
        <row r="3081">
          <cell r="L3081"/>
          <cell r="S3081">
            <v>1151.95</v>
          </cell>
          <cell r="X3081" t="str">
            <v>Claims - gross</v>
          </cell>
          <cell r="Y3081" t="str">
            <v>PORTUGAL</v>
          </cell>
        </row>
        <row r="3082">
          <cell r="L3082" t="str">
            <v>Proportional</v>
          </cell>
          <cell r="S3082">
            <v>-1379770.49</v>
          </cell>
          <cell r="X3082" t="str">
            <v>Claims - gross</v>
          </cell>
          <cell r="Y3082" t="str">
            <v>JAPAN</v>
          </cell>
        </row>
        <row r="3083">
          <cell r="L3083" t="str">
            <v>Non-proportional</v>
          </cell>
          <cell r="S3083">
            <v>0</v>
          </cell>
          <cell r="X3083" t="str">
            <v>Claims - gross</v>
          </cell>
          <cell r="Y3083" t="str">
            <v>India</v>
          </cell>
        </row>
        <row r="3084">
          <cell r="L3084" t="str">
            <v>Proportional</v>
          </cell>
          <cell r="S3084">
            <v>-18717.63</v>
          </cell>
          <cell r="X3084" t="str">
            <v>Claims - gross</v>
          </cell>
          <cell r="Y3084" t="str">
            <v>THAILAND</v>
          </cell>
        </row>
        <row r="3085">
          <cell r="L3085" t="str">
            <v>Non-proportional</v>
          </cell>
          <cell r="S3085">
            <v>2500000</v>
          </cell>
          <cell r="X3085" t="str">
            <v>Claims - gross</v>
          </cell>
          <cell r="Y3085" t="str">
            <v>HONG KONG</v>
          </cell>
        </row>
        <row r="3086">
          <cell r="L3086" t="str">
            <v>Proportional</v>
          </cell>
          <cell r="S3086">
            <v>14559.07</v>
          </cell>
          <cell r="X3086" t="str">
            <v>Claims - gross</v>
          </cell>
          <cell r="Y3086" t="str">
            <v>TURKEY</v>
          </cell>
        </row>
        <row r="3087">
          <cell r="L3087" t="str">
            <v>Non-proportional</v>
          </cell>
          <cell r="S3087">
            <v>-1286.33</v>
          </cell>
          <cell r="X3087" t="str">
            <v>Claims - gross</v>
          </cell>
          <cell r="Y3087" t="str">
            <v>INDIA</v>
          </cell>
        </row>
        <row r="3088">
          <cell r="L3088" t="str">
            <v>Proportional</v>
          </cell>
          <cell r="S3088">
            <v>-10288.49</v>
          </cell>
          <cell r="X3088" t="str">
            <v>Claims - gross</v>
          </cell>
          <cell r="Y3088" t="str">
            <v>INDIA</v>
          </cell>
        </row>
        <row r="3089">
          <cell r="L3089" t="str">
            <v>Non-proportional</v>
          </cell>
          <cell r="S3089">
            <v>34136.54</v>
          </cell>
          <cell r="X3089" t="str">
            <v>Claims - gross</v>
          </cell>
          <cell r="Y3089" t="str">
            <v>AUSTRALIA</v>
          </cell>
        </row>
        <row r="3090">
          <cell r="L3090"/>
          <cell r="S3090">
            <v>9599.07</v>
          </cell>
          <cell r="X3090" t="str">
            <v>Claims - gross</v>
          </cell>
          <cell r="Y3090" t="str">
            <v>PORTUGAL</v>
          </cell>
        </row>
        <row r="3091">
          <cell r="L3091" t="str">
            <v>Non-proportional</v>
          </cell>
          <cell r="S3091">
            <v>55797.5</v>
          </cell>
          <cell r="X3091" t="str">
            <v>Claims - gross</v>
          </cell>
          <cell r="Y3091" t="str">
            <v>ITALY</v>
          </cell>
        </row>
        <row r="3092">
          <cell r="L3092" t="str">
            <v>Non-proportional</v>
          </cell>
          <cell r="S3092">
            <v>-218.54</v>
          </cell>
          <cell r="X3092" t="str">
            <v>Claims - gross</v>
          </cell>
          <cell r="Y3092" t="str">
            <v>INDIA</v>
          </cell>
        </row>
        <row r="3093">
          <cell r="L3093" t="str">
            <v>Proportional</v>
          </cell>
          <cell r="S3093">
            <v>132445.79</v>
          </cell>
          <cell r="X3093" t="str">
            <v>Claims - gross</v>
          </cell>
          <cell r="Y3093" t="str">
            <v>JAPAN</v>
          </cell>
        </row>
        <row r="3094">
          <cell r="L3094" t="str">
            <v>Non-proportional</v>
          </cell>
          <cell r="S3094">
            <v>83120.23</v>
          </cell>
          <cell r="X3094" t="str">
            <v>Claims - gross</v>
          </cell>
          <cell r="Y3094" t="str">
            <v>AUSTRALIA</v>
          </cell>
        </row>
        <row r="3095">
          <cell r="L3095" t="str">
            <v>Proportional</v>
          </cell>
          <cell r="S3095">
            <v>204618.38</v>
          </cell>
          <cell r="X3095" t="str">
            <v>Claims - gross</v>
          </cell>
          <cell r="Y3095" t="str">
            <v>Hong Kong</v>
          </cell>
        </row>
        <row r="3096">
          <cell r="L3096" t="str">
            <v>Proportional</v>
          </cell>
          <cell r="S3096">
            <v>61916.61</v>
          </cell>
          <cell r="X3096" t="str">
            <v>Claims - gross</v>
          </cell>
          <cell r="Y3096" t="str">
            <v>TURKEY</v>
          </cell>
        </row>
        <row r="3097">
          <cell r="L3097" t="str">
            <v>Proportional</v>
          </cell>
          <cell r="S3097">
            <v>161074.39000000001</v>
          </cell>
          <cell r="X3097" t="str">
            <v>Claims - gross</v>
          </cell>
          <cell r="Y3097" t="str">
            <v>CANADA</v>
          </cell>
        </row>
        <row r="3098">
          <cell r="L3098" t="str">
            <v>Non-proportional</v>
          </cell>
          <cell r="S3098">
            <v>93156</v>
          </cell>
          <cell r="X3098" t="str">
            <v>Claims - gross</v>
          </cell>
          <cell r="Y3098" t="str">
            <v>PORTUGAL</v>
          </cell>
        </row>
        <row r="3099">
          <cell r="L3099" t="str">
            <v>Non-proportional</v>
          </cell>
          <cell r="S3099">
            <v>-621476.31999999995</v>
          </cell>
          <cell r="X3099" t="str">
            <v>Claims - gross</v>
          </cell>
          <cell r="Y3099" t="str">
            <v>AUSTRALIA</v>
          </cell>
        </row>
        <row r="3100">
          <cell r="L3100" t="str">
            <v>Non-proportional</v>
          </cell>
          <cell r="S3100">
            <v>-160325.46</v>
          </cell>
          <cell r="X3100" t="str">
            <v>Claims - gross</v>
          </cell>
          <cell r="Y3100" t="str">
            <v>GERMANY</v>
          </cell>
        </row>
        <row r="3101">
          <cell r="L3101" t="str">
            <v>Proportional</v>
          </cell>
          <cell r="S3101">
            <v>-85229.1</v>
          </cell>
          <cell r="X3101" t="str">
            <v>Claims - gross</v>
          </cell>
          <cell r="Y3101" t="str">
            <v>TURKEY</v>
          </cell>
        </row>
        <row r="3102">
          <cell r="L3102" t="str">
            <v>Non-proportional</v>
          </cell>
          <cell r="S3102">
            <v>10806.86</v>
          </cell>
          <cell r="X3102" t="str">
            <v>Claims - gross</v>
          </cell>
          <cell r="Y3102" t="str">
            <v>AUSTRALIA</v>
          </cell>
        </row>
        <row r="3103">
          <cell r="L3103" t="str">
            <v>Non-proportional</v>
          </cell>
          <cell r="S3103">
            <v>-159698.43</v>
          </cell>
          <cell r="X3103" t="str">
            <v>Claims - gross</v>
          </cell>
          <cell r="Y3103" t="str">
            <v>Portugal</v>
          </cell>
        </row>
        <row r="3104">
          <cell r="L3104" t="str">
            <v>Proportional</v>
          </cell>
          <cell r="S3104">
            <v>-89601.32</v>
          </cell>
          <cell r="X3104" t="str">
            <v>Claims - gross</v>
          </cell>
          <cell r="Y3104" t="str">
            <v>THAILAND</v>
          </cell>
        </row>
        <row r="3105">
          <cell r="L3105" t="str">
            <v>Proportional</v>
          </cell>
          <cell r="S3105">
            <v>5420.95</v>
          </cell>
          <cell r="X3105" t="str">
            <v>Claims - gross</v>
          </cell>
          <cell r="Y3105" t="str">
            <v>THAILAND</v>
          </cell>
        </row>
        <row r="3106">
          <cell r="L3106" t="str">
            <v>Non-proportional</v>
          </cell>
          <cell r="S3106">
            <v>25748.799999999999</v>
          </cell>
          <cell r="X3106" t="str">
            <v>Claims - gross</v>
          </cell>
          <cell r="Y3106" t="str">
            <v>GERMANY</v>
          </cell>
        </row>
        <row r="3107">
          <cell r="L3107" t="str">
            <v>Proportional</v>
          </cell>
          <cell r="S3107">
            <v>771580.98</v>
          </cell>
          <cell r="X3107" t="str">
            <v>Claims - gross</v>
          </cell>
          <cell r="Y3107" t="str">
            <v>HONG KONG</v>
          </cell>
        </row>
        <row r="3108">
          <cell r="L3108" t="str">
            <v>Non-proportional</v>
          </cell>
          <cell r="S3108">
            <v>21736.400000000001</v>
          </cell>
          <cell r="X3108" t="str">
            <v>Claims - gross</v>
          </cell>
          <cell r="Y3108" t="str">
            <v>PORTUGAL</v>
          </cell>
        </row>
        <row r="3109">
          <cell r="L3109" t="str">
            <v>Non-proportional</v>
          </cell>
          <cell r="S3109">
            <v>14240.95</v>
          </cell>
          <cell r="X3109" t="str">
            <v>Claims - gross</v>
          </cell>
          <cell r="Y3109" t="str">
            <v>UNITED KINGDOM</v>
          </cell>
        </row>
        <row r="3110">
          <cell r="L3110" t="str">
            <v>Proportional</v>
          </cell>
          <cell r="S3110">
            <v>-11804777.68</v>
          </cell>
          <cell r="X3110" t="str">
            <v>Claims - gross</v>
          </cell>
          <cell r="Y3110" t="str">
            <v>ITALY</v>
          </cell>
        </row>
        <row r="3111">
          <cell r="L3111" t="str">
            <v>Proportional</v>
          </cell>
          <cell r="S3111">
            <v>11804777.68</v>
          </cell>
          <cell r="X3111" t="str">
            <v>Claims - gross</v>
          </cell>
          <cell r="Y3111" t="str">
            <v>ITALY</v>
          </cell>
        </row>
        <row r="3112">
          <cell r="L3112" t="str">
            <v>Proportional</v>
          </cell>
          <cell r="S3112">
            <v>-18749747.34</v>
          </cell>
          <cell r="X3112" t="str">
            <v>Claims - gross</v>
          </cell>
          <cell r="Y3112" t="str">
            <v>ITALY</v>
          </cell>
        </row>
        <row r="3113">
          <cell r="L3113" t="str">
            <v>Proportional</v>
          </cell>
          <cell r="S3113">
            <v>243996.53</v>
          </cell>
          <cell r="X3113" t="str">
            <v>Claims - gross</v>
          </cell>
          <cell r="Y3113" t="str">
            <v>United kingdom</v>
          </cell>
        </row>
        <row r="3114">
          <cell r="L3114" t="str">
            <v>Proportional</v>
          </cell>
          <cell r="S3114">
            <v>-2119.59</v>
          </cell>
          <cell r="X3114" t="str">
            <v>Claims - gross</v>
          </cell>
          <cell r="Y3114" t="str">
            <v>India</v>
          </cell>
        </row>
        <row r="3115">
          <cell r="L3115" t="str">
            <v>Proportional</v>
          </cell>
          <cell r="S3115">
            <v>31413010.030000001</v>
          </cell>
          <cell r="X3115" t="str">
            <v>Claims - gross</v>
          </cell>
          <cell r="Y3115" t="str">
            <v>ITALY</v>
          </cell>
        </row>
        <row r="3116">
          <cell r="L3116" t="str">
            <v>Proportional</v>
          </cell>
          <cell r="S3116">
            <v>2545.63</v>
          </cell>
          <cell r="X3116" t="str">
            <v>Claims - gross</v>
          </cell>
          <cell r="Y3116" t="str">
            <v>UNITED KINGDOM</v>
          </cell>
        </row>
        <row r="3117">
          <cell r="L3117" t="str">
            <v>Proportional</v>
          </cell>
          <cell r="S3117">
            <v>17888537.989999998</v>
          </cell>
          <cell r="X3117" t="str">
            <v>Claims - gross</v>
          </cell>
          <cell r="Y3117" t="str">
            <v>ITALY</v>
          </cell>
        </row>
        <row r="3118">
          <cell r="L3118" t="str">
            <v>Proportional</v>
          </cell>
          <cell r="S3118">
            <v>-17888537.989999998</v>
          </cell>
          <cell r="X3118" t="str">
            <v>Claims - gross</v>
          </cell>
          <cell r="Y3118" t="str">
            <v>ITALY</v>
          </cell>
        </row>
        <row r="3119">
          <cell r="L3119" t="str">
            <v>Proportional</v>
          </cell>
          <cell r="S3119">
            <v>44170963.520000003</v>
          </cell>
          <cell r="X3119" t="str">
            <v>Claims - gross</v>
          </cell>
          <cell r="Y3119" t="str">
            <v>ITALY</v>
          </cell>
        </row>
        <row r="3120">
          <cell r="L3120" t="str">
            <v>Proportional</v>
          </cell>
          <cell r="S3120">
            <v>-31413010.030000001</v>
          </cell>
          <cell r="X3120" t="str">
            <v>Claims - gross</v>
          </cell>
          <cell r="Y3120" t="str">
            <v>ITALY</v>
          </cell>
        </row>
        <row r="3121">
          <cell r="L3121" t="str">
            <v>Non-proportional</v>
          </cell>
          <cell r="S3121">
            <v>-152575.56</v>
          </cell>
          <cell r="X3121" t="str">
            <v>Claims - gross</v>
          </cell>
          <cell r="Y3121" t="str">
            <v>United kingdom</v>
          </cell>
        </row>
        <row r="3122">
          <cell r="L3122" t="str">
            <v>Proportional</v>
          </cell>
          <cell r="S3122">
            <v>6230391.9400000004</v>
          </cell>
          <cell r="X3122" t="str">
            <v>Claims - gross</v>
          </cell>
          <cell r="Y3122" t="str">
            <v>PORTUGAL</v>
          </cell>
        </row>
        <row r="3123">
          <cell r="L3123" t="str">
            <v>Non-proportional</v>
          </cell>
          <cell r="S3123">
            <v>59828</v>
          </cell>
          <cell r="X3123" t="str">
            <v>Claims - gross</v>
          </cell>
          <cell r="Y3123" t="str">
            <v>UNITED KINGDOM</v>
          </cell>
        </row>
        <row r="3124">
          <cell r="L3124" t="str">
            <v>Non-proportional</v>
          </cell>
          <cell r="S3124">
            <v>13634.84</v>
          </cell>
          <cell r="X3124" t="str">
            <v>Claims - gross</v>
          </cell>
          <cell r="Y3124" t="str">
            <v>UNITED KINGDOM</v>
          </cell>
        </row>
        <row r="3125">
          <cell r="L3125" t="str">
            <v>Proportional</v>
          </cell>
          <cell r="S3125">
            <v>-109772.27</v>
          </cell>
          <cell r="X3125" t="str">
            <v>Claims - gross</v>
          </cell>
          <cell r="Y3125" t="str">
            <v>THAILAND</v>
          </cell>
        </row>
        <row r="3126">
          <cell r="L3126" t="str">
            <v>Non-proportional</v>
          </cell>
          <cell r="S3126">
            <v>11782.34</v>
          </cell>
          <cell r="X3126" t="str">
            <v>Claims - gross</v>
          </cell>
          <cell r="Y3126" t="str">
            <v>THAILAND</v>
          </cell>
        </row>
        <row r="3127">
          <cell r="L3127" t="str">
            <v>Non-proportional</v>
          </cell>
          <cell r="S3127">
            <v>357929.58</v>
          </cell>
          <cell r="X3127" t="str">
            <v>Claims - gross</v>
          </cell>
          <cell r="Y3127" t="str">
            <v>AUSTRALIA</v>
          </cell>
        </row>
        <row r="3128">
          <cell r="L3128" t="str">
            <v>Proportional</v>
          </cell>
          <cell r="S3128">
            <v>62603802.850000001</v>
          </cell>
          <cell r="X3128" t="str">
            <v>Claims - gross</v>
          </cell>
          <cell r="Y3128" t="str">
            <v>ITALY</v>
          </cell>
        </row>
        <row r="3129">
          <cell r="L3129" t="str">
            <v>Proportional</v>
          </cell>
          <cell r="S3129">
            <v>19234.95</v>
          </cell>
          <cell r="X3129" t="str">
            <v>Claims - gross</v>
          </cell>
          <cell r="Y3129" t="str">
            <v>THAILAND</v>
          </cell>
        </row>
        <row r="3130">
          <cell r="L3130" t="str">
            <v>Non-proportional</v>
          </cell>
          <cell r="S3130">
            <v>-14954.04</v>
          </cell>
          <cell r="X3130" t="str">
            <v>Claims - gross</v>
          </cell>
          <cell r="Y3130" t="str">
            <v>POLAND</v>
          </cell>
        </row>
        <row r="3131">
          <cell r="L3131" t="str">
            <v>Proportional</v>
          </cell>
          <cell r="S3131">
            <v>-1862503.45</v>
          </cell>
          <cell r="X3131" t="str">
            <v>Claims - gross</v>
          </cell>
          <cell r="Y3131" t="str">
            <v>THAILAND</v>
          </cell>
        </row>
        <row r="3132">
          <cell r="L3132" t="str">
            <v>Non-proportional</v>
          </cell>
          <cell r="S3132">
            <v>111446.65</v>
          </cell>
          <cell r="X3132" t="str">
            <v>Claims - gross</v>
          </cell>
          <cell r="Y3132" t="str">
            <v>AUSTRALIA</v>
          </cell>
        </row>
        <row r="3133">
          <cell r="L3133" t="str">
            <v>Proportional</v>
          </cell>
          <cell r="S3133">
            <v>-67871.81</v>
          </cell>
          <cell r="X3133" t="str">
            <v>Claims - gross</v>
          </cell>
          <cell r="Y3133" t="str">
            <v>Turkey</v>
          </cell>
        </row>
        <row r="3134">
          <cell r="L3134" t="str">
            <v>Non-proportional</v>
          </cell>
          <cell r="S3134">
            <v>76773.899999999994</v>
          </cell>
          <cell r="X3134" t="str">
            <v>Claims - gross</v>
          </cell>
          <cell r="Y3134" t="str">
            <v>AUSTRALIA</v>
          </cell>
        </row>
        <row r="3135">
          <cell r="L3135" t="str">
            <v>Non-proportional</v>
          </cell>
          <cell r="S3135">
            <v>267.85000000000002</v>
          </cell>
          <cell r="X3135" t="str">
            <v>Claims - gross</v>
          </cell>
          <cell r="Y3135" t="str">
            <v>INDIA</v>
          </cell>
        </row>
        <row r="3136">
          <cell r="L3136" t="str">
            <v>Non-proportional</v>
          </cell>
          <cell r="S3136">
            <v>435512.09</v>
          </cell>
          <cell r="X3136" t="str">
            <v>Claims - gross</v>
          </cell>
          <cell r="Y3136" t="str">
            <v>UNITED KINGDOM</v>
          </cell>
        </row>
        <row r="3137">
          <cell r="L3137" t="str">
            <v>Non-proportional</v>
          </cell>
          <cell r="S3137">
            <v>-1336.25</v>
          </cell>
          <cell r="X3137" t="str">
            <v>Claims - gross</v>
          </cell>
          <cell r="Y3137" t="str">
            <v>THAILAND</v>
          </cell>
        </row>
        <row r="3138">
          <cell r="L3138" t="str">
            <v>Proportional</v>
          </cell>
          <cell r="S3138">
            <v>-102083.88</v>
          </cell>
          <cell r="X3138" t="str">
            <v>Claims - gross</v>
          </cell>
          <cell r="Y3138" t="str">
            <v>HONG KONG</v>
          </cell>
        </row>
        <row r="3139">
          <cell r="L3139" t="str">
            <v>Non-proportional</v>
          </cell>
          <cell r="S3139">
            <v>278864.65000000002</v>
          </cell>
          <cell r="X3139" t="str">
            <v>Claims - gross</v>
          </cell>
          <cell r="Y3139" t="str">
            <v>UNITED KINGDOM</v>
          </cell>
        </row>
        <row r="3140">
          <cell r="L3140" t="str">
            <v>Non-proportional</v>
          </cell>
          <cell r="S3140">
            <v>93156</v>
          </cell>
          <cell r="X3140" t="str">
            <v>Claims - gross</v>
          </cell>
          <cell r="Y3140" t="str">
            <v>PORTUGAL</v>
          </cell>
        </row>
        <row r="3141">
          <cell r="L3141" t="str">
            <v>Non-proportional</v>
          </cell>
          <cell r="S3141">
            <v>30012.43</v>
          </cell>
          <cell r="X3141" t="str">
            <v>Claims - gross</v>
          </cell>
          <cell r="Y3141" t="str">
            <v>GERMANY</v>
          </cell>
        </row>
        <row r="3142">
          <cell r="L3142" t="str">
            <v>Non-proportional</v>
          </cell>
          <cell r="S3142">
            <v>216121.81</v>
          </cell>
          <cell r="X3142" t="str">
            <v>Claims - gross</v>
          </cell>
          <cell r="Y3142" t="str">
            <v>PORTUGAL</v>
          </cell>
        </row>
        <row r="3143">
          <cell r="L3143" t="str">
            <v>Non-proportional</v>
          </cell>
          <cell r="S3143">
            <v>-1837875.52</v>
          </cell>
          <cell r="X3143" t="str">
            <v>Claims - gross</v>
          </cell>
          <cell r="Y3143" t="str">
            <v>United kingdom</v>
          </cell>
        </row>
        <row r="3144">
          <cell r="L3144" t="str">
            <v>Proportional</v>
          </cell>
          <cell r="S3144">
            <v>-76449861.079999998</v>
          </cell>
          <cell r="X3144" t="str">
            <v>Claims - gross</v>
          </cell>
          <cell r="Y3144" t="str">
            <v>ITALY</v>
          </cell>
        </row>
        <row r="3145">
          <cell r="L3145" t="str">
            <v>Proportional</v>
          </cell>
          <cell r="S3145">
            <v>742777.46</v>
          </cell>
          <cell r="X3145" t="str">
            <v>Claims - gross</v>
          </cell>
          <cell r="Y3145" t="str">
            <v>HONG KONG</v>
          </cell>
        </row>
        <row r="3146">
          <cell r="L3146" t="str">
            <v>Proportional</v>
          </cell>
          <cell r="S3146">
            <v>114989.24</v>
          </cell>
          <cell r="X3146" t="str">
            <v>Claims - gross</v>
          </cell>
          <cell r="Y3146" t="str">
            <v>THAILAND</v>
          </cell>
        </row>
        <row r="3147">
          <cell r="L3147" t="str">
            <v>Non-proportional</v>
          </cell>
          <cell r="S3147">
            <v>63786.92</v>
          </cell>
          <cell r="X3147" t="str">
            <v>Claims - gross</v>
          </cell>
          <cell r="Y3147" t="str">
            <v>UNITED KINGDOM</v>
          </cell>
        </row>
        <row r="3148">
          <cell r="L3148" t="str">
            <v>Non-proportional</v>
          </cell>
          <cell r="S3148">
            <v>-684865.21</v>
          </cell>
          <cell r="X3148" t="str">
            <v>Claims - gross</v>
          </cell>
          <cell r="Y3148" t="str">
            <v>UNITED KINGDOM</v>
          </cell>
        </row>
        <row r="3149">
          <cell r="L3149" t="str">
            <v>Proportional</v>
          </cell>
          <cell r="S3149">
            <v>62150516.859999999</v>
          </cell>
          <cell r="X3149" t="str">
            <v>Claims - gross</v>
          </cell>
          <cell r="Y3149" t="str">
            <v>ITALY</v>
          </cell>
        </row>
        <row r="3150">
          <cell r="L3150" t="str">
            <v>Non-proportional</v>
          </cell>
          <cell r="S3150">
            <v>22846.37</v>
          </cell>
          <cell r="X3150" t="str">
            <v>Claims - gross</v>
          </cell>
          <cell r="Y3150" t="str">
            <v>BELGIUM</v>
          </cell>
        </row>
        <row r="3151">
          <cell r="L3151" t="str">
            <v>Non-proportional</v>
          </cell>
          <cell r="S3151">
            <v>315525.42</v>
          </cell>
          <cell r="X3151" t="str">
            <v>Claims - gross</v>
          </cell>
          <cell r="Y3151" t="str">
            <v>CANADA</v>
          </cell>
        </row>
        <row r="3152">
          <cell r="L3152" t="str">
            <v>Non-proportional</v>
          </cell>
          <cell r="S3152">
            <v>237016.55</v>
          </cell>
          <cell r="X3152" t="str">
            <v>Claims - gross</v>
          </cell>
          <cell r="Y3152" t="str">
            <v>EUROPE</v>
          </cell>
        </row>
        <row r="3153">
          <cell r="L3153" t="str">
            <v>Proportional</v>
          </cell>
          <cell r="S3153">
            <v>-16875.57</v>
          </cell>
          <cell r="X3153" t="str">
            <v>Claims - gross</v>
          </cell>
          <cell r="Y3153" t="str">
            <v>INDIA</v>
          </cell>
        </row>
        <row r="3154">
          <cell r="L3154" t="str">
            <v>Non-proportional</v>
          </cell>
          <cell r="S3154">
            <v>-200762.79</v>
          </cell>
          <cell r="X3154" t="str">
            <v>Claims - gross</v>
          </cell>
          <cell r="Y3154" t="str">
            <v>AUSTRALIA</v>
          </cell>
        </row>
        <row r="3155">
          <cell r="L3155" t="str">
            <v>Non-proportional</v>
          </cell>
          <cell r="S3155">
            <v>493496.85</v>
          </cell>
          <cell r="X3155" t="str">
            <v>Claims - gross</v>
          </cell>
          <cell r="Y3155" t="str">
            <v>THAILAND</v>
          </cell>
        </row>
        <row r="3156">
          <cell r="L3156" t="str">
            <v>Proportional</v>
          </cell>
          <cell r="S3156">
            <v>265780.81</v>
          </cell>
          <cell r="X3156" t="str">
            <v>Claims - gross</v>
          </cell>
          <cell r="Y3156" t="str">
            <v>THAILAND</v>
          </cell>
        </row>
        <row r="3157">
          <cell r="L3157" t="str">
            <v>Non-proportional</v>
          </cell>
          <cell r="S3157">
            <v>243876.62</v>
          </cell>
          <cell r="X3157" t="str">
            <v>Claims - gross</v>
          </cell>
          <cell r="Y3157" t="str">
            <v>BELGIUM</v>
          </cell>
        </row>
        <row r="3158">
          <cell r="L3158" t="str">
            <v>Proportional</v>
          </cell>
          <cell r="S3158">
            <v>4117.62</v>
          </cell>
          <cell r="X3158" t="str">
            <v>Claims - gross</v>
          </cell>
          <cell r="Y3158" t="str">
            <v>HONG KONG</v>
          </cell>
        </row>
        <row r="3159">
          <cell r="L3159" t="str">
            <v>Proportional</v>
          </cell>
          <cell r="S3159">
            <v>442589.02</v>
          </cell>
          <cell r="X3159" t="str">
            <v>Claims - gross</v>
          </cell>
          <cell r="Y3159" t="str">
            <v>HONG KONG</v>
          </cell>
        </row>
        <row r="3160">
          <cell r="L3160" t="str">
            <v>Proportional</v>
          </cell>
          <cell r="S3160">
            <v>-255974.24</v>
          </cell>
          <cell r="X3160" t="str">
            <v>Claims - gross</v>
          </cell>
          <cell r="Y3160" t="str">
            <v>THAILAND</v>
          </cell>
        </row>
        <row r="3161">
          <cell r="L3161" t="str">
            <v>Non-proportional</v>
          </cell>
          <cell r="S3161">
            <v>56657.4</v>
          </cell>
          <cell r="X3161" t="str">
            <v>Claims - gross</v>
          </cell>
          <cell r="Y3161" t="str">
            <v>UNITED KINGDOM</v>
          </cell>
        </row>
        <row r="3162">
          <cell r="L3162" t="str">
            <v>Non-proportional</v>
          </cell>
          <cell r="S3162">
            <v>57764.1</v>
          </cell>
          <cell r="X3162" t="str">
            <v>Claims - gross</v>
          </cell>
          <cell r="Y3162" t="str">
            <v>AUSTRALIA</v>
          </cell>
        </row>
        <row r="3163">
          <cell r="L3163" t="str">
            <v>Non-proportional</v>
          </cell>
          <cell r="S3163">
            <v>-101267.46</v>
          </cell>
          <cell r="X3163" t="str">
            <v>Claims - gross</v>
          </cell>
          <cell r="Y3163" t="str">
            <v>AUSTRALIA</v>
          </cell>
        </row>
        <row r="3164">
          <cell r="L3164" t="str">
            <v>Non-proportional</v>
          </cell>
          <cell r="S3164">
            <v>-25348.12</v>
          </cell>
          <cell r="X3164" t="str">
            <v>Claims - gross</v>
          </cell>
          <cell r="Y3164" t="str">
            <v>AUSTRALIA</v>
          </cell>
        </row>
        <row r="3165">
          <cell r="L3165" t="str">
            <v>Proportional</v>
          </cell>
          <cell r="S3165">
            <v>-15386.26</v>
          </cell>
          <cell r="X3165" t="str">
            <v>Claims - gross</v>
          </cell>
          <cell r="Y3165" t="str">
            <v>THAILAND</v>
          </cell>
        </row>
        <row r="3166">
          <cell r="L3166" t="str">
            <v>Non-proportional</v>
          </cell>
          <cell r="S3166">
            <v>25309.24</v>
          </cell>
          <cell r="X3166" t="str">
            <v>Claims - gross</v>
          </cell>
          <cell r="Y3166" t="str">
            <v>GERMANY</v>
          </cell>
        </row>
        <row r="3167">
          <cell r="L3167" t="str">
            <v>Proportional</v>
          </cell>
          <cell r="S3167">
            <v>71136.38</v>
          </cell>
          <cell r="X3167" t="str">
            <v>Claims - gross</v>
          </cell>
          <cell r="Y3167" t="str">
            <v>BELGIUM</v>
          </cell>
        </row>
        <row r="3168">
          <cell r="L3168" t="str">
            <v>Non-proportional</v>
          </cell>
          <cell r="S3168">
            <v>-37500</v>
          </cell>
          <cell r="X3168" t="str">
            <v>Claims - gross</v>
          </cell>
          <cell r="Y3168" t="str">
            <v>ITALY</v>
          </cell>
        </row>
        <row r="3169">
          <cell r="L3169" t="str">
            <v>Non-proportional</v>
          </cell>
          <cell r="S3169">
            <v>-445994.97</v>
          </cell>
          <cell r="X3169" t="str">
            <v>Claims - gross</v>
          </cell>
          <cell r="Y3169" t="str">
            <v>GERMANY</v>
          </cell>
        </row>
        <row r="3170">
          <cell r="L3170" t="str">
            <v>Non-proportional</v>
          </cell>
          <cell r="S3170">
            <v>-271394.45</v>
          </cell>
          <cell r="X3170" t="str">
            <v>Claims - gross</v>
          </cell>
          <cell r="Y3170" t="str">
            <v>UNITED KINGDOM</v>
          </cell>
        </row>
        <row r="3171">
          <cell r="L3171" t="str">
            <v>Non-proportional</v>
          </cell>
          <cell r="S3171">
            <v>-30200.85</v>
          </cell>
          <cell r="X3171" t="str">
            <v>Claims - gross</v>
          </cell>
          <cell r="Y3171" t="str">
            <v>AUSTRALIA</v>
          </cell>
        </row>
        <row r="3172">
          <cell r="L3172" t="str">
            <v>Proportional</v>
          </cell>
          <cell r="S3172">
            <v>2033488.12</v>
          </cell>
          <cell r="X3172" t="str">
            <v>Claims - gross</v>
          </cell>
          <cell r="Y3172" t="str">
            <v>THAILAND</v>
          </cell>
        </row>
        <row r="3173">
          <cell r="L3173" t="str">
            <v>Non-proportional</v>
          </cell>
          <cell r="S3173">
            <v>91255.61</v>
          </cell>
          <cell r="X3173" t="str">
            <v>Claims - gross</v>
          </cell>
          <cell r="Y3173" t="str">
            <v>TURKEY</v>
          </cell>
        </row>
        <row r="3174">
          <cell r="L3174" t="str">
            <v>Non-proportional</v>
          </cell>
          <cell r="S3174">
            <v>-437016.8</v>
          </cell>
          <cell r="X3174" t="str">
            <v>Claims - gross</v>
          </cell>
          <cell r="Y3174" t="str">
            <v>AUSTRALIA</v>
          </cell>
        </row>
        <row r="3175">
          <cell r="L3175" t="str">
            <v>Non-proportional</v>
          </cell>
          <cell r="S3175">
            <v>1681.41</v>
          </cell>
          <cell r="X3175" t="str">
            <v>Claims - gross</v>
          </cell>
          <cell r="Y3175" t="str">
            <v>GERMANY</v>
          </cell>
        </row>
        <row r="3176">
          <cell r="L3176" t="str">
            <v>Proportional</v>
          </cell>
          <cell r="S3176">
            <v>5004.3900000000003</v>
          </cell>
          <cell r="X3176" t="str">
            <v>Claims - gross</v>
          </cell>
          <cell r="Y3176" t="str">
            <v>THAILAND</v>
          </cell>
        </row>
        <row r="3177">
          <cell r="L3177" t="str">
            <v>Non-proportional</v>
          </cell>
          <cell r="S3177">
            <v>4192.0200000000004</v>
          </cell>
          <cell r="X3177" t="str">
            <v>Claims - gross</v>
          </cell>
          <cell r="Y3177" t="str">
            <v>PORTUGAL</v>
          </cell>
        </row>
        <row r="3178">
          <cell r="L3178" t="str">
            <v>Non-proportional</v>
          </cell>
          <cell r="S3178">
            <v>894.77</v>
          </cell>
          <cell r="X3178" t="str">
            <v>Claims - gross</v>
          </cell>
          <cell r="Y3178" t="str">
            <v>INDIA</v>
          </cell>
        </row>
        <row r="3179">
          <cell r="L3179" t="str">
            <v>Non-proportional</v>
          </cell>
          <cell r="S3179">
            <v>15499.2</v>
          </cell>
          <cell r="X3179" t="str">
            <v>Claims - gross</v>
          </cell>
          <cell r="Y3179" t="str">
            <v>UNITED KINGDOM</v>
          </cell>
        </row>
        <row r="3180">
          <cell r="L3180" t="str">
            <v>Non-proportional</v>
          </cell>
          <cell r="S3180">
            <v>3792.88</v>
          </cell>
          <cell r="X3180" t="str">
            <v>Claims - gross</v>
          </cell>
          <cell r="Y3180" t="str">
            <v>AUSTRALIA</v>
          </cell>
        </row>
        <row r="3181">
          <cell r="L3181" t="str">
            <v>Proportional</v>
          </cell>
          <cell r="S3181">
            <v>24755.25</v>
          </cell>
          <cell r="X3181" t="str">
            <v>Claims - gross</v>
          </cell>
          <cell r="Y3181" t="str">
            <v>THAILAND</v>
          </cell>
        </row>
        <row r="3182">
          <cell r="L3182" t="str">
            <v>Proportional</v>
          </cell>
          <cell r="S3182">
            <v>-779.79</v>
          </cell>
          <cell r="X3182" t="str">
            <v>Claims - gross</v>
          </cell>
          <cell r="Y3182" t="str">
            <v>PORTUGAL</v>
          </cell>
        </row>
        <row r="3183">
          <cell r="L3183" t="str">
            <v>Proportional</v>
          </cell>
          <cell r="S3183">
            <v>-76454.960000000006</v>
          </cell>
          <cell r="X3183" t="str">
            <v>Claims - gross</v>
          </cell>
          <cell r="Y3183" t="str">
            <v>INDIA</v>
          </cell>
        </row>
        <row r="3184">
          <cell r="L3184" t="str">
            <v>Non-proportional</v>
          </cell>
          <cell r="S3184">
            <v>860372.98</v>
          </cell>
          <cell r="X3184" t="str">
            <v>Claims - gross</v>
          </cell>
          <cell r="Y3184" t="str">
            <v>AUSTRALIA</v>
          </cell>
        </row>
        <row r="3185">
          <cell r="L3185" t="str">
            <v>Non-proportional</v>
          </cell>
          <cell r="S3185">
            <v>65940.17</v>
          </cell>
          <cell r="X3185" t="str">
            <v>Claims - gross</v>
          </cell>
          <cell r="Y3185" t="str">
            <v>UNITED KINGDOM</v>
          </cell>
        </row>
        <row r="3186">
          <cell r="L3186" t="str">
            <v>Non-proportional</v>
          </cell>
          <cell r="S3186">
            <v>12566.59</v>
          </cell>
          <cell r="X3186" t="str">
            <v>Claims - gross</v>
          </cell>
          <cell r="Y3186" t="str">
            <v>AUSTRALIA</v>
          </cell>
        </row>
        <row r="3187">
          <cell r="L3187" t="str">
            <v>Non-proportional</v>
          </cell>
          <cell r="S3187">
            <v>-84619.45</v>
          </cell>
          <cell r="X3187" t="str">
            <v>Claims - gross</v>
          </cell>
          <cell r="Y3187" t="str">
            <v>AUSTRALIA</v>
          </cell>
        </row>
        <row r="3188">
          <cell r="L3188" t="str">
            <v>Non-proportional</v>
          </cell>
          <cell r="S3188">
            <v>903</v>
          </cell>
          <cell r="X3188" t="str">
            <v>Claims - gross</v>
          </cell>
          <cell r="Y3188" t="str">
            <v>INDIA</v>
          </cell>
        </row>
        <row r="3189">
          <cell r="L3189" t="str">
            <v>Non-proportional</v>
          </cell>
          <cell r="S3189">
            <v>19939.29</v>
          </cell>
          <cell r="X3189" t="str">
            <v>Claims - gross</v>
          </cell>
          <cell r="Y3189" t="str">
            <v>PORTUGAL</v>
          </cell>
        </row>
        <row r="3190">
          <cell r="L3190" t="str">
            <v>Non-proportional</v>
          </cell>
          <cell r="S3190">
            <v>945.85</v>
          </cell>
          <cell r="X3190" t="str">
            <v>Claims - gross</v>
          </cell>
          <cell r="Y3190" t="str">
            <v>PORTUGAL</v>
          </cell>
        </row>
        <row r="3191">
          <cell r="L3191" t="str">
            <v>Non-proportional</v>
          </cell>
          <cell r="S3191">
            <v>104399.93</v>
          </cell>
          <cell r="X3191" t="str">
            <v>Claims - gross</v>
          </cell>
          <cell r="Y3191" t="str">
            <v>UNITED KINGDOM</v>
          </cell>
        </row>
        <row r="3192">
          <cell r="L3192" t="str">
            <v>Non-proportional</v>
          </cell>
          <cell r="S3192">
            <v>1568213.34</v>
          </cell>
          <cell r="X3192" t="str">
            <v>Claims - gross</v>
          </cell>
          <cell r="Y3192" t="str">
            <v>GERMANY</v>
          </cell>
        </row>
        <row r="3193">
          <cell r="L3193" t="str">
            <v>Proportional</v>
          </cell>
          <cell r="S3193">
            <v>-5032.3599999999997</v>
          </cell>
          <cell r="X3193" t="str">
            <v>Claims - gross</v>
          </cell>
          <cell r="Y3193" t="str">
            <v>Turkey</v>
          </cell>
        </row>
        <row r="3194">
          <cell r="L3194" t="str">
            <v>Non-proportional</v>
          </cell>
          <cell r="S3194">
            <v>-2777.56</v>
          </cell>
          <cell r="X3194" t="str">
            <v>Claims - gross</v>
          </cell>
          <cell r="Y3194" t="str">
            <v>United kingdom</v>
          </cell>
        </row>
        <row r="3195">
          <cell r="L3195" t="str">
            <v>Non-proportional</v>
          </cell>
          <cell r="S3195">
            <v>3900.94</v>
          </cell>
          <cell r="X3195" t="str">
            <v>Claims - gross</v>
          </cell>
          <cell r="Y3195" t="str">
            <v>PORTUGAL</v>
          </cell>
        </row>
        <row r="3196">
          <cell r="L3196" t="str">
            <v>Proportional</v>
          </cell>
          <cell r="S3196">
            <v>-5147.9799999999996</v>
          </cell>
          <cell r="X3196" t="str">
            <v>Claims - gross</v>
          </cell>
          <cell r="Y3196" t="str">
            <v>THAILAND</v>
          </cell>
        </row>
        <row r="3197">
          <cell r="L3197" t="str">
            <v>Non-proportional</v>
          </cell>
          <cell r="S3197">
            <v>7698.32</v>
          </cell>
          <cell r="X3197" t="str">
            <v>Claims - gross</v>
          </cell>
          <cell r="Y3197" t="str">
            <v>AUSTRALIA</v>
          </cell>
        </row>
        <row r="3198">
          <cell r="L3198" t="str">
            <v>Proportional</v>
          </cell>
          <cell r="S3198">
            <v>1213722.3999999999</v>
          </cell>
          <cell r="X3198" t="str">
            <v>Claims - gross</v>
          </cell>
          <cell r="Y3198" t="str">
            <v>UNITED STATES</v>
          </cell>
        </row>
        <row r="3199">
          <cell r="L3199" t="str">
            <v>Non-proportional</v>
          </cell>
          <cell r="S3199">
            <v>-264684.63</v>
          </cell>
          <cell r="X3199" t="str">
            <v>Claims - gross</v>
          </cell>
          <cell r="Y3199" t="str">
            <v>GERMANY</v>
          </cell>
        </row>
        <row r="3200">
          <cell r="L3200" t="str">
            <v>Non-proportional</v>
          </cell>
          <cell r="S3200">
            <v>-86610.77</v>
          </cell>
          <cell r="X3200" t="str">
            <v>Claims - gross</v>
          </cell>
          <cell r="Y3200" t="str">
            <v>EUROPE</v>
          </cell>
        </row>
        <row r="3201">
          <cell r="L3201" t="str">
            <v>Non-proportional</v>
          </cell>
          <cell r="S3201">
            <v>-830.11</v>
          </cell>
          <cell r="X3201" t="str">
            <v>Claims - gross</v>
          </cell>
          <cell r="Y3201" t="str">
            <v>THAILAND</v>
          </cell>
        </row>
        <row r="3202">
          <cell r="L3202" t="str">
            <v>Proportional</v>
          </cell>
          <cell r="S3202">
            <v>-18153.22</v>
          </cell>
          <cell r="X3202" t="str">
            <v>Claims - gross</v>
          </cell>
          <cell r="Y3202" t="str">
            <v>THAILAND</v>
          </cell>
        </row>
        <row r="3203">
          <cell r="L3203" t="str">
            <v>Proportional</v>
          </cell>
          <cell r="S3203">
            <v>7815.08</v>
          </cell>
          <cell r="X3203" t="str">
            <v>Claims - gross</v>
          </cell>
          <cell r="Y3203" t="str">
            <v>UNITED STATES</v>
          </cell>
        </row>
        <row r="3204">
          <cell r="L3204" t="str">
            <v>Proportional</v>
          </cell>
          <cell r="S3204">
            <v>19296.79</v>
          </cell>
          <cell r="X3204" t="str">
            <v>Claims - gross</v>
          </cell>
          <cell r="Y3204" t="str">
            <v>HONG KONG</v>
          </cell>
        </row>
        <row r="3205">
          <cell r="L3205" t="str">
            <v>Non-proportional</v>
          </cell>
          <cell r="S3205">
            <v>-1044.3399999999999</v>
          </cell>
          <cell r="X3205" t="str">
            <v>Claims - gross</v>
          </cell>
          <cell r="Y3205" t="str">
            <v>THAILAND</v>
          </cell>
        </row>
        <row r="3206">
          <cell r="L3206" t="str">
            <v>Non-proportional</v>
          </cell>
          <cell r="S3206">
            <v>-2516.34</v>
          </cell>
          <cell r="X3206" t="str">
            <v>Claims - gross</v>
          </cell>
          <cell r="Y3206" t="str">
            <v>THAILAND</v>
          </cell>
        </row>
        <row r="3207">
          <cell r="L3207" t="str">
            <v>Proportional</v>
          </cell>
          <cell r="S3207">
            <v>121317.06</v>
          </cell>
          <cell r="X3207" t="str">
            <v>Claims - gross</v>
          </cell>
          <cell r="Y3207" t="str">
            <v>HONG KONG</v>
          </cell>
        </row>
        <row r="3208">
          <cell r="L3208" t="str">
            <v>Non-proportional</v>
          </cell>
          <cell r="S3208">
            <v>-292522.98</v>
          </cell>
          <cell r="X3208" t="str">
            <v>Claims - gross</v>
          </cell>
          <cell r="Y3208" t="str">
            <v>EUROPE</v>
          </cell>
        </row>
        <row r="3209">
          <cell r="L3209" t="str">
            <v>Proportional</v>
          </cell>
          <cell r="S3209">
            <v>14147.49</v>
          </cell>
          <cell r="X3209" t="str">
            <v>Claims - gross</v>
          </cell>
          <cell r="Y3209" t="str">
            <v>PORTUGAL</v>
          </cell>
        </row>
        <row r="3210">
          <cell r="L3210" t="str">
            <v>Non-proportional</v>
          </cell>
          <cell r="S3210">
            <v>1499359.13</v>
          </cell>
          <cell r="X3210" t="str">
            <v>Claims - gross</v>
          </cell>
          <cell r="Y3210" t="str">
            <v>AUSTRALIA</v>
          </cell>
        </row>
        <row r="3211">
          <cell r="L3211" t="str">
            <v>Proportional</v>
          </cell>
          <cell r="S3211">
            <v>1562002.71</v>
          </cell>
          <cell r="X3211" t="str">
            <v>Claims - gross</v>
          </cell>
          <cell r="Y3211" t="str">
            <v>HONG KONG</v>
          </cell>
        </row>
        <row r="3212">
          <cell r="L3212" t="str">
            <v>Non-proportional</v>
          </cell>
          <cell r="S3212">
            <v>3359.06</v>
          </cell>
          <cell r="X3212" t="str">
            <v>Claims - gross</v>
          </cell>
          <cell r="Y3212" t="str">
            <v>UNITED KINGDOM</v>
          </cell>
        </row>
        <row r="3213">
          <cell r="L3213" t="str">
            <v>Non-proportional</v>
          </cell>
          <cell r="S3213">
            <v>-841.14</v>
          </cell>
          <cell r="X3213" t="str">
            <v>Claims - gross</v>
          </cell>
          <cell r="Y3213" t="str">
            <v>SLOVENIA</v>
          </cell>
        </row>
        <row r="3214">
          <cell r="L3214" t="str">
            <v>Non-proportional</v>
          </cell>
          <cell r="S3214">
            <v>-351882.23999999999</v>
          </cell>
          <cell r="X3214" t="str">
            <v>Claims - gross</v>
          </cell>
          <cell r="Y3214" t="str">
            <v>GERMANY</v>
          </cell>
        </row>
        <row r="3215">
          <cell r="L3215" t="str">
            <v>Non-proportional</v>
          </cell>
          <cell r="S3215">
            <v>137258.13</v>
          </cell>
          <cell r="X3215" t="str">
            <v>Claims - gross</v>
          </cell>
          <cell r="Y3215" t="str">
            <v>FRANCE</v>
          </cell>
        </row>
        <row r="3216">
          <cell r="L3216" t="str">
            <v>Non-proportional</v>
          </cell>
          <cell r="S3216">
            <v>-5671.94</v>
          </cell>
          <cell r="X3216" t="str">
            <v>Claims - gross</v>
          </cell>
          <cell r="Y3216" t="str">
            <v>THAILAND</v>
          </cell>
        </row>
        <row r="3217">
          <cell r="L3217" t="str">
            <v>Non-proportional</v>
          </cell>
          <cell r="S3217">
            <v>121580.9</v>
          </cell>
          <cell r="X3217" t="str">
            <v>Claims - gross</v>
          </cell>
          <cell r="Y3217" t="str">
            <v>AUSTRALIA</v>
          </cell>
        </row>
        <row r="3218">
          <cell r="L3218" t="str">
            <v>Non-proportional</v>
          </cell>
          <cell r="S3218">
            <v>-96159.47</v>
          </cell>
          <cell r="X3218" t="str">
            <v>Claims - gross</v>
          </cell>
          <cell r="Y3218" t="str">
            <v>AUSTRALIA</v>
          </cell>
        </row>
        <row r="3219">
          <cell r="L3219" t="str">
            <v>Proportional</v>
          </cell>
          <cell r="S3219">
            <v>-80005.14</v>
          </cell>
          <cell r="X3219" t="str">
            <v>Claims - gross</v>
          </cell>
          <cell r="Y3219" t="str">
            <v>THAILAND</v>
          </cell>
        </row>
        <row r="3220">
          <cell r="L3220" t="str">
            <v>Non-proportional</v>
          </cell>
          <cell r="S3220">
            <v>-2034.05</v>
          </cell>
          <cell r="X3220" t="str">
            <v>Claims - gross</v>
          </cell>
          <cell r="Y3220" t="str">
            <v>THAILAND</v>
          </cell>
        </row>
        <row r="3221">
          <cell r="L3221" t="str">
            <v>Non-proportional</v>
          </cell>
          <cell r="S3221">
            <v>14791.17</v>
          </cell>
          <cell r="X3221" t="str">
            <v>Claims - gross</v>
          </cell>
          <cell r="Y3221" t="str">
            <v>AUSTRALIA</v>
          </cell>
        </row>
        <row r="3222">
          <cell r="L3222" t="str">
            <v>Proportional</v>
          </cell>
          <cell r="S3222">
            <v>-44170963.520000003</v>
          </cell>
          <cell r="X3222" t="str">
            <v>Claims - gross</v>
          </cell>
          <cell r="Y3222" t="str">
            <v>ITALY</v>
          </cell>
        </row>
        <row r="3223">
          <cell r="L3223" t="str">
            <v>Non-proportional</v>
          </cell>
          <cell r="S3223">
            <v>-6662.1</v>
          </cell>
          <cell r="X3223" t="str">
            <v>Claims - gross</v>
          </cell>
          <cell r="Y3223" t="str">
            <v>AUSTRALIA</v>
          </cell>
        </row>
        <row r="3224">
          <cell r="L3224" t="str">
            <v>Non-proportional</v>
          </cell>
          <cell r="S3224">
            <v>24014.67</v>
          </cell>
          <cell r="X3224" t="str">
            <v>Claims - gross</v>
          </cell>
          <cell r="Y3224" t="str">
            <v>GERMANY</v>
          </cell>
        </row>
        <row r="3225">
          <cell r="L3225" t="str">
            <v>Proportional</v>
          </cell>
          <cell r="S3225">
            <v>600000</v>
          </cell>
          <cell r="X3225" t="str">
            <v>Claims - gross</v>
          </cell>
          <cell r="Y3225" t="str">
            <v>THAILAND</v>
          </cell>
        </row>
        <row r="3226">
          <cell r="L3226" t="str">
            <v>Non-proportional</v>
          </cell>
          <cell r="S3226">
            <v>135252.63</v>
          </cell>
          <cell r="X3226" t="str">
            <v>Claims - gross</v>
          </cell>
          <cell r="Y3226" t="str">
            <v>AUSTRALIA</v>
          </cell>
        </row>
        <row r="3227">
          <cell r="L3227" t="str">
            <v>Non-proportional</v>
          </cell>
          <cell r="S3227">
            <v>35556.839999999997</v>
          </cell>
          <cell r="X3227" t="str">
            <v>Claims - gross</v>
          </cell>
          <cell r="Y3227" t="str">
            <v>EUROPE</v>
          </cell>
        </row>
        <row r="3228">
          <cell r="L3228" t="str">
            <v>Proportional</v>
          </cell>
          <cell r="S3228">
            <v>-11161.29</v>
          </cell>
          <cell r="X3228" t="str">
            <v>Claims - gross</v>
          </cell>
          <cell r="Y3228" t="str">
            <v>THAILAND</v>
          </cell>
        </row>
        <row r="3229">
          <cell r="L3229" t="str">
            <v>Proportional</v>
          </cell>
          <cell r="S3229">
            <v>48385.58</v>
          </cell>
          <cell r="X3229" t="str">
            <v>Claims - gross</v>
          </cell>
          <cell r="Y3229" t="str">
            <v>JAPAN</v>
          </cell>
        </row>
        <row r="3230">
          <cell r="L3230" t="str">
            <v>Non-proportional</v>
          </cell>
          <cell r="S3230">
            <v>-38747.93</v>
          </cell>
          <cell r="X3230" t="str">
            <v>Claims - gross</v>
          </cell>
          <cell r="Y3230" t="str">
            <v>ICELAND</v>
          </cell>
        </row>
        <row r="3231">
          <cell r="L3231" t="str">
            <v>Non-proportional</v>
          </cell>
          <cell r="S3231">
            <v>50664.95</v>
          </cell>
          <cell r="X3231" t="str">
            <v>Claims - gross</v>
          </cell>
          <cell r="Y3231" t="str">
            <v>FRANCE</v>
          </cell>
        </row>
        <row r="3232">
          <cell r="L3232" t="str">
            <v>Non-proportional</v>
          </cell>
          <cell r="S3232">
            <v>2924362.59</v>
          </cell>
          <cell r="X3232" t="str">
            <v>Claims - gross</v>
          </cell>
          <cell r="Y3232" t="str">
            <v>UNITED KINGDOM</v>
          </cell>
        </row>
        <row r="3233">
          <cell r="L3233" t="str">
            <v>Proportional</v>
          </cell>
          <cell r="S3233">
            <v>244158.55</v>
          </cell>
          <cell r="X3233" t="str">
            <v>Claims - gross</v>
          </cell>
          <cell r="Y3233" t="str">
            <v>JAPAN</v>
          </cell>
        </row>
        <row r="3234">
          <cell r="L3234" t="str">
            <v>Non-proportional</v>
          </cell>
          <cell r="S3234">
            <v>1620738.78</v>
          </cell>
          <cell r="X3234" t="str">
            <v>Claims - gross</v>
          </cell>
          <cell r="Y3234" t="str">
            <v>UNITED STATES</v>
          </cell>
        </row>
        <row r="3235">
          <cell r="L3235" t="str">
            <v>Non-proportional</v>
          </cell>
          <cell r="S3235">
            <v>596223.56999999995</v>
          </cell>
          <cell r="X3235" t="str">
            <v>Claims - gross</v>
          </cell>
          <cell r="Y3235" t="str">
            <v>AUSTRALIA</v>
          </cell>
        </row>
        <row r="3236">
          <cell r="L3236" t="str">
            <v>Proportional</v>
          </cell>
          <cell r="S3236">
            <v>-74684.2</v>
          </cell>
          <cell r="X3236" t="str">
            <v>Claims - gross</v>
          </cell>
          <cell r="Y3236" t="str">
            <v>THAILAND</v>
          </cell>
        </row>
        <row r="3237">
          <cell r="L3237" t="str">
            <v>Proportional</v>
          </cell>
          <cell r="S3237">
            <v>14408.99</v>
          </cell>
          <cell r="X3237" t="str">
            <v>Claims - gross</v>
          </cell>
          <cell r="Y3237" t="str">
            <v>THAILAND</v>
          </cell>
        </row>
        <row r="3238">
          <cell r="L3238" t="str">
            <v>Non-proportional</v>
          </cell>
          <cell r="S3238">
            <v>-465727.86</v>
          </cell>
          <cell r="X3238" t="str">
            <v>Claims - gross</v>
          </cell>
          <cell r="Y3238" t="str">
            <v>UNITED KINGDOM</v>
          </cell>
        </row>
        <row r="3239">
          <cell r="L3239" t="str">
            <v>Proportional</v>
          </cell>
          <cell r="S3239">
            <v>-3118.34</v>
          </cell>
          <cell r="X3239" t="str">
            <v>Claims - gross</v>
          </cell>
          <cell r="Y3239" t="str">
            <v>THAILAND</v>
          </cell>
        </row>
        <row r="3240">
          <cell r="L3240" t="str">
            <v>Non-proportional</v>
          </cell>
          <cell r="S3240">
            <v>87519.79</v>
          </cell>
          <cell r="X3240" t="str">
            <v>Claims - gross</v>
          </cell>
          <cell r="Y3240" t="str">
            <v>UNITED KINGDOM</v>
          </cell>
        </row>
        <row r="3241">
          <cell r="L3241" t="str">
            <v>Non-proportional</v>
          </cell>
          <cell r="S3241">
            <v>39542.07</v>
          </cell>
          <cell r="X3241" t="str">
            <v>Claims - gross</v>
          </cell>
          <cell r="Y3241" t="str">
            <v>GERMANY</v>
          </cell>
        </row>
        <row r="3242">
          <cell r="L3242" t="str">
            <v>Proportional</v>
          </cell>
          <cell r="S3242">
            <v>-5518.38</v>
          </cell>
          <cell r="X3242" t="str">
            <v>Claims - gross</v>
          </cell>
          <cell r="Y3242" t="str">
            <v>THAILAND</v>
          </cell>
        </row>
        <row r="3243">
          <cell r="L3243" t="str">
            <v>Non-proportional</v>
          </cell>
          <cell r="S3243">
            <v>260.35000000000002</v>
          </cell>
          <cell r="X3243" t="str">
            <v>Claims - gross</v>
          </cell>
          <cell r="Y3243" t="str">
            <v>INDIA</v>
          </cell>
        </row>
        <row r="3244">
          <cell r="L3244" t="str">
            <v>Proportional</v>
          </cell>
          <cell r="S3244">
            <v>6371.78</v>
          </cell>
          <cell r="X3244" t="str">
            <v>Claims - gross</v>
          </cell>
          <cell r="Y3244" t="str">
            <v>INDIA</v>
          </cell>
        </row>
        <row r="3245">
          <cell r="L3245" t="str">
            <v>Non-proportional</v>
          </cell>
          <cell r="S3245">
            <v>953663.48</v>
          </cell>
          <cell r="X3245" t="str">
            <v>Claims - gross</v>
          </cell>
          <cell r="Y3245" t="str">
            <v>UNITED KINGDOM</v>
          </cell>
        </row>
        <row r="3246">
          <cell r="L3246" t="str">
            <v>Proportional</v>
          </cell>
          <cell r="S3246">
            <v>62795.3</v>
          </cell>
          <cell r="X3246" t="str">
            <v>Claims - gross</v>
          </cell>
          <cell r="Y3246" t="str">
            <v>THAILAND</v>
          </cell>
        </row>
        <row r="3247">
          <cell r="L3247" t="str">
            <v>Proportional</v>
          </cell>
          <cell r="S3247">
            <v>-62150516.859999999</v>
          </cell>
          <cell r="X3247" t="str">
            <v>Claims - gross</v>
          </cell>
          <cell r="Y3247" t="str">
            <v>ITALY</v>
          </cell>
        </row>
        <row r="3248">
          <cell r="L3248" t="str">
            <v>Non-proportional</v>
          </cell>
          <cell r="S3248">
            <v>10557.68</v>
          </cell>
          <cell r="X3248" t="str">
            <v>Claims - gross</v>
          </cell>
          <cell r="Y3248" t="str">
            <v>PORTUGAL</v>
          </cell>
        </row>
        <row r="3249">
          <cell r="L3249" t="str">
            <v>Proportional</v>
          </cell>
          <cell r="S3249">
            <v>577666.68000000005</v>
          </cell>
          <cell r="X3249" t="str">
            <v>Claims - gross</v>
          </cell>
          <cell r="Y3249" t="str">
            <v>PORTUGAL</v>
          </cell>
        </row>
        <row r="3250">
          <cell r="L3250" t="str">
            <v>Non-proportional</v>
          </cell>
          <cell r="S3250">
            <v>35334.519999999997</v>
          </cell>
          <cell r="X3250" t="str">
            <v>Claims - gross</v>
          </cell>
          <cell r="Y3250" t="str">
            <v>AUSTRALIA</v>
          </cell>
        </row>
        <row r="3251">
          <cell r="L3251" t="str">
            <v>Non-proportional</v>
          </cell>
          <cell r="S3251">
            <v>-195548.75</v>
          </cell>
          <cell r="X3251" t="str">
            <v>Claims - gross</v>
          </cell>
          <cell r="Y3251" t="str">
            <v>United kingdom</v>
          </cell>
        </row>
        <row r="3252">
          <cell r="L3252" t="str">
            <v>Non-proportional</v>
          </cell>
          <cell r="S3252">
            <v>-159698.44</v>
          </cell>
          <cell r="X3252" t="str">
            <v>Claims - gross</v>
          </cell>
          <cell r="Y3252" t="str">
            <v>Portugal</v>
          </cell>
        </row>
        <row r="3253">
          <cell r="L3253" t="str">
            <v>Proportional</v>
          </cell>
          <cell r="S3253">
            <v>-139095.53</v>
          </cell>
          <cell r="X3253" t="str">
            <v>Claims - gross</v>
          </cell>
          <cell r="Y3253" t="str">
            <v>TURKEY</v>
          </cell>
        </row>
        <row r="3254">
          <cell r="L3254" t="str">
            <v>Proportional</v>
          </cell>
          <cell r="S3254">
            <v>997662.09</v>
          </cell>
          <cell r="X3254" t="str">
            <v>Claims - gross</v>
          </cell>
          <cell r="Y3254" t="str">
            <v>HONG KONG</v>
          </cell>
        </row>
        <row r="3255">
          <cell r="L3255" t="str">
            <v>Non-proportional</v>
          </cell>
          <cell r="S3255">
            <v>18149.04</v>
          </cell>
          <cell r="X3255" t="str">
            <v>Claims - gross</v>
          </cell>
          <cell r="Y3255" t="str">
            <v>AUSTRALIA</v>
          </cell>
        </row>
        <row r="3256">
          <cell r="L3256" t="str">
            <v>Non-proportional</v>
          </cell>
          <cell r="S3256">
            <v>168161.33</v>
          </cell>
          <cell r="X3256" t="str">
            <v>Claims - gross</v>
          </cell>
          <cell r="Y3256" t="str">
            <v>UNITED KINGDOM</v>
          </cell>
        </row>
        <row r="3257">
          <cell r="L3257"/>
          <cell r="S3257">
            <v>822.31</v>
          </cell>
          <cell r="X3257" t="str">
            <v>Claims - gross</v>
          </cell>
          <cell r="Y3257" t="str">
            <v>PORTUGAL</v>
          </cell>
        </row>
        <row r="3258">
          <cell r="L3258" t="str">
            <v>Non-proportional</v>
          </cell>
          <cell r="S3258">
            <v>1493.26</v>
          </cell>
          <cell r="X3258" t="str">
            <v>Claims - gross</v>
          </cell>
          <cell r="Y3258" t="str">
            <v>INDIA</v>
          </cell>
        </row>
        <row r="3259">
          <cell r="L3259" t="str">
            <v>Proportional</v>
          </cell>
          <cell r="S3259">
            <v>-13137.21</v>
          </cell>
          <cell r="X3259" t="str">
            <v>Claims - gross</v>
          </cell>
          <cell r="Y3259" t="str">
            <v>INDIA</v>
          </cell>
        </row>
        <row r="3260">
          <cell r="L3260" t="str">
            <v>Non-proportional</v>
          </cell>
          <cell r="S3260">
            <v>-2643820.9900000002</v>
          </cell>
          <cell r="X3260" t="str">
            <v>Claims - gross</v>
          </cell>
          <cell r="Y3260" t="str">
            <v>AUSTRALIA</v>
          </cell>
        </row>
        <row r="3261">
          <cell r="L3261" t="str">
            <v>Proportional</v>
          </cell>
          <cell r="S3261">
            <v>381050.93</v>
          </cell>
          <cell r="X3261" t="str">
            <v>Claims - gross</v>
          </cell>
          <cell r="Y3261" t="str">
            <v>PORTUGAL</v>
          </cell>
        </row>
        <row r="3262">
          <cell r="L3262" t="str">
            <v>Non-proportional</v>
          </cell>
          <cell r="S3262">
            <v>1261.1199999999999</v>
          </cell>
          <cell r="X3262" t="str">
            <v>Claims - gross</v>
          </cell>
          <cell r="Y3262" t="str">
            <v>PORTUGAL</v>
          </cell>
        </row>
        <row r="3263">
          <cell r="L3263" t="str">
            <v>Non-proportional</v>
          </cell>
          <cell r="S3263">
            <v>27593.34</v>
          </cell>
          <cell r="X3263" t="str">
            <v>Claims - gross</v>
          </cell>
          <cell r="Y3263" t="str">
            <v>UNITED KINGDOM</v>
          </cell>
        </row>
        <row r="3264">
          <cell r="L3264" t="str">
            <v>Proportional</v>
          </cell>
          <cell r="S3264">
            <v>-127178.35</v>
          </cell>
          <cell r="X3264" t="str">
            <v>Claims - gross</v>
          </cell>
          <cell r="Y3264" t="str">
            <v>Hong Kong</v>
          </cell>
        </row>
        <row r="3265">
          <cell r="L3265" t="str">
            <v>Proportional</v>
          </cell>
          <cell r="S3265">
            <v>76449861.079999998</v>
          </cell>
          <cell r="X3265" t="str">
            <v>Claims - gross</v>
          </cell>
          <cell r="Y3265" t="str">
            <v>ITALY</v>
          </cell>
        </row>
        <row r="3266">
          <cell r="L3266" t="str">
            <v>Proportional</v>
          </cell>
          <cell r="S3266">
            <v>-496706.46</v>
          </cell>
          <cell r="X3266" t="str">
            <v>Claims - gross</v>
          </cell>
          <cell r="Y3266" t="str">
            <v>CANADA</v>
          </cell>
        </row>
        <row r="3267">
          <cell r="L3267" t="str">
            <v>Non-proportional</v>
          </cell>
          <cell r="S3267">
            <v>11058.86</v>
          </cell>
          <cell r="X3267" t="str">
            <v>Claims - gross</v>
          </cell>
          <cell r="Y3267" t="str">
            <v>Belgium</v>
          </cell>
        </row>
        <row r="3268">
          <cell r="L3268" t="str">
            <v>Proportional</v>
          </cell>
          <cell r="S3268">
            <v>1772.58</v>
          </cell>
          <cell r="X3268" t="str">
            <v>Claims - gross</v>
          </cell>
          <cell r="Y3268" t="str">
            <v>THAILAND</v>
          </cell>
        </row>
        <row r="3269">
          <cell r="L3269" t="str">
            <v>Non-proportional</v>
          </cell>
          <cell r="S3269">
            <v>-65705.149999999994</v>
          </cell>
          <cell r="X3269" t="str">
            <v>Claims - gross</v>
          </cell>
          <cell r="Y3269" t="str">
            <v>AUSTRALIA</v>
          </cell>
        </row>
        <row r="3270">
          <cell r="L3270" t="str">
            <v>Proportional</v>
          </cell>
          <cell r="S3270">
            <v>111059.03</v>
          </cell>
          <cell r="X3270" t="str">
            <v>Claims - gross</v>
          </cell>
          <cell r="Y3270" t="str">
            <v>PORTUGAL</v>
          </cell>
        </row>
        <row r="3271">
          <cell r="L3271" t="str">
            <v>Non-proportional</v>
          </cell>
          <cell r="S3271">
            <v>9209.9699999999993</v>
          </cell>
          <cell r="X3271" t="str">
            <v>Claims - gross</v>
          </cell>
          <cell r="Y3271" t="str">
            <v>AUSTRALIA</v>
          </cell>
        </row>
        <row r="3272">
          <cell r="L3272" t="str">
            <v>Proportional</v>
          </cell>
          <cell r="S3272">
            <v>2002.07</v>
          </cell>
          <cell r="X3272" t="str">
            <v>Claims - gross</v>
          </cell>
          <cell r="Y3272" t="str">
            <v>THAILAND</v>
          </cell>
        </row>
        <row r="3273">
          <cell r="L3273"/>
          <cell r="S3273">
            <v>1823.69</v>
          </cell>
          <cell r="X3273" t="str">
            <v>Claims - gross</v>
          </cell>
          <cell r="Y3273" t="str">
            <v>PORTUGAL</v>
          </cell>
        </row>
        <row r="3274">
          <cell r="L3274" t="str">
            <v>Proportional</v>
          </cell>
          <cell r="S3274">
            <v>-17573.73</v>
          </cell>
          <cell r="X3274" t="str">
            <v>Claims - gross</v>
          </cell>
          <cell r="Y3274" t="str">
            <v>THAILAND</v>
          </cell>
        </row>
        <row r="3275">
          <cell r="L3275" t="str">
            <v>Non-proportional</v>
          </cell>
          <cell r="S3275">
            <v>83566.23</v>
          </cell>
          <cell r="X3275" t="str">
            <v>Claims - gross</v>
          </cell>
          <cell r="Y3275" t="str">
            <v>UNITED KINGDOM</v>
          </cell>
        </row>
        <row r="3276">
          <cell r="L3276" t="str">
            <v>Proportional</v>
          </cell>
          <cell r="S3276">
            <v>-3820369.36</v>
          </cell>
          <cell r="X3276" t="str">
            <v>Claims - gross</v>
          </cell>
          <cell r="Y3276" t="str">
            <v>UNITED STATES</v>
          </cell>
        </row>
        <row r="3277">
          <cell r="L3277" t="str">
            <v>Non-proportional</v>
          </cell>
          <cell r="S3277">
            <v>21736.400000000001</v>
          </cell>
          <cell r="X3277" t="str">
            <v>Claims - gross</v>
          </cell>
          <cell r="Y3277" t="str">
            <v>PORTUGAL</v>
          </cell>
        </row>
        <row r="3278">
          <cell r="L3278" t="str">
            <v>Proportional</v>
          </cell>
          <cell r="S3278">
            <v>99415.57</v>
          </cell>
          <cell r="X3278" t="str">
            <v>Commissions - gross</v>
          </cell>
          <cell r="Y3278" t="str">
            <v>PORTUGAL</v>
          </cell>
        </row>
        <row r="3279">
          <cell r="L3279" t="str">
            <v>Proportional</v>
          </cell>
          <cell r="S3279">
            <v>-9793.02</v>
          </cell>
          <cell r="X3279" t="str">
            <v>Commissions - gross</v>
          </cell>
          <cell r="Y3279" t="str">
            <v>JAPAN</v>
          </cell>
        </row>
        <row r="3280">
          <cell r="L3280" t="str">
            <v>Proportional</v>
          </cell>
          <cell r="S3280">
            <v>-62318.68</v>
          </cell>
          <cell r="X3280" t="str">
            <v>Commissions - gross</v>
          </cell>
          <cell r="Y3280" t="str">
            <v>THAILAND</v>
          </cell>
        </row>
        <row r="3281">
          <cell r="L3281" t="str">
            <v>Proportional</v>
          </cell>
          <cell r="S3281">
            <v>-1036982.85</v>
          </cell>
          <cell r="X3281" t="str">
            <v>Commissions - gross</v>
          </cell>
          <cell r="Y3281" t="str">
            <v>THAILAND</v>
          </cell>
        </row>
        <row r="3282">
          <cell r="L3282" t="str">
            <v>Proportional</v>
          </cell>
          <cell r="S3282">
            <v>-354.72</v>
          </cell>
          <cell r="X3282" t="str">
            <v>Commissions - gross</v>
          </cell>
          <cell r="Y3282" t="str">
            <v>CANADA</v>
          </cell>
        </row>
        <row r="3283">
          <cell r="L3283" t="str">
            <v>Proportional</v>
          </cell>
          <cell r="S3283">
            <v>-288108.08</v>
          </cell>
          <cell r="X3283" t="str">
            <v>Commissions - gross</v>
          </cell>
          <cell r="Y3283" t="str">
            <v>FRANCE</v>
          </cell>
        </row>
        <row r="3284">
          <cell r="L3284" t="str">
            <v>Proportional</v>
          </cell>
          <cell r="S3284">
            <v>2910.59</v>
          </cell>
          <cell r="X3284" t="str">
            <v>Commissions - gross</v>
          </cell>
          <cell r="Y3284" t="str">
            <v>THAILAND</v>
          </cell>
        </row>
        <row r="3285">
          <cell r="L3285" t="str">
            <v>Proportional</v>
          </cell>
          <cell r="S3285">
            <v>-299129.67</v>
          </cell>
          <cell r="X3285" t="str">
            <v>Commissions - gross</v>
          </cell>
          <cell r="Y3285" t="str">
            <v>THAILAND</v>
          </cell>
        </row>
        <row r="3286">
          <cell r="L3286" t="str">
            <v>Proportional</v>
          </cell>
          <cell r="S3286">
            <v>76011.53</v>
          </cell>
          <cell r="X3286" t="str">
            <v>Commissions - gross</v>
          </cell>
          <cell r="Y3286" t="str">
            <v>THAILAND</v>
          </cell>
        </row>
        <row r="3287">
          <cell r="L3287" t="str">
            <v>Proportional</v>
          </cell>
          <cell r="S3287">
            <v>-18684.38</v>
          </cell>
          <cell r="X3287" t="str">
            <v>Commissions - gross</v>
          </cell>
          <cell r="Y3287" t="str">
            <v>ITALY</v>
          </cell>
        </row>
        <row r="3288">
          <cell r="L3288" t="str">
            <v>Proportional</v>
          </cell>
          <cell r="S3288">
            <v>-1212341.8999999999</v>
          </cell>
          <cell r="X3288" t="str">
            <v>Commissions - gross</v>
          </cell>
          <cell r="Y3288" t="str">
            <v>PORTUGAL</v>
          </cell>
        </row>
        <row r="3289">
          <cell r="L3289" t="str">
            <v>Proportional</v>
          </cell>
          <cell r="S3289">
            <v>-569770.80000000005</v>
          </cell>
          <cell r="X3289" t="str">
            <v>Commissions - gross</v>
          </cell>
          <cell r="Y3289" t="str">
            <v>THAILAND</v>
          </cell>
        </row>
        <row r="3290">
          <cell r="L3290" t="str">
            <v>Proportional</v>
          </cell>
          <cell r="S3290">
            <v>815805.45</v>
          </cell>
          <cell r="X3290" t="str">
            <v>Commissions - gross</v>
          </cell>
          <cell r="Y3290" t="str">
            <v>THAILAND</v>
          </cell>
        </row>
        <row r="3291">
          <cell r="L3291" t="str">
            <v>Proportional</v>
          </cell>
          <cell r="S3291">
            <v>-51306.29</v>
          </cell>
          <cell r="X3291" t="str">
            <v>Commissions - gross</v>
          </cell>
          <cell r="Y3291" t="str">
            <v>CHILE</v>
          </cell>
        </row>
        <row r="3292">
          <cell r="L3292" t="str">
            <v>Proportional</v>
          </cell>
          <cell r="S3292">
            <v>3936.49</v>
          </cell>
          <cell r="X3292" t="str">
            <v>Commissions - gross</v>
          </cell>
          <cell r="Y3292" t="str">
            <v>THAILAND</v>
          </cell>
        </row>
        <row r="3293">
          <cell r="L3293" t="str">
            <v>Proportional</v>
          </cell>
          <cell r="S3293">
            <v>-41713.49</v>
          </cell>
          <cell r="X3293" t="str">
            <v>Commissions - gross</v>
          </cell>
          <cell r="Y3293" t="str">
            <v>ITALY</v>
          </cell>
        </row>
        <row r="3294">
          <cell r="L3294" t="str">
            <v>Proportional</v>
          </cell>
          <cell r="S3294">
            <v>-171187.5</v>
          </cell>
          <cell r="X3294" t="str">
            <v>Commissions - gross</v>
          </cell>
          <cell r="Y3294" t="str">
            <v>PORTUGAL</v>
          </cell>
        </row>
        <row r="3295">
          <cell r="L3295" t="str">
            <v>Proportional</v>
          </cell>
          <cell r="S3295">
            <v>666.39</v>
          </cell>
          <cell r="X3295" t="str">
            <v>Commissions - gross</v>
          </cell>
          <cell r="Y3295" t="str">
            <v>THAILAND</v>
          </cell>
        </row>
        <row r="3296">
          <cell r="L3296" t="str">
            <v>Proportional</v>
          </cell>
          <cell r="S3296">
            <v>-108559.14</v>
          </cell>
          <cell r="X3296" t="str">
            <v>Commissions - gross</v>
          </cell>
          <cell r="Y3296" t="str">
            <v>THAILAND</v>
          </cell>
        </row>
        <row r="3297">
          <cell r="L3297" t="str">
            <v>Proportional</v>
          </cell>
          <cell r="S3297">
            <v>41637.06</v>
          </cell>
          <cell r="X3297" t="str">
            <v>Commissions - gross</v>
          </cell>
          <cell r="Y3297" t="str">
            <v>THAILAND</v>
          </cell>
        </row>
        <row r="3298">
          <cell r="L3298" t="str">
            <v>Proportional</v>
          </cell>
          <cell r="S3298">
            <v>-10805.3</v>
          </cell>
          <cell r="X3298" t="str">
            <v>Commissions - gross</v>
          </cell>
          <cell r="Y3298" t="str">
            <v>CHILE</v>
          </cell>
        </row>
        <row r="3299">
          <cell r="L3299" t="str">
            <v>Proportional</v>
          </cell>
          <cell r="S3299">
            <v>7594.57</v>
          </cell>
          <cell r="X3299" t="str">
            <v>Commissions - gross</v>
          </cell>
          <cell r="Y3299" t="str">
            <v>FRANCE</v>
          </cell>
        </row>
        <row r="3300">
          <cell r="L3300" t="str">
            <v>Proportional</v>
          </cell>
          <cell r="S3300">
            <v>34800.480000000003</v>
          </cell>
          <cell r="X3300" t="str">
            <v>Commissions - gross</v>
          </cell>
          <cell r="Y3300" t="str">
            <v>THAILAND</v>
          </cell>
        </row>
        <row r="3301">
          <cell r="L3301" t="str">
            <v>Proportional</v>
          </cell>
          <cell r="S3301">
            <v>1159.7</v>
          </cell>
          <cell r="X3301" t="str">
            <v>Commissions - gross</v>
          </cell>
          <cell r="Y3301" t="str">
            <v>THAILAND</v>
          </cell>
        </row>
        <row r="3302">
          <cell r="L3302" t="str">
            <v>Proportional</v>
          </cell>
          <cell r="S3302">
            <v>43.44</v>
          </cell>
          <cell r="X3302" t="str">
            <v>Commissions - gross</v>
          </cell>
          <cell r="Y3302" t="str">
            <v>UNITED STATES</v>
          </cell>
        </row>
        <row r="3303">
          <cell r="L3303" t="str">
            <v>Proportional</v>
          </cell>
          <cell r="S3303">
            <v>-803910.98</v>
          </cell>
          <cell r="X3303" t="str">
            <v>Commissions - gross</v>
          </cell>
          <cell r="Y3303" t="str">
            <v>THAILAND</v>
          </cell>
        </row>
        <row r="3304">
          <cell r="L3304" t="str">
            <v>Proportional</v>
          </cell>
          <cell r="S3304">
            <v>2925.47</v>
          </cell>
          <cell r="X3304" t="str">
            <v>Commissions - gross</v>
          </cell>
          <cell r="Y3304" t="str">
            <v>THAILAND</v>
          </cell>
        </row>
        <row r="3305">
          <cell r="L3305" t="str">
            <v>Proportional</v>
          </cell>
          <cell r="S3305">
            <v>-106982.25</v>
          </cell>
          <cell r="X3305" t="str">
            <v>Commissions - gross</v>
          </cell>
          <cell r="Y3305" t="str">
            <v>FRANCE</v>
          </cell>
        </row>
        <row r="3306">
          <cell r="L3306" t="str">
            <v>Proportional</v>
          </cell>
          <cell r="S3306">
            <v>-11203118.32</v>
          </cell>
          <cell r="X3306" t="str">
            <v>Commissions - gross</v>
          </cell>
          <cell r="Y3306" t="str">
            <v>THAILAND</v>
          </cell>
        </row>
        <row r="3307">
          <cell r="L3307" t="str">
            <v>Proportional</v>
          </cell>
          <cell r="S3307">
            <v>25552.02</v>
          </cell>
          <cell r="X3307" t="str">
            <v>Commissions - gross</v>
          </cell>
          <cell r="Y3307" t="str">
            <v>PORTUGAL</v>
          </cell>
        </row>
        <row r="3308">
          <cell r="L3308" t="str">
            <v>Proportional</v>
          </cell>
          <cell r="S3308">
            <v>1374.45</v>
          </cell>
          <cell r="X3308" t="str">
            <v>Commissions - gross</v>
          </cell>
          <cell r="Y3308" t="str">
            <v>THAILAND</v>
          </cell>
        </row>
        <row r="3309">
          <cell r="L3309" t="str">
            <v>Proportional</v>
          </cell>
          <cell r="S3309">
            <v>-19270.72</v>
          </cell>
          <cell r="X3309" t="str">
            <v>Commissions - gross</v>
          </cell>
          <cell r="Y3309" t="str">
            <v>ITALY</v>
          </cell>
        </row>
        <row r="3310">
          <cell r="L3310" t="str">
            <v>Proportional</v>
          </cell>
          <cell r="S3310">
            <v>425.39</v>
          </cell>
          <cell r="X3310" t="str">
            <v>Commissions - gross</v>
          </cell>
          <cell r="Y3310" t="str">
            <v>THAILAND</v>
          </cell>
        </row>
        <row r="3311">
          <cell r="L3311" t="str">
            <v>Proportional</v>
          </cell>
          <cell r="S3311">
            <v>-34960.959999999999</v>
          </cell>
          <cell r="X3311" t="str">
            <v>Commissions - gross</v>
          </cell>
          <cell r="Y3311" t="str">
            <v>HONG KONG</v>
          </cell>
        </row>
        <row r="3312">
          <cell r="L3312" t="str">
            <v>Proportional</v>
          </cell>
          <cell r="S3312">
            <v>-1173090.45</v>
          </cell>
          <cell r="X3312" t="str">
            <v>Commissions - gross</v>
          </cell>
          <cell r="Y3312" t="str">
            <v>HONG KONG</v>
          </cell>
        </row>
        <row r="3313">
          <cell r="L3313" t="str">
            <v>Proportional</v>
          </cell>
          <cell r="S3313">
            <v>38733.089999999997</v>
          </cell>
          <cell r="X3313" t="str">
            <v>Commissions - gross</v>
          </cell>
          <cell r="Y3313" t="str">
            <v>HONG KONG</v>
          </cell>
        </row>
        <row r="3314">
          <cell r="L3314" t="str">
            <v>Proportional</v>
          </cell>
          <cell r="S3314">
            <v>-109766.37</v>
          </cell>
          <cell r="X3314" t="str">
            <v>Commissions - gross</v>
          </cell>
          <cell r="Y3314" t="str">
            <v>EUROPE</v>
          </cell>
        </row>
        <row r="3315">
          <cell r="L3315" t="str">
            <v>Proportional</v>
          </cell>
          <cell r="S3315">
            <v>-242.04</v>
          </cell>
          <cell r="X3315" t="str">
            <v>Commissions - gross</v>
          </cell>
          <cell r="Y3315" t="str">
            <v>INDIA</v>
          </cell>
        </row>
        <row r="3316">
          <cell r="L3316" t="str">
            <v>Proportional</v>
          </cell>
          <cell r="S3316">
            <v>-186645.16</v>
          </cell>
          <cell r="X3316" t="str">
            <v>Commissions - gross</v>
          </cell>
          <cell r="Y3316" t="str">
            <v>ITALY</v>
          </cell>
        </row>
        <row r="3317">
          <cell r="L3317" t="str">
            <v>Proportional</v>
          </cell>
          <cell r="S3317">
            <v>13038.98</v>
          </cell>
          <cell r="X3317" t="str">
            <v>Commissions - gross</v>
          </cell>
          <cell r="Y3317" t="str">
            <v>THAILAND</v>
          </cell>
        </row>
        <row r="3318">
          <cell r="L3318" t="str">
            <v>Proportional</v>
          </cell>
          <cell r="S3318">
            <v>-4486.9399999999996</v>
          </cell>
          <cell r="X3318" t="str">
            <v>Commissions - gross</v>
          </cell>
          <cell r="Y3318" t="str">
            <v>THAILAND</v>
          </cell>
        </row>
        <row r="3319">
          <cell r="L3319" t="str">
            <v>Proportional</v>
          </cell>
          <cell r="S3319">
            <v>173.86</v>
          </cell>
          <cell r="X3319" t="str">
            <v>Commissions - gross</v>
          </cell>
          <cell r="Y3319" t="str">
            <v>THAILAND</v>
          </cell>
        </row>
        <row r="3320">
          <cell r="L3320" t="str">
            <v>Proportional</v>
          </cell>
          <cell r="S3320">
            <v>58049.78</v>
          </cell>
          <cell r="X3320" t="str">
            <v>Commissions - gross</v>
          </cell>
          <cell r="Y3320" t="str">
            <v>THAILAND</v>
          </cell>
        </row>
        <row r="3321">
          <cell r="L3321" t="str">
            <v>Proportional</v>
          </cell>
          <cell r="S3321">
            <v>2621.08</v>
          </cell>
          <cell r="X3321" t="str">
            <v>Commissions - gross</v>
          </cell>
          <cell r="Y3321" t="str">
            <v>INDIA</v>
          </cell>
        </row>
        <row r="3322">
          <cell r="L3322" t="str">
            <v>Proportional</v>
          </cell>
          <cell r="S3322">
            <v>-172195.20000000001</v>
          </cell>
          <cell r="X3322" t="str">
            <v>Commissions - gross</v>
          </cell>
          <cell r="Y3322" t="str">
            <v>FRANCE</v>
          </cell>
        </row>
        <row r="3323">
          <cell r="L3323" t="str">
            <v>Proportional</v>
          </cell>
          <cell r="S3323">
            <v>-227908.32</v>
          </cell>
          <cell r="X3323" t="str">
            <v>Commissions - gross</v>
          </cell>
          <cell r="Y3323" t="str">
            <v>THAILAND</v>
          </cell>
        </row>
        <row r="3324">
          <cell r="L3324" t="str">
            <v>Proportional</v>
          </cell>
          <cell r="S3324">
            <v>252616.73</v>
          </cell>
          <cell r="X3324" t="str">
            <v>Commissions - gross</v>
          </cell>
          <cell r="Y3324" t="str">
            <v>HONG KONG</v>
          </cell>
        </row>
        <row r="3325">
          <cell r="L3325" t="str">
            <v>Proportional</v>
          </cell>
          <cell r="S3325">
            <v>-38388.31</v>
          </cell>
          <cell r="X3325" t="str">
            <v>Commissions - gross</v>
          </cell>
          <cell r="Y3325" t="str">
            <v>THAILAND</v>
          </cell>
        </row>
        <row r="3326">
          <cell r="L3326" t="str">
            <v>Proportional</v>
          </cell>
          <cell r="S3326">
            <v>-16736.88</v>
          </cell>
          <cell r="X3326" t="str">
            <v>Commissions - gross</v>
          </cell>
          <cell r="Y3326" t="str">
            <v>CHILE</v>
          </cell>
        </row>
        <row r="3327">
          <cell r="L3327" t="str">
            <v>Proportional</v>
          </cell>
          <cell r="S3327">
            <v>-226715.14</v>
          </cell>
          <cell r="X3327" t="str">
            <v>Commissions - gross</v>
          </cell>
          <cell r="Y3327" t="str">
            <v>UNITED ARAB EMIRATES</v>
          </cell>
        </row>
        <row r="3328">
          <cell r="L3328" t="str">
            <v>Proportional</v>
          </cell>
          <cell r="S3328">
            <v>-64869.59</v>
          </cell>
          <cell r="X3328" t="str">
            <v>Commissions - gross</v>
          </cell>
          <cell r="Y3328" t="str">
            <v>CHILE</v>
          </cell>
        </row>
        <row r="3329">
          <cell r="L3329" t="str">
            <v>Proportional</v>
          </cell>
          <cell r="S3329">
            <v>260.95</v>
          </cell>
          <cell r="X3329" t="str">
            <v>Commissions - gross</v>
          </cell>
          <cell r="Y3329" t="str">
            <v>THAILAND</v>
          </cell>
        </row>
        <row r="3330">
          <cell r="L3330" t="str">
            <v>Proportional</v>
          </cell>
          <cell r="S3330">
            <v>1747.19</v>
          </cell>
          <cell r="X3330" t="str">
            <v>Commissions - gross</v>
          </cell>
          <cell r="Y3330" t="str">
            <v>THAILAND</v>
          </cell>
        </row>
        <row r="3331">
          <cell r="L3331" t="str">
            <v>Proportional</v>
          </cell>
          <cell r="S3331">
            <v>-33652.089999999997</v>
          </cell>
          <cell r="X3331" t="str">
            <v>Commissions - gross</v>
          </cell>
          <cell r="Y3331" t="str">
            <v>THAILAND</v>
          </cell>
        </row>
        <row r="3332">
          <cell r="L3332" t="str">
            <v>Proportional</v>
          </cell>
          <cell r="S3332">
            <v>-38133.54</v>
          </cell>
          <cell r="X3332" t="str">
            <v>Commissions - gross</v>
          </cell>
          <cell r="Y3332" t="str">
            <v>BELGIUM</v>
          </cell>
        </row>
        <row r="3333">
          <cell r="L3333" t="str">
            <v>Proportional</v>
          </cell>
          <cell r="S3333">
            <v>-8122.87</v>
          </cell>
          <cell r="X3333" t="str">
            <v>Commissions - gross</v>
          </cell>
          <cell r="Y3333" t="str">
            <v>CHILE</v>
          </cell>
        </row>
        <row r="3334">
          <cell r="L3334" t="str">
            <v>Proportional</v>
          </cell>
          <cell r="S3334">
            <v>-57.05</v>
          </cell>
          <cell r="X3334" t="str">
            <v>Commissions - gross</v>
          </cell>
          <cell r="Y3334" t="str">
            <v>INDIA</v>
          </cell>
        </row>
        <row r="3335">
          <cell r="L3335" t="str">
            <v>Proportional</v>
          </cell>
          <cell r="S3335">
            <v>5235.4799999999996</v>
          </cell>
          <cell r="X3335" t="str">
            <v>Commissions - gross</v>
          </cell>
          <cell r="Y3335" t="str">
            <v>THAILAND</v>
          </cell>
        </row>
        <row r="3336">
          <cell r="L3336" t="str">
            <v>Proportional</v>
          </cell>
          <cell r="S3336">
            <v>18139.53</v>
          </cell>
          <cell r="X3336" t="str">
            <v>Commissions - gross</v>
          </cell>
          <cell r="Y3336" t="str">
            <v>AUSTRALIA</v>
          </cell>
        </row>
        <row r="3337">
          <cell r="L3337" t="str">
            <v>Proportional</v>
          </cell>
          <cell r="S3337">
            <v>11119.73</v>
          </cell>
          <cell r="X3337" t="str">
            <v>Commissions - gross</v>
          </cell>
          <cell r="Y3337" t="str">
            <v>INDIA</v>
          </cell>
        </row>
        <row r="3338">
          <cell r="L3338" t="str">
            <v>Proportional</v>
          </cell>
          <cell r="S3338">
            <v>-45543.51</v>
          </cell>
          <cell r="X3338" t="str">
            <v>Commissions - gross</v>
          </cell>
          <cell r="Y3338" t="str">
            <v>HONG KONG</v>
          </cell>
        </row>
        <row r="3339">
          <cell r="L3339" t="str">
            <v>Proportional</v>
          </cell>
          <cell r="S3339">
            <v>22824.71</v>
          </cell>
          <cell r="X3339" t="str">
            <v>Commissions - gross</v>
          </cell>
          <cell r="Y3339" t="str">
            <v>THAILAND</v>
          </cell>
        </row>
        <row r="3340">
          <cell r="L3340" t="str">
            <v>Proportional</v>
          </cell>
          <cell r="S3340">
            <v>-12.2</v>
          </cell>
          <cell r="X3340" t="str">
            <v>Commissions - gross</v>
          </cell>
          <cell r="Y3340" t="str">
            <v>INDIA</v>
          </cell>
        </row>
        <row r="3341">
          <cell r="L3341" t="str">
            <v>Proportional</v>
          </cell>
          <cell r="S3341">
            <v>-304890.58</v>
          </cell>
          <cell r="X3341" t="str">
            <v>Commissions - gross</v>
          </cell>
          <cell r="Y3341" t="str">
            <v>PORTUGAL</v>
          </cell>
        </row>
        <row r="3342">
          <cell r="L3342" t="str">
            <v>Proportional</v>
          </cell>
          <cell r="S3342">
            <v>89306.22</v>
          </cell>
          <cell r="X3342" t="str">
            <v>Commissions - gross</v>
          </cell>
          <cell r="Y3342" t="str">
            <v>UNITED STATES</v>
          </cell>
        </row>
        <row r="3343">
          <cell r="L3343" t="str">
            <v>Proportional</v>
          </cell>
          <cell r="S3343">
            <v>3423.8</v>
          </cell>
          <cell r="X3343" t="str">
            <v>Commissions - gross</v>
          </cell>
          <cell r="Y3343" t="str">
            <v>THAILAND</v>
          </cell>
        </row>
        <row r="3344">
          <cell r="L3344" t="str">
            <v>Proportional</v>
          </cell>
          <cell r="S3344">
            <v>152.53</v>
          </cell>
          <cell r="X3344" t="str">
            <v>Commissions - gross</v>
          </cell>
          <cell r="Y3344" t="str">
            <v>THAILAND</v>
          </cell>
        </row>
        <row r="3345">
          <cell r="L3345" t="str">
            <v>Proportional</v>
          </cell>
          <cell r="S3345">
            <v>560.66</v>
          </cell>
          <cell r="X3345" t="str">
            <v>Commissions - gross</v>
          </cell>
          <cell r="Y3345" t="str">
            <v>INDIA</v>
          </cell>
        </row>
        <row r="3346">
          <cell r="L3346" t="str">
            <v>Proportional</v>
          </cell>
          <cell r="S3346">
            <v>-122988.03</v>
          </cell>
          <cell r="X3346" t="str">
            <v>Commissions - gross</v>
          </cell>
          <cell r="Y3346" t="str">
            <v>ITALY</v>
          </cell>
        </row>
        <row r="3347">
          <cell r="L3347" t="str">
            <v>Proportional</v>
          </cell>
          <cell r="S3347">
            <v>-4293664.3899999997</v>
          </cell>
          <cell r="X3347" t="str">
            <v>Commissions - gross</v>
          </cell>
          <cell r="Y3347" t="str">
            <v>HONG KONG</v>
          </cell>
        </row>
        <row r="3348">
          <cell r="L3348" t="str">
            <v>Proportional</v>
          </cell>
          <cell r="S3348">
            <v>-348775</v>
          </cell>
          <cell r="X3348" t="str">
            <v>Commissions - gross</v>
          </cell>
          <cell r="Y3348" t="str">
            <v>ITALY</v>
          </cell>
        </row>
        <row r="3349">
          <cell r="L3349" t="str">
            <v>Proportional</v>
          </cell>
          <cell r="S3349">
            <v>-463550.11</v>
          </cell>
          <cell r="X3349" t="str">
            <v>Commissions - gross</v>
          </cell>
          <cell r="Y3349" t="str">
            <v>UNITED STATES</v>
          </cell>
        </row>
        <row r="3350">
          <cell r="L3350" t="str">
            <v>Proportional</v>
          </cell>
          <cell r="S3350">
            <v>64.61</v>
          </cell>
          <cell r="X3350" t="str">
            <v>Commissions - gross</v>
          </cell>
          <cell r="Y3350" t="str">
            <v>THAILAND</v>
          </cell>
        </row>
        <row r="3351">
          <cell r="L3351" t="str">
            <v>Proportional</v>
          </cell>
          <cell r="S3351">
            <v>-476293.42</v>
          </cell>
          <cell r="X3351" t="str">
            <v>Commissions - gross</v>
          </cell>
          <cell r="Y3351" t="str">
            <v>UNITED STATES</v>
          </cell>
        </row>
        <row r="3352">
          <cell r="L3352" t="str">
            <v>Proportional</v>
          </cell>
          <cell r="S3352">
            <v>-7860416.6699999999</v>
          </cell>
          <cell r="X3352" t="str">
            <v>Commissions - gross</v>
          </cell>
          <cell r="Y3352" t="str">
            <v>PORTUGAL</v>
          </cell>
        </row>
        <row r="3353">
          <cell r="L3353" t="str">
            <v>Proportional</v>
          </cell>
          <cell r="S3353">
            <v>354.72</v>
          </cell>
          <cell r="X3353" t="str">
            <v>Commissions - gross</v>
          </cell>
          <cell r="Y3353" t="str">
            <v>CANADA</v>
          </cell>
        </row>
        <row r="3354">
          <cell r="L3354" t="str">
            <v>Proportional</v>
          </cell>
          <cell r="S3354">
            <v>36.51</v>
          </cell>
          <cell r="X3354" t="str">
            <v>Commissions - gross</v>
          </cell>
          <cell r="Y3354" t="str">
            <v>HONG KONG</v>
          </cell>
        </row>
        <row r="3355">
          <cell r="L3355" t="str">
            <v>Proportional</v>
          </cell>
          <cell r="S3355">
            <v>8278.9500000000007</v>
          </cell>
          <cell r="X3355" t="str">
            <v>Commissions - gross</v>
          </cell>
          <cell r="Y3355" t="str">
            <v>THAILAND</v>
          </cell>
        </row>
        <row r="3356">
          <cell r="L3356" t="str">
            <v>Proportional</v>
          </cell>
          <cell r="S3356">
            <v>2921.37</v>
          </cell>
          <cell r="X3356" t="str">
            <v>Commissions - gross</v>
          </cell>
          <cell r="Y3356" t="str">
            <v>HONG KONG</v>
          </cell>
        </row>
        <row r="3357">
          <cell r="L3357" t="str">
            <v>Proportional</v>
          </cell>
          <cell r="S3357">
            <v>3640</v>
          </cell>
          <cell r="X3357" t="str">
            <v>Commissions - gross</v>
          </cell>
          <cell r="Y3357" t="str">
            <v>ITALY</v>
          </cell>
        </row>
        <row r="3358">
          <cell r="L3358" t="str">
            <v>Proportional</v>
          </cell>
          <cell r="S3358">
            <v>3182</v>
          </cell>
          <cell r="X3358" t="str">
            <v>Commissions - gross</v>
          </cell>
          <cell r="Y3358" t="str">
            <v>PORTUGAL</v>
          </cell>
        </row>
        <row r="3359">
          <cell r="L3359" t="str">
            <v>Proportional</v>
          </cell>
          <cell r="S3359">
            <v>476.57</v>
          </cell>
          <cell r="X3359" t="str">
            <v>Commissions - gross</v>
          </cell>
          <cell r="Y3359" t="str">
            <v>HONG KONG</v>
          </cell>
        </row>
        <row r="3360">
          <cell r="L3360" t="str">
            <v>Proportional</v>
          </cell>
          <cell r="S3360">
            <v>-323.43</v>
          </cell>
          <cell r="X3360" t="str">
            <v>Commissions - gross</v>
          </cell>
          <cell r="Y3360" t="str">
            <v>CANADA</v>
          </cell>
        </row>
        <row r="3361">
          <cell r="L3361" t="str">
            <v>Proportional</v>
          </cell>
          <cell r="S3361">
            <v>10681.41</v>
          </cell>
          <cell r="X3361" t="str">
            <v>Commissions - gross</v>
          </cell>
          <cell r="Y3361" t="str">
            <v>THAILAND</v>
          </cell>
        </row>
        <row r="3362">
          <cell r="L3362" t="str">
            <v>Proportional</v>
          </cell>
          <cell r="S3362">
            <v>1693.37</v>
          </cell>
          <cell r="X3362" t="str">
            <v>Commissions - gross</v>
          </cell>
          <cell r="Y3362" t="str">
            <v>HONG KONG</v>
          </cell>
        </row>
        <row r="3363">
          <cell r="L3363" t="str">
            <v>Proportional</v>
          </cell>
          <cell r="S3363">
            <v>2620.9699999999998</v>
          </cell>
          <cell r="X3363" t="str">
            <v>Commissions - gross</v>
          </cell>
          <cell r="Y3363" t="str">
            <v>THAILAND</v>
          </cell>
        </row>
        <row r="3364">
          <cell r="L3364" t="str">
            <v>Proportional</v>
          </cell>
          <cell r="S3364">
            <v>11741.55</v>
          </cell>
          <cell r="X3364" t="str">
            <v>Commissions - gross</v>
          </cell>
          <cell r="Y3364" t="str">
            <v>THAILAND</v>
          </cell>
        </row>
        <row r="3365">
          <cell r="L3365" t="str">
            <v>Proportional</v>
          </cell>
          <cell r="S3365">
            <v>1044.31</v>
          </cell>
          <cell r="X3365" t="str">
            <v>Commissions - gross</v>
          </cell>
          <cell r="Y3365" t="str">
            <v>THAILAND</v>
          </cell>
        </row>
        <row r="3366">
          <cell r="L3366" t="str">
            <v>Proportional</v>
          </cell>
          <cell r="S3366">
            <v>77.38</v>
          </cell>
          <cell r="X3366" t="str">
            <v>Commissions - gross</v>
          </cell>
          <cell r="Y3366" t="str">
            <v>CHILE</v>
          </cell>
        </row>
        <row r="3367">
          <cell r="L3367" t="str">
            <v>Proportional</v>
          </cell>
          <cell r="S3367">
            <v>1797.12</v>
          </cell>
          <cell r="X3367" t="str">
            <v>Commissions - gross</v>
          </cell>
          <cell r="Y3367" t="str">
            <v>FRANCE</v>
          </cell>
        </row>
        <row r="3368">
          <cell r="L3368" t="str">
            <v>Proportional</v>
          </cell>
          <cell r="S3368">
            <v>714583.33</v>
          </cell>
          <cell r="X3368" t="str">
            <v>Commissions - gross</v>
          </cell>
          <cell r="Y3368" t="str">
            <v>PORTUGAL</v>
          </cell>
        </row>
        <row r="3369">
          <cell r="L3369" t="str">
            <v>Proportional</v>
          </cell>
          <cell r="S3369">
            <v>44929.25</v>
          </cell>
          <cell r="X3369" t="str">
            <v>Commissions - gross</v>
          </cell>
          <cell r="Y3369" t="str">
            <v>HONG KONG</v>
          </cell>
        </row>
        <row r="3370">
          <cell r="L3370" t="str">
            <v>Proportional</v>
          </cell>
          <cell r="S3370">
            <v>2367.94</v>
          </cell>
          <cell r="X3370" t="str">
            <v>Commissions - gross</v>
          </cell>
          <cell r="Y3370" t="str">
            <v>UNITED ARAB EMIRATES</v>
          </cell>
        </row>
        <row r="3371">
          <cell r="L3371" t="str">
            <v>Proportional</v>
          </cell>
          <cell r="S3371">
            <v>22869.49</v>
          </cell>
          <cell r="X3371" t="str">
            <v>Commissions - gross</v>
          </cell>
          <cell r="Y3371" t="str">
            <v>PORTUGAL</v>
          </cell>
        </row>
        <row r="3372">
          <cell r="L3372" t="str">
            <v>Proportional</v>
          </cell>
          <cell r="S3372">
            <v>25866.34</v>
          </cell>
          <cell r="X3372" t="str">
            <v>Commissions - gross</v>
          </cell>
          <cell r="Y3372" t="str">
            <v>JAPAN</v>
          </cell>
        </row>
        <row r="3373">
          <cell r="L3373" t="str">
            <v>Proportional</v>
          </cell>
          <cell r="S3373">
            <v>3083.12</v>
          </cell>
          <cell r="X3373" t="str">
            <v>Commissions - gross</v>
          </cell>
          <cell r="Y3373" t="str">
            <v>THAILAND</v>
          </cell>
        </row>
        <row r="3374">
          <cell r="L3374" t="str">
            <v>Proportional</v>
          </cell>
          <cell r="S3374">
            <v>1283.57</v>
          </cell>
          <cell r="X3374" t="str">
            <v>Commissions - gross</v>
          </cell>
          <cell r="Y3374" t="str">
            <v>ITALY</v>
          </cell>
        </row>
        <row r="3375">
          <cell r="L3375" t="str">
            <v>Proportional</v>
          </cell>
          <cell r="S3375">
            <v>193.45</v>
          </cell>
          <cell r="X3375" t="str">
            <v>Commissions - gross</v>
          </cell>
          <cell r="Y3375" t="str">
            <v>CHILE</v>
          </cell>
        </row>
        <row r="3376">
          <cell r="L3376" t="str">
            <v>Proportional</v>
          </cell>
          <cell r="S3376">
            <v>6929.22</v>
          </cell>
          <cell r="X3376" t="str">
            <v>Commissions - gross</v>
          </cell>
          <cell r="Y3376" t="str">
            <v>FRANCE</v>
          </cell>
        </row>
        <row r="3377">
          <cell r="L3377" t="str">
            <v>Proportional</v>
          </cell>
          <cell r="S3377">
            <v>3466.68</v>
          </cell>
          <cell r="X3377" t="str">
            <v>Commissions - gross</v>
          </cell>
          <cell r="Y3377" t="str">
            <v>BELGIUM</v>
          </cell>
        </row>
        <row r="3378">
          <cell r="L3378" t="str">
            <v>Proportional</v>
          </cell>
          <cell r="S3378">
            <v>2871.69</v>
          </cell>
          <cell r="X3378" t="str">
            <v>Commissions - gross</v>
          </cell>
          <cell r="Y3378" t="str">
            <v>INDIA</v>
          </cell>
        </row>
        <row r="3379">
          <cell r="L3379" t="str">
            <v>Proportional</v>
          </cell>
          <cell r="S3379">
            <v>323.43</v>
          </cell>
          <cell r="X3379" t="str">
            <v>Commissions - gross</v>
          </cell>
          <cell r="Y3379" t="str">
            <v>CANADA</v>
          </cell>
        </row>
        <row r="3380">
          <cell r="L3380" t="str">
            <v>Proportional</v>
          </cell>
          <cell r="S3380">
            <v>37494.01</v>
          </cell>
          <cell r="X3380" t="str">
            <v>Commissions - gross</v>
          </cell>
          <cell r="Y3380" t="str">
            <v>THAILAND</v>
          </cell>
        </row>
        <row r="3381">
          <cell r="L3381" t="str">
            <v>Proportional</v>
          </cell>
          <cell r="S3381">
            <v>116.07</v>
          </cell>
          <cell r="X3381" t="str">
            <v>Commissions - gross</v>
          </cell>
          <cell r="Y3381" t="str">
            <v>CHILE</v>
          </cell>
        </row>
        <row r="3382">
          <cell r="L3382" t="str">
            <v>Proportional</v>
          </cell>
          <cell r="S3382">
            <v>4714.53</v>
          </cell>
          <cell r="X3382" t="str">
            <v>Commissions - gross</v>
          </cell>
          <cell r="Y3382" t="str">
            <v>THAILAND</v>
          </cell>
        </row>
        <row r="3383">
          <cell r="L3383" t="str">
            <v>Proportional</v>
          </cell>
          <cell r="S3383">
            <v>1145.58</v>
          </cell>
          <cell r="X3383" t="str">
            <v>Commissions - gross</v>
          </cell>
          <cell r="Y3383" t="str">
            <v>EUROPE</v>
          </cell>
        </row>
        <row r="3384">
          <cell r="L3384" t="str">
            <v>Proportional</v>
          </cell>
          <cell r="S3384">
            <v>231093.57</v>
          </cell>
          <cell r="X3384" t="str">
            <v>Commissions - gross</v>
          </cell>
          <cell r="Y3384" t="str">
            <v>HONG KONG</v>
          </cell>
        </row>
        <row r="3385">
          <cell r="L3385" t="str">
            <v>Proportional</v>
          </cell>
          <cell r="S3385">
            <v>234.98</v>
          </cell>
          <cell r="X3385" t="str">
            <v>Commissions - gross</v>
          </cell>
          <cell r="Y3385" t="str">
            <v>THAILAND</v>
          </cell>
        </row>
        <row r="3386">
          <cell r="L3386" t="str">
            <v>Proportional</v>
          </cell>
          <cell r="S3386">
            <v>2672.46</v>
          </cell>
          <cell r="X3386" t="str">
            <v>Commissions - gross</v>
          </cell>
          <cell r="Y3386" t="str">
            <v>HONG KONG</v>
          </cell>
        </row>
        <row r="3387">
          <cell r="L3387" t="str">
            <v>Proportional</v>
          </cell>
          <cell r="S3387">
            <v>58.18</v>
          </cell>
          <cell r="X3387" t="str">
            <v>Commissions - gross</v>
          </cell>
          <cell r="Y3387" t="str">
            <v>THAILAND</v>
          </cell>
        </row>
        <row r="3388">
          <cell r="L3388" t="str">
            <v>Proportional</v>
          </cell>
          <cell r="S3388">
            <v>1118.21</v>
          </cell>
          <cell r="X3388" t="str">
            <v>Commissions - gross</v>
          </cell>
          <cell r="Y3388" t="str">
            <v>THAILAND</v>
          </cell>
        </row>
        <row r="3389">
          <cell r="L3389" t="str">
            <v>Proportional</v>
          </cell>
          <cell r="S3389">
            <v>1947.93</v>
          </cell>
          <cell r="X3389" t="str">
            <v>Commissions - gross</v>
          </cell>
          <cell r="Y3389" t="str">
            <v>ITALY</v>
          </cell>
        </row>
        <row r="3390">
          <cell r="L3390" t="str">
            <v>Proportional</v>
          </cell>
          <cell r="S3390">
            <v>614.27</v>
          </cell>
          <cell r="X3390" t="str">
            <v>Commissions - gross</v>
          </cell>
          <cell r="Y3390" t="str">
            <v>INDIA</v>
          </cell>
        </row>
        <row r="3391">
          <cell r="L3391" t="str">
            <v>Proportional</v>
          </cell>
          <cell r="S3391">
            <v>7455.16</v>
          </cell>
          <cell r="X3391" t="str">
            <v>Commissions - gross</v>
          </cell>
          <cell r="Y3391" t="str">
            <v>THAILAND</v>
          </cell>
        </row>
        <row r="3392">
          <cell r="L3392" t="str">
            <v>Proportional</v>
          </cell>
          <cell r="S3392">
            <v>156.56</v>
          </cell>
          <cell r="X3392" t="str">
            <v>Commissions - gross</v>
          </cell>
          <cell r="Y3392" t="str">
            <v>THAILAND</v>
          </cell>
        </row>
        <row r="3393">
          <cell r="L3393" t="str">
            <v>Proportional</v>
          </cell>
          <cell r="S3393">
            <v>22796.95</v>
          </cell>
          <cell r="X3393" t="str">
            <v>Commissions - gross</v>
          </cell>
          <cell r="Y3393" t="str">
            <v>AUSTRALIA</v>
          </cell>
        </row>
        <row r="3394">
          <cell r="L3394" t="str">
            <v>Proportional</v>
          </cell>
          <cell r="S3394">
            <v>-265.18</v>
          </cell>
          <cell r="X3394" t="str">
            <v>Commissions - gross</v>
          </cell>
          <cell r="Y3394" t="str">
            <v>INDIA</v>
          </cell>
        </row>
        <row r="3395">
          <cell r="L3395" t="str">
            <v>Non-proportional</v>
          </cell>
          <cell r="S3395">
            <v>-37828.21</v>
          </cell>
          <cell r="X3395" t="str">
            <v>Commissions - gross</v>
          </cell>
          <cell r="Y3395" t="str">
            <v>TURKEY</v>
          </cell>
        </row>
        <row r="3396">
          <cell r="L3396" t="str">
            <v>Proportional</v>
          </cell>
          <cell r="S3396">
            <v>435.34</v>
          </cell>
          <cell r="X3396" t="str">
            <v>Commissions - gross</v>
          </cell>
          <cell r="Y3396" t="str">
            <v>ITALY</v>
          </cell>
        </row>
        <row r="3397">
          <cell r="L3397" t="str">
            <v>Proportional</v>
          </cell>
          <cell r="S3397">
            <v>2347.56</v>
          </cell>
          <cell r="X3397" t="str">
            <v>Commissions - gross</v>
          </cell>
          <cell r="Y3397" t="str">
            <v>THAILAND</v>
          </cell>
        </row>
        <row r="3398">
          <cell r="L3398" t="str">
            <v>Proportional</v>
          </cell>
          <cell r="S3398">
            <v>12275.31</v>
          </cell>
          <cell r="X3398" t="str">
            <v>Commissions - gross</v>
          </cell>
          <cell r="Y3398" t="str">
            <v>HONG KONG</v>
          </cell>
        </row>
        <row r="3399">
          <cell r="L3399" t="str">
            <v>Proportional</v>
          </cell>
          <cell r="S3399">
            <v>223043.53</v>
          </cell>
          <cell r="X3399" t="str">
            <v>Commissions - gross</v>
          </cell>
          <cell r="Y3399" t="str">
            <v>PORTUGAL</v>
          </cell>
        </row>
        <row r="3400">
          <cell r="L3400" t="str">
            <v>Proportional</v>
          </cell>
          <cell r="S3400">
            <v>541.65</v>
          </cell>
          <cell r="X3400" t="str">
            <v>Commissions - gross</v>
          </cell>
          <cell r="Y3400" t="str">
            <v>CHILE</v>
          </cell>
        </row>
        <row r="3401">
          <cell r="L3401" t="str">
            <v>Proportional</v>
          </cell>
          <cell r="S3401">
            <v>12652.64</v>
          </cell>
          <cell r="X3401" t="str">
            <v>Commissions - gross</v>
          </cell>
          <cell r="Y3401" t="str">
            <v>PORTUGAL</v>
          </cell>
        </row>
        <row r="3402">
          <cell r="L3402" t="str">
            <v>Proportional</v>
          </cell>
          <cell r="S3402">
            <v>52273.59</v>
          </cell>
          <cell r="X3402" t="str">
            <v>Commissions - gross</v>
          </cell>
          <cell r="Y3402" t="str">
            <v>THAILAND</v>
          </cell>
        </row>
        <row r="3403">
          <cell r="L3403" t="str">
            <v>Proportional</v>
          </cell>
          <cell r="S3403">
            <v>137.35</v>
          </cell>
          <cell r="X3403" t="str">
            <v>Commissions - gross</v>
          </cell>
          <cell r="Y3403" t="str">
            <v>THAILAND</v>
          </cell>
        </row>
        <row r="3404">
          <cell r="L3404" t="str">
            <v>Non-proportional</v>
          </cell>
          <cell r="S3404">
            <v>-35326.94</v>
          </cell>
          <cell r="X3404" t="str">
            <v>Commissions - gross</v>
          </cell>
          <cell r="Y3404" t="str">
            <v>TURKEY</v>
          </cell>
        </row>
        <row r="3405">
          <cell r="L3405" t="str">
            <v>Proportional</v>
          </cell>
          <cell r="S3405">
            <v>39.630000000000003</v>
          </cell>
          <cell r="X3405" t="str">
            <v>Commissions - gross</v>
          </cell>
          <cell r="Y3405" t="str">
            <v>UNITED STATES</v>
          </cell>
        </row>
        <row r="3406">
          <cell r="L3406" t="str">
            <v>Proportional</v>
          </cell>
          <cell r="S3406">
            <v>-62.51</v>
          </cell>
          <cell r="X3406" t="str">
            <v>Commissions - gross</v>
          </cell>
          <cell r="Y3406" t="str">
            <v>INDIA</v>
          </cell>
        </row>
        <row r="3407">
          <cell r="L3407" t="str">
            <v>Proportional</v>
          </cell>
          <cell r="S3407">
            <v>4974.67</v>
          </cell>
          <cell r="X3407" t="str">
            <v>Commissions - gross</v>
          </cell>
          <cell r="Y3407" t="str">
            <v>UNITED STATES</v>
          </cell>
        </row>
        <row r="3408">
          <cell r="L3408" t="str">
            <v>Proportional</v>
          </cell>
          <cell r="S3408">
            <v>33283.120000000003</v>
          </cell>
          <cell r="X3408" t="str">
            <v>Commissions - gross</v>
          </cell>
          <cell r="Y3408" t="str">
            <v>HONG KONG</v>
          </cell>
        </row>
        <row r="3409">
          <cell r="L3409" t="str">
            <v>Proportional</v>
          </cell>
          <cell r="S3409">
            <v>20553.560000000001</v>
          </cell>
          <cell r="X3409" t="str">
            <v>Commissions - gross</v>
          </cell>
          <cell r="Y3409" t="str">
            <v>THAILAND</v>
          </cell>
        </row>
        <row r="3410">
          <cell r="L3410" t="str">
            <v>Proportional</v>
          </cell>
          <cell r="S3410">
            <v>12182.92</v>
          </cell>
          <cell r="X3410" t="str">
            <v>Commissions - gross</v>
          </cell>
          <cell r="Y3410" t="str">
            <v>INDIA</v>
          </cell>
        </row>
        <row r="3411">
          <cell r="L3411" t="str">
            <v>Proportional</v>
          </cell>
          <cell r="S3411">
            <v>1116.52</v>
          </cell>
          <cell r="X3411" t="str">
            <v>Commissions - gross</v>
          </cell>
          <cell r="Y3411" t="str">
            <v>FRANCE</v>
          </cell>
        </row>
        <row r="3412">
          <cell r="L3412" t="str">
            <v>Proportional</v>
          </cell>
          <cell r="S3412">
            <v>395.42</v>
          </cell>
          <cell r="X3412" t="str">
            <v>Commissions - gross</v>
          </cell>
          <cell r="Y3412" t="str">
            <v>THAILAND</v>
          </cell>
        </row>
        <row r="3413">
          <cell r="L3413" t="str">
            <v>Proportional</v>
          </cell>
          <cell r="S3413">
            <v>4841.57</v>
          </cell>
          <cell r="X3413" t="str">
            <v>Commissions - gross</v>
          </cell>
          <cell r="Y3413" t="str">
            <v>UNITED STATES</v>
          </cell>
        </row>
        <row r="3414">
          <cell r="L3414" t="str">
            <v>Proportional</v>
          </cell>
          <cell r="S3414">
            <v>3081.18</v>
          </cell>
          <cell r="X3414" t="str">
            <v>Commissions - gross</v>
          </cell>
          <cell r="Y3414" t="str">
            <v>THAILAND</v>
          </cell>
        </row>
        <row r="3415">
          <cell r="L3415" t="str">
            <v>Proportional</v>
          </cell>
          <cell r="S3415">
            <v>81544.75</v>
          </cell>
          <cell r="X3415" t="str">
            <v>Commissions - gross</v>
          </cell>
          <cell r="Y3415" t="str">
            <v>UNITED STATES</v>
          </cell>
        </row>
        <row r="3416">
          <cell r="L3416" t="str">
            <v>Proportional</v>
          </cell>
          <cell r="S3416">
            <v>46.22</v>
          </cell>
          <cell r="X3416" t="str">
            <v>Commissions - gross</v>
          </cell>
          <cell r="Y3416" t="str">
            <v>THAILAND</v>
          </cell>
        </row>
        <row r="3417">
          <cell r="L3417" t="str">
            <v>Proportional</v>
          </cell>
          <cell r="S3417">
            <v>2634.38</v>
          </cell>
          <cell r="X3417" t="str">
            <v>Commissions - gross</v>
          </cell>
          <cell r="Y3417" t="str">
            <v>THAILAND</v>
          </cell>
        </row>
        <row r="3418">
          <cell r="L3418" t="str">
            <v>Proportional</v>
          </cell>
          <cell r="S3418">
            <v>696.4</v>
          </cell>
          <cell r="X3418" t="str">
            <v>Commissions - gross</v>
          </cell>
          <cell r="Y3418" t="str">
            <v>CHILE</v>
          </cell>
        </row>
        <row r="3419">
          <cell r="L3419" t="str">
            <v>Proportional</v>
          </cell>
          <cell r="S3419">
            <v>5868.91</v>
          </cell>
          <cell r="X3419" t="str">
            <v>Commissions - gross</v>
          </cell>
          <cell r="Y3419" t="str">
            <v>THAILAND</v>
          </cell>
        </row>
        <row r="3420">
          <cell r="L3420" t="str">
            <v>Proportional</v>
          </cell>
          <cell r="S3420">
            <v>1237.69</v>
          </cell>
          <cell r="X3420" t="str">
            <v>Commissions - gross</v>
          </cell>
          <cell r="Y3420" t="str">
            <v>THAILAND</v>
          </cell>
        </row>
        <row r="3421">
          <cell r="L3421" t="str">
            <v>Proportional</v>
          </cell>
          <cell r="S3421">
            <v>15562.5</v>
          </cell>
          <cell r="X3421" t="str">
            <v>Commissions - gross</v>
          </cell>
          <cell r="Y3421" t="str">
            <v>PORTUGAL</v>
          </cell>
        </row>
        <row r="3422">
          <cell r="L3422" t="str">
            <v>Proportional</v>
          </cell>
          <cell r="S3422">
            <v>3544.79</v>
          </cell>
          <cell r="X3422" t="str">
            <v>Commissions - gross</v>
          </cell>
          <cell r="Y3422" t="str">
            <v>THAILAND</v>
          </cell>
        </row>
        <row r="3423">
          <cell r="L3423" t="str">
            <v>Proportional</v>
          </cell>
          <cell r="S3423">
            <v>1573.34</v>
          </cell>
          <cell r="X3423" t="str">
            <v>Commissions - gross</v>
          </cell>
          <cell r="Y3423" t="str">
            <v>THAILAND</v>
          </cell>
        </row>
        <row r="3424">
          <cell r="L3424" t="str">
            <v>Proportional</v>
          </cell>
          <cell r="S3424">
            <v>-13.37</v>
          </cell>
          <cell r="X3424" t="str">
            <v>Commissions - gross</v>
          </cell>
          <cell r="Y3424" t="str">
            <v>INDIA</v>
          </cell>
        </row>
        <row r="3425">
          <cell r="L3425" t="str">
            <v>Proportional</v>
          </cell>
          <cell r="S3425">
            <v>88011.12</v>
          </cell>
          <cell r="X3425" t="str">
            <v>Commissions - gross</v>
          </cell>
          <cell r="Y3425" t="str">
            <v>HONG KONG</v>
          </cell>
        </row>
        <row r="3426">
          <cell r="L3426" t="str">
            <v>Proportional</v>
          </cell>
          <cell r="S3426">
            <v>8280.66</v>
          </cell>
          <cell r="X3426" t="str">
            <v>Commissions - gross</v>
          </cell>
          <cell r="Y3426" t="str">
            <v>THAILAND</v>
          </cell>
        </row>
        <row r="3427">
          <cell r="L3427" t="str">
            <v>Proportional</v>
          </cell>
          <cell r="S3427">
            <v>115397.39</v>
          </cell>
          <cell r="X3427" t="str">
            <v>Commissions - gross</v>
          </cell>
          <cell r="Y3427" t="str">
            <v>THAILAND</v>
          </cell>
        </row>
        <row r="3428">
          <cell r="L3428" t="str">
            <v>Proportional</v>
          </cell>
          <cell r="S3428">
            <v>68448.08</v>
          </cell>
          <cell r="X3428" t="str">
            <v>Commissions - gross</v>
          </cell>
          <cell r="Y3428" t="str">
            <v>THAILAND</v>
          </cell>
        </row>
        <row r="3429">
          <cell r="L3429" t="str">
            <v>Proportional</v>
          </cell>
          <cell r="S3429">
            <v>600.08000000000004</v>
          </cell>
          <cell r="X3429" t="str">
            <v>Commissions - gross</v>
          </cell>
          <cell r="Y3429" t="str">
            <v>THAILAND</v>
          </cell>
        </row>
        <row r="3430">
          <cell r="L3430" t="str">
            <v>Proportional</v>
          </cell>
          <cell r="S3430">
            <v>641.91</v>
          </cell>
          <cell r="X3430" t="str">
            <v>Commissions - gross</v>
          </cell>
          <cell r="Y3430" t="str">
            <v>THAILAND</v>
          </cell>
        </row>
        <row r="3431">
          <cell r="L3431" t="str">
            <v>Proportional</v>
          </cell>
          <cell r="S3431">
            <v>195</v>
          </cell>
          <cell r="X3431" t="str">
            <v>Commissions - gross</v>
          </cell>
          <cell r="Y3431" t="str">
            <v>ITALY</v>
          </cell>
        </row>
        <row r="3432">
          <cell r="L3432" t="str">
            <v>Proportional</v>
          </cell>
          <cell r="S3432">
            <v>734629.51</v>
          </cell>
          <cell r="X3432" t="str">
            <v>Commissions - gross</v>
          </cell>
          <cell r="Y3432" t="str">
            <v>THAILAND</v>
          </cell>
        </row>
        <row r="3433">
          <cell r="L3433" t="str">
            <v>Proportional</v>
          </cell>
          <cell r="S3433">
            <v>201.12</v>
          </cell>
          <cell r="X3433" t="str">
            <v>Commissions - gross</v>
          </cell>
          <cell r="Y3433" t="str">
            <v>ITALY</v>
          </cell>
        </row>
        <row r="3434">
          <cell r="L3434" t="str">
            <v>Proportional</v>
          </cell>
          <cell r="S3434">
            <v>383.06</v>
          </cell>
          <cell r="X3434" t="str">
            <v>Commissions - gross</v>
          </cell>
          <cell r="Y3434" t="str">
            <v>THAILAND</v>
          </cell>
        </row>
        <row r="3435">
          <cell r="L3435" t="str">
            <v>Proportional</v>
          </cell>
          <cell r="S3435">
            <v>346.63</v>
          </cell>
          <cell r="X3435" t="str">
            <v>Commissions - gross</v>
          </cell>
          <cell r="Y3435" t="str">
            <v>THAILAND</v>
          </cell>
        </row>
        <row r="3436">
          <cell r="L3436" t="str">
            <v>Proportional</v>
          </cell>
          <cell r="S3436">
            <v>3006.85</v>
          </cell>
          <cell r="X3436" t="str">
            <v>Commissions - gross</v>
          </cell>
          <cell r="Y3436" t="str">
            <v>FRANCE</v>
          </cell>
        </row>
        <row r="3437">
          <cell r="L3437" t="str">
            <v>Proportional</v>
          </cell>
          <cell r="S3437">
            <v>31337.69</v>
          </cell>
          <cell r="X3437" t="str">
            <v>Commissions - gross</v>
          </cell>
          <cell r="Y3437" t="str">
            <v>THAILAND</v>
          </cell>
        </row>
        <row r="3438">
          <cell r="L3438" t="str">
            <v>Proportional</v>
          </cell>
          <cell r="S3438">
            <v>9426.25</v>
          </cell>
          <cell r="X3438" t="str">
            <v>Commissions - gross</v>
          </cell>
          <cell r="Y3438" t="str">
            <v>THAILAND</v>
          </cell>
        </row>
        <row r="3439">
          <cell r="L3439" t="str">
            <v>Proportional</v>
          </cell>
          <cell r="S3439">
            <v>3794.12</v>
          </cell>
          <cell r="X3439" t="str">
            <v>Commissions - gross</v>
          </cell>
          <cell r="Y3439" t="str">
            <v>UNITED ARAB EMIRATES</v>
          </cell>
        </row>
        <row r="3440">
          <cell r="L3440" t="str">
            <v>Proportional</v>
          </cell>
          <cell r="S3440">
            <v>-356034</v>
          </cell>
          <cell r="X3440" t="str">
            <v>Commissions - gross</v>
          </cell>
          <cell r="Y3440" t="str">
            <v>ITALY</v>
          </cell>
        </row>
        <row r="3441">
          <cell r="L3441" t="str">
            <v>Proportional</v>
          </cell>
          <cell r="S3441">
            <v>30665.75</v>
          </cell>
          <cell r="X3441" t="str">
            <v>Commissions - gross</v>
          </cell>
          <cell r="Y3441" t="str">
            <v>AUSTRALIA</v>
          </cell>
        </row>
        <row r="3442">
          <cell r="L3442" t="str">
            <v>Proportional</v>
          </cell>
          <cell r="S3442">
            <v>763.42</v>
          </cell>
          <cell r="X3442" t="str">
            <v>Commissions - gross</v>
          </cell>
          <cell r="Y3442" t="str">
            <v>HONG KONG</v>
          </cell>
        </row>
        <row r="3443">
          <cell r="L3443" t="str">
            <v>Proportional</v>
          </cell>
          <cell r="S3443">
            <v>627498.05000000005</v>
          </cell>
          <cell r="X3443" t="str">
            <v>Commissions - gross</v>
          </cell>
          <cell r="Y3443" t="str">
            <v>THAILAND</v>
          </cell>
        </row>
        <row r="3444">
          <cell r="L3444" t="str">
            <v>Proportional</v>
          </cell>
          <cell r="S3444">
            <v>3240.3</v>
          </cell>
          <cell r="X3444" t="str">
            <v>Commissions - gross</v>
          </cell>
          <cell r="Y3444" t="str">
            <v>ITALY</v>
          </cell>
        </row>
        <row r="3445">
          <cell r="L3445" t="str">
            <v>Proportional</v>
          </cell>
          <cell r="S3445">
            <v>483.81</v>
          </cell>
          <cell r="X3445" t="str">
            <v>Commissions - gross</v>
          </cell>
          <cell r="Y3445" t="str">
            <v>THAILAND</v>
          </cell>
        </row>
        <row r="3446">
          <cell r="L3446" t="str">
            <v>Proportional</v>
          </cell>
          <cell r="S3446">
            <v>659.36</v>
          </cell>
          <cell r="X3446" t="str">
            <v>Commissions - gross</v>
          </cell>
          <cell r="Y3446" t="str">
            <v>INDIA</v>
          </cell>
        </row>
        <row r="3447">
          <cell r="L3447" t="str">
            <v>Proportional</v>
          </cell>
          <cell r="S3447">
            <v>-10.79</v>
          </cell>
          <cell r="X3447" t="str">
            <v>Commissions - gross</v>
          </cell>
          <cell r="Y3447" t="str">
            <v>INDIA</v>
          </cell>
        </row>
        <row r="3448">
          <cell r="L3448" t="str">
            <v>Proportional</v>
          </cell>
          <cell r="S3448">
            <v>2633.5</v>
          </cell>
          <cell r="X3448" t="str">
            <v>Commissions - gross</v>
          </cell>
          <cell r="Y3448" t="str">
            <v>THAILAND</v>
          </cell>
        </row>
        <row r="3449">
          <cell r="L3449" t="str">
            <v>Proportional</v>
          </cell>
          <cell r="S3449">
            <v>-50.46</v>
          </cell>
          <cell r="X3449" t="str">
            <v>Commissions - gross</v>
          </cell>
          <cell r="Y3449" t="str">
            <v>INDIA</v>
          </cell>
        </row>
        <row r="3450">
          <cell r="L3450" t="str">
            <v>Proportional</v>
          </cell>
          <cell r="S3450">
            <v>6273.37</v>
          </cell>
          <cell r="X3450" t="str">
            <v>Commissions - gross</v>
          </cell>
          <cell r="Y3450" t="str">
            <v>FRANCE</v>
          </cell>
        </row>
        <row r="3451">
          <cell r="L3451" t="str">
            <v>Proportional</v>
          </cell>
          <cell r="S3451">
            <v>13077.39</v>
          </cell>
          <cell r="X3451" t="str">
            <v>Commissions - gross</v>
          </cell>
          <cell r="Y3451" t="str">
            <v>INDIA</v>
          </cell>
        </row>
        <row r="3452">
          <cell r="L3452" t="str">
            <v>Proportional</v>
          </cell>
          <cell r="S3452">
            <v>4514.6400000000003</v>
          </cell>
          <cell r="X3452" t="str">
            <v>Commissions - gross</v>
          </cell>
          <cell r="Y3452" t="str">
            <v>THAILAND</v>
          </cell>
        </row>
        <row r="3453">
          <cell r="L3453" t="str">
            <v>Proportional</v>
          </cell>
          <cell r="S3453">
            <v>24878.23</v>
          </cell>
          <cell r="X3453" t="str">
            <v>Commissions - gross</v>
          </cell>
          <cell r="Y3453" t="str">
            <v>THAILAND</v>
          </cell>
        </row>
        <row r="3454">
          <cell r="L3454" t="str">
            <v>Proportional</v>
          </cell>
          <cell r="S3454">
            <v>198.46</v>
          </cell>
          <cell r="X3454" t="str">
            <v>Commissions - gross</v>
          </cell>
          <cell r="Y3454" t="str">
            <v>THAILAND</v>
          </cell>
        </row>
        <row r="3455">
          <cell r="L3455" t="str">
            <v>Proportional</v>
          </cell>
          <cell r="S3455">
            <v>299.60000000000002</v>
          </cell>
          <cell r="X3455" t="str">
            <v>Commissions - gross</v>
          </cell>
          <cell r="Y3455" t="str">
            <v>THAILAND</v>
          </cell>
        </row>
        <row r="3456">
          <cell r="L3456" t="str">
            <v>Proportional</v>
          </cell>
          <cell r="S3456">
            <v>2001.44</v>
          </cell>
          <cell r="X3456" t="str">
            <v>Commissions - gross</v>
          </cell>
          <cell r="Y3456" t="str">
            <v>THAILAND</v>
          </cell>
        </row>
        <row r="3457">
          <cell r="L3457" t="str">
            <v>Proportional</v>
          </cell>
          <cell r="S3457">
            <v>40210.559999999998</v>
          </cell>
          <cell r="X3457" t="str">
            <v>Commissions - gross</v>
          </cell>
          <cell r="Y3457" t="str">
            <v>THAILAND</v>
          </cell>
        </row>
        <row r="3458">
          <cell r="L3458" t="str">
            <v>Proportional</v>
          </cell>
          <cell r="S3458">
            <v>53842.05</v>
          </cell>
          <cell r="X3458" t="str">
            <v>Commissions - gross</v>
          </cell>
          <cell r="Y3458" t="str">
            <v>THAILAND</v>
          </cell>
        </row>
        <row r="3459">
          <cell r="L3459" t="str">
            <v>Proportional</v>
          </cell>
          <cell r="S3459">
            <v>3466.68</v>
          </cell>
          <cell r="X3459" t="str">
            <v>Commissions - gross</v>
          </cell>
          <cell r="Y3459" t="str">
            <v>BELGIUM</v>
          </cell>
        </row>
        <row r="3460">
          <cell r="L3460" t="str">
            <v>Proportional</v>
          </cell>
          <cell r="S3460">
            <v>172.7</v>
          </cell>
          <cell r="X3460" t="str">
            <v>Commissions - gross</v>
          </cell>
          <cell r="Y3460" t="str">
            <v>THAILAND</v>
          </cell>
        </row>
        <row r="3461">
          <cell r="L3461" t="str">
            <v>Proportional</v>
          </cell>
          <cell r="S3461">
            <v>15562.5</v>
          </cell>
          <cell r="X3461" t="str">
            <v>Commissions - gross</v>
          </cell>
          <cell r="Y3461" t="str">
            <v>PORTUGAL</v>
          </cell>
        </row>
        <row r="3462">
          <cell r="L3462" t="str">
            <v>Proportional</v>
          </cell>
          <cell r="S3462">
            <v>1031</v>
          </cell>
          <cell r="X3462" t="str">
            <v>Commissions - gross</v>
          </cell>
          <cell r="Y3462" t="str">
            <v>THAILAND</v>
          </cell>
        </row>
        <row r="3463">
          <cell r="L3463" t="str">
            <v>Proportional</v>
          </cell>
          <cell r="S3463">
            <v>2989.44</v>
          </cell>
          <cell r="X3463" t="str">
            <v>Commissions - gross</v>
          </cell>
          <cell r="Y3463" t="str">
            <v>FRANCE</v>
          </cell>
        </row>
        <row r="3464">
          <cell r="L3464" t="str">
            <v>Proportional</v>
          </cell>
          <cell r="S3464">
            <v>193.41</v>
          </cell>
          <cell r="X3464" t="str">
            <v>Commissions - gross</v>
          </cell>
          <cell r="Y3464" t="str">
            <v>CHILE</v>
          </cell>
        </row>
        <row r="3465">
          <cell r="L3465" t="str">
            <v>Proportional</v>
          </cell>
          <cell r="S3465">
            <v>5293.13</v>
          </cell>
          <cell r="X3465" t="str">
            <v>Commissions - gross</v>
          </cell>
          <cell r="Y3465" t="str">
            <v>PORTUGAL</v>
          </cell>
        </row>
        <row r="3466">
          <cell r="L3466" t="str">
            <v>Proportional</v>
          </cell>
          <cell r="S3466">
            <v>71111.67</v>
          </cell>
          <cell r="X3466" t="str">
            <v>Commissions - gross</v>
          </cell>
          <cell r="Y3466" t="str">
            <v>UNITED STATES</v>
          </cell>
        </row>
        <row r="3467">
          <cell r="L3467" t="str">
            <v>Proportional</v>
          </cell>
          <cell r="S3467">
            <v>1905.63</v>
          </cell>
          <cell r="X3467" t="str">
            <v>Commissions - gross</v>
          </cell>
          <cell r="Y3467" t="str">
            <v>EUROPE</v>
          </cell>
        </row>
        <row r="3468">
          <cell r="L3468" t="str">
            <v>Proportional</v>
          </cell>
          <cell r="S3468">
            <v>201477.06</v>
          </cell>
          <cell r="X3468" t="str">
            <v>Commissions - gross</v>
          </cell>
          <cell r="Y3468" t="str">
            <v>HONG KONG</v>
          </cell>
        </row>
        <row r="3469">
          <cell r="L3469" t="str">
            <v>Proportional</v>
          </cell>
          <cell r="S3469">
            <v>3082.53</v>
          </cell>
          <cell r="X3469" t="str">
            <v>Commissions - gross</v>
          </cell>
          <cell r="Y3469" t="str">
            <v>INDIA</v>
          </cell>
        </row>
        <row r="3470">
          <cell r="L3470" t="str">
            <v>Proportional</v>
          </cell>
          <cell r="S3470">
            <v>74.23</v>
          </cell>
          <cell r="X3470" t="str">
            <v>Commissions - gross</v>
          </cell>
          <cell r="Y3470" t="str">
            <v>THAILAND</v>
          </cell>
        </row>
        <row r="3471">
          <cell r="L3471" t="str">
            <v>Non-proportional</v>
          </cell>
          <cell r="S3471">
            <v>3782.82</v>
          </cell>
          <cell r="X3471" t="str">
            <v>Commissions - gross</v>
          </cell>
          <cell r="Y3471" t="str">
            <v>TURKEY</v>
          </cell>
        </row>
        <row r="3472">
          <cell r="L3472" t="str">
            <v>Proportional</v>
          </cell>
          <cell r="S3472">
            <v>75.59</v>
          </cell>
          <cell r="X3472" t="str">
            <v>Commissions - gross</v>
          </cell>
          <cell r="Y3472" t="str">
            <v>THAILAND</v>
          </cell>
        </row>
        <row r="3473">
          <cell r="L3473" t="str">
            <v>Proportional</v>
          </cell>
          <cell r="S3473">
            <v>-283.17</v>
          </cell>
          <cell r="X3473" t="str">
            <v>Commissions - gross</v>
          </cell>
          <cell r="Y3473" t="str">
            <v>CANADA</v>
          </cell>
        </row>
        <row r="3474">
          <cell r="L3474" t="str">
            <v>Proportional</v>
          </cell>
          <cell r="S3474">
            <v>-214.07</v>
          </cell>
          <cell r="X3474" t="str">
            <v>Commissions - gross</v>
          </cell>
          <cell r="Y3474" t="str">
            <v>INDIA</v>
          </cell>
        </row>
        <row r="3475">
          <cell r="L3475" t="str">
            <v>Proportional</v>
          </cell>
          <cell r="S3475">
            <v>283.17</v>
          </cell>
          <cell r="X3475" t="str">
            <v>Commissions - gross</v>
          </cell>
          <cell r="Y3475" t="str">
            <v>CANADA</v>
          </cell>
        </row>
        <row r="3476">
          <cell r="L3476" t="str">
            <v>Proportional</v>
          </cell>
          <cell r="S3476">
            <v>5775.75</v>
          </cell>
          <cell r="X3476" t="str">
            <v>Commissions - gross</v>
          </cell>
          <cell r="Y3476" t="str">
            <v>THAILAND</v>
          </cell>
        </row>
        <row r="3477">
          <cell r="L3477" t="str">
            <v>Proportional</v>
          </cell>
          <cell r="S3477">
            <v>1323.53</v>
          </cell>
          <cell r="X3477" t="str">
            <v>Commissions - gross</v>
          </cell>
          <cell r="Y3477" t="str">
            <v>THAILAND</v>
          </cell>
        </row>
        <row r="3478">
          <cell r="L3478" t="str">
            <v>Non-proportional</v>
          </cell>
          <cell r="S3478">
            <v>3532.69</v>
          </cell>
          <cell r="X3478" t="str">
            <v>Commissions - gross</v>
          </cell>
          <cell r="Y3478" t="str">
            <v>TURKEY</v>
          </cell>
        </row>
        <row r="3479">
          <cell r="L3479" t="str">
            <v>Proportional</v>
          </cell>
          <cell r="S3479">
            <v>361798.87</v>
          </cell>
          <cell r="X3479" t="str">
            <v>Commissions - gross</v>
          </cell>
          <cell r="Y3479" t="str">
            <v>THAILAND</v>
          </cell>
        </row>
        <row r="3480">
          <cell r="L3480" t="str">
            <v>Proportional</v>
          </cell>
          <cell r="S3480">
            <v>56964.14</v>
          </cell>
          <cell r="X3480" t="str">
            <v>Commissions - gross</v>
          </cell>
          <cell r="Y3480" t="str">
            <v>PORTUGAL</v>
          </cell>
        </row>
        <row r="3481">
          <cell r="L3481" t="str">
            <v>Proportional</v>
          </cell>
          <cell r="S3481">
            <v>13299.85</v>
          </cell>
          <cell r="X3481" t="str">
            <v>Commissions - gross</v>
          </cell>
          <cell r="Y3481" t="str">
            <v>THAILAND</v>
          </cell>
        </row>
        <row r="3482">
          <cell r="L3482" t="str">
            <v>Proportional</v>
          </cell>
          <cell r="S3482">
            <v>1160.44</v>
          </cell>
          <cell r="X3482" t="str">
            <v>Commissions - gross</v>
          </cell>
          <cell r="Y3482" t="str">
            <v>CHILE</v>
          </cell>
        </row>
        <row r="3483">
          <cell r="L3483" t="str">
            <v>Proportional</v>
          </cell>
          <cell r="S3483">
            <v>3770.5</v>
          </cell>
          <cell r="X3483" t="str">
            <v>Commissions - gross</v>
          </cell>
          <cell r="Y3483" t="str">
            <v>THAILAND</v>
          </cell>
        </row>
        <row r="3484">
          <cell r="L3484" t="str">
            <v>Proportional</v>
          </cell>
          <cell r="S3484">
            <v>334.55</v>
          </cell>
          <cell r="X3484" t="str">
            <v>Commissions - gross</v>
          </cell>
          <cell r="Y3484" t="str">
            <v>ITALY</v>
          </cell>
        </row>
        <row r="3485">
          <cell r="L3485" t="str">
            <v>Proportional</v>
          </cell>
          <cell r="S3485">
            <v>19663.759999999998</v>
          </cell>
          <cell r="X3485" t="str">
            <v>Commissions - gross</v>
          </cell>
          <cell r="Y3485" t="str">
            <v>HONG KONG</v>
          </cell>
        </row>
        <row r="3486">
          <cell r="L3486" t="str">
            <v>Proportional</v>
          </cell>
          <cell r="S3486">
            <v>3335.52</v>
          </cell>
          <cell r="X3486" t="str">
            <v>Commissions - gross</v>
          </cell>
          <cell r="Y3486" t="str">
            <v>THAILAND</v>
          </cell>
        </row>
        <row r="3487">
          <cell r="L3487" t="str">
            <v>Proportional</v>
          </cell>
          <cell r="S3487">
            <v>1796</v>
          </cell>
          <cell r="X3487" t="str">
            <v>Commissions - gross</v>
          </cell>
          <cell r="Y3487" t="str">
            <v>THAILAND</v>
          </cell>
        </row>
        <row r="3488">
          <cell r="L3488" t="str">
            <v>Proportional</v>
          </cell>
          <cell r="S3488">
            <v>44650.5</v>
          </cell>
          <cell r="X3488" t="str">
            <v>Commissions - gross</v>
          </cell>
          <cell r="Y3488" t="str">
            <v>THAILAND</v>
          </cell>
        </row>
        <row r="3489">
          <cell r="L3489" t="str">
            <v>Proportional</v>
          </cell>
          <cell r="S3489">
            <v>6367.97</v>
          </cell>
          <cell r="X3489" t="str">
            <v>Commissions - gross</v>
          </cell>
          <cell r="Y3489" t="str">
            <v>THAILAND</v>
          </cell>
        </row>
        <row r="3490">
          <cell r="L3490" t="str">
            <v>Proportional</v>
          </cell>
          <cell r="S3490">
            <v>63259.46</v>
          </cell>
          <cell r="X3490" t="str">
            <v>Commissions - gross</v>
          </cell>
          <cell r="Y3490" t="str">
            <v>FRANCE</v>
          </cell>
        </row>
        <row r="3491">
          <cell r="L3491" t="str">
            <v>Proportional</v>
          </cell>
          <cell r="S3491">
            <v>21047.18</v>
          </cell>
          <cell r="X3491" t="str">
            <v>Commissions - gross</v>
          </cell>
          <cell r="Y3491" t="str">
            <v>PORTUGAL</v>
          </cell>
        </row>
        <row r="3492">
          <cell r="L3492" t="str">
            <v>Proportional</v>
          </cell>
          <cell r="S3492">
            <v>309.45</v>
          </cell>
          <cell r="X3492" t="str">
            <v>Commissions - gross</v>
          </cell>
          <cell r="Y3492" t="str">
            <v>CHILE</v>
          </cell>
        </row>
        <row r="3493">
          <cell r="L3493" t="str">
            <v>Proportional</v>
          </cell>
          <cell r="S3493">
            <v>5001.78</v>
          </cell>
          <cell r="X3493" t="str">
            <v>Commissions - gross</v>
          </cell>
          <cell r="Y3493" t="str">
            <v>FRANCE</v>
          </cell>
        </row>
        <row r="3494">
          <cell r="L3494" t="str">
            <v>Proportional</v>
          </cell>
          <cell r="S3494">
            <v>-3320.08</v>
          </cell>
          <cell r="X3494" t="str">
            <v>Commissions - gross</v>
          </cell>
          <cell r="Y3494" t="str">
            <v>HONG KONG</v>
          </cell>
        </row>
        <row r="3495">
          <cell r="L3495" t="str">
            <v>Proportional</v>
          </cell>
          <cell r="S3495">
            <v>4466.2299999999996</v>
          </cell>
          <cell r="X3495" t="str">
            <v>Commissions - gross</v>
          </cell>
          <cell r="Y3495" t="str">
            <v>THAILAND</v>
          </cell>
        </row>
        <row r="3496">
          <cell r="L3496" t="str">
            <v>Proportional</v>
          </cell>
          <cell r="S3496">
            <v>27300.81</v>
          </cell>
          <cell r="X3496" t="str">
            <v>Commissions - gross</v>
          </cell>
          <cell r="Y3496" t="str">
            <v>JAPAN</v>
          </cell>
        </row>
        <row r="3497">
          <cell r="L3497" t="str">
            <v>Proportional</v>
          </cell>
          <cell r="S3497">
            <v>6055</v>
          </cell>
          <cell r="X3497" t="str">
            <v>Commissions - gross</v>
          </cell>
          <cell r="Y3497" t="str">
            <v>ITALY</v>
          </cell>
        </row>
        <row r="3498">
          <cell r="L3498" t="str">
            <v>Proportional</v>
          </cell>
          <cell r="S3498">
            <v>21191.19</v>
          </cell>
          <cell r="X3498" t="str">
            <v>Commissions - gross</v>
          </cell>
          <cell r="Y3498" t="str">
            <v>PORTUGAL</v>
          </cell>
        </row>
        <row r="3499">
          <cell r="L3499" t="str">
            <v>Proportional</v>
          </cell>
          <cell r="S3499">
            <v>1365.95</v>
          </cell>
          <cell r="X3499" t="str">
            <v>Commissions - gross</v>
          </cell>
          <cell r="Y3499" t="str">
            <v>THAILAND</v>
          </cell>
        </row>
        <row r="3500">
          <cell r="L3500" t="str">
            <v>Proportional</v>
          </cell>
          <cell r="S3500">
            <v>7757.61</v>
          </cell>
          <cell r="X3500" t="str">
            <v>Commissions - gross</v>
          </cell>
          <cell r="Y3500" t="str">
            <v>UNITED STATES</v>
          </cell>
        </row>
        <row r="3501">
          <cell r="L3501" t="str">
            <v>Proportional</v>
          </cell>
          <cell r="S3501">
            <v>185343.66</v>
          </cell>
          <cell r="X3501" t="str">
            <v>Commissions - gross</v>
          </cell>
          <cell r="Y3501" t="str">
            <v>THAILAND</v>
          </cell>
        </row>
        <row r="3502">
          <cell r="L3502" t="str">
            <v>Proportional</v>
          </cell>
          <cell r="S3502">
            <v>7970.86</v>
          </cell>
          <cell r="X3502" t="str">
            <v>Commissions - gross</v>
          </cell>
          <cell r="Y3502" t="str">
            <v>UNITED STATES</v>
          </cell>
        </row>
        <row r="3503">
          <cell r="L3503" t="str">
            <v>Proportional</v>
          </cell>
          <cell r="S3503">
            <v>58466.25</v>
          </cell>
          <cell r="X3503" t="str">
            <v>Commissions - gross</v>
          </cell>
          <cell r="Y3503" t="str">
            <v>THAILAND</v>
          </cell>
        </row>
        <row r="3504">
          <cell r="L3504" t="str">
            <v>Proportional</v>
          </cell>
          <cell r="S3504">
            <v>4948.78</v>
          </cell>
          <cell r="X3504" t="str">
            <v>Commissions - gross</v>
          </cell>
          <cell r="Y3504" t="str">
            <v>THAILAND</v>
          </cell>
        </row>
        <row r="3505">
          <cell r="L3505" t="str">
            <v>Proportional</v>
          </cell>
          <cell r="S3505">
            <v>2250.1999999999998</v>
          </cell>
          <cell r="X3505" t="str">
            <v>Commissions - gross</v>
          </cell>
          <cell r="Y3505" t="str">
            <v>THAILAND</v>
          </cell>
        </row>
        <row r="3506">
          <cell r="L3506" t="str">
            <v>Proportional</v>
          </cell>
          <cell r="S3506">
            <v>4027</v>
          </cell>
          <cell r="X3506" t="str">
            <v>Commissions - gross</v>
          </cell>
          <cell r="Y3506" t="str">
            <v>THAILAND</v>
          </cell>
        </row>
        <row r="3507">
          <cell r="L3507" t="str">
            <v>Proportional</v>
          </cell>
          <cell r="S3507">
            <v>928.35</v>
          </cell>
          <cell r="X3507" t="str">
            <v>Commissions - gross</v>
          </cell>
          <cell r="Y3507" t="str">
            <v>CHILE</v>
          </cell>
        </row>
        <row r="3508">
          <cell r="L3508" t="str">
            <v>Proportional</v>
          </cell>
          <cell r="S3508">
            <v>29051.93</v>
          </cell>
          <cell r="X3508" t="str">
            <v>Commissions - gross</v>
          </cell>
          <cell r="Y3508" t="str">
            <v>HONG KONG</v>
          </cell>
        </row>
        <row r="3509">
          <cell r="L3509" t="str">
            <v>Proportional</v>
          </cell>
          <cell r="S3509">
            <v>17155.78</v>
          </cell>
          <cell r="X3509" t="str">
            <v>Commissions - gross</v>
          </cell>
          <cell r="Y3509" t="str">
            <v>THAILAND</v>
          </cell>
        </row>
        <row r="3510">
          <cell r="L3510" t="str">
            <v>Proportional</v>
          </cell>
          <cell r="S3510">
            <v>3445.25</v>
          </cell>
          <cell r="X3510" t="str">
            <v>Commissions - gross</v>
          </cell>
          <cell r="Y3510" t="str">
            <v>THAILAND</v>
          </cell>
        </row>
        <row r="3511">
          <cell r="L3511" t="str">
            <v>Proportional</v>
          </cell>
          <cell r="S3511">
            <v>556.74</v>
          </cell>
          <cell r="X3511" t="str">
            <v>Commissions - gross</v>
          </cell>
          <cell r="Y3511" t="str">
            <v>THAILAND</v>
          </cell>
        </row>
        <row r="3512">
          <cell r="L3512" t="str">
            <v>Proportional</v>
          </cell>
          <cell r="S3512">
            <v>1857.29</v>
          </cell>
          <cell r="X3512" t="str">
            <v>Commissions - gross</v>
          </cell>
          <cell r="Y3512" t="str">
            <v>FRANCE</v>
          </cell>
        </row>
        <row r="3513">
          <cell r="L3513" t="str">
            <v>Proportional</v>
          </cell>
          <cell r="S3513">
            <v>4229.79</v>
          </cell>
          <cell r="X3513" t="str">
            <v>Commissions - gross</v>
          </cell>
          <cell r="Y3513" t="str">
            <v>THAILAND</v>
          </cell>
        </row>
        <row r="3514">
          <cell r="L3514" t="str">
            <v>Proportional</v>
          </cell>
          <cell r="S3514">
            <v>714583.33</v>
          </cell>
          <cell r="X3514" t="str">
            <v>Commissions - gross</v>
          </cell>
          <cell r="Y3514" t="str">
            <v>PORTUGAL</v>
          </cell>
        </row>
        <row r="3515">
          <cell r="L3515" t="str">
            <v>Proportional</v>
          </cell>
          <cell r="S3515">
            <v>724.18</v>
          </cell>
          <cell r="X3515" t="str">
            <v>Commissions - gross</v>
          </cell>
          <cell r="Y3515" t="str">
            <v>ITALY</v>
          </cell>
        </row>
        <row r="3516">
          <cell r="L3516" t="str">
            <v>Proportional</v>
          </cell>
          <cell r="S3516">
            <v>154.72</v>
          </cell>
          <cell r="X3516" t="str">
            <v>Commissions - gross</v>
          </cell>
          <cell r="Y3516" t="str">
            <v>CHILE</v>
          </cell>
        </row>
        <row r="3517">
          <cell r="L3517" t="str">
            <v>Proportional</v>
          </cell>
          <cell r="S3517">
            <v>2329.9699999999998</v>
          </cell>
          <cell r="X3517" t="str">
            <v>Commissions - gross</v>
          </cell>
          <cell r="Y3517" t="str">
            <v>HONG KONG</v>
          </cell>
        </row>
        <row r="3518">
          <cell r="L3518" t="str">
            <v>Proportional</v>
          </cell>
          <cell r="S3518">
            <v>4329.43</v>
          </cell>
          <cell r="X3518" t="str">
            <v>Commissions - gross</v>
          </cell>
          <cell r="Y3518" t="str">
            <v>THAILAND</v>
          </cell>
        </row>
        <row r="3519">
          <cell r="L3519" t="str">
            <v>Proportional</v>
          </cell>
          <cell r="S3519">
            <v>324.38</v>
          </cell>
          <cell r="X3519" t="str">
            <v>Commissions - gross</v>
          </cell>
          <cell r="Y3519" t="str">
            <v>ITALY</v>
          </cell>
        </row>
        <row r="3520">
          <cell r="L3520" t="str">
            <v>Proportional</v>
          </cell>
          <cell r="S3520">
            <v>1057.2</v>
          </cell>
          <cell r="X3520" t="str">
            <v>Commissions - gross</v>
          </cell>
          <cell r="Y3520" t="str">
            <v>THAILAND</v>
          </cell>
        </row>
        <row r="3521">
          <cell r="L3521" t="str">
            <v>Proportional</v>
          </cell>
          <cell r="S3521">
            <v>35.880000000000003</v>
          </cell>
          <cell r="X3521" t="str">
            <v>Commissions - gross</v>
          </cell>
          <cell r="Y3521" t="str">
            <v>UNITED STATES</v>
          </cell>
        </row>
        <row r="3522">
          <cell r="L3522" t="str">
            <v>Proportional</v>
          </cell>
          <cell r="S3522">
            <v>26767.7</v>
          </cell>
          <cell r="X3522" t="str">
            <v>Commissions - gross</v>
          </cell>
          <cell r="Y3522" t="str">
            <v>THAILAND</v>
          </cell>
        </row>
        <row r="3523">
          <cell r="L3523" t="str">
            <v>Proportional</v>
          </cell>
          <cell r="S3523">
            <v>2513.06</v>
          </cell>
          <cell r="X3523" t="str">
            <v>Commissions - gross</v>
          </cell>
          <cell r="Y3523" t="str">
            <v>THAILAND</v>
          </cell>
        </row>
        <row r="3524">
          <cell r="L3524" t="str">
            <v>Proportional</v>
          </cell>
          <cell r="S3524">
            <v>635.09</v>
          </cell>
          <cell r="X3524" t="str">
            <v>Commissions - gross</v>
          </cell>
          <cell r="Y3524" t="str">
            <v>THAILAND</v>
          </cell>
        </row>
        <row r="3525">
          <cell r="L3525" t="str">
            <v>Proportional</v>
          </cell>
          <cell r="S3525">
            <v>71971.95</v>
          </cell>
          <cell r="X3525" t="str">
            <v>Commissions - gross</v>
          </cell>
          <cell r="Y3525" t="str">
            <v>HONG KONG</v>
          </cell>
        </row>
        <row r="3526">
          <cell r="L3526" t="str">
            <v>Proportional</v>
          </cell>
          <cell r="S3526">
            <v>2135.17</v>
          </cell>
          <cell r="X3526" t="str">
            <v>Commissions - gross</v>
          </cell>
          <cell r="Y3526" t="str">
            <v>ITALY</v>
          </cell>
        </row>
        <row r="3527">
          <cell r="L3527" t="str">
            <v>Proportional</v>
          </cell>
          <cell r="S3527">
            <v>1478.1</v>
          </cell>
          <cell r="X3527" t="str">
            <v>Commissions - gross</v>
          </cell>
          <cell r="Y3527" t="str">
            <v>HONG KONG</v>
          </cell>
        </row>
        <row r="3528">
          <cell r="L3528" t="str">
            <v>Proportional</v>
          </cell>
          <cell r="S3528">
            <v>17556.22</v>
          </cell>
          <cell r="X3528" t="str">
            <v>Commissions - gross</v>
          </cell>
          <cell r="Y3528" t="str">
            <v>THAILAND</v>
          </cell>
        </row>
        <row r="3529">
          <cell r="L3529" t="str">
            <v>Proportional</v>
          </cell>
          <cell r="S3529">
            <v>47452.85</v>
          </cell>
          <cell r="X3529" t="str">
            <v>Commissions - gross</v>
          </cell>
          <cell r="Y3529" t="str">
            <v>THAILAND</v>
          </cell>
        </row>
        <row r="3530">
          <cell r="L3530" t="str">
            <v>Proportional</v>
          </cell>
          <cell r="S3530">
            <v>6792.6</v>
          </cell>
          <cell r="X3530" t="str">
            <v>Commissions - gross</v>
          </cell>
          <cell r="Y3530" t="str">
            <v>THAILAND</v>
          </cell>
        </row>
        <row r="3531">
          <cell r="L3531" t="str">
            <v>Proportional</v>
          </cell>
          <cell r="S3531">
            <v>1534.41</v>
          </cell>
          <cell r="X3531" t="str">
            <v>Commissions - gross</v>
          </cell>
          <cell r="Y3531" t="str">
            <v>CHILE</v>
          </cell>
        </row>
        <row r="3532">
          <cell r="L3532" t="str">
            <v>Proportional</v>
          </cell>
          <cell r="S3532">
            <v>252070.45</v>
          </cell>
          <cell r="X3532" t="str">
            <v>Commissions - gross</v>
          </cell>
          <cell r="Y3532" t="str">
            <v>THAILAND</v>
          </cell>
        </row>
        <row r="3533">
          <cell r="L3533" t="str">
            <v>Proportional</v>
          </cell>
          <cell r="S3533">
            <v>1402.17</v>
          </cell>
          <cell r="X3533" t="str">
            <v>Commissions - gross</v>
          </cell>
          <cell r="Y3533" t="str">
            <v>THAILAND</v>
          </cell>
        </row>
        <row r="3534">
          <cell r="L3534" t="str">
            <v>Proportional</v>
          </cell>
          <cell r="S3534">
            <v>-181454.91</v>
          </cell>
          <cell r="X3534" t="str">
            <v>Commissions - gross</v>
          </cell>
          <cell r="Y3534" t="str">
            <v>CANADA</v>
          </cell>
        </row>
        <row r="3535">
          <cell r="L3535" t="str">
            <v>Proportional</v>
          </cell>
          <cell r="S3535">
            <v>80271.56</v>
          </cell>
          <cell r="X3535" t="str">
            <v>Commissions - gross</v>
          </cell>
          <cell r="Y3535" t="str">
            <v>UNITED KINGDOM</v>
          </cell>
        </row>
        <row r="3536">
          <cell r="L3536" t="str">
            <v>Proportional</v>
          </cell>
          <cell r="S3536">
            <v>471.86</v>
          </cell>
          <cell r="X3536" t="str">
            <v>Commissions - gross</v>
          </cell>
          <cell r="Y3536" t="str">
            <v>ITALY</v>
          </cell>
        </row>
        <row r="3537">
          <cell r="L3537" t="str">
            <v>Proportional</v>
          </cell>
          <cell r="S3537">
            <v>26008.7</v>
          </cell>
          <cell r="X3537" t="str">
            <v>Commissions - gross</v>
          </cell>
          <cell r="Y3537" t="str">
            <v>JAPAN</v>
          </cell>
        </row>
        <row r="3538">
          <cell r="L3538" t="str">
            <v>Proportional</v>
          </cell>
          <cell r="S3538">
            <v>182.67</v>
          </cell>
          <cell r="X3538" t="str">
            <v>Commissions - gross</v>
          </cell>
          <cell r="Y3538" t="str">
            <v>CHILE</v>
          </cell>
        </row>
        <row r="3539">
          <cell r="L3539" t="str">
            <v>Proportional</v>
          </cell>
          <cell r="S3539">
            <v>249.52</v>
          </cell>
          <cell r="X3539" t="str">
            <v>Commissions - gross</v>
          </cell>
          <cell r="Y3539" t="str">
            <v>CANADA</v>
          </cell>
        </row>
        <row r="3540">
          <cell r="L3540" t="str">
            <v>Proportional</v>
          </cell>
          <cell r="S3540">
            <v>255.74</v>
          </cell>
          <cell r="X3540" t="str">
            <v>Commissions - gross</v>
          </cell>
          <cell r="Y3540" t="str">
            <v>CHILE</v>
          </cell>
        </row>
        <row r="3541">
          <cell r="L3541" t="str">
            <v>Proportional</v>
          </cell>
          <cell r="S3541">
            <v>457.5</v>
          </cell>
          <cell r="X3541" t="str">
            <v>Commissions - gross</v>
          </cell>
          <cell r="Y3541" t="str">
            <v>ITALY</v>
          </cell>
        </row>
        <row r="3542">
          <cell r="L3542" t="str">
            <v>Proportional</v>
          </cell>
          <cell r="S3542">
            <v>171584</v>
          </cell>
          <cell r="X3542" t="str">
            <v>Commissions - gross</v>
          </cell>
          <cell r="Y3542" t="str">
            <v>HONG KONG</v>
          </cell>
        </row>
        <row r="3543">
          <cell r="L3543" t="str">
            <v>Proportional</v>
          </cell>
          <cell r="S3543">
            <v>-48.1</v>
          </cell>
          <cell r="X3543" t="str">
            <v>Commissions - gross</v>
          </cell>
          <cell r="Y3543" t="str">
            <v>INDIA</v>
          </cell>
        </row>
        <row r="3544">
          <cell r="L3544" t="str">
            <v>Proportional</v>
          </cell>
          <cell r="S3544">
            <v>1725.25</v>
          </cell>
          <cell r="X3544" t="str">
            <v>Commissions - gross</v>
          </cell>
          <cell r="Y3544" t="str">
            <v>THAILAND</v>
          </cell>
        </row>
        <row r="3545">
          <cell r="L3545" t="str">
            <v>Proportional</v>
          </cell>
          <cell r="S3545">
            <v>2442.58</v>
          </cell>
          <cell r="X3545" t="str">
            <v>Commissions - gross</v>
          </cell>
          <cell r="Y3545" t="str">
            <v>THAILAND</v>
          </cell>
        </row>
        <row r="3546">
          <cell r="L3546" t="str">
            <v>Proportional</v>
          </cell>
          <cell r="S3546">
            <v>15562.5</v>
          </cell>
          <cell r="X3546" t="str">
            <v>Commissions - gross</v>
          </cell>
          <cell r="Y3546" t="str">
            <v>PORTUGAL</v>
          </cell>
        </row>
        <row r="3547">
          <cell r="L3547" t="str">
            <v>Proportional</v>
          </cell>
          <cell r="S3547">
            <v>14436.47</v>
          </cell>
          <cell r="X3547" t="str">
            <v>Commissions - gross</v>
          </cell>
          <cell r="Y3547" t="str">
            <v>THAILAND</v>
          </cell>
        </row>
        <row r="3548">
          <cell r="L3548" t="str">
            <v>Proportional</v>
          </cell>
          <cell r="S3548">
            <v>4216.32</v>
          </cell>
          <cell r="X3548" t="str">
            <v>Commissions - gross</v>
          </cell>
          <cell r="Y3548" t="str">
            <v>FRANCE</v>
          </cell>
        </row>
        <row r="3549">
          <cell r="L3549" t="str">
            <v>Proportional</v>
          </cell>
          <cell r="S3549">
            <v>5608.01</v>
          </cell>
          <cell r="X3549" t="str">
            <v>Commissions - gross</v>
          </cell>
          <cell r="Y3549" t="str">
            <v>FRANCE</v>
          </cell>
        </row>
        <row r="3550">
          <cell r="L3550" t="str">
            <v>Proportional</v>
          </cell>
          <cell r="S3550">
            <v>148.86000000000001</v>
          </cell>
          <cell r="X3550" t="str">
            <v>Commissions - gross</v>
          </cell>
          <cell r="Y3550" t="str">
            <v>THAILAND</v>
          </cell>
        </row>
        <row r="3551">
          <cell r="L3551" t="str">
            <v>Proportional</v>
          </cell>
          <cell r="S3551">
            <v>24621.279999999999</v>
          </cell>
          <cell r="X3551" t="str">
            <v>Commissions - gross</v>
          </cell>
          <cell r="Y3551" t="str">
            <v>HONG KONG</v>
          </cell>
        </row>
        <row r="3552">
          <cell r="L3552" t="str">
            <v>Proportional</v>
          </cell>
          <cell r="S3552">
            <v>1025.77</v>
          </cell>
          <cell r="X3552" t="str">
            <v>Commissions - gross</v>
          </cell>
          <cell r="Y3552" t="str">
            <v>HONG KONG</v>
          </cell>
        </row>
        <row r="3553">
          <cell r="L3553" t="str">
            <v>Proportional</v>
          </cell>
          <cell r="S3553">
            <v>8967</v>
          </cell>
          <cell r="X3553" t="str">
            <v>Commissions - gross</v>
          </cell>
          <cell r="Y3553" t="str">
            <v>ITALY</v>
          </cell>
        </row>
        <row r="3554">
          <cell r="L3554" t="str">
            <v>Proportional</v>
          </cell>
          <cell r="S3554">
            <v>26421.26</v>
          </cell>
          <cell r="X3554" t="str">
            <v>Commissions - gross</v>
          </cell>
          <cell r="Y3554" t="str">
            <v>HONG KONG</v>
          </cell>
        </row>
        <row r="3555">
          <cell r="L3555" t="str">
            <v>Proportional</v>
          </cell>
          <cell r="S3555">
            <v>1140.8800000000001</v>
          </cell>
          <cell r="X3555" t="str">
            <v>Commissions - gross</v>
          </cell>
          <cell r="Y3555" t="str">
            <v>THAILAND</v>
          </cell>
        </row>
        <row r="3556">
          <cell r="L3556" t="str">
            <v>Proportional</v>
          </cell>
          <cell r="S3556">
            <v>-73689.34</v>
          </cell>
          <cell r="X3556" t="str">
            <v>Commissions - gross</v>
          </cell>
          <cell r="Y3556" t="str">
            <v>UNITED KINGDOM</v>
          </cell>
        </row>
        <row r="3557">
          <cell r="L3557" t="str">
            <v>Proportional</v>
          </cell>
          <cell r="S3557">
            <v>8540</v>
          </cell>
          <cell r="X3557" t="str">
            <v>Commissions - gross</v>
          </cell>
          <cell r="Y3557" t="str">
            <v>ITALY</v>
          </cell>
        </row>
        <row r="3558">
          <cell r="L3558" t="str">
            <v>Proportional</v>
          </cell>
          <cell r="S3558">
            <v>417.04</v>
          </cell>
          <cell r="X3558" t="str">
            <v>Commissions - gross</v>
          </cell>
          <cell r="Y3558" t="str">
            <v>THAILAND</v>
          </cell>
        </row>
        <row r="3559">
          <cell r="L3559" t="str">
            <v>Proportional</v>
          </cell>
          <cell r="S3559">
            <v>2938.57</v>
          </cell>
          <cell r="X3559" t="str">
            <v>Commissions - gross</v>
          </cell>
          <cell r="Y3559" t="str">
            <v>INDIA</v>
          </cell>
        </row>
        <row r="3560">
          <cell r="L3560" t="str">
            <v>Proportional</v>
          </cell>
          <cell r="S3560">
            <v>7465.46</v>
          </cell>
          <cell r="X3560" t="str">
            <v>Commissions - gross</v>
          </cell>
          <cell r="Y3560" t="str">
            <v>PORTUGAL</v>
          </cell>
        </row>
        <row r="3561">
          <cell r="L3561" t="str">
            <v>Non-proportional</v>
          </cell>
          <cell r="S3561">
            <v>3782.82</v>
          </cell>
          <cell r="X3561" t="str">
            <v>Commissions - gross</v>
          </cell>
          <cell r="Y3561" t="str">
            <v>TURKEY</v>
          </cell>
        </row>
        <row r="3562">
          <cell r="L3562" t="str">
            <v>Proportional</v>
          </cell>
          <cell r="S3562">
            <v>18040.48</v>
          </cell>
          <cell r="X3562" t="str">
            <v>Commissions - gross</v>
          </cell>
          <cell r="Y3562" t="str">
            <v>THAILAND</v>
          </cell>
        </row>
        <row r="3563">
          <cell r="L3563" t="str">
            <v>Proportional</v>
          </cell>
          <cell r="S3563">
            <v>10681.93</v>
          </cell>
          <cell r="X3563" t="str">
            <v>Commissions - gross</v>
          </cell>
          <cell r="Y3563" t="str">
            <v>UNITED STATES</v>
          </cell>
        </row>
        <row r="3564">
          <cell r="L3564" t="str">
            <v>Proportional</v>
          </cell>
          <cell r="S3564">
            <v>5084.59</v>
          </cell>
          <cell r="X3564" t="str">
            <v>Commissions - gross</v>
          </cell>
          <cell r="Y3564" t="str">
            <v>UNITED ARAB EMIRATES</v>
          </cell>
        </row>
        <row r="3565">
          <cell r="L3565" t="str">
            <v>Proportional</v>
          </cell>
          <cell r="S3565">
            <v>1663.32</v>
          </cell>
          <cell r="X3565" t="str">
            <v>Commissions - gross</v>
          </cell>
          <cell r="Y3565" t="str">
            <v>THAILAND</v>
          </cell>
        </row>
        <row r="3566">
          <cell r="L3566" t="str">
            <v>Proportional</v>
          </cell>
          <cell r="S3566">
            <v>6730.43</v>
          </cell>
          <cell r="X3566" t="str">
            <v>Commissions - gross</v>
          </cell>
          <cell r="Y3566" t="str">
            <v>THAILAND</v>
          </cell>
        </row>
        <row r="3567">
          <cell r="L3567" t="str">
            <v>Proportional</v>
          </cell>
          <cell r="S3567">
            <v>401.87</v>
          </cell>
          <cell r="X3567" t="str">
            <v>Commissions - gross</v>
          </cell>
          <cell r="Y3567" t="str">
            <v>CHILE</v>
          </cell>
        </row>
        <row r="3568">
          <cell r="L3568" t="str">
            <v>Proportional</v>
          </cell>
          <cell r="S3568">
            <v>1021.38</v>
          </cell>
          <cell r="X3568" t="str">
            <v>Commissions - gross</v>
          </cell>
          <cell r="Y3568" t="str">
            <v>ITALY</v>
          </cell>
        </row>
        <row r="3569">
          <cell r="L3569" t="str">
            <v>Proportional</v>
          </cell>
          <cell r="S3569">
            <v>55.54</v>
          </cell>
          <cell r="X3569" t="str">
            <v>Commissions - gross</v>
          </cell>
          <cell r="Y3569" t="str">
            <v>THAILAND</v>
          </cell>
        </row>
        <row r="3570">
          <cell r="L3570" t="str">
            <v>Proportional</v>
          </cell>
          <cell r="S3570">
            <v>12819.86</v>
          </cell>
          <cell r="X3570" t="str">
            <v>Commissions - gross</v>
          </cell>
          <cell r="Y3570" t="str">
            <v>THAILAND</v>
          </cell>
        </row>
        <row r="3571">
          <cell r="L3571" t="str">
            <v>Proportional</v>
          </cell>
          <cell r="S3571">
            <v>467706.06</v>
          </cell>
          <cell r="X3571" t="str">
            <v>Commissions - gross</v>
          </cell>
          <cell r="Y3571" t="str">
            <v>THAILAND</v>
          </cell>
        </row>
        <row r="3572">
          <cell r="L3572" t="str">
            <v>Proportional</v>
          </cell>
          <cell r="S3572">
            <v>3849.9</v>
          </cell>
          <cell r="X3572" t="str">
            <v>Commissions - gross</v>
          </cell>
          <cell r="Y3572" t="str">
            <v>THAILAND</v>
          </cell>
        </row>
        <row r="3573">
          <cell r="L3573" t="str">
            <v>Proportional</v>
          </cell>
          <cell r="S3573">
            <v>863.74</v>
          </cell>
          <cell r="X3573" t="str">
            <v>Commissions - gross</v>
          </cell>
          <cell r="Y3573" t="str">
            <v>THAILAND</v>
          </cell>
        </row>
        <row r="3574">
          <cell r="L3574" t="str">
            <v>Proportional</v>
          </cell>
          <cell r="S3574">
            <v>2687.71</v>
          </cell>
          <cell r="X3574" t="str">
            <v>Commissions - gross</v>
          </cell>
          <cell r="Y3574" t="str">
            <v>EUROPE</v>
          </cell>
        </row>
        <row r="3575">
          <cell r="L3575" t="str">
            <v>Proportional</v>
          </cell>
          <cell r="S3575">
            <v>-13016.78</v>
          </cell>
          <cell r="X3575" t="str">
            <v>Commissions - gross</v>
          </cell>
          <cell r="Y3575" t="str">
            <v>REPUBLIC OF IRELAND</v>
          </cell>
        </row>
        <row r="3576">
          <cell r="L3576" t="str">
            <v>Proportional</v>
          </cell>
          <cell r="S3576">
            <v>-17438.75</v>
          </cell>
          <cell r="X3576" t="str">
            <v>Commissions - gross</v>
          </cell>
          <cell r="Y3576" t="str">
            <v>SAUDI ARABIA</v>
          </cell>
        </row>
        <row r="3577">
          <cell r="L3577" t="str">
            <v>Proportional</v>
          </cell>
          <cell r="S3577">
            <v>29685.040000000001</v>
          </cell>
          <cell r="X3577" t="str">
            <v>Commissions - gross</v>
          </cell>
          <cell r="Y3577" t="str">
            <v>PORTUGAL</v>
          </cell>
        </row>
        <row r="3578">
          <cell r="L3578" t="str">
            <v>Proportional</v>
          </cell>
          <cell r="S3578">
            <v>1252.68</v>
          </cell>
          <cell r="X3578" t="str">
            <v>Commissions - gross</v>
          </cell>
          <cell r="Y3578" t="str">
            <v>HONG KONG</v>
          </cell>
        </row>
        <row r="3579">
          <cell r="L3579" t="str">
            <v>Proportional</v>
          </cell>
          <cell r="S3579">
            <v>2875.23</v>
          </cell>
          <cell r="X3579" t="str">
            <v>Commissions - gross</v>
          </cell>
          <cell r="Y3579" t="str">
            <v>THAILAND</v>
          </cell>
        </row>
        <row r="3580">
          <cell r="L3580" t="str">
            <v>Proportional</v>
          </cell>
          <cell r="S3580">
            <v>24093.33</v>
          </cell>
          <cell r="X3580" t="str">
            <v>Commissions - gross</v>
          </cell>
          <cell r="Y3580" t="str">
            <v>FRANCE</v>
          </cell>
        </row>
        <row r="3581">
          <cell r="L3581" t="str">
            <v>Proportional</v>
          </cell>
          <cell r="S3581">
            <v>65.16</v>
          </cell>
          <cell r="X3581" t="str">
            <v>Commissions - gross</v>
          </cell>
          <cell r="Y3581" t="str">
            <v>THAILAND</v>
          </cell>
        </row>
        <row r="3582">
          <cell r="L3582" t="str">
            <v>Proportional</v>
          </cell>
          <cell r="S3582">
            <v>2619.54</v>
          </cell>
          <cell r="X3582" t="str">
            <v>Commissions - gross</v>
          </cell>
          <cell r="Y3582" t="str">
            <v>FRANCE</v>
          </cell>
        </row>
        <row r="3583">
          <cell r="L3583" t="str">
            <v>Proportional</v>
          </cell>
          <cell r="S3583">
            <v>23332.14</v>
          </cell>
          <cell r="X3583" t="str">
            <v>Commissions - gross</v>
          </cell>
          <cell r="Y3583" t="str">
            <v>THAILAND</v>
          </cell>
        </row>
        <row r="3584">
          <cell r="L3584" t="str">
            <v>Proportional</v>
          </cell>
          <cell r="S3584">
            <v>628.57000000000005</v>
          </cell>
          <cell r="X3584" t="str">
            <v>Commissions - gross</v>
          </cell>
          <cell r="Y3584" t="str">
            <v>INDIA</v>
          </cell>
        </row>
        <row r="3585">
          <cell r="L3585" t="str">
            <v>Proportional</v>
          </cell>
          <cell r="S3585">
            <v>50922.49</v>
          </cell>
          <cell r="X3585" t="str">
            <v>Commissions - gross</v>
          </cell>
          <cell r="Y3585" t="str">
            <v>PORTUGAL</v>
          </cell>
        </row>
        <row r="3586">
          <cell r="L3586" t="str">
            <v>Proportional</v>
          </cell>
          <cell r="S3586">
            <v>14537.03</v>
          </cell>
          <cell r="X3586" t="str">
            <v>Commissions - gross</v>
          </cell>
          <cell r="Y3586" t="str">
            <v>CANADA</v>
          </cell>
        </row>
        <row r="3587">
          <cell r="L3587" t="str">
            <v>Proportional</v>
          </cell>
          <cell r="S3587">
            <v>39504.78</v>
          </cell>
          <cell r="X3587" t="str">
            <v>Commissions - gross</v>
          </cell>
          <cell r="Y3587" t="str">
            <v>THAILAND</v>
          </cell>
        </row>
        <row r="3588">
          <cell r="L3588" t="str">
            <v>Proportional</v>
          </cell>
          <cell r="S3588">
            <v>9798.4500000000007</v>
          </cell>
          <cell r="X3588" t="str">
            <v>Commissions - gross</v>
          </cell>
          <cell r="Y3588" t="str">
            <v>THAILAND</v>
          </cell>
        </row>
        <row r="3589">
          <cell r="L3589" t="str">
            <v>Proportional</v>
          </cell>
          <cell r="S3589">
            <v>-352630.21</v>
          </cell>
          <cell r="X3589" t="str">
            <v>Commissions - gross</v>
          </cell>
          <cell r="Y3589" t="str">
            <v>JAPAN</v>
          </cell>
        </row>
        <row r="3590">
          <cell r="L3590" t="str">
            <v>Proportional</v>
          </cell>
          <cell r="S3590">
            <v>171.07</v>
          </cell>
          <cell r="X3590" t="str">
            <v>Commissions - gross</v>
          </cell>
          <cell r="Y3590" t="str">
            <v>THAILAND</v>
          </cell>
        </row>
        <row r="3591">
          <cell r="L3591" t="str">
            <v>Proportional</v>
          </cell>
          <cell r="S3591">
            <v>18088.02</v>
          </cell>
          <cell r="X3591" t="str">
            <v>Commissions - gross</v>
          </cell>
          <cell r="Y3591" t="str">
            <v>THAILAND</v>
          </cell>
        </row>
        <row r="3592">
          <cell r="L3592" t="str">
            <v>Proportional</v>
          </cell>
          <cell r="S3592">
            <v>-82161.039999999994</v>
          </cell>
          <cell r="X3592" t="str">
            <v>Commissions - gross</v>
          </cell>
          <cell r="Y3592" t="str">
            <v>UNITED KINGDOM</v>
          </cell>
        </row>
        <row r="3593">
          <cell r="L3593" t="str">
            <v>Proportional</v>
          </cell>
          <cell r="S3593">
            <v>4570.1400000000003</v>
          </cell>
          <cell r="X3593" t="str">
            <v>Commissions - gross</v>
          </cell>
          <cell r="Y3593" t="str">
            <v>ITALY</v>
          </cell>
        </row>
        <row r="3594">
          <cell r="L3594" t="str">
            <v>Proportional</v>
          </cell>
          <cell r="S3594">
            <v>10396.129999999999</v>
          </cell>
          <cell r="X3594" t="str">
            <v>Commissions - gross</v>
          </cell>
          <cell r="Y3594" t="str">
            <v>UNITED STATES</v>
          </cell>
        </row>
        <row r="3595">
          <cell r="L3595" t="str">
            <v>Proportional</v>
          </cell>
          <cell r="S3595">
            <v>40904.480000000003</v>
          </cell>
          <cell r="X3595" t="str">
            <v>Commissions - gross</v>
          </cell>
          <cell r="Y3595" t="str">
            <v>THAILAND</v>
          </cell>
        </row>
        <row r="3596">
          <cell r="L3596" t="str">
            <v>Proportional</v>
          </cell>
          <cell r="S3596">
            <v>100.96</v>
          </cell>
          <cell r="X3596" t="str">
            <v>Commissions - gross</v>
          </cell>
          <cell r="Y3596" t="str">
            <v>THAILAND</v>
          </cell>
        </row>
        <row r="3597">
          <cell r="L3597" t="str">
            <v>Proportional</v>
          </cell>
          <cell r="S3597">
            <v>32.08</v>
          </cell>
          <cell r="X3597" t="str">
            <v>Commissions - gross</v>
          </cell>
          <cell r="Y3597" t="str">
            <v>UNITED STATES</v>
          </cell>
        </row>
        <row r="3598">
          <cell r="L3598" t="str">
            <v>Proportional</v>
          </cell>
          <cell r="S3598">
            <v>1984.27</v>
          </cell>
          <cell r="X3598" t="str">
            <v>Commissions - gross</v>
          </cell>
          <cell r="Y3598" t="str">
            <v>HONG KONG</v>
          </cell>
        </row>
        <row r="3599">
          <cell r="L3599" t="str">
            <v>Proportional</v>
          </cell>
          <cell r="S3599">
            <v>-204.07</v>
          </cell>
          <cell r="X3599" t="str">
            <v>Commissions - gross</v>
          </cell>
          <cell r="Y3599" t="str">
            <v>INDIA</v>
          </cell>
        </row>
        <row r="3600">
          <cell r="L3600" t="str">
            <v>Proportional</v>
          </cell>
          <cell r="S3600">
            <v>81348.27</v>
          </cell>
          <cell r="X3600" t="str">
            <v>Commissions - gross</v>
          </cell>
          <cell r="Y3600" t="str">
            <v>HONG KONG</v>
          </cell>
        </row>
        <row r="3601">
          <cell r="L3601" t="str">
            <v>Proportional</v>
          </cell>
          <cell r="S3601">
            <v>96705.25</v>
          </cell>
          <cell r="X3601" t="str">
            <v>Commissions - gross</v>
          </cell>
          <cell r="Y3601" t="str">
            <v>HONG KONG</v>
          </cell>
        </row>
        <row r="3602">
          <cell r="L3602" t="str">
            <v>Proportional</v>
          </cell>
          <cell r="S3602">
            <v>2097.0100000000002</v>
          </cell>
          <cell r="X3602" t="str">
            <v>Commissions - gross</v>
          </cell>
          <cell r="Y3602" t="str">
            <v>THAILAND</v>
          </cell>
        </row>
        <row r="3603">
          <cell r="L3603" t="str">
            <v>Proportional</v>
          </cell>
          <cell r="S3603">
            <v>12466.67</v>
          </cell>
          <cell r="X3603" t="str">
            <v>Commissions - gross</v>
          </cell>
          <cell r="Y3603" t="str">
            <v>INDIA</v>
          </cell>
        </row>
        <row r="3604">
          <cell r="L3604" t="str">
            <v>Proportional</v>
          </cell>
          <cell r="S3604">
            <v>757.17</v>
          </cell>
          <cell r="X3604" t="str">
            <v>Commissions - gross</v>
          </cell>
          <cell r="Y3604" t="str">
            <v>THAILAND</v>
          </cell>
        </row>
        <row r="3605">
          <cell r="L3605" t="str">
            <v>Proportional</v>
          </cell>
          <cell r="S3605">
            <v>1205.6099999999999</v>
          </cell>
          <cell r="X3605" t="str">
            <v>Commissions - gross</v>
          </cell>
          <cell r="Y3605" t="str">
            <v>CHILE</v>
          </cell>
        </row>
        <row r="3606">
          <cell r="L3606" t="str">
            <v>Proportional</v>
          </cell>
          <cell r="S3606">
            <v>1101.54</v>
          </cell>
          <cell r="X3606" t="str">
            <v>Commissions - gross</v>
          </cell>
          <cell r="Y3606" t="str">
            <v>THAILAND</v>
          </cell>
        </row>
        <row r="3607">
          <cell r="L3607" t="str">
            <v>Proportional</v>
          </cell>
          <cell r="S3607">
            <v>30353.48</v>
          </cell>
          <cell r="X3607" t="str">
            <v>Commissions - gross</v>
          </cell>
          <cell r="Y3607" t="str">
            <v>THAILAND</v>
          </cell>
        </row>
        <row r="3608">
          <cell r="L3608" t="str">
            <v>Non-proportional</v>
          </cell>
          <cell r="S3608">
            <v>3532.69</v>
          </cell>
          <cell r="X3608" t="str">
            <v>Commissions - gross</v>
          </cell>
          <cell r="Y3608" t="str">
            <v>TURKEY</v>
          </cell>
        </row>
        <row r="3609">
          <cell r="L3609" t="str">
            <v>Proportional</v>
          </cell>
          <cell r="S3609">
            <v>18943.64</v>
          </cell>
          <cell r="X3609" t="str">
            <v>Commissions - gross</v>
          </cell>
          <cell r="Y3609" t="str">
            <v>PORTUGAL</v>
          </cell>
        </row>
        <row r="3610">
          <cell r="L3610" t="str">
            <v>Proportional</v>
          </cell>
          <cell r="S3610">
            <v>258.26</v>
          </cell>
          <cell r="X3610" t="str">
            <v>Commissions - gross</v>
          </cell>
          <cell r="Y3610" t="str">
            <v>THAILAND</v>
          </cell>
        </row>
        <row r="3611">
          <cell r="L3611" t="str">
            <v>Proportional</v>
          </cell>
          <cell r="S3611">
            <v>33446.910000000003</v>
          </cell>
          <cell r="X3611" t="str">
            <v>Commissions - gross</v>
          </cell>
          <cell r="Y3611" t="str">
            <v>AUSTRALIA</v>
          </cell>
        </row>
        <row r="3612">
          <cell r="L3612" t="str">
            <v>Proportional</v>
          </cell>
          <cell r="S3612">
            <v>-249.53</v>
          </cell>
          <cell r="X3612" t="str">
            <v>Commissions - gross</v>
          </cell>
          <cell r="Y3612" t="str">
            <v>CANADA</v>
          </cell>
        </row>
        <row r="3613">
          <cell r="L3613" t="str">
            <v>Proportional</v>
          </cell>
          <cell r="S3613">
            <v>4575.8100000000004</v>
          </cell>
          <cell r="X3613" t="str">
            <v>Commissions - gross</v>
          </cell>
          <cell r="Y3613" t="str">
            <v>THAILAND</v>
          </cell>
        </row>
        <row r="3614">
          <cell r="L3614" t="str">
            <v>Proportional</v>
          </cell>
          <cell r="S3614">
            <v>-10.29</v>
          </cell>
          <cell r="X3614" t="str">
            <v>Commissions - gross</v>
          </cell>
          <cell r="Y3614" t="str">
            <v>INDIA</v>
          </cell>
        </row>
        <row r="3615">
          <cell r="L3615" t="str">
            <v>Proportional</v>
          </cell>
          <cell r="S3615">
            <v>299.54000000000002</v>
          </cell>
          <cell r="X3615" t="str">
            <v>Commissions - gross</v>
          </cell>
          <cell r="Y3615" t="str">
            <v>THAILAND</v>
          </cell>
        </row>
        <row r="3616">
          <cell r="L3616" t="str">
            <v>Proportional</v>
          </cell>
          <cell r="S3616">
            <v>5127.9399999999996</v>
          </cell>
          <cell r="X3616" t="str">
            <v>Commissions - gross</v>
          </cell>
          <cell r="Y3616" t="str">
            <v>THAILAND</v>
          </cell>
        </row>
        <row r="3617">
          <cell r="L3617" t="str">
            <v>Proportional</v>
          </cell>
          <cell r="S3617">
            <v>3011.45</v>
          </cell>
          <cell r="X3617" t="str">
            <v>Commissions - gross</v>
          </cell>
          <cell r="Y3617" t="str">
            <v>ITALY</v>
          </cell>
        </row>
        <row r="3618">
          <cell r="L3618" t="str">
            <v>Proportional</v>
          </cell>
          <cell r="S3618">
            <v>-452083.32</v>
          </cell>
          <cell r="X3618" t="str">
            <v>Commissions - gross</v>
          </cell>
          <cell r="Y3618" t="str">
            <v>PORTUGAL</v>
          </cell>
        </row>
        <row r="3619">
          <cell r="L3619" t="str">
            <v>Proportional</v>
          </cell>
          <cell r="S3619">
            <v>3466.68</v>
          </cell>
          <cell r="X3619" t="str">
            <v>Commissions - gross</v>
          </cell>
          <cell r="Y3619" t="str">
            <v>BELGIUM</v>
          </cell>
        </row>
        <row r="3620">
          <cell r="L3620" t="str">
            <v>Proportional</v>
          </cell>
          <cell r="S3620">
            <v>-13016.78</v>
          </cell>
          <cell r="X3620" t="str">
            <v>Commissions - gross</v>
          </cell>
          <cell r="Y3620" t="str">
            <v>REPUBLIC OF IRELAND</v>
          </cell>
        </row>
        <row r="3621">
          <cell r="L3621" t="str">
            <v>Proportional</v>
          </cell>
          <cell r="S3621">
            <v>220623.06</v>
          </cell>
          <cell r="X3621" t="str">
            <v>Commissions - gross</v>
          </cell>
          <cell r="Y3621" t="str">
            <v>UNITED STATES</v>
          </cell>
        </row>
        <row r="3622">
          <cell r="L3622" t="str">
            <v>Proportional</v>
          </cell>
          <cell r="S3622">
            <v>32496.799999999999</v>
          </cell>
          <cell r="X3622" t="str">
            <v>Commissions - gross</v>
          </cell>
          <cell r="Y3622" t="str">
            <v>THAILAND</v>
          </cell>
        </row>
        <row r="3623">
          <cell r="L3623" t="str">
            <v>Proportional</v>
          </cell>
          <cell r="S3623">
            <v>-188827.27</v>
          </cell>
          <cell r="X3623" t="str">
            <v>Commissions - gross</v>
          </cell>
          <cell r="Y3623" t="str">
            <v>HONG KONG</v>
          </cell>
        </row>
        <row r="3624">
          <cell r="L3624" t="str">
            <v>Proportional</v>
          </cell>
          <cell r="S3624">
            <v>82.17</v>
          </cell>
          <cell r="X3624" t="str">
            <v>Commissions - gross</v>
          </cell>
          <cell r="Y3624" t="str">
            <v>THAILAND</v>
          </cell>
        </row>
        <row r="3625">
          <cell r="L3625" t="str">
            <v>Proportional</v>
          </cell>
          <cell r="S3625">
            <v>13320.96</v>
          </cell>
          <cell r="X3625" t="str">
            <v>Commissions - gross</v>
          </cell>
          <cell r="Y3625" t="str">
            <v>UNITED STATES</v>
          </cell>
        </row>
        <row r="3626">
          <cell r="L3626" t="str">
            <v>Proportional</v>
          </cell>
          <cell r="S3626">
            <v>55.05</v>
          </cell>
          <cell r="X3626" t="str">
            <v>Commissions - gross</v>
          </cell>
          <cell r="Y3626" t="str">
            <v>THAILAND</v>
          </cell>
        </row>
        <row r="3627">
          <cell r="L3627" t="str">
            <v>Proportional</v>
          </cell>
          <cell r="S3627">
            <v>1597.63</v>
          </cell>
          <cell r="X3627" t="str">
            <v>Commissions - gross</v>
          </cell>
          <cell r="Y3627" t="str">
            <v>THAILAND</v>
          </cell>
        </row>
        <row r="3628">
          <cell r="L3628" t="str">
            <v>Proportional</v>
          </cell>
          <cell r="S3628">
            <v>443433.63</v>
          </cell>
          <cell r="X3628" t="str">
            <v>Commissions - gross</v>
          </cell>
          <cell r="Y3628" t="str">
            <v>THAILAND</v>
          </cell>
        </row>
        <row r="3629">
          <cell r="L3629" t="str">
            <v>Non-proportional</v>
          </cell>
          <cell r="S3629">
            <v>3782.82</v>
          </cell>
          <cell r="X3629" t="str">
            <v>Commissions - gross</v>
          </cell>
          <cell r="Y3629" t="str">
            <v>TURKEY</v>
          </cell>
        </row>
        <row r="3630">
          <cell r="L3630" t="str">
            <v>Proportional</v>
          </cell>
          <cell r="S3630">
            <v>1054.58</v>
          </cell>
          <cell r="X3630" t="str">
            <v>Commissions - gross</v>
          </cell>
          <cell r="Y3630" t="str">
            <v>THAILAND</v>
          </cell>
        </row>
        <row r="3631">
          <cell r="L3631" t="str">
            <v>Proportional</v>
          </cell>
          <cell r="S3631">
            <v>10920</v>
          </cell>
          <cell r="X3631" t="str">
            <v>Commissions - gross</v>
          </cell>
          <cell r="Y3631" t="str">
            <v>ITALY</v>
          </cell>
        </row>
        <row r="3632">
          <cell r="L3632" t="str">
            <v>Proportional</v>
          </cell>
          <cell r="S3632">
            <v>85.41</v>
          </cell>
          <cell r="X3632" t="str">
            <v>Commissions - gross</v>
          </cell>
          <cell r="Y3632" t="str">
            <v>THAILAND</v>
          </cell>
        </row>
        <row r="3633">
          <cell r="L3633" t="str">
            <v>Proportional</v>
          </cell>
          <cell r="S3633">
            <v>-217.05</v>
          </cell>
          <cell r="X3633" t="str">
            <v>Commissions - gross</v>
          </cell>
          <cell r="Y3633" t="str">
            <v>THAILAND</v>
          </cell>
        </row>
        <row r="3634">
          <cell r="L3634" t="str">
            <v>Proportional</v>
          </cell>
          <cell r="S3634">
            <v>44967.15</v>
          </cell>
          <cell r="X3634" t="str">
            <v>Commissions - gross</v>
          </cell>
          <cell r="Y3634" t="str">
            <v>PORTUGAL</v>
          </cell>
        </row>
        <row r="3635">
          <cell r="L3635" t="str">
            <v>Proportional</v>
          </cell>
          <cell r="S3635">
            <v>3349.57</v>
          </cell>
          <cell r="X3635" t="str">
            <v>Commissions - gross</v>
          </cell>
          <cell r="Y3635" t="str">
            <v>FRANCE</v>
          </cell>
        </row>
        <row r="3636">
          <cell r="L3636" t="str">
            <v>Proportional</v>
          </cell>
          <cell r="S3636">
            <v>17387.66</v>
          </cell>
          <cell r="X3636" t="str">
            <v>Commissions - gross</v>
          </cell>
          <cell r="Y3636" t="str">
            <v>THAILAND</v>
          </cell>
        </row>
        <row r="3637">
          <cell r="L3637" t="str">
            <v>Proportional</v>
          </cell>
          <cell r="S3637">
            <v>3850.7</v>
          </cell>
          <cell r="X3637" t="str">
            <v>Commissions - gross</v>
          </cell>
          <cell r="Y3637" t="str">
            <v>ITALY</v>
          </cell>
        </row>
        <row r="3638">
          <cell r="L3638" t="str">
            <v>Proportional</v>
          </cell>
          <cell r="S3638">
            <v>-2371.6</v>
          </cell>
          <cell r="X3638" t="str">
            <v>Commissions - gross</v>
          </cell>
          <cell r="Y3638" t="str">
            <v>JAPAN</v>
          </cell>
        </row>
        <row r="3639">
          <cell r="L3639" t="str">
            <v>Proportional</v>
          </cell>
          <cell r="S3639">
            <v>13899.63</v>
          </cell>
          <cell r="X3639" t="str">
            <v>Commissions - gross</v>
          </cell>
          <cell r="Y3639" t="str">
            <v>THAILAND</v>
          </cell>
        </row>
        <row r="3640">
          <cell r="L3640" t="str">
            <v>Proportional</v>
          </cell>
          <cell r="S3640">
            <v>135.85</v>
          </cell>
          <cell r="X3640" t="str">
            <v>Commissions - gross</v>
          </cell>
          <cell r="Y3640" t="str">
            <v>REPUBLIC OF IRELAND</v>
          </cell>
        </row>
        <row r="3641">
          <cell r="L3641" t="str">
            <v>Proportional</v>
          </cell>
          <cell r="S3641">
            <v>1737.42</v>
          </cell>
          <cell r="X3641" t="str">
            <v>Commissions - gross</v>
          </cell>
          <cell r="Y3641" t="str">
            <v>HONG KONG</v>
          </cell>
        </row>
        <row r="3642">
          <cell r="L3642" t="str">
            <v>Proportional</v>
          </cell>
          <cell r="S3642">
            <v>889.2</v>
          </cell>
          <cell r="X3642" t="str">
            <v>Commissions - gross</v>
          </cell>
          <cell r="Y3642" t="str">
            <v>THAILAND</v>
          </cell>
        </row>
        <row r="3643">
          <cell r="L3643" t="str">
            <v>Proportional</v>
          </cell>
          <cell r="S3643">
            <v>37957.919999999998</v>
          </cell>
          <cell r="X3643" t="str">
            <v>Commissions - gross</v>
          </cell>
          <cell r="Y3643" t="str">
            <v>PORTUGAL</v>
          </cell>
        </row>
        <row r="3644">
          <cell r="L3644" t="str">
            <v>Proportional</v>
          </cell>
          <cell r="S3644">
            <v>33499.33</v>
          </cell>
          <cell r="X3644" t="str">
            <v>Commissions - gross</v>
          </cell>
          <cell r="Y3644" t="str">
            <v>HONG KONG</v>
          </cell>
        </row>
        <row r="3645">
          <cell r="L3645" t="str">
            <v>Proportional</v>
          </cell>
          <cell r="S3645">
            <v>15346.54</v>
          </cell>
          <cell r="X3645" t="str">
            <v>Commissions - gross</v>
          </cell>
          <cell r="Y3645" t="str">
            <v>CANADA</v>
          </cell>
        </row>
        <row r="3646">
          <cell r="L3646" t="str">
            <v>Proportional</v>
          </cell>
          <cell r="S3646">
            <v>1306.03</v>
          </cell>
          <cell r="X3646" t="str">
            <v>Commissions - gross</v>
          </cell>
          <cell r="Y3646" t="str">
            <v>ITALY</v>
          </cell>
        </row>
        <row r="3647">
          <cell r="L3647" t="str">
            <v>Proportional</v>
          </cell>
          <cell r="S3647">
            <v>452083.32</v>
          </cell>
          <cell r="X3647" t="str">
            <v>Commissions - gross</v>
          </cell>
          <cell r="Y3647" t="str">
            <v>PORTUGAL</v>
          </cell>
        </row>
        <row r="3648">
          <cell r="L3648" t="str">
            <v>Proportional</v>
          </cell>
          <cell r="S3648">
            <v>4355.2299999999996</v>
          </cell>
          <cell r="X3648" t="str">
            <v>Commissions - gross</v>
          </cell>
          <cell r="Y3648" t="str">
            <v>UNITED STATES</v>
          </cell>
        </row>
        <row r="3649">
          <cell r="L3649" t="str">
            <v>Proportional</v>
          </cell>
          <cell r="S3649">
            <v>-124.6</v>
          </cell>
          <cell r="X3649" t="str">
            <v>Commissions - gross</v>
          </cell>
          <cell r="Y3649" t="str">
            <v>THAILAND</v>
          </cell>
        </row>
        <row r="3650">
          <cell r="L3650" t="str">
            <v>Proportional</v>
          </cell>
          <cell r="S3650">
            <v>135.85</v>
          </cell>
          <cell r="X3650" t="str">
            <v>Commissions - gross</v>
          </cell>
          <cell r="Y3650" t="str">
            <v>REPUBLIC OF IRELAND</v>
          </cell>
        </row>
        <row r="3651">
          <cell r="L3651" t="str">
            <v>Proportional</v>
          </cell>
          <cell r="S3651">
            <v>25.52</v>
          </cell>
          <cell r="X3651" t="str">
            <v>Commissions - gross</v>
          </cell>
          <cell r="Y3651" t="str">
            <v>THAILAND</v>
          </cell>
        </row>
        <row r="3652">
          <cell r="L3652" t="str">
            <v>Proportional</v>
          </cell>
          <cell r="S3652">
            <v>11466</v>
          </cell>
          <cell r="X3652" t="str">
            <v>Commissions - gross</v>
          </cell>
          <cell r="Y3652" t="str">
            <v>ITALY</v>
          </cell>
        </row>
        <row r="3653">
          <cell r="L3653" t="str">
            <v>Proportional</v>
          </cell>
          <cell r="S3653">
            <v>2464.86</v>
          </cell>
          <cell r="X3653" t="str">
            <v>Commissions - gross</v>
          </cell>
          <cell r="Y3653" t="str">
            <v>THAILAND</v>
          </cell>
        </row>
        <row r="3654">
          <cell r="L3654" t="str">
            <v>Proportional</v>
          </cell>
          <cell r="S3654">
            <v>3466.68</v>
          </cell>
          <cell r="X3654" t="str">
            <v>Commissions - gross</v>
          </cell>
          <cell r="Y3654" t="str">
            <v>BELGIUM</v>
          </cell>
        </row>
        <row r="3655">
          <cell r="L3655" t="str">
            <v>Proportional</v>
          </cell>
          <cell r="S3655">
            <v>3402.01</v>
          </cell>
          <cell r="X3655" t="str">
            <v>Commissions - gross</v>
          </cell>
          <cell r="Y3655" t="str">
            <v>THAILAND</v>
          </cell>
        </row>
        <row r="3656">
          <cell r="L3656" t="str">
            <v>Proportional</v>
          </cell>
          <cell r="S3656">
            <v>140.61000000000001</v>
          </cell>
          <cell r="X3656" t="str">
            <v>Commissions - gross</v>
          </cell>
          <cell r="Y3656" t="str">
            <v>THAILAND</v>
          </cell>
        </row>
        <row r="3657">
          <cell r="L3657" t="str">
            <v>Proportional</v>
          </cell>
          <cell r="S3657">
            <v>-455.67</v>
          </cell>
          <cell r="X3657" t="str">
            <v>Commissions - gross</v>
          </cell>
          <cell r="Y3657" t="str">
            <v>THAILAND</v>
          </cell>
        </row>
        <row r="3658">
          <cell r="L3658" t="str">
            <v>Proportional</v>
          </cell>
          <cell r="S3658">
            <v>-22399</v>
          </cell>
          <cell r="X3658" t="str">
            <v>Commissions - gross</v>
          </cell>
          <cell r="Y3658" t="str">
            <v>THAILAND</v>
          </cell>
        </row>
        <row r="3659">
          <cell r="L3659" t="str">
            <v>Proportional</v>
          </cell>
          <cell r="S3659">
            <v>-2073.3000000000002</v>
          </cell>
          <cell r="X3659" t="str">
            <v>Commissions - gross</v>
          </cell>
          <cell r="Y3659" t="str">
            <v>THAILAND</v>
          </cell>
        </row>
        <row r="3660">
          <cell r="L3660" t="str">
            <v>Proportional</v>
          </cell>
          <cell r="S3660">
            <v>-156389.28</v>
          </cell>
          <cell r="X3660" t="str">
            <v>Commissions - gross</v>
          </cell>
          <cell r="Y3660" t="str">
            <v>AUSTRALIA</v>
          </cell>
        </row>
        <row r="3661">
          <cell r="L3661" t="str">
            <v>Proportional</v>
          </cell>
          <cell r="S3661">
            <v>583</v>
          </cell>
          <cell r="X3661" t="str">
            <v>Commissions - gross</v>
          </cell>
          <cell r="Y3661" t="str">
            <v>THAILAND</v>
          </cell>
        </row>
        <row r="3662">
          <cell r="L3662" t="str">
            <v>Non-proportional</v>
          </cell>
          <cell r="S3662">
            <v>3532.69</v>
          </cell>
          <cell r="X3662" t="str">
            <v>Commissions - gross</v>
          </cell>
          <cell r="Y3662" t="str">
            <v>TURKEY</v>
          </cell>
        </row>
        <row r="3663">
          <cell r="L3663" t="str">
            <v>Proportional</v>
          </cell>
          <cell r="S3663">
            <v>8768.31</v>
          </cell>
          <cell r="X3663" t="str">
            <v>Commissions - gross</v>
          </cell>
          <cell r="Y3663" t="str">
            <v>INDIA</v>
          </cell>
        </row>
        <row r="3664">
          <cell r="L3664" t="str">
            <v>Proportional</v>
          </cell>
          <cell r="S3664">
            <v>1118.3699999999999</v>
          </cell>
          <cell r="X3664" t="str">
            <v>Commissions - gross</v>
          </cell>
          <cell r="Y3664" t="str">
            <v>HONG KONG</v>
          </cell>
        </row>
        <row r="3665">
          <cell r="L3665" t="str">
            <v>Proportional</v>
          </cell>
          <cell r="S3665">
            <v>5843.78</v>
          </cell>
          <cell r="X3665" t="str">
            <v>Commissions - gross</v>
          </cell>
          <cell r="Y3665" t="str">
            <v>ITALY</v>
          </cell>
        </row>
        <row r="3666">
          <cell r="L3666" t="str">
            <v>Proportional</v>
          </cell>
          <cell r="S3666">
            <v>1624.55</v>
          </cell>
          <cell r="X3666" t="str">
            <v>Commissions - gross</v>
          </cell>
          <cell r="Y3666" t="str">
            <v>INDIA</v>
          </cell>
        </row>
        <row r="3667">
          <cell r="L3667" t="str">
            <v>Proportional</v>
          </cell>
          <cell r="S3667">
            <v>376.46</v>
          </cell>
          <cell r="X3667" t="str">
            <v>Commissions - gross</v>
          </cell>
          <cell r="Y3667" t="str">
            <v>THAILAND</v>
          </cell>
        </row>
        <row r="3668">
          <cell r="L3668" t="str">
            <v>Proportional</v>
          </cell>
          <cell r="S3668">
            <v>-4124.28</v>
          </cell>
          <cell r="X3668" t="str">
            <v>Commissions - gross</v>
          </cell>
          <cell r="Y3668" t="str">
            <v>AUSTRALIA</v>
          </cell>
        </row>
        <row r="3669">
          <cell r="L3669" t="str">
            <v>Proportional</v>
          </cell>
          <cell r="S3669">
            <v>408333.34</v>
          </cell>
          <cell r="X3669" t="str">
            <v>Commissions - gross</v>
          </cell>
          <cell r="Y3669" t="str">
            <v>PORTUGAL</v>
          </cell>
        </row>
        <row r="3670">
          <cell r="L3670" t="str">
            <v>Proportional</v>
          </cell>
          <cell r="S3670">
            <v>4952.16</v>
          </cell>
          <cell r="X3670" t="str">
            <v>Commissions - gross</v>
          </cell>
          <cell r="Y3670" t="str">
            <v>FRANCE</v>
          </cell>
        </row>
        <row r="3671">
          <cell r="L3671" t="str">
            <v>Proportional</v>
          </cell>
          <cell r="S3671">
            <v>182</v>
          </cell>
          <cell r="X3671" t="str">
            <v>Commissions - gross</v>
          </cell>
          <cell r="Y3671" t="str">
            <v>SAUDI ARABIA</v>
          </cell>
        </row>
        <row r="3672">
          <cell r="L3672" t="str">
            <v>Proportional</v>
          </cell>
          <cell r="S3672">
            <v>37665.550000000003</v>
          </cell>
          <cell r="X3672" t="str">
            <v>Commissions - gross</v>
          </cell>
          <cell r="Y3672" t="str">
            <v>THAILAND</v>
          </cell>
        </row>
        <row r="3673">
          <cell r="L3673" t="str">
            <v>Proportional</v>
          </cell>
          <cell r="S3673">
            <v>17855.39</v>
          </cell>
          <cell r="X3673" t="str">
            <v>Commissions - gross</v>
          </cell>
          <cell r="Y3673" t="str">
            <v>THAILAND</v>
          </cell>
        </row>
        <row r="3674">
          <cell r="L3674" t="str">
            <v>Proportional</v>
          </cell>
          <cell r="S3674">
            <v>16823.86</v>
          </cell>
          <cell r="X3674" t="str">
            <v>Commissions - gross</v>
          </cell>
          <cell r="Y3674" t="str">
            <v>THAILAND</v>
          </cell>
        </row>
        <row r="3675">
          <cell r="L3675" t="str">
            <v>Proportional</v>
          </cell>
          <cell r="S3675">
            <v>1570.94</v>
          </cell>
          <cell r="X3675" t="str">
            <v>Commissions - gross</v>
          </cell>
          <cell r="Y3675" t="str">
            <v>CHILE</v>
          </cell>
        </row>
        <row r="3676">
          <cell r="L3676" t="str">
            <v>Proportional</v>
          </cell>
          <cell r="S3676">
            <v>328.8</v>
          </cell>
          <cell r="X3676" t="str">
            <v>Commissions - gross</v>
          </cell>
          <cell r="Y3676" t="str">
            <v>CHILE</v>
          </cell>
        </row>
        <row r="3677">
          <cell r="L3677" t="str">
            <v>Proportional</v>
          </cell>
          <cell r="S3677">
            <v>-1139.17</v>
          </cell>
          <cell r="X3677" t="str">
            <v>Commissions - gross</v>
          </cell>
          <cell r="Y3677" t="str">
            <v>THAILAND</v>
          </cell>
        </row>
        <row r="3678">
          <cell r="L3678" t="str">
            <v>Proportional</v>
          </cell>
          <cell r="S3678">
            <v>7142.15</v>
          </cell>
          <cell r="X3678" t="str">
            <v>Commissions - gross</v>
          </cell>
          <cell r="Y3678" t="str">
            <v>THAILAND</v>
          </cell>
        </row>
        <row r="3679">
          <cell r="L3679" t="str">
            <v>Proportional</v>
          </cell>
          <cell r="S3679">
            <v>25192.83</v>
          </cell>
          <cell r="X3679" t="str">
            <v>Commissions - gross</v>
          </cell>
          <cell r="Y3679" t="str">
            <v>THAILAND</v>
          </cell>
        </row>
        <row r="3680">
          <cell r="L3680" t="str">
            <v>Proportional</v>
          </cell>
          <cell r="S3680">
            <v>6515.08</v>
          </cell>
          <cell r="X3680" t="str">
            <v>Commissions - gross</v>
          </cell>
          <cell r="Y3680" t="str">
            <v>UNITED ARAB EMIRATES</v>
          </cell>
        </row>
        <row r="3681">
          <cell r="L3681" t="str">
            <v>Proportional</v>
          </cell>
          <cell r="S3681">
            <v>189296.96</v>
          </cell>
          <cell r="X3681" t="str">
            <v>Commissions - gross</v>
          </cell>
          <cell r="Y3681" t="str">
            <v>HONG KONG</v>
          </cell>
        </row>
        <row r="3682">
          <cell r="L3682" t="str">
            <v>Proportional</v>
          </cell>
          <cell r="S3682">
            <v>-598.07000000000005</v>
          </cell>
          <cell r="X3682" t="str">
            <v>Commissions - gross</v>
          </cell>
          <cell r="Y3682" t="str">
            <v>THAILAND</v>
          </cell>
        </row>
        <row r="3683">
          <cell r="L3683" t="str">
            <v>Proportional</v>
          </cell>
          <cell r="S3683">
            <v>351081.51</v>
          </cell>
          <cell r="X3683" t="str">
            <v>Commissions - gross</v>
          </cell>
          <cell r="Y3683" t="str">
            <v>THAILAND</v>
          </cell>
        </row>
        <row r="3684">
          <cell r="L3684" t="str">
            <v>Proportional</v>
          </cell>
          <cell r="S3684">
            <v>3649.17</v>
          </cell>
          <cell r="X3684" t="str">
            <v>Commissions - gross</v>
          </cell>
          <cell r="Y3684" t="str">
            <v>JAPAN</v>
          </cell>
        </row>
        <row r="3685">
          <cell r="L3685" t="str">
            <v>Proportional</v>
          </cell>
          <cell r="S3685">
            <v>593680.48</v>
          </cell>
          <cell r="X3685" t="str">
            <v>Commissions - gross</v>
          </cell>
          <cell r="Y3685" t="str">
            <v>HONG KONG</v>
          </cell>
        </row>
        <row r="3686">
          <cell r="L3686" t="str">
            <v>Proportional</v>
          </cell>
          <cell r="S3686">
            <v>585</v>
          </cell>
          <cell r="X3686" t="str">
            <v>Commissions - gross</v>
          </cell>
          <cell r="Y3686" t="str">
            <v>ITALY</v>
          </cell>
        </row>
        <row r="3687">
          <cell r="L3687" t="str">
            <v>Proportional</v>
          </cell>
          <cell r="S3687">
            <v>222.85</v>
          </cell>
          <cell r="X3687" t="str">
            <v>Commissions - gross</v>
          </cell>
          <cell r="Y3687" t="str">
            <v>CANADA</v>
          </cell>
        </row>
        <row r="3688">
          <cell r="L3688" t="str">
            <v>Proportional</v>
          </cell>
          <cell r="S3688">
            <v>16728.2</v>
          </cell>
          <cell r="X3688" t="str">
            <v>Commissions - gross</v>
          </cell>
          <cell r="Y3688" t="str">
            <v>PORTUGAL</v>
          </cell>
        </row>
        <row r="3689">
          <cell r="L3689" t="str">
            <v>Proportional</v>
          </cell>
          <cell r="S3689">
            <v>1671.01</v>
          </cell>
          <cell r="X3689" t="str">
            <v>Commissions - gross</v>
          </cell>
          <cell r="Y3689" t="str">
            <v>THAILAND</v>
          </cell>
        </row>
        <row r="3690">
          <cell r="L3690" t="str">
            <v>Proportional</v>
          </cell>
          <cell r="S3690">
            <v>6919.35</v>
          </cell>
          <cell r="X3690" t="str">
            <v>Commissions - gross</v>
          </cell>
          <cell r="Y3690" t="str">
            <v>UNITED KINGDOM</v>
          </cell>
        </row>
        <row r="3691">
          <cell r="L3691" t="str">
            <v>Proportional</v>
          </cell>
          <cell r="S3691">
            <v>122611.94</v>
          </cell>
          <cell r="X3691" t="str">
            <v>Commissions - gross</v>
          </cell>
          <cell r="Y3691" t="str">
            <v>HONG KONG</v>
          </cell>
        </row>
        <row r="3692">
          <cell r="L3692" t="str">
            <v>Proportional</v>
          </cell>
          <cell r="S3692">
            <v>1972.81</v>
          </cell>
          <cell r="X3692" t="str">
            <v>Commissions - gross</v>
          </cell>
          <cell r="Y3692" t="str">
            <v>CHILE</v>
          </cell>
        </row>
        <row r="3693">
          <cell r="L3693" t="str">
            <v>Proportional</v>
          </cell>
          <cell r="S3693">
            <v>76.98</v>
          </cell>
          <cell r="X3693" t="str">
            <v>Commissions - gross</v>
          </cell>
          <cell r="Y3693" t="str">
            <v>THAILAND</v>
          </cell>
        </row>
        <row r="3694">
          <cell r="L3694" t="str">
            <v>Proportional</v>
          </cell>
          <cell r="S3694">
            <v>5391.36</v>
          </cell>
          <cell r="X3694" t="str">
            <v>Commissions - gross</v>
          </cell>
          <cell r="Y3694" t="str">
            <v>FRANCE</v>
          </cell>
        </row>
        <row r="3695">
          <cell r="L3695" t="str">
            <v>Proportional</v>
          </cell>
          <cell r="S3695">
            <v>-1607.3</v>
          </cell>
          <cell r="X3695" t="str">
            <v>Commissions - gross</v>
          </cell>
          <cell r="Y3695" t="str">
            <v>THAILAND</v>
          </cell>
        </row>
        <row r="3696">
          <cell r="L3696" t="str">
            <v>Proportional</v>
          </cell>
          <cell r="S3696">
            <v>-369.59</v>
          </cell>
          <cell r="X3696" t="str">
            <v>Commissions - gross</v>
          </cell>
          <cell r="Y3696" t="str">
            <v>THAILAND</v>
          </cell>
        </row>
        <row r="3697">
          <cell r="L3697" t="str">
            <v>Proportional</v>
          </cell>
          <cell r="S3697">
            <v>-112021.96</v>
          </cell>
          <cell r="X3697" t="str">
            <v>Commissions - gross</v>
          </cell>
          <cell r="Y3697" t="str">
            <v>UNITED STATES</v>
          </cell>
        </row>
        <row r="3698">
          <cell r="L3698" t="str">
            <v>Proportional</v>
          </cell>
          <cell r="S3698">
            <v>-827.65</v>
          </cell>
          <cell r="X3698" t="str">
            <v>Commissions - gross</v>
          </cell>
          <cell r="Y3698" t="str">
            <v>INDIA</v>
          </cell>
        </row>
        <row r="3699">
          <cell r="L3699" t="str">
            <v>Proportional</v>
          </cell>
          <cell r="S3699">
            <v>-8.9700000000000006</v>
          </cell>
          <cell r="X3699" t="str">
            <v>Commissions - gross</v>
          </cell>
          <cell r="Y3699" t="str">
            <v>THAILAND</v>
          </cell>
        </row>
        <row r="3700">
          <cell r="L3700" t="str">
            <v>Proportional</v>
          </cell>
          <cell r="S3700">
            <v>15562.5</v>
          </cell>
          <cell r="X3700" t="str">
            <v>Commissions - gross</v>
          </cell>
          <cell r="Y3700" t="str">
            <v>PORTUGAL</v>
          </cell>
        </row>
        <row r="3701">
          <cell r="L3701" t="str">
            <v>Proportional</v>
          </cell>
          <cell r="S3701">
            <v>1300.56</v>
          </cell>
          <cell r="X3701" t="str">
            <v>Commissions - gross</v>
          </cell>
          <cell r="Y3701" t="str">
            <v>HONG KONG</v>
          </cell>
        </row>
        <row r="3702">
          <cell r="L3702" t="str">
            <v>Proportional</v>
          </cell>
          <cell r="S3702">
            <v>-67.28</v>
          </cell>
          <cell r="X3702" t="str">
            <v>Commissions - gross</v>
          </cell>
          <cell r="Y3702" t="str">
            <v>THAILAND</v>
          </cell>
        </row>
        <row r="3703">
          <cell r="L3703" t="str">
            <v>Proportional</v>
          </cell>
          <cell r="S3703">
            <v>9374.08</v>
          </cell>
          <cell r="X3703" t="str">
            <v>Commissions - gross</v>
          </cell>
          <cell r="Y3703" t="str">
            <v>THAILAND</v>
          </cell>
        </row>
        <row r="3704">
          <cell r="L3704" t="str">
            <v>Proportional</v>
          </cell>
          <cell r="S3704">
            <v>255.74</v>
          </cell>
          <cell r="X3704" t="str">
            <v>Commissions - gross</v>
          </cell>
          <cell r="Y3704" t="str">
            <v>CHILE</v>
          </cell>
        </row>
        <row r="3705">
          <cell r="L3705" t="str">
            <v>Proportional</v>
          </cell>
          <cell r="S3705">
            <v>603.36</v>
          </cell>
          <cell r="X3705" t="str">
            <v>Commissions - gross</v>
          </cell>
          <cell r="Y3705" t="str">
            <v>ITALY</v>
          </cell>
        </row>
        <row r="3706">
          <cell r="L3706" t="str">
            <v>Proportional</v>
          </cell>
          <cell r="S3706">
            <v>95.73</v>
          </cell>
          <cell r="X3706" t="str">
            <v>Commissions - gross</v>
          </cell>
          <cell r="Y3706" t="str">
            <v>THAILAND</v>
          </cell>
        </row>
        <row r="3707">
          <cell r="L3707" t="str">
            <v>Proportional</v>
          </cell>
          <cell r="S3707">
            <v>6317.25</v>
          </cell>
          <cell r="X3707" t="str">
            <v>Commissions - gross</v>
          </cell>
          <cell r="Y3707" t="str">
            <v>THAILAND</v>
          </cell>
        </row>
        <row r="3708">
          <cell r="L3708" t="str">
            <v>Proportional</v>
          </cell>
          <cell r="S3708">
            <v>9026.81</v>
          </cell>
          <cell r="X3708" t="str">
            <v>Commissions - gross</v>
          </cell>
          <cell r="Y3708" t="str">
            <v>THAILAND</v>
          </cell>
        </row>
        <row r="3709">
          <cell r="L3709" t="str">
            <v>Proportional</v>
          </cell>
          <cell r="S3709">
            <v>44980.83</v>
          </cell>
          <cell r="X3709" t="str">
            <v>Commissions - gross</v>
          </cell>
          <cell r="Y3709" t="str">
            <v>AUSTRALIA</v>
          </cell>
        </row>
        <row r="3710">
          <cell r="L3710" t="str">
            <v>Proportional</v>
          </cell>
          <cell r="S3710">
            <v>-41.73</v>
          </cell>
          <cell r="X3710" t="str">
            <v>Commissions - gross</v>
          </cell>
          <cell r="Y3710" t="str">
            <v>INDIA</v>
          </cell>
        </row>
        <row r="3711">
          <cell r="L3711" t="str">
            <v>Proportional</v>
          </cell>
          <cell r="S3711">
            <v>608.61</v>
          </cell>
          <cell r="X3711" t="str">
            <v>Commissions - gross</v>
          </cell>
          <cell r="Y3711" t="str">
            <v>THAILAND</v>
          </cell>
        </row>
        <row r="3712">
          <cell r="L3712" t="str">
            <v>Proportional</v>
          </cell>
          <cell r="S3712">
            <v>1203.01</v>
          </cell>
          <cell r="X3712" t="str">
            <v>Commissions - gross</v>
          </cell>
          <cell r="Y3712" t="str">
            <v>THAILAND</v>
          </cell>
        </row>
        <row r="3713">
          <cell r="L3713" t="str">
            <v>Proportional</v>
          </cell>
          <cell r="S3713">
            <v>9546</v>
          </cell>
          <cell r="X3713" t="str">
            <v>Commissions - gross</v>
          </cell>
          <cell r="Y3713" t="str">
            <v>PORTUGAL</v>
          </cell>
        </row>
        <row r="3714">
          <cell r="L3714" t="str">
            <v>Proportional</v>
          </cell>
          <cell r="S3714">
            <v>18289.47</v>
          </cell>
          <cell r="X3714" t="str">
            <v>Commissions - gross</v>
          </cell>
          <cell r="Y3714" t="str">
            <v>INDIA</v>
          </cell>
        </row>
        <row r="3715">
          <cell r="L3715" t="str">
            <v>Proportional</v>
          </cell>
          <cell r="S3715">
            <v>-76.75</v>
          </cell>
          <cell r="X3715" t="str">
            <v>Commissions - gross</v>
          </cell>
          <cell r="Y3715" t="str">
            <v>THAILAND</v>
          </cell>
        </row>
        <row r="3716">
          <cell r="L3716" t="str">
            <v>Proportional</v>
          </cell>
          <cell r="S3716">
            <v>-195.09</v>
          </cell>
          <cell r="X3716" t="str">
            <v>Commissions - gross</v>
          </cell>
          <cell r="Y3716" t="str">
            <v>INDIA</v>
          </cell>
        </row>
        <row r="3717">
          <cell r="L3717" t="str">
            <v>Proportional</v>
          </cell>
          <cell r="S3717">
            <v>24093.33</v>
          </cell>
          <cell r="X3717" t="str">
            <v>Commissions - gross</v>
          </cell>
          <cell r="Y3717" t="str">
            <v>FRANCE</v>
          </cell>
        </row>
        <row r="3718">
          <cell r="L3718" t="str">
            <v>Proportional</v>
          </cell>
          <cell r="S3718">
            <v>3436.74</v>
          </cell>
          <cell r="X3718" t="str">
            <v>Commissions - gross</v>
          </cell>
          <cell r="Y3718" t="str">
            <v>EUROPE</v>
          </cell>
        </row>
        <row r="3719">
          <cell r="L3719" t="str">
            <v>Proportional</v>
          </cell>
          <cell r="S3719">
            <v>28.32</v>
          </cell>
          <cell r="X3719" t="str">
            <v>Commissions - gross</v>
          </cell>
          <cell r="Y3719" t="str">
            <v>UNITED STATES</v>
          </cell>
        </row>
        <row r="3720">
          <cell r="L3720" t="str">
            <v>Proportional</v>
          </cell>
          <cell r="S3720">
            <v>1952.93</v>
          </cell>
          <cell r="X3720" t="str">
            <v>Commissions - gross</v>
          </cell>
          <cell r="Y3720" t="str">
            <v>THAILAND</v>
          </cell>
        </row>
        <row r="3721">
          <cell r="L3721" t="str">
            <v>Proportional</v>
          </cell>
          <cell r="S3721">
            <v>13687.17</v>
          </cell>
          <cell r="X3721" t="str">
            <v>Commissions - gross</v>
          </cell>
          <cell r="Y3721" t="str">
            <v>UNITED STATES</v>
          </cell>
        </row>
        <row r="3722">
          <cell r="L3722" t="str">
            <v>Proportional</v>
          </cell>
          <cell r="S3722">
            <v>-222.84</v>
          </cell>
          <cell r="X3722" t="str">
            <v>Commissions - gross</v>
          </cell>
          <cell r="Y3722" t="str">
            <v>CANADA</v>
          </cell>
        </row>
        <row r="3723">
          <cell r="L3723" t="str">
            <v>Proportional</v>
          </cell>
          <cell r="S3723">
            <v>511.47</v>
          </cell>
          <cell r="X3723" t="str">
            <v>Commissions - gross</v>
          </cell>
          <cell r="Y3723" t="str">
            <v>CHILE</v>
          </cell>
        </row>
        <row r="3724">
          <cell r="L3724" t="str">
            <v>Proportional</v>
          </cell>
          <cell r="S3724">
            <v>45.59</v>
          </cell>
          <cell r="X3724" t="str">
            <v>Commissions - gross</v>
          </cell>
          <cell r="Y3724" t="str">
            <v>THAILAND</v>
          </cell>
        </row>
        <row r="3725">
          <cell r="L3725" t="str">
            <v>Proportional</v>
          </cell>
          <cell r="S3725">
            <v>15562.5</v>
          </cell>
          <cell r="X3725" t="str">
            <v>Commissions - gross</v>
          </cell>
          <cell r="Y3725" t="str">
            <v>PORTUGAL</v>
          </cell>
        </row>
        <row r="3726">
          <cell r="L3726" t="str">
            <v>Proportional</v>
          </cell>
          <cell r="S3726">
            <v>3466.68</v>
          </cell>
          <cell r="X3726" t="str">
            <v>Commissions - gross</v>
          </cell>
          <cell r="Y3726" t="str">
            <v>BELGIUM</v>
          </cell>
        </row>
        <row r="3727">
          <cell r="L3727" t="str">
            <v>Proportional</v>
          </cell>
          <cell r="S3727">
            <v>4302083.33</v>
          </cell>
          <cell r="X3727" t="str">
            <v>Commissions - gross</v>
          </cell>
          <cell r="Y3727" t="str">
            <v>PORTUGAL</v>
          </cell>
        </row>
        <row r="3728">
          <cell r="L3728" t="str">
            <v>Proportional</v>
          </cell>
          <cell r="S3728">
            <v>2341.17</v>
          </cell>
          <cell r="X3728" t="str">
            <v>Commissions - gross</v>
          </cell>
          <cell r="Y3728" t="str">
            <v>THAILAND</v>
          </cell>
        </row>
        <row r="3729">
          <cell r="L3729" t="str">
            <v>Proportional</v>
          </cell>
          <cell r="S3729">
            <v>225.98</v>
          </cell>
          <cell r="X3729" t="str">
            <v>Commissions - gross</v>
          </cell>
          <cell r="Y3729" t="str">
            <v>REPUBLIC OF IRELAND</v>
          </cell>
        </row>
        <row r="3730">
          <cell r="L3730" t="str">
            <v>Proportional</v>
          </cell>
          <cell r="S3730">
            <v>-1926.83</v>
          </cell>
          <cell r="X3730" t="str">
            <v>Commissions - gross</v>
          </cell>
          <cell r="Y3730" t="str">
            <v>THAILAND</v>
          </cell>
        </row>
        <row r="3731">
          <cell r="L3731" t="str">
            <v>Proportional</v>
          </cell>
          <cell r="S3731">
            <v>1860.39</v>
          </cell>
          <cell r="X3731" t="str">
            <v>Commissions - gross</v>
          </cell>
          <cell r="Y3731" t="str">
            <v>CHILE</v>
          </cell>
        </row>
        <row r="3732">
          <cell r="L3732" t="str">
            <v>Proportional</v>
          </cell>
          <cell r="S3732">
            <v>12080.48</v>
          </cell>
          <cell r="X3732" t="str">
            <v>Commissions - gross</v>
          </cell>
          <cell r="Y3732" t="str">
            <v>HONG KONG</v>
          </cell>
        </row>
        <row r="3733">
          <cell r="L3733" t="str">
            <v>Proportional</v>
          </cell>
          <cell r="S3733">
            <v>27940.98</v>
          </cell>
          <cell r="X3733" t="str">
            <v>Commissions - gross</v>
          </cell>
          <cell r="Y3733" t="str">
            <v>THAILAND</v>
          </cell>
        </row>
        <row r="3734">
          <cell r="L3734" t="str">
            <v>Proportional</v>
          </cell>
          <cell r="S3734">
            <v>-1365.64</v>
          </cell>
          <cell r="X3734" t="str">
            <v>Commissions - gross</v>
          </cell>
          <cell r="Y3734" t="str">
            <v>THAILAND</v>
          </cell>
        </row>
        <row r="3735">
          <cell r="L3735" t="str">
            <v>Proportional</v>
          </cell>
          <cell r="S3735">
            <v>47.55</v>
          </cell>
          <cell r="X3735" t="str">
            <v>Commissions - gross</v>
          </cell>
          <cell r="Y3735" t="str">
            <v>THAILAND</v>
          </cell>
        </row>
        <row r="3736">
          <cell r="L3736" t="str">
            <v>Proportional</v>
          </cell>
          <cell r="S3736">
            <v>-26851.86</v>
          </cell>
          <cell r="X3736" t="str">
            <v>Commissions - gross</v>
          </cell>
          <cell r="Y3736" t="str">
            <v>THAILAND</v>
          </cell>
        </row>
        <row r="3737">
          <cell r="L3737" t="str">
            <v>Proportional</v>
          </cell>
          <cell r="S3737">
            <v>12604.13</v>
          </cell>
          <cell r="X3737" t="str">
            <v>Commissions - gross</v>
          </cell>
          <cell r="Y3737" t="str">
            <v>JAPAN</v>
          </cell>
        </row>
        <row r="3738">
          <cell r="L3738" t="str">
            <v>Proportional</v>
          </cell>
          <cell r="S3738">
            <v>1541.48</v>
          </cell>
          <cell r="X3738" t="str">
            <v>Commissions - gross</v>
          </cell>
          <cell r="Y3738" t="str">
            <v>HONG KONG</v>
          </cell>
        </row>
        <row r="3739">
          <cell r="L3739" t="str">
            <v>Proportional</v>
          </cell>
          <cell r="S3739">
            <v>716.25</v>
          </cell>
          <cell r="X3739" t="str">
            <v>Commissions - gross</v>
          </cell>
          <cell r="Y3739" t="str">
            <v>ITALY</v>
          </cell>
        </row>
        <row r="3740">
          <cell r="L3740" t="str">
            <v>Proportional</v>
          </cell>
          <cell r="S3740">
            <v>10144.9</v>
          </cell>
          <cell r="X3740" t="str">
            <v>Commissions - gross</v>
          </cell>
          <cell r="Y3740" t="str">
            <v>ITALY</v>
          </cell>
        </row>
        <row r="3741">
          <cell r="L3741" t="str">
            <v>Proportional</v>
          </cell>
          <cell r="S3741">
            <v>-2485.46</v>
          </cell>
          <cell r="X3741" t="str">
            <v>Commissions - gross</v>
          </cell>
          <cell r="Y3741" t="str">
            <v>THAILAND</v>
          </cell>
        </row>
        <row r="3742">
          <cell r="L3742" t="str">
            <v>Proportional</v>
          </cell>
          <cell r="S3742">
            <v>515.84</v>
          </cell>
          <cell r="X3742" t="str">
            <v>Commissions - gross</v>
          </cell>
          <cell r="Y3742" t="str">
            <v>THAILAND</v>
          </cell>
        </row>
        <row r="3743">
          <cell r="L3743" t="str">
            <v>Proportional</v>
          </cell>
          <cell r="S3743">
            <v>4101.08</v>
          </cell>
          <cell r="X3743" t="str">
            <v>Commissions - gross</v>
          </cell>
          <cell r="Y3743" t="str">
            <v>FRANCE</v>
          </cell>
        </row>
        <row r="3744">
          <cell r="L3744" t="str">
            <v>Proportional</v>
          </cell>
          <cell r="S3744">
            <v>-723.88</v>
          </cell>
          <cell r="X3744" t="str">
            <v>Commissions - gross</v>
          </cell>
          <cell r="Y3744" t="str">
            <v>INDIA</v>
          </cell>
        </row>
        <row r="3745">
          <cell r="L3745" t="str">
            <v>Proportional</v>
          </cell>
          <cell r="S3745">
            <v>51459.16</v>
          </cell>
          <cell r="X3745" t="str">
            <v>Commissions - gross</v>
          </cell>
          <cell r="Y3745" t="str">
            <v>JAPAN</v>
          </cell>
        </row>
        <row r="3746">
          <cell r="L3746" t="str">
            <v>Proportional</v>
          </cell>
          <cell r="S3746">
            <v>738.73</v>
          </cell>
          <cell r="X3746" t="str">
            <v>Commissions - gross</v>
          </cell>
          <cell r="Y3746" t="str">
            <v>ITALY</v>
          </cell>
        </row>
        <row r="3747">
          <cell r="L3747" t="str">
            <v>Proportional</v>
          </cell>
          <cell r="S3747">
            <v>-5253.73</v>
          </cell>
          <cell r="X3747" t="str">
            <v>Commissions - gross</v>
          </cell>
          <cell r="Y3747" t="str">
            <v>ITALY</v>
          </cell>
        </row>
        <row r="3748">
          <cell r="L3748" t="str">
            <v>Proportional</v>
          </cell>
          <cell r="S3748">
            <v>-260.2</v>
          </cell>
          <cell r="X3748" t="str">
            <v>Commissions - gross</v>
          </cell>
          <cell r="Y3748" t="str">
            <v>THAILAND</v>
          </cell>
        </row>
        <row r="3749">
          <cell r="L3749" t="str">
            <v>Proportional</v>
          </cell>
          <cell r="S3749">
            <v>302.75</v>
          </cell>
          <cell r="X3749" t="str">
            <v>Commissions - gross</v>
          </cell>
          <cell r="Y3749" t="str">
            <v>SAUDI ARABIA</v>
          </cell>
        </row>
        <row r="3750">
          <cell r="L3750" t="str">
            <v>Proportional</v>
          </cell>
          <cell r="S3750">
            <v>-51480.66</v>
          </cell>
          <cell r="X3750" t="str">
            <v>Commissions - gross</v>
          </cell>
          <cell r="Y3750" t="str">
            <v>JAPAN</v>
          </cell>
        </row>
        <row r="3751">
          <cell r="L3751" t="str">
            <v>Proportional</v>
          </cell>
          <cell r="S3751">
            <v>38957.07</v>
          </cell>
          <cell r="X3751" t="str">
            <v>Commissions - gross</v>
          </cell>
          <cell r="Y3751" t="str">
            <v>THAILAND</v>
          </cell>
        </row>
        <row r="3752">
          <cell r="L3752" t="str">
            <v>Proportional</v>
          </cell>
          <cell r="S3752">
            <v>33883.019999999997</v>
          </cell>
          <cell r="X3752" t="str">
            <v>Commissions - gross</v>
          </cell>
          <cell r="Y3752" t="str">
            <v>PORTUGAL</v>
          </cell>
        </row>
        <row r="3753">
          <cell r="L3753" t="str">
            <v>Proportional</v>
          </cell>
          <cell r="S3753">
            <v>225.98</v>
          </cell>
          <cell r="X3753" t="str">
            <v>Commissions - gross</v>
          </cell>
          <cell r="Y3753" t="str">
            <v>REPUBLIC OF IRELAND</v>
          </cell>
        </row>
        <row r="3754">
          <cell r="L3754" t="str">
            <v>Proportional</v>
          </cell>
          <cell r="S3754">
            <v>72.39</v>
          </cell>
          <cell r="X3754" t="str">
            <v>Commissions - gross</v>
          </cell>
          <cell r="Y3754" t="str">
            <v>THAILAND</v>
          </cell>
        </row>
        <row r="3755">
          <cell r="L3755" t="str">
            <v>Proportional</v>
          </cell>
          <cell r="S3755">
            <v>341.42</v>
          </cell>
          <cell r="X3755" t="str">
            <v>Commissions - gross</v>
          </cell>
          <cell r="Y3755" t="str">
            <v>INDIA</v>
          </cell>
        </row>
        <row r="3756">
          <cell r="L3756" t="str">
            <v>Proportional</v>
          </cell>
          <cell r="S3756">
            <v>-4062.47</v>
          </cell>
          <cell r="X3756" t="str">
            <v>Commissions - gross</v>
          </cell>
          <cell r="Y3756" t="str">
            <v>AUSTRALIA</v>
          </cell>
        </row>
        <row r="3757">
          <cell r="L3757" t="str">
            <v>Proportional</v>
          </cell>
          <cell r="S3757">
            <v>11827.53</v>
          </cell>
          <cell r="X3757" t="str">
            <v>Commissions - gross</v>
          </cell>
          <cell r="Y3757" t="str">
            <v>THAILAND</v>
          </cell>
        </row>
        <row r="3758">
          <cell r="L3758" t="str">
            <v>Proportional</v>
          </cell>
          <cell r="S3758">
            <v>5876.29</v>
          </cell>
          <cell r="X3758" t="str">
            <v>Commissions - gross</v>
          </cell>
          <cell r="Y3758" t="str">
            <v>JAPAN</v>
          </cell>
        </row>
        <row r="3759">
          <cell r="L3759" t="str">
            <v>Proportional</v>
          </cell>
          <cell r="S3759">
            <v>4078.32</v>
          </cell>
          <cell r="X3759" t="str">
            <v>Commissions - gross</v>
          </cell>
          <cell r="Y3759" t="str">
            <v>THAILAND</v>
          </cell>
        </row>
        <row r="3760">
          <cell r="L3760" t="str">
            <v>Proportional</v>
          </cell>
          <cell r="S3760">
            <v>-80.66</v>
          </cell>
          <cell r="X3760" t="str">
            <v>Commissions - gross</v>
          </cell>
          <cell r="Y3760" t="str">
            <v>THAILAND</v>
          </cell>
        </row>
        <row r="3761">
          <cell r="L3761" t="str">
            <v>Proportional</v>
          </cell>
          <cell r="S3761">
            <v>81.14</v>
          </cell>
          <cell r="X3761" t="str">
            <v>Commissions - gross</v>
          </cell>
          <cell r="Y3761" t="str">
            <v>THAILAND</v>
          </cell>
        </row>
        <row r="3762">
          <cell r="L3762" t="str">
            <v>Proportional</v>
          </cell>
          <cell r="S3762">
            <v>46.66</v>
          </cell>
          <cell r="X3762" t="str">
            <v>Commissions - gross</v>
          </cell>
          <cell r="Y3762" t="str">
            <v>THAILAND</v>
          </cell>
        </row>
        <row r="3763">
          <cell r="L3763" t="str">
            <v>Non-proportional</v>
          </cell>
          <cell r="S3763">
            <v>3532.69</v>
          </cell>
          <cell r="X3763" t="str">
            <v>Commissions - gross</v>
          </cell>
          <cell r="Y3763" t="str">
            <v>TURKEY</v>
          </cell>
        </row>
        <row r="3764">
          <cell r="L3764" t="str">
            <v>Proportional</v>
          </cell>
          <cell r="S3764">
            <v>9329.7999999999993</v>
          </cell>
          <cell r="X3764" t="str">
            <v>Commissions - gross</v>
          </cell>
          <cell r="Y3764" t="str">
            <v>INDIA</v>
          </cell>
        </row>
        <row r="3765">
          <cell r="L3765" t="str">
            <v>Proportional</v>
          </cell>
          <cell r="S3765">
            <v>-92.01</v>
          </cell>
          <cell r="X3765" t="str">
            <v>Commissions - gross</v>
          </cell>
          <cell r="Y3765" t="str">
            <v>THAILAND</v>
          </cell>
        </row>
        <row r="3766">
          <cell r="L3766" t="str">
            <v>Proportional</v>
          </cell>
          <cell r="S3766">
            <v>11237.62</v>
          </cell>
          <cell r="X3766" t="str">
            <v>Commissions - gross</v>
          </cell>
          <cell r="Y3766" t="str">
            <v>THAILAND</v>
          </cell>
        </row>
        <row r="3767">
          <cell r="L3767" t="str">
            <v>Proportional</v>
          </cell>
          <cell r="S3767">
            <v>7154.89</v>
          </cell>
          <cell r="X3767" t="str">
            <v>Commissions - gross</v>
          </cell>
          <cell r="Y3767" t="str">
            <v>ITALY</v>
          </cell>
        </row>
        <row r="3768">
          <cell r="L3768" t="str">
            <v>Proportional</v>
          </cell>
          <cell r="S3768">
            <v>69.650000000000006</v>
          </cell>
          <cell r="X3768" t="str">
            <v>Commissions - gross</v>
          </cell>
          <cell r="Y3768" t="str">
            <v>THAILAND</v>
          </cell>
        </row>
        <row r="3769">
          <cell r="L3769" t="str">
            <v>Proportional</v>
          </cell>
          <cell r="S3769">
            <v>168.56</v>
          </cell>
          <cell r="X3769" t="str">
            <v>Commissions - gross</v>
          </cell>
          <cell r="Y3769" t="str">
            <v>THAILAND</v>
          </cell>
        </row>
        <row r="3770">
          <cell r="L3770" t="str">
            <v>Proportional</v>
          </cell>
          <cell r="S3770">
            <v>24.52</v>
          </cell>
          <cell r="X3770" t="str">
            <v>Commissions - gross</v>
          </cell>
          <cell r="Y3770" t="str">
            <v>UNITED STATES</v>
          </cell>
        </row>
        <row r="3771">
          <cell r="L3771" t="str">
            <v>Proportional</v>
          </cell>
          <cell r="S3771">
            <v>4252.71</v>
          </cell>
          <cell r="X3771" t="str">
            <v>Commissions - gross</v>
          </cell>
          <cell r="Y3771" t="str">
            <v>THAILAND</v>
          </cell>
        </row>
        <row r="3772">
          <cell r="L3772" t="str">
            <v>Proportional</v>
          </cell>
          <cell r="S3772">
            <v>30201.09</v>
          </cell>
          <cell r="X3772" t="str">
            <v>Commissions - gross</v>
          </cell>
          <cell r="Y3772" t="str">
            <v>THAILAND</v>
          </cell>
        </row>
        <row r="3773">
          <cell r="L3773" t="str">
            <v>Proportional</v>
          </cell>
          <cell r="S3773">
            <v>-641.82000000000005</v>
          </cell>
          <cell r="X3773" t="str">
            <v>Commissions - gross</v>
          </cell>
          <cell r="Y3773" t="str">
            <v>UNITED STATES</v>
          </cell>
        </row>
        <row r="3774">
          <cell r="L3774" t="str">
            <v>Proportional</v>
          </cell>
          <cell r="S3774">
            <v>46474.12</v>
          </cell>
          <cell r="X3774" t="str">
            <v>Commissions - gross</v>
          </cell>
          <cell r="Y3774" t="str">
            <v>PORTUGAL</v>
          </cell>
        </row>
        <row r="3775">
          <cell r="L3775" t="str">
            <v>Proportional</v>
          </cell>
          <cell r="S3775">
            <v>420875.5</v>
          </cell>
          <cell r="X3775" t="str">
            <v>Commissions - gross</v>
          </cell>
          <cell r="Y3775" t="str">
            <v>THAILAND</v>
          </cell>
        </row>
        <row r="3776">
          <cell r="L3776" t="str">
            <v>Proportional</v>
          </cell>
          <cell r="S3776">
            <v>-10325000</v>
          </cell>
          <cell r="X3776" t="str">
            <v>Commissions - gross</v>
          </cell>
          <cell r="Y3776" t="str">
            <v>PORTUGAL</v>
          </cell>
        </row>
        <row r="3777">
          <cell r="L3777" t="str">
            <v>Proportional</v>
          </cell>
          <cell r="S3777">
            <v>-115726531.09999999</v>
          </cell>
          <cell r="X3777" t="str">
            <v>Commissions - gross</v>
          </cell>
          <cell r="Y3777" t="str">
            <v>ITALY</v>
          </cell>
        </row>
        <row r="3778">
          <cell r="L3778" t="str">
            <v>Proportional</v>
          </cell>
          <cell r="S3778">
            <v>-36.5</v>
          </cell>
          <cell r="X3778" t="str">
            <v>Commissions - gross</v>
          </cell>
          <cell r="Y3778" t="str">
            <v>INDIA</v>
          </cell>
        </row>
        <row r="3779">
          <cell r="L3779" t="str">
            <v>Proportional</v>
          </cell>
          <cell r="S3779">
            <v>14919.67</v>
          </cell>
          <cell r="X3779" t="str">
            <v>Commissions - gross</v>
          </cell>
          <cell r="Y3779" t="str">
            <v>CANADA</v>
          </cell>
        </row>
        <row r="3780">
          <cell r="L3780" t="str">
            <v>Proportional</v>
          </cell>
          <cell r="S3780">
            <v>16211163.449999999</v>
          </cell>
          <cell r="X3780" t="str">
            <v>Commissions - gross</v>
          </cell>
          <cell r="Y3780" t="str">
            <v>ITALY</v>
          </cell>
        </row>
        <row r="3781">
          <cell r="L3781" t="str">
            <v>Proportional</v>
          </cell>
          <cell r="S3781">
            <v>32461.64</v>
          </cell>
          <cell r="X3781" t="str">
            <v>Commissions - gross</v>
          </cell>
          <cell r="Y3781" t="str">
            <v>THAILAND</v>
          </cell>
        </row>
        <row r="3782">
          <cell r="L3782" t="str">
            <v>Proportional</v>
          </cell>
          <cell r="S3782">
            <v>4286.8</v>
          </cell>
          <cell r="X3782" t="str">
            <v>Commissions - gross</v>
          </cell>
          <cell r="Y3782" t="str">
            <v>FRANCE</v>
          </cell>
        </row>
        <row r="3783">
          <cell r="L3783" t="str">
            <v>Proportional</v>
          </cell>
          <cell r="S3783">
            <v>393.54</v>
          </cell>
          <cell r="X3783" t="str">
            <v>Commissions - gross</v>
          </cell>
          <cell r="Y3783" t="str">
            <v>CHILE</v>
          </cell>
        </row>
        <row r="3784">
          <cell r="L3784" t="str">
            <v>Proportional</v>
          </cell>
          <cell r="S3784">
            <v>-170.63</v>
          </cell>
          <cell r="X3784" t="str">
            <v>Commissions - gross</v>
          </cell>
          <cell r="Y3784" t="str">
            <v>INDIA</v>
          </cell>
        </row>
        <row r="3785">
          <cell r="L3785" t="str">
            <v>Proportional</v>
          </cell>
          <cell r="S3785">
            <v>4207.8</v>
          </cell>
          <cell r="X3785" t="str">
            <v>Commissions - gross</v>
          </cell>
          <cell r="Y3785" t="str">
            <v>EUROPE</v>
          </cell>
        </row>
        <row r="3786">
          <cell r="L3786" t="str">
            <v>Proportional</v>
          </cell>
          <cell r="S3786">
            <v>286.20999999999998</v>
          </cell>
          <cell r="X3786" t="str">
            <v>Commissions - gross</v>
          </cell>
          <cell r="Y3786" t="str">
            <v>CHILE</v>
          </cell>
        </row>
        <row r="3787">
          <cell r="L3787" t="str">
            <v>Proportional</v>
          </cell>
          <cell r="S3787">
            <v>6600.96</v>
          </cell>
          <cell r="X3787" t="str">
            <v>Commissions - gross</v>
          </cell>
          <cell r="Y3787" t="str">
            <v>FRANCE</v>
          </cell>
        </row>
        <row r="3788">
          <cell r="L3788" t="str">
            <v>Proportional</v>
          </cell>
          <cell r="S3788">
            <v>-10.75</v>
          </cell>
          <cell r="X3788" t="str">
            <v>Commissions - gross</v>
          </cell>
          <cell r="Y3788" t="str">
            <v>THAILAND</v>
          </cell>
        </row>
        <row r="3789">
          <cell r="L3789" t="str">
            <v>Proportional</v>
          </cell>
          <cell r="S3789">
            <v>1264.23</v>
          </cell>
          <cell r="X3789" t="str">
            <v>Commissions - gross</v>
          </cell>
          <cell r="Y3789" t="str">
            <v>THAILAND</v>
          </cell>
        </row>
        <row r="3790">
          <cell r="L3790" t="str">
            <v>Proportional</v>
          </cell>
          <cell r="S3790">
            <v>16884.72</v>
          </cell>
          <cell r="X3790" t="str">
            <v>Commissions - gross</v>
          </cell>
          <cell r="Y3790" t="str">
            <v>UNITED STATES</v>
          </cell>
        </row>
        <row r="3791">
          <cell r="L3791" t="str">
            <v>Proportional</v>
          </cell>
          <cell r="S3791">
            <v>48410.080000000002</v>
          </cell>
          <cell r="X3791" t="str">
            <v>Commissions - gross</v>
          </cell>
          <cell r="Y3791" t="str">
            <v>AUSTRALIA</v>
          </cell>
        </row>
        <row r="3792">
          <cell r="L3792" t="str">
            <v>Proportional</v>
          </cell>
          <cell r="S3792">
            <v>14921.91</v>
          </cell>
          <cell r="X3792" t="str">
            <v>Commissions - gross</v>
          </cell>
          <cell r="Y3792" t="str">
            <v>THAILAND</v>
          </cell>
        </row>
        <row r="3793">
          <cell r="L3793" t="str">
            <v>Proportional</v>
          </cell>
          <cell r="S3793">
            <v>8133.42</v>
          </cell>
          <cell r="X3793" t="str">
            <v>Commissions - gross</v>
          </cell>
          <cell r="Y3793" t="str">
            <v>THAILAND</v>
          </cell>
        </row>
        <row r="3794">
          <cell r="L3794" t="str">
            <v>Proportional</v>
          </cell>
          <cell r="S3794">
            <v>1442.16</v>
          </cell>
          <cell r="X3794" t="str">
            <v>Commissions - gross</v>
          </cell>
          <cell r="Y3794" t="str">
            <v>THAILAND</v>
          </cell>
        </row>
        <row r="3795">
          <cell r="L3795" t="str">
            <v>Proportional</v>
          </cell>
          <cell r="S3795">
            <v>1363.73</v>
          </cell>
          <cell r="X3795" t="str">
            <v>Commissions - gross</v>
          </cell>
          <cell r="Y3795" t="str">
            <v>THAILAND</v>
          </cell>
        </row>
        <row r="3796">
          <cell r="L3796" t="str">
            <v>Proportional</v>
          </cell>
          <cell r="S3796">
            <v>-6226.5</v>
          </cell>
          <cell r="X3796" t="str">
            <v>Commissions - gross</v>
          </cell>
          <cell r="Y3796" t="str">
            <v>HONG KONG</v>
          </cell>
        </row>
        <row r="3797">
          <cell r="L3797" t="str">
            <v>Proportional</v>
          </cell>
          <cell r="S3797">
            <v>24093.33</v>
          </cell>
          <cell r="X3797" t="str">
            <v>Commissions - gross</v>
          </cell>
          <cell r="Y3797" t="str">
            <v>FRANCE</v>
          </cell>
        </row>
        <row r="3798">
          <cell r="L3798" t="str">
            <v>Proportional</v>
          </cell>
          <cell r="S3798">
            <v>-165767.07999999999</v>
          </cell>
          <cell r="X3798" t="str">
            <v>Commissions - gross</v>
          </cell>
          <cell r="Y3798" t="str">
            <v>HONG KONG</v>
          </cell>
        </row>
        <row r="3799">
          <cell r="L3799" t="str">
            <v>Proportional</v>
          </cell>
          <cell r="S3799">
            <v>1380.64</v>
          </cell>
          <cell r="X3799" t="str">
            <v>Commissions - gross</v>
          </cell>
          <cell r="Y3799" t="str">
            <v>INDIA</v>
          </cell>
        </row>
        <row r="3800">
          <cell r="L3800" t="str">
            <v>Proportional</v>
          </cell>
          <cell r="S3800">
            <v>21404.98</v>
          </cell>
          <cell r="X3800" t="str">
            <v>Commissions - gross</v>
          </cell>
          <cell r="Y3800" t="str">
            <v>THAILAND</v>
          </cell>
        </row>
        <row r="3801">
          <cell r="L3801" t="str">
            <v>Proportional</v>
          </cell>
          <cell r="S3801">
            <v>39704.730000000003</v>
          </cell>
          <cell r="X3801" t="str">
            <v>Commissions - gross</v>
          </cell>
          <cell r="Y3801" t="str">
            <v>HONG KONG</v>
          </cell>
        </row>
        <row r="3802">
          <cell r="L3802" t="str">
            <v>Proportional</v>
          </cell>
          <cell r="S3802">
            <v>15806.79</v>
          </cell>
          <cell r="X3802" t="str">
            <v>Commissions - gross</v>
          </cell>
          <cell r="Y3802" t="str">
            <v>UNITED STATES</v>
          </cell>
        </row>
        <row r="3803">
          <cell r="L3803" t="str">
            <v>Proportional</v>
          </cell>
          <cell r="S3803">
            <v>2361.27</v>
          </cell>
          <cell r="X3803" t="str">
            <v>Commissions - gross</v>
          </cell>
          <cell r="Y3803" t="str">
            <v>CHILE</v>
          </cell>
        </row>
        <row r="3804">
          <cell r="L3804" t="str">
            <v>Proportional</v>
          </cell>
          <cell r="S3804">
            <v>2248387.0699999998</v>
          </cell>
          <cell r="X3804" t="str">
            <v>Commissions - gross</v>
          </cell>
          <cell r="Y3804" t="str">
            <v>ITALY</v>
          </cell>
        </row>
        <row r="3805">
          <cell r="L3805" t="str">
            <v>Proportional</v>
          </cell>
          <cell r="S3805">
            <v>-21.51</v>
          </cell>
          <cell r="X3805" t="str">
            <v>Commissions - gross</v>
          </cell>
          <cell r="Y3805" t="str">
            <v>JAPAN</v>
          </cell>
        </row>
        <row r="3806">
          <cell r="L3806" t="str">
            <v>Proportional</v>
          </cell>
          <cell r="S3806">
            <v>-546.26</v>
          </cell>
          <cell r="X3806" t="str">
            <v>Commissions - gross</v>
          </cell>
          <cell r="Y3806" t="str">
            <v>THAILAND</v>
          </cell>
        </row>
        <row r="3807">
          <cell r="L3807" t="str">
            <v>Proportional</v>
          </cell>
          <cell r="S3807">
            <v>14038.5</v>
          </cell>
          <cell r="X3807" t="str">
            <v>Commissions - gross</v>
          </cell>
          <cell r="Y3807" t="str">
            <v>ITALY</v>
          </cell>
        </row>
        <row r="3808">
          <cell r="L3808" t="str">
            <v>Proportional</v>
          </cell>
          <cell r="S3808">
            <v>97266980.599999994</v>
          </cell>
          <cell r="X3808" t="str">
            <v>Commissions - gross</v>
          </cell>
          <cell r="Y3808" t="str">
            <v>ITALY</v>
          </cell>
        </row>
        <row r="3809">
          <cell r="L3809" t="str">
            <v>Proportional</v>
          </cell>
          <cell r="S3809">
            <v>-22356.68</v>
          </cell>
          <cell r="X3809" t="str">
            <v>Commissions - gross</v>
          </cell>
          <cell r="Y3809" t="str">
            <v>PERU</v>
          </cell>
        </row>
        <row r="3810">
          <cell r="L3810" t="str">
            <v>Proportional</v>
          </cell>
          <cell r="S3810">
            <v>-187.54</v>
          </cell>
          <cell r="X3810" t="str">
            <v>Commissions - gross</v>
          </cell>
          <cell r="Y3810" t="str">
            <v>CANADA</v>
          </cell>
        </row>
        <row r="3811">
          <cell r="L3811" t="str">
            <v>Proportional</v>
          </cell>
          <cell r="S3811">
            <v>13370</v>
          </cell>
          <cell r="X3811" t="str">
            <v>Commissions - gross</v>
          </cell>
          <cell r="Y3811" t="str">
            <v>ITALY</v>
          </cell>
        </row>
        <row r="3812">
          <cell r="L3812" t="str">
            <v>Proportional</v>
          </cell>
          <cell r="S3812">
            <v>39058.199999999997</v>
          </cell>
          <cell r="X3812" t="str">
            <v>Commissions - gross</v>
          </cell>
          <cell r="Y3812" t="str">
            <v>UNITED STATES</v>
          </cell>
        </row>
        <row r="3813">
          <cell r="L3813" t="str">
            <v>Proportional</v>
          </cell>
          <cell r="S3813">
            <v>319.08</v>
          </cell>
          <cell r="X3813" t="str">
            <v>Commissions - gross</v>
          </cell>
          <cell r="Y3813" t="str">
            <v>THAILAND</v>
          </cell>
        </row>
        <row r="3814">
          <cell r="L3814" t="str">
            <v>Proportional</v>
          </cell>
          <cell r="S3814">
            <v>7730.85</v>
          </cell>
          <cell r="X3814" t="str">
            <v>Commissions - gross</v>
          </cell>
          <cell r="Y3814" t="str">
            <v>UNITED ARAB EMIRATES</v>
          </cell>
        </row>
        <row r="3815">
          <cell r="L3815" t="str">
            <v>Proportional</v>
          </cell>
          <cell r="S3815">
            <v>1603.63</v>
          </cell>
          <cell r="X3815" t="str">
            <v>Commissions - gross</v>
          </cell>
          <cell r="Y3815" t="str">
            <v>AUSTRALIA</v>
          </cell>
        </row>
        <row r="3816">
          <cell r="L3816" t="str">
            <v>Proportional</v>
          </cell>
          <cell r="S3816">
            <v>11687.73</v>
          </cell>
          <cell r="X3816" t="str">
            <v>Commissions - gross</v>
          </cell>
          <cell r="Y3816" t="str">
            <v>PORTUGAL</v>
          </cell>
        </row>
        <row r="3817">
          <cell r="L3817" t="str">
            <v>Proportional</v>
          </cell>
          <cell r="S3817">
            <v>943.54</v>
          </cell>
          <cell r="X3817" t="str">
            <v>Commissions - gross</v>
          </cell>
          <cell r="Y3817" t="str">
            <v>HONG KONG</v>
          </cell>
        </row>
        <row r="3818">
          <cell r="L3818" t="str">
            <v>Proportional</v>
          </cell>
          <cell r="S3818">
            <v>-6962.49</v>
          </cell>
          <cell r="X3818" t="str">
            <v>Commissions - gross</v>
          </cell>
          <cell r="Y3818" t="str">
            <v>INDIA</v>
          </cell>
        </row>
        <row r="3819">
          <cell r="L3819" t="str">
            <v>Proportional</v>
          </cell>
          <cell r="S3819">
            <v>-313.25</v>
          </cell>
          <cell r="X3819" t="str">
            <v>Commissions - gross</v>
          </cell>
          <cell r="Y3819" t="str">
            <v>THAILAND</v>
          </cell>
        </row>
        <row r="3820">
          <cell r="L3820" t="str">
            <v>Proportional</v>
          </cell>
          <cell r="S3820">
            <v>187.54</v>
          </cell>
          <cell r="X3820" t="str">
            <v>Commissions - gross</v>
          </cell>
          <cell r="Y3820" t="str">
            <v>CANADA</v>
          </cell>
        </row>
        <row r="3821">
          <cell r="L3821" t="str">
            <v>Proportional</v>
          </cell>
          <cell r="S3821">
            <v>5354.31</v>
          </cell>
          <cell r="X3821" t="str">
            <v>Commissions - gross</v>
          </cell>
          <cell r="Y3821" t="str">
            <v>THAILAND</v>
          </cell>
        </row>
        <row r="3822">
          <cell r="L3822" t="str">
            <v>Proportional</v>
          </cell>
          <cell r="S3822">
            <v>1599.05</v>
          </cell>
          <cell r="X3822" t="str">
            <v>Commissions - gross</v>
          </cell>
          <cell r="Y3822" t="str">
            <v>ITALY</v>
          </cell>
        </row>
        <row r="3823">
          <cell r="L3823" t="str">
            <v>Proportional</v>
          </cell>
          <cell r="S3823">
            <v>145324.51</v>
          </cell>
          <cell r="X3823" t="str">
            <v>Commissions - gross</v>
          </cell>
          <cell r="Y3823" t="str">
            <v>HONG KONG</v>
          </cell>
        </row>
        <row r="3824">
          <cell r="L3824" t="str">
            <v>Proportional</v>
          </cell>
          <cell r="S3824">
            <v>-716.96</v>
          </cell>
          <cell r="X3824" t="str">
            <v>Commissions - gross</v>
          </cell>
          <cell r="Y3824" t="str">
            <v>THAILAND</v>
          </cell>
        </row>
        <row r="3825">
          <cell r="L3825" t="str">
            <v>Proportional</v>
          </cell>
          <cell r="S3825">
            <v>1808.39</v>
          </cell>
          <cell r="X3825" t="str">
            <v>Commissions - gross</v>
          </cell>
          <cell r="Y3825" t="str">
            <v>THAILAND</v>
          </cell>
        </row>
        <row r="3826">
          <cell r="L3826" t="str">
            <v>Proportional</v>
          </cell>
          <cell r="S3826">
            <v>1732.71</v>
          </cell>
          <cell r="X3826" t="str">
            <v>Commissions - gross</v>
          </cell>
          <cell r="Y3826" t="str">
            <v>CANADA</v>
          </cell>
        </row>
        <row r="3827">
          <cell r="L3827" t="str">
            <v>Proportional</v>
          </cell>
          <cell r="S3827">
            <v>8561.99</v>
          </cell>
          <cell r="X3827" t="str">
            <v>Commissions - gross</v>
          </cell>
          <cell r="Y3827" t="str">
            <v>THAILAND</v>
          </cell>
        </row>
        <row r="3828">
          <cell r="L3828" t="str">
            <v>Proportional</v>
          </cell>
          <cell r="S3828">
            <v>65.25</v>
          </cell>
          <cell r="X3828" t="str">
            <v>Commissions - gross</v>
          </cell>
          <cell r="Y3828" t="str">
            <v>THAILAND</v>
          </cell>
        </row>
        <row r="3829">
          <cell r="L3829" t="str">
            <v>Proportional</v>
          </cell>
          <cell r="S3829">
            <v>21.63</v>
          </cell>
          <cell r="X3829" t="str">
            <v>Commissions - gross</v>
          </cell>
          <cell r="Y3829" t="str">
            <v>THAILAND</v>
          </cell>
        </row>
        <row r="3830">
          <cell r="L3830" t="str">
            <v>Proportional</v>
          </cell>
          <cell r="S3830">
            <v>1026.45</v>
          </cell>
          <cell r="X3830" t="str">
            <v>Commissions - gross</v>
          </cell>
          <cell r="Y3830" t="str">
            <v>THAILAND</v>
          </cell>
        </row>
        <row r="3831">
          <cell r="L3831" t="str">
            <v>Proportional</v>
          </cell>
          <cell r="S3831">
            <v>608.21</v>
          </cell>
          <cell r="X3831" t="str">
            <v>Commissions - gross</v>
          </cell>
          <cell r="Y3831" t="str">
            <v>CHILE</v>
          </cell>
        </row>
        <row r="3832">
          <cell r="L3832" t="str">
            <v>Proportional</v>
          </cell>
          <cell r="S3832">
            <v>384969.09</v>
          </cell>
          <cell r="X3832" t="str">
            <v>Commissions - gross</v>
          </cell>
          <cell r="Y3832" t="str">
            <v>THAILAND</v>
          </cell>
        </row>
        <row r="3833">
          <cell r="L3833" t="str">
            <v>Proportional</v>
          </cell>
          <cell r="S3833">
            <v>6821.18</v>
          </cell>
          <cell r="X3833" t="str">
            <v>Commissions - gross</v>
          </cell>
          <cell r="Y3833" t="str">
            <v>UNITED KINGDOM</v>
          </cell>
        </row>
        <row r="3834">
          <cell r="L3834" t="str">
            <v>Proportional</v>
          </cell>
          <cell r="S3834">
            <v>-48.26</v>
          </cell>
          <cell r="X3834" t="str">
            <v>Commissions - gross</v>
          </cell>
          <cell r="Y3834" t="str">
            <v>UNITED STATES</v>
          </cell>
        </row>
        <row r="3835">
          <cell r="L3835" t="str">
            <v>Proportional</v>
          </cell>
          <cell r="S3835">
            <v>-149.37</v>
          </cell>
          <cell r="X3835" t="str">
            <v>Commissions - gross</v>
          </cell>
          <cell r="Y3835" t="str">
            <v>THAILAND</v>
          </cell>
        </row>
        <row r="3836">
          <cell r="L3836" t="str">
            <v>Proportional</v>
          </cell>
          <cell r="S3836">
            <v>703.66</v>
          </cell>
          <cell r="X3836" t="str">
            <v>Commissions - gross</v>
          </cell>
          <cell r="Y3836" t="str">
            <v>HONG KONG</v>
          </cell>
        </row>
        <row r="3837">
          <cell r="L3837" t="str">
            <v>Proportional</v>
          </cell>
          <cell r="S3837">
            <v>6883333.3399999999</v>
          </cell>
          <cell r="X3837" t="str">
            <v>Commissions - gross</v>
          </cell>
          <cell r="Y3837" t="str">
            <v>PORTUGAL</v>
          </cell>
        </row>
        <row r="3838">
          <cell r="L3838" t="str">
            <v>Proportional</v>
          </cell>
          <cell r="S3838">
            <v>-159.66999999999999</v>
          </cell>
          <cell r="X3838" t="str">
            <v>Commissions - gross</v>
          </cell>
          <cell r="Y3838" t="str">
            <v>MEXICO</v>
          </cell>
        </row>
        <row r="3839">
          <cell r="L3839" t="str">
            <v>Non-proportional</v>
          </cell>
          <cell r="S3839">
            <v>3782.82</v>
          </cell>
          <cell r="X3839" t="str">
            <v>Commissions - gross</v>
          </cell>
          <cell r="Y3839" t="str">
            <v>TURKEY</v>
          </cell>
        </row>
        <row r="3840">
          <cell r="L3840" t="str">
            <v>Proportional</v>
          </cell>
          <cell r="S3840">
            <v>73020.25</v>
          </cell>
          <cell r="X3840" t="str">
            <v>Commissions - gross</v>
          </cell>
          <cell r="Y3840" t="str">
            <v>HONG KONG</v>
          </cell>
        </row>
        <row r="3841">
          <cell r="L3841" t="str">
            <v>Proportional</v>
          </cell>
          <cell r="S3841">
            <v>753.66</v>
          </cell>
          <cell r="X3841" t="str">
            <v>Commissions - gross</v>
          </cell>
          <cell r="Y3841" t="str">
            <v>THAILAND</v>
          </cell>
        </row>
        <row r="3842">
          <cell r="L3842" t="str">
            <v>Proportional</v>
          </cell>
          <cell r="S3842">
            <v>14480.65</v>
          </cell>
          <cell r="X3842" t="str">
            <v>Commissions - gross</v>
          </cell>
          <cell r="Y3842" t="str">
            <v>PORTUGAL</v>
          </cell>
        </row>
        <row r="3843">
          <cell r="L3843" t="str">
            <v>Proportional</v>
          </cell>
          <cell r="S3843">
            <v>-97266980.599999994</v>
          </cell>
          <cell r="X3843" t="str">
            <v>Commissions - gross</v>
          </cell>
          <cell r="Y3843" t="str">
            <v>ITALY</v>
          </cell>
        </row>
        <row r="3844">
          <cell r="L3844" t="str">
            <v>Proportional</v>
          </cell>
          <cell r="S3844">
            <v>8105581.7199999997</v>
          </cell>
          <cell r="X3844" t="str">
            <v>Commissions - gross</v>
          </cell>
          <cell r="Y3844" t="str">
            <v>ITALY</v>
          </cell>
        </row>
        <row r="3845">
          <cell r="L3845" t="str">
            <v>Proportional</v>
          </cell>
          <cell r="S3845">
            <v>-16211163.449999999</v>
          </cell>
          <cell r="X3845" t="str">
            <v>Commissions - gross</v>
          </cell>
          <cell r="Y3845" t="str">
            <v>ITALY</v>
          </cell>
        </row>
        <row r="3846">
          <cell r="L3846" t="str">
            <v>Proportional</v>
          </cell>
          <cell r="S3846">
            <v>40869.33</v>
          </cell>
          <cell r="X3846" t="str">
            <v>Commissions - gross</v>
          </cell>
          <cell r="Y3846" t="str">
            <v>UNITED STATES</v>
          </cell>
        </row>
        <row r="3847">
          <cell r="L3847" t="str">
            <v>Proportional</v>
          </cell>
          <cell r="S3847">
            <v>-270.47000000000003</v>
          </cell>
          <cell r="X3847" t="str">
            <v>Commissions - gross</v>
          </cell>
          <cell r="Y3847" t="str">
            <v>THAILAND</v>
          </cell>
        </row>
        <row r="3848">
          <cell r="L3848" t="str">
            <v>Proportional</v>
          </cell>
          <cell r="S3848">
            <v>15562.5</v>
          </cell>
          <cell r="X3848" t="str">
            <v>Commissions - gross</v>
          </cell>
          <cell r="Y3848" t="str">
            <v>PORTUGAL</v>
          </cell>
        </row>
        <row r="3849">
          <cell r="L3849" t="str">
            <v>Proportional</v>
          </cell>
          <cell r="S3849">
            <v>-657.43</v>
          </cell>
          <cell r="X3849" t="str">
            <v>Commissions - gross</v>
          </cell>
          <cell r="Y3849" t="str">
            <v>THAILAND</v>
          </cell>
        </row>
        <row r="3850">
          <cell r="L3850" t="str">
            <v>Proportional</v>
          </cell>
          <cell r="S3850">
            <v>2817.63</v>
          </cell>
          <cell r="X3850" t="str">
            <v>Commissions - gross</v>
          </cell>
          <cell r="Y3850" t="str">
            <v>THAILAND</v>
          </cell>
        </row>
        <row r="3851">
          <cell r="L3851" t="str">
            <v>Proportional</v>
          </cell>
          <cell r="S3851">
            <v>845.63</v>
          </cell>
          <cell r="X3851" t="str">
            <v>Commissions - gross</v>
          </cell>
          <cell r="Y3851" t="str">
            <v>ITALY</v>
          </cell>
        </row>
        <row r="3852">
          <cell r="L3852" t="str">
            <v>Proportional</v>
          </cell>
          <cell r="S3852">
            <v>7793.28</v>
          </cell>
          <cell r="X3852" t="str">
            <v>Commissions - gross</v>
          </cell>
          <cell r="Y3852" t="str">
            <v>FRANCE</v>
          </cell>
        </row>
        <row r="3853">
          <cell r="L3853" t="str">
            <v>Proportional</v>
          </cell>
          <cell r="S3853">
            <v>-313.14999999999998</v>
          </cell>
          <cell r="X3853" t="str">
            <v>Commissions - gross</v>
          </cell>
          <cell r="Y3853" t="str">
            <v>THAILAND</v>
          </cell>
        </row>
        <row r="3854">
          <cell r="L3854" t="str">
            <v>Proportional</v>
          </cell>
          <cell r="S3854">
            <v>814.91</v>
          </cell>
          <cell r="X3854" t="str">
            <v>Commissions - gross</v>
          </cell>
          <cell r="Y3854" t="str">
            <v>HONG KONG</v>
          </cell>
        </row>
        <row r="3855">
          <cell r="L3855" t="str">
            <v>Proportional</v>
          </cell>
          <cell r="S3855">
            <v>8668.56</v>
          </cell>
          <cell r="X3855" t="str">
            <v>Commissions - gross</v>
          </cell>
          <cell r="Y3855" t="str">
            <v>FRANCE</v>
          </cell>
        </row>
        <row r="3856">
          <cell r="L3856" t="str">
            <v>Proportional</v>
          </cell>
          <cell r="S3856">
            <v>-14954.69</v>
          </cell>
          <cell r="X3856" t="str">
            <v>Commissions - gross</v>
          </cell>
          <cell r="Y3856" t="str">
            <v>CHILE</v>
          </cell>
        </row>
        <row r="3857">
          <cell r="L3857" t="str">
            <v>Proportional</v>
          </cell>
          <cell r="S3857">
            <v>25761.21</v>
          </cell>
          <cell r="X3857" t="str">
            <v>Commissions - gross</v>
          </cell>
          <cell r="Y3857" t="str">
            <v>THAILAND</v>
          </cell>
        </row>
        <row r="3858">
          <cell r="L3858" t="str">
            <v>Proportional</v>
          </cell>
          <cell r="S3858">
            <v>33.479999999999997</v>
          </cell>
          <cell r="X3858" t="str">
            <v>Commissions - gross</v>
          </cell>
          <cell r="Y3858" t="str">
            <v>UNITED STATES</v>
          </cell>
        </row>
        <row r="3859">
          <cell r="L3859" t="str">
            <v>Proportional</v>
          </cell>
          <cell r="S3859">
            <v>1887.89</v>
          </cell>
          <cell r="X3859" t="str">
            <v>Commissions - gross</v>
          </cell>
          <cell r="Y3859" t="str">
            <v>ITALY</v>
          </cell>
        </row>
        <row r="3860">
          <cell r="L3860" t="str">
            <v>Proportional</v>
          </cell>
          <cell r="S3860">
            <v>70.06</v>
          </cell>
          <cell r="X3860" t="str">
            <v>Commissions - gross</v>
          </cell>
          <cell r="Y3860" t="str">
            <v>THAILAND</v>
          </cell>
        </row>
        <row r="3861">
          <cell r="L3861" t="str">
            <v>Proportional</v>
          </cell>
          <cell r="S3861">
            <v>13524.64</v>
          </cell>
          <cell r="X3861" t="str">
            <v>Commissions - gross</v>
          </cell>
          <cell r="Y3861" t="str">
            <v>THAILAND</v>
          </cell>
        </row>
        <row r="3862">
          <cell r="L3862" t="str">
            <v>Proportional</v>
          </cell>
          <cell r="S3862">
            <v>15304.96</v>
          </cell>
          <cell r="X3862" t="str">
            <v>Commissions - gross</v>
          </cell>
          <cell r="Y3862" t="str">
            <v>CHILE</v>
          </cell>
        </row>
        <row r="3863">
          <cell r="L3863" t="str">
            <v>Non-proportional</v>
          </cell>
          <cell r="S3863">
            <v>3532.69</v>
          </cell>
          <cell r="X3863" t="str">
            <v>Commissions - gross</v>
          </cell>
          <cell r="Y3863" t="str">
            <v>TURKEY</v>
          </cell>
        </row>
        <row r="3864">
          <cell r="L3864" t="str">
            <v>Proportional</v>
          </cell>
          <cell r="S3864">
            <v>2182.38</v>
          </cell>
          <cell r="X3864" t="str">
            <v>Commissions - gross</v>
          </cell>
          <cell r="Y3864" t="str">
            <v>CHILE</v>
          </cell>
        </row>
        <row r="3865">
          <cell r="L3865" t="str">
            <v>Proportional</v>
          </cell>
          <cell r="S3865">
            <v>7022.6</v>
          </cell>
          <cell r="X3865" t="str">
            <v>Commissions - gross</v>
          </cell>
          <cell r="Y3865" t="str">
            <v>THAILAND</v>
          </cell>
        </row>
        <row r="3866">
          <cell r="L3866" t="str">
            <v>Proportional</v>
          </cell>
          <cell r="S3866">
            <v>332392.28999999998</v>
          </cell>
          <cell r="X3866" t="str">
            <v>Commissions - gross</v>
          </cell>
          <cell r="Y3866" t="str">
            <v>THAILAND</v>
          </cell>
        </row>
        <row r="3867">
          <cell r="L3867" t="str">
            <v>Proportional</v>
          </cell>
          <cell r="S3867">
            <v>-149475</v>
          </cell>
          <cell r="X3867" t="str">
            <v>Commissions - gross</v>
          </cell>
          <cell r="Y3867" t="str">
            <v>SPAIN</v>
          </cell>
        </row>
        <row r="3868">
          <cell r="L3868" t="str">
            <v>Proportional</v>
          </cell>
          <cell r="S3868">
            <v>2695.52</v>
          </cell>
          <cell r="X3868" t="str">
            <v>Commissions - gross</v>
          </cell>
          <cell r="Y3868" t="str">
            <v>AUSTRALIA</v>
          </cell>
        </row>
        <row r="3869">
          <cell r="L3869" t="str">
            <v>Proportional</v>
          </cell>
          <cell r="S3869">
            <v>-2964410.37</v>
          </cell>
          <cell r="X3869" t="str">
            <v>Commissions - gross</v>
          </cell>
          <cell r="Y3869" t="str">
            <v>ITALY</v>
          </cell>
        </row>
        <row r="3870">
          <cell r="L3870" t="str">
            <v>Proportional</v>
          </cell>
          <cell r="S3870">
            <v>-1643.57</v>
          </cell>
          <cell r="X3870" t="str">
            <v>Commissions - gross</v>
          </cell>
          <cell r="Y3870" t="str">
            <v>THAILAND</v>
          </cell>
        </row>
        <row r="3871">
          <cell r="L3871" t="str">
            <v>Proportional</v>
          </cell>
          <cell r="S3871">
            <v>306.02</v>
          </cell>
          <cell r="X3871" t="str">
            <v>Commissions - gross</v>
          </cell>
          <cell r="Y3871" t="str">
            <v>INDIA</v>
          </cell>
        </row>
        <row r="3872">
          <cell r="L3872" t="str">
            <v>Proportional</v>
          </cell>
          <cell r="S3872">
            <v>8486.27</v>
          </cell>
          <cell r="X3872" t="str">
            <v>Commissions - gross</v>
          </cell>
          <cell r="Y3872" t="str">
            <v>JAPAN</v>
          </cell>
        </row>
        <row r="3873">
          <cell r="L3873" t="str">
            <v>Proportional</v>
          </cell>
          <cell r="S3873">
            <v>1237.47</v>
          </cell>
          <cell r="X3873" t="str">
            <v>Commissions - gross</v>
          </cell>
          <cell r="Y3873" t="str">
            <v>INDIA</v>
          </cell>
        </row>
        <row r="3874">
          <cell r="L3874" t="str">
            <v>Proportional</v>
          </cell>
          <cell r="S3874">
            <v>445.39</v>
          </cell>
          <cell r="X3874" t="str">
            <v>Commissions - gross</v>
          </cell>
          <cell r="Y3874" t="str">
            <v>THAILAND</v>
          </cell>
        </row>
        <row r="3875">
          <cell r="L3875" t="str">
            <v>Proportional</v>
          </cell>
          <cell r="S3875">
            <v>-110.74</v>
          </cell>
          <cell r="X3875" t="str">
            <v>Commissions - gross</v>
          </cell>
          <cell r="Y3875" t="str">
            <v>THAILAND</v>
          </cell>
        </row>
        <row r="3876">
          <cell r="L3876" t="str">
            <v>Proportional</v>
          </cell>
          <cell r="S3876">
            <v>202.87</v>
          </cell>
          <cell r="X3876" t="str">
            <v>Commissions - gross</v>
          </cell>
          <cell r="Y3876" t="str">
            <v>THAILAND</v>
          </cell>
        </row>
        <row r="3877">
          <cell r="L3877" t="str">
            <v>Proportional</v>
          </cell>
          <cell r="S3877">
            <v>-97.07</v>
          </cell>
          <cell r="X3877" t="str">
            <v>Commissions - gross</v>
          </cell>
          <cell r="Y3877" t="str">
            <v>THAILAND</v>
          </cell>
        </row>
        <row r="3878">
          <cell r="L3878" t="str">
            <v>Proportional</v>
          </cell>
          <cell r="S3878">
            <v>-862.87</v>
          </cell>
          <cell r="X3878" t="str">
            <v>Commissions - gross</v>
          </cell>
          <cell r="Y3878" t="str">
            <v>THAILAND</v>
          </cell>
        </row>
        <row r="3879">
          <cell r="L3879" t="str">
            <v>Proportional</v>
          </cell>
          <cell r="S3879">
            <v>1561.41</v>
          </cell>
          <cell r="X3879" t="str">
            <v>Commissions - gross</v>
          </cell>
          <cell r="Y3879" t="str">
            <v>THAILAND</v>
          </cell>
        </row>
        <row r="3880">
          <cell r="L3880" t="str">
            <v>Proportional</v>
          </cell>
          <cell r="S3880">
            <v>3671.9</v>
          </cell>
          <cell r="X3880" t="str">
            <v>Commissions - gross</v>
          </cell>
          <cell r="Y3880" t="str">
            <v>THAILAND</v>
          </cell>
        </row>
        <row r="3881">
          <cell r="L3881" t="str">
            <v>Proportional</v>
          </cell>
          <cell r="S3881">
            <v>1498.09</v>
          </cell>
          <cell r="X3881" t="str">
            <v>Commissions - gross</v>
          </cell>
          <cell r="Y3881" t="str">
            <v>HONG KONG</v>
          </cell>
        </row>
        <row r="3882">
          <cell r="L3882" t="str">
            <v>Proportional</v>
          </cell>
          <cell r="S3882">
            <v>175679.74</v>
          </cell>
          <cell r="X3882" t="str">
            <v>Commissions - gross</v>
          </cell>
          <cell r="Y3882" t="str">
            <v>HONG KONG</v>
          </cell>
        </row>
        <row r="3883">
          <cell r="L3883" t="str">
            <v>Proportional</v>
          </cell>
          <cell r="S3883">
            <v>36626.76</v>
          </cell>
          <cell r="X3883" t="str">
            <v>Commissions - gross</v>
          </cell>
          <cell r="Y3883" t="str">
            <v>HONG KONG</v>
          </cell>
        </row>
        <row r="3884">
          <cell r="L3884" t="str">
            <v>Proportional</v>
          </cell>
          <cell r="S3884">
            <v>41.05</v>
          </cell>
          <cell r="X3884" t="str">
            <v>Commissions - gross</v>
          </cell>
          <cell r="Y3884" t="str">
            <v>THAILAND</v>
          </cell>
        </row>
        <row r="3885">
          <cell r="L3885" t="str">
            <v>Proportional</v>
          </cell>
          <cell r="S3885">
            <v>19108.68</v>
          </cell>
          <cell r="X3885" t="str">
            <v>Commissions - gross</v>
          </cell>
          <cell r="Y3885" t="str">
            <v>UNITED STATES</v>
          </cell>
        </row>
        <row r="3886">
          <cell r="L3886" t="str">
            <v>Proportional</v>
          </cell>
          <cell r="S3886">
            <v>-5223.29</v>
          </cell>
          <cell r="X3886" t="str">
            <v>Commissions - gross</v>
          </cell>
          <cell r="Y3886" t="str">
            <v>SWITZERLAND</v>
          </cell>
        </row>
        <row r="3887">
          <cell r="L3887" t="str">
            <v>Proportional</v>
          </cell>
          <cell r="S3887">
            <v>-32.71</v>
          </cell>
          <cell r="X3887" t="str">
            <v>Commissions - gross</v>
          </cell>
          <cell r="Y3887" t="str">
            <v>INDIA</v>
          </cell>
        </row>
        <row r="3888">
          <cell r="L3888" t="str">
            <v>Proportional</v>
          </cell>
          <cell r="S3888">
            <v>650.73</v>
          </cell>
          <cell r="X3888" t="str">
            <v>Commissions - gross</v>
          </cell>
          <cell r="Y3888" t="str">
            <v>THAILAND</v>
          </cell>
        </row>
        <row r="3889">
          <cell r="L3889" t="str">
            <v>Proportional</v>
          </cell>
          <cell r="S3889">
            <v>-32316.62</v>
          </cell>
          <cell r="X3889" t="str">
            <v>Commissions - gross</v>
          </cell>
          <cell r="Y3889" t="str">
            <v>THAILAND</v>
          </cell>
        </row>
        <row r="3890">
          <cell r="L3890" t="str">
            <v>Proportional</v>
          </cell>
          <cell r="S3890">
            <v>24093.33</v>
          </cell>
          <cell r="X3890" t="str">
            <v>Commissions - gross</v>
          </cell>
          <cell r="Y3890" t="str">
            <v>FRANCE</v>
          </cell>
        </row>
        <row r="3891">
          <cell r="L3891" t="str">
            <v>Proportional</v>
          </cell>
          <cell r="S3891">
            <v>4967.8500000000004</v>
          </cell>
          <cell r="X3891" t="str">
            <v>Commissions - gross</v>
          </cell>
          <cell r="Y3891" t="str">
            <v>EUROPE</v>
          </cell>
        </row>
        <row r="3892">
          <cell r="L3892" t="str">
            <v>Proportional</v>
          </cell>
          <cell r="S3892">
            <v>4623.05</v>
          </cell>
          <cell r="X3892" t="str">
            <v>Commissions - gross</v>
          </cell>
          <cell r="Y3892" t="str">
            <v>THAILAND</v>
          </cell>
        </row>
        <row r="3893">
          <cell r="L3893" t="str">
            <v>Proportional</v>
          </cell>
          <cell r="S3893">
            <v>11567.9</v>
          </cell>
          <cell r="X3893" t="str">
            <v>Commissions - gross</v>
          </cell>
          <cell r="Y3893" t="str">
            <v>PORTUGAL</v>
          </cell>
        </row>
        <row r="3894">
          <cell r="L3894" t="str">
            <v>Proportional</v>
          </cell>
          <cell r="S3894">
            <v>19600.04</v>
          </cell>
          <cell r="X3894" t="str">
            <v>Commissions - gross</v>
          </cell>
          <cell r="Y3894" t="str">
            <v>UNITED STATES</v>
          </cell>
        </row>
        <row r="3895">
          <cell r="L3895" t="str">
            <v>Proportional</v>
          </cell>
          <cell r="S3895">
            <v>1177.48</v>
          </cell>
          <cell r="X3895" t="str">
            <v>Commissions - gross</v>
          </cell>
          <cell r="Y3895" t="str">
            <v>THAILAND</v>
          </cell>
        </row>
        <row r="3896">
          <cell r="L3896" t="str">
            <v>Proportional</v>
          </cell>
          <cell r="S3896">
            <v>62347.69</v>
          </cell>
          <cell r="X3896" t="str">
            <v>Commissions - gross</v>
          </cell>
          <cell r="Y3896" t="str">
            <v>HONG KONG</v>
          </cell>
        </row>
        <row r="3897">
          <cell r="L3897" t="str">
            <v>Proportional</v>
          </cell>
          <cell r="S3897">
            <v>15785</v>
          </cell>
          <cell r="X3897" t="str">
            <v>Commissions - gross</v>
          </cell>
          <cell r="Y3897" t="str">
            <v>ITALY</v>
          </cell>
        </row>
        <row r="3898">
          <cell r="L3898" t="str">
            <v>Proportional</v>
          </cell>
          <cell r="S3898">
            <v>10304.49</v>
          </cell>
          <cell r="X3898" t="str">
            <v>Commissions - gross</v>
          </cell>
          <cell r="Y3898" t="str">
            <v>THAILAND</v>
          </cell>
        </row>
        <row r="3899">
          <cell r="L3899" t="str">
            <v>Proportional</v>
          </cell>
          <cell r="S3899">
            <v>15097.71</v>
          </cell>
          <cell r="X3899" t="str">
            <v>Commissions - gross</v>
          </cell>
          <cell r="Y3899" t="str">
            <v>CANADA</v>
          </cell>
        </row>
        <row r="3900">
          <cell r="L3900" t="str">
            <v>Proportional</v>
          </cell>
          <cell r="S3900">
            <v>-1431.07</v>
          </cell>
          <cell r="X3900" t="str">
            <v>Commissions - gross</v>
          </cell>
          <cell r="Y3900" t="str">
            <v>CHILE</v>
          </cell>
        </row>
        <row r="3901">
          <cell r="L3901" t="str">
            <v>Proportional</v>
          </cell>
          <cell r="S3901">
            <v>8958.67</v>
          </cell>
          <cell r="X3901" t="str">
            <v>Commissions - gross</v>
          </cell>
          <cell r="Y3901" t="str">
            <v>UNITED ARAB EMIRATES</v>
          </cell>
        </row>
        <row r="3902">
          <cell r="L3902" t="str">
            <v>Proportional</v>
          </cell>
          <cell r="S3902">
            <v>-653.55999999999995</v>
          </cell>
          <cell r="X3902" t="str">
            <v>Commissions - gross</v>
          </cell>
          <cell r="Y3902" t="str">
            <v>SWITZERLAND</v>
          </cell>
        </row>
        <row r="3903">
          <cell r="L3903" t="str">
            <v>Proportional</v>
          </cell>
          <cell r="S3903">
            <v>1521.52</v>
          </cell>
          <cell r="X3903" t="str">
            <v>Commissions - gross</v>
          </cell>
          <cell r="Y3903" t="str">
            <v>THAILAND</v>
          </cell>
        </row>
        <row r="3904">
          <cell r="L3904" t="str">
            <v>Proportional</v>
          </cell>
          <cell r="S3904">
            <v>1735.66</v>
          </cell>
          <cell r="X3904" t="str">
            <v>Commissions - gross</v>
          </cell>
          <cell r="Y3904" t="str">
            <v>THAILAND</v>
          </cell>
        </row>
        <row r="3905">
          <cell r="L3905" t="str">
            <v>Proportional</v>
          </cell>
          <cell r="S3905">
            <v>886.27</v>
          </cell>
          <cell r="X3905" t="str">
            <v>Commissions - gross</v>
          </cell>
          <cell r="Y3905" t="str">
            <v>THAILAND</v>
          </cell>
        </row>
        <row r="3906">
          <cell r="L3906" t="str">
            <v>Proportional</v>
          </cell>
          <cell r="S3906">
            <v>56.34</v>
          </cell>
          <cell r="X3906" t="str">
            <v>Commissions - gross</v>
          </cell>
          <cell r="Y3906" t="str">
            <v>THAILAND</v>
          </cell>
        </row>
        <row r="3907">
          <cell r="L3907" t="str">
            <v>Proportional</v>
          </cell>
          <cell r="S3907">
            <v>26.12</v>
          </cell>
          <cell r="X3907" t="str">
            <v>Commissions - gross</v>
          </cell>
          <cell r="Y3907" t="str">
            <v>MEXICO</v>
          </cell>
        </row>
        <row r="3908">
          <cell r="L3908" t="str">
            <v>Proportional</v>
          </cell>
          <cell r="S3908">
            <v>-14630.46</v>
          </cell>
          <cell r="X3908" t="str">
            <v>Commissions - gross</v>
          </cell>
          <cell r="Y3908" t="str">
            <v>INDIA</v>
          </cell>
        </row>
        <row r="3909">
          <cell r="L3909" t="str">
            <v>Proportional</v>
          </cell>
          <cell r="S3909">
            <v>-2318.9699999999998</v>
          </cell>
          <cell r="X3909" t="str">
            <v>Commissions - gross</v>
          </cell>
          <cell r="Y3909" t="str">
            <v>THAILAND</v>
          </cell>
        </row>
        <row r="3910">
          <cell r="L3910" t="str">
            <v>Proportional</v>
          </cell>
          <cell r="S3910">
            <v>175.82</v>
          </cell>
          <cell r="X3910" t="str">
            <v>Commissions - gross</v>
          </cell>
          <cell r="Y3910" t="str">
            <v>INDIA</v>
          </cell>
        </row>
        <row r="3911">
          <cell r="L3911" t="str">
            <v>Proportional</v>
          </cell>
          <cell r="S3911">
            <v>8447.26</v>
          </cell>
          <cell r="X3911" t="str">
            <v>Commissions - gross</v>
          </cell>
          <cell r="Y3911" t="str">
            <v>ITALY</v>
          </cell>
        </row>
        <row r="3912">
          <cell r="L3912" t="str">
            <v>Proportional</v>
          </cell>
          <cell r="S3912">
            <v>-5754.7</v>
          </cell>
          <cell r="X3912" t="str">
            <v>Commissions - gross</v>
          </cell>
          <cell r="Y3912" t="str">
            <v>AUSTRALIA</v>
          </cell>
        </row>
        <row r="3913">
          <cell r="L3913" t="str">
            <v>Proportional</v>
          </cell>
          <cell r="S3913">
            <v>860416.67</v>
          </cell>
          <cell r="X3913" t="str">
            <v>Commissions - gross</v>
          </cell>
          <cell r="Y3913" t="str">
            <v>PORTUGAL</v>
          </cell>
        </row>
        <row r="3914">
          <cell r="L3914" t="str">
            <v>Proportional</v>
          </cell>
          <cell r="S3914">
            <v>4908.32</v>
          </cell>
          <cell r="X3914" t="str">
            <v>Commissions - gross</v>
          </cell>
          <cell r="Y3914" t="str">
            <v>THAILAND</v>
          </cell>
        </row>
        <row r="3915">
          <cell r="L3915" t="str">
            <v>Proportional</v>
          </cell>
          <cell r="S3915">
            <v>-222.65</v>
          </cell>
          <cell r="X3915" t="str">
            <v>Commissions - gross</v>
          </cell>
          <cell r="Y3915" t="str">
            <v>FRANCE</v>
          </cell>
        </row>
        <row r="3916">
          <cell r="L3916" t="str">
            <v>Proportional</v>
          </cell>
          <cell r="S3916">
            <v>-465.49</v>
          </cell>
          <cell r="X3916" t="str">
            <v>Commissions - gross</v>
          </cell>
          <cell r="Y3916" t="str">
            <v>CANADA</v>
          </cell>
        </row>
        <row r="3917">
          <cell r="L3917" t="str">
            <v>Proportional</v>
          </cell>
          <cell r="S3917">
            <v>715.54</v>
          </cell>
          <cell r="X3917" t="str">
            <v>Commissions - gross</v>
          </cell>
          <cell r="Y3917" t="str">
            <v>CHILE</v>
          </cell>
        </row>
        <row r="3918">
          <cell r="L3918" t="str">
            <v>Proportional</v>
          </cell>
          <cell r="S3918">
            <v>160.74</v>
          </cell>
          <cell r="X3918" t="str">
            <v>Commissions - gross</v>
          </cell>
          <cell r="Y3918" t="str">
            <v>CANADA</v>
          </cell>
        </row>
        <row r="3919">
          <cell r="L3919" t="str">
            <v>Proportional</v>
          </cell>
          <cell r="S3919">
            <v>12883.97</v>
          </cell>
          <cell r="X3919" t="str">
            <v>Commissions - gross</v>
          </cell>
          <cell r="Y3919" t="str">
            <v>THAILAND</v>
          </cell>
        </row>
        <row r="3920">
          <cell r="L3920" t="str">
            <v>Proportional</v>
          </cell>
          <cell r="S3920">
            <v>465.1</v>
          </cell>
          <cell r="X3920" t="str">
            <v>Commissions - gross</v>
          </cell>
          <cell r="Y3920" t="str">
            <v>CHILE</v>
          </cell>
        </row>
        <row r="3921">
          <cell r="L3921" t="str">
            <v>Proportional</v>
          </cell>
          <cell r="S3921">
            <v>36347.46</v>
          </cell>
          <cell r="X3921" t="str">
            <v>Commissions - gross</v>
          </cell>
          <cell r="Y3921" t="str">
            <v>THAILAND</v>
          </cell>
        </row>
        <row r="3922">
          <cell r="L3922" t="str">
            <v>Proportional</v>
          </cell>
          <cell r="S3922">
            <v>57959.08</v>
          </cell>
          <cell r="X3922" t="str">
            <v>Commissions - gross</v>
          </cell>
          <cell r="Y3922" t="str">
            <v>AUSTRALIA</v>
          </cell>
        </row>
        <row r="3923">
          <cell r="L3923" t="str">
            <v>Proportional</v>
          </cell>
          <cell r="S3923">
            <v>2009.26</v>
          </cell>
          <cell r="X3923" t="str">
            <v>Commissions - gross</v>
          </cell>
          <cell r="Y3923" t="str">
            <v>CHILE</v>
          </cell>
        </row>
        <row r="3924">
          <cell r="L3924" t="str">
            <v>Proportional</v>
          </cell>
          <cell r="S3924">
            <v>318.73</v>
          </cell>
          <cell r="X3924" t="str">
            <v>Commissions - gross</v>
          </cell>
          <cell r="Y3924" t="str">
            <v>REPUBLIC OF IRELAND</v>
          </cell>
        </row>
        <row r="3925">
          <cell r="L3925" t="str">
            <v>Proportional</v>
          </cell>
          <cell r="S3925">
            <v>13798.86</v>
          </cell>
          <cell r="X3925" t="str">
            <v>Commissions - gross</v>
          </cell>
          <cell r="Y3925" t="str">
            <v>PORTUGAL</v>
          </cell>
        </row>
        <row r="3926">
          <cell r="L3926" t="str">
            <v>Proportional</v>
          </cell>
          <cell r="S3926">
            <v>-1967.72</v>
          </cell>
          <cell r="X3926" t="str">
            <v>Commissions - gross</v>
          </cell>
          <cell r="Y3926" t="str">
            <v>CHILE</v>
          </cell>
        </row>
        <row r="3927">
          <cell r="L3927" t="str">
            <v>Proportional</v>
          </cell>
          <cell r="S3927">
            <v>5286.35</v>
          </cell>
          <cell r="X3927" t="str">
            <v>Commissions - gross</v>
          </cell>
          <cell r="Y3927" t="str">
            <v>ITALY</v>
          </cell>
        </row>
        <row r="3928">
          <cell r="L3928" t="str">
            <v>Proportional</v>
          </cell>
          <cell r="S3928">
            <v>1450.47</v>
          </cell>
          <cell r="X3928" t="str">
            <v>Commissions - gross</v>
          </cell>
          <cell r="Y3928" t="str">
            <v>CHILE</v>
          </cell>
        </row>
        <row r="3929">
          <cell r="L3929" t="str">
            <v>Proportional</v>
          </cell>
          <cell r="S3929">
            <v>-39963.800000000003</v>
          </cell>
          <cell r="X3929" t="str">
            <v>Commissions - gross</v>
          </cell>
          <cell r="Y3929" t="str">
            <v>PERU</v>
          </cell>
        </row>
        <row r="3930">
          <cell r="L3930" t="str">
            <v>Proportional</v>
          </cell>
          <cell r="S3930">
            <v>3466.68</v>
          </cell>
          <cell r="X3930" t="str">
            <v>Commissions - gross</v>
          </cell>
          <cell r="Y3930" t="str">
            <v>BELGIUM</v>
          </cell>
        </row>
        <row r="3931">
          <cell r="L3931" t="str">
            <v>Proportional</v>
          </cell>
          <cell r="S3931">
            <v>20.77</v>
          </cell>
          <cell r="X3931" t="str">
            <v>Commissions - gross</v>
          </cell>
          <cell r="Y3931" t="str">
            <v>UNITED STATES</v>
          </cell>
        </row>
        <row r="3932">
          <cell r="L3932" t="str">
            <v>Proportional</v>
          </cell>
          <cell r="S3932">
            <v>2790.59</v>
          </cell>
          <cell r="X3932" t="str">
            <v>Commissions - gross</v>
          </cell>
          <cell r="Y3932" t="str">
            <v>CHILE</v>
          </cell>
        </row>
        <row r="3933">
          <cell r="L3933" t="str">
            <v>Proportional</v>
          </cell>
          <cell r="S3933">
            <v>1863.46</v>
          </cell>
          <cell r="X3933" t="str">
            <v>Commissions - gross</v>
          </cell>
          <cell r="Y3933" t="str">
            <v>HONG KONG</v>
          </cell>
        </row>
        <row r="3934">
          <cell r="L3934" t="str">
            <v>Proportional</v>
          </cell>
          <cell r="S3934">
            <v>54868.66</v>
          </cell>
          <cell r="X3934" t="str">
            <v>Commissions - gross</v>
          </cell>
          <cell r="Y3934" t="str">
            <v>PORTUGAL</v>
          </cell>
        </row>
        <row r="3935">
          <cell r="L3935" t="str">
            <v>Proportional</v>
          </cell>
          <cell r="S3935">
            <v>14.93</v>
          </cell>
          <cell r="X3935" t="str">
            <v>Commissions - gross</v>
          </cell>
          <cell r="Y3935" t="str">
            <v>UNITED STATES</v>
          </cell>
        </row>
        <row r="3936">
          <cell r="L3936" t="str">
            <v>Proportional</v>
          </cell>
          <cell r="S3936">
            <v>-27373.5</v>
          </cell>
          <cell r="X3936" t="str">
            <v>Commissions - gross</v>
          </cell>
          <cell r="Y3936" t="str">
            <v>PERU</v>
          </cell>
        </row>
        <row r="3937">
          <cell r="L3937" t="str">
            <v>Proportional</v>
          </cell>
          <cell r="S3937">
            <v>63065.33</v>
          </cell>
          <cell r="X3937" t="str">
            <v>Commissions - gross</v>
          </cell>
          <cell r="Y3937" t="str">
            <v>HONG KONG</v>
          </cell>
        </row>
        <row r="3938">
          <cell r="L3938" t="str">
            <v>Proportional</v>
          </cell>
          <cell r="S3938">
            <v>62.5</v>
          </cell>
          <cell r="X3938" t="str">
            <v>Commissions - gross</v>
          </cell>
          <cell r="Y3938" t="str">
            <v>THAILAND</v>
          </cell>
        </row>
        <row r="3939">
          <cell r="L3939" t="str">
            <v>Proportional</v>
          </cell>
          <cell r="S3939">
            <v>28028.22</v>
          </cell>
          <cell r="X3939" t="str">
            <v>Commissions - gross</v>
          </cell>
          <cell r="Y3939" t="str">
            <v>THAILAND</v>
          </cell>
        </row>
        <row r="3940">
          <cell r="L3940" t="str">
            <v>Proportional</v>
          </cell>
          <cell r="S3940">
            <v>4841.8500000000004</v>
          </cell>
          <cell r="X3940" t="str">
            <v>Commissions - gross</v>
          </cell>
          <cell r="Y3940" t="str">
            <v>FRANCE</v>
          </cell>
        </row>
        <row r="3941">
          <cell r="L3941" t="str">
            <v>Proportional</v>
          </cell>
          <cell r="S3941">
            <v>26029.26</v>
          </cell>
          <cell r="X3941" t="str">
            <v>Commissions - gross</v>
          </cell>
          <cell r="Y3941" t="str">
            <v>JAPAN</v>
          </cell>
        </row>
        <row r="3942">
          <cell r="L3942" t="str">
            <v>Proportional</v>
          </cell>
          <cell r="S3942">
            <v>357.77</v>
          </cell>
          <cell r="X3942" t="str">
            <v>Commissions - gross</v>
          </cell>
          <cell r="Y3942" t="str">
            <v>CHILE</v>
          </cell>
        </row>
        <row r="3943">
          <cell r="L3943" t="str">
            <v>Proportional</v>
          </cell>
          <cell r="S3943">
            <v>47998.22</v>
          </cell>
          <cell r="X3943" t="str">
            <v>Commissions - gross</v>
          </cell>
          <cell r="Y3943" t="str">
            <v>HONG KONG</v>
          </cell>
        </row>
        <row r="3944">
          <cell r="L3944" t="str">
            <v>Proportional</v>
          </cell>
          <cell r="S3944">
            <v>-648.82000000000005</v>
          </cell>
          <cell r="X3944" t="str">
            <v>Commissions - gross</v>
          </cell>
          <cell r="Y3944" t="str">
            <v>INDIA</v>
          </cell>
        </row>
        <row r="3945">
          <cell r="L3945" t="str">
            <v>Proportional</v>
          </cell>
          <cell r="S3945">
            <v>872.16</v>
          </cell>
          <cell r="X3945" t="str">
            <v>Commissions - gross</v>
          </cell>
          <cell r="Y3945" t="str">
            <v>ITALY</v>
          </cell>
        </row>
        <row r="3946">
          <cell r="L3946" t="str">
            <v>Proportional</v>
          </cell>
          <cell r="S3946">
            <v>277.27999999999997</v>
          </cell>
          <cell r="X3946" t="str">
            <v>Commissions - gross</v>
          </cell>
          <cell r="Y3946" t="str">
            <v>ITALY</v>
          </cell>
        </row>
        <row r="3947">
          <cell r="L3947" t="str">
            <v>Proportional</v>
          </cell>
          <cell r="S3947">
            <v>427</v>
          </cell>
          <cell r="X3947" t="str">
            <v>Commissions - gross</v>
          </cell>
          <cell r="Y3947" t="str">
            <v>SAUDI ARABIA</v>
          </cell>
        </row>
        <row r="3948">
          <cell r="L3948" t="str">
            <v>Proportional</v>
          </cell>
          <cell r="S3948">
            <v>32809.9</v>
          </cell>
          <cell r="X3948" t="str">
            <v>Commissions - gross</v>
          </cell>
          <cell r="Y3948" t="str">
            <v>PORTUGAL</v>
          </cell>
        </row>
        <row r="3949">
          <cell r="L3949" t="str">
            <v>Proportional</v>
          </cell>
          <cell r="S3949">
            <v>46885.41</v>
          </cell>
          <cell r="X3949" t="str">
            <v>Commissions - gross</v>
          </cell>
          <cell r="Y3949" t="str">
            <v>THAILAND</v>
          </cell>
        </row>
        <row r="3950">
          <cell r="L3950" t="str">
            <v>Proportional</v>
          </cell>
          <cell r="S3950">
            <v>-160.74</v>
          </cell>
          <cell r="X3950" t="str">
            <v>Commissions - gross</v>
          </cell>
          <cell r="Y3950" t="str">
            <v>CANADA</v>
          </cell>
        </row>
        <row r="3951">
          <cell r="L3951" t="str">
            <v>Proportional</v>
          </cell>
          <cell r="S3951">
            <v>778.6</v>
          </cell>
          <cell r="X3951" t="str">
            <v>Commissions - gross</v>
          </cell>
          <cell r="Y3951" t="str">
            <v>CHILE</v>
          </cell>
        </row>
        <row r="3952">
          <cell r="L3952" t="str">
            <v>Proportional</v>
          </cell>
          <cell r="S3952">
            <v>275.5</v>
          </cell>
          <cell r="X3952" t="str">
            <v>Commissions - gross</v>
          </cell>
          <cell r="Y3952" t="str">
            <v>THAILAND</v>
          </cell>
        </row>
        <row r="3953">
          <cell r="L3953" t="str">
            <v>Proportional</v>
          </cell>
          <cell r="S3953">
            <v>318.73</v>
          </cell>
          <cell r="X3953" t="str">
            <v>Commissions - gross</v>
          </cell>
          <cell r="Y3953" t="str">
            <v>REPUBLIC OF IRELAND</v>
          </cell>
        </row>
        <row r="3954">
          <cell r="L3954" t="str">
            <v>Proportional</v>
          </cell>
          <cell r="S3954">
            <v>40.29</v>
          </cell>
          <cell r="X3954" t="str">
            <v>Commissions - gross</v>
          </cell>
          <cell r="Y3954" t="str">
            <v>THAILAND</v>
          </cell>
        </row>
        <row r="3955">
          <cell r="L3955" t="str">
            <v>Proportional</v>
          </cell>
          <cell r="S3955">
            <v>-152.94</v>
          </cell>
          <cell r="X3955" t="str">
            <v>Commissions - gross</v>
          </cell>
          <cell r="Y3955" t="str">
            <v>INDIA</v>
          </cell>
        </row>
        <row r="3956">
          <cell r="L3956" t="str">
            <v>Proportional</v>
          </cell>
          <cell r="S3956">
            <v>6747.05</v>
          </cell>
          <cell r="X3956" t="str">
            <v>Commissions - gross</v>
          </cell>
          <cell r="Y3956" t="str">
            <v>UNITED KINGDOM</v>
          </cell>
        </row>
        <row r="3957">
          <cell r="L3957" t="str">
            <v>Proportional</v>
          </cell>
          <cell r="S3957">
            <v>-12.94</v>
          </cell>
          <cell r="X3957" t="str">
            <v>Commissions - gross</v>
          </cell>
          <cell r="Y3957" t="str">
            <v>THAILAND</v>
          </cell>
        </row>
        <row r="3958">
          <cell r="L3958" t="str">
            <v>Proportional</v>
          </cell>
          <cell r="S3958">
            <v>238.91</v>
          </cell>
          <cell r="X3958" t="str">
            <v>Commissions - gross</v>
          </cell>
          <cell r="Y3958" t="str">
            <v>PERU</v>
          </cell>
        </row>
        <row r="3959">
          <cell r="L3959" t="str">
            <v>Proportional</v>
          </cell>
          <cell r="S3959">
            <v>16574.25</v>
          </cell>
          <cell r="X3959" t="str">
            <v>Commissions - gross</v>
          </cell>
          <cell r="Y3959" t="str">
            <v>ITALY</v>
          </cell>
        </row>
        <row r="3960">
          <cell r="L3960" t="str">
            <v>Proportional</v>
          </cell>
          <cell r="S3960">
            <v>60.14</v>
          </cell>
          <cell r="X3960" t="str">
            <v>Commissions - gross</v>
          </cell>
          <cell r="Y3960" t="str">
            <v>THAILAND</v>
          </cell>
        </row>
        <row r="3961">
          <cell r="L3961" t="str">
            <v>Proportional</v>
          </cell>
          <cell r="S3961">
            <v>506529.89</v>
          </cell>
          <cell r="X3961" t="str">
            <v>Commissions - gross</v>
          </cell>
          <cell r="Y3961" t="str">
            <v>THAILAND</v>
          </cell>
        </row>
        <row r="3962">
          <cell r="L3962" t="str">
            <v>Proportional</v>
          </cell>
          <cell r="S3962">
            <v>10212.200000000001</v>
          </cell>
          <cell r="X3962" t="str">
            <v>Commissions - gross</v>
          </cell>
          <cell r="Y3962" t="str">
            <v>THAILAND</v>
          </cell>
        </row>
        <row r="3963">
          <cell r="L3963" t="str">
            <v>Proportional</v>
          </cell>
          <cell r="S3963">
            <v>18.68</v>
          </cell>
          <cell r="X3963" t="str">
            <v>Commissions - gross</v>
          </cell>
          <cell r="Y3963" t="str">
            <v>THAILAND</v>
          </cell>
        </row>
        <row r="3964">
          <cell r="L3964" t="str">
            <v>Proportional</v>
          </cell>
          <cell r="S3964">
            <v>24124.97</v>
          </cell>
          <cell r="X3964" t="str">
            <v>Commissions - gross</v>
          </cell>
          <cell r="Y3964" t="str">
            <v>THAILAND</v>
          </cell>
        </row>
        <row r="3965">
          <cell r="L3965" t="str">
            <v>Proportional</v>
          </cell>
          <cell r="S3965">
            <v>-2991.29</v>
          </cell>
          <cell r="X3965" t="str">
            <v>Commissions - gross</v>
          </cell>
          <cell r="Y3965" t="str">
            <v>THAILAND</v>
          </cell>
        </row>
        <row r="3966">
          <cell r="L3966" t="str">
            <v>Proportional</v>
          </cell>
          <cell r="S3966">
            <v>-751.31</v>
          </cell>
          <cell r="X3966" t="str">
            <v>Commissions - gross</v>
          </cell>
          <cell r="Y3966" t="str">
            <v>CHILE</v>
          </cell>
        </row>
        <row r="3967">
          <cell r="L3967" t="str">
            <v>Non-proportional</v>
          </cell>
          <cell r="S3967">
            <v>3782.82</v>
          </cell>
          <cell r="X3967" t="str">
            <v>Commissions - gross</v>
          </cell>
          <cell r="Y3967" t="str">
            <v>TURKEY</v>
          </cell>
        </row>
        <row r="3968">
          <cell r="L3968" t="str">
            <v>Proportional</v>
          </cell>
          <cell r="S3968">
            <v>-179.76</v>
          </cell>
          <cell r="X3968" t="str">
            <v>Commissions - gross</v>
          </cell>
          <cell r="Y3968" t="str">
            <v>THAILAND</v>
          </cell>
        </row>
        <row r="3969">
          <cell r="L3969" t="str">
            <v>Proportional</v>
          </cell>
          <cell r="S3969">
            <v>-123.93</v>
          </cell>
          <cell r="X3969" t="str">
            <v>Commissions - gross</v>
          </cell>
          <cell r="Y3969" t="str">
            <v>FRANCE</v>
          </cell>
        </row>
        <row r="3970">
          <cell r="L3970" t="str">
            <v>Proportional</v>
          </cell>
          <cell r="S3970">
            <v>8362.36</v>
          </cell>
          <cell r="X3970" t="str">
            <v>Commissions - gross</v>
          </cell>
          <cell r="Y3970" t="str">
            <v>INDIA</v>
          </cell>
        </row>
        <row r="3971">
          <cell r="L3971" t="str">
            <v>Proportional</v>
          </cell>
          <cell r="S3971">
            <v>388.21</v>
          </cell>
          <cell r="X3971" t="str">
            <v>Commissions - gross</v>
          </cell>
          <cell r="Y3971" t="str">
            <v>CHILE</v>
          </cell>
        </row>
        <row r="3972">
          <cell r="L3972" t="str">
            <v>Proportional</v>
          </cell>
          <cell r="S3972">
            <v>-111.35</v>
          </cell>
          <cell r="X3972" t="str">
            <v>Commissions - gross</v>
          </cell>
          <cell r="Y3972" t="str">
            <v>THAILAND</v>
          </cell>
        </row>
        <row r="3973">
          <cell r="L3973" t="str">
            <v>Proportional</v>
          </cell>
          <cell r="S3973">
            <v>45.69</v>
          </cell>
          <cell r="X3973" t="str">
            <v>Commissions - gross</v>
          </cell>
          <cell r="Y3973" t="str">
            <v>THAILAND</v>
          </cell>
        </row>
        <row r="3974">
          <cell r="L3974" t="str">
            <v>Proportional</v>
          </cell>
          <cell r="S3974">
            <v>41693.629999999997</v>
          </cell>
          <cell r="X3974" t="str">
            <v>Commissions - gross</v>
          </cell>
          <cell r="Y3974" t="str">
            <v>THAILAND</v>
          </cell>
        </row>
        <row r="3975">
          <cell r="L3975" t="str">
            <v>Proportional</v>
          </cell>
          <cell r="S3975">
            <v>38.14</v>
          </cell>
          <cell r="X3975" t="str">
            <v>Commissions - gross</v>
          </cell>
          <cell r="Y3975" t="str">
            <v>UNITED STATES</v>
          </cell>
        </row>
        <row r="3976">
          <cell r="L3976" t="str">
            <v>Proportional</v>
          </cell>
          <cell r="S3976">
            <v>-989.79</v>
          </cell>
          <cell r="X3976" t="str">
            <v>Commissions - gross</v>
          </cell>
          <cell r="Y3976" t="str">
            <v>THAILAND</v>
          </cell>
        </row>
        <row r="3977">
          <cell r="L3977" t="str">
            <v>Proportional</v>
          </cell>
          <cell r="S3977">
            <v>-296.58999999999997</v>
          </cell>
          <cell r="X3977" t="str">
            <v>Commissions - gross</v>
          </cell>
          <cell r="Y3977" t="str">
            <v>UNITED STATES</v>
          </cell>
        </row>
        <row r="3978">
          <cell r="L3978" t="str">
            <v>Proportional</v>
          </cell>
          <cell r="S3978">
            <v>718.77</v>
          </cell>
          <cell r="X3978" t="str">
            <v>Commissions - gross</v>
          </cell>
          <cell r="Y3978" t="str">
            <v>THAILAND</v>
          </cell>
        </row>
        <row r="3979">
          <cell r="L3979" t="str">
            <v>Proportional</v>
          </cell>
          <cell r="S3979">
            <v>5630.26</v>
          </cell>
          <cell r="X3979" t="str">
            <v>Commissions - gross</v>
          </cell>
          <cell r="Y3979" t="str">
            <v>THAILAND</v>
          </cell>
        </row>
        <row r="3980">
          <cell r="L3980" t="str">
            <v>Proportional</v>
          </cell>
          <cell r="S3980">
            <v>5695.39</v>
          </cell>
          <cell r="X3980" t="str">
            <v>Commissions - gross</v>
          </cell>
          <cell r="Y3980" t="str">
            <v>THAILAND</v>
          </cell>
        </row>
        <row r="3981">
          <cell r="L3981" t="str">
            <v>Proportional</v>
          </cell>
          <cell r="S3981">
            <v>-47.88</v>
          </cell>
          <cell r="X3981" t="str">
            <v>Commissions - gross</v>
          </cell>
          <cell r="Y3981" t="str">
            <v>CHILE</v>
          </cell>
        </row>
        <row r="3982">
          <cell r="L3982" t="str">
            <v>Proportional</v>
          </cell>
          <cell r="S3982">
            <v>3778.58</v>
          </cell>
          <cell r="X3982" t="str">
            <v>Commissions - gross</v>
          </cell>
          <cell r="Y3982" t="str">
            <v>AUSTRALIA</v>
          </cell>
        </row>
        <row r="3983">
          <cell r="L3983" t="str">
            <v>Proportional</v>
          </cell>
          <cell r="S3983">
            <v>976.88</v>
          </cell>
          <cell r="X3983" t="str">
            <v>Commissions - gross</v>
          </cell>
          <cell r="Y3983" t="str">
            <v>ITALY</v>
          </cell>
        </row>
        <row r="3984">
          <cell r="L3984" t="str">
            <v>Proportional</v>
          </cell>
          <cell r="S3984">
            <v>263.72000000000003</v>
          </cell>
          <cell r="X3984" t="str">
            <v>Commissions - gross</v>
          </cell>
          <cell r="Y3984" t="str">
            <v>INDIA</v>
          </cell>
        </row>
        <row r="3985">
          <cell r="L3985" t="str">
            <v>Proportional</v>
          </cell>
          <cell r="S3985">
            <v>48.77</v>
          </cell>
          <cell r="X3985" t="str">
            <v>Commissions - gross</v>
          </cell>
          <cell r="Y3985" t="str">
            <v>THAILAND</v>
          </cell>
        </row>
        <row r="3986">
          <cell r="L3986" t="str">
            <v>Proportional</v>
          </cell>
          <cell r="S3986">
            <v>-219.35</v>
          </cell>
          <cell r="X3986" t="str">
            <v>Commissions - gross</v>
          </cell>
          <cell r="Y3986" t="str">
            <v>THAILAND</v>
          </cell>
        </row>
        <row r="3987">
          <cell r="L3987" t="str">
            <v>Proportional</v>
          </cell>
          <cell r="S3987">
            <v>772.08</v>
          </cell>
          <cell r="X3987" t="str">
            <v>Commissions - gross</v>
          </cell>
          <cell r="Y3987" t="str">
            <v>HONG KONG</v>
          </cell>
        </row>
        <row r="3988">
          <cell r="L3988" t="str">
            <v>Proportional</v>
          </cell>
          <cell r="S3988">
            <v>33.299999999999997</v>
          </cell>
          <cell r="X3988" t="str">
            <v>Commissions - gross</v>
          </cell>
          <cell r="Y3988" t="str">
            <v>THAILAND</v>
          </cell>
        </row>
        <row r="3989">
          <cell r="L3989" t="str">
            <v>Proportional</v>
          </cell>
          <cell r="S3989">
            <v>14889.02</v>
          </cell>
          <cell r="X3989" t="str">
            <v>Commissions - gross</v>
          </cell>
          <cell r="Y3989" t="str">
            <v>CANADA</v>
          </cell>
        </row>
        <row r="3990">
          <cell r="L3990" t="str">
            <v>Proportional</v>
          </cell>
          <cell r="S3990">
            <v>18235</v>
          </cell>
          <cell r="X3990" t="str">
            <v>Commissions - gross</v>
          </cell>
          <cell r="Y3990" t="str">
            <v>ITALY</v>
          </cell>
        </row>
        <row r="3991">
          <cell r="L3991" t="str">
            <v>Proportional</v>
          </cell>
          <cell r="S3991">
            <v>2977.94</v>
          </cell>
          <cell r="X3991" t="str">
            <v>Commissions - gross</v>
          </cell>
          <cell r="Y3991" t="str">
            <v>THAILAND</v>
          </cell>
        </row>
        <row r="3992">
          <cell r="L3992" t="str">
            <v>Proportional</v>
          </cell>
          <cell r="S3992">
            <v>-177.46</v>
          </cell>
          <cell r="X3992" t="str">
            <v>Commissions - gross</v>
          </cell>
          <cell r="Y3992" t="str">
            <v>INDIA</v>
          </cell>
        </row>
        <row r="3993">
          <cell r="L3993" t="str">
            <v>Proportional</v>
          </cell>
          <cell r="S3993">
            <v>-1277665.71</v>
          </cell>
          <cell r="X3993" t="str">
            <v>Commissions - gross</v>
          </cell>
          <cell r="Y3993" t="str">
            <v>SWITZERLAND</v>
          </cell>
        </row>
        <row r="3994">
          <cell r="L3994" t="str">
            <v>Proportional</v>
          </cell>
          <cell r="S3994">
            <v>15940.59</v>
          </cell>
          <cell r="X3994" t="str">
            <v>Commissions - gross</v>
          </cell>
          <cell r="Y3994" t="str">
            <v>PORTUGAL</v>
          </cell>
        </row>
        <row r="3995">
          <cell r="L3995" t="str">
            <v>Proportional</v>
          </cell>
          <cell r="S3995">
            <v>22622.71</v>
          </cell>
          <cell r="X3995" t="str">
            <v>Commissions - gross</v>
          </cell>
          <cell r="Y3995" t="str">
            <v>JAPAN</v>
          </cell>
        </row>
        <row r="3996">
          <cell r="L3996" t="str">
            <v>Proportional</v>
          </cell>
          <cell r="S3996">
            <v>62346.52</v>
          </cell>
          <cell r="X3996" t="str">
            <v>Commissions - gross</v>
          </cell>
          <cell r="Y3996" t="str">
            <v>AUSTRALIA</v>
          </cell>
        </row>
        <row r="3997">
          <cell r="L3997" t="str">
            <v>Proportional</v>
          </cell>
          <cell r="S3997">
            <v>581032.89</v>
          </cell>
          <cell r="X3997" t="str">
            <v>Commissions - gross</v>
          </cell>
          <cell r="Y3997" t="str">
            <v>THAILAND</v>
          </cell>
        </row>
        <row r="3998">
          <cell r="L3998" t="str">
            <v>Proportional</v>
          </cell>
          <cell r="S3998">
            <v>10698.29</v>
          </cell>
          <cell r="X3998" t="str">
            <v>Commissions - gross</v>
          </cell>
          <cell r="Y3998" t="str">
            <v>JAPAN</v>
          </cell>
        </row>
        <row r="3999">
          <cell r="L3999" t="str">
            <v>Proportional</v>
          </cell>
          <cell r="S3999">
            <v>6106.85</v>
          </cell>
          <cell r="X3999" t="str">
            <v>Commissions - gross</v>
          </cell>
          <cell r="Y3999" t="str">
            <v>ITALY</v>
          </cell>
        </row>
        <row r="4000">
          <cell r="L4000" t="str">
            <v>Proportional</v>
          </cell>
          <cell r="S4000">
            <v>2180.91</v>
          </cell>
          <cell r="X4000" t="str">
            <v>Commissions - gross</v>
          </cell>
          <cell r="Y4000" t="str">
            <v>ITALY</v>
          </cell>
        </row>
        <row r="4001">
          <cell r="L4001" t="str">
            <v>Proportional</v>
          </cell>
          <cell r="S4001">
            <v>1007.53</v>
          </cell>
          <cell r="X4001" t="str">
            <v>Commissions - gross</v>
          </cell>
          <cell r="Y4001" t="str">
            <v>ITALY</v>
          </cell>
        </row>
        <row r="4002">
          <cell r="L4002" t="str">
            <v>Proportional</v>
          </cell>
          <cell r="S4002">
            <v>5593.35</v>
          </cell>
          <cell r="X4002" t="str">
            <v>Commissions - gross</v>
          </cell>
          <cell r="Y4002" t="str">
            <v>FRANCE</v>
          </cell>
        </row>
        <row r="4003">
          <cell r="L4003" t="str">
            <v>Proportional</v>
          </cell>
          <cell r="S4003">
            <v>29493.22</v>
          </cell>
          <cell r="X4003" t="str">
            <v>Commissions - gross</v>
          </cell>
          <cell r="Y4003" t="str">
            <v>HONG KONG</v>
          </cell>
        </row>
        <row r="4004">
          <cell r="L4004" t="str">
            <v>Proportional</v>
          </cell>
          <cell r="S4004">
            <v>54666.18</v>
          </cell>
          <cell r="X4004" t="str">
            <v>Commissions - gross</v>
          </cell>
          <cell r="Y4004" t="str">
            <v>HONG KONG</v>
          </cell>
        </row>
        <row r="4005">
          <cell r="L4005" t="str">
            <v>Proportional</v>
          </cell>
          <cell r="S4005">
            <v>-1885.31</v>
          </cell>
          <cell r="X4005" t="str">
            <v>Commissions - gross</v>
          </cell>
          <cell r="Y4005" t="str">
            <v>THAILAND</v>
          </cell>
        </row>
        <row r="4006">
          <cell r="L4006" t="str">
            <v>Proportional</v>
          </cell>
          <cell r="S4006">
            <v>-123.55</v>
          </cell>
          <cell r="X4006" t="str">
            <v>Commissions - gross</v>
          </cell>
          <cell r="Y4006" t="str">
            <v>CHILE</v>
          </cell>
        </row>
        <row r="4007">
          <cell r="L4007" t="str">
            <v>Non-proportional</v>
          </cell>
          <cell r="S4007">
            <v>3782.82</v>
          </cell>
          <cell r="X4007" t="str">
            <v>Commissions - gross</v>
          </cell>
          <cell r="Y4007" t="str">
            <v>TURKEY</v>
          </cell>
        </row>
        <row r="4008">
          <cell r="L4008" t="str">
            <v>Proportional</v>
          </cell>
          <cell r="S4008">
            <v>-286.64999999999998</v>
          </cell>
          <cell r="X4008" t="str">
            <v>Commissions - gross</v>
          </cell>
          <cell r="Y4008" t="str">
            <v>CANADA</v>
          </cell>
        </row>
        <row r="4009">
          <cell r="L4009" t="str">
            <v>Proportional</v>
          </cell>
          <cell r="S4009">
            <v>35.29</v>
          </cell>
          <cell r="X4009" t="str">
            <v>Commissions - gross</v>
          </cell>
          <cell r="Y4009" t="str">
            <v>CHILE</v>
          </cell>
        </row>
        <row r="4010">
          <cell r="L4010" t="str">
            <v>Proportional</v>
          </cell>
          <cell r="S4010">
            <v>6744.4</v>
          </cell>
          <cell r="X4010" t="str">
            <v>Commissions - gross</v>
          </cell>
          <cell r="Y4010" t="str">
            <v>UNITED KINGDOM</v>
          </cell>
        </row>
        <row r="4011">
          <cell r="L4011" t="str">
            <v>Proportional</v>
          </cell>
          <cell r="S4011">
            <v>50901.48</v>
          </cell>
          <cell r="X4011" t="str">
            <v>Commissions - gross</v>
          </cell>
          <cell r="Y4011" t="str">
            <v>HONG KONG</v>
          </cell>
        </row>
        <row r="4012">
          <cell r="L4012" t="str">
            <v>Proportional</v>
          </cell>
          <cell r="S4012">
            <v>7.78</v>
          </cell>
          <cell r="X4012" t="str">
            <v>Commissions - gross</v>
          </cell>
          <cell r="Y4012" t="str">
            <v>FRANCE</v>
          </cell>
        </row>
        <row r="4013">
          <cell r="L4013" t="str">
            <v>Proportional</v>
          </cell>
          <cell r="S4013">
            <v>-941.1</v>
          </cell>
          <cell r="X4013" t="str">
            <v>Commissions - gross</v>
          </cell>
          <cell r="Y4013" t="str">
            <v>CHILE</v>
          </cell>
        </row>
        <row r="4014">
          <cell r="L4014" t="str">
            <v>Proportional</v>
          </cell>
          <cell r="S4014">
            <v>313.74</v>
          </cell>
          <cell r="X4014" t="str">
            <v>Commissions - gross</v>
          </cell>
          <cell r="Y4014" t="str">
            <v>ITALY</v>
          </cell>
        </row>
        <row r="4015">
          <cell r="L4015" t="str">
            <v>Proportional</v>
          </cell>
          <cell r="S4015">
            <v>527.74</v>
          </cell>
          <cell r="X4015" t="str">
            <v>Commissions - gross</v>
          </cell>
          <cell r="Y4015" t="str">
            <v>THAILAND</v>
          </cell>
        </row>
        <row r="4016">
          <cell r="L4016" t="str">
            <v>Proportional</v>
          </cell>
          <cell r="S4016">
            <v>1018.73</v>
          </cell>
          <cell r="X4016" t="str">
            <v>Commissions - gross</v>
          </cell>
          <cell r="Y4016" t="str">
            <v>FRANCE</v>
          </cell>
        </row>
        <row r="4017">
          <cell r="L4017" t="str">
            <v>Proportional</v>
          </cell>
          <cell r="S4017">
            <v>10691.67</v>
          </cell>
          <cell r="X4017" t="str">
            <v>Commissions - gross</v>
          </cell>
          <cell r="Y4017" t="str">
            <v>PORTUGAL</v>
          </cell>
        </row>
        <row r="4018">
          <cell r="L4018" t="str">
            <v>Proportional</v>
          </cell>
          <cell r="S4018">
            <v>16.96</v>
          </cell>
          <cell r="X4018" t="str">
            <v>Commissions - gross</v>
          </cell>
          <cell r="Y4018" t="str">
            <v>UNITED STATES</v>
          </cell>
        </row>
        <row r="4019">
          <cell r="L4019" t="str">
            <v>Proportional</v>
          </cell>
          <cell r="S4019">
            <v>70.58</v>
          </cell>
          <cell r="X4019" t="str">
            <v>Commissions - gross</v>
          </cell>
          <cell r="Y4019" t="str">
            <v>CHILE</v>
          </cell>
        </row>
        <row r="4020">
          <cell r="L4020" t="str">
            <v>Proportional</v>
          </cell>
          <cell r="S4020">
            <v>84165656.359999999</v>
          </cell>
          <cell r="X4020" t="str">
            <v>Commissions - gross</v>
          </cell>
          <cell r="Y4020" t="str">
            <v>ITALY</v>
          </cell>
        </row>
        <row r="4021">
          <cell r="L4021" t="str">
            <v>Proportional</v>
          </cell>
          <cell r="S4021">
            <v>1560</v>
          </cell>
          <cell r="X4021" t="str">
            <v>Commissions - gross</v>
          </cell>
          <cell r="Y4021" t="str">
            <v>SPAIN</v>
          </cell>
        </row>
        <row r="4022">
          <cell r="L4022" t="str">
            <v>Proportional</v>
          </cell>
          <cell r="S4022">
            <v>22177.45</v>
          </cell>
          <cell r="X4022" t="str">
            <v>Commissions - gross</v>
          </cell>
          <cell r="Y4022" t="str">
            <v>UNITED STATES</v>
          </cell>
        </row>
        <row r="4023">
          <cell r="L4023" t="str">
            <v>Proportional</v>
          </cell>
          <cell r="S4023">
            <v>408.52</v>
          </cell>
          <cell r="X4023" t="str">
            <v>Commissions - gross</v>
          </cell>
          <cell r="Y4023" t="str">
            <v>PERU</v>
          </cell>
        </row>
        <row r="4024">
          <cell r="L4024" t="str">
            <v>Proportional</v>
          </cell>
          <cell r="S4024">
            <v>1990.95</v>
          </cell>
          <cell r="X4024" t="str">
            <v>Commissions - gross</v>
          </cell>
          <cell r="Y4024" t="str">
            <v>THAILAND</v>
          </cell>
        </row>
        <row r="4025">
          <cell r="L4025" t="str">
            <v>Proportional</v>
          </cell>
          <cell r="S4025">
            <v>9002.8799999999992</v>
          </cell>
          <cell r="X4025" t="str">
            <v>Commissions - gross</v>
          </cell>
          <cell r="Y4025" t="str">
            <v>FRANCE</v>
          </cell>
        </row>
        <row r="4026">
          <cell r="L4026" t="str">
            <v>Proportional</v>
          </cell>
          <cell r="S4026">
            <v>8282.18</v>
          </cell>
          <cell r="X4026" t="str">
            <v>Commissions - gross</v>
          </cell>
          <cell r="Y4026" t="str">
            <v>THAILAND</v>
          </cell>
        </row>
        <row r="4027">
          <cell r="L4027" t="str">
            <v>Proportional</v>
          </cell>
          <cell r="S4027">
            <v>407.55</v>
          </cell>
          <cell r="X4027" t="str">
            <v>Commissions - gross</v>
          </cell>
          <cell r="Y4027" t="str">
            <v>REPUBLIC OF IRELAND</v>
          </cell>
        </row>
        <row r="4028">
          <cell r="L4028" t="str">
            <v>Proportional</v>
          </cell>
          <cell r="S4028">
            <v>129.47</v>
          </cell>
          <cell r="X4028" t="str">
            <v>Commissions - gross</v>
          </cell>
          <cell r="Y4028" t="str">
            <v>CANADA</v>
          </cell>
        </row>
        <row r="4029">
          <cell r="L4029" t="str">
            <v>Proportional</v>
          </cell>
          <cell r="S4029">
            <v>11820.12</v>
          </cell>
          <cell r="X4029" t="str">
            <v>Commissions - gross</v>
          </cell>
          <cell r="Y4029" t="str">
            <v>THAILAND</v>
          </cell>
        </row>
        <row r="4030">
          <cell r="L4030" t="str">
            <v>Proportional</v>
          </cell>
          <cell r="S4030">
            <v>56.82</v>
          </cell>
          <cell r="X4030" t="str">
            <v>Commissions - gross</v>
          </cell>
          <cell r="Y4030" t="str">
            <v>THAILAND</v>
          </cell>
        </row>
        <row r="4031">
          <cell r="L4031" t="str">
            <v>Proportional</v>
          </cell>
          <cell r="S4031">
            <v>389.27</v>
          </cell>
          <cell r="X4031" t="str">
            <v>Commissions - gross</v>
          </cell>
          <cell r="Y4031" t="str">
            <v>PERU</v>
          </cell>
        </row>
        <row r="4032">
          <cell r="L4032" t="str">
            <v>Proportional</v>
          </cell>
          <cell r="S4032">
            <v>32695.07</v>
          </cell>
          <cell r="X4032" t="str">
            <v>Commissions - gross</v>
          </cell>
          <cell r="Y4032" t="str">
            <v>UNITED STATES</v>
          </cell>
        </row>
        <row r="4033">
          <cell r="L4033" t="str">
            <v>Proportional</v>
          </cell>
          <cell r="S4033">
            <v>-206.21</v>
          </cell>
          <cell r="X4033" t="str">
            <v>Commissions - gross</v>
          </cell>
          <cell r="Y4033" t="str">
            <v>THAILAND</v>
          </cell>
        </row>
        <row r="4034">
          <cell r="L4034" t="str">
            <v>Proportional</v>
          </cell>
          <cell r="S4034">
            <v>50.69</v>
          </cell>
          <cell r="X4034" t="str">
            <v>Commissions - gross</v>
          </cell>
          <cell r="Y4034" t="str">
            <v>THAILAND</v>
          </cell>
        </row>
        <row r="4035">
          <cell r="L4035" t="str">
            <v>Non-proportional</v>
          </cell>
          <cell r="S4035">
            <v>3532.69</v>
          </cell>
          <cell r="X4035" t="str">
            <v>Commissions - gross</v>
          </cell>
          <cell r="Y4035" t="str">
            <v>TURKEY</v>
          </cell>
        </row>
        <row r="4036">
          <cell r="L4036" t="str">
            <v>Proportional</v>
          </cell>
          <cell r="S4036">
            <v>-31949.82</v>
          </cell>
          <cell r="X4036" t="str">
            <v>Commissions - gross</v>
          </cell>
          <cell r="Y4036" t="str">
            <v>SWITZERLAND</v>
          </cell>
        </row>
        <row r="4037">
          <cell r="L4037" t="str">
            <v>Proportional</v>
          </cell>
          <cell r="S4037">
            <v>-14.85</v>
          </cell>
          <cell r="X4037" t="str">
            <v>Commissions - gross</v>
          </cell>
          <cell r="Y4037" t="str">
            <v>THAILAND</v>
          </cell>
        </row>
        <row r="4038">
          <cell r="L4038" t="str">
            <v>Proportional</v>
          </cell>
          <cell r="S4038">
            <v>-39.49</v>
          </cell>
          <cell r="X4038" t="str">
            <v>Commissions - gross</v>
          </cell>
          <cell r="Y4038" t="str">
            <v>INDIA</v>
          </cell>
        </row>
        <row r="4039">
          <cell r="L4039" t="str">
            <v>Proportional</v>
          </cell>
          <cell r="S4039">
            <v>-37069.910000000003</v>
          </cell>
          <cell r="X4039" t="str">
            <v>Commissions - gross</v>
          </cell>
          <cell r="Y4039" t="str">
            <v>THAILAND</v>
          </cell>
        </row>
        <row r="4040">
          <cell r="L4040" t="str">
            <v>Proportional</v>
          </cell>
          <cell r="S4040">
            <v>5738.91</v>
          </cell>
          <cell r="X4040" t="str">
            <v>Commissions - gross</v>
          </cell>
          <cell r="Y4040" t="str">
            <v>EUROPE</v>
          </cell>
        </row>
        <row r="4041">
          <cell r="L4041" t="str">
            <v>Proportional</v>
          </cell>
          <cell r="S4041">
            <v>-127.02</v>
          </cell>
          <cell r="X4041" t="str">
            <v>Commissions - gross</v>
          </cell>
          <cell r="Y4041" t="str">
            <v>THAILAND</v>
          </cell>
        </row>
        <row r="4042">
          <cell r="L4042" t="str">
            <v>Proportional</v>
          </cell>
          <cell r="S4042">
            <v>-129.47</v>
          </cell>
          <cell r="X4042" t="str">
            <v>Commissions - gross</v>
          </cell>
          <cell r="Y4042" t="str">
            <v>CANADA</v>
          </cell>
        </row>
        <row r="4043">
          <cell r="L4043" t="str">
            <v>Proportional</v>
          </cell>
          <cell r="S4043">
            <v>529.37</v>
          </cell>
          <cell r="X4043" t="str">
            <v>Commissions - gross</v>
          </cell>
          <cell r="Y4043" t="str">
            <v>CHILE</v>
          </cell>
        </row>
        <row r="4044">
          <cell r="L4044" t="str">
            <v>Proportional</v>
          </cell>
          <cell r="S4044">
            <v>407.55</v>
          </cell>
          <cell r="X4044" t="str">
            <v>Commissions - gross</v>
          </cell>
          <cell r="Y4044" t="str">
            <v>REPUBLIC OF IRELAND</v>
          </cell>
        </row>
        <row r="4045">
          <cell r="L4045" t="str">
            <v>Proportional</v>
          </cell>
          <cell r="S4045">
            <v>-89.19</v>
          </cell>
          <cell r="X4045" t="str">
            <v>Commissions - gross</v>
          </cell>
          <cell r="Y4045" t="str">
            <v>CHILE</v>
          </cell>
        </row>
        <row r="4046">
          <cell r="L4046" t="str">
            <v>Proportional</v>
          </cell>
          <cell r="S4046">
            <v>24093.33</v>
          </cell>
          <cell r="X4046" t="str">
            <v>Commissions - gross</v>
          </cell>
          <cell r="Y4046" t="str">
            <v>FRANCE</v>
          </cell>
        </row>
        <row r="4047">
          <cell r="L4047" t="str">
            <v>Proportional</v>
          </cell>
          <cell r="S4047">
            <v>200085.36</v>
          </cell>
          <cell r="X4047" t="str">
            <v>Commissions - gross</v>
          </cell>
          <cell r="Y4047" t="str">
            <v>HONG KONG</v>
          </cell>
        </row>
        <row r="4048">
          <cell r="L4048" t="str">
            <v>Proportional</v>
          </cell>
          <cell r="S4048">
            <v>1266.32</v>
          </cell>
          <cell r="X4048" t="str">
            <v>Commissions - gross</v>
          </cell>
          <cell r="Y4048" t="str">
            <v>THAILAND</v>
          </cell>
        </row>
        <row r="4049">
          <cell r="L4049" t="str">
            <v>Proportional</v>
          </cell>
          <cell r="S4049">
            <v>1745.32</v>
          </cell>
          <cell r="X4049" t="str">
            <v>Commissions - gross</v>
          </cell>
          <cell r="Y4049" t="str">
            <v>THAILAND</v>
          </cell>
        </row>
        <row r="4050">
          <cell r="L4050" t="str">
            <v>Proportional</v>
          </cell>
          <cell r="S4050">
            <v>9758.3700000000008</v>
          </cell>
          <cell r="X4050" t="str">
            <v>Commissions - gross</v>
          </cell>
          <cell r="Y4050" t="str">
            <v>ITALY</v>
          </cell>
        </row>
        <row r="4051">
          <cell r="L4051" t="str">
            <v>Proportional</v>
          </cell>
          <cell r="S4051">
            <v>-868.58</v>
          </cell>
          <cell r="X4051" t="str">
            <v>Commissions - gross</v>
          </cell>
          <cell r="Y4051" t="str">
            <v>INDIA</v>
          </cell>
        </row>
        <row r="4052">
          <cell r="L4052" t="str">
            <v>Proportional</v>
          </cell>
          <cell r="S4052">
            <v>917.58</v>
          </cell>
          <cell r="X4052" t="str">
            <v>Commissions - gross</v>
          </cell>
          <cell r="Y4052" t="str">
            <v>CHILE</v>
          </cell>
        </row>
        <row r="4053">
          <cell r="L4053" t="str">
            <v>Proportional</v>
          </cell>
          <cell r="S4053">
            <v>954.95</v>
          </cell>
          <cell r="X4053" t="str">
            <v>Commissions - gross</v>
          </cell>
          <cell r="Y4053" t="str">
            <v>THAILAND</v>
          </cell>
        </row>
        <row r="4054">
          <cell r="L4054" t="str">
            <v>Proportional</v>
          </cell>
          <cell r="S4054">
            <v>811.71</v>
          </cell>
          <cell r="X4054" t="str">
            <v>Commissions - gross</v>
          </cell>
          <cell r="Y4054" t="str">
            <v>CHILE</v>
          </cell>
        </row>
        <row r="4055">
          <cell r="L4055" t="str">
            <v>Proportional</v>
          </cell>
          <cell r="S4055">
            <v>22731.14</v>
          </cell>
          <cell r="X4055" t="str">
            <v>Commissions - gross</v>
          </cell>
          <cell r="Y4055" t="str">
            <v>THAILAND</v>
          </cell>
        </row>
        <row r="4056">
          <cell r="L4056" t="str">
            <v>Proportional</v>
          </cell>
          <cell r="S4056">
            <v>223.43</v>
          </cell>
          <cell r="X4056" t="str">
            <v>Commissions - gross</v>
          </cell>
          <cell r="Y4056" t="str">
            <v>THAILAND</v>
          </cell>
        </row>
        <row r="4057">
          <cell r="L4057" t="str">
            <v>Proportional</v>
          </cell>
          <cell r="S4057">
            <v>2122.33</v>
          </cell>
          <cell r="X4057" t="str">
            <v>Commissions - gross</v>
          </cell>
          <cell r="Y4057" t="str">
            <v>HONG KONG</v>
          </cell>
        </row>
        <row r="4058">
          <cell r="L4058" t="str">
            <v>Proportional</v>
          </cell>
          <cell r="S4058">
            <v>10598.53</v>
          </cell>
          <cell r="X4058" t="str">
            <v>Commissions - gross</v>
          </cell>
          <cell r="Y4058" t="str">
            <v>UNITED ARAB EMIRATES</v>
          </cell>
        </row>
        <row r="4059">
          <cell r="L4059" t="str">
            <v>Proportional</v>
          </cell>
          <cell r="S4059">
            <v>-3431.26</v>
          </cell>
          <cell r="X4059" t="str">
            <v>Commissions - gross</v>
          </cell>
          <cell r="Y4059" t="str">
            <v>THAILAND</v>
          </cell>
        </row>
        <row r="4060">
          <cell r="L4060" t="str">
            <v>Proportional</v>
          </cell>
          <cell r="S4060">
            <v>32.67</v>
          </cell>
          <cell r="X4060" t="str">
            <v>Commissions - gross</v>
          </cell>
          <cell r="Y4060" t="str">
            <v>THAILAND</v>
          </cell>
        </row>
        <row r="4061">
          <cell r="L4061" t="str">
            <v>Proportional</v>
          </cell>
          <cell r="S4061">
            <v>19146.75</v>
          </cell>
          <cell r="X4061" t="str">
            <v>Commissions - gross</v>
          </cell>
          <cell r="Y4061" t="str">
            <v>ITALY</v>
          </cell>
        </row>
        <row r="4062">
          <cell r="L4062" t="str">
            <v>Proportional</v>
          </cell>
          <cell r="S4062">
            <v>15513.91</v>
          </cell>
          <cell r="X4062" t="str">
            <v>Commissions - gross</v>
          </cell>
          <cell r="Y4062" t="str">
            <v>THAILAND</v>
          </cell>
        </row>
        <row r="4063">
          <cell r="L4063" t="str">
            <v>Proportional</v>
          </cell>
          <cell r="S4063">
            <v>-754.12</v>
          </cell>
          <cell r="X4063" t="str">
            <v>Commissions - gross</v>
          </cell>
          <cell r="Y4063" t="str">
            <v>THAILAND</v>
          </cell>
        </row>
        <row r="4064">
          <cell r="L4064" t="str">
            <v>Proportional</v>
          </cell>
          <cell r="S4064">
            <v>3749.34</v>
          </cell>
          <cell r="X4064" t="str">
            <v>Commissions - gross</v>
          </cell>
          <cell r="Y4064" t="str">
            <v>THAILAND</v>
          </cell>
        </row>
        <row r="4065">
          <cell r="L4065" t="str">
            <v>Proportional</v>
          </cell>
          <cell r="S4065">
            <v>10449.01</v>
          </cell>
          <cell r="X4065" t="str">
            <v>Commissions - gross</v>
          </cell>
          <cell r="Y4065" t="str">
            <v>THAILAND</v>
          </cell>
        </row>
        <row r="4066">
          <cell r="L4066" t="str">
            <v>Proportional</v>
          </cell>
          <cell r="S4066">
            <v>640.14</v>
          </cell>
          <cell r="X4066" t="str">
            <v>Commissions - gross</v>
          </cell>
          <cell r="Y4066" t="str">
            <v>SWITZERLAND</v>
          </cell>
        </row>
        <row r="4067">
          <cell r="L4067" t="str">
            <v>Proportional</v>
          </cell>
          <cell r="S4067">
            <v>21911.98</v>
          </cell>
          <cell r="X4067" t="str">
            <v>Commissions - gross</v>
          </cell>
          <cell r="Y4067" t="str">
            <v>UNITED STATES</v>
          </cell>
        </row>
        <row r="4068">
          <cell r="L4068" t="str">
            <v>Proportional</v>
          </cell>
          <cell r="S4068">
            <v>886.98</v>
          </cell>
          <cell r="X4068" t="str">
            <v>Commissions - gross</v>
          </cell>
          <cell r="Y4068" t="str">
            <v>INDIA</v>
          </cell>
        </row>
        <row r="4069">
          <cell r="L4069" t="str">
            <v>Proportional</v>
          </cell>
          <cell r="S4069">
            <v>470.45</v>
          </cell>
          <cell r="X4069" t="str">
            <v>Commissions - gross</v>
          </cell>
          <cell r="Y4069" t="str">
            <v>INDIA</v>
          </cell>
        </row>
        <row r="4070">
          <cell r="L4070" t="str">
            <v>Proportional</v>
          </cell>
          <cell r="S4070">
            <v>269573.15000000002</v>
          </cell>
          <cell r="X4070" t="str">
            <v>Commissions - gross</v>
          </cell>
          <cell r="Y4070" t="str">
            <v>THAILAND</v>
          </cell>
        </row>
        <row r="4071">
          <cell r="L4071" t="str">
            <v>Proportional</v>
          </cell>
          <cell r="S4071">
            <v>19565.57</v>
          </cell>
          <cell r="X4071" t="str">
            <v>Commissions - gross</v>
          </cell>
          <cell r="Y4071" t="str">
            <v>THAILAND</v>
          </cell>
        </row>
        <row r="4072">
          <cell r="L4072" t="str">
            <v>Proportional</v>
          </cell>
          <cell r="S4072">
            <v>-2660.05</v>
          </cell>
          <cell r="X4072" t="str">
            <v>Commissions - gross</v>
          </cell>
          <cell r="Y4072" t="str">
            <v>THAILAND</v>
          </cell>
        </row>
        <row r="4073">
          <cell r="L4073" t="str">
            <v>Proportional</v>
          </cell>
          <cell r="S4073">
            <v>546</v>
          </cell>
          <cell r="X4073" t="str">
            <v>Commissions - gross</v>
          </cell>
          <cell r="Y4073" t="str">
            <v>SAUDI ARABIA</v>
          </cell>
        </row>
        <row r="4074">
          <cell r="L4074" t="str">
            <v>Proportional</v>
          </cell>
          <cell r="S4074">
            <v>50204.66</v>
          </cell>
          <cell r="X4074" t="str">
            <v>Commissions - gross</v>
          </cell>
          <cell r="Y4074" t="str">
            <v>HONG KONG</v>
          </cell>
        </row>
        <row r="4075">
          <cell r="L4075" t="str">
            <v>Proportional</v>
          </cell>
          <cell r="S4075">
            <v>28798.61</v>
          </cell>
          <cell r="X4075" t="str">
            <v>Commissions - gross</v>
          </cell>
          <cell r="Y4075" t="str">
            <v>PORTUGAL</v>
          </cell>
        </row>
        <row r="4076">
          <cell r="L4076" t="str">
            <v>Proportional</v>
          </cell>
          <cell r="S4076">
            <v>23.34</v>
          </cell>
          <cell r="X4076" t="str">
            <v>Commissions - gross</v>
          </cell>
          <cell r="Y4076" t="str">
            <v>MEXICO</v>
          </cell>
        </row>
        <row r="4077">
          <cell r="L4077" t="str">
            <v>Proportional</v>
          </cell>
          <cell r="S4077">
            <v>860416.67</v>
          </cell>
          <cell r="X4077" t="str">
            <v>Commissions - gross</v>
          </cell>
          <cell r="Y4077" t="str">
            <v>PORTUGAL</v>
          </cell>
        </row>
        <row r="4078">
          <cell r="L4078" t="str">
            <v>Proportional</v>
          </cell>
          <cell r="S4078">
            <v>7230.89</v>
          </cell>
          <cell r="X4078" t="str">
            <v>Commissions - gross</v>
          </cell>
          <cell r="Y4078" t="str">
            <v>INDIA</v>
          </cell>
        </row>
        <row r="4079">
          <cell r="L4079" t="str">
            <v>Proportional</v>
          </cell>
          <cell r="S4079">
            <v>232.71</v>
          </cell>
          <cell r="X4079" t="str">
            <v>Commissions - gross</v>
          </cell>
          <cell r="Y4079" t="str">
            <v>THAILAND</v>
          </cell>
        </row>
        <row r="4080">
          <cell r="L4080" t="str">
            <v>Proportional</v>
          </cell>
          <cell r="S4080">
            <v>-5601.89</v>
          </cell>
          <cell r="X4080" t="str">
            <v>Commissions - gross</v>
          </cell>
          <cell r="Y4080" t="str">
            <v>AUSTRALIA</v>
          </cell>
        </row>
        <row r="4081">
          <cell r="L4081" t="str">
            <v>Proportional</v>
          </cell>
          <cell r="S4081">
            <v>279.82</v>
          </cell>
          <cell r="X4081" t="str">
            <v>Commissions - gross</v>
          </cell>
          <cell r="Y4081" t="str">
            <v>PERU</v>
          </cell>
        </row>
        <row r="4082">
          <cell r="L4082" t="str">
            <v>Proportional</v>
          </cell>
          <cell r="S4082">
            <v>3176.24</v>
          </cell>
          <cell r="X4082" t="str">
            <v>Commissions - gross</v>
          </cell>
          <cell r="Y4082" t="str">
            <v>CHILE</v>
          </cell>
        </row>
        <row r="4083">
          <cell r="L4083" t="str">
            <v>Proportional</v>
          </cell>
          <cell r="S4083">
            <v>3466.68</v>
          </cell>
          <cell r="X4083" t="str">
            <v>Commissions - gross</v>
          </cell>
          <cell r="Y4083" t="str">
            <v>BELGIUM</v>
          </cell>
        </row>
        <row r="4084">
          <cell r="L4084" t="str">
            <v>Proportional</v>
          </cell>
          <cell r="S4084">
            <v>202.8</v>
          </cell>
          <cell r="X4084" t="str">
            <v>Commissions - gross</v>
          </cell>
          <cell r="Y4084" t="str">
            <v>INDIA</v>
          </cell>
        </row>
        <row r="4085">
          <cell r="L4085" t="str">
            <v>Proportional</v>
          </cell>
          <cell r="S4085">
            <v>15.15</v>
          </cell>
          <cell r="X4085" t="str">
            <v>Commissions - gross</v>
          </cell>
          <cell r="Y4085" t="str">
            <v>THAILAND</v>
          </cell>
        </row>
        <row r="4086">
          <cell r="L4086" t="str">
            <v>Proportional</v>
          </cell>
          <cell r="S4086">
            <v>361.22</v>
          </cell>
          <cell r="X4086" t="str">
            <v>Commissions - gross</v>
          </cell>
          <cell r="Y4086" t="str">
            <v>THAILAND</v>
          </cell>
        </row>
        <row r="4087">
          <cell r="L4087" t="str">
            <v>Proportional</v>
          </cell>
          <cell r="S4087">
            <v>2505.6999999999998</v>
          </cell>
          <cell r="X4087" t="str">
            <v>Commissions - gross</v>
          </cell>
          <cell r="Y4087" t="str">
            <v>CHILE</v>
          </cell>
        </row>
        <row r="4088">
          <cell r="L4088" t="str">
            <v>Proportional</v>
          </cell>
          <cell r="S4088">
            <v>13.69</v>
          </cell>
          <cell r="X4088" t="str">
            <v>Commissions - gross</v>
          </cell>
          <cell r="Y4088" t="str">
            <v>FRANCE</v>
          </cell>
        </row>
        <row r="4089">
          <cell r="L4089" t="str">
            <v>Proportional</v>
          </cell>
          <cell r="S4089">
            <v>-7.38</v>
          </cell>
          <cell r="X4089" t="str">
            <v>Commissions - gross</v>
          </cell>
          <cell r="Y4089" t="str">
            <v>INDIA</v>
          </cell>
        </row>
        <row r="4090">
          <cell r="L4090" t="str">
            <v>Proportional</v>
          </cell>
          <cell r="S4090">
            <v>63384.86</v>
          </cell>
          <cell r="X4090" t="str">
            <v>Commissions - gross</v>
          </cell>
          <cell r="Y4090" t="str">
            <v>PORTUGAL</v>
          </cell>
        </row>
        <row r="4091">
          <cell r="L4091" t="str">
            <v>Proportional</v>
          </cell>
          <cell r="S4091">
            <v>321.18</v>
          </cell>
          <cell r="X4091" t="str">
            <v>Commissions - gross</v>
          </cell>
          <cell r="Y4091" t="str">
            <v>SWITZERLAND</v>
          </cell>
        </row>
        <row r="4092">
          <cell r="L4092" t="str">
            <v>Proportional</v>
          </cell>
          <cell r="S4092">
            <v>657.73</v>
          </cell>
          <cell r="X4092" t="str">
            <v>Commissions - gross</v>
          </cell>
          <cell r="Y4092" t="str">
            <v>HONG KONG</v>
          </cell>
        </row>
        <row r="4093">
          <cell r="L4093" t="str">
            <v>Proportional</v>
          </cell>
          <cell r="S4093">
            <v>15562.5</v>
          </cell>
          <cell r="X4093" t="str">
            <v>Commissions - gross</v>
          </cell>
          <cell r="Y4093" t="str">
            <v>PORTUGAL</v>
          </cell>
        </row>
        <row r="4094">
          <cell r="L4094" t="str">
            <v>Proportional</v>
          </cell>
          <cell r="S4094">
            <v>12.02</v>
          </cell>
          <cell r="X4094" t="str">
            <v>Commissions - gross</v>
          </cell>
          <cell r="Y4094" t="str">
            <v>UNITED STATES</v>
          </cell>
        </row>
        <row r="4095">
          <cell r="L4095" t="str">
            <v>Proportional</v>
          </cell>
          <cell r="S4095">
            <v>29550.31</v>
          </cell>
          <cell r="X4095" t="str">
            <v>Commissions - gross</v>
          </cell>
          <cell r="Y4095" t="str">
            <v>THAILAND</v>
          </cell>
        </row>
        <row r="4096">
          <cell r="L4096" t="str">
            <v>Proportional</v>
          </cell>
          <cell r="S4096">
            <v>105.87</v>
          </cell>
          <cell r="X4096" t="str">
            <v>Commissions - gross</v>
          </cell>
          <cell r="Y4096" t="str">
            <v>CHILE</v>
          </cell>
        </row>
        <row r="4097">
          <cell r="L4097" t="str">
            <v>Proportional</v>
          </cell>
          <cell r="S4097">
            <v>-359.21</v>
          </cell>
          <cell r="X4097" t="str">
            <v>Commissions - gross</v>
          </cell>
          <cell r="Y4097" t="str">
            <v>THAILAND</v>
          </cell>
        </row>
        <row r="4098">
          <cell r="L4098" t="str">
            <v>Proportional</v>
          </cell>
          <cell r="S4098">
            <v>3232.06</v>
          </cell>
          <cell r="X4098" t="str">
            <v>Commissions - gross</v>
          </cell>
          <cell r="Y4098" t="str">
            <v>THAILAND</v>
          </cell>
        </row>
        <row r="4099">
          <cell r="L4099" t="str">
            <v>Proportional</v>
          </cell>
          <cell r="S4099">
            <v>53781.56</v>
          </cell>
          <cell r="X4099" t="str">
            <v>Commissions - gross</v>
          </cell>
          <cell r="Y4099" t="str">
            <v>THAILAND</v>
          </cell>
        </row>
        <row r="4100">
          <cell r="L4100" t="str">
            <v>Proportional</v>
          </cell>
          <cell r="S4100">
            <v>4327.8100000000004</v>
          </cell>
          <cell r="X4100" t="str">
            <v>Commissions - gross</v>
          </cell>
          <cell r="Y4100" t="str">
            <v>THAILAND</v>
          </cell>
        </row>
        <row r="4101">
          <cell r="L4101" t="str">
            <v>Proportional</v>
          </cell>
          <cell r="S4101">
            <v>59262.75</v>
          </cell>
          <cell r="X4101" t="str">
            <v>Commissions - gross</v>
          </cell>
          <cell r="Y4101" t="str">
            <v>THAILAND</v>
          </cell>
        </row>
        <row r="4102">
          <cell r="L4102" t="str">
            <v>Proportional</v>
          </cell>
          <cell r="S4102">
            <v>23.55</v>
          </cell>
          <cell r="X4102" t="str">
            <v>Commissions - gross</v>
          </cell>
          <cell r="Y4102" t="str">
            <v>THAILAND</v>
          </cell>
        </row>
        <row r="4103">
          <cell r="L4103" t="str">
            <v>Proportional</v>
          </cell>
          <cell r="S4103">
            <v>14628.51</v>
          </cell>
          <cell r="X4103" t="str">
            <v>Commissions - gross</v>
          </cell>
          <cell r="Y4103" t="str">
            <v>CANADA</v>
          </cell>
        </row>
        <row r="4104">
          <cell r="L4104" t="str">
            <v>Proportional</v>
          </cell>
          <cell r="S4104">
            <v>-2877.53</v>
          </cell>
          <cell r="X4104" t="str">
            <v>Commissions - gross</v>
          </cell>
          <cell r="Y4104" t="str">
            <v>THAILAND</v>
          </cell>
        </row>
        <row r="4105">
          <cell r="L4105" t="str">
            <v>Proportional</v>
          </cell>
          <cell r="S4105">
            <v>21.04</v>
          </cell>
          <cell r="X4105" t="str">
            <v>Commissions - gross</v>
          </cell>
          <cell r="Y4105" t="str">
            <v>MEXICO</v>
          </cell>
        </row>
        <row r="4106">
          <cell r="L4106" t="str">
            <v>Proportional</v>
          </cell>
          <cell r="S4106">
            <v>17368.86</v>
          </cell>
          <cell r="X4106" t="str">
            <v>Commissions - gross</v>
          </cell>
          <cell r="Y4106" t="str">
            <v>THAILAND</v>
          </cell>
        </row>
        <row r="4107">
          <cell r="L4107" t="str">
            <v>Proportional</v>
          </cell>
          <cell r="S4107">
            <v>22521.99</v>
          </cell>
          <cell r="X4107" t="str">
            <v>Commissions - gross</v>
          </cell>
          <cell r="Y4107" t="str">
            <v>PORTUGAL</v>
          </cell>
        </row>
        <row r="4108">
          <cell r="L4108" t="str">
            <v>Proportional</v>
          </cell>
          <cell r="S4108">
            <v>594.39</v>
          </cell>
          <cell r="X4108" t="str">
            <v>Commissions - gross</v>
          </cell>
          <cell r="Y4108" t="str">
            <v>CHILE</v>
          </cell>
        </row>
        <row r="4109">
          <cell r="L4109" t="str">
            <v>Proportional</v>
          </cell>
          <cell r="S4109">
            <v>1131.2</v>
          </cell>
          <cell r="X4109" t="str">
            <v>Commissions - gross</v>
          </cell>
          <cell r="Y4109" t="str">
            <v>HONG KONG</v>
          </cell>
        </row>
        <row r="4110">
          <cell r="L4110" t="str">
            <v>Proportional</v>
          </cell>
          <cell r="S4110">
            <v>11050.74</v>
          </cell>
          <cell r="X4110" t="str">
            <v>Commissions - gross</v>
          </cell>
          <cell r="Y4110" t="str">
            <v>ITALY</v>
          </cell>
        </row>
        <row r="4111">
          <cell r="L4111" t="str">
            <v>Proportional</v>
          </cell>
          <cell r="S4111">
            <v>256.43</v>
          </cell>
          <cell r="X4111" t="str">
            <v>Commissions - gross</v>
          </cell>
          <cell r="Y4111" t="str">
            <v>THAILAND</v>
          </cell>
        </row>
        <row r="4112">
          <cell r="L4112" t="str">
            <v>Proportional</v>
          </cell>
          <cell r="S4112">
            <v>-172.93</v>
          </cell>
          <cell r="X4112" t="str">
            <v>Commissions - gross</v>
          </cell>
          <cell r="Y4112" t="str">
            <v>THAILAND</v>
          </cell>
        </row>
        <row r="4113">
          <cell r="L4113" t="str">
            <v>Proportional</v>
          </cell>
          <cell r="S4113">
            <v>640249.31999999995</v>
          </cell>
          <cell r="X4113" t="str">
            <v>Commissions - gross</v>
          </cell>
          <cell r="Y4113" t="str">
            <v>THAILAND</v>
          </cell>
        </row>
        <row r="4114">
          <cell r="L4114" t="str">
            <v>Proportional</v>
          </cell>
          <cell r="S4114">
            <v>-6746.96</v>
          </cell>
          <cell r="X4114" t="str">
            <v>Commissions - gross</v>
          </cell>
          <cell r="Y4114" t="str">
            <v>ITALY</v>
          </cell>
        </row>
        <row r="4115">
          <cell r="L4115" t="str">
            <v>Proportional</v>
          </cell>
          <cell r="S4115">
            <v>274.7</v>
          </cell>
          <cell r="X4115" t="str">
            <v>Commissions - gross</v>
          </cell>
          <cell r="Y4115" t="str">
            <v>INDIA</v>
          </cell>
        </row>
        <row r="4116">
          <cell r="L4116" t="str">
            <v>Proportional</v>
          </cell>
          <cell r="S4116">
            <v>2423.5500000000002</v>
          </cell>
          <cell r="X4116" t="str">
            <v>Commissions - gross</v>
          </cell>
          <cell r="Y4116" t="str">
            <v>SWITZERLAND</v>
          </cell>
        </row>
        <row r="4117">
          <cell r="L4117" t="str">
            <v>Proportional</v>
          </cell>
          <cell r="S4117">
            <v>72.23</v>
          </cell>
          <cell r="X4117" t="str">
            <v>Commissions - gross</v>
          </cell>
          <cell r="Y4117" t="str">
            <v>THAILAND</v>
          </cell>
        </row>
        <row r="4118">
          <cell r="L4118" t="str">
            <v>Proportional</v>
          </cell>
          <cell r="S4118">
            <v>-274.08999999999997</v>
          </cell>
          <cell r="X4118" t="str">
            <v>Commissions - gross</v>
          </cell>
          <cell r="Y4118" t="str">
            <v>UNITED STATES</v>
          </cell>
        </row>
        <row r="4119">
          <cell r="L4119" t="str">
            <v>Proportional</v>
          </cell>
          <cell r="S4119">
            <v>18051.73</v>
          </cell>
          <cell r="X4119" t="str">
            <v>Commissions - gross</v>
          </cell>
          <cell r="Y4119" t="str">
            <v>PORTUGAL</v>
          </cell>
        </row>
        <row r="4120">
          <cell r="L4120" t="str">
            <v>Proportional</v>
          </cell>
          <cell r="S4120">
            <v>6334.12</v>
          </cell>
          <cell r="X4120" t="str">
            <v>Commissions - gross</v>
          </cell>
          <cell r="Y4120" t="str">
            <v>FRANCE</v>
          </cell>
        </row>
        <row r="4121">
          <cell r="L4121" t="str">
            <v>Proportional</v>
          </cell>
          <cell r="S4121">
            <v>546.44000000000005</v>
          </cell>
          <cell r="X4121" t="str">
            <v>Commissions - gross</v>
          </cell>
          <cell r="Y4121" t="str">
            <v>PERU</v>
          </cell>
        </row>
        <row r="4122">
          <cell r="L4122" t="str">
            <v>Proportional</v>
          </cell>
          <cell r="S4122">
            <v>-75695.990000000005</v>
          </cell>
          <cell r="X4122" t="str">
            <v>Commissions - gross</v>
          </cell>
          <cell r="Y4122" t="str">
            <v>JAPAN</v>
          </cell>
        </row>
        <row r="4123">
          <cell r="L4123" t="str">
            <v>Proportional</v>
          </cell>
          <cell r="S4123">
            <v>-28554</v>
          </cell>
          <cell r="X4123" t="str">
            <v>Commissions - gross</v>
          </cell>
          <cell r="Y4123" t="str">
            <v>SWITZERLAND</v>
          </cell>
        </row>
        <row r="4124">
          <cell r="L4124" t="str">
            <v>Proportional</v>
          </cell>
          <cell r="S4124">
            <v>96462.04</v>
          </cell>
          <cell r="X4124" t="str">
            <v>Commissions - gross</v>
          </cell>
          <cell r="Y4124" t="str">
            <v>SWITZERLAND</v>
          </cell>
        </row>
        <row r="4125">
          <cell r="L4125" t="str">
            <v>Proportional</v>
          </cell>
          <cell r="S4125">
            <v>1140.97</v>
          </cell>
          <cell r="X4125" t="str">
            <v>Commissions - gross</v>
          </cell>
          <cell r="Y4125" t="str">
            <v>ITALY</v>
          </cell>
        </row>
        <row r="4126">
          <cell r="L4126" t="str">
            <v>Proportional</v>
          </cell>
          <cell r="S4126">
            <v>6681.38</v>
          </cell>
          <cell r="X4126" t="str">
            <v>Commissions - gross</v>
          </cell>
          <cell r="Y4126" t="str">
            <v>UNITED KINGDOM</v>
          </cell>
        </row>
        <row r="4127">
          <cell r="L4127" t="str">
            <v>Proportional</v>
          </cell>
          <cell r="S4127">
            <v>962.87</v>
          </cell>
          <cell r="X4127" t="str">
            <v>Commissions - gross</v>
          </cell>
          <cell r="Y4127" t="str">
            <v>FRANCE</v>
          </cell>
        </row>
        <row r="4128">
          <cell r="L4128" t="str">
            <v>Proportional</v>
          </cell>
          <cell r="S4128">
            <v>-743.15</v>
          </cell>
          <cell r="X4128" t="str">
            <v>Commissions - gross</v>
          </cell>
          <cell r="Y4128" t="str">
            <v>INDIA</v>
          </cell>
        </row>
        <row r="4129">
          <cell r="L4129" t="str">
            <v>Proportional</v>
          </cell>
          <cell r="S4129">
            <v>32561.95</v>
          </cell>
          <cell r="X4129" t="str">
            <v>Commissions - gross</v>
          </cell>
          <cell r="Y4129" t="str">
            <v>THAILAND</v>
          </cell>
        </row>
        <row r="4130">
          <cell r="L4130" t="str">
            <v>Proportional</v>
          </cell>
          <cell r="S4130">
            <v>3566.35</v>
          </cell>
          <cell r="X4130" t="str">
            <v>Commissions - gross</v>
          </cell>
          <cell r="Y4130" t="str">
            <v>CHILE</v>
          </cell>
        </row>
        <row r="4131">
          <cell r="L4131" t="str">
            <v>Proportional</v>
          </cell>
          <cell r="S4131">
            <v>454.54</v>
          </cell>
          <cell r="X4131" t="str">
            <v>Commissions - gross</v>
          </cell>
          <cell r="Y4131" t="str">
            <v>CHILE</v>
          </cell>
        </row>
        <row r="4132">
          <cell r="L4132" t="str">
            <v>Proportional</v>
          </cell>
          <cell r="S4132">
            <v>-19945.240000000002</v>
          </cell>
          <cell r="X4132" t="str">
            <v>Commissions - gross</v>
          </cell>
          <cell r="Y4132" t="str">
            <v>HONG KONG</v>
          </cell>
        </row>
        <row r="4133">
          <cell r="L4133" t="str">
            <v>Proportional</v>
          </cell>
          <cell r="S4133">
            <v>2397.5500000000002</v>
          </cell>
          <cell r="X4133" t="str">
            <v>Commissions - gross</v>
          </cell>
          <cell r="Y4133" t="str">
            <v>HONG KONG</v>
          </cell>
        </row>
        <row r="4134">
          <cell r="L4134" t="str">
            <v>Proportional</v>
          </cell>
          <cell r="S4134">
            <v>1106.25</v>
          </cell>
          <cell r="X4134" t="str">
            <v>Commissions - gross</v>
          </cell>
          <cell r="Y4134" t="str">
            <v>ITALY</v>
          </cell>
        </row>
        <row r="4135">
          <cell r="L4135" t="str">
            <v>Proportional</v>
          </cell>
          <cell r="S4135">
            <v>1923.19</v>
          </cell>
          <cell r="X4135" t="str">
            <v>Commissions - gross</v>
          </cell>
          <cell r="Y4135" t="str">
            <v>THAILAND</v>
          </cell>
        </row>
        <row r="4136">
          <cell r="L4136" t="str">
            <v>Proportional</v>
          </cell>
          <cell r="S4136">
            <v>-2230.7800000000002</v>
          </cell>
          <cell r="X4136" t="str">
            <v>Commissions - gross</v>
          </cell>
          <cell r="Y4136" t="str">
            <v>THAILAND</v>
          </cell>
        </row>
        <row r="4137">
          <cell r="L4137" t="str">
            <v>Proportional</v>
          </cell>
          <cell r="S4137">
            <v>-31087.599999999999</v>
          </cell>
          <cell r="X4137" t="str">
            <v>Commissions - gross</v>
          </cell>
          <cell r="Y4137" t="str">
            <v>THAILAND</v>
          </cell>
        </row>
        <row r="4138">
          <cell r="L4138" t="str">
            <v>Proportional</v>
          </cell>
          <cell r="S4138">
            <v>20650</v>
          </cell>
          <cell r="X4138" t="str">
            <v>Commissions - gross</v>
          </cell>
          <cell r="Y4138" t="str">
            <v>ITALY</v>
          </cell>
        </row>
        <row r="4139">
          <cell r="L4139" t="str">
            <v>Proportional</v>
          </cell>
          <cell r="S4139">
            <v>24996.6</v>
          </cell>
          <cell r="X4139" t="str">
            <v>Commissions - gross</v>
          </cell>
          <cell r="Y4139" t="str">
            <v>UNITED STATES</v>
          </cell>
        </row>
        <row r="4140">
          <cell r="L4140" t="str">
            <v>Proportional</v>
          </cell>
          <cell r="S4140">
            <v>512.79</v>
          </cell>
          <cell r="X4140" t="str">
            <v>Commissions - gross</v>
          </cell>
          <cell r="Y4140" t="str">
            <v>HONG KONG</v>
          </cell>
        </row>
        <row r="4141">
          <cell r="L4141" t="str">
            <v>Proportional</v>
          </cell>
          <cell r="S4141">
            <v>46.62</v>
          </cell>
          <cell r="X4141" t="str">
            <v>Commissions - gross</v>
          </cell>
          <cell r="Y4141" t="str">
            <v>THAILAND</v>
          </cell>
        </row>
        <row r="4142">
          <cell r="L4142" t="str">
            <v>Proportional</v>
          </cell>
          <cell r="S4142">
            <v>-33.79</v>
          </cell>
          <cell r="X4142" t="str">
            <v>Commissions - gross</v>
          </cell>
          <cell r="Y4142" t="str">
            <v>INDIA</v>
          </cell>
        </row>
        <row r="4143">
          <cell r="L4143" t="str">
            <v>Proportional</v>
          </cell>
          <cell r="S4143">
            <v>-1060.74</v>
          </cell>
          <cell r="X4143" t="str">
            <v>Commissions - gross</v>
          </cell>
          <cell r="Y4143" t="str">
            <v>CHILE</v>
          </cell>
        </row>
        <row r="4144">
          <cell r="L4144" t="str">
            <v>Proportional</v>
          </cell>
          <cell r="S4144">
            <v>-106.52</v>
          </cell>
          <cell r="X4144" t="str">
            <v>Commissions - gross</v>
          </cell>
          <cell r="Y4144" t="str">
            <v>THAILAND</v>
          </cell>
        </row>
        <row r="4145">
          <cell r="L4145" t="str">
            <v>Proportional</v>
          </cell>
          <cell r="S4145">
            <v>-632.41999999999996</v>
          </cell>
          <cell r="X4145" t="str">
            <v>Commissions - gross</v>
          </cell>
          <cell r="Y4145" t="str">
            <v>THAILAND</v>
          </cell>
        </row>
        <row r="4146">
          <cell r="L4146" t="str">
            <v>Proportional</v>
          </cell>
          <cell r="S4146">
            <v>3561.46</v>
          </cell>
          <cell r="X4146" t="str">
            <v>Commissions - gross</v>
          </cell>
          <cell r="Y4146" t="str">
            <v>THAILAND</v>
          </cell>
        </row>
        <row r="4147">
          <cell r="L4147" t="str">
            <v>Proportional</v>
          </cell>
          <cell r="S4147">
            <v>15562.5</v>
          </cell>
          <cell r="X4147" t="str">
            <v>Commissions - gross</v>
          </cell>
          <cell r="Y4147" t="str">
            <v>PORTUGAL</v>
          </cell>
        </row>
        <row r="4148">
          <cell r="L4148" t="str">
            <v>Proportional</v>
          </cell>
          <cell r="S4148">
            <v>13514.25</v>
          </cell>
          <cell r="X4148" t="str">
            <v>Commissions - gross</v>
          </cell>
          <cell r="Y4148" t="str">
            <v>ITALY</v>
          </cell>
        </row>
        <row r="4149">
          <cell r="L4149" t="str">
            <v>Proportional</v>
          </cell>
          <cell r="S4149">
            <v>668.5</v>
          </cell>
          <cell r="X4149" t="str">
            <v>Commissions - gross</v>
          </cell>
          <cell r="Y4149" t="str">
            <v>SAUDI ARABIA</v>
          </cell>
        </row>
        <row r="4150">
          <cell r="L4150" t="str">
            <v>Proportional</v>
          </cell>
          <cell r="S4150">
            <v>-93.38</v>
          </cell>
          <cell r="X4150" t="str">
            <v>Commissions - gross</v>
          </cell>
          <cell r="Y4150" t="str">
            <v>THAILAND</v>
          </cell>
        </row>
        <row r="4151">
          <cell r="L4151" t="str">
            <v>Proportional</v>
          </cell>
          <cell r="S4151">
            <v>463.28</v>
          </cell>
          <cell r="X4151" t="str">
            <v>Commissions - gross</v>
          </cell>
          <cell r="Y4151" t="str">
            <v>PERU</v>
          </cell>
        </row>
        <row r="4152">
          <cell r="L4152" t="str">
            <v>Proportional</v>
          </cell>
          <cell r="S4152">
            <v>6204.07</v>
          </cell>
          <cell r="X4152" t="str">
            <v>Commissions - gross</v>
          </cell>
          <cell r="Y4152" t="str">
            <v>THAILAND</v>
          </cell>
        </row>
        <row r="4153">
          <cell r="L4153" t="str">
            <v>Proportional</v>
          </cell>
          <cell r="S4153">
            <v>71779.399999999994</v>
          </cell>
          <cell r="X4153" t="str">
            <v>Commissions - gross</v>
          </cell>
          <cell r="Y4153" t="str">
            <v>PORTUGAL</v>
          </cell>
        </row>
        <row r="4154">
          <cell r="L4154" t="str">
            <v>Proportional</v>
          </cell>
          <cell r="S4154">
            <v>-12.45</v>
          </cell>
          <cell r="X4154" t="str">
            <v>Commissions - gross</v>
          </cell>
          <cell r="Y4154" t="str">
            <v>THAILAND</v>
          </cell>
        </row>
        <row r="4155">
          <cell r="L4155" t="str">
            <v>Proportional</v>
          </cell>
          <cell r="S4155">
            <v>39166.83</v>
          </cell>
          <cell r="X4155" t="str">
            <v>Commissions - gross</v>
          </cell>
          <cell r="Y4155" t="str">
            <v>HONG KONG</v>
          </cell>
        </row>
        <row r="4156">
          <cell r="L4156" t="str">
            <v>Proportional</v>
          </cell>
          <cell r="S4156">
            <v>1048.93</v>
          </cell>
          <cell r="X4156" t="str">
            <v>Commissions - gross</v>
          </cell>
          <cell r="Y4156" t="str">
            <v>CHILE</v>
          </cell>
        </row>
        <row r="4157">
          <cell r="L4157" t="str">
            <v>Proportional</v>
          </cell>
          <cell r="S4157">
            <v>-8.92</v>
          </cell>
          <cell r="X4157" t="str">
            <v>Commissions - gross</v>
          </cell>
          <cell r="Y4157" t="str">
            <v>INDIA</v>
          </cell>
        </row>
        <row r="4158">
          <cell r="L4158" t="str">
            <v>Proportional</v>
          </cell>
          <cell r="S4158">
            <v>2595</v>
          </cell>
          <cell r="X4158" t="str">
            <v>Commissions - gross</v>
          </cell>
          <cell r="Y4158" t="str">
            <v>SPAIN</v>
          </cell>
        </row>
        <row r="4159">
          <cell r="L4159" t="str">
            <v>Proportional</v>
          </cell>
          <cell r="S4159">
            <v>302.27</v>
          </cell>
          <cell r="X4159" t="str">
            <v>Commissions - gross</v>
          </cell>
          <cell r="Y4159" t="str">
            <v>THAILAND</v>
          </cell>
        </row>
        <row r="4160">
          <cell r="L4160" t="str">
            <v>Proportional</v>
          </cell>
          <cell r="S4160">
            <v>6314.72</v>
          </cell>
          <cell r="X4160" t="str">
            <v>Commissions - gross</v>
          </cell>
          <cell r="Y4160" t="str">
            <v>THAILAND</v>
          </cell>
        </row>
        <row r="4161">
          <cell r="L4161" t="str">
            <v>Proportional</v>
          </cell>
          <cell r="S4161">
            <v>24620.19</v>
          </cell>
          <cell r="X4161" t="str">
            <v>Commissions - gross</v>
          </cell>
          <cell r="Y4161" t="str">
            <v>UNITED STATES</v>
          </cell>
        </row>
        <row r="4162">
          <cell r="L4162" t="str">
            <v>Proportional</v>
          </cell>
          <cell r="S4162">
            <v>-618378.78</v>
          </cell>
          <cell r="X4162" t="str">
            <v>Commissions - gross</v>
          </cell>
          <cell r="Y4162" t="str">
            <v>HONG KONG</v>
          </cell>
        </row>
        <row r="4163">
          <cell r="L4163" t="str">
            <v>Proportional</v>
          </cell>
          <cell r="S4163">
            <v>362</v>
          </cell>
          <cell r="X4163" t="str">
            <v>Commissions - gross</v>
          </cell>
          <cell r="Y4163" t="str">
            <v>SWITZERLAND</v>
          </cell>
        </row>
        <row r="4164">
          <cell r="L4164" t="str">
            <v>Proportional</v>
          </cell>
          <cell r="S4164">
            <v>7951.57</v>
          </cell>
          <cell r="X4164" t="str">
            <v>Commissions - gross</v>
          </cell>
          <cell r="Y4164" t="str">
            <v>THAILAND</v>
          </cell>
        </row>
        <row r="4165">
          <cell r="L4165" t="str">
            <v>Proportional</v>
          </cell>
          <cell r="S4165">
            <v>22.28</v>
          </cell>
          <cell r="X4165" t="str">
            <v>Commissions - gross</v>
          </cell>
          <cell r="Y4165" t="str">
            <v>THAILAND</v>
          </cell>
        </row>
        <row r="4166">
          <cell r="L4166" t="str">
            <v>Proportional</v>
          </cell>
          <cell r="S4166">
            <v>2797.14</v>
          </cell>
          <cell r="X4166" t="str">
            <v>Commissions - gross</v>
          </cell>
          <cell r="Y4166" t="str">
            <v>CHILE</v>
          </cell>
        </row>
        <row r="4167">
          <cell r="L4167" t="str">
            <v>Proportional</v>
          </cell>
          <cell r="S4167">
            <v>73680.12</v>
          </cell>
          <cell r="X4167" t="str">
            <v>Commissions - gross</v>
          </cell>
          <cell r="Y4167" t="str">
            <v>JAPAN</v>
          </cell>
        </row>
        <row r="4168">
          <cell r="L4168" t="str">
            <v>Proportional</v>
          </cell>
          <cell r="S4168">
            <v>139.86000000000001</v>
          </cell>
          <cell r="X4168" t="str">
            <v>Commissions - gross</v>
          </cell>
          <cell r="Y4168" t="str">
            <v>CHILE</v>
          </cell>
        </row>
        <row r="4169">
          <cell r="L4169" t="str">
            <v>Proportional</v>
          </cell>
          <cell r="S4169">
            <v>618533.05000000005</v>
          </cell>
          <cell r="X4169" t="str">
            <v>Commissions - gross</v>
          </cell>
          <cell r="Y4169" t="str">
            <v>HONG KONG</v>
          </cell>
        </row>
        <row r="4170">
          <cell r="L4170" t="str">
            <v>Proportional</v>
          </cell>
          <cell r="S4170">
            <v>728.21</v>
          </cell>
          <cell r="X4170" t="str">
            <v>Commissions - gross</v>
          </cell>
          <cell r="Y4170" t="str">
            <v>THAILAND</v>
          </cell>
        </row>
        <row r="4171">
          <cell r="L4171" t="str">
            <v>Proportional</v>
          </cell>
          <cell r="S4171">
            <v>13.27</v>
          </cell>
          <cell r="X4171" t="str">
            <v>Commissions - gross</v>
          </cell>
          <cell r="Y4171" t="str">
            <v>UNITED STATES</v>
          </cell>
        </row>
        <row r="4172">
          <cell r="L4172" t="str">
            <v>Proportional</v>
          </cell>
          <cell r="S4172">
            <v>-21597707.77</v>
          </cell>
          <cell r="X4172" t="str">
            <v>Commissions - gross</v>
          </cell>
          <cell r="Y4172" t="str">
            <v>ITALY</v>
          </cell>
        </row>
        <row r="4173">
          <cell r="L4173" t="str">
            <v>Proportional</v>
          </cell>
          <cell r="S4173">
            <v>9.24</v>
          </cell>
          <cell r="X4173" t="str">
            <v>Commissions - gross</v>
          </cell>
          <cell r="Y4173" t="str">
            <v>UNITED STATES</v>
          </cell>
        </row>
        <row r="4174">
          <cell r="L4174" t="str">
            <v>Proportional</v>
          </cell>
          <cell r="S4174">
            <v>10195.200000000001</v>
          </cell>
          <cell r="X4174" t="str">
            <v>Commissions - gross</v>
          </cell>
          <cell r="Y4174" t="str">
            <v>FRANCE</v>
          </cell>
        </row>
        <row r="4175">
          <cell r="L4175" t="str">
            <v>Proportional</v>
          </cell>
          <cell r="S4175">
            <v>61755</v>
          </cell>
          <cell r="X4175" t="str">
            <v>Commissions - gross</v>
          </cell>
          <cell r="Y4175" t="str">
            <v>HONG KONG</v>
          </cell>
        </row>
        <row r="4176">
          <cell r="L4176" t="str">
            <v>Proportional</v>
          </cell>
          <cell r="S4176">
            <v>36739.550000000003</v>
          </cell>
          <cell r="X4176" t="str">
            <v>Commissions - gross</v>
          </cell>
          <cell r="Y4176" t="str">
            <v>JAPAN</v>
          </cell>
        </row>
        <row r="4177">
          <cell r="L4177" t="str">
            <v>Proportional</v>
          </cell>
          <cell r="S4177">
            <v>16629.82</v>
          </cell>
          <cell r="X4177" t="str">
            <v>Commissions - gross</v>
          </cell>
          <cell r="Y4177" t="str">
            <v>HONG KONG</v>
          </cell>
        </row>
        <row r="4178">
          <cell r="L4178" t="str">
            <v>Proportional</v>
          </cell>
          <cell r="S4178">
            <v>13024.78</v>
          </cell>
          <cell r="X4178" t="str">
            <v>Commissions - gross</v>
          </cell>
          <cell r="Y4178" t="str">
            <v>THAILAND</v>
          </cell>
        </row>
        <row r="4179">
          <cell r="L4179" t="str">
            <v>Non-proportional</v>
          </cell>
          <cell r="S4179">
            <v>3782.82</v>
          </cell>
          <cell r="X4179" t="str">
            <v>Commissions - gross</v>
          </cell>
          <cell r="Y4179" t="str">
            <v>TURKEY</v>
          </cell>
        </row>
        <row r="4180">
          <cell r="L4180" t="str">
            <v>Proportional</v>
          </cell>
          <cell r="S4180">
            <v>237.57</v>
          </cell>
          <cell r="X4180" t="str">
            <v>Commissions - gross</v>
          </cell>
          <cell r="Y4180" t="str">
            <v>INDIA</v>
          </cell>
        </row>
        <row r="4181">
          <cell r="L4181" t="str">
            <v>Proportional</v>
          </cell>
          <cell r="S4181">
            <v>-223.49</v>
          </cell>
          <cell r="X4181" t="str">
            <v>Commissions - gross</v>
          </cell>
          <cell r="Y4181" t="str">
            <v>MEXICO</v>
          </cell>
        </row>
        <row r="4182">
          <cell r="L4182" t="str">
            <v>Proportional</v>
          </cell>
          <cell r="S4182">
            <v>42.43</v>
          </cell>
          <cell r="X4182" t="str">
            <v>Commissions - gross</v>
          </cell>
          <cell r="Y4182" t="str">
            <v>UNITED STATES</v>
          </cell>
        </row>
        <row r="4183">
          <cell r="L4183" t="str">
            <v>Proportional</v>
          </cell>
          <cell r="S4183">
            <v>226031.37</v>
          </cell>
          <cell r="X4183" t="str">
            <v>Commissions - gross</v>
          </cell>
          <cell r="Y4183" t="str">
            <v>HONG KONG</v>
          </cell>
        </row>
        <row r="4184">
          <cell r="L4184" t="str">
            <v>Proportional</v>
          </cell>
          <cell r="S4184">
            <v>-1581.06</v>
          </cell>
          <cell r="X4184" t="str">
            <v>Commissions - gross</v>
          </cell>
          <cell r="Y4184" t="str">
            <v>THAILAND</v>
          </cell>
        </row>
        <row r="4185">
          <cell r="L4185" t="str">
            <v>Proportional</v>
          </cell>
          <cell r="S4185">
            <v>4861.82</v>
          </cell>
          <cell r="X4185" t="str">
            <v>Commissions - gross</v>
          </cell>
          <cell r="Y4185" t="str">
            <v>AUSTRALIA</v>
          </cell>
        </row>
        <row r="4186">
          <cell r="L4186" t="str">
            <v>Proportional</v>
          </cell>
          <cell r="S4186">
            <v>569.30999999999995</v>
          </cell>
          <cell r="X4186" t="str">
            <v>Commissions - gross</v>
          </cell>
          <cell r="Y4186" t="str">
            <v>INDIA</v>
          </cell>
        </row>
        <row r="4187">
          <cell r="L4187" t="str">
            <v>Proportional</v>
          </cell>
          <cell r="S4187">
            <v>6239.95</v>
          </cell>
          <cell r="X4187" t="str">
            <v>Commissions - gross</v>
          </cell>
          <cell r="Y4187" t="str">
            <v>THAILAND</v>
          </cell>
        </row>
        <row r="4188">
          <cell r="L4188" t="str">
            <v>Proportional</v>
          </cell>
          <cell r="S4188">
            <v>203.43</v>
          </cell>
          <cell r="X4188" t="str">
            <v>Commissions - gross</v>
          </cell>
          <cell r="Y4188" t="str">
            <v>FRANCE</v>
          </cell>
        </row>
        <row r="4189">
          <cell r="L4189" t="str">
            <v>Proportional</v>
          </cell>
          <cell r="S4189">
            <v>-53.96</v>
          </cell>
          <cell r="X4189" t="str">
            <v>Commissions - gross</v>
          </cell>
          <cell r="Y4189" t="str">
            <v>CHILE</v>
          </cell>
        </row>
        <row r="4190">
          <cell r="L4190" t="str">
            <v>Proportional</v>
          </cell>
          <cell r="S4190">
            <v>498.99</v>
          </cell>
          <cell r="X4190" t="str">
            <v>Commissions - gross</v>
          </cell>
          <cell r="Y4190" t="str">
            <v>REPUBLIC OF IRELAND</v>
          </cell>
        </row>
        <row r="4191">
          <cell r="L4191" t="str">
            <v>Proportional</v>
          </cell>
          <cell r="S4191">
            <v>860416.67</v>
          </cell>
          <cell r="X4191" t="str">
            <v>Commissions - gross</v>
          </cell>
          <cell r="Y4191" t="str">
            <v>PORTUGAL</v>
          </cell>
        </row>
        <row r="4192">
          <cell r="L4192" t="str">
            <v>Proportional</v>
          </cell>
          <cell r="S4192">
            <v>68172.23</v>
          </cell>
          <cell r="X4192" t="str">
            <v>Commissions - gross</v>
          </cell>
          <cell r="Y4192" t="str">
            <v>AUSTRALIA</v>
          </cell>
        </row>
        <row r="4193">
          <cell r="L4193" t="str">
            <v>Proportional</v>
          </cell>
          <cell r="S4193">
            <v>116.15</v>
          </cell>
          <cell r="X4193" t="str">
            <v>Commissions - gross</v>
          </cell>
          <cell r="Y4193" t="str">
            <v>FRANCE</v>
          </cell>
        </row>
        <row r="4194">
          <cell r="L4194" t="str">
            <v>Proportional</v>
          </cell>
          <cell r="S4194">
            <v>19781.41</v>
          </cell>
          <cell r="X4194" t="str">
            <v>Commissions - gross</v>
          </cell>
          <cell r="Y4194" t="str">
            <v>HONG KONG</v>
          </cell>
        </row>
        <row r="4195">
          <cell r="L4195" t="str">
            <v>Proportional</v>
          </cell>
          <cell r="S4195">
            <v>69.930000000000007</v>
          </cell>
          <cell r="X4195" t="str">
            <v>Commissions - gross</v>
          </cell>
          <cell r="Y4195" t="str">
            <v>CHILE</v>
          </cell>
        </row>
        <row r="4196">
          <cell r="L4196" t="str">
            <v>Proportional</v>
          </cell>
          <cell r="S4196">
            <v>3749.38</v>
          </cell>
          <cell r="X4196" t="str">
            <v>Commissions - gross</v>
          </cell>
          <cell r="Y4196" t="str">
            <v>ITALY</v>
          </cell>
        </row>
        <row r="4197">
          <cell r="L4197" t="str">
            <v>Proportional</v>
          </cell>
          <cell r="S4197">
            <v>498.99</v>
          </cell>
          <cell r="X4197" t="str">
            <v>Commissions - gross</v>
          </cell>
          <cell r="Y4197" t="str">
            <v>REPUBLIC OF IRELAND</v>
          </cell>
        </row>
        <row r="4198">
          <cell r="L4198" t="str">
            <v>Proportional</v>
          </cell>
          <cell r="S4198">
            <v>21682.5</v>
          </cell>
          <cell r="X4198" t="str">
            <v>Commissions - gross</v>
          </cell>
          <cell r="Y4198" t="str">
            <v>ITALY</v>
          </cell>
        </row>
        <row r="4199">
          <cell r="L4199" t="str">
            <v>Proportional</v>
          </cell>
          <cell r="S4199">
            <v>22.5</v>
          </cell>
          <cell r="X4199" t="str">
            <v>Commissions - gross</v>
          </cell>
          <cell r="Y4199" t="str">
            <v>UNITED STATES</v>
          </cell>
        </row>
        <row r="4200">
          <cell r="L4200" t="str">
            <v>Proportional</v>
          </cell>
          <cell r="S4200">
            <v>6485.55</v>
          </cell>
          <cell r="X4200" t="str">
            <v>Commissions - gross</v>
          </cell>
          <cell r="Y4200" t="str">
            <v>INDIA</v>
          </cell>
        </row>
        <row r="4201">
          <cell r="L4201" t="str">
            <v>Non-proportional</v>
          </cell>
          <cell r="S4201">
            <v>3532.69</v>
          </cell>
          <cell r="X4201" t="str">
            <v>Commissions - gross</v>
          </cell>
          <cell r="Y4201" t="str">
            <v>TURKEY</v>
          </cell>
        </row>
        <row r="4202">
          <cell r="L4202" t="str">
            <v>Proportional</v>
          </cell>
          <cell r="S4202">
            <v>25449.119999999999</v>
          </cell>
          <cell r="X4202" t="str">
            <v>Commissions - gross</v>
          </cell>
          <cell r="Y4202" t="str">
            <v>UNITED STATES</v>
          </cell>
        </row>
        <row r="4203">
          <cell r="L4203" t="str">
            <v>Proportional</v>
          </cell>
          <cell r="S4203">
            <v>953.68</v>
          </cell>
          <cell r="X4203" t="str">
            <v>Commissions - gross</v>
          </cell>
          <cell r="Y4203" t="str">
            <v>THAILAND</v>
          </cell>
        </row>
        <row r="4204">
          <cell r="L4204" t="str">
            <v>Proportional</v>
          </cell>
          <cell r="S4204">
            <v>2273.4</v>
          </cell>
          <cell r="X4204" t="str">
            <v>Commissions - gross</v>
          </cell>
          <cell r="Y4204" t="str">
            <v>THAILAND</v>
          </cell>
        </row>
        <row r="4205">
          <cell r="L4205" t="str">
            <v>Proportional</v>
          </cell>
          <cell r="S4205">
            <v>2193.86</v>
          </cell>
          <cell r="X4205" t="str">
            <v>Commissions - gross</v>
          </cell>
          <cell r="Y4205" t="str">
            <v>THAILAND</v>
          </cell>
        </row>
        <row r="4206">
          <cell r="L4206" t="str">
            <v>Proportional</v>
          </cell>
          <cell r="S4206">
            <v>3466.68</v>
          </cell>
          <cell r="X4206" t="str">
            <v>Commissions - gross</v>
          </cell>
          <cell r="Y4206" t="str">
            <v>BELGIUM</v>
          </cell>
        </row>
        <row r="4207">
          <cell r="L4207" t="str">
            <v>Proportional</v>
          </cell>
          <cell r="S4207">
            <v>6498.96</v>
          </cell>
          <cell r="X4207" t="str">
            <v>Commissions - gross</v>
          </cell>
          <cell r="Y4207" t="str">
            <v>EUROPE</v>
          </cell>
        </row>
        <row r="4208">
          <cell r="L4208" t="str">
            <v>Proportional</v>
          </cell>
          <cell r="S4208">
            <v>14829.57</v>
          </cell>
          <cell r="X4208" t="str">
            <v>Commissions - gross</v>
          </cell>
          <cell r="Y4208" t="str">
            <v>THAILAND</v>
          </cell>
        </row>
        <row r="4209">
          <cell r="L4209" t="str">
            <v>Proportional</v>
          </cell>
          <cell r="S4209">
            <v>689.81</v>
          </cell>
          <cell r="X4209" t="str">
            <v>Commissions - gross</v>
          </cell>
          <cell r="Y4209" t="str">
            <v>THAILAND</v>
          </cell>
        </row>
        <row r="4210">
          <cell r="L4210" t="str">
            <v>Proportional</v>
          </cell>
          <cell r="S4210">
            <v>-6079.2</v>
          </cell>
          <cell r="X4210" t="str">
            <v>Commissions - gross</v>
          </cell>
          <cell r="Y4210" t="str">
            <v>ITALY</v>
          </cell>
        </row>
        <row r="4211">
          <cell r="L4211" t="str">
            <v>Proportional</v>
          </cell>
          <cell r="S4211">
            <v>-6483.72</v>
          </cell>
          <cell r="X4211" t="str">
            <v>Commissions - gross</v>
          </cell>
          <cell r="Y4211" t="str">
            <v>AUSTRALIA</v>
          </cell>
        </row>
        <row r="4212">
          <cell r="L4212" t="str">
            <v>Proportional</v>
          </cell>
          <cell r="S4212">
            <v>25.68</v>
          </cell>
          <cell r="X4212" t="str">
            <v>Commissions - gross</v>
          </cell>
          <cell r="Y4212" t="str">
            <v>THAILAND</v>
          </cell>
        </row>
        <row r="4213">
          <cell r="L4213" t="str">
            <v>Proportional</v>
          </cell>
          <cell r="S4213">
            <v>24093.33</v>
          </cell>
          <cell r="X4213" t="str">
            <v>Commissions - gross</v>
          </cell>
          <cell r="Y4213" t="str">
            <v>FRANCE</v>
          </cell>
        </row>
        <row r="4214">
          <cell r="L4214" t="str">
            <v>Proportional</v>
          </cell>
          <cell r="S4214">
            <v>39684.53</v>
          </cell>
          <cell r="X4214" t="str">
            <v>Commissions - gross</v>
          </cell>
          <cell r="Y4214" t="str">
            <v>HONG KONG</v>
          </cell>
        </row>
        <row r="4215">
          <cell r="L4215" t="str">
            <v>Proportional</v>
          </cell>
          <cell r="S4215">
            <v>552.98</v>
          </cell>
          <cell r="X4215" t="str">
            <v>Commissions - gross</v>
          </cell>
          <cell r="Y4215" t="str">
            <v>THAILAND</v>
          </cell>
        </row>
        <row r="4216">
          <cell r="L4216" t="str">
            <v>Proportional</v>
          </cell>
          <cell r="S4216">
            <v>205569.77</v>
          </cell>
          <cell r="X4216" t="str">
            <v>Commissions - gross</v>
          </cell>
          <cell r="Y4216" t="str">
            <v>THAILAND</v>
          </cell>
        </row>
        <row r="4217">
          <cell r="L4217" t="str">
            <v>Proportional</v>
          </cell>
          <cell r="S4217">
            <v>-99.07</v>
          </cell>
          <cell r="X4217" t="str">
            <v>Commissions - gross</v>
          </cell>
          <cell r="Y4217" t="str">
            <v>THAILAND</v>
          </cell>
        </row>
        <row r="4218">
          <cell r="L4218" t="str">
            <v>Proportional</v>
          </cell>
          <cell r="S4218">
            <v>-830.06</v>
          </cell>
          <cell r="X4218" t="str">
            <v>Commissions - gross</v>
          </cell>
          <cell r="Y4218" t="str">
            <v>THAILAND</v>
          </cell>
        </row>
        <row r="4219">
          <cell r="L4219" t="str">
            <v>Proportional</v>
          </cell>
          <cell r="S4219">
            <v>-65149.37</v>
          </cell>
          <cell r="X4219" t="str">
            <v>Commissions - gross</v>
          </cell>
          <cell r="Y4219" t="str">
            <v>SWITZERLAND</v>
          </cell>
        </row>
        <row r="4220">
          <cell r="L4220" t="str">
            <v>Proportional</v>
          </cell>
          <cell r="S4220">
            <v>99.48</v>
          </cell>
          <cell r="X4220" t="str">
            <v>Commissions - gross</v>
          </cell>
          <cell r="Y4220" t="str">
            <v>CANADA</v>
          </cell>
        </row>
        <row r="4221">
          <cell r="L4221" t="str">
            <v>Proportional</v>
          </cell>
          <cell r="S4221">
            <v>-151.83000000000001</v>
          </cell>
          <cell r="X4221" t="str">
            <v>Commissions - gross</v>
          </cell>
          <cell r="Y4221" t="str">
            <v>INDIA</v>
          </cell>
        </row>
        <row r="4222">
          <cell r="L4222" t="str">
            <v>Proportional</v>
          </cell>
          <cell r="S4222">
            <v>-1247.48</v>
          </cell>
          <cell r="X4222" t="str">
            <v>Commissions - gross</v>
          </cell>
          <cell r="Y4222" t="str">
            <v>ITALY</v>
          </cell>
        </row>
        <row r="4223">
          <cell r="L4223" t="str">
            <v>Proportional</v>
          </cell>
          <cell r="S4223">
            <v>7854.25</v>
          </cell>
          <cell r="X4223" t="str">
            <v>Commissions - gross</v>
          </cell>
          <cell r="Y4223" t="str">
            <v>PORTUGAL</v>
          </cell>
        </row>
        <row r="4224">
          <cell r="L4224" t="str">
            <v>Proportional</v>
          </cell>
          <cell r="S4224">
            <v>909.07</v>
          </cell>
          <cell r="X4224" t="str">
            <v>Commissions - gross</v>
          </cell>
          <cell r="Y4224" t="str">
            <v>CHILE</v>
          </cell>
        </row>
        <row r="4225">
          <cell r="L4225" t="str">
            <v>Proportional</v>
          </cell>
          <cell r="S4225">
            <v>45942.87</v>
          </cell>
          <cell r="X4225" t="str">
            <v>Commissions - gross</v>
          </cell>
          <cell r="Y4225" t="str">
            <v>THAILAND</v>
          </cell>
        </row>
        <row r="4226">
          <cell r="L4226" t="str">
            <v>Proportional</v>
          </cell>
          <cell r="S4226">
            <v>676.37</v>
          </cell>
          <cell r="X4226" t="str">
            <v>Commissions - gross</v>
          </cell>
          <cell r="Y4226" t="str">
            <v>PERU</v>
          </cell>
        </row>
        <row r="4227">
          <cell r="L4227" t="str">
            <v>Proportional</v>
          </cell>
          <cell r="S4227">
            <v>1007.71</v>
          </cell>
          <cell r="X4227" t="str">
            <v>Commissions - gross</v>
          </cell>
          <cell r="Y4227" t="str">
            <v>INDIA</v>
          </cell>
        </row>
        <row r="4228">
          <cell r="L4228" t="str">
            <v>Proportional</v>
          </cell>
          <cell r="S4228">
            <v>17095.02</v>
          </cell>
          <cell r="X4228" t="str">
            <v>Commissions - gross</v>
          </cell>
          <cell r="Y4228" t="str">
            <v>THAILAND</v>
          </cell>
        </row>
        <row r="4229">
          <cell r="L4229" t="str">
            <v>Proportional</v>
          </cell>
          <cell r="S4229">
            <v>521.79</v>
          </cell>
          <cell r="X4229" t="str">
            <v>Commissions - gross</v>
          </cell>
          <cell r="Y4229" t="str">
            <v>THAILAND</v>
          </cell>
        </row>
        <row r="4230">
          <cell r="L4230" t="str">
            <v>Proportional</v>
          </cell>
          <cell r="S4230">
            <v>-100.53</v>
          </cell>
          <cell r="X4230" t="str">
            <v>Commissions - gross</v>
          </cell>
          <cell r="Y4230" t="str">
            <v>CHILE</v>
          </cell>
        </row>
        <row r="4231">
          <cell r="L4231" t="str">
            <v>Proportional</v>
          </cell>
          <cell r="S4231">
            <v>13066.58</v>
          </cell>
          <cell r="X4231" t="str">
            <v>Commissions - gross</v>
          </cell>
          <cell r="Y4231" t="str">
            <v>JAPAN</v>
          </cell>
        </row>
        <row r="4232">
          <cell r="L4232" t="str">
            <v>Proportional</v>
          </cell>
          <cell r="S4232">
            <v>11945.8</v>
          </cell>
          <cell r="X4232" t="str">
            <v>Commissions - gross</v>
          </cell>
          <cell r="Y4232" t="str">
            <v>UNITED ARAB EMIRATES</v>
          </cell>
        </row>
        <row r="4233">
          <cell r="L4233" t="str">
            <v>Proportional</v>
          </cell>
          <cell r="S4233">
            <v>-301.24</v>
          </cell>
          <cell r="X4233" t="str">
            <v>Commissions - gross</v>
          </cell>
          <cell r="Y4233" t="str">
            <v>THAILAND</v>
          </cell>
        </row>
        <row r="4234">
          <cell r="L4234" t="str">
            <v>Proportional</v>
          </cell>
          <cell r="S4234">
            <v>141.83000000000001</v>
          </cell>
          <cell r="X4234" t="str">
            <v>Commissions - gross</v>
          </cell>
          <cell r="Y4234" t="str">
            <v>THAILAND</v>
          </cell>
        </row>
        <row r="4235">
          <cell r="L4235" t="str">
            <v>Proportional</v>
          </cell>
          <cell r="S4235">
            <v>-139.26</v>
          </cell>
          <cell r="X4235" t="str">
            <v>Commissions - gross</v>
          </cell>
          <cell r="Y4235" t="str">
            <v>CHILE</v>
          </cell>
        </row>
        <row r="4236">
          <cell r="L4236" t="str">
            <v>Proportional</v>
          </cell>
          <cell r="S4236">
            <v>59.63</v>
          </cell>
          <cell r="X4236" t="str">
            <v>Commissions - gross</v>
          </cell>
          <cell r="Y4236" t="str">
            <v>THAILAND</v>
          </cell>
        </row>
        <row r="4237">
          <cell r="L4237" t="str">
            <v>Proportional</v>
          </cell>
          <cell r="S4237">
            <v>104.89</v>
          </cell>
          <cell r="X4237" t="str">
            <v>Commissions - gross</v>
          </cell>
          <cell r="Y4237" t="str">
            <v>CHILE</v>
          </cell>
        </row>
        <row r="4238">
          <cell r="L4238" t="str">
            <v>Proportional</v>
          </cell>
          <cell r="S4238">
            <v>-99.49</v>
          </cell>
          <cell r="X4238" t="str">
            <v>Commissions - gross</v>
          </cell>
          <cell r="Y4238" t="str">
            <v>CANADA</v>
          </cell>
        </row>
        <row r="4239">
          <cell r="L4239" t="str">
            <v>Proportional</v>
          </cell>
          <cell r="S4239">
            <v>868.09</v>
          </cell>
          <cell r="X4239" t="str">
            <v>Commissions - gross</v>
          </cell>
          <cell r="Y4239" t="str">
            <v>INDIA</v>
          </cell>
        </row>
        <row r="4240">
          <cell r="L4240" t="str">
            <v>Proportional</v>
          </cell>
          <cell r="S4240">
            <v>4532.34</v>
          </cell>
          <cell r="X4240" t="str">
            <v>Commissions - gross</v>
          </cell>
          <cell r="Y4240" t="str">
            <v>CHILE</v>
          </cell>
        </row>
        <row r="4241">
          <cell r="L4241" t="str">
            <v>Proportional</v>
          </cell>
          <cell r="S4241">
            <v>2728.96</v>
          </cell>
          <cell r="X4241" t="str">
            <v>Commissions - gross</v>
          </cell>
          <cell r="Y4241" t="str">
            <v>HONG KONG</v>
          </cell>
        </row>
        <row r="4242">
          <cell r="L4242" t="str">
            <v>Proportional</v>
          </cell>
          <cell r="S4242">
            <v>-104413.78</v>
          </cell>
          <cell r="X4242" t="str">
            <v>Commissions - gross</v>
          </cell>
          <cell r="Y4242" t="str">
            <v>JAPAN</v>
          </cell>
        </row>
        <row r="4243">
          <cell r="L4243" t="str">
            <v>Proportional</v>
          </cell>
          <cell r="S4243">
            <v>13579.38</v>
          </cell>
          <cell r="X4243" t="str">
            <v>Commissions - gross</v>
          </cell>
          <cell r="Y4243" t="str">
            <v>UNITED ARAB EMIRATES</v>
          </cell>
        </row>
        <row r="4244">
          <cell r="L4244" t="str">
            <v>Proportional</v>
          </cell>
          <cell r="S4244">
            <v>292.52999999999997</v>
          </cell>
          <cell r="X4244" t="str">
            <v>Commissions - gross</v>
          </cell>
          <cell r="Y4244" t="str">
            <v>THAILAND</v>
          </cell>
        </row>
        <row r="4245">
          <cell r="L4245" t="str">
            <v>Proportional</v>
          </cell>
          <cell r="S4245">
            <v>498.77</v>
          </cell>
          <cell r="X4245" t="str">
            <v>Commissions - gross</v>
          </cell>
          <cell r="Y4245" t="str">
            <v>THAILAND</v>
          </cell>
        </row>
        <row r="4246">
          <cell r="L4246" t="str">
            <v>Proportional</v>
          </cell>
          <cell r="S4246">
            <v>682.69</v>
          </cell>
          <cell r="X4246" t="str">
            <v>Commissions - gross</v>
          </cell>
          <cell r="Y4246" t="str">
            <v>FRANCE</v>
          </cell>
        </row>
        <row r="4247">
          <cell r="L4247" t="str">
            <v>Proportional</v>
          </cell>
          <cell r="S4247">
            <v>683.6</v>
          </cell>
          <cell r="X4247" t="str">
            <v>Commissions - gross</v>
          </cell>
          <cell r="Y4247" t="str">
            <v>INDIA</v>
          </cell>
        </row>
        <row r="4248">
          <cell r="L4248" t="str">
            <v>Proportional</v>
          </cell>
          <cell r="S4248">
            <v>329.84</v>
          </cell>
          <cell r="X4248" t="str">
            <v>Commissions - gross</v>
          </cell>
          <cell r="Y4248" t="str">
            <v>INDIA</v>
          </cell>
        </row>
        <row r="4249">
          <cell r="L4249" t="str">
            <v>Proportional</v>
          </cell>
          <cell r="S4249">
            <v>72534.759999999995</v>
          </cell>
          <cell r="X4249" t="str">
            <v>Commissions - gross</v>
          </cell>
          <cell r="Y4249" t="str">
            <v>HONG KONG</v>
          </cell>
        </row>
        <row r="4250">
          <cell r="L4250" t="str">
            <v>Proportional</v>
          </cell>
          <cell r="S4250">
            <v>710.03</v>
          </cell>
          <cell r="X4250" t="str">
            <v>Commissions - gross</v>
          </cell>
          <cell r="Y4250" t="str">
            <v>PERU</v>
          </cell>
        </row>
        <row r="4251">
          <cell r="L4251" t="str">
            <v>Proportional</v>
          </cell>
          <cell r="S4251">
            <v>691.92</v>
          </cell>
          <cell r="X4251" t="str">
            <v>Commissions - gross</v>
          </cell>
          <cell r="Y4251" t="str">
            <v>CHILE</v>
          </cell>
        </row>
        <row r="4252">
          <cell r="L4252" t="str">
            <v>Proportional</v>
          </cell>
          <cell r="S4252">
            <v>-21518601.129999999</v>
          </cell>
          <cell r="X4252" t="str">
            <v>Commissions - gross</v>
          </cell>
          <cell r="Y4252" t="str">
            <v>ITALY</v>
          </cell>
        </row>
        <row r="4253">
          <cell r="L4253" t="str">
            <v>Proportional</v>
          </cell>
          <cell r="S4253">
            <v>15797.42</v>
          </cell>
          <cell r="X4253" t="str">
            <v>Commissions - gross</v>
          </cell>
          <cell r="Y4253" t="str">
            <v>CANADA</v>
          </cell>
        </row>
        <row r="4254">
          <cell r="L4254" t="str">
            <v>Proportional</v>
          </cell>
          <cell r="S4254">
            <v>4550.2299999999996</v>
          </cell>
          <cell r="X4254" t="str">
            <v>Commissions - gross</v>
          </cell>
          <cell r="Y4254" t="str">
            <v>THAILAND</v>
          </cell>
        </row>
        <row r="4255">
          <cell r="L4255" t="str">
            <v>Proportional</v>
          </cell>
          <cell r="S4255">
            <v>4511.8900000000003</v>
          </cell>
          <cell r="X4255" t="str">
            <v>Commissions - gross</v>
          </cell>
          <cell r="Y4255" t="str">
            <v>THAILAND</v>
          </cell>
        </row>
        <row r="4256">
          <cell r="L4256" t="str">
            <v>Proportional</v>
          </cell>
          <cell r="S4256">
            <v>7270.03</v>
          </cell>
          <cell r="X4256" t="str">
            <v>Commissions - gross</v>
          </cell>
          <cell r="Y4256" t="str">
            <v>EUROPE</v>
          </cell>
        </row>
        <row r="4257">
          <cell r="L4257" t="str">
            <v>Proportional</v>
          </cell>
          <cell r="S4257">
            <v>28414.87</v>
          </cell>
          <cell r="X4257" t="str">
            <v>Commissions - gross</v>
          </cell>
          <cell r="Y4257" t="str">
            <v>UNITED STATES</v>
          </cell>
        </row>
        <row r="4258">
          <cell r="L4258" t="str">
            <v>Proportional</v>
          </cell>
          <cell r="S4258">
            <v>24093.33</v>
          </cell>
          <cell r="X4258" t="str">
            <v>Commissions - gross</v>
          </cell>
          <cell r="Y4258" t="str">
            <v>FRANCE</v>
          </cell>
        </row>
        <row r="4259">
          <cell r="L4259" t="str">
            <v>Proportional</v>
          </cell>
          <cell r="S4259">
            <v>204.66</v>
          </cell>
          <cell r="X4259" t="str">
            <v>Commissions - gross</v>
          </cell>
          <cell r="Y4259" t="str">
            <v>INDIA</v>
          </cell>
        </row>
        <row r="4260">
          <cell r="L4260" t="str">
            <v>Proportional</v>
          </cell>
          <cell r="S4260">
            <v>-71.14</v>
          </cell>
          <cell r="X4260" t="str">
            <v>Commissions - gross</v>
          </cell>
          <cell r="Y4260" t="str">
            <v>CANADA</v>
          </cell>
        </row>
        <row r="4261">
          <cell r="L4261" t="str">
            <v>Proportional</v>
          </cell>
          <cell r="S4261">
            <v>25.17</v>
          </cell>
          <cell r="X4261" t="str">
            <v>Commissions - gross</v>
          </cell>
          <cell r="Y4261" t="str">
            <v>UNITED STATES</v>
          </cell>
        </row>
        <row r="4262">
          <cell r="L4262" t="str">
            <v>Proportional</v>
          </cell>
          <cell r="S4262">
            <v>71.14</v>
          </cell>
          <cell r="X4262" t="str">
            <v>Commissions - gross</v>
          </cell>
          <cell r="Y4262" t="str">
            <v>CANADA</v>
          </cell>
        </row>
        <row r="4263">
          <cell r="L4263" t="str">
            <v>Non-proportional</v>
          </cell>
          <cell r="S4263">
            <v>3532.69</v>
          </cell>
          <cell r="X4263" t="str">
            <v>Commissions - gross</v>
          </cell>
          <cell r="Y4263" t="str">
            <v>TURKEY</v>
          </cell>
        </row>
        <row r="4264">
          <cell r="L4264" t="str">
            <v>Proportional</v>
          </cell>
          <cell r="S4264">
            <v>-343.66</v>
          </cell>
          <cell r="X4264" t="str">
            <v>Commissions - gross</v>
          </cell>
          <cell r="Y4264" t="str">
            <v>THAILAND</v>
          </cell>
        </row>
        <row r="4265">
          <cell r="L4265" t="str">
            <v>Proportional</v>
          </cell>
          <cell r="S4265">
            <v>80295.600000000006</v>
          </cell>
          <cell r="X4265" t="str">
            <v>Commissions - gross</v>
          </cell>
          <cell r="Y4265" t="str">
            <v>PORTUGAL</v>
          </cell>
        </row>
        <row r="4266">
          <cell r="L4266" t="str">
            <v>Proportional</v>
          </cell>
          <cell r="S4266">
            <v>6645.9</v>
          </cell>
          <cell r="X4266" t="str">
            <v>Commissions - gross</v>
          </cell>
          <cell r="Y4266" t="str">
            <v>CHILE</v>
          </cell>
        </row>
        <row r="4267">
          <cell r="L4267" t="str">
            <v>Proportional</v>
          </cell>
          <cell r="S4267">
            <v>25.17</v>
          </cell>
          <cell r="X4267" t="str">
            <v>Commissions - gross</v>
          </cell>
          <cell r="Y4267" t="str">
            <v>UNITED STATES</v>
          </cell>
        </row>
        <row r="4268">
          <cell r="L4268" t="str">
            <v>Proportional</v>
          </cell>
          <cell r="S4268">
            <v>2193.9899999999998</v>
          </cell>
          <cell r="X4268" t="str">
            <v>Commissions - gross</v>
          </cell>
          <cell r="Y4268" t="str">
            <v>THAILAND</v>
          </cell>
        </row>
        <row r="4269">
          <cell r="L4269" t="str">
            <v>Proportional</v>
          </cell>
          <cell r="S4269">
            <v>1056.0999999999999</v>
          </cell>
          <cell r="X4269" t="str">
            <v>Commissions - gross</v>
          </cell>
          <cell r="Y4269" t="str">
            <v>CHILE</v>
          </cell>
        </row>
        <row r="4270">
          <cell r="L4270" t="str">
            <v>Proportional</v>
          </cell>
          <cell r="S4270">
            <v>860416.67</v>
          </cell>
          <cell r="X4270" t="str">
            <v>Commissions - gross</v>
          </cell>
          <cell r="Y4270" t="str">
            <v>PORTUGAL</v>
          </cell>
        </row>
        <row r="4271">
          <cell r="L4271" t="str">
            <v>Proportional</v>
          </cell>
          <cell r="S4271">
            <v>148083.79999999999</v>
          </cell>
          <cell r="X4271" t="str">
            <v>Commissions - gross</v>
          </cell>
          <cell r="Y4271" t="str">
            <v>THAILAND</v>
          </cell>
        </row>
        <row r="4272">
          <cell r="L4272" t="str">
            <v>Proportional</v>
          </cell>
          <cell r="S4272">
            <v>102.55</v>
          </cell>
          <cell r="X4272" t="str">
            <v>Commissions - gross</v>
          </cell>
          <cell r="Y4272" t="str">
            <v>THAILAND</v>
          </cell>
        </row>
        <row r="4273">
          <cell r="L4273" t="str">
            <v>Proportional</v>
          </cell>
          <cell r="S4273">
            <v>-130.80000000000001</v>
          </cell>
          <cell r="X4273" t="str">
            <v>Commissions - gross</v>
          </cell>
          <cell r="Y4273" t="str">
            <v>INDIA</v>
          </cell>
        </row>
        <row r="4274">
          <cell r="L4274" t="str">
            <v>Proportional</v>
          </cell>
          <cell r="S4274">
            <v>5556.52</v>
          </cell>
          <cell r="X4274" t="str">
            <v>Commissions - gross</v>
          </cell>
          <cell r="Y4274" t="str">
            <v>PORTUGAL</v>
          </cell>
        </row>
        <row r="4275">
          <cell r="L4275" t="str">
            <v>Proportional</v>
          </cell>
          <cell r="S4275">
            <v>-1925.94</v>
          </cell>
          <cell r="X4275" t="str">
            <v>Commissions - gross</v>
          </cell>
          <cell r="Y4275" t="str">
            <v>UNITED KINGDOM</v>
          </cell>
        </row>
        <row r="4276">
          <cell r="L4276" t="str">
            <v>Proportional</v>
          </cell>
          <cell r="S4276">
            <v>6619.24</v>
          </cell>
          <cell r="X4276" t="str">
            <v>Commissions - gross</v>
          </cell>
          <cell r="Y4276" t="str">
            <v>UNITED KINGDOM</v>
          </cell>
        </row>
        <row r="4277">
          <cell r="L4277" t="str">
            <v>Proportional</v>
          </cell>
          <cell r="S4277">
            <v>702.4</v>
          </cell>
          <cell r="X4277" t="str">
            <v>Commissions - gross</v>
          </cell>
          <cell r="Y4277" t="str">
            <v>THAILAND</v>
          </cell>
        </row>
        <row r="4278">
          <cell r="L4278" t="str">
            <v>Proportional</v>
          </cell>
          <cell r="S4278">
            <v>-5134.8100000000004</v>
          </cell>
          <cell r="X4278" t="str">
            <v>Commissions - gross</v>
          </cell>
          <cell r="Y4278" t="str">
            <v>CHILE</v>
          </cell>
        </row>
        <row r="4279">
          <cell r="L4279" t="str">
            <v>Proportional</v>
          </cell>
          <cell r="S4279">
            <v>20193.46</v>
          </cell>
          <cell r="X4279" t="str">
            <v>Commissions - gross</v>
          </cell>
          <cell r="Y4279" t="str">
            <v>PORTUGAL</v>
          </cell>
        </row>
        <row r="4280">
          <cell r="L4280" t="str">
            <v>Proportional</v>
          </cell>
          <cell r="S4280">
            <v>-36.42</v>
          </cell>
          <cell r="X4280" t="str">
            <v>Commissions - gross</v>
          </cell>
          <cell r="Y4280" t="str">
            <v>CHILE</v>
          </cell>
        </row>
        <row r="4281">
          <cell r="L4281" t="str">
            <v>Proportional</v>
          </cell>
          <cell r="S4281">
            <v>218.56</v>
          </cell>
          <cell r="X4281" t="str">
            <v>Commissions - gross</v>
          </cell>
          <cell r="Y4281" t="str">
            <v>THAILAND</v>
          </cell>
        </row>
        <row r="4282">
          <cell r="L4282" t="str">
            <v>Proportional</v>
          </cell>
          <cell r="S4282">
            <v>104413.78</v>
          </cell>
          <cell r="X4282" t="str">
            <v>Commissions - gross</v>
          </cell>
          <cell r="Y4282" t="str">
            <v>JAPAN</v>
          </cell>
        </row>
        <row r="4283">
          <cell r="L4283" t="str">
            <v>Proportional</v>
          </cell>
          <cell r="S4283">
            <v>11404.8</v>
          </cell>
          <cell r="X4283" t="str">
            <v>Commissions - gross</v>
          </cell>
          <cell r="Y4283" t="str">
            <v>FRANCE</v>
          </cell>
        </row>
        <row r="4284">
          <cell r="L4284" t="str">
            <v>Proportional</v>
          </cell>
          <cell r="S4284">
            <v>18.57</v>
          </cell>
          <cell r="X4284" t="str">
            <v>Commissions - gross</v>
          </cell>
          <cell r="Y4284" t="str">
            <v>THAILAND</v>
          </cell>
        </row>
        <row r="4285">
          <cell r="L4285" t="str">
            <v>Proportional</v>
          </cell>
          <cell r="S4285">
            <v>1237.5</v>
          </cell>
          <cell r="X4285" t="str">
            <v>Commissions - gross</v>
          </cell>
          <cell r="Y4285" t="str">
            <v>ITALY</v>
          </cell>
        </row>
        <row r="4286">
          <cell r="L4286" t="str">
            <v>Proportional</v>
          </cell>
          <cell r="S4286">
            <v>509.84</v>
          </cell>
          <cell r="X4286" t="str">
            <v>Commissions - gross</v>
          </cell>
          <cell r="Y4286" t="str">
            <v>CHILE</v>
          </cell>
        </row>
        <row r="4287">
          <cell r="L4287" t="str">
            <v>Proportional</v>
          </cell>
          <cell r="S4287">
            <v>377.29</v>
          </cell>
          <cell r="X4287" t="str">
            <v>Commissions - gross</v>
          </cell>
          <cell r="Y4287" t="str">
            <v>THAILAND</v>
          </cell>
        </row>
        <row r="4288">
          <cell r="L4288" t="str">
            <v>Proportional</v>
          </cell>
          <cell r="S4288">
            <v>524.58000000000004</v>
          </cell>
          <cell r="X4288" t="str">
            <v>Commissions - gross</v>
          </cell>
          <cell r="Y4288" t="str">
            <v>THAILAND</v>
          </cell>
        </row>
        <row r="4289">
          <cell r="L4289" t="str">
            <v>Proportional</v>
          </cell>
          <cell r="S4289">
            <v>-68556.789999999994</v>
          </cell>
          <cell r="X4289" t="str">
            <v>Commissions - gross</v>
          </cell>
          <cell r="Y4289" t="str">
            <v>UNITED KINGDOM</v>
          </cell>
        </row>
        <row r="4290">
          <cell r="L4290" t="str">
            <v>Proportional</v>
          </cell>
          <cell r="S4290">
            <v>9.41</v>
          </cell>
          <cell r="X4290" t="str">
            <v>Commissions - gross</v>
          </cell>
          <cell r="Y4290" t="str">
            <v>UNITED STATES</v>
          </cell>
        </row>
        <row r="4291">
          <cell r="L4291" t="str">
            <v>Proportional</v>
          </cell>
          <cell r="S4291">
            <v>104413.78</v>
          </cell>
          <cell r="X4291" t="str">
            <v>Commissions - gross</v>
          </cell>
          <cell r="Y4291" t="str">
            <v>JAPAN</v>
          </cell>
        </row>
        <row r="4292">
          <cell r="L4292" t="str">
            <v>Proportional</v>
          </cell>
          <cell r="S4292">
            <v>27652.21</v>
          </cell>
          <cell r="X4292" t="str">
            <v>Commissions - gross</v>
          </cell>
          <cell r="Y4292" t="str">
            <v>UNITED STATES</v>
          </cell>
        </row>
        <row r="4293">
          <cell r="L4293" t="str">
            <v>Proportional</v>
          </cell>
          <cell r="S4293">
            <v>199350.43</v>
          </cell>
          <cell r="X4293" t="str">
            <v>Commissions - gross</v>
          </cell>
          <cell r="Y4293" t="str">
            <v>HONG KONG</v>
          </cell>
        </row>
        <row r="4294">
          <cell r="L4294" t="str">
            <v>Proportional</v>
          </cell>
          <cell r="S4294">
            <v>3660</v>
          </cell>
          <cell r="X4294" t="str">
            <v>Commissions - gross</v>
          </cell>
          <cell r="Y4294" t="str">
            <v>SPAIN</v>
          </cell>
        </row>
        <row r="4295">
          <cell r="L4295" t="str">
            <v>Proportional</v>
          </cell>
          <cell r="S4295">
            <v>-7538.34</v>
          </cell>
          <cell r="X4295" t="str">
            <v>Commissions - gross</v>
          </cell>
          <cell r="Y4295" t="str">
            <v>CHILE</v>
          </cell>
        </row>
        <row r="4296">
          <cell r="L4296" t="str">
            <v>Proportional</v>
          </cell>
          <cell r="S4296">
            <v>20.05</v>
          </cell>
          <cell r="X4296" t="str">
            <v>Commissions - gross</v>
          </cell>
          <cell r="Y4296" t="str">
            <v>THAILAND</v>
          </cell>
        </row>
        <row r="4297">
          <cell r="L4297" t="str">
            <v>Proportional</v>
          </cell>
          <cell r="S4297">
            <v>-721.48</v>
          </cell>
          <cell r="X4297" t="str">
            <v>Commissions - gross</v>
          </cell>
          <cell r="Y4297" t="str">
            <v>THAILAND</v>
          </cell>
        </row>
        <row r="4298">
          <cell r="L4298" t="str">
            <v>Proportional</v>
          </cell>
          <cell r="S4298">
            <v>3137.32</v>
          </cell>
          <cell r="X4298" t="str">
            <v>Commissions - gross</v>
          </cell>
          <cell r="Y4298" t="str">
            <v>THAILAND</v>
          </cell>
        </row>
        <row r="4299">
          <cell r="L4299" t="str">
            <v>Proportional</v>
          </cell>
          <cell r="S4299">
            <v>2502.7800000000002</v>
          </cell>
          <cell r="X4299" t="str">
            <v>Commissions - gross</v>
          </cell>
          <cell r="Y4299" t="str">
            <v>THAILAND</v>
          </cell>
        </row>
        <row r="4300">
          <cell r="L4300" t="str">
            <v>Proportional</v>
          </cell>
          <cell r="S4300">
            <v>4062.95</v>
          </cell>
          <cell r="X4300" t="str">
            <v>Commissions - gross</v>
          </cell>
          <cell r="Y4300" t="str">
            <v>THAILAND</v>
          </cell>
        </row>
        <row r="4301">
          <cell r="L4301" t="str">
            <v>Non-proportional</v>
          </cell>
          <cell r="S4301">
            <v>3782.82</v>
          </cell>
          <cell r="X4301" t="str">
            <v>Commissions - gross</v>
          </cell>
          <cell r="Y4301" t="str">
            <v>TURKEY</v>
          </cell>
        </row>
        <row r="4302">
          <cell r="L4302" t="str">
            <v>Proportional</v>
          </cell>
          <cell r="S4302">
            <v>67607.45</v>
          </cell>
          <cell r="X4302" t="str">
            <v>Commissions - gross</v>
          </cell>
          <cell r="Y4302" t="str">
            <v>THAILAND</v>
          </cell>
        </row>
        <row r="4303">
          <cell r="L4303" t="str">
            <v>Proportional</v>
          </cell>
          <cell r="S4303">
            <v>10556.16</v>
          </cell>
          <cell r="X4303" t="str">
            <v>Commissions - gross</v>
          </cell>
          <cell r="Y4303" t="str">
            <v>SWITZERLAND</v>
          </cell>
        </row>
        <row r="4304">
          <cell r="L4304" t="str">
            <v>Proportional</v>
          </cell>
          <cell r="S4304">
            <v>47.87</v>
          </cell>
          <cell r="X4304" t="str">
            <v>Commissions - gross</v>
          </cell>
          <cell r="Y4304" t="str">
            <v>UNITED STATES</v>
          </cell>
        </row>
        <row r="4305">
          <cell r="L4305" t="str">
            <v>Proportional</v>
          </cell>
          <cell r="S4305">
            <v>-45284.25</v>
          </cell>
          <cell r="X4305" t="str">
            <v>Commissions - gross</v>
          </cell>
          <cell r="Y4305" t="str">
            <v>COLOMBIA</v>
          </cell>
        </row>
        <row r="4306">
          <cell r="L4306" t="str">
            <v>Proportional</v>
          </cell>
          <cell r="S4306">
            <v>4151.55</v>
          </cell>
          <cell r="X4306" t="str">
            <v>Commissions - gross</v>
          </cell>
          <cell r="Y4306" t="str">
            <v>CHILE</v>
          </cell>
        </row>
        <row r="4307">
          <cell r="L4307" t="str">
            <v>Proportional</v>
          </cell>
          <cell r="S4307">
            <v>392.09</v>
          </cell>
          <cell r="X4307" t="str">
            <v>Commissions - gross</v>
          </cell>
          <cell r="Y4307" t="str">
            <v>THAILAND</v>
          </cell>
        </row>
        <row r="4308">
          <cell r="L4308" t="str">
            <v>Proportional</v>
          </cell>
          <cell r="S4308">
            <v>-71156.679999999993</v>
          </cell>
          <cell r="X4308" t="str">
            <v>Commissions - gross</v>
          </cell>
          <cell r="Y4308" t="str">
            <v>UNITED KINGDOM</v>
          </cell>
        </row>
        <row r="4309">
          <cell r="L4309" t="str">
            <v>Proportional</v>
          </cell>
          <cell r="S4309">
            <v>1634.45</v>
          </cell>
          <cell r="X4309" t="str">
            <v>Commissions - gross</v>
          </cell>
          <cell r="Y4309" t="str">
            <v>THAILAND</v>
          </cell>
        </row>
        <row r="4310">
          <cell r="L4310" t="str">
            <v>Proportional</v>
          </cell>
          <cell r="S4310">
            <v>214863.79</v>
          </cell>
          <cell r="X4310" t="str">
            <v>Commissions - gross</v>
          </cell>
          <cell r="Y4310" t="str">
            <v>AUSTRALIA</v>
          </cell>
        </row>
        <row r="4311">
          <cell r="L4311" t="str">
            <v>Proportional</v>
          </cell>
          <cell r="S4311">
            <v>52.23</v>
          </cell>
          <cell r="X4311" t="str">
            <v>Commissions - gross</v>
          </cell>
          <cell r="Y4311" t="str">
            <v>THAILAND</v>
          </cell>
        </row>
        <row r="4312">
          <cell r="L4312" t="str">
            <v>Proportional</v>
          </cell>
          <cell r="S4312">
            <v>15968.46</v>
          </cell>
          <cell r="X4312" t="str">
            <v>Commissions - gross</v>
          </cell>
          <cell r="Y4312" t="str">
            <v>PORTUGAL</v>
          </cell>
        </row>
        <row r="4313">
          <cell r="L4313" t="str">
            <v>Proportional</v>
          </cell>
          <cell r="S4313">
            <v>-3282.71</v>
          </cell>
          <cell r="X4313" t="str">
            <v>Commissions - gross</v>
          </cell>
          <cell r="Y4313" t="str">
            <v>THAILAND</v>
          </cell>
        </row>
        <row r="4314">
          <cell r="L4314" t="str">
            <v>Proportional</v>
          </cell>
          <cell r="S4314">
            <v>5749.3</v>
          </cell>
          <cell r="X4314" t="str">
            <v>Commissions - gross</v>
          </cell>
          <cell r="Y4314" t="str">
            <v>THAILAND</v>
          </cell>
        </row>
        <row r="4315">
          <cell r="L4315" t="str">
            <v>Proportional</v>
          </cell>
          <cell r="S4315">
            <v>-2731.28</v>
          </cell>
          <cell r="X4315" t="str">
            <v>Commissions - gross</v>
          </cell>
          <cell r="Y4315" t="str">
            <v>CHILE</v>
          </cell>
        </row>
        <row r="4316">
          <cell r="L4316" t="str">
            <v>Proportional</v>
          </cell>
          <cell r="S4316">
            <v>15562.5</v>
          </cell>
          <cell r="X4316" t="str">
            <v>Commissions - gross</v>
          </cell>
          <cell r="Y4316" t="str">
            <v>PORTUGAL</v>
          </cell>
        </row>
        <row r="4317">
          <cell r="L4317" t="str">
            <v>Proportional</v>
          </cell>
          <cell r="S4317">
            <v>1547.87</v>
          </cell>
          <cell r="X4317" t="str">
            <v>Commissions - gross</v>
          </cell>
          <cell r="Y4317" t="str">
            <v>CHILE</v>
          </cell>
        </row>
        <row r="4318">
          <cell r="L4318" t="str">
            <v>Proportional</v>
          </cell>
          <cell r="S4318">
            <v>3.48</v>
          </cell>
          <cell r="X4318" t="str">
            <v>Commissions - gross</v>
          </cell>
          <cell r="Y4318" t="str">
            <v>HONG KONG</v>
          </cell>
        </row>
        <row r="4319">
          <cell r="L4319" t="str">
            <v>Proportional</v>
          </cell>
          <cell r="S4319">
            <v>-121.52</v>
          </cell>
          <cell r="X4319" t="str">
            <v>Commissions - gross</v>
          </cell>
          <cell r="Y4319" t="str">
            <v>THAILAND</v>
          </cell>
        </row>
        <row r="4320">
          <cell r="L4320" t="str">
            <v>Proportional</v>
          </cell>
          <cell r="S4320">
            <v>17.03</v>
          </cell>
          <cell r="X4320" t="str">
            <v>Commissions - gross</v>
          </cell>
          <cell r="Y4320" t="str">
            <v>THAILAND</v>
          </cell>
        </row>
        <row r="4321">
          <cell r="L4321" t="str">
            <v>Proportional</v>
          </cell>
          <cell r="S4321">
            <v>53.25</v>
          </cell>
          <cell r="X4321" t="str">
            <v>Commissions - gross</v>
          </cell>
          <cell r="Y4321" t="str">
            <v>MEXICO</v>
          </cell>
        </row>
        <row r="4322">
          <cell r="L4322" t="str">
            <v>Proportional</v>
          </cell>
          <cell r="S4322">
            <v>-27162.03</v>
          </cell>
          <cell r="X4322" t="str">
            <v>Commissions - gross</v>
          </cell>
          <cell r="Y4322" t="str">
            <v>CHILE</v>
          </cell>
        </row>
        <row r="4323">
          <cell r="L4323" t="str">
            <v>Proportional</v>
          </cell>
          <cell r="S4323">
            <v>-104413.78</v>
          </cell>
          <cell r="X4323" t="str">
            <v>Commissions - gross</v>
          </cell>
          <cell r="Y4323" t="str">
            <v>JAPAN</v>
          </cell>
        </row>
        <row r="4324">
          <cell r="L4324" t="str">
            <v>Proportional</v>
          </cell>
          <cell r="S4324">
            <v>816.08</v>
          </cell>
          <cell r="X4324" t="str">
            <v>Commissions - gross</v>
          </cell>
          <cell r="Y4324" t="str">
            <v>HONG KONG</v>
          </cell>
        </row>
        <row r="4325">
          <cell r="L4325" t="str">
            <v>Proportional</v>
          </cell>
          <cell r="S4325">
            <v>12467.23</v>
          </cell>
          <cell r="X4325" t="str">
            <v>Commissions - gross</v>
          </cell>
          <cell r="Y4325" t="str">
            <v>THAILAND</v>
          </cell>
        </row>
        <row r="4326">
          <cell r="L4326" t="str">
            <v>Proportional</v>
          </cell>
          <cell r="S4326">
            <v>664</v>
          </cell>
          <cell r="X4326" t="str">
            <v>Commissions - gross</v>
          </cell>
          <cell r="Y4326" t="str">
            <v>PERU</v>
          </cell>
        </row>
        <row r="4327">
          <cell r="L4327" t="str">
            <v>Proportional</v>
          </cell>
          <cell r="S4327">
            <v>-19229.259999999998</v>
          </cell>
          <cell r="X4327" t="str">
            <v>Commissions - gross</v>
          </cell>
          <cell r="Y4327" t="str">
            <v>TURKEY</v>
          </cell>
        </row>
        <row r="4328">
          <cell r="L4328" t="str">
            <v>Proportional</v>
          </cell>
          <cell r="S4328">
            <v>-29.11</v>
          </cell>
          <cell r="X4328" t="str">
            <v>Commissions - gross</v>
          </cell>
          <cell r="Y4328" t="str">
            <v>INDIA</v>
          </cell>
        </row>
        <row r="4329">
          <cell r="L4329" t="str">
            <v>Proportional</v>
          </cell>
          <cell r="S4329">
            <v>-26656.53</v>
          </cell>
          <cell r="X4329" t="str">
            <v>Commissions - gross</v>
          </cell>
          <cell r="Y4329" t="str">
            <v>CHILE</v>
          </cell>
        </row>
        <row r="4330">
          <cell r="L4330" t="str">
            <v>Proportional</v>
          </cell>
          <cell r="S4330">
            <v>969.4</v>
          </cell>
          <cell r="X4330" t="str">
            <v>Commissions - gross</v>
          </cell>
          <cell r="Y4330" t="str">
            <v>PERU</v>
          </cell>
        </row>
        <row r="4331">
          <cell r="L4331" t="str">
            <v>Proportional</v>
          </cell>
          <cell r="S4331">
            <v>-10611.63</v>
          </cell>
          <cell r="X4331" t="str">
            <v>Commissions - gross</v>
          </cell>
          <cell r="Y4331" t="str">
            <v>MEXICO</v>
          </cell>
        </row>
        <row r="4332">
          <cell r="L4332" t="str">
            <v>Proportional</v>
          </cell>
          <cell r="S4332">
            <v>6.6</v>
          </cell>
          <cell r="X4332" t="str">
            <v>Commissions - gross</v>
          </cell>
          <cell r="Y4332" t="str">
            <v>UNITED STATES</v>
          </cell>
        </row>
        <row r="4333">
          <cell r="L4333" t="str">
            <v>Proportional</v>
          </cell>
          <cell r="S4333">
            <v>589.12</v>
          </cell>
          <cell r="X4333" t="str">
            <v>Commissions - gross</v>
          </cell>
          <cell r="Y4333" t="str">
            <v>REPUBLIC OF IRELAND</v>
          </cell>
        </row>
        <row r="4334">
          <cell r="L4334" t="str">
            <v>Proportional</v>
          </cell>
          <cell r="S4334">
            <v>589.12</v>
          </cell>
          <cell r="X4334" t="str">
            <v>Commissions - gross</v>
          </cell>
          <cell r="Y4334" t="str">
            <v>REPUBLIC OF IRELAND</v>
          </cell>
        </row>
        <row r="4335">
          <cell r="L4335" t="str">
            <v>Proportional</v>
          </cell>
          <cell r="S4335">
            <v>43.12</v>
          </cell>
          <cell r="X4335" t="str">
            <v>Commissions - gross</v>
          </cell>
          <cell r="Y4335" t="str">
            <v>THAILAND</v>
          </cell>
        </row>
        <row r="4336">
          <cell r="L4336" t="str">
            <v>Proportional</v>
          </cell>
          <cell r="S4336">
            <v>-6632</v>
          </cell>
          <cell r="X4336" t="str">
            <v>Commissions - gross</v>
          </cell>
          <cell r="Y4336" t="str">
            <v>AUSTRALIA</v>
          </cell>
        </row>
        <row r="4337">
          <cell r="L4337" t="str">
            <v>Proportional</v>
          </cell>
          <cell r="S4337">
            <v>39638.49</v>
          </cell>
          <cell r="X4337" t="str">
            <v>Commissions - gross</v>
          </cell>
          <cell r="Y4337" t="str">
            <v>JAPAN</v>
          </cell>
        </row>
        <row r="4338">
          <cell r="L4338" t="str">
            <v>Proportional</v>
          </cell>
          <cell r="S4338">
            <v>112317.4</v>
          </cell>
          <cell r="X4338" t="str">
            <v>Commissions - gross</v>
          </cell>
          <cell r="Y4338" t="str">
            <v>SWITZERLAND</v>
          </cell>
        </row>
        <row r="4339">
          <cell r="L4339" t="str">
            <v>Proportional</v>
          </cell>
          <cell r="S4339">
            <v>-2544.89</v>
          </cell>
          <cell r="X4339" t="str">
            <v>Commissions - gross</v>
          </cell>
          <cell r="Y4339" t="str">
            <v>THAILAND</v>
          </cell>
        </row>
        <row r="4340">
          <cell r="L4340" t="str">
            <v>Proportional</v>
          </cell>
          <cell r="S4340">
            <v>19502.150000000001</v>
          </cell>
          <cell r="X4340" t="str">
            <v>Commissions - gross</v>
          </cell>
          <cell r="Y4340" t="str">
            <v>THAILAND</v>
          </cell>
        </row>
        <row r="4341">
          <cell r="L4341" t="str">
            <v>Proportional</v>
          </cell>
          <cell r="S4341">
            <v>-437.01</v>
          </cell>
          <cell r="X4341" t="str">
            <v>Commissions - gross</v>
          </cell>
          <cell r="Y4341" t="str">
            <v>CHILE</v>
          </cell>
        </row>
        <row r="4342">
          <cell r="L4342" t="str">
            <v>Proportional</v>
          </cell>
          <cell r="S4342">
            <v>789.25</v>
          </cell>
          <cell r="X4342" t="str">
            <v>Commissions - gross</v>
          </cell>
          <cell r="Y4342" t="str">
            <v>SAUDI ARABIA</v>
          </cell>
        </row>
        <row r="4343">
          <cell r="L4343" t="str">
            <v>Proportional</v>
          </cell>
          <cell r="S4343">
            <v>-197.28</v>
          </cell>
          <cell r="X4343" t="str">
            <v>Commissions - gross</v>
          </cell>
          <cell r="Y4343" t="str">
            <v>THAILAND</v>
          </cell>
        </row>
        <row r="4344">
          <cell r="L4344" t="str">
            <v>Proportional</v>
          </cell>
          <cell r="S4344">
            <v>628686.65</v>
          </cell>
          <cell r="X4344" t="str">
            <v>Commissions - gross</v>
          </cell>
          <cell r="Y4344" t="str">
            <v>HONG KONG</v>
          </cell>
        </row>
        <row r="4345">
          <cell r="L4345" t="str">
            <v>Proportional</v>
          </cell>
          <cell r="S4345">
            <v>7130.24</v>
          </cell>
          <cell r="X4345" t="str">
            <v>Commissions - gross</v>
          </cell>
          <cell r="Y4345" t="str">
            <v>ITALY</v>
          </cell>
        </row>
        <row r="4346">
          <cell r="L4346" t="str">
            <v>Proportional</v>
          </cell>
          <cell r="S4346">
            <v>-1803.69</v>
          </cell>
          <cell r="X4346" t="str">
            <v>Commissions - gross</v>
          </cell>
          <cell r="Y4346" t="str">
            <v>THAILAND</v>
          </cell>
        </row>
        <row r="4347">
          <cell r="L4347" t="str">
            <v>Proportional</v>
          </cell>
          <cell r="S4347">
            <v>7077.66</v>
          </cell>
          <cell r="X4347" t="str">
            <v>Commissions - gross</v>
          </cell>
          <cell r="Y4347" t="str">
            <v>THAILAND</v>
          </cell>
        </row>
        <row r="4348">
          <cell r="L4348" t="str">
            <v>Proportional</v>
          </cell>
          <cell r="S4348">
            <v>116.4</v>
          </cell>
          <cell r="X4348" t="str">
            <v>Commissions - gross</v>
          </cell>
          <cell r="Y4348" t="str">
            <v>ITALY</v>
          </cell>
        </row>
        <row r="4349">
          <cell r="L4349" t="str">
            <v>Proportional</v>
          </cell>
          <cell r="S4349">
            <v>2711.09</v>
          </cell>
          <cell r="X4349" t="str">
            <v>Commissions - gross</v>
          </cell>
          <cell r="Y4349" t="str">
            <v>SWITZERLAND</v>
          </cell>
        </row>
        <row r="4350">
          <cell r="L4350" t="str">
            <v>Proportional</v>
          </cell>
          <cell r="S4350">
            <v>5982.26</v>
          </cell>
          <cell r="X4350" t="str">
            <v>Commissions - gross</v>
          </cell>
          <cell r="Y4350" t="str">
            <v>AUSTRALIA</v>
          </cell>
        </row>
        <row r="4351">
          <cell r="L4351" t="str">
            <v>Proportional</v>
          </cell>
          <cell r="S4351">
            <v>2641.54</v>
          </cell>
          <cell r="X4351" t="str">
            <v>Commissions - gross</v>
          </cell>
          <cell r="Y4351" t="str">
            <v>CHILE</v>
          </cell>
        </row>
        <row r="4352">
          <cell r="L4352" t="str">
            <v>Proportional</v>
          </cell>
          <cell r="S4352">
            <v>33083.769999999997</v>
          </cell>
          <cell r="X4352" t="str">
            <v>Commissions - gross</v>
          </cell>
          <cell r="Y4352" t="str">
            <v>United kingdom</v>
          </cell>
        </row>
        <row r="4353">
          <cell r="L4353" t="str">
            <v>Proportional</v>
          </cell>
          <cell r="S4353">
            <v>37146.949999999997</v>
          </cell>
          <cell r="X4353" t="str">
            <v>Commissions - gross</v>
          </cell>
          <cell r="Y4353" t="str">
            <v>THAILAND</v>
          </cell>
        </row>
        <row r="4354">
          <cell r="L4354" t="str">
            <v>Proportional</v>
          </cell>
          <cell r="S4354">
            <v>1276.33</v>
          </cell>
          <cell r="X4354" t="str">
            <v>Commissions - gross</v>
          </cell>
          <cell r="Y4354" t="str">
            <v>ITALY</v>
          </cell>
        </row>
        <row r="4355">
          <cell r="L4355" t="str">
            <v>Proportional</v>
          </cell>
          <cell r="S4355">
            <v>-571003.71</v>
          </cell>
          <cell r="X4355" t="str">
            <v>Commissions - gross</v>
          </cell>
          <cell r="Y4355" t="str">
            <v>HONG KONG</v>
          </cell>
        </row>
        <row r="4356">
          <cell r="L4356" t="str">
            <v>Proportional</v>
          </cell>
          <cell r="S4356">
            <v>-184534.98</v>
          </cell>
          <cell r="X4356" t="str">
            <v>Commissions - gross</v>
          </cell>
          <cell r="Y4356" t="str">
            <v>ITALY</v>
          </cell>
        </row>
        <row r="4357">
          <cell r="L4357" t="str">
            <v>Proportional</v>
          </cell>
          <cell r="S4357">
            <v>-1748.02</v>
          </cell>
          <cell r="X4357" t="str">
            <v>Commissions - gross</v>
          </cell>
          <cell r="Y4357" t="str">
            <v>CHILE</v>
          </cell>
        </row>
        <row r="4358">
          <cell r="L4358" t="str">
            <v>Proportional</v>
          </cell>
          <cell r="S4358">
            <v>-640.19000000000005</v>
          </cell>
          <cell r="X4358" t="str">
            <v>Commissions - gross</v>
          </cell>
          <cell r="Y4358" t="str">
            <v>INDIA</v>
          </cell>
        </row>
        <row r="4359">
          <cell r="L4359" t="str">
            <v>Proportional</v>
          </cell>
          <cell r="S4359">
            <v>-106.53</v>
          </cell>
          <cell r="X4359" t="str">
            <v>Commissions - gross</v>
          </cell>
          <cell r="Y4359" t="str">
            <v>THAILAND</v>
          </cell>
        </row>
        <row r="4360">
          <cell r="L4360" t="str">
            <v>Proportional</v>
          </cell>
          <cell r="S4360">
            <v>1002.2</v>
          </cell>
          <cell r="X4360" t="str">
            <v>Commissions - gross</v>
          </cell>
          <cell r="Y4360" t="str">
            <v>ITALY</v>
          </cell>
        </row>
        <row r="4361">
          <cell r="L4361" t="str">
            <v>Proportional</v>
          </cell>
          <cell r="S4361">
            <v>70291.360000000001</v>
          </cell>
          <cell r="X4361" t="str">
            <v>Commissions - gross</v>
          </cell>
          <cell r="Y4361" t="str">
            <v>HONG KONG</v>
          </cell>
        </row>
        <row r="4362">
          <cell r="L4362" t="str">
            <v>Proportional</v>
          </cell>
          <cell r="S4362">
            <v>14858.78</v>
          </cell>
          <cell r="X4362" t="str">
            <v>Commissions - gross</v>
          </cell>
          <cell r="Y4362" t="str">
            <v>THAILAND</v>
          </cell>
        </row>
        <row r="4363">
          <cell r="L4363" t="str">
            <v>Proportional</v>
          </cell>
          <cell r="S4363">
            <v>24255</v>
          </cell>
          <cell r="X4363" t="str">
            <v>Commissions - gross</v>
          </cell>
          <cell r="Y4363" t="str">
            <v>ITALY</v>
          </cell>
        </row>
        <row r="4364">
          <cell r="L4364" t="str">
            <v>Proportional</v>
          </cell>
          <cell r="S4364">
            <v>1216851.1000000001</v>
          </cell>
          <cell r="X4364" t="str">
            <v>Commissions - gross</v>
          </cell>
          <cell r="Y4364" t="str">
            <v>THAILAND</v>
          </cell>
        </row>
        <row r="4365">
          <cell r="L4365" t="str">
            <v>Proportional</v>
          </cell>
          <cell r="S4365">
            <v>-71.63</v>
          </cell>
          <cell r="X4365" t="str">
            <v>Commissions - gross</v>
          </cell>
          <cell r="Y4365" t="str">
            <v>THAILAND</v>
          </cell>
        </row>
        <row r="4366">
          <cell r="L4366" t="str">
            <v>Proportional</v>
          </cell>
          <cell r="S4366">
            <v>-10.72</v>
          </cell>
          <cell r="X4366" t="str">
            <v>Commissions - gross</v>
          </cell>
          <cell r="Y4366" t="str">
            <v>INDIA</v>
          </cell>
        </row>
        <row r="4367">
          <cell r="L4367" t="str">
            <v>Proportional</v>
          </cell>
          <cell r="S4367">
            <v>-946.94</v>
          </cell>
          <cell r="X4367" t="str">
            <v>Commissions - gross</v>
          </cell>
          <cell r="Y4367" t="str">
            <v>THAILAND</v>
          </cell>
        </row>
        <row r="4368">
          <cell r="L4368" t="str">
            <v>Proportional</v>
          </cell>
          <cell r="S4368">
            <v>3466.68</v>
          </cell>
          <cell r="X4368" t="str">
            <v>Commissions - gross</v>
          </cell>
          <cell r="Y4368" t="str">
            <v>BELGIUM</v>
          </cell>
        </row>
        <row r="4369">
          <cell r="L4369" t="str">
            <v>Proportional</v>
          </cell>
          <cell r="S4369">
            <v>52412.03</v>
          </cell>
          <cell r="X4369" t="str">
            <v>Commissions - gross</v>
          </cell>
          <cell r="Y4369" t="str">
            <v>THAILAND</v>
          </cell>
        </row>
        <row r="4370">
          <cell r="L4370" t="str">
            <v>Proportional</v>
          </cell>
          <cell r="S4370">
            <v>-1243.99</v>
          </cell>
          <cell r="X4370" t="str">
            <v>Commissions - gross</v>
          </cell>
          <cell r="Y4370" t="str">
            <v>CANADA</v>
          </cell>
        </row>
        <row r="4371">
          <cell r="L4371" t="str">
            <v>Proportional</v>
          </cell>
          <cell r="S4371">
            <v>23100</v>
          </cell>
          <cell r="X4371" t="str">
            <v>Commissions - gross</v>
          </cell>
          <cell r="Y4371" t="str">
            <v>ITALY</v>
          </cell>
        </row>
        <row r="4372">
          <cell r="L4372" t="str">
            <v>Proportional</v>
          </cell>
          <cell r="S4372">
            <v>-70956.13</v>
          </cell>
          <cell r="X4372" t="str">
            <v>Commissions - gross</v>
          </cell>
          <cell r="Y4372" t="str">
            <v>JAPAN</v>
          </cell>
        </row>
        <row r="4373">
          <cell r="L4373" t="str">
            <v>Proportional</v>
          </cell>
          <cell r="S4373">
            <v>5586.97</v>
          </cell>
          <cell r="X4373" t="str">
            <v>Commissions - gross</v>
          </cell>
          <cell r="Y4373" t="str">
            <v>INDIA</v>
          </cell>
        </row>
        <row r="4374">
          <cell r="L4374" t="str">
            <v>Proportional</v>
          </cell>
          <cell r="S4374">
            <v>-649.29</v>
          </cell>
          <cell r="X4374" t="str">
            <v>Commissions - gross</v>
          </cell>
          <cell r="Y4374" t="str">
            <v>HONG KONG</v>
          </cell>
        </row>
        <row r="4375">
          <cell r="L4375" t="str">
            <v>Proportional</v>
          </cell>
          <cell r="S4375">
            <v>33.71</v>
          </cell>
          <cell r="X4375" t="str">
            <v>Commissions - gross</v>
          </cell>
          <cell r="Y4375" t="str">
            <v>THAILAND</v>
          </cell>
        </row>
        <row r="4376">
          <cell r="L4376" t="str">
            <v>Proportional</v>
          </cell>
          <cell r="S4376">
            <v>-13490.83</v>
          </cell>
          <cell r="X4376" t="str">
            <v>Commissions - gross</v>
          </cell>
          <cell r="Y4376" t="str">
            <v>COLOMBIA</v>
          </cell>
        </row>
        <row r="4377">
          <cell r="L4377" t="str">
            <v>Proportional</v>
          </cell>
          <cell r="S4377">
            <v>19009.87</v>
          </cell>
          <cell r="X4377" t="str">
            <v>Commissions - gross</v>
          </cell>
          <cell r="Y4377" t="str">
            <v>UNITED STATES</v>
          </cell>
        </row>
        <row r="4378">
          <cell r="L4378" t="str">
            <v>Proportional</v>
          </cell>
          <cell r="S4378">
            <v>30831.27</v>
          </cell>
          <cell r="X4378" t="str">
            <v>Commissions - gross</v>
          </cell>
          <cell r="Y4378" t="str">
            <v>HONG KONG</v>
          </cell>
        </row>
        <row r="4379">
          <cell r="L4379" t="str">
            <v>Proportional</v>
          </cell>
          <cell r="S4379">
            <v>-49276.2</v>
          </cell>
          <cell r="X4379" t="str">
            <v>Commissions - gross</v>
          </cell>
          <cell r="Y4379" t="str">
            <v>TURKEY</v>
          </cell>
        </row>
        <row r="4380">
          <cell r="L4380" t="str">
            <v>Proportional</v>
          </cell>
          <cell r="S4380">
            <v>20198.400000000001</v>
          </cell>
          <cell r="X4380" t="str">
            <v>Commissions - gross</v>
          </cell>
          <cell r="Y4380" t="str">
            <v>HONG KONG</v>
          </cell>
        </row>
        <row r="4381">
          <cell r="L4381" t="str">
            <v>Proportional</v>
          </cell>
          <cell r="S4381">
            <v>-35465.01</v>
          </cell>
          <cell r="X4381" t="str">
            <v>Commissions - gross</v>
          </cell>
          <cell r="Y4381" t="str">
            <v>THAILAND</v>
          </cell>
        </row>
        <row r="4382">
          <cell r="L4382" t="str">
            <v>Proportional</v>
          </cell>
          <cell r="S4382">
            <v>262697.89</v>
          </cell>
          <cell r="X4382" t="str">
            <v>Commissions - gross</v>
          </cell>
          <cell r="Y4382" t="str">
            <v>Turkey</v>
          </cell>
        </row>
        <row r="4383">
          <cell r="L4383" t="str">
            <v>Proportional</v>
          </cell>
          <cell r="S4383">
            <v>730401.94</v>
          </cell>
          <cell r="X4383" t="str">
            <v>Commissions - gross</v>
          </cell>
          <cell r="Y4383" t="str">
            <v>THAILAND</v>
          </cell>
        </row>
        <row r="4384">
          <cell r="L4384" t="str">
            <v>Proportional</v>
          </cell>
          <cell r="S4384">
            <v>12980.93</v>
          </cell>
          <cell r="X4384" t="str">
            <v>Commissions - gross</v>
          </cell>
          <cell r="Y4384" t="str">
            <v>ITALY</v>
          </cell>
        </row>
        <row r="4385">
          <cell r="L4385" t="str">
            <v>Proportional</v>
          </cell>
          <cell r="S4385">
            <v>7085.63</v>
          </cell>
          <cell r="X4385" t="str">
            <v>Commissions - gross</v>
          </cell>
          <cell r="Y4385" t="str">
            <v>FRANCE</v>
          </cell>
        </row>
        <row r="4386">
          <cell r="L4386" t="str">
            <v>Proportional</v>
          </cell>
          <cell r="S4386">
            <v>-36.42</v>
          </cell>
          <cell r="X4386" t="str">
            <v>Commissions - gross</v>
          </cell>
          <cell r="Y4386" t="str">
            <v>CHILE</v>
          </cell>
        </row>
        <row r="4387">
          <cell r="L4387" t="str">
            <v>Proportional</v>
          </cell>
          <cell r="S4387">
            <v>10799.15</v>
          </cell>
          <cell r="X4387" t="str">
            <v>Commissions - gross</v>
          </cell>
          <cell r="Y4387" t="str">
            <v>THAILAND</v>
          </cell>
        </row>
        <row r="4388">
          <cell r="L4388" t="str">
            <v>Proportional</v>
          </cell>
          <cell r="S4388">
            <v>3277.54</v>
          </cell>
          <cell r="X4388" t="str">
            <v>Commissions - gross</v>
          </cell>
          <cell r="Y4388" t="str">
            <v>CHILE</v>
          </cell>
        </row>
        <row r="4389">
          <cell r="L4389" t="str">
            <v>Proportional</v>
          </cell>
          <cell r="S4389">
            <v>-14.2</v>
          </cell>
          <cell r="X4389" t="str">
            <v>Commissions - gross</v>
          </cell>
          <cell r="Y4389" t="str">
            <v>THAILAND</v>
          </cell>
        </row>
        <row r="4390">
          <cell r="L4390" t="str">
            <v>Proportional</v>
          </cell>
          <cell r="S4390">
            <v>-61.34</v>
          </cell>
          <cell r="X4390" t="str">
            <v>Commissions - gross</v>
          </cell>
          <cell r="Y4390" t="str">
            <v>CHILE</v>
          </cell>
        </row>
        <row r="4391">
          <cell r="L4391" t="str">
            <v>Proportional</v>
          </cell>
          <cell r="S4391">
            <v>2645.26</v>
          </cell>
          <cell r="X4391" t="str">
            <v>Commissions - gross</v>
          </cell>
          <cell r="Y4391" t="str">
            <v>ITALY</v>
          </cell>
        </row>
        <row r="4392">
          <cell r="L4392" t="str">
            <v>Proportional</v>
          </cell>
          <cell r="S4392">
            <v>589.51</v>
          </cell>
          <cell r="X4392" t="str">
            <v>Commissions - gross</v>
          </cell>
          <cell r="Y4392" t="str">
            <v>CHILE</v>
          </cell>
        </row>
        <row r="4393">
          <cell r="L4393" t="str">
            <v>Proportional</v>
          </cell>
          <cell r="S4393">
            <v>-27.2</v>
          </cell>
          <cell r="X4393" t="str">
            <v>Commissions - gross</v>
          </cell>
          <cell r="Y4393" t="str">
            <v>INDIA</v>
          </cell>
        </row>
        <row r="4394">
          <cell r="L4394" t="str">
            <v>Proportional</v>
          </cell>
          <cell r="S4394">
            <v>12.02</v>
          </cell>
          <cell r="X4394" t="str">
            <v>Commissions - gross</v>
          </cell>
          <cell r="Y4394" t="str">
            <v>THAILAND</v>
          </cell>
        </row>
        <row r="4395">
          <cell r="L4395" t="str">
            <v>Proportional</v>
          </cell>
          <cell r="S4395">
            <v>911.75</v>
          </cell>
          <cell r="X4395" t="str">
            <v>Commissions - gross</v>
          </cell>
          <cell r="Y4395" t="str">
            <v>SAUDI ARABIA</v>
          </cell>
        </row>
        <row r="4396">
          <cell r="L4396" t="str">
            <v>Proportional</v>
          </cell>
          <cell r="S4396">
            <v>13977.38</v>
          </cell>
          <cell r="X4396" t="str">
            <v>Commissions - gross</v>
          </cell>
          <cell r="Y4396" t="str">
            <v>CANADA</v>
          </cell>
        </row>
        <row r="4397">
          <cell r="L4397" t="str">
            <v>Proportional</v>
          </cell>
          <cell r="S4397">
            <v>808041.77</v>
          </cell>
          <cell r="X4397" t="str">
            <v>Commissions - gross</v>
          </cell>
          <cell r="Y4397" t="str">
            <v>THAILAND</v>
          </cell>
        </row>
        <row r="4398">
          <cell r="L4398" t="str">
            <v>Proportional</v>
          </cell>
          <cell r="S4398">
            <v>46.05</v>
          </cell>
          <cell r="X4398" t="str">
            <v>Commissions - gross</v>
          </cell>
          <cell r="Y4398" t="str">
            <v>MEXICO</v>
          </cell>
        </row>
        <row r="4399">
          <cell r="L4399" t="str">
            <v>Proportional</v>
          </cell>
          <cell r="S4399">
            <v>26790.75</v>
          </cell>
          <cell r="X4399" t="str">
            <v>Commissions - gross</v>
          </cell>
          <cell r="Y4399" t="str">
            <v>ITALY</v>
          </cell>
        </row>
        <row r="4400">
          <cell r="L4400" t="str">
            <v>Proportional</v>
          </cell>
          <cell r="S4400">
            <v>-1019.01</v>
          </cell>
          <cell r="X4400" t="str">
            <v>Commissions - gross</v>
          </cell>
          <cell r="Y4400" t="str">
            <v>THAILAND</v>
          </cell>
        </row>
        <row r="4401">
          <cell r="L4401" t="str">
            <v>Proportional</v>
          </cell>
          <cell r="S4401">
            <v>3336.87</v>
          </cell>
          <cell r="X4401" t="str">
            <v>Commissions - gross</v>
          </cell>
          <cell r="Y4401" t="str">
            <v>PORTUGAL</v>
          </cell>
        </row>
        <row r="4402">
          <cell r="L4402" t="str">
            <v>Proportional</v>
          </cell>
          <cell r="S4402">
            <v>-1940.97</v>
          </cell>
          <cell r="X4402" t="str">
            <v>Commissions - gross</v>
          </cell>
          <cell r="Y4402" t="str">
            <v>THAILAND</v>
          </cell>
        </row>
        <row r="4403">
          <cell r="L4403" t="str">
            <v>Proportional</v>
          </cell>
          <cell r="S4403">
            <v>316.17</v>
          </cell>
          <cell r="X4403" t="str">
            <v>Commissions - gross</v>
          </cell>
          <cell r="Y4403" t="str">
            <v>THAILAND</v>
          </cell>
        </row>
        <row r="4404">
          <cell r="L4404" t="str">
            <v>Proportional</v>
          </cell>
          <cell r="S4404">
            <v>14983.48</v>
          </cell>
          <cell r="X4404" t="str">
            <v>Commissions - gross</v>
          </cell>
          <cell r="Y4404" t="str">
            <v>UNITED ARAB EMIRATES</v>
          </cell>
        </row>
        <row r="4405">
          <cell r="L4405" t="str">
            <v>Proportional</v>
          </cell>
          <cell r="S4405">
            <v>4881.83</v>
          </cell>
          <cell r="X4405" t="str">
            <v>Commissions - gross</v>
          </cell>
          <cell r="Y4405" t="str">
            <v>MEXICO</v>
          </cell>
        </row>
        <row r="4406">
          <cell r="L4406" t="str">
            <v>Proportional</v>
          </cell>
          <cell r="S4406">
            <v>-2014.6</v>
          </cell>
          <cell r="X4406" t="str">
            <v>Commissions - gross</v>
          </cell>
          <cell r="Y4406" t="str">
            <v>JAPAN</v>
          </cell>
        </row>
        <row r="4407">
          <cell r="L4407" t="str">
            <v>Proportional</v>
          </cell>
          <cell r="S4407">
            <v>-114.64</v>
          </cell>
          <cell r="X4407" t="str">
            <v>Commissions - gross</v>
          </cell>
          <cell r="Y4407" t="str">
            <v>THAILAND</v>
          </cell>
        </row>
        <row r="4408">
          <cell r="L4408" t="str">
            <v>Proportional</v>
          </cell>
          <cell r="S4408">
            <v>16438.23</v>
          </cell>
          <cell r="X4408" t="str">
            <v>Commissions - gross</v>
          </cell>
          <cell r="Y4408" t="str">
            <v>THAILAND</v>
          </cell>
        </row>
        <row r="4409">
          <cell r="L4409" t="str">
            <v>Proportional</v>
          </cell>
          <cell r="S4409">
            <v>1366.88</v>
          </cell>
          <cell r="X4409" t="str">
            <v>Commissions - gross</v>
          </cell>
          <cell r="Y4409" t="str">
            <v>ITALY</v>
          </cell>
        </row>
        <row r="4410">
          <cell r="L4410" t="str">
            <v>Proportional</v>
          </cell>
          <cell r="S4410">
            <v>-7498.75</v>
          </cell>
          <cell r="X4410" t="str">
            <v>Commissions - gross</v>
          </cell>
          <cell r="Y4410" t="str">
            <v>CHILE</v>
          </cell>
        </row>
        <row r="4411">
          <cell r="L4411" t="str">
            <v>Proportional</v>
          </cell>
          <cell r="S4411">
            <v>6667.64</v>
          </cell>
          <cell r="X4411" t="str">
            <v>Commissions - gross</v>
          </cell>
          <cell r="Y4411" t="str">
            <v>UNITED KINGDOM</v>
          </cell>
        </row>
        <row r="4412">
          <cell r="L4412" t="str">
            <v>Proportional</v>
          </cell>
          <cell r="S4412">
            <v>323.63</v>
          </cell>
          <cell r="X4412" t="str">
            <v>Commissions - gross</v>
          </cell>
          <cell r="Y4412" t="str">
            <v>THAILAND</v>
          </cell>
        </row>
        <row r="4413">
          <cell r="L4413" t="str">
            <v>Proportional</v>
          </cell>
          <cell r="S4413">
            <v>-3922.6</v>
          </cell>
          <cell r="X4413" t="str">
            <v>Commissions - gross</v>
          </cell>
          <cell r="Y4413" t="str">
            <v>CHILE</v>
          </cell>
        </row>
        <row r="4414">
          <cell r="L4414" t="str">
            <v>Proportional</v>
          </cell>
          <cell r="S4414">
            <v>377.42</v>
          </cell>
          <cell r="X4414" t="str">
            <v>Commissions - gross</v>
          </cell>
          <cell r="Y4414" t="str">
            <v>INDIA</v>
          </cell>
        </row>
        <row r="4415">
          <cell r="L4415" t="str">
            <v>Proportional</v>
          </cell>
          <cell r="S4415">
            <v>277.91000000000003</v>
          </cell>
          <cell r="X4415" t="str">
            <v>Commissions - gross</v>
          </cell>
          <cell r="Y4415" t="str">
            <v>CHILE</v>
          </cell>
        </row>
        <row r="4416">
          <cell r="L4416" t="str">
            <v>Proportional</v>
          </cell>
          <cell r="S4416">
            <v>74793.95</v>
          </cell>
          <cell r="X4416" t="str">
            <v>Commissions - gross</v>
          </cell>
          <cell r="Y4416" t="str">
            <v>THAILAND</v>
          </cell>
        </row>
        <row r="4417">
          <cell r="L4417" t="str">
            <v>Proportional</v>
          </cell>
          <cell r="S4417">
            <v>128.34</v>
          </cell>
          <cell r="X4417" t="str">
            <v>Commissions - gross</v>
          </cell>
          <cell r="Y4417" t="str">
            <v>INDIA</v>
          </cell>
        </row>
        <row r="4418">
          <cell r="L4418" t="str">
            <v>Proportional</v>
          </cell>
          <cell r="S4418">
            <v>4870.0200000000004</v>
          </cell>
          <cell r="X4418" t="str">
            <v>Commissions - gross</v>
          </cell>
          <cell r="Y4418" t="str">
            <v>TURKEY</v>
          </cell>
        </row>
        <row r="4419">
          <cell r="L4419" t="str">
            <v>Proportional</v>
          </cell>
          <cell r="S4419">
            <v>93.24</v>
          </cell>
          <cell r="X4419" t="str">
            <v>Commissions - gross</v>
          </cell>
          <cell r="Y4419" t="str">
            <v>TURKEY</v>
          </cell>
        </row>
        <row r="4420">
          <cell r="L4420" t="str">
            <v>Proportional</v>
          </cell>
          <cell r="S4420">
            <v>773.73</v>
          </cell>
          <cell r="X4420" t="str">
            <v>Commissions - gross</v>
          </cell>
          <cell r="Y4420" t="str">
            <v>CHILE</v>
          </cell>
        </row>
        <row r="4421">
          <cell r="L4421" t="str">
            <v>Proportional</v>
          </cell>
          <cell r="S4421">
            <v>6963.58</v>
          </cell>
          <cell r="X4421" t="str">
            <v>Commissions - gross</v>
          </cell>
          <cell r="Y4421" t="str">
            <v>CHILE</v>
          </cell>
        </row>
        <row r="4422">
          <cell r="L4422" t="str">
            <v>Proportional</v>
          </cell>
          <cell r="S4422">
            <v>-606.99</v>
          </cell>
          <cell r="X4422" t="str">
            <v>Commissions - gross</v>
          </cell>
          <cell r="Y4422" t="str">
            <v>CHILE</v>
          </cell>
        </row>
        <row r="4423">
          <cell r="L4423" t="str">
            <v>Proportional</v>
          </cell>
          <cell r="S4423">
            <v>1972.35</v>
          </cell>
          <cell r="X4423" t="str">
            <v>Commissions - gross</v>
          </cell>
          <cell r="Y4423" t="str">
            <v>CHILE</v>
          </cell>
        </row>
        <row r="4424">
          <cell r="L4424" t="str">
            <v>Proportional</v>
          </cell>
          <cell r="S4424">
            <v>-776.39</v>
          </cell>
          <cell r="X4424" t="str">
            <v>Commissions - gross</v>
          </cell>
          <cell r="Y4424" t="str">
            <v>THAILAND</v>
          </cell>
        </row>
        <row r="4425">
          <cell r="L4425" t="str">
            <v>Proportional</v>
          </cell>
          <cell r="S4425">
            <v>4669.13</v>
          </cell>
          <cell r="X4425" t="str">
            <v>Commissions - gross</v>
          </cell>
          <cell r="Y4425" t="str">
            <v>INDIA</v>
          </cell>
        </row>
        <row r="4426">
          <cell r="L4426" t="str">
            <v>Proportional</v>
          </cell>
          <cell r="S4426">
            <v>-130.77000000000001</v>
          </cell>
          <cell r="X4426" t="str">
            <v>Commissions - gross</v>
          </cell>
          <cell r="Y4426" t="str">
            <v>THAILAND</v>
          </cell>
        </row>
        <row r="4427">
          <cell r="L4427" t="str">
            <v>Proportional</v>
          </cell>
          <cell r="S4427">
            <v>7512.18</v>
          </cell>
          <cell r="X4427" t="str">
            <v>Commissions - gross</v>
          </cell>
          <cell r="Y4427" t="str">
            <v>THAILAND</v>
          </cell>
        </row>
        <row r="4428">
          <cell r="L4428" t="str">
            <v>Proportional</v>
          </cell>
          <cell r="S4428">
            <v>3610.75</v>
          </cell>
          <cell r="X4428" t="str">
            <v>Commissions - gross</v>
          </cell>
          <cell r="Y4428" t="str">
            <v>CHILE</v>
          </cell>
        </row>
        <row r="4429">
          <cell r="L4429" t="str">
            <v>Proportional</v>
          </cell>
          <cell r="S4429">
            <v>-2738.59</v>
          </cell>
          <cell r="X4429" t="str">
            <v>Commissions - gross</v>
          </cell>
          <cell r="Y4429" t="str">
            <v>THAILAND</v>
          </cell>
        </row>
        <row r="4430">
          <cell r="L4430" t="str">
            <v>Proportional</v>
          </cell>
          <cell r="S4430">
            <v>680.56</v>
          </cell>
          <cell r="X4430" t="str">
            <v>Commissions - gross</v>
          </cell>
          <cell r="Y4430" t="str">
            <v>REPUBLIC OF IRELAND</v>
          </cell>
        </row>
        <row r="4431">
          <cell r="L4431" t="str">
            <v>Proportional</v>
          </cell>
          <cell r="S4431">
            <v>2026.44</v>
          </cell>
          <cell r="X4431" t="str">
            <v>Commissions - gross</v>
          </cell>
          <cell r="Y4431" t="str">
            <v>CHILE</v>
          </cell>
        </row>
        <row r="4432">
          <cell r="L4432" t="str">
            <v>Proportional</v>
          </cell>
          <cell r="S4432">
            <v>-4834.97</v>
          </cell>
          <cell r="X4432" t="str">
            <v>Commissions - gross</v>
          </cell>
          <cell r="Y4432" t="str">
            <v>CHILE</v>
          </cell>
        </row>
        <row r="4433">
          <cell r="L4433" t="str">
            <v>Proportional</v>
          </cell>
          <cell r="S4433">
            <v>782.2</v>
          </cell>
          <cell r="X4433" t="str">
            <v>Commissions - gross</v>
          </cell>
          <cell r="Y4433" t="str">
            <v>INDIA</v>
          </cell>
        </row>
        <row r="4434">
          <cell r="L4434" t="str">
            <v>Proportional</v>
          </cell>
          <cell r="S4434">
            <v>88690.14</v>
          </cell>
          <cell r="X4434" t="str">
            <v>Commissions - gross</v>
          </cell>
          <cell r="Y4434" t="str">
            <v>PORTUGAL</v>
          </cell>
        </row>
        <row r="4435">
          <cell r="L4435" t="str">
            <v>Proportional</v>
          </cell>
          <cell r="S4435">
            <v>65.650000000000006</v>
          </cell>
          <cell r="X4435" t="str">
            <v>Commissions - gross</v>
          </cell>
          <cell r="Y4435" t="str">
            <v>THAILAND</v>
          </cell>
        </row>
        <row r="4436">
          <cell r="L4436" t="str">
            <v>Proportional</v>
          </cell>
          <cell r="S4436">
            <v>8030.07</v>
          </cell>
          <cell r="X4436" t="str">
            <v>Commissions - gross</v>
          </cell>
          <cell r="Y4436" t="str">
            <v>EUROPE</v>
          </cell>
        </row>
        <row r="4437">
          <cell r="L4437" t="str">
            <v>Proportional</v>
          </cell>
          <cell r="S4437">
            <v>663.2</v>
          </cell>
          <cell r="X4437" t="str">
            <v>Commissions - gross</v>
          </cell>
          <cell r="Y4437" t="str">
            <v>CHILE</v>
          </cell>
        </row>
        <row r="4438">
          <cell r="L4438" t="str">
            <v>Proportional</v>
          </cell>
          <cell r="S4438">
            <v>2739.94</v>
          </cell>
          <cell r="X4438" t="str">
            <v>Commissions - gross</v>
          </cell>
          <cell r="Y4438" t="str">
            <v>THAILAND</v>
          </cell>
        </row>
        <row r="4439">
          <cell r="L4439" t="str">
            <v>Proportional</v>
          </cell>
          <cell r="S4439">
            <v>23512.14</v>
          </cell>
          <cell r="X4439" t="str">
            <v>Commissions - gross</v>
          </cell>
          <cell r="Y4439" t="str">
            <v>JAPAN</v>
          </cell>
        </row>
        <row r="4440">
          <cell r="L4440" t="str">
            <v>Proportional</v>
          </cell>
          <cell r="S4440">
            <v>-15953650.199999999</v>
          </cell>
          <cell r="X4440" t="str">
            <v>Commissions - gross</v>
          </cell>
          <cell r="Y4440" t="str">
            <v>ITALY</v>
          </cell>
        </row>
        <row r="4441">
          <cell r="L4441" t="str">
            <v>Proportional</v>
          </cell>
          <cell r="S4441">
            <v>12110.96</v>
          </cell>
          <cell r="X4441" t="str">
            <v>Commissions - gross</v>
          </cell>
          <cell r="Y4441" t="str">
            <v>HONG KONG</v>
          </cell>
        </row>
        <row r="4442">
          <cell r="L4442" t="str">
            <v>Proportional</v>
          </cell>
          <cell r="S4442">
            <v>-41161.379999999997</v>
          </cell>
          <cell r="X4442" t="str">
            <v>Commissions - gross</v>
          </cell>
          <cell r="Y4442" t="str">
            <v>SWITZERLAND</v>
          </cell>
        </row>
        <row r="4443">
          <cell r="L4443" t="str">
            <v>Proportional</v>
          </cell>
          <cell r="S4443">
            <v>20.66</v>
          </cell>
          <cell r="X4443" t="str">
            <v>Commissions - gross</v>
          </cell>
          <cell r="Y4443" t="str">
            <v>THAILAND</v>
          </cell>
        </row>
        <row r="4444">
          <cell r="L4444" t="str">
            <v>Proportional</v>
          </cell>
          <cell r="S4444">
            <v>42.76</v>
          </cell>
          <cell r="X4444" t="str">
            <v>Commissions - gross</v>
          </cell>
          <cell r="Y4444" t="str">
            <v>CANADA</v>
          </cell>
        </row>
        <row r="4445">
          <cell r="L4445" t="str">
            <v>Proportional</v>
          </cell>
          <cell r="S4445">
            <v>12597.12</v>
          </cell>
          <cell r="X4445" t="str">
            <v>Commissions - gross</v>
          </cell>
          <cell r="Y4445" t="str">
            <v>FRANCE</v>
          </cell>
        </row>
        <row r="4446">
          <cell r="L4446" t="str">
            <v>Proportional</v>
          </cell>
          <cell r="S4446">
            <v>1409.77</v>
          </cell>
          <cell r="X4446" t="str">
            <v>Commissions - gross</v>
          </cell>
          <cell r="Y4446" t="str">
            <v>ITALY</v>
          </cell>
        </row>
        <row r="4447">
          <cell r="L4447" t="str">
            <v>Proportional</v>
          </cell>
          <cell r="S4447">
            <v>219788.2</v>
          </cell>
          <cell r="X4447" t="str">
            <v>Commissions - gross</v>
          </cell>
          <cell r="Y4447" t="str">
            <v>HONG KONG</v>
          </cell>
        </row>
        <row r="4448">
          <cell r="L4448" t="str">
            <v>Proportional</v>
          </cell>
          <cell r="S4448">
            <v>30511.43</v>
          </cell>
          <cell r="X4448" t="str">
            <v>Commissions - gross</v>
          </cell>
          <cell r="Y4448" t="str">
            <v>UNITED STATES</v>
          </cell>
        </row>
        <row r="4449">
          <cell r="L4449" t="str">
            <v>Proportional</v>
          </cell>
          <cell r="S4449">
            <v>-6028.83</v>
          </cell>
          <cell r="X4449" t="str">
            <v>Commissions - gross</v>
          </cell>
          <cell r="Y4449" t="str">
            <v>ITALY</v>
          </cell>
        </row>
        <row r="4450">
          <cell r="L4450" t="str">
            <v>Proportional</v>
          </cell>
          <cell r="S4450">
            <v>3647.59</v>
          </cell>
          <cell r="X4450" t="str">
            <v>Commissions - gross</v>
          </cell>
          <cell r="Y4450" t="str">
            <v>CHILE</v>
          </cell>
        </row>
        <row r="4451">
          <cell r="L4451" t="str">
            <v>Proportional</v>
          </cell>
          <cell r="S4451">
            <v>27.8</v>
          </cell>
          <cell r="X4451" t="str">
            <v>Commissions - gross</v>
          </cell>
          <cell r="Y4451" t="str">
            <v>UNITED STATES</v>
          </cell>
        </row>
        <row r="4452">
          <cell r="L4452" t="str">
            <v>Proportional</v>
          </cell>
          <cell r="S4452">
            <v>7826.4</v>
          </cell>
          <cell r="X4452" t="str">
            <v>Commissions - gross</v>
          </cell>
          <cell r="Y4452" t="str">
            <v>FRANCE</v>
          </cell>
        </row>
        <row r="4453">
          <cell r="L4453" t="str">
            <v>Proportional</v>
          </cell>
          <cell r="S4453">
            <v>45077.08</v>
          </cell>
          <cell r="X4453" t="str">
            <v>Commissions - gross</v>
          </cell>
          <cell r="Y4453" t="str">
            <v>AUSTRALIA</v>
          </cell>
        </row>
        <row r="4454">
          <cell r="L4454" t="str">
            <v>Proportional</v>
          </cell>
          <cell r="S4454">
            <v>21575.18</v>
          </cell>
          <cell r="X4454" t="str">
            <v>Commissions - gross</v>
          </cell>
          <cell r="Y4454" t="str">
            <v>THAILAND</v>
          </cell>
        </row>
        <row r="4455">
          <cell r="L4455" t="str">
            <v>Proportional</v>
          </cell>
          <cell r="S4455">
            <v>3461.36</v>
          </cell>
          <cell r="X4455" t="str">
            <v>Commissions - gross</v>
          </cell>
          <cell r="Y4455" t="str">
            <v>THAILAND</v>
          </cell>
        </row>
        <row r="4456">
          <cell r="L4456" t="str">
            <v>Proportional</v>
          </cell>
          <cell r="S4456">
            <v>283.18</v>
          </cell>
          <cell r="X4456" t="str">
            <v>Commissions - gross</v>
          </cell>
          <cell r="Y4456" t="str">
            <v>CHILE</v>
          </cell>
        </row>
        <row r="4457">
          <cell r="L4457" t="str">
            <v>Proportional</v>
          </cell>
          <cell r="S4457">
            <v>-38164.36</v>
          </cell>
          <cell r="X4457" t="str">
            <v>Commissions - gross</v>
          </cell>
          <cell r="Y4457" t="str">
            <v>THAILAND</v>
          </cell>
        </row>
        <row r="4458">
          <cell r="L4458" t="str">
            <v>Proportional</v>
          </cell>
          <cell r="S4458">
            <v>41095.58</v>
          </cell>
          <cell r="X4458" t="str">
            <v>Commissions - gross</v>
          </cell>
          <cell r="Y4458" t="str">
            <v>THAILAND</v>
          </cell>
        </row>
        <row r="4459">
          <cell r="L4459" t="str">
            <v>Proportional</v>
          </cell>
          <cell r="S4459">
            <v>25515</v>
          </cell>
          <cell r="X4459" t="str">
            <v>Commissions - gross</v>
          </cell>
          <cell r="Y4459" t="str">
            <v>ITALY</v>
          </cell>
        </row>
        <row r="4460">
          <cell r="L4460" t="str">
            <v>Proportional</v>
          </cell>
          <cell r="S4460">
            <v>9414.7900000000009</v>
          </cell>
          <cell r="X4460" t="str">
            <v>Commissions - gross</v>
          </cell>
          <cell r="Y4460" t="str">
            <v>PORTUGAL</v>
          </cell>
        </row>
        <row r="4461">
          <cell r="L4461" t="str">
            <v>Proportional</v>
          </cell>
          <cell r="S4461">
            <v>311.19</v>
          </cell>
          <cell r="X4461" t="str">
            <v>Commissions - gross</v>
          </cell>
          <cell r="Y4461" t="str">
            <v>THAILAND</v>
          </cell>
        </row>
        <row r="4462">
          <cell r="L4462" t="str">
            <v>Proportional</v>
          </cell>
          <cell r="S4462">
            <v>2768.81</v>
          </cell>
          <cell r="X4462" t="str">
            <v>Commissions - gross</v>
          </cell>
          <cell r="Y4462" t="str">
            <v>THAILAND</v>
          </cell>
        </row>
        <row r="4463">
          <cell r="L4463" t="str">
            <v>Proportional</v>
          </cell>
          <cell r="S4463">
            <v>7829.99</v>
          </cell>
          <cell r="X4463" t="str">
            <v>Commissions - gross</v>
          </cell>
          <cell r="Y4463" t="str">
            <v>THAILAND</v>
          </cell>
        </row>
        <row r="4464">
          <cell r="L4464" t="str">
            <v>Proportional</v>
          </cell>
          <cell r="S4464">
            <v>89179.73</v>
          </cell>
          <cell r="X4464" t="str">
            <v>Commissions - gross</v>
          </cell>
          <cell r="Y4464" t="str">
            <v>THAILAND</v>
          </cell>
        </row>
        <row r="4465">
          <cell r="L4465" t="str">
            <v>Proportional</v>
          </cell>
          <cell r="S4465">
            <v>4680</v>
          </cell>
          <cell r="X4465" t="str">
            <v>Commissions - gross</v>
          </cell>
          <cell r="Y4465" t="str">
            <v>SPAIN</v>
          </cell>
        </row>
        <row r="4466">
          <cell r="L4466" t="str">
            <v>Proportional</v>
          </cell>
          <cell r="S4466">
            <v>3.86</v>
          </cell>
          <cell r="X4466" t="str">
            <v>Commissions - gross</v>
          </cell>
          <cell r="Y4466" t="str">
            <v>HONG KONG</v>
          </cell>
        </row>
        <row r="4467">
          <cell r="L4467" t="str">
            <v>Proportional</v>
          </cell>
          <cell r="S4467">
            <v>3.97</v>
          </cell>
          <cell r="X4467" t="str">
            <v>Commissions - gross</v>
          </cell>
          <cell r="Y4467" t="str">
            <v>UNITED STATES</v>
          </cell>
        </row>
        <row r="4468">
          <cell r="L4468" t="str">
            <v>Proportional</v>
          </cell>
          <cell r="S4468">
            <v>22304.59</v>
          </cell>
          <cell r="X4468" t="str">
            <v>Commissions - gross</v>
          </cell>
          <cell r="Y4468" t="str">
            <v>PORTUGAL</v>
          </cell>
        </row>
        <row r="4469">
          <cell r="L4469" t="str">
            <v>Proportional</v>
          </cell>
          <cell r="S4469">
            <v>15562.5</v>
          </cell>
          <cell r="X4469" t="str">
            <v>Commissions - gross</v>
          </cell>
          <cell r="Y4469" t="str">
            <v>PORTUGAL</v>
          </cell>
        </row>
        <row r="4470">
          <cell r="L4470" t="str">
            <v>Proportional</v>
          </cell>
          <cell r="S4470">
            <v>14338.54</v>
          </cell>
          <cell r="X4470" t="str">
            <v>Commissions - gross</v>
          </cell>
          <cell r="Y4470" t="str">
            <v>ITALY</v>
          </cell>
        </row>
        <row r="4471">
          <cell r="L4471" t="str">
            <v>Proportional</v>
          </cell>
          <cell r="S4471">
            <v>36.840000000000003</v>
          </cell>
          <cell r="X4471" t="str">
            <v>Commissions - gross</v>
          </cell>
          <cell r="Y4471" t="str">
            <v>CHILE</v>
          </cell>
        </row>
        <row r="4472">
          <cell r="L4472" t="str">
            <v>Non-proportional</v>
          </cell>
          <cell r="S4472">
            <v>66651.39</v>
          </cell>
          <cell r="X4472" t="str">
            <v>Commissions - gross</v>
          </cell>
          <cell r="Y4472" t="str">
            <v>UNITED KINGDOM</v>
          </cell>
        </row>
        <row r="4473">
          <cell r="L4473" t="str">
            <v>Proportional</v>
          </cell>
          <cell r="S4473">
            <v>3006.46</v>
          </cell>
          <cell r="X4473" t="str">
            <v>Commissions - gross</v>
          </cell>
          <cell r="Y4473" t="str">
            <v>HONG KONG</v>
          </cell>
        </row>
        <row r="4474">
          <cell r="L4474" t="str">
            <v>Proportional</v>
          </cell>
          <cell r="S4474">
            <v>680.56</v>
          </cell>
          <cell r="X4474" t="str">
            <v>Commissions - gross</v>
          </cell>
          <cell r="Y4474" t="str">
            <v>REPUBLIC OF IRELAND</v>
          </cell>
        </row>
        <row r="4475">
          <cell r="L4475" t="str">
            <v>Proportional</v>
          </cell>
          <cell r="S4475">
            <v>4642.3900000000003</v>
          </cell>
          <cell r="X4475" t="str">
            <v>Commissions - gross</v>
          </cell>
          <cell r="Y4475" t="str">
            <v>CHILE</v>
          </cell>
        </row>
        <row r="4476">
          <cell r="L4476" t="str">
            <v>Proportional</v>
          </cell>
          <cell r="S4476">
            <v>-3.86</v>
          </cell>
          <cell r="X4476" t="str">
            <v>Commissions - gross</v>
          </cell>
          <cell r="Y4476" t="str">
            <v>HONG KONG</v>
          </cell>
        </row>
        <row r="4477">
          <cell r="L4477" t="str">
            <v>Proportional</v>
          </cell>
          <cell r="S4477">
            <v>489.32</v>
          </cell>
          <cell r="X4477" t="str">
            <v>Commissions - gross</v>
          </cell>
          <cell r="Y4477" t="str">
            <v>HONG KONG</v>
          </cell>
        </row>
        <row r="4478">
          <cell r="L4478" t="str">
            <v>Proportional</v>
          </cell>
          <cell r="S4478">
            <v>5205.38</v>
          </cell>
          <cell r="X4478" t="str">
            <v>Commissions - gross</v>
          </cell>
          <cell r="Y4478" t="str">
            <v>ITALY</v>
          </cell>
        </row>
        <row r="4479">
          <cell r="L4479" t="str">
            <v>Proportional</v>
          </cell>
          <cell r="S4479">
            <v>663.38</v>
          </cell>
          <cell r="X4479" t="str">
            <v>Commissions - gross</v>
          </cell>
          <cell r="Y4479" t="str">
            <v>INDIA</v>
          </cell>
        </row>
        <row r="4480">
          <cell r="L4480" t="str">
            <v>Proportional</v>
          </cell>
          <cell r="S4480">
            <v>1238.27</v>
          </cell>
          <cell r="X4480" t="str">
            <v>Commissions - gross</v>
          </cell>
          <cell r="Y4480" t="str">
            <v>PERU</v>
          </cell>
        </row>
        <row r="4481">
          <cell r="L4481" t="str">
            <v>Non-proportional</v>
          </cell>
          <cell r="S4481">
            <v>3782.82</v>
          </cell>
          <cell r="X4481" t="str">
            <v>Commissions - gross</v>
          </cell>
          <cell r="Y4481" t="str">
            <v>TURKEY</v>
          </cell>
        </row>
        <row r="4482">
          <cell r="L4482" t="str">
            <v>Proportional</v>
          </cell>
          <cell r="S4482">
            <v>7043.3</v>
          </cell>
          <cell r="X4482" t="str">
            <v>Commissions - gross</v>
          </cell>
          <cell r="Y4482" t="str">
            <v>AUSTRALIA</v>
          </cell>
        </row>
        <row r="4483">
          <cell r="L4483" t="str">
            <v>Proportional</v>
          </cell>
          <cell r="S4483">
            <v>10507.53</v>
          </cell>
          <cell r="X4483" t="str">
            <v>Commissions - gross</v>
          </cell>
          <cell r="Y4483" t="str">
            <v>UNITED STATES</v>
          </cell>
        </row>
        <row r="4484">
          <cell r="L4484" t="str">
            <v>Proportional</v>
          </cell>
          <cell r="S4484">
            <v>-5900.11</v>
          </cell>
          <cell r="X4484" t="str">
            <v>Commissions - gross</v>
          </cell>
          <cell r="Y4484" t="str">
            <v>AUSTRALIA</v>
          </cell>
        </row>
        <row r="4485">
          <cell r="L4485" t="str">
            <v>Proportional</v>
          </cell>
          <cell r="S4485">
            <v>-18212.37</v>
          </cell>
          <cell r="X4485" t="str">
            <v>Commissions - gross</v>
          </cell>
          <cell r="Y4485" t="str">
            <v>CHILE</v>
          </cell>
        </row>
        <row r="4486">
          <cell r="L4486" t="str">
            <v>Proportional</v>
          </cell>
          <cell r="S4486">
            <v>236.54</v>
          </cell>
          <cell r="X4486" t="str">
            <v>Commissions - gross</v>
          </cell>
          <cell r="Y4486" t="str">
            <v>THAILAND</v>
          </cell>
        </row>
        <row r="4487">
          <cell r="L4487" t="str">
            <v>Proportional</v>
          </cell>
          <cell r="S4487">
            <v>235.58</v>
          </cell>
          <cell r="X4487" t="str">
            <v>Commissions - gross</v>
          </cell>
          <cell r="Y4487" t="str">
            <v>THAILAND</v>
          </cell>
        </row>
        <row r="4488">
          <cell r="L4488" t="str">
            <v>Non-proportional</v>
          </cell>
          <cell r="S4488">
            <v>3532.69</v>
          </cell>
          <cell r="X4488" t="str">
            <v>Commissions - gross</v>
          </cell>
          <cell r="Y4488" t="str">
            <v>TURKEY</v>
          </cell>
        </row>
        <row r="4489">
          <cell r="L4489" t="str">
            <v>Proportional</v>
          </cell>
          <cell r="S4489">
            <v>2844.59</v>
          </cell>
          <cell r="X4489" t="str">
            <v>Commissions - gross</v>
          </cell>
          <cell r="Y4489" t="str">
            <v>THAILAND</v>
          </cell>
        </row>
        <row r="4490">
          <cell r="L4490" t="str">
            <v>Proportional</v>
          </cell>
          <cell r="S4490">
            <v>982.49</v>
          </cell>
          <cell r="X4490" t="str">
            <v>Commissions - gross</v>
          </cell>
          <cell r="Y4490" t="str">
            <v>THAILAND</v>
          </cell>
        </row>
        <row r="4491">
          <cell r="L4491" t="str">
            <v>Proportional</v>
          </cell>
          <cell r="S4491">
            <v>36.840000000000003</v>
          </cell>
          <cell r="X4491" t="str">
            <v>Commissions - gross</v>
          </cell>
          <cell r="Y4491" t="str">
            <v>CHILE</v>
          </cell>
        </row>
        <row r="4492">
          <cell r="L4492" t="str">
            <v>Proportional</v>
          </cell>
          <cell r="S4492">
            <v>136.6</v>
          </cell>
          <cell r="X4492" t="str">
            <v>Commissions - gross</v>
          </cell>
          <cell r="Y4492" t="str">
            <v>THAILAND</v>
          </cell>
        </row>
        <row r="4493">
          <cell r="L4493" t="str">
            <v>Proportional</v>
          </cell>
          <cell r="S4493">
            <v>26.59</v>
          </cell>
          <cell r="X4493" t="str">
            <v>Commissions - gross</v>
          </cell>
          <cell r="Y4493" t="str">
            <v>THAILAND</v>
          </cell>
        </row>
        <row r="4494">
          <cell r="L4494" t="str">
            <v>Proportional</v>
          </cell>
          <cell r="S4494">
            <v>-42.76</v>
          </cell>
          <cell r="X4494" t="str">
            <v>Commissions - gross</v>
          </cell>
          <cell r="Y4494" t="str">
            <v>CANADA</v>
          </cell>
        </row>
        <row r="4495">
          <cell r="L4495" t="str">
            <v>Proportional</v>
          </cell>
          <cell r="S4495">
            <v>2057.5300000000002</v>
          </cell>
          <cell r="X4495" t="str">
            <v>Commissions - gross</v>
          </cell>
          <cell r="Y4495" t="str">
            <v>ITALY</v>
          </cell>
        </row>
        <row r="4496">
          <cell r="L4496" t="str">
            <v>Proportional</v>
          </cell>
          <cell r="S4496">
            <v>-3532.57</v>
          </cell>
          <cell r="X4496" t="str">
            <v>Commissions - gross</v>
          </cell>
          <cell r="Y4496" t="str">
            <v>THAILAND</v>
          </cell>
        </row>
        <row r="4497">
          <cell r="L4497" t="str">
            <v>Proportional</v>
          </cell>
          <cell r="S4497">
            <v>-15.28</v>
          </cell>
          <cell r="X4497" t="str">
            <v>Commissions - gross</v>
          </cell>
          <cell r="Y4497" t="str">
            <v>THAILAND</v>
          </cell>
        </row>
        <row r="4498">
          <cell r="L4498" t="str">
            <v>Proportional</v>
          </cell>
          <cell r="S4498">
            <v>3466.68</v>
          </cell>
          <cell r="X4498" t="str">
            <v>Commissions - gross</v>
          </cell>
          <cell r="Y4498" t="str">
            <v>BELGIUM</v>
          </cell>
        </row>
        <row r="4499">
          <cell r="L4499" t="str">
            <v>Proportional</v>
          </cell>
          <cell r="S4499">
            <v>410.4</v>
          </cell>
          <cell r="X4499" t="str">
            <v>Commissions - gross</v>
          </cell>
          <cell r="Y4499" t="str">
            <v>FRANCE</v>
          </cell>
        </row>
        <row r="4500">
          <cell r="L4500" t="str">
            <v>Proportional</v>
          </cell>
          <cell r="S4500">
            <v>-12.26</v>
          </cell>
          <cell r="X4500" t="str">
            <v>Commissions - gross</v>
          </cell>
          <cell r="Y4500" t="str">
            <v>INDIA</v>
          </cell>
        </row>
        <row r="4501">
          <cell r="L4501" t="str">
            <v>Proportional</v>
          </cell>
          <cell r="S4501">
            <v>-1407.24</v>
          </cell>
          <cell r="X4501" t="str">
            <v>Commissions - gross</v>
          </cell>
          <cell r="Y4501" t="str">
            <v>JAPAN</v>
          </cell>
        </row>
        <row r="4502">
          <cell r="L4502" t="str">
            <v>Proportional</v>
          </cell>
          <cell r="S4502">
            <v>10.71</v>
          </cell>
          <cell r="X4502" t="str">
            <v>Commissions - gross</v>
          </cell>
          <cell r="Y4502" t="str">
            <v>THAILAND</v>
          </cell>
        </row>
        <row r="4503">
          <cell r="L4503" t="str">
            <v>Proportional</v>
          </cell>
          <cell r="S4503">
            <v>-121.3</v>
          </cell>
          <cell r="X4503" t="str">
            <v>Commissions - gross</v>
          </cell>
          <cell r="Y4503" t="str">
            <v>INDIA</v>
          </cell>
        </row>
        <row r="4504">
          <cell r="L4504" t="str">
            <v>Proportional</v>
          </cell>
          <cell r="S4504">
            <v>1179.02</v>
          </cell>
          <cell r="X4504" t="str">
            <v>Commissions - gross</v>
          </cell>
          <cell r="Y4504" t="str">
            <v>CHILE</v>
          </cell>
        </row>
        <row r="4505">
          <cell r="L4505" t="str">
            <v>Proportional</v>
          </cell>
          <cell r="S4505">
            <v>52.87</v>
          </cell>
          <cell r="X4505" t="str">
            <v>Commissions - gross</v>
          </cell>
          <cell r="Y4505" t="str">
            <v>UNITED STATES</v>
          </cell>
        </row>
        <row r="4506">
          <cell r="L4506" t="str">
            <v>Proportional</v>
          </cell>
          <cell r="S4506">
            <v>77439.039999999994</v>
          </cell>
          <cell r="X4506" t="str">
            <v>Commissions - gross</v>
          </cell>
          <cell r="Y4506" t="str">
            <v>HONG KONG</v>
          </cell>
        </row>
        <row r="4507">
          <cell r="L4507" t="str">
            <v>Proportional</v>
          </cell>
          <cell r="S4507">
            <v>24093.33</v>
          </cell>
          <cell r="X4507" t="str">
            <v>Commissions - gross</v>
          </cell>
          <cell r="Y4507" t="str">
            <v>FRANCE</v>
          </cell>
        </row>
        <row r="4508">
          <cell r="L4508" t="str">
            <v>Proportional</v>
          </cell>
          <cell r="S4508">
            <v>6497.87</v>
          </cell>
          <cell r="X4508" t="str">
            <v>Commissions - gross</v>
          </cell>
          <cell r="Y4508" t="str">
            <v>THAILAND</v>
          </cell>
        </row>
        <row r="4509">
          <cell r="L4509" t="str">
            <v>Proportional</v>
          </cell>
          <cell r="S4509">
            <v>1889.85</v>
          </cell>
          <cell r="X4509" t="str">
            <v>Commissions - gross</v>
          </cell>
          <cell r="Y4509" t="str">
            <v>THAILAND</v>
          </cell>
        </row>
        <row r="4510">
          <cell r="L4510" t="str">
            <v>Proportional</v>
          </cell>
          <cell r="S4510">
            <v>860416.67</v>
          </cell>
          <cell r="X4510" t="str">
            <v>Commissions - gross</v>
          </cell>
          <cell r="Y4510" t="str">
            <v>PORTUGAL</v>
          </cell>
        </row>
        <row r="4511">
          <cell r="L4511" t="str">
            <v>Proportional</v>
          </cell>
          <cell r="S4511">
            <v>-11218.55</v>
          </cell>
          <cell r="X4511" t="str">
            <v>Commissions - gross</v>
          </cell>
          <cell r="Y4511" t="str">
            <v>ITALY</v>
          </cell>
        </row>
        <row r="4512">
          <cell r="L4512" t="str">
            <v>Proportional</v>
          </cell>
          <cell r="S4512">
            <v>2427.21</v>
          </cell>
          <cell r="X4512" t="str">
            <v>Commissions - gross</v>
          </cell>
          <cell r="Y4512" t="str">
            <v>THAILAND</v>
          </cell>
        </row>
        <row r="4513">
          <cell r="L4513" t="str">
            <v>Proportional</v>
          </cell>
          <cell r="S4513">
            <v>13181.07</v>
          </cell>
          <cell r="X4513" t="str">
            <v>Commissions - gross</v>
          </cell>
          <cell r="Y4513" t="str">
            <v>ITALY</v>
          </cell>
        </row>
        <row r="4514">
          <cell r="L4514" t="str">
            <v>Proportional</v>
          </cell>
          <cell r="S4514">
            <v>31352.959999999999</v>
          </cell>
          <cell r="X4514" t="str">
            <v>Commissions - gross</v>
          </cell>
          <cell r="Y4514" t="str">
            <v>UNITED STATES</v>
          </cell>
        </row>
        <row r="4515">
          <cell r="L4515" t="str">
            <v>Proportional</v>
          </cell>
          <cell r="S4515">
            <v>168041.04</v>
          </cell>
          <cell r="X4515" t="str">
            <v>Commissions - gross</v>
          </cell>
          <cell r="Y4515" t="str">
            <v>SWITZERLAND</v>
          </cell>
        </row>
        <row r="4516">
          <cell r="L4516" t="str">
            <v>Proportional</v>
          </cell>
          <cell r="S4516">
            <v>868.43</v>
          </cell>
          <cell r="X4516" t="str">
            <v>Commissions - gross</v>
          </cell>
          <cell r="Y4516" t="str">
            <v>PERU</v>
          </cell>
        </row>
        <row r="4517">
          <cell r="L4517" t="str">
            <v>Proportional</v>
          </cell>
          <cell r="S4517">
            <v>57983.29</v>
          </cell>
          <cell r="X4517" t="str">
            <v>Commissions - gross</v>
          </cell>
          <cell r="Y4517" t="str">
            <v>THAILAND</v>
          </cell>
        </row>
        <row r="4518">
          <cell r="L4518" t="str">
            <v>Proportional</v>
          </cell>
          <cell r="S4518">
            <v>848.16</v>
          </cell>
          <cell r="X4518" t="str">
            <v>Commissions - gross</v>
          </cell>
          <cell r="Y4518" t="str">
            <v>PERU</v>
          </cell>
        </row>
        <row r="4519">
          <cell r="L4519" t="str">
            <v>Proportional</v>
          </cell>
          <cell r="S4519">
            <v>423.48</v>
          </cell>
          <cell r="X4519" t="str">
            <v>Commissions - gross</v>
          </cell>
          <cell r="Y4519" t="str">
            <v>THAILAND</v>
          </cell>
        </row>
        <row r="4520">
          <cell r="L4520" t="str">
            <v>Proportional</v>
          </cell>
          <cell r="S4520">
            <v>-40.56</v>
          </cell>
          <cell r="X4520" t="str">
            <v>Commissions - gross</v>
          </cell>
          <cell r="Y4520" t="str">
            <v>THAILAND</v>
          </cell>
        </row>
        <row r="4521">
          <cell r="L4521" t="str">
            <v>Proportional</v>
          </cell>
          <cell r="S4521">
            <v>11.21</v>
          </cell>
          <cell r="X4521" t="str">
            <v>Commissions - gross</v>
          </cell>
          <cell r="Y4521" t="str">
            <v>THAILAND</v>
          </cell>
        </row>
        <row r="4522">
          <cell r="L4522" t="str">
            <v>Proportional</v>
          </cell>
          <cell r="S4522">
            <v>140.65</v>
          </cell>
          <cell r="X4522" t="str">
            <v>Commissions - gross</v>
          </cell>
          <cell r="Y4522" t="str">
            <v>COLOMBIA</v>
          </cell>
        </row>
        <row r="4523">
          <cell r="L4523" t="str">
            <v>Proportional</v>
          </cell>
          <cell r="S4523">
            <v>6707.85</v>
          </cell>
          <cell r="X4523" t="str">
            <v>Commissions - gross</v>
          </cell>
          <cell r="Y4523" t="str">
            <v>SWITZERLAND</v>
          </cell>
        </row>
        <row r="4524">
          <cell r="L4524" t="str">
            <v>Proportional</v>
          </cell>
          <cell r="S4524">
            <v>64064.79</v>
          </cell>
          <cell r="X4524" t="str">
            <v>Commissions - gross</v>
          </cell>
          <cell r="Y4524" t="str">
            <v>HONG KONG</v>
          </cell>
        </row>
        <row r="4525">
          <cell r="L4525" t="str">
            <v>Proportional</v>
          </cell>
          <cell r="S4525">
            <v>32.86</v>
          </cell>
          <cell r="X4525" t="str">
            <v>Commissions - gross</v>
          </cell>
          <cell r="Y4525" t="str">
            <v>THAILAND</v>
          </cell>
        </row>
        <row r="4526">
          <cell r="L4526" t="str">
            <v>Non-proportional</v>
          </cell>
          <cell r="S4526">
            <v>-33325.699999999997</v>
          </cell>
          <cell r="X4526" t="str">
            <v>Commissions - gross</v>
          </cell>
          <cell r="Y4526" t="str">
            <v>UNITED KINGDOM</v>
          </cell>
        </row>
        <row r="4527">
          <cell r="L4527" t="str">
            <v>Proportional</v>
          </cell>
          <cell r="S4527">
            <v>2100.13</v>
          </cell>
          <cell r="X4527" t="str">
            <v>Commissions - gross</v>
          </cell>
          <cell r="Y4527" t="str">
            <v>CHILE</v>
          </cell>
        </row>
        <row r="4528">
          <cell r="L4528" t="str">
            <v>Proportional</v>
          </cell>
          <cell r="S4528">
            <v>-369.82</v>
          </cell>
          <cell r="X4528" t="str">
            <v>Commissions - gross</v>
          </cell>
          <cell r="Y4528" t="str">
            <v>THAILAND</v>
          </cell>
        </row>
        <row r="4529">
          <cell r="L4529" t="str">
            <v>Proportional</v>
          </cell>
          <cell r="S4529">
            <v>248.92</v>
          </cell>
          <cell r="X4529" t="str">
            <v>Commissions - gross</v>
          </cell>
          <cell r="Y4529" t="str">
            <v>UNITED STATES</v>
          </cell>
        </row>
        <row r="4530">
          <cell r="L4530" t="str">
            <v>Proportional</v>
          </cell>
          <cell r="S4530">
            <v>4494.83</v>
          </cell>
          <cell r="X4530" t="str">
            <v>Commissions - gross</v>
          </cell>
          <cell r="Y4530" t="str">
            <v>THAILAND</v>
          </cell>
        </row>
        <row r="4531">
          <cell r="L4531" t="str">
            <v>Proportional</v>
          </cell>
          <cell r="S4531">
            <v>-212.29</v>
          </cell>
          <cell r="X4531" t="str">
            <v>Commissions - gross</v>
          </cell>
          <cell r="Y4531" t="str">
            <v>THAILAND</v>
          </cell>
        </row>
        <row r="4532">
          <cell r="L4532" t="str">
            <v>Proportional</v>
          </cell>
          <cell r="S4532">
            <v>472.12</v>
          </cell>
          <cell r="X4532" t="str">
            <v>Commissions - gross</v>
          </cell>
          <cell r="Y4532" t="str">
            <v>COLOMBIA</v>
          </cell>
        </row>
        <row r="4533">
          <cell r="L4533" t="str">
            <v>Proportional</v>
          </cell>
          <cell r="S4533">
            <v>-581.26</v>
          </cell>
          <cell r="X4533" t="str">
            <v>Commissions - gross</v>
          </cell>
          <cell r="Y4533" t="str">
            <v>CANADA</v>
          </cell>
        </row>
        <row r="4534">
          <cell r="L4534" t="str">
            <v>Proportional</v>
          </cell>
          <cell r="S4534">
            <v>-617.6</v>
          </cell>
          <cell r="X4534" t="str">
            <v>Commissions - gross</v>
          </cell>
          <cell r="Y4534" t="str">
            <v>INDIA</v>
          </cell>
        </row>
        <row r="4535">
          <cell r="L4535" t="str">
            <v>Proportional</v>
          </cell>
          <cell r="S4535">
            <v>5.65</v>
          </cell>
          <cell r="X4535" t="str">
            <v>Commissions - gross</v>
          </cell>
          <cell r="Y4535" t="str">
            <v>UNITED STATES</v>
          </cell>
        </row>
        <row r="4536">
          <cell r="L4536" t="str">
            <v>Proportional</v>
          </cell>
          <cell r="S4536">
            <v>141.84</v>
          </cell>
          <cell r="X4536" t="str">
            <v>Commissions - gross</v>
          </cell>
          <cell r="Y4536" t="str">
            <v>THAILAND</v>
          </cell>
        </row>
        <row r="4537">
          <cell r="L4537" t="str">
            <v>Proportional</v>
          </cell>
          <cell r="S4537">
            <v>770.69</v>
          </cell>
          <cell r="X4537" t="str">
            <v>Commissions - gross</v>
          </cell>
          <cell r="Y4537" t="str">
            <v>REPUBLIC OF IRELAND</v>
          </cell>
        </row>
        <row r="4538">
          <cell r="L4538" t="str">
            <v>Proportional</v>
          </cell>
          <cell r="S4538">
            <v>-13.61</v>
          </cell>
          <cell r="X4538" t="str">
            <v>Commissions - gross</v>
          </cell>
          <cell r="Y4538" t="str">
            <v>INDIA</v>
          </cell>
        </row>
        <row r="4539">
          <cell r="L4539" t="str">
            <v>Proportional</v>
          </cell>
          <cell r="S4539">
            <v>3.78</v>
          </cell>
          <cell r="X4539" t="str">
            <v>Commissions - gross</v>
          </cell>
          <cell r="Y4539" t="str">
            <v>THAILAND</v>
          </cell>
        </row>
        <row r="4540">
          <cell r="L4540" t="str">
            <v>Proportional</v>
          </cell>
          <cell r="S4540">
            <v>3480.82</v>
          </cell>
          <cell r="X4540" t="str">
            <v>Commissions - gross</v>
          </cell>
          <cell r="Y4540" t="str">
            <v>UNITED STATES</v>
          </cell>
        </row>
        <row r="4541">
          <cell r="L4541" t="str">
            <v>Proportional</v>
          </cell>
          <cell r="S4541">
            <v>1.9</v>
          </cell>
          <cell r="X4541" t="str">
            <v>Commissions - gross</v>
          </cell>
          <cell r="Y4541" t="str">
            <v>UNITED STATES</v>
          </cell>
        </row>
        <row r="4542">
          <cell r="L4542" t="str">
            <v>Proportional</v>
          </cell>
          <cell r="S4542">
            <v>37.549999999999997</v>
          </cell>
          <cell r="X4542" t="str">
            <v>Commissions - gross</v>
          </cell>
          <cell r="Y4542" t="str">
            <v>CHILE</v>
          </cell>
        </row>
        <row r="4543">
          <cell r="L4543" t="str">
            <v>Non-proportional</v>
          </cell>
          <cell r="S4543">
            <v>3782.82</v>
          </cell>
          <cell r="X4543" t="str">
            <v>Commissions - gross</v>
          </cell>
          <cell r="Y4543" t="str">
            <v>TURKEY</v>
          </cell>
        </row>
        <row r="4544">
          <cell r="L4544" t="str">
            <v>Proportional</v>
          </cell>
          <cell r="S4544">
            <v>97206.34</v>
          </cell>
          <cell r="X4544" t="str">
            <v>Commissions - gross</v>
          </cell>
          <cell r="Y4544" t="str">
            <v>PORTUGAL</v>
          </cell>
        </row>
        <row r="4545">
          <cell r="L4545" t="str">
            <v>Proportional</v>
          </cell>
          <cell r="S4545">
            <v>262.87</v>
          </cell>
          <cell r="X4545" t="str">
            <v>Commissions - gross</v>
          </cell>
          <cell r="Y4545" t="str">
            <v>CHILE</v>
          </cell>
        </row>
        <row r="4546">
          <cell r="L4546" t="str">
            <v>Proportional</v>
          </cell>
          <cell r="S4546">
            <v>58.39</v>
          </cell>
          <cell r="X4546" t="str">
            <v>Commissions - gross</v>
          </cell>
          <cell r="Y4546" t="str">
            <v>UNITED STATES</v>
          </cell>
        </row>
        <row r="4547">
          <cell r="L4547" t="str">
            <v>Proportional</v>
          </cell>
          <cell r="S4547">
            <v>8.9499999999999993</v>
          </cell>
          <cell r="X4547" t="str">
            <v>Commissions - gross</v>
          </cell>
          <cell r="Y4547" t="str">
            <v>THAILAND</v>
          </cell>
        </row>
        <row r="4548">
          <cell r="L4548" t="str">
            <v>Proportional</v>
          </cell>
          <cell r="S4548">
            <v>9381.08</v>
          </cell>
          <cell r="X4548" t="str">
            <v>Commissions - gross</v>
          </cell>
          <cell r="Y4548" t="str">
            <v>ITALY</v>
          </cell>
        </row>
        <row r="4549">
          <cell r="L4549" t="str">
            <v>Proportional</v>
          </cell>
          <cell r="S4549">
            <v>147.28</v>
          </cell>
          <cell r="X4549" t="str">
            <v>Commissions - gross</v>
          </cell>
          <cell r="Y4549" t="str">
            <v>INDIA</v>
          </cell>
        </row>
        <row r="4550">
          <cell r="L4550" t="str">
            <v>Proportional</v>
          </cell>
          <cell r="S4550">
            <v>-851.37</v>
          </cell>
          <cell r="X4550" t="str">
            <v>Commissions - gross</v>
          </cell>
          <cell r="Y4550" t="str">
            <v>THAILAND</v>
          </cell>
        </row>
        <row r="4551">
          <cell r="L4551" t="str">
            <v>Proportional</v>
          </cell>
          <cell r="S4551">
            <v>1614.77</v>
          </cell>
          <cell r="X4551" t="str">
            <v>Commissions - gross</v>
          </cell>
          <cell r="Y4551" t="str">
            <v>CHILE</v>
          </cell>
        </row>
        <row r="4552">
          <cell r="L4552" t="str">
            <v>Proportional</v>
          </cell>
          <cell r="S4552">
            <v>24093.360000000001</v>
          </cell>
          <cell r="X4552" t="str">
            <v>Commissions - gross</v>
          </cell>
          <cell r="Y4552" t="str">
            <v>FRANCE</v>
          </cell>
        </row>
        <row r="4553">
          <cell r="L4553" t="str">
            <v>Proportional</v>
          </cell>
          <cell r="S4553">
            <v>3.6</v>
          </cell>
          <cell r="X4553" t="str">
            <v>Commissions - gross</v>
          </cell>
          <cell r="Y4553" t="str">
            <v>THAILAND</v>
          </cell>
        </row>
        <row r="4554">
          <cell r="L4554" t="str">
            <v>Proportional</v>
          </cell>
          <cell r="S4554">
            <v>886.74</v>
          </cell>
          <cell r="X4554" t="str">
            <v>Commissions - gross</v>
          </cell>
          <cell r="Y4554" t="str">
            <v>JAPAN</v>
          </cell>
        </row>
        <row r="4555">
          <cell r="L4555" t="str">
            <v>Proportional</v>
          </cell>
          <cell r="S4555">
            <v>-125.71</v>
          </cell>
          <cell r="X4555" t="str">
            <v>Commissions - gross</v>
          </cell>
          <cell r="Y4555" t="str">
            <v>THAILAND</v>
          </cell>
        </row>
        <row r="4556">
          <cell r="L4556" t="str">
            <v>Proportional</v>
          </cell>
          <cell r="S4556">
            <v>13806.72</v>
          </cell>
          <cell r="X4556" t="str">
            <v>Commissions - gross</v>
          </cell>
          <cell r="Y4556" t="str">
            <v>FRANCE</v>
          </cell>
        </row>
        <row r="4557">
          <cell r="L4557" t="str">
            <v>Proportional</v>
          </cell>
          <cell r="S4557">
            <v>1.35</v>
          </cell>
          <cell r="X4557" t="str">
            <v>Commissions - gross</v>
          </cell>
          <cell r="Y4557" t="str">
            <v>UNITED STATES</v>
          </cell>
        </row>
        <row r="4558">
          <cell r="L4558" t="str">
            <v>Proportional</v>
          </cell>
          <cell r="S4558">
            <v>37.549999999999997</v>
          </cell>
          <cell r="X4558" t="str">
            <v>Commissions - gross</v>
          </cell>
          <cell r="Y4558" t="str">
            <v>CHILE</v>
          </cell>
        </row>
        <row r="4559">
          <cell r="L4559" t="str">
            <v>Proportional</v>
          </cell>
          <cell r="S4559">
            <v>1516.27</v>
          </cell>
          <cell r="X4559" t="str">
            <v>Commissions - gross</v>
          </cell>
          <cell r="Y4559" t="str">
            <v>MEXICO</v>
          </cell>
        </row>
        <row r="4560">
          <cell r="L4560" t="str">
            <v>Proportional</v>
          </cell>
          <cell r="S4560">
            <v>230.31</v>
          </cell>
          <cell r="X4560" t="str">
            <v>Commissions - gross</v>
          </cell>
          <cell r="Y4560" t="str">
            <v>COLOMBIA</v>
          </cell>
        </row>
        <row r="4561">
          <cell r="L4561" t="str">
            <v>Proportional</v>
          </cell>
          <cell r="S4561">
            <v>13181.07</v>
          </cell>
          <cell r="X4561" t="str">
            <v>Commissions - gross</v>
          </cell>
          <cell r="Y4561" t="str">
            <v>ITALY</v>
          </cell>
        </row>
        <row r="4562">
          <cell r="L4562" t="str">
            <v>Proportional</v>
          </cell>
          <cell r="S4562">
            <v>106.04</v>
          </cell>
          <cell r="X4562" t="str">
            <v>Commissions - gross</v>
          </cell>
          <cell r="Y4562" t="str">
            <v>THAILAND</v>
          </cell>
        </row>
        <row r="4563">
          <cell r="L4563" t="str">
            <v>Proportional</v>
          </cell>
          <cell r="S4563">
            <v>1022.2</v>
          </cell>
          <cell r="X4563" t="str">
            <v>Commissions - gross</v>
          </cell>
          <cell r="Y4563" t="str">
            <v>PERU</v>
          </cell>
        </row>
        <row r="4564">
          <cell r="L4564" t="str">
            <v>Proportional</v>
          </cell>
          <cell r="S4564">
            <v>463.69</v>
          </cell>
          <cell r="X4564" t="str">
            <v>Commissions - gross</v>
          </cell>
          <cell r="Y4564" t="str">
            <v>CHILE</v>
          </cell>
        </row>
        <row r="4565">
          <cell r="L4565" t="str">
            <v>Proportional</v>
          </cell>
          <cell r="S4565">
            <v>162.08000000000001</v>
          </cell>
          <cell r="X4565" t="str">
            <v>Commissions - gross</v>
          </cell>
          <cell r="Y4565" t="str">
            <v>HONG KONG</v>
          </cell>
        </row>
        <row r="4566">
          <cell r="L4566" t="str">
            <v>Proportional</v>
          </cell>
          <cell r="S4566">
            <v>573.53</v>
          </cell>
          <cell r="X4566" t="str">
            <v>Commissions - gross</v>
          </cell>
          <cell r="Y4566" t="str">
            <v>INDIA</v>
          </cell>
        </row>
        <row r="4567">
          <cell r="L4567" t="str">
            <v>Proportional</v>
          </cell>
          <cell r="S4567">
            <v>-3003.09</v>
          </cell>
          <cell r="X4567" t="str">
            <v>Commissions - gross</v>
          </cell>
          <cell r="Y4567" t="str">
            <v>THAILAND</v>
          </cell>
        </row>
        <row r="4568">
          <cell r="L4568" t="str">
            <v>Proportional</v>
          </cell>
          <cell r="S4568">
            <v>6.95</v>
          </cell>
          <cell r="X4568" t="str">
            <v>Commissions - gross</v>
          </cell>
          <cell r="Y4568" t="str">
            <v>THAILAND</v>
          </cell>
        </row>
        <row r="4569">
          <cell r="L4569" t="str">
            <v>Proportional</v>
          </cell>
          <cell r="S4569">
            <v>-3873.75</v>
          </cell>
          <cell r="X4569" t="str">
            <v>Commissions - gross</v>
          </cell>
          <cell r="Y4569" t="str">
            <v>THAILAND</v>
          </cell>
        </row>
        <row r="4570">
          <cell r="L4570" t="str">
            <v>Proportional</v>
          </cell>
          <cell r="S4570">
            <v>11.07</v>
          </cell>
          <cell r="X4570" t="str">
            <v>Commissions - gross</v>
          </cell>
          <cell r="Y4570" t="str">
            <v>THAILAND</v>
          </cell>
        </row>
        <row r="4571">
          <cell r="L4571" t="str">
            <v>Proportional</v>
          </cell>
          <cell r="S4571">
            <v>2193.79</v>
          </cell>
          <cell r="X4571" t="str">
            <v>Commissions - gross</v>
          </cell>
          <cell r="Y4571" t="str">
            <v>THAILAND</v>
          </cell>
        </row>
        <row r="4572">
          <cell r="L4572" t="str">
            <v>Proportional</v>
          </cell>
          <cell r="S4572">
            <v>2522.02</v>
          </cell>
          <cell r="X4572" t="str">
            <v>Commissions - gross</v>
          </cell>
          <cell r="Y4572" t="str">
            <v>THAILAND</v>
          </cell>
        </row>
        <row r="4573">
          <cell r="L4573" t="str">
            <v>Proportional</v>
          </cell>
          <cell r="S4573">
            <v>69852.789999999994</v>
          </cell>
          <cell r="X4573" t="str">
            <v>Commissions - gross</v>
          </cell>
          <cell r="Y4573" t="str">
            <v>HONG KONG</v>
          </cell>
        </row>
        <row r="4574">
          <cell r="L4574" t="str">
            <v>Proportional</v>
          </cell>
          <cell r="S4574">
            <v>14.5</v>
          </cell>
          <cell r="X4574" t="str">
            <v>Commissions - gross</v>
          </cell>
          <cell r="Y4574" t="str">
            <v>CANADA</v>
          </cell>
        </row>
        <row r="4575">
          <cell r="L4575" t="str">
            <v>Proportional</v>
          </cell>
          <cell r="S4575">
            <v>607.89</v>
          </cell>
          <cell r="X4575" t="str">
            <v>Commissions - gross</v>
          </cell>
          <cell r="Y4575" t="str">
            <v>JAPAN</v>
          </cell>
        </row>
        <row r="4576">
          <cell r="L4576" t="str">
            <v>Proportional</v>
          </cell>
          <cell r="S4576">
            <v>1492.34</v>
          </cell>
          <cell r="X4576" t="str">
            <v>Commissions - gross</v>
          </cell>
          <cell r="Y4576" t="str">
            <v>PERU</v>
          </cell>
        </row>
        <row r="4577">
          <cell r="L4577" t="str">
            <v>Proportional</v>
          </cell>
          <cell r="S4577">
            <v>79.650000000000006</v>
          </cell>
          <cell r="X4577" t="str">
            <v>Commissions - gross</v>
          </cell>
          <cell r="Y4577" t="str">
            <v>THAILAND</v>
          </cell>
        </row>
        <row r="4578">
          <cell r="L4578" t="str">
            <v>Proportional</v>
          </cell>
          <cell r="S4578">
            <v>15715.35</v>
          </cell>
          <cell r="X4578" t="str">
            <v>Commissions - gross</v>
          </cell>
          <cell r="Y4578" t="str">
            <v>ITALY</v>
          </cell>
        </row>
        <row r="4579">
          <cell r="L4579" t="str">
            <v>Proportional</v>
          </cell>
          <cell r="S4579">
            <v>635.21</v>
          </cell>
          <cell r="X4579" t="str">
            <v>Commissions - gross</v>
          </cell>
          <cell r="Y4579" t="str">
            <v>THAILAND</v>
          </cell>
        </row>
        <row r="4580">
          <cell r="L4580" t="str">
            <v>Proportional</v>
          </cell>
          <cell r="S4580">
            <v>127721.57</v>
          </cell>
          <cell r="X4580" t="str">
            <v>Commissions - gross</v>
          </cell>
          <cell r="Y4580" t="str">
            <v>SWITZERLAND</v>
          </cell>
        </row>
        <row r="4581">
          <cell r="L4581" t="str">
            <v>Proportional</v>
          </cell>
          <cell r="S4581">
            <v>138.12</v>
          </cell>
          <cell r="X4581" t="str">
            <v>Commissions - gross</v>
          </cell>
          <cell r="Y4581" t="str">
            <v>FRANCE</v>
          </cell>
        </row>
        <row r="4582">
          <cell r="L4582" t="str">
            <v>Proportional</v>
          </cell>
          <cell r="S4582">
            <v>104.78</v>
          </cell>
          <cell r="X4582" t="str">
            <v>Commissions - gross</v>
          </cell>
          <cell r="Y4582" t="str">
            <v>THAILAND</v>
          </cell>
        </row>
        <row r="4583">
          <cell r="L4583" t="str">
            <v>Proportional</v>
          </cell>
          <cell r="S4583">
            <v>18025.86</v>
          </cell>
          <cell r="X4583" t="str">
            <v>Commissions - gross</v>
          </cell>
          <cell r="Y4583" t="str">
            <v>THAILAND</v>
          </cell>
        </row>
        <row r="4584">
          <cell r="L4584" t="str">
            <v>Proportional</v>
          </cell>
          <cell r="S4584">
            <v>3466.68</v>
          </cell>
          <cell r="X4584" t="str">
            <v>Commissions - gross</v>
          </cell>
          <cell r="Y4584" t="str">
            <v>BELGIUM</v>
          </cell>
        </row>
        <row r="4585">
          <cell r="L4585" t="str">
            <v>Proportional</v>
          </cell>
          <cell r="S4585">
            <v>-41850.33</v>
          </cell>
          <cell r="X4585" t="str">
            <v>Commissions - gross</v>
          </cell>
          <cell r="Y4585" t="str">
            <v>THAILAND</v>
          </cell>
        </row>
        <row r="4586">
          <cell r="L4586" t="str">
            <v>Proportional</v>
          </cell>
          <cell r="S4586">
            <v>0.12</v>
          </cell>
          <cell r="X4586" t="str">
            <v>Commissions - gross</v>
          </cell>
          <cell r="Y4586" t="str">
            <v>CHILE</v>
          </cell>
        </row>
        <row r="4587">
          <cell r="L4587" t="str">
            <v>Proportional</v>
          </cell>
          <cell r="S4587">
            <v>23658.94</v>
          </cell>
          <cell r="X4587" t="str">
            <v>Commissions - gross</v>
          </cell>
          <cell r="Y4587" t="str">
            <v>THAILAND</v>
          </cell>
        </row>
        <row r="4588">
          <cell r="L4588" t="str">
            <v>Proportional</v>
          </cell>
          <cell r="S4588">
            <v>8201.2900000000009</v>
          </cell>
          <cell r="X4588" t="str">
            <v>Commissions - gross</v>
          </cell>
          <cell r="Y4588" t="str">
            <v>AUSTRALIA</v>
          </cell>
        </row>
        <row r="4589">
          <cell r="L4589" t="str">
            <v>Proportional</v>
          </cell>
          <cell r="S4589">
            <v>525.74</v>
          </cell>
          <cell r="X4589" t="str">
            <v>Commissions - gross</v>
          </cell>
          <cell r="Y4589" t="str">
            <v>CHILE</v>
          </cell>
        </row>
        <row r="4590">
          <cell r="L4590" t="str">
            <v>Proportional</v>
          </cell>
          <cell r="S4590">
            <v>38.39</v>
          </cell>
          <cell r="X4590" t="str">
            <v>Commissions - gross</v>
          </cell>
          <cell r="Y4590" t="str">
            <v>MEXICO</v>
          </cell>
        </row>
        <row r="4591">
          <cell r="L4591" t="str">
            <v>Proportional</v>
          </cell>
          <cell r="S4591">
            <v>3243.12</v>
          </cell>
          <cell r="X4591" t="str">
            <v>Commissions - gross</v>
          </cell>
          <cell r="Y4591" t="str">
            <v>HONG KONG</v>
          </cell>
        </row>
        <row r="4592">
          <cell r="L4592" t="str">
            <v>Proportional</v>
          </cell>
          <cell r="S4592">
            <v>-20.85</v>
          </cell>
          <cell r="X4592" t="str">
            <v>Commissions - gross</v>
          </cell>
          <cell r="Y4592" t="str">
            <v>INDIA</v>
          </cell>
        </row>
        <row r="4593">
          <cell r="L4593" t="str">
            <v>Proportional</v>
          </cell>
          <cell r="S4593">
            <v>5182.28</v>
          </cell>
          <cell r="X4593" t="str">
            <v>Commissions - gross</v>
          </cell>
          <cell r="Y4593" t="str">
            <v>CHILE</v>
          </cell>
        </row>
        <row r="4594">
          <cell r="L4594" t="str">
            <v>Proportional</v>
          </cell>
          <cell r="S4594">
            <v>33825.4</v>
          </cell>
          <cell r="X4594" t="str">
            <v>Commissions - gross</v>
          </cell>
          <cell r="Y4594" t="str">
            <v>UNITED STATES</v>
          </cell>
        </row>
        <row r="4595">
          <cell r="L4595" t="str">
            <v>Proportional</v>
          </cell>
          <cell r="S4595">
            <v>-13.66</v>
          </cell>
          <cell r="X4595" t="str">
            <v>Commissions - gross</v>
          </cell>
          <cell r="Y4595" t="str">
            <v>THAILAND</v>
          </cell>
        </row>
        <row r="4596">
          <cell r="L4596" t="str">
            <v>Proportional</v>
          </cell>
          <cell r="S4596">
            <v>1545.14</v>
          </cell>
          <cell r="X4596" t="str">
            <v>Commissions - gross</v>
          </cell>
          <cell r="Y4596" t="str">
            <v>ITALY</v>
          </cell>
        </row>
        <row r="4597">
          <cell r="L4597" t="str">
            <v>Proportional</v>
          </cell>
          <cell r="S4597">
            <v>79.989999999999995</v>
          </cell>
          <cell r="X4597" t="str">
            <v>Commissions - gross</v>
          </cell>
          <cell r="Y4597" t="str">
            <v>THAILAND</v>
          </cell>
        </row>
        <row r="4598">
          <cell r="L4598" t="str">
            <v>Proportional</v>
          </cell>
          <cell r="S4598">
            <v>3415.35</v>
          </cell>
          <cell r="X4598" t="str">
            <v>Commissions - gross</v>
          </cell>
          <cell r="Y4598" t="str">
            <v>PORTUGAL</v>
          </cell>
        </row>
        <row r="4599">
          <cell r="L4599" t="str">
            <v>Proportional</v>
          </cell>
          <cell r="S4599">
            <v>-1117.43</v>
          </cell>
          <cell r="X4599" t="str">
            <v>Commissions - gross</v>
          </cell>
          <cell r="Y4599" t="str">
            <v>THAILAND</v>
          </cell>
        </row>
        <row r="4600">
          <cell r="L4600" t="str">
            <v>Proportional</v>
          </cell>
          <cell r="S4600">
            <v>770.69</v>
          </cell>
          <cell r="X4600" t="str">
            <v>Commissions - gross</v>
          </cell>
          <cell r="Y4600" t="str">
            <v>REPUBLIC OF IRELAND</v>
          </cell>
        </row>
        <row r="4601">
          <cell r="L4601" t="str">
            <v>Proportional</v>
          </cell>
          <cell r="S4601">
            <v>455.06</v>
          </cell>
          <cell r="X4601" t="str">
            <v>Commissions - gross</v>
          </cell>
          <cell r="Y4601" t="str">
            <v>CHILE</v>
          </cell>
        </row>
        <row r="4602">
          <cell r="L4602" t="str">
            <v>Proportional</v>
          </cell>
          <cell r="S4602">
            <v>354.88</v>
          </cell>
          <cell r="X4602" t="str">
            <v>Commissions - gross</v>
          </cell>
          <cell r="Y4602" t="str">
            <v>THAILAND</v>
          </cell>
        </row>
        <row r="4603">
          <cell r="L4603" t="str">
            <v>Proportional</v>
          </cell>
          <cell r="S4603">
            <v>4011.46</v>
          </cell>
          <cell r="X4603" t="str">
            <v>Commissions - gross</v>
          </cell>
          <cell r="Y4603" t="str">
            <v>HONG KONG</v>
          </cell>
        </row>
        <row r="4604">
          <cell r="L4604" t="str">
            <v>Proportional</v>
          </cell>
          <cell r="S4604">
            <v>1165.94</v>
          </cell>
          <cell r="X4604" t="str">
            <v>Commissions - gross</v>
          </cell>
          <cell r="Y4604" t="str">
            <v>THAILAND</v>
          </cell>
        </row>
        <row r="4605">
          <cell r="L4605" t="str">
            <v>Proportional</v>
          </cell>
          <cell r="S4605">
            <v>1009.24</v>
          </cell>
          <cell r="X4605" t="str">
            <v>Commissions - gross</v>
          </cell>
          <cell r="Y4605" t="str">
            <v>PERU</v>
          </cell>
        </row>
        <row r="4606">
          <cell r="L4606" t="str">
            <v>Proportional</v>
          </cell>
          <cell r="S4606">
            <v>4.12</v>
          </cell>
          <cell r="X4606" t="str">
            <v>Commissions - gross</v>
          </cell>
          <cell r="Y4606" t="str">
            <v>THAILAND</v>
          </cell>
        </row>
        <row r="4607">
          <cell r="L4607" t="str">
            <v>Proportional</v>
          </cell>
          <cell r="S4607">
            <v>3036.23</v>
          </cell>
          <cell r="X4607" t="str">
            <v>Commissions - gross</v>
          </cell>
          <cell r="Y4607" t="str">
            <v>THAILAND</v>
          </cell>
        </row>
        <row r="4608">
          <cell r="L4608" t="str">
            <v>Proportional</v>
          </cell>
          <cell r="S4608">
            <v>-2128.4299999999998</v>
          </cell>
          <cell r="X4608" t="str">
            <v>Commissions - gross</v>
          </cell>
          <cell r="Y4608" t="str">
            <v>THAILAND</v>
          </cell>
        </row>
        <row r="4609">
          <cell r="L4609" t="str">
            <v>Proportional</v>
          </cell>
          <cell r="S4609">
            <v>-4.21</v>
          </cell>
          <cell r="X4609" t="str">
            <v>Commissions - gross</v>
          </cell>
          <cell r="Y4609" t="str">
            <v>HONG KONG</v>
          </cell>
        </row>
        <row r="4610">
          <cell r="L4610" t="str">
            <v>Proportional</v>
          </cell>
          <cell r="S4610">
            <v>9365.9699999999993</v>
          </cell>
          <cell r="X4610" t="str">
            <v>Commissions - gross</v>
          </cell>
          <cell r="Y4610" t="str">
            <v>SWITZERLAND</v>
          </cell>
        </row>
        <row r="4611">
          <cell r="L4611" t="str">
            <v>Proportional</v>
          </cell>
          <cell r="S4611">
            <v>239.88</v>
          </cell>
          <cell r="X4611" t="str">
            <v>Commissions - gross</v>
          </cell>
          <cell r="Y4611" t="str">
            <v>TURKEY</v>
          </cell>
        </row>
        <row r="4612">
          <cell r="L4612" t="str">
            <v>Proportional</v>
          </cell>
          <cell r="S4612">
            <v>922.3</v>
          </cell>
          <cell r="X4612" t="str">
            <v>Commissions - gross</v>
          </cell>
          <cell r="Y4612" t="str">
            <v>THAILAND</v>
          </cell>
        </row>
        <row r="4613">
          <cell r="L4613" t="str">
            <v>Proportional</v>
          </cell>
          <cell r="S4613">
            <v>82017.66</v>
          </cell>
          <cell r="X4613" t="str">
            <v>Commissions - gross</v>
          </cell>
          <cell r="Y4613" t="str">
            <v>THAILAND</v>
          </cell>
        </row>
        <row r="4614">
          <cell r="L4614" t="str">
            <v>Proportional</v>
          </cell>
          <cell r="S4614">
            <v>1032.5</v>
          </cell>
          <cell r="X4614" t="str">
            <v>Commissions - gross</v>
          </cell>
          <cell r="Y4614" t="str">
            <v>SAUDI ARABIA</v>
          </cell>
        </row>
        <row r="4615">
          <cell r="L4615" t="str">
            <v>Proportional</v>
          </cell>
          <cell r="S4615">
            <v>-620.74</v>
          </cell>
          <cell r="X4615" t="str">
            <v>Commissions - gross</v>
          </cell>
          <cell r="Y4615" t="str">
            <v>CANADA</v>
          </cell>
        </row>
        <row r="4616">
          <cell r="L4616" t="str">
            <v>Proportional</v>
          </cell>
          <cell r="S4616">
            <v>16165.06</v>
          </cell>
          <cell r="X4616" t="str">
            <v>Commissions - gross</v>
          </cell>
          <cell r="Y4616" t="str">
            <v>UNITED ARAB EMIRATES</v>
          </cell>
        </row>
        <row r="4617">
          <cell r="L4617" t="str">
            <v>Proportional</v>
          </cell>
          <cell r="S4617">
            <v>21939.53</v>
          </cell>
          <cell r="X4617" t="str">
            <v>Commissions - gross</v>
          </cell>
          <cell r="Y4617" t="str">
            <v>ITALY</v>
          </cell>
        </row>
        <row r="4618">
          <cell r="L4618" t="str">
            <v>Proportional</v>
          </cell>
          <cell r="S4618">
            <v>-17465097.989999998</v>
          </cell>
          <cell r="X4618" t="str">
            <v>Commissions - gross</v>
          </cell>
          <cell r="Y4618" t="str">
            <v>ITALY</v>
          </cell>
        </row>
        <row r="4619">
          <cell r="L4619" t="str">
            <v>Proportional</v>
          </cell>
          <cell r="S4619">
            <v>860416.65</v>
          </cell>
          <cell r="X4619" t="str">
            <v>Commissions - gross</v>
          </cell>
          <cell r="Y4619" t="str">
            <v>PORTUGAL</v>
          </cell>
        </row>
        <row r="4620">
          <cell r="L4620" t="str">
            <v>Non-proportional</v>
          </cell>
          <cell r="S4620">
            <v>3532.69</v>
          </cell>
          <cell r="X4620" t="str">
            <v>Commissions - gross</v>
          </cell>
          <cell r="Y4620" t="str">
            <v>TURKEY</v>
          </cell>
        </row>
        <row r="4621">
          <cell r="L4621" t="str">
            <v>Proportional</v>
          </cell>
          <cell r="S4621">
            <v>83534.91</v>
          </cell>
          <cell r="X4621" t="str">
            <v>Commissions - gross</v>
          </cell>
          <cell r="Y4621" t="str">
            <v>HONG KONG</v>
          </cell>
        </row>
        <row r="4622">
          <cell r="L4622" t="str">
            <v>Proportional</v>
          </cell>
          <cell r="S4622">
            <v>59.26</v>
          </cell>
          <cell r="X4622" t="str">
            <v>Commissions - gross</v>
          </cell>
          <cell r="Y4622" t="str">
            <v>CHILE</v>
          </cell>
        </row>
        <row r="4623">
          <cell r="L4623" t="str">
            <v>Proportional</v>
          </cell>
          <cell r="S4623">
            <v>-14.5</v>
          </cell>
          <cell r="X4623" t="str">
            <v>Commissions - gross</v>
          </cell>
          <cell r="Y4623" t="str">
            <v>CANADA</v>
          </cell>
        </row>
        <row r="4624">
          <cell r="L4624" t="str">
            <v>Proportional</v>
          </cell>
          <cell r="S4624">
            <v>14863.1</v>
          </cell>
          <cell r="X4624" t="str">
            <v>Commissions - gross</v>
          </cell>
          <cell r="Y4624" t="str">
            <v>CANADA</v>
          </cell>
        </row>
        <row r="4625">
          <cell r="L4625" t="str">
            <v>Proportional</v>
          </cell>
          <cell r="S4625">
            <v>-5595.36</v>
          </cell>
          <cell r="X4625" t="str">
            <v>Commissions - gross</v>
          </cell>
          <cell r="Y4625" t="str">
            <v>AUSTRALIA</v>
          </cell>
        </row>
        <row r="4626">
          <cell r="L4626" t="str">
            <v>Proportional</v>
          </cell>
          <cell r="S4626">
            <v>773.06</v>
          </cell>
          <cell r="X4626" t="str">
            <v>Commissions - gross</v>
          </cell>
          <cell r="Y4626" t="str">
            <v>COLOMBIA</v>
          </cell>
        </row>
        <row r="4627">
          <cell r="L4627" t="str">
            <v>Proportional</v>
          </cell>
          <cell r="S4627">
            <v>7236.83</v>
          </cell>
          <cell r="X4627" t="str">
            <v>Commissions - gross</v>
          </cell>
          <cell r="Y4627" t="str">
            <v>SWITZERLAND</v>
          </cell>
        </row>
        <row r="4628">
          <cell r="L4628" t="str">
            <v>Proportional</v>
          </cell>
          <cell r="S4628">
            <v>638.4</v>
          </cell>
          <cell r="X4628" t="str">
            <v>Commissions - gross</v>
          </cell>
          <cell r="Y4628" t="str">
            <v>CHILE</v>
          </cell>
        </row>
        <row r="4629">
          <cell r="L4629" t="str">
            <v>Proportional</v>
          </cell>
          <cell r="S4629">
            <v>75.11</v>
          </cell>
          <cell r="X4629" t="str">
            <v>Commissions - gross</v>
          </cell>
          <cell r="Y4629" t="str">
            <v>CHILE</v>
          </cell>
        </row>
        <row r="4630">
          <cell r="L4630" t="str">
            <v>Proportional</v>
          </cell>
          <cell r="S4630">
            <v>-13998.62</v>
          </cell>
          <cell r="X4630" t="str">
            <v>Commissions - gross</v>
          </cell>
          <cell r="Y4630" t="str">
            <v>JAPAN</v>
          </cell>
        </row>
        <row r="4631">
          <cell r="L4631" t="str">
            <v>Proportional</v>
          </cell>
          <cell r="S4631">
            <v>868.13</v>
          </cell>
          <cell r="X4631" t="str">
            <v>Commissions - gross</v>
          </cell>
          <cell r="Y4631" t="str">
            <v>INDIA</v>
          </cell>
        </row>
        <row r="4632">
          <cell r="L4632" t="str">
            <v>Proportional</v>
          </cell>
          <cell r="S4632">
            <v>4.21</v>
          </cell>
          <cell r="X4632" t="str">
            <v>Commissions - gross</v>
          </cell>
          <cell r="Y4632" t="str">
            <v>HONG KONG</v>
          </cell>
        </row>
        <row r="4633">
          <cell r="L4633" t="str">
            <v>Proportional</v>
          </cell>
          <cell r="S4633">
            <v>15562.5</v>
          </cell>
          <cell r="X4633" t="str">
            <v>Commissions - gross</v>
          </cell>
          <cell r="Y4633" t="str">
            <v>PORTUGAL</v>
          </cell>
        </row>
        <row r="4634">
          <cell r="L4634" t="str">
            <v>Proportional</v>
          </cell>
          <cell r="S4634">
            <v>3519.29</v>
          </cell>
          <cell r="X4634" t="str">
            <v>Commissions - gross</v>
          </cell>
          <cell r="Y4634" t="str">
            <v>INDIA</v>
          </cell>
        </row>
        <row r="4635">
          <cell r="L4635" t="str">
            <v>Proportional</v>
          </cell>
          <cell r="S4635">
            <v>5.5</v>
          </cell>
          <cell r="X4635" t="str">
            <v>Commissions - gross</v>
          </cell>
          <cell r="Y4635" t="str">
            <v>CHILE</v>
          </cell>
        </row>
        <row r="4636">
          <cell r="L4636" t="str">
            <v>Proportional</v>
          </cell>
          <cell r="S4636">
            <v>46</v>
          </cell>
          <cell r="X4636" t="str">
            <v>Commissions - gross</v>
          </cell>
          <cell r="Y4636" t="str">
            <v>THAILAND</v>
          </cell>
        </row>
        <row r="4637">
          <cell r="L4637" t="str">
            <v>Proportional</v>
          </cell>
          <cell r="S4637">
            <v>8801.14</v>
          </cell>
          <cell r="X4637" t="str">
            <v>Commissions - gross</v>
          </cell>
          <cell r="Y4637" t="str">
            <v>EUROPE</v>
          </cell>
        </row>
        <row r="4638">
          <cell r="L4638" t="str">
            <v>Proportional</v>
          </cell>
          <cell r="S4638">
            <v>-405.53</v>
          </cell>
          <cell r="X4638" t="str">
            <v>Commissions - gross</v>
          </cell>
          <cell r="Y4638" t="str">
            <v>THAILAND</v>
          </cell>
        </row>
        <row r="4639">
          <cell r="L4639" t="str">
            <v>Proportional</v>
          </cell>
          <cell r="S4639">
            <v>973.64</v>
          </cell>
          <cell r="X4639" t="str">
            <v>Commissions - gross</v>
          </cell>
          <cell r="Y4639" t="str">
            <v>ITALY</v>
          </cell>
        </row>
        <row r="4640">
          <cell r="L4640" t="str">
            <v>Proportional</v>
          </cell>
          <cell r="S4640">
            <v>886083.65</v>
          </cell>
          <cell r="X4640" t="str">
            <v>Commissions - gross</v>
          </cell>
          <cell r="Y4640" t="str">
            <v>THAILAND</v>
          </cell>
        </row>
        <row r="4641">
          <cell r="L4641" t="str">
            <v>Proportional</v>
          </cell>
          <cell r="S4641">
            <v>863.71</v>
          </cell>
          <cell r="X4641" t="str">
            <v>Commissions - gross</v>
          </cell>
          <cell r="Y4641" t="str">
            <v>CHILE</v>
          </cell>
        </row>
        <row r="4642">
          <cell r="L4642" t="str">
            <v>Proportional</v>
          </cell>
          <cell r="S4642">
            <v>1498.13</v>
          </cell>
          <cell r="X4642" t="str">
            <v>Commissions - gross</v>
          </cell>
          <cell r="Y4642" t="str">
            <v>ITALY</v>
          </cell>
        </row>
        <row r="4643">
          <cell r="L4643" t="str">
            <v>Proportional</v>
          </cell>
          <cell r="S4643">
            <v>63583.4</v>
          </cell>
          <cell r="X4643" t="str">
            <v>Commissions - gross</v>
          </cell>
          <cell r="Y4643" t="str">
            <v>THAILAND</v>
          </cell>
        </row>
        <row r="4644">
          <cell r="L4644" t="str">
            <v>Proportional</v>
          </cell>
          <cell r="S4644">
            <v>5730</v>
          </cell>
          <cell r="X4644" t="str">
            <v>Commissions - gross</v>
          </cell>
          <cell r="Y4644" t="str">
            <v>SPAIN</v>
          </cell>
        </row>
        <row r="4645">
          <cell r="L4645" t="str">
            <v>Proportional</v>
          </cell>
          <cell r="S4645">
            <v>30.47</v>
          </cell>
          <cell r="X4645" t="str">
            <v>Commissions - gross</v>
          </cell>
          <cell r="Y4645" t="str">
            <v>UNITED STATES</v>
          </cell>
        </row>
        <row r="4646">
          <cell r="L4646" t="str">
            <v>Proportional</v>
          </cell>
          <cell r="S4646">
            <v>-143.4</v>
          </cell>
          <cell r="X4646" t="str">
            <v>Commissions - gross</v>
          </cell>
          <cell r="Y4646" t="str">
            <v>THAILAND</v>
          </cell>
        </row>
        <row r="4647">
          <cell r="L4647" t="str">
            <v>Proportional</v>
          </cell>
          <cell r="S4647">
            <v>45064.65</v>
          </cell>
          <cell r="X4647" t="str">
            <v>Commissions - gross</v>
          </cell>
          <cell r="Y4647" t="str">
            <v>THAILAND</v>
          </cell>
        </row>
        <row r="4648">
          <cell r="L4648" t="str">
            <v>Proportional</v>
          </cell>
          <cell r="S4648">
            <v>332.99</v>
          </cell>
          <cell r="X4648" t="str">
            <v>Commissions - gross</v>
          </cell>
          <cell r="Y4648" t="str">
            <v>THAILAND</v>
          </cell>
        </row>
        <row r="4649">
          <cell r="L4649" t="str">
            <v>Proportional</v>
          </cell>
          <cell r="S4649">
            <v>-16.760000000000002</v>
          </cell>
          <cell r="X4649" t="str">
            <v>Commissions - gross</v>
          </cell>
          <cell r="Y4649" t="str">
            <v>THAILAND</v>
          </cell>
        </row>
        <row r="4650">
          <cell r="L4650" t="str">
            <v>Proportional</v>
          </cell>
          <cell r="S4650">
            <v>2864.51</v>
          </cell>
          <cell r="X4650" t="str">
            <v>Commissions - gross</v>
          </cell>
          <cell r="Y4650" t="str">
            <v>ITALY</v>
          </cell>
        </row>
        <row r="4651">
          <cell r="L4651" t="str">
            <v>Proportional</v>
          </cell>
          <cell r="S4651">
            <v>24446.32</v>
          </cell>
          <cell r="X4651" t="str">
            <v>Commissions - gross</v>
          </cell>
          <cell r="Y4651" t="str">
            <v>PORTUGAL</v>
          </cell>
        </row>
        <row r="4652">
          <cell r="L4652" t="str">
            <v>Proportional</v>
          </cell>
          <cell r="S4652">
            <v>6687.51</v>
          </cell>
          <cell r="X4652" t="str">
            <v>Commissions - gross</v>
          </cell>
          <cell r="Y4652" t="str">
            <v>UNITED KINGDOM</v>
          </cell>
        </row>
        <row r="4653">
          <cell r="L4653" t="str">
            <v>Proportional</v>
          </cell>
          <cell r="S4653">
            <v>957.8</v>
          </cell>
          <cell r="X4653" t="str">
            <v>Commissions - gross</v>
          </cell>
          <cell r="Y4653" t="str">
            <v>THAILAND</v>
          </cell>
        </row>
        <row r="4654">
          <cell r="L4654" t="str">
            <v>Proportional</v>
          </cell>
          <cell r="S4654">
            <v>42753.52</v>
          </cell>
          <cell r="X4654" t="str">
            <v>Commissions - gross</v>
          </cell>
          <cell r="Y4654" t="str">
            <v>AUSTRALIA</v>
          </cell>
        </row>
        <row r="4655">
          <cell r="L4655" t="str">
            <v>Proportional</v>
          </cell>
          <cell r="S4655">
            <v>-92.97</v>
          </cell>
          <cell r="X4655" t="str">
            <v>Commissions - gross</v>
          </cell>
          <cell r="Y4655" t="str">
            <v>INDIA</v>
          </cell>
        </row>
        <row r="4656">
          <cell r="L4656" t="str">
            <v>Proportional</v>
          </cell>
          <cell r="S4656">
            <v>30004.92</v>
          </cell>
          <cell r="X4656" t="str">
            <v>Commissions - gross</v>
          </cell>
          <cell r="Y4656" t="str">
            <v>THAILAND</v>
          </cell>
        </row>
        <row r="4657">
          <cell r="L4657" t="str">
            <v>Proportional</v>
          </cell>
          <cell r="S4657">
            <v>187.76</v>
          </cell>
          <cell r="X4657" t="str">
            <v>Commissions - gross</v>
          </cell>
          <cell r="Y4657" t="str">
            <v>CHILE</v>
          </cell>
        </row>
        <row r="4658">
          <cell r="L4658" t="str">
            <v>Proportional</v>
          </cell>
          <cell r="S4658">
            <v>76.790000000000006</v>
          </cell>
          <cell r="X4658" t="str">
            <v>Commissions - gross</v>
          </cell>
          <cell r="Y4658" t="str">
            <v>CHILE</v>
          </cell>
        </row>
        <row r="4659">
          <cell r="L4659" t="str">
            <v>Proportional</v>
          </cell>
          <cell r="S4659">
            <v>32917.519999999997</v>
          </cell>
          <cell r="X4659" t="str">
            <v>Commissions - gross</v>
          </cell>
          <cell r="Y4659" t="str">
            <v>UNITED STATES</v>
          </cell>
        </row>
        <row r="4660">
          <cell r="L4660" t="str">
            <v>Proportional</v>
          </cell>
          <cell r="S4660">
            <v>29363.25</v>
          </cell>
          <cell r="X4660" t="str">
            <v>Commissions - gross</v>
          </cell>
          <cell r="Y4660" t="str">
            <v>ITALY</v>
          </cell>
        </row>
        <row r="4661">
          <cell r="L4661" t="str">
            <v>Proportional</v>
          </cell>
          <cell r="S4661">
            <v>-232.8</v>
          </cell>
          <cell r="X4661" t="str">
            <v>Commissions - gross</v>
          </cell>
          <cell r="Y4661" t="str">
            <v>THAILAND</v>
          </cell>
        </row>
        <row r="4662">
          <cell r="L4662" t="str">
            <v>Proportional</v>
          </cell>
          <cell r="S4662">
            <v>26205.66</v>
          </cell>
          <cell r="X4662" t="str">
            <v>Commissions - gross</v>
          </cell>
          <cell r="Y4662" t="str">
            <v>JAPAN</v>
          </cell>
        </row>
        <row r="4663">
          <cell r="L4663" t="str">
            <v>Proportional</v>
          </cell>
          <cell r="S4663">
            <v>143029.75</v>
          </cell>
          <cell r="X4663" t="str">
            <v>Commissions - gross</v>
          </cell>
          <cell r="Y4663" t="str">
            <v>ITALY</v>
          </cell>
        </row>
        <row r="4664">
          <cell r="L4664" t="str">
            <v>Proportional</v>
          </cell>
          <cell r="S4664">
            <v>1127.6099999999999</v>
          </cell>
          <cell r="X4664" t="str">
            <v>Commissions - gross</v>
          </cell>
          <cell r="Y4664" t="str">
            <v>PORTUGAL</v>
          </cell>
        </row>
        <row r="4665">
          <cell r="L4665" t="str">
            <v>Proportional</v>
          </cell>
          <cell r="S4665">
            <v>1314.35</v>
          </cell>
          <cell r="X4665" t="str">
            <v>Commissions - gross</v>
          </cell>
          <cell r="Y4665" t="str">
            <v>CHILE</v>
          </cell>
        </row>
        <row r="4666">
          <cell r="L4666" t="str">
            <v>Proportional</v>
          </cell>
          <cell r="S4666">
            <v>8577.9</v>
          </cell>
          <cell r="X4666" t="str">
            <v>Commissions - gross</v>
          </cell>
          <cell r="Y4666" t="str">
            <v>FRANCE</v>
          </cell>
        </row>
        <row r="4667">
          <cell r="L4667" t="str">
            <v>Proportional</v>
          </cell>
          <cell r="S4667">
            <v>4928.95</v>
          </cell>
          <cell r="X4667" t="str">
            <v>Commissions - gross</v>
          </cell>
          <cell r="Y4667" t="str">
            <v>THAILAND</v>
          </cell>
        </row>
        <row r="4668">
          <cell r="L4668" t="str">
            <v>Proportional</v>
          </cell>
          <cell r="S4668">
            <v>22.1</v>
          </cell>
          <cell r="X4668" t="str">
            <v>Commissions - gross</v>
          </cell>
          <cell r="Y4668" t="str">
            <v>THAILAND</v>
          </cell>
        </row>
        <row r="4669">
          <cell r="L4669" t="str">
            <v>Proportional</v>
          </cell>
          <cell r="S4669">
            <v>-1729.01</v>
          </cell>
          <cell r="X4669" t="str">
            <v>Commissions - gross</v>
          </cell>
          <cell r="Y4669" t="str">
            <v>CHILE</v>
          </cell>
        </row>
        <row r="4670">
          <cell r="L4670" t="str">
            <v>Proportional</v>
          </cell>
          <cell r="S4670">
            <v>2661.63</v>
          </cell>
          <cell r="X4670" t="str">
            <v>Commissions - gross</v>
          </cell>
          <cell r="Y4670" t="str">
            <v>THAILAND</v>
          </cell>
        </row>
        <row r="4671">
          <cell r="L4671" t="str">
            <v>Proportional</v>
          </cell>
          <cell r="S4671">
            <v>4093.25</v>
          </cell>
          <cell r="X4671" t="str">
            <v>Commissions - gross</v>
          </cell>
          <cell r="Y4671" t="str">
            <v>CHILE</v>
          </cell>
        </row>
        <row r="4672">
          <cell r="L4672" t="str">
            <v>Proportional</v>
          </cell>
          <cell r="S4672">
            <v>418.88</v>
          </cell>
          <cell r="X4672" t="str">
            <v>Commissions - gross</v>
          </cell>
          <cell r="Y4672" t="str">
            <v>INDIA</v>
          </cell>
        </row>
        <row r="4673">
          <cell r="L4673" t="str">
            <v>Proportional</v>
          </cell>
          <cell r="S4673">
            <v>27965</v>
          </cell>
          <cell r="X4673" t="str">
            <v>Commissions - gross</v>
          </cell>
          <cell r="Y4673" t="str">
            <v>ITALY</v>
          </cell>
        </row>
        <row r="4674">
          <cell r="L4674" t="str">
            <v>Proportional</v>
          </cell>
          <cell r="S4674">
            <v>-473.36</v>
          </cell>
          <cell r="X4674" t="str">
            <v>Commissions - gross</v>
          </cell>
          <cell r="Y4674" t="str">
            <v>INDIA</v>
          </cell>
        </row>
        <row r="4675">
          <cell r="L4675" t="str">
            <v>Proportional</v>
          </cell>
          <cell r="S4675">
            <v>237089.54</v>
          </cell>
          <cell r="X4675" t="str">
            <v>Commissions - gross</v>
          </cell>
          <cell r="Y4675" t="str">
            <v>HONG KONG</v>
          </cell>
        </row>
        <row r="4676">
          <cell r="L4676" t="str">
            <v>Proportional</v>
          </cell>
          <cell r="S4676">
            <v>8586.2199999999993</v>
          </cell>
          <cell r="X4676" t="str">
            <v>Commissions - gross</v>
          </cell>
          <cell r="Y4676" t="str">
            <v>THAILAND</v>
          </cell>
        </row>
        <row r="4677">
          <cell r="L4677" t="str">
            <v>Non-proportional</v>
          </cell>
          <cell r="S4677">
            <v>651.54999999999995</v>
          </cell>
          <cell r="X4677" t="str">
            <v>Commissions - gross</v>
          </cell>
          <cell r="Y4677" t="str">
            <v>JAPAN</v>
          </cell>
        </row>
        <row r="4678">
          <cell r="L4678" t="str">
            <v>Non-proportional</v>
          </cell>
          <cell r="S4678">
            <v>-3275.53</v>
          </cell>
          <cell r="X4678" t="str">
            <v>Commissions - gross</v>
          </cell>
          <cell r="Y4678" t="str">
            <v>ISRAEL</v>
          </cell>
        </row>
        <row r="4679">
          <cell r="L4679" t="str">
            <v>Non-proportional</v>
          </cell>
          <cell r="S4679">
            <v>377.13</v>
          </cell>
          <cell r="X4679" t="str">
            <v>Commissions - gross</v>
          </cell>
          <cell r="Y4679" t="str">
            <v>JAPAN</v>
          </cell>
        </row>
        <row r="4680">
          <cell r="L4680" t="str">
            <v>Non-proportional</v>
          </cell>
          <cell r="S4680">
            <v>-57.2</v>
          </cell>
          <cell r="X4680" t="str">
            <v>Commissions - gross</v>
          </cell>
          <cell r="Y4680" t="str">
            <v>AUSTRALIA</v>
          </cell>
        </row>
        <row r="4681">
          <cell r="L4681" t="str">
            <v>Non-proportional</v>
          </cell>
          <cell r="S4681">
            <v>8.7200000000000006</v>
          </cell>
          <cell r="X4681" t="str">
            <v>Commissions - gross</v>
          </cell>
          <cell r="Y4681" t="str">
            <v>GUATEMALA</v>
          </cell>
        </row>
        <row r="4682">
          <cell r="L4682" t="str">
            <v>Non-proportional</v>
          </cell>
          <cell r="S4682">
            <v>-4467.5</v>
          </cell>
          <cell r="X4682" t="str">
            <v>Commissions - gross</v>
          </cell>
          <cell r="Y4682" t="str">
            <v>FRANCE</v>
          </cell>
        </row>
        <row r="4683">
          <cell r="L4683" t="str">
            <v>Non-proportional</v>
          </cell>
          <cell r="S4683">
            <v>2.17</v>
          </cell>
          <cell r="X4683" t="str">
            <v>Commissions - gross</v>
          </cell>
          <cell r="Y4683" t="str">
            <v>JAPAN</v>
          </cell>
        </row>
        <row r="4684">
          <cell r="L4684" t="str">
            <v>Non-proportional</v>
          </cell>
          <cell r="S4684">
            <v>-15866.45</v>
          </cell>
          <cell r="X4684" t="str">
            <v>Commissions - gross</v>
          </cell>
          <cell r="Y4684" t="str">
            <v>FRANCE</v>
          </cell>
        </row>
        <row r="4685">
          <cell r="L4685" t="str">
            <v>Non-proportional</v>
          </cell>
          <cell r="S4685">
            <v>529.54999999999995</v>
          </cell>
          <cell r="X4685" t="str">
            <v>Commissions - gross</v>
          </cell>
          <cell r="Y4685" t="str">
            <v>PERU</v>
          </cell>
        </row>
        <row r="4686">
          <cell r="L4686" t="str">
            <v>Non-proportional</v>
          </cell>
          <cell r="S4686">
            <v>5023.37</v>
          </cell>
          <cell r="X4686" t="str">
            <v>Commissions - gross</v>
          </cell>
          <cell r="Y4686" t="str">
            <v>UNITED KINGDOM</v>
          </cell>
        </row>
        <row r="4687">
          <cell r="L4687" t="str">
            <v>Non-proportional</v>
          </cell>
          <cell r="S4687">
            <v>-13887.6</v>
          </cell>
          <cell r="X4687" t="str">
            <v>Commissions - gross</v>
          </cell>
          <cell r="Y4687" t="str">
            <v>BELGIUM</v>
          </cell>
        </row>
        <row r="4688">
          <cell r="L4688" t="str">
            <v>Non-proportional</v>
          </cell>
          <cell r="S4688">
            <v>982.3</v>
          </cell>
          <cell r="X4688" t="str">
            <v>Commissions - gross</v>
          </cell>
          <cell r="Y4688" t="str">
            <v>CHILE</v>
          </cell>
        </row>
        <row r="4689">
          <cell r="L4689" t="str">
            <v>Non-proportional</v>
          </cell>
          <cell r="S4689">
            <v>0.01</v>
          </cell>
          <cell r="X4689" t="str">
            <v>Commissions - gross</v>
          </cell>
          <cell r="Y4689" t="str">
            <v>DOMINICAN REPUBLIC</v>
          </cell>
        </row>
        <row r="4690">
          <cell r="L4690" t="str">
            <v>Non-proportional</v>
          </cell>
          <cell r="S4690">
            <v>0</v>
          </cell>
          <cell r="X4690" t="str">
            <v>Commissions - gross</v>
          </cell>
          <cell r="Y4690" t="str">
            <v>DOMINICAN REPUBLIC</v>
          </cell>
        </row>
        <row r="4691">
          <cell r="L4691" t="str">
            <v>Non-proportional</v>
          </cell>
          <cell r="S4691">
            <v>-37.78</v>
          </cell>
          <cell r="X4691" t="str">
            <v>Commissions - gross</v>
          </cell>
          <cell r="Y4691" t="str">
            <v>CHILE</v>
          </cell>
        </row>
        <row r="4692">
          <cell r="L4692" t="str">
            <v>Non-proportional</v>
          </cell>
          <cell r="S4692">
            <v>-4504.5</v>
          </cell>
          <cell r="X4692" t="str">
            <v>Commissions - gross</v>
          </cell>
          <cell r="Y4692" t="str">
            <v>FRANCE</v>
          </cell>
        </row>
        <row r="4693">
          <cell r="L4693" t="str">
            <v>Non-proportional</v>
          </cell>
          <cell r="S4693">
            <v>1031.25</v>
          </cell>
          <cell r="X4693" t="str">
            <v>Commissions - gross</v>
          </cell>
          <cell r="Y4693" t="str">
            <v>ROMANIA</v>
          </cell>
        </row>
        <row r="4694">
          <cell r="L4694" t="str">
            <v>Non-proportional</v>
          </cell>
          <cell r="S4694">
            <v>-8.52</v>
          </cell>
          <cell r="X4694" t="str">
            <v>Commissions - gross</v>
          </cell>
          <cell r="Y4694" t="str">
            <v>COLOMBIA</v>
          </cell>
        </row>
        <row r="4695">
          <cell r="L4695" t="str">
            <v>Non-proportional</v>
          </cell>
          <cell r="S4695">
            <v>5421.41</v>
          </cell>
          <cell r="X4695" t="str">
            <v>Commissions - gross</v>
          </cell>
          <cell r="Y4695" t="str">
            <v>UNITED KINGDOM</v>
          </cell>
        </row>
        <row r="4696">
          <cell r="L4696" t="str">
            <v>Non-proportional</v>
          </cell>
          <cell r="S4696">
            <v>354.64</v>
          </cell>
          <cell r="X4696" t="str">
            <v>Commissions - gross</v>
          </cell>
          <cell r="Y4696" t="str">
            <v>SOUTH AFRICA</v>
          </cell>
        </row>
        <row r="4697">
          <cell r="L4697" t="str">
            <v>Non-proportional</v>
          </cell>
          <cell r="S4697">
            <v>405.67</v>
          </cell>
          <cell r="X4697" t="str">
            <v>Commissions - gross</v>
          </cell>
          <cell r="Y4697" t="str">
            <v>ECUADOR</v>
          </cell>
        </row>
        <row r="4698">
          <cell r="L4698" t="str">
            <v>Non-proportional</v>
          </cell>
          <cell r="S4698">
            <v>302.25</v>
          </cell>
          <cell r="X4698" t="str">
            <v>Commissions - gross</v>
          </cell>
          <cell r="Y4698" t="str">
            <v>CHILE</v>
          </cell>
        </row>
        <row r="4699">
          <cell r="L4699" t="str">
            <v>Non-proportional</v>
          </cell>
          <cell r="S4699">
            <v>1614.66</v>
          </cell>
          <cell r="X4699" t="str">
            <v>Commissions - gross</v>
          </cell>
          <cell r="Y4699" t="str">
            <v>UNITED KINGDOM</v>
          </cell>
        </row>
        <row r="4700">
          <cell r="L4700" t="str">
            <v>Non-proportional</v>
          </cell>
          <cell r="S4700">
            <v>-10176.379999999999</v>
          </cell>
          <cell r="X4700" t="str">
            <v>Commissions - gross</v>
          </cell>
          <cell r="Y4700" t="str">
            <v>ITALY</v>
          </cell>
        </row>
        <row r="4701">
          <cell r="L4701" t="str">
            <v>Non-proportional</v>
          </cell>
          <cell r="S4701">
            <v>-47607.8</v>
          </cell>
          <cell r="X4701" t="str">
            <v>Commissions - gross</v>
          </cell>
          <cell r="Y4701" t="str">
            <v>UNITED STATES</v>
          </cell>
        </row>
        <row r="4702">
          <cell r="L4702" t="str">
            <v>Non-proportional</v>
          </cell>
          <cell r="S4702">
            <v>-8613.9599999999991</v>
          </cell>
          <cell r="X4702" t="str">
            <v>Commissions - gross</v>
          </cell>
          <cell r="Y4702" t="str">
            <v>UNITED KINGDOM</v>
          </cell>
        </row>
        <row r="4703">
          <cell r="L4703" t="str">
            <v>Non-proportional</v>
          </cell>
          <cell r="S4703">
            <v>1438.86</v>
          </cell>
          <cell r="X4703" t="str">
            <v>Commissions - gross</v>
          </cell>
          <cell r="Y4703" t="str">
            <v>MEXICO</v>
          </cell>
        </row>
        <row r="4704">
          <cell r="L4704" t="str">
            <v>Non-proportional</v>
          </cell>
          <cell r="S4704">
            <v>4773.82</v>
          </cell>
          <cell r="X4704" t="str">
            <v>Commissions - gross</v>
          </cell>
          <cell r="Y4704" t="str">
            <v>UNITED KINGDOM</v>
          </cell>
        </row>
        <row r="4705">
          <cell r="L4705" t="str">
            <v>Non-proportional</v>
          </cell>
          <cell r="S4705">
            <v>-8822.52</v>
          </cell>
          <cell r="X4705" t="str">
            <v>Commissions - gross</v>
          </cell>
          <cell r="Y4705" t="str">
            <v>TURKEY</v>
          </cell>
        </row>
        <row r="4706">
          <cell r="L4706" t="str">
            <v>Non-proportional</v>
          </cell>
          <cell r="S4706">
            <v>218</v>
          </cell>
          <cell r="X4706" t="str">
            <v>Commissions - gross</v>
          </cell>
          <cell r="Y4706" t="str">
            <v>UNITED KINGDOM</v>
          </cell>
        </row>
        <row r="4707">
          <cell r="L4707" t="str">
            <v>Non-proportional</v>
          </cell>
          <cell r="S4707">
            <v>-120405.79</v>
          </cell>
          <cell r="X4707" t="str">
            <v>Commissions - gross</v>
          </cell>
          <cell r="Y4707" t="str">
            <v>FRANCE</v>
          </cell>
        </row>
        <row r="4708">
          <cell r="L4708" t="str">
            <v>Non-proportional</v>
          </cell>
          <cell r="S4708">
            <v>442.87</v>
          </cell>
          <cell r="X4708" t="str">
            <v>Commissions - gross</v>
          </cell>
          <cell r="Y4708" t="str">
            <v>ECUADOR</v>
          </cell>
        </row>
        <row r="4709">
          <cell r="L4709" t="str">
            <v>Non-proportional</v>
          </cell>
          <cell r="S4709">
            <v>-4656.67</v>
          </cell>
          <cell r="X4709" t="str">
            <v>Commissions - gross</v>
          </cell>
          <cell r="Y4709" t="str">
            <v>FRANCE</v>
          </cell>
        </row>
        <row r="4710">
          <cell r="L4710" t="str">
            <v>Non-proportional</v>
          </cell>
          <cell r="S4710">
            <v>-33380.589999999997</v>
          </cell>
          <cell r="X4710" t="str">
            <v>Commissions - gross</v>
          </cell>
          <cell r="Y4710" t="str">
            <v>FRANCE</v>
          </cell>
        </row>
        <row r="4711">
          <cell r="L4711" t="str">
            <v>Non-proportional</v>
          </cell>
          <cell r="S4711">
            <v>74.67</v>
          </cell>
          <cell r="X4711" t="str">
            <v>Commissions - gross</v>
          </cell>
          <cell r="Y4711" t="str">
            <v>JAPAN</v>
          </cell>
        </row>
        <row r="4712">
          <cell r="L4712" t="str">
            <v>Non-proportional</v>
          </cell>
          <cell r="S4712">
            <v>-39143.050000000003</v>
          </cell>
          <cell r="X4712" t="str">
            <v>Commissions - gross</v>
          </cell>
          <cell r="Y4712" t="str">
            <v>HONG KONG</v>
          </cell>
        </row>
        <row r="4713">
          <cell r="L4713" t="str">
            <v>Non-proportional</v>
          </cell>
          <cell r="S4713">
            <v>-5.45</v>
          </cell>
          <cell r="X4713" t="str">
            <v>Commissions - gross</v>
          </cell>
          <cell r="Y4713" t="str">
            <v>DOMINICAN REPUBLIC</v>
          </cell>
        </row>
        <row r="4714">
          <cell r="L4714" t="str">
            <v>Non-proportional</v>
          </cell>
          <cell r="S4714">
            <v>-11.28</v>
          </cell>
          <cell r="X4714" t="str">
            <v>Commissions - gross</v>
          </cell>
          <cell r="Y4714" t="str">
            <v>DOMINICAN REPUBLIC</v>
          </cell>
        </row>
        <row r="4715">
          <cell r="L4715" t="str">
            <v>Non-proportional</v>
          </cell>
          <cell r="S4715">
            <v>1636.75</v>
          </cell>
          <cell r="X4715" t="str">
            <v>Commissions - gross</v>
          </cell>
          <cell r="Y4715" t="str">
            <v>AUSTRALIA</v>
          </cell>
        </row>
        <row r="4716">
          <cell r="L4716" t="str">
            <v>Proportional</v>
          </cell>
          <cell r="S4716">
            <v>-6148.4</v>
          </cell>
          <cell r="X4716" t="str">
            <v>Commissions - gross</v>
          </cell>
          <cell r="Y4716" t="str">
            <v>FRANCE</v>
          </cell>
        </row>
        <row r="4717">
          <cell r="L4717" t="str">
            <v>Non-proportional</v>
          </cell>
          <cell r="S4717">
            <v>-3405.84</v>
          </cell>
          <cell r="X4717" t="str">
            <v>Commissions - gross</v>
          </cell>
          <cell r="Y4717" t="str">
            <v>FRANCE</v>
          </cell>
        </row>
        <row r="4718">
          <cell r="L4718" t="str">
            <v>Non-proportional</v>
          </cell>
          <cell r="S4718">
            <v>-1557.53</v>
          </cell>
          <cell r="X4718" t="str">
            <v>Commissions - gross</v>
          </cell>
          <cell r="Y4718" t="str">
            <v>FRANCE</v>
          </cell>
        </row>
        <row r="4719">
          <cell r="L4719" t="str">
            <v>Non-proportional</v>
          </cell>
          <cell r="S4719">
            <v>11.99</v>
          </cell>
          <cell r="X4719" t="str">
            <v>Commissions - gross</v>
          </cell>
          <cell r="Y4719" t="str">
            <v>GUATEMALA</v>
          </cell>
        </row>
        <row r="4720">
          <cell r="L4720" t="str">
            <v>Non-proportional</v>
          </cell>
          <cell r="S4720">
            <v>10.07</v>
          </cell>
          <cell r="X4720" t="str">
            <v>Commissions - gross</v>
          </cell>
          <cell r="Y4720" t="str">
            <v>JAPAN</v>
          </cell>
        </row>
        <row r="4721">
          <cell r="L4721" t="str">
            <v>Non-proportional</v>
          </cell>
          <cell r="S4721">
            <v>117.51</v>
          </cell>
          <cell r="X4721" t="str">
            <v>Commissions - gross</v>
          </cell>
          <cell r="Y4721" t="str">
            <v>MEXICO</v>
          </cell>
        </row>
        <row r="4722">
          <cell r="L4722" t="str">
            <v>Non-proportional</v>
          </cell>
          <cell r="S4722">
            <v>121.69</v>
          </cell>
          <cell r="X4722" t="str">
            <v>Commissions - gross</v>
          </cell>
          <cell r="Y4722" t="str">
            <v>JAPAN</v>
          </cell>
        </row>
        <row r="4723">
          <cell r="L4723" t="str">
            <v>Non-proportional</v>
          </cell>
          <cell r="S4723">
            <v>0</v>
          </cell>
          <cell r="X4723" t="str">
            <v>Commissions - gross</v>
          </cell>
          <cell r="Y4723" t="str">
            <v>DOMINICAN REPUBLIC</v>
          </cell>
        </row>
        <row r="4724">
          <cell r="L4724" t="str">
            <v>Non-proportional</v>
          </cell>
          <cell r="S4724">
            <v>-10106.25</v>
          </cell>
          <cell r="X4724" t="str">
            <v>Commissions - gross</v>
          </cell>
          <cell r="Y4724" t="str">
            <v>TURKEY</v>
          </cell>
        </row>
        <row r="4725">
          <cell r="L4725" t="str">
            <v>Non-proportional</v>
          </cell>
          <cell r="S4725">
            <v>0</v>
          </cell>
          <cell r="X4725" t="str">
            <v>Commissions - gross</v>
          </cell>
          <cell r="Y4725" t="str">
            <v>COLOMBIA</v>
          </cell>
        </row>
        <row r="4726">
          <cell r="L4726" t="str">
            <v>Non-proportional</v>
          </cell>
          <cell r="S4726">
            <v>502.17</v>
          </cell>
          <cell r="X4726" t="str">
            <v>Commissions - gross</v>
          </cell>
          <cell r="Y4726" t="str">
            <v>UNITED KINGDOM</v>
          </cell>
        </row>
        <row r="4727">
          <cell r="L4727" t="str">
            <v>Non-proportional</v>
          </cell>
          <cell r="S4727">
            <v>2699.63</v>
          </cell>
          <cell r="X4727" t="str">
            <v>Commissions - gross</v>
          </cell>
          <cell r="Y4727" t="str">
            <v>UNITED KINGDOM</v>
          </cell>
        </row>
        <row r="4728">
          <cell r="L4728" t="str">
            <v>Non-proportional</v>
          </cell>
          <cell r="S4728">
            <v>142.38</v>
          </cell>
          <cell r="X4728" t="str">
            <v>Commissions - gross</v>
          </cell>
          <cell r="Y4728" t="str">
            <v>DOMINICAN REPUBLIC</v>
          </cell>
        </row>
        <row r="4729">
          <cell r="L4729" t="str">
            <v>Non-proportional</v>
          </cell>
          <cell r="S4729">
            <v>-2209.81</v>
          </cell>
          <cell r="X4729" t="str">
            <v>Commissions - gross</v>
          </cell>
          <cell r="Y4729" t="str">
            <v>ISRAEL</v>
          </cell>
        </row>
        <row r="4730">
          <cell r="L4730" t="str">
            <v>Non-proportional</v>
          </cell>
          <cell r="S4730">
            <v>-16987.52</v>
          </cell>
          <cell r="X4730" t="str">
            <v>Commissions - gross</v>
          </cell>
          <cell r="Y4730" t="str">
            <v>ISRAEL</v>
          </cell>
        </row>
        <row r="4731">
          <cell r="L4731" t="str">
            <v>Non-proportional</v>
          </cell>
          <cell r="S4731">
            <v>-1924.7</v>
          </cell>
          <cell r="X4731" t="str">
            <v>Commissions - gross</v>
          </cell>
          <cell r="Y4731" t="str">
            <v>NETHERLANDS</v>
          </cell>
        </row>
        <row r="4732">
          <cell r="L4732" t="str">
            <v>Non-proportional</v>
          </cell>
          <cell r="S4732">
            <v>1766.46</v>
          </cell>
          <cell r="X4732" t="str">
            <v>Commissions - gross</v>
          </cell>
          <cell r="Y4732" t="str">
            <v>AUSTRALIA</v>
          </cell>
        </row>
        <row r="4733">
          <cell r="L4733" t="str">
            <v>Non-proportional</v>
          </cell>
          <cell r="S4733">
            <v>46.05</v>
          </cell>
          <cell r="X4733" t="str">
            <v>Commissions - gross</v>
          </cell>
          <cell r="Y4733" t="str">
            <v>UNITED KINGDOM</v>
          </cell>
        </row>
        <row r="4734">
          <cell r="L4734" t="str">
            <v>Non-proportional</v>
          </cell>
          <cell r="S4734">
            <v>418.71</v>
          </cell>
          <cell r="X4734" t="str">
            <v>Commissions - gross</v>
          </cell>
          <cell r="Y4734" t="str">
            <v>AUSTRALIA</v>
          </cell>
        </row>
        <row r="4735">
          <cell r="L4735" t="str">
            <v>Non-proportional</v>
          </cell>
          <cell r="S4735">
            <v>1322.33</v>
          </cell>
          <cell r="X4735" t="str">
            <v>Commissions - gross</v>
          </cell>
          <cell r="Y4735" t="str">
            <v>CHILE</v>
          </cell>
        </row>
        <row r="4736">
          <cell r="L4736" t="str">
            <v>Non-proportional</v>
          </cell>
          <cell r="S4736">
            <v>151.21</v>
          </cell>
          <cell r="X4736" t="str">
            <v>Commissions - gross</v>
          </cell>
          <cell r="Y4736" t="str">
            <v>UNITED KINGDOM</v>
          </cell>
        </row>
        <row r="4737">
          <cell r="L4737" t="str">
            <v>Non-proportional</v>
          </cell>
          <cell r="S4737">
            <v>0</v>
          </cell>
          <cell r="X4737" t="str">
            <v>Commissions - gross</v>
          </cell>
          <cell r="Y4737" t="str">
            <v>DOMINICAN REPUBLIC</v>
          </cell>
        </row>
        <row r="4738">
          <cell r="L4738" t="str">
            <v>Non-proportional</v>
          </cell>
          <cell r="S4738">
            <v>-8241.52</v>
          </cell>
          <cell r="X4738" t="str">
            <v>Commissions - gross</v>
          </cell>
          <cell r="Y4738" t="str">
            <v>FRANCE</v>
          </cell>
        </row>
        <row r="4739">
          <cell r="L4739" t="str">
            <v>Non-proportional</v>
          </cell>
          <cell r="S4739">
            <v>-22343.919999999998</v>
          </cell>
          <cell r="X4739" t="str">
            <v>Commissions - gross</v>
          </cell>
          <cell r="Y4739" t="str">
            <v>CHINA</v>
          </cell>
        </row>
        <row r="4740">
          <cell r="L4740" t="str">
            <v>Non-proportional</v>
          </cell>
          <cell r="S4740">
            <v>-4906.9799999999996</v>
          </cell>
          <cell r="X4740" t="str">
            <v>Commissions - gross</v>
          </cell>
          <cell r="Y4740" t="str">
            <v>THAILAND</v>
          </cell>
        </row>
        <row r="4741">
          <cell r="L4741" t="str">
            <v>Non-proportional</v>
          </cell>
          <cell r="S4741">
            <v>-3485.4</v>
          </cell>
          <cell r="X4741" t="str">
            <v>Commissions - gross</v>
          </cell>
          <cell r="Y4741" t="str">
            <v>THAILAND</v>
          </cell>
        </row>
        <row r="4742">
          <cell r="L4742" t="str">
            <v>Proportional</v>
          </cell>
          <cell r="S4742">
            <v>-15.83</v>
          </cell>
          <cell r="X4742" t="str">
            <v>Commissions - gross</v>
          </cell>
          <cell r="Y4742" t="str">
            <v>UNITED STATES</v>
          </cell>
        </row>
        <row r="4743">
          <cell r="L4743" t="str">
            <v>Non-proportional</v>
          </cell>
          <cell r="S4743">
            <v>255.76</v>
          </cell>
          <cell r="X4743" t="str">
            <v>Commissions - gross</v>
          </cell>
          <cell r="Y4743" t="str">
            <v>JAPAN</v>
          </cell>
        </row>
        <row r="4744">
          <cell r="L4744" t="str">
            <v>Non-proportional</v>
          </cell>
          <cell r="S4744">
            <v>-10984.45</v>
          </cell>
          <cell r="X4744" t="str">
            <v>Commissions - gross</v>
          </cell>
          <cell r="Y4744" t="str">
            <v>FRANCE</v>
          </cell>
        </row>
        <row r="4745">
          <cell r="L4745" t="str">
            <v>Non-proportional</v>
          </cell>
          <cell r="S4745">
            <v>15848.62</v>
          </cell>
          <cell r="X4745" t="str">
            <v>Commissions - gross</v>
          </cell>
          <cell r="Y4745" t="str">
            <v>UNITED KINGDOM</v>
          </cell>
        </row>
        <row r="4746">
          <cell r="L4746" t="str">
            <v>Non-proportional</v>
          </cell>
          <cell r="S4746">
            <v>-2696.29</v>
          </cell>
          <cell r="X4746" t="str">
            <v>Commissions - gross</v>
          </cell>
          <cell r="Y4746" t="str">
            <v>FRANCE</v>
          </cell>
        </row>
        <row r="4747">
          <cell r="L4747" t="str">
            <v>Non-proportional</v>
          </cell>
          <cell r="S4747">
            <v>708.59</v>
          </cell>
          <cell r="X4747" t="str">
            <v>Commissions - gross</v>
          </cell>
          <cell r="Y4747" t="str">
            <v>INDIA</v>
          </cell>
        </row>
        <row r="4748">
          <cell r="L4748" t="str">
            <v>Non-proportional</v>
          </cell>
          <cell r="S4748">
            <v>628.91999999999996</v>
          </cell>
          <cell r="X4748" t="str">
            <v>Commissions - gross</v>
          </cell>
          <cell r="Y4748" t="str">
            <v>COLOMBIA</v>
          </cell>
        </row>
        <row r="4749">
          <cell r="L4749" t="str">
            <v>Non-proportional</v>
          </cell>
          <cell r="S4749">
            <v>791.37</v>
          </cell>
          <cell r="X4749" t="str">
            <v>Commissions - gross</v>
          </cell>
          <cell r="Y4749" t="str">
            <v>PUERTO RICO</v>
          </cell>
        </row>
        <row r="4750">
          <cell r="L4750" t="str">
            <v>Non-proportional</v>
          </cell>
          <cell r="S4750">
            <v>5741</v>
          </cell>
          <cell r="X4750" t="str">
            <v>Commissions - gross</v>
          </cell>
          <cell r="Y4750" t="str">
            <v>UNITED KINGDOM</v>
          </cell>
        </row>
        <row r="4751">
          <cell r="L4751" t="str">
            <v>Non-proportional</v>
          </cell>
          <cell r="S4751">
            <v>-5133.1499999999996</v>
          </cell>
          <cell r="X4751" t="str">
            <v>Commissions - gross</v>
          </cell>
          <cell r="Y4751" t="str">
            <v>TURKEY</v>
          </cell>
        </row>
        <row r="4752">
          <cell r="L4752" t="str">
            <v>Non-proportional</v>
          </cell>
          <cell r="S4752">
            <v>-4290.88</v>
          </cell>
          <cell r="X4752" t="str">
            <v>Commissions - gross</v>
          </cell>
          <cell r="Y4752" t="str">
            <v>EUROPE</v>
          </cell>
        </row>
        <row r="4753">
          <cell r="L4753" t="str">
            <v>Non-proportional</v>
          </cell>
          <cell r="S4753">
            <v>-4996.12</v>
          </cell>
          <cell r="X4753" t="str">
            <v>Commissions - gross</v>
          </cell>
          <cell r="Y4753" t="str">
            <v>TURKEY</v>
          </cell>
        </row>
        <row r="4754">
          <cell r="L4754" t="str">
            <v>Non-proportional</v>
          </cell>
          <cell r="S4754">
            <v>1794.53</v>
          </cell>
          <cell r="X4754" t="str">
            <v>Commissions - gross</v>
          </cell>
          <cell r="Y4754" t="str">
            <v>AUSTRALIA</v>
          </cell>
        </row>
        <row r="4755">
          <cell r="L4755" t="str">
            <v>Non-proportional</v>
          </cell>
          <cell r="S4755">
            <v>445.37</v>
          </cell>
          <cell r="X4755" t="str">
            <v>Commissions - gross</v>
          </cell>
          <cell r="Y4755" t="str">
            <v>UNITED KINGDOM</v>
          </cell>
        </row>
        <row r="4756">
          <cell r="L4756" t="str">
            <v>Non-proportional</v>
          </cell>
          <cell r="S4756">
            <v>62.44</v>
          </cell>
          <cell r="X4756" t="str">
            <v>Commissions - gross</v>
          </cell>
          <cell r="Y4756" t="str">
            <v>JAPAN</v>
          </cell>
        </row>
        <row r="4757">
          <cell r="L4757" t="str">
            <v>Non-proportional</v>
          </cell>
          <cell r="S4757">
            <v>-4296.7700000000004</v>
          </cell>
          <cell r="X4757" t="str">
            <v>Commissions - gross</v>
          </cell>
          <cell r="Y4757" t="str">
            <v>EUROPE</v>
          </cell>
        </row>
        <row r="4758">
          <cell r="L4758" t="str">
            <v>Non-proportional</v>
          </cell>
          <cell r="S4758">
            <v>-14.97</v>
          </cell>
          <cell r="X4758" t="str">
            <v>Commissions - gross</v>
          </cell>
          <cell r="Y4758" t="str">
            <v>JAPAN</v>
          </cell>
        </row>
        <row r="4759">
          <cell r="L4759" t="str">
            <v>Non-proportional</v>
          </cell>
          <cell r="S4759">
            <v>1260.79</v>
          </cell>
          <cell r="X4759" t="str">
            <v>Commissions - gross</v>
          </cell>
          <cell r="Y4759" t="str">
            <v>UNITED KINGDOM</v>
          </cell>
        </row>
        <row r="4760">
          <cell r="L4760" t="str">
            <v>Non-proportional</v>
          </cell>
          <cell r="S4760">
            <v>6934.36</v>
          </cell>
          <cell r="X4760" t="str">
            <v>Commissions - gross</v>
          </cell>
          <cell r="Y4760" t="str">
            <v>UNITED KINGDOM</v>
          </cell>
        </row>
        <row r="4761">
          <cell r="L4761" t="str">
            <v>Non-proportional</v>
          </cell>
          <cell r="S4761">
            <v>396.05</v>
          </cell>
          <cell r="X4761" t="str">
            <v>Commissions - gross</v>
          </cell>
          <cell r="Y4761" t="str">
            <v>DOMINICAN REPUBLIC</v>
          </cell>
        </row>
        <row r="4762">
          <cell r="L4762" t="str">
            <v>Non-proportional</v>
          </cell>
          <cell r="S4762">
            <v>0</v>
          </cell>
          <cell r="X4762" t="str">
            <v>Commissions - gross</v>
          </cell>
          <cell r="Y4762" t="str">
            <v>DOMINICAN REPUBLIC</v>
          </cell>
        </row>
        <row r="4763">
          <cell r="L4763" t="str">
            <v>Non-proportional</v>
          </cell>
          <cell r="S4763">
            <v>-9728.26</v>
          </cell>
          <cell r="X4763" t="str">
            <v>Commissions - gross</v>
          </cell>
          <cell r="Y4763" t="str">
            <v>TURKEY</v>
          </cell>
        </row>
        <row r="4764">
          <cell r="L4764" t="str">
            <v>Non-proportional</v>
          </cell>
          <cell r="S4764">
            <v>2.65</v>
          </cell>
          <cell r="X4764" t="str">
            <v>Commissions - gross</v>
          </cell>
          <cell r="Y4764" t="str">
            <v>JAPAN</v>
          </cell>
        </row>
        <row r="4765">
          <cell r="L4765" t="str">
            <v>Non-proportional</v>
          </cell>
          <cell r="S4765">
            <v>659.04</v>
          </cell>
          <cell r="X4765" t="str">
            <v>Commissions - gross</v>
          </cell>
          <cell r="Y4765" t="str">
            <v>UNITED KINGDOM</v>
          </cell>
        </row>
        <row r="4766">
          <cell r="L4766" t="str">
            <v>Non-proportional</v>
          </cell>
          <cell r="S4766">
            <v>1214.17</v>
          </cell>
          <cell r="X4766" t="str">
            <v>Commissions - gross</v>
          </cell>
          <cell r="Y4766" t="str">
            <v>MEXICO</v>
          </cell>
        </row>
        <row r="4767">
          <cell r="L4767" t="str">
            <v>Non-proportional</v>
          </cell>
          <cell r="S4767">
            <v>-2.97</v>
          </cell>
          <cell r="X4767" t="str">
            <v>Commissions - gross</v>
          </cell>
          <cell r="Y4767" t="str">
            <v>COLOMBIA</v>
          </cell>
        </row>
        <row r="4768">
          <cell r="L4768" t="str">
            <v>Non-proportional</v>
          </cell>
          <cell r="S4768">
            <v>7.33</v>
          </cell>
          <cell r="X4768" t="str">
            <v>Commissions - gross</v>
          </cell>
          <cell r="Y4768" t="str">
            <v>JAPAN</v>
          </cell>
        </row>
        <row r="4769">
          <cell r="L4769" t="str">
            <v>Non-proportional</v>
          </cell>
          <cell r="S4769">
            <v>-45.71</v>
          </cell>
          <cell r="X4769" t="str">
            <v>Commissions - gross</v>
          </cell>
          <cell r="Y4769" t="str">
            <v>JAPAN</v>
          </cell>
        </row>
        <row r="4770">
          <cell r="L4770" t="str">
            <v>Non-proportional</v>
          </cell>
          <cell r="S4770">
            <v>4666.99</v>
          </cell>
          <cell r="X4770" t="str">
            <v>Commissions - gross</v>
          </cell>
          <cell r="Y4770" t="str">
            <v>UNITED KINGDOM</v>
          </cell>
        </row>
        <row r="4771">
          <cell r="L4771" t="str">
            <v>Non-proportional</v>
          </cell>
          <cell r="S4771">
            <v>14439.43</v>
          </cell>
          <cell r="X4771" t="str">
            <v>Commissions - gross</v>
          </cell>
          <cell r="Y4771" t="str">
            <v>UNITED KINGDOM</v>
          </cell>
        </row>
        <row r="4772">
          <cell r="L4772" t="str">
            <v>Non-proportional</v>
          </cell>
          <cell r="S4772">
            <v>-459.43</v>
          </cell>
          <cell r="X4772" t="str">
            <v>Commissions - gross</v>
          </cell>
          <cell r="Y4772" t="str">
            <v>NETHERLANDS</v>
          </cell>
        </row>
        <row r="4773">
          <cell r="L4773" t="str">
            <v>Non-proportional</v>
          </cell>
          <cell r="S4773">
            <v>-4791.8</v>
          </cell>
          <cell r="X4773" t="str">
            <v>Commissions - gross</v>
          </cell>
          <cell r="Y4773" t="str">
            <v>UNITED KINGDOM</v>
          </cell>
        </row>
        <row r="4774">
          <cell r="L4774" t="str">
            <v>Non-proportional</v>
          </cell>
          <cell r="S4774">
            <v>-10350.27</v>
          </cell>
          <cell r="X4774" t="str">
            <v>Commissions - gross</v>
          </cell>
          <cell r="Y4774" t="str">
            <v>ISRAEL</v>
          </cell>
        </row>
        <row r="4775">
          <cell r="L4775" t="str">
            <v>Non-proportional</v>
          </cell>
          <cell r="S4775">
            <v>-1774504.5</v>
          </cell>
          <cell r="X4775" t="str">
            <v>Commissions - gross</v>
          </cell>
          <cell r="Y4775" t="str">
            <v>UNITED KINGDOM</v>
          </cell>
        </row>
        <row r="4776">
          <cell r="L4776" t="str">
            <v>Non-proportional</v>
          </cell>
          <cell r="S4776">
            <v>-9384.3799999999992</v>
          </cell>
          <cell r="X4776" t="str">
            <v>Commissions - gross</v>
          </cell>
          <cell r="Y4776" t="str">
            <v>TURKEY</v>
          </cell>
        </row>
        <row r="4777">
          <cell r="L4777" t="str">
            <v>Non-proportional</v>
          </cell>
          <cell r="S4777">
            <v>977.98</v>
          </cell>
          <cell r="X4777" t="str">
            <v>Commissions - gross</v>
          </cell>
          <cell r="Y4777" t="str">
            <v>UNITED KINGDOM</v>
          </cell>
        </row>
        <row r="4778">
          <cell r="L4778" t="str">
            <v>Non-proportional</v>
          </cell>
          <cell r="S4778">
            <v>25911.24</v>
          </cell>
          <cell r="X4778" t="str">
            <v>Commissions - gross</v>
          </cell>
          <cell r="Y4778" t="str">
            <v>UNITED KINGDOM</v>
          </cell>
        </row>
        <row r="4779">
          <cell r="L4779" t="str">
            <v>Non-proportional</v>
          </cell>
          <cell r="S4779">
            <v>-73.34</v>
          </cell>
          <cell r="X4779" t="str">
            <v>Commissions - gross</v>
          </cell>
          <cell r="Y4779" t="str">
            <v>ISRAEL</v>
          </cell>
        </row>
        <row r="4780">
          <cell r="L4780" t="str">
            <v>Non-proportional</v>
          </cell>
          <cell r="S4780">
            <v>-13931.11</v>
          </cell>
          <cell r="X4780" t="str">
            <v>Commissions - gross</v>
          </cell>
          <cell r="Y4780" t="str">
            <v>FRANCE</v>
          </cell>
        </row>
        <row r="4781">
          <cell r="L4781" t="str">
            <v>Non-proportional</v>
          </cell>
          <cell r="S4781">
            <v>363.55</v>
          </cell>
          <cell r="X4781" t="str">
            <v>Commissions - gross</v>
          </cell>
          <cell r="Y4781" t="str">
            <v>BRAZIL</v>
          </cell>
        </row>
        <row r="4782">
          <cell r="L4782" t="str">
            <v>Non-proportional</v>
          </cell>
          <cell r="S4782">
            <v>-15175.69</v>
          </cell>
          <cell r="X4782" t="str">
            <v>Commissions - gross</v>
          </cell>
          <cell r="Y4782" t="str">
            <v>PERU</v>
          </cell>
        </row>
        <row r="4783">
          <cell r="L4783" t="str">
            <v>Non-proportional</v>
          </cell>
          <cell r="S4783">
            <v>-1702.92</v>
          </cell>
          <cell r="X4783" t="str">
            <v>Commissions - gross</v>
          </cell>
          <cell r="Y4783" t="str">
            <v>FRANCE</v>
          </cell>
        </row>
        <row r="4784">
          <cell r="L4784" t="str">
            <v>Non-proportional</v>
          </cell>
          <cell r="S4784">
            <v>-3439.53</v>
          </cell>
          <cell r="X4784" t="str">
            <v>Commissions - gross</v>
          </cell>
          <cell r="Y4784" t="str">
            <v>FRANCE</v>
          </cell>
        </row>
        <row r="4785">
          <cell r="L4785" t="str">
            <v>Non-proportional</v>
          </cell>
          <cell r="S4785">
            <v>-8943.26</v>
          </cell>
          <cell r="X4785" t="str">
            <v>Commissions - gross</v>
          </cell>
          <cell r="Y4785" t="str">
            <v>UNITED KINGDOM</v>
          </cell>
        </row>
        <row r="4786">
          <cell r="L4786" t="str">
            <v>Non-proportional</v>
          </cell>
          <cell r="S4786">
            <v>-6814.36</v>
          </cell>
          <cell r="X4786" t="str">
            <v>Commissions - gross</v>
          </cell>
          <cell r="Y4786" t="str">
            <v>SINGAPORE</v>
          </cell>
        </row>
        <row r="4787">
          <cell r="L4787" t="str">
            <v>Non-proportional</v>
          </cell>
          <cell r="S4787">
            <v>-2353</v>
          </cell>
          <cell r="X4787" t="str">
            <v>Commissions - gross</v>
          </cell>
          <cell r="Y4787" t="str">
            <v>PERU</v>
          </cell>
        </row>
        <row r="4788">
          <cell r="L4788" t="str">
            <v>Non-proportional</v>
          </cell>
          <cell r="S4788">
            <v>-1593.5</v>
          </cell>
          <cell r="X4788" t="str">
            <v>Commissions - gross</v>
          </cell>
          <cell r="Y4788" t="str">
            <v>UNITED ARAB EMIRATES</v>
          </cell>
        </row>
        <row r="4789">
          <cell r="L4789" t="str">
            <v>Non-proportional</v>
          </cell>
          <cell r="S4789">
            <v>-2406.25</v>
          </cell>
          <cell r="X4789" t="str">
            <v>Commissions - gross</v>
          </cell>
          <cell r="Y4789" t="str">
            <v>GERMANY</v>
          </cell>
        </row>
        <row r="4790">
          <cell r="L4790" t="str">
            <v>Non-proportional</v>
          </cell>
          <cell r="S4790">
            <v>-3299.72</v>
          </cell>
          <cell r="X4790" t="str">
            <v>Commissions - gross</v>
          </cell>
          <cell r="Y4790" t="str">
            <v>NETHERLANDS</v>
          </cell>
        </row>
        <row r="4791">
          <cell r="L4791" t="str">
            <v>Non-proportional</v>
          </cell>
          <cell r="S4791">
            <v>189.44</v>
          </cell>
          <cell r="X4791" t="str">
            <v>Commissions - gross</v>
          </cell>
          <cell r="Y4791" t="str">
            <v>ECUADOR</v>
          </cell>
        </row>
        <row r="4792">
          <cell r="L4792" t="str">
            <v>Non-proportional</v>
          </cell>
          <cell r="S4792">
            <v>136.08000000000001</v>
          </cell>
          <cell r="X4792" t="str">
            <v>Commissions - gross</v>
          </cell>
          <cell r="Y4792" t="str">
            <v>COLOMBIA</v>
          </cell>
        </row>
        <row r="4793">
          <cell r="L4793" t="str">
            <v>Non-proportional</v>
          </cell>
          <cell r="S4793">
            <v>-6016.21</v>
          </cell>
          <cell r="X4793" t="str">
            <v>Commissions - gross</v>
          </cell>
          <cell r="Y4793" t="str">
            <v>ISRAEL</v>
          </cell>
        </row>
        <row r="4794">
          <cell r="L4794" t="str">
            <v>Non-proportional</v>
          </cell>
          <cell r="S4794">
            <v>-10907.27</v>
          </cell>
          <cell r="X4794" t="str">
            <v>Commissions - gross</v>
          </cell>
          <cell r="Y4794" t="str">
            <v>NETHERLANDS</v>
          </cell>
        </row>
        <row r="4795">
          <cell r="L4795" t="str">
            <v>Non-proportional</v>
          </cell>
          <cell r="S4795">
            <v>199.01</v>
          </cell>
          <cell r="X4795" t="str">
            <v>Commissions - gross</v>
          </cell>
          <cell r="Y4795" t="str">
            <v>JAPAN</v>
          </cell>
        </row>
        <row r="4796">
          <cell r="L4796" t="str">
            <v>Non-proportional</v>
          </cell>
          <cell r="S4796">
            <v>-3798.11</v>
          </cell>
          <cell r="X4796" t="str">
            <v>Commissions - gross</v>
          </cell>
          <cell r="Y4796" t="str">
            <v>ISRAEL</v>
          </cell>
        </row>
        <row r="4797">
          <cell r="L4797" t="str">
            <v>Non-proportional</v>
          </cell>
          <cell r="S4797">
            <v>994.55</v>
          </cell>
          <cell r="X4797" t="str">
            <v>Commissions - gross</v>
          </cell>
          <cell r="Y4797" t="str">
            <v>UNITED KINGDOM</v>
          </cell>
        </row>
        <row r="4798">
          <cell r="L4798" t="str">
            <v>Non-proportional</v>
          </cell>
          <cell r="S4798">
            <v>-16.11</v>
          </cell>
          <cell r="X4798" t="str">
            <v>Commissions - gross</v>
          </cell>
          <cell r="Y4798" t="str">
            <v>DOMINICAN REPUBLIC</v>
          </cell>
        </row>
        <row r="4799">
          <cell r="L4799" t="str">
            <v>Proportional</v>
          </cell>
          <cell r="S4799">
            <v>-10979.13</v>
          </cell>
          <cell r="X4799" t="str">
            <v>Commissions - gross</v>
          </cell>
          <cell r="Y4799" t="str">
            <v>ITALY</v>
          </cell>
        </row>
        <row r="4800">
          <cell r="L4800" t="str">
            <v>Non-proportional</v>
          </cell>
          <cell r="S4800">
            <v>285.58999999999997</v>
          </cell>
          <cell r="X4800" t="str">
            <v>Commissions - gross</v>
          </cell>
          <cell r="Y4800" t="str">
            <v>POLAND</v>
          </cell>
        </row>
        <row r="4801">
          <cell r="L4801" t="str">
            <v>Non-proportional</v>
          </cell>
          <cell r="S4801">
            <v>2555.41</v>
          </cell>
          <cell r="X4801" t="str">
            <v>Commissions - gross</v>
          </cell>
          <cell r="Y4801" t="str">
            <v>NEW ZEALAND</v>
          </cell>
        </row>
        <row r="4802">
          <cell r="L4802" t="str">
            <v>Non-proportional</v>
          </cell>
          <cell r="S4802">
            <v>-3211.37</v>
          </cell>
          <cell r="X4802" t="str">
            <v>Commissions - gross</v>
          </cell>
          <cell r="Y4802" t="str">
            <v>CHILE</v>
          </cell>
        </row>
        <row r="4803">
          <cell r="L4803" t="str">
            <v>Non-proportional</v>
          </cell>
          <cell r="S4803">
            <v>-6935.17</v>
          </cell>
          <cell r="X4803" t="str">
            <v>Commissions - gross</v>
          </cell>
          <cell r="Y4803" t="str">
            <v>ITALY</v>
          </cell>
        </row>
        <row r="4804">
          <cell r="L4804" t="str">
            <v>Non-proportional</v>
          </cell>
          <cell r="S4804">
            <v>10991.08</v>
          </cell>
          <cell r="X4804" t="str">
            <v>Commissions - gross</v>
          </cell>
          <cell r="Y4804" t="str">
            <v>UNITED KINGDOM</v>
          </cell>
        </row>
        <row r="4805">
          <cell r="L4805" t="str">
            <v>Non-proportional</v>
          </cell>
          <cell r="S4805">
            <v>180.95</v>
          </cell>
          <cell r="X4805" t="str">
            <v>Commissions - gross</v>
          </cell>
          <cell r="Y4805" t="str">
            <v>INDIA</v>
          </cell>
        </row>
        <row r="4806">
          <cell r="L4806" t="str">
            <v>Non-proportional</v>
          </cell>
          <cell r="S4806">
            <v>347.54</v>
          </cell>
          <cell r="X4806" t="str">
            <v>Commissions - gross</v>
          </cell>
          <cell r="Y4806" t="str">
            <v>ECUADOR</v>
          </cell>
        </row>
        <row r="4807">
          <cell r="L4807" t="str">
            <v>Non-proportional</v>
          </cell>
          <cell r="S4807">
            <v>-4176.1000000000004</v>
          </cell>
          <cell r="X4807" t="str">
            <v>Commissions - gross</v>
          </cell>
          <cell r="Y4807" t="str">
            <v>ITALY</v>
          </cell>
        </row>
        <row r="4808">
          <cell r="L4808" t="str">
            <v>Non-proportional</v>
          </cell>
          <cell r="S4808">
            <v>-7659.52</v>
          </cell>
          <cell r="X4808" t="str">
            <v>Commissions - gross</v>
          </cell>
          <cell r="Y4808" t="str">
            <v>FRANCE</v>
          </cell>
        </row>
        <row r="4809">
          <cell r="L4809" t="str">
            <v>Non-proportional</v>
          </cell>
          <cell r="S4809">
            <v>-7150</v>
          </cell>
          <cell r="X4809" t="str">
            <v>Commissions - gross</v>
          </cell>
          <cell r="Y4809" t="str">
            <v>FRANCE</v>
          </cell>
        </row>
        <row r="4810">
          <cell r="L4810" t="str">
            <v>Non-proportional</v>
          </cell>
          <cell r="S4810">
            <v>-7653.62</v>
          </cell>
          <cell r="X4810" t="str">
            <v>Commissions - gross</v>
          </cell>
          <cell r="Y4810" t="str">
            <v>ITALY</v>
          </cell>
        </row>
        <row r="4811">
          <cell r="L4811" t="str">
            <v>Non-proportional</v>
          </cell>
          <cell r="S4811">
            <v>755.21</v>
          </cell>
          <cell r="X4811" t="str">
            <v>Commissions - gross</v>
          </cell>
          <cell r="Y4811" t="str">
            <v>ROMANIA</v>
          </cell>
        </row>
        <row r="4812">
          <cell r="L4812" t="str">
            <v>Non-proportional</v>
          </cell>
          <cell r="S4812">
            <v>67.14</v>
          </cell>
          <cell r="X4812" t="str">
            <v>Commissions - gross</v>
          </cell>
          <cell r="Y4812" t="str">
            <v>MEXICO</v>
          </cell>
        </row>
        <row r="4813">
          <cell r="L4813" t="str">
            <v>Non-proportional</v>
          </cell>
          <cell r="S4813">
            <v>475.6</v>
          </cell>
          <cell r="X4813" t="str">
            <v>Commissions - gross</v>
          </cell>
          <cell r="Y4813" t="str">
            <v>ECUADOR</v>
          </cell>
        </row>
        <row r="4814">
          <cell r="L4814" t="str">
            <v>Non-proportional</v>
          </cell>
          <cell r="S4814">
            <v>1630.86</v>
          </cell>
          <cell r="X4814" t="str">
            <v>Commissions - gross</v>
          </cell>
          <cell r="Y4814" t="str">
            <v>UNITED KINGDOM</v>
          </cell>
        </row>
        <row r="4815">
          <cell r="L4815" t="str">
            <v>Non-proportional</v>
          </cell>
          <cell r="S4815">
            <v>276.04000000000002</v>
          </cell>
          <cell r="X4815" t="str">
            <v>Commissions - gross</v>
          </cell>
          <cell r="Y4815" t="str">
            <v>SOUTH KOREA</v>
          </cell>
        </row>
        <row r="4816">
          <cell r="L4816" t="str">
            <v>Non-proportional</v>
          </cell>
          <cell r="S4816">
            <v>-1463.37</v>
          </cell>
          <cell r="X4816" t="str">
            <v>Commissions - gross</v>
          </cell>
          <cell r="Y4816" t="str">
            <v>FRANCE</v>
          </cell>
        </row>
        <row r="4817">
          <cell r="L4817" t="str">
            <v>Non-proportional</v>
          </cell>
          <cell r="S4817">
            <v>-4868</v>
          </cell>
          <cell r="X4817" t="str">
            <v>Commissions - gross</v>
          </cell>
          <cell r="Y4817" t="str">
            <v>FRANCE</v>
          </cell>
        </row>
        <row r="4818">
          <cell r="L4818" t="str">
            <v>Non-proportional</v>
          </cell>
          <cell r="S4818">
            <v>928.91</v>
          </cell>
          <cell r="X4818" t="str">
            <v>Commissions - gross</v>
          </cell>
          <cell r="Y4818" t="str">
            <v>AUSTRALIA</v>
          </cell>
        </row>
        <row r="4819">
          <cell r="L4819" t="str">
            <v>Non-proportional</v>
          </cell>
          <cell r="S4819">
            <v>10.1</v>
          </cell>
          <cell r="X4819" t="str">
            <v>Commissions - gross</v>
          </cell>
          <cell r="Y4819" t="str">
            <v>INDIA</v>
          </cell>
        </row>
        <row r="4820">
          <cell r="L4820" t="str">
            <v>Non-proportional</v>
          </cell>
          <cell r="S4820">
            <v>-8373.2099999999991</v>
          </cell>
          <cell r="X4820" t="str">
            <v>Commissions - gross</v>
          </cell>
          <cell r="Y4820" t="str">
            <v>COLOMBIA</v>
          </cell>
        </row>
        <row r="4821">
          <cell r="L4821" t="str">
            <v>Non-proportional</v>
          </cell>
          <cell r="S4821">
            <v>0</v>
          </cell>
          <cell r="X4821" t="str">
            <v>Commissions - gross</v>
          </cell>
          <cell r="Y4821" t="str">
            <v>COSTA RICA</v>
          </cell>
        </row>
        <row r="4822">
          <cell r="L4822" t="str">
            <v>Non-proportional</v>
          </cell>
          <cell r="S4822">
            <v>219.64</v>
          </cell>
          <cell r="X4822" t="str">
            <v>Commissions - gross</v>
          </cell>
          <cell r="Y4822" t="str">
            <v>AUSTRALIA</v>
          </cell>
        </row>
        <row r="4823">
          <cell r="L4823" t="str">
            <v>Non-proportional</v>
          </cell>
          <cell r="S4823">
            <v>384.48</v>
          </cell>
          <cell r="X4823" t="str">
            <v>Commissions - gross</v>
          </cell>
          <cell r="Y4823" t="str">
            <v>DOMINICAN REPUBLIC</v>
          </cell>
        </row>
        <row r="4824">
          <cell r="L4824" t="str">
            <v>Non-proportional</v>
          </cell>
          <cell r="S4824">
            <v>313.48</v>
          </cell>
          <cell r="X4824" t="str">
            <v>Commissions - gross</v>
          </cell>
          <cell r="Y4824" t="str">
            <v>DOMINICAN REPUBLIC</v>
          </cell>
        </row>
        <row r="4825">
          <cell r="L4825" t="str">
            <v>Non-proportional</v>
          </cell>
          <cell r="S4825">
            <v>307</v>
          </cell>
          <cell r="X4825" t="str">
            <v>Commissions - gross</v>
          </cell>
          <cell r="Y4825" t="str">
            <v>JAPAN</v>
          </cell>
        </row>
        <row r="4826">
          <cell r="L4826" t="str">
            <v>Non-proportional</v>
          </cell>
          <cell r="S4826">
            <v>-7243.27</v>
          </cell>
          <cell r="X4826" t="str">
            <v>Commissions - gross</v>
          </cell>
          <cell r="Y4826" t="str">
            <v>ISRAEL</v>
          </cell>
        </row>
        <row r="4827">
          <cell r="L4827" t="str">
            <v>Non-proportional</v>
          </cell>
          <cell r="S4827">
            <v>-2909.23</v>
          </cell>
          <cell r="X4827" t="str">
            <v>Commissions - gross</v>
          </cell>
          <cell r="Y4827" t="str">
            <v>ISRAEL</v>
          </cell>
        </row>
        <row r="4828">
          <cell r="L4828" t="str">
            <v>Non-proportional</v>
          </cell>
          <cell r="S4828">
            <v>3509.61</v>
          </cell>
          <cell r="X4828" t="str">
            <v>Commissions - gross</v>
          </cell>
          <cell r="Y4828" t="str">
            <v>TURKEY</v>
          </cell>
        </row>
        <row r="4829">
          <cell r="L4829" t="str">
            <v>Non-proportional</v>
          </cell>
          <cell r="S4829">
            <v>-1317.71</v>
          </cell>
          <cell r="X4829" t="str">
            <v>Commissions - gross</v>
          </cell>
          <cell r="Y4829" t="str">
            <v>GERMANY</v>
          </cell>
        </row>
        <row r="4830">
          <cell r="L4830" t="str">
            <v>Non-proportional</v>
          </cell>
          <cell r="S4830">
            <v>4475.45</v>
          </cell>
          <cell r="X4830" t="str">
            <v>Commissions - gross</v>
          </cell>
          <cell r="Y4830" t="str">
            <v>UNITED KINGDOM</v>
          </cell>
        </row>
        <row r="4831">
          <cell r="L4831" t="str">
            <v>Non-proportional</v>
          </cell>
          <cell r="S4831">
            <v>400.86</v>
          </cell>
          <cell r="X4831" t="str">
            <v>Commissions - gross</v>
          </cell>
          <cell r="Y4831" t="str">
            <v>UNITED KINGDOM</v>
          </cell>
        </row>
        <row r="4832">
          <cell r="L4832" t="str">
            <v>Non-proportional</v>
          </cell>
          <cell r="S4832">
            <v>307</v>
          </cell>
          <cell r="X4832" t="str">
            <v>Commissions - gross</v>
          </cell>
          <cell r="Y4832" t="str">
            <v>JAPAN</v>
          </cell>
        </row>
        <row r="4833">
          <cell r="L4833" t="str">
            <v>Non-proportional</v>
          </cell>
          <cell r="S4833">
            <v>65.55</v>
          </cell>
          <cell r="X4833" t="str">
            <v>Commissions - gross</v>
          </cell>
          <cell r="Y4833" t="str">
            <v>NEW ZEALAND</v>
          </cell>
        </row>
        <row r="4834">
          <cell r="L4834" t="str">
            <v>Non-proportional</v>
          </cell>
          <cell r="S4834">
            <v>28.63</v>
          </cell>
          <cell r="X4834" t="str">
            <v>Commissions - gross</v>
          </cell>
          <cell r="Y4834" t="str">
            <v>REPUBLIC OF IRELAND</v>
          </cell>
        </row>
        <row r="4835">
          <cell r="L4835" t="str">
            <v>Non-proportional</v>
          </cell>
          <cell r="S4835">
            <v>-8687.25</v>
          </cell>
          <cell r="X4835" t="str">
            <v>Commissions - gross</v>
          </cell>
          <cell r="Y4835" t="str">
            <v>ITALY</v>
          </cell>
        </row>
        <row r="4836">
          <cell r="L4836" t="str">
            <v>Non-proportional</v>
          </cell>
          <cell r="S4836">
            <v>-5782.77</v>
          </cell>
          <cell r="X4836" t="str">
            <v>Commissions - gross</v>
          </cell>
          <cell r="Y4836" t="str">
            <v>UNITED KINGDOM</v>
          </cell>
        </row>
        <row r="4837">
          <cell r="L4837" t="str">
            <v>Non-proportional</v>
          </cell>
          <cell r="S4837">
            <v>-33000</v>
          </cell>
          <cell r="X4837" t="str">
            <v>Commissions - gross</v>
          </cell>
          <cell r="Y4837" t="str">
            <v>FRANCE</v>
          </cell>
        </row>
        <row r="4838">
          <cell r="L4838" t="str">
            <v>Non-proportional</v>
          </cell>
          <cell r="S4838">
            <v>-14.96</v>
          </cell>
          <cell r="X4838" t="str">
            <v>Commissions - gross</v>
          </cell>
          <cell r="Y4838" t="str">
            <v>NEW ZEALAND</v>
          </cell>
        </row>
        <row r="4839">
          <cell r="L4839" t="str">
            <v>Non-proportional</v>
          </cell>
          <cell r="S4839">
            <v>373.85</v>
          </cell>
          <cell r="X4839" t="str">
            <v>Commissions - gross</v>
          </cell>
          <cell r="Y4839" t="str">
            <v>AUSTRALIA</v>
          </cell>
        </row>
        <row r="4840">
          <cell r="L4840" t="str">
            <v>Non-proportional</v>
          </cell>
          <cell r="S4840">
            <v>104.79</v>
          </cell>
          <cell r="X4840" t="str">
            <v>Commissions - gross</v>
          </cell>
          <cell r="Y4840" t="str">
            <v>PERU</v>
          </cell>
        </row>
        <row r="4841">
          <cell r="L4841" t="str">
            <v>Non-proportional</v>
          </cell>
          <cell r="S4841">
            <v>106.04</v>
          </cell>
          <cell r="X4841" t="str">
            <v>Commissions - gross</v>
          </cell>
          <cell r="Y4841" t="str">
            <v>COLOMBIA</v>
          </cell>
        </row>
        <row r="4842">
          <cell r="L4842" t="str">
            <v>Non-proportional</v>
          </cell>
          <cell r="S4842">
            <v>-11419.83</v>
          </cell>
          <cell r="X4842" t="str">
            <v>Commissions - gross</v>
          </cell>
          <cell r="Y4842" t="str">
            <v>COLOMBIA</v>
          </cell>
        </row>
        <row r="4843">
          <cell r="L4843" t="str">
            <v>Non-proportional</v>
          </cell>
          <cell r="S4843">
            <v>3007.92</v>
          </cell>
          <cell r="X4843" t="str">
            <v>Commissions - gross</v>
          </cell>
          <cell r="Y4843" t="str">
            <v>UNITED KINGDOM</v>
          </cell>
        </row>
        <row r="4844">
          <cell r="L4844" t="str">
            <v>Non-proportional</v>
          </cell>
          <cell r="S4844">
            <v>-1322.33</v>
          </cell>
          <cell r="X4844" t="str">
            <v>Commissions - gross</v>
          </cell>
          <cell r="Y4844" t="str">
            <v>CHILE</v>
          </cell>
        </row>
        <row r="4845">
          <cell r="L4845" t="str">
            <v>Non-proportional</v>
          </cell>
          <cell r="S4845">
            <v>891.73</v>
          </cell>
          <cell r="X4845" t="str">
            <v>Commissions - gross</v>
          </cell>
          <cell r="Y4845" t="str">
            <v>MEXICO</v>
          </cell>
        </row>
        <row r="4846">
          <cell r="L4846" t="str">
            <v>Non-proportional</v>
          </cell>
          <cell r="S4846">
            <v>1042.21</v>
          </cell>
          <cell r="X4846" t="str">
            <v>Commissions - gross</v>
          </cell>
          <cell r="Y4846" t="str">
            <v>ECUADOR</v>
          </cell>
        </row>
        <row r="4847">
          <cell r="L4847" t="str">
            <v>Non-proportional</v>
          </cell>
          <cell r="S4847">
            <v>301.31</v>
          </cell>
          <cell r="X4847" t="str">
            <v>Commissions - gross</v>
          </cell>
          <cell r="Y4847" t="str">
            <v>COLOMBIA</v>
          </cell>
        </row>
        <row r="4848">
          <cell r="L4848" t="str">
            <v>Non-proportional</v>
          </cell>
          <cell r="S4848">
            <v>0</v>
          </cell>
          <cell r="X4848" t="str">
            <v>Commissions - gross</v>
          </cell>
          <cell r="Y4848" t="str">
            <v>DOMINICAN REPUBLIC</v>
          </cell>
        </row>
        <row r="4849">
          <cell r="L4849" t="str">
            <v>Non-proportional</v>
          </cell>
          <cell r="S4849">
            <v>-9625</v>
          </cell>
          <cell r="X4849" t="str">
            <v>Commissions - gross</v>
          </cell>
          <cell r="Y4849" t="str">
            <v>EUROPE</v>
          </cell>
        </row>
        <row r="4850">
          <cell r="L4850" t="str">
            <v>Proportional</v>
          </cell>
          <cell r="S4850">
            <v>-13975.91</v>
          </cell>
          <cell r="X4850" t="str">
            <v>Commissions - gross</v>
          </cell>
          <cell r="Y4850" t="str">
            <v>ITALY</v>
          </cell>
        </row>
        <row r="4851">
          <cell r="L4851" t="str">
            <v>Non-proportional</v>
          </cell>
          <cell r="S4851">
            <v>-0.94</v>
          </cell>
          <cell r="X4851" t="str">
            <v>Commissions - gross</v>
          </cell>
          <cell r="Y4851" t="str">
            <v>JAPAN</v>
          </cell>
        </row>
        <row r="4852">
          <cell r="L4852" t="str">
            <v>Non-proportional</v>
          </cell>
          <cell r="S4852">
            <v>742.37</v>
          </cell>
          <cell r="X4852" t="str">
            <v>Commissions - gross</v>
          </cell>
          <cell r="Y4852" t="str">
            <v>INDIA</v>
          </cell>
        </row>
        <row r="4853">
          <cell r="L4853" t="str">
            <v>Proportional</v>
          </cell>
          <cell r="S4853">
            <v>16451.04</v>
          </cell>
          <cell r="X4853" t="str">
            <v>Commissions - gross</v>
          </cell>
          <cell r="Y4853" t="str">
            <v>UNITED STATES</v>
          </cell>
        </row>
        <row r="4854">
          <cell r="L4854" t="str">
            <v>Non-proportional</v>
          </cell>
          <cell r="S4854">
            <v>188.9</v>
          </cell>
          <cell r="X4854" t="str">
            <v>Commissions - gross</v>
          </cell>
          <cell r="Y4854" t="str">
            <v>CHILE</v>
          </cell>
        </row>
        <row r="4855">
          <cell r="L4855" t="str">
            <v>Non-proportional</v>
          </cell>
          <cell r="S4855">
            <v>457.91</v>
          </cell>
          <cell r="X4855" t="str">
            <v>Commissions - gross</v>
          </cell>
          <cell r="Y4855" t="str">
            <v>ECUADOR</v>
          </cell>
        </row>
        <row r="4856">
          <cell r="L4856" t="str">
            <v>Non-proportional</v>
          </cell>
          <cell r="S4856">
            <v>-1335.01</v>
          </cell>
          <cell r="X4856" t="str">
            <v>Commissions - gross</v>
          </cell>
          <cell r="Y4856" t="str">
            <v>COSTA RICA</v>
          </cell>
        </row>
        <row r="4857">
          <cell r="L4857" t="str">
            <v>Non-proportional</v>
          </cell>
          <cell r="S4857">
            <v>-16547.240000000002</v>
          </cell>
          <cell r="X4857" t="str">
            <v>Commissions - gross</v>
          </cell>
          <cell r="Y4857" t="str">
            <v>FRANCE</v>
          </cell>
        </row>
        <row r="4858">
          <cell r="L4858" t="str">
            <v>Non-proportional</v>
          </cell>
          <cell r="S4858">
            <v>-3519.45</v>
          </cell>
          <cell r="X4858" t="str">
            <v>Commissions - gross</v>
          </cell>
          <cell r="Y4858" t="str">
            <v>GREECE</v>
          </cell>
        </row>
        <row r="4859">
          <cell r="L4859" t="str">
            <v>Non-proportional</v>
          </cell>
          <cell r="S4859">
            <v>0.01</v>
          </cell>
          <cell r="X4859" t="str">
            <v>Commissions - gross</v>
          </cell>
          <cell r="Y4859" t="str">
            <v>COSTA RICA</v>
          </cell>
        </row>
        <row r="4860">
          <cell r="L4860" t="str">
            <v>Non-proportional</v>
          </cell>
          <cell r="S4860">
            <v>0</v>
          </cell>
          <cell r="X4860" t="str">
            <v>Commissions - gross</v>
          </cell>
          <cell r="Y4860" t="str">
            <v>COLOMBIA</v>
          </cell>
        </row>
        <row r="4861">
          <cell r="L4861" t="str">
            <v>Non-proportional</v>
          </cell>
          <cell r="S4861">
            <v>-15036.75</v>
          </cell>
          <cell r="X4861" t="str">
            <v>Commissions - gross</v>
          </cell>
          <cell r="Y4861" t="str">
            <v>CHILE</v>
          </cell>
        </row>
        <row r="4862">
          <cell r="L4862" t="str">
            <v>Non-proportional</v>
          </cell>
          <cell r="S4862">
            <v>-48.9</v>
          </cell>
          <cell r="X4862" t="str">
            <v>Commissions - gross</v>
          </cell>
          <cell r="Y4862" t="str">
            <v>ISRAEL</v>
          </cell>
        </row>
        <row r="4863">
          <cell r="L4863" t="str">
            <v>Non-proportional</v>
          </cell>
          <cell r="S4863">
            <v>-941.55</v>
          </cell>
          <cell r="X4863" t="str">
            <v>Commissions - gross</v>
          </cell>
          <cell r="Y4863" t="str">
            <v>FRANCE</v>
          </cell>
        </row>
        <row r="4864">
          <cell r="L4864" t="str">
            <v>Non-proportional</v>
          </cell>
          <cell r="S4864">
            <v>-10975.25</v>
          </cell>
          <cell r="X4864" t="str">
            <v>Commissions - gross</v>
          </cell>
          <cell r="Y4864" t="str">
            <v>ITALY</v>
          </cell>
        </row>
        <row r="4865">
          <cell r="L4865" t="str">
            <v>Non-proportional</v>
          </cell>
          <cell r="S4865">
            <v>691.6</v>
          </cell>
          <cell r="X4865" t="str">
            <v>Commissions - gross</v>
          </cell>
          <cell r="Y4865" t="str">
            <v>AUSTRALIA</v>
          </cell>
        </row>
        <row r="4866">
          <cell r="L4866" t="str">
            <v>Non-proportional</v>
          </cell>
          <cell r="S4866">
            <v>432.39</v>
          </cell>
          <cell r="X4866" t="str">
            <v>Commissions - gross</v>
          </cell>
          <cell r="Y4866" t="str">
            <v>COLOMBIA</v>
          </cell>
        </row>
        <row r="4867">
          <cell r="L4867" t="str">
            <v>Proportional</v>
          </cell>
          <cell r="S4867">
            <v>155.16999999999999</v>
          </cell>
          <cell r="X4867" t="str">
            <v>Commissions - gross</v>
          </cell>
          <cell r="Y4867" t="str">
            <v>UNITED STATES</v>
          </cell>
        </row>
        <row r="4868">
          <cell r="L4868" t="str">
            <v>Non-proportional</v>
          </cell>
          <cell r="S4868">
            <v>-4158</v>
          </cell>
          <cell r="X4868" t="str">
            <v>Commissions - gross</v>
          </cell>
          <cell r="Y4868" t="str">
            <v>GREECE</v>
          </cell>
        </row>
        <row r="4869">
          <cell r="L4869" t="str">
            <v>Non-proportional</v>
          </cell>
          <cell r="S4869">
            <v>-3609.38</v>
          </cell>
          <cell r="X4869" t="str">
            <v>Commissions - gross</v>
          </cell>
          <cell r="Y4869" t="str">
            <v>ITALY</v>
          </cell>
        </row>
        <row r="4870">
          <cell r="L4870" t="str">
            <v>Non-proportional</v>
          </cell>
          <cell r="S4870">
            <v>-17906.54</v>
          </cell>
          <cell r="X4870" t="str">
            <v>Commissions - gross</v>
          </cell>
          <cell r="Y4870" t="str">
            <v>ITALY</v>
          </cell>
        </row>
        <row r="4871">
          <cell r="L4871" t="str">
            <v>Non-proportional</v>
          </cell>
          <cell r="S4871">
            <v>922.92</v>
          </cell>
          <cell r="X4871" t="str">
            <v>Commissions - gross</v>
          </cell>
          <cell r="Y4871" t="str">
            <v>DOMINICAN REPUBLIC</v>
          </cell>
        </row>
        <row r="4872">
          <cell r="L4872" t="str">
            <v>Non-proportional</v>
          </cell>
          <cell r="S4872">
            <v>415.59</v>
          </cell>
          <cell r="X4872" t="str">
            <v>Commissions - gross</v>
          </cell>
          <cell r="Y4872" t="str">
            <v>CHILE</v>
          </cell>
        </row>
        <row r="4873">
          <cell r="L4873" t="str">
            <v>Non-proportional</v>
          </cell>
          <cell r="S4873">
            <v>734.42</v>
          </cell>
          <cell r="X4873" t="str">
            <v>Commissions - gross</v>
          </cell>
          <cell r="Y4873" t="str">
            <v>MEXICO</v>
          </cell>
        </row>
        <row r="4874">
          <cell r="L4874" t="str">
            <v>Non-proportional</v>
          </cell>
          <cell r="S4874">
            <v>187.88</v>
          </cell>
          <cell r="X4874" t="str">
            <v>Commissions - gross</v>
          </cell>
          <cell r="Y4874" t="str">
            <v>NEW ZEALAND</v>
          </cell>
        </row>
        <row r="4875">
          <cell r="L4875" t="str">
            <v>Non-proportional</v>
          </cell>
          <cell r="S4875">
            <v>791.37</v>
          </cell>
          <cell r="X4875" t="str">
            <v>Commissions - gross</v>
          </cell>
          <cell r="Y4875" t="str">
            <v>PUERTO RICO</v>
          </cell>
        </row>
        <row r="4876">
          <cell r="L4876" t="str">
            <v>Non-proportional</v>
          </cell>
          <cell r="S4876">
            <v>37.78</v>
          </cell>
          <cell r="X4876" t="str">
            <v>Commissions - gross</v>
          </cell>
          <cell r="Y4876" t="str">
            <v>CHILE</v>
          </cell>
        </row>
        <row r="4877">
          <cell r="L4877" t="str">
            <v>Non-proportional</v>
          </cell>
          <cell r="S4877">
            <v>-34447.760000000002</v>
          </cell>
          <cell r="X4877" t="str">
            <v>Commissions - gross</v>
          </cell>
          <cell r="Y4877" t="str">
            <v>FRANCE</v>
          </cell>
        </row>
        <row r="4878">
          <cell r="L4878" t="str">
            <v>Non-proportional</v>
          </cell>
          <cell r="S4878">
            <v>5.24</v>
          </cell>
          <cell r="X4878" t="str">
            <v>Commissions - gross</v>
          </cell>
          <cell r="Y4878" t="str">
            <v>GUATEMALA</v>
          </cell>
        </row>
        <row r="4879">
          <cell r="L4879" t="str">
            <v>Non-proportional</v>
          </cell>
          <cell r="S4879">
            <v>0.01</v>
          </cell>
          <cell r="X4879" t="str">
            <v>Commissions - gross</v>
          </cell>
          <cell r="Y4879" t="str">
            <v>COLOMBIA</v>
          </cell>
        </row>
        <row r="4880">
          <cell r="L4880" t="str">
            <v>Non-proportional</v>
          </cell>
          <cell r="S4880">
            <v>-3354.17</v>
          </cell>
          <cell r="X4880" t="str">
            <v>Commissions - gross</v>
          </cell>
          <cell r="Y4880" t="str">
            <v>ITALY</v>
          </cell>
        </row>
        <row r="4881">
          <cell r="L4881" t="str">
            <v>Non-proportional</v>
          </cell>
          <cell r="S4881">
            <v>-4675.2</v>
          </cell>
          <cell r="X4881" t="str">
            <v>Commissions - gross</v>
          </cell>
          <cell r="Y4881" t="str">
            <v>ITALY</v>
          </cell>
        </row>
        <row r="4882">
          <cell r="L4882" t="str">
            <v>Non-proportional</v>
          </cell>
          <cell r="S4882">
            <v>-928.13</v>
          </cell>
          <cell r="X4882" t="str">
            <v>Commissions - gross</v>
          </cell>
          <cell r="Y4882" t="str">
            <v>GREECE</v>
          </cell>
        </row>
        <row r="4883">
          <cell r="L4883" t="str">
            <v>Non-proportional</v>
          </cell>
          <cell r="S4883">
            <v>-8.06</v>
          </cell>
          <cell r="X4883" t="str">
            <v>Commissions - gross</v>
          </cell>
          <cell r="Y4883" t="str">
            <v>COLOMBIA</v>
          </cell>
        </row>
        <row r="4884">
          <cell r="L4884" t="str">
            <v>Non-proportional</v>
          </cell>
          <cell r="S4884">
            <v>-6906.88</v>
          </cell>
          <cell r="X4884" t="str">
            <v>Commissions - gross</v>
          </cell>
          <cell r="Y4884" t="str">
            <v>FRANCE</v>
          </cell>
        </row>
        <row r="4885">
          <cell r="L4885" t="str">
            <v>Non-proportional</v>
          </cell>
          <cell r="S4885">
            <v>-6144.73</v>
          </cell>
          <cell r="X4885" t="str">
            <v>Commissions - gross</v>
          </cell>
          <cell r="Y4885" t="str">
            <v>ISRAEL</v>
          </cell>
        </row>
        <row r="4886">
          <cell r="L4886" t="str">
            <v>Non-proportional</v>
          </cell>
          <cell r="S4886">
            <v>-15.39</v>
          </cell>
          <cell r="X4886" t="str">
            <v>Commissions - gross</v>
          </cell>
          <cell r="Y4886" t="str">
            <v>JAPAN</v>
          </cell>
        </row>
        <row r="4887">
          <cell r="L4887" t="str">
            <v>Non-proportional</v>
          </cell>
          <cell r="S4887">
            <v>175.31</v>
          </cell>
          <cell r="X4887" t="str">
            <v>Commissions - gross</v>
          </cell>
          <cell r="Y4887" t="str">
            <v>ROMANIA</v>
          </cell>
        </row>
        <row r="4888">
          <cell r="L4888" t="str">
            <v>Non-proportional</v>
          </cell>
          <cell r="S4888">
            <v>3460.45</v>
          </cell>
          <cell r="X4888" t="str">
            <v>Commissions - gross</v>
          </cell>
          <cell r="Y4888" t="str">
            <v>NEW ZEALAND</v>
          </cell>
        </row>
        <row r="4889">
          <cell r="L4889" t="str">
            <v>Proportional</v>
          </cell>
          <cell r="S4889">
            <v>-41220.93</v>
          </cell>
          <cell r="X4889" t="str">
            <v>Commissions - gross</v>
          </cell>
          <cell r="Y4889" t="str">
            <v>SWITZERLAND</v>
          </cell>
        </row>
        <row r="4890">
          <cell r="L4890" t="str">
            <v>Non-proportional</v>
          </cell>
          <cell r="S4890">
            <v>123.12</v>
          </cell>
          <cell r="X4890" t="str">
            <v>Commissions - gross</v>
          </cell>
          <cell r="Y4890" t="str">
            <v>COLOMBIA</v>
          </cell>
        </row>
        <row r="4891">
          <cell r="L4891" t="str">
            <v>Non-proportional</v>
          </cell>
          <cell r="S4891">
            <v>618.85</v>
          </cell>
          <cell r="X4891" t="str">
            <v>Commissions - gross</v>
          </cell>
          <cell r="Y4891" t="str">
            <v>NEW ZEALAND</v>
          </cell>
        </row>
        <row r="4892">
          <cell r="L4892" t="str">
            <v>Non-proportional</v>
          </cell>
          <cell r="S4892">
            <v>-10450.16</v>
          </cell>
          <cell r="X4892" t="str">
            <v>Commissions - gross</v>
          </cell>
          <cell r="Y4892" t="str">
            <v>TURKEY</v>
          </cell>
        </row>
        <row r="4893">
          <cell r="L4893" t="str">
            <v>Non-proportional</v>
          </cell>
          <cell r="S4893">
            <v>-3.07</v>
          </cell>
          <cell r="X4893" t="str">
            <v>Commissions - gross</v>
          </cell>
          <cell r="Y4893" t="str">
            <v>POLAND</v>
          </cell>
        </row>
        <row r="4894">
          <cell r="L4894" t="str">
            <v>Non-proportional</v>
          </cell>
          <cell r="S4894">
            <v>-1546.88</v>
          </cell>
          <cell r="X4894" t="str">
            <v>Commissions - gross</v>
          </cell>
          <cell r="Y4894" t="str">
            <v>GREECE</v>
          </cell>
        </row>
        <row r="4895">
          <cell r="L4895" t="str">
            <v>Non-proportional</v>
          </cell>
          <cell r="S4895">
            <v>-28.71</v>
          </cell>
          <cell r="X4895" t="str">
            <v>Commissions - gross</v>
          </cell>
          <cell r="Y4895" t="str">
            <v>COLOMBIA</v>
          </cell>
        </row>
        <row r="4896">
          <cell r="L4896" t="str">
            <v>Non-proportional</v>
          </cell>
          <cell r="S4896">
            <v>-8.4499999999999993</v>
          </cell>
          <cell r="X4896" t="str">
            <v>Commissions - gross</v>
          </cell>
          <cell r="Y4896" t="str">
            <v>NEW ZEALAND</v>
          </cell>
        </row>
        <row r="4897">
          <cell r="L4897" t="str">
            <v>Proportional</v>
          </cell>
          <cell r="S4897">
            <v>-906.74</v>
          </cell>
          <cell r="X4897" t="str">
            <v>Commissions - gross</v>
          </cell>
          <cell r="Y4897" t="str">
            <v>CHILE</v>
          </cell>
        </row>
        <row r="4898">
          <cell r="L4898" t="str">
            <v>Non-proportional</v>
          </cell>
          <cell r="S4898">
            <v>135.27000000000001</v>
          </cell>
          <cell r="X4898" t="str">
            <v>Commissions - gross</v>
          </cell>
          <cell r="Y4898" t="str">
            <v>UNITED KINGDOM</v>
          </cell>
        </row>
        <row r="4899">
          <cell r="L4899" t="str">
            <v>Non-proportional</v>
          </cell>
          <cell r="S4899">
            <v>164.16</v>
          </cell>
          <cell r="X4899" t="str">
            <v>Commissions - gross</v>
          </cell>
          <cell r="Y4899" t="str">
            <v>COLOMBIA</v>
          </cell>
        </row>
        <row r="4900">
          <cell r="L4900" t="str">
            <v>Non-proportional</v>
          </cell>
          <cell r="S4900">
            <v>-4485.9399999999996</v>
          </cell>
          <cell r="X4900" t="str">
            <v>Commissions - gross</v>
          </cell>
          <cell r="Y4900" t="str">
            <v>GREECE</v>
          </cell>
        </row>
        <row r="4901">
          <cell r="L4901" t="str">
            <v>Non-proportional</v>
          </cell>
          <cell r="S4901">
            <v>-1889.8</v>
          </cell>
          <cell r="X4901" t="str">
            <v>Commissions - gross</v>
          </cell>
          <cell r="Y4901" t="str">
            <v>FRANCE</v>
          </cell>
        </row>
        <row r="4902">
          <cell r="L4902" t="str">
            <v>Non-proportional</v>
          </cell>
          <cell r="S4902">
            <v>-11.42</v>
          </cell>
          <cell r="X4902" t="str">
            <v>Commissions - gross</v>
          </cell>
          <cell r="Y4902" t="str">
            <v>NEW ZEALAND</v>
          </cell>
        </row>
        <row r="4903">
          <cell r="L4903" t="str">
            <v>Non-proportional</v>
          </cell>
          <cell r="S4903">
            <v>-331297.7</v>
          </cell>
          <cell r="X4903" t="str">
            <v>Commissions - gross</v>
          </cell>
          <cell r="Y4903" t="str">
            <v>UNITED KINGDOM</v>
          </cell>
        </row>
        <row r="4904">
          <cell r="L4904" t="str">
            <v>Non-proportional</v>
          </cell>
          <cell r="S4904">
            <v>620.04999999999995</v>
          </cell>
          <cell r="X4904" t="str">
            <v>Commissions - gross</v>
          </cell>
          <cell r="Y4904" t="str">
            <v>COLOMBIA</v>
          </cell>
        </row>
        <row r="4905">
          <cell r="L4905" t="str">
            <v>Non-proportional</v>
          </cell>
          <cell r="S4905">
            <v>-10052.49</v>
          </cell>
          <cell r="X4905" t="str">
            <v>Commissions - gross</v>
          </cell>
          <cell r="Y4905" t="str">
            <v>PERU</v>
          </cell>
        </row>
        <row r="4906">
          <cell r="L4906" t="str">
            <v>Non-proportional</v>
          </cell>
          <cell r="S4906">
            <v>-37.78</v>
          </cell>
          <cell r="X4906" t="str">
            <v>Commissions - gross</v>
          </cell>
          <cell r="Y4906" t="str">
            <v>CHILE</v>
          </cell>
        </row>
        <row r="4907">
          <cell r="L4907" t="str">
            <v>Non-proportional</v>
          </cell>
          <cell r="S4907">
            <v>324.3</v>
          </cell>
          <cell r="X4907" t="str">
            <v>Commissions - gross</v>
          </cell>
          <cell r="Y4907" t="str">
            <v>UNITED KINGDOM</v>
          </cell>
        </row>
        <row r="4908">
          <cell r="L4908" t="str">
            <v>Non-proportional</v>
          </cell>
          <cell r="S4908">
            <v>-5595.47</v>
          </cell>
          <cell r="X4908" t="str">
            <v>Commissions - gross</v>
          </cell>
          <cell r="Y4908" t="str">
            <v>ISRAEL</v>
          </cell>
        </row>
        <row r="4909">
          <cell r="L4909" t="str">
            <v>Non-proportional</v>
          </cell>
          <cell r="S4909">
            <v>-1243.25</v>
          </cell>
          <cell r="X4909" t="str">
            <v>Commissions - gross</v>
          </cell>
          <cell r="Y4909" t="str">
            <v>BRAZIL</v>
          </cell>
        </row>
        <row r="4910">
          <cell r="L4910" t="str">
            <v>Non-proportional</v>
          </cell>
          <cell r="S4910">
            <v>1057.8599999999999</v>
          </cell>
          <cell r="X4910" t="str">
            <v>Commissions - gross</v>
          </cell>
          <cell r="Y4910" t="str">
            <v>CHILE</v>
          </cell>
        </row>
        <row r="4911">
          <cell r="L4911" t="str">
            <v>Non-proportional</v>
          </cell>
          <cell r="S4911">
            <v>-13213.15</v>
          </cell>
          <cell r="X4911" t="str">
            <v>Commissions - gross</v>
          </cell>
          <cell r="Y4911" t="str">
            <v>FRANCE</v>
          </cell>
        </row>
        <row r="4912">
          <cell r="L4912" t="str">
            <v>Non-proportional</v>
          </cell>
          <cell r="S4912">
            <v>927.74</v>
          </cell>
          <cell r="X4912" t="str">
            <v>Commissions - gross</v>
          </cell>
          <cell r="Y4912" t="str">
            <v>JAPAN</v>
          </cell>
        </row>
        <row r="4913">
          <cell r="L4913" t="str">
            <v>Non-proportional</v>
          </cell>
          <cell r="S4913">
            <v>1054.8599999999999</v>
          </cell>
          <cell r="X4913" t="str">
            <v>Commissions - gross</v>
          </cell>
          <cell r="Y4913" t="str">
            <v>ECUADOR</v>
          </cell>
        </row>
        <row r="4914">
          <cell r="L4914" t="str">
            <v>Non-proportional</v>
          </cell>
          <cell r="S4914">
            <v>-7.71</v>
          </cell>
          <cell r="X4914" t="str">
            <v>Commissions - gross</v>
          </cell>
          <cell r="Y4914" t="str">
            <v>COLOMBIA</v>
          </cell>
        </row>
        <row r="4915">
          <cell r="L4915" t="str">
            <v>Non-proportional</v>
          </cell>
          <cell r="S4915">
            <v>-7333.15</v>
          </cell>
          <cell r="X4915" t="str">
            <v>Commissions - gross</v>
          </cell>
          <cell r="Y4915" t="str">
            <v>ITALY</v>
          </cell>
        </row>
        <row r="4916">
          <cell r="L4916" t="str">
            <v>Non-proportional</v>
          </cell>
          <cell r="S4916">
            <v>-3388.86</v>
          </cell>
          <cell r="X4916" t="str">
            <v>Commissions - gross</v>
          </cell>
          <cell r="Y4916" t="str">
            <v>UNITED KINGDOM</v>
          </cell>
        </row>
        <row r="4917">
          <cell r="L4917" t="str">
            <v>Non-proportional</v>
          </cell>
          <cell r="S4917">
            <v>389.22</v>
          </cell>
          <cell r="X4917" t="str">
            <v>Commissions - gross</v>
          </cell>
          <cell r="Y4917" t="str">
            <v>INDIA</v>
          </cell>
        </row>
        <row r="4918">
          <cell r="L4918" t="str">
            <v>Non-proportional</v>
          </cell>
          <cell r="S4918">
            <v>-73605.789999999994</v>
          </cell>
          <cell r="X4918" t="str">
            <v>Commissions - gross</v>
          </cell>
          <cell r="Y4918" t="str">
            <v>UNITED KINGDOM</v>
          </cell>
        </row>
        <row r="4919">
          <cell r="L4919" t="str">
            <v>Non-proportional</v>
          </cell>
          <cell r="S4919">
            <v>-3596.87</v>
          </cell>
          <cell r="X4919" t="str">
            <v>Commissions - gross</v>
          </cell>
          <cell r="Y4919" t="str">
            <v>ISRAEL</v>
          </cell>
        </row>
        <row r="4920">
          <cell r="L4920" t="str">
            <v>Non-proportional</v>
          </cell>
          <cell r="S4920">
            <v>298.74</v>
          </cell>
          <cell r="X4920" t="str">
            <v>Commissions - gross</v>
          </cell>
          <cell r="Y4920" t="str">
            <v>JAPAN</v>
          </cell>
        </row>
        <row r="4921">
          <cell r="L4921" t="str">
            <v>Non-proportional</v>
          </cell>
          <cell r="S4921">
            <v>95.1</v>
          </cell>
          <cell r="X4921" t="str">
            <v>Commissions - gross</v>
          </cell>
          <cell r="Y4921" t="str">
            <v>PERU</v>
          </cell>
        </row>
        <row r="4922">
          <cell r="L4922" t="str">
            <v>Non-proportional</v>
          </cell>
          <cell r="S4922">
            <v>680.05</v>
          </cell>
          <cell r="X4922" t="str">
            <v>Commissions - gross</v>
          </cell>
          <cell r="Y4922" t="str">
            <v>CHILE</v>
          </cell>
        </row>
        <row r="4923">
          <cell r="L4923" t="str">
            <v>Non-proportional</v>
          </cell>
          <cell r="S4923">
            <v>-6.49</v>
          </cell>
          <cell r="X4923" t="str">
            <v>Commissions - gross</v>
          </cell>
          <cell r="Y4923" t="str">
            <v>DOMINICAN REPUBLIC</v>
          </cell>
        </row>
        <row r="4924">
          <cell r="L4924" t="str">
            <v>Non-proportional</v>
          </cell>
          <cell r="S4924">
            <v>-6660.45</v>
          </cell>
          <cell r="X4924" t="str">
            <v>Commissions - gross</v>
          </cell>
          <cell r="Y4924" t="str">
            <v>FRANCE</v>
          </cell>
        </row>
        <row r="4925">
          <cell r="L4925" t="str">
            <v>Non-proportional</v>
          </cell>
          <cell r="S4925">
            <v>-2.36</v>
          </cell>
          <cell r="X4925" t="str">
            <v>Commissions - gross</v>
          </cell>
          <cell r="Y4925" t="str">
            <v>COLOMBIA</v>
          </cell>
        </row>
        <row r="4926">
          <cell r="L4926" t="str">
            <v>Non-proportional</v>
          </cell>
          <cell r="S4926">
            <v>83.57</v>
          </cell>
          <cell r="X4926" t="str">
            <v>Commissions - gross</v>
          </cell>
          <cell r="Y4926" t="str">
            <v>JAPAN</v>
          </cell>
        </row>
        <row r="4927">
          <cell r="L4927" t="str">
            <v>Non-proportional</v>
          </cell>
          <cell r="S4927">
            <v>2274.9699999999998</v>
          </cell>
          <cell r="X4927" t="str">
            <v>Commissions - gross</v>
          </cell>
          <cell r="Y4927" t="str">
            <v>UNITED KINGDOM</v>
          </cell>
        </row>
        <row r="4928">
          <cell r="L4928" t="str">
            <v>Non-proportional</v>
          </cell>
          <cell r="S4928">
            <v>1805.72</v>
          </cell>
          <cell r="X4928" t="str">
            <v>Commissions - gross</v>
          </cell>
          <cell r="Y4928" t="str">
            <v>TURKEY</v>
          </cell>
        </row>
        <row r="4929">
          <cell r="L4929" t="str">
            <v>Non-proportional</v>
          </cell>
          <cell r="S4929">
            <v>553.41999999999996</v>
          </cell>
          <cell r="X4929" t="str">
            <v>Commissions - gross</v>
          </cell>
          <cell r="Y4929" t="str">
            <v>DOMINICAN REPUBLIC</v>
          </cell>
        </row>
        <row r="4930">
          <cell r="L4930" t="str">
            <v>Non-proportional</v>
          </cell>
          <cell r="S4930">
            <v>-6382.77</v>
          </cell>
          <cell r="X4930" t="str">
            <v>Commissions - gross</v>
          </cell>
          <cell r="Y4930" t="str">
            <v>ISRAEL</v>
          </cell>
        </row>
        <row r="4931">
          <cell r="L4931" t="str">
            <v>Non-proportional</v>
          </cell>
          <cell r="S4931">
            <v>-10.28</v>
          </cell>
          <cell r="X4931" t="str">
            <v>Commissions - gross</v>
          </cell>
          <cell r="Y4931" t="str">
            <v>COLOMBIA</v>
          </cell>
        </row>
        <row r="4932">
          <cell r="L4932" t="str">
            <v>Non-proportional</v>
          </cell>
          <cell r="S4932">
            <v>-4308.99</v>
          </cell>
          <cell r="X4932" t="str">
            <v>Commissions - gross</v>
          </cell>
          <cell r="Y4932" t="str">
            <v>ITALY</v>
          </cell>
        </row>
        <row r="4933">
          <cell r="L4933" t="str">
            <v>Non-proportional</v>
          </cell>
          <cell r="S4933">
            <v>2.63</v>
          </cell>
          <cell r="X4933" t="str">
            <v>Commissions - gross</v>
          </cell>
          <cell r="Y4933" t="str">
            <v>JAPAN</v>
          </cell>
        </row>
        <row r="4934">
          <cell r="L4934" t="str">
            <v>Non-proportional</v>
          </cell>
          <cell r="S4934">
            <v>91.88</v>
          </cell>
          <cell r="X4934" t="str">
            <v>Commissions - gross</v>
          </cell>
          <cell r="Y4934" t="str">
            <v>UNITED KINGDOM</v>
          </cell>
        </row>
        <row r="4935">
          <cell r="L4935" t="str">
            <v>Non-proportional</v>
          </cell>
          <cell r="S4935">
            <v>-10727.33</v>
          </cell>
          <cell r="X4935" t="str">
            <v>Commissions - gross</v>
          </cell>
          <cell r="Y4935" t="str">
            <v>ISRAEL</v>
          </cell>
        </row>
        <row r="4936">
          <cell r="L4936" t="str">
            <v>Non-proportional</v>
          </cell>
          <cell r="S4936">
            <v>45.15</v>
          </cell>
          <cell r="X4936" t="str">
            <v>Commissions - gross</v>
          </cell>
          <cell r="Y4936" t="str">
            <v>JAPAN</v>
          </cell>
        </row>
        <row r="4937">
          <cell r="L4937" t="str">
            <v>Non-proportional</v>
          </cell>
          <cell r="S4937">
            <v>1778.42</v>
          </cell>
          <cell r="X4937" t="str">
            <v>Commissions - gross</v>
          </cell>
          <cell r="Y4937" t="str">
            <v>UNITED KINGDOM</v>
          </cell>
        </row>
        <row r="4938">
          <cell r="L4938" t="str">
            <v>Non-proportional</v>
          </cell>
          <cell r="S4938">
            <v>120.22</v>
          </cell>
          <cell r="X4938" t="str">
            <v>Commissions - gross</v>
          </cell>
          <cell r="Y4938" t="str">
            <v>REPUBLIC OF IRELAND</v>
          </cell>
        </row>
        <row r="4939">
          <cell r="L4939" t="str">
            <v>Non-proportional</v>
          </cell>
          <cell r="S4939">
            <v>1.35</v>
          </cell>
          <cell r="X4939" t="str">
            <v>Commissions - gross</v>
          </cell>
          <cell r="Y4939" t="str">
            <v>JAPAN</v>
          </cell>
        </row>
        <row r="4940">
          <cell r="L4940" t="str">
            <v>Non-proportional</v>
          </cell>
          <cell r="S4940">
            <v>2185.2199999999998</v>
          </cell>
          <cell r="X4940" t="str">
            <v>Commissions - gross</v>
          </cell>
          <cell r="Y4940" t="str">
            <v>UNITED KINGDOM</v>
          </cell>
        </row>
        <row r="4941">
          <cell r="L4941" t="str">
            <v>Non-proportional</v>
          </cell>
          <cell r="S4941">
            <v>509.76</v>
          </cell>
          <cell r="X4941" t="str">
            <v>Commissions - gross</v>
          </cell>
          <cell r="Y4941" t="str">
            <v>DOMINICAN REPUBLIC</v>
          </cell>
        </row>
        <row r="4942">
          <cell r="L4942" t="str">
            <v>Non-proportional</v>
          </cell>
          <cell r="S4942">
            <v>39136.85</v>
          </cell>
          <cell r="X4942" t="str">
            <v>Commissions - gross</v>
          </cell>
          <cell r="Y4942" t="str">
            <v>UNITED KINGDOM</v>
          </cell>
        </row>
        <row r="4943">
          <cell r="L4943" t="str">
            <v>Non-proportional</v>
          </cell>
          <cell r="S4943">
            <v>-11000</v>
          </cell>
          <cell r="X4943" t="str">
            <v>Commissions - gross</v>
          </cell>
          <cell r="Y4943" t="str">
            <v>ITALY</v>
          </cell>
        </row>
        <row r="4944">
          <cell r="L4944" t="str">
            <v>Non-proportional</v>
          </cell>
          <cell r="S4944">
            <v>-2871</v>
          </cell>
          <cell r="X4944" t="str">
            <v>Commissions - gross</v>
          </cell>
          <cell r="Y4944" t="str">
            <v>GREECE</v>
          </cell>
        </row>
        <row r="4945">
          <cell r="L4945" t="str">
            <v>Non-proportional</v>
          </cell>
          <cell r="S4945">
            <v>-12.47</v>
          </cell>
          <cell r="X4945" t="str">
            <v>Commissions - gross</v>
          </cell>
          <cell r="Y4945" t="str">
            <v>JAPAN</v>
          </cell>
        </row>
        <row r="4946">
          <cell r="L4946" t="str">
            <v>Non-proportional</v>
          </cell>
          <cell r="S4946">
            <v>-34.72</v>
          </cell>
          <cell r="X4946" t="str">
            <v>Commissions - gross</v>
          </cell>
          <cell r="Y4946" t="str">
            <v>ISRAEL</v>
          </cell>
        </row>
        <row r="4947">
          <cell r="L4947" t="str">
            <v>Non-proportional</v>
          </cell>
          <cell r="S4947">
            <v>680.34</v>
          </cell>
          <cell r="X4947" t="str">
            <v>Commissions - gross</v>
          </cell>
          <cell r="Y4947" t="str">
            <v>UNITED KINGDOM</v>
          </cell>
        </row>
        <row r="4948">
          <cell r="L4948" t="str">
            <v>Non-proportional</v>
          </cell>
          <cell r="S4948">
            <v>112.09</v>
          </cell>
          <cell r="X4948" t="str">
            <v>Commissions - gross</v>
          </cell>
          <cell r="Y4948" t="str">
            <v>ECUADOR</v>
          </cell>
        </row>
        <row r="4949">
          <cell r="L4949" t="str">
            <v>Non-proportional</v>
          </cell>
          <cell r="S4949">
            <v>518.6</v>
          </cell>
          <cell r="X4949" t="str">
            <v>Commissions - gross</v>
          </cell>
          <cell r="Y4949" t="str">
            <v>JAPAN</v>
          </cell>
        </row>
        <row r="4950">
          <cell r="L4950" t="str">
            <v>Non-proportional</v>
          </cell>
          <cell r="S4950">
            <v>-146.21</v>
          </cell>
          <cell r="X4950" t="str">
            <v>Commissions - gross</v>
          </cell>
          <cell r="Y4950" t="str">
            <v>ITALY</v>
          </cell>
        </row>
        <row r="4951">
          <cell r="L4951" t="str">
            <v>Non-proportional</v>
          </cell>
          <cell r="S4951">
            <v>-473.03</v>
          </cell>
          <cell r="X4951" t="str">
            <v>Commissions - gross</v>
          </cell>
          <cell r="Y4951" t="str">
            <v>FRANCE</v>
          </cell>
        </row>
        <row r="4952">
          <cell r="L4952" t="str">
            <v>Non-proportional</v>
          </cell>
          <cell r="S4952">
            <v>-2.2000000000000002</v>
          </cell>
          <cell r="X4952" t="str">
            <v>Commissions - gross</v>
          </cell>
          <cell r="Y4952" t="str">
            <v>JAPAN</v>
          </cell>
        </row>
        <row r="4953">
          <cell r="L4953" t="str">
            <v>Non-proportional</v>
          </cell>
          <cell r="S4953">
            <v>13.81</v>
          </cell>
          <cell r="X4953" t="str">
            <v>Commissions - gross</v>
          </cell>
          <cell r="Y4953" t="str">
            <v>JAPAN</v>
          </cell>
        </row>
        <row r="4954">
          <cell r="L4954" t="str">
            <v>Non-proportional</v>
          </cell>
          <cell r="S4954">
            <v>138.6</v>
          </cell>
          <cell r="X4954" t="str">
            <v>Commissions - gross</v>
          </cell>
          <cell r="Y4954" t="str">
            <v>ECUADOR</v>
          </cell>
        </row>
        <row r="4955">
          <cell r="L4955" t="str">
            <v>Non-proportional</v>
          </cell>
          <cell r="S4955">
            <v>-7124.34</v>
          </cell>
          <cell r="X4955" t="str">
            <v>Commissions - gross</v>
          </cell>
          <cell r="Y4955" t="str">
            <v>ISRAEL</v>
          </cell>
        </row>
        <row r="4956">
          <cell r="L4956" t="str">
            <v>Non-proportional</v>
          </cell>
          <cell r="S4956">
            <v>2252.14</v>
          </cell>
          <cell r="X4956" t="str">
            <v>Commissions - gross</v>
          </cell>
          <cell r="Y4956" t="str">
            <v>UNITED KINGDOM</v>
          </cell>
        </row>
        <row r="4957">
          <cell r="L4957" t="str">
            <v>Non-proportional</v>
          </cell>
          <cell r="S4957">
            <v>788.66</v>
          </cell>
          <cell r="X4957" t="str">
            <v>Commissions - gross</v>
          </cell>
          <cell r="Y4957" t="str">
            <v>UNITED KINGDOM</v>
          </cell>
        </row>
        <row r="4958">
          <cell r="L4958" t="str">
            <v>Non-proportional</v>
          </cell>
          <cell r="S4958">
            <v>-5607.61</v>
          </cell>
          <cell r="X4958" t="str">
            <v>Commissions - gross</v>
          </cell>
          <cell r="Y4958" t="str">
            <v>UNITED KINGDOM</v>
          </cell>
        </row>
        <row r="4959">
          <cell r="L4959" t="str">
            <v>Non-proportional</v>
          </cell>
          <cell r="S4959">
            <v>-9652.56</v>
          </cell>
          <cell r="X4959" t="str">
            <v>Commissions - gross</v>
          </cell>
          <cell r="Y4959" t="str">
            <v>FRANCE</v>
          </cell>
        </row>
        <row r="4960">
          <cell r="L4960" t="str">
            <v>Non-proportional</v>
          </cell>
          <cell r="S4960">
            <v>-5892.28</v>
          </cell>
          <cell r="X4960" t="str">
            <v>Commissions - gross</v>
          </cell>
          <cell r="Y4960" t="str">
            <v>PERU</v>
          </cell>
        </row>
        <row r="4961">
          <cell r="L4961" t="str">
            <v>Non-proportional</v>
          </cell>
          <cell r="S4961">
            <v>-10816.06</v>
          </cell>
          <cell r="X4961" t="str">
            <v>Commissions - gross</v>
          </cell>
          <cell r="Y4961" t="str">
            <v>FRANCE</v>
          </cell>
        </row>
        <row r="4962">
          <cell r="L4962" t="str">
            <v>Non-proportional</v>
          </cell>
          <cell r="S4962">
            <v>90.4</v>
          </cell>
          <cell r="X4962" t="str">
            <v>Commissions - gross</v>
          </cell>
          <cell r="Y4962" t="str">
            <v>PERU</v>
          </cell>
        </row>
        <row r="4963">
          <cell r="L4963" t="str">
            <v>Non-proportional</v>
          </cell>
          <cell r="S4963">
            <v>528.92999999999995</v>
          </cell>
          <cell r="X4963" t="str">
            <v>Commissions - gross</v>
          </cell>
          <cell r="Y4963" t="str">
            <v>CHILE</v>
          </cell>
        </row>
        <row r="4964">
          <cell r="L4964" t="str">
            <v>Non-proportional</v>
          </cell>
          <cell r="S4964">
            <v>112</v>
          </cell>
          <cell r="X4964" t="str">
            <v>Commissions - gross</v>
          </cell>
          <cell r="Y4964" t="str">
            <v>JAPAN</v>
          </cell>
        </row>
        <row r="4965">
          <cell r="L4965" t="str">
            <v>Non-proportional</v>
          </cell>
          <cell r="S4965">
            <v>19.43</v>
          </cell>
          <cell r="X4965" t="str">
            <v>Commissions - gross</v>
          </cell>
          <cell r="Y4965" t="str">
            <v>JAPAN</v>
          </cell>
        </row>
        <row r="4966">
          <cell r="L4966" t="str">
            <v>Non-proportional</v>
          </cell>
          <cell r="S4966">
            <v>-24.5</v>
          </cell>
          <cell r="X4966" t="str">
            <v>Commissions - gross</v>
          </cell>
          <cell r="Y4966" t="str">
            <v>COLOMBIA</v>
          </cell>
        </row>
        <row r="4967">
          <cell r="L4967" t="str">
            <v>Non-proportional</v>
          </cell>
          <cell r="S4967">
            <v>761.58</v>
          </cell>
          <cell r="X4967" t="str">
            <v>Commissions - gross</v>
          </cell>
          <cell r="Y4967" t="str">
            <v>COLOMBIA</v>
          </cell>
        </row>
        <row r="4968">
          <cell r="L4968" t="str">
            <v>Non-proportional</v>
          </cell>
          <cell r="S4968">
            <v>140.59</v>
          </cell>
          <cell r="X4968" t="str">
            <v>Commissions - gross</v>
          </cell>
          <cell r="Y4968" t="str">
            <v>COLOMBIA</v>
          </cell>
        </row>
        <row r="4969">
          <cell r="L4969" t="str">
            <v>Non-proportional</v>
          </cell>
          <cell r="S4969">
            <v>-7324.78</v>
          </cell>
          <cell r="X4969" t="str">
            <v>Commissions - gross</v>
          </cell>
          <cell r="Y4969" t="str">
            <v>CYPRUS</v>
          </cell>
        </row>
        <row r="4970">
          <cell r="L4970" t="str">
            <v>Non-proportional</v>
          </cell>
          <cell r="S4970">
            <v>-7994.48</v>
          </cell>
          <cell r="X4970" t="str">
            <v>Commissions - gross</v>
          </cell>
          <cell r="Y4970" t="str">
            <v>FRANCE</v>
          </cell>
        </row>
        <row r="4971">
          <cell r="L4971" t="str">
            <v>Non-proportional</v>
          </cell>
          <cell r="S4971">
            <v>20.39</v>
          </cell>
          <cell r="X4971" t="str">
            <v>Commissions - gross</v>
          </cell>
          <cell r="Y4971" t="str">
            <v>JAPAN</v>
          </cell>
        </row>
        <row r="4972">
          <cell r="L4972" t="str">
            <v>Non-proportional</v>
          </cell>
          <cell r="S4972">
            <v>545.41</v>
          </cell>
          <cell r="X4972" t="str">
            <v>Commissions - gross</v>
          </cell>
          <cell r="Y4972" t="str">
            <v>COLOMBIA</v>
          </cell>
        </row>
        <row r="4973">
          <cell r="L4973" t="str">
            <v>Non-proportional</v>
          </cell>
          <cell r="S4973">
            <v>77.290000000000006</v>
          </cell>
          <cell r="X4973" t="str">
            <v>Commissions - gross</v>
          </cell>
          <cell r="Y4973" t="str">
            <v>REPUBLIC OF IRELAND</v>
          </cell>
        </row>
        <row r="4974">
          <cell r="L4974" t="str">
            <v>Non-proportional</v>
          </cell>
          <cell r="S4974">
            <v>13.14</v>
          </cell>
          <cell r="X4974" t="str">
            <v>Commissions - gross</v>
          </cell>
          <cell r="Y4974" t="str">
            <v>JAPAN</v>
          </cell>
        </row>
        <row r="4975">
          <cell r="L4975" t="str">
            <v>Non-proportional</v>
          </cell>
          <cell r="S4975">
            <v>4395.4799999999996</v>
          </cell>
          <cell r="X4975" t="str">
            <v>Commissions - gross</v>
          </cell>
          <cell r="Y4975" t="str">
            <v>UNITED KINGDOM</v>
          </cell>
        </row>
        <row r="4976">
          <cell r="L4976" t="str">
            <v>Non-proportional</v>
          </cell>
          <cell r="S4976">
            <v>528.92999999999995</v>
          </cell>
          <cell r="X4976" t="str">
            <v>Commissions - gross</v>
          </cell>
          <cell r="Y4976" t="str">
            <v>CHILE</v>
          </cell>
        </row>
        <row r="4977">
          <cell r="L4977" t="str">
            <v>Non-proportional</v>
          </cell>
          <cell r="S4977">
            <v>-9948.33</v>
          </cell>
          <cell r="X4977" t="str">
            <v>Commissions - gross</v>
          </cell>
          <cell r="Y4977" t="str">
            <v>FRANCE</v>
          </cell>
        </row>
        <row r="4978">
          <cell r="L4978" t="str">
            <v>Non-proportional</v>
          </cell>
          <cell r="S4978">
            <v>584.51</v>
          </cell>
          <cell r="X4978" t="str">
            <v>Commissions - gross</v>
          </cell>
          <cell r="Y4978" t="str">
            <v>PUERTO RICO</v>
          </cell>
        </row>
        <row r="4979">
          <cell r="L4979" t="str">
            <v>Proportional</v>
          </cell>
          <cell r="S4979">
            <v>1795.09</v>
          </cell>
          <cell r="X4979" t="str">
            <v>Commissions - gross</v>
          </cell>
          <cell r="Y4979" t="str">
            <v>MEXICO</v>
          </cell>
        </row>
        <row r="4980">
          <cell r="L4980" t="str">
            <v>Non-proportional</v>
          </cell>
          <cell r="S4980">
            <v>-10282.950000000001</v>
          </cell>
          <cell r="X4980" t="str">
            <v>Commissions - gross</v>
          </cell>
          <cell r="Y4980" t="str">
            <v>NETHERLANDS</v>
          </cell>
        </row>
        <row r="4981">
          <cell r="L4981" t="str">
            <v>Proportional</v>
          </cell>
          <cell r="S4981">
            <v>-7448.84</v>
          </cell>
          <cell r="X4981" t="str">
            <v>Commissions - gross</v>
          </cell>
          <cell r="Y4981" t="str">
            <v>ITALY</v>
          </cell>
        </row>
        <row r="4982">
          <cell r="L4982" t="str">
            <v>Non-proportional</v>
          </cell>
          <cell r="S4982">
            <v>-2034.04</v>
          </cell>
          <cell r="X4982" t="str">
            <v>Commissions - gross</v>
          </cell>
          <cell r="Y4982" t="str">
            <v>FRANCE</v>
          </cell>
        </row>
        <row r="4983">
          <cell r="L4983" t="str">
            <v>Non-proportional</v>
          </cell>
          <cell r="S4983">
            <v>116.95</v>
          </cell>
          <cell r="X4983" t="str">
            <v>Commissions - gross</v>
          </cell>
          <cell r="Y4983" t="str">
            <v>PERU</v>
          </cell>
        </row>
        <row r="4984">
          <cell r="L4984" t="str">
            <v>Non-proportional</v>
          </cell>
          <cell r="S4984">
            <v>-2237.38</v>
          </cell>
          <cell r="X4984" t="str">
            <v>Commissions - gross</v>
          </cell>
          <cell r="Y4984" t="str">
            <v>PERU</v>
          </cell>
        </row>
        <row r="4985">
          <cell r="L4985" t="str">
            <v>Non-proportional</v>
          </cell>
          <cell r="S4985">
            <v>-11539.31</v>
          </cell>
          <cell r="X4985" t="str">
            <v>Commissions - gross</v>
          </cell>
          <cell r="Y4985" t="str">
            <v>COLOMBIA</v>
          </cell>
        </row>
        <row r="4986">
          <cell r="L4986" t="str">
            <v>Non-proportional</v>
          </cell>
          <cell r="S4986">
            <v>-41829.43</v>
          </cell>
          <cell r="X4986" t="str">
            <v>Commissions - gross</v>
          </cell>
          <cell r="Y4986" t="str">
            <v>FRANCE</v>
          </cell>
        </row>
        <row r="4987">
          <cell r="L4987" t="str">
            <v>Non-proportional</v>
          </cell>
          <cell r="S4987">
            <v>-3977.66</v>
          </cell>
          <cell r="X4987" t="str">
            <v>Commissions - gross</v>
          </cell>
          <cell r="Y4987" t="str">
            <v>ISRAEL</v>
          </cell>
        </row>
        <row r="4988">
          <cell r="L4988" t="str">
            <v>Non-proportional</v>
          </cell>
          <cell r="S4988">
            <v>212.28</v>
          </cell>
          <cell r="X4988" t="str">
            <v>Commissions - gross</v>
          </cell>
          <cell r="Y4988" t="str">
            <v>DOMINICAN REPUBLIC</v>
          </cell>
        </row>
        <row r="4989">
          <cell r="L4989" t="str">
            <v>Non-proportional</v>
          </cell>
          <cell r="S4989">
            <v>-20.010000000000002</v>
          </cell>
          <cell r="X4989" t="str">
            <v>Commissions - gross</v>
          </cell>
          <cell r="Y4989" t="str">
            <v>JAPAN</v>
          </cell>
        </row>
        <row r="4990">
          <cell r="L4990" t="str">
            <v>Non-proportional</v>
          </cell>
          <cell r="S4990">
            <v>-18.079999999999998</v>
          </cell>
          <cell r="X4990" t="str">
            <v>Commissions - gross</v>
          </cell>
          <cell r="Y4990" t="str">
            <v>ISRAEL</v>
          </cell>
        </row>
        <row r="4991">
          <cell r="L4991" t="str">
            <v>Non-proportional</v>
          </cell>
          <cell r="S4991">
            <v>-80.28</v>
          </cell>
          <cell r="X4991" t="str">
            <v>Commissions - gross</v>
          </cell>
          <cell r="Y4991" t="str">
            <v>UNITED KINGDOM</v>
          </cell>
        </row>
        <row r="4992">
          <cell r="L4992" t="str">
            <v>Non-proportional</v>
          </cell>
          <cell r="S4992">
            <v>-7427.63</v>
          </cell>
          <cell r="X4992" t="str">
            <v>Commissions - gross</v>
          </cell>
          <cell r="Y4992" t="str">
            <v>THAILAND</v>
          </cell>
        </row>
        <row r="4993">
          <cell r="L4993" t="str">
            <v>Non-proportional</v>
          </cell>
          <cell r="S4993">
            <v>661.85</v>
          </cell>
          <cell r="X4993" t="str">
            <v>Commissions - gross</v>
          </cell>
          <cell r="Y4993" t="str">
            <v>SPAIN</v>
          </cell>
        </row>
        <row r="4994">
          <cell r="L4994" t="str">
            <v>Non-proportional</v>
          </cell>
          <cell r="S4994">
            <v>-5421.17</v>
          </cell>
          <cell r="X4994" t="str">
            <v>Commissions - gross</v>
          </cell>
          <cell r="Y4994" t="str">
            <v>UNITED KINGDOM</v>
          </cell>
        </row>
        <row r="4995">
          <cell r="L4995" t="str">
            <v>Non-proportional</v>
          </cell>
          <cell r="S4995">
            <v>-2716.59</v>
          </cell>
          <cell r="X4995" t="str">
            <v>Commissions - gross</v>
          </cell>
          <cell r="Y4995" t="str">
            <v>FRANCE</v>
          </cell>
        </row>
        <row r="4996">
          <cell r="L4996" t="str">
            <v>Non-proportional</v>
          </cell>
          <cell r="S4996">
            <v>-75.56</v>
          </cell>
          <cell r="X4996" t="str">
            <v>Commissions - gross</v>
          </cell>
          <cell r="Y4996" t="str">
            <v>CHILE</v>
          </cell>
        </row>
        <row r="4997">
          <cell r="L4997" t="str">
            <v>Non-proportional</v>
          </cell>
          <cell r="S4997">
            <v>-7351.68</v>
          </cell>
          <cell r="X4997" t="str">
            <v>Commissions - gross</v>
          </cell>
          <cell r="Y4997" t="str">
            <v>FRANCE</v>
          </cell>
        </row>
        <row r="4998">
          <cell r="L4998" t="str">
            <v>Non-proportional</v>
          </cell>
          <cell r="S4998">
            <v>-3569.24</v>
          </cell>
          <cell r="X4998" t="str">
            <v>Commissions - gross</v>
          </cell>
          <cell r="Y4998" t="str">
            <v>FRANCE</v>
          </cell>
        </row>
        <row r="4999">
          <cell r="L4999" t="str">
            <v>Non-proportional</v>
          </cell>
          <cell r="S4999">
            <v>937.59</v>
          </cell>
          <cell r="X4999" t="str">
            <v>Commissions - gross</v>
          </cell>
          <cell r="Y4999" t="str">
            <v>JAPAN</v>
          </cell>
        </row>
        <row r="5000">
          <cell r="L5000" t="str">
            <v>Non-proportional</v>
          </cell>
          <cell r="S5000">
            <v>525.96</v>
          </cell>
          <cell r="X5000" t="str">
            <v>Commissions - gross</v>
          </cell>
          <cell r="Y5000" t="str">
            <v>SPAIN</v>
          </cell>
        </row>
        <row r="5001">
          <cell r="L5001" t="str">
            <v>Non-proportional</v>
          </cell>
          <cell r="S5001">
            <v>793.72</v>
          </cell>
          <cell r="X5001" t="str">
            <v>Commissions - gross</v>
          </cell>
          <cell r="Y5001" t="str">
            <v>UNITED KINGDOM</v>
          </cell>
        </row>
        <row r="5002">
          <cell r="L5002" t="str">
            <v>Non-proportional</v>
          </cell>
          <cell r="S5002">
            <v>-126383.51</v>
          </cell>
          <cell r="X5002" t="str">
            <v>Commissions - gross</v>
          </cell>
          <cell r="Y5002" t="str">
            <v>HONG KONG</v>
          </cell>
        </row>
        <row r="5003">
          <cell r="L5003" t="str">
            <v>Non-proportional</v>
          </cell>
          <cell r="S5003">
            <v>-18328.240000000002</v>
          </cell>
          <cell r="X5003" t="str">
            <v>Commissions - gross</v>
          </cell>
          <cell r="Y5003" t="str">
            <v>SOUTH KOREA</v>
          </cell>
        </row>
        <row r="5004">
          <cell r="L5004" t="str">
            <v>Non-proportional</v>
          </cell>
          <cell r="S5004">
            <v>-702.37</v>
          </cell>
          <cell r="X5004" t="str">
            <v>Commissions - gross</v>
          </cell>
          <cell r="Y5004" t="str">
            <v>MALTA</v>
          </cell>
        </row>
        <row r="5005">
          <cell r="L5005" t="str">
            <v>Non-proportional</v>
          </cell>
          <cell r="S5005">
            <v>-673.75</v>
          </cell>
          <cell r="X5005" t="str">
            <v>Commissions - gross</v>
          </cell>
          <cell r="Y5005" t="str">
            <v>GREECE</v>
          </cell>
        </row>
        <row r="5006">
          <cell r="L5006" t="str">
            <v>Non-proportional</v>
          </cell>
          <cell r="S5006">
            <v>3547.8</v>
          </cell>
          <cell r="X5006" t="str">
            <v>Commissions - gross</v>
          </cell>
          <cell r="Y5006" t="str">
            <v>UNITED KINGDOM</v>
          </cell>
        </row>
        <row r="5007">
          <cell r="L5007" t="str">
            <v>Non-proportional</v>
          </cell>
          <cell r="S5007">
            <v>-8.4499999999999993</v>
          </cell>
          <cell r="X5007" t="str">
            <v>Commissions - gross</v>
          </cell>
          <cell r="Y5007" t="str">
            <v>NEW ZEALAND</v>
          </cell>
        </row>
        <row r="5008">
          <cell r="L5008" t="str">
            <v>Non-proportional</v>
          </cell>
          <cell r="S5008">
            <v>-1434.16</v>
          </cell>
          <cell r="X5008" t="str">
            <v>Commissions - gross</v>
          </cell>
          <cell r="Y5008" t="str">
            <v>CYPRUS</v>
          </cell>
        </row>
        <row r="5009">
          <cell r="L5009" t="str">
            <v>Non-proportional</v>
          </cell>
          <cell r="S5009">
            <v>-8991.82</v>
          </cell>
          <cell r="X5009" t="str">
            <v>Commissions - gross</v>
          </cell>
          <cell r="Y5009" t="str">
            <v>CHILE</v>
          </cell>
        </row>
        <row r="5010">
          <cell r="L5010" t="str">
            <v>Non-proportional</v>
          </cell>
          <cell r="S5010">
            <v>-3.25</v>
          </cell>
          <cell r="X5010" t="str">
            <v>Commissions - gross</v>
          </cell>
          <cell r="Y5010" t="str">
            <v>NEW ZEALAND</v>
          </cell>
        </row>
        <row r="5011">
          <cell r="L5011" t="str">
            <v>Non-proportional</v>
          </cell>
          <cell r="S5011">
            <v>209.39</v>
          </cell>
          <cell r="X5011" t="str">
            <v>Commissions - gross</v>
          </cell>
          <cell r="Y5011" t="str">
            <v>AUSTRALIA</v>
          </cell>
        </row>
        <row r="5012">
          <cell r="L5012" t="str">
            <v>Non-proportional</v>
          </cell>
          <cell r="S5012">
            <v>207.23</v>
          </cell>
          <cell r="X5012" t="str">
            <v>Commissions - gross</v>
          </cell>
          <cell r="Y5012" t="str">
            <v>JAPAN</v>
          </cell>
        </row>
        <row r="5013">
          <cell r="L5013" t="str">
            <v>Non-proportional</v>
          </cell>
          <cell r="S5013">
            <v>-1473.11</v>
          </cell>
          <cell r="X5013" t="str">
            <v>Commissions - gross</v>
          </cell>
          <cell r="Y5013" t="str">
            <v>COSTA RICA</v>
          </cell>
        </row>
        <row r="5014">
          <cell r="L5014" t="str">
            <v>Non-proportional</v>
          </cell>
          <cell r="S5014">
            <v>-8076.63</v>
          </cell>
          <cell r="X5014" t="str">
            <v>Commissions - gross</v>
          </cell>
          <cell r="Y5014" t="str">
            <v>FRANCE</v>
          </cell>
        </row>
        <row r="5015">
          <cell r="L5015" t="str">
            <v>Non-proportional</v>
          </cell>
          <cell r="S5015">
            <v>-2686.7</v>
          </cell>
          <cell r="X5015" t="str">
            <v>Commissions - gross</v>
          </cell>
          <cell r="Y5015" t="str">
            <v>CYPRUS</v>
          </cell>
        </row>
        <row r="5016">
          <cell r="L5016" t="str">
            <v>Proportional</v>
          </cell>
          <cell r="S5016">
            <v>-20610.47</v>
          </cell>
          <cell r="X5016" t="str">
            <v>Commissions - gross</v>
          </cell>
          <cell r="Y5016" t="str">
            <v>UNITED ARAB EMIRATES</v>
          </cell>
        </row>
        <row r="5017">
          <cell r="L5017" t="str">
            <v>Non-proportional</v>
          </cell>
          <cell r="S5017">
            <v>0</v>
          </cell>
          <cell r="X5017" t="str">
            <v>Commissions - gross</v>
          </cell>
          <cell r="Y5017" t="str">
            <v>COLOMBIA</v>
          </cell>
        </row>
        <row r="5018">
          <cell r="L5018" t="str">
            <v>Non-proportional</v>
          </cell>
          <cell r="S5018">
            <v>-26973.94</v>
          </cell>
          <cell r="X5018" t="str">
            <v>Commissions - gross</v>
          </cell>
          <cell r="Y5018" t="str">
            <v>ISRAEL</v>
          </cell>
        </row>
        <row r="5019">
          <cell r="L5019" t="str">
            <v>Non-proportional</v>
          </cell>
          <cell r="S5019">
            <v>435.5</v>
          </cell>
          <cell r="X5019" t="str">
            <v>Commissions - gross</v>
          </cell>
          <cell r="Y5019" t="str">
            <v>INDIA</v>
          </cell>
        </row>
        <row r="5020">
          <cell r="L5020" t="str">
            <v>Non-proportional</v>
          </cell>
          <cell r="S5020">
            <v>45.95</v>
          </cell>
          <cell r="X5020" t="str">
            <v>Commissions - gross</v>
          </cell>
          <cell r="Y5020" t="str">
            <v>TURKEY</v>
          </cell>
        </row>
        <row r="5021">
          <cell r="L5021" t="str">
            <v>Non-proportional</v>
          </cell>
          <cell r="S5021">
            <v>-8253.2999999999993</v>
          </cell>
          <cell r="X5021" t="str">
            <v>Commissions - gross</v>
          </cell>
          <cell r="Y5021" t="str">
            <v>CYPRUS</v>
          </cell>
        </row>
        <row r="5022">
          <cell r="L5022" t="str">
            <v>Non-proportional</v>
          </cell>
          <cell r="S5022">
            <v>-4604.5</v>
          </cell>
          <cell r="X5022" t="str">
            <v>Commissions - gross</v>
          </cell>
          <cell r="Y5022" t="str">
            <v>FRANCE</v>
          </cell>
        </row>
        <row r="5023">
          <cell r="L5023" t="str">
            <v>Non-proportional</v>
          </cell>
          <cell r="S5023">
            <v>436.23</v>
          </cell>
          <cell r="X5023" t="str">
            <v>Commissions - gross</v>
          </cell>
          <cell r="Y5023" t="str">
            <v>UNITED KINGDOM</v>
          </cell>
        </row>
        <row r="5024">
          <cell r="L5024" t="str">
            <v>Non-proportional</v>
          </cell>
          <cell r="S5024">
            <v>-3437.48</v>
          </cell>
          <cell r="X5024" t="str">
            <v>Commissions - gross</v>
          </cell>
          <cell r="Y5024" t="str">
            <v>ISRAEL</v>
          </cell>
        </row>
        <row r="5025">
          <cell r="L5025" t="str">
            <v>Non-proportional</v>
          </cell>
          <cell r="S5025">
            <v>1309.6099999999999</v>
          </cell>
          <cell r="X5025" t="str">
            <v>Commissions - gross</v>
          </cell>
          <cell r="Y5025" t="str">
            <v>AUSTRALIA</v>
          </cell>
        </row>
        <row r="5026">
          <cell r="L5026" t="str">
            <v>Non-proportional</v>
          </cell>
          <cell r="S5026">
            <v>-25506.25</v>
          </cell>
          <cell r="X5026" t="str">
            <v>Commissions - gross</v>
          </cell>
          <cell r="Y5026" t="str">
            <v>ITALY</v>
          </cell>
        </row>
        <row r="5027">
          <cell r="L5027" t="str">
            <v>Non-proportional</v>
          </cell>
          <cell r="S5027">
            <v>964.07</v>
          </cell>
          <cell r="X5027" t="str">
            <v>Commissions - gross</v>
          </cell>
          <cell r="Y5027" t="str">
            <v>UNITED KINGDOM</v>
          </cell>
        </row>
        <row r="5028">
          <cell r="L5028" t="str">
            <v>Non-proportional</v>
          </cell>
          <cell r="S5028">
            <v>-6436.47</v>
          </cell>
          <cell r="X5028" t="str">
            <v>Commissions - gross</v>
          </cell>
          <cell r="Y5028" t="str">
            <v>ITALY</v>
          </cell>
        </row>
        <row r="5029">
          <cell r="L5029" t="str">
            <v>Non-proportional</v>
          </cell>
          <cell r="S5029">
            <v>-4107.45</v>
          </cell>
          <cell r="X5029" t="str">
            <v>Commissions - gross</v>
          </cell>
          <cell r="Y5029" t="str">
            <v>GUATEMALA</v>
          </cell>
        </row>
        <row r="5030">
          <cell r="L5030" t="str">
            <v>Non-proportional</v>
          </cell>
          <cell r="S5030">
            <v>-1784.23</v>
          </cell>
          <cell r="X5030" t="str">
            <v>Commissions - gross</v>
          </cell>
          <cell r="Y5030" t="str">
            <v>GUATEMALA</v>
          </cell>
        </row>
        <row r="5031">
          <cell r="L5031" t="str">
            <v>Non-proportional</v>
          </cell>
          <cell r="S5031">
            <v>-51551.13</v>
          </cell>
          <cell r="X5031" t="str">
            <v>Commissions - gross</v>
          </cell>
          <cell r="Y5031" t="str">
            <v>FRANCE</v>
          </cell>
        </row>
        <row r="5032">
          <cell r="L5032" t="str">
            <v>Non-proportional</v>
          </cell>
          <cell r="S5032">
            <v>839.32</v>
          </cell>
          <cell r="X5032" t="str">
            <v>Commissions - gross</v>
          </cell>
          <cell r="Y5032" t="str">
            <v>MEXICO</v>
          </cell>
        </row>
        <row r="5033">
          <cell r="L5033" t="str">
            <v>Proportional</v>
          </cell>
          <cell r="S5033">
            <v>-34073.29</v>
          </cell>
          <cell r="X5033" t="str">
            <v>Commissions - gross</v>
          </cell>
          <cell r="Y5033" t="str">
            <v>FRANCE</v>
          </cell>
        </row>
        <row r="5034">
          <cell r="L5034" t="str">
            <v>Non-proportional</v>
          </cell>
          <cell r="S5034">
            <v>864.5</v>
          </cell>
          <cell r="X5034" t="str">
            <v>Commissions - gross</v>
          </cell>
          <cell r="Y5034" t="str">
            <v>MEXICO</v>
          </cell>
        </row>
        <row r="5035">
          <cell r="L5035" t="str">
            <v>Non-proportional</v>
          </cell>
          <cell r="S5035">
            <v>-6694.98</v>
          </cell>
          <cell r="X5035" t="str">
            <v>Commissions - gross</v>
          </cell>
          <cell r="Y5035" t="str">
            <v>ITALY</v>
          </cell>
        </row>
        <row r="5036">
          <cell r="L5036" t="str">
            <v>Non-proportional</v>
          </cell>
          <cell r="S5036">
            <v>-1149.32</v>
          </cell>
          <cell r="X5036" t="str">
            <v>Commissions - gross</v>
          </cell>
          <cell r="Y5036" t="str">
            <v>CYPRUS</v>
          </cell>
        </row>
        <row r="5037">
          <cell r="L5037" t="str">
            <v>Non-proportional</v>
          </cell>
          <cell r="S5037">
            <v>-23833.33</v>
          </cell>
          <cell r="X5037" t="str">
            <v>Commissions - gross</v>
          </cell>
          <cell r="Y5037" t="str">
            <v>FRANCE</v>
          </cell>
        </row>
        <row r="5038">
          <cell r="L5038" t="str">
            <v>Non-proportional</v>
          </cell>
          <cell r="S5038">
            <v>1420.68</v>
          </cell>
          <cell r="X5038" t="str">
            <v>Commissions - gross</v>
          </cell>
          <cell r="Y5038" t="str">
            <v>AUSTRALIA</v>
          </cell>
        </row>
        <row r="5039">
          <cell r="L5039" t="str">
            <v>Non-proportional</v>
          </cell>
          <cell r="S5039">
            <v>-31733.439999999999</v>
          </cell>
          <cell r="X5039" t="str">
            <v>Commissions - gross</v>
          </cell>
          <cell r="Y5039" t="str">
            <v>FRANCE</v>
          </cell>
        </row>
        <row r="5040">
          <cell r="L5040" t="str">
            <v>Non-proportional</v>
          </cell>
          <cell r="S5040">
            <v>522.95000000000005</v>
          </cell>
          <cell r="X5040" t="str">
            <v>Commissions - gross</v>
          </cell>
          <cell r="Y5040" t="str">
            <v>GUATEMALA</v>
          </cell>
        </row>
        <row r="5041">
          <cell r="L5041" t="str">
            <v>Non-proportional</v>
          </cell>
          <cell r="S5041">
            <v>-6003.6</v>
          </cell>
          <cell r="X5041" t="str">
            <v>Commissions - gross</v>
          </cell>
          <cell r="Y5041" t="str">
            <v>ISRAEL</v>
          </cell>
        </row>
        <row r="5042">
          <cell r="L5042" t="str">
            <v>Non-proportional</v>
          </cell>
          <cell r="S5042">
            <v>750.86</v>
          </cell>
          <cell r="X5042" t="str">
            <v>Commissions - gross</v>
          </cell>
          <cell r="Y5042" t="str">
            <v>ECUADOR</v>
          </cell>
        </row>
        <row r="5043">
          <cell r="L5043" t="str">
            <v>Non-proportional</v>
          </cell>
          <cell r="S5043">
            <v>-4674.04</v>
          </cell>
          <cell r="X5043" t="str">
            <v>Commissions - gross</v>
          </cell>
          <cell r="Y5043" t="str">
            <v>ECUADOR</v>
          </cell>
        </row>
        <row r="5044">
          <cell r="L5044" t="str">
            <v>Non-proportional</v>
          </cell>
          <cell r="S5044">
            <v>-27225</v>
          </cell>
          <cell r="X5044" t="str">
            <v>Commissions - gross</v>
          </cell>
          <cell r="Y5044" t="str">
            <v>GREECE</v>
          </cell>
        </row>
        <row r="5045">
          <cell r="L5045" t="str">
            <v>Non-proportional</v>
          </cell>
          <cell r="S5045">
            <v>-2397.7600000000002</v>
          </cell>
          <cell r="X5045" t="str">
            <v>Commissions - gross</v>
          </cell>
          <cell r="Y5045" t="str">
            <v>FRANCE</v>
          </cell>
        </row>
        <row r="5046">
          <cell r="L5046" t="str">
            <v>Non-proportional</v>
          </cell>
          <cell r="S5046">
            <v>24.57</v>
          </cell>
          <cell r="X5046" t="str">
            <v>Commissions - gross</v>
          </cell>
          <cell r="Y5046" t="str">
            <v>JAPAN</v>
          </cell>
        </row>
        <row r="5047">
          <cell r="L5047" t="str">
            <v>Non-proportional</v>
          </cell>
          <cell r="S5047">
            <v>-29.23</v>
          </cell>
          <cell r="X5047" t="str">
            <v>Commissions - gross</v>
          </cell>
          <cell r="Y5047" t="str">
            <v>COLOMBIA</v>
          </cell>
        </row>
        <row r="5048">
          <cell r="L5048" t="str">
            <v>Non-proportional</v>
          </cell>
          <cell r="S5048">
            <v>-7940.63</v>
          </cell>
          <cell r="X5048" t="str">
            <v>Commissions - gross</v>
          </cell>
          <cell r="Y5048" t="str">
            <v>BELGIUM</v>
          </cell>
        </row>
        <row r="5049">
          <cell r="L5049" t="str">
            <v>Non-proportional</v>
          </cell>
          <cell r="S5049">
            <v>-2031.54</v>
          </cell>
          <cell r="X5049" t="str">
            <v>Commissions - gross</v>
          </cell>
          <cell r="Y5049" t="str">
            <v>FRANCE</v>
          </cell>
        </row>
        <row r="5050">
          <cell r="L5050" t="str">
            <v>Non-proportional</v>
          </cell>
          <cell r="S5050">
            <v>-39.1</v>
          </cell>
          <cell r="X5050" t="str">
            <v>Commissions - gross</v>
          </cell>
          <cell r="Y5050" t="str">
            <v>ISRAEL</v>
          </cell>
        </row>
        <row r="5051">
          <cell r="L5051" t="str">
            <v>Non-proportional</v>
          </cell>
          <cell r="S5051">
            <v>0</v>
          </cell>
          <cell r="X5051" t="str">
            <v>Commissions - gross</v>
          </cell>
          <cell r="Y5051" t="str">
            <v>COLOMBIA</v>
          </cell>
        </row>
        <row r="5052">
          <cell r="L5052" t="str">
            <v>Non-proportional</v>
          </cell>
          <cell r="S5052">
            <v>-9.7100000000000009</v>
          </cell>
          <cell r="X5052" t="str">
            <v>Commissions - gross</v>
          </cell>
          <cell r="Y5052" t="str">
            <v>JAPAN</v>
          </cell>
        </row>
        <row r="5053">
          <cell r="L5053" t="str">
            <v>Non-proportional</v>
          </cell>
          <cell r="S5053">
            <v>-3574</v>
          </cell>
          <cell r="X5053" t="str">
            <v>Commissions - gross</v>
          </cell>
          <cell r="Y5053" t="str">
            <v>FRANCE</v>
          </cell>
        </row>
        <row r="5054">
          <cell r="L5054" t="str">
            <v>Non-proportional</v>
          </cell>
          <cell r="S5054">
            <v>1115.42</v>
          </cell>
          <cell r="X5054" t="str">
            <v>Commissions - gross</v>
          </cell>
          <cell r="Y5054" t="str">
            <v>INDIA</v>
          </cell>
        </row>
        <row r="5055">
          <cell r="L5055" t="str">
            <v>Non-proportional</v>
          </cell>
          <cell r="S5055">
            <v>458.09</v>
          </cell>
          <cell r="X5055" t="str">
            <v>Commissions - gross</v>
          </cell>
          <cell r="Y5055" t="str">
            <v>NEW ZEALAND</v>
          </cell>
        </row>
        <row r="5056">
          <cell r="L5056" t="str">
            <v>Non-proportional</v>
          </cell>
          <cell r="S5056">
            <v>-8903.68</v>
          </cell>
          <cell r="X5056" t="str">
            <v>Commissions - gross</v>
          </cell>
          <cell r="Y5056" t="str">
            <v>PERU</v>
          </cell>
        </row>
        <row r="5057">
          <cell r="L5057" t="str">
            <v>Non-proportional</v>
          </cell>
          <cell r="S5057">
            <v>-2.35</v>
          </cell>
          <cell r="X5057" t="str">
            <v>Commissions - gross</v>
          </cell>
          <cell r="Y5057" t="str">
            <v>NEW ZEALAND</v>
          </cell>
        </row>
        <row r="5058">
          <cell r="L5058" t="str">
            <v>Non-proportional</v>
          </cell>
          <cell r="S5058">
            <v>14.63</v>
          </cell>
          <cell r="X5058" t="str">
            <v>Commissions - gross</v>
          </cell>
          <cell r="Y5058" t="str">
            <v>FRANCE</v>
          </cell>
        </row>
        <row r="5059">
          <cell r="L5059" t="str">
            <v>Non-proportional</v>
          </cell>
          <cell r="S5059">
            <v>-3953.13</v>
          </cell>
          <cell r="X5059" t="str">
            <v>Commissions - gross</v>
          </cell>
          <cell r="Y5059" t="str">
            <v>GREECE</v>
          </cell>
        </row>
        <row r="5060">
          <cell r="L5060" t="str">
            <v>Non-proportional</v>
          </cell>
          <cell r="S5060">
            <v>-244128.5</v>
          </cell>
          <cell r="X5060" t="str">
            <v>Commissions - gross</v>
          </cell>
          <cell r="Y5060" t="str">
            <v>BELGIUM</v>
          </cell>
        </row>
        <row r="5061">
          <cell r="L5061" t="str">
            <v>Non-proportional</v>
          </cell>
          <cell r="S5061">
            <v>-21154.639999999999</v>
          </cell>
          <cell r="X5061" t="str">
            <v>Commissions - gross</v>
          </cell>
          <cell r="Y5061" t="str">
            <v>FRANCE</v>
          </cell>
        </row>
        <row r="5062">
          <cell r="L5062" t="str">
            <v>Non-proportional</v>
          </cell>
          <cell r="S5062">
            <v>941.87</v>
          </cell>
          <cell r="X5062" t="str">
            <v>Commissions - gross</v>
          </cell>
          <cell r="Y5062" t="str">
            <v>MEXICO</v>
          </cell>
        </row>
        <row r="5063">
          <cell r="L5063" t="str">
            <v>Non-proportional</v>
          </cell>
          <cell r="S5063">
            <v>359.51</v>
          </cell>
          <cell r="X5063" t="str">
            <v>Commissions - gross</v>
          </cell>
          <cell r="Y5063" t="str">
            <v>COLOMBIA</v>
          </cell>
        </row>
        <row r="5064">
          <cell r="L5064" t="str">
            <v>Non-proportional</v>
          </cell>
          <cell r="S5064">
            <v>293.66000000000003</v>
          </cell>
          <cell r="X5064" t="str">
            <v>Commissions - gross</v>
          </cell>
          <cell r="Y5064" t="str">
            <v>UNITED KINGDOM</v>
          </cell>
        </row>
        <row r="5065">
          <cell r="L5065" t="str">
            <v>Non-proportional</v>
          </cell>
          <cell r="S5065">
            <v>-3927.69</v>
          </cell>
          <cell r="X5065" t="str">
            <v>Commissions - gross</v>
          </cell>
          <cell r="Y5065" t="str">
            <v>GREECE</v>
          </cell>
        </row>
        <row r="5066">
          <cell r="L5066" t="str">
            <v>Non-proportional</v>
          </cell>
          <cell r="S5066">
            <v>1104.2</v>
          </cell>
          <cell r="X5066" t="str">
            <v>Commissions - gross</v>
          </cell>
          <cell r="Y5066" t="str">
            <v>EUROPE</v>
          </cell>
        </row>
        <row r="5067">
          <cell r="L5067" t="str">
            <v>Non-proportional</v>
          </cell>
          <cell r="S5067">
            <v>-10096.209999999999</v>
          </cell>
          <cell r="X5067" t="str">
            <v>Commissions - gross</v>
          </cell>
          <cell r="Y5067" t="str">
            <v>FRANCE</v>
          </cell>
        </row>
        <row r="5068">
          <cell r="L5068" t="str">
            <v>Non-proportional</v>
          </cell>
          <cell r="S5068">
            <v>-7285.46</v>
          </cell>
          <cell r="X5068" t="str">
            <v>Commissions - gross</v>
          </cell>
          <cell r="Y5068" t="str">
            <v>CYPRUS</v>
          </cell>
        </row>
        <row r="5069">
          <cell r="L5069" t="str">
            <v>Non-proportional</v>
          </cell>
          <cell r="S5069">
            <v>106.31</v>
          </cell>
          <cell r="X5069" t="str">
            <v>Commissions - gross</v>
          </cell>
          <cell r="Y5069" t="str">
            <v>MEXICO</v>
          </cell>
        </row>
        <row r="5070">
          <cell r="L5070" t="str">
            <v>Non-proportional</v>
          </cell>
          <cell r="S5070">
            <v>222.08</v>
          </cell>
          <cell r="X5070" t="str">
            <v>Commissions - gross</v>
          </cell>
          <cell r="Y5070" t="str">
            <v>JAPAN</v>
          </cell>
        </row>
        <row r="5071">
          <cell r="L5071" t="str">
            <v>Non-proportional</v>
          </cell>
          <cell r="S5071">
            <v>-5379.09</v>
          </cell>
          <cell r="X5071" t="str">
            <v>Commissions - gross</v>
          </cell>
          <cell r="Y5071" t="str">
            <v>FRANCE</v>
          </cell>
        </row>
        <row r="5072">
          <cell r="L5072" t="str">
            <v>Non-proportional</v>
          </cell>
          <cell r="S5072">
            <v>-3.54</v>
          </cell>
          <cell r="X5072" t="str">
            <v>Commissions - gross</v>
          </cell>
          <cell r="Y5072" t="str">
            <v>JAPAN</v>
          </cell>
        </row>
        <row r="5073">
          <cell r="L5073" t="str">
            <v>Non-proportional</v>
          </cell>
          <cell r="S5073">
            <v>5.28</v>
          </cell>
          <cell r="X5073" t="str">
            <v>Commissions - gross</v>
          </cell>
          <cell r="Y5073" t="str">
            <v>JAPAN</v>
          </cell>
        </row>
        <row r="5074">
          <cell r="L5074" t="str">
            <v>Proportional</v>
          </cell>
          <cell r="S5074">
            <v>-2327.09</v>
          </cell>
          <cell r="X5074" t="str">
            <v>Commissions - gross</v>
          </cell>
          <cell r="Y5074" t="str">
            <v>JAPAN</v>
          </cell>
        </row>
        <row r="5075">
          <cell r="L5075" t="str">
            <v>Non-proportional</v>
          </cell>
          <cell r="S5075">
            <v>-8345.15</v>
          </cell>
          <cell r="X5075" t="str">
            <v>Commissions - gross</v>
          </cell>
          <cell r="Y5075" t="str">
            <v>FRANCE</v>
          </cell>
        </row>
        <row r="5076">
          <cell r="L5076" t="str">
            <v>Non-proportional</v>
          </cell>
          <cell r="S5076">
            <v>-38.81</v>
          </cell>
          <cell r="X5076" t="str">
            <v>Commissions - gross</v>
          </cell>
          <cell r="Y5076" t="str">
            <v>COLOMBIA</v>
          </cell>
        </row>
        <row r="5077">
          <cell r="L5077" t="str">
            <v>Non-proportional</v>
          </cell>
          <cell r="S5077">
            <v>-6510.28</v>
          </cell>
          <cell r="X5077" t="str">
            <v>Commissions - gross</v>
          </cell>
          <cell r="Y5077" t="str">
            <v>EUROPE</v>
          </cell>
        </row>
        <row r="5078">
          <cell r="L5078" t="str">
            <v>Non-proportional</v>
          </cell>
          <cell r="S5078">
            <v>3399.23</v>
          </cell>
          <cell r="X5078" t="str">
            <v>Commissions - gross</v>
          </cell>
          <cell r="Y5078" t="str">
            <v>UNITED KINGDOM</v>
          </cell>
        </row>
        <row r="5079">
          <cell r="L5079" t="str">
            <v>Non-proportional</v>
          </cell>
          <cell r="S5079">
            <v>-3559.51</v>
          </cell>
          <cell r="X5079" t="str">
            <v>Commissions - gross</v>
          </cell>
          <cell r="Y5079" t="str">
            <v>UNITED KINGDOM</v>
          </cell>
        </row>
        <row r="5080">
          <cell r="L5080" t="str">
            <v>Non-proportional</v>
          </cell>
          <cell r="S5080">
            <v>482.55</v>
          </cell>
          <cell r="X5080" t="str">
            <v>Commissions - gross</v>
          </cell>
          <cell r="Y5080" t="str">
            <v>DOMINICAN REPUBLIC</v>
          </cell>
        </row>
        <row r="5081">
          <cell r="L5081" t="str">
            <v>Non-proportional</v>
          </cell>
          <cell r="S5081">
            <v>-880</v>
          </cell>
          <cell r="X5081" t="str">
            <v>Commissions - gross</v>
          </cell>
          <cell r="Y5081" t="str">
            <v>ITALY</v>
          </cell>
        </row>
        <row r="5082">
          <cell r="L5082" t="str">
            <v>Non-proportional</v>
          </cell>
          <cell r="S5082">
            <v>-13.15</v>
          </cell>
          <cell r="X5082" t="str">
            <v>Commissions - gross</v>
          </cell>
          <cell r="Y5082" t="str">
            <v>ISRAEL</v>
          </cell>
        </row>
        <row r="5083">
          <cell r="L5083" t="str">
            <v>Non-proportional</v>
          </cell>
          <cell r="S5083">
            <v>128.71</v>
          </cell>
          <cell r="X5083" t="str">
            <v>Commissions - gross</v>
          </cell>
          <cell r="Y5083" t="str">
            <v>COLOMBIA</v>
          </cell>
        </row>
        <row r="5084">
          <cell r="L5084" t="str">
            <v>Non-proportional</v>
          </cell>
          <cell r="S5084">
            <v>228.69</v>
          </cell>
          <cell r="X5084" t="str">
            <v>Commissions - gross</v>
          </cell>
          <cell r="Y5084" t="str">
            <v>GUATEMALA</v>
          </cell>
        </row>
        <row r="5085">
          <cell r="L5085" t="str">
            <v>Non-proportional</v>
          </cell>
          <cell r="S5085">
            <v>151.36000000000001</v>
          </cell>
          <cell r="X5085" t="str">
            <v>Commissions - gross</v>
          </cell>
          <cell r="Y5085" t="str">
            <v>COLOMBIA</v>
          </cell>
        </row>
        <row r="5086">
          <cell r="L5086" t="str">
            <v>Non-proportional</v>
          </cell>
          <cell r="S5086">
            <v>-13925.58</v>
          </cell>
          <cell r="X5086" t="str">
            <v>Commissions - gross</v>
          </cell>
          <cell r="Y5086" t="str">
            <v>ITALY</v>
          </cell>
        </row>
        <row r="5087">
          <cell r="L5087" t="str">
            <v>Non-proportional</v>
          </cell>
          <cell r="S5087">
            <v>-14.97</v>
          </cell>
          <cell r="X5087" t="str">
            <v>Commissions - gross</v>
          </cell>
          <cell r="Y5087" t="str">
            <v>JAPAN</v>
          </cell>
        </row>
        <row r="5088">
          <cell r="L5088" t="str">
            <v>Non-proportional</v>
          </cell>
          <cell r="S5088">
            <v>672.96</v>
          </cell>
          <cell r="X5088" t="str">
            <v>Commissions - gross</v>
          </cell>
          <cell r="Y5088" t="str">
            <v>AUSTRALIA</v>
          </cell>
        </row>
        <row r="5089">
          <cell r="L5089" t="str">
            <v>Non-proportional</v>
          </cell>
          <cell r="S5089">
            <v>258.85000000000002</v>
          </cell>
          <cell r="X5089" t="str">
            <v>Commissions - gross</v>
          </cell>
          <cell r="Y5089" t="str">
            <v>DOMINICAN REPUBLIC</v>
          </cell>
        </row>
        <row r="5090">
          <cell r="L5090" t="str">
            <v>Non-proportional</v>
          </cell>
          <cell r="S5090">
            <v>294.58999999999997</v>
          </cell>
          <cell r="X5090" t="str">
            <v>Commissions - gross</v>
          </cell>
          <cell r="Y5090" t="str">
            <v>JAPAN</v>
          </cell>
        </row>
        <row r="5091">
          <cell r="L5091" t="str">
            <v>Non-proportional</v>
          </cell>
          <cell r="S5091">
            <v>311.44</v>
          </cell>
          <cell r="X5091" t="str">
            <v>Commissions - gross</v>
          </cell>
          <cell r="Y5091" t="str">
            <v>ECUADOR</v>
          </cell>
        </row>
        <row r="5092">
          <cell r="L5092" t="str">
            <v>Non-proportional</v>
          </cell>
          <cell r="S5092">
            <v>528.92999999999995</v>
          </cell>
          <cell r="X5092" t="str">
            <v>Commissions - gross</v>
          </cell>
          <cell r="Y5092" t="str">
            <v>CHILE</v>
          </cell>
        </row>
        <row r="5093">
          <cell r="L5093" t="str">
            <v>Non-proportional</v>
          </cell>
          <cell r="S5093">
            <v>-11711.25</v>
          </cell>
          <cell r="X5093" t="str">
            <v>Commissions - gross</v>
          </cell>
          <cell r="Y5093" t="str">
            <v>PERU</v>
          </cell>
        </row>
        <row r="5094">
          <cell r="L5094" t="str">
            <v>Non-proportional</v>
          </cell>
          <cell r="S5094">
            <v>194.65</v>
          </cell>
          <cell r="X5094" t="str">
            <v>Commissions - gross</v>
          </cell>
          <cell r="Y5094" t="str">
            <v>REPUBLIC OF IRELAND</v>
          </cell>
        </row>
        <row r="5095">
          <cell r="L5095" t="str">
            <v>Non-proportional</v>
          </cell>
          <cell r="S5095">
            <v>4049.12</v>
          </cell>
          <cell r="X5095" t="str">
            <v>Commissions - gross</v>
          </cell>
          <cell r="Y5095" t="str">
            <v>UNITED KINGDOM</v>
          </cell>
        </row>
        <row r="5096">
          <cell r="L5096" t="str">
            <v>Non-proportional</v>
          </cell>
          <cell r="S5096">
            <v>-116295.67</v>
          </cell>
          <cell r="X5096" t="str">
            <v>Commissions - gross</v>
          </cell>
          <cell r="Y5096" t="str">
            <v>FRANCE</v>
          </cell>
        </row>
        <row r="5097">
          <cell r="L5097" t="str">
            <v>Non-proportional</v>
          </cell>
          <cell r="S5097">
            <v>-0.99</v>
          </cell>
          <cell r="X5097" t="str">
            <v>Commissions - gross</v>
          </cell>
          <cell r="Y5097" t="str">
            <v>JAPAN</v>
          </cell>
        </row>
        <row r="5098">
          <cell r="L5098" t="str">
            <v>Non-proportional</v>
          </cell>
          <cell r="S5098">
            <v>37.78</v>
          </cell>
          <cell r="X5098" t="str">
            <v>Commissions - gross</v>
          </cell>
          <cell r="Y5098" t="str">
            <v>CHILE</v>
          </cell>
        </row>
        <row r="5099">
          <cell r="L5099" t="str">
            <v>Non-proportional</v>
          </cell>
          <cell r="S5099">
            <v>-17474.009999999998</v>
          </cell>
          <cell r="X5099" t="str">
            <v>Commissions - gross</v>
          </cell>
          <cell r="Y5099" t="str">
            <v>EUROPE</v>
          </cell>
        </row>
        <row r="5100">
          <cell r="L5100" t="str">
            <v>Non-proportional</v>
          </cell>
          <cell r="S5100">
            <v>2.4300000000000002</v>
          </cell>
          <cell r="X5100" t="str">
            <v>Commissions - gross</v>
          </cell>
          <cell r="Y5100" t="str">
            <v>INDIA</v>
          </cell>
        </row>
        <row r="5101">
          <cell r="L5101" t="str">
            <v>Non-proportional</v>
          </cell>
          <cell r="S5101">
            <v>-731.55</v>
          </cell>
          <cell r="X5101" t="str">
            <v>Commissions - gross</v>
          </cell>
          <cell r="Y5101" t="str">
            <v>FRANCE</v>
          </cell>
        </row>
        <row r="5102">
          <cell r="L5102" t="str">
            <v>Non-proportional</v>
          </cell>
          <cell r="S5102">
            <v>-71.66</v>
          </cell>
          <cell r="X5102" t="str">
            <v>Commissions - gross</v>
          </cell>
          <cell r="Y5102" t="str">
            <v>ISRAEL</v>
          </cell>
        </row>
        <row r="5103">
          <cell r="L5103" t="str">
            <v>Non-proportional</v>
          </cell>
          <cell r="S5103">
            <v>-1257.81</v>
          </cell>
          <cell r="X5103" t="str">
            <v>Commissions - gross</v>
          </cell>
          <cell r="Y5103" t="str">
            <v>ITALY</v>
          </cell>
        </row>
        <row r="5104">
          <cell r="L5104" t="str">
            <v>Non-proportional</v>
          </cell>
          <cell r="S5104">
            <v>198.98</v>
          </cell>
          <cell r="X5104" t="str">
            <v>Commissions - gross</v>
          </cell>
          <cell r="Y5104" t="str">
            <v>JAPAN</v>
          </cell>
        </row>
        <row r="5105">
          <cell r="L5105" t="str">
            <v>Non-proportional</v>
          </cell>
          <cell r="S5105">
            <v>539.04</v>
          </cell>
          <cell r="X5105" t="str">
            <v>Commissions - gross</v>
          </cell>
          <cell r="Y5105" t="str">
            <v>ECUADOR</v>
          </cell>
        </row>
        <row r="5106">
          <cell r="L5106" t="str">
            <v>Non-proportional</v>
          </cell>
          <cell r="S5106">
            <v>244.27</v>
          </cell>
          <cell r="X5106" t="str">
            <v>Commissions - gross</v>
          </cell>
          <cell r="Y5106" t="str">
            <v>JAPAN</v>
          </cell>
        </row>
        <row r="5107">
          <cell r="L5107" t="str">
            <v>Non-proportional</v>
          </cell>
          <cell r="S5107">
            <v>598.13</v>
          </cell>
          <cell r="X5107" t="str">
            <v>Commissions - gross</v>
          </cell>
          <cell r="Y5107" t="str">
            <v>UNITED KINGDOM</v>
          </cell>
        </row>
        <row r="5108">
          <cell r="L5108" t="str">
            <v>Non-proportional</v>
          </cell>
          <cell r="S5108">
            <v>346.61</v>
          </cell>
          <cell r="X5108" t="str">
            <v>Commissions - gross</v>
          </cell>
          <cell r="Y5108" t="str">
            <v>UNITED KINGDOM</v>
          </cell>
        </row>
        <row r="5109">
          <cell r="L5109" t="str">
            <v>Non-proportional</v>
          </cell>
          <cell r="S5109">
            <v>6498.29</v>
          </cell>
          <cell r="X5109" t="str">
            <v>Commissions - gross</v>
          </cell>
          <cell r="Y5109" t="str">
            <v>CHILE</v>
          </cell>
        </row>
        <row r="5110">
          <cell r="L5110" t="str">
            <v>Non-proportional</v>
          </cell>
          <cell r="S5110">
            <v>-848.65</v>
          </cell>
          <cell r="X5110" t="str">
            <v>Commissions - gross</v>
          </cell>
          <cell r="Y5110" t="str">
            <v>GERMANY</v>
          </cell>
        </row>
        <row r="5111">
          <cell r="L5111" t="str">
            <v>Non-proportional</v>
          </cell>
          <cell r="S5111">
            <v>35.270000000000003</v>
          </cell>
          <cell r="X5111" t="str">
            <v>Commissions - gross</v>
          </cell>
          <cell r="Y5111" t="str">
            <v>DOMINICAN REPUBLIC</v>
          </cell>
        </row>
        <row r="5112">
          <cell r="L5112" t="str">
            <v>Non-proportional</v>
          </cell>
          <cell r="S5112">
            <v>-3492.32</v>
          </cell>
          <cell r="X5112" t="str">
            <v>Commissions - gross</v>
          </cell>
          <cell r="Y5112" t="str">
            <v>ISRAEL</v>
          </cell>
        </row>
        <row r="5113">
          <cell r="L5113" t="str">
            <v>Non-proportional</v>
          </cell>
          <cell r="S5113">
            <v>239.22</v>
          </cell>
          <cell r="X5113" t="str">
            <v>Commissions - gross</v>
          </cell>
          <cell r="Y5113" t="str">
            <v>GUATEMALA</v>
          </cell>
        </row>
        <row r="5114">
          <cell r="L5114" t="str">
            <v>Non-proportional</v>
          </cell>
          <cell r="S5114">
            <v>676.18</v>
          </cell>
          <cell r="X5114" t="str">
            <v>Commissions - gross</v>
          </cell>
          <cell r="Y5114" t="str">
            <v>JAPAN</v>
          </cell>
        </row>
        <row r="5115">
          <cell r="L5115" t="str">
            <v>Non-proportional</v>
          </cell>
          <cell r="S5115">
            <v>-3230.8</v>
          </cell>
          <cell r="X5115" t="str">
            <v>Commissions - gross</v>
          </cell>
          <cell r="Y5115" t="str">
            <v>NETHERLANDS</v>
          </cell>
        </row>
        <row r="5116">
          <cell r="L5116" t="str">
            <v>Non-proportional</v>
          </cell>
          <cell r="S5116">
            <v>-1325190.8400000001</v>
          </cell>
          <cell r="X5116" t="str">
            <v>Commissions - gross</v>
          </cell>
          <cell r="Y5116" t="str">
            <v>UNITED KINGDOM</v>
          </cell>
        </row>
        <row r="5117">
          <cell r="L5117" t="str">
            <v>Non-proportional</v>
          </cell>
          <cell r="S5117">
            <v>646.92999999999995</v>
          </cell>
          <cell r="X5117" t="str">
            <v>Commissions - gross</v>
          </cell>
          <cell r="Y5117" t="str">
            <v>PERU</v>
          </cell>
        </row>
        <row r="5118">
          <cell r="L5118" t="str">
            <v>Non-proportional</v>
          </cell>
          <cell r="S5118">
            <v>319.45999999999998</v>
          </cell>
          <cell r="X5118" t="str">
            <v>Commissions - gross</v>
          </cell>
          <cell r="Y5118" t="str">
            <v>DOMINICAN REPUBLIC</v>
          </cell>
        </row>
        <row r="5119">
          <cell r="L5119" t="str">
            <v>Non-proportional</v>
          </cell>
          <cell r="S5119">
            <v>-3673.81</v>
          </cell>
          <cell r="X5119" t="str">
            <v>Commissions - gross</v>
          </cell>
          <cell r="Y5119" t="str">
            <v>ISRAEL</v>
          </cell>
        </row>
        <row r="5120">
          <cell r="L5120" t="str">
            <v>Non-proportional</v>
          </cell>
          <cell r="S5120">
            <v>438.49</v>
          </cell>
          <cell r="X5120" t="str">
            <v>Commissions - gross</v>
          </cell>
          <cell r="Y5120" t="str">
            <v>DOMINICAN REPUBLIC</v>
          </cell>
        </row>
        <row r="5121">
          <cell r="L5121" t="str">
            <v>Non-proportional</v>
          </cell>
          <cell r="S5121">
            <v>-1615.63</v>
          </cell>
          <cell r="X5121" t="str">
            <v>Commissions - gross</v>
          </cell>
          <cell r="Y5121" t="str">
            <v>GREECE</v>
          </cell>
        </row>
        <row r="5122">
          <cell r="L5122" t="str">
            <v>Non-proportional</v>
          </cell>
          <cell r="S5122">
            <v>4.8899999999999997</v>
          </cell>
          <cell r="X5122" t="str">
            <v>Commissions - gross</v>
          </cell>
          <cell r="Y5122" t="str">
            <v>COLOMBIA</v>
          </cell>
        </row>
        <row r="5123">
          <cell r="L5123" t="str">
            <v>Non-proportional</v>
          </cell>
          <cell r="S5123">
            <v>-4239.58</v>
          </cell>
          <cell r="X5123" t="str">
            <v>Commissions - gross</v>
          </cell>
          <cell r="Y5123" t="str">
            <v>FRANCE</v>
          </cell>
        </row>
        <row r="5124">
          <cell r="L5124" t="str">
            <v>Non-proportional</v>
          </cell>
          <cell r="S5124">
            <v>-6063.94</v>
          </cell>
          <cell r="X5124" t="str">
            <v>Commissions - gross</v>
          </cell>
          <cell r="Y5124" t="str">
            <v>NETHERLANDS</v>
          </cell>
        </row>
        <row r="5125">
          <cell r="L5125" t="str">
            <v>Non-proportional</v>
          </cell>
          <cell r="S5125">
            <v>-1282.92</v>
          </cell>
          <cell r="X5125" t="str">
            <v>Commissions - gross</v>
          </cell>
          <cell r="Y5125" t="str">
            <v>ISRAEL</v>
          </cell>
        </row>
        <row r="5126">
          <cell r="L5126" t="str">
            <v>Non-proportional</v>
          </cell>
          <cell r="S5126">
            <v>-4323.82</v>
          </cell>
          <cell r="X5126" t="str">
            <v>Commissions - gross</v>
          </cell>
          <cell r="Y5126" t="str">
            <v>ISRAEL</v>
          </cell>
        </row>
        <row r="5127">
          <cell r="L5127" t="str">
            <v>Non-proportional</v>
          </cell>
          <cell r="S5127">
            <v>406.15</v>
          </cell>
          <cell r="X5127" t="str">
            <v>Commissions - gross</v>
          </cell>
          <cell r="Y5127" t="str">
            <v>UNITED KINGDOM</v>
          </cell>
        </row>
        <row r="5128">
          <cell r="L5128" t="str">
            <v>Non-proportional</v>
          </cell>
          <cell r="S5128">
            <v>-2094.58</v>
          </cell>
          <cell r="X5128" t="str">
            <v>Commissions - gross</v>
          </cell>
          <cell r="Y5128" t="str">
            <v>COSTA RICA</v>
          </cell>
        </row>
        <row r="5129">
          <cell r="L5129" t="str">
            <v>Non-proportional</v>
          </cell>
          <cell r="S5129">
            <v>-10450.16</v>
          </cell>
          <cell r="X5129" t="str">
            <v>Commissions - gross</v>
          </cell>
          <cell r="Y5129" t="str">
            <v>TURKEY</v>
          </cell>
        </row>
        <row r="5130">
          <cell r="L5130" t="str">
            <v>Non-proportional</v>
          </cell>
          <cell r="S5130">
            <v>-51.61</v>
          </cell>
          <cell r="X5130" t="str">
            <v>Commissions - gross</v>
          </cell>
          <cell r="Y5130" t="str">
            <v>ISRAEL</v>
          </cell>
        </row>
        <row r="5131">
          <cell r="L5131" t="str">
            <v>Non-proportional</v>
          </cell>
          <cell r="S5131">
            <v>502.52</v>
          </cell>
          <cell r="X5131" t="str">
            <v>Commissions - gross</v>
          </cell>
          <cell r="Y5131" t="str">
            <v>AUSTRALIA</v>
          </cell>
        </row>
        <row r="5132">
          <cell r="L5132" t="str">
            <v>Non-proportional</v>
          </cell>
          <cell r="S5132">
            <v>-11655.74</v>
          </cell>
          <cell r="X5132" t="str">
            <v>Commissions - gross</v>
          </cell>
          <cell r="Y5132" t="str">
            <v>FRANCE</v>
          </cell>
        </row>
        <row r="5133">
          <cell r="L5133" t="str">
            <v>Non-proportional</v>
          </cell>
          <cell r="S5133">
            <v>1048.83</v>
          </cell>
          <cell r="X5133" t="str">
            <v>Commissions - gross</v>
          </cell>
          <cell r="Y5133" t="str">
            <v>MEXICO</v>
          </cell>
        </row>
        <row r="5134">
          <cell r="L5134" t="str">
            <v>Non-proportional</v>
          </cell>
          <cell r="S5134">
            <v>72.58</v>
          </cell>
          <cell r="X5134" t="str">
            <v>Commissions - gross</v>
          </cell>
          <cell r="Y5134" t="str">
            <v>JAPAN</v>
          </cell>
        </row>
        <row r="5135">
          <cell r="L5135" t="str">
            <v>Non-proportional</v>
          </cell>
          <cell r="S5135">
            <v>122.45</v>
          </cell>
          <cell r="X5135" t="str">
            <v>Commissions - gross</v>
          </cell>
          <cell r="Y5135" t="str">
            <v>JAPAN</v>
          </cell>
        </row>
        <row r="5136">
          <cell r="L5136" t="str">
            <v>Non-proportional</v>
          </cell>
          <cell r="S5136">
            <v>-4124.9399999999996</v>
          </cell>
          <cell r="X5136" t="str">
            <v>Commissions - gross</v>
          </cell>
          <cell r="Y5136" t="str">
            <v>EUROPE</v>
          </cell>
        </row>
        <row r="5137">
          <cell r="L5137" t="str">
            <v>Non-proportional</v>
          </cell>
          <cell r="S5137">
            <v>377.81</v>
          </cell>
          <cell r="X5137" t="str">
            <v>Commissions - gross</v>
          </cell>
          <cell r="Y5137" t="str">
            <v>CHILE</v>
          </cell>
        </row>
        <row r="5138">
          <cell r="L5138" t="str">
            <v>Non-proportional</v>
          </cell>
          <cell r="S5138">
            <v>533.42999999999995</v>
          </cell>
          <cell r="X5138" t="str">
            <v>Commissions - gross</v>
          </cell>
          <cell r="Y5138" t="str">
            <v>DOMINICAN REPUBLIC</v>
          </cell>
        </row>
        <row r="5139">
          <cell r="L5139" t="str">
            <v>Proportional</v>
          </cell>
          <cell r="S5139">
            <v>-66.489999999999995</v>
          </cell>
          <cell r="X5139" t="str">
            <v>Commissions - gross</v>
          </cell>
          <cell r="Y5139" t="str">
            <v>UNITED STATES</v>
          </cell>
        </row>
        <row r="5140">
          <cell r="L5140" t="str">
            <v>Non-proportional</v>
          </cell>
          <cell r="S5140">
            <v>106.16</v>
          </cell>
          <cell r="X5140" t="str">
            <v>Commissions - gross</v>
          </cell>
          <cell r="Y5140" t="str">
            <v>JAPAN</v>
          </cell>
        </row>
        <row r="5141">
          <cell r="L5141" t="str">
            <v>Non-proportional</v>
          </cell>
          <cell r="S5141">
            <v>-426.25</v>
          </cell>
          <cell r="X5141" t="str">
            <v>Commissions - gross</v>
          </cell>
          <cell r="Y5141" t="str">
            <v>ITALY</v>
          </cell>
        </row>
        <row r="5142">
          <cell r="L5142" t="str">
            <v>Non-proportional</v>
          </cell>
          <cell r="S5142">
            <v>176.17</v>
          </cell>
          <cell r="X5142" t="str">
            <v>Commissions - gross</v>
          </cell>
          <cell r="Y5142" t="str">
            <v>NEW ZEALAND</v>
          </cell>
        </row>
        <row r="5143">
          <cell r="L5143" t="str">
            <v>Non-proportional</v>
          </cell>
          <cell r="S5143">
            <v>-946</v>
          </cell>
          <cell r="X5143" t="str">
            <v>Commissions - gross</v>
          </cell>
          <cell r="Y5143" t="str">
            <v>GREECE</v>
          </cell>
        </row>
        <row r="5144">
          <cell r="L5144" t="str">
            <v>Non-proportional</v>
          </cell>
          <cell r="S5144">
            <v>0.01</v>
          </cell>
          <cell r="X5144" t="str">
            <v>Commissions - gross</v>
          </cell>
          <cell r="Y5144" t="str">
            <v>COSTA RICA</v>
          </cell>
        </row>
        <row r="5145">
          <cell r="L5145" t="str">
            <v>Non-proportional</v>
          </cell>
          <cell r="S5145">
            <v>2.06</v>
          </cell>
          <cell r="X5145" t="str">
            <v>Commissions - gross</v>
          </cell>
          <cell r="Y5145" t="str">
            <v>JAPAN</v>
          </cell>
        </row>
        <row r="5146">
          <cell r="L5146" t="str">
            <v>Proportional</v>
          </cell>
          <cell r="S5146">
            <v>-5780.46</v>
          </cell>
          <cell r="X5146" t="str">
            <v>Commissions - gross</v>
          </cell>
          <cell r="Y5146" t="str">
            <v>CHILE</v>
          </cell>
        </row>
        <row r="5147">
          <cell r="L5147" t="str">
            <v>Non-proportional</v>
          </cell>
          <cell r="S5147">
            <v>-8181.25</v>
          </cell>
          <cell r="X5147" t="str">
            <v>Commissions - gross</v>
          </cell>
          <cell r="Y5147" t="str">
            <v>ITALY</v>
          </cell>
        </row>
        <row r="5148">
          <cell r="L5148" t="str">
            <v>Non-proportional</v>
          </cell>
          <cell r="S5148">
            <v>0</v>
          </cell>
          <cell r="X5148" t="str">
            <v>Commissions - gross</v>
          </cell>
          <cell r="Y5148" t="str">
            <v>DOMINICAN REPUBLIC</v>
          </cell>
        </row>
        <row r="5149">
          <cell r="L5149" t="str">
            <v>Non-proportional</v>
          </cell>
          <cell r="S5149">
            <v>-3951.66</v>
          </cell>
          <cell r="X5149" t="str">
            <v>Commissions - gross</v>
          </cell>
          <cell r="Y5149" t="str">
            <v>FRANCE</v>
          </cell>
        </row>
        <row r="5150">
          <cell r="L5150" t="str">
            <v>Non-proportional</v>
          </cell>
          <cell r="S5150">
            <v>-11777.78</v>
          </cell>
          <cell r="X5150" t="str">
            <v>Commissions - gross</v>
          </cell>
          <cell r="Y5150" t="str">
            <v>FRANCE</v>
          </cell>
        </row>
        <row r="5151">
          <cell r="L5151" t="str">
            <v>Non-proportional</v>
          </cell>
          <cell r="S5151">
            <v>-1101.8800000000001</v>
          </cell>
          <cell r="X5151" t="str">
            <v>Commissions - gross</v>
          </cell>
          <cell r="Y5151" t="str">
            <v>ISRAEL</v>
          </cell>
        </row>
        <row r="5152">
          <cell r="L5152" t="str">
            <v>Non-proportional</v>
          </cell>
          <cell r="S5152">
            <v>7929.75</v>
          </cell>
          <cell r="X5152" t="str">
            <v>Commissions - gross</v>
          </cell>
          <cell r="Y5152" t="str">
            <v>UNITED KINGDOM</v>
          </cell>
        </row>
        <row r="5153">
          <cell r="L5153" t="str">
            <v>Non-proportional</v>
          </cell>
          <cell r="S5153">
            <v>-9062.09</v>
          </cell>
          <cell r="X5153" t="str">
            <v>Commissions - gross</v>
          </cell>
          <cell r="Y5153" t="str">
            <v>ITALY</v>
          </cell>
        </row>
        <row r="5154">
          <cell r="L5154" t="str">
            <v>Non-proportional</v>
          </cell>
          <cell r="S5154">
            <v>1838.36</v>
          </cell>
          <cell r="X5154" t="str">
            <v>Commissions - gross</v>
          </cell>
          <cell r="Y5154" t="str">
            <v>UNITED KINGDOM</v>
          </cell>
        </row>
        <row r="5155">
          <cell r="L5155" t="str">
            <v>Non-proportional</v>
          </cell>
          <cell r="S5155">
            <v>1009.38</v>
          </cell>
          <cell r="X5155" t="str">
            <v>Commissions - gross</v>
          </cell>
          <cell r="Y5155" t="str">
            <v>AUSTRALIA</v>
          </cell>
        </row>
        <row r="5156">
          <cell r="L5156" t="str">
            <v>Non-proportional</v>
          </cell>
          <cell r="S5156">
            <v>707.9</v>
          </cell>
          <cell r="X5156" t="str">
            <v>Commissions - gross</v>
          </cell>
          <cell r="Y5156" t="str">
            <v>POLAND</v>
          </cell>
        </row>
        <row r="5157">
          <cell r="L5157" t="str">
            <v>Non-proportional</v>
          </cell>
          <cell r="S5157">
            <v>-25993.85</v>
          </cell>
          <cell r="X5157" t="str">
            <v>Commissions - gross</v>
          </cell>
          <cell r="Y5157" t="str">
            <v>TURKEY</v>
          </cell>
        </row>
        <row r="5158">
          <cell r="L5158" t="str">
            <v>Non-proportional</v>
          </cell>
          <cell r="S5158">
            <v>109.65</v>
          </cell>
          <cell r="X5158" t="str">
            <v>Commissions - gross</v>
          </cell>
          <cell r="Y5158" t="str">
            <v>ECUADOR</v>
          </cell>
        </row>
        <row r="5159">
          <cell r="L5159" t="str">
            <v>Non-proportional</v>
          </cell>
          <cell r="S5159">
            <v>170.8</v>
          </cell>
          <cell r="X5159" t="str">
            <v>Commissions - gross</v>
          </cell>
          <cell r="Y5159" t="str">
            <v>ECUADOR</v>
          </cell>
        </row>
        <row r="5160">
          <cell r="L5160" t="str">
            <v>Non-proportional</v>
          </cell>
          <cell r="S5160">
            <v>315.70999999999998</v>
          </cell>
          <cell r="X5160" t="str">
            <v>Commissions - gross</v>
          </cell>
          <cell r="Y5160" t="str">
            <v>JAPAN</v>
          </cell>
        </row>
        <row r="5161">
          <cell r="L5161" t="str">
            <v>Non-proportional</v>
          </cell>
          <cell r="S5161">
            <v>0</v>
          </cell>
          <cell r="X5161" t="str">
            <v>Commissions - gross</v>
          </cell>
          <cell r="Y5161" t="str">
            <v>DOMINICAN REPUBLIC</v>
          </cell>
        </row>
        <row r="5162">
          <cell r="L5162" t="str">
            <v>Non-proportional</v>
          </cell>
          <cell r="S5162">
            <v>-8.5</v>
          </cell>
          <cell r="X5162" t="str">
            <v>Commissions - gross</v>
          </cell>
          <cell r="Y5162" t="str">
            <v>BRAZIL</v>
          </cell>
        </row>
        <row r="5163">
          <cell r="L5163" t="str">
            <v>Non-proportional</v>
          </cell>
          <cell r="S5163">
            <v>-5444.04</v>
          </cell>
          <cell r="X5163" t="str">
            <v>Commissions - gross</v>
          </cell>
          <cell r="Y5163" t="str">
            <v>NETHERLANDS</v>
          </cell>
        </row>
        <row r="5164">
          <cell r="L5164" t="str">
            <v>Non-proportional</v>
          </cell>
          <cell r="S5164">
            <v>-49.06</v>
          </cell>
          <cell r="X5164" t="str">
            <v>Commissions - gross</v>
          </cell>
          <cell r="Y5164" t="str">
            <v>DOMINICAN REPUBLIC</v>
          </cell>
        </row>
        <row r="5165">
          <cell r="L5165" t="str">
            <v>Non-proportional</v>
          </cell>
          <cell r="S5165">
            <v>-2.3199999999999998</v>
          </cell>
          <cell r="X5165" t="str">
            <v>Commissions - gross</v>
          </cell>
          <cell r="Y5165" t="str">
            <v>COLOMBIA</v>
          </cell>
        </row>
        <row r="5166">
          <cell r="L5166" t="str">
            <v>Non-proportional</v>
          </cell>
          <cell r="S5166">
            <v>-4675.78</v>
          </cell>
          <cell r="X5166" t="str">
            <v>Commissions - gross</v>
          </cell>
          <cell r="Y5166" t="str">
            <v>ITALY</v>
          </cell>
        </row>
        <row r="5167">
          <cell r="L5167" t="str">
            <v>Non-proportional</v>
          </cell>
          <cell r="S5167">
            <v>-42.93</v>
          </cell>
          <cell r="X5167" t="str">
            <v>Commissions - gross</v>
          </cell>
          <cell r="Y5167" t="str">
            <v>ISRAEL</v>
          </cell>
        </row>
        <row r="5168">
          <cell r="L5168" t="str">
            <v>Non-proportional</v>
          </cell>
          <cell r="S5168">
            <v>1329.69</v>
          </cell>
          <cell r="X5168" t="str">
            <v>Commissions - gross</v>
          </cell>
          <cell r="Y5168" t="str">
            <v>BELGIUM</v>
          </cell>
        </row>
        <row r="5169">
          <cell r="L5169" t="str">
            <v>Non-proportional</v>
          </cell>
          <cell r="S5169">
            <v>-15932.34</v>
          </cell>
          <cell r="X5169" t="str">
            <v>Commissions - gross</v>
          </cell>
          <cell r="Y5169" t="str">
            <v>FRANCE</v>
          </cell>
        </row>
        <row r="5170">
          <cell r="L5170" t="str">
            <v>Non-proportional</v>
          </cell>
          <cell r="S5170">
            <v>-6542.01</v>
          </cell>
          <cell r="X5170" t="str">
            <v>Commissions - gross</v>
          </cell>
          <cell r="Y5170" t="str">
            <v>ECUADOR</v>
          </cell>
        </row>
        <row r="5171">
          <cell r="L5171" t="str">
            <v>Non-proportional</v>
          </cell>
          <cell r="S5171">
            <v>2.58</v>
          </cell>
          <cell r="X5171" t="str">
            <v>Commissions - gross</v>
          </cell>
          <cell r="Y5171" t="str">
            <v>INDIA</v>
          </cell>
        </row>
        <row r="5172">
          <cell r="L5172" t="str">
            <v>Non-proportional</v>
          </cell>
          <cell r="S5172">
            <v>-6270.21</v>
          </cell>
          <cell r="X5172" t="str">
            <v>Commissions - gross</v>
          </cell>
          <cell r="Y5172" t="str">
            <v>ITALY</v>
          </cell>
        </row>
        <row r="5173">
          <cell r="L5173" t="str">
            <v>Non-proportional</v>
          </cell>
          <cell r="S5173">
            <v>-1519.79</v>
          </cell>
          <cell r="X5173" t="str">
            <v>Commissions - gross</v>
          </cell>
          <cell r="Y5173" t="str">
            <v>PERU</v>
          </cell>
        </row>
        <row r="5174">
          <cell r="L5174" t="str">
            <v>Non-proportional</v>
          </cell>
          <cell r="S5174">
            <v>0.01</v>
          </cell>
          <cell r="X5174" t="str">
            <v>Commissions - gross</v>
          </cell>
          <cell r="Y5174" t="str">
            <v>COLOMBIA</v>
          </cell>
        </row>
        <row r="5175">
          <cell r="L5175" t="str">
            <v>Non-proportional</v>
          </cell>
          <cell r="S5175">
            <v>16.75</v>
          </cell>
          <cell r="X5175" t="str">
            <v>Commissions - gross</v>
          </cell>
          <cell r="Y5175" t="str">
            <v>FRANCE</v>
          </cell>
        </row>
        <row r="5176">
          <cell r="L5176" t="str">
            <v>Non-proportional</v>
          </cell>
          <cell r="S5176">
            <v>604.49</v>
          </cell>
          <cell r="X5176" t="str">
            <v>Commissions - gross</v>
          </cell>
          <cell r="Y5176" t="str">
            <v>CHILE</v>
          </cell>
        </row>
        <row r="5177">
          <cell r="L5177" t="str">
            <v>Non-proportional</v>
          </cell>
          <cell r="S5177">
            <v>-16041.75</v>
          </cell>
          <cell r="X5177" t="str">
            <v>Commissions - gross</v>
          </cell>
          <cell r="Y5177" t="str">
            <v>EUROPE</v>
          </cell>
        </row>
        <row r="5178">
          <cell r="L5178" t="str">
            <v>Non-proportional</v>
          </cell>
          <cell r="S5178">
            <v>437.66</v>
          </cell>
          <cell r="X5178" t="str">
            <v>Commissions - gross</v>
          </cell>
          <cell r="Y5178" t="str">
            <v>MEXICO</v>
          </cell>
        </row>
        <row r="5179">
          <cell r="L5179" t="str">
            <v>Non-proportional</v>
          </cell>
          <cell r="S5179">
            <v>226.68</v>
          </cell>
          <cell r="X5179" t="str">
            <v>Commissions - gross</v>
          </cell>
          <cell r="Y5179" t="str">
            <v>CHILE</v>
          </cell>
        </row>
        <row r="5180">
          <cell r="L5180" t="str">
            <v>Non-proportional</v>
          </cell>
          <cell r="S5180">
            <v>-11823.56</v>
          </cell>
          <cell r="X5180" t="str">
            <v>Commissions - gross</v>
          </cell>
          <cell r="Y5180" t="str">
            <v>ITALY</v>
          </cell>
        </row>
        <row r="5181">
          <cell r="L5181" t="str">
            <v>Non-proportional</v>
          </cell>
          <cell r="S5181">
            <v>-7.36</v>
          </cell>
          <cell r="X5181" t="str">
            <v>Commissions - gross</v>
          </cell>
          <cell r="Y5181" t="str">
            <v>COLOMBIA</v>
          </cell>
        </row>
        <row r="5182">
          <cell r="L5182" t="str">
            <v>Non-proportional</v>
          </cell>
          <cell r="S5182">
            <v>-5844.06</v>
          </cell>
          <cell r="X5182" t="str">
            <v>Commissions - gross</v>
          </cell>
          <cell r="Y5182" t="str">
            <v>NETHERLANDS</v>
          </cell>
        </row>
        <row r="5183">
          <cell r="L5183" t="str">
            <v>Non-proportional</v>
          </cell>
          <cell r="S5183">
            <v>-27828.25</v>
          </cell>
          <cell r="X5183" t="str">
            <v>Commissions - gross</v>
          </cell>
          <cell r="Y5183" t="str">
            <v>FRANCE</v>
          </cell>
        </row>
        <row r="5184">
          <cell r="L5184" t="str">
            <v>Proportional</v>
          </cell>
          <cell r="S5184">
            <v>17688.330000000002</v>
          </cell>
          <cell r="X5184" t="str">
            <v>Commissions - gross</v>
          </cell>
          <cell r="Y5184" t="str">
            <v>UNITED STATES</v>
          </cell>
        </row>
        <row r="5185">
          <cell r="L5185" t="str">
            <v>Non-proportional</v>
          </cell>
          <cell r="S5185">
            <v>473.73</v>
          </cell>
          <cell r="X5185" t="str">
            <v>Commissions - gross</v>
          </cell>
          <cell r="Y5185" t="str">
            <v>UNITED KINGDOM</v>
          </cell>
        </row>
        <row r="5186">
          <cell r="L5186" t="str">
            <v>Non-proportional</v>
          </cell>
          <cell r="S5186">
            <v>-14.02</v>
          </cell>
          <cell r="X5186" t="str">
            <v>Commissions - gross</v>
          </cell>
          <cell r="Y5186" t="str">
            <v>NEW ZEALAND</v>
          </cell>
        </row>
        <row r="5187">
          <cell r="L5187" t="str">
            <v>Proportional</v>
          </cell>
          <cell r="S5187">
            <v>-7140.57</v>
          </cell>
          <cell r="X5187" t="str">
            <v>Commissions - gross</v>
          </cell>
          <cell r="Y5187" t="str">
            <v>CHILE</v>
          </cell>
        </row>
        <row r="5188">
          <cell r="L5188" t="str">
            <v>Non-proportional</v>
          </cell>
          <cell r="S5188">
            <v>1085.7</v>
          </cell>
          <cell r="X5188" t="str">
            <v>Commissions - gross</v>
          </cell>
          <cell r="Y5188" t="str">
            <v>POLAND</v>
          </cell>
        </row>
        <row r="5189">
          <cell r="L5189" t="str">
            <v>Non-proportional</v>
          </cell>
          <cell r="S5189">
            <v>-4082.02</v>
          </cell>
          <cell r="X5189" t="str">
            <v>Commissions - gross</v>
          </cell>
          <cell r="Y5189" t="str">
            <v>ISRAEL</v>
          </cell>
        </row>
        <row r="5190">
          <cell r="L5190" t="str">
            <v>Non-proportional</v>
          </cell>
          <cell r="S5190">
            <v>711.08</v>
          </cell>
          <cell r="X5190" t="str">
            <v>Commissions - gross</v>
          </cell>
          <cell r="Y5190" t="str">
            <v>JAPAN</v>
          </cell>
        </row>
        <row r="5191">
          <cell r="L5191" t="str">
            <v>Proportional</v>
          </cell>
          <cell r="S5191">
            <v>-453.37</v>
          </cell>
          <cell r="X5191" t="str">
            <v>Commissions - gross</v>
          </cell>
          <cell r="Y5191" t="str">
            <v>CHILE</v>
          </cell>
        </row>
        <row r="5192">
          <cell r="L5192" t="str">
            <v>Non-proportional</v>
          </cell>
          <cell r="S5192">
            <v>-1848.91</v>
          </cell>
          <cell r="X5192" t="str">
            <v>Commissions - gross</v>
          </cell>
          <cell r="Y5192" t="str">
            <v>ISRAEL</v>
          </cell>
        </row>
        <row r="5193">
          <cell r="L5193" t="str">
            <v>Non-proportional</v>
          </cell>
          <cell r="S5193">
            <v>353.04</v>
          </cell>
          <cell r="X5193" t="str">
            <v>Commissions - gross</v>
          </cell>
          <cell r="Y5193" t="str">
            <v>COLOMBIA</v>
          </cell>
        </row>
        <row r="5194">
          <cell r="L5194" t="str">
            <v>Non-proportional</v>
          </cell>
          <cell r="S5194">
            <v>-1718.61</v>
          </cell>
          <cell r="X5194" t="str">
            <v>Commissions - gross</v>
          </cell>
          <cell r="Y5194" t="str">
            <v>FRANCE</v>
          </cell>
        </row>
        <row r="5195">
          <cell r="L5195" t="str">
            <v>Non-proportional</v>
          </cell>
          <cell r="S5195">
            <v>-5468.63</v>
          </cell>
          <cell r="X5195" t="str">
            <v>Commissions - gross</v>
          </cell>
          <cell r="Y5195" t="str">
            <v>EUROPE</v>
          </cell>
        </row>
        <row r="5196">
          <cell r="L5196" t="str">
            <v>Non-proportional</v>
          </cell>
          <cell r="S5196">
            <v>-113750.29</v>
          </cell>
          <cell r="X5196" t="str">
            <v>Commissions - gross</v>
          </cell>
          <cell r="Y5196" t="str">
            <v>UNITED KINGDOM</v>
          </cell>
        </row>
        <row r="5197">
          <cell r="L5197" t="str">
            <v>Non-proportional</v>
          </cell>
          <cell r="S5197">
            <v>-714.57</v>
          </cell>
          <cell r="X5197" t="str">
            <v>Commissions - gross</v>
          </cell>
          <cell r="Y5197" t="str">
            <v>ITALY</v>
          </cell>
        </row>
        <row r="5198">
          <cell r="L5198" t="str">
            <v>Non-proportional</v>
          </cell>
          <cell r="S5198">
            <v>322.74</v>
          </cell>
          <cell r="X5198" t="str">
            <v>Commissions - gross</v>
          </cell>
          <cell r="Y5198" t="str">
            <v>DOMINICAN REPUBLIC</v>
          </cell>
        </row>
        <row r="5199">
          <cell r="L5199" t="str">
            <v>Non-proportional</v>
          </cell>
          <cell r="S5199">
            <v>686.63</v>
          </cell>
          <cell r="X5199" t="str">
            <v>Commissions - gross</v>
          </cell>
          <cell r="Y5199" t="str">
            <v>DOMINICAN REPUBLIC</v>
          </cell>
        </row>
        <row r="5200">
          <cell r="L5200" t="str">
            <v>Non-proportional</v>
          </cell>
          <cell r="S5200">
            <v>340.03</v>
          </cell>
          <cell r="X5200" t="str">
            <v>Commissions - gross</v>
          </cell>
          <cell r="Y5200" t="str">
            <v>CHILE</v>
          </cell>
        </row>
        <row r="5201">
          <cell r="L5201" t="str">
            <v>Non-proportional</v>
          </cell>
          <cell r="S5201">
            <v>-11549.86</v>
          </cell>
          <cell r="X5201" t="str">
            <v>Commissions - gross</v>
          </cell>
          <cell r="Y5201" t="str">
            <v>ITALY</v>
          </cell>
        </row>
        <row r="5202">
          <cell r="L5202" t="str">
            <v>Non-proportional</v>
          </cell>
          <cell r="S5202">
            <v>4.03</v>
          </cell>
          <cell r="X5202" t="str">
            <v>Commissions - gross</v>
          </cell>
          <cell r="Y5202" t="str">
            <v>JAPAN</v>
          </cell>
        </row>
        <row r="5203">
          <cell r="L5203" t="str">
            <v>Non-proportional</v>
          </cell>
          <cell r="S5203">
            <v>136.36000000000001</v>
          </cell>
          <cell r="X5203" t="str">
            <v>Commissions - gross</v>
          </cell>
          <cell r="Y5203" t="str">
            <v>DOMINICAN REPUBLIC</v>
          </cell>
        </row>
        <row r="5204">
          <cell r="L5204" t="str">
            <v>Non-proportional</v>
          </cell>
          <cell r="S5204">
            <v>334.92</v>
          </cell>
          <cell r="X5204" t="str">
            <v>Commissions - gross</v>
          </cell>
          <cell r="Y5204" t="str">
            <v>DOMINICAN REPUBLIC</v>
          </cell>
        </row>
        <row r="5205">
          <cell r="L5205" t="str">
            <v>Non-proportional</v>
          </cell>
          <cell r="S5205">
            <v>-18329.080000000002</v>
          </cell>
          <cell r="X5205" t="str">
            <v>Commissions - gross</v>
          </cell>
          <cell r="Y5205" t="str">
            <v>PERU</v>
          </cell>
        </row>
        <row r="5206">
          <cell r="L5206" t="str">
            <v>Non-proportional</v>
          </cell>
          <cell r="S5206">
            <v>-3720.03</v>
          </cell>
          <cell r="X5206" t="str">
            <v>Commissions - gross</v>
          </cell>
          <cell r="Y5206" t="str">
            <v>ITALY</v>
          </cell>
        </row>
        <row r="5207">
          <cell r="L5207" t="str">
            <v>Non-proportional</v>
          </cell>
          <cell r="S5207">
            <v>-3778.08</v>
          </cell>
          <cell r="X5207" t="str">
            <v>Commissions - gross</v>
          </cell>
          <cell r="Y5207" t="str">
            <v>CHILE</v>
          </cell>
        </row>
        <row r="5208">
          <cell r="L5208" t="str">
            <v>Non-proportional</v>
          </cell>
          <cell r="S5208">
            <v>1.45</v>
          </cell>
          <cell r="X5208" t="str">
            <v>Commissions - gross</v>
          </cell>
          <cell r="Y5208" t="str">
            <v>JAPAN</v>
          </cell>
        </row>
        <row r="5209">
          <cell r="L5209" t="str">
            <v>Non-proportional</v>
          </cell>
          <cell r="S5209">
            <v>-3430.07</v>
          </cell>
          <cell r="X5209" t="str">
            <v>Commissions - gross</v>
          </cell>
          <cell r="Y5209" t="str">
            <v>PERU</v>
          </cell>
        </row>
        <row r="5210">
          <cell r="L5210" t="str">
            <v>Non-proportional</v>
          </cell>
          <cell r="S5210">
            <v>0</v>
          </cell>
          <cell r="X5210" t="str">
            <v>Commissions - gross</v>
          </cell>
          <cell r="Y5210" t="str">
            <v>DOMINICAN REPUBLIC</v>
          </cell>
        </row>
        <row r="5211">
          <cell r="L5211" t="str">
            <v>Non-proportional</v>
          </cell>
          <cell r="S5211">
            <v>4276.6099999999997</v>
          </cell>
          <cell r="X5211" t="str">
            <v>Commissions - gross</v>
          </cell>
          <cell r="Y5211" t="str">
            <v>UNITED KINGDOM</v>
          </cell>
        </row>
        <row r="5212">
          <cell r="L5212" t="str">
            <v>Non-proportional</v>
          </cell>
          <cell r="S5212">
            <v>151.41</v>
          </cell>
          <cell r="X5212" t="str">
            <v>Commissions - gross</v>
          </cell>
          <cell r="Y5212" t="str">
            <v>AUSTRALIA</v>
          </cell>
        </row>
        <row r="5213">
          <cell r="L5213" t="str">
            <v>Non-proportional</v>
          </cell>
          <cell r="S5213">
            <v>-4096.49</v>
          </cell>
          <cell r="X5213" t="str">
            <v>Commissions - gross</v>
          </cell>
          <cell r="Y5213" t="str">
            <v>ISRAEL</v>
          </cell>
        </row>
        <row r="5214">
          <cell r="L5214" t="str">
            <v>Proportional</v>
          </cell>
          <cell r="S5214">
            <v>-1246.77</v>
          </cell>
          <cell r="X5214" t="str">
            <v>Commissions - gross</v>
          </cell>
          <cell r="Y5214" t="str">
            <v>CHILE</v>
          </cell>
        </row>
        <row r="5215">
          <cell r="L5215" t="str">
            <v>Non-proportional</v>
          </cell>
          <cell r="S5215">
            <v>705.66</v>
          </cell>
          <cell r="X5215" t="str">
            <v>Commissions - gross</v>
          </cell>
          <cell r="Y5215" t="str">
            <v>UNITED KINGDOM</v>
          </cell>
        </row>
        <row r="5216">
          <cell r="L5216" t="str">
            <v>Non-proportional</v>
          </cell>
          <cell r="S5216">
            <v>-5667.09</v>
          </cell>
          <cell r="X5216" t="str">
            <v>Commissions - gross</v>
          </cell>
          <cell r="Y5216" t="str">
            <v>ITALY</v>
          </cell>
        </row>
        <row r="5217">
          <cell r="L5217" t="str">
            <v>Non-proportional</v>
          </cell>
          <cell r="S5217">
            <v>622.91</v>
          </cell>
          <cell r="X5217" t="str">
            <v>Commissions - gross</v>
          </cell>
          <cell r="Y5217" t="str">
            <v>AUSTRALIA</v>
          </cell>
        </row>
        <row r="5218">
          <cell r="L5218" t="str">
            <v>Non-proportional</v>
          </cell>
          <cell r="S5218">
            <v>502.59</v>
          </cell>
          <cell r="X5218" t="str">
            <v>Commissions - gross</v>
          </cell>
          <cell r="Y5218" t="str">
            <v>ECUADOR</v>
          </cell>
        </row>
        <row r="5219">
          <cell r="L5219" t="str">
            <v>Non-proportional</v>
          </cell>
          <cell r="S5219">
            <v>-2955.35</v>
          </cell>
          <cell r="X5219" t="str">
            <v>Commissions - gross</v>
          </cell>
          <cell r="Y5219" t="str">
            <v>MALTA</v>
          </cell>
        </row>
        <row r="5220">
          <cell r="L5220" t="str">
            <v>Non-proportional</v>
          </cell>
          <cell r="S5220">
            <v>-31.76</v>
          </cell>
          <cell r="X5220" t="str">
            <v>Commissions - gross</v>
          </cell>
          <cell r="Y5220" t="str">
            <v>JAPAN</v>
          </cell>
        </row>
        <row r="5221">
          <cell r="L5221" t="str">
            <v>Non-proportional</v>
          </cell>
          <cell r="S5221">
            <v>-76.180000000000007</v>
          </cell>
          <cell r="X5221" t="str">
            <v>Commissions - gross</v>
          </cell>
          <cell r="Y5221" t="str">
            <v>ISRAEL</v>
          </cell>
        </row>
        <row r="5222">
          <cell r="L5222" t="str">
            <v>Non-proportional</v>
          </cell>
          <cell r="S5222">
            <v>-2248.13</v>
          </cell>
          <cell r="X5222" t="str">
            <v>Commissions - gross</v>
          </cell>
          <cell r="Y5222" t="str">
            <v>GREECE</v>
          </cell>
        </row>
        <row r="5223">
          <cell r="L5223" t="str">
            <v>Non-proportional</v>
          </cell>
          <cell r="S5223">
            <v>623.13</v>
          </cell>
          <cell r="X5223" t="str">
            <v>Commissions - gross</v>
          </cell>
          <cell r="Y5223" t="str">
            <v>AUSTRALIA</v>
          </cell>
        </row>
        <row r="5224">
          <cell r="L5224" t="str">
            <v>Non-proportional</v>
          </cell>
          <cell r="S5224">
            <v>-889.83</v>
          </cell>
          <cell r="X5224" t="str">
            <v>Commissions - gross</v>
          </cell>
          <cell r="Y5224" t="str">
            <v>ISRAEL</v>
          </cell>
        </row>
        <row r="5225">
          <cell r="L5225" t="str">
            <v>Non-proportional</v>
          </cell>
          <cell r="S5225">
            <v>-1820.09</v>
          </cell>
          <cell r="X5225" t="str">
            <v>Commissions - gross</v>
          </cell>
          <cell r="Y5225" t="str">
            <v>ISRAEL</v>
          </cell>
        </row>
        <row r="5226">
          <cell r="L5226" t="str">
            <v>Non-proportional</v>
          </cell>
          <cell r="S5226">
            <v>-4662.32</v>
          </cell>
          <cell r="X5226" t="str">
            <v>Commissions - gross</v>
          </cell>
          <cell r="Y5226" t="str">
            <v>FRANCE</v>
          </cell>
        </row>
        <row r="5227">
          <cell r="L5227" t="str">
            <v>Non-proportional</v>
          </cell>
          <cell r="S5227">
            <v>-2946.9</v>
          </cell>
          <cell r="X5227" t="str">
            <v>Commissions - gross</v>
          </cell>
          <cell r="Y5227" t="str">
            <v>CHILE</v>
          </cell>
        </row>
        <row r="5228">
          <cell r="L5228" t="str">
            <v>Non-proportional</v>
          </cell>
          <cell r="S5228">
            <v>-4764.55</v>
          </cell>
          <cell r="X5228" t="str">
            <v>Commissions - gross</v>
          </cell>
          <cell r="Y5228" t="str">
            <v>UNITED KINGDOM</v>
          </cell>
        </row>
        <row r="5229">
          <cell r="L5229" t="str">
            <v>Non-proportional</v>
          </cell>
          <cell r="S5229">
            <v>-11552.82</v>
          </cell>
          <cell r="X5229" t="str">
            <v>Commissions - gross</v>
          </cell>
          <cell r="Y5229" t="str">
            <v>CHINA</v>
          </cell>
        </row>
        <row r="5230">
          <cell r="L5230" t="str">
            <v>Non-proportional</v>
          </cell>
          <cell r="S5230">
            <v>298.74</v>
          </cell>
          <cell r="X5230" t="str">
            <v>Commissions - gross</v>
          </cell>
          <cell r="Y5230" t="str">
            <v>JAPAN</v>
          </cell>
        </row>
        <row r="5231">
          <cell r="L5231" t="str">
            <v>Non-proportional</v>
          </cell>
          <cell r="S5231">
            <v>-1831.02</v>
          </cell>
          <cell r="X5231" t="str">
            <v>Commissions - gross</v>
          </cell>
          <cell r="Y5231" t="str">
            <v>FRANCE</v>
          </cell>
        </row>
        <row r="5232">
          <cell r="L5232" t="str">
            <v>Non-proportional</v>
          </cell>
          <cell r="S5232">
            <v>-22.07</v>
          </cell>
          <cell r="X5232" t="str">
            <v>Commissions - gross</v>
          </cell>
          <cell r="Y5232" t="str">
            <v>ISRAEL</v>
          </cell>
        </row>
        <row r="5233">
          <cell r="L5233" t="str">
            <v>Non-proportional</v>
          </cell>
          <cell r="S5233">
            <v>190.24</v>
          </cell>
          <cell r="X5233" t="str">
            <v>Commissions - gross</v>
          </cell>
          <cell r="Y5233" t="str">
            <v>UNITED KINGDOM</v>
          </cell>
        </row>
        <row r="5234">
          <cell r="L5234" t="str">
            <v>Non-proportional</v>
          </cell>
          <cell r="S5234">
            <v>-15764.27</v>
          </cell>
          <cell r="X5234" t="str">
            <v>Commissions - gross</v>
          </cell>
          <cell r="Y5234" t="str">
            <v>FRANCE</v>
          </cell>
        </row>
        <row r="5235">
          <cell r="L5235" t="str">
            <v>Non-proportional</v>
          </cell>
          <cell r="S5235">
            <v>-22217.27</v>
          </cell>
          <cell r="X5235" t="str">
            <v>Commissions - gross</v>
          </cell>
          <cell r="Y5235" t="str">
            <v>ITALY</v>
          </cell>
        </row>
        <row r="5236">
          <cell r="L5236" t="str">
            <v>Non-proportional</v>
          </cell>
          <cell r="S5236">
            <v>458.09</v>
          </cell>
          <cell r="X5236" t="str">
            <v>Commissions - gross</v>
          </cell>
          <cell r="Y5236" t="str">
            <v>NEW ZEALAND</v>
          </cell>
        </row>
        <row r="5237">
          <cell r="L5237" t="str">
            <v>Non-proportional</v>
          </cell>
          <cell r="S5237">
            <v>-598.13</v>
          </cell>
          <cell r="X5237" t="str">
            <v>Commissions - gross</v>
          </cell>
          <cell r="Y5237" t="str">
            <v>GREECE</v>
          </cell>
        </row>
        <row r="5238">
          <cell r="L5238" t="str">
            <v>Non-proportional</v>
          </cell>
          <cell r="S5238">
            <v>0</v>
          </cell>
          <cell r="X5238" t="str">
            <v>Commissions - gross</v>
          </cell>
          <cell r="Y5238" t="str">
            <v>COLOMBIA</v>
          </cell>
        </row>
        <row r="5239">
          <cell r="L5239" t="str">
            <v>Non-proportional</v>
          </cell>
          <cell r="S5239">
            <v>-443626.12</v>
          </cell>
          <cell r="X5239" t="str">
            <v>Commissions - gross</v>
          </cell>
          <cell r="Y5239" t="str">
            <v>UNITED KINGDOM</v>
          </cell>
        </row>
        <row r="5240">
          <cell r="L5240" t="str">
            <v>Non-proportional</v>
          </cell>
          <cell r="S5240">
            <v>-11171.92</v>
          </cell>
          <cell r="X5240" t="str">
            <v>Commissions - gross</v>
          </cell>
          <cell r="Y5240" t="str">
            <v>EUROPE</v>
          </cell>
        </row>
        <row r="5241">
          <cell r="L5241" t="str">
            <v>Non-proportional</v>
          </cell>
          <cell r="S5241">
            <v>315.70999999999998</v>
          </cell>
          <cell r="X5241" t="str">
            <v>Commissions - gross</v>
          </cell>
          <cell r="Y5241" t="str">
            <v>JAPAN</v>
          </cell>
        </row>
        <row r="5242">
          <cell r="L5242" t="str">
            <v>Non-proportional</v>
          </cell>
          <cell r="S5242">
            <v>759.88</v>
          </cell>
          <cell r="X5242" t="str">
            <v>Commissions - gross</v>
          </cell>
          <cell r="Y5242" t="str">
            <v>NEW ZEALAND</v>
          </cell>
        </row>
        <row r="5243">
          <cell r="L5243" t="str">
            <v>Non-proportional</v>
          </cell>
          <cell r="S5243">
            <v>5.55</v>
          </cell>
          <cell r="X5243" t="str">
            <v>Commissions - gross</v>
          </cell>
          <cell r="Y5243" t="str">
            <v>INDIA</v>
          </cell>
        </row>
        <row r="5244">
          <cell r="L5244" t="str">
            <v>Non-proportional</v>
          </cell>
          <cell r="S5244">
            <v>-1.2</v>
          </cell>
          <cell r="X5244" t="str">
            <v>Commissions - gross</v>
          </cell>
          <cell r="Y5244" t="str">
            <v>JAPAN</v>
          </cell>
        </row>
        <row r="5245">
          <cell r="L5245" t="str">
            <v>Non-proportional</v>
          </cell>
          <cell r="S5245">
            <v>222.08</v>
          </cell>
          <cell r="X5245" t="str">
            <v>Commissions - gross</v>
          </cell>
          <cell r="Y5245" t="str">
            <v>JAPAN</v>
          </cell>
        </row>
        <row r="5246">
          <cell r="L5246" t="str">
            <v>Non-proportional</v>
          </cell>
          <cell r="S5246">
            <v>-1244.3699999999999</v>
          </cell>
          <cell r="X5246" t="str">
            <v>Commissions - gross</v>
          </cell>
          <cell r="Y5246" t="str">
            <v>CYPRUS</v>
          </cell>
        </row>
        <row r="5247">
          <cell r="L5247" t="str">
            <v>Non-proportional</v>
          </cell>
          <cell r="S5247">
            <v>10.58</v>
          </cell>
          <cell r="X5247" t="str">
            <v>Commissions - gross</v>
          </cell>
          <cell r="Y5247" t="str">
            <v>INDIA</v>
          </cell>
        </row>
        <row r="5248">
          <cell r="L5248" t="str">
            <v>Non-proportional</v>
          </cell>
          <cell r="S5248">
            <v>-3220.95</v>
          </cell>
          <cell r="X5248" t="str">
            <v>Commissions - gross</v>
          </cell>
          <cell r="Y5248" t="str">
            <v>UNITED ARAB EMIRATES</v>
          </cell>
        </row>
        <row r="5249">
          <cell r="L5249" t="str">
            <v>Non-proportional</v>
          </cell>
          <cell r="S5249">
            <v>8667.7900000000009</v>
          </cell>
          <cell r="X5249" t="str">
            <v>Commissions - gross</v>
          </cell>
          <cell r="Y5249" t="str">
            <v>UNITED KINGDOM</v>
          </cell>
        </row>
        <row r="5250">
          <cell r="L5250" t="str">
            <v>Non-proportional</v>
          </cell>
          <cell r="S5250">
            <v>48.4</v>
          </cell>
          <cell r="X5250" t="str">
            <v>Commissions - gross</v>
          </cell>
          <cell r="Y5250" t="str">
            <v>NEW ZEALAND</v>
          </cell>
        </row>
        <row r="5251">
          <cell r="L5251" t="str">
            <v>Non-proportional</v>
          </cell>
          <cell r="S5251">
            <v>897.21</v>
          </cell>
          <cell r="X5251" t="str">
            <v>Commissions - gross</v>
          </cell>
          <cell r="Y5251" t="str">
            <v>AUSTRALIA</v>
          </cell>
        </row>
        <row r="5252">
          <cell r="L5252" t="str">
            <v>Proportional</v>
          </cell>
          <cell r="S5252">
            <v>-25377.759999999998</v>
          </cell>
          <cell r="X5252" t="str">
            <v>Commissions - gross</v>
          </cell>
          <cell r="Y5252" t="str">
            <v>SWITZERLAND</v>
          </cell>
        </row>
        <row r="5253">
          <cell r="L5253" t="str">
            <v>Non-proportional</v>
          </cell>
          <cell r="S5253">
            <v>379.63</v>
          </cell>
          <cell r="X5253" t="str">
            <v>Commissions - gross</v>
          </cell>
          <cell r="Y5253" t="str">
            <v>COLOMBIA</v>
          </cell>
        </row>
        <row r="5254">
          <cell r="L5254" t="str">
            <v>Non-proportional</v>
          </cell>
          <cell r="S5254">
            <v>-11631.43</v>
          </cell>
          <cell r="X5254" t="str">
            <v>Commissions - gross</v>
          </cell>
          <cell r="Y5254" t="str">
            <v>COSTA RICA</v>
          </cell>
        </row>
        <row r="5255">
          <cell r="L5255" t="str">
            <v>Non-proportional</v>
          </cell>
          <cell r="S5255">
            <v>-45.16</v>
          </cell>
          <cell r="X5255" t="str">
            <v>Commissions - gross</v>
          </cell>
          <cell r="Y5255" t="str">
            <v>UNITED KINGDOM</v>
          </cell>
        </row>
        <row r="5256">
          <cell r="L5256" t="str">
            <v>Non-proportional</v>
          </cell>
          <cell r="S5256">
            <v>15867.92</v>
          </cell>
          <cell r="X5256" t="str">
            <v>Commissions - gross</v>
          </cell>
          <cell r="Y5256" t="str">
            <v>CHILE</v>
          </cell>
        </row>
        <row r="5257">
          <cell r="L5257" t="str">
            <v>Non-proportional</v>
          </cell>
          <cell r="S5257">
            <v>3180.67</v>
          </cell>
          <cell r="X5257" t="str">
            <v>Commissions - gross</v>
          </cell>
          <cell r="Y5257" t="str">
            <v>TURKEY</v>
          </cell>
        </row>
        <row r="5258">
          <cell r="L5258" t="str">
            <v>Non-proportional</v>
          </cell>
          <cell r="S5258">
            <v>-7366.04</v>
          </cell>
          <cell r="X5258" t="str">
            <v>Commissions - gross</v>
          </cell>
          <cell r="Y5258" t="str">
            <v>ISRAEL</v>
          </cell>
        </row>
        <row r="5259">
          <cell r="L5259" t="str">
            <v>Non-proportional</v>
          </cell>
          <cell r="S5259">
            <v>-14.02</v>
          </cell>
          <cell r="X5259" t="str">
            <v>Commissions - gross</v>
          </cell>
          <cell r="Y5259" t="str">
            <v>NEW ZEALAND</v>
          </cell>
        </row>
        <row r="5260">
          <cell r="L5260" t="str">
            <v>Non-proportional</v>
          </cell>
          <cell r="S5260">
            <v>514.89</v>
          </cell>
          <cell r="X5260" t="str">
            <v>Commissions - gross</v>
          </cell>
          <cell r="Y5260" t="str">
            <v>PERU</v>
          </cell>
        </row>
        <row r="5261">
          <cell r="L5261" t="str">
            <v>Non-proportional</v>
          </cell>
          <cell r="S5261">
            <v>1214.97</v>
          </cell>
          <cell r="X5261" t="str">
            <v>Commissions - gross</v>
          </cell>
          <cell r="Y5261" t="str">
            <v>AUSTRALIA</v>
          </cell>
        </row>
        <row r="5262">
          <cell r="L5262" t="str">
            <v>Non-proportional</v>
          </cell>
          <cell r="S5262">
            <v>6.21</v>
          </cell>
          <cell r="X5262" t="str">
            <v>Commissions - gross</v>
          </cell>
          <cell r="Y5262" t="str">
            <v>INDIA</v>
          </cell>
        </row>
        <row r="5263">
          <cell r="L5263" t="str">
            <v>Non-proportional</v>
          </cell>
          <cell r="S5263">
            <v>-1889.04</v>
          </cell>
          <cell r="X5263" t="str">
            <v>Commissions - gross</v>
          </cell>
          <cell r="Y5263" t="str">
            <v>CHILE</v>
          </cell>
        </row>
        <row r="5264">
          <cell r="L5264" t="str">
            <v>Non-proportional</v>
          </cell>
          <cell r="S5264">
            <v>12452.63</v>
          </cell>
          <cell r="X5264" t="str">
            <v>Commissions - gross</v>
          </cell>
          <cell r="Y5264" t="str">
            <v>UNITED KINGDOM</v>
          </cell>
        </row>
        <row r="5265">
          <cell r="L5265" t="str">
            <v>Non-proportional</v>
          </cell>
          <cell r="S5265">
            <v>88.43</v>
          </cell>
          <cell r="X5265" t="str">
            <v>Commissions - gross</v>
          </cell>
          <cell r="Y5265" t="str">
            <v>ECUADOR</v>
          </cell>
        </row>
        <row r="5266">
          <cell r="L5266" t="str">
            <v>Non-proportional</v>
          </cell>
          <cell r="S5266">
            <v>170.74</v>
          </cell>
          <cell r="X5266" t="str">
            <v>Commissions - gross</v>
          </cell>
          <cell r="Y5266" t="str">
            <v>INDIA</v>
          </cell>
        </row>
        <row r="5267">
          <cell r="L5267" t="str">
            <v>Proportional</v>
          </cell>
          <cell r="S5267">
            <v>14.98</v>
          </cell>
          <cell r="X5267" t="str">
            <v>Commissions - gross</v>
          </cell>
          <cell r="Y5267" t="str">
            <v>UNITED STATES</v>
          </cell>
        </row>
        <row r="5268">
          <cell r="L5268" t="str">
            <v>Non-proportional</v>
          </cell>
          <cell r="S5268">
            <v>425.79</v>
          </cell>
          <cell r="X5268" t="str">
            <v>Commissions - gross</v>
          </cell>
          <cell r="Y5268" t="str">
            <v>COLOMBIA</v>
          </cell>
        </row>
        <row r="5269">
          <cell r="L5269" t="str">
            <v>Non-proportional</v>
          </cell>
          <cell r="S5269">
            <v>-44879.88</v>
          </cell>
          <cell r="X5269" t="str">
            <v>Commissions - gross</v>
          </cell>
          <cell r="Y5269" t="str">
            <v>TURKEY</v>
          </cell>
        </row>
        <row r="5270">
          <cell r="L5270" t="str">
            <v>Non-proportional</v>
          </cell>
          <cell r="S5270">
            <v>127.46</v>
          </cell>
          <cell r="X5270" t="str">
            <v>Commissions - gross</v>
          </cell>
          <cell r="Y5270" t="str">
            <v>NEW ZEALAND</v>
          </cell>
        </row>
        <row r="5271">
          <cell r="L5271" t="str">
            <v>Non-proportional</v>
          </cell>
          <cell r="S5271">
            <v>-37.78</v>
          </cell>
          <cell r="X5271" t="str">
            <v>Commissions - gross</v>
          </cell>
          <cell r="Y5271" t="str">
            <v>CHILE</v>
          </cell>
        </row>
        <row r="5272">
          <cell r="L5272" t="str">
            <v>Non-proportional</v>
          </cell>
          <cell r="S5272">
            <v>-7662.82</v>
          </cell>
          <cell r="X5272" t="str">
            <v>Commissions - gross</v>
          </cell>
          <cell r="Y5272" t="str">
            <v>MEXICO</v>
          </cell>
        </row>
        <row r="5273">
          <cell r="L5273" t="str">
            <v>Non-proportional</v>
          </cell>
          <cell r="S5273">
            <v>1246.77</v>
          </cell>
          <cell r="X5273" t="str">
            <v>Commissions - gross</v>
          </cell>
          <cell r="Y5273" t="str">
            <v>CHILE</v>
          </cell>
        </row>
        <row r="5274">
          <cell r="L5274" t="str">
            <v>Non-proportional</v>
          </cell>
          <cell r="S5274">
            <v>-16876.8</v>
          </cell>
          <cell r="X5274" t="str">
            <v>Commissions - gross</v>
          </cell>
          <cell r="Y5274" t="str">
            <v>ECUADOR</v>
          </cell>
        </row>
        <row r="5275">
          <cell r="L5275" t="str">
            <v>Non-proportional</v>
          </cell>
          <cell r="S5275">
            <v>280.52</v>
          </cell>
          <cell r="X5275" t="str">
            <v>Commissions - gross</v>
          </cell>
          <cell r="Y5275" t="str">
            <v>REPUBLIC OF IRELAND</v>
          </cell>
        </row>
        <row r="5276">
          <cell r="L5276" t="str">
            <v>Non-proportional</v>
          </cell>
          <cell r="S5276">
            <v>-4572.0200000000004</v>
          </cell>
          <cell r="X5276" t="str">
            <v>Commissions - gross</v>
          </cell>
          <cell r="Y5276" t="str">
            <v>SINGAPORE</v>
          </cell>
        </row>
        <row r="5277">
          <cell r="L5277" t="str">
            <v>Proportional</v>
          </cell>
          <cell r="S5277">
            <v>-96493.81</v>
          </cell>
          <cell r="X5277" t="str">
            <v>Commissions - gross</v>
          </cell>
          <cell r="Y5277" t="str">
            <v>UNITED STATES</v>
          </cell>
        </row>
        <row r="5278">
          <cell r="L5278" t="str">
            <v>Non-proportional</v>
          </cell>
          <cell r="S5278">
            <v>897.24</v>
          </cell>
          <cell r="X5278" t="str">
            <v>Commissions - gross</v>
          </cell>
          <cell r="Y5278" t="str">
            <v>AUSTRALIA</v>
          </cell>
        </row>
        <row r="5279">
          <cell r="L5279" t="str">
            <v>Non-proportional</v>
          </cell>
          <cell r="S5279">
            <v>302.25</v>
          </cell>
          <cell r="X5279" t="str">
            <v>Commissions - gross</v>
          </cell>
          <cell r="Y5279" t="str">
            <v>CHILE</v>
          </cell>
        </row>
        <row r="5280">
          <cell r="L5280" t="str">
            <v>Non-proportional</v>
          </cell>
          <cell r="S5280">
            <v>-6158.27</v>
          </cell>
          <cell r="X5280" t="str">
            <v>Commissions - gross</v>
          </cell>
          <cell r="Y5280" t="str">
            <v>CHILE</v>
          </cell>
        </row>
        <row r="5281">
          <cell r="L5281" t="str">
            <v>Non-proportional</v>
          </cell>
          <cell r="S5281">
            <v>-1462.07</v>
          </cell>
          <cell r="X5281" t="str">
            <v>Commissions - gross</v>
          </cell>
          <cell r="Y5281" t="str">
            <v>BRAZIL</v>
          </cell>
        </row>
        <row r="5282">
          <cell r="L5282" t="str">
            <v>Non-proportional</v>
          </cell>
          <cell r="S5282">
            <v>90.52</v>
          </cell>
          <cell r="X5282" t="str">
            <v>Commissions - gross</v>
          </cell>
          <cell r="Y5282" t="str">
            <v>COLOMBIA</v>
          </cell>
        </row>
        <row r="5283">
          <cell r="L5283" t="str">
            <v>Non-proportional</v>
          </cell>
          <cell r="S5283">
            <v>570.73</v>
          </cell>
          <cell r="X5283" t="str">
            <v>Commissions - gross</v>
          </cell>
          <cell r="Y5283" t="str">
            <v>SPAIN</v>
          </cell>
        </row>
        <row r="5284">
          <cell r="L5284" t="str">
            <v>Non-proportional</v>
          </cell>
          <cell r="S5284">
            <v>-1383.58</v>
          </cell>
          <cell r="X5284" t="str">
            <v>Commissions - gross</v>
          </cell>
          <cell r="Y5284" t="str">
            <v>ITALY</v>
          </cell>
        </row>
        <row r="5285">
          <cell r="L5285" t="str">
            <v>Non-proportional</v>
          </cell>
          <cell r="S5285">
            <v>-39.46</v>
          </cell>
          <cell r="X5285" t="str">
            <v>Commissions - gross</v>
          </cell>
          <cell r="Y5285" t="str">
            <v>ISRAEL</v>
          </cell>
        </row>
        <row r="5286">
          <cell r="L5286" t="str">
            <v>Non-proportional</v>
          </cell>
          <cell r="S5286">
            <v>-2341.41</v>
          </cell>
          <cell r="X5286" t="str">
            <v>Commissions - gross</v>
          </cell>
          <cell r="Y5286" t="str">
            <v>UNITED KINGDOM</v>
          </cell>
        </row>
        <row r="5287">
          <cell r="L5287" t="str">
            <v>Non-proportional</v>
          </cell>
          <cell r="S5287">
            <v>-455001.16</v>
          </cell>
          <cell r="X5287" t="str">
            <v>Commissions - gross</v>
          </cell>
          <cell r="Y5287" t="str">
            <v>UNITED KINGDOM</v>
          </cell>
        </row>
        <row r="5288">
          <cell r="L5288" t="str">
            <v>Non-proportional</v>
          </cell>
          <cell r="S5288">
            <v>-5041.47</v>
          </cell>
          <cell r="X5288" t="str">
            <v>Commissions - gross</v>
          </cell>
          <cell r="Y5288" t="str">
            <v>THAILAND</v>
          </cell>
        </row>
        <row r="5289">
          <cell r="L5289" t="str">
            <v>Non-proportional</v>
          </cell>
          <cell r="S5289">
            <v>-3305.62</v>
          </cell>
          <cell r="X5289" t="str">
            <v>Commissions - gross</v>
          </cell>
          <cell r="Y5289" t="str">
            <v>ISRAEL</v>
          </cell>
        </row>
        <row r="5290">
          <cell r="L5290" t="str">
            <v>Non-proportional</v>
          </cell>
          <cell r="S5290">
            <v>-14.34</v>
          </cell>
          <cell r="X5290" t="str">
            <v>Commissions - gross</v>
          </cell>
          <cell r="Y5290" t="str">
            <v>UNITED KINGDOM</v>
          </cell>
        </row>
        <row r="5291">
          <cell r="L5291" t="str">
            <v>Non-proportional</v>
          </cell>
          <cell r="S5291">
            <v>-5801.94</v>
          </cell>
          <cell r="X5291" t="str">
            <v>Commissions - gross</v>
          </cell>
          <cell r="Y5291" t="str">
            <v>CYPRUS</v>
          </cell>
        </row>
        <row r="5292">
          <cell r="L5292" t="str">
            <v>Non-proportional</v>
          </cell>
          <cell r="S5292">
            <v>89.89</v>
          </cell>
          <cell r="X5292" t="str">
            <v>Commissions - gross</v>
          </cell>
          <cell r="Y5292" t="str">
            <v>FRANCE</v>
          </cell>
        </row>
        <row r="5293">
          <cell r="L5293" t="str">
            <v>Proportional</v>
          </cell>
          <cell r="S5293">
            <v>20.71</v>
          </cell>
          <cell r="X5293" t="str">
            <v>Commissions - gross</v>
          </cell>
          <cell r="Y5293" t="str">
            <v>UNITED STATES</v>
          </cell>
        </row>
        <row r="5294">
          <cell r="L5294" t="str">
            <v>Non-proportional</v>
          </cell>
          <cell r="S5294">
            <v>-1072.5</v>
          </cell>
          <cell r="X5294" t="str">
            <v>Commissions - gross</v>
          </cell>
          <cell r="Y5294" t="str">
            <v>GREECE</v>
          </cell>
        </row>
        <row r="5295">
          <cell r="L5295" t="str">
            <v>Non-proportional</v>
          </cell>
          <cell r="S5295">
            <v>-13201.46</v>
          </cell>
          <cell r="X5295" t="str">
            <v>Commissions - gross</v>
          </cell>
          <cell r="Y5295" t="str">
            <v>ITALY</v>
          </cell>
        </row>
        <row r="5296">
          <cell r="L5296" t="str">
            <v>Non-proportional</v>
          </cell>
          <cell r="S5296">
            <v>-10.82</v>
          </cell>
          <cell r="X5296" t="str">
            <v>Commissions - gross</v>
          </cell>
          <cell r="Y5296" t="str">
            <v>JAPAN</v>
          </cell>
        </row>
        <row r="5297">
          <cell r="L5297" t="str">
            <v>Non-proportional</v>
          </cell>
          <cell r="S5297">
            <v>-11132.55</v>
          </cell>
          <cell r="X5297" t="str">
            <v>Commissions - gross</v>
          </cell>
          <cell r="Y5297" t="str">
            <v>ITALY</v>
          </cell>
        </row>
        <row r="5298">
          <cell r="L5298" t="str">
            <v>Non-proportional</v>
          </cell>
          <cell r="S5298">
            <v>-8.6199999999999992</v>
          </cell>
          <cell r="X5298" t="str">
            <v>Commissions - gross</v>
          </cell>
          <cell r="Y5298" t="str">
            <v>COLOMBIA</v>
          </cell>
        </row>
        <row r="5299">
          <cell r="L5299" t="str">
            <v>Proportional</v>
          </cell>
          <cell r="S5299">
            <v>3763.51</v>
          </cell>
          <cell r="X5299" t="str">
            <v>Commissions - gross</v>
          </cell>
          <cell r="Y5299" t="str">
            <v>JAPAN</v>
          </cell>
        </row>
        <row r="5300">
          <cell r="L5300" t="str">
            <v>Non-proportional</v>
          </cell>
          <cell r="S5300">
            <v>302.25</v>
          </cell>
          <cell r="X5300" t="str">
            <v>Commissions - gross</v>
          </cell>
          <cell r="Y5300" t="str">
            <v>CHILE</v>
          </cell>
        </row>
        <row r="5301">
          <cell r="L5301" t="str">
            <v>Non-proportional</v>
          </cell>
          <cell r="S5301">
            <v>-20101.060000000001</v>
          </cell>
          <cell r="X5301" t="str">
            <v>Commissions - gross</v>
          </cell>
          <cell r="Y5301" t="str">
            <v>HONG KONG</v>
          </cell>
        </row>
        <row r="5302">
          <cell r="L5302" t="str">
            <v>Non-proportional</v>
          </cell>
          <cell r="S5302">
            <v>279.82</v>
          </cell>
          <cell r="X5302" t="str">
            <v>Commissions - gross</v>
          </cell>
          <cell r="Y5302" t="str">
            <v>UNITED KINGDOM</v>
          </cell>
        </row>
        <row r="5303">
          <cell r="L5303" t="str">
            <v>Non-proportional</v>
          </cell>
          <cell r="S5303">
            <v>41.61</v>
          </cell>
          <cell r="X5303" t="str">
            <v>Commissions - gross</v>
          </cell>
          <cell r="Y5303" t="str">
            <v>TURKEY</v>
          </cell>
        </row>
        <row r="5304">
          <cell r="L5304" t="str">
            <v>Non-proportional</v>
          </cell>
          <cell r="S5304">
            <v>-429</v>
          </cell>
          <cell r="X5304" t="str">
            <v>Commissions - gross</v>
          </cell>
          <cell r="Y5304" t="str">
            <v>ITALY</v>
          </cell>
        </row>
        <row r="5305">
          <cell r="L5305" t="str">
            <v>Non-proportional</v>
          </cell>
          <cell r="S5305">
            <v>170.09</v>
          </cell>
          <cell r="X5305" t="str">
            <v>Commissions - gross</v>
          </cell>
          <cell r="Y5305" t="str">
            <v>UNITED KINGDOM</v>
          </cell>
        </row>
        <row r="5306">
          <cell r="L5306" t="str">
            <v>Proportional</v>
          </cell>
          <cell r="S5306">
            <v>702.91</v>
          </cell>
          <cell r="X5306" t="str">
            <v>Commissions - gross</v>
          </cell>
          <cell r="Y5306" t="str">
            <v>MEXICO</v>
          </cell>
        </row>
        <row r="5307">
          <cell r="L5307" t="str">
            <v>Non-proportional</v>
          </cell>
          <cell r="S5307">
            <v>102.53</v>
          </cell>
          <cell r="X5307" t="str">
            <v>Commissions - gross</v>
          </cell>
          <cell r="Y5307" t="str">
            <v>DOMINICAN REPUBLIC</v>
          </cell>
        </row>
        <row r="5308">
          <cell r="L5308" t="str">
            <v>Non-proportional</v>
          </cell>
          <cell r="S5308">
            <v>-50334.32</v>
          </cell>
          <cell r="X5308" t="str">
            <v>Commissions - gross</v>
          </cell>
          <cell r="Y5308" t="str">
            <v>TURKEY</v>
          </cell>
        </row>
        <row r="5309">
          <cell r="L5309" t="str">
            <v>Non-proportional</v>
          </cell>
          <cell r="S5309">
            <v>-7598.45</v>
          </cell>
          <cell r="X5309" t="str">
            <v>Commissions - gross</v>
          </cell>
          <cell r="Y5309" t="str">
            <v>GREECE</v>
          </cell>
        </row>
        <row r="5310">
          <cell r="L5310" t="str">
            <v>Non-proportional</v>
          </cell>
          <cell r="S5310">
            <v>272.54000000000002</v>
          </cell>
          <cell r="X5310" t="str">
            <v>Commissions - gross</v>
          </cell>
          <cell r="Y5310" t="str">
            <v>AUSTRALIA</v>
          </cell>
        </row>
        <row r="5311">
          <cell r="L5311" t="str">
            <v>Non-proportional</v>
          </cell>
          <cell r="S5311">
            <v>524.29</v>
          </cell>
          <cell r="X5311" t="str">
            <v>Commissions - gross</v>
          </cell>
          <cell r="Y5311" t="str">
            <v>JAPAN</v>
          </cell>
        </row>
        <row r="5312">
          <cell r="L5312" t="str">
            <v>Proportional</v>
          </cell>
          <cell r="S5312">
            <v>-93912.1</v>
          </cell>
          <cell r="X5312" t="str">
            <v>Commissions - gross</v>
          </cell>
          <cell r="Y5312" t="str">
            <v>UNITED STATES</v>
          </cell>
        </row>
        <row r="5313">
          <cell r="L5313" t="str">
            <v>Non-proportional</v>
          </cell>
          <cell r="S5313">
            <v>-1924.92</v>
          </cell>
          <cell r="X5313" t="str">
            <v>Commissions - gross</v>
          </cell>
          <cell r="Y5313" t="str">
            <v>EUROPE</v>
          </cell>
        </row>
        <row r="5314">
          <cell r="L5314" t="str">
            <v>Non-proportional</v>
          </cell>
          <cell r="S5314">
            <v>85.61</v>
          </cell>
          <cell r="X5314" t="str">
            <v>Commissions - gross</v>
          </cell>
          <cell r="Y5314" t="str">
            <v>MEXICO</v>
          </cell>
        </row>
        <row r="5315">
          <cell r="L5315" t="str">
            <v>Non-proportional</v>
          </cell>
          <cell r="S5315">
            <v>-1515.08</v>
          </cell>
          <cell r="X5315" t="str">
            <v>Commissions - gross</v>
          </cell>
          <cell r="Y5315" t="str">
            <v>ISRAEL</v>
          </cell>
        </row>
        <row r="5316">
          <cell r="L5316" t="str">
            <v>Non-proportional</v>
          </cell>
          <cell r="S5316">
            <v>-6016.21</v>
          </cell>
          <cell r="X5316" t="str">
            <v>Commissions - gross</v>
          </cell>
          <cell r="Y5316" t="str">
            <v>ISRAEL</v>
          </cell>
        </row>
        <row r="5317">
          <cell r="L5317" t="str">
            <v>Non-proportional</v>
          </cell>
          <cell r="S5317">
            <v>-21964.51</v>
          </cell>
          <cell r="X5317" t="str">
            <v>Commissions - gross</v>
          </cell>
          <cell r="Y5317" t="str">
            <v>FRANCE</v>
          </cell>
        </row>
        <row r="5318">
          <cell r="L5318" t="str">
            <v>Non-proportional</v>
          </cell>
          <cell r="S5318">
            <v>-4155.88</v>
          </cell>
          <cell r="X5318" t="str">
            <v>Commissions - gross</v>
          </cell>
          <cell r="Y5318" t="str">
            <v>CHILE</v>
          </cell>
        </row>
        <row r="5319">
          <cell r="L5319" t="str">
            <v>Non-proportional</v>
          </cell>
          <cell r="S5319">
            <v>5.72</v>
          </cell>
          <cell r="X5319" t="str">
            <v>Commissions - gross</v>
          </cell>
          <cell r="Y5319" t="str">
            <v>JAPAN</v>
          </cell>
        </row>
        <row r="5320">
          <cell r="L5320" t="str">
            <v>Non-proportional</v>
          </cell>
          <cell r="S5320">
            <v>-9891.7999999999993</v>
          </cell>
          <cell r="X5320" t="str">
            <v>Commissions - gross</v>
          </cell>
          <cell r="Y5320" t="str">
            <v>CHILE</v>
          </cell>
        </row>
        <row r="5321">
          <cell r="L5321" t="str">
            <v>Non-proportional</v>
          </cell>
          <cell r="S5321">
            <v>-25.56</v>
          </cell>
          <cell r="X5321" t="str">
            <v>Commissions - gross</v>
          </cell>
          <cell r="Y5321" t="str">
            <v>JAPAN</v>
          </cell>
        </row>
        <row r="5322">
          <cell r="L5322" t="str">
            <v>Non-proportional</v>
          </cell>
          <cell r="S5322">
            <v>-2.35</v>
          </cell>
          <cell r="X5322" t="str">
            <v>Commissions - gross</v>
          </cell>
          <cell r="Y5322" t="str">
            <v>NEW ZEALAND</v>
          </cell>
        </row>
        <row r="5323">
          <cell r="L5323" t="str">
            <v>Non-proportional</v>
          </cell>
          <cell r="S5323">
            <v>863.57</v>
          </cell>
          <cell r="X5323" t="str">
            <v>Commissions - gross</v>
          </cell>
          <cell r="Y5323" t="str">
            <v>AUSTRALIA</v>
          </cell>
        </row>
        <row r="5324">
          <cell r="L5324" t="str">
            <v>Proportional</v>
          </cell>
          <cell r="S5324">
            <v>2015.51</v>
          </cell>
          <cell r="X5324" t="str">
            <v>Commissions - gross</v>
          </cell>
          <cell r="Y5324" t="str">
            <v>AUSTRALIA</v>
          </cell>
        </row>
        <row r="5325">
          <cell r="L5325" t="str">
            <v>Non-proportional</v>
          </cell>
          <cell r="S5325">
            <v>-4960.7299999999996</v>
          </cell>
          <cell r="X5325" t="str">
            <v>Commissions - gross</v>
          </cell>
          <cell r="Y5325" t="str">
            <v>FRANCE</v>
          </cell>
        </row>
        <row r="5326">
          <cell r="L5326" t="str">
            <v>Non-proportional</v>
          </cell>
          <cell r="S5326">
            <v>219.82</v>
          </cell>
          <cell r="X5326" t="str">
            <v>Commissions - gross</v>
          </cell>
          <cell r="Y5326" t="str">
            <v>AUSTRALIA</v>
          </cell>
        </row>
        <row r="5327">
          <cell r="L5327" t="str">
            <v>Non-proportional</v>
          </cell>
          <cell r="S5327">
            <v>676.57</v>
          </cell>
          <cell r="X5327" t="str">
            <v>Commissions - gross</v>
          </cell>
          <cell r="Y5327" t="str">
            <v>ECUADOR</v>
          </cell>
        </row>
        <row r="5328">
          <cell r="L5328" t="str">
            <v>Non-proportional</v>
          </cell>
          <cell r="S5328">
            <v>0</v>
          </cell>
          <cell r="X5328" t="str">
            <v>Commissions - gross</v>
          </cell>
          <cell r="Y5328" t="str">
            <v>DOMINICAN REPUBLIC</v>
          </cell>
        </row>
        <row r="5329">
          <cell r="L5329" t="str">
            <v>Non-proportional</v>
          </cell>
          <cell r="S5329">
            <v>-5226.3900000000003</v>
          </cell>
          <cell r="X5329" t="str">
            <v>Commissions - gross</v>
          </cell>
          <cell r="Y5329" t="str">
            <v>FRANCE</v>
          </cell>
        </row>
        <row r="5330">
          <cell r="L5330" t="str">
            <v>Non-proportional</v>
          </cell>
          <cell r="S5330">
            <v>11385.23</v>
          </cell>
          <cell r="X5330" t="str">
            <v>Commissions - gross</v>
          </cell>
          <cell r="Y5330" t="str">
            <v>UNITED KINGDOM</v>
          </cell>
        </row>
        <row r="5331">
          <cell r="L5331" t="str">
            <v>Non-proportional</v>
          </cell>
          <cell r="S5331">
            <v>-2232.9</v>
          </cell>
          <cell r="X5331" t="str">
            <v>Commissions - gross</v>
          </cell>
          <cell r="Y5331" t="str">
            <v>CYPRUS</v>
          </cell>
        </row>
        <row r="5332">
          <cell r="L5332" t="str">
            <v>Non-proportional</v>
          </cell>
          <cell r="S5332">
            <v>-3640.18</v>
          </cell>
          <cell r="X5332" t="str">
            <v>Commissions - gross</v>
          </cell>
          <cell r="Y5332" t="str">
            <v>ISRAEL</v>
          </cell>
        </row>
        <row r="5333">
          <cell r="L5333" t="str">
            <v>Non-proportional</v>
          </cell>
          <cell r="S5333">
            <v>580.05999999999995</v>
          </cell>
          <cell r="X5333" t="str">
            <v>Commissions - gross</v>
          </cell>
          <cell r="Y5333" t="str">
            <v>ECUADOR</v>
          </cell>
        </row>
        <row r="5334">
          <cell r="L5334" t="str">
            <v>Non-proportional</v>
          </cell>
          <cell r="S5334">
            <v>-1989.22</v>
          </cell>
          <cell r="X5334" t="str">
            <v>Commissions - gross</v>
          </cell>
          <cell r="Y5334" t="str">
            <v>BRAZIL</v>
          </cell>
        </row>
        <row r="5335">
          <cell r="L5335" t="str">
            <v>Non-proportional</v>
          </cell>
          <cell r="S5335">
            <v>0</v>
          </cell>
          <cell r="X5335" t="str">
            <v>Commissions - gross</v>
          </cell>
          <cell r="Y5335" t="str">
            <v>DOMINICAN REPUBLIC</v>
          </cell>
        </row>
        <row r="5336">
          <cell r="L5336" t="str">
            <v>Non-proportional</v>
          </cell>
          <cell r="S5336">
            <v>-9579.17</v>
          </cell>
          <cell r="X5336" t="str">
            <v>Commissions - gross</v>
          </cell>
          <cell r="Y5336" t="str">
            <v>TURKEY</v>
          </cell>
        </row>
        <row r="5337">
          <cell r="L5337" t="str">
            <v>Non-proportional</v>
          </cell>
          <cell r="S5337">
            <v>2455.59</v>
          </cell>
          <cell r="X5337" t="str">
            <v>Commissions - gross</v>
          </cell>
          <cell r="Y5337" t="str">
            <v>NEW ZEALAND</v>
          </cell>
        </row>
        <row r="5338">
          <cell r="L5338" t="str">
            <v>Non-proportional</v>
          </cell>
          <cell r="S5338">
            <v>704.69</v>
          </cell>
          <cell r="X5338" t="str">
            <v>Commissions - gross</v>
          </cell>
          <cell r="Y5338" t="str">
            <v>UNITED KINGDOM</v>
          </cell>
        </row>
        <row r="5339">
          <cell r="L5339" t="str">
            <v>Non-proportional</v>
          </cell>
          <cell r="S5339">
            <v>23.64</v>
          </cell>
          <cell r="X5339" t="str">
            <v>Commissions - gross</v>
          </cell>
          <cell r="Y5339" t="str">
            <v>TURKEY</v>
          </cell>
        </row>
        <row r="5340">
          <cell r="L5340" t="str">
            <v>Non-proportional</v>
          </cell>
          <cell r="S5340">
            <v>0</v>
          </cell>
          <cell r="X5340" t="str">
            <v>Commissions - gross</v>
          </cell>
          <cell r="Y5340" t="str">
            <v>DOMINICAN REPUBLIC</v>
          </cell>
        </row>
        <row r="5341">
          <cell r="L5341" t="str">
            <v>Non-proportional</v>
          </cell>
          <cell r="S5341">
            <v>-11000</v>
          </cell>
          <cell r="X5341" t="str">
            <v>Commissions - gross</v>
          </cell>
          <cell r="Y5341" t="str">
            <v>EUROPE</v>
          </cell>
        </row>
        <row r="5342">
          <cell r="L5342" t="str">
            <v>Non-proportional</v>
          </cell>
          <cell r="S5342">
            <v>-2.0699999999999998</v>
          </cell>
          <cell r="X5342" t="str">
            <v>Commissions - gross</v>
          </cell>
          <cell r="Y5342" t="str">
            <v>COLOMBIA</v>
          </cell>
        </row>
        <row r="5343">
          <cell r="L5343" t="str">
            <v>Non-proportional</v>
          </cell>
          <cell r="S5343">
            <v>-2696.29</v>
          </cell>
          <cell r="X5343" t="str">
            <v>Commissions - gross</v>
          </cell>
          <cell r="Y5343" t="str">
            <v>FRANCE</v>
          </cell>
        </row>
        <row r="5344">
          <cell r="L5344" t="str">
            <v>Non-proportional</v>
          </cell>
          <cell r="S5344">
            <v>-1057.8599999999999</v>
          </cell>
          <cell r="X5344" t="str">
            <v>Commissions - gross</v>
          </cell>
          <cell r="Y5344" t="str">
            <v>CHILE</v>
          </cell>
        </row>
        <row r="5345">
          <cell r="L5345" t="str">
            <v>Non-proportional</v>
          </cell>
          <cell r="S5345">
            <v>-2769.43</v>
          </cell>
          <cell r="X5345" t="str">
            <v>Commissions - gross</v>
          </cell>
          <cell r="Y5345" t="str">
            <v>ITALY</v>
          </cell>
        </row>
        <row r="5346">
          <cell r="L5346" t="str">
            <v>Non-proportional</v>
          </cell>
          <cell r="S5346">
            <v>759.88</v>
          </cell>
          <cell r="X5346" t="str">
            <v>Commissions - gross</v>
          </cell>
          <cell r="Y5346" t="str">
            <v>NEW ZEALAND</v>
          </cell>
        </row>
        <row r="5347">
          <cell r="L5347" t="str">
            <v>Proportional</v>
          </cell>
          <cell r="S5347">
            <v>-190448.62</v>
          </cell>
          <cell r="X5347" t="str">
            <v>Commissions - gross</v>
          </cell>
          <cell r="Y5347" t="str">
            <v>UNITED STATES</v>
          </cell>
        </row>
        <row r="5348">
          <cell r="L5348" t="str">
            <v>Non-proportional</v>
          </cell>
          <cell r="S5348">
            <v>-2380.19</v>
          </cell>
          <cell r="X5348" t="str">
            <v>Commissions - gross</v>
          </cell>
          <cell r="Y5348" t="str">
            <v>CHILE</v>
          </cell>
        </row>
        <row r="5349">
          <cell r="L5349" t="str">
            <v>Non-proportional</v>
          </cell>
          <cell r="S5349">
            <v>-3124.93</v>
          </cell>
          <cell r="X5349" t="str">
            <v>Commissions - gross</v>
          </cell>
          <cell r="Y5349" t="str">
            <v>EUROPE</v>
          </cell>
        </row>
        <row r="5350">
          <cell r="L5350" t="str">
            <v>Non-proportional</v>
          </cell>
          <cell r="S5350">
            <v>-4418.96</v>
          </cell>
          <cell r="X5350" t="str">
            <v>Commissions - gross</v>
          </cell>
          <cell r="Y5350" t="str">
            <v>THAILAND</v>
          </cell>
        </row>
        <row r="5351">
          <cell r="L5351" t="str">
            <v>Non-proportional</v>
          </cell>
          <cell r="S5351">
            <v>-12661.71</v>
          </cell>
          <cell r="X5351" t="str">
            <v>Commissions - gross</v>
          </cell>
          <cell r="Y5351" t="str">
            <v>EUROPE</v>
          </cell>
        </row>
        <row r="5352">
          <cell r="L5352" t="str">
            <v>Non-proportional</v>
          </cell>
          <cell r="S5352">
            <v>-3069.19</v>
          </cell>
          <cell r="X5352" t="str">
            <v>Commissions - gross</v>
          </cell>
          <cell r="Y5352" t="str">
            <v>ISRAEL</v>
          </cell>
        </row>
        <row r="5353">
          <cell r="L5353" t="str">
            <v>Proportional</v>
          </cell>
          <cell r="S5353">
            <v>-6775.7</v>
          </cell>
          <cell r="X5353" t="str">
            <v>Commissions - gross</v>
          </cell>
          <cell r="Y5353" t="str">
            <v>EUROPE</v>
          </cell>
        </row>
        <row r="5354">
          <cell r="L5354" t="str">
            <v>Non-proportional</v>
          </cell>
          <cell r="S5354">
            <v>15.9</v>
          </cell>
          <cell r="X5354" t="str">
            <v>Commissions - gross</v>
          </cell>
          <cell r="Y5354" t="str">
            <v>INDIA</v>
          </cell>
        </row>
        <row r="5355">
          <cell r="L5355" t="str">
            <v>Non-proportional</v>
          </cell>
          <cell r="S5355">
            <v>-8.49</v>
          </cell>
          <cell r="X5355" t="str">
            <v>Commissions - gross</v>
          </cell>
          <cell r="Y5355" t="str">
            <v>DOMINICAN REPUBLIC</v>
          </cell>
        </row>
        <row r="5356">
          <cell r="L5356" t="str">
            <v>Non-proportional</v>
          </cell>
          <cell r="S5356">
            <v>-15.39</v>
          </cell>
          <cell r="X5356" t="str">
            <v>Commissions - gross</v>
          </cell>
          <cell r="Y5356" t="str">
            <v>JAPAN</v>
          </cell>
        </row>
        <row r="5357">
          <cell r="L5357" t="str">
            <v>Non-proportional</v>
          </cell>
          <cell r="S5357">
            <v>-1606.73</v>
          </cell>
          <cell r="X5357" t="str">
            <v>Commissions - gross</v>
          </cell>
          <cell r="Y5357" t="str">
            <v>ITALY</v>
          </cell>
        </row>
        <row r="5358">
          <cell r="L5358" t="str">
            <v>Non-proportional</v>
          </cell>
          <cell r="S5358">
            <v>433.08</v>
          </cell>
          <cell r="X5358" t="str">
            <v>Commissions - gross</v>
          </cell>
          <cell r="Y5358" t="str">
            <v>COLOMBIA</v>
          </cell>
        </row>
        <row r="5359">
          <cell r="L5359" t="str">
            <v>Non-proportional</v>
          </cell>
          <cell r="S5359">
            <v>323.91000000000003</v>
          </cell>
          <cell r="X5359" t="str">
            <v>Commissions - gross</v>
          </cell>
          <cell r="Y5359" t="str">
            <v>UNITED KINGDOM</v>
          </cell>
        </row>
        <row r="5360">
          <cell r="L5360" t="str">
            <v>Non-proportional</v>
          </cell>
          <cell r="S5360">
            <v>-5501.24</v>
          </cell>
          <cell r="X5360" t="str">
            <v>Commissions - gross</v>
          </cell>
          <cell r="Y5360" t="str">
            <v>ITALY</v>
          </cell>
        </row>
        <row r="5361">
          <cell r="L5361" t="str">
            <v>Proportional</v>
          </cell>
          <cell r="S5361">
            <v>-1505.52</v>
          </cell>
          <cell r="X5361" t="str">
            <v>Commissions - gross</v>
          </cell>
          <cell r="Y5361" t="str">
            <v>ITALY</v>
          </cell>
        </row>
        <row r="5362">
          <cell r="L5362" t="str">
            <v>Non-proportional</v>
          </cell>
          <cell r="S5362">
            <v>0.01</v>
          </cell>
          <cell r="X5362" t="str">
            <v>Commissions - gross</v>
          </cell>
          <cell r="Y5362" t="str">
            <v>COLOMBIA</v>
          </cell>
        </row>
        <row r="5363">
          <cell r="L5363" t="str">
            <v>Non-proportional</v>
          </cell>
          <cell r="S5363">
            <v>-1604.17</v>
          </cell>
          <cell r="X5363" t="str">
            <v>Commissions - gross</v>
          </cell>
          <cell r="Y5363" t="str">
            <v>GREECE</v>
          </cell>
        </row>
        <row r="5364">
          <cell r="L5364" t="str">
            <v>Non-proportional</v>
          </cell>
          <cell r="S5364">
            <v>-9958.5400000000009</v>
          </cell>
          <cell r="X5364" t="str">
            <v>Commissions - gross</v>
          </cell>
          <cell r="Y5364" t="str">
            <v>ITALY</v>
          </cell>
        </row>
        <row r="5365">
          <cell r="L5365" t="str">
            <v>Non-proportional</v>
          </cell>
          <cell r="S5365">
            <v>-7032.8</v>
          </cell>
          <cell r="X5365" t="str">
            <v>Commissions - gross</v>
          </cell>
          <cell r="Y5365" t="str">
            <v>NETHERLANDS</v>
          </cell>
        </row>
        <row r="5366">
          <cell r="L5366" t="str">
            <v>Non-proportional</v>
          </cell>
          <cell r="S5366">
            <v>127.46</v>
          </cell>
          <cell r="X5366" t="str">
            <v>Commissions - gross</v>
          </cell>
          <cell r="Y5366" t="str">
            <v>NEW ZEALAND</v>
          </cell>
        </row>
        <row r="5367">
          <cell r="L5367" t="str">
            <v>Non-proportional</v>
          </cell>
          <cell r="S5367">
            <v>460.27</v>
          </cell>
          <cell r="X5367" t="str">
            <v>Commissions - gross</v>
          </cell>
          <cell r="Y5367" t="str">
            <v>COLOMBIA</v>
          </cell>
        </row>
        <row r="5368">
          <cell r="L5368" t="str">
            <v>Non-proportional</v>
          </cell>
          <cell r="S5368">
            <v>-2245.83</v>
          </cell>
          <cell r="X5368" t="str">
            <v>Commissions - gross</v>
          </cell>
          <cell r="Y5368" t="str">
            <v>ITALY</v>
          </cell>
        </row>
        <row r="5369">
          <cell r="L5369" t="str">
            <v>Non-proportional</v>
          </cell>
          <cell r="S5369">
            <v>380.59</v>
          </cell>
          <cell r="X5369" t="str">
            <v>Commissions - gross</v>
          </cell>
          <cell r="Y5369" t="str">
            <v>GUATEMALA</v>
          </cell>
        </row>
        <row r="5370">
          <cell r="L5370" t="str">
            <v>Proportional</v>
          </cell>
          <cell r="S5370">
            <v>4.78</v>
          </cell>
          <cell r="X5370" t="str">
            <v>Commissions - gross</v>
          </cell>
          <cell r="Y5370" t="str">
            <v>UNITED STATES</v>
          </cell>
        </row>
        <row r="5371">
          <cell r="L5371" t="str">
            <v>Non-proportional</v>
          </cell>
          <cell r="S5371">
            <v>0</v>
          </cell>
          <cell r="X5371" t="str">
            <v>Commissions - gross</v>
          </cell>
          <cell r="Y5371" t="str">
            <v>DOMINICAN REPUBLIC</v>
          </cell>
        </row>
        <row r="5372">
          <cell r="L5372" t="str">
            <v>Non-proportional</v>
          </cell>
          <cell r="S5372">
            <v>-5553.77</v>
          </cell>
          <cell r="X5372" t="str">
            <v>Commissions - gross</v>
          </cell>
          <cell r="Y5372" t="str">
            <v>CHILE</v>
          </cell>
        </row>
        <row r="5373">
          <cell r="L5373" t="str">
            <v>Non-proportional</v>
          </cell>
          <cell r="S5373">
            <v>-10.82</v>
          </cell>
          <cell r="X5373" t="str">
            <v>Commissions - gross</v>
          </cell>
          <cell r="Y5373" t="str">
            <v>JAPAN</v>
          </cell>
        </row>
        <row r="5374">
          <cell r="L5374" t="str">
            <v>Non-proportional</v>
          </cell>
          <cell r="S5374">
            <v>271.98</v>
          </cell>
          <cell r="X5374" t="str">
            <v>Commissions - gross</v>
          </cell>
          <cell r="Y5374" t="str">
            <v>UNITED KINGDOM</v>
          </cell>
        </row>
        <row r="5375">
          <cell r="L5375" t="str">
            <v>Non-proportional</v>
          </cell>
          <cell r="S5375">
            <v>-41789.269999999997</v>
          </cell>
          <cell r="X5375" t="str">
            <v>Commissions - gross</v>
          </cell>
          <cell r="Y5375" t="str">
            <v>UNITED STATES</v>
          </cell>
        </row>
        <row r="5376">
          <cell r="L5376" t="str">
            <v>Non-proportional</v>
          </cell>
          <cell r="S5376">
            <v>303.68</v>
          </cell>
          <cell r="X5376" t="str">
            <v>Commissions - gross</v>
          </cell>
          <cell r="Y5376" t="str">
            <v>ECUADOR</v>
          </cell>
        </row>
        <row r="5377">
          <cell r="L5377" t="str">
            <v>Non-proportional</v>
          </cell>
          <cell r="S5377">
            <v>295.3</v>
          </cell>
          <cell r="X5377" t="str">
            <v>Commissions - gross</v>
          </cell>
          <cell r="Y5377" t="str">
            <v>UNITED KINGDOM</v>
          </cell>
        </row>
        <row r="5378">
          <cell r="L5378" t="str">
            <v>Non-proportional</v>
          </cell>
          <cell r="S5378">
            <v>75.56</v>
          </cell>
          <cell r="X5378" t="str">
            <v>Commissions - gross</v>
          </cell>
          <cell r="Y5378" t="str">
            <v>CHILE</v>
          </cell>
        </row>
        <row r="5379">
          <cell r="L5379" t="str">
            <v>Non-proportional</v>
          </cell>
          <cell r="S5379">
            <v>-14380.35</v>
          </cell>
          <cell r="X5379" t="str">
            <v>Commissions - gross</v>
          </cell>
          <cell r="Y5379" t="str">
            <v>FRANCE</v>
          </cell>
        </row>
        <row r="5380">
          <cell r="L5380" t="str">
            <v>Non-proportional</v>
          </cell>
          <cell r="S5380">
            <v>46.51</v>
          </cell>
          <cell r="X5380" t="str">
            <v>Commissions - gross</v>
          </cell>
          <cell r="Y5380" t="str">
            <v>NEW ZEALAND</v>
          </cell>
        </row>
        <row r="5381">
          <cell r="L5381" t="str">
            <v>Non-proportional</v>
          </cell>
          <cell r="S5381">
            <v>5.48</v>
          </cell>
          <cell r="X5381" t="str">
            <v>Commissions - gross</v>
          </cell>
          <cell r="Y5381" t="str">
            <v>GUATEMALA</v>
          </cell>
        </row>
        <row r="5382">
          <cell r="L5382" t="str">
            <v>Non-proportional</v>
          </cell>
          <cell r="S5382">
            <v>714.69</v>
          </cell>
          <cell r="X5382" t="str">
            <v>Commissions - gross</v>
          </cell>
          <cell r="Y5382" t="str">
            <v>POLAND</v>
          </cell>
        </row>
        <row r="5383">
          <cell r="L5383" t="str">
            <v>Non-proportional</v>
          </cell>
          <cell r="S5383">
            <v>204.8</v>
          </cell>
          <cell r="X5383" t="str">
            <v>Commissions - gross</v>
          </cell>
          <cell r="Y5383" t="str">
            <v>JAPAN</v>
          </cell>
        </row>
        <row r="5384">
          <cell r="L5384" t="str">
            <v>Non-proportional</v>
          </cell>
          <cell r="S5384">
            <v>-8.41</v>
          </cell>
          <cell r="X5384" t="str">
            <v>Commissions - gross</v>
          </cell>
          <cell r="Y5384" t="str">
            <v>DOMINICAN REPUBLIC</v>
          </cell>
        </row>
        <row r="5385">
          <cell r="L5385" t="str">
            <v>Non-proportional</v>
          </cell>
          <cell r="S5385">
            <v>480.66</v>
          </cell>
          <cell r="X5385" t="str">
            <v>Commissions - gross</v>
          </cell>
          <cell r="Y5385" t="str">
            <v>UNITED KINGDOM</v>
          </cell>
        </row>
        <row r="5386">
          <cell r="L5386" t="str">
            <v>Non-proportional</v>
          </cell>
          <cell r="S5386">
            <v>193.45</v>
          </cell>
          <cell r="X5386" t="str">
            <v>Commissions - gross</v>
          </cell>
          <cell r="Y5386" t="str">
            <v>CHILE</v>
          </cell>
        </row>
        <row r="5387">
          <cell r="L5387" t="str">
            <v>Non-proportional</v>
          </cell>
          <cell r="S5387">
            <v>4540.97</v>
          </cell>
          <cell r="X5387" t="str">
            <v>Commissions - gross</v>
          </cell>
          <cell r="Y5387" t="str">
            <v>UNITED KINGDOM</v>
          </cell>
        </row>
        <row r="5388">
          <cell r="L5388" t="str">
            <v>Non-proportional</v>
          </cell>
          <cell r="S5388">
            <v>25.29</v>
          </cell>
          <cell r="X5388" t="str">
            <v>Commissions - gross</v>
          </cell>
          <cell r="Y5388" t="str">
            <v>JAPAN</v>
          </cell>
        </row>
        <row r="5389">
          <cell r="L5389" t="str">
            <v>Non-proportional</v>
          </cell>
          <cell r="S5389">
            <v>406.73</v>
          </cell>
          <cell r="X5389" t="str">
            <v>Commissions - gross</v>
          </cell>
          <cell r="Y5389" t="str">
            <v>UNITED KINGDOM</v>
          </cell>
        </row>
        <row r="5390">
          <cell r="L5390" t="str">
            <v>Non-proportional</v>
          </cell>
          <cell r="S5390">
            <v>0</v>
          </cell>
          <cell r="X5390" t="str">
            <v>Commissions - gross</v>
          </cell>
          <cell r="Y5390" t="str">
            <v>DOMINICAN REPUBLIC</v>
          </cell>
        </row>
        <row r="5391">
          <cell r="L5391" t="str">
            <v>Non-proportional</v>
          </cell>
          <cell r="S5391">
            <v>998.59</v>
          </cell>
          <cell r="X5391" t="str">
            <v>Commissions - gross</v>
          </cell>
          <cell r="Y5391" t="str">
            <v>FRANCE</v>
          </cell>
        </row>
        <row r="5392">
          <cell r="L5392" t="str">
            <v>Non-proportional</v>
          </cell>
          <cell r="S5392">
            <v>201.92</v>
          </cell>
          <cell r="X5392" t="str">
            <v>Commissions - gross</v>
          </cell>
          <cell r="Y5392" t="str">
            <v>PERU</v>
          </cell>
        </row>
        <row r="5393">
          <cell r="L5393" t="str">
            <v>Non-proportional</v>
          </cell>
          <cell r="S5393">
            <v>625.1</v>
          </cell>
          <cell r="X5393" t="str">
            <v>Commissions - gross</v>
          </cell>
          <cell r="Y5393" t="str">
            <v>COLOMBIA</v>
          </cell>
        </row>
        <row r="5394">
          <cell r="L5394" t="str">
            <v>Non-proportional</v>
          </cell>
          <cell r="S5394">
            <v>299.97000000000003</v>
          </cell>
          <cell r="X5394" t="str">
            <v>Commissions - gross</v>
          </cell>
          <cell r="Y5394" t="str">
            <v>NETHERLANDS</v>
          </cell>
        </row>
        <row r="5395">
          <cell r="L5395" t="str">
            <v>Non-proportional</v>
          </cell>
          <cell r="S5395">
            <v>130.38</v>
          </cell>
          <cell r="X5395" t="str">
            <v>Commissions - gross</v>
          </cell>
          <cell r="Y5395" t="str">
            <v>CYPRUS</v>
          </cell>
        </row>
        <row r="5396">
          <cell r="L5396" t="str">
            <v>Non-proportional</v>
          </cell>
          <cell r="S5396">
            <v>-0.61</v>
          </cell>
          <cell r="X5396" t="str">
            <v>Commissions - gross</v>
          </cell>
          <cell r="Y5396" t="str">
            <v>GUATEMALA</v>
          </cell>
        </row>
        <row r="5397">
          <cell r="L5397" t="str">
            <v>Non-proportional</v>
          </cell>
          <cell r="S5397">
            <v>-15.85</v>
          </cell>
          <cell r="X5397" t="str">
            <v>Commissions - gross</v>
          </cell>
          <cell r="Y5397" t="str">
            <v>JAPAN</v>
          </cell>
        </row>
        <row r="5398">
          <cell r="L5398" t="str">
            <v>Non-proportional</v>
          </cell>
          <cell r="S5398">
            <v>884.39</v>
          </cell>
          <cell r="X5398" t="str">
            <v>Commissions - gross</v>
          </cell>
          <cell r="Y5398" t="str">
            <v>TURKEY</v>
          </cell>
        </row>
        <row r="5399">
          <cell r="L5399" t="str">
            <v>Non-proportional</v>
          </cell>
          <cell r="S5399">
            <v>293.70999999999998</v>
          </cell>
          <cell r="X5399" t="str">
            <v>Commissions - gross</v>
          </cell>
          <cell r="Y5399" t="str">
            <v>NETHERLANDS</v>
          </cell>
        </row>
        <row r="5400">
          <cell r="L5400" t="str">
            <v>Non-proportional</v>
          </cell>
          <cell r="S5400">
            <v>1307.3</v>
          </cell>
          <cell r="X5400" t="str">
            <v>Commissions - gross</v>
          </cell>
          <cell r="Y5400" t="str">
            <v>FRANCE</v>
          </cell>
        </row>
        <row r="5401">
          <cell r="L5401" t="str">
            <v>Non-proportional</v>
          </cell>
          <cell r="S5401">
            <v>662.36</v>
          </cell>
          <cell r="X5401" t="str">
            <v>Commissions - gross</v>
          </cell>
          <cell r="Y5401" t="str">
            <v>SPAIN</v>
          </cell>
        </row>
        <row r="5402">
          <cell r="L5402" t="str">
            <v>Non-proportional</v>
          </cell>
          <cell r="S5402">
            <v>934.81</v>
          </cell>
          <cell r="X5402" t="str">
            <v>Commissions - gross</v>
          </cell>
          <cell r="Y5402" t="str">
            <v>NETHERLANDS</v>
          </cell>
        </row>
        <row r="5403">
          <cell r="L5403" t="str">
            <v>Non-proportional</v>
          </cell>
          <cell r="S5403">
            <v>331.35</v>
          </cell>
          <cell r="X5403" t="str">
            <v>Commissions - gross</v>
          </cell>
          <cell r="Y5403" t="str">
            <v>DOMINICAN REPUBLIC</v>
          </cell>
        </row>
        <row r="5404">
          <cell r="L5404" t="str">
            <v>Non-proportional</v>
          </cell>
          <cell r="S5404">
            <v>1276.74</v>
          </cell>
          <cell r="X5404" t="str">
            <v>Commissions - gross</v>
          </cell>
          <cell r="Y5404" t="str">
            <v>CHILE</v>
          </cell>
        </row>
        <row r="5405">
          <cell r="L5405" t="str">
            <v>Non-proportional</v>
          </cell>
          <cell r="S5405">
            <v>942.6</v>
          </cell>
          <cell r="X5405" t="str">
            <v>Commissions - gross</v>
          </cell>
          <cell r="Y5405" t="str">
            <v>MEXICO</v>
          </cell>
        </row>
        <row r="5406">
          <cell r="L5406" t="str">
            <v>Non-proportional</v>
          </cell>
          <cell r="S5406">
            <v>-12.83</v>
          </cell>
          <cell r="X5406" t="str">
            <v>Commissions - gross</v>
          </cell>
          <cell r="Y5406" t="str">
            <v>JAPAN</v>
          </cell>
        </row>
        <row r="5407">
          <cell r="L5407" t="str">
            <v>Non-proportional</v>
          </cell>
          <cell r="S5407">
            <v>-5385.3</v>
          </cell>
          <cell r="X5407" t="str">
            <v>Commissions - gross</v>
          </cell>
          <cell r="Y5407" t="str">
            <v>COSTA RICA</v>
          </cell>
        </row>
        <row r="5408">
          <cell r="L5408" t="str">
            <v>Non-proportional</v>
          </cell>
          <cell r="S5408">
            <v>533.75</v>
          </cell>
          <cell r="X5408" t="str">
            <v>Commissions - gross</v>
          </cell>
          <cell r="Y5408" t="str">
            <v>JAPAN</v>
          </cell>
        </row>
        <row r="5409">
          <cell r="L5409" t="str">
            <v>Non-proportional</v>
          </cell>
          <cell r="S5409">
            <v>0</v>
          </cell>
          <cell r="X5409" t="str">
            <v>Commissions - gross</v>
          </cell>
          <cell r="Y5409" t="str">
            <v>COLOMBIA</v>
          </cell>
        </row>
        <row r="5410">
          <cell r="L5410" t="str">
            <v>Non-proportional</v>
          </cell>
          <cell r="S5410">
            <v>1804.45</v>
          </cell>
          <cell r="X5410" t="str">
            <v>Commissions - gross</v>
          </cell>
          <cell r="Y5410" t="str">
            <v>UNITED KINGDOM</v>
          </cell>
        </row>
        <row r="5411">
          <cell r="L5411" t="str">
            <v>Non-proportional</v>
          </cell>
          <cell r="S5411">
            <v>1015.63</v>
          </cell>
          <cell r="X5411" t="str">
            <v>Commissions - gross</v>
          </cell>
          <cell r="Y5411" t="str">
            <v>EUROPE</v>
          </cell>
        </row>
        <row r="5412">
          <cell r="L5412" t="str">
            <v>Non-proportional</v>
          </cell>
          <cell r="S5412">
            <v>362.53</v>
          </cell>
          <cell r="X5412" t="str">
            <v>Commissions - gross</v>
          </cell>
          <cell r="Y5412" t="str">
            <v>ISRAEL</v>
          </cell>
        </row>
        <row r="5413">
          <cell r="L5413" t="str">
            <v>Non-proportional</v>
          </cell>
          <cell r="S5413">
            <v>0</v>
          </cell>
          <cell r="X5413" t="str">
            <v>Commissions - gross</v>
          </cell>
          <cell r="Y5413" t="str">
            <v>COLOMBIA</v>
          </cell>
        </row>
        <row r="5414">
          <cell r="L5414" t="str">
            <v>Non-proportional</v>
          </cell>
          <cell r="S5414">
            <v>80.95</v>
          </cell>
          <cell r="X5414" t="str">
            <v>Commissions - gross</v>
          </cell>
          <cell r="Y5414" t="str">
            <v>ISRAEL</v>
          </cell>
        </row>
        <row r="5415">
          <cell r="L5415" t="str">
            <v>Non-proportional</v>
          </cell>
          <cell r="S5415">
            <v>133.81</v>
          </cell>
          <cell r="X5415" t="str">
            <v>Commissions - gross</v>
          </cell>
          <cell r="Y5415" t="str">
            <v>COSTA RICA</v>
          </cell>
        </row>
        <row r="5416">
          <cell r="L5416" t="str">
            <v>Non-proportional</v>
          </cell>
          <cell r="S5416">
            <v>1458.34</v>
          </cell>
          <cell r="X5416" t="str">
            <v>Commissions - gross</v>
          </cell>
          <cell r="Y5416" t="str">
            <v>EUROPE</v>
          </cell>
        </row>
        <row r="5417">
          <cell r="L5417" t="str">
            <v>Non-proportional</v>
          </cell>
          <cell r="S5417">
            <v>591.78</v>
          </cell>
          <cell r="X5417" t="str">
            <v>Commissions - gross</v>
          </cell>
          <cell r="Y5417" t="str">
            <v>PERU</v>
          </cell>
        </row>
        <row r="5418">
          <cell r="L5418" t="str">
            <v>Non-proportional</v>
          </cell>
          <cell r="S5418">
            <v>-15.94</v>
          </cell>
          <cell r="X5418" t="str">
            <v>Commissions - gross</v>
          </cell>
          <cell r="Y5418" t="str">
            <v>DOMINICAN REPUBLIC</v>
          </cell>
        </row>
        <row r="5419">
          <cell r="L5419" t="str">
            <v>Non-proportional</v>
          </cell>
          <cell r="S5419">
            <v>171.8</v>
          </cell>
          <cell r="X5419" t="str">
            <v>Commissions - gross</v>
          </cell>
          <cell r="Y5419" t="str">
            <v>FRANCE</v>
          </cell>
        </row>
        <row r="5420">
          <cell r="L5420" t="str">
            <v>Non-proportional</v>
          </cell>
          <cell r="S5420">
            <v>-1055.93</v>
          </cell>
          <cell r="X5420" t="str">
            <v>Commissions - gross</v>
          </cell>
          <cell r="Y5420" t="str">
            <v>COSTA RICA</v>
          </cell>
        </row>
        <row r="5421">
          <cell r="L5421" t="str">
            <v>Non-proportional</v>
          </cell>
          <cell r="S5421">
            <v>-7103.65</v>
          </cell>
          <cell r="X5421" t="str">
            <v>Commissions - gross</v>
          </cell>
          <cell r="Y5421" t="str">
            <v>COSTA RICA</v>
          </cell>
        </row>
        <row r="5422">
          <cell r="L5422" t="str">
            <v>Non-proportional</v>
          </cell>
          <cell r="S5422">
            <v>905.32</v>
          </cell>
          <cell r="X5422" t="str">
            <v>Commissions - gross</v>
          </cell>
          <cell r="Y5422" t="str">
            <v>ITALY</v>
          </cell>
        </row>
        <row r="5423">
          <cell r="L5423" t="str">
            <v>Non-proportional</v>
          </cell>
          <cell r="S5423">
            <v>529.96</v>
          </cell>
          <cell r="X5423" t="str">
            <v>Commissions - gross</v>
          </cell>
          <cell r="Y5423" t="str">
            <v>PERU</v>
          </cell>
        </row>
        <row r="5424">
          <cell r="L5424" t="str">
            <v>Non-proportional</v>
          </cell>
          <cell r="S5424">
            <v>134.91</v>
          </cell>
          <cell r="X5424" t="str">
            <v>Commissions - gross</v>
          </cell>
          <cell r="Y5424" t="str">
            <v>DOMINICAN REPUBLIC</v>
          </cell>
        </row>
        <row r="5425">
          <cell r="L5425" t="str">
            <v>Non-proportional</v>
          </cell>
          <cell r="S5425">
            <v>429.26</v>
          </cell>
          <cell r="X5425" t="str">
            <v>Commissions - gross</v>
          </cell>
          <cell r="Y5425" t="str">
            <v>COLOMBIA</v>
          </cell>
        </row>
        <row r="5426">
          <cell r="L5426" t="str">
            <v>Non-proportional</v>
          </cell>
          <cell r="S5426">
            <v>420.23</v>
          </cell>
          <cell r="X5426" t="str">
            <v>Commissions - gross</v>
          </cell>
          <cell r="Y5426" t="str">
            <v>AUSTRALIA</v>
          </cell>
        </row>
        <row r="5427">
          <cell r="L5427" t="str">
            <v>Non-proportional</v>
          </cell>
          <cell r="S5427">
            <v>163680.1</v>
          </cell>
          <cell r="X5427" t="str">
            <v>Commissions - gross</v>
          </cell>
          <cell r="Y5427" t="str">
            <v>UNITED KINGDOM</v>
          </cell>
        </row>
        <row r="5428">
          <cell r="L5428" t="str">
            <v>Non-proportional</v>
          </cell>
          <cell r="S5428">
            <v>6.53</v>
          </cell>
          <cell r="X5428" t="str">
            <v>Commissions - gross</v>
          </cell>
          <cell r="Y5428" t="str">
            <v>ISRAEL</v>
          </cell>
        </row>
        <row r="5429">
          <cell r="L5429" t="str">
            <v>Non-proportional</v>
          </cell>
          <cell r="S5429">
            <v>1079.01</v>
          </cell>
          <cell r="X5429" t="str">
            <v>Commissions - gross</v>
          </cell>
          <cell r="Y5429" t="str">
            <v>PERU</v>
          </cell>
        </row>
        <row r="5430">
          <cell r="L5430" t="str">
            <v>Non-proportional</v>
          </cell>
          <cell r="S5430">
            <v>390.08</v>
          </cell>
          <cell r="X5430" t="str">
            <v>Commissions - gross</v>
          </cell>
          <cell r="Y5430" t="str">
            <v>EUROPE</v>
          </cell>
        </row>
        <row r="5431">
          <cell r="L5431" t="str">
            <v>Non-proportional</v>
          </cell>
          <cell r="S5431">
            <v>204.83</v>
          </cell>
          <cell r="X5431" t="str">
            <v>Commissions - gross</v>
          </cell>
          <cell r="Y5431" t="str">
            <v>JAPAN</v>
          </cell>
        </row>
        <row r="5432">
          <cell r="L5432" t="str">
            <v>Proportional</v>
          </cell>
          <cell r="S5432">
            <v>70.709999999999994</v>
          </cell>
          <cell r="X5432" t="str">
            <v>Commissions - gross</v>
          </cell>
          <cell r="Y5432" t="str">
            <v>EUROPE</v>
          </cell>
        </row>
        <row r="5433">
          <cell r="L5433" t="str">
            <v>Non-proportional</v>
          </cell>
          <cell r="S5433">
            <v>95.17</v>
          </cell>
          <cell r="X5433" t="str">
            <v>Commissions - gross</v>
          </cell>
          <cell r="Y5433" t="str">
            <v>PERU</v>
          </cell>
        </row>
        <row r="5434">
          <cell r="L5434" t="str">
            <v>Non-proportional</v>
          </cell>
          <cell r="S5434">
            <v>1442.4</v>
          </cell>
          <cell r="X5434" t="str">
            <v>Commissions - gross</v>
          </cell>
          <cell r="Y5434" t="str">
            <v>FRANCE</v>
          </cell>
        </row>
        <row r="5435">
          <cell r="L5435" t="str">
            <v>Non-proportional</v>
          </cell>
          <cell r="S5435">
            <v>1425.85</v>
          </cell>
          <cell r="X5435" t="str">
            <v>Commissions - gross</v>
          </cell>
          <cell r="Y5435" t="str">
            <v>AUSTRALIA</v>
          </cell>
        </row>
        <row r="5436">
          <cell r="L5436" t="str">
            <v>Non-proportional</v>
          </cell>
          <cell r="S5436">
            <v>193.03</v>
          </cell>
          <cell r="X5436" t="str">
            <v>Commissions - gross</v>
          </cell>
          <cell r="Y5436" t="str">
            <v>UNITED KINGDOM</v>
          </cell>
        </row>
        <row r="5437">
          <cell r="L5437" t="str">
            <v>Non-proportional</v>
          </cell>
          <cell r="S5437">
            <v>15.16</v>
          </cell>
          <cell r="X5437" t="str">
            <v>Commissions - gross</v>
          </cell>
          <cell r="Y5437" t="str">
            <v>ISRAEL</v>
          </cell>
        </row>
        <row r="5438">
          <cell r="L5438" t="str">
            <v>Non-proportional</v>
          </cell>
          <cell r="S5438">
            <v>48.36</v>
          </cell>
          <cell r="X5438" t="str">
            <v>Commissions - gross</v>
          </cell>
          <cell r="Y5438" t="str">
            <v>NEW ZEALAND</v>
          </cell>
        </row>
        <row r="5439">
          <cell r="L5439" t="str">
            <v>Non-proportional</v>
          </cell>
          <cell r="S5439">
            <v>303.19</v>
          </cell>
          <cell r="X5439" t="str">
            <v>Commissions - gross</v>
          </cell>
          <cell r="Y5439" t="str">
            <v>JAPAN</v>
          </cell>
        </row>
        <row r="5440">
          <cell r="L5440" t="str">
            <v>Non-proportional</v>
          </cell>
          <cell r="S5440">
            <v>457.71</v>
          </cell>
          <cell r="X5440" t="str">
            <v>Commissions - gross</v>
          </cell>
          <cell r="Y5440" t="str">
            <v>NEW ZEALAND</v>
          </cell>
        </row>
        <row r="5441">
          <cell r="L5441" t="str">
            <v>Non-proportional</v>
          </cell>
          <cell r="S5441">
            <v>175.31</v>
          </cell>
          <cell r="X5441" t="str">
            <v>Commissions - gross</v>
          </cell>
          <cell r="Y5441" t="str">
            <v>ROMANIA</v>
          </cell>
        </row>
        <row r="5442">
          <cell r="L5442" t="str">
            <v>Non-proportional</v>
          </cell>
          <cell r="S5442">
            <v>54.48</v>
          </cell>
          <cell r="X5442" t="str">
            <v>Commissions - gross</v>
          </cell>
          <cell r="Y5442" t="str">
            <v>BRAZIL</v>
          </cell>
        </row>
        <row r="5443">
          <cell r="L5443" t="str">
            <v>Non-proportional</v>
          </cell>
          <cell r="S5443">
            <v>-2.09</v>
          </cell>
          <cell r="X5443" t="str">
            <v>Commissions - gross</v>
          </cell>
          <cell r="Y5443" t="str">
            <v>COLOMBIA</v>
          </cell>
        </row>
        <row r="5444">
          <cell r="L5444" t="str">
            <v>Non-proportional</v>
          </cell>
          <cell r="S5444">
            <v>-2.35</v>
          </cell>
          <cell r="X5444" t="str">
            <v>Commissions - gross</v>
          </cell>
          <cell r="Y5444" t="str">
            <v>NEW ZEALAND</v>
          </cell>
        </row>
        <row r="5445">
          <cell r="L5445" t="str">
            <v>Non-proportional</v>
          </cell>
          <cell r="S5445">
            <v>500.11</v>
          </cell>
          <cell r="X5445" t="str">
            <v>Commissions - gross</v>
          </cell>
          <cell r="Y5445" t="str">
            <v>ITALY</v>
          </cell>
        </row>
        <row r="5446">
          <cell r="L5446" t="str">
            <v>Non-proportional</v>
          </cell>
          <cell r="S5446">
            <v>-1.23</v>
          </cell>
          <cell r="X5446" t="str">
            <v>Commissions - gross</v>
          </cell>
          <cell r="Y5446" t="str">
            <v>JAPAN</v>
          </cell>
        </row>
        <row r="5447">
          <cell r="L5447" t="str">
            <v>Non-proportional</v>
          </cell>
          <cell r="S5447">
            <v>497.15</v>
          </cell>
          <cell r="X5447" t="str">
            <v>Commissions - gross</v>
          </cell>
          <cell r="Y5447" t="str">
            <v>EUROPE</v>
          </cell>
        </row>
        <row r="5448">
          <cell r="L5448" t="str">
            <v>Non-proportional</v>
          </cell>
          <cell r="S5448">
            <v>2.71</v>
          </cell>
          <cell r="X5448" t="str">
            <v>Commissions - gross</v>
          </cell>
          <cell r="Y5448" t="str">
            <v>JAPAN</v>
          </cell>
        </row>
        <row r="5449">
          <cell r="L5449" t="str">
            <v>Non-proportional</v>
          </cell>
          <cell r="S5449">
            <v>-3.86</v>
          </cell>
          <cell r="X5449" t="str">
            <v>Commissions - gross</v>
          </cell>
          <cell r="Y5449" t="str">
            <v>NEW ZEALAND</v>
          </cell>
        </row>
        <row r="5450">
          <cell r="L5450" t="str">
            <v>Non-proportional</v>
          </cell>
          <cell r="S5450">
            <v>263.23</v>
          </cell>
          <cell r="X5450" t="str">
            <v>Commissions - gross</v>
          </cell>
          <cell r="Y5450" t="str">
            <v>JAPAN</v>
          </cell>
        </row>
        <row r="5451">
          <cell r="L5451" t="str">
            <v>Non-proportional</v>
          </cell>
          <cell r="S5451">
            <v>734.98</v>
          </cell>
          <cell r="X5451" t="str">
            <v>Commissions - gross</v>
          </cell>
          <cell r="Y5451" t="str">
            <v>MEXICO</v>
          </cell>
        </row>
        <row r="5452">
          <cell r="L5452" t="str">
            <v>Non-proportional</v>
          </cell>
          <cell r="S5452">
            <v>751.43</v>
          </cell>
          <cell r="X5452" t="str">
            <v>Commissions - gross</v>
          </cell>
          <cell r="Y5452" t="str">
            <v>ECUADOR</v>
          </cell>
        </row>
        <row r="5453">
          <cell r="L5453" t="str">
            <v>Non-proportional</v>
          </cell>
          <cell r="S5453">
            <v>170.93</v>
          </cell>
          <cell r="X5453" t="str">
            <v>Commissions - gross</v>
          </cell>
          <cell r="Y5453" t="str">
            <v>ECUADOR</v>
          </cell>
        </row>
        <row r="5454">
          <cell r="L5454" t="str">
            <v>Non-proportional</v>
          </cell>
          <cell r="S5454">
            <v>-0.97</v>
          </cell>
          <cell r="X5454" t="str">
            <v>Commissions - gross</v>
          </cell>
          <cell r="Y5454" t="str">
            <v>JAPAN</v>
          </cell>
        </row>
        <row r="5455">
          <cell r="L5455" t="str">
            <v>Non-proportional</v>
          </cell>
          <cell r="S5455">
            <v>97.5</v>
          </cell>
          <cell r="X5455" t="str">
            <v>Commissions - gross</v>
          </cell>
          <cell r="Y5455" t="str">
            <v>GREECE</v>
          </cell>
        </row>
        <row r="5456">
          <cell r="L5456" t="str">
            <v>Non-proportional</v>
          </cell>
          <cell r="S5456">
            <v>-8.57</v>
          </cell>
          <cell r="X5456" t="str">
            <v>Commissions - gross</v>
          </cell>
          <cell r="Y5456" t="str">
            <v>BRAZIL</v>
          </cell>
        </row>
        <row r="5457">
          <cell r="L5457" t="str">
            <v>Non-proportional</v>
          </cell>
          <cell r="S5457">
            <v>500.05</v>
          </cell>
          <cell r="X5457" t="str">
            <v>Commissions - gross</v>
          </cell>
          <cell r="Y5457" t="str">
            <v>UNITED KINGDOM</v>
          </cell>
        </row>
        <row r="5458">
          <cell r="L5458" t="str">
            <v>Non-proportional</v>
          </cell>
          <cell r="S5458">
            <v>309.51</v>
          </cell>
          <cell r="X5458" t="str">
            <v>Commissions - gross</v>
          </cell>
          <cell r="Y5458" t="str">
            <v>CHILE</v>
          </cell>
        </row>
        <row r="5459">
          <cell r="L5459" t="str">
            <v>Non-proportional</v>
          </cell>
          <cell r="S5459">
            <v>454.19</v>
          </cell>
          <cell r="X5459" t="str">
            <v>Commissions - gross</v>
          </cell>
          <cell r="Y5459" t="str">
            <v>TURKEY</v>
          </cell>
        </row>
        <row r="5460">
          <cell r="L5460" t="str">
            <v>Non-proportional</v>
          </cell>
          <cell r="S5460">
            <v>-26.31</v>
          </cell>
          <cell r="X5460" t="str">
            <v>Commissions - gross</v>
          </cell>
          <cell r="Y5460" t="str">
            <v>JAPAN</v>
          </cell>
        </row>
        <row r="5461">
          <cell r="L5461" t="str">
            <v>Non-proportional</v>
          </cell>
          <cell r="S5461">
            <v>256.08999999999997</v>
          </cell>
          <cell r="X5461" t="str">
            <v>Commissions - gross</v>
          </cell>
          <cell r="Y5461" t="str">
            <v>DOMINICAN REPUBLIC</v>
          </cell>
        </row>
        <row r="5462">
          <cell r="L5462" t="str">
            <v>Non-proportional</v>
          </cell>
          <cell r="S5462">
            <v>625.39</v>
          </cell>
          <cell r="X5462" t="str">
            <v>Commissions - gross</v>
          </cell>
          <cell r="Y5462" t="str">
            <v>AUSTRALIA</v>
          </cell>
        </row>
        <row r="5463">
          <cell r="L5463" t="str">
            <v>Non-proportional</v>
          </cell>
          <cell r="S5463">
            <v>668.68</v>
          </cell>
          <cell r="X5463" t="str">
            <v>Commissions - gross</v>
          </cell>
          <cell r="Y5463" t="str">
            <v>UNITED KINGDOM</v>
          </cell>
        </row>
        <row r="5464">
          <cell r="L5464" t="str">
            <v>Non-proportional</v>
          </cell>
          <cell r="S5464">
            <v>4.08</v>
          </cell>
          <cell r="X5464" t="str">
            <v>Commissions - gross</v>
          </cell>
          <cell r="Y5464" t="str">
            <v>COSTA RICA</v>
          </cell>
        </row>
        <row r="5465">
          <cell r="L5465" t="str">
            <v>Non-proportional</v>
          </cell>
          <cell r="S5465">
            <v>5500.78</v>
          </cell>
          <cell r="X5465" t="str">
            <v>Commissions - gross</v>
          </cell>
          <cell r="Y5465" t="str">
            <v>UNITED KINGDOM</v>
          </cell>
        </row>
        <row r="5466">
          <cell r="L5466" t="str">
            <v>Non-proportional</v>
          </cell>
          <cell r="S5466">
            <v>1104.2</v>
          </cell>
          <cell r="X5466" t="str">
            <v>Commissions - gross</v>
          </cell>
          <cell r="Y5466" t="str">
            <v>EUROPE</v>
          </cell>
        </row>
        <row r="5467">
          <cell r="L5467" t="str">
            <v>Non-proportional</v>
          </cell>
          <cell r="S5467">
            <v>0</v>
          </cell>
          <cell r="X5467" t="str">
            <v>Commissions - gross</v>
          </cell>
          <cell r="Y5467" t="str">
            <v>DOMINICAN REPUBLIC</v>
          </cell>
        </row>
        <row r="5468">
          <cell r="L5468" t="str">
            <v>Non-proportional</v>
          </cell>
          <cell r="S5468">
            <v>386.89</v>
          </cell>
          <cell r="X5468" t="str">
            <v>Commissions - gross</v>
          </cell>
          <cell r="Y5468" t="str">
            <v>CHILE</v>
          </cell>
        </row>
        <row r="5469">
          <cell r="L5469" t="str">
            <v>Non-proportional</v>
          </cell>
          <cell r="S5469">
            <v>299.62</v>
          </cell>
          <cell r="X5469" t="str">
            <v>Commissions - gross</v>
          </cell>
          <cell r="Y5469" t="str">
            <v>UNITED KINGDOM</v>
          </cell>
        </row>
        <row r="5470">
          <cell r="L5470" t="str">
            <v>Proportional</v>
          </cell>
          <cell r="S5470">
            <v>265.06</v>
          </cell>
          <cell r="X5470" t="str">
            <v>Commissions - gross</v>
          </cell>
          <cell r="Y5470" t="str">
            <v>SWITZERLAND</v>
          </cell>
        </row>
        <row r="5471">
          <cell r="L5471" t="str">
            <v>Non-proportional</v>
          </cell>
          <cell r="S5471">
            <v>2529.84</v>
          </cell>
          <cell r="X5471" t="str">
            <v>Commissions - gross</v>
          </cell>
          <cell r="Y5471" t="str">
            <v>FRANCE</v>
          </cell>
        </row>
        <row r="5472">
          <cell r="L5472" t="str">
            <v>Non-proportional</v>
          </cell>
          <cell r="S5472">
            <v>5.57</v>
          </cell>
          <cell r="X5472" t="str">
            <v>Commissions - gross</v>
          </cell>
          <cell r="Y5472" t="str">
            <v>ISRAEL</v>
          </cell>
        </row>
        <row r="5473">
          <cell r="L5473" t="str">
            <v>Non-proportional</v>
          </cell>
          <cell r="S5473">
            <v>-11.17</v>
          </cell>
          <cell r="X5473" t="str">
            <v>Commissions - gross</v>
          </cell>
          <cell r="Y5473" t="str">
            <v>DOMINICAN REPUBLIC</v>
          </cell>
        </row>
        <row r="5474">
          <cell r="L5474" t="str">
            <v>Non-proportional</v>
          </cell>
          <cell r="S5474">
            <v>221.19</v>
          </cell>
          <cell r="X5474" t="str">
            <v>Commissions - gross</v>
          </cell>
          <cell r="Y5474" t="str">
            <v>UNITED KINGDOM</v>
          </cell>
        </row>
        <row r="5475">
          <cell r="L5475" t="str">
            <v>Non-proportional</v>
          </cell>
          <cell r="S5475">
            <v>802.05</v>
          </cell>
          <cell r="X5475" t="str">
            <v>Commissions - gross</v>
          </cell>
          <cell r="Y5475" t="str">
            <v>TURKEY</v>
          </cell>
        </row>
        <row r="5476">
          <cell r="L5476" t="str">
            <v>Non-proportional</v>
          </cell>
          <cell r="S5476">
            <v>169.36</v>
          </cell>
          <cell r="X5476" t="str">
            <v>Commissions - gross</v>
          </cell>
          <cell r="Y5476" t="str">
            <v>INDIA</v>
          </cell>
        </row>
        <row r="5477">
          <cell r="L5477" t="str">
            <v>Non-proportional</v>
          </cell>
          <cell r="S5477">
            <v>2553.29</v>
          </cell>
          <cell r="X5477" t="str">
            <v>Commissions - gross</v>
          </cell>
          <cell r="Y5477" t="str">
            <v>NEW ZEALAND</v>
          </cell>
        </row>
        <row r="5478">
          <cell r="L5478" t="str">
            <v>Non-proportional</v>
          </cell>
          <cell r="S5478">
            <v>38.69</v>
          </cell>
          <cell r="X5478" t="str">
            <v>Commissions - gross</v>
          </cell>
          <cell r="Y5478" t="str">
            <v>CHILE</v>
          </cell>
        </row>
        <row r="5479">
          <cell r="L5479" t="str">
            <v>Non-proportional</v>
          </cell>
          <cell r="S5479">
            <v>46.72</v>
          </cell>
          <cell r="X5479" t="str">
            <v>Commissions - gross</v>
          </cell>
          <cell r="Y5479" t="str">
            <v>UNITED KINGDOM</v>
          </cell>
        </row>
        <row r="5480">
          <cell r="L5480" t="str">
            <v>Non-proportional</v>
          </cell>
          <cell r="S5480">
            <v>2308.2800000000002</v>
          </cell>
          <cell r="X5480" t="str">
            <v>Commissions - gross</v>
          </cell>
          <cell r="Y5480" t="str">
            <v>UNITED KINGDOM</v>
          </cell>
        </row>
        <row r="5481">
          <cell r="L5481" t="str">
            <v>Non-proportional</v>
          </cell>
          <cell r="S5481">
            <v>2.2400000000000002</v>
          </cell>
          <cell r="X5481" t="str">
            <v>Commissions - gross</v>
          </cell>
          <cell r="Y5481" t="str">
            <v>JAPAN</v>
          </cell>
        </row>
        <row r="5482">
          <cell r="L5482" t="str">
            <v>Non-proportional</v>
          </cell>
          <cell r="S5482">
            <v>246.96</v>
          </cell>
          <cell r="X5482" t="str">
            <v>Commissions - gross</v>
          </cell>
          <cell r="Y5482" t="str">
            <v>FRANCE</v>
          </cell>
        </row>
        <row r="5483">
          <cell r="L5483" t="str">
            <v>Non-proportional</v>
          </cell>
          <cell r="S5483">
            <v>3802.68</v>
          </cell>
          <cell r="X5483" t="str">
            <v>Commissions - gross</v>
          </cell>
          <cell r="Y5483" t="str">
            <v>FRANCE</v>
          </cell>
        </row>
        <row r="5484">
          <cell r="L5484" t="str">
            <v>Non-proportional</v>
          </cell>
          <cell r="S5484">
            <v>736.36</v>
          </cell>
          <cell r="X5484" t="str">
            <v>Commissions - gross</v>
          </cell>
          <cell r="Y5484" t="str">
            <v>INDIA</v>
          </cell>
        </row>
        <row r="5485">
          <cell r="L5485" t="str">
            <v>Non-proportional</v>
          </cell>
          <cell r="S5485">
            <v>311.68</v>
          </cell>
          <cell r="X5485" t="str">
            <v>Commissions - gross</v>
          </cell>
          <cell r="Y5485" t="str">
            <v>ECUADOR</v>
          </cell>
        </row>
        <row r="5486">
          <cell r="L5486" t="str">
            <v>Non-proportional</v>
          </cell>
          <cell r="S5486">
            <v>997.75</v>
          </cell>
          <cell r="X5486" t="str">
            <v>Commissions - gross</v>
          </cell>
          <cell r="Y5486" t="str">
            <v>ITALY</v>
          </cell>
        </row>
        <row r="5487">
          <cell r="L5487" t="str">
            <v>Non-proportional</v>
          </cell>
          <cell r="S5487">
            <v>355.92</v>
          </cell>
          <cell r="X5487" t="str">
            <v>Commissions - gross</v>
          </cell>
          <cell r="Y5487" t="str">
            <v>COLOMBIA</v>
          </cell>
        </row>
        <row r="5488">
          <cell r="L5488" t="str">
            <v>Non-proportional</v>
          </cell>
          <cell r="S5488">
            <v>442.55</v>
          </cell>
          <cell r="X5488" t="str">
            <v>Commissions - gross</v>
          </cell>
          <cell r="Y5488" t="str">
            <v>FRANCE</v>
          </cell>
        </row>
        <row r="5489">
          <cell r="L5489" t="str">
            <v>Non-proportional</v>
          </cell>
          <cell r="S5489">
            <v>1.2</v>
          </cell>
          <cell r="X5489" t="str">
            <v>Commissions - gross</v>
          </cell>
          <cell r="Y5489" t="str">
            <v>ISRAEL</v>
          </cell>
        </row>
        <row r="5490">
          <cell r="L5490" t="str">
            <v>Non-proportional</v>
          </cell>
          <cell r="S5490">
            <v>805.34</v>
          </cell>
          <cell r="X5490" t="str">
            <v>Commissions - gross</v>
          </cell>
          <cell r="Y5490" t="str">
            <v>UNITED KINGDOM</v>
          </cell>
        </row>
        <row r="5491">
          <cell r="L5491" t="str">
            <v>Non-proportional</v>
          </cell>
          <cell r="S5491">
            <v>77.290000000000006</v>
          </cell>
          <cell r="X5491" t="str">
            <v>Commissions - gross</v>
          </cell>
          <cell r="Y5491" t="str">
            <v>REPUBLIC OF IRELAND</v>
          </cell>
        </row>
        <row r="5492">
          <cell r="L5492" t="str">
            <v>Non-proportional</v>
          </cell>
          <cell r="S5492">
            <v>-2.2599999999999998</v>
          </cell>
          <cell r="X5492" t="str">
            <v>Commissions - gross</v>
          </cell>
          <cell r="Y5492" t="str">
            <v>JAPAN</v>
          </cell>
        </row>
        <row r="5493">
          <cell r="L5493" t="str">
            <v>Non-proportional</v>
          </cell>
          <cell r="S5493">
            <v>627.9</v>
          </cell>
          <cell r="X5493" t="str">
            <v>Commissions - gross</v>
          </cell>
          <cell r="Y5493" t="str">
            <v>FRANCE</v>
          </cell>
        </row>
        <row r="5494">
          <cell r="L5494" t="str">
            <v>Non-proportional</v>
          </cell>
          <cell r="S5494">
            <v>504.33</v>
          </cell>
          <cell r="X5494" t="str">
            <v>Commissions - gross</v>
          </cell>
          <cell r="Y5494" t="str">
            <v>DOMINICAN REPUBLIC</v>
          </cell>
        </row>
        <row r="5495">
          <cell r="L5495" t="str">
            <v>Non-proportional</v>
          </cell>
          <cell r="S5495">
            <v>307.47000000000003</v>
          </cell>
          <cell r="X5495" t="str">
            <v>Commissions - gross</v>
          </cell>
          <cell r="Y5495" t="str">
            <v>JAPAN</v>
          </cell>
        </row>
        <row r="5496">
          <cell r="L5496" t="str">
            <v>Proportional</v>
          </cell>
          <cell r="S5496">
            <v>64.17</v>
          </cell>
          <cell r="X5496" t="str">
            <v>Commissions - gross</v>
          </cell>
          <cell r="Y5496" t="str">
            <v>FRANCE</v>
          </cell>
        </row>
        <row r="5497">
          <cell r="L5497" t="str">
            <v>Non-proportional</v>
          </cell>
          <cell r="S5497">
            <v>1329.69</v>
          </cell>
          <cell r="X5497" t="str">
            <v>Commissions - gross</v>
          </cell>
          <cell r="Y5497" t="str">
            <v>BELGIUM</v>
          </cell>
        </row>
        <row r="5498">
          <cell r="L5498" t="str">
            <v>Non-proportional</v>
          </cell>
          <cell r="S5498">
            <v>3809.05</v>
          </cell>
          <cell r="X5498" t="str">
            <v>Commissions - gross</v>
          </cell>
          <cell r="Y5498" t="str">
            <v>UNITED STATES</v>
          </cell>
        </row>
        <row r="5499">
          <cell r="L5499" t="str">
            <v>Non-proportional</v>
          </cell>
          <cell r="S5499">
            <v>359.38</v>
          </cell>
          <cell r="X5499" t="str">
            <v>Commissions - gross</v>
          </cell>
          <cell r="Y5499" t="str">
            <v>GREECE</v>
          </cell>
        </row>
        <row r="5500">
          <cell r="L5500" t="str">
            <v>Non-proportional</v>
          </cell>
          <cell r="S5500">
            <v>477.41</v>
          </cell>
          <cell r="X5500" t="str">
            <v>Commissions - gross</v>
          </cell>
          <cell r="Y5500" t="str">
            <v>DOMINICAN REPUBLIC</v>
          </cell>
        </row>
        <row r="5501">
          <cell r="L5501" t="str">
            <v>Non-proportional</v>
          </cell>
          <cell r="S5501">
            <v>39709.769999999997</v>
          </cell>
          <cell r="X5501" t="str">
            <v>Commissions - gross</v>
          </cell>
          <cell r="Y5501" t="str">
            <v>UNITED KINGDOM</v>
          </cell>
        </row>
        <row r="5502">
          <cell r="L5502" t="str">
            <v>Non-proportional</v>
          </cell>
          <cell r="S5502">
            <v>10.5</v>
          </cell>
          <cell r="X5502" t="str">
            <v>Commissions - gross</v>
          </cell>
          <cell r="Y5502" t="str">
            <v>INDIA</v>
          </cell>
        </row>
        <row r="5503">
          <cell r="L5503" t="str">
            <v>Non-proportional</v>
          </cell>
          <cell r="S5503">
            <v>0</v>
          </cell>
          <cell r="X5503" t="str">
            <v>Commissions - gross</v>
          </cell>
          <cell r="Y5503" t="str">
            <v>DOMINICAN REPUBLIC</v>
          </cell>
        </row>
        <row r="5504">
          <cell r="L5504" t="str">
            <v>Proportional</v>
          </cell>
          <cell r="S5504">
            <v>16151.05</v>
          </cell>
          <cell r="X5504" t="str">
            <v>Commissions - gross</v>
          </cell>
          <cell r="Y5504" t="str">
            <v>UNITED STATES</v>
          </cell>
        </row>
        <row r="5505">
          <cell r="L5505" t="str">
            <v>Non-proportional</v>
          </cell>
          <cell r="S5505">
            <v>1012.05</v>
          </cell>
          <cell r="X5505" t="str">
            <v>Commissions - gross</v>
          </cell>
          <cell r="Y5505" t="str">
            <v>ITALY</v>
          </cell>
        </row>
        <row r="5506">
          <cell r="L5506" t="str">
            <v>Non-proportional</v>
          </cell>
          <cell r="S5506">
            <v>8118.49</v>
          </cell>
          <cell r="X5506" t="str">
            <v>Commissions - gross</v>
          </cell>
          <cell r="Y5506" t="str">
            <v>UNITED KINGDOM</v>
          </cell>
        </row>
        <row r="5507">
          <cell r="L5507" t="str">
            <v>Non-proportional</v>
          </cell>
          <cell r="S5507">
            <v>346.88</v>
          </cell>
          <cell r="X5507" t="str">
            <v>Commissions - gross</v>
          </cell>
          <cell r="Y5507" t="str">
            <v>PERU</v>
          </cell>
        </row>
        <row r="5508">
          <cell r="L5508" t="str">
            <v>Non-proportional</v>
          </cell>
          <cell r="S5508">
            <v>1265.96</v>
          </cell>
          <cell r="X5508" t="str">
            <v>Commissions - gross</v>
          </cell>
          <cell r="Y5508" t="str">
            <v>ITALY</v>
          </cell>
        </row>
        <row r="5509">
          <cell r="L5509" t="str">
            <v>Non-proportional</v>
          </cell>
          <cell r="S5509">
            <v>194.65</v>
          </cell>
          <cell r="X5509" t="str">
            <v>Commissions - gross</v>
          </cell>
          <cell r="Y5509" t="str">
            <v>REPUBLIC OF IRELAND</v>
          </cell>
        </row>
        <row r="5510">
          <cell r="L5510" t="str">
            <v>Non-proportional</v>
          </cell>
          <cell r="S5510">
            <v>7.53</v>
          </cell>
          <cell r="X5510" t="str">
            <v>Commissions - gross</v>
          </cell>
          <cell r="Y5510" t="str">
            <v>JAPAN</v>
          </cell>
        </row>
        <row r="5511">
          <cell r="L5511" t="str">
            <v>Proportional</v>
          </cell>
          <cell r="S5511">
            <v>1007.83</v>
          </cell>
          <cell r="X5511" t="str">
            <v>Commissions - gross</v>
          </cell>
          <cell r="Y5511" t="str">
            <v>UNITED STATES</v>
          </cell>
        </row>
        <row r="5512">
          <cell r="L5512" t="str">
            <v>Non-proportional</v>
          </cell>
          <cell r="S5512">
            <v>451.89</v>
          </cell>
          <cell r="X5512" t="str">
            <v>Commissions - gross</v>
          </cell>
          <cell r="Y5512" t="str">
            <v>UNITED KINGDOM</v>
          </cell>
        </row>
        <row r="5513">
          <cell r="L5513" t="str">
            <v>Non-proportional</v>
          </cell>
          <cell r="S5513">
            <v>677.09</v>
          </cell>
          <cell r="X5513" t="str">
            <v>Commissions - gross</v>
          </cell>
          <cell r="Y5513" t="str">
            <v>ECUADOR</v>
          </cell>
        </row>
        <row r="5514">
          <cell r="L5514" t="str">
            <v>Non-proportional</v>
          </cell>
          <cell r="S5514">
            <v>4108.3999999999996</v>
          </cell>
          <cell r="X5514" t="str">
            <v>Commissions - gross</v>
          </cell>
          <cell r="Y5514" t="str">
            <v>UNITED KINGDOM</v>
          </cell>
        </row>
        <row r="5515">
          <cell r="L5515" t="str">
            <v>Non-proportional</v>
          </cell>
          <cell r="S5515">
            <v>113.12</v>
          </cell>
          <cell r="X5515" t="str">
            <v>Commissions - gross</v>
          </cell>
          <cell r="Y5515" t="str">
            <v>CYPRUS</v>
          </cell>
        </row>
        <row r="5516">
          <cell r="L5516" t="str">
            <v>Non-proportional</v>
          </cell>
          <cell r="S5516">
            <v>918.75</v>
          </cell>
          <cell r="X5516" t="str">
            <v>Commissions - gross</v>
          </cell>
          <cell r="Y5516" t="str">
            <v>TURKEY</v>
          </cell>
        </row>
        <row r="5517">
          <cell r="L5517" t="str">
            <v>Non-proportional</v>
          </cell>
          <cell r="S5517">
            <v>117.23</v>
          </cell>
          <cell r="X5517" t="str">
            <v>Commissions - gross</v>
          </cell>
          <cell r="Y5517" t="str">
            <v>FRANCE</v>
          </cell>
        </row>
        <row r="5518">
          <cell r="L5518" t="str">
            <v>Non-proportional</v>
          </cell>
          <cell r="S5518">
            <v>14650.8</v>
          </cell>
          <cell r="X5518" t="str">
            <v>Commissions - gross</v>
          </cell>
          <cell r="Y5518" t="str">
            <v>UNITED KINGDOM</v>
          </cell>
        </row>
        <row r="5519">
          <cell r="L5519" t="str">
            <v>Non-proportional</v>
          </cell>
          <cell r="S5519">
            <v>950.01</v>
          </cell>
          <cell r="X5519" t="str">
            <v>Commissions - gross</v>
          </cell>
          <cell r="Y5519" t="str">
            <v>TURKEY</v>
          </cell>
        </row>
        <row r="5520">
          <cell r="L5520" t="str">
            <v>Non-proportional</v>
          </cell>
          <cell r="S5520">
            <v>2285.11</v>
          </cell>
          <cell r="X5520" t="str">
            <v>Commissions - gross</v>
          </cell>
          <cell r="Y5520" t="str">
            <v>UNITED KINGDOM</v>
          </cell>
        </row>
        <row r="5521">
          <cell r="L5521" t="str">
            <v>Non-proportional</v>
          </cell>
          <cell r="S5521">
            <v>526.36</v>
          </cell>
          <cell r="X5521" t="str">
            <v>Commissions - gross</v>
          </cell>
          <cell r="Y5521" t="str">
            <v>SPAIN</v>
          </cell>
        </row>
        <row r="5522">
          <cell r="L5522" t="str">
            <v>Non-proportional</v>
          </cell>
          <cell r="S5522">
            <v>391.83</v>
          </cell>
          <cell r="X5522" t="str">
            <v>Commissions - gross</v>
          </cell>
          <cell r="Y5522" t="str">
            <v>DOMINICAN REPUBLIC</v>
          </cell>
        </row>
        <row r="5523">
          <cell r="L5523" t="str">
            <v>Non-proportional</v>
          </cell>
          <cell r="S5523">
            <v>232.13</v>
          </cell>
          <cell r="X5523" t="str">
            <v>Commissions - gross</v>
          </cell>
          <cell r="Y5523" t="str">
            <v>CHILE</v>
          </cell>
        </row>
        <row r="5524">
          <cell r="L5524" t="str">
            <v>Non-proportional</v>
          </cell>
          <cell r="S5524">
            <v>839.97</v>
          </cell>
          <cell r="X5524" t="str">
            <v>Commissions - gross</v>
          </cell>
          <cell r="Y5524" t="str">
            <v>MEXICO</v>
          </cell>
        </row>
        <row r="5525">
          <cell r="L5525" t="str">
            <v>Non-proportional</v>
          </cell>
          <cell r="S5525">
            <v>866.71</v>
          </cell>
          <cell r="X5525" t="str">
            <v>Commissions - gross</v>
          </cell>
          <cell r="Y5525" t="str">
            <v>AUSTRALIA</v>
          </cell>
        </row>
        <row r="5526">
          <cell r="L5526" t="str">
            <v>Non-proportional</v>
          </cell>
          <cell r="S5526">
            <v>16080.63</v>
          </cell>
          <cell r="X5526" t="str">
            <v>Commissions - gross</v>
          </cell>
          <cell r="Y5526" t="str">
            <v>UNITED KINGDOM</v>
          </cell>
        </row>
        <row r="5527">
          <cell r="L5527" t="str">
            <v>Non-proportional</v>
          </cell>
          <cell r="S5527">
            <v>992.3</v>
          </cell>
          <cell r="X5527" t="str">
            <v>Commissions - gross</v>
          </cell>
          <cell r="Y5527" t="str">
            <v>UNITED KINGDOM</v>
          </cell>
        </row>
        <row r="5528">
          <cell r="L5528" t="str">
            <v>Non-proportional</v>
          </cell>
          <cell r="S5528">
            <v>5.26</v>
          </cell>
          <cell r="X5528" t="str">
            <v>Commissions - gross</v>
          </cell>
          <cell r="Y5528" t="str">
            <v>GUATEMALA</v>
          </cell>
        </row>
        <row r="5529">
          <cell r="L5529" t="str">
            <v>Non-proportional</v>
          </cell>
          <cell r="S5529">
            <v>1046.6300000000001</v>
          </cell>
          <cell r="X5529" t="str">
            <v>Commissions - gross</v>
          </cell>
          <cell r="Y5529" t="str">
            <v>COLOMBIA</v>
          </cell>
        </row>
        <row r="5530">
          <cell r="L5530" t="str">
            <v>Non-proportional</v>
          </cell>
          <cell r="S5530">
            <v>38.69</v>
          </cell>
          <cell r="X5530" t="str">
            <v>Commissions - gross</v>
          </cell>
          <cell r="Y5530" t="str">
            <v>CHILE</v>
          </cell>
        </row>
        <row r="5531">
          <cell r="L5531" t="str">
            <v>Non-proportional</v>
          </cell>
          <cell r="S5531">
            <v>1266.46</v>
          </cell>
          <cell r="X5531" t="str">
            <v>Commissions - gross</v>
          </cell>
          <cell r="Y5531" t="str">
            <v>FRANCE</v>
          </cell>
        </row>
        <row r="5532">
          <cell r="L5532" t="str">
            <v>Non-proportional</v>
          </cell>
          <cell r="S5532">
            <v>329.04</v>
          </cell>
          <cell r="X5532" t="str">
            <v>Commissions - gross</v>
          </cell>
          <cell r="Y5532" t="str">
            <v>UNITED KINGDOM</v>
          </cell>
        </row>
        <row r="5533">
          <cell r="L5533" t="str">
            <v>Non-proportional</v>
          </cell>
          <cell r="S5533">
            <v>0</v>
          </cell>
          <cell r="X5533" t="str">
            <v>Commissions - gross</v>
          </cell>
          <cell r="Y5533" t="str">
            <v>COLOMBIA</v>
          </cell>
        </row>
        <row r="5534">
          <cell r="L5534" t="str">
            <v>Non-proportional</v>
          </cell>
          <cell r="S5534">
            <v>823.83</v>
          </cell>
          <cell r="X5534" t="str">
            <v>Commissions - gross</v>
          </cell>
          <cell r="Y5534" t="str">
            <v>ITALY</v>
          </cell>
        </row>
        <row r="5535">
          <cell r="L5535" t="str">
            <v>Non-proportional</v>
          </cell>
          <cell r="S5535">
            <v>618.33000000000004</v>
          </cell>
          <cell r="X5535" t="str">
            <v>Commissions - gross</v>
          </cell>
          <cell r="Y5535" t="str">
            <v>NEW ZEALAND</v>
          </cell>
        </row>
        <row r="5536">
          <cell r="L5536" t="str">
            <v>Non-proportional</v>
          </cell>
          <cell r="S5536">
            <v>660.17</v>
          </cell>
          <cell r="X5536" t="str">
            <v>Commissions - gross</v>
          </cell>
          <cell r="Y5536" t="str">
            <v>ISRAEL</v>
          </cell>
        </row>
        <row r="5537">
          <cell r="L5537" t="str">
            <v>Non-proportional</v>
          </cell>
          <cell r="S5537">
            <v>932.29</v>
          </cell>
          <cell r="X5537" t="str">
            <v>Commissions - gross</v>
          </cell>
          <cell r="Y5537" t="str">
            <v>AUSTRALIA</v>
          </cell>
        </row>
        <row r="5538">
          <cell r="L5538" t="str">
            <v>Non-proportional</v>
          </cell>
          <cell r="S5538">
            <v>1741.95</v>
          </cell>
          <cell r="X5538" t="str">
            <v>Commissions - gross</v>
          </cell>
          <cell r="Y5538" t="str">
            <v>GREECE</v>
          </cell>
        </row>
        <row r="5539">
          <cell r="L5539" t="str">
            <v>Non-proportional</v>
          </cell>
          <cell r="S5539">
            <v>10.36</v>
          </cell>
          <cell r="X5539" t="str">
            <v>Commissions - gross</v>
          </cell>
          <cell r="Y5539" t="str">
            <v>JAPAN</v>
          </cell>
        </row>
        <row r="5540">
          <cell r="L5540" t="str">
            <v>Non-proportional</v>
          </cell>
          <cell r="S5540">
            <v>13.51</v>
          </cell>
          <cell r="X5540" t="str">
            <v>Commissions - gross</v>
          </cell>
          <cell r="Y5540" t="str">
            <v>JAPAN</v>
          </cell>
        </row>
        <row r="5541">
          <cell r="L5541" t="str">
            <v>Non-proportional</v>
          </cell>
          <cell r="S5541">
            <v>141.74</v>
          </cell>
          <cell r="X5541" t="str">
            <v>Commissions - gross</v>
          </cell>
          <cell r="Y5541" t="str">
            <v>COLOMBIA</v>
          </cell>
        </row>
        <row r="5542">
          <cell r="L5542" t="str">
            <v>Non-proportional</v>
          </cell>
          <cell r="S5542">
            <v>625.17999999999995</v>
          </cell>
          <cell r="X5542" t="str">
            <v>Commissions - gross</v>
          </cell>
          <cell r="Y5542" t="str">
            <v>AUSTRALIA</v>
          </cell>
        </row>
        <row r="5543">
          <cell r="L5543" t="str">
            <v>Non-proportional</v>
          </cell>
          <cell r="S5543">
            <v>179.49</v>
          </cell>
          <cell r="X5543" t="str">
            <v>Commissions - gross</v>
          </cell>
          <cell r="Y5543" t="str">
            <v>INDIA</v>
          </cell>
        </row>
        <row r="5544">
          <cell r="L5544" t="str">
            <v>Non-proportional</v>
          </cell>
          <cell r="S5544">
            <v>731.85</v>
          </cell>
          <cell r="X5544" t="str">
            <v>Commissions - gross</v>
          </cell>
          <cell r="Y5544" t="str">
            <v>JAPAN</v>
          </cell>
        </row>
        <row r="5545">
          <cell r="L5545" t="str">
            <v>Non-proportional</v>
          </cell>
          <cell r="S5545">
            <v>1279.25</v>
          </cell>
          <cell r="X5545" t="str">
            <v>Commissions - gross</v>
          </cell>
          <cell r="Y5545" t="str">
            <v>UNITED KINGDOM</v>
          </cell>
        </row>
        <row r="5546">
          <cell r="L5546" t="str">
            <v>Non-proportional</v>
          </cell>
          <cell r="S5546">
            <v>4339.21</v>
          </cell>
          <cell r="X5546" t="str">
            <v>Commissions - gross</v>
          </cell>
          <cell r="Y5546" t="str">
            <v>UNITED KINGDOM</v>
          </cell>
        </row>
        <row r="5547">
          <cell r="L5547" t="str">
            <v>Non-proportional</v>
          </cell>
          <cell r="S5547">
            <v>251.77</v>
          </cell>
          <cell r="X5547" t="str">
            <v>Commissions - gross</v>
          </cell>
          <cell r="Y5547" t="str">
            <v>ITALY</v>
          </cell>
        </row>
        <row r="5548">
          <cell r="L5548" t="str">
            <v>Non-proportional</v>
          </cell>
          <cell r="S5548">
            <v>-7.77</v>
          </cell>
          <cell r="X5548" t="str">
            <v>Commissions - gross</v>
          </cell>
          <cell r="Y5548" t="str">
            <v>COLOMBIA</v>
          </cell>
        </row>
        <row r="5549">
          <cell r="L5549" t="str">
            <v>Non-proportional</v>
          </cell>
          <cell r="S5549">
            <v>100.43</v>
          </cell>
          <cell r="X5549" t="str">
            <v>Commissions - gross</v>
          </cell>
          <cell r="Y5549" t="str">
            <v>ISRAEL</v>
          </cell>
        </row>
        <row r="5550">
          <cell r="L5550" t="str">
            <v>Proportional</v>
          </cell>
          <cell r="S5550">
            <v>18.899999999999999</v>
          </cell>
          <cell r="X5550" t="str">
            <v>Commissions - gross</v>
          </cell>
          <cell r="Y5550" t="str">
            <v>UNITED STATES</v>
          </cell>
        </row>
        <row r="5551">
          <cell r="L5551" t="str">
            <v>Non-proportional</v>
          </cell>
          <cell r="S5551">
            <v>1043.01</v>
          </cell>
          <cell r="X5551" t="str">
            <v>Commissions - gross</v>
          </cell>
          <cell r="Y5551" t="str">
            <v>ECUADOR</v>
          </cell>
        </row>
        <row r="5552">
          <cell r="L5552" t="str">
            <v>Non-proportional</v>
          </cell>
          <cell r="S5552">
            <v>313.3</v>
          </cell>
          <cell r="X5552" t="str">
            <v>Commissions - gross</v>
          </cell>
          <cell r="Y5552" t="str">
            <v>ISRAEL</v>
          </cell>
        </row>
        <row r="5553">
          <cell r="L5553" t="str">
            <v>Non-proportional</v>
          </cell>
          <cell r="S5553">
            <v>145.83000000000001</v>
          </cell>
          <cell r="X5553" t="str">
            <v>Commissions - gross</v>
          </cell>
          <cell r="Y5553" t="str">
            <v>GREECE</v>
          </cell>
        </row>
        <row r="5554">
          <cell r="L5554" t="str">
            <v>Non-proportional</v>
          </cell>
          <cell r="S5554">
            <v>425.02</v>
          </cell>
          <cell r="X5554" t="str">
            <v>Commissions - gross</v>
          </cell>
          <cell r="Y5554" t="str">
            <v>ITALY</v>
          </cell>
        </row>
        <row r="5555">
          <cell r="L5555" t="str">
            <v>Non-proportional</v>
          </cell>
          <cell r="S5555">
            <v>317.73</v>
          </cell>
          <cell r="X5555" t="str">
            <v>Commissions - gross</v>
          </cell>
          <cell r="Y5555" t="str">
            <v>ISRAEL</v>
          </cell>
        </row>
        <row r="5556">
          <cell r="L5556" t="str">
            <v>Proportional</v>
          </cell>
          <cell r="S5556">
            <v>980.87</v>
          </cell>
          <cell r="X5556" t="str">
            <v>Commissions - gross</v>
          </cell>
          <cell r="Y5556" t="str">
            <v>UNITED STATES</v>
          </cell>
        </row>
        <row r="5557">
          <cell r="L5557" t="str">
            <v>Proportional</v>
          </cell>
          <cell r="S5557">
            <v>14900.16</v>
          </cell>
          <cell r="X5557" t="str">
            <v>Commissions - gross</v>
          </cell>
          <cell r="Y5557" t="str">
            <v>UNITED STATES</v>
          </cell>
        </row>
        <row r="5558">
          <cell r="L5558" t="str">
            <v>Non-proportional</v>
          </cell>
          <cell r="S5558">
            <v>11075.41</v>
          </cell>
          <cell r="X5558" t="str">
            <v>Commissions - gross</v>
          </cell>
          <cell r="Y5558" t="str">
            <v>FRANCE</v>
          </cell>
        </row>
        <row r="5559">
          <cell r="L5559" t="str">
            <v>Non-proportional</v>
          </cell>
          <cell r="S5559">
            <v>40920.03</v>
          </cell>
          <cell r="X5559" t="str">
            <v>Commissions - gross</v>
          </cell>
          <cell r="Y5559" t="str">
            <v>UNITED KINGDOM</v>
          </cell>
        </row>
        <row r="5560">
          <cell r="L5560" t="str">
            <v>Non-proportional</v>
          </cell>
          <cell r="S5560">
            <v>-8.69</v>
          </cell>
          <cell r="X5560" t="str">
            <v>Commissions - gross</v>
          </cell>
          <cell r="Y5560" t="str">
            <v>COLOMBIA</v>
          </cell>
        </row>
        <row r="5561">
          <cell r="L5561" t="str">
            <v>Non-proportional</v>
          </cell>
          <cell r="S5561">
            <v>163.41999999999999</v>
          </cell>
          <cell r="X5561" t="str">
            <v>Commissions - gross</v>
          </cell>
          <cell r="Y5561" t="str">
            <v>GUATEMALA</v>
          </cell>
        </row>
        <row r="5562">
          <cell r="L5562" t="str">
            <v>Non-proportional</v>
          </cell>
          <cell r="S5562">
            <v>138.52000000000001</v>
          </cell>
          <cell r="X5562" t="str">
            <v>Commissions - gross</v>
          </cell>
          <cell r="Y5562" t="str">
            <v>PERU</v>
          </cell>
        </row>
        <row r="5563">
          <cell r="L5563" t="str">
            <v>Non-proportional</v>
          </cell>
          <cell r="S5563">
            <v>190.26</v>
          </cell>
          <cell r="X5563" t="str">
            <v>Commissions - gross</v>
          </cell>
          <cell r="Y5563" t="str">
            <v>COSTA RICA</v>
          </cell>
        </row>
        <row r="5564">
          <cell r="L5564" t="str">
            <v>Non-proportional</v>
          </cell>
          <cell r="S5564">
            <v>5.5</v>
          </cell>
          <cell r="X5564" t="str">
            <v>Commissions - gross</v>
          </cell>
          <cell r="Y5564" t="str">
            <v>INDIA</v>
          </cell>
        </row>
        <row r="5565">
          <cell r="L5565" t="str">
            <v>Non-proportional</v>
          </cell>
          <cell r="S5565">
            <v>409.5</v>
          </cell>
          <cell r="X5565" t="str">
            <v>Commissions - gross</v>
          </cell>
          <cell r="Y5565" t="str">
            <v>FRANCE</v>
          </cell>
        </row>
        <row r="5566">
          <cell r="L5566" t="str">
            <v>Non-proportional</v>
          </cell>
          <cell r="S5566">
            <v>917.84</v>
          </cell>
          <cell r="X5566" t="str">
            <v>Commissions - gross</v>
          </cell>
          <cell r="Y5566" t="str">
            <v>FRANCE</v>
          </cell>
        </row>
        <row r="5567">
          <cell r="L5567" t="str">
            <v>Non-proportional</v>
          </cell>
          <cell r="S5567">
            <v>312.72000000000003</v>
          </cell>
          <cell r="X5567" t="str">
            <v>Commissions - gross</v>
          </cell>
          <cell r="Y5567" t="str">
            <v>THAILAND</v>
          </cell>
        </row>
        <row r="5568">
          <cell r="L5568" t="str">
            <v>Non-proportional</v>
          </cell>
          <cell r="S5568">
            <v>15.77</v>
          </cell>
          <cell r="X5568" t="str">
            <v>Commissions - gross</v>
          </cell>
          <cell r="Y5568" t="str">
            <v>INDIA</v>
          </cell>
        </row>
        <row r="5569">
          <cell r="L5569" t="str">
            <v>Non-proportional</v>
          </cell>
          <cell r="S5569">
            <v>1.49</v>
          </cell>
          <cell r="X5569" t="str">
            <v>Commissions - gross</v>
          </cell>
          <cell r="Y5569" t="str">
            <v>JAPAN</v>
          </cell>
        </row>
        <row r="5570">
          <cell r="L5570" t="str">
            <v>Non-proportional</v>
          </cell>
          <cell r="S5570">
            <v>570.02</v>
          </cell>
          <cell r="X5570" t="str">
            <v>Commissions - gross</v>
          </cell>
          <cell r="Y5570" t="str">
            <v>ITALY</v>
          </cell>
        </row>
        <row r="5571">
          <cell r="L5571" t="str">
            <v>Non-proportional</v>
          </cell>
          <cell r="S5571">
            <v>84.38</v>
          </cell>
          <cell r="X5571" t="str">
            <v>Commissions - gross</v>
          </cell>
          <cell r="Y5571" t="str">
            <v>GREECE</v>
          </cell>
        </row>
        <row r="5572">
          <cell r="L5572" t="str">
            <v>Non-proportional</v>
          </cell>
          <cell r="S5572">
            <v>702.86</v>
          </cell>
          <cell r="X5572" t="str">
            <v>Commissions - gross</v>
          </cell>
          <cell r="Y5572" t="str">
            <v>INDIA</v>
          </cell>
        </row>
        <row r="5573">
          <cell r="L5573" t="str">
            <v>Non-proportional</v>
          </cell>
          <cell r="S5573">
            <v>10492.32</v>
          </cell>
          <cell r="X5573" t="str">
            <v>Commissions - gross</v>
          </cell>
          <cell r="Y5573" t="str">
            <v>UNITED KINGDOM</v>
          </cell>
        </row>
        <row r="5574">
          <cell r="L5574" t="str">
            <v>Non-proportional</v>
          </cell>
          <cell r="S5574">
            <v>152.59</v>
          </cell>
          <cell r="X5574" t="str">
            <v>Commissions - gross</v>
          </cell>
          <cell r="Y5574" t="str">
            <v>COLOMBIA</v>
          </cell>
        </row>
        <row r="5575">
          <cell r="L5575" t="str">
            <v>Non-proportional</v>
          </cell>
          <cell r="S5575">
            <v>1314.38</v>
          </cell>
          <cell r="X5575" t="str">
            <v>Commissions - gross</v>
          </cell>
          <cell r="Y5575" t="str">
            <v>AUSTRALIA</v>
          </cell>
        </row>
        <row r="5576">
          <cell r="L5576" t="str">
            <v>Non-proportional</v>
          </cell>
          <cell r="S5576">
            <v>22193.5</v>
          </cell>
          <cell r="X5576" t="str">
            <v>Commissions - gross</v>
          </cell>
          <cell r="Y5576" t="str">
            <v>BELGIUM</v>
          </cell>
        </row>
        <row r="5577">
          <cell r="L5577" t="str">
            <v>Non-proportional</v>
          </cell>
          <cell r="S5577">
            <v>800.2</v>
          </cell>
          <cell r="X5577" t="str">
            <v>Commissions - gross</v>
          </cell>
          <cell r="Y5577" t="str">
            <v>UNITED KINGDOM</v>
          </cell>
        </row>
        <row r="5578">
          <cell r="L5578" t="str">
            <v>Non-proportional</v>
          </cell>
          <cell r="S5578">
            <v>172.58</v>
          </cell>
          <cell r="X5578" t="str">
            <v>Commissions - gross</v>
          </cell>
          <cell r="Y5578" t="str">
            <v>UNITED KINGDOM</v>
          </cell>
        </row>
        <row r="5579">
          <cell r="L5579" t="str">
            <v>Non-proportional</v>
          </cell>
          <cell r="S5579">
            <v>475.13</v>
          </cell>
          <cell r="X5579" t="str">
            <v>Commissions - gross</v>
          </cell>
          <cell r="Y5579" t="str">
            <v>FRANCE</v>
          </cell>
        </row>
        <row r="5580">
          <cell r="L5580" t="str">
            <v>Non-proportional</v>
          </cell>
          <cell r="S5580">
            <v>376.2</v>
          </cell>
          <cell r="X5580" t="str">
            <v>Commissions - gross</v>
          </cell>
          <cell r="Y5580" t="str">
            <v>GUATEMALA</v>
          </cell>
        </row>
        <row r="5581">
          <cell r="L5581" t="str">
            <v>Non-proportional</v>
          </cell>
          <cell r="S5581">
            <v>89.47</v>
          </cell>
          <cell r="X5581" t="str">
            <v>Commissions - gross</v>
          </cell>
          <cell r="Y5581" t="str">
            <v>PERU</v>
          </cell>
        </row>
        <row r="5582">
          <cell r="L5582" t="str">
            <v>Non-proportional</v>
          </cell>
          <cell r="S5582">
            <v>-14929.73</v>
          </cell>
          <cell r="X5582" t="str">
            <v>Commissions - gross</v>
          </cell>
          <cell r="Y5582" t="str">
            <v>COSTA RICA</v>
          </cell>
        </row>
        <row r="5583">
          <cell r="L5583" t="str">
            <v>Proportional</v>
          </cell>
          <cell r="S5583">
            <v>355.88</v>
          </cell>
          <cell r="X5583" t="str">
            <v>Commissions - gross</v>
          </cell>
          <cell r="Y5583" t="str">
            <v>FRANCE</v>
          </cell>
        </row>
        <row r="5584">
          <cell r="L5584" t="str">
            <v>Non-proportional</v>
          </cell>
          <cell r="S5584">
            <v>650</v>
          </cell>
          <cell r="X5584" t="str">
            <v>Commissions - gross</v>
          </cell>
          <cell r="Y5584" t="str">
            <v>FRANCE</v>
          </cell>
        </row>
        <row r="5585">
          <cell r="L5585" t="str">
            <v>Non-proportional</v>
          </cell>
          <cell r="S5585">
            <v>229.54</v>
          </cell>
          <cell r="X5585" t="str">
            <v>Commissions - gross</v>
          </cell>
          <cell r="Y5585" t="str">
            <v>GUATEMALA</v>
          </cell>
        </row>
        <row r="5586">
          <cell r="L5586" t="str">
            <v>Non-proportional</v>
          </cell>
          <cell r="S5586">
            <v>913.08</v>
          </cell>
          <cell r="X5586" t="str">
            <v>Commissions - gross</v>
          </cell>
          <cell r="Y5586" t="str">
            <v>DOMINICAN REPUBLIC</v>
          </cell>
        </row>
        <row r="5587">
          <cell r="L5587" t="str">
            <v>Non-proportional</v>
          </cell>
          <cell r="S5587">
            <v>1083.3</v>
          </cell>
          <cell r="X5587" t="str">
            <v>Commissions - gross</v>
          </cell>
          <cell r="Y5587" t="str">
            <v>CHILE</v>
          </cell>
        </row>
        <row r="5588">
          <cell r="L5588" t="str">
            <v>Non-proportional</v>
          </cell>
          <cell r="S5588">
            <v>1070.71</v>
          </cell>
          <cell r="X5588" t="str">
            <v>Commissions - gross</v>
          </cell>
          <cell r="Y5588" t="str">
            <v>FRANCE</v>
          </cell>
        </row>
        <row r="5589">
          <cell r="L5589" t="str">
            <v>Non-proportional</v>
          </cell>
          <cell r="S5589">
            <v>675.41</v>
          </cell>
          <cell r="X5589" t="str">
            <v>Commissions - gross</v>
          </cell>
          <cell r="Y5589" t="str">
            <v>AUSTRALIA</v>
          </cell>
        </row>
        <row r="5590">
          <cell r="L5590" t="str">
            <v>Non-proportional</v>
          </cell>
          <cell r="S5590">
            <v>3448.99</v>
          </cell>
          <cell r="X5590" t="str">
            <v>Commissions - gross</v>
          </cell>
          <cell r="Y5590" t="str">
            <v>UNITED KINGDOM</v>
          </cell>
        </row>
        <row r="5591">
          <cell r="L5591" t="str">
            <v>Non-proportional</v>
          </cell>
          <cell r="S5591">
            <v>423.85</v>
          </cell>
          <cell r="X5591" t="str">
            <v>Commissions - gross</v>
          </cell>
          <cell r="Y5591" t="str">
            <v>FRANCE</v>
          </cell>
        </row>
        <row r="5592">
          <cell r="L5592" t="str">
            <v>Non-proportional</v>
          </cell>
          <cell r="S5592">
            <v>-32.700000000000003</v>
          </cell>
          <cell r="X5592" t="str">
            <v>Commissions - gross</v>
          </cell>
          <cell r="Y5592" t="str">
            <v>JAPAN</v>
          </cell>
        </row>
        <row r="5593">
          <cell r="L5593" t="str">
            <v>Non-proportional</v>
          </cell>
          <cell r="S5593">
            <v>116.07</v>
          </cell>
          <cell r="X5593" t="str">
            <v>Commissions - gross</v>
          </cell>
          <cell r="Y5593" t="str">
            <v>CHILE</v>
          </cell>
        </row>
        <row r="5594">
          <cell r="L5594" t="str">
            <v>Non-proportional</v>
          </cell>
          <cell r="S5594">
            <v>394.08</v>
          </cell>
          <cell r="X5594" t="str">
            <v>Commissions - gross</v>
          </cell>
          <cell r="Y5594" t="str">
            <v>ISRAEL</v>
          </cell>
        </row>
        <row r="5595">
          <cell r="L5595" t="str">
            <v>Non-proportional</v>
          </cell>
          <cell r="S5595">
            <v>117.6</v>
          </cell>
          <cell r="X5595" t="str">
            <v>Commissions - gross</v>
          </cell>
          <cell r="Y5595" t="str">
            <v>MEXICO</v>
          </cell>
        </row>
        <row r="5596">
          <cell r="L5596" t="str">
            <v>Non-proportional</v>
          </cell>
          <cell r="S5596">
            <v>464.02</v>
          </cell>
          <cell r="X5596" t="str">
            <v>Commissions - gross</v>
          </cell>
          <cell r="Y5596" t="str">
            <v>COLOMBIA</v>
          </cell>
        </row>
        <row r="5597">
          <cell r="L5597" t="str">
            <v>Non-proportional</v>
          </cell>
          <cell r="S5597">
            <v>54.69</v>
          </cell>
          <cell r="X5597" t="str">
            <v>Commissions - gross</v>
          </cell>
          <cell r="Y5597" t="str">
            <v>ITALY</v>
          </cell>
        </row>
        <row r="5598">
          <cell r="L5598" t="str">
            <v>Non-proportional</v>
          </cell>
          <cell r="S5598">
            <v>0.47</v>
          </cell>
          <cell r="X5598" t="str">
            <v>Commissions - gross</v>
          </cell>
          <cell r="Y5598" t="str">
            <v>COSTA RICA</v>
          </cell>
        </row>
        <row r="5599">
          <cell r="L5599" t="str">
            <v>Non-proportional</v>
          </cell>
          <cell r="S5599">
            <v>670.58</v>
          </cell>
          <cell r="X5599" t="str">
            <v>Commissions - gross</v>
          </cell>
          <cell r="Y5599" t="str">
            <v>JAPAN</v>
          </cell>
        </row>
        <row r="5600">
          <cell r="L5600" t="str">
            <v>Non-proportional</v>
          </cell>
          <cell r="S5600">
            <v>140.63</v>
          </cell>
          <cell r="X5600" t="str">
            <v>Commissions - gross</v>
          </cell>
          <cell r="Y5600" t="str">
            <v>GREECE</v>
          </cell>
        </row>
        <row r="5601">
          <cell r="L5601" t="str">
            <v>Non-proportional</v>
          </cell>
          <cell r="S5601">
            <v>121.27</v>
          </cell>
          <cell r="X5601" t="str">
            <v>Commissions - gross</v>
          </cell>
          <cell r="Y5601" t="str">
            <v>COSTA RICA</v>
          </cell>
        </row>
        <row r="5602">
          <cell r="L5602" t="str">
            <v>Non-proportional</v>
          </cell>
          <cell r="S5602">
            <v>3.91</v>
          </cell>
          <cell r="X5602" t="str">
            <v>Commissions - gross</v>
          </cell>
          <cell r="Y5602" t="str">
            <v>ISRAEL</v>
          </cell>
        </row>
        <row r="5603">
          <cell r="L5603" t="str">
            <v>Non-proportional</v>
          </cell>
          <cell r="S5603">
            <v>4.1399999999999997</v>
          </cell>
          <cell r="X5603" t="str">
            <v>Commissions - gross</v>
          </cell>
          <cell r="Y5603" t="str">
            <v>JAPAN</v>
          </cell>
        </row>
        <row r="5604">
          <cell r="L5604" t="str">
            <v>Non-proportional</v>
          </cell>
          <cell r="S5604">
            <v>-2.35</v>
          </cell>
          <cell r="X5604" t="str">
            <v>Commissions - gross</v>
          </cell>
          <cell r="Y5604" t="str">
            <v>COLOMBIA</v>
          </cell>
        </row>
        <row r="5605">
          <cell r="L5605" t="str">
            <v>Non-proportional</v>
          </cell>
          <cell r="S5605">
            <v>85.6</v>
          </cell>
          <cell r="X5605" t="str">
            <v>Commissions - gross</v>
          </cell>
          <cell r="Y5605" t="str">
            <v>FRANCE</v>
          </cell>
        </row>
        <row r="5606">
          <cell r="L5606" t="str">
            <v>Non-proportional</v>
          </cell>
          <cell r="S5606">
            <v>348.2</v>
          </cell>
          <cell r="X5606" t="str">
            <v>Commissions - gross</v>
          </cell>
          <cell r="Y5606" t="str">
            <v>CHILE</v>
          </cell>
        </row>
        <row r="5607">
          <cell r="L5607" t="str">
            <v>Non-proportional</v>
          </cell>
          <cell r="S5607">
            <v>1215.0999999999999</v>
          </cell>
          <cell r="X5607" t="str">
            <v>Commissions - gross</v>
          </cell>
          <cell r="Y5607" t="str">
            <v>MEXICO</v>
          </cell>
        </row>
        <row r="5608">
          <cell r="L5608" t="str">
            <v>Non-proportional</v>
          </cell>
          <cell r="S5608">
            <v>619.03</v>
          </cell>
          <cell r="X5608" t="str">
            <v>Commissions - gross</v>
          </cell>
          <cell r="Y5608" t="str">
            <v>CHILE</v>
          </cell>
        </row>
        <row r="5609">
          <cell r="L5609" t="str">
            <v>Non-proportional</v>
          </cell>
          <cell r="S5609">
            <v>30558.87</v>
          </cell>
          <cell r="X5609" t="str">
            <v>Commissions - gross</v>
          </cell>
          <cell r="Y5609" t="str">
            <v>UNITED KINGDOM</v>
          </cell>
        </row>
        <row r="5610">
          <cell r="L5610" t="str">
            <v>Non-proportional</v>
          </cell>
          <cell r="S5610">
            <v>524.89</v>
          </cell>
          <cell r="X5610" t="str">
            <v>Commissions - gross</v>
          </cell>
          <cell r="Y5610" t="str">
            <v>GUATEMALA</v>
          </cell>
        </row>
        <row r="5611">
          <cell r="L5611" t="str">
            <v>Non-proportional</v>
          </cell>
          <cell r="S5611">
            <v>117.23</v>
          </cell>
          <cell r="X5611" t="str">
            <v>Commissions - gross</v>
          </cell>
          <cell r="Y5611" t="str">
            <v>FRANCE</v>
          </cell>
        </row>
        <row r="5612">
          <cell r="L5612" t="str">
            <v>Non-proportional</v>
          </cell>
          <cell r="S5612">
            <v>85.67</v>
          </cell>
          <cell r="X5612" t="str">
            <v>Commissions - gross</v>
          </cell>
          <cell r="Y5612" t="str">
            <v>MEXICO</v>
          </cell>
        </row>
        <row r="5613">
          <cell r="L5613" t="str">
            <v>Proportional</v>
          </cell>
          <cell r="S5613">
            <v>618.67999999999995</v>
          </cell>
          <cell r="X5613" t="str">
            <v>Commissions - gross</v>
          </cell>
          <cell r="Y5613" t="str">
            <v>JAPAN</v>
          </cell>
        </row>
        <row r="5614">
          <cell r="L5614" t="str">
            <v>Non-proportional</v>
          </cell>
          <cell r="S5614">
            <v>77.150000000000006</v>
          </cell>
          <cell r="X5614" t="str">
            <v>Commissions - gross</v>
          </cell>
          <cell r="Y5614" t="str">
            <v>GERMANY</v>
          </cell>
        </row>
        <row r="5615">
          <cell r="L5615" t="str">
            <v>Non-proportional</v>
          </cell>
          <cell r="S5615">
            <v>41969.25</v>
          </cell>
          <cell r="X5615" t="str">
            <v>Commissions - gross</v>
          </cell>
          <cell r="Y5615" t="str">
            <v>UNITED KINGDOM</v>
          </cell>
        </row>
        <row r="5616">
          <cell r="L5616" t="str">
            <v>Non-proportional</v>
          </cell>
          <cell r="S5616">
            <v>1000</v>
          </cell>
          <cell r="X5616" t="str">
            <v>Commissions - gross</v>
          </cell>
          <cell r="Y5616" t="str">
            <v>ITALY</v>
          </cell>
        </row>
        <row r="5617">
          <cell r="L5617" t="str">
            <v>Non-proportional</v>
          </cell>
          <cell r="S5617">
            <v>204.17</v>
          </cell>
          <cell r="X5617" t="str">
            <v>Commissions - gross</v>
          </cell>
          <cell r="Y5617" t="str">
            <v>ITALY</v>
          </cell>
        </row>
        <row r="5618">
          <cell r="L5618" t="str">
            <v>Non-proportional</v>
          </cell>
          <cell r="S5618">
            <v>619.96</v>
          </cell>
          <cell r="X5618" t="str">
            <v>Commissions - gross</v>
          </cell>
          <cell r="Y5618" t="str">
            <v>SINGAPORE</v>
          </cell>
        </row>
        <row r="5619">
          <cell r="L5619" t="str">
            <v>Proportional</v>
          </cell>
          <cell r="S5619">
            <v>-1.04</v>
          </cell>
          <cell r="X5619" t="str">
            <v>Commissions - gross</v>
          </cell>
          <cell r="Y5619" t="str">
            <v>UNITED STATES</v>
          </cell>
        </row>
        <row r="5620">
          <cell r="L5620" t="str">
            <v>Non-proportional</v>
          </cell>
          <cell r="S5620">
            <v>-38.69</v>
          </cell>
          <cell r="X5620" t="str">
            <v>Commissions - gross</v>
          </cell>
          <cell r="Y5620" t="str">
            <v>CHILE</v>
          </cell>
        </row>
        <row r="5621">
          <cell r="L5621" t="str">
            <v>Non-proportional</v>
          </cell>
          <cell r="S5621">
            <v>695.93</v>
          </cell>
          <cell r="X5621" t="str">
            <v>Commissions - gross</v>
          </cell>
          <cell r="Y5621" t="str">
            <v>JAPAN</v>
          </cell>
        </row>
        <row r="5622">
          <cell r="L5622" t="str">
            <v>Non-proportional</v>
          </cell>
          <cell r="S5622">
            <v>1832.19</v>
          </cell>
          <cell r="X5622" t="str">
            <v>Commissions - gross</v>
          </cell>
          <cell r="Y5622" t="str">
            <v>HONG KONG</v>
          </cell>
        </row>
        <row r="5623">
          <cell r="L5623" t="str">
            <v>Non-proportional</v>
          </cell>
          <cell r="S5623">
            <v>1865.27</v>
          </cell>
          <cell r="X5623" t="str">
            <v>Commissions - gross</v>
          </cell>
          <cell r="Y5623" t="str">
            <v>UNITED KINGDOM</v>
          </cell>
        </row>
        <row r="5624">
          <cell r="L5624" t="str">
            <v>Non-proportional</v>
          </cell>
          <cell r="S5624">
            <v>690.77</v>
          </cell>
          <cell r="X5624" t="str">
            <v>Commissions - gross</v>
          </cell>
          <cell r="Y5624" t="str">
            <v>GREECE</v>
          </cell>
        </row>
        <row r="5625">
          <cell r="L5625" t="str">
            <v>Non-proportional</v>
          </cell>
          <cell r="S5625">
            <v>40.909999999999997</v>
          </cell>
          <cell r="X5625" t="str">
            <v>Commissions - gross</v>
          </cell>
          <cell r="Y5625" t="str">
            <v>TURKEY</v>
          </cell>
        </row>
        <row r="5626">
          <cell r="L5626" t="str">
            <v>Non-proportional</v>
          </cell>
          <cell r="S5626">
            <v>1504.3</v>
          </cell>
          <cell r="X5626" t="str">
            <v>Commissions - gross</v>
          </cell>
          <cell r="Y5626" t="str">
            <v>FRANCE</v>
          </cell>
        </row>
        <row r="5627">
          <cell r="L5627" t="str">
            <v>Non-proportional</v>
          </cell>
          <cell r="S5627">
            <v>355.23</v>
          </cell>
          <cell r="X5627" t="str">
            <v>Commissions - gross</v>
          </cell>
          <cell r="Y5627" t="str">
            <v>SOUTH AFRICA</v>
          </cell>
        </row>
        <row r="5628">
          <cell r="L5628" t="str">
            <v>Non-proportional</v>
          </cell>
          <cell r="S5628">
            <v>6.68</v>
          </cell>
          <cell r="X5628" t="str">
            <v>Commissions - gross</v>
          </cell>
          <cell r="Y5628" t="str">
            <v>ISRAEL</v>
          </cell>
        </row>
        <row r="5629">
          <cell r="L5629" t="str">
            <v>Non-proportional</v>
          </cell>
          <cell r="S5629">
            <v>0.01</v>
          </cell>
          <cell r="X5629" t="str">
            <v>Commissions - gross</v>
          </cell>
          <cell r="Y5629" t="str">
            <v>COLOMBIA</v>
          </cell>
        </row>
        <row r="5630">
          <cell r="L5630" t="str">
            <v>Non-proportional</v>
          </cell>
          <cell r="S5630">
            <v>359.24</v>
          </cell>
          <cell r="X5630" t="str">
            <v>Commissions - gross</v>
          </cell>
          <cell r="Y5630" t="str">
            <v>FRANCE</v>
          </cell>
        </row>
        <row r="5631">
          <cell r="L5631" t="str">
            <v>Non-proportional</v>
          </cell>
          <cell r="S5631">
            <v>533.16999999999996</v>
          </cell>
          <cell r="X5631" t="str">
            <v>Commissions - gross</v>
          </cell>
          <cell r="Y5631" t="str">
            <v>ISRAEL</v>
          </cell>
        </row>
        <row r="5632">
          <cell r="L5632" t="str">
            <v>Non-proportional</v>
          </cell>
          <cell r="S5632">
            <v>904.39</v>
          </cell>
          <cell r="X5632" t="str">
            <v>Commissions - gross</v>
          </cell>
          <cell r="Y5632" t="str">
            <v>FRANCE</v>
          </cell>
        </row>
        <row r="5633">
          <cell r="L5633" t="str">
            <v>Non-proportional</v>
          </cell>
          <cell r="S5633">
            <v>270.82</v>
          </cell>
          <cell r="X5633" t="str">
            <v>Commissions - gross</v>
          </cell>
          <cell r="Y5633" t="str">
            <v>CHILE</v>
          </cell>
        </row>
        <row r="5634">
          <cell r="L5634" t="str">
            <v>Non-proportional</v>
          </cell>
          <cell r="S5634">
            <v>1262.51</v>
          </cell>
          <cell r="X5634" t="str">
            <v>Commissions - gross</v>
          </cell>
          <cell r="Y5634" t="str">
            <v>BELGIUM</v>
          </cell>
        </row>
        <row r="5635">
          <cell r="L5635" t="str">
            <v>Non-proportional</v>
          </cell>
          <cell r="S5635">
            <v>64.260000000000005</v>
          </cell>
          <cell r="X5635" t="str">
            <v>Commissions - gross</v>
          </cell>
          <cell r="Y5635" t="str">
            <v>JAPAN</v>
          </cell>
        </row>
        <row r="5636">
          <cell r="L5636" t="str">
            <v>Non-proportional</v>
          </cell>
          <cell r="S5636">
            <v>0</v>
          </cell>
          <cell r="X5636" t="str">
            <v>Commissions - gross</v>
          </cell>
          <cell r="Y5636" t="str">
            <v>COLOMBIA</v>
          </cell>
        </row>
        <row r="5637">
          <cell r="L5637" t="str">
            <v>Non-proportional</v>
          </cell>
          <cell r="S5637">
            <v>-29.47</v>
          </cell>
          <cell r="X5637" t="str">
            <v>Commissions - gross</v>
          </cell>
          <cell r="Y5637" t="str">
            <v>COLOMBIA</v>
          </cell>
        </row>
        <row r="5638">
          <cell r="L5638" t="str">
            <v>Non-proportional</v>
          </cell>
          <cell r="S5638">
            <v>0</v>
          </cell>
          <cell r="X5638" t="str">
            <v>Commissions - gross</v>
          </cell>
          <cell r="Y5638" t="str">
            <v>DOMINICAN REPUBLIC</v>
          </cell>
        </row>
        <row r="5639">
          <cell r="L5639" t="str">
            <v>Non-proportional</v>
          </cell>
          <cell r="S5639">
            <v>-47.05</v>
          </cell>
          <cell r="X5639" t="str">
            <v>Commissions - gross</v>
          </cell>
          <cell r="Y5639" t="str">
            <v>JAPAN</v>
          </cell>
        </row>
        <row r="5640">
          <cell r="L5640" t="str">
            <v>Non-proportional</v>
          </cell>
          <cell r="S5640">
            <v>127.35</v>
          </cell>
          <cell r="X5640" t="str">
            <v>Commissions - gross</v>
          </cell>
          <cell r="Y5640" t="str">
            <v>NEW ZEALAND</v>
          </cell>
        </row>
        <row r="5641">
          <cell r="L5641" t="str">
            <v>Non-proportional</v>
          </cell>
          <cell r="S5641">
            <v>386.89</v>
          </cell>
          <cell r="X5641" t="str">
            <v>Commissions - gross</v>
          </cell>
          <cell r="Y5641" t="str">
            <v>CHILE</v>
          </cell>
        </row>
        <row r="5642">
          <cell r="L5642" t="str">
            <v>Non-proportional</v>
          </cell>
          <cell r="S5642">
            <v>316.06</v>
          </cell>
          <cell r="X5642" t="str">
            <v>Commissions - gross</v>
          </cell>
          <cell r="Y5642" t="str">
            <v>DOMINICAN REPUBLIC</v>
          </cell>
        </row>
        <row r="5643">
          <cell r="L5643" t="str">
            <v>Non-proportional</v>
          </cell>
          <cell r="S5643">
            <v>1096.1099999999999</v>
          </cell>
          <cell r="X5643" t="str">
            <v>Commissions - gross</v>
          </cell>
          <cell r="Y5643" t="str">
            <v>POLAND</v>
          </cell>
        </row>
        <row r="5644">
          <cell r="L5644" t="str">
            <v>Non-proportional</v>
          </cell>
          <cell r="S5644">
            <v>494.91</v>
          </cell>
          <cell r="X5644" t="str">
            <v>Commissions - gross</v>
          </cell>
          <cell r="Y5644" t="str">
            <v>NETHERLANDS</v>
          </cell>
        </row>
        <row r="5645">
          <cell r="L5645" t="str">
            <v>Non-proportional</v>
          </cell>
          <cell r="S5645">
            <v>436.61</v>
          </cell>
          <cell r="X5645" t="str">
            <v>Commissions - gross</v>
          </cell>
          <cell r="Y5645" t="str">
            <v>COLOMBIA</v>
          </cell>
        </row>
        <row r="5646">
          <cell r="L5646" t="str">
            <v>Proportional</v>
          </cell>
          <cell r="S5646">
            <v>812.63</v>
          </cell>
          <cell r="X5646" t="str">
            <v>Commissions - gross</v>
          </cell>
          <cell r="Y5646" t="str">
            <v>MEXICO</v>
          </cell>
        </row>
        <row r="5647">
          <cell r="L5647" t="str">
            <v>Non-proportional</v>
          </cell>
          <cell r="S5647">
            <v>119.79</v>
          </cell>
          <cell r="X5647" t="str">
            <v>Commissions - gross</v>
          </cell>
          <cell r="Y5647" t="str">
            <v>GERMANY</v>
          </cell>
        </row>
        <row r="5648">
          <cell r="L5648" t="str">
            <v>Proportional</v>
          </cell>
          <cell r="S5648">
            <v>77.38</v>
          </cell>
          <cell r="X5648" t="str">
            <v>Commissions - gross</v>
          </cell>
          <cell r="Y5648" t="str">
            <v>CHILE</v>
          </cell>
        </row>
        <row r="5649">
          <cell r="L5649" t="str">
            <v>Non-proportional</v>
          </cell>
          <cell r="S5649">
            <v>45.14</v>
          </cell>
          <cell r="X5649" t="str">
            <v>Commissions - gross</v>
          </cell>
          <cell r="Y5649" t="str">
            <v>TURKEY</v>
          </cell>
        </row>
        <row r="5650">
          <cell r="L5650" t="str">
            <v>Non-proportional</v>
          </cell>
          <cell r="S5650">
            <v>279.73</v>
          </cell>
          <cell r="X5650" t="str">
            <v>Commissions - gross</v>
          </cell>
          <cell r="Y5650" t="str">
            <v>ISRAEL</v>
          </cell>
        </row>
        <row r="5651">
          <cell r="L5651" t="str">
            <v>Non-proportional</v>
          </cell>
          <cell r="S5651">
            <v>-1.41</v>
          </cell>
          <cell r="X5651" t="str">
            <v>Commissions - gross</v>
          </cell>
          <cell r="Y5651" t="str">
            <v>GUATEMALA</v>
          </cell>
        </row>
        <row r="5652">
          <cell r="L5652" t="str">
            <v>Non-proportional</v>
          </cell>
          <cell r="S5652">
            <v>679.31</v>
          </cell>
          <cell r="X5652" t="str">
            <v>Commissions - gross</v>
          </cell>
          <cell r="Y5652" t="str">
            <v>DOMINICAN REPUBLIC</v>
          </cell>
        </row>
        <row r="5653">
          <cell r="L5653" t="str">
            <v>Non-proportional</v>
          </cell>
          <cell r="S5653">
            <v>388.15</v>
          </cell>
          <cell r="X5653" t="str">
            <v>Commissions - gross</v>
          </cell>
          <cell r="Y5653" t="str">
            <v>JAPAN</v>
          </cell>
        </row>
        <row r="5654">
          <cell r="L5654" t="str">
            <v>Non-proportional</v>
          </cell>
          <cell r="S5654">
            <v>115.27</v>
          </cell>
          <cell r="X5654" t="str">
            <v>Commissions - gross</v>
          </cell>
          <cell r="Y5654" t="str">
            <v>JAPAN</v>
          </cell>
        </row>
        <row r="5655">
          <cell r="L5655" t="str">
            <v>Non-proportional</v>
          </cell>
          <cell r="S5655">
            <v>106.39</v>
          </cell>
          <cell r="X5655" t="str">
            <v>Commissions - gross</v>
          </cell>
          <cell r="Y5655" t="str">
            <v>MEXICO</v>
          </cell>
        </row>
        <row r="5656">
          <cell r="L5656" t="str">
            <v>Non-proportional</v>
          </cell>
          <cell r="S5656">
            <v>759.25</v>
          </cell>
          <cell r="X5656" t="str">
            <v>Commissions - gross</v>
          </cell>
          <cell r="Y5656" t="str">
            <v>NEW ZEALAND</v>
          </cell>
        </row>
        <row r="5657">
          <cell r="L5657" t="str">
            <v>Non-proportional</v>
          </cell>
          <cell r="S5657">
            <v>1005.92</v>
          </cell>
          <cell r="X5657" t="str">
            <v>Commissions - gross</v>
          </cell>
          <cell r="Y5657" t="str">
            <v>CHILE</v>
          </cell>
        </row>
        <row r="5658">
          <cell r="L5658" t="str">
            <v>Non-proportional</v>
          </cell>
          <cell r="S5658">
            <v>1059.6099999999999</v>
          </cell>
          <cell r="X5658" t="str">
            <v>Commissions - gross</v>
          </cell>
          <cell r="Y5658" t="str">
            <v>FRANCE</v>
          </cell>
        </row>
        <row r="5659">
          <cell r="L5659" t="str">
            <v>Non-proportional</v>
          </cell>
          <cell r="S5659">
            <v>983.28</v>
          </cell>
          <cell r="X5659" t="str">
            <v>Commissions - gross</v>
          </cell>
          <cell r="Y5659" t="str">
            <v>FRANCE</v>
          </cell>
        </row>
        <row r="5660">
          <cell r="L5660" t="str">
            <v>Non-proportional</v>
          </cell>
          <cell r="S5660">
            <v>1801.06</v>
          </cell>
          <cell r="X5660" t="str">
            <v>Commissions - gross</v>
          </cell>
          <cell r="Y5660" t="str">
            <v>AUSTRALIA</v>
          </cell>
        </row>
        <row r="5661">
          <cell r="L5661" t="str">
            <v>Non-proportional</v>
          </cell>
          <cell r="S5661">
            <v>195.84</v>
          </cell>
          <cell r="X5661" t="str">
            <v>Commissions - gross</v>
          </cell>
          <cell r="Y5661" t="str">
            <v>ISRAEL</v>
          </cell>
        </row>
        <row r="5662">
          <cell r="L5662" t="str">
            <v>Non-proportional</v>
          </cell>
          <cell r="S5662">
            <v>386.89</v>
          </cell>
          <cell r="X5662" t="str">
            <v>Commissions - gross</v>
          </cell>
          <cell r="Y5662" t="str">
            <v>CHILE</v>
          </cell>
        </row>
        <row r="5663">
          <cell r="L5663" t="str">
            <v>Non-proportional</v>
          </cell>
          <cell r="S5663">
            <v>541.65</v>
          </cell>
          <cell r="X5663" t="str">
            <v>Commissions - gross</v>
          </cell>
          <cell r="Y5663" t="str">
            <v>CHILE</v>
          </cell>
        </row>
        <row r="5664">
          <cell r="L5664" t="str">
            <v>Non-proportional</v>
          </cell>
          <cell r="S5664">
            <v>7940.63</v>
          </cell>
          <cell r="X5664" t="str">
            <v>Commissions - gross</v>
          </cell>
          <cell r="Y5664" t="str">
            <v>BELGIUM</v>
          </cell>
        </row>
        <row r="5665">
          <cell r="L5665" t="str">
            <v>Non-proportional</v>
          </cell>
          <cell r="S5665">
            <v>6.94</v>
          </cell>
          <cell r="X5665" t="str">
            <v>Commissions - gross</v>
          </cell>
          <cell r="Y5665" t="str">
            <v>ISRAEL</v>
          </cell>
        </row>
        <row r="5666">
          <cell r="L5666" t="str">
            <v>Non-proportional</v>
          </cell>
          <cell r="S5666">
            <v>875</v>
          </cell>
          <cell r="X5666" t="str">
            <v>Commissions - gross</v>
          </cell>
          <cell r="Y5666" t="str">
            <v>EUROPE</v>
          </cell>
        </row>
        <row r="5667">
          <cell r="L5667" t="str">
            <v>Non-proportional</v>
          </cell>
          <cell r="S5667">
            <v>697.16</v>
          </cell>
          <cell r="X5667" t="str">
            <v>Commissions - gross</v>
          </cell>
          <cell r="Y5667" t="str">
            <v>MEXICO</v>
          </cell>
        </row>
        <row r="5668">
          <cell r="L5668" t="str">
            <v>Non-proportional</v>
          </cell>
          <cell r="S5668">
            <v>74.040000000000006</v>
          </cell>
          <cell r="X5668" t="str">
            <v>Commissions - gross</v>
          </cell>
          <cell r="Y5668" t="str">
            <v>FRANCE</v>
          </cell>
        </row>
        <row r="5669">
          <cell r="L5669" t="str">
            <v>Non-proportional</v>
          </cell>
          <cell r="S5669">
            <v>210.02</v>
          </cell>
          <cell r="X5669" t="str">
            <v>Commissions - gross</v>
          </cell>
          <cell r="Y5669" t="str">
            <v>DOMINICAN REPUBLIC</v>
          </cell>
        </row>
        <row r="5670">
          <cell r="L5670" t="str">
            <v>Non-proportional</v>
          </cell>
          <cell r="S5670">
            <v>689.43</v>
          </cell>
          <cell r="X5670" t="str">
            <v>Commissions - gross</v>
          </cell>
          <cell r="Y5670" t="str">
            <v>PERU</v>
          </cell>
        </row>
        <row r="5671">
          <cell r="L5671" t="str">
            <v>Non-proportional</v>
          </cell>
          <cell r="S5671">
            <v>315.95999999999998</v>
          </cell>
          <cell r="X5671" t="str">
            <v>Commissions - gross</v>
          </cell>
          <cell r="Y5671" t="str">
            <v>JAPAN</v>
          </cell>
        </row>
        <row r="5672">
          <cell r="L5672" t="str">
            <v>Non-proportional</v>
          </cell>
          <cell r="S5672">
            <v>133.03</v>
          </cell>
          <cell r="X5672" t="str">
            <v>Commissions - gross</v>
          </cell>
          <cell r="Y5672" t="str">
            <v>FRANCE</v>
          </cell>
        </row>
        <row r="5673">
          <cell r="L5673" t="str">
            <v>Non-proportional</v>
          </cell>
          <cell r="S5673">
            <v>273.52999999999997</v>
          </cell>
          <cell r="X5673" t="str">
            <v>Commissions - gross</v>
          </cell>
          <cell r="Y5673" t="str">
            <v>AUSTRALIA</v>
          </cell>
        </row>
        <row r="5674">
          <cell r="L5674" t="str">
            <v>Non-proportional</v>
          </cell>
          <cell r="S5674">
            <v>138.09</v>
          </cell>
          <cell r="X5674" t="str">
            <v>Commissions - gross</v>
          </cell>
          <cell r="Y5674" t="str">
            <v>ISRAEL</v>
          </cell>
        </row>
        <row r="5675">
          <cell r="L5675" t="str">
            <v>Non-proportional</v>
          </cell>
          <cell r="S5675">
            <v>251.4</v>
          </cell>
          <cell r="X5675" t="str">
            <v>Commissions - gross</v>
          </cell>
          <cell r="Y5675" t="str">
            <v>JAPAN</v>
          </cell>
        </row>
        <row r="5676">
          <cell r="L5676" t="str">
            <v>Non-proportional</v>
          </cell>
          <cell r="S5676">
            <v>1049.6400000000001</v>
          </cell>
          <cell r="X5676" t="str">
            <v>Commissions - gross</v>
          </cell>
          <cell r="Y5676" t="str">
            <v>MEXICO</v>
          </cell>
        </row>
        <row r="5677">
          <cell r="L5677" t="str">
            <v>Non-proportional</v>
          </cell>
          <cell r="S5677">
            <v>319.3</v>
          </cell>
          <cell r="X5677" t="str">
            <v>Commissions - gross</v>
          </cell>
          <cell r="Y5677" t="str">
            <v>DOMINICAN REPUBLIC</v>
          </cell>
        </row>
        <row r="5678">
          <cell r="L5678" t="str">
            <v>Non-proportional</v>
          </cell>
          <cell r="S5678">
            <v>1642.71</v>
          </cell>
          <cell r="X5678" t="str">
            <v>Commissions - gross</v>
          </cell>
          <cell r="Y5678" t="str">
            <v>AUSTRALIA</v>
          </cell>
        </row>
        <row r="5679">
          <cell r="L5679" t="str">
            <v>Non-proportional</v>
          </cell>
          <cell r="S5679">
            <v>668.33</v>
          </cell>
          <cell r="X5679" t="str">
            <v>Commissions - gross</v>
          </cell>
          <cell r="Y5679" t="str">
            <v>FRANCE</v>
          </cell>
        </row>
        <row r="5680">
          <cell r="L5680" t="str">
            <v>Non-proportional</v>
          </cell>
          <cell r="S5680">
            <v>591.84</v>
          </cell>
          <cell r="X5680" t="str">
            <v>Commissions - gross</v>
          </cell>
          <cell r="Y5680" t="str">
            <v>EUROPE</v>
          </cell>
        </row>
        <row r="5681">
          <cell r="L5681" t="str">
            <v>Non-proportional</v>
          </cell>
          <cell r="S5681">
            <v>380.39</v>
          </cell>
          <cell r="X5681" t="str">
            <v>Commissions - gross</v>
          </cell>
          <cell r="Y5681" t="str">
            <v>DOMINICAN REPUBLIC</v>
          </cell>
        </row>
        <row r="5682">
          <cell r="L5682" t="str">
            <v>Non-proportional</v>
          </cell>
          <cell r="S5682">
            <v>268.67</v>
          </cell>
          <cell r="X5682" t="str">
            <v>Commissions - gross</v>
          </cell>
          <cell r="Y5682" t="str">
            <v>MALTA</v>
          </cell>
        </row>
        <row r="5683">
          <cell r="L5683" t="str">
            <v>Non-proportional</v>
          </cell>
          <cell r="S5683">
            <v>6789.4</v>
          </cell>
          <cell r="X5683" t="str">
            <v>Commissions - gross</v>
          </cell>
          <cell r="Y5683" t="str">
            <v>UNITED KINGDOM</v>
          </cell>
        </row>
        <row r="5684">
          <cell r="L5684" t="str">
            <v>Non-proportional</v>
          </cell>
          <cell r="S5684">
            <v>889.85</v>
          </cell>
          <cell r="X5684" t="str">
            <v>Commissions - gross</v>
          </cell>
          <cell r="Y5684" t="str">
            <v>CHILE</v>
          </cell>
        </row>
        <row r="5685">
          <cell r="L5685" t="str">
            <v>Non-proportional</v>
          </cell>
          <cell r="S5685">
            <v>755.21</v>
          </cell>
          <cell r="X5685" t="str">
            <v>Commissions - gross</v>
          </cell>
          <cell r="Y5685" t="str">
            <v>ROMANIA</v>
          </cell>
        </row>
        <row r="5686">
          <cell r="L5686" t="str">
            <v>Non-proportional</v>
          </cell>
          <cell r="S5686">
            <v>3.56</v>
          </cell>
          <cell r="X5686" t="str">
            <v>Commissions - gross</v>
          </cell>
          <cell r="Y5686" t="str">
            <v>ISRAEL</v>
          </cell>
        </row>
        <row r="5687">
          <cell r="L5687" t="str">
            <v>Non-proportional</v>
          </cell>
          <cell r="S5687">
            <v>1049.99</v>
          </cell>
          <cell r="X5687" t="str">
            <v>Commissions - gross</v>
          </cell>
          <cell r="Y5687" t="str">
            <v>ITALY</v>
          </cell>
        </row>
        <row r="5688">
          <cell r="L5688" t="str">
            <v>Non-proportional</v>
          </cell>
          <cell r="S5688">
            <v>261</v>
          </cell>
          <cell r="X5688" t="str">
            <v>Commissions - gross</v>
          </cell>
          <cell r="Y5688" t="str">
            <v>GREECE</v>
          </cell>
        </row>
        <row r="5689">
          <cell r="L5689" t="str">
            <v>Non-proportional</v>
          </cell>
          <cell r="S5689">
            <v>174.99</v>
          </cell>
          <cell r="X5689" t="str">
            <v>Commissions - gross</v>
          </cell>
          <cell r="Y5689" t="str">
            <v>EUROPE</v>
          </cell>
        </row>
        <row r="5690">
          <cell r="L5690" t="str">
            <v>Non-proportional</v>
          </cell>
          <cell r="S5690">
            <v>4843.71</v>
          </cell>
          <cell r="X5690" t="str">
            <v>Commissions - gross</v>
          </cell>
          <cell r="Y5690" t="str">
            <v>UNITED KINGDOM</v>
          </cell>
        </row>
        <row r="5691">
          <cell r="L5691" t="str">
            <v>Non-proportional</v>
          </cell>
          <cell r="S5691">
            <v>4686.47</v>
          </cell>
          <cell r="X5691" t="str">
            <v>Commissions - gross</v>
          </cell>
          <cell r="Y5691" t="str">
            <v>FRANCE</v>
          </cell>
        </row>
        <row r="5692">
          <cell r="L5692" t="str">
            <v>Non-proportional</v>
          </cell>
          <cell r="S5692">
            <v>441.99</v>
          </cell>
          <cell r="X5692" t="str">
            <v>Commissions - gross</v>
          </cell>
          <cell r="Y5692" t="str">
            <v>UNITED KINGDOM</v>
          </cell>
        </row>
        <row r="5693">
          <cell r="L5693" t="str">
            <v>Proportional</v>
          </cell>
          <cell r="S5693">
            <v>145.86000000000001</v>
          </cell>
          <cell r="X5693" t="str">
            <v>Commissions - gross</v>
          </cell>
          <cell r="Y5693" t="str">
            <v>ITALY</v>
          </cell>
        </row>
        <row r="5694">
          <cell r="L5694" t="str">
            <v>Non-proportional</v>
          </cell>
          <cell r="S5694">
            <v>1200.1300000000001</v>
          </cell>
          <cell r="X5694" t="str">
            <v>Commissions - gross</v>
          </cell>
          <cell r="Y5694" t="str">
            <v>ITALY</v>
          </cell>
        </row>
        <row r="5695">
          <cell r="L5695" t="str">
            <v>Non-proportional</v>
          </cell>
          <cell r="S5695">
            <v>14.63</v>
          </cell>
          <cell r="X5695" t="str">
            <v>Commissions - gross</v>
          </cell>
          <cell r="Y5695" t="str">
            <v>FRANCE</v>
          </cell>
        </row>
        <row r="5696">
          <cell r="L5696" t="str">
            <v>Non-proportional</v>
          </cell>
          <cell r="S5696">
            <v>877.51</v>
          </cell>
          <cell r="X5696" t="str">
            <v>Commissions - gross</v>
          </cell>
          <cell r="Y5696" t="str">
            <v>FRANCE</v>
          </cell>
        </row>
        <row r="5697">
          <cell r="L5697" t="str">
            <v>Non-proportional</v>
          </cell>
          <cell r="S5697">
            <v>423.33</v>
          </cell>
          <cell r="X5697" t="str">
            <v>Commissions - gross</v>
          </cell>
          <cell r="Y5697" t="str">
            <v>FRANCE</v>
          </cell>
        </row>
        <row r="5698">
          <cell r="L5698" t="str">
            <v>Non-proportional</v>
          </cell>
          <cell r="S5698">
            <v>138.69999999999999</v>
          </cell>
          <cell r="X5698" t="str">
            <v>Commissions - gross</v>
          </cell>
          <cell r="Y5698" t="str">
            <v>ECUADOR</v>
          </cell>
        </row>
        <row r="5699">
          <cell r="L5699" t="str">
            <v>Non-proportional</v>
          </cell>
          <cell r="S5699">
            <v>4.46</v>
          </cell>
          <cell r="X5699" t="str">
            <v>Commissions - gross</v>
          </cell>
          <cell r="Y5699" t="str">
            <v>ISRAEL</v>
          </cell>
        </row>
        <row r="5700">
          <cell r="L5700" t="str">
            <v>Non-proportional</v>
          </cell>
          <cell r="S5700">
            <v>379.65</v>
          </cell>
          <cell r="X5700" t="str">
            <v>Commissions - gross</v>
          </cell>
          <cell r="Y5700" t="str">
            <v>ITALY</v>
          </cell>
        </row>
        <row r="5701">
          <cell r="L5701" t="str">
            <v>Non-proportional</v>
          </cell>
          <cell r="S5701">
            <v>193.45</v>
          </cell>
          <cell r="X5701" t="str">
            <v>Commissions - gross</v>
          </cell>
          <cell r="Y5701" t="str">
            <v>CHILE</v>
          </cell>
        </row>
        <row r="5702">
          <cell r="L5702" t="str">
            <v>Non-proportional</v>
          </cell>
          <cell r="S5702">
            <v>2036.63</v>
          </cell>
          <cell r="X5702" t="str">
            <v>Commissions - gross</v>
          </cell>
          <cell r="Y5702" t="str">
            <v>CHINA</v>
          </cell>
        </row>
        <row r="5703">
          <cell r="L5703" t="str">
            <v>Non-proportional</v>
          </cell>
          <cell r="S5703">
            <v>338.18</v>
          </cell>
          <cell r="X5703" t="str">
            <v>Commissions - gross</v>
          </cell>
          <cell r="Y5703" t="str">
            <v>ITALY</v>
          </cell>
        </row>
        <row r="5704">
          <cell r="L5704" t="str">
            <v>Non-proportional</v>
          </cell>
          <cell r="S5704">
            <v>54.38</v>
          </cell>
          <cell r="X5704" t="str">
            <v>Commissions - gross</v>
          </cell>
          <cell r="Y5704" t="str">
            <v>GREECE</v>
          </cell>
        </row>
        <row r="5705">
          <cell r="L5705" t="str">
            <v>Non-proportional</v>
          </cell>
          <cell r="S5705">
            <v>125.25</v>
          </cell>
          <cell r="X5705" t="str">
            <v>Commissions - gross</v>
          </cell>
          <cell r="Y5705" t="str">
            <v>JAPAN</v>
          </cell>
        </row>
        <row r="5706">
          <cell r="L5706" t="str">
            <v>Non-proportional</v>
          </cell>
          <cell r="S5706">
            <v>117.04</v>
          </cell>
          <cell r="X5706" t="str">
            <v>Commissions - gross</v>
          </cell>
          <cell r="Y5706" t="str">
            <v>PERU</v>
          </cell>
        </row>
        <row r="5707">
          <cell r="L5707" t="str">
            <v>Non-proportional</v>
          </cell>
          <cell r="S5707">
            <v>1433.12</v>
          </cell>
          <cell r="X5707" t="str">
            <v>Commissions - gross</v>
          </cell>
          <cell r="Y5707" t="str">
            <v>FRANCE</v>
          </cell>
        </row>
        <row r="5708">
          <cell r="L5708" t="str">
            <v>Non-proportional</v>
          </cell>
          <cell r="S5708">
            <v>524.15</v>
          </cell>
          <cell r="X5708" t="str">
            <v>Commissions - gross</v>
          </cell>
          <cell r="Y5708" t="str">
            <v>PERU</v>
          </cell>
        </row>
        <row r="5709">
          <cell r="L5709" t="str">
            <v>Non-proportional</v>
          </cell>
          <cell r="S5709">
            <v>-1979.88</v>
          </cell>
          <cell r="X5709" t="str">
            <v>Commissions - gross</v>
          </cell>
          <cell r="Y5709" t="str">
            <v>COSTA RICA</v>
          </cell>
        </row>
        <row r="5710">
          <cell r="L5710" t="str">
            <v>Non-proportional</v>
          </cell>
          <cell r="S5710">
            <v>3034.6</v>
          </cell>
          <cell r="X5710" t="str">
            <v>Commissions - gross</v>
          </cell>
          <cell r="Y5710" t="str">
            <v>FRANCE</v>
          </cell>
        </row>
        <row r="5711">
          <cell r="L5711" t="str">
            <v>Non-proportional</v>
          </cell>
          <cell r="S5711">
            <v>366.43</v>
          </cell>
          <cell r="X5711" t="str">
            <v>Commissions - gross</v>
          </cell>
          <cell r="Y5711" t="str">
            <v>BRAZIL</v>
          </cell>
        </row>
        <row r="5712">
          <cell r="L5712" t="str">
            <v>Non-proportional</v>
          </cell>
          <cell r="S5712">
            <v>2.56</v>
          </cell>
          <cell r="X5712" t="str">
            <v>Commissions - gross</v>
          </cell>
          <cell r="Y5712" t="str">
            <v>INDIA</v>
          </cell>
        </row>
        <row r="5713">
          <cell r="L5713" t="str">
            <v>Non-proportional</v>
          </cell>
          <cell r="S5713">
            <v>2739.15</v>
          </cell>
          <cell r="X5713" t="str">
            <v>Commissions - gross</v>
          </cell>
          <cell r="Y5713" t="str">
            <v>UNITED KINGDOM</v>
          </cell>
        </row>
        <row r="5714">
          <cell r="L5714" t="str">
            <v>Non-proportional</v>
          </cell>
          <cell r="S5714">
            <v>1.65</v>
          </cell>
          <cell r="X5714" t="str">
            <v>Commissions - gross</v>
          </cell>
          <cell r="Y5714" t="str">
            <v>ISRAEL</v>
          </cell>
        </row>
        <row r="5715">
          <cell r="L5715" t="str">
            <v>Non-proportional</v>
          </cell>
          <cell r="S5715">
            <v>0</v>
          </cell>
          <cell r="X5715" t="str">
            <v>Commissions - gross</v>
          </cell>
          <cell r="Y5715" t="str">
            <v>COLOMBIA</v>
          </cell>
        </row>
        <row r="5716">
          <cell r="L5716" t="str">
            <v>Non-proportional</v>
          </cell>
          <cell r="S5716">
            <v>312.58999999999997</v>
          </cell>
          <cell r="X5716" t="str">
            <v>Commissions - gross</v>
          </cell>
          <cell r="Y5716" t="str">
            <v>UNITED KINGDOM</v>
          </cell>
        </row>
        <row r="5717">
          <cell r="L5717" t="str">
            <v>Non-proportional</v>
          </cell>
          <cell r="S5717">
            <v>280.52</v>
          </cell>
          <cell r="X5717" t="str">
            <v>Commissions - gross</v>
          </cell>
          <cell r="Y5717" t="str">
            <v>REPUBLIC OF IRELAND</v>
          </cell>
        </row>
        <row r="5718">
          <cell r="L5718" t="str">
            <v>Non-proportional</v>
          </cell>
          <cell r="S5718">
            <v>46.47</v>
          </cell>
          <cell r="X5718" t="str">
            <v>Commissions - gross</v>
          </cell>
          <cell r="Y5718" t="str">
            <v>JAPAN</v>
          </cell>
        </row>
        <row r="5719">
          <cell r="L5719" t="str">
            <v>Non-proportional</v>
          </cell>
          <cell r="S5719">
            <v>86.01</v>
          </cell>
          <cell r="X5719" t="str">
            <v>Commissions - gross</v>
          </cell>
          <cell r="Y5719" t="str">
            <v>JAPAN</v>
          </cell>
        </row>
        <row r="5720">
          <cell r="L5720" t="str">
            <v>Non-proportional</v>
          </cell>
          <cell r="S5720">
            <v>853.13</v>
          </cell>
          <cell r="X5720" t="str">
            <v>Commissions - gross</v>
          </cell>
          <cell r="Y5720" t="str">
            <v>TURKEY</v>
          </cell>
        </row>
        <row r="5721">
          <cell r="L5721" t="str">
            <v>Non-proportional</v>
          </cell>
          <cell r="S5721">
            <v>228.57</v>
          </cell>
          <cell r="X5721" t="str">
            <v>Commissions - gross</v>
          </cell>
          <cell r="Y5721" t="str">
            <v>JAPAN</v>
          </cell>
        </row>
        <row r="5722">
          <cell r="L5722" t="str">
            <v>Non-proportional</v>
          </cell>
          <cell r="S5722">
            <v>127.35</v>
          </cell>
          <cell r="X5722" t="str">
            <v>Commissions - gross</v>
          </cell>
          <cell r="Y5722" t="str">
            <v>NEW ZEALAND</v>
          </cell>
        </row>
        <row r="5723">
          <cell r="L5723" t="str">
            <v>Non-proportional</v>
          </cell>
          <cell r="S5723">
            <v>309.51</v>
          </cell>
          <cell r="X5723" t="str">
            <v>Commissions - gross</v>
          </cell>
          <cell r="Y5723" t="str">
            <v>CHILE</v>
          </cell>
        </row>
        <row r="5724">
          <cell r="L5724" t="str">
            <v>Non-proportional</v>
          </cell>
          <cell r="S5724">
            <v>527.45000000000005</v>
          </cell>
          <cell r="X5724" t="str">
            <v>Commissions - gross</v>
          </cell>
          <cell r="Y5724" t="str">
            <v>CYPRUS</v>
          </cell>
        </row>
        <row r="5725">
          <cell r="L5725" t="str">
            <v>Proportional</v>
          </cell>
          <cell r="S5725">
            <v>952.25</v>
          </cell>
          <cell r="X5725" t="str">
            <v>Commissions - gross</v>
          </cell>
          <cell r="Y5725" t="str">
            <v>JAPAN</v>
          </cell>
        </row>
        <row r="5726">
          <cell r="L5726" t="str">
            <v>Non-proportional</v>
          </cell>
          <cell r="S5726">
            <v>220.44</v>
          </cell>
          <cell r="X5726" t="str">
            <v>Commissions - gross</v>
          </cell>
          <cell r="Y5726" t="str">
            <v>AUSTRALIA</v>
          </cell>
        </row>
        <row r="5727">
          <cell r="L5727" t="str">
            <v>Non-proportional</v>
          </cell>
          <cell r="S5727">
            <v>-8.1199999999999992</v>
          </cell>
          <cell r="X5727" t="str">
            <v>Commissions - gross</v>
          </cell>
          <cell r="Y5727" t="str">
            <v>COLOMBIA</v>
          </cell>
        </row>
        <row r="5728">
          <cell r="L5728" t="str">
            <v>Non-proportional</v>
          </cell>
          <cell r="S5728">
            <v>-2.38</v>
          </cell>
          <cell r="X5728" t="str">
            <v>Commissions - gross</v>
          </cell>
          <cell r="Y5728" t="str">
            <v>COLOMBIA</v>
          </cell>
        </row>
        <row r="5729">
          <cell r="L5729" t="str">
            <v>Non-proportional</v>
          </cell>
          <cell r="S5729">
            <v>1053.03</v>
          </cell>
          <cell r="X5729" t="str">
            <v>Commissions - gross</v>
          </cell>
          <cell r="Y5729" t="str">
            <v>CHINA</v>
          </cell>
        </row>
        <row r="5730">
          <cell r="L5730" t="str">
            <v>Non-proportional</v>
          </cell>
          <cell r="S5730">
            <v>218.75</v>
          </cell>
          <cell r="X5730" t="str">
            <v>Commissions - gross</v>
          </cell>
          <cell r="Y5730" t="str">
            <v>GERMANY</v>
          </cell>
        </row>
        <row r="5731">
          <cell r="L5731" t="str">
            <v>Non-proportional</v>
          </cell>
          <cell r="S5731">
            <v>7035.87</v>
          </cell>
          <cell r="X5731" t="str">
            <v>Commissions - gross</v>
          </cell>
          <cell r="Y5731" t="str">
            <v>UNITED KINGDOM</v>
          </cell>
        </row>
        <row r="5732">
          <cell r="L5732" t="str">
            <v>Proportional</v>
          </cell>
          <cell r="S5732">
            <v>141.47999999999999</v>
          </cell>
          <cell r="X5732" t="str">
            <v>Commissions - gross</v>
          </cell>
          <cell r="Y5732" t="str">
            <v>UNITED STATES</v>
          </cell>
        </row>
        <row r="5733">
          <cell r="L5733" t="str">
            <v>Non-proportional</v>
          </cell>
          <cell r="S5733">
            <v>595.17999999999995</v>
          </cell>
          <cell r="X5733" t="str">
            <v>Commissions - gross</v>
          </cell>
          <cell r="Y5733" t="str">
            <v>ECUADOR</v>
          </cell>
        </row>
        <row r="5734">
          <cell r="L5734" t="str">
            <v>Non-proportional</v>
          </cell>
          <cell r="S5734">
            <v>5096.91</v>
          </cell>
          <cell r="X5734" t="str">
            <v>Commissions - gross</v>
          </cell>
          <cell r="Y5734" t="str">
            <v>UNITED KINGDOM</v>
          </cell>
        </row>
        <row r="5735">
          <cell r="L5735" t="str">
            <v>Non-proportional</v>
          </cell>
          <cell r="S5735">
            <v>357.06</v>
          </cell>
          <cell r="X5735" t="str">
            <v>Commissions - gross</v>
          </cell>
          <cell r="Y5735" t="str">
            <v>GREECE</v>
          </cell>
        </row>
        <row r="5736">
          <cell r="L5736" t="str">
            <v>Non-proportional</v>
          </cell>
          <cell r="S5736">
            <v>4079.99</v>
          </cell>
          <cell r="X5736" t="str">
            <v>Commissions - gross</v>
          </cell>
          <cell r="Y5736" t="str">
            <v>TURKEY</v>
          </cell>
        </row>
        <row r="5737">
          <cell r="L5737" t="str">
            <v>Non-proportional</v>
          </cell>
          <cell r="S5737">
            <v>-8.4600000000000009</v>
          </cell>
          <cell r="X5737" t="str">
            <v>Commissions - gross</v>
          </cell>
          <cell r="Y5737" t="str">
            <v>NEW ZEALAND</v>
          </cell>
        </row>
        <row r="5738">
          <cell r="L5738" t="str">
            <v>Non-proportional</v>
          </cell>
          <cell r="S5738">
            <v>-14.03</v>
          </cell>
          <cell r="X5738" t="str">
            <v>Commissions - gross</v>
          </cell>
          <cell r="Y5738" t="str">
            <v>NEW ZEALAND</v>
          </cell>
        </row>
        <row r="5739">
          <cell r="L5739" t="str">
            <v>Non-proportional</v>
          </cell>
          <cell r="S5739">
            <v>334.84</v>
          </cell>
          <cell r="X5739" t="str">
            <v>Commissions - gross</v>
          </cell>
          <cell r="Y5739" t="str">
            <v>ISRAEL</v>
          </cell>
        </row>
        <row r="5740">
          <cell r="L5740" t="str">
            <v>Non-proportional</v>
          </cell>
          <cell r="S5740">
            <v>307.47000000000003</v>
          </cell>
          <cell r="X5740" t="str">
            <v>Commissions - gross</v>
          </cell>
          <cell r="Y5740" t="str">
            <v>JAPAN</v>
          </cell>
        </row>
        <row r="5741">
          <cell r="L5741" t="str">
            <v>Non-proportional</v>
          </cell>
          <cell r="S5741">
            <v>0</v>
          </cell>
          <cell r="X5741" t="str">
            <v>Commissions - gross</v>
          </cell>
          <cell r="Y5741" t="str">
            <v>DOMINICAN REPUBLIC</v>
          </cell>
        </row>
        <row r="5742">
          <cell r="L5742" t="str">
            <v>Non-proportional</v>
          </cell>
          <cell r="S5742">
            <v>608.63</v>
          </cell>
          <cell r="X5742" t="str">
            <v>Commissions - gross</v>
          </cell>
          <cell r="Y5742" t="str">
            <v>ITALY</v>
          </cell>
        </row>
        <row r="5743">
          <cell r="L5743" t="str">
            <v>Non-proportional</v>
          </cell>
          <cell r="S5743">
            <v>4575.8500000000004</v>
          </cell>
          <cell r="X5743" t="str">
            <v>Commissions - gross</v>
          </cell>
          <cell r="Y5743" t="str">
            <v>TURKEY</v>
          </cell>
        </row>
        <row r="5744">
          <cell r="L5744" t="str">
            <v>Non-proportional</v>
          </cell>
          <cell r="S5744">
            <v>791.98</v>
          </cell>
          <cell r="X5744" t="str">
            <v>Commissions - gross</v>
          </cell>
          <cell r="Y5744" t="str">
            <v>PUERTO RICO</v>
          </cell>
        </row>
        <row r="5745">
          <cell r="L5745" t="str">
            <v>Non-proportional</v>
          </cell>
          <cell r="S5745">
            <v>351.69</v>
          </cell>
          <cell r="X5745" t="str">
            <v>Commissions - gross</v>
          </cell>
          <cell r="Y5745" t="str">
            <v>UNITED KINGDOM</v>
          </cell>
        </row>
        <row r="5746">
          <cell r="L5746" t="str">
            <v>Non-proportional</v>
          </cell>
          <cell r="S5746">
            <v>943.35</v>
          </cell>
          <cell r="X5746" t="str">
            <v>Commissions - gross</v>
          </cell>
          <cell r="Y5746" t="str">
            <v>ISRAEL</v>
          </cell>
        </row>
        <row r="5747">
          <cell r="L5747" t="str">
            <v>Non-proportional</v>
          </cell>
          <cell r="S5747">
            <v>156.24</v>
          </cell>
          <cell r="X5747" t="str">
            <v>Commissions - gross</v>
          </cell>
          <cell r="Y5747" t="str">
            <v>FRANCE</v>
          </cell>
        </row>
        <row r="5748">
          <cell r="L5748" t="str">
            <v>Non-proportional</v>
          </cell>
          <cell r="S5748">
            <v>1545.51</v>
          </cell>
          <cell r="X5748" t="str">
            <v>Commissions - gross</v>
          </cell>
          <cell r="Y5748" t="str">
            <v>ISRAEL</v>
          </cell>
        </row>
        <row r="5749">
          <cell r="L5749" t="str">
            <v>Non-proportional</v>
          </cell>
          <cell r="S5749">
            <v>-1055.93</v>
          </cell>
          <cell r="X5749" t="str">
            <v>Commissions - gross</v>
          </cell>
          <cell r="Y5749" t="str">
            <v>COSTA RICA</v>
          </cell>
        </row>
        <row r="5750">
          <cell r="L5750" t="str">
            <v>Non-proportional</v>
          </cell>
          <cell r="S5750">
            <v>104.48</v>
          </cell>
          <cell r="X5750" t="str">
            <v>Commissions - gross</v>
          </cell>
          <cell r="Y5750" t="str">
            <v>CYPRUS</v>
          </cell>
        </row>
        <row r="5751">
          <cell r="L5751" t="str">
            <v>Proportional</v>
          </cell>
          <cell r="S5751">
            <v>31.83</v>
          </cell>
          <cell r="X5751" t="str">
            <v>Commissions - gross</v>
          </cell>
          <cell r="Y5751" t="str">
            <v>UNITED STATES</v>
          </cell>
        </row>
        <row r="5752">
          <cell r="L5752" t="str">
            <v>Proportional</v>
          </cell>
          <cell r="S5752">
            <v>2533</v>
          </cell>
          <cell r="X5752" t="str">
            <v>Commissions - gross</v>
          </cell>
          <cell r="Y5752" t="str">
            <v>AUSTRALIA</v>
          </cell>
        </row>
        <row r="5753">
          <cell r="L5753" t="str">
            <v>Non-proportional</v>
          </cell>
          <cell r="S5753">
            <v>215.98</v>
          </cell>
          <cell r="X5753" t="str">
            <v>Commissions - gross</v>
          </cell>
          <cell r="Y5753" t="str">
            <v>UNITED KINGDOM</v>
          </cell>
        </row>
        <row r="5754">
          <cell r="L5754" t="str">
            <v>Non-proportional</v>
          </cell>
          <cell r="S5754">
            <v>4459.82</v>
          </cell>
          <cell r="X5754" t="str">
            <v>Commissions - gross</v>
          </cell>
          <cell r="Y5754" t="str">
            <v>UNITED KINGDOM</v>
          </cell>
        </row>
        <row r="5755">
          <cell r="L5755" t="str">
            <v>Non-proportional</v>
          </cell>
          <cell r="S5755">
            <v>303.77</v>
          </cell>
          <cell r="X5755" t="str">
            <v>Commissions - gross</v>
          </cell>
          <cell r="Y5755" t="str">
            <v>COLOMBIA</v>
          </cell>
        </row>
        <row r="5756">
          <cell r="L5756" t="str">
            <v>Proportional</v>
          </cell>
          <cell r="S5756">
            <v>1989.15</v>
          </cell>
          <cell r="X5756" t="str">
            <v>Commissions - gross</v>
          </cell>
          <cell r="Y5756" t="str">
            <v>UNITED STATES</v>
          </cell>
        </row>
        <row r="5757">
          <cell r="L5757" t="str">
            <v>Non-proportional</v>
          </cell>
          <cell r="S5757">
            <v>509.98</v>
          </cell>
          <cell r="X5757" t="str">
            <v>Commissions - gross</v>
          </cell>
          <cell r="Y5757" t="str">
            <v>ISRAEL</v>
          </cell>
        </row>
        <row r="5758">
          <cell r="L5758" t="str">
            <v>Non-proportional</v>
          </cell>
          <cell r="S5758">
            <v>8045.83</v>
          </cell>
          <cell r="X5758" t="str">
            <v>Commissions - gross</v>
          </cell>
          <cell r="Y5758" t="str">
            <v>UNITED KINGDOM</v>
          </cell>
        </row>
        <row r="5759">
          <cell r="L5759" t="str">
            <v>Non-proportional</v>
          </cell>
          <cell r="S5759">
            <v>1661.26</v>
          </cell>
          <cell r="X5759" t="str">
            <v>Commissions - gross</v>
          </cell>
          <cell r="Y5759" t="str">
            <v>SOUTH KOREA</v>
          </cell>
        </row>
        <row r="5760">
          <cell r="L5760" t="str">
            <v>Non-proportional</v>
          </cell>
          <cell r="S5760">
            <v>174.97</v>
          </cell>
          <cell r="X5760" t="str">
            <v>Commissions - gross</v>
          </cell>
          <cell r="Y5760" t="str">
            <v>NETHERLANDS</v>
          </cell>
        </row>
        <row r="5761">
          <cell r="L5761" t="str">
            <v>Non-proportional</v>
          </cell>
          <cell r="S5761">
            <v>551.27</v>
          </cell>
          <cell r="X5761" t="str">
            <v>Commissions - gross</v>
          </cell>
          <cell r="Y5761" t="str">
            <v>NETHERLANDS</v>
          </cell>
        </row>
        <row r="5762">
          <cell r="L5762" t="str">
            <v>Non-proportional</v>
          </cell>
          <cell r="S5762">
            <v>824.93</v>
          </cell>
          <cell r="X5762" t="str">
            <v>Commissions - gross</v>
          </cell>
          <cell r="Y5762" t="str">
            <v>UNITED KINGDOM</v>
          </cell>
        </row>
        <row r="5763">
          <cell r="L5763" t="str">
            <v>Non-proportional</v>
          </cell>
          <cell r="S5763">
            <v>297.95999999999998</v>
          </cell>
          <cell r="X5763" t="str">
            <v>Commissions - gross</v>
          </cell>
          <cell r="Y5763" t="str">
            <v>UNITED KINGDOM</v>
          </cell>
        </row>
        <row r="5764">
          <cell r="L5764" t="str">
            <v>Non-proportional</v>
          </cell>
          <cell r="S5764">
            <v>-3.25</v>
          </cell>
          <cell r="X5764" t="str">
            <v>Commissions - gross</v>
          </cell>
          <cell r="Y5764" t="str">
            <v>NEW ZEALAND</v>
          </cell>
        </row>
        <row r="5765">
          <cell r="L5765" t="str">
            <v>Non-proportional</v>
          </cell>
          <cell r="S5765">
            <v>373.36</v>
          </cell>
          <cell r="X5765" t="str">
            <v>Commissions - gross</v>
          </cell>
          <cell r="Y5765" t="str">
            <v>ISRAEL</v>
          </cell>
        </row>
        <row r="5766">
          <cell r="L5766" t="str">
            <v>Non-proportional</v>
          </cell>
          <cell r="S5766">
            <v>549.86</v>
          </cell>
          <cell r="X5766" t="str">
            <v>Commissions - gross</v>
          </cell>
          <cell r="Y5766" t="str">
            <v>COLOMBIA</v>
          </cell>
        </row>
        <row r="5767">
          <cell r="L5767" t="str">
            <v>Non-proportional</v>
          </cell>
          <cell r="S5767">
            <v>1772.88</v>
          </cell>
          <cell r="X5767" t="str">
            <v>Commissions - gross</v>
          </cell>
          <cell r="Y5767" t="str">
            <v>AUSTRALIA</v>
          </cell>
        </row>
        <row r="5768">
          <cell r="L5768" t="str">
            <v>Non-proportional</v>
          </cell>
          <cell r="S5768">
            <v>605.5</v>
          </cell>
          <cell r="X5768" t="str">
            <v>Commissions - gross</v>
          </cell>
          <cell r="Y5768" t="str">
            <v>FRANCE</v>
          </cell>
        </row>
        <row r="5769">
          <cell r="L5769" t="str">
            <v>Proportional</v>
          </cell>
          <cell r="S5769">
            <v>2034.4</v>
          </cell>
          <cell r="X5769" t="str">
            <v>Commissions - gross</v>
          </cell>
          <cell r="Y5769" t="str">
            <v>MEXICO</v>
          </cell>
        </row>
        <row r="5770">
          <cell r="L5770" t="str">
            <v>Non-proportional</v>
          </cell>
          <cell r="S5770">
            <v>137.25</v>
          </cell>
          <cell r="X5770" t="str">
            <v>Commissions - gross</v>
          </cell>
          <cell r="Y5770" t="str">
            <v>UNITED KINGDOM</v>
          </cell>
        </row>
        <row r="5771">
          <cell r="L5771" t="str">
            <v>Non-proportional</v>
          </cell>
          <cell r="S5771">
            <v>10.02</v>
          </cell>
          <cell r="X5771" t="str">
            <v>Commissions - gross</v>
          </cell>
          <cell r="Y5771" t="str">
            <v>INDIA</v>
          </cell>
        </row>
        <row r="5772">
          <cell r="L5772" t="str">
            <v>Non-proportional</v>
          </cell>
          <cell r="S5772">
            <v>5.44</v>
          </cell>
          <cell r="X5772" t="str">
            <v>Commissions - gross</v>
          </cell>
          <cell r="Y5772" t="str">
            <v>JAPAN</v>
          </cell>
        </row>
        <row r="5773">
          <cell r="L5773" t="str">
            <v>Non-proportional</v>
          </cell>
          <cell r="S5773">
            <v>954.84</v>
          </cell>
          <cell r="X5773" t="str">
            <v>Commissions - gross</v>
          </cell>
          <cell r="Y5773" t="str">
            <v>JAPAN</v>
          </cell>
        </row>
        <row r="5774">
          <cell r="L5774" t="str">
            <v>Non-proportional</v>
          </cell>
          <cell r="S5774">
            <v>1448.39</v>
          </cell>
          <cell r="X5774" t="str">
            <v>Commissions - gross</v>
          </cell>
          <cell r="Y5774" t="str">
            <v>FRANCE</v>
          </cell>
        </row>
        <row r="5775">
          <cell r="L5775" t="str">
            <v>Non-proportional</v>
          </cell>
          <cell r="S5775">
            <v>0</v>
          </cell>
          <cell r="X5775" t="str">
            <v>Commissions - gross</v>
          </cell>
          <cell r="Y5775" t="str">
            <v>COLOMBIA</v>
          </cell>
        </row>
        <row r="5776">
          <cell r="L5776" t="str">
            <v>Non-proportional</v>
          </cell>
          <cell r="S5776">
            <v>3131.61</v>
          </cell>
          <cell r="X5776" t="str">
            <v>Commissions - gross</v>
          </cell>
          <cell r="Y5776" t="str">
            <v>FRANCE</v>
          </cell>
        </row>
        <row r="5777">
          <cell r="L5777" t="str">
            <v>Non-proportional</v>
          </cell>
          <cell r="S5777">
            <v>2019.75</v>
          </cell>
          <cell r="X5777" t="str">
            <v>Commissions - gross</v>
          </cell>
          <cell r="Y5777" t="str">
            <v>ITALY</v>
          </cell>
        </row>
        <row r="5778">
          <cell r="L5778" t="str">
            <v>Non-proportional</v>
          </cell>
          <cell r="S5778">
            <v>1588.55</v>
          </cell>
          <cell r="X5778" t="str">
            <v>Commissions - gross</v>
          </cell>
          <cell r="Y5778" t="str">
            <v>EUROPE</v>
          </cell>
        </row>
        <row r="5779">
          <cell r="L5779" t="str">
            <v>Non-proportional</v>
          </cell>
          <cell r="S5779">
            <v>309.51</v>
          </cell>
          <cell r="X5779" t="str">
            <v>Commissions - gross</v>
          </cell>
          <cell r="Y5779" t="str">
            <v>CHILE</v>
          </cell>
        </row>
        <row r="5780">
          <cell r="L5780" t="str">
            <v>Non-proportional</v>
          </cell>
          <cell r="S5780">
            <v>531.28</v>
          </cell>
          <cell r="X5780" t="str">
            <v>Commissions - gross</v>
          </cell>
          <cell r="Y5780" t="str">
            <v>NETHERLANDS</v>
          </cell>
        </row>
        <row r="5781">
          <cell r="L5781" t="str">
            <v>Non-proportional</v>
          </cell>
          <cell r="S5781">
            <v>324.93</v>
          </cell>
          <cell r="X5781" t="str">
            <v>Commissions - gross</v>
          </cell>
          <cell r="Y5781" t="str">
            <v>JAPAN</v>
          </cell>
        </row>
        <row r="5782">
          <cell r="L5782" t="str">
            <v>Non-proportional</v>
          </cell>
          <cell r="S5782">
            <v>412.1</v>
          </cell>
          <cell r="X5782" t="str">
            <v>Commissions - gross</v>
          </cell>
          <cell r="Y5782" t="str">
            <v>UNITED KINGDOM</v>
          </cell>
        </row>
        <row r="5783">
          <cell r="L5783" t="str">
            <v>Non-proportional</v>
          </cell>
          <cell r="S5783">
            <v>715.99</v>
          </cell>
          <cell r="X5783" t="str">
            <v>Commissions - gross</v>
          </cell>
          <cell r="Y5783" t="str">
            <v>UNITED KINGDOM</v>
          </cell>
        </row>
        <row r="5784">
          <cell r="L5784" t="str">
            <v>Non-proportional</v>
          </cell>
          <cell r="S5784">
            <v>122235.46</v>
          </cell>
          <cell r="X5784" t="str">
            <v>Commissions - gross</v>
          </cell>
          <cell r="Y5784" t="str">
            <v>UNITED KINGDOM</v>
          </cell>
        </row>
        <row r="5785">
          <cell r="L5785" t="str">
            <v>Non-proportional</v>
          </cell>
          <cell r="S5785">
            <v>2.0099999999999998</v>
          </cell>
          <cell r="X5785" t="str">
            <v>Commissions - gross</v>
          </cell>
          <cell r="Y5785" t="str">
            <v>ISRAEL</v>
          </cell>
        </row>
        <row r="5786">
          <cell r="L5786" t="str">
            <v>Non-proportional</v>
          </cell>
          <cell r="S5786">
            <v>-721875</v>
          </cell>
          <cell r="X5786" t="str">
            <v>Commissions - gross</v>
          </cell>
          <cell r="Y5786" t="str">
            <v>FRANCE</v>
          </cell>
        </row>
        <row r="5787">
          <cell r="L5787" t="str">
            <v>Non-proportional</v>
          </cell>
          <cell r="S5787">
            <v>126.02</v>
          </cell>
          <cell r="X5787" t="str">
            <v>Commissions - gross</v>
          </cell>
          <cell r="Y5787" t="str">
            <v>JAPAN</v>
          </cell>
        </row>
        <row r="5788">
          <cell r="L5788" t="str">
            <v>Non-proportional</v>
          </cell>
          <cell r="S5788">
            <v>533.41</v>
          </cell>
          <cell r="X5788" t="str">
            <v>Commissions - gross</v>
          </cell>
          <cell r="Y5788" t="str">
            <v>UNITED KINGDOM</v>
          </cell>
        </row>
        <row r="5789">
          <cell r="L5789" t="str">
            <v>Non-proportional</v>
          </cell>
          <cell r="S5789">
            <v>385.42</v>
          </cell>
          <cell r="X5789" t="str">
            <v>Commissions - gross</v>
          </cell>
          <cell r="Y5789" t="str">
            <v>FRANCE</v>
          </cell>
        </row>
        <row r="5790">
          <cell r="L5790" t="str">
            <v>Non-proportional</v>
          </cell>
          <cell r="S5790">
            <v>964.98</v>
          </cell>
          <cell r="X5790" t="str">
            <v>Commissions - gross</v>
          </cell>
          <cell r="Y5790" t="str">
            <v>JAPAN</v>
          </cell>
        </row>
        <row r="5791">
          <cell r="L5791" t="str">
            <v>Non-proportional</v>
          </cell>
          <cell r="S5791">
            <v>176.02</v>
          </cell>
          <cell r="X5791" t="str">
            <v>Commissions - gross</v>
          </cell>
          <cell r="Y5791" t="str">
            <v>NEW ZEALAND</v>
          </cell>
        </row>
        <row r="5792">
          <cell r="L5792" t="str">
            <v>Non-proportional</v>
          </cell>
          <cell r="S5792">
            <v>390.62</v>
          </cell>
          <cell r="X5792" t="str">
            <v>Commissions - gross</v>
          </cell>
          <cell r="Y5792" t="str">
            <v>EUROPE</v>
          </cell>
        </row>
        <row r="5793">
          <cell r="L5793" t="str">
            <v>Non-proportional</v>
          </cell>
          <cell r="S5793">
            <v>-10.36</v>
          </cell>
          <cell r="X5793" t="str">
            <v>Commissions - gross</v>
          </cell>
          <cell r="Y5793" t="str">
            <v>COLOMBIA</v>
          </cell>
        </row>
        <row r="5794">
          <cell r="L5794" t="str">
            <v>Non-proportional</v>
          </cell>
          <cell r="S5794">
            <v>-2.35</v>
          </cell>
          <cell r="X5794" t="str">
            <v>Commissions - gross</v>
          </cell>
          <cell r="Y5794" t="str">
            <v>NEW ZEALAND</v>
          </cell>
        </row>
        <row r="5795">
          <cell r="L5795" t="str">
            <v>Non-proportional</v>
          </cell>
          <cell r="S5795">
            <v>90.46</v>
          </cell>
          <cell r="X5795" t="str">
            <v>Commissions - gross</v>
          </cell>
          <cell r="Y5795" t="str">
            <v>PERU</v>
          </cell>
        </row>
        <row r="5796">
          <cell r="L5796" t="str">
            <v>Non-proportional</v>
          </cell>
          <cell r="S5796">
            <v>112.18</v>
          </cell>
          <cell r="X5796" t="str">
            <v>Commissions - gross</v>
          </cell>
          <cell r="Y5796" t="str">
            <v>ECUADOR</v>
          </cell>
        </row>
        <row r="5797">
          <cell r="L5797" t="str">
            <v>Non-proportional</v>
          </cell>
          <cell r="S5797">
            <v>-24.7</v>
          </cell>
          <cell r="X5797" t="str">
            <v>Commissions - gross</v>
          </cell>
          <cell r="Y5797" t="str">
            <v>COLOMBIA</v>
          </cell>
        </row>
        <row r="5798">
          <cell r="L5798" t="str">
            <v>Non-proportional</v>
          </cell>
          <cell r="S5798">
            <v>1535.44</v>
          </cell>
          <cell r="X5798" t="str">
            <v>Commissions - gross</v>
          </cell>
          <cell r="Y5798" t="str">
            <v>ECUADOR</v>
          </cell>
        </row>
        <row r="5799">
          <cell r="L5799" t="str">
            <v>Non-proportional</v>
          </cell>
          <cell r="S5799">
            <v>244.25</v>
          </cell>
          <cell r="X5799" t="str">
            <v>Commissions - gross</v>
          </cell>
          <cell r="Y5799" t="str">
            <v>CYPRUS</v>
          </cell>
        </row>
        <row r="5800">
          <cell r="L5800" t="str">
            <v>Non-proportional</v>
          </cell>
          <cell r="S5800">
            <v>466.65</v>
          </cell>
          <cell r="X5800" t="str">
            <v>Commissions - gross</v>
          </cell>
          <cell r="Y5800" t="str">
            <v>TURKEY</v>
          </cell>
        </row>
        <row r="5801">
          <cell r="L5801" t="str">
            <v>Non-proportional</v>
          </cell>
          <cell r="S5801">
            <v>647.41999999999996</v>
          </cell>
          <cell r="X5801" t="str">
            <v>Commissions - gross</v>
          </cell>
          <cell r="Y5801" t="str">
            <v>PERU</v>
          </cell>
        </row>
        <row r="5802">
          <cell r="L5802" t="str">
            <v>Non-proportional</v>
          </cell>
          <cell r="S5802">
            <v>515.29</v>
          </cell>
          <cell r="X5802" t="str">
            <v>Commissions - gross</v>
          </cell>
          <cell r="Y5802" t="str">
            <v>PERU</v>
          </cell>
        </row>
        <row r="5803">
          <cell r="L5803" t="str">
            <v>Non-proportional</v>
          </cell>
          <cell r="S5803">
            <v>1126.82</v>
          </cell>
          <cell r="X5803" t="str">
            <v>Commissions - gross</v>
          </cell>
          <cell r="Y5803" t="str">
            <v>TURKEY</v>
          </cell>
        </row>
        <row r="5804">
          <cell r="L5804" t="str">
            <v>Non-proportional</v>
          </cell>
          <cell r="S5804">
            <v>515.19000000000005</v>
          </cell>
          <cell r="X5804" t="str">
            <v>Commissions - gross</v>
          </cell>
          <cell r="Y5804" t="str">
            <v>ITALY</v>
          </cell>
        </row>
        <row r="5805">
          <cell r="L5805" t="str">
            <v>Non-proportional</v>
          </cell>
          <cell r="S5805">
            <v>4735.3100000000004</v>
          </cell>
          <cell r="X5805" t="str">
            <v>Commissions - gross</v>
          </cell>
          <cell r="Y5805" t="str">
            <v>UNITED KINGDOM</v>
          </cell>
        </row>
        <row r="5806">
          <cell r="L5806" t="str">
            <v>Non-proportional</v>
          </cell>
          <cell r="S5806">
            <v>-15.41</v>
          </cell>
          <cell r="X5806" t="str">
            <v>Commissions - gross</v>
          </cell>
          <cell r="Y5806" t="str">
            <v>JAPAN</v>
          </cell>
        </row>
        <row r="5807">
          <cell r="L5807" t="str">
            <v>Non-proportional</v>
          </cell>
          <cell r="S5807">
            <v>0</v>
          </cell>
          <cell r="X5807" t="str">
            <v>Commissions - gross</v>
          </cell>
          <cell r="Y5807" t="str">
            <v>DOMINICAN REPUBLIC</v>
          </cell>
        </row>
        <row r="5808">
          <cell r="L5808" t="str">
            <v>Non-proportional</v>
          </cell>
          <cell r="S5808">
            <v>3457.58</v>
          </cell>
          <cell r="X5808" t="str">
            <v>Commissions - gross</v>
          </cell>
          <cell r="Y5808" t="str">
            <v>NEW ZEALAND</v>
          </cell>
        </row>
        <row r="5809">
          <cell r="L5809" t="str">
            <v>Non-proportional</v>
          </cell>
          <cell r="S5809">
            <v>283.91000000000003</v>
          </cell>
          <cell r="X5809" t="str">
            <v>Commissions - gross</v>
          </cell>
          <cell r="Y5809" t="str">
            <v>UNITED KINGDOM</v>
          </cell>
        </row>
        <row r="5810">
          <cell r="L5810" t="str">
            <v>Non-proportional</v>
          </cell>
          <cell r="S5810">
            <v>301.27999999999997</v>
          </cell>
          <cell r="X5810" t="str">
            <v>Commissions - gross</v>
          </cell>
          <cell r="Y5810" t="str">
            <v>ISRAEL</v>
          </cell>
        </row>
        <row r="5811">
          <cell r="L5811" t="str">
            <v>Non-proportional</v>
          </cell>
          <cell r="S5811">
            <v>4.7</v>
          </cell>
          <cell r="X5811" t="str">
            <v>Commissions - gross</v>
          </cell>
          <cell r="Y5811" t="str">
            <v>ISRAEL</v>
          </cell>
        </row>
        <row r="5812">
          <cell r="L5812" t="str">
            <v>Non-proportional</v>
          </cell>
          <cell r="S5812">
            <v>0.01</v>
          </cell>
          <cell r="X5812" t="str">
            <v>Commissions - gross</v>
          </cell>
          <cell r="Y5812" t="str">
            <v>COLOMBIA</v>
          </cell>
        </row>
        <row r="5813">
          <cell r="L5813" t="str">
            <v>Non-proportional</v>
          </cell>
          <cell r="S5813">
            <v>26290.55</v>
          </cell>
          <cell r="X5813" t="str">
            <v>Commissions - gross</v>
          </cell>
          <cell r="Y5813" t="str">
            <v>UNITED KINGDOM</v>
          </cell>
        </row>
        <row r="5814">
          <cell r="L5814" t="str">
            <v>Non-proportional</v>
          </cell>
          <cell r="S5814">
            <v>425.24</v>
          </cell>
          <cell r="X5814" t="str">
            <v>Commissions - gross</v>
          </cell>
          <cell r="Y5814" t="str">
            <v>ECUADOR</v>
          </cell>
        </row>
        <row r="5815">
          <cell r="L5815" t="str">
            <v>Non-proportional</v>
          </cell>
          <cell r="S5815">
            <v>324.93</v>
          </cell>
          <cell r="X5815" t="str">
            <v>Commissions - gross</v>
          </cell>
          <cell r="Y5815" t="str">
            <v>JAPAN</v>
          </cell>
        </row>
        <row r="5816">
          <cell r="L5816" t="str">
            <v>Proportional</v>
          </cell>
          <cell r="S5816">
            <v>4.3600000000000003</v>
          </cell>
          <cell r="X5816" t="str">
            <v>Commissions - gross</v>
          </cell>
          <cell r="Y5816" t="str">
            <v>UNITED STATES</v>
          </cell>
        </row>
        <row r="5817">
          <cell r="L5817" t="str">
            <v>Non-proportional</v>
          </cell>
          <cell r="S5817">
            <v>517.25</v>
          </cell>
          <cell r="X5817" t="str">
            <v>Commissions - gross</v>
          </cell>
          <cell r="Y5817" t="str">
            <v>UNITED KINGDOM</v>
          </cell>
        </row>
        <row r="5818">
          <cell r="L5818" t="str">
            <v>Non-proportional</v>
          </cell>
          <cell r="S5818">
            <v>749.23</v>
          </cell>
          <cell r="X5818" t="str">
            <v>Commissions - gross</v>
          </cell>
          <cell r="Y5818" t="str">
            <v>FRANCE</v>
          </cell>
        </row>
        <row r="5819">
          <cell r="L5819" t="str">
            <v>Non-proportional</v>
          </cell>
          <cell r="S5819">
            <v>665.89</v>
          </cell>
          <cell r="X5819" t="str">
            <v>Commissions - gross</v>
          </cell>
          <cell r="Y5819" t="str">
            <v>CYPRUS</v>
          </cell>
        </row>
        <row r="5820">
          <cell r="L5820" t="str">
            <v>Non-proportional</v>
          </cell>
          <cell r="S5820">
            <v>-8.4600000000000009</v>
          </cell>
          <cell r="X5820" t="str">
            <v>Commissions - gross</v>
          </cell>
          <cell r="Y5820" t="str">
            <v>NEW ZEALAND</v>
          </cell>
        </row>
        <row r="5821">
          <cell r="L5821" t="str">
            <v>Non-proportional</v>
          </cell>
          <cell r="S5821">
            <v>-11.42</v>
          </cell>
          <cell r="X5821" t="str">
            <v>Commissions - gross</v>
          </cell>
          <cell r="Y5821" t="str">
            <v>NEW ZEALAND</v>
          </cell>
        </row>
        <row r="5822">
          <cell r="L5822" t="str">
            <v>Non-proportional</v>
          </cell>
          <cell r="S5822">
            <v>1074.8699999999999</v>
          </cell>
          <cell r="X5822" t="str">
            <v>Commissions - gross</v>
          </cell>
          <cell r="Y5822" t="str">
            <v>ITALY</v>
          </cell>
        </row>
        <row r="5823">
          <cell r="L5823" t="str">
            <v>Non-proportional</v>
          </cell>
          <cell r="S5823">
            <v>433.82</v>
          </cell>
          <cell r="X5823" t="str">
            <v>Commissions - gross</v>
          </cell>
          <cell r="Y5823" t="str">
            <v>DOMINICAN REPUBLIC</v>
          </cell>
        </row>
        <row r="5824">
          <cell r="L5824" t="str">
            <v>Non-proportional</v>
          </cell>
          <cell r="S5824">
            <v>1772.83</v>
          </cell>
          <cell r="X5824" t="str">
            <v>Commissions - gross</v>
          </cell>
          <cell r="Y5824" t="str">
            <v>TURKEY</v>
          </cell>
        </row>
        <row r="5825">
          <cell r="L5825" t="str">
            <v>Proportional</v>
          </cell>
          <cell r="S5825">
            <v>77.38</v>
          </cell>
          <cell r="X5825" t="str">
            <v>Commissions - gross</v>
          </cell>
          <cell r="Y5825" t="str">
            <v>CHILE</v>
          </cell>
        </row>
        <row r="5826">
          <cell r="L5826" t="str">
            <v>Non-proportional</v>
          </cell>
          <cell r="S5826">
            <v>86</v>
          </cell>
          <cell r="X5826" t="str">
            <v>Commissions - gross</v>
          </cell>
          <cell r="Y5826" t="str">
            <v>GREECE</v>
          </cell>
        </row>
        <row r="5827">
          <cell r="L5827" t="str">
            <v>Non-proportional</v>
          </cell>
          <cell r="S5827">
            <v>328.13</v>
          </cell>
          <cell r="X5827" t="str">
            <v>Commissions - gross</v>
          </cell>
          <cell r="Y5827" t="str">
            <v>ITALY</v>
          </cell>
        </row>
        <row r="5828">
          <cell r="L5828" t="str">
            <v>Non-proportional</v>
          </cell>
          <cell r="S5828">
            <v>275.95999999999998</v>
          </cell>
          <cell r="X5828" t="str">
            <v>Commissions - gross</v>
          </cell>
          <cell r="Y5828" t="str">
            <v>UNITED KINGDOM</v>
          </cell>
        </row>
        <row r="5829">
          <cell r="L5829" t="str">
            <v>Non-proportional</v>
          </cell>
          <cell r="S5829">
            <v>0.73</v>
          </cell>
          <cell r="X5829" t="str">
            <v>Commissions - gross</v>
          </cell>
          <cell r="Y5829" t="str">
            <v>COSTA RICA</v>
          </cell>
        </row>
        <row r="5830">
          <cell r="L5830" t="str">
            <v>Non-proportional</v>
          </cell>
          <cell r="S5830">
            <v>2475</v>
          </cell>
          <cell r="X5830" t="str">
            <v>Commissions - gross</v>
          </cell>
          <cell r="Y5830" t="str">
            <v>GREECE</v>
          </cell>
        </row>
        <row r="5831">
          <cell r="L5831" t="str">
            <v>Non-proportional</v>
          </cell>
          <cell r="S5831">
            <v>4.93</v>
          </cell>
          <cell r="X5831" t="str">
            <v>Commissions - gross</v>
          </cell>
          <cell r="Y5831" t="str">
            <v>COLOMBIA</v>
          </cell>
        </row>
        <row r="5832">
          <cell r="L5832" t="str">
            <v>Non-proportional</v>
          </cell>
          <cell r="S5832">
            <v>293.04000000000002</v>
          </cell>
          <cell r="X5832" t="str">
            <v>Commissions - gross</v>
          </cell>
          <cell r="Y5832" t="str">
            <v>UNITED ARAB EMIRATES</v>
          </cell>
        </row>
        <row r="5833">
          <cell r="L5833" t="str">
            <v>Non-proportional</v>
          </cell>
          <cell r="S5833">
            <v>431.97</v>
          </cell>
          <cell r="X5833" t="str">
            <v>Commissions - gross</v>
          </cell>
          <cell r="Y5833" t="str">
            <v>INDIA</v>
          </cell>
        </row>
        <row r="5834">
          <cell r="L5834" t="str">
            <v>Non-proportional</v>
          </cell>
          <cell r="S5834">
            <v>425.58</v>
          </cell>
          <cell r="X5834" t="str">
            <v>Commissions - gross</v>
          </cell>
          <cell r="Y5834" t="str">
            <v>CHILE</v>
          </cell>
        </row>
        <row r="5835">
          <cell r="L5835" t="str">
            <v>Non-proportional</v>
          </cell>
          <cell r="S5835">
            <v>184.69</v>
          </cell>
          <cell r="X5835" t="str">
            <v>Commissions - gross</v>
          </cell>
          <cell r="Y5835" t="str">
            <v>FRANCE</v>
          </cell>
        </row>
        <row r="5836">
          <cell r="L5836" t="str">
            <v>Non-proportional</v>
          </cell>
          <cell r="S5836">
            <v>406.14</v>
          </cell>
          <cell r="X5836" t="str">
            <v>Commissions - gross</v>
          </cell>
          <cell r="Y5836" t="str">
            <v>FRANCE</v>
          </cell>
        </row>
        <row r="5837">
          <cell r="L5837" t="str">
            <v>Non-proportional</v>
          </cell>
          <cell r="S5837">
            <v>547.52</v>
          </cell>
          <cell r="X5837" t="str">
            <v>Commissions - gross</v>
          </cell>
          <cell r="Y5837" t="str">
            <v>DOMINICAN REPUBLIC</v>
          </cell>
        </row>
        <row r="5838">
          <cell r="L5838" t="str">
            <v>Non-proportional</v>
          </cell>
          <cell r="S5838">
            <v>382</v>
          </cell>
          <cell r="X5838" t="str">
            <v>Commissions - gross</v>
          </cell>
          <cell r="Y5838" t="str">
            <v>GUATEMALA</v>
          </cell>
        </row>
        <row r="5839">
          <cell r="L5839" t="str">
            <v>Non-proportional</v>
          </cell>
          <cell r="S5839">
            <v>315.95999999999998</v>
          </cell>
          <cell r="X5839" t="str">
            <v>Commissions - gross</v>
          </cell>
          <cell r="Y5839" t="str">
            <v>JAPAN</v>
          </cell>
        </row>
        <row r="5840">
          <cell r="L5840" t="str">
            <v>Non-proportional</v>
          </cell>
          <cell r="S5840">
            <v>189.59</v>
          </cell>
          <cell r="X5840" t="str">
            <v>Commissions - gross</v>
          </cell>
          <cell r="Y5840" t="str">
            <v>ECUADOR</v>
          </cell>
        </row>
        <row r="5841">
          <cell r="L5841" t="str">
            <v>Non-proportional</v>
          </cell>
          <cell r="S5841">
            <v>502.97</v>
          </cell>
          <cell r="X5841" t="str">
            <v>Commissions - gross</v>
          </cell>
          <cell r="Y5841" t="str">
            <v>ECUADOR</v>
          </cell>
        </row>
        <row r="5842">
          <cell r="L5842" t="str">
            <v>Non-proportional</v>
          </cell>
          <cell r="S5842">
            <v>758.65</v>
          </cell>
          <cell r="X5842" t="str">
            <v>Commissions - gross</v>
          </cell>
          <cell r="Y5842" t="str">
            <v>FRANCE</v>
          </cell>
        </row>
        <row r="5843">
          <cell r="L5843" t="str">
            <v>Non-proportional</v>
          </cell>
          <cell r="S5843">
            <v>288.33</v>
          </cell>
          <cell r="X5843" t="str">
            <v>Commissions - gross</v>
          </cell>
          <cell r="Y5843" t="str">
            <v>POLAND</v>
          </cell>
        </row>
        <row r="5844">
          <cell r="L5844" t="str">
            <v>Non-proportional</v>
          </cell>
          <cell r="S5844">
            <v>509.53</v>
          </cell>
          <cell r="X5844" t="str">
            <v>Commissions - gross</v>
          </cell>
          <cell r="Y5844" t="str">
            <v>UNITED KINGDOM</v>
          </cell>
        </row>
        <row r="5845">
          <cell r="L5845" t="str">
            <v>Non-proportional</v>
          </cell>
          <cell r="S5845">
            <v>-20.59</v>
          </cell>
          <cell r="X5845" t="str">
            <v>Commissions - gross</v>
          </cell>
          <cell r="Y5845" t="str">
            <v>JAPAN</v>
          </cell>
        </row>
        <row r="5846">
          <cell r="L5846" t="str">
            <v>Non-proportional</v>
          </cell>
          <cell r="S5846">
            <v>378</v>
          </cell>
          <cell r="X5846" t="str">
            <v>Commissions - gross</v>
          </cell>
          <cell r="Y5846" t="str">
            <v>GREECE</v>
          </cell>
        </row>
        <row r="5847">
          <cell r="L5847" t="str">
            <v>Non-proportional</v>
          </cell>
          <cell r="S5847">
            <v>10572.33</v>
          </cell>
          <cell r="X5847" t="str">
            <v>Commissions - gross</v>
          </cell>
          <cell r="Y5847" t="str">
            <v>FRANCE</v>
          </cell>
        </row>
        <row r="5848">
          <cell r="L5848" t="str">
            <v>Non-proportional</v>
          </cell>
          <cell r="S5848">
            <v>1151.06</v>
          </cell>
          <cell r="X5848" t="str">
            <v>Commissions - gross</v>
          </cell>
          <cell r="Y5848" t="str">
            <v>EUROPE</v>
          </cell>
        </row>
        <row r="5849">
          <cell r="L5849" t="str">
            <v>Non-proportional</v>
          </cell>
          <cell r="S5849">
            <v>1354.12</v>
          </cell>
          <cell r="X5849" t="str">
            <v>Commissions - gross</v>
          </cell>
          <cell r="Y5849" t="str">
            <v>CHILE</v>
          </cell>
        </row>
        <row r="5850">
          <cell r="L5850" t="str">
            <v>Non-proportional</v>
          </cell>
          <cell r="S5850">
            <v>202.99</v>
          </cell>
          <cell r="X5850" t="str">
            <v>Commissions - gross</v>
          </cell>
          <cell r="Y5850" t="str">
            <v>CYPRUS</v>
          </cell>
        </row>
        <row r="5851">
          <cell r="L5851" t="str">
            <v>Non-proportional</v>
          </cell>
          <cell r="S5851">
            <v>217.98</v>
          </cell>
          <cell r="X5851" t="str">
            <v>Commissions - gross</v>
          </cell>
          <cell r="Y5851" t="str">
            <v>FRANCE</v>
          </cell>
        </row>
        <row r="5852">
          <cell r="L5852" t="str">
            <v>Non-proportional</v>
          </cell>
          <cell r="S5852">
            <v>418.59</v>
          </cell>
          <cell r="X5852" t="str">
            <v>Commissions - gross</v>
          </cell>
          <cell r="Y5852" t="str">
            <v>FRANCE</v>
          </cell>
        </row>
        <row r="5853">
          <cell r="L5853" t="str">
            <v>Non-proportional</v>
          </cell>
          <cell r="S5853">
            <v>-3.01</v>
          </cell>
          <cell r="X5853" t="str">
            <v>Commissions - gross</v>
          </cell>
          <cell r="Y5853" t="str">
            <v>COLOMBIA</v>
          </cell>
        </row>
        <row r="5854">
          <cell r="L5854" t="str">
            <v>Proportional</v>
          </cell>
          <cell r="S5854">
            <v>215.27</v>
          </cell>
          <cell r="X5854" t="str">
            <v>Commissions - gross</v>
          </cell>
          <cell r="Y5854" t="str">
            <v>UNITED ARAB EMIRATES</v>
          </cell>
        </row>
        <row r="5855">
          <cell r="L5855" t="str">
            <v>Non-proportional</v>
          </cell>
          <cell r="S5855">
            <v>327.83</v>
          </cell>
          <cell r="X5855" t="str">
            <v>Commissions - gross</v>
          </cell>
          <cell r="Y5855" t="str">
            <v>ISRAEL</v>
          </cell>
        </row>
        <row r="5856">
          <cell r="L5856" t="str">
            <v>Non-proportional</v>
          </cell>
          <cell r="S5856">
            <v>20.98</v>
          </cell>
          <cell r="X5856" t="str">
            <v>Commissions - gross</v>
          </cell>
          <cell r="Y5856" t="str">
            <v>JAPAN</v>
          </cell>
        </row>
        <row r="5857">
          <cell r="L5857" t="str">
            <v>Non-proportional</v>
          </cell>
          <cell r="S5857">
            <v>324.91000000000003</v>
          </cell>
          <cell r="X5857" t="str">
            <v>Commissions - gross</v>
          </cell>
          <cell r="Y5857" t="str">
            <v>FRANCE</v>
          </cell>
        </row>
        <row r="5858">
          <cell r="L5858" t="str">
            <v>Non-proportional</v>
          </cell>
          <cell r="S5858">
            <v>541.65</v>
          </cell>
          <cell r="X5858" t="str">
            <v>Commissions - gross</v>
          </cell>
          <cell r="Y5858" t="str">
            <v>CHILE</v>
          </cell>
        </row>
        <row r="5859">
          <cell r="L5859" t="str">
            <v>Non-proportional</v>
          </cell>
          <cell r="S5859">
            <v>64.069999999999993</v>
          </cell>
          <cell r="X5859" t="str">
            <v>Commissions - gross</v>
          </cell>
          <cell r="Y5859" t="str">
            <v>BRAZIL</v>
          </cell>
        </row>
        <row r="5860">
          <cell r="L5860" t="str">
            <v>Non-proportional</v>
          </cell>
          <cell r="S5860">
            <v>-48.54</v>
          </cell>
          <cell r="X5860" t="str">
            <v>Commissions - gross</v>
          </cell>
          <cell r="Y5860" t="str">
            <v>DOMINICAN REPUBLIC</v>
          </cell>
        </row>
        <row r="5861">
          <cell r="L5861" t="str">
            <v>Non-proportional</v>
          </cell>
          <cell r="S5861">
            <v>-15.41</v>
          </cell>
          <cell r="X5861" t="str">
            <v>Commissions - gross</v>
          </cell>
          <cell r="Y5861" t="str">
            <v>JAPAN</v>
          </cell>
        </row>
        <row r="5862">
          <cell r="L5862" t="str">
            <v>Non-proportional</v>
          </cell>
          <cell r="S5862">
            <v>1439.96</v>
          </cell>
          <cell r="X5862" t="str">
            <v>Commissions - gross</v>
          </cell>
          <cell r="Y5862" t="str">
            <v>MEXICO</v>
          </cell>
        </row>
        <row r="5863">
          <cell r="L5863" t="str">
            <v>Non-proportional</v>
          </cell>
          <cell r="S5863">
            <v>457.71</v>
          </cell>
          <cell r="X5863" t="str">
            <v>Commissions - gross</v>
          </cell>
          <cell r="Y5863" t="str">
            <v>NEW ZEALAND</v>
          </cell>
        </row>
        <row r="5864">
          <cell r="L5864" t="str">
            <v>Non-proportional</v>
          </cell>
          <cell r="S5864">
            <v>3.16</v>
          </cell>
          <cell r="X5864" t="str">
            <v>Commissions - gross</v>
          </cell>
          <cell r="Y5864" t="str">
            <v>ISRAEL</v>
          </cell>
        </row>
        <row r="5865">
          <cell r="L5865" t="str">
            <v>Non-proportional</v>
          </cell>
          <cell r="S5865">
            <v>0</v>
          </cell>
          <cell r="X5865" t="str">
            <v>Commissions - gross</v>
          </cell>
          <cell r="Y5865" t="str">
            <v>DOMINICAN REPUBLIC</v>
          </cell>
        </row>
        <row r="5866">
          <cell r="L5866" t="str">
            <v>Non-proportional</v>
          </cell>
          <cell r="S5866">
            <v>0</v>
          </cell>
          <cell r="X5866" t="str">
            <v>Commissions - gross</v>
          </cell>
          <cell r="Y5866" t="str">
            <v>DOMINICAN REPUBLIC</v>
          </cell>
        </row>
        <row r="5867">
          <cell r="L5867" t="str">
            <v>Non-proportional</v>
          </cell>
          <cell r="S5867">
            <v>893.37</v>
          </cell>
          <cell r="X5867" t="str">
            <v>Commissions - gross</v>
          </cell>
          <cell r="Y5867" t="str">
            <v>PERU</v>
          </cell>
        </row>
        <row r="5868">
          <cell r="L5868" t="str">
            <v>Non-proportional</v>
          </cell>
          <cell r="S5868">
            <v>5825.04</v>
          </cell>
          <cell r="X5868" t="str">
            <v>Commissions - gross</v>
          </cell>
          <cell r="Y5868" t="str">
            <v>UNITED KINGDOM</v>
          </cell>
        </row>
        <row r="5869">
          <cell r="L5869" t="str">
            <v>Non-proportional</v>
          </cell>
          <cell r="S5869">
            <v>120.22</v>
          </cell>
          <cell r="X5869" t="str">
            <v>Commissions - gross</v>
          </cell>
          <cell r="Y5869" t="str">
            <v>REPUBLIC OF IRELAND</v>
          </cell>
        </row>
        <row r="5870">
          <cell r="L5870" t="str">
            <v>Non-proportional</v>
          </cell>
          <cell r="S5870">
            <v>63.85</v>
          </cell>
          <cell r="X5870" t="str">
            <v>Commissions - gross</v>
          </cell>
          <cell r="Y5870" t="str">
            <v>MALTA</v>
          </cell>
        </row>
        <row r="5871">
          <cell r="L5871" t="str">
            <v>Non-proportional</v>
          </cell>
          <cell r="S5871">
            <v>696.32</v>
          </cell>
          <cell r="X5871" t="str">
            <v>Commissions - gross</v>
          </cell>
          <cell r="Y5871" t="str">
            <v>FRANCE</v>
          </cell>
        </row>
        <row r="5872">
          <cell r="L5872" t="str">
            <v>Non-proportional</v>
          </cell>
          <cell r="S5872">
            <v>0</v>
          </cell>
          <cell r="X5872" t="str">
            <v>Commissions - gross</v>
          </cell>
          <cell r="Y5872" t="str">
            <v>DOMINICAN REPUBLIC</v>
          </cell>
        </row>
        <row r="5873">
          <cell r="L5873" t="str">
            <v>Non-proportional</v>
          </cell>
          <cell r="S5873">
            <v>116.07</v>
          </cell>
          <cell r="X5873" t="str">
            <v>Commissions - gross</v>
          </cell>
          <cell r="Y5873" t="str">
            <v>CHILE</v>
          </cell>
        </row>
        <row r="5874">
          <cell r="L5874" t="str">
            <v>Non-proportional</v>
          </cell>
          <cell r="S5874">
            <v>228.57</v>
          </cell>
          <cell r="X5874" t="str">
            <v>Commissions - gross</v>
          </cell>
          <cell r="Y5874" t="str">
            <v>JAPAN</v>
          </cell>
        </row>
        <row r="5875">
          <cell r="L5875" t="str">
            <v>Non-proportional</v>
          </cell>
          <cell r="S5875">
            <v>372.04</v>
          </cell>
          <cell r="X5875" t="str">
            <v>Commissions - gross</v>
          </cell>
          <cell r="Y5875" t="str">
            <v>ISRAEL</v>
          </cell>
        </row>
        <row r="5876">
          <cell r="L5876" t="str">
            <v>Non-proportional</v>
          </cell>
          <cell r="S5876">
            <v>-3.65</v>
          </cell>
          <cell r="X5876" t="str">
            <v>Commissions - gross</v>
          </cell>
          <cell r="Y5876" t="str">
            <v>JAPAN</v>
          </cell>
        </row>
        <row r="5877">
          <cell r="L5877" t="str">
            <v>Non-proportional</v>
          </cell>
          <cell r="S5877">
            <v>-2099.87</v>
          </cell>
          <cell r="X5877" t="str">
            <v>Commissions - gross</v>
          </cell>
          <cell r="Y5877" t="str">
            <v>CHILE</v>
          </cell>
        </row>
        <row r="5878">
          <cell r="L5878" t="str">
            <v>Non-proportional</v>
          </cell>
          <cell r="S5878">
            <v>634.04999999999995</v>
          </cell>
          <cell r="X5878" t="str">
            <v>Commissions - gross</v>
          </cell>
          <cell r="Y5878" t="str">
            <v>COLOMBIA</v>
          </cell>
        </row>
        <row r="5879">
          <cell r="L5879" t="str">
            <v>Non-proportional</v>
          </cell>
          <cell r="S5879">
            <v>767.78</v>
          </cell>
          <cell r="X5879" t="str">
            <v>Commissions - gross</v>
          </cell>
          <cell r="Y5879" t="str">
            <v>COLOMBIA</v>
          </cell>
        </row>
        <row r="5880">
          <cell r="L5880" t="str">
            <v>Non-proportional</v>
          </cell>
          <cell r="S5880">
            <v>87.17</v>
          </cell>
          <cell r="X5880" t="str">
            <v>Commissions - gross</v>
          </cell>
          <cell r="Y5880" t="str">
            <v>BRAZIL</v>
          </cell>
        </row>
        <row r="5881">
          <cell r="L5881" t="str">
            <v>Non-proportional</v>
          </cell>
          <cell r="S5881">
            <v>900.47</v>
          </cell>
          <cell r="X5881" t="str">
            <v>Commissions - gross</v>
          </cell>
          <cell r="Y5881" t="str">
            <v>AUSTRALIA</v>
          </cell>
        </row>
        <row r="5882">
          <cell r="L5882" t="str">
            <v>Non-proportional</v>
          </cell>
          <cell r="S5882">
            <v>789.75</v>
          </cell>
          <cell r="X5882" t="str">
            <v>Commissions - gross</v>
          </cell>
          <cell r="Y5882" t="str">
            <v>ITALY</v>
          </cell>
        </row>
        <row r="5883">
          <cell r="L5883" t="str">
            <v>Non-proportional</v>
          </cell>
          <cell r="S5883">
            <v>166.46</v>
          </cell>
          <cell r="X5883" t="str">
            <v>Commissions - gross</v>
          </cell>
          <cell r="Y5883" t="str">
            <v>FRANCE</v>
          </cell>
        </row>
        <row r="5884">
          <cell r="L5884" t="str">
            <v>Non-proportional</v>
          </cell>
          <cell r="S5884">
            <v>298.54000000000002</v>
          </cell>
          <cell r="X5884" t="str">
            <v>Commissions - gross</v>
          </cell>
          <cell r="Y5884" t="str">
            <v>ISRAEL</v>
          </cell>
        </row>
        <row r="5885">
          <cell r="L5885" t="str">
            <v>Non-proportional</v>
          </cell>
          <cell r="S5885">
            <v>151.96</v>
          </cell>
          <cell r="X5885" t="str">
            <v>Commissions - gross</v>
          </cell>
          <cell r="Y5885" t="str">
            <v>AUSTRALIA</v>
          </cell>
        </row>
        <row r="5886">
          <cell r="L5886" t="str">
            <v>Non-proportional</v>
          </cell>
          <cell r="S5886">
            <v>-1.02</v>
          </cell>
          <cell r="X5886" t="str">
            <v>Commissions - gross</v>
          </cell>
          <cell r="Y5886" t="str">
            <v>JAPAN</v>
          </cell>
        </row>
        <row r="5887">
          <cell r="L5887" t="str">
            <v>Non-proportional</v>
          </cell>
          <cell r="S5887">
            <v>20</v>
          </cell>
          <cell r="X5887" t="str">
            <v>Commissions - gross</v>
          </cell>
          <cell r="Y5887" t="str">
            <v>JAPAN</v>
          </cell>
        </row>
        <row r="5888">
          <cell r="L5888" t="str">
            <v>Non-proportional</v>
          </cell>
          <cell r="S5888">
            <v>666.44</v>
          </cell>
          <cell r="X5888" t="str">
            <v>Commissions - gross</v>
          </cell>
          <cell r="Y5888" t="str">
            <v>THAILAND</v>
          </cell>
        </row>
        <row r="5889">
          <cell r="L5889" t="str">
            <v>Non-proportional</v>
          </cell>
          <cell r="S5889">
            <v>2458.4699999999998</v>
          </cell>
          <cell r="X5889" t="str">
            <v>Commissions - gross</v>
          </cell>
          <cell r="Y5889" t="str">
            <v>ISRAEL</v>
          </cell>
        </row>
        <row r="5890">
          <cell r="L5890" t="str">
            <v>Non-proportional</v>
          </cell>
          <cell r="S5890">
            <v>489.01</v>
          </cell>
          <cell r="X5890" t="str">
            <v>Commissions - gross</v>
          </cell>
          <cell r="Y5890" t="str">
            <v>FRANCE</v>
          </cell>
        </row>
        <row r="5891">
          <cell r="L5891" t="str">
            <v>Non-proportional</v>
          </cell>
          <cell r="S5891">
            <v>76.849999999999994</v>
          </cell>
          <cell r="X5891" t="str">
            <v>Commissions - gross</v>
          </cell>
          <cell r="Y5891" t="str">
            <v>JAPAN</v>
          </cell>
        </row>
        <row r="5892">
          <cell r="L5892" t="str">
            <v>Non-proportional</v>
          </cell>
          <cell r="S5892">
            <v>1106.4000000000001</v>
          </cell>
          <cell r="X5892" t="str">
            <v>Commissions - gross</v>
          </cell>
          <cell r="Y5892" t="str">
            <v>INDIA</v>
          </cell>
        </row>
        <row r="5893">
          <cell r="L5893" t="str">
            <v>Non-proportional</v>
          </cell>
          <cell r="S5893">
            <v>106.91</v>
          </cell>
          <cell r="X5893" t="str">
            <v>Commissions - gross</v>
          </cell>
          <cell r="Y5893" t="str">
            <v>COLOMBIA</v>
          </cell>
        </row>
        <row r="5894">
          <cell r="L5894" t="str">
            <v>Non-proportional</v>
          </cell>
          <cell r="S5894">
            <v>386.07</v>
          </cell>
          <cell r="X5894" t="str">
            <v>Commissions - gross</v>
          </cell>
          <cell r="Y5894" t="str">
            <v>INDIA</v>
          </cell>
        </row>
        <row r="5895">
          <cell r="L5895" t="str">
            <v>Non-proportional</v>
          </cell>
          <cell r="S5895">
            <v>759.25</v>
          </cell>
          <cell r="X5895" t="str">
            <v>Commissions - gross</v>
          </cell>
          <cell r="Y5895" t="str">
            <v>NEW ZEALAND</v>
          </cell>
        </row>
        <row r="5896">
          <cell r="L5896" t="str">
            <v>Non-proportional</v>
          </cell>
          <cell r="S5896">
            <v>715</v>
          </cell>
          <cell r="X5896" t="str">
            <v>Commissions - gross</v>
          </cell>
          <cell r="Y5896" t="str">
            <v>UNITED KINGDOM</v>
          </cell>
        </row>
        <row r="5897">
          <cell r="L5897" t="str">
            <v>Non-proportional</v>
          </cell>
          <cell r="S5897">
            <v>148.08000000000001</v>
          </cell>
          <cell r="X5897" t="str">
            <v>Commissions - gross</v>
          </cell>
          <cell r="Y5897" t="str">
            <v>FRANCE</v>
          </cell>
        </row>
        <row r="5898">
          <cell r="L5898" t="str">
            <v>Non-proportional</v>
          </cell>
          <cell r="S5898">
            <v>-28.94</v>
          </cell>
          <cell r="X5898" t="str">
            <v>Commissions - gross</v>
          </cell>
          <cell r="Y5898" t="str">
            <v>COLOMBIA</v>
          </cell>
        </row>
        <row r="5899">
          <cell r="L5899" t="str">
            <v>Non-proportional</v>
          </cell>
          <cell r="S5899">
            <v>925.13</v>
          </cell>
          <cell r="X5899" t="str">
            <v>Commissions - gross</v>
          </cell>
          <cell r="Y5899" t="str">
            <v>ITALY</v>
          </cell>
        </row>
        <row r="5900">
          <cell r="L5900" t="str">
            <v>Non-proportional</v>
          </cell>
          <cell r="S5900">
            <v>137.19</v>
          </cell>
          <cell r="X5900" t="str">
            <v>Commissions - gross</v>
          </cell>
          <cell r="Y5900" t="str">
            <v>COLOMBIA</v>
          </cell>
        </row>
        <row r="5901">
          <cell r="L5901" t="str">
            <v>Non-proportional</v>
          </cell>
          <cell r="S5901">
            <v>606.88</v>
          </cell>
          <cell r="X5901" t="str">
            <v>Commissions - gross</v>
          </cell>
          <cell r="Y5901" t="str">
            <v>UNITED KINGDOM</v>
          </cell>
        </row>
        <row r="5902">
          <cell r="L5902" t="str">
            <v>Non-proportional</v>
          </cell>
          <cell r="S5902">
            <v>-3.1</v>
          </cell>
          <cell r="X5902" t="str">
            <v>Commissions - gross</v>
          </cell>
          <cell r="Y5902" t="str">
            <v>POLAND</v>
          </cell>
        </row>
        <row r="5903">
          <cell r="L5903" t="str">
            <v>Non-proportional</v>
          </cell>
          <cell r="S5903">
            <v>66.5</v>
          </cell>
          <cell r="X5903" t="str">
            <v>Commissions - gross</v>
          </cell>
          <cell r="Y5903" t="str">
            <v>FRANCE</v>
          </cell>
        </row>
        <row r="5904">
          <cell r="L5904" t="str">
            <v>Non-proportional</v>
          </cell>
          <cell r="S5904">
            <v>726.77</v>
          </cell>
          <cell r="X5904" t="str">
            <v>Commissions - gross</v>
          </cell>
          <cell r="Y5904" t="str">
            <v>FRANCE</v>
          </cell>
        </row>
        <row r="5905">
          <cell r="L5905" t="str">
            <v>Non-proportional</v>
          </cell>
          <cell r="S5905">
            <v>1654.73</v>
          </cell>
          <cell r="X5905" t="str">
            <v>Commissions - gross</v>
          </cell>
          <cell r="Y5905" t="str">
            <v>UNITED KINGDOM</v>
          </cell>
        </row>
        <row r="5906">
          <cell r="L5906" t="str">
            <v>Non-proportional</v>
          </cell>
          <cell r="S5906">
            <v>168.51</v>
          </cell>
          <cell r="X5906" t="str">
            <v>Commissions - gross</v>
          </cell>
          <cell r="Y5906" t="str">
            <v>ISRAEL</v>
          </cell>
        </row>
        <row r="5907">
          <cell r="L5907" t="str">
            <v>Non-proportional</v>
          </cell>
          <cell r="S5907">
            <v>284.08</v>
          </cell>
          <cell r="X5907" t="str">
            <v>Commissions - gross</v>
          </cell>
          <cell r="Y5907" t="str">
            <v>EUROPE</v>
          </cell>
        </row>
        <row r="5908">
          <cell r="L5908" t="str">
            <v>Non-proportional</v>
          </cell>
          <cell r="S5908">
            <v>140.87</v>
          </cell>
          <cell r="X5908" t="str">
            <v>Commissions - gross</v>
          </cell>
          <cell r="Y5908" t="str">
            <v>DOMINICAN REPUBLIC</v>
          </cell>
        </row>
        <row r="5909">
          <cell r="L5909" t="str">
            <v>Non-proportional</v>
          </cell>
          <cell r="S5909">
            <v>504.35</v>
          </cell>
          <cell r="X5909" t="str">
            <v>Commissions - gross</v>
          </cell>
          <cell r="Y5909" t="str">
            <v>AUSTRALIA</v>
          </cell>
        </row>
        <row r="5910">
          <cell r="L5910" t="str">
            <v>Non-proportional</v>
          </cell>
          <cell r="S5910">
            <v>1013.05</v>
          </cell>
          <cell r="X5910" t="str">
            <v>Commissions - gross</v>
          </cell>
          <cell r="Y5910" t="str">
            <v>AUSTRALIA</v>
          </cell>
        </row>
        <row r="5911">
          <cell r="L5911" t="str">
            <v>Non-proportional</v>
          </cell>
          <cell r="S5911">
            <v>-15.85</v>
          </cell>
          <cell r="X5911" t="str">
            <v>Commissions - gross</v>
          </cell>
          <cell r="Y5911" t="str">
            <v>JAPAN</v>
          </cell>
        </row>
        <row r="5912">
          <cell r="L5912" t="str">
            <v>Non-proportional</v>
          </cell>
          <cell r="S5912">
            <v>950.01</v>
          </cell>
          <cell r="X5912" t="str">
            <v>Commissions - gross</v>
          </cell>
          <cell r="Y5912" t="str">
            <v>TURKEY</v>
          </cell>
        </row>
        <row r="5913">
          <cell r="L5913" t="str">
            <v>Non-proportional</v>
          </cell>
          <cell r="S5913">
            <v>6.16</v>
          </cell>
          <cell r="X5913" t="str">
            <v>Commissions - gross</v>
          </cell>
          <cell r="Y5913" t="str">
            <v>INDIA</v>
          </cell>
        </row>
        <row r="5914">
          <cell r="L5914" t="str">
            <v>Non-proportional</v>
          </cell>
          <cell r="S5914">
            <v>74.7</v>
          </cell>
          <cell r="X5914" t="str">
            <v>Commissions - gross</v>
          </cell>
          <cell r="Y5914" t="str">
            <v>JAPAN</v>
          </cell>
        </row>
        <row r="5915">
          <cell r="L5915" t="str">
            <v>Non-proportional</v>
          </cell>
          <cell r="S5915">
            <v>213.28</v>
          </cell>
          <cell r="X5915" t="str">
            <v>Commissions - gross</v>
          </cell>
          <cell r="Y5915" t="str">
            <v>JAPAN</v>
          </cell>
        </row>
        <row r="5916">
          <cell r="L5916" t="str">
            <v>Non-proportional</v>
          </cell>
          <cell r="S5916">
            <v>991.57</v>
          </cell>
          <cell r="X5916" t="str">
            <v>Commissions - gross</v>
          </cell>
          <cell r="Y5916" t="str">
            <v>NETHERLANDS</v>
          </cell>
        </row>
        <row r="5917">
          <cell r="L5917" t="str">
            <v>Non-proportional</v>
          </cell>
          <cell r="S5917">
            <v>309.51</v>
          </cell>
          <cell r="X5917" t="str">
            <v>Commissions - gross</v>
          </cell>
          <cell r="Y5917" t="str">
            <v>CHILE</v>
          </cell>
        </row>
        <row r="5918">
          <cell r="L5918" t="str">
            <v>Non-proportional</v>
          </cell>
          <cell r="S5918">
            <v>571.16999999999996</v>
          </cell>
          <cell r="X5918" t="str">
            <v>Commissions - gross</v>
          </cell>
          <cell r="Y5918" t="str">
            <v>SPAIN</v>
          </cell>
        </row>
        <row r="5919">
          <cell r="L5919" t="str">
            <v>Non-proportional</v>
          </cell>
          <cell r="S5919">
            <v>69.86</v>
          </cell>
          <cell r="X5919" t="str">
            <v>Commissions - gross</v>
          </cell>
          <cell r="Y5919" t="str">
            <v>ITALY</v>
          </cell>
        </row>
        <row r="5920">
          <cell r="L5920" t="str">
            <v>Non-proportional</v>
          </cell>
          <cell r="S5920">
            <v>2166.67</v>
          </cell>
          <cell r="X5920" t="str">
            <v>Commissions - gross</v>
          </cell>
          <cell r="Y5920" t="str">
            <v>FRANCE</v>
          </cell>
        </row>
        <row r="5921">
          <cell r="L5921" t="str">
            <v>Non-proportional</v>
          </cell>
          <cell r="S5921">
            <v>4566.66</v>
          </cell>
          <cell r="X5921" t="str">
            <v>Commissions - gross</v>
          </cell>
          <cell r="Y5921" t="str">
            <v>UNITED KINGDOM</v>
          </cell>
        </row>
        <row r="5922">
          <cell r="L5922" t="str">
            <v>Non-proportional</v>
          </cell>
          <cell r="S5922">
            <v>1056.56</v>
          </cell>
          <cell r="X5922" t="str">
            <v>Commissions - gross</v>
          </cell>
          <cell r="Y5922" t="str">
            <v>COSTA RICA</v>
          </cell>
        </row>
        <row r="5923">
          <cell r="L5923" t="str">
            <v>Non-proportional</v>
          </cell>
          <cell r="S5923">
            <v>3122.74</v>
          </cell>
          <cell r="X5923" t="str">
            <v>Commissions - gross</v>
          </cell>
          <cell r="Y5923" t="str">
            <v>TURKEY</v>
          </cell>
        </row>
        <row r="5924">
          <cell r="L5924" t="str">
            <v>Non-proportional</v>
          </cell>
          <cell r="S5924">
            <v>791.98</v>
          </cell>
          <cell r="X5924" t="str">
            <v>Commissions - gross</v>
          </cell>
          <cell r="Y5924" t="str">
            <v>PUERTO RICO</v>
          </cell>
        </row>
        <row r="5925">
          <cell r="L5925" t="str">
            <v>Non-proportional</v>
          </cell>
          <cell r="S5925">
            <v>65.489999999999995</v>
          </cell>
          <cell r="X5925" t="str">
            <v>Commissions - gross</v>
          </cell>
          <cell r="Y5925" t="str">
            <v>NEW ZEALAND</v>
          </cell>
        </row>
        <row r="5926">
          <cell r="L5926" t="str">
            <v>Non-proportional</v>
          </cell>
          <cell r="S5926">
            <v>1057.58</v>
          </cell>
          <cell r="X5926" t="str">
            <v>Commissions - gross</v>
          </cell>
          <cell r="Y5926" t="str">
            <v>COLOMBIA</v>
          </cell>
        </row>
        <row r="5927">
          <cell r="L5927" t="str">
            <v>Non-proportional</v>
          </cell>
          <cell r="S5927">
            <v>415.95</v>
          </cell>
          <cell r="X5927" t="str">
            <v>Commissions - gross</v>
          </cell>
          <cell r="Y5927" t="str">
            <v>SINGAPORE</v>
          </cell>
        </row>
        <row r="5928">
          <cell r="L5928" t="str">
            <v>Non-proportional</v>
          </cell>
          <cell r="S5928">
            <v>93.22</v>
          </cell>
          <cell r="X5928" t="str">
            <v>Commissions - gross</v>
          </cell>
          <cell r="Y5928" t="str">
            <v>UNITED KINGDOM</v>
          </cell>
        </row>
        <row r="5929">
          <cell r="L5929" t="str">
            <v>Non-proportional</v>
          </cell>
          <cell r="S5929">
            <v>435.91</v>
          </cell>
          <cell r="X5929" t="str">
            <v>Commissions - gross</v>
          </cell>
          <cell r="Y5929" t="str">
            <v>COLOMBIA</v>
          </cell>
        </row>
        <row r="5930">
          <cell r="L5930" t="str">
            <v>Non-proportional</v>
          </cell>
          <cell r="S5930">
            <v>204.38</v>
          </cell>
          <cell r="X5930" t="str">
            <v>Commissions - gross</v>
          </cell>
          <cell r="Y5930" t="str">
            <v>GREECE</v>
          </cell>
        </row>
        <row r="5931">
          <cell r="L5931" t="str">
            <v>Non-proportional</v>
          </cell>
          <cell r="S5931">
            <v>439.48</v>
          </cell>
          <cell r="X5931" t="str">
            <v>Commissions - gross</v>
          </cell>
          <cell r="Y5931" t="str">
            <v>UNITED KINGDOM</v>
          </cell>
        </row>
        <row r="5932">
          <cell r="L5932" t="str">
            <v>Non-proportional</v>
          </cell>
          <cell r="S5932">
            <v>5.5</v>
          </cell>
          <cell r="X5932" t="str">
            <v>Commissions - gross</v>
          </cell>
          <cell r="Y5932" t="str">
            <v>GUATEMALA</v>
          </cell>
        </row>
        <row r="5933">
          <cell r="L5933" t="str">
            <v>Non-proportional</v>
          </cell>
          <cell r="S5933">
            <v>8.75</v>
          </cell>
          <cell r="X5933" t="str">
            <v>Commissions - gross</v>
          </cell>
          <cell r="Y5933" t="str">
            <v>GUATEMALA</v>
          </cell>
        </row>
        <row r="5934">
          <cell r="L5934" t="str">
            <v>Non-proportional</v>
          </cell>
          <cell r="S5934">
            <v>0</v>
          </cell>
          <cell r="X5934" t="str">
            <v>Commissions - gross</v>
          </cell>
          <cell r="Y5934" t="str">
            <v>DOMINICAN REPUBLIC</v>
          </cell>
        </row>
        <row r="5935">
          <cell r="L5935" t="str">
            <v>Non-proportional</v>
          </cell>
          <cell r="S5935">
            <v>348.2</v>
          </cell>
          <cell r="X5935" t="str">
            <v>Commissions - gross</v>
          </cell>
          <cell r="Y5935" t="str">
            <v>CHILE</v>
          </cell>
        </row>
        <row r="5936">
          <cell r="L5936" t="str">
            <v>Non-proportional</v>
          </cell>
          <cell r="S5936">
            <v>124.13</v>
          </cell>
          <cell r="X5936" t="str">
            <v>Commissions - gross</v>
          </cell>
          <cell r="Y5936" t="str">
            <v>COLOMBIA</v>
          </cell>
        </row>
        <row r="5937">
          <cell r="L5937" t="str">
            <v>Non-proportional</v>
          </cell>
          <cell r="S5937">
            <v>28.63</v>
          </cell>
          <cell r="X5937" t="str">
            <v>Commissions - gross</v>
          </cell>
          <cell r="Y5937" t="str">
            <v>REPUBLIC OF IRELAND</v>
          </cell>
        </row>
        <row r="5938">
          <cell r="L5938" t="str">
            <v>Non-proportional</v>
          </cell>
          <cell r="S5938">
            <v>20.57</v>
          </cell>
          <cell r="X5938" t="str">
            <v>Commissions - gross</v>
          </cell>
          <cell r="Y5938" t="str">
            <v>FRANCE</v>
          </cell>
        </row>
        <row r="5939">
          <cell r="L5939" t="str">
            <v>Non-proportional</v>
          </cell>
          <cell r="S5939">
            <v>14.21</v>
          </cell>
          <cell r="X5939" t="str">
            <v>Commissions - gross</v>
          </cell>
          <cell r="Y5939" t="str">
            <v>JAPAN</v>
          </cell>
        </row>
        <row r="5940">
          <cell r="L5940" t="str">
            <v>Non-proportional</v>
          </cell>
          <cell r="S5940">
            <v>141.59</v>
          </cell>
          <cell r="X5940" t="str">
            <v>Commissions - gross</v>
          </cell>
          <cell r="Y5940" t="str">
            <v>FRANCE</v>
          </cell>
        </row>
        <row r="5941">
          <cell r="L5941" t="str">
            <v>Non-proportional</v>
          </cell>
          <cell r="S5941">
            <v>391.73</v>
          </cell>
          <cell r="X5941" t="str">
            <v>Commissions - gross</v>
          </cell>
          <cell r="Y5941" t="str">
            <v>ITALY</v>
          </cell>
        </row>
        <row r="5942">
          <cell r="L5942" t="str">
            <v>Non-proportional</v>
          </cell>
          <cell r="S5942">
            <v>978.18</v>
          </cell>
          <cell r="X5942" t="str">
            <v>Commissions - gross</v>
          </cell>
          <cell r="Y5942" t="str">
            <v>UNITED KINGDOM</v>
          </cell>
        </row>
        <row r="5943">
          <cell r="L5943" t="str">
            <v>Non-proportional</v>
          </cell>
          <cell r="S5943">
            <v>153.41999999999999</v>
          </cell>
          <cell r="X5943" t="str">
            <v>Commissions - gross</v>
          </cell>
          <cell r="Y5943" t="str">
            <v>UNITED KINGDOM</v>
          </cell>
        </row>
        <row r="5944">
          <cell r="L5944" t="str">
            <v>Non-proportional</v>
          </cell>
          <cell r="S5944">
            <v>977.71</v>
          </cell>
          <cell r="X5944" t="str">
            <v>Commissions - gross</v>
          </cell>
          <cell r="Y5944" t="str">
            <v>ISRAEL</v>
          </cell>
        </row>
        <row r="5945">
          <cell r="L5945" t="str">
            <v>Non-proportional</v>
          </cell>
          <cell r="S5945">
            <v>165.5</v>
          </cell>
          <cell r="X5945" t="str">
            <v>Commissions - gross</v>
          </cell>
          <cell r="Y5945" t="str">
            <v>COLOMBIA</v>
          </cell>
        </row>
        <row r="5946">
          <cell r="L5946" t="str">
            <v>Non-proportional</v>
          </cell>
          <cell r="S5946">
            <v>1009.11</v>
          </cell>
          <cell r="X5946" t="str">
            <v>Commissions - gross</v>
          </cell>
          <cell r="Y5946" t="str">
            <v>UNITED KINGDOM</v>
          </cell>
        </row>
        <row r="5947">
          <cell r="L5947" t="str">
            <v>Non-proportional</v>
          </cell>
          <cell r="S5947">
            <v>1.39</v>
          </cell>
          <cell r="X5947" t="str">
            <v>Commissions - gross</v>
          </cell>
          <cell r="Y5947" t="str">
            <v>JAPAN</v>
          </cell>
        </row>
        <row r="5948">
          <cell r="L5948" t="str">
            <v>Non-proportional</v>
          </cell>
          <cell r="S5948">
            <v>46.48</v>
          </cell>
          <cell r="X5948" t="str">
            <v>Commissions - gross</v>
          </cell>
          <cell r="Y5948" t="str">
            <v>NEW ZEALAND</v>
          </cell>
        </row>
        <row r="5949">
          <cell r="L5949" t="str">
            <v>Non-proportional</v>
          </cell>
          <cell r="S5949">
            <v>-9.99</v>
          </cell>
          <cell r="X5949" t="str">
            <v>Commissions - gross</v>
          </cell>
          <cell r="Y5949" t="str">
            <v>JAPAN</v>
          </cell>
        </row>
        <row r="5950">
          <cell r="L5950" t="str">
            <v>Non-proportional</v>
          </cell>
          <cell r="S5950">
            <v>690.3</v>
          </cell>
          <cell r="X5950" t="str">
            <v>Commissions - gross</v>
          </cell>
          <cell r="Y5950" t="str">
            <v>UNITED KINGDOM</v>
          </cell>
        </row>
        <row r="5951">
          <cell r="L5951" t="str">
            <v>Non-proportional</v>
          </cell>
          <cell r="S5951">
            <v>696.4</v>
          </cell>
          <cell r="X5951" t="str">
            <v>Commissions - gross</v>
          </cell>
          <cell r="Y5951" t="str">
            <v>CHILE</v>
          </cell>
        </row>
        <row r="5952">
          <cell r="L5952" t="str">
            <v>Non-proportional</v>
          </cell>
          <cell r="S5952">
            <v>440.27</v>
          </cell>
          <cell r="X5952" t="str">
            <v>Commissions - gross</v>
          </cell>
          <cell r="Y5952" t="str">
            <v>THAILAND</v>
          </cell>
        </row>
        <row r="5953">
          <cell r="L5953" t="str">
            <v>Non-proportional</v>
          </cell>
          <cell r="S5953">
            <v>109.73</v>
          </cell>
          <cell r="X5953" t="str">
            <v>Commissions - gross</v>
          </cell>
          <cell r="Y5953" t="str">
            <v>ECUADOR</v>
          </cell>
        </row>
        <row r="5954">
          <cell r="L5954" t="str">
            <v>Non-proportional</v>
          </cell>
          <cell r="S5954">
            <v>346.17</v>
          </cell>
          <cell r="X5954" t="str">
            <v>Commissions - gross</v>
          </cell>
          <cell r="Y5954" t="str">
            <v>ISRAEL</v>
          </cell>
        </row>
        <row r="5955">
          <cell r="L5955" t="str">
            <v>Non-proportional</v>
          </cell>
          <cell r="S5955">
            <v>89.89</v>
          </cell>
          <cell r="X5955" t="str">
            <v>Commissions - gross</v>
          </cell>
          <cell r="Y5955" t="str">
            <v>FRANCE</v>
          </cell>
        </row>
        <row r="5956">
          <cell r="L5956" t="str">
            <v>Non-proportional</v>
          </cell>
          <cell r="S5956">
            <v>116.92</v>
          </cell>
          <cell r="X5956" t="str">
            <v>Commissions - gross</v>
          </cell>
          <cell r="Y5956" t="str">
            <v>ISRAEL</v>
          </cell>
        </row>
        <row r="5957">
          <cell r="L5957" t="str">
            <v>Non-proportional</v>
          </cell>
          <cell r="S5957">
            <v>539.46</v>
          </cell>
          <cell r="X5957" t="str">
            <v>Commissions - gross</v>
          </cell>
          <cell r="Y5957" t="str">
            <v>ECUADOR</v>
          </cell>
        </row>
        <row r="5958">
          <cell r="L5958" t="str">
            <v>Non-proportional</v>
          </cell>
          <cell r="S5958">
            <v>303.92</v>
          </cell>
          <cell r="X5958" t="str">
            <v>Commissions - gross</v>
          </cell>
          <cell r="Y5958" t="str">
            <v>ECUADOR</v>
          </cell>
        </row>
        <row r="5959">
          <cell r="L5959" t="str">
            <v>Non-proportional</v>
          </cell>
          <cell r="S5959">
            <v>324.48</v>
          </cell>
          <cell r="X5959" t="str">
            <v>Commissions - gross</v>
          </cell>
          <cell r="Y5959" t="str">
            <v>FRANCE</v>
          </cell>
        </row>
        <row r="5960">
          <cell r="L5960" t="str">
            <v>Non-proportional</v>
          </cell>
          <cell r="S5960">
            <v>767.4</v>
          </cell>
          <cell r="X5960" t="str">
            <v>Commissions - gross</v>
          </cell>
          <cell r="Y5960" t="str">
            <v>COLOMBIA</v>
          </cell>
        </row>
        <row r="5961">
          <cell r="L5961" t="str">
            <v>Non-proportional</v>
          </cell>
          <cell r="S5961">
            <v>541.65</v>
          </cell>
          <cell r="X5961" t="str">
            <v>Commissions - gross</v>
          </cell>
          <cell r="Y5961" t="str">
            <v>CHILE</v>
          </cell>
        </row>
        <row r="5962">
          <cell r="L5962" t="str">
            <v>Non-proportional</v>
          </cell>
          <cell r="S5962">
            <v>743.75</v>
          </cell>
          <cell r="X5962" t="str">
            <v>Commissions - gross</v>
          </cell>
          <cell r="Y5962" t="str">
            <v>ITALY</v>
          </cell>
        </row>
        <row r="5963">
          <cell r="L5963" t="str">
            <v>Non-proportional</v>
          </cell>
          <cell r="S5963">
            <v>442.62</v>
          </cell>
          <cell r="X5963" t="str">
            <v>Commissions - gross</v>
          </cell>
          <cell r="Y5963" t="str">
            <v>UNITED KINGDOM</v>
          </cell>
        </row>
        <row r="5964">
          <cell r="L5964" t="str">
            <v>Non-proportional</v>
          </cell>
          <cell r="S5964">
            <v>8794.68</v>
          </cell>
          <cell r="X5964" t="str">
            <v>Commissions - gross</v>
          </cell>
          <cell r="Y5964" t="str">
            <v>UNITED KINGDOM</v>
          </cell>
        </row>
        <row r="5965">
          <cell r="L5965" t="str">
            <v>Non-proportional</v>
          </cell>
          <cell r="S5965">
            <v>11151.98</v>
          </cell>
          <cell r="X5965" t="str">
            <v>Commissions - gross</v>
          </cell>
          <cell r="Y5965" t="str">
            <v>UNITED KINGDOM</v>
          </cell>
        </row>
        <row r="5966">
          <cell r="L5966" t="str">
            <v>Non-proportional</v>
          </cell>
          <cell r="S5966">
            <v>-77.38</v>
          </cell>
          <cell r="X5966" t="str">
            <v>Commissions - gross</v>
          </cell>
          <cell r="Y5966" t="str">
            <v>CHILE</v>
          </cell>
        </row>
        <row r="5967">
          <cell r="L5967" t="str">
            <v>Non-proportional</v>
          </cell>
          <cell r="S5967">
            <v>870.83</v>
          </cell>
          <cell r="X5967" t="str">
            <v>Commissions - gross</v>
          </cell>
          <cell r="Y5967" t="str">
            <v>TURKEY</v>
          </cell>
        </row>
        <row r="5968">
          <cell r="L5968" t="str">
            <v>Non-proportional</v>
          </cell>
          <cell r="S5968">
            <v>39</v>
          </cell>
          <cell r="X5968" t="str">
            <v>Commissions - gross</v>
          </cell>
          <cell r="Y5968" t="str">
            <v>ITALY</v>
          </cell>
        </row>
        <row r="5969">
          <cell r="L5969" t="str">
            <v>Non-proportional</v>
          </cell>
          <cell r="S5969">
            <v>666.65</v>
          </cell>
          <cell r="X5969" t="str">
            <v>Commissions - gross</v>
          </cell>
          <cell r="Y5969" t="str">
            <v>ITALY</v>
          </cell>
        </row>
        <row r="5970">
          <cell r="L5970" t="str">
            <v>Non-proportional</v>
          </cell>
          <cell r="S5970">
            <v>16.75</v>
          </cell>
          <cell r="X5970" t="str">
            <v>Commissions - gross</v>
          </cell>
          <cell r="Y5970" t="str">
            <v>FRANCE</v>
          </cell>
        </row>
        <row r="5971">
          <cell r="L5971" t="str">
            <v>Non-proportional</v>
          </cell>
          <cell r="S5971">
            <v>15.16</v>
          </cell>
          <cell r="X5971" t="str">
            <v>Commissions - gross</v>
          </cell>
          <cell r="Y5971" t="str">
            <v>ISRAEL</v>
          </cell>
        </row>
        <row r="5972">
          <cell r="L5972" t="str">
            <v>Proportional</v>
          </cell>
          <cell r="S5972">
            <v>114.58</v>
          </cell>
          <cell r="X5972" t="str">
            <v>Commissions - gross</v>
          </cell>
          <cell r="Y5972" t="str">
            <v>ITALY</v>
          </cell>
        </row>
        <row r="5973">
          <cell r="L5973" t="str">
            <v>Non-proportional</v>
          </cell>
          <cell r="S5973">
            <v>-39.14</v>
          </cell>
          <cell r="X5973" t="str">
            <v>Commissions - gross</v>
          </cell>
          <cell r="Y5973" t="str">
            <v>COLOMBIA</v>
          </cell>
        </row>
        <row r="5974">
          <cell r="L5974" t="str">
            <v>Non-proportional</v>
          </cell>
          <cell r="S5974">
            <v>1449.73</v>
          </cell>
          <cell r="X5974" t="str">
            <v>Commissions - gross</v>
          </cell>
          <cell r="Y5974" t="str">
            <v>UNITED KINGDOM</v>
          </cell>
        </row>
        <row r="5975">
          <cell r="L5975" t="str">
            <v>Non-proportional</v>
          </cell>
          <cell r="S5975">
            <v>1638.3</v>
          </cell>
          <cell r="X5975" t="str">
            <v>Commissions - gross</v>
          </cell>
          <cell r="Y5975" t="str">
            <v>UNITED KINGDOM</v>
          </cell>
        </row>
        <row r="5976">
          <cell r="L5976" t="str">
            <v>Non-proportional</v>
          </cell>
          <cell r="S5976">
            <v>232.13</v>
          </cell>
          <cell r="X5976" t="str">
            <v>Commissions - gross</v>
          </cell>
          <cell r="Y5976" t="str">
            <v>CHILE</v>
          </cell>
        </row>
        <row r="5977">
          <cell r="L5977" t="str">
            <v>Non-proportional</v>
          </cell>
          <cell r="S5977">
            <v>165.59</v>
          </cell>
          <cell r="X5977" t="str">
            <v>Commissions - gross</v>
          </cell>
          <cell r="Y5977" t="str">
            <v>ISRAEL</v>
          </cell>
        </row>
        <row r="5978">
          <cell r="L5978" t="str">
            <v>Non-proportional</v>
          </cell>
          <cell r="S5978">
            <v>2.42</v>
          </cell>
          <cell r="X5978" t="str">
            <v>Commissions - gross</v>
          </cell>
          <cell r="Y5978" t="str">
            <v>INDIA</v>
          </cell>
        </row>
        <row r="5979">
          <cell r="L5979" t="str">
            <v>Non-proportional</v>
          </cell>
          <cell r="S5979">
            <v>639.35</v>
          </cell>
          <cell r="X5979" t="str">
            <v>Commissions - gross</v>
          </cell>
          <cell r="Y5979" t="str">
            <v>NETHERLANDS</v>
          </cell>
        </row>
        <row r="5980">
          <cell r="L5980" t="str">
            <v>Non-proportional</v>
          </cell>
          <cell r="S5980">
            <v>375.21</v>
          </cell>
          <cell r="X5980" t="str">
            <v>Commissions - gross</v>
          </cell>
          <cell r="Y5980" t="str">
            <v>AUSTRALIA</v>
          </cell>
        </row>
        <row r="5981">
          <cell r="L5981" t="str">
            <v>Non-proportional</v>
          </cell>
          <cell r="S5981">
            <v>3567.85</v>
          </cell>
          <cell r="X5981" t="str">
            <v>Commissions - gross</v>
          </cell>
          <cell r="Y5981" t="str">
            <v>HONG KONG</v>
          </cell>
        </row>
        <row r="5982">
          <cell r="L5982" t="str">
            <v>Non-proportional</v>
          </cell>
          <cell r="S5982">
            <v>452.34</v>
          </cell>
          <cell r="X5982" t="str">
            <v>Commissions - gross</v>
          </cell>
          <cell r="Y5982" t="str">
            <v>THAILAND</v>
          </cell>
        </row>
        <row r="5983">
          <cell r="L5983" t="str">
            <v>Non-proportional</v>
          </cell>
          <cell r="S5983">
            <v>-5.39</v>
          </cell>
          <cell r="X5983" t="str">
            <v>Commissions - gross</v>
          </cell>
          <cell r="Y5983" t="str">
            <v>DOMINICAN REPUBLIC</v>
          </cell>
        </row>
        <row r="5984">
          <cell r="L5984" t="str">
            <v>Non-proportional</v>
          </cell>
          <cell r="S5984">
            <v>125.78</v>
          </cell>
          <cell r="X5984" t="str">
            <v>Commissions - gross</v>
          </cell>
          <cell r="Y5984" t="str">
            <v>ITALY</v>
          </cell>
        </row>
        <row r="5985">
          <cell r="L5985" t="str">
            <v>Non-proportional</v>
          </cell>
          <cell r="S5985">
            <v>-8.59</v>
          </cell>
          <cell r="X5985" t="str">
            <v>Commissions - gross</v>
          </cell>
          <cell r="Y5985" t="str">
            <v>COLOMBIA</v>
          </cell>
        </row>
        <row r="5986">
          <cell r="L5986" t="str">
            <v>Non-proportional</v>
          </cell>
          <cell r="S5986">
            <v>41.77</v>
          </cell>
          <cell r="X5986" t="str">
            <v>Commissions - gross</v>
          </cell>
          <cell r="Y5986" t="str">
            <v>NETHERLANDS</v>
          </cell>
        </row>
        <row r="5987">
          <cell r="L5987" t="str">
            <v>Non-proportional</v>
          </cell>
          <cell r="S5987">
            <v>581.74</v>
          </cell>
          <cell r="X5987" t="str">
            <v>Commissions - gross</v>
          </cell>
          <cell r="Y5987" t="str">
            <v>ISRAEL</v>
          </cell>
        </row>
        <row r="5988">
          <cell r="L5988" t="str">
            <v>Non-proportional</v>
          </cell>
          <cell r="S5988">
            <v>3445.68</v>
          </cell>
          <cell r="X5988" t="str">
            <v>Commissions - gross</v>
          </cell>
          <cell r="Y5988" t="str">
            <v>TURKEY</v>
          </cell>
        </row>
        <row r="5989">
          <cell r="L5989" t="str">
            <v>Non-proportional</v>
          </cell>
          <cell r="S5989">
            <v>0</v>
          </cell>
          <cell r="X5989" t="str">
            <v>Commissions - gross</v>
          </cell>
          <cell r="Y5989" t="str">
            <v>DOMINICAN REPUBLIC</v>
          </cell>
        </row>
        <row r="5990">
          <cell r="L5990" t="str">
            <v>Non-proportional</v>
          </cell>
          <cell r="S5990">
            <v>88.44</v>
          </cell>
          <cell r="X5990" t="str">
            <v>Commissions - gross</v>
          </cell>
          <cell r="Y5990" t="str">
            <v>FRANCE</v>
          </cell>
        </row>
        <row r="5991">
          <cell r="L5991" t="str">
            <v>Non-proportional</v>
          </cell>
          <cell r="S5991">
            <v>2453.56</v>
          </cell>
          <cell r="X5991" t="str">
            <v>Commissions - gross</v>
          </cell>
          <cell r="Y5991" t="str">
            <v>NEW ZEALAND</v>
          </cell>
        </row>
        <row r="5992">
          <cell r="L5992" t="str">
            <v>Non-proportional</v>
          </cell>
          <cell r="S5992">
            <v>109.26</v>
          </cell>
          <cell r="X5992" t="str">
            <v>Commissions - gross</v>
          </cell>
          <cell r="Y5992" t="str">
            <v>JAPAN</v>
          </cell>
        </row>
        <row r="5993">
          <cell r="L5993" t="str">
            <v>Non-proportional</v>
          </cell>
          <cell r="S5993">
            <v>533.16999999999996</v>
          </cell>
          <cell r="X5993" t="str">
            <v>Commissions - gross</v>
          </cell>
          <cell r="Y5993" t="str">
            <v>ISRAEL</v>
          </cell>
        </row>
        <row r="5994">
          <cell r="L5994" t="str">
            <v>Proportional</v>
          </cell>
          <cell r="S5994">
            <v>430.53</v>
          </cell>
          <cell r="X5994" t="str">
            <v>Commissions - gross</v>
          </cell>
          <cell r="Y5994" t="str">
            <v>SWITZERLAND</v>
          </cell>
        </row>
        <row r="5995">
          <cell r="L5995" t="str">
            <v>Non-proportional</v>
          </cell>
          <cell r="S5995">
            <v>67.2</v>
          </cell>
          <cell r="X5995" t="str">
            <v>Commissions - gross</v>
          </cell>
          <cell r="Y5995" t="str">
            <v>MEXICO</v>
          </cell>
        </row>
        <row r="5996">
          <cell r="L5996" t="str">
            <v>Non-proportional</v>
          </cell>
          <cell r="S5996">
            <v>145.83000000000001</v>
          </cell>
          <cell r="X5996" t="str">
            <v>Commissions - gross</v>
          </cell>
          <cell r="Y5996" t="str">
            <v>ITALY</v>
          </cell>
        </row>
        <row r="5997">
          <cell r="L5997" t="str">
            <v>Non-proportional</v>
          </cell>
          <cell r="S5997">
            <v>1219.3900000000001</v>
          </cell>
          <cell r="X5997" t="str">
            <v>Commissions - gross</v>
          </cell>
          <cell r="Y5997" t="str">
            <v>AUSTRALIA</v>
          </cell>
        </row>
        <row r="5998">
          <cell r="L5998" t="str">
            <v>Non-proportional</v>
          </cell>
          <cell r="S5998">
            <v>2.12</v>
          </cell>
          <cell r="X5998" t="str">
            <v>Commissions - gross</v>
          </cell>
          <cell r="Y5998" t="str">
            <v>JAPAN</v>
          </cell>
        </row>
        <row r="5999">
          <cell r="L5999" t="str">
            <v>Non-proportional</v>
          </cell>
          <cell r="S5999">
            <v>0</v>
          </cell>
          <cell r="X5999" t="str">
            <v>Commissions - gross</v>
          </cell>
          <cell r="Y5999" t="str">
            <v>DOMINICAN REPUBLIC</v>
          </cell>
        </row>
        <row r="6000">
          <cell r="L6000" t="str">
            <v>Non-proportional</v>
          </cell>
          <cell r="S6000">
            <v>585.13</v>
          </cell>
          <cell r="X6000" t="str">
            <v>Commissions - gross</v>
          </cell>
          <cell r="Y6000" t="str">
            <v>ITALY</v>
          </cell>
        </row>
        <row r="6001">
          <cell r="L6001" t="str">
            <v>Non-proportional</v>
          </cell>
          <cell r="S6001">
            <v>560.04</v>
          </cell>
          <cell r="X6001" t="str">
            <v>Commissions - gross</v>
          </cell>
          <cell r="Y6001" t="str">
            <v>ISRAEL</v>
          </cell>
        </row>
        <row r="6002">
          <cell r="L6002" t="str">
            <v>Non-proportional</v>
          </cell>
          <cell r="S6002">
            <v>265.14999999999998</v>
          </cell>
          <cell r="X6002" t="str">
            <v>Commissions - gross</v>
          </cell>
          <cell r="Y6002" t="str">
            <v>ISRAEL</v>
          </cell>
        </row>
        <row r="6003">
          <cell r="L6003" t="str">
            <v>Non-proportional</v>
          </cell>
          <cell r="S6003">
            <v>794.55</v>
          </cell>
          <cell r="X6003" t="str">
            <v>Commissions - gross</v>
          </cell>
          <cell r="Y6003" t="str">
            <v>UNITED KINGDOM</v>
          </cell>
        </row>
        <row r="6004">
          <cell r="L6004" t="str">
            <v>Non-proportional</v>
          </cell>
          <cell r="S6004">
            <v>220.62</v>
          </cell>
          <cell r="X6004" t="str">
            <v>Commissions - gross</v>
          </cell>
          <cell r="Y6004" t="str">
            <v>AUSTRALIA</v>
          </cell>
        </row>
        <row r="6005">
          <cell r="L6005" t="str">
            <v>Non-proportional</v>
          </cell>
          <cell r="S6005">
            <v>13.29</v>
          </cell>
          <cell r="X6005" t="str">
            <v>Commissions - gross</v>
          </cell>
          <cell r="Y6005" t="str">
            <v>ITALY</v>
          </cell>
        </row>
        <row r="6006">
          <cell r="L6006" t="str">
            <v>Non-proportional</v>
          </cell>
          <cell r="S6006">
            <v>328.66</v>
          </cell>
          <cell r="X6006" t="str">
            <v>Commissions - gross</v>
          </cell>
          <cell r="Y6006" t="str">
            <v>UNITED KINGDOM</v>
          </cell>
        </row>
        <row r="6007">
          <cell r="L6007" t="str">
            <v>Non-proportional</v>
          </cell>
          <cell r="S6007">
            <v>1201.19</v>
          </cell>
          <cell r="X6007" t="str">
            <v>Commissions - gross</v>
          </cell>
          <cell r="Y6007" t="str">
            <v>FRANCE</v>
          </cell>
        </row>
        <row r="6008">
          <cell r="L6008" t="str">
            <v>Non-proportional</v>
          </cell>
          <cell r="S6008">
            <v>3599.73</v>
          </cell>
          <cell r="X6008" t="str">
            <v>Commissions - gross</v>
          </cell>
          <cell r="Y6008" t="str">
            <v>UNITED KINGDOM</v>
          </cell>
        </row>
        <row r="6009">
          <cell r="L6009" t="str">
            <v>Non-proportional</v>
          </cell>
          <cell r="S6009">
            <v>61.25</v>
          </cell>
          <cell r="X6009" t="str">
            <v>Commissions - gross</v>
          </cell>
          <cell r="Y6009" t="str">
            <v>GREECE</v>
          </cell>
        </row>
        <row r="6010">
          <cell r="L6010" t="str">
            <v>Non-proportional</v>
          </cell>
          <cell r="S6010">
            <v>88.5</v>
          </cell>
          <cell r="X6010" t="str">
            <v>Commissions - gross</v>
          </cell>
          <cell r="Y6010" t="str">
            <v>ECUADOR</v>
          </cell>
        </row>
        <row r="6011">
          <cell r="L6011" t="str">
            <v>Non-proportional</v>
          </cell>
          <cell r="S6011">
            <v>443.21</v>
          </cell>
          <cell r="X6011" t="str">
            <v>Commissions - gross</v>
          </cell>
          <cell r="Y6011" t="str">
            <v>ECUADOR</v>
          </cell>
        </row>
        <row r="6012">
          <cell r="L6012" t="str">
            <v>Non-proportional</v>
          </cell>
          <cell r="S6012">
            <v>662.31</v>
          </cell>
          <cell r="X6012" t="str">
            <v>Commissions - gross</v>
          </cell>
          <cell r="Y6012" t="str">
            <v>CYPRUS</v>
          </cell>
        </row>
        <row r="6013">
          <cell r="L6013" t="str">
            <v>Non-proportional</v>
          </cell>
          <cell r="S6013">
            <v>851.16</v>
          </cell>
          <cell r="X6013" t="str">
            <v>Commissions - gross</v>
          </cell>
          <cell r="Y6013" t="str">
            <v>CHILE</v>
          </cell>
        </row>
        <row r="6014">
          <cell r="L6014" t="str">
            <v>Non-proportional</v>
          </cell>
          <cell r="S6014">
            <v>2884.86</v>
          </cell>
          <cell r="X6014" t="str">
            <v>Commissions - gross</v>
          </cell>
          <cell r="Y6014" t="str">
            <v>FRANCE</v>
          </cell>
        </row>
        <row r="6015">
          <cell r="L6015" t="str">
            <v>Non-proportional</v>
          </cell>
          <cell r="S6015">
            <v>1996.77</v>
          </cell>
          <cell r="X6015" t="str">
            <v>Commissions - gross</v>
          </cell>
          <cell r="Y6015" t="str">
            <v>FRANCE</v>
          </cell>
        </row>
        <row r="6016">
          <cell r="L6016" t="str">
            <v>Non-proportional</v>
          </cell>
          <cell r="S6016">
            <v>3000</v>
          </cell>
          <cell r="X6016" t="str">
            <v>Commissions - gross</v>
          </cell>
          <cell r="Y6016" t="str">
            <v>FRANCE</v>
          </cell>
        </row>
        <row r="6017">
          <cell r="L6017" t="str">
            <v>Non-proportional</v>
          </cell>
          <cell r="S6017">
            <v>-57.43</v>
          </cell>
          <cell r="X6017" t="str">
            <v>Commissions - gross</v>
          </cell>
          <cell r="Y6017" t="str">
            <v>AUSTRALIA</v>
          </cell>
        </row>
        <row r="6018">
          <cell r="L6018" t="str">
            <v>Non-proportional</v>
          </cell>
          <cell r="S6018">
            <v>210.15</v>
          </cell>
          <cell r="X6018" t="str">
            <v>Commissions - gross</v>
          </cell>
          <cell r="Y6018" t="str">
            <v>AUSTRALIA</v>
          </cell>
        </row>
        <row r="6019">
          <cell r="L6019" t="str">
            <v>Non-proportional</v>
          </cell>
          <cell r="S6019">
            <v>2318.75</v>
          </cell>
          <cell r="X6019" t="str">
            <v>Commissions - gross</v>
          </cell>
          <cell r="Y6019" t="str">
            <v>ITALY</v>
          </cell>
        </row>
        <row r="6020">
          <cell r="L6020" t="str">
            <v>Non-proportional</v>
          </cell>
          <cell r="S6020">
            <v>-6.42</v>
          </cell>
          <cell r="X6020" t="str">
            <v>Commissions - gross</v>
          </cell>
          <cell r="Y6020" t="str">
            <v>DOMINICAN REPUBLIC</v>
          </cell>
        </row>
        <row r="6021">
          <cell r="L6021" t="str">
            <v>Non-proportional</v>
          </cell>
          <cell r="S6021">
            <v>129.76</v>
          </cell>
          <cell r="X6021" t="str">
            <v>Commissions - gross</v>
          </cell>
          <cell r="Y6021" t="str">
            <v>COLOMBIA</v>
          </cell>
        </row>
        <row r="6022">
          <cell r="L6022" t="str">
            <v>Non-proportional</v>
          </cell>
          <cell r="S6022">
            <v>527.74</v>
          </cell>
          <cell r="X6022" t="str">
            <v>Commissions - gross</v>
          </cell>
          <cell r="Y6022" t="str">
            <v>DOMINICAN REPUBLIC</v>
          </cell>
        </row>
        <row r="6023">
          <cell r="L6023" t="str">
            <v>Non-proportional</v>
          </cell>
          <cell r="S6023">
            <v>77.38</v>
          </cell>
          <cell r="X6023" t="str">
            <v>Commissions - gross</v>
          </cell>
          <cell r="Y6023" t="str">
            <v>CHILE</v>
          </cell>
        </row>
        <row r="6024">
          <cell r="L6024" t="str">
            <v>Non-proportional</v>
          </cell>
          <cell r="S6024">
            <v>176.64</v>
          </cell>
          <cell r="X6024" t="str">
            <v>Commissions - gross</v>
          </cell>
          <cell r="Y6024" t="str">
            <v>NEW ZEALAND</v>
          </cell>
        </row>
        <row r="6025">
          <cell r="L6025" t="str">
            <v>Non-proportional</v>
          </cell>
          <cell r="S6025">
            <v>2217.21</v>
          </cell>
          <cell r="X6025" t="str">
            <v>Commissions - gross</v>
          </cell>
          <cell r="Y6025" t="str">
            <v>UNITED KINGDOM</v>
          </cell>
        </row>
        <row r="6026">
          <cell r="L6026" t="str">
            <v>Non-proportional</v>
          </cell>
          <cell r="S6026">
            <v>31.07</v>
          </cell>
          <cell r="X6026" t="str">
            <v>Commissions - gross</v>
          </cell>
          <cell r="Y6026" t="str">
            <v>ITALY</v>
          </cell>
        </row>
        <row r="6027">
          <cell r="L6027" t="str">
            <v>Non-proportional</v>
          </cell>
          <cell r="S6027">
            <v>0</v>
          </cell>
          <cell r="X6027" t="str">
            <v>Commissions - gross</v>
          </cell>
          <cell r="Y6027" t="str">
            <v>DOMINICAN REPUBLIC</v>
          </cell>
        </row>
        <row r="6028">
          <cell r="L6028" t="str">
            <v>Non-proportional</v>
          </cell>
          <cell r="S6028">
            <v>-25.03</v>
          </cell>
          <cell r="X6028" t="str">
            <v>Commissions - gross</v>
          </cell>
          <cell r="Y6028" t="str">
            <v>SOUTH KOREA</v>
          </cell>
        </row>
        <row r="6029">
          <cell r="L6029" t="str">
            <v>Non-proportional</v>
          </cell>
          <cell r="S6029">
            <v>11551.89</v>
          </cell>
          <cell r="X6029" t="str">
            <v>Commissions - gross</v>
          </cell>
          <cell r="Y6029" t="str">
            <v>UNITED KINGDOM</v>
          </cell>
        </row>
        <row r="6030">
          <cell r="L6030" t="str">
            <v>Non-proportional</v>
          </cell>
          <cell r="S6030">
            <v>547.17999999999995</v>
          </cell>
          <cell r="X6030" t="str">
            <v>Commissions - gross</v>
          </cell>
          <cell r="Y6030" t="str">
            <v>ISRAEL</v>
          </cell>
        </row>
        <row r="6031">
          <cell r="L6031" t="str">
            <v>Non-proportional</v>
          </cell>
          <cell r="S6031">
            <v>382.73</v>
          </cell>
          <cell r="X6031" t="str">
            <v>Commissions - gross</v>
          </cell>
          <cell r="Y6031" t="str">
            <v>COLOMBIA</v>
          </cell>
        </row>
        <row r="6032">
          <cell r="L6032" t="str">
            <v>Non-proportional</v>
          </cell>
          <cell r="S6032">
            <v>-7.42</v>
          </cell>
          <cell r="X6032" t="str">
            <v>Commissions - gross</v>
          </cell>
          <cell r="Y6032" t="str">
            <v>COLOMBIA</v>
          </cell>
        </row>
        <row r="6033">
          <cell r="L6033" t="str">
            <v>Non-proportional</v>
          </cell>
          <cell r="S6033">
            <v>695.78</v>
          </cell>
          <cell r="X6033" t="str">
            <v>Commissions - gross</v>
          </cell>
          <cell r="Y6033" t="str">
            <v>ITALY</v>
          </cell>
        </row>
        <row r="6034">
          <cell r="L6034" t="str">
            <v>Non-proportional</v>
          </cell>
          <cell r="S6034">
            <v>23.22</v>
          </cell>
          <cell r="X6034" t="str">
            <v>Commissions - gross</v>
          </cell>
          <cell r="Y6034" t="str">
            <v>TURKEY</v>
          </cell>
        </row>
        <row r="6035">
          <cell r="L6035" t="str">
            <v>Proportional</v>
          </cell>
          <cell r="S6035">
            <v>2.79</v>
          </cell>
          <cell r="X6035" t="str">
            <v>Commissions - gross</v>
          </cell>
          <cell r="Y6035" t="str">
            <v>UNITED STATES</v>
          </cell>
        </row>
        <row r="6036">
          <cell r="L6036" t="str">
            <v>Non-proportional</v>
          </cell>
          <cell r="S6036">
            <v>362.43</v>
          </cell>
          <cell r="X6036" t="str">
            <v>Commissions - gross</v>
          </cell>
          <cell r="Y6036" t="str">
            <v>COLOMBIA</v>
          </cell>
        </row>
        <row r="6037">
          <cell r="L6037" t="str">
            <v>Non-proportional</v>
          </cell>
          <cell r="S6037">
            <v>104.87</v>
          </cell>
          <cell r="X6037" t="str">
            <v>Commissions - gross</v>
          </cell>
          <cell r="Y6037" t="str">
            <v>PERU</v>
          </cell>
        </row>
        <row r="6038">
          <cell r="L6038" t="str">
            <v>Non-proportional</v>
          </cell>
          <cell r="S6038">
            <v>3051.95</v>
          </cell>
          <cell r="X6038" t="str">
            <v>Commissions - gross</v>
          </cell>
          <cell r="Y6038" t="str">
            <v>UNITED KINGDOM</v>
          </cell>
        </row>
        <row r="6039">
          <cell r="L6039" t="str">
            <v>Non-proportional</v>
          </cell>
          <cell r="S6039">
            <v>1000</v>
          </cell>
          <cell r="X6039" t="str">
            <v>Commissions - gross</v>
          </cell>
          <cell r="Y6039" t="str">
            <v>EUROPE</v>
          </cell>
        </row>
        <row r="6040">
          <cell r="L6040" t="str">
            <v>Non-proportional</v>
          </cell>
          <cell r="S6040">
            <v>80</v>
          </cell>
          <cell r="X6040" t="str">
            <v>Commissions - gross</v>
          </cell>
          <cell r="Y6040" t="str">
            <v>ITALY</v>
          </cell>
        </row>
        <row r="6041">
          <cell r="L6041" t="str">
            <v>Proportional</v>
          </cell>
          <cell r="S6041">
            <v>15.71</v>
          </cell>
          <cell r="X6041" t="str">
            <v>Commissions - gross</v>
          </cell>
          <cell r="Y6041" t="str">
            <v>ITALY</v>
          </cell>
        </row>
        <row r="6042">
          <cell r="L6042" t="str">
            <v>Non-proportional</v>
          </cell>
          <cell r="S6042">
            <v>91.26</v>
          </cell>
          <cell r="X6042" t="str">
            <v>Commissions - gross</v>
          </cell>
          <cell r="Y6042" t="str">
            <v>COLOMBIA</v>
          </cell>
        </row>
        <row r="6043">
          <cell r="L6043" t="str">
            <v>Non-proportional</v>
          </cell>
          <cell r="S6043">
            <v>900.51</v>
          </cell>
          <cell r="X6043" t="str">
            <v>Commissions - gross</v>
          </cell>
          <cell r="Y6043" t="str">
            <v>AUSTRALIA</v>
          </cell>
        </row>
        <row r="6044">
          <cell r="L6044" t="str">
            <v>Non-proportional</v>
          </cell>
          <cell r="S6044">
            <v>3.6</v>
          </cell>
          <cell r="X6044" t="str">
            <v>Commissions - gross</v>
          </cell>
          <cell r="Y6044" t="str">
            <v>ISRAEL</v>
          </cell>
        </row>
        <row r="6045">
          <cell r="L6045" t="str">
            <v>Non-proportional</v>
          </cell>
          <cell r="S6045">
            <v>671.36</v>
          </cell>
          <cell r="X6045" t="str">
            <v>Commissions - gross</v>
          </cell>
          <cell r="Y6045" t="str">
            <v>ISRAEL</v>
          </cell>
        </row>
        <row r="6046">
          <cell r="L6046" t="str">
            <v>Non-proportional</v>
          </cell>
          <cell r="S6046">
            <v>750.3</v>
          </cell>
          <cell r="X6046" t="str">
            <v>Commissions - gross</v>
          </cell>
          <cell r="Y6046" t="str">
            <v>CYPRUS</v>
          </cell>
        </row>
        <row r="6047">
          <cell r="L6047" t="str">
            <v>Non-proportional</v>
          </cell>
          <cell r="S6047">
            <v>450.98</v>
          </cell>
          <cell r="X6047" t="str">
            <v>Commissions - gross</v>
          </cell>
          <cell r="Y6047" t="str">
            <v>FRANCE</v>
          </cell>
        </row>
        <row r="6048">
          <cell r="L6048" t="str">
            <v>Non-proportional</v>
          </cell>
          <cell r="S6048">
            <v>312.69</v>
          </cell>
          <cell r="X6048" t="str">
            <v>Commissions - gross</v>
          </cell>
          <cell r="Y6048" t="str">
            <v>FRANCE</v>
          </cell>
        </row>
        <row r="6049">
          <cell r="L6049" t="str">
            <v>Non-proportional</v>
          </cell>
          <cell r="S6049">
            <v>331.18</v>
          </cell>
          <cell r="X6049" t="str">
            <v>Commissions - gross</v>
          </cell>
          <cell r="Y6049" t="str">
            <v>ISRAEL</v>
          </cell>
        </row>
        <row r="6050">
          <cell r="L6050" t="str">
            <v>Proportional</v>
          </cell>
          <cell r="S6050">
            <v>42.67</v>
          </cell>
          <cell r="X6050" t="str">
            <v>Commissions - gross</v>
          </cell>
          <cell r="Y6050" t="str">
            <v>UNITED STATES</v>
          </cell>
        </row>
        <row r="6051">
          <cell r="L6051" t="str">
            <v>Non-proportional</v>
          </cell>
          <cell r="S6051">
            <v>892.42</v>
          </cell>
          <cell r="X6051" t="str">
            <v>Commissions - gross</v>
          </cell>
          <cell r="Y6051" t="str">
            <v>MEXICO</v>
          </cell>
        </row>
        <row r="6052">
          <cell r="L6052" t="str">
            <v>Non-proportional</v>
          </cell>
          <cell r="S6052">
            <v>584.96</v>
          </cell>
          <cell r="X6052" t="str">
            <v>Commissions - gross</v>
          </cell>
          <cell r="Y6052" t="str">
            <v>PUERTO RICO</v>
          </cell>
        </row>
        <row r="6053">
          <cell r="L6053" t="str">
            <v>Non-proportional</v>
          </cell>
          <cell r="S6053">
            <v>38.69</v>
          </cell>
          <cell r="X6053" t="str">
            <v>Commissions - gross</v>
          </cell>
          <cell r="Y6053" t="str">
            <v>CHILE</v>
          </cell>
        </row>
        <row r="6054">
          <cell r="L6054" t="str">
            <v>Non-proportional</v>
          </cell>
          <cell r="S6054">
            <v>2.72</v>
          </cell>
          <cell r="X6054" t="str">
            <v>Commissions - gross</v>
          </cell>
          <cell r="Y6054" t="str">
            <v>JAPAN</v>
          </cell>
        </row>
        <row r="6055">
          <cell r="L6055" t="str">
            <v>Non-proportional</v>
          </cell>
          <cell r="S6055">
            <v>12634.93</v>
          </cell>
          <cell r="X6055" t="str">
            <v>Commissions - gross</v>
          </cell>
          <cell r="Y6055" t="str">
            <v>UNITED KINGDOM</v>
          </cell>
        </row>
        <row r="6056">
          <cell r="L6056" t="str">
            <v>Non-proportional</v>
          </cell>
          <cell r="S6056">
            <v>301.52999999999997</v>
          </cell>
          <cell r="X6056" t="str">
            <v>Commissions - gross</v>
          </cell>
          <cell r="Y6056" t="str">
            <v>ITALY</v>
          </cell>
        </row>
        <row r="6057">
          <cell r="L6057" t="str">
            <v>Non-proportional</v>
          </cell>
          <cell r="S6057">
            <v>310.13</v>
          </cell>
          <cell r="X6057" t="str">
            <v>Commissions - gross</v>
          </cell>
          <cell r="Y6057" t="str">
            <v>DOMINICAN REPUBLIC</v>
          </cell>
        </row>
        <row r="6058">
          <cell r="L6058" t="str">
            <v>Non-proportional</v>
          </cell>
          <cell r="S6058">
            <v>437.99</v>
          </cell>
          <cell r="X6058" t="str">
            <v>Commissions - gross</v>
          </cell>
          <cell r="Y6058" t="str">
            <v>MEXICO</v>
          </cell>
        </row>
        <row r="6059">
          <cell r="L6059" t="str">
            <v>Non-proportional</v>
          </cell>
          <cell r="S6059">
            <v>1055.67</v>
          </cell>
          <cell r="X6059" t="str">
            <v>Commissions - gross</v>
          </cell>
          <cell r="Y6059" t="str">
            <v>ECUADOR</v>
          </cell>
        </row>
        <row r="6060">
          <cell r="L6060" t="str">
            <v>Non-proportional</v>
          </cell>
          <cell r="S6060">
            <v>4339.41</v>
          </cell>
          <cell r="X6060" t="str">
            <v>Commissions - gross</v>
          </cell>
          <cell r="Y6060" t="str">
            <v>UNITED STATES</v>
          </cell>
        </row>
        <row r="6061">
          <cell r="L6061" t="str">
            <v>Non-proportional</v>
          </cell>
          <cell r="S6061">
            <v>0.52</v>
          </cell>
          <cell r="X6061" t="str">
            <v>Commissions - gross</v>
          </cell>
          <cell r="Y6061" t="str">
            <v>COSTA RICA</v>
          </cell>
        </row>
        <row r="6062">
          <cell r="L6062" t="str">
            <v>Non-proportional</v>
          </cell>
          <cell r="S6062">
            <v>12.02</v>
          </cell>
          <cell r="X6062" t="str">
            <v>Commissions - gross</v>
          </cell>
          <cell r="Y6062" t="str">
            <v>GUATEMALA</v>
          </cell>
        </row>
        <row r="6063">
          <cell r="L6063" t="str">
            <v>Non-proportional</v>
          </cell>
          <cell r="S6063">
            <v>144.97</v>
          </cell>
          <cell r="X6063" t="str">
            <v>Commissions - gross</v>
          </cell>
          <cell r="Y6063" t="str">
            <v>UNITED ARAB EMIRATES</v>
          </cell>
        </row>
        <row r="6064">
          <cell r="L6064" t="str">
            <v>Non-proportional</v>
          </cell>
          <cell r="S6064">
            <v>34.89</v>
          </cell>
          <cell r="X6064" t="str">
            <v>Commissions - gross</v>
          </cell>
          <cell r="Y6064" t="str">
            <v>DOMINICAN REPUBLIC</v>
          </cell>
        </row>
        <row r="6065">
          <cell r="L6065" t="str">
            <v>Non-proportional</v>
          </cell>
          <cell r="S6065">
            <v>405.98</v>
          </cell>
          <cell r="X6065" t="str">
            <v>Commissions - gross</v>
          </cell>
          <cell r="Y6065" t="str">
            <v>ECUADOR</v>
          </cell>
        </row>
        <row r="6066">
          <cell r="L6066" t="str">
            <v>Non-proportional</v>
          </cell>
          <cell r="S6066">
            <v>1923.15</v>
          </cell>
          <cell r="X6066" t="str">
            <v>Commissions - gross</v>
          </cell>
          <cell r="Y6066" t="str">
            <v>FRANCE</v>
          </cell>
        </row>
        <row r="6067">
          <cell r="L6067" t="str">
            <v>Non-proportional</v>
          </cell>
          <cell r="S6067">
            <v>1031.25</v>
          </cell>
          <cell r="X6067" t="str">
            <v>Commissions - gross</v>
          </cell>
          <cell r="Y6067" t="str">
            <v>ROMANIA</v>
          </cell>
        </row>
        <row r="6068">
          <cell r="L6068" t="str">
            <v>Non-proportional</v>
          </cell>
          <cell r="S6068">
            <v>101.44</v>
          </cell>
          <cell r="X6068" t="str">
            <v>Commissions - gross</v>
          </cell>
          <cell r="Y6068" t="str">
            <v>DOMINICAN REPUBLIC</v>
          </cell>
        </row>
        <row r="6069">
          <cell r="L6069" t="str">
            <v>Non-proportional</v>
          </cell>
          <cell r="S6069">
            <v>328.33</v>
          </cell>
          <cell r="X6069" t="str">
            <v>Commissions - gross</v>
          </cell>
          <cell r="Y6069" t="str">
            <v>UNITED KINGDOM</v>
          </cell>
        </row>
        <row r="6070">
          <cell r="L6070" t="str">
            <v>Non-proportional</v>
          </cell>
          <cell r="S6070">
            <v>5.88</v>
          </cell>
          <cell r="X6070" t="str">
            <v>Commissions - gross</v>
          </cell>
          <cell r="Y6070" t="str">
            <v>JAPAN</v>
          </cell>
        </row>
        <row r="6071">
          <cell r="L6071" t="str">
            <v>Non-proportional</v>
          </cell>
          <cell r="S6071">
            <v>648.16</v>
          </cell>
          <cell r="X6071" t="str">
            <v>Commissions - gross</v>
          </cell>
          <cell r="Y6071" t="str">
            <v>ISRAEL</v>
          </cell>
        </row>
        <row r="6072">
          <cell r="L6072" t="str">
            <v>Non-proportional</v>
          </cell>
          <cell r="S6072">
            <v>502.96</v>
          </cell>
          <cell r="X6072" t="str">
            <v>Commissions - gross</v>
          </cell>
          <cell r="Y6072" t="str">
            <v>CHILE</v>
          </cell>
        </row>
        <row r="6073">
          <cell r="L6073" t="str">
            <v>Non-proportional</v>
          </cell>
          <cell r="S6073">
            <v>734.24</v>
          </cell>
          <cell r="X6073" t="str">
            <v>Commissions - gross</v>
          </cell>
          <cell r="Y6073" t="str">
            <v>FRANCE</v>
          </cell>
        </row>
        <row r="6074">
          <cell r="L6074" t="str">
            <v>Non-proportional</v>
          </cell>
          <cell r="S6074">
            <v>240.1</v>
          </cell>
          <cell r="X6074" t="str">
            <v>Commissions - gross</v>
          </cell>
          <cell r="Y6074" t="str">
            <v>GUATEMALA</v>
          </cell>
        </row>
        <row r="6075">
          <cell r="L6075" t="str">
            <v>Non-proportional</v>
          </cell>
          <cell r="S6075">
            <v>475.97</v>
          </cell>
          <cell r="X6075" t="str">
            <v>Commissions - gross</v>
          </cell>
          <cell r="Y6075" t="str">
            <v>ECUADOR</v>
          </cell>
        </row>
        <row r="6076">
          <cell r="L6076" t="str">
            <v>Non-proportional</v>
          </cell>
          <cell r="S6076">
            <v>-14.03</v>
          </cell>
          <cell r="X6076" t="str">
            <v>Commissions - gross</v>
          </cell>
          <cell r="Y6076" t="str">
            <v>NEW ZEALAND</v>
          </cell>
        </row>
        <row r="6077">
          <cell r="L6077" t="str">
            <v>Non-proportional</v>
          </cell>
          <cell r="S6077">
            <v>1627.87</v>
          </cell>
          <cell r="X6077" t="str">
            <v>Commissions - gross</v>
          </cell>
          <cell r="Y6077" t="str">
            <v>ITALY</v>
          </cell>
        </row>
        <row r="6078">
          <cell r="L6078" t="str">
            <v>Non-proportional</v>
          </cell>
          <cell r="S6078">
            <v>694.12</v>
          </cell>
          <cell r="X6078" t="str">
            <v>Commissions - gross</v>
          </cell>
          <cell r="Y6078" t="str">
            <v>AUSTRALIA</v>
          </cell>
        </row>
        <row r="6079">
          <cell r="L6079" t="str">
            <v>Non-proportional</v>
          </cell>
          <cell r="S6079">
            <v>-11.15</v>
          </cell>
          <cell r="X6079" t="str">
            <v>Commissions - gross</v>
          </cell>
          <cell r="Y6079" t="str">
            <v>JAPAN</v>
          </cell>
        </row>
        <row r="6080">
          <cell r="L6080" t="str">
            <v>Proportional</v>
          </cell>
          <cell r="S6080">
            <v>77.739999999999995</v>
          </cell>
          <cell r="X6080" t="str">
            <v>Commissions - gross</v>
          </cell>
          <cell r="Y6080" t="str">
            <v>ITALY</v>
          </cell>
        </row>
        <row r="6081">
          <cell r="L6081" t="str">
            <v>Non-proportional</v>
          </cell>
          <cell r="S6081">
            <v>11519.74</v>
          </cell>
          <cell r="X6081" t="str">
            <v>Commissions - gross</v>
          </cell>
          <cell r="Y6081" t="str">
            <v>HONG KONG</v>
          </cell>
        </row>
        <row r="6082">
          <cell r="L6082" t="str">
            <v>Non-proportional</v>
          </cell>
          <cell r="S6082">
            <v>396.49</v>
          </cell>
          <cell r="X6082" t="str">
            <v>Commissions - gross</v>
          </cell>
          <cell r="Y6082" t="str">
            <v>THAILAND</v>
          </cell>
        </row>
        <row r="6083">
          <cell r="L6083" t="str">
            <v>Non-proportional</v>
          </cell>
          <cell r="S6083">
            <v>-17.22</v>
          </cell>
          <cell r="X6083" t="str">
            <v>Commissions - gross</v>
          </cell>
          <cell r="Y6083" t="str">
            <v>TURKEY</v>
          </cell>
        </row>
        <row r="6084">
          <cell r="L6084" t="str">
            <v>Non-proportional</v>
          </cell>
          <cell r="S6084">
            <v>347.81</v>
          </cell>
          <cell r="X6084" t="str">
            <v>Commissions - gross</v>
          </cell>
          <cell r="Y6084" t="str">
            <v>ECUADOR</v>
          </cell>
        </row>
        <row r="6085">
          <cell r="L6085" t="str">
            <v>Non-proportional</v>
          </cell>
          <cell r="S6085">
            <v>580.51</v>
          </cell>
          <cell r="X6085" t="str">
            <v>Commissions - gross</v>
          </cell>
          <cell r="Y6085" t="str">
            <v>ECUADOR</v>
          </cell>
        </row>
        <row r="6086">
          <cell r="L6086" t="str">
            <v>Non-proportional</v>
          </cell>
          <cell r="S6086">
            <v>131.71</v>
          </cell>
          <cell r="X6086" t="str">
            <v>Commissions - gross</v>
          </cell>
          <cell r="Y6086" t="str">
            <v>PERU</v>
          </cell>
        </row>
        <row r="6087">
          <cell r="L6087" t="str">
            <v>Non-proportional</v>
          </cell>
          <cell r="S6087">
            <v>146.88</v>
          </cell>
          <cell r="X6087" t="str">
            <v>Commissions - gross</v>
          </cell>
          <cell r="Y6087" t="str">
            <v>GREECE</v>
          </cell>
        </row>
        <row r="6088">
          <cell r="L6088" t="str">
            <v>Non-proportional</v>
          </cell>
          <cell r="S6088">
            <v>-11.15</v>
          </cell>
          <cell r="X6088" t="str">
            <v>Commissions - gross</v>
          </cell>
          <cell r="Y6088" t="str">
            <v>JAPAN</v>
          </cell>
        </row>
        <row r="6089">
          <cell r="L6089" t="str">
            <v>Non-proportional</v>
          </cell>
          <cell r="S6089">
            <v>407.81</v>
          </cell>
          <cell r="X6089" t="str">
            <v>Commissions - gross</v>
          </cell>
          <cell r="Y6089" t="str">
            <v>GREECE</v>
          </cell>
        </row>
        <row r="6090">
          <cell r="L6090" t="str">
            <v>Non-proportional</v>
          </cell>
          <cell r="S6090">
            <v>374.99</v>
          </cell>
          <cell r="X6090" t="str">
            <v>Commissions - gross</v>
          </cell>
          <cell r="Y6090" t="str">
            <v>EUROPE</v>
          </cell>
        </row>
        <row r="6091">
          <cell r="L6091" t="str">
            <v>Non-proportional</v>
          </cell>
          <cell r="S6091">
            <v>425.07</v>
          </cell>
          <cell r="X6091" t="str">
            <v>Commissions - gross</v>
          </cell>
          <cell r="Y6091" t="str">
            <v>ITALY</v>
          </cell>
        </row>
        <row r="6092">
          <cell r="L6092" t="str">
            <v>Non-proportional</v>
          </cell>
          <cell r="S6092">
            <v>-8940</v>
          </cell>
          <cell r="X6092" t="str">
            <v>Commissions - gross</v>
          </cell>
          <cell r="Y6092" t="str">
            <v>COSTA RICA</v>
          </cell>
        </row>
        <row r="6093">
          <cell r="L6093" t="str">
            <v>Non-proportional</v>
          </cell>
          <cell r="S6093">
            <v>865.17</v>
          </cell>
          <cell r="X6093" t="str">
            <v>Commissions - gross</v>
          </cell>
          <cell r="Y6093" t="str">
            <v>MEXICO</v>
          </cell>
        </row>
        <row r="6094">
          <cell r="L6094" t="str">
            <v>Non-proportional</v>
          </cell>
          <cell r="S6094">
            <v>539.6</v>
          </cell>
          <cell r="X6094" t="str">
            <v>Commissions - gross</v>
          </cell>
          <cell r="Y6094" t="str">
            <v>JAPAN</v>
          </cell>
        </row>
        <row r="6095">
          <cell r="L6095" t="str">
            <v>Non-proportional</v>
          </cell>
          <cell r="S6095">
            <v>38.75</v>
          </cell>
          <cell r="X6095" t="str">
            <v>Commissions - gross</v>
          </cell>
          <cell r="Y6095" t="str">
            <v>ITALY</v>
          </cell>
        </row>
        <row r="6096">
          <cell r="L6096" t="str">
            <v>Non-proportional</v>
          </cell>
          <cell r="S6096">
            <v>458.27</v>
          </cell>
          <cell r="X6096" t="str">
            <v>Commissions - gross</v>
          </cell>
          <cell r="Y6096" t="str">
            <v>ECUADOR</v>
          </cell>
        </row>
        <row r="6097">
          <cell r="L6097" t="str">
            <v>Non-proportional</v>
          </cell>
          <cell r="S6097">
            <v>380.19</v>
          </cell>
          <cell r="X6097" t="str">
            <v>Commissions - gross</v>
          </cell>
          <cell r="Y6097" t="str">
            <v>INDIA</v>
          </cell>
        </row>
        <row r="6098">
          <cell r="L6098" t="str">
            <v>Proportional</v>
          </cell>
          <cell r="S6098">
            <v>106.74</v>
          </cell>
          <cell r="X6098" t="str">
            <v>Commissions - gross</v>
          </cell>
          <cell r="Y6098" t="str">
            <v>FRANCE</v>
          </cell>
        </row>
        <row r="6099">
          <cell r="L6099" t="str">
            <v>Non-proportional</v>
          </cell>
          <cell r="S6099">
            <v>-1.19</v>
          </cell>
          <cell r="X6099" t="str">
            <v>Commissions - gross</v>
          </cell>
          <cell r="Y6099" t="str">
            <v>JAPAN</v>
          </cell>
        </row>
        <row r="6100">
          <cell r="L6100" t="str">
            <v>Non-proportional</v>
          </cell>
          <cell r="S6100">
            <v>1781.87</v>
          </cell>
          <cell r="X6100" t="str">
            <v>Commissions - gross</v>
          </cell>
          <cell r="Y6100" t="str">
            <v>UNITED KINGDOM</v>
          </cell>
        </row>
        <row r="6101">
          <cell r="L6101" t="str">
            <v>Non-proportional</v>
          </cell>
          <cell r="S6101">
            <v>4676.04</v>
          </cell>
          <cell r="X6101" t="str">
            <v>Commissions - gross</v>
          </cell>
          <cell r="Y6101" t="str">
            <v>UNITED KINGDOM</v>
          </cell>
        </row>
        <row r="6102">
          <cell r="L6102" t="str">
            <v>Non-proportional</v>
          </cell>
          <cell r="S6102">
            <v>648.9</v>
          </cell>
          <cell r="X6102" t="str">
            <v>Commissions - gross</v>
          </cell>
          <cell r="Y6102" t="str">
            <v>JAPAN</v>
          </cell>
        </row>
        <row r="6103">
          <cell r="L6103" t="str">
            <v>Non-proportional</v>
          </cell>
          <cell r="S6103">
            <v>129.09</v>
          </cell>
          <cell r="X6103" t="str">
            <v>Commissions - gross</v>
          </cell>
          <cell r="Y6103" t="str">
            <v>COLOMBIA</v>
          </cell>
        </row>
        <row r="6104">
          <cell r="L6104" t="str">
            <v>Non-proportional</v>
          </cell>
          <cell r="S6104">
            <v>1458.34</v>
          </cell>
          <cell r="X6104" t="str">
            <v>Commissions - gross</v>
          </cell>
          <cell r="Y6104" t="str">
            <v>EUROPE</v>
          </cell>
        </row>
        <row r="6105">
          <cell r="L6105" t="str">
            <v>Non-proportional</v>
          </cell>
          <cell r="S6105">
            <v>-2.2999999999999998</v>
          </cell>
          <cell r="X6105" t="str">
            <v>Commissions - gross</v>
          </cell>
          <cell r="Y6105" t="str">
            <v>COLOMBIA</v>
          </cell>
        </row>
        <row r="6106">
          <cell r="L6106" t="str">
            <v>Non-proportional</v>
          </cell>
          <cell r="S6106">
            <v>12476.8</v>
          </cell>
          <cell r="X6106" t="str">
            <v>Commissions - gross</v>
          </cell>
          <cell r="Y6106" t="str">
            <v>UNITED KINGDOM</v>
          </cell>
        </row>
        <row r="6107">
          <cell r="L6107" t="str">
            <v>Non-proportional</v>
          </cell>
          <cell r="S6107">
            <v>4056.98</v>
          </cell>
          <cell r="X6107" t="str">
            <v>Commissions - gross</v>
          </cell>
          <cell r="Y6107" t="str">
            <v>UNITED KINGDOM</v>
          </cell>
        </row>
        <row r="6108">
          <cell r="L6108" t="str">
            <v>Non-proportional</v>
          </cell>
          <cell r="S6108">
            <v>4.3499999999999996</v>
          </cell>
          <cell r="X6108" t="str">
            <v>Commissions - gross</v>
          </cell>
          <cell r="Y6108" t="str">
            <v>ISRAEL</v>
          </cell>
        </row>
        <row r="6109">
          <cell r="L6109" t="str">
            <v>Non-proportional</v>
          </cell>
          <cell r="S6109">
            <v>1276.48</v>
          </cell>
          <cell r="X6109" t="str">
            <v>Commissions - gross</v>
          </cell>
          <cell r="Y6109" t="str">
            <v>CHILE</v>
          </cell>
        </row>
        <row r="6110">
          <cell r="L6110" t="str">
            <v>Non-proportional</v>
          </cell>
          <cell r="S6110">
            <v>934.81</v>
          </cell>
          <cell r="X6110" t="str">
            <v>Commissions - gross</v>
          </cell>
          <cell r="Y6110" t="str">
            <v>NETHERLANDS</v>
          </cell>
        </row>
        <row r="6111">
          <cell r="L6111" t="str">
            <v>Non-proportional</v>
          </cell>
          <cell r="S6111">
            <v>2.93</v>
          </cell>
          <cell r="X6111" t="str">
            <v>Commissions - gross</v>
          </cell>
          <cell r="Y6111" t="str">
            <v>ISRAEL</v>
          </cell>
        </row>
        <row r="6112">
          <cell r="L6112" t="str">
            <v>Non-proportional</v>
          </cell>
          <cell r="S6112">
            <v>286.83</v>
          </cell>
          <cell r="X6112" t="str">
            <v>Commissions - gross</v>
          </cell>
          <cell r="Y6112" t="str">
            <v>POLAND</v>
          </cell>
        </row>
        <row r="6113">
          <cell r="L6113" t="str">
            <v>Non-proportional</v>
          </cell>
          <cell r="S6113">
            <v>1172.8800000000001</v>
          </cell>
          <cell r="X6113" t="str">
            <v>Commissions - gross</v>
          </cell>
          <cell r="Y6113" t="str">
            <v>AUSTRALIA</v>
          </cell>
        </row>
        <row r="6114">
          <cell r="L6114" t="str">
            <v>Non-proportional</v>
          </cell>
          <cell r="S6114">
            <v>-27.96</v>
          </cell>
          <cell r="X6114" t="str">
            <v>Commissions - gross</v>
          </cell>
          <cell r="Y6114" t="str">
            <v>COLOMBIA</v>
          </cell>
        </row>
        <row r="6115">
          <cell r="L6115" t="str">
            <v>Non-proportional</v>
          </cell>
          <cell r="S6115">
            <v>127.73</v>
          </cell>
          <cell r="X6115" t="str">
            <v>Commissions - gross</v>
          </cell>
          <cell r="Y6115" t="str">
            <v>ISRAEL</v>
          </cell>
        </row>
        <row r="6116">
          <cell r="L6116" t="str">
            <v>Non-proportional</v>
          </cell>
          <cell r="S6116">
            <v>-64964.76</v>
          </cell>
          <cell r="X6116" t="str">
            <v>Commissions - gross</v>
          </cell>
          <cell r="Y6116" t="str">
            <v>UNITED KINGDOM</v>
          </cell>
        </row>
        <row r="6117">
          <cell r="L6117" t="str">
            <v>Non-proportional</v>
          </cell>
          <cell r="S6117">
            <v>246.96</v>
          </cell>
          <cell r="X6117" t="str">
            <v>Commissions - gross</v>
          </cell>
          <cell r="Y6117" t="str">
            <v>FRANCE</v>
          </cell>
        </row>
        <row r="6118">
          <cell r="L6118" t="str">
            <v>Non-proportional</v>
          </cell>
          <cell r="S6118">
            <v>950.01</v>
          </cell>
          <cell r="X6118" t="str">
            <v>Commissions - gross</v>
          </cell>
          <cell r="Y6118" t="str">
            <v>TURKEY</v>
          </cell>
        </row>
        <row r="6119">
          <cell r="L6119" t="str">
            <v>Non-proportional</v>
          </cell>
          <cell r="S6119">
            <v>627.9</v>
          </cell>
          <cell r="X6119" t="str">
            <v>Commissions - gross</v>
          </cell>
          <cell r="Y6119" t="str">
            <v>FRANCE</v>
          </cell>
        </row>
        <row r="6120">
          <cell r="L6120" t="str">
            <v>Non-proportional</v>
          </cell>
          <cell r="S6120">
            <v>471.57</v>
          </cell>
          <cell r="X6120" t="str">
            <v>Commissions - gross</v>
          </cell>
          <cell r="Y6120" t="str">
            <v>COSTA RICA</v>
          </cell>
        </row>
        <row r="6121">
          <cell r="L6121" t="str">
            <v>Non-proportional</v>
          </cell>
          <cell r="S6121">
            <v>480.62</v>
          </cell>
          <cell r="X6121" t="str">
            <v>Commissions - gross</v>
          </cell>
          <cell r="Y6121" t="str">
            <v>DOMINICAN REPUBLIC</v>
          </cell>
        </row>
        <row r="6122">
          <cell r="L6122" t="str">
            <v>Non-proportional</v>
          </cell>
          <cell r="S6122">
            <v>4.97</v>
          </cell>
          <cell r="X6122" t="str">
            <v>Commissions - gross</v>
          </cell>
          <cell r="Y6122" t="str">
            <v>BRAZIL</v>
          </cell>
        </row>
        <row r="6123">
          <cell r="L6123" t="str">
            <v>Proportional</v>
          </cell>
          <cell r="S6123">
            <v>242.63</v>
          </cell>
          <cell r="X6123" t="str">
            <v>Commissions - gross</v>
          </cell>
          <cell r="Y6123" t="str">
            <v>ITALY</v>
          </cell>
        </row>
        <row r="6124">
          <cell r="L6124" t="str">
            <v>Non-proportional</v>
          </cell>
          <cell r="S6124">
            <v>185.51</v>
          </cell>
          <cell r="X6124" t="str">
            <v>Commissions - gross</v>
          </cell>
          <cell r="Y6124" t="str">
            <v>COSTA RICA</v>
          </cell>
        </row>
        <row r="6125">
          <cell r="L6125" t="str">
            <v>Non-proportional</v>
          </cell>
          <cell r="S6125">
            <v>-2.9</v>
          </cell>
          <cell r="X6125" t="str">
            <v>Commissions - gross</v>
          </cell>
          <cell r="Y6125" t="str">
            <v>COLOMBIA</v>
          </cell>
        </row>
        <row r="6126">
          <cell r="L6126" t="str">
            <v>Non-proportional</v>
          </cell>
          <cell r="S6126">
            <v>496.34</v>
          </cell>
          <cell r="X6126" t="str">
            <v>Commissions - gross</v>
          </cell>
          <cell r="Y6126" t="str">
            <v>PERU</v>
          </cell>
        </row>
        <row r="6127">
          <cell r="L6127" t="str">
            <v>Non-proportional</v>
          </cell>
          <cell r="S6127">
            <v>324.48</v>
          </cell>
          <cell r="X6127" t="str">
            <v>Commissions - gross</v>
          </cell>
          <cell r="Y6127" t="str">
            <v>FRANCE</v>
          </cell>
        </row>
        <row r="6128">
          <cell r="L6128" t="str">
            <v>Non-proportional</v>
          </cell>
          <cell r="S6128">
            <v>489.01</v>
          </cell>
          <cell r="X6128" t="str">
            <v>Commissions - gross</v>
          </cell>
          <cell r="Y6128" t="str">
            <v>FRANCE</v>
          </cell>
        </row>
        <row r="6129">
          <cell r="L6129" t="str">
            <v>Non-proportional</v>
          </cell>
          <cell r="S6129">
            <v>244.25</v>
          </cell>
          <cell r="X6129" t="str">
            <v>Commissions - gross</v>
          </cell>
          <cell r="Y6129" t="str">
            <v>CYPRUS</v>
          </cell>
        </row>
        <row r="6130">
          <cell r="L6130" t="str">
            <v>Non-proportional</v>
          </cell>
          <cell r="S6130">
            <v>347.29</v>
          </cell>
          <cell r="X6130" t="str">
            <v>Commissions - gross</v>
          </cell>
          <cell r="Y6130" t="str">
            <v>UNITED KINGDOM</v>
          </cell>
        </row>
        <row r="6131">
          <cell r="L6131" t="str">
            <v>Non-proportional</v>
          </cell>
          <cell r="S6131">
            <v>423.33</v>
          </cell>
          <cell r="X6131" t="str">
            <v>Commissions - gross</v>
          </cell>
          <cell r="Y6131" t="str">
            <v>FRANCE</v>
          </cell>
        </row>
        <row r="6132">
          <cell r="L6132" t="str">
            <v>Non-proportional</v>
          </cell>
          <cell r="S6132">
            <v>304.29000000000002</v>
          </cell>
          <cell r="X6132" t="str">
            <v>Commissions - gross</v>
          </cell>
          <cell r="Y6132" t="str">
            <v>DOMINICAN REPUBLIC</v>
          </cell>
        </row>
        <row r="6133">
          <cell r="L6133" t="str">
            <v>Non-proportional</v>
          </cell>
          <cell r="S6133">
            <v>668.33</v>
          </cell>
          <cell r="X6133" t="str">
            <v>Commissions - gross</v>
          </cell>
          <cell r="Y6133" t="str">
            <v>FRANCE</v>
          </cell>
        </row>
        <row r="6134">
          <cell r="L6134" t="str">
            <v>Non-proportional</v>
          </cell>
          <cell r="S6134">
            <v>1005.71</v>
          </cell>
          <cell r="X6134" t="str">
            <v>Commissions - gross</v>
          </cell>
          <cell r="Y6134" t="str">
            <v>CHILE</v>
          </cell>
        </row>
        <row r="6135">
          <cell r="L6135" t="str">
            <v>Non-proportional</v>
          </cell>
          <cell r="S6135">
            <v>1015.63</v>
          </cell>
          <cell r="X6135" t="str">
            <v>Commissions - gross</v>
          </cell>
          <cell r="Y6135" t="str">
            <v>EUROPE</v>
          </cell>
        </row>
        <row r="6136">
          <cell r="L6136" t="str">
            <v>Non-proportional</v>
          </cell>
          <cell r="S6136">
            <v>83.23</v>
          </cell>
          <cell r="X6136" t="str">
            <v>Commissions - gross</v>
          </cell>
          <cell r="Y6136" t="str">
            <v>JAPAN</v>
          </cell>
        </row>
        <row r="6137">
          <cell r="L6137" t="str">
            <v>Non-proportional</v>
          </cell>
          <cell r="S6137">
            <v>692.17</v>
          </cell>
          <cell r="X6137" t="str">
            <v>Commissions - gross</v>
          </cell>
          <cell r="Y6137" t="str">
            <v>INDIA</v>
          </cell>
        </row>
        <row r="6138">
          <cell r="L6138" t="str">
            <v>Non-proportional</v>
          </cell>
          <cell r="S6138">
            <v>735.9</v>
          </cell>
          <cell r="X6138" t="str">
            <v>Commissions - gross</v>
          </cell>
          <cell r="Y6138" t="str">
            <v>NEW ZEALAND</v>
          </cell>
        </row>
        <row r="6139">
          <cell r="L6139" t="str">
            <v>Non-proportional</v>
          </cell>
          <cell r="S6139">
            <v>998.59</v>
          </cell>
          <cell r="X6139" t="str">
            <v>Commissions - gross</v>
          </cell>
          <cell r="Y6139" t="str">
            <v>FRANCE</v>
          </cell>
        </row>
        <row r="6140">
          <cell r="L6140" t="str">
            <v>Non-proportional</v>
          </cell>
          <cell r="S6140">
            <v>-52342.7</v>
          </cell>
          <cell r="X6140" t="str">
            <v>Commissions - gross</v>
          </cell>
          <cell r="Y6140" t="str">
            <v>UNITED KINGDOM</v>
          </cell>
        </row>
        <row r="6141">
          <cell r="L6141" t="str">
            <v>Non-proportional</v>
          </cell>
          <cell r="S6141">
            <v>1643.7</v>
          </cell>
          <cell r="X6141" t="str">
            <v>Commissions - gross</v>
          </cell>
          <cell r="Y6141" t="str">
            <v>TURKEY</v>
          </cell>
        </row>
        <row r="6142">
          <cell r="L6142" t="str">
            <v>Non-proportional</v>
          </cell>
          <cell r="S6142">
            <v>328.13</v>
          </cell>
          <cell r="X6142" t="str">
            <v>Commissions - gross</v>
          </cell>
          <cell r="Y6142" t="str">
            <v>ITALY</v>
          </cell>
        </row>
        <row r="6143">
          <cell r="L6143" t="str">
            <v>Non-proportional</v>
          </cell>
          <cell r="S6143">
            <v>585.13</v>
          </cell>
          <cell r="X6143" t="str">
            <v>Commissions - gross</v>
          </cell>
          <cell r="Y6143" t="str">
            <v>ITALY</v>
          </cell>
        </row>
        <row r="6144">
          <cell r="L6144" t="str">
            <v>Non-proportional</v>
          </cell>
          <cell r="S6144">
            <v>77.98</v>
          </cell>
          <cell r="X6144" t="str">
            <v>Commissions - gross</v>
          </cell>
          <cell r="Y6144" t="str">
            <v>ISRAEL</v>
          </cell>
        </row>
        <row r="6145">
          <cell r="L6145" t="str">
            <v>Non-proportional</v>
          </cell>
          <cell r="S6145">
            <v>707.95</v>
          </cell>
          <cell r="X6145" t="str">
            <v>Commissions - gross</v>
          </cell>
          <cell r="Y6145" t="str">
            <v>MEXICO</v>
          </cell>
        </row>
        <row r="6146">
          <cell r="L6146" t="str">
            <v>Non-proportional</v>
          </cell>
          <cell r="S6146">
            <v>2895.28</v>
          </cell>
          <cell r="X6146" t="str">
            <v>Commissions - gross</v>
          </cell>
          <cell r="Y6146" t="str">
            <v>TURKEY</v>
          </cell>
        </row>
        <row r="6147">
          <cell r="L6147" t="str">
            <v>Non-proportional</v>
          </cell>
          <cell r="S6147">
            <v>4783.09</v>
          </cell>
          <cell r="X6147" t="str">
            <v>Commissions - gross</v>
          </cell>
          <cell r="Y6147" t="str">
            <v>UNITED KINGDOM</v>
          </cell>
        </row>
        <row r="6148">
          <cell r="L6148" t="str">
            <v>Non-proportional</v>
          </cell>
          <cell r="S6148">
            <v>7.87</v>
          </cell>
          <cell r="X6148" t="str">
            <v>Commissions - gross</v>
          </cell>
          <cell r="Y6148" t="str">
            <v>COLOMBIA</v>
          </cell>
        </row>
        <row r="6149">
          <cell r="L6149" t="str">
            <v>Proportional</v>
          </cell>
          <cell r="S6149">
            <v>689.84</v>
          </cell>
          <cell r="X6149" t="str">
            <v>Commissions - gross</v>
          </cell>
          <cell r="Y6149" t="str">
            <v>SWITZERLAND</v>
          </cell>
        </row>
        <row r="6150">
          <cell r="L6150" t="str">
            <v>Non-proportional</v>
          </cell>
          <cell r="S6150">
            <v>1151.06</v>
          </cell>
          <cell r="X6150" t="str">
            <v>Commissions - gross</v>
          </cell>
          <cell r="Y6150" t="str">
            <v>EUROPE</v>
          </cell>
        </row>
        <row r="6151">
          <cell r="L6151" t="str">
            <v>Non-proportional</v>
          </cell>
          <cell r="S6151">
            <v>425.02</v>
          </cell>
          <cell r="X6151" t="str">
            <v>Commissions - gross</v>
          </cell>
          <cell r="Y6151" t="str">
            <v>ITALY</v>
          </cell>
        </row>
        <row r="6152">
          <cell r="L6152" t="str">
            <v>Non-proportional</v>
          </cell>
          <cell r="S6152">
            <v>-10.01</v>
          </cell>
          <cell r="X6152" t="str">
            <v>Commissions - gross</v>
          </cell>
          <cell r="Y6152" t="str">
            <v>COLOMBIA</v>
          </cell>
        </row>
        <row r="6153">
          <cell r="L6153" t="str">
            <v>Non-proportional</v>
          </cell>
          <cell r="S6153">
            <v>119.79</v>
          </cell>
          <cell r="X6153" t="str">
            <v>Commissions - gross</v>
          </cell>
          <cell r="Y6153" t="str">
            <v>GERMANY</v>
          </cell>
        </row>
        <row r="6154">
          <cell r="L6154" t="str">
            <v>Non-proportional</v>
          </cell>
          <cell r="S6154">
            <v>38.68</v>
          </cell>
          <cell r="X6154" t="str">
            <v>Commissions - gross</v>
          </cell>
          <cell r="Y6154" t="str">
            <v>CHILE</v>
          </cell>
        </row>
        <row r="6155">
          <cell r="L6155" t="str">
            <v>Non-proportional</v>
          </cell>
          <cell r="S6155">
            <v>77.290000000000006</v>
          </cell>
          <cell r="X6155" t="str">
            <v>Commissions - gross</v>
          </cell>
          <cell r="Y6155" t="str">
            <v>REPUBLIC OF IRELAND</v>
          </cell>
        </row>
        <row r="6156">
          <cell r="L6156" t="str">
            <v>Non-proportional</v>
          </cell>
          <cell r="S6156">
            <v>2378.11</v>
          </cell>
          <cell r="X6156" t="str">
            <v>Commissions - gross</v>
          </cell>
          <cell r="Y6156" t="str">
            <v>NEW ZEALAND</v>
          </cell>
        </row>
        <row r="6157">
          <cell r="L6157" t="str">
            <v>Non-proportional</v>
          </cell>
          <cell r="S6157">
            <v>-1968.8</v>
          </cell>
          <cell r="X6157" t="str">
            <v>Commissions - gross</v>
          </cell>
          <cell r="Y6157" t="str">
            <v>SPAIN</v>
          </cell>
        </row>
        <row r="6158">
          <cell r="L6158" t="str">
            <v>Non-proportional</v>
          </cell>
          <cell r="S6158">
            <v>650</v>
          </cell>
          <cell r="X6158" t="str">
            <v>Commissions - gross</v>
          </cell>
          <cell r="Y6158" t="str">
            <v>FRANCE</v>
          </cell>
        </row>
        <row r="6159">
          <cell r="L6159" t="str">
            <v>Non-proportional</v>
          </cell>
          <cell r="S6159">
            <v>-15.33</v>
          </cell>
          <cell r="X6159" t="str">
            <v>Commissions - gross</v>
          </cell>
          <cell r="Y6159" t="str">
            <v>JAPAN</v>
          </cell>
        </row>
        <row r="6160">
          <cell r="L6160" t="str">
            <v>Non-proportional</v>
          </cell>
          <cell r="S6160">
            <v>493.2</v>
          </cell>
          <cell r="X6160" t="str">
            <v>Commissions - gross</v>
          </cell>
          <cell r="Y6160" t="str">
            <v>ISRAEL</v>
          </cell>
        </row>
        <row r="6161">
          <cell r="L6161" t="str">
            <v>Non-proportional</v>
          </cell>
          <cell r="S6161">
            <v>4178.8</v>
          </cell>
          <cell r="X6161" t="str">
            <v>Commissions - gross</v>
          </cell>
          <cell r="Y6161" t="str">
            <v>UNITED STATES</v>
          </cell>
        </row>
        <row r="6162">
          <cell r="L6162" t="str">
            <v>Proportional</v>
          </cell>
          <cell r="S6162">
            <v>1005.32</v>
          </cell>
          <cell r="X6162" t="str">
            <v>Commissions - gross</v>
          </cell>
          <cell r="Y6162" t="str">
            <v>JAPAN</v>
          </cell>
        </row>
        <row r="6163">
          <cell r="L6163" t="str">
            <v>Non-proportional</v>
          </cell>
          <cell r="S6163">
            <v>433.98</v>
          </cell>
          <cell r="X6163" t="str">
            <v>Commissions - gross</v>
          </cell>
          <cell r="Y6163" t="str">
            <v>UNITED KINGDOM</v>
          </cell>
        </row>
        <row r="6164">
          <cell r="L6164" t="str">
            <v>Non-proportional</v>
          </cell>
          <cell r="S6164">
            <v>-3.75</v>
          </cell>
          <cell r="X6164" t="str">
            <v>Commissions - gross</v>
          </cell>
          <cell r="Y6164" t="str">
            <v>NEW ZEALAND</v>
          </cell>
        </row>
        <row r="6165">
          <cell r="L6165" t="str">
            <v>Non-proportional</v>
          </cell>
          <cell r="S6165">
            <v>531.28</v>
          </cell>
          <cell r="X6165" t="str">
            <v>Commissions - gross</v>
          </cell>
          <cell r="Y6165" t="str">
            <v>NETHERLANDS</v>
          </cell>
        </row>
        <row r="6166">
          <cell r="L6166" t="str">
            <v>Non-proportional</v>
          </cell>
          <cell r="S6166">
            <v>1588.55</v>
          </cell>
          <cell r="X6166" t="str">
            <v>Commissions - gross</v>
          </cell>
          <cell r="Y6166" t="str">
            <v>EUROPE</v>
          </cell>
        </row>
        <row r="6167">
          <cell r="L6167" t="str">
            <v>Non-proportional</v>
          </cell>
          <cell r="S6167">
            <v>30176.43</v>
          </cell>
          <cell r="X6167" t="str">
            <v>Commissions - gross</v>
          </cell>
          <cell r="Y6167" t="str">
            <v>UNITED KINGDOM</v>
          </cell>
        </row>
        <row r="6168">
          <cell r="L6168" t="str">
            <v>Non-proportional</v>
          </cell>
          <cell r="S6168">
            <v>866.16</v>
          </cell>
          <cell r="X6168" t="str">
            <v>Commissions - gross</v>
          </cell>
          <cell r="Y6168" t="str">
            <v>AUSTRALIA</v>
          </cell>
        </row>
        <row r="6169">
          <cell r="L6169" t="str">
            <v>Non-proportional</v>
          </cell>
          <cell r="S6169">
            <v>400.66</v>
          </cell>
          <cell r="X6169" t="str">
            <v>Commissions - gross</v>
          </cell>
          <cell r="Y6169" t="str">
            <v>SINGAPORE</v>
          </cell>
        </row>
        <row r="6170">
          <cell r="L6170" t="str">
            <v>Non-proportional</v>
          </cell>
          <cell r="S6170">
            <v>814.61</v>
          </cell>
          <cell r="X6170" t="str">
            <v>Commissions - gross</v>
          </cell>
          <cell r="Y6170" t="str">
            <v>UNITED KINGDOM</v>
          </cell>
        </row>
        <row r="6171">
          <cell r="L6171" t="str">
            <v>Non-proportional</v>
          </cell>
          <cell r="S6171">
            <v>493.2</v>
          </cell>
          <cell r="X6171" t="str">
            <v>Commissions - gross</v>
          </cell>
          <cell r="Y6171" t="str">
            <v>ISRAEL</v>
          </cell>
        </row>
        <row r="6172">
          <cell r="L6172" t="str">
            <v>Non-proportional</v>
          </cell>
          <cell r="S6172">
            <v>425.1</v>
          </cell>
          <cell r="X6172" t="str">
            <v>Commissions - gross</v>
          </cell>
          <cell r="Y6172" t="str">
            <v>THAILAND</v>
          </cell>
        </row>
        <row r="6173">
          <cell r="L6173" t="str">
            <v>Non-proportional</v>
          </cell>
          <cell r="S6173">
            <v>2474.7800000000002</v>
          </cell>
          <cell r="X6173" t="str">
            <v>Commissions - gross</v>
          </cell>
          <cell r="Y6173" t="str">
            <v>NEW ZEALAND</v>
          </cell>
        </row>
        <row r="6174">
          <cell r="L6174" t="str">
            <v>Proportional</v>
          </cell>
          <cell r="S6174">
            <v>12993.79</v>
          </cell>
          <cell r="X6174" t="str">
            <v>Commissions - gross</v>
          </cell>
          <cell r="Y6174" t="str">
            <v>UNITED STATES</v>
          </cell>
        </row>
        <row r="6175">
          <cell r="L6175" t="str">
            <v>Proportional</v>
          </cell>
          <cell r="S6175">
            <v>-4153.55</v>
          </cell>
          <cell r="X6175" t="str">
            <v>Commissions - gross</v>
          </cell>
          <cell r="Y6175" t="str">
            <v>GERMANY</v>
          </cell>
        </row>
        <row r="6176">
          <cell r="L6176" t="str">
            <v>Non-proportional</v>
          </cell>
          <cell r="S6176">
            <v>200.15</v>
          </cell>
          <cell r="X6176" t="str">
            <v>Commissions - gross</v>
          </cell>
          <cell r="Y6176" t="str">
            <v>DOMINICAN REPUBLIC</v>
          </cell>
        </row>
        <row r="6177">
          <cell r="L6177" t="str">
            <v>Non-proportional</v>
          </cell>
          <cell r="S6177">
            <v>5.26</v>
          </cell>
          <cell r="X6177" t="str">
            <v>Commissions - gross</v>
          </cell>
          <cell r="Y6177" t="str">
            <v>JAPAN</v>
          </cell>
        </row>
        <row r="6178">
          <cell r="L6178" t="str">
            <v>Non-proportional</v>
          </cell>
          <cell r="S6178">
            <v>1059.6099999999999</v>
          </cell>
          <cell r="X6178" t="str">
            <v>Commissions - gross</v>
          </cell>
          <cell r="Y6178" t="str">
            <v>FRANCE</v>
          </cell>
        </row>
        <row r="6179">
          <cell r="L6179" t="str">
            <v>Non-proportional</v>
          </cell>
          <cell r="S6179">
            <v>5033.12</v>
          </cell>
          <cell r="X6179" t="str">
            <v>Commissions - gross</v>
          </cell>
          <cell r="Y6179" t="str">
            <v>UNITED KINGDOM</v>
          </cell>
        </row>
        <row r="6180">
          <cell r="L6180" t="str">
            <v>Non-proportional</v>
          </cell>
          <cell r="S6180">
            <v>577.45000000000005</v>
          </cell>
          <cell r="X6180" t="str">
            <v>Commissions - gross</v>
          </cell>
          <cell r="Y6180" t="str">
            <v>COLOMBIA</v>
          </cell>
        </row>
        <row r="6181">
          <cell r="L6181" t="str">
            <v>Non-proportional</v>
          </cell>
          <cell r="S6181">
            <v>130.47</v>
          </cell>
          <cell r="X6181" t="str">
            <v>Commissions - gross</v>
          </cell>
          <cell r="Y6181" t="str">
            <v>COSTA RICA</v>
          </cell>
        </row>
        <row r="6182">
          <cell r="L6182" t="str">
            <v>Non-proportional</v>
          </cell>
          <cell r="S6182">
            <v>510.77</v>
          </cell>
          <cell r="X6182" t="str">
            <v>Commissions - gross</v>
          </cell>
          <cell r="Y6182" t="str">
            <v>UNITED KINGDOM</v>
          </cell>
        </row>
        <row r="6183">
          <cell r="L6183" t="str">
            <v>Non-proportional</v>
          </cell>
          <cell r="S6183">
            <v>69.86</v>
          </cell>
          <cell r="X6183" t="str">
            <v>Commissions - gross</v>
          </cell>
          <cell r="Y6183" t="str">
            <v>ITALY</v>
          </cell>
        </row>
        <row r="6184">
          <cell r="L6184" t="str">
            <v>Non-proportional</v>
          </cell>
          <cell r="S6184">
            <v>4509.5</v>
          </cell>
          <cell r="X6184" t="str">
            <v>Commissions - gross</v>
          </cell>
          <cell r="Y6184" t="str">
            <v>UNITED KINGDOM</v>
          </cell>
        </row>
        <row r="6185">
          <cell r="L6185" t="str">
            <v>Non-proportional</v>
          </cell>
          <cell r="S6185">
            <v>1.34</v>
          </cell>
          <cell r="X6185" t="str">
            <v>Commissions - gross</v>
          </cell>
          <cell r="Y6185" t="str">
            <v>JAPAN</v>
          </cell>
        </row>
        <row r="6186">
          <cell r="L6186" t="str">
            <v>Non-proportional</v>
          </cell>
          <cell r="S6186">
            <v>0.72</v>
          </cell>
          <cell r="X6186" t="str">
            <v>Commissions - gross</v>
          </cell>
          <cell r="Y6186" t="str">
            <v>COSTA RICA</v>
          </cell>
        </row>
        <row r="6187">
          <cell r="L6187" t="str">
            <v>Non-proportional</v>
          </cell>
          <cell r="S6187">
            <v>293.52</v>
          </cell>
          <cell r="X6187" t="str">
            <v>Commissions - gross</v>
          </cell>
          <cell r="Y6187" t="str">
            <v>COLOMBIA</v>
          </cell>
        </row>
        <row r="6188">
          <cell r="L6188" t="str">
            <v>Non-proportional</v>
          </cell>
          <cell r="S6188">
            <v>4.76</v>
          </cell>
          <cell r="X6188" t="str">
            <v>Commissions - gross</v>
          </cell>
          <cell r="Y6188" t="str">
            <v>COLOMBIA</v>
          </cell>
        </row>
        <row r="6189">
          <cell r="L6189" t="str">
            <v>Non-proportional</v>
          </cell>
          <cell r="S6189">
            <v>166.78</v>
          </cell>
          <cell r="X6189" t="str">
            <v>Commissions - gross</v>
          </cell>
          <cell r="Y6189" t="str">
            <v>INDIA</v>
          </cell>
        </row>
        <row r="6190">
          <cell r="L6190" t="str">
            <v>Non-proportional</v>
          </cell>
          <cell r="S6190">
            <v>610.66999999999996</v>
          </cell>
          <cell r="X6190" t="str">
            <v>Commissions - gross</v>
          </cell>
          <cell r="Y6190" t="str">
            <v>ISRAEL</v>
          </cell>
        </row>
        <row r="6191">
          <cell r="L6191" t="str">
            <v>Non-proportional</v>
          </cell>
          <cell r="S6191">
            <v>66.5</v>
          </cell>
          <cell r="X6191" t="str">
            <v>Commissions - gross</v>
          </cell>
          <cell r="Y6191" t="str">
            <v>FRANCE</v>
          </cell>
        </row>
        <row r="6192">
          <cell r="L6192" t="str">
            <v>Non-proportional</v>
          </cell>
          <cell r="S6192">
            <v>278.69</v>
          </cell>
          <cell r="X6192" t="str">
            <v>Commissions - gross</v>
          </cell>
          <cell r="Y6192" t="str">
            <v>ISRAEL</v>
          </cell>
        </row>
        <row r="6193">
          <cell r="L6193" t="str">
            <v>Non-proportional</v>
          </cell>
          <cell r="S6193">
            <v>0</v>
          </cell>
          <cell r="X6193" t="str">
            <v>Commissions - gross</v>
          </cell>
          <cell r="Y6193" t="str">
            <v>DOMINICAN REPUBLIC</v>
          </cell>
        </row>
        <row r="6194">
          <cell r="L6194" t="str">
            <v>Non-proportional</v>
          </cell>
          <cell r="S6194">
            <v>138.97</v>
          </cell>
          <cell r="X6194" t="str">
            <v>Commissions - gross</v>
          </cell>
          <cell r="Y6194" t="str">
            <v>COLOMBIA</v>
          </cell>
        </row>
        <row r="6195">
          <cell r="L6195" t="str">
            <v>Non-proportional</v>
          </cell>
          <cell r="S6195">
            <v>418.59</v>
          </cell>
          <cell r="X6195" t="str">
            <v>Commissions - gross</v>
          </cell>
          <cell r="Y6195" t="str">
            <v>FRANCE</v>
          </cell>
        </row>
        <row r="6196">
          <cell r="L6196" t="str">
            <v>Non-proportional</v>
          </cell>
          <cell r="S6196">
            <v>390.08</v>
          </cell>
          <cell r="X6196" t="str">
            <v>Commissions - gross</v>
          </cell>
          <cell r="Y6196" t="str">
            <v>EUROPE</v>
          </cell>
        </row>
        <row r="6197">
          <cell r="L6197" t="str">
            <v>Non-proportional</v>
          </cell>
          <cell r="S6197">
            <v>157.33000000000001</v>
          </cell>
          <cell r="X6197" t="str">
            <v>Commissions - gross</v>
          </cell>
          <cell r="Y6197" t="str">
            <v>GUATEMALA</v>
          </cell>
        </row>
        <row r="6198">
          <cell r="L6198" t="str">
            <v>Non-proportional</v>
          </cell>
          <cell r="S6198">
            <v>896.73</v>
          </cell>
          <cell r="X6198" t="str">
            <v>Commissions - gross</v>
          </cell>
          <cell r="Y6198" t="str">
            <v>AUSTRALIA</v>
          </cell>
        </row>
        <row r="6199">
          <cell r="L6199" t="str">
            <v>Non-proportional</v>
          </cell>
          <cell r="S6199">
            <v>11407.32</v>
          </cell>
          <cell r="X6199" t="str">
            <v>Commissions - gross</v>
          </cell>
          <cell r="Y6199" t="str">
            <v>UNITED KINGDOM</v>
          </cell>
        </row>
        <row r="6200">
          <cell r="L6200" t="str">
            <v>Non-proportional</v>
          </cell>
          <cell r="S6200">
            <v>35.19</v>
          </cell>
          <cell r="X6200" t="str">
            <v>Commissions - gross</v>
          </cell>
          <cell r="Y6200" t="str">
            <v>COLOMBIA</v>
          </cell>
        </row>
        <row r="6201">
          <cell r="L6201" t="str">
            <v>Non-proportional</v>
          </cell>
          <cell r="S6201">
            <v>111.54</v>
          </cell>
          <cell r="X6201" t="str">
            <v>Commissions - gross</v>
          </cell>
          <cell r="Y6201" t="str">
            <v>JAPAN</v>
          </cell>
        </row>
        <row r="6202">
          <cell r="L6202" t="str">
            <v>Non-proportional</v>
          </cell>
          <cell r="S6202">
            <v>559.16</v>
          </cell>
          <cell r="X6202" t="str">
            <v>Commissions - gross</v>
          </cell>
          <cell r="Y6202" t="str">
            <v>ECUADOR</v>
          </cell>
        </row>
        <row r="6203">
          <cell r="L6203" t="str">
            <v>Non-proportional</v>
          </cell>
          <cell r="S6203">
            <v>506.16</v>
          </cell>
          <cell r="X6203" t="str">
            <v>Commissions - gross</v>
          </cell>
          <cell r="Y6203" t="str">
            <v>ISRAEL</v>
          </cell>
        </row>
        <row r="6204">
          <cell r="L6204" t="str">
            <v>Non-proportional</v>
          </cell>
          <cell r="S6204">
            <v>436.46</v>
          </cell>
          <cell r="X6204" t="str">
            <v>Commissions - gross</v>
          </cell>
          <cell r="Y6204" t="str">
            <v>UNITED KINGDOM</v>
          </cell>
        </row>
        <row r="6205">
          <cell r="L6205" t="str">
            <v>Non-proportional</v>
          </cell>
          <cell r="S6205">
            <v>-11.07</v>
          </cell>
          <cell r="X6205" t="str">
            <v>Commissions - gross</v>
          </cell>
          <cell r="Y6205" t="str">
            <v>NEW ZEALAND</v>
          </cell>
        </row>
        <row r="6206">
          <cell r="L6206" t="str">
            <v>Non-proportional</v>
          </cell>
          <cell r="S6206">
            <v>551.27</v>
          </cell>
          <cell r="X6206" t="str">
            <v>Commissions - gross</v>
          </cell>
          <cell r="Y6206" t="str">
            <v>NETHERLANDS</v>
          </cell>
        </row>
        <row r="6207">
          <cell r="L6207" t="str">
            <v>Non-proportional</v>
          </cell>
          <cell r="S6207">
            <v>1961.25</v>
          </cell>
          <cell r="X6207" t="str">
            <v>Commissions - gross</v>
          </cell>
          <cell r="Y6207" t="str">
            <v>CHINA</v>
          </cell>
        </row>
        <row r="6208">
          <cell r="L6208" t="str">
            <v>Non-proportional</v>
          </cell>
          <cell r="S6208">
            <v>117.23</v>
          </cell>
          <cell r="X6208" t="str">
            <v>Commissions - gross</v>
          </cell>
          <cell r="Y6208" t="str">
            <v>FRANCE</v>
          </cell>
        </row>
        <row r="6209">
          <cell r="L6209" t="str">
            <v>Non-proportional</v>
          </cell>
          <cell r="S6209">
            <v>1634.03</v>
          </cell>
          <cell r="X6209" t="str">
            <v>Commissions - gross</v>
          </cell>
          <cell r="Y6209" t="str">
            <v>UNITED KINGDOM</v>
          </cell>
        </row>
        <row r="6210">
          <cell r="L6210" t="str">
            <v>Non-proportional</v>
          </cell>
          <cell r="S6210">
            <v>706.05</v>
          </cell>
          <cell r="X6210" t="str">
            <v>Commissions - gross</v>
          </cell>
          <cell r="Y6210" t="str">
            <v>UNITED KINGDOM</v>
          </cell>
        </row>
        <row r="6211">
          <cell r="L6211" t="str">
            <v>Non-proportional</v>
          </cell>
          <cell r="S6211">
            <v>-2245.6999999999998</v>
          </cell>
          <cell r="X6211" t="str">
            <v>Commissions - gross</v>
          </cell>
          <cell r="Y6211" t="str">
            <v>ITALY</v>
          </cell>
        </row>
        <row r="6212">
          <cell r="L6212" t="str">
            <v>Non-proportional</v>
          </cell>
          <cell r="S6212">
            <v>386.81</v>
          </cell>
          <cell r="X6212" t="str">
            <v>Commissions - gross</v>
          </cell>
          <cell r="Y6212" t="str">
            <v>CHILE</v>
          </cell>
        </row>
        <row r="6213">
          <cell r="L6213" t="str">
            <v>Non-proportional</v>
          </cell>
          <cell r="S6213">
            <v>10361.01</v>
          </cell>
          <cell r="X6213" t="str">
            <v>Commissions - gross</v>
          </cell>
          <cell r="Y6213" t="str">
            <v>UNITED KINGDOM</v>
          </cell>
        </row>
        <row r="6214">
          <cell r="L6214" t="str">
            <v>Non-proportional</v>
          </cell>
          <cell r="S6214">
            <v>471.75</v>
          </cell>
          <cell r="X6214" t="str">
            <v>Commissions - gross</v>
          </cell>
          <cell r="Y6214" t="str">
            <v>ISRAEL</v>
          </cell>
        </row>
        <row r="6215">
          <cell r="L6215" t="str">
            <v>Non-proportional</v>
          </cell>
          <cell r="S6215">
            <v>-38.68</v>
          </cell>
          <cell r="X6215" t="str">
            <v>Commissions - gross</v>
          </cell>
          <cell r="Y6215" t="str">
            <v>CHILE</v>
          </cell>
        </row>
        <row r="6216">
          <cell r="L6216" t="str">
            <v>Non-proportional</v>
          </cell>
          <cell r="S6216">
            <v>108.16</v>
          </cell>
          <cell r="X6216" t="str">
            <v>Commissions - gross</v>
          </cell>
          <cell r="Y6216" t="str">
            <v>ISRAEL</v>
          </cell>
        </row>
        <row r="6217">
          <cell r="L6217" t="str">
            <v>Non-proportional</v>
          </cell>
          <cell r="S6217">
            <v>1570.42</v>
          </cell>
          <cell r="X6217" t="str">
            <v>Commissions - gross</v>
          </cell>
          <cell r="Y6217" t="str">
            <v>SOUTH KOREA</v>
          </cell>
        </row>
        <row r="6218">
          <cell r="L6218" t="str">
            <v>Non-proportional</v>
          </cell>
          <cell r="S6218">
            <v>-10.79</v>
          </cell>
          <cell r="X6218" t="str">
            <v>Commissions - gross</v>
          </cell>
          <cell r="Y6218" t="str">
            <v>JAPAN</v>
          </cell>
        </row>
        <row r="6219">
          <cell r="L6219" t="str">
            <v>Non-proportional</v>
          </cell>
          <cell r="S6219">
            <v>624.33000000000004</v>
          </cell>
          <cell r="X6219" t="str">
            <v>Commissions - gross</v>
          </cell>
          <cell r="Y6219" t="str">
            <v>ISRAEL</v>
          </cell>
        </row>
        <row r="6220">
          <cell r="L6220" t="str">
            <v>Non-proportional</v>
          </cell>
          <cell r="S6220">
            <v>7.29</v>
          </cell>
          <cell r="X6220" t="str">
            <v>Commissions - gross</v>
          </cell>
          <cell r="Y6220" t="str">
            <v>JAPAN</v>
          </cell>
        </row>
        <row r="6221">
          <cell r="L6221" t="str">
            <v>Non-proportional</v>
          </cell>
          <cell r="S6221">
            <v>599.29</v>
          </cell>
          <cell r="X6221" t="str">
            <v>Commissions - gross</v>
          </cell>
          <cell r="Y6221" t="str">
            <v>UNITED KINGDOM</v>
          </cell>
        </row>
        <row r="6222">
          <cell r="L6222" t="str">
            <v>Non-proportional</v>
          </cell>
          <cell r="S6222">
            <v>3.98</v>
          </cell>
          <cell r="X6222" t="str">
            <v>Commissions - gross</v>
          </cell>
          <cell r="Y6222" t="str">
            <v>COSTA RICA</v>
          </cell>
        </row>
        <row r="6223">
          <cell r="L6223" t="str">
            <v>Proportional</v>
          </cell>
          <cell r="S6223">
            <v>116.04</v>
          </cell>
          <cell r="X6223" t="str">
            <v>Commissions - gross</v>
          </cell>
          <cell r="Y6223" t="str">
            <v>CHILE</v>
          </cell>
        </row>
        <row r="6224">
          <cell r="L6224" t="str">
            <v>Non-proportional</v>
          </cell>
          <cell r="S6224">
            <v>38.68</v>
          </cell>
          <cell r="X6224" t="str">
            <v>Commissions - gross</v>
          </cell>
          <cell r="Y6224" t="str">
            <v>CHILE</v>
          </cell>
        </row>
        <row r="6225">
          <cell r="L6225" t="str">
            <v>Non-proportional</v>
          </cell>
          <cell r="S6225">
            <v>309.45</v>
          </cell>
          <cell r="X6225" t="str">
            <v>Commissions - gross</v>
          </cell>
          <cell r="Y6225" t="str">
            <v>CHILE</v>
          </cell>
        </row>
        <row r="6226">
          <cell r="L6226" t="str">
            <v>Non-proportional</v>
          </cell>
          <cell r="S6226">
            <v>421.2</v>
          </cell>
          <cell r="X6226" t="str">
            <v>Commissions - gross</v>
          </cell>
          <cell r="Y6226" t="str">
            <v>COLOMBIA</v>
          </cell>
        </row>
        <row r="6227">
          <cell r="L6227" t="str">
            <v>Non-proportional</v>
          </cell>
          <cell r="S6227">
            <v>710.97</v>
          </cell>
          <cell r="X6227" t="str">
            <v>Commissions - gross</v>
          </cell>
          <cell r="Y6227" t="str">
            <v>POLAND</v>
          </cell>
        </row>
        <row r="6228">
          <cell r="L6228" t="str">
            <v>Non-proportional</v>
          </cell>
          <cell r="S6228">
            <v>309.45</v>
          </cell>
          <cell r="X6228" t="str">
            <v>Commissions - gross</v>
          </cell>
          <cell r="Y6228" t="str">
            <v>CHILE</v>
          </cell>
        </row>
        <row r="6229">
          <cell r="L6229" t="str">
            <v>Non-proportional</v>
          </cell>
          <cell r="S6229">
            <v>113.28</v>
          </cell>
          <cell r="X6229" t="str">
            <v>Commissions - gross</v>
          </cell>
          <cell r="Y6229" t="str">
            <v>MEXICO</v>
          </cell>
        </row>
        <row r="6230">
          <cell r="L6230" t="str">
            <v>Non-proportional</v>
          </cell>
          <cell r="S6230">
            <v>348.13</v>
          </cell>
          <cell r="X6230" t="str">
            <v>Commissions - gross</v>
          </cell>
          <cell r="Y6230" t="str">
            <v>CHILE</v>
          </cell>
        </row>
        <row r="6231">
          <cell r="L6231" t="str">
            <v>Non-proportional</v>
          </cell>
          <cell r="S6231">
            <v>10.02</v>
          </cell>
          <cell r="X6231" t="str">
            <v>Commissions - gross</v>
          </cell>
          <cell r="Y6231" t="str">
            <v>JAPAN</v>
          </cell>
        </row>
        <row r="6232">
          <cell r="L6232" t="str">
            <v>Non-proportional</v>
          </cell>
          <cell r="S6232">
            <v>198.17</v>
          </cell>
          <cell r="X6232" t="str">
            <v>Commissions - gross</v>
          </cell>
          <cell r="Y6232" t="str">
            <v>JAPAN</v>
          </cell>
        </row>
        <row r="6233">
          <cell r="L6233" t="str">
            <v>Non-proportional</v>
          </cell>
          <cell r="S6233">
            <v>6.42</v>
          </cell>
          <cell r="X6233" t="str">
            <v>Commissions - gross</v>
          </cell>
          <cell r="Y6233" t="str">
            <v>ISRAEL</v>
          </cell>
        </row>
        <row r="6234">
          <cell r="L6234" t="str">
            <v>Non-proportional</v>
          </cell>
          <cell r="S6234">
            <v>284.08</v>
          </cell>
          <cell r="X6234" t="str">
            <v>Commissions - gross</v>
          </cell>
          <cell r="Y6234" t="str">
            <v>EUROPE</v>
          </cell>
        </row>
        <row r="6235">
          <cell r="L6235" t="str">
            <v>Non-proportional</v>
          </cell>
          <cell r="S6235">
            <v>344.15</v>
          </cell>
          <cell r="X6235" t="str">
            <v>Commissions - gross</v>
          </cell>
          <cell r="Y6235" t="str">
            <v>ISRAEL</v>
          </cell>
        </row>
        <row r="6236">
          <cell r="L6236" t="str">
            <v>Non-proportional</v>
          </cell>
          <cell r="S6236">
            <v>77.36</v>
          </cell>
          <cell r="X6236" t="str">
            <v>Commissions - gross</v>
          </cell>
          <cell r="Y6236" t="str">
            <v>CHILE</v>
          </cell>
        </row>
        <row r="6237">
          <cell r="L6237" t="str">
            <v>Non-proportional</v>
          </cell>
          <cell r="S6237">
            <v>116.04</v>
          </cell>
          <cell r="X6237" t="str">
            <v>Commissions - gross</v>
          </cell>
          <cell r="Y6237" t="str">
            <v>CHILE</v>
          </cell>
        </row>
        <row r="6238">
          <cell r="L6238" t="str">
            <v>Non-proportional</v>
          </cell>
          <cell r="S6238">
            <v>104.48</v>
          </cell>
          <cell r="X6238" t="str">
            <v>Commissions - gross</v>
          </cell>
          <cell r="Y6238" t="str">
            <v>CYPRUS</v>
          </cell>
        </row>
        <row r="6239">
          <cell r="L6239" t="str">
            <v>Non-proportional</v>
          </cell>
          <cell r="S6239">
            <v>134.24</v>
          </cell>
          <cell r="X6239" t="str">
            <v>Commissions - gross</v>
          </cell>
          <cell r="Y6239" t="str">
            <v>DOMINICAN REPUBLIC</v>
          </cell>
        </row>
        <row r="6240">
          <cell r="L6240" t="str">
            <v>Non-proportional</v>
          </cell>
          <cell r="S6240">
            <v>-8.1999999999999993</v>
          </cell>
          <cell r="X6240" t="str">
            <v>Commissions - gross</v>
          </cell>
          <cell r="Y6240" t="str">
            <v>NEW ZEALAND</v>
          </cell>
        </row>
        <row r="6241">
          <cell r="L6241" t="str">
            <v>Non-proportional</v>
          </cell>
          <cell r="S6241">
            <v>-55.24</v>
          </cell>
          <cell r="X6241" t="str">
            <v>Commissions - gross</v>
          </cell>
          <cell r="Y6241" t="str">
            <v>AUSTRALIA</v>
          </cell>
        </row>
        <row r="6242">
          <cell r="L6242" t="str">
            <v>Non-proportional</v>
          </cell>
          <cell r="S6242">
            <v>72.290000000000006</v>
          </cell>
          <cell r="X6242" t="str">
            <v>Commissions - gross</v>
          </cell>
          <cell r="Y6242" t="str">
            <v>JAPAN</v>
          </cell>
        </row>
        <row r="6243">
          <cell r="L6243" t="str">
            <v>Non-proportional</v>
          </cell>
          <cell r="S6243">
            <v>1.53</v>
          </cell>
          <cell r="X6243" t="str">
            <v>Commissions - gross</v>
          </cell>
          <cell r="Y6243" t="str">
            <v>ISRAEL</v>
          </cell>
        </row>
        <row r="6244">
          <cell r="L6244" t="str">
            <v>Non-proportional</v>
          </cell>
          <cell r="S6244">
            <v>270.77</v>
          </cell>
          <cell r="X6244" t="str">
            <v>Commissions - gross</v>
          </cell>
          <cell r="Y6244" t="str">
            <v>CHILE</v>
          </cell>
        </row>
        <row r="6245">
          <cell r="L6245" t="str">
            <v>Non-proportional</v>
          </cell>
          <cell r="S6245">
            <v>484.48</v>
          </cell>
          <cell r="X6245" t="str">
            <v>Commissions - gross</v>
          </cell>
          <cell r="Y6245" t="str">
            <v>ECUADOR</v>
          </cell>
        </row>
        <row r="6246">
          <cell r="L6246" t="str">
            <v>Non-proportional</v>
          </cell>
          <cell r="S6246">
            <v>696.26</v>
          </cell>
          <cell r="X6246" t="str">
            <v>Commissions - gross</v>
          </cell>
          <cell r="Y6246" t="str">
            <v>CHILE</v>
          </cell>
        </row>
        <row r="6247">
          <cell r="L6247" t="str">
            <v>Non-proportional</v>
          </cell>
          <cell r="S6247">
            <v>734.24</v>
          </cell>
          <cell r="X6247" t="str">
            <v>Commissions - gross</v>
          </cell>
          <cell r="Y6247" t="str">
            <v>FRANCE</v>
          </cell>
        </row>
        <row r="6248">
          <cell r="L6248" t="str">
            <v>Non-proportional</v>
          </cell>
          <cell r="S6248">
            <v>-7.51</v>
          </cell>
          <cell r="X6248" t="str">
            <v>Commissions - gross</v>
          </cell>
          <cell r="Y6248" t="str">
            <v>COLOMBIA</v>
          </cell>
        </row>
        <row r="6249">
          <cell r="L6249" t="str">
            <v>Non-proportional</v>
          </cell>
          <cell r="S6249">
            <v>541.54</v>
          </cell>
          <cell r="X6249" t="str">
            <v>Commissions - gross</v>
          </cell>
          <cell r="Y6249" t="str">
            <v>CHILE</v>
          </cell>
        </row>
        <row r="6250">
          <cell r="L6250" t="str">
            <v>Proportional</v>
          </cell>
          <cell r="S6250">
            <v>2.4900000000000002</v>
          </cell>
          <cell r="X6250" t="str">
            <v>Commissions - gross</v>
          </cell>
          <cell r="Y6250" t="str">
            <v>UNITED STATES</v>
          </cell>
        </row>
        <row r="6251">
          <cell r="L6251" t="str">
            <v>Non-proportional</v>
          </cell>
          <cell r="S6251">
            <v>221.18</v>
          </cell>
          <cell r="X6251" t="str">
            <v>Commissions - gross</v>
          </cell>
          <cell r="Y6251" t="str">
            <v>JAPAN</v>
          </cell>
        </row>
        <row r="6252">
          <cell r="L6252" t="str">
            <v>Non-proportional</v>
          </cell>
          <cell r="S6252">
            <v>1011.04</v>
          </cell>
          <cell r="X6252" t="str">
            <v>Commissions - gross</v>
          </cell>
          <cell r="Y6252" t="str">
            <v>MEXICO</v>
          </cell>
        </row>
        <row r="6253">
          <cell r="L6253" t="str">
            <v>Non-proportional</v>
          </cell>
          <cell r="S6253">
            <v>1014.06</v>
          </cell>
          <cell r="X6253" t="str">
            <v>Commissions - gross</v>
          </cell>
          <cell r="Y6253" t="str">
            <v>CHINA</v>
          </cell>
        </row>
        <row r="6254">
          <cell r="L6254" t="str">
            <v>Non-proportional</v>
          </cell>
          <cell r="S6254">
            <v>436.75</v>
          </cell>
          <cell r="X6254" t="str">
            <v>Commissions - gross</v>
          </cell>
          <cell r="Y6254" t="str">
            <v>THAILAND</v>
          </cell>
        </row>
        <row r="6255">
          <cell r="L6255" t="str">
            <v>Non-proportional</v>
          </cell>
          <cell r="S6255">
            <v>522.16</v>
          </cell>
          <cell r="X6255" t="str">
            <v>Commissions - gross</v>
          </cell>
          <cell r="Y6255" t="str">
            <v>JAPAN</v>
          </cell>
        </row>
        <row r="6256">
          <cell r="L6256" t="str">
            <v>Non-proportional</v>
          </cell>
          <cell r="S6256">
            <v>1841.92</v>
          </cell>
          <cell r="X6256" t="str">
            <v>Commissions - gross</v>
          </cell>
          <cell r="Y6256" t="str">
            <v>UNITED KINGDOM</v>
          </cell>
        </row>
        <row r="6257">
          <cell r="L6257" t="str">
            <v>Non-proportional</v>
          </cell>
          <cell r="S6257">
            <v>88.44</v>
          </cell>
          <cell r="X6257" t="str">
            <v>Commissions - gross</v>
          </cell>
          <cell r="Y6257" t="str">
            <v>FRANCE</v>
          </cell>
        </row>
        <row r="6258">
          <cell r="L6258" t="str">
            <v>Non-proportional</v>
          </cell>
          <cell r="S6258">
            <v>128.56</v>
          </cell>
          <cell r="X6258" t="str">
            <v>Commissions - gross</v>
          </cell>
          <cell r="Y6258" t="str">
            <v>DOMINICAN REPUBLIC</v>
          </cell>
        </row>
        <row r="6259">
          <cell r="L6259" t="str">
            <v>Non-proportional</v>
          </cell>
          <cell r="S6259">
            <v>113.12</v>
          </cell>
          <cell r="X6259" t="str">
            <v>Commissions - gross</v>
          </cell>
          <cell r="Y6259" t="str">
            <v>CYPRUS</v>
          </cell>
        </row>
        <row r="6260">
          <cell r="L6260" t="str">
            <v>Non-proportional</v>
          </cell>
          <cell r="S6260">
            <v>526.73</v>
          </cell>
          <cell r="X6260" t="str">
            <v>Commissions - gross</v>
          </cell>
          <cell r="Y6260" t="str">
            <v>UNITED KINGDOM</v>
          </cell>
        </row>
        <row r="6261">
          <cell r="L6261" t="str">
            <v>Non-proportional</v>
          </cell>
          <cell r="S6261">
            <v>-46.26</v>
          </cell>
          <cell r="X6261" t="str">
            <v>Commissions - gross</v>
          </cell>
          <cell r="Y6261" t="str">
            <v>DOMINICAN REPUBLIC</v>
          </cell>
        </row>
        <row r="6262">
          <cell r="L6262" t="str">
            <v>Non-proportional</v>
          </cell>
          <cell r="S6262">
            <v>-13.59</v>
          </cell>
          <cell r="X6262" t="str">
            <v>Commissions - gross</v>
          </cell>
          <cell r="Y6262" t="str">
            <v>NEW ZEALAND</v>
          </cell>
        </row>
        <row r="6263">
          <cell r="L6263" t="str">
            <v>Non-proportional</v>
          </cell>
          <cell r="S6263">
            <v>454.96</v>
          </cell>
          <cell r="X6263" t="str">
            <v>Commissions - gross</v>
          </cell>
          <cell r="Y6263" t="str">
            <v>DOMINICAN REPUBLIC</v>
          </cell>
        </row>
        <row r="6264">
          <cell r="L6264" t="str">
            <v>Non-proportional</v>
          </cell>
          <cell r="S6264">
            <v>860.52</v>
          </cell>
          <cell r="X6264" t="str">
            <v>Commissions - gross</v>
          </cell>
          <cell r="Y6264" t="str">
            <v>PERU</v>
          </cell>
        </row>
        <row r="6265">
          <cell r="L6265" t="str">
            <v>Non-proportional</v>
          </cell>
          <cell r="S6265">
            <v>2279.39</v>
          </cell>
          <cell r="X6265" t="str">
            <v>Commissions - gross</v>
          </cell>
          <cell r="Y6265" t="str">
            <v>UNITED KINGDOM</v>
          </cell>
        </row>
        <row r="6266">
          <cell r="L6266" t="str">
            <v>Non-proportional</v>
          </cell>
          <cell r="S6266">
            <v>425.49</v>
          </cell>
          <cell r="X6266" t="str">
            <v>Commissions - gross</v>
          </cell>
          <cell r="Y6266" t="str">
            <v>CHILE</v>
          </cell>
        </row>
        <row r="6267">
          <cell r="L6267" t="str">
            <v>Non-proportional</v>
          </cell>
          <cell r="S6267">
            <v>46.14</v>
          </cell>
          <cell r="X6267" t="str">
            <v>Commissions - gross</v>
          </cell>
          <cell r="Y6267" t="str">
            <v>UNITED KINGDOM</v>
          </cell>
        </row>
        <row r="6268">
          <cell r="L6268" t="str">
            <v>Non-proportional</v>
          </cell>
          <cell r="S6268">
            <v>601.54</v>
          </cell>
          <cell r="X6268" t="str">
            <v>Commissions - gross</v>
          </cell>
          <cell r="Y6268" t="str">
            <v>AUSTRALIA</v>
          </cell>
        </row>
        <row r="6269">
          <cell r="L6269" t="str">
            <v>Non-proportional</v>
          </cell>
          <cell r="S6269">
            <v>1433.12</v>
          </cell>
          <cell r="X6269" t="str">
            <v>Commissions - gross</v>
          </cell>
          <cell r="Y6269" t="str">
            <v>FRANCE</v>
          </cell>
        </row>
        <row r="6270">
          <cell r="L6270" t="str">
            <v>Non-proportional</v>
          </cell>
          <cell r="S6270">
            <v>2166.67</v>
          </cell>
          <cell r="X6270" t="str">
            <v>Commissions - gross</v>
          </cell>
          <cell r="Y6270" t="str">
            <v>FRANCE</v>
          </cell>
        </row>
        <row r="6271">
          <cell r="L6271" t="str">
            <v>Non-proportional</v>
          </cell>
          <cell r="S6271">
            <v>3668.08</v>
          </cell>
          <cell r="X6271" t="str">
            <v>Commissions - gross</v>
          </cell>
          <cell r="Y6271" t="str">
            <v>UNITED STATES</v>
          </cell>
        </row>
        <row r="6272">
          <cell r="L6272" t="str">
            <v>Non-proportional</v>
          </cell>
          <cell r="S6272">
            <v>3405.83</v>
          </cell>
          <cell r="X6272" t="str">
            <v>Commissions - gross</v>
          </cell>
          <cell r="Y6272" t="str">
            <v>UNITED KINGDOM</v>
          </cell>
        </row>
        <row r="6273">
          <cell r="L6273" t="str">
            <v>Proportional</v>
          </cell>
          <cell r="S6273">
            <v>190.61</v>
          </cell>
          <cell r="X6273" t="str">
            <v>Commissions - gross</v>
          </cell>
          <cell r="Y6273" t="str">
            <v>ITALY</v>
          </cell>
        </row>
        <row r="6274">
          <cell r="L6274" t="str">
            <v>Non-proportional</v>
          </cell>
          <cell r="S6274">
            <v>391.73</v>
          </cell>
          <cell r="X6274" t="str">
            <v>Commissions - gross</v>
          </cell>
          <cell r="Y6274" t="str">
            <v>ITALY</v>
          </cell>
        </row>
        <row r="6275">
          <cell r="L6275" t="str">
            <v>Non-proportional</v>
          </cell>
          <cell r="S6275">
            <v>61.25</v>
          </cell>
          <cell r="X6275" t="str">
            <v>Commissions - gross</v>
          </cell>
          <cell r="Y6275" t="str">
            <v>GREECE</v>
          </cell>
        </row>
        <row r="6276">
          <cell r="L6276" t="str">
            <v>Non-proportional</v>
          </cell>
          <cell r="S6276">
            <v>41.77</v>
          </cell>
          <cell r="X6276" t="str">
            <v>Commissions - gross</v>
          </cell>
          <cell r="Y6276" t="str">
            <v>NETHERLANDS</v>
          </cell>
        </row>
        <row r="6277">
          <cell r="L6277" t="str">
            <v>Non-proportional</v>
          </cell>
          <cell r="S6277">
            <v>-14.91</v>
          </cell>
          <cell r="X6277" t="str">
            <v>Commissions - gross</v>
          </cell>
          <cell r="Y6277" t="str">
            <v>JAPAN</v>
          </cell>
        </row>
        <row r="6278">
          <cell r="L6278" t="str">
            <v>Non-proportional</v>
          </cell>
          <cell r="S6278">
            <v>3034.6</v>
          </cell>
          <cell r="X6278" t="str">
            <v>Commissions - gross</v>
          </cell>
          <cell r="Y6278" t="str">
            <v>FRANCE</v>
          </cell>
        </row>
        <row r="6279">
          <cell r="L6279" t="str">
            <v>Non-proportional</v>
          </cell>
          <cell r="S6279">
            <v>608.63</v>
          </cell>
          <cell r="X6279" t="str">
            <v>Commissions - gross</v>
          </cell>
          <cell r="Y6279" t="str">
            <v>ITALY</v>
          </cell>
        </row>
        <row r="6280">
          <cell r="L6280" t="str">
            <v>Non-proportional</v>
          </cell>
          <cell r="S6280">
            <v>386.81</v>
          </cell>
          <cell r="X6280" t="str">
            <v>Commissions - gross</v>
          </cell>
          <cell r="Y6280" t="str">
            <v>CHILE</v>
          </cell>
        </row>
        <row r="6281">
          <cell r="L6281" t="str">
            <v>Non-proportional</v>
          </cell>
          <cell r="S6281">
            <v>263.10000000000002</v>
          </cell>
          <cell r="X6281" t="str">
            <v>Commissions - gross</v>
          </cell>
          <cell r="Y6281" t="str">
            <v>AUSTRALIA</v>
          </cell>
        </row>
        <row r="6282">
          <cell r="L6282" t="str">
            <v>Non-proportional</v>
          </cell>
          <cell r="S6282">
            <v>0</v>
          </cell>
          <cell r="X6282" t="str">
            <v>Commissions - gross</v>
          </cell>
          <cell r="Y6282" t="str">
            <v>DOMINICAN REPUBLIC</v>
          </cell>
        </row>
        <row r="6283">
          <cell r="L6283" t="str">
            <v>Non-proportional</v>
          </cell>
          <cell r="S6283">
            <v>0</v>
          </cell>
          <cell r="X6283" t="str">
            <v>Commissions - gross</v>
          </cell>
          <cell r="Y6283" t="str">
            <v>DOMINICAN REPUBLIC</v>
          </cell>
        </row>
        <row r="6284">
          <cell r="L6284" t="str">
            <v>Non-proportional</v>
          </cell>
          <cell r="S6284">
            <v>1049.99</v>
          </cell>
          <cell r="X6284" t="str">
            <v>Commissions - gross</v>
          </cell>
          <cell r="Y6284" t="str">
            <v>ITALY</v>
          </cell>
        </row>
        <row r="6285">
          <cell r="L6285" t="str">
            <v>Non-proportional</v>
          </cell>
          <cell r="S6285">
            <v>671.52</v>
          </cell>
          <cell r="X6285" t="str">
            <v>Commissions - gross</v>
          </cell>
          <cell r="Y6285" t="str">
            <v>MEXICO</v>
          </cell>
        </row>
        <row r="6286">
          <cell r="L6286" t="str">
            <v>Non-proportional</v>
          </cell>
          <cell r="S6286">
            <v>-254.9</v>
          </cell>
          <cell r="X6286" t="str">
            <v>Commissions - gross</v>
          </cell>
          <cell r="Y6286" t="str">
            <v>COLOMBIA</v>
          </cell>
        </row>
        <row r="6287">
          <cell r="L6287" t="str">
            <v>Non-proportional</v>
          </cell>
          <cell r="S6287">
            <v>102.48</v>
          </cell>
          <cell r="X6287" t="str">
            <v>Commissions - gross</v>
          </cell>
          <cell r="Y6287" t="str">
            <v>MEXICO</v>
          </cell>
        </row>
        <row r="6288">
          <cell r="L6288" t="str">
            <v>Non-proportional</v>
          </cell>
          <cell r="S6288">
            <v>218.75</v>
          </cell>
          <cell r="X6288" t="str">
            <v>Commissions - gross</v>
          </cell>
          <cell r="Y6288" t="str">
            <v>GERMANY</v>
          </cell>
        </row>
        <row r="6289">
          <cell r="L6289" t="str">
            <v>Non-proportional</v>
          </cell>
          <cell r="S6289">
            <v>108.05</v>
          </cell>
          <cell r="X6289" t="str">
            <v>Commissions - gross</v>
          </cell>
          <cell r="Y6289" t="str">
            <v>ECUADOR</v>
          </cell>
        </row>
        <row r="6290">
          <cell r="L6290" t="str">
            <v>Non-proportional</v>
          </cell>
          <cell r="S6290">
            <v>667.64</v>
          </cell>
          <cell r="X6290" t="str">
            <v>Commissions - gross</v>
          </cell>
          <cell r="Y6290" t="str">
            <v>AUSTRALIA</v>
          </cell>
        </row>
        <row r="6291">
          <cell r="L6291" t="str">
            <v>Non-proportional</v>
          </cell>
          <cell r="S6291">
            <v>923.97</v>
          </cell>
          <cell r="X6291" t="str">
            <v>Commissions - gross</v>
          </cell>
          <cell r="Y6291" t="str">
            <v>JAPAN</v>
          </cell>
        </row>
        <row r="6292">
          <cell r="L6292" t="str">
            <v>Non-proportional</v>
          </cell>
          <cell r="S6292">
            <v>74.36</v>
          </cell>
          <cell r="X6292" t="str">
            <v>Commissions - gross</v>
          </cell>
          <cell r="Y6292" t="str">
            <v>JAPAN</v>
          </cell>
        </row>
        <row r="6293">
          <cell r="L6293" t="str">
            <v>Non-proportional</v>
          </cell>
          <cell r="S6293">
            <v>-1435.26</v>
          </cell>
          <cell r="X6293" t="str">
            <v>Commissions - gross</v>
          </cell>
          <cell r="Y6293" t="str">
            <v>COLOMBIA</v>
          </cell>
        </row>
        <row r="6294">
          <cell r="L6294" t="str">
            <v>Non-proportional</v>
          </cell>
          <cell r="S6294">
            <v>1016.85</v>
          </cell>
          <cell r="X6294" t="str">
            <v>Commissions - gross</v>
          </cell>
          <cell r="Y6294" t="str">
            <v>ECUADOR</v>
          </cell>
        </row>
        <row r="6295">
          <cell r="L6295" t="str">
            <v>Non-proportional</v>
          </cell>
          <cell r="S6295">
            <v>159.91999999999999</v>
          </cell>
          <cell r="X6295" t="str">
            <v>Commissions - gross</v>
          </cell>
          <cell r="Y6295" t="str">
            <v>COLOMBIA</v>
          </cell>
        </row>
        <row r="6296">
          <cell r="L6296" t="str">
            <v>Non-proportional</v>
          </cell>
          <cell r="S6296">
            <v>293.39</v>
          </cell>
          <cell r="X6296" t="str">
            <v>Commissions - gross</v>
          </cell>
          <cell r="Y6296" t="str">
            <v>JAPAN</v>
          </cell>
        </row>
        <row r="6297">
          <cell r="L6297" t="str">
            <v>Non-proportional</v>
          </cell>
          <cell r="S6297">
            <v>502.86</v>
          </cell>
          <cell r="X6297" t="str">
            <v>Commissions - gross</v>
          </cell>
          <cell r="Y6297" t="str">
            <v>CHILE</v>
          </cell>
        </row>
        <row r="6298">
          <cell r="L6298" t="str">
            <v>Non-proportional</v>
          </cell>
          <cell r="S6298">
            <v>174.99</v>
          </cell>
          <cell r="X6298" t="str">
            <v>Commissions - gross</v>
          </cell>
          <cell r="Y6298" t="str">
            <v>EUROPE</v>
          </cell>
        </row>
        <row r="6299">
          <cell r="L6299" t="str">
            <v>Non-proportional</v>
          </cell>
          <cell r="S6299">
            <v>139.63999999999999</v>
          </cell>
          <cell r="X6299" t="str">
            <v>Commissions - gross</v>
          </cell>
          <cell r="Y6299" t="str">
            <v>UNITED ARAB EMIRATES</v>
          </cell>
        </row>
        <row r="6300">
          <cell r="L6300" t="str">
            <v>Non-proportional</v>
          </cell>
          <cell r="S6300">
            <v>510.47</v>
          </cell>
          <cell r="X6300" t="str">
            <v>Commissions - gross</v>
          </cell>
          <cell r="Y6300" t="str">
            <v>PERU</v>
          </cell>
        </row>
        <row r="6301">
          <cell r="L6301" t="str">
            <v>Non-proportional</v>
          </cell>
          <cell r="S6301">
            <v>41.81</v>
          </cell>
          <cell r="X6301" t="str">
            <v>Commissions - gross</v>
          </cell>
          <cell r="Y6301" t="str">
            <v>TURKEY</v>
          </cell>
        </row>
        <row r="6302">
          <cell r="L6302" t="str">
            <v>Non-proportional</v>
          </cell>
          <cell r="S6302">
            <v>406.94</v>
          </cell>
          <cell r="X6302" t="str">
            <v>Commissions - gross</v>
          </cell>
          <cell r="Y6302" t="str">
            <v>UNITED KINGDOM</v>
          </cell>
        </row>
        <row r="6303">
          <cell r="L6303" t="str">
            <v>Non-proportional</v>
          </cell>
          <cell r="S6303">
            <v>37.89</v>
          </cell>
          <cell r="X6303" t="str">
            <v>Commissions - gross</v>
          </cell>
          <cell r="Y6303" t="str">
            <v>TURKEY</v>
          </cell>
        </row>
        <row r="6304">
          <cell r="L6304" t="str">
            <v>Non-proportional</v>
          </cell>
          <cell r="S6304">
            <v>401.64</v>
          </cell>
          <cell r="X6304" t="str">
            <v>Commissions - gross</v>
          </cell>
          <cell r="Y6304" t="str">
            <v>UNITED KINGDOM</v>
          </cell>
        </row>
        <row r="6305">
          <cell r="L6305" t="str">
            <v>Non-proportional</v>
          </cell>
          <cell r="S6305">
            <v>1264.24</v>
          </cell>
          <cell r="X6305" t="str">
            <v>Commissions - gross</v>
          </cell>
          <cell r="Y6305" t="str">
            <v>AUSTRALIA</v>
          </cell>
        </row>
        <row r="6306">
          <cell r="L6306" t="str">
            <v>Non-proportional</v>
          </cell>
          <cell r="S6306">
            <v>193.41</v>
          </cell>
          <cell r="X6306" t="str">
            <v>Commissions - gross</v>
          </cell>
          <cell r="Y6306" t="str">
            <v>CHILE</v>
          </cell>
        </row>
        <row r="6307">
          <cell r="L6307" t="str">
            <v>Non-proportional</v>
          </cell>
          <cell r="S6307">
            <v>695.78</v>
          </cell>
          <cell r="X6307" t="str">
            <v>Commissions - gross</v>
          </cell>
          <cell r="Y6307" t="str">
            <v>ITALY</v>
          </cell>
        </row>
        <row r="6308">
          <cell r="L6308" t="str">
            <v>Non-proportional</v>
          </cell>
          <cell r="S6308">
            <v>89.89</v>
          </cell>
          <cell r="X6308" t="str">
            <v>Commissions - gross</v>
          </cell>
          <cell r="Y6308" t="str">
            <v>FRANCE</v>
          </cell>
        </row>
        <row r="6309">
          <cell r="L6309" t="str">
            <v>Non-proportional</v>
          </cell>
          <cell r="S6309">
            <v>391.05</v>
          </cell>
          <cell r="X6309" t="str">
            <v>Commissions - gross</v>
          </cell>
          <cell r="Y6309" t="str">
            <v>ECUADOR</v>
          </cell>
        </row>
        <row r="6310">
          <cell r="L6310" t="str">
            <v>Non-proportional</v>
          </cell>
          <cell r="S6310">
            <v>413.42</v>
          </cell>
          <cell r="X6310" t="str">
            <v>Commissions - gross</v>
          </cell>
          <cell r="Y6310" t="str">
            <v>DOMINICAN REPUBLIC</v>
          </cell>
        </row>
        <row r="6311">
          <cell r="L6311" t="str">
            <v>Non-proportional</v>
          </cell>
          <cell r="S6311">
            <v>-8.1999999999999993</v>
          </cell>
          <cell r="X6311" t="str">
            <v>Commissions - gross</v>
          </cell>
          <cell r="Y6311" t="str">
            <v>NEW ZEALAND</v>
          </cell>
        </row>
        <row r="6312">
          <cell r="L6312" t="str">
            <v>Non-proportional</v>
          </cell>
          <cell r="S6312">
            <v>21.51</v>
          </cell>
          <cell r="X6312" t="str">
            <v>Commissions - gross</v>
          </cell>
          <cell r="Y6312" t="str">
            <v>TURKEY</v>
          </cell>
        </row>
        <row r="6313">
          <cell r="L6313" t="str">
            <v>Non-proportional</v>
          </cell>
          <cell r="S6313">
            <v>120705.7</v>
          </cell>
          <cell r="X6313" t="str">
            <v>Commissions - gross</v>
          </cell>
          <cell r="Y6313" t="str">
            <v>UNITED KINGDOM</v>
          </cell>
        </row>
        <row r="6314">
          <cell r="L6314" t="str">
            <v>Non-proportional</v>
          </cell>
          <cell r="S6314">
            <v>-2.02</v>
          </cell>
          <cell r="X6314" t="str">
            <v>Commissions - gross</v>
          </cell>
          <cell r="Y6314" t="str">
            <v>COLOMBIA</v>
          </cell>
        </row>
        <row r="6315">
          <cell r="L6315" t="str">
            <v>Non-proportional</v>
          </cell>
          <cell r="S6315">
            <v>31.07</v>
          </cell>
          <cell r="X6315" t="str">
            <v>Commissions - gross</v>
          </cell>
          <cell r="Y6315" t="str">
            <v>ITALY</v>
          </cell>
        </row>
        <row r="6316">
          <cell r="L6316" t="str">
            <v>Non-proportional</v>
          </cell>
          <cell r="S6316">
            <v>369.81</v>
          </cell>
          <cell r="X6316" t="str">
            <v>Commissions - gross</v>
          </cell>
          <cell r="Y6316" t="str">
            <v>COLOMBIA</v>
          </cell>
        </row>
        <row r="6317">
          <cell r="L6317" t="str">
            <v>Non-proportional</v>
          </cell>
          <cell r="S6317">
            <v>550.16</v>
          </cell>
          <cell r="X6317" t="str">
            <v>Commissions - gross</v>
          </cell>
          <cell r="Y6317" t="str">
            <v>SPAIN</v>
          </cell>
        </row>
        <row r="6318">
          <cell r="L6318" t="str">
            <v>Non-proportional</v>
          </cell>
          <cell r="S6318">
            <v>421.88</v>
          </cell>
          <cell r="X6318" t="str">
            <v>Commissions - gross</v>
          </cell>
          <cell r="Y6318" t="str">
            <v>COLOMBIA</v>
          </cell>
        </row>
        <row r="6319">
          <cell r="L6319" t="str">
            <v>Non-proportional</v>
          </cell>
          <cell r="S6319">
            <v>309.74</v>
          </cell>
          <cell r="X6319" t="str">
            <v>Commissions - gross</v>
          </cell>
          <cell r="Y6319" t="str">
            <v>ISRAEL</v>
          </cell>
        </row>
        <row r="6320">
          <cell r="L6320" t="str">
            <v>Non-proportional</v>
          </cell>
          <cell r="S6320">
            <v>38.68</v>
          </cell>
          <cell r="X6320" t="str">
            <v>Commissions - gross</v>
          </cell>
          <cell r="Y6320" t="str">
            <v>CHILE</v>
          </cell>
        </row>
        <row r="6321">
          <cell r="L6321" t="str">
            <v>Non-proportional</v>
          </cell>
          <cell r="S6321">
            <v>802.05</v>
          </cell>
          <cell r="X6321" t="str">
            <v>Commissions - gross</v>
          </cell>
          <cell r="Y6321" t="str">
            <v>TURKEY</v>
          </cell>
        </row>
        <row r="6322">
          <cell r="L6322" t="str">
            <v>Non-proportional</v>
          </cell>
          <cell r="S6322">
            <v>96.67</v>
          </cell>
          <cell r="X6322" t="str">
            <v>Commissions - gross</v>
          </cell>
          <cell r="Y6322" t="str">
            <v>DOMINICAN REPUBLIC</v>
          </cell>
        </row>
        <row r="6323">
          <cell r="L6323" t="str">
            <v>Non-proportional</v>
          </cell>
          <cell r="S6323">
            <v>647.37</v>
          </cell>
          <cell r="X6323" t="str">
            <v>Commissions - gross</v>
          </cell>
          <cell r="Y6323" t="str">
            <v>DOMINICAN REPUBLIC</v>
          </cell>
        </row>
        <row r="6324">
          <cell r="L6324" t="str">
            <v>Non-proportional</v>
          </cell>
          <cell r="S6324">
            <v>-14.91</v>
          </cell>
          <cell r="X6324" t="str">
            <v>Commissions - gross</v>
          </cell>
          <cell r="Y6324" t="str">
            <v>JAPAN</v>
          </cell>
        </row>
        <row r="6325">
          <cell r="L6325" t="str">
            <v>Non-proportional</v>
          </cell>
          <cell r="S6325">
            <v>-2.2799999999999998</v>
          </cell>
          <cell r="X6325" t="str">
            <v>Commissions - gross</v>
          </cell>
          <cell r="Y6325" t="str">
            <v>NEW ZEALAND</v>
          </cell>
        </row>
        <row r="6326">
          <cell r="L6326" t="str">
            <v>Non-proportional</v>
          </cell>
          <cell r="S6326">
            <v>690.77</v>
          </cell>
          <cell r="X6326" t="str">
            <v>Commissions - gross</v>
          </cell>
          <cell r="Y6326" t="str">
            <v>GREECE</v>
          </cell>
        </row>
        <row r="6327">
          <cell r="L6327" t="str">
            <v>Non-proportional</v>
          </cell>
          <cell r="S6327">
            <v>382.82</v>
          </cell>
          <cell r="X6327" t="str">
            <v>Commissions - gross</v>
          </cell>
          <cell r="Y6327" t="str">
            <v>THAILAND</v>
          </cell>
        </row>
        <row r="6328">
          <cell r="L6328" t="str">
            <v>Non-proportional</v>
          </cell>
          <cell r="S6328">
            <v>77.150000000000006</v>
          </cell>
          <cell r="X6328" t="str">
            <v>Commissions - gross</v>
          </cell>
          <cell r="Y6328" t="str">
            <v>GERMANY</v>
          </cell>
        </row>
        <row r="6329">
          <cell r="L6329" t="str">
            <v>Proportional</v>
          </cell>
          <cell r="S6329">
            <v>669.59</v>
          </cell>
          <cell r="X6329" t="str">
            <v>Commissions - gross</v>
          </cell>
          <cell r="Y6329" t="str">
            <v>JAPAN</v>
          </cell>
        </row>
        <row r="6330">
          <cell r="L6330" t="str">
            <v>Non-proportional</v>
          </cell>
          <cell r="S6330">
            <v>184.69</v>
          </cell>
          <cell r="X6330" t="str">
            <v>Commissions - gross</v>
          </cell>
          <cell r="Y6330" t="str">
            <v>FRANCE</v>
          </cell>
        </row>
        <row r="6331">
          <cell r="L6331" t="str">
            <v>Non-proportional</v>
          </cell>
          <cell r="S6331">
            <v>983.28</v>
          </cell>
          <cell r="X6331" t="str">
            <v>Commissions - gross</v>
          </cell>
          <cell r="Y6331" t="str">
            <v>FRANCE</v>
          </cell>
        </row>
        <row r="6332">
          <cell r="L6332" t="str">
            <v>Non-proportional</v>
          </cell>
          <cell r="S6332">
            <v>425.07</v>
          </cell>
          <cell r="X6332" t="str">
            <v>Commissions - gross</v>
          </cell>
          <cell r="Y6332" t="str">
            <v>ITALY</v>
          </cell>
        </row>
        <row r="6333">
          <cell r="L6333" t="str">
            <v>Non-proportional</v>
          </cell>
          <cell r="S6333">
            <v>92.9</v>
          </cell>
          <cell r="X6333" t="str">
            <v>Commissions - gross</v>
          </cell>
          <cell r="Y6333" t="str">
            <v>ISRAEL</v>
          </cell>
        </row>
        <row r="6334">
          <cell r="L6334" t="str">
            <v>Non-proportional</v>
          </cell>
          <cell r="S6334">
            <v>177.75</v>
          </cell>
          <cell r="X6334" t="str">
            <v>Commissions - gross</v>
          </cell>
          <cell r="Y6334" t="str">
            <v>GREECE</v>
          </cell>
        </row>
        <row r="6335">
          <cell r="L6335" t="str">
            <v>Proportional</v>
          </cell>
          <cell r="S6335">
            <v>17.11</v>
          </cell>
          <cell r="X6335" t="str">
            <v>Commissions - gross</v>
          </cell>
          <cell r="Y6335" t="str">
            <v>UNITED STATES</v>
          </cell>
        </row>
        <row r="6336">
          <cell r="L6336" t="str">
            <v>Non-proportional</v>
          </cell>
          <cell r="S6336">
            <v>2.17</v>
          </cell>
          <cell r="X6336" t="str">
            <v>Commissions - gross</v>
          </cell>
          <cell r="Y6336" t="str">
            <v>JAPAN</v>
          </cell>
        </row>
        <row r="6337">
          <cell r="L6337" t="str">
            <v>Non-proportional</v>
          </cell>
          <cell r="S6337">
            <v>2529.84</v>
          </cell>
          <cell r="X6337" t="str">
            <v>Commissions - gross</v>
          </cell>
          <cell r="Y6337" t="str">
            <v>FRANCE</v>
          </cell>
        </row>
        <row r="6338">
          <cell r="L6338" t="str">
            <v>Non-proportional</v>
          </cell>
          <cell r="S6338">
            <v>151.5</v>
          </cell>
          <cell r="X6338" t="str">
            <v>Commissions - gross</v>
          </cell>
          <cell r="Y6338" t="str">
            <v>UNITED KINGDOM</v>
          </cell>
        </row>
        <row r="6339">
          <cell r="L6339" t="str">
            <v>Non-proportional</v>
          </cell>
          <cell r="S6339">
            <v>315.77</v>
          </cell>
          <cell r="X6339" t="str">
            <v>Commissions - gross</v>
          </cell>
          <cell r="Y6339" t="str">
            <v>DOMINICAN REPUBLIC</v>
          </cell>
        </row>
        <row r="6340">
          <cell r="L6340" t="str">
            <v>Non-proportional</v>
          </cell>
          <cell r="S6340">
            <v>5.3</v>
          </cell>
          <cell r="X6340" t="str">
            <v>Commissions - gross</v>
          </cell>
          <cell r="Y6340" t="str">
            <v>GUATEMALA</v>
          </cell>
        </row>
        <row r="6341">
          <cell r="L6341" t="str">
            <v>Non-proportional</v>
          </cell>
          <cell r="S6341">
            <v>443.64</v>
          </cell>
          <cell r="X6341" t="str">
            <v>Commissions - gross</v>
          </cell>
          <cell r="Y6341" t="str">
            <v>NEW ZEALAND</v>
          </cell>
        </row>
        <row r="6342">
          <cell r="L6342" t="str">
            <v>Non-proportional</v>
          </cell>
          <cell r="S6342">
            <v>74.040000000000006</v>
          </cell>
          <cell r="X6342" t="str">
            <v>Commissions - gross</v>
          </cell>
          <cell r="Y6342" t="str">
            <v>FRANCE</v>
          </cell>
        </row>
        <row r="6343">
          <cell r="L6343" t="str">
            <v>Non-proportional</v>
          </cell>
          <cell r="S6343">
            <v>8016.89</v>
          </cell>
          <cell r="X6343" t="str">
            <v>Commissions - gross</v>
          </cell>
          <cell r="Y6343" t="str">
            <v>UNITED KINGDOM</v>
          </cell>
        </row>
        <row r="6344">
          <cell r="L6344" t="str">
            <v>Non-proportional</v>
          </cell>
          <cell r="S6344">
            <v>16.75</v>
          </cell>
          <cell r="X6344" t="str">
            <v>Commissions - gross</v>
          </cell>
          <cell r="Y6344" t="str">
            <v>FRANCE</v>
          </cell>
        </row>
        <row r="6345">
          <cell r="L6345" t="str">
            <v>Non-proportional</v>
          </cell>
          <cell r="S6345">
            <v>1201.19</v>
          </cell>
          <cell r="X6345" t="str">
            <v>Commissions - gross</v>
          </cell>
          <cell r="Y6345" t="str">
            <v>FRANCE</v>
          </cell>
        </row>
        <row r="6346">
          <cell r="L6346" t="str">
            <v>Non-proportional</v>
          </cell>
          <cell r="S6346">
            <v>493.79</v>
          </cell>
          <cell r="X6346" t="str">
            <v>Commissions - gross</v>
          </cell>
          <cell r="Y6346" t="str">
            <v>UNITED KINGDOM</v>
          </cell>
        </row>
        <row r="6347">
          <cell r="L6347" t="str">
            <v>Non-proportional</v>
          </cell>
          <cell r="S6347">
            <v>161631.66</v>
          </cell>
          <cell r="X6347" t="str">
            <v>Commissions - gross</v>
          </cell>
          <cell r="Y6347" t="str">
            <v>UNITED KINGDOM</v>
          </cell>
        </row>
        <row r="6348">
          <cell r="L6348" t="str">
            <v>Non-proportional</v>
          </cell>
          <cell r="S6348">
            <v>22193.5</v>
          </cell>
          <cell r="X6348" t="str">
            <v>Commissions - gross</v>
          </cell>
          <cell r="Y6348" t="str">
            <v>BELGIUM</v>
          </cell>
        </row>
        <row r="6349">
          <cell r="L6349" t="str">
            <v>Non-proportional</v>
          </cell>
          <cell r="S6349">
            <v>301.52999999999997</v>
          </cell>
          <cell r="X6349" t="str">
            <v>Commissions - gross</v>
          </cell>
          <cell r="Y6349" t="str">
            <v>ITALY</v>
          </cell>
        </row>
        <row r="6350">
          <cell r="L6350" t="str">
            <v>Non-proportional</v>
          </cell>
          <cell r="S6350">
            <v>6947.82</v>
          </cell>
          <cell r="X6350" t="str">
            <v>Commissions - gross</v>
          </cell>
          <cell r="Y6350" t="str">
            <v>UNITED KINGDOM</v>
          </cell>
        </row>
        <row r="6351">
          <cell r="L6351" t="str">
            <v>Non-proportional</v>
          </cell>
          <cell r="S6351">
            <v>38.68</v>
          </cell>
          <cell r="X6351" t="str">
            <v>Commissions - gross</v>
          </cell>
          <cell r="Y6351" t="str">
            <v>CHILE</v>
          </cell>
        </row>
        <row r="6352">
          <cell r="L6352" t="str">
            <v>Non-proportional</v>
          </cell>
          <cell r="S6352">
            <v>618.9</v>
          </cell>
          <cell r="X6352" t="str">
            <v>Commissions - gross</v>
          </cell>
          <cell r="Y6352" t="str">
            <v>CHILE</v>
          </cell>
        </row>
        <row r="6353">
          <cell r="L6353" t="str">
            <v>Non-proportional</v>
          </cell>
          <cell r="S6353">
            <v>1000</v>
          </cell>
          <cell r="X6353" t="str">
            <v>Commissions - gross</v>
          </cell>
          <cell r="Y6353" t="str">
            <v>EUROPE</v>
          </cell>
        </row>
        <row r="6354">
          <cell r="L6354" t="str">
            <v>Proportional</v>
          </cell>
          <cell r="S6354">
            <v>886.41</v>
          </cell>
          <cell r="X6354" t="str">
            <v>Commissions - gross</v>
          </cell>
          <cell r="Y6354" t="str">
            <v>MEXICO</v>
          </cell>
        </row>
        <row r="6355">
          <cell r="L6355" t="str">
            <v>Non-proportional</v>
          </cell>
          <cell r="S6355">
            <v>3.1</v>
          </cell>
          <cell r="X6355" t="str">
            <v>Commissions - gross</v>
          </cell>
          <cell r="Y6355" t="str">
            <v>BRAZIL</v>
          </cell>
        </row>
        <row r="6356">
          <cell r="L6356" t="str">
            <v>Non-proportional</v>
          </cell>
          <cell r="S6356">
            <v>292.74</v>
          </cell>
          <cell r="X6356" t="str">
            <v>Commissions - gross</v>
          </cell>
          <cell r="Y6356" t="str">
            <v>ECUADOR</v>
          </cell>
        </row>
        <row r="6357">
          <cell r="L6357" t="str">
            <v>Non-proportional</v>
          </cell>
          <cell r="S6357">
            <v>1.44</v>
          </cell>
          <cell r="X6357" t="str">
            <v>Commissions - gross</v>
          </cell>
          <cell r="Y6357" t="str">
            <v>JAPAN</v>
          </cell>
        </row>
        <row r="6358">
          <cell r="L6358" t="str">
            <v>Non-proportional</v>
          </cell>
          <cell r="S6358">
            <v>1764.38</v>
          </cell>
          <cell r="X6358" t="str">
            <v>Commissions - gross</v>
          </cell>
          <cell r="Y6358" t="str">
            <v>HONG KONG</v>
          </cell>
        </row>
        <row r="6359">
          <cell r="L6359" t="str">
            <v>Non-proportional</v>
          </cell>
          <cell r="S6359">
            <v>38.68</v>
          </cell>
          <cell r="X6359" t="str">
            <v>Commissions - gross</v>
          </cell>
          <cell r="Y6359" t="str">
            <v>CHILE</v>
          </cell>
        </row>
        <row r="6360">
          <cell r="L6360" t="str">
            <v>Non-proportional</v>
          </cell>
          <cell r="S6360">
            <v>305.75</v>
          </cell>
          <cell r="X6360" t="str">
            <v>Commissions - gross</v>
          </cell>
          <cell r="Y6360" t="str">
            <v>JAPAN</v>
          </cell>
        </row>
        <row r="6361">
          <cell r="L6361" t="str">
            <v>Non-proportional</v>
          </cell>
          <cell r="S6361">
            <v>-8.32</v>
          </cell>
          <cell r="X6361" t="str">
            <v>Commissions - gross</v>
          </cell>
          <cell r="Y6361" t="str">
            <v>BRAZIL</v>
          </cell>
        </row>
        <row r="6362">
          <cell r="L6362" t="str">
            <v>Non-proportional</v>
          </cell>
          <cell r="S6362">
            <v>166.46</v>
          </cell>
          <cell r="X6362" t="str">
            <v>Commissions - gross</v>
          </cell>
          <cell r="Y6362" t="str">
            <v>FRANCE</v>
          </cell>
        </row>
        <row r="6363">
          <cell r="L6363" t="str">
            <v>Non-proportional</v>
          </cell>
          <cell r="S6363">
            <v>4079.99</v>
          </cell>
          <cell r="X6363" t="str">
            <v>Commissions - gross</v>
          </cell>
          <cell r="Y6363" t="str">
            <v>TURKEY</v>
          </cell>
        </row>
        <row r="6364">
          <cell r="L6364" t="str">
            <v>Non-proportional</v>
          </cell>
          <cell r="S6364">
            <v>421.89</v>
          </cell>
          <cell r="X6364" t="str">
            <v>Commissions - gross</v>
          </cell>
          <cell r="Y6364" t="str">
            <v>MEXICO</v>
          </cell>
        </row>
        <row r="6365">
          <cell r="L6365" t="str">
            <v>Non-proportional</v>
          </cell>
          <cell r="S6365">
            <v>97.5</v>
          </cell>
          <cell r="X6365" t="str">
            <v>Commissions - gross</v>
          </cell>
          <cell r="Y6365" t="str">
            <v>GREECE</v>
          </cell>
        </row>
        <row r="6366">
          <cell r="L6366" t="str">
            <v>Non-proportional</v>
          </cell>
          <cell r="S6366">
            <v>-3.07</v>
          </cell>
          <cell r="X6366" t="str">
            <v>Commissions - gross</v>
          </cell>
          <cell r="Y6366" t="str">
            <v>POLAND</v>
          </cell>
        </row>
        <row r="6367">
          <cell r="L6367" t="str">
            <v>Non-proportional</v>
          </cell>
          <cell r="S6367">
            <v>0.5</v>
          </cell>
          <cell r="X6367" t="str">
            <v>Commissions - gross</v>
          </cell>
          <cell r="Y6367" t="str">
            <v>COSTA RICA</v>
          </cell>
        </row>
        <row r="6368">
          <cell r="L6368" t="str">
            <v>Proportional</v>
          </cell>
          <cell r="S6368">
            <v>37.35</v>
          </cell>
          <cell r="X6368" t="str">
            <v>Commissions - gross</v>
          </cell>
          <cell r="Y6368" t="str">
            <v>UNITED STATES</v>
          </cell>
        </row>
        <row r="6369">
          <cell r="L6369" t="str">
            <v>Non-proportional</v>
          </cell>
          <cell r="S6369">
            <v>2318.75</v>
          </cell>
          <cell r="X6369" t="str">
            <v>Commissions - gross</v>
          </cell>
          <cell r="Y6369" t="str">
            <v>ITALY</v>
          </cell>
        </row>
        <row r="6370">
          <cell r="L6370" t="str">
            <v>Non-proportional</v>
          </cell>
          <cell r="S6370">
            <v>782.84</v>
          </cell>
          <cell r="X6370" t="str">
            <v>Commissions - gross</v>
          </cell>
          <cell r="Y6370" t="str">
            <v>COSTA RICA</v>
          </cell>
        </row>
        <row r="6371">
          <cell r="L6371" t="str">
            <v>Non-proportional</v>
          </cell>
          <cell r="S6371">
            <v>-8.3000000000000007</v>
          </cell>
          <cell r="X6371" t="str">
            <v>Commissions - gross</v>
          </cell>
          <cell r="Y6371" t="str">
            <v>COLOMBIA</v>
          </cell>
        </row>
        <row r="6372">
          <cell r="L6372" t="str">
            <v>Non-proportional</v>
          </cell>
          <cell r="S6372">
            <v>280.52</v>
          </cell>
          <cell r="X6372" t="str">
            <v>Commissions - gross</v>
          </cell>
          <cell r="Y6372" t="str">
            <v>REPUBLIC OF IRELAND</v>
          </cell>
        </row>
        <row r="6373">
          <cell r="L6373" t="str">
            <v>Non-proportional</v>
          </cell>
          <cell r="S6373">
            <v>1.1100000000000001</v>
          </cell>
          <cell r="X6373" t="str">
            <v>Commissions - gross</v>
          </cell>
          <cell r="Y6373" t="str">
            <v>ISRAEL</v>
          </cell>
        </row>
        <row r="6374">
          <cell r="L6374" t="str">
            <v>Non-proportional</v>
          </cell>
          <cell r="S6374">
            <v>3802.68</v>
          </cell>
          <cell r="X6374" t="str">
            <v>Commissions - gross</v>
          </cell>
          <cell r="Y6374" t="str">
            <v>FRANCE</v>
          </cell>
        </row>
        <row r="6375">
          <cell r="L6375" t="str">
            <v>Non-proportional</v>
          </cell>
          <cell r="S6375">
            <v>1627.87</v>
          </cell>
          <cell r="X6375" t="str">
            <v>Commissions - gross</v>
          </cell>
          <cell r="Y6375" t="str">
            <v>ITALY</v>
          </cell>
        </row>
        <row r="6376">
          <cell r="L6376" t="str">
            <v>Non-proportional</v>
          </cell>
          <cell r="S6376">
            <v>500.11</v>
          </cell>
          <cell r="X6376" t="str">
            <v>Commissions - gross</v>
          </cell>
          <cell r="Y6376" t="str">
            <v>ITALY</v>
          </cell>
        </row>
        <row r="6377">
          <cell r="L6377" t="str">
            <v>Non-proportional</v>
          </cell>
          <cell r="S6377">
            <v>170.61</v>
          </cell>
          <cell r="X6377" t="str">
            <v>Commissions - gross</v>
          </cell>
          <cell r="Y6377" t="str">
            <v>NEW ZEALAND</v>
          </cell>
        </row>
        <row r="6378">
          <cell r="L6378" t="str">
            <v>Non-proportional</v>
          </cell>
          <cell r="S6378">
            <v>10933.04</v>
          </cell>
          <cell r="X6378" t="str">
            <v>Commissions - gross</v>
          </cell>
          <cell r="Y6378" t="str">
            <v>FRANCE</v>
          </cell>
        </row>
        <row r="6379">
          <cell r="L6379" t="str">
            <v>Non-proportional</v>
          </cell>
          <cell r="S6379">
            <v>1617.79</v>
          </cell>
          <cell r="X6379" t="str">
            <v>Commissions - gross</v>
          </cell>
          <cell r="Y6379" t="str">
            <v>UNITED KINGDOM</v>
          </cell>
        </row>
        <row r="6380">
          <cell r="L6380" t="str">
            <v>Non-proportional</v>
          </cell>
          <cell r="S6380">
            <v>0</v>
          </cell>
          <cell r="X6380" t="str">
            <v>Commissions - gross</v>
          </cell>
          <cell r="Y6380" t="str">
            <v>DOMINICAN REPUBLIC</v>
          </cell>
        </row>
        <row r="6381">
          <cell r="L6381" t="str">
            <v>Non-proportional</v>
          </cell>
          <cell r="S6381">
            <v>297.52999999999997</v>
          </cell>
          <cell r="X6381" t="str">
            <v>Commissions - gross</v>
          </cell>
          <cell r="Y6381" t="str">
            <v>JAPAN</v>
          </cell>
        </row>
        <row r="6382">
          <cell r="L6382" t="str">
            <v>Non-proportional</v>
          </cell>
          <cell r="S6382">
            <v>466.65</v>
          </cell>
          <cell r="X6382" t="str">
            <v>Commissions - gross</v>
          </cell>
          <cell r="Y6382" t="str">
            <v>TURKEY</v>
          </cell>
        </row>
        <row r="6383">
          <cell r="L6383" t="str">
            <v>Non-proportional</v>
          </cell>
          <cell r="S6383">
            <v>3000</v>
          </cell>
          <cell r="X6383" t="str">
            <v>Commissions - gross</v>
          </cell>
          <cell r="Y6383" t="str">
            <v>FRANCE</v>
          </cell>
        </row>
        <row r="6384">
          <cell r="L6384" t="str">
            <v>Non-proportional</v>
          </cell>
          <cell r="S6384">
            <v>132.56</v>
          </cell>
          <cell r="X6384" t="str">
            <v>Commissions - gross</v>
          </cell>
          <cell r="Y6384" t="str">
            <v>COLOMBIA</v>
          </cell>
        </row>
        <row r="6385">
          <cell r="L6385" t="str">
            <v>Proportional</v>
          </cell>
          <cell r="S6385">
            <v>2192.09</v>
          </cell>
          <cell r="X6385" t="str">
            <v>Commissions - gross</v>
          </cell>
          <cell r="Y6385" t="str">
            <v>MEXICO</v>
          </cell>
        </row>
        <row r="6386">
          <cell r="L6386" t="str">
            <v>Non-proportional</v>
          </cell>
          <cell r="S6386">
            <v>20.3</v>
          </cell>
          <cell r="X6386" t="str">
            <v>Commissions - gross</v>
          </cell>
          <cell r="Y6386" t="str">
            <v>JAPAN</v>
          </cell>
        </row>
        <row r="6387">
          <cell r="L6387" t="str">
            <v>Non-proportional</v>
          </cell>
          <cell r="S6387">
            <v>521.78</v>
          </cell>
          <cell r="X6387" t="str">
            <v>Commissions - gross</v>
          </cell>
          <cell r="Y6387" t="str">
            <v>DOMINICAN REPUBLIC</v>
          </cell>
        </row>
        <row r="6388">
          <cell r="L6388" t="str">
            <v>Non-proportional</v>
          </cell>
          <cell r="S6388">
            <v>64.72</v>
          </cell>
          <cell r="X6388" t="str">
            <v>Commissions - gross</v>
          </cell>
          <cell r="Y6388" t="str">
            <v>MEXICO</v>
          </cell>
        </row>
        <row r="6389">
          <cell r="L6389" t="str">
            <v>Non-proportional</v>
          </cell>
          <cell r="S6389">
            <v>44.97</v>
          </cell>
          <cell r="X6389" t="str">
            <v>Commissions - gross</v>
          </cell>
          <cell r="Y6389" t="str">
            <v>JAPAN</v>
          </cell>
        </row>
        <row r="6390">
          <cell r="L6390" t="str">
            <v>Non-proportional</v>
          </cell>
          <cell r="S6390">
            <v>-0.99</v>
          </cell>
          <cell r="X6390" t="str">
            <v>Commissions - gross</v>
          </cell>
          <cell r="Y6390" t="str">
            <v>JAPAN</v>
          </cell>
        </row>
        <row r="6391">
          <cell r="L6391" t="str">
            <v>Non-proportional</v>
          </cell>
          <cell r="S6391">
            <v>1031.25</v>
          </cell>
          <cell r="X6391" t="str">
            <v>Commissions - gross</v>
          </cell>
          <cell r="Y6391" t="str">
            <v>ROMANIA</v>
          </cell>
        </row>
        <row r="6392">
          <cell r="L6392" t="str">
            <v>Non-proportional</v>
          </cell>
          <cell r="S6392">
            <v>390.62</v>
          </cell>
          <cell r="X6392" t="str">
            <v>Commissions - gross</v>
          </cell>
          <cell r="Y6392" t="str">
            <v>EUROPE</v>
          </cell>
        </row>
        <row r="6393">
          <cell r="L6393" t="str">
            <v>Non-proportional</v>
          </cell>
          <cell r="S6393">
            <v>-3.53</v>
          </cell>
          <cell r="X6393" t="str">
            <v>Commissions - gross</v>
          </cell>
          <cell r="Y6393" t="str">
            <v>JAPAN</v>
          </cell>
        </row>
        <row r="6394">
          <cell r="L6394" t="str">
            <v>Non-proportional</v>
          </cell>
          <cell r="S6394">
            <v>92.46</v>
          </cell>
          <cell r="X6394" t="str">
            <v>Commissions - gross</v>
          </cell>
          <cell r="Y6394" t="str">
            <v>COSTA RICA</v>
          </cell>
        </row>
        <row r="6395">
          <cell r="L6395" t="str">
            <v>Non-proportional</v>
          </cell>
          <cell r="S6395">
            <v>86.17</v>
          </cell>
          <cell r="X6395" t="str">
            <v>Commissions - gross</v>
          </cell>
          <cell r="Y6395" t="str">
            <v>PERU</v>
          </cell>
        </row>
        <row r="6396">
          <cell r="L6396" t="str">
            <v>Non-proportional</v>
          </cell>
          <cell r="S6396">
            <v>425.4</v>
          </cell>
          <cell r="X6396" t="str">
            <v>Commissions - gross</v>
          </cell>
          <cell r="Y6396" t="str">
            <v>INDIA</v>
          </cell>
        </row>
        <row r="6397">
          <cell r="L6397" t="str">
            <v>Non-proportional</v>
          </cell>
          <cell r="S6397">
            <v>62.18</v>
          </cell>
          <cell r="X6397" t="str">
            <v>Commissions - gross</v>
          </cell>
          <cell r="Y6397" t="str">
            <v>JAPAN</v>
          </cell>
        </row>
        <row r="6398">
          <cell r="L6398" t="str">
            <v>Non-proportional</v>
          </cell>
          <cell r="S6398">
            <v>314.42</v>
          </cell>
          <cell r="X6398" t="str">
            <v>Commissions - gross</v>
          </cell>
          <cell r="Y6398" t="str">
            <v>JAPAN</v>
          </cell>
        </row>
        <row r="6399">
          <cell r="L6399" t="str">
            <v>Non-proportional</v>
          </cell>
          <cell r="S6399">
            <v>422.61</v>
          </cell>
          <cell r="X6399" t="str">
            <v>Commissions - gross</v>
          </cell>
          <cell r="Y6399" t="str">
            <v>COLOMBIA</v>
          </cell>
        </row>
        <row r="6400">
          <cell r="L6400" t="str">
            <v>Non-proportional</v>
          </cell>
          <cell r="S6400">
            <v>458.47</v>
          </cell>
          <cell r="X6400" t="str">
            <v>Commissions - gross</v>
          </cell>
          <cell r="Y6400" t="str">
            <v>ECUADOR</v>
          </cell>
        </row>
        <row r="6401">
          <cell r="L6401" t="str">
            <v>Non-proportional</v>
          </cell>
          <cell r="S6401">
            <v>374.99</v>
          </cell>
          <cell r="X6401" t="str">
            <v>Commissions - gross</v>
          </cell>
          <cell r="Y6401" t="str">
            <v>EUROPE</v>
          </cell>
        </row>
        <row r="6402">
          <cell r="L6402" t="str">
            <v>Non-proportional</v>
          </cell>
          <cell r="S6402">
            <v>159.5</v>
          </cell>
          <cell r="X6402" t="str">
            <v>Commissions - gross</v>
          </cell>
          <cell r="Y6402" t="str">
            <v>ISRAEL</v>
          </cell>
        </row>
        <row r="6403">
          <cell r="L6403" t="str">
            <v>Non-proportional</v>
          </cell>
          <cell r="S6403">
            <v>494.91</v>
          </cell>
          <cell r="X6403" t="str">
            <v>Commissions - gross</v>
          </cell>
          <cell r="Y6403" t="str">
            <v>NETHERLANDS</v>
          </cell>
        </row>
        <row r="6404">
          <cell r="L6404" t="str">
            <v>Non-proportional</v>
          </cell>
          <cell r="S6404">
            <v>6704.43</v>
          </cell>
          <cell r="X6404" t="str">
            <v>Commissions - gross</v>
          </cell>
          <cell r="Y6404" t="str">
            <v>UNITED KINGDOM</v>
          </cell>
        </row>
        <row r="6405">
          <cell r="L6405" t="str">
            <v>Non-proportional</v>
          </cell>
          <cell r="S6405">
            <v>0</v>
          </cell>
          <cell r="X6405" t="str">
            <v>Commissions - gross</v>
          </cell>
          <cell r="Y6405" t="str">
            <v>DOMINICAN REPUBLIC</v>
          </cell>
        </row>
        <row r="6406">
          <cell r="L6406" t="str">
            <v>Proportional</v>
          </cell>
          <cell r="S6406">
            <v>117.63</v>
          </cell>
          <cell r="X6406" t="str">
            <v>Commissions - gross</v>
          </cell>
          <cell r="Y6406" t="str">
            <v>EUROPE</v>
          </cell>
        </row>
        <row r="6407">
          <cell r="L6407" t="str">
            <v>Non-proportional</v>
          </cell>
          <cell r="S6407">
            <v>-0.59</v>
          </cell>
          <cell r="X6407" t="str">
            <v>Commissions - gross</v>
          </cell>
          <cell r="Y6407" t="str">
            <v>GUATEMALA</v>
          </cell>
        </row>
        <row r="6408">
          <cell r="L6408" t="str">
            <v>Non-proportional</v>
          </cell>
          <cell r="S6408">
            <v>443.64</v>
          </cell>
          <cell r="X6408" t="str">
            <v>Commissions - gross</v>
          </cell>
          <cell r="Y6408" t="str">
            <v>NEW ZEALAND</v>
          </cell>
        </row>
        <row r="6409">
          <cell r="L6409" t="str">
            <v>Non-proportional</v>
          </cell>
          <cell r="S6409">
            <v>502.93</v>
          </cell>
          <cell r="X6409" t="str">
            <v>Commissions - gross</v>
          </cell>
          <cell r="Y6409" t="str">
            <v>DOMINICAN REPUBLIC</v>
          </cell>
        </row>
        <row r="6410">
          <cell r="L6410" t="str">
            <v>Non-proportional</v>
          </cell>
          <cell r="S6410">
            <v>1170.42</v>
          </cell>
          <cell r="X6410" t="str">
            <v>Commissions - gross</v>
          </cell>
          <cell r="Y6410" t="str">
            <v>MEXICO</v>
          </cell>
        </row>
        <row r="6411">
          <cell r="L6411" t="str">
            <v>Non-proportional</v>
          </cell>
          <cell r="S6411">
            <v>1000</v>
          </cell>
          <cell r="X6411" t="str">
            <v>Commissions - gross</v>
          </cell>
          <cell r="Y6411" t="str">
            <v>ITALY</v>
          </cell>
        </row>
        <row r="6412">
          <cell r="L6412" t="str">
            <v>Non-proportional</v>
          </cell>
          <cell r="S6412">
            <v>299.97000000000003</v>
          </cell>
          <cell r="X6412" t="str">
            <v>Commissions - gross</v>
          </cell>
          <cell r="Y6412" t="str">
            <v>NETHERLANDS</v>
          </cell>
        </row>
        <row r="6413">
          <cell r="L6413" t="str">
            <v>Non-proportional</v>
          </cell>
          <cell r="S6413">
            <v>601.33000000000004</v>
          </cell>
          <cell r="X6413" t="str">
            <v>Commissions - gross</v>
          </cell>
          <cell r="Y6413" t="str">
            <v>AUSTRALIA</v>
          </cell>
        </row>
        <row r="6414">
          <cell r="L6414" t="str">
            <v>Non-proportional</v>
          </cell>
          <cell r="S6414">
            <v>11012.41</v>
          </cell>
          <cell r="X6414" t="str">
            <v>Commissions - gross</v>
          </cell>
          <cell r="Y6414" t="str">
            <v>UNITED KINGDOM</v>
          </cell>
        </row>
        <row r="6415">
          <cell r="L6415" t="str">
            <v>Non-proportional</v>
          </cell>
          <cell r="S6415">
            <v>507.01</v>
          </cell>
          <cell r="X6415" t="str">
            <v>Commissions - gross</v>
          </cell>
          <cell r="Y6415" t="str">
            <v>SPAIN</v>
          </cell>
        </row>
        <row r="6416">
          <cell r="L6416" t="str">
            <v>Non-proportional</v>
          </cell>
          <cell r="S6416">
            <v>212.03</v>
          </cell>
          <cell r="X6416" t="str">
            <v>Commissions - gross</v>
          </cell>
          <cell r="Y6416" t="str">
            <v>AUSTRALIA</v>
          </cell>
        </row>
        <row r="6417">
          <cell r="L6417" t="str">
            <v>Non-proportional</v>
          </cell>
          <cell r="S6417">
            <v>0.46</v>
          </cell>
          <cell r="X6417" t="str">
            <v>Commissions - gross</v>
          </cell>
          <cell r="Y6417" t="str">
            <v>COSTA RICA</v>
          </cell>
        </row>
        <row r="6418">
          <cell r="L6418" t="str">
            <v>Non-proportional</v>
          </cell>
          <cell r="S6418">
            <v>933.78</v>
          </cell>
          <cell r="X6418" t="str">
            <v>Commissions - gross</v>
          </cell>
          <cell r="Y6418" t="str">
            <v>JAPAN</v>
          </cell>
        </row>
        <row r="6419">
          <cell r="L6419" t="str">
            <v>Non-proportional</v>
          </cell>
          <cell r="S6419">
            <v>699.26</v>
          </cell>
          <cell r="X6419" t="str">
            <v>Commissions - gross</v>
          </cell>
          <cell r="Y6419" t="str">
            <v>COLOMBIA</v>
          </cell>
        </row>
        <row r="6420">
          <cell r="L6420" t="str">
            <v>Non-proportional</v>
          </cell>
          <cell r="S6420">
            <v>997.75</v>
          </cell>
          <cell r="X6420" t="str">
            <v>Commissions - gross</v>
          </cell>
          <cell r="Y6420" t="str">
            <v>ITALY</v>
          </cell>
        </row>
        <row r="6421">
          <cell r="L6421" t="str">
            <v>Non-proportional</v>
          </cell>
          <cell r="S6421">
            <v>409.6</v>
          </cell>
          <cell r="X6421" t="str">
            <v>Commissions - gross</v>
          </cell>
          <cell r="Y6421" t="str">
            <v>ECUADOR</v>
          </cell>
        </row>
        <row r="6422">
          <cell r="L6422" t="str">
            <v>Non-proportional</v>
          </cell>
          <cell r="S6422">
            <v>0</v>
          </cell>
          <cell r="X6422" t="str">
            <v>Commissions - gross</v>
          </cell>
          <cell r="Y6422" t="str">
            <v>DOMINICAN REPUBLIC</v>
          </cell>
        </row>
        <row r="6423">
          <cell r="L6423" t="str">
            <v>Non-proportional</v>
          </cell>
          <cell r="S6423">
            <v>72187.5</v>
          </cell>
          <cell r="X6423" t="str">
            <v>Commissions - gross</v>
          </cell>
          <cell r="Y6423" t="str">
            <v>FRANCE</v>
          </cell>
        </row>
        <row r="6424">
          <cell r="L6424" t="str">
            <v>Non-proportional</v>
          </cell>
          <cell r="S6424">
            <v>407.81</v>
          </cell>
          <cell r="X6424" t="str">
            <v>Commissions - gross</v>
          </cell>
          <cell r="Y6424" t="str">
            <v>GREECE</v>
          </cell>
        </row>
        <row r="6425">
          <cell r="L6425" t="str">
            <v>Non-proportional</v>
          </cell>
          <cell r="S6425">
            <v>8.42</v>
          </cell>
          <cell r="X6425" t="str">
            <v>Commissions - gross</v>
          </cell>
          <cell r="Y6425" t="str">
            <v>GUATEMALA</v>
          </cell>
        </row>
        <row r="6426">
          <cell r="L6426" t="str">
            <v>Non-proportional</v>
          </cell>
          <cell r="S6426">
            <v>3435.8</v>
          </cell>
          <cell r="X6426" t="str">
            <v>Commissions - gross</v>
          </cell>
          <cell r="Y6426" t="str">
            <v>HONG KONG</v>
          </cell>
        </row>
        <row r="6427">
          <cell r="L6427" t="str">
            <v>Non-proportional</v>
          </cell>
          <cell r="S6427">
            <v>3194.7</v>
          </cell>
          <cell r="X6427" t="str">
            <v>Commissions - gross</v>
          </cell>
          <cell r="Y6427" t="str">
            <v>TURKEY</v>
          </cell>
        </row>
        <row r="6428">
          <cell r="L6428" t="str">
            <v>Non-proportional</v>
          </cell>
          <cell r="S6428">
            <v>148.08000000000001</v>
          </cell>
          <cell r="X6428" t="str">
            <v>Commissions - gross</v>
          </cell>
          <cell r="Y6428" t="str">
            <v>FRANCE</v>
          </cell>
        </row>
        <row r="6429">
          <cell r="L6429" t="str">
            <v>Non-proportional</v>
          </cell>
          <cell r="S6429">
            <v>-1428.62</v>
          </cell>
          <cell r="X6429" t="str">
            <v>Commissions - gross</v>
          </cell>
          <cell r="Y6429" t="str">
            <v>ITALY</v>
          </cell>
        </row>
        <row r="6430">
          <cell r="L6430" t="str">
            <v>Non-proportional</v>
          </cell>
          <cell r="S6430">
            <v>2475</v>
          </cell>
          <cell r="X6430" t="str">
            <v>Commissions - gross</v>
          </cell>
          <cell r="Y6430" t="str">
            <v>GREECE</v>
          </cell>
        </row>
        <row r="6431">
          <cell r="L6431" t="str">
            <v>Non-proportional</v>
          </cell>
          <cell r="S6431">
            <v>11093.38</v>
          </cell>
          <cell r="X6431" t="str">
            <v>Commissions - gross</v>
          </cell>
          <cell r="Y6431" t="str">
            <v>HONG KONG</v>
          </cell>
        </row>
        <row r="6432">
          <cell r="L6432" t="str">
            <v>Non-proportional</v>
          </cell>
          <cell r="S6432">
            <v>105.7</v>
          </cell>
          <cell r="X6432" t="str">
            <v>Commissions - gross</v>
          </cell>
          <cell r="Y6432" t="str">
            <v>ECUADOR</v>
          </cell>
        </row>
        <row r="6433">
          <cell r="L6433" t="str">
            <v>Non-proportional</v>
          </cell>
          <cell r="S6433">
            <v>996.48</v>
          </cell>
          <cell r="X6433" t="str">
            <v>Commissions - gross</v>
          </cell>
          <cell r="Y6433" t="str">
            <v>UNITED KINGDOM</v>
          </cell>
        </row>
        <row r="6434">
          <cell r="L6434" t="str">
            <v>Non-proportional</v>
          </cell>
          <cell r="S6434">
            <v>101.02</v>
          </cell>
          <cell r="X6434" t="str">
            <v>Commissions - gross</v>
          </cell>
          <cell r="Y6434" t="str">
            <v>PERU</v>
          </cell>
        </row>
        <row r="6435">
          <cell r="L6435" t="str">
            <v>Non-proportional</v>
          </cell>
          <cell r="S6435">
            <v>343.31</v>
          </cell>
          <cell r="X6435" t="str">
            <v>Commissions - gross</v>
          </cell>
          <cell r="Y6435" t="str">
            <v>SOUTH AFRICA</v>
          </cell>
        </row>
        <row r="6436">
          <cell r="L6436" t="str">
            <v>Non-proportional</v>
          </cell>
          <cell r="S6436">
            <v>755.21</v>
          </cell>
          <cell r="X6436" t="str">
            <v>Commissions - gross</v>
          </cell>
          <cell r="Y6436" t="str">
            <v>ROMANIA</v>
          </cell>
        </row>
        <row r="6437">
          <cell r="L6437" t="str">
            <v>Non-proportional</v>
          </cell>
          <cell r="S6437">
            <v>872.62</v>
          </cell>
          <cell r="X6437" t="str">
            <v>Commissions - gross</v>
          </cell>
          <cell r="Y6437" t="str">
            <v>ISRAEL</v>
          </cell>
        </row>
        <row r="6438">
          <cell r="L6438" t="str">
            <v>Non-proportional</v>
          </cell>
          <cell r="S6438">
            <v>696.32</v>
          </cell>
          <cell r="X6438" t="str">
            <v>Commissions - gross</v>
          </cell>
          <cell r="Y6438" t="str">
            <v>FRANCE</v>
          </cell>
        </row>
        <row r="6439">
          <cell r="L6439" t="str">
            <v>Non-proportional</v>
          </cell>
          <cell r="S6439">
            <v>25961.53</v>
          </cell>
          <cell r="X6439" t="str">
            <v>Commissions - gross</v>
          </cell>
          <cell r="Y6439" t="str">
            <v>UNITED KINGDOM</v>
          </cell>
        </row>
        <row r="6440">
          <cell r="L6440" t="str">
            <v>Non-proportional</v>
          </cell>
          <cell r="S6440">
            <v>5.15</v>
          </cell>
          <cell r="X6440" t="str">
            <v>Commissions - gross</v>
          </cell>
          <cell r="Y6440" t="str">
            <v>ISRAEL</v>
          </cell>
        </row>
        <row r="6441">
          <cell r="L6441" t="str">
            <v>Non-proportional</v>
          </cell>
          <cell r="S6441">
            <v>58.51</v>
          </cell>
          <cell r="X6441" t="str">
            <v>Commissions - gross</v>
          </cell>
          <cell r="Y6441" t="str">
            <v>BRAZIL</v>
          </cell>
        </row>
        <row r="6442">
          <cell r="L6442" t="str">
            <v>Non-proportional</v>
          </cell>
          <cell r="S6442">
            <v>-10.64</v>
          </cell>
          <cell r="X6442" t="str">
            <v>Commissions - gross</v>
          </cell>
          <cell r="Y6442" t="str">
            <v>DOMINICAN REPUBLIC</v>
          </cell>
        </row>
        <row r="6443">
          <cell r="L6443" t="str">
            <v>Non-proportional</v>
          </cell>
          <cell r="S6443">
            <v>103.3</v>
          </cell>
          <cell r="X6443" t="str">
            <v>Commissions - gross</v>
          </cell>
          <cell r="Y6443" t="str">
            <v>COLOMBIA</v>
          </cell>
        </row>
        <row r="6444">
          <cell r="L6444" t="str">
            <v>Non-proportional</v>
          </cell>
          <cell r="S6444">
            <v>1155.8</v>
          </cell>
          <cell r="X6444" t="str">
            <v>Commissions - gross</v>
          </cell>
          <cell r="Y6444" t="str">
            <v>CHILE</v>
          </cell>
        </row>
        <row r="6445">
          <cell r="L6445" t="str">
            <v>Non-proportional</v>
          </cell>
          <cell r="S6445">
            <v>870.83</v>
          </cell>
          <cell r="X6445" t="str">
            <v>Commissions - gross</v>
          </cell>
          <cell r="Y6445" t="str">
            <v>TURKEY</v>
          </cell>
        </row>
        <row r="6446">
          <cell r="L6446" t="str">
            <v>Non-proportional</v>
          </cell>
          <cell r="S6446">
            <v>541.54</v>
          </cell>
          <cell r="X6446" t="str">
            <v>Commissions - gross</v>
          </cell>
          <cell r="Y6446" t="str">
            <v>CHILE</v>
          </cell>
        </row>
        <row r="6447">
          <cell r="L6447" t="str">
            <v>Non-proportional</v>
          </cell>
          <cell r="S6447">
            <v>324.54000000000002</v>
          </cell>
          <cell r="X6447" t="str">
            <v>Commissions - gross</v>
          </cell>
          <cell r="Y6447" t="str">
            <v>UNITED KINGDOM</v>
          </cell>
        </row>
        <row r="6448">
          <cell r="L6448" t="str">
            <v>Proportional</v>
          </cell>
          <cell r="S6448">
            <v>1614.84</v>
          </cell>
          <cell r="X6448" t="str">
            <v>Commissions - gross</v>
          </cell>
          <cell r="Y6448" t="str">
            <v>UNITED STATES</v>
          </cell>
        </row>
        <row r="6449">
          <cell r="L6449" t="str">
            <v>Non-proportional</v>
          </cell>
          <cell r="S6449">
            <v>599.32000000000005</v>
          </cell>
          <cell r="X6449" t="str">
            <v>Commissions - gross</v>
          </cell>
          <cell r="Y6449" t="str">
            <v>NEW ZEALAND</v>
          </cell>
        </row>
        <row r="6450">
          <cell r="L6450" t="str">
            <v>Non-proportional</v>
          </cell>
          <cell r="S6450">
            <v>218.42</v>
          </cell>
          <cell r="X6450" t="str">
            <v>Commissions - gross</v>
          </cell>
          <cell r="Y6450" t="str">
            <v>UNITED KINGDOM</v>
          </cell>
        </row>
        <row r="6451">
          <cell r="L6451" t="str">
            <v>Non-proportional</v>
          </cell>
          <cell r="S6451">
            <v>367.76</v>
          </cell>
          <cell r="X6451" t="str">
            <v>Commissions - gross</v>
          </cell>
          <cell r="Y6451" t="str">
            <v>GUATEMALA</v>
          </cell>
        </row>
        <row r="6452">
          <cell r="L6452" t="str">
            <v>Non-proportional</v>
          </cell>
          <cell r="S6452">
            <v>795.26</v>
          </cell>
          <cell r="X6452" t="str">
            <v>Commissions - gross</v>
          </cell>
          <cell r="Y6452" t="str">
            <v>UNITED KINGDOM</v>
          </cell>
        </row>
        <row r="6453">
          <cell r="L6453" t="str">
            <v>Non-proportional</v>
          </cell>
          <cell r="S6453">
            <v>362.5</v>
          </cell>
          <cell r="X6453" t="str">
            <v>Commissions - gross</v>
          </cell>
          <cell r="Y6453" t="str">
            <v>DOMINICAN REPUBLIC</v>
          </cell>
        </row>
        <row r="6454">
          <cell r="L6454" t="str">
            <v>Non-proportional</v>
          </cell>
          <cell r="S6454">
            <v>46.91</v>
          </cell>
          <cell r="X6454" t="str">
            <v>Commissions - gross</v>
          </cell>
          <cell r="Y6454" t="str">
            <v>NEW ZEALAND</v>
          </cell>
        </row>
        <row r="6455">
          <cell r="L6455" t="str">
            <v>Non-proportional</v>
          </cell>
          <cell r="S6455">
            <v>-2.27</v>
          </cell>
          <cell r="X6455" t="str">
            <v>Commissions - gross</v>
          </cell>
          <cell r="Y6455" t="str">
            <v>COLOMBIA</v>
          </cell>
        </row>
        <row r="6456">
          <cell r="L6456" t="str">
            <v>Non-proportional</v>
          </cell>
          <cell r="S6456">
            <v>7945.14</v>
          </cell>
          <cell r="X6456" t="str">
            <v>Commissions - gross</v>
          </cell>
          <cell r="Y6456" t="str">
            <v>UNITED KINGDOM</v>
          </cell>
        </row>
        <row r="6457">
          <cell r="L6457" t="str">
            <v>Non-proportional</v>
          </cell>
          <cell r="S6457">
            <v>171.8</v>
          </cell>
          <cell r="X6457" t="str">
            <v>Commissions - gross</v>
          </cell>
          <cell r="Y6457" t="str">
            <v>FRANCE</v>
          </cell>
        </row>
        <row r="6458">
          <cell r="L6458" t="str">
            <v>Non-proportional</v>
          </cell>
          <cell r="S6458">
            <v>5431.93</v>
          </cell>
          <cell r="X6458" t="str">
            <v>Commissions - gross</v>
          </cell>
          <cell r="Y6458" t="str">
            <v>UNITED KINGDOM</v>
          </cell>
        </row>
        <row r="6459">
          <cell r="L6459" t="str">
            <v>Non-proportional</v>
          </cell>
          <cell r="S6459">
            <v>604.01</v>
          </cell>
          <cell r="X6459" t="str">
            <v>Commissions - gross</v>
          </cell>
          <cell r="Y6459" t="str">
            <v>COLOMBIA</v>
          </cell>
        </row>
        <row r="6460">
          <cell r="L6460" t="str">
            <v>Non-proportional</v>
          </cell>
          <cell r="S6460">
            <v>28.63</v>
          </cell>
          <cell r="X6460" t="str">
            <v>Commissions - gross</v>
          </cell>
          <cell r="Y6460" t="str">
            <v>REPUBLIC OF IRELAND</v>
          </cell>
        </row>
        <row r="6461">
          <cell r="L6461" t="str">
            <v>Non-proportional</v>
          </cell>
          <cell r="S6461">
            <v>4.12</v>
          </cell>
          <cell r="X6461" t="str">
            <v>Commissions - gross</v>
          </cell>
          <cell r="Y6461" t="str">
            <v>ISRAEL</v>
          </cell>
        </row>
        <row r="6462">
          <cell r="L6462" t="str">
            <v>Non-proportional</v>
          </cell>
          <cell r="S6462">
            <v>725.16</v>
          </cell>
          <cell r="X6462" t="str">
            <v>Commissions - gross</v>
          </cell>
          <cell r="Y6462" t="str">
            <v>INDIA</v>
          </cell>
        </row>
        <row r="6463">
          <cell r="L6463" t="str">
            <v>Non-proportional</v>
          </cell>
          <cell r="S6463">
            <v>282.27</v>
          </cell>
          <cell r="X6463" t="str">
            <v>Commissions - gross</v>
          </cell>
          <cell r="Y6463" t="str">
            <v>UNITED ARAB EMIRATES</v>
          </cell>
        </row>
        <row r="6464">
          <cell r="L6464" t="str">
            <v>Non-proportional</v>
          </cell>
          <cell r="S6464">
            <v>426.92</v>
          </cell>
          <cell r="X6464" t="str">
            <v>Commissions - gross</v>
          </cell>
          <cell r="Y6464" t="str">
            <v>ECUADOR</v>
          </cell>
        </row>
        <row r="6465">
          <cell r="L6465" t="str">
            <v>Non-proportional</v>
          </cell>
          <cell r="S6465">
            <v>2274.15</v>
          </cell>
          <cell r="X6465" t="str">
            <v>Commissions - gross</v>
          </cell>
          <cell r="Y6465" t="str">
            <v>ISRAEL</v>
          </cell>
        </row>
        <row r="6466">
          <cell r="L6466" t="str">
            <v>Non-proportional</v>
          </cell>
          <cell r="S6466">
            <v>889.67</v>
          </cell>
          <cell r="X6466" t="str">
            <v>Commissions - gross</v>
          </cell>
          <cell r="Y6466" t="str">
            <v>CHILE</v>
          </cell>
        </row>
        <row r="6467">
          <cell r="L6467" t="str">
            <v>Non-proportional</v>
          </cell>
          <cell r="S6467">
            <v>170.42</v>
          </cell>
          <cell r="X6467" t="str">
            <v>Commissions - gross</v>
          </cell>
          <cell r="Y6467" t="str">
            <v>UNITED KINGDOM</v>
          </cell>
        </row>
        <row r="6468">
          <cell r="L6468" t="str">
            <v>Non-proportional</v>
          </cell>
          <cell r="S6468">
            <v>974.41</v>
          </cell>
          <cell r="X6468" t="str">
            <v>Commissions - gross</v>
          </cell>
          <cell r="Y6468" t="str">
            <v>AUSTRALIA</v>
          </cell>
        </row>
        <row r="6469">
          <cell r="L6469" t="str">
            <v>Non-proportional</v>
          </cell>
          <cell r="S6469">
            <v>14.02</v>
          </cell>
          <cell r="X6469" t="str">
            <v>Commissions - gross</v>
          </cell>
          <cell r="Y6469" t="str">
            <v>ISRAEL</v>
          </cell>
        </row>
        <row r="6470">
          <cell r="L6470" t="str">
            <v>Non-proportional</v>
          </cell>
          <cell r="S6470">
            <v>297.52999999999997</v>
          </cell>
          <cell r="X6470" t="str">
            <v>Commissions - gross</v>
          </cell>
          <cell r="Y6470" t="str">
            <v>JAPAN</v>
          </cell>
        </row>
        <row r="6471">
          <cell r="L6471" t="str">
            <v>Non-proportional</v>
          </cell>
          <cell r="S6471">
            <v>726.77</v>
          </cell>
          <cell r="X6471" t="str">
            <v>Commissions - gross</v>
          </cell>
          <cell r="Y6471" t="str">
            <v>FRANCE</v>
          </cell>
        </row>
        <row r="6472">
          <cell r="L6472" t="str">
            <v>Non-proportional</v>
          </cell>
          <cell r="S6472">
            <v>312.69</v>
          </cell>
          <cell r="X6472" t="str">
            <v>Commissions - gross</v>
          </cell>
          <cell r="Y6472" t="str">
            <v>FRANCE</v>
          </cell>
        </row>
        <row r="6473">
          <cell r="L6473" t="str">
            <v>Non-proportional</v>
          </cell>
          <cell r="S6473">
            <v>833.35</v>
          </cell>
          <cell r="X6473" t="str">
            <v>Commissions - gross</v>
          </cell>
          <cell r="Y6473" t="str">
            <v>MEXICO</v>
          </cell>
        </row>
        <row r="6474">
          <cell r="L6474" t="str">
            <v>Non-proportional</v>
          </cell>
          <cell r="S6474">
            <v>2.38</v>
          </cell>
          <cell r="X6474" t="str">
            <v>Commissions - gross</v>
          </cell>
          <cell r="Y6474" t="str">
            <v>INDIA</v>
          </cell>
        </row>
        <row r="6475">
          <cell r="L6475" t="str">
            <v>Non-proportional</v>
          </cell>
          <cell r="S6475">
            <v>359.38</v>
          </cell>
          <cell r="X6475" t="str">
            <v>Commissions - gross</v>
          </cell>
          <cell r="Y6475" t="str">
            <v>GREECE</v>
          </cell>
        </row>
        <row r="6476">
          <cell r="L6476" t="str">
            <v>Non-proportional</v>
          </cell>
          <cell r="S6476">
            <v>749.23</v>
          </cell>
          <cell r="X6476" t="str">
            <v>Commissions - gross</v>
          </cell>
          <cell r="Y6476" t="str">
            <v>FRANCE</v>
          </cell>
        </row>
        <row r="6477">
          <cell r="L6477" t="str">
            <v>Non-proportional</v>
          </cell>
          <cell r="S6477">
            <v>1070.71</v>
          </cell>
          <cell r="X6477" t="str">
            <v>Commissions - gross</v>
          </cell>
          <cell r="Y6477" t="str">
            <v>FRANCE</v>
          </cell>
        </row>
        <row r="6478">
          <cell r="L6478" t="str">
            <v>Non-proportional</v>
          </cell>
          <cell r="S6478">
            <v>-2.2799999999999998</v>
          </cell>
          <cell r="X6478" t="str">
            <v>Commissions - gross</v>
          </cell>
          <cell r="Y6478" t="str">
            <v>NEW ZEALAND</v>
          </cell>
        </row>
        <row r="6479">
          <cell r="L6479" t="str">
            <v>Non-proportional</v>
          </cell>
          <cell r="S6479">
            <v>688.9</v>
          </cell>
          <cell r="X6479" t="str">
            <v>Commissions - gross</v>
          </cell>
          <cell r="Y6479" t="str">
            <v>COLOMBIA</v>
          </cell>
        </row>
        <row r="6480">
          <cell r="L6480" t="str">
            <v>Non-proportional</v>
          </cell>
          <cell r="S6480">
            <v>0</v>
          </cell>
          <cell r="X6480" t="str">
            <v>Commissions - gross</v>
          </cell>
          <cell r="Y6480" t="str">
            <v>DOMINICAN REPUBLIC</v>
          </cell>
        </row>
        <row r="6481">
          <cell r="L6481" t="str">
            <v>Non-proportional</v>
          </cell>
          <cell r="S6481">
            <v>314.42</v>
          </cell>
          <cell r="X6481" t="str">
            <v>Commissions - gross</v>
          </cell>
          <cell r="Y6481" t="str">
            <v>JAPAN</v>
          </cell>
        </row>
        <row r="6482">
          <cell r="L6482" t="str">
            <v>Proportional</v>
          </cell>
          <cell r="S6482">
            <v>38.68</v>
          </cell>
          <cell r="X6482" t="str">
            <v>Commissions - gross</v>
          </cell>
          <cell r="Y6482" t="str">
            <v>CHILE</v>
          </cell>
        </row>
        <row r="6483">
          <cell r="L6483" t="str">
            <v>Non-proportional</v>
          </cell>
          <cell r="S6483">
            <v>63.85</v>
          </cell>
          <cell r="X6483" t="str">
            <v>Commissions - gross</v>
          </cell>
          <cell r="Y6483" t="str">
            <v>MALTA</v>
          </cell>
        </row>
        <row r="6484">
          <cell r="L6484" t="str">
            <v>Non-proportional</v>
          </cell>
          <cell r="S6484">
            <v>649.65</v>
          </cell>
          <cell r="X6484" t="str">
            <v>Commissions - gross</v>
          </cell>
          <cell r="Y6484" t="str">
            <v>AUSTRALIA</v>
          </cell>
        </row>
        <row r="6485">
          <cell r="L6485" t="str">
            <v>Non-proportional</v>
          </cell>
          <cell r="S6485">
            <v>217.98</v>
          </cell>
          <cell r="X6485" t="str">
            <v>Commissions - gross</v>
          </cell>
          <cell r="Y6485" t="str">
            <v>FRANCE</v>
          </cell>
        </row>
        <row r="6486">
          <cell r="L6486" t="str">
            <v>Proportional</v>
          </cell>
          <cell r="S6486">
            <v>13.8</v>
          </cell>
          <cell r="X6486" t="str">
            <v>Commissions - gross</v>
          </cell>
          <cell r="Y6486" t="str">
            <v>UNITED STATES</v>
          </cell>
        </row>
        <row r="6487">
          <cell r="L6487" t="str">
            <v>Non-proportional</v>
          </cell>
          <cell r="S6487">
            <v>735.9</v>
          </cell>
          <cell r="X6487" t="str">
            <v>Commissions - gross</v>
          </cell>
          <cell r="Y6487" t="str">
            <v>NEW ZEALAND</v>
          </cell>
        </row>
        <row r="6488">
          <cell r="L6488" t="str">
            <v>Proportional</v>
          </cell>
          <cell r="S6488">
            <v>123.87</v>
          </cell>
          <cell r="X6488" t="str">
            <v>Commissions - gross</v>
          </cell>
          <cell r="Y6488" t="str">
            <v>UNITED STATES</v>
          </cell>
        </row>
        <row r="6489">
          <cell r="L6489" t="str">
            <v>Non-proportional</v>
          </cell>
          <cell r="S6489">
            <v>-23.66</v>
          </cell>
          <cell r="X6489" t="str">
            <v>Commissions - gross</v>
          </cell>
          <cell r="Y6489" t="str">
            <v>SOUTH KOREA</v>
          </cell>
        </row>
        <row r="6490">
          <cell r="L6490" t="str">
            <v>Non-proportional</v>
          </cell>
          <cell r="S6490">
            <v>563.45000000000005</v>
          </cell>
          <cell r="X6490" t="str">
            <v>Commissions - gross</v>
          </cell>
          <cell r="Y6490" t="str">
            <v>PUERTO RICO</v>
          </cell>
        </row>
        <row r="6491">
          <cell r="L6491" t="str">
            <v>Proportional</v>
          </cell>
          <cell r="S6491">
            <v>1571.64</v>
          </cell>
          <cell r="X6491" t="str">
            <v>Commissions - gross</v>
          </cell>
          <cell r="Y6491" t="str">
            <v>UNITED STATES</v>
          </cell>
        </row>
        <row r="6492">
          <cell r="L6492" t="str">
            <v>Non-proportional</v>
          </cell>
          <cell r="S6492">
            <v>519.62</v>
          </cell>
          <cell r="X6492" t="str">
            <v>Commissions - gross</v>
          </cell>
          <cell r="Y6492" t="str">
            <v>ECUADOR</v>
          </cell>
        </row>
        <row r="6493">
          <cell r="L6493" t="str">
            <v>Non-proportional</v>
          </cell>
          <cell r="S6493">
            <v>9.8800000000000008</v>
          </cell>
          <cell r="X6493" t="str">
            <v>Commissions - gross</v>
          </cell>
          <cell r="Y6493" t="str">
            <v>INDIA</v>
          </cell>
        </row>
        <row r="6494">
          <cell r="L6494" t="str">
            <v>Non-proportional</v>
          </cell>
          <cell r="S6494">
            <v>0</v>
          </cell>
          <cell r="X6494" t="str">
            <v>Commissions - gross</v>
          </cell>
          <cell r="Y6494" t="str">
            <v>DOMINICAN REPUBLIC</v>
          </cell>
        </row>
        <row r="6495">
          <cell r="L6495" t="str">
            <v>Non-proportional</v>
          </cell>
          <cell r="S6495">
            <v>63.52</v>
          </cell>
          <cell r="X6495" t="str">
            <v>Commissions - gross</v>
          </cell>
          <cell r="Y6495" t="str">
            <v>NEW ZEALAND</v>
          </cell>
        </row>
        <row r="6496">
          <cell r="L6496" t="str">
            <v>Non-proportional</v>
          </cell>
          <cell r="S6496">
            <v>357.06</v>
          </cell>
          <cell r="X6496" t="str">
            <v>Commissions - gross</v>
          </cell>
          <cell r="Y6496" t="str">
            <v>GREECE</v>
          </cell>
        </row>
        <row r="6497">
          <cell r="L6497" t="str">
            <v>Non-proportional</v>
          </cell>
          <cell r="S6497">
            <v>343.9</v>
          </cell>
          <cell r="X6497" t="str">
            <v>Commissions - gross</v>
          </cell>
          <cell r="Y6497" t="str">
            <v>COLOMBIA</v>
          </cell>
        </row>
        <row r="6498">
          <cell r="L6498" t="str">
            <v>Non-proportional</v>
          </cell>
          <cell r="S6498">
            <v>622.03</v>
          </cell>
          <cell r="X6498" t="str">
            <v>Commissions - gross</v>
          </cell>
          <cell r="Y6498" t="str">
            <v>COSTA RICA</v>
          </cell>
        </row>
        <row r="6499">
          <cell r="L6499" t="str">
            <v>Non-proportional</v>
          </cell>
          <cell r="S6499">
            <v>1307.3</v>
          </cell>
          <cell r="X6499" t="str">
            <v>Commissions - gross</v>
          </cell>
          <cell r="Y6499" t="str">
            <v>FRANCE</v>
          </cell>
        </row>
        <row r="6500">
          <cell r="L6500" t="str">
            <v>Non-proportional</v>
          </cell>
          <cell r="S6500">
            <v>-10.79</v>
          </cell>
          <cell r="X6500" t="str">
            <v>Commissions - gross</v>
          </cell>
          <cell r="Y6500" t="str">
            <v>JAPAN</v>
          </cell>
        </row>
        <row r="6501">
          <cell r="L6501" t="str">
            <v>Non-proportional</v>
          </cell>
          <cell r="S6501">
            <v>1387.01</v>
          </cell>
          <cell r="X6501" t="str">
            <v>Commissions - gross</v>
          </cell>
          <cell r="Y6501" t="str">
            <v>MEXICO</v>
          </cell>
        </row>
        <row r="6502">
          <cell r="L6502" t="str">
            <v>Non-proportional</v>
          </cell>
          <cell r="S6502">
            <v>379.65</v>
          </cell>
          <cell r="X6502" t="str">
            <v>Commissions - gross</v>
          </cell>
          <cell r="Y6502" t="str">
            <v>ITALY</v>
          </cell>
        </row>
        <row r="6503">
          <cell r="L6503" t="str">
            <v>Non-proportional</v>
          </cell>
          <cell r="S6503">
            <v>446.24</v>
          </cell>
          <cell r="X6503" t="str">
            <v>Commissions - gross</v>
          </cell>
          <cell r="Y6503" t="str">
            <v>UNITED KINGDOM</v>
          </cell>
        </row>
        <row r="6504">
          <cell r="L6504" t="str">
            <v>Non-proportional</v>
          </cell>
          <cell r="S6504">
            <v>0</v>
          </cell>
          <cell r="X6504" t="str">
            <v>Commissions - gross</v>
          </cell>
          <cell r="Y6504" t="str">
            <v>DOMINICAN REPUBLIC</v>
          </cell>
        </row>
        <row r="6505">
          <cell r="L6505" t="str">
            <v>Non-proportional</v>
          </cell>
          <cell r="S6505">
            <v>19.350000000000001</v>
          </cell>
          <cell r="X6505" t="str">
            <v>Commissions - gross</v>
          </cell>
          <cell r="Y6505" t="str">
            <v>JAPAN</v>
          </cell>
        </row>
        <row r="6506">
          <cell r="L6506" t="str">
            <v>Non-proportional</v>
          </cell>
          <cell r="S6506">
            <v>202.14</v>
          </cell>
          <cell r="X6506" t="str">
            <v>Commissions - gross</v>
          </cell>
          <cell r="Y6506" t="str">
            <v>AUSTRALIA</v>
          </cell>
        </row>
        <row r="6507">
          <cell r="L6507" t="str">
            <v>Non-proportional</v>
          </cell>
          <cell r="S6507">
            <v>1012.05</v>
          </cell>
          <cell r="X6507" t="str">
            <v>Commissions - gross</v>
          </cell>
          <cell r="Y6507" t="str">
            <v>ITALY</v>
          </cell>
        </row>
        <row r="6508">
          <cell r="L6508" t="str">
            <v>Non-proportional</v>
          </cell>
          <cell r="S6508">
            <v>-2.19</v>
          </cell>
          <cell r="X6508" t="str">
            <v>Commissions - gross</v>
          </cell>
          <cell r="Y6508" t="str">
            <v>JAPAN</v>
          </cell>
        </row>
        <row r="6509">
          <cell r="L6509" t="str">
            <v>Non-proportional</v>
          </cell>
          <cell r="S6509">
            <v>3554.68</v>
          </cell>
          <cell r="X6509" t="str">
            <v>Commissions - gross</v>
          </cell>
          <cell r="Y6509" t="str">
            <v>UNITED KINGDOM</v>
          </cell>
        </row>
        <row r="6510">
          <cell r="L6510" t="str">
            <v>Non-proportional</v>
          </cell>
          <cell r="S6510">
            <v>904.41</v>
          </cell>
          <cell r="X6510" t="str">
            <v>Commissions - gross</v>
          </cell>
          <cell r="Y6510" t="str">
            <v>ISRAEL</v>
          </cell>
        </row>
        <row r="6511">
          <cell r="L6511" t="str">
            <v>Non-proportional</v>
          </cell>
          <cell r="S6511">
            <v>1442.4</v>
          </cell>
          <cell r="X6511" t="str">
            <v>Commissions - gross</v>
          </cell>
          <cell r="Y6511" t="str">
            <v>FRANCE</v>
          </cell>
        </row>
        <row r="6512">
          <cell r="L6512" t="str">
            <v>Non-proportional</v>
          </cell>
          <cell r="S6512">
            <v>-15.19</v>
          </cell>
          <cell r="X6512" t="str">
            <v>Commissions - gross</v>
          </cell>
          <cell r="Y6512" t="str">
            <v>DOMINICAN REPUBLIC</v>
          </cell>
        </row>
        <row r="6513">
          <cell r="L6513" t="str">
            <v>Non-proportional</v>
          </cell>
          <cell r="S6513">
            <v>3.33</v>
          </cell>
          <cell r="X6513" t="str">
            <v>Commissions - gross</v>
          </cell>
          <cell r="Y6513" t="str">
            <v>ISRAEL</v>
          </cell>
        </row>
        <row r="6514">
          <cell r="L6514" t="str">
            <v>Non-proportional</v>
          </cell>
          <cell r="S6514">
            <v>-45.53</v>
          </cell>
          <cell r="X6514" t="str">
            <v>Commissions - gross</v>
          </cell>
          <cell r="Y6514" t="str">
            <v>JAPAN</v>
          </cell>
        </row>
        <row r="6515">
          <cell r="L6515" t="str">
            <v>Non-proportional</v>
          </cell>
          <cell r="S6515">
            <v>300.22000000000003</v>
          </cell>
          <cell r="X6515" t="str">
            <v>Commissions - gross</v>
          </cell>
          <cell r="Y6515" t="str">
            <v>ECUADOR</v>
          </cell>
        </row>
        <row r="6516">
          <cell r="L6516" t="str">
            <v>Non-proportional</v>
          </cell>
          <cell r="S6516">
            <v>1263.24</v>
          </cell>
          <cell r="X6516" t="str">
            <v>Commissions - gross</v>
          </cell>
          <cell r="Y6516" t="str">
            <v>UNITED KINGDOM</v>
          </cell>
        </row>
        <row r="6517">
          <cell r="L6517" t="str">
            <v>Non-proportional</v>
          </cell>
          <cell r="S6517">
            <v>8684.6200000000008</v>
          </cell>
          <cell r="X6517" t="str">
            <v>Commissions - gross</v>
          </cell>
          <cell r="Y6517" t="str">
            <v>UNITED KINGDOM</v>
          </cell>
        </row>
        <row r="6518">
          <cell r="L6518" t="str">
            <v>Non-proportional</v>
          </cell>
          <cell r="S6518">
            <v>125.38</v>
          </cell>
          <cell r="X6518" t="str">
            <v>Commissions - gross</v>
          </cell>
          <cell r="Y6518" t="str">
            <v>COLOMBIA</v>
          </cell>
        </row>
        <row r="6519">
          <cell r="L6519" t="str">
            <v>Non-proportional</v>
          </cell>
          <cell r="S6519">
            <v>270.77</v>
          </cell>
          <cell r="X6519" t="str">
            <v>Commissions - gross</v>
          </cell>
          <cell r="Y6519" t="str">
            <v>CHILE</v>
          </cell>
        </row>
        <row r="6520">
          <cell r="L6520" t="str">
            <v>Non-proportional</v>
          </cell>
          <cell r="S6520">
            <v>92.46</v>
          </cell>
          <cell r="X6520" t="str">
            <v>Commissions - gross</v>
          </cell>
          <cell r="Y6520" t="str">
            <v>COSTA RICA</v>
          </cell>
        </row>
        <row r="6521">
          <cell r="L6521" t="str">
            <v>Non-proportional</v>
          </cell>
          <cell r="S6521">
            <v>244.05</v>
          </cell>
          <cell r="X6521" t="str">
            <v>Commissions - gross</v>
          </cell>
          <cell r="Y6521" t="str">
            <v>DOMINICAN REPUBLIC</v>
          </cell>
        </row>
        <row r="6522">
          <cell r="L6522" t="str">
            <v>Non-proportional</v>
          </cell>
          <cell r="S6522">
            <v>268.67</v>
          </cell>
          <cell r="X6522" t="str">
            <v>Commissions - gross</v>
          </cell>
          <cell r="Y6522" t="str">
            <v>MALTA</v>
          </cell>
        </row>
        <row r="6523">
          <cell r="L6523" t="str">
            <v>Non-proportional</v>
          </cell>
          <cell r="S6523">
            <v>708.19</v>
          </cell>
          <cell r="X6523" t="str">
            <v>Commissions - gross</v>
          </cell>
          <cell r="Y6523" t="str">
            <v>JAPAN</v>
          </cell>
        </row>
        <row r="6524">
          <cell r="L6524" t="str">
            <v>Non-proportional</v>
          </cell>
          <cell r="S6524">
            <v>1262.51</v>
          </cell>
          <cell r="X6524" t="str">
            <v>Commissions - gross</v>
          </cell>
          <cell r="Y6524" t="str">
            <v>BELGIUM</v>
          </cell>
        </row>
        <row r="6525">
          <cell r="L6525" t="str">
            <v>Non-proportional</v>
          </cell>
          <cell r="S6525">
            <v>-31.64</v>
          </cell>
          <cell r="X6525" t="str">
            <v>Commissions - gross</v>
          </cell>
          <cell r="Y6525" t="str">
            <v>JAPAN</v>
          </cell>
        </row>
        <row r="6526">
          <cell r="L6526" t="str">
            <v>Non-proportional</v>
          </cell>
          <cell r="S6526">
            <v>348.13</v>
          </cell>
          <cell r="X6526" t="str">
            <v>Commissions - gross</v>
          </cell>
          <cell r="Y6526" t="str">
            <v>CHILE</v>
          </cell>
        </row>
        <row r="6527">
          <cell r="L6527" t="str">
            <v>Non-proportional</v>
          </cell>
          <cell r="S6527">
            <v>504.87</v>
          </cell>
          <cell r="X6527" t="str">
            <v>Commissions - gross</v>
          </cell>
          <cell r="Y6527" t="str">
            <v>PERU</v>
          </cell>
        </row>
        <row r="6528">
          <cell r="L6528" t="str">
            <v>Non-proportional</v>
          </cell>
          <cell r="S6528">
            <v>5.43</v>
          </cell>
          <cell r="X6528" t="str">
            <v>Commissions - gross</v>
          </cell>
          <cell r="Y6528" t="str">
            <v>INDIA</v>
          </cell>
        </row>
        <row r="6529">
          <cell r="L6529" t="str">
            <v>Non-proportional</v>
          </cell>
          <cell r="S6529">
            <v>-1.36</v>
          </cell>
          <cell r="X6529" t="str">
            <v>Commissions - gross</v>
          </cell>
          <cell r="Y6529" t="str">
            <v>GUATEMALA</v>
          </cell>
        </row>
        <row r="6530">
          <cell r="L6530" t="str">
            <v>Non-proportional</v>
          </cell>
          <cell r="S6530">
            <v>866.12</v>
          </cell>
          <cell r="X6530" t="str">
            <v>Commissions - gross</v>
          </cell>
          <cell r="Y6530" t="str">
            <v>AUSTRALIA</v>
          </cell>
        </row>
        <row r="6531">
          <cell r="L6531" t="str">
            <v>Non-proportional</v>
          </cell>
          <cell r="S6531">
            <v>193.41</v>
          </cell>
          <cell r="X6531" t="str">
            <v>Commissions - gross</v>
          </cell>
          <cell r="Y6531" t="str">
            <v>CHILE</v>
          </cell>
        </row>
        <row r="6532">
          <cell r="L6532" t="str">
            <v>Non-proportional</v>
          </cell>
          <cell r="S6532">
            <v>1504.3</v>
          </cell>
          <cell r="X6532" t="str">
            <v>Commissions - gross</v>
          </cell>
          <cell r="Y6532" t="str">
            <v>FRANCE</v>
          </cell>
        </row>
        <row r="6533">
          <cell r="L6533" t="str">
            <v>Non-proportional</v>
          </cell>
          <cell r="S6533">
            <v>308.68</v>
          </cell>
          <cell r="X6533" t="str">
            <v>Commissions - gross</v>
          </cell>
          <cell r="Y6533" t="str">
            <v>UNITED KINGDOM</v>
          </cell>
        </row>
        <row r="6534">
          <cell r="L6534" t="str">
            <v>Non-proportional</v>
          </cell>
          <cell r="S6534">
            <v>-28.48</v>
          </cell>
          <cell r="X6534" t="str">
            <v>Commissions - gross</v>
          </cell>
          <cell r="Y6534" t="str">
            <v>COLOMBIA</v>
          </cell>
        </row>
        <row r="6535">
          <cell r="L6535" t="str">
            <v>Non-proportional</v>
          </cell>
          <cell r="S6535">
            <v>2884.86</v>
          </cell>
          <cell r="X6535" t="str">
            <v>Commissions - gross</v>
          </cell>
          <cell r="Y6535" t="str">
            <v>FRANCE</v>
          </cell>
        </row>
        <row r="6536">
          <cell r="L6536" t="str">
            <v>Non-proportional</v>
          </cell>
          <cell r="S6536">
            <v>121.95</v>
          </cell>
          <cell r="X6536" t="str">
            <v>Commissions - gross</v>
          </cell>
          <cell r="Y6536" t="str">
            <v>JAPAN</v>
          </cell>
        </row>
        <row r="6537">
          <cell r="L6537" t="str">
            <v>Non-proportional</v>
          </cell>
          <cell r="S6537">
            <v>261</v>
          </cell>
          <cell r="X6537" t="str">
            <v>Commissions - gross</v>
          </cell>
          <cell r="Y6537" t="str">
            <v>GREECE</v>
          </cell>
        </row>
        <row r="6538">
          <cell r="L6538" t="str">
            <v>Non-proportional</v>
          </cell>
          <cell r="S6538">
            <v>117.23</v>
          </cell>
          <cell r="X6538" t="str">
            <v>Commissions - gross</v>
          </cell>
          <cell r="Y6538" t="str">
            <v>FRANCE</v>
          </cell>
        </row>
        <row r="6539">
          <cell r="L6539" t="str">
            <v>Non-proportional</v>
          </cell>
          <cell r="S6539">
            <v>39</v>
          </cell>
          <cell r="X6539" t="str">
            <v>Commissions - gross</v>
          </cell>
          <cell r="Y6539" t="str">
            <v>ITALY</v>
          </cell>
        </row>
        <row r="6540">
          <cell r="L6540" t="str">
            <v>Proportional</v>
          </cell>
          <cell r="S6540">
            <v>3407.3</v>
          </cell>
          <cell r="X6540" t="str">
            <v>Commissions - gross</v>
          </cell>
          <cell r="Y6540" t="str">
            <v>AUSTRALIA</v>
          </cell>
        </row>
        <row r="6541">
          <cell r="L6541" t="str">
            <v>Non-proportional</v>
          </cell>
          <cell r="S6541">
            <v>258.76</v>
          </cell>
          <cell r="X6541" t="str">
            <v>Commissions - gross</v>
          </cell>
          <cell r="Y6541" t="str">
            <v>ISRAEL</v>
          </cell>
        </row>
        <row r="6542">
          <cell r="L6542" t="str">
            <v>Non-proportional</v>
          </cell>
          <cell r="S6542">
            <v>707.02</v>
          </cell>
          <cell r="X6542" t="str">
            <v>Commissions - gross</v>
          </cell>
          <cell r="Y6542" t="str">
            <v>UNITED KINGDOM</v>
          </cell>
        </row>
        <row r="6543">
          <cell r="L6543" t="str">
            <v>Proportional</v>
          </cell>
          <cell r="S6543">
            <v>-13393.19</v>
          </cell>
          <cell r="X6543" t="str">
            <v>Commissions - gross</v>
          </cell>
          <cell r="Y6543" t="str">
            <v>UNITED STATES</v>
          </cell>
        </row>
        <row r="6544">
          <cell r="L6544" t="str">
            <v>Non-proportional</v>
          </cell>
          <cell r="S6544">
            <v>140.63</v>
          </cell>
          <cell r="X6544" t="str">
            <v>Commissions - gross</v>
          </cell>
          <cell r="Y6544" t="str">
            <v>GREECE</v>
          </cell>
        </row>
        <row r="6545">
          <cell r="L6545" t="str">
            <v>Non-proportional</v>
          </cell>
          <cell r="S6545">
            <v>295.55</v>
          </cell>
          <cell r="X6545" t="str">
            <v>Commissions - gross</v>
          </cell>
          <cell r="Y6545" t="str">
            <v>DOMINICAN REPUBLIC</v>
          </cell>
        </row>
        <row r="6546">
          <cell r="L6546" t="str">
            <v>Non-proportional</v>
          </cell>
          <cell r="S6546">
            <v>681.66</v>
          </cell>
          <cell r="X6546" t="str">
            <v>Commissions - gross</v>
          </cell>
          <cell r="Y6546" t="str">
            <v>UNITED KINGDOM</v>
          </cell>
        </row>
        <row r="6547">
          <cell r="L6547" t="str">
            <v>Non-proportional</v>
          </cell>
          <cell r="S6547">
            <v>-16</v>
          </cell>
          <cell r="X6547" t="str">
            <v>Commissions - gross</v>
          </cell>
          <cell r="Y6547" t="str">
            <v>TURKEY</v>
          </cell>
        </row>
        <row r="6548">
          <cell r="L6548" t="str">
            <v>Non-proportional</v>
          </cell>
          <cell r="S6548">
            <v>85.6</v>
          </cell>
          <cell r="X6548" t="str">
            <v>Commissions - gross</v>
          </cell>
          <cell r="Y6548" t="str">
            <v>FRANCE</v>
          </cell>
        </row>
        <row r="6549">
          <cell r="L6549" t="str">
            <v>Non-proportional</v>
          </cell>
          <cell r="S6549">
            <v>13.08</v>
          </cell>
          <cell r="X6549" t="str">
            <v>Commissions - gross</v>
          </cell>
          <cell r="Y6549" t="str">
            <v>JAPAN</v>
          </cell>
        </row>
        <row r="6550">
          <cell r="L6550" t="str">
            <v>Non-proportional</v>
          </cell>
          <cell r="S6550">
            <v>1083.07</v>
          </cell>
          <cell r="X6550" t="str">
            <v>Commissions - gross</v>
          </cell>
          <cell r="Y6550" t="str">
            <v>CHILE</v>
          </cell>
        </row>
        <row r="6551">
          <cell r="L6551" t="str">
            <v>Non-proportional</v>
          </cell>
          <cell r="S6551">
            <v>833.65</v>
          </cell>
          <cell r="X6551" t="str">
            <v>Commissions - gross</v>
          </cell>
          <cell r="Y6551" t="str">
            <v>AUSTRALIA</v>
          </cell>
        </row>
        <row r="6552">
          <cell r="L6552" t="str">
            <v>Non-proportional</v>
          </cell>
          <cell r="S6552">
            <v>404.2</v>
          </cell>
          <cell r="X6552" t="str">
            <v>Commissions - gross</v>
          </cell>
          <cell r="Y6552" t="str">
            <v>AUSTRALIA</v>
          </cell>
        </row>
        <row r="6553">
          <cell r="L6553" t="str">
            <v>Non-proportional</v>
          </cell>
          <cell r="S6553">
            <v>8.4700000000000006</v>
          </cell>
          <cell r="X6553" t="str">
            <v>Commissions - gross</v>
          </cell>
          <cell r="Y6553" t="str">
            <v>COLOMBIA</v>
          </cell>
        </row>
        <row r="6554">
          <cell r="L6554" t="str">
            <v>Non-proportional</v>
          </cell>
          <cell r="S6554">
            <v>86</v>
          </cell>
          <cell r="X6554" t="str">
            <v>Commissions - gross</v>
          </cell>
          <cell r="Y6554" t="str">
            <v>GREECE</v>
          </cell>
        </row>
        <row r="6555">
          <cell r="L6555" t="str">
            <v>Non-proportional</v>
          </cell>
          <cell r="S6555">
            <v>155.88</v>
          </cell>
          <cell r="X6555" t="str">
            <v>Commissions - gross</v>
          </cell>
          <cell r="Y6555" t="str">
            <v>ISRAEL</v>
          </cell>
        </row>
        <row r="6556">
          <cell r="L6556" t="str">
            <v>Non-proportional</v>
          </cell>
          <cell r="S6556">
            <v>918.75</v>
          </cell>
          <cell r="X6556" t="str">
            <v>Commissions - gross</v>
          </cell>
          <cell r="Y6556" t="str">
            <v>TURKEY</v>
          </cell>
        </row>
        <row r="6557">
          <cell r="L6557" t="str">
            <v>Non-proportional</v>
          </cell>
          <cell r="S6557">
            <v>643190.63</v>
          </cell>
          <cell r="X6557" t="str">
            <v>Commissions - gross</v>
          </cell>
          <cell r="Y6557" t="str">
            <v>FRANCE</v>
          </cell>
        </row>
        <row r="6558">
          <cell r="L6558" t="str">
            <v>Non-proportional</v>
          </cell>
          <cell r="S6558">
            <v>1705.25</v>
          </cell>
          <cell r="X6558" t="str">
            <v>Commissions - gross</v>
          </cell>
          <cell r="Y6558" t="str">
            <v>AUSTRALIA</v>
          </cell>
        </row>
        <row r="6559">
          <cell r="L6559" t="str">
            <v>Non-proportional</v>
          </cell>
          <cell r="S6559">
            <v>123.44</v>
          </cell>
          <cell r="X6559" t="str">
            <v>Commissions - gross</v>
          </cell>
          <cell r="Y6559" t="str">
            <v>NEW ZEALAND</v>
          </cell>
        </row>
        <row r="6560">
          <cell r="L6560" t="str">
            <v>Non-proportional</v>
          </cell>
          <cell r="S6560">
            <v>280.36</v>
          </cell>
          <cell r="X6560" t="str">
            <v>Commissions - gross</v>
          </cell>
          <cell r="Y6560" t="str">
            <v>UNITED KINGDOM</v>
          </cell>
        </row>
        <row r="6561">
          <cell r="L6561" t="str">
            <v>Non-proportional</v>
          </cell>
          <cell r="S6561">
            <v>204.17</v>
          </cell>
          <cell r="X6561" t="str">
            <v>Commissions - gross</v>
          </cell>
          <cell r="Y6561" t="str">
            <v>ITALY</v>
          </cell>
        </row>
        <row r="6562">
          <cell r="L6562" t="str">
            <v>Non-proportional</v>
          </cell>
          <cell r="S6562">
            <v>666.65</v>
          </cell>
          <cell r="X6562" t="str">
            <v>Commissions - gross</v>
          </cell>
          <cell r="Y6562" t="str">
            <v>ITALY</v>
          </cell>
        </row>
        <row r="6563">
          <cell r="L6563" t="str">
            <v>Non-proportional</v>
          </cell>
          <cell r="S6563">
            <v>141.59</v>
          </cell>
          <cell r="X6563" t="str">
            <v>Commissions - gross</v>
          </cell>
          <cell r="Y6563" t="str">
            <v>FRANCE</v>
          </cell>
        </row>
        <row r="6564">
          <cell r="L6564" t="str">
            <v>Non-proportional</v>
          </cell>
          <cell r="S6564">
            <v>245.28</v>
          </cell>
          <cell r="X6564" t="str">
            <v>Commissions - gross</v>
          </cell>
          <cell r="Y6564" t="str">
            <v>ISRAEL</v>
          </cell>
        </row>
        <row r="6565">
          <cell r="L6565" t="str">
            <v>Non-proportional</v>
          </cell>
          <cell r="S6565">
            <v>10572.33</v>
          </cell>
          <cell r="X6565" t="str">
            <v>Commissions - gross</v>
          </cell>
          <cell r="Y6565" t="str">
            <v>FRANCE</v>
          </cell>
        </row>
        <row r="6566">
          <cell r="L6566" t="str">
            <v>Non-proportional</v>
          </cell>
          <cell r="S6566">
            <v>1074.8699999999999</v>
          </cell>
          <cell r="X6566" t="str">
            <v>Commissions - gross</v>
          </cell>
          <cell r="Y6566" t="str">
            <v>ITALY</v>
          </cell>
        </row>
        <row r="6567">
          <cell r="L6567" t="str">
            <v>Non-proportional</v>
          </cell>
          <cell r="S6567">
            <v>145.83000000000001</v>
          </cell>
          <cell r="X6567" t="str">
            <v>Commissions - gross</v>
          </cell>
          <cell r="Y6567" t="str">
            <v>GREECE</v>
          </cell>
        </row>
        <row r="6568">
          <cell r="L6568" t="str">
            <v>Non-proportional</v>
          </cell>
          <cell r="S6568">
            <v>605.5</v>
          </cell>
          <cell r="X6568" t="str">
            <v>Commissions - gross</v>
          </cell>
          <cell r="Y6568" t="str">
            <v>FRANCE</v>
          </cell>
        </row>
        <row r="6569">
          <cell r="L6569" t="str">
            <v>Non-proportional</v>
          </cell>
          <cell r="S6569">
            <v>-7.85</v>
          </cell>
          <cell r="X6569" t="str">
            <v>Commissions - gross</v>
          </cell>
          <cell r="Y6569" t="str">
            <v>COLOMBIA</v>
          </cell>
        </row>
        <row r="6570">
          <cell r="L6570" t="str">
            <v>Non-proportional</v>
          </cell>
          <cell r="S6570">
            <v>123.44</v>
          </cell>
          <cell r="X6570" t="str">
            <v>Commissions - gross</v>
          </cell>
          <cell r="Y6570" t="str">
            <v>NEW ZEALAND</v>
          </cell>
        </row>
        <row r="6571">
          <cell r="L6571" t="str">
            <v>Non-proportional</v>
          </cell>
          <cell r="S6571">
            <v>305.75</v>
          </cell>
          <cell r="X6571" t="str">
            <v>Commissions - gross</v>
          </cell>
          <cell r="Y6571" t="str">
            <v>JAPAN</v>
          </cell>
        </row>
        <row r="6572">
          <cell r="L6572" t="str">
            <v>Non-proportional</v>
          </cell>
          <cell r="S6572">
            <v>1004.65</v>
          </cell>
          <cell r="X6572" t="str">
            <v>Commissions - gross</v>
          </cell>
          <cell r="Y6572" t="str">
            <v>ECUADOR</v>
          </cell>
        </row>
        <row r="6573">
          <cell r="L6573" t="str">
            <v>Non-proportional</v>
          </cell>
          <cell r="S6573">
            <v>33.25</v>
          </cell>
          <cell r="X6573" t="str">
            <v>Commissions - gross</v>
          </cell>
          <cell r="Y6573" t="str">
            <v>DOMINICAN REPUBLIC</v>
          </cell>
        </row>
        <row r="6574">
          <cell r="L6574" t="str">
            <v>Non-proportional</v>
          </cell>
          <cell r="S6574">
            <v>133.6</v>
          </cell>
          <cell r="X6574" t="str">
            <v>Commissions - gross</v>
          </cell>
          <cell r="Y6574" t="str">
            <v>ECUADOR</v>
          </cell>
        </row>
        <row r="6575">
          <cell r="L6575" t="str">
            <v>Non-proportional</v>
          </cell>
          <cell r="S6575">
            <v>743.75</v>
          </cell>
          <cell r="X6575" t="str">
            <v>Commissions - gross</v>
          </cell>
          <cell r="Y6575" t="str">
            <v>ITALY</v>
          </cell>
        </row>
        <row r="6576">
          <cell r="L6576" t="str">
            <v>Non-proportional</v>
          </cell>
          <cell r="S6576">
            <v>15879.38</v>
          </cell>
          <cell r="X6576" t="str">
            <v>Commissions - gross</v>
          </cell>
          <cell r="Y6576" t="str">
            <v>UNITED KINGDOM</v>
          </cell>
        </row>
        <row r="6577">
          <cell r="L6577" t="str">
            <v>Non-proportional</v>
          </cell>
          <cell r="S6577">
            <v>1488.67</v>
          </cell>
          <cell r="X6577" t="str">
            <v>Commissions - gross</v>
          </cell>
          <cell r="Y6577" t="str">
            <v>ISRAEL</v>
          </cell>
        </row>
        <row r="6578">
          <cell r="L6578" t="str">
            <v>Non-proportional</v>
          </cell>
          <cell r="S6578">
            <v>917.84</v>
          </cell>
          <cell r="X6578" t="str">
            <v>Commissions - gross</v>
          </cell>
          <cell r="Y6578" t="str">
            <v>FRANCE</v>
          </cell>
        </row>
        <row r="6579">
          <cell r="L6579" t="str">
            <v>Non-proportional</v>
          </cell>
          <cell r="S6579">
            <v>1478.97</v>
          </cell>
          <cell r="X6579" t="str">
            <v>Commissions - gross</v>
          </cell>
          <cell r="Y6579" t="str">
            <v>ECUADOR</v>
          </cell>
        </row>
        <row r="6580">
          <cell r="L6580" t="str">
            <v>Non-proportional</v>
          </cell>
          <cell r="S6580">
            <v>15.55</v>
          </cell>
          <cell r="X6580" t="str">
            <v>Commissions - gross</v>
          </cell>
          <cell r="Y6580" t="str">
            <v>INDIA</v>
          </cell>
        </row>
        <row r="6581">
          <cell r="L6581" t="str">
            <v>Non-proportional</v>
          </cell>
          <cell r="S6581">
            <v>1431.59</v>
          </cell>
          <cell r="X6581" t="str">
            <v>Commissions - gross</v>
          </cell>
          <cell r="Y6581" t="str">
            <v>UNITED KINGDOM</v>
          </cell>
        </row>
        <row r="6582">
          <cell r="L6582" t="str">
            <v>Non-proportional</v>
          </cell>
          <cell r="S6582">
            <v>49.75</v>
          </cell>
          <cell r="X6582" t="str">
            <v>Commissions - gross</v>
          </cell>
          <cell r="Y6582" t="str">
            <v>BRAZIL</v>
          </cell>
        </row>
        <row r="6583">
          <cell r="L6583" t="str">
            <v>Proportional</v>
          </cell>
          <cell r="S6583">
            <v>9.0299999999999994</v>
          </cell>
          <cell r="X6583" t="str">
            <v>Commissions - gross</v>
          </cell>
          <cell r="Y6583" t="str">
            <v>UNITED STATES</v>
          </cell>
        </row>
        <row r="6584">
          <cell r="L6584" t="str">
            <v>Non-proportional</v>
          </cell>
          <cell r="S6584">
            <v>303.25</v>
          </cell>
          <cell r="X6584" t="str">
            <v>Commissions - gross</v>
          </cell>
          <cell r="Y6584" t="str">
            <v>ISRAEL</v>
          </cell>
        </row>
        <row r="6585">
          <cell r="L6585" t="str">
            <v>Non-proportional</v>
          </cell>
          <cell r="S6585">
            <v>173.37</v>
          </cell>
          <cell r="X6585" t="str">
            <v>Commissions - gross</v>
          </cell>
          <cell r="Y6585" t="str">
            <v>COSTA RICA</v>
          </cell>
        </row>
        <row r="6586">
          <cell r="L6586" t="str">
            <v>Non-proportional</v>
          </cell>
          <cell r="S6586">
            <v>334.12</v>
          </cell>
          <cell r="X6586" t="str">
            <v>Commissions - gross</v>
          </cell>
          <cell r="Y6586" t="str">
            <v>PERU</v>
          </cell>
        </row>
        <row r="6587">
          <cell r="L6587" t="str">
            <v>Non-proportional</v>
          </cell>
          <cell r="S6587">
            <v>146.88</v>
          </cell>
          <cell r="X6587" t="str">
            <v>Commissions - gross</v>
          </cell>
          <cell r="Y6587" t="str">
            <v>GREECE</v>
          </cell>
        </row>
        <row r="6588">
          <cell r="L6588" t="str">
            <v>Non-proportional</v>
          </cell>
          <cell r="S6588">
            <v>1044.74</v>
          </cell>
          <cell r="X6588" t="str">
            <v>Commissions - gross</v>
          </cell>
          <cell r="Y6588" t="str">
            <v>TURKEY</v>
          </cell>
        </row>
        <row r="6589">
          <cell r="L6589" t="str">
            <v>Non-proportional</v>
          </cell>
          <cell r="S6589">
            <v>570.02</v>
          </cell>
          <cell r="X6589" t="str">
            <v>Commissions - gross</v>
          </cell>
          <cell r="Y6589" t="str">
            <v>ITALY</v>
          </cell>
        </row>
        <row r="6590">
          <cell r="L6590" t="str">
            <v>Non-proportional</v>
          </cell>
          <cell r="S6590">
            <v>350.2</v>
          </cell>
          <cell r="X6590" t="str">
            <v>Commissions - gross</v>
          </cell>
          <cell r="Y6590" t="str">
            <v>COLOMBIA</v>
          </cell>
        </row>
        <row r="6591">
          <cell r="L6591" t="str">
            <v>Non-proportional</v>
          </cell>
          <cell r="S6591">
            <v>1266.46</v>
          </cell>
          <cell r="X6591" t="str">
            <v>Commissions - gross</v>
          </cell>
          <cell r="Y6591" t="str">
            <v>FRANCE</v>
          </cell>
        </row>
        <row r="6592">
          <cell r="L6592" t="str">
            <v>Non-proportional</v>
          </cell>
          <cell r="S6592">
            <v>750.3</v>
          </cell>
          <cell r="X6592" t="str">
            <v>Commissions - gross</v>
          </cell>
          <cell r="Y6592" t="str">
            <v>CYPRUS</v>
          </cell>
        </row>
        <row r="6593">
          <cell r="L6593" t="str">
            <v>Non-proportional</v>
          </cell>
          <cell r="S6593">
            <v>696.11</v>
          </cell>
          <cell r="X6593" t="str">
            <v>Commissions - gross</v>
          </cell>
          <cell r="Y6593" t="str">
            <v>COLOMBIA</v>
          </cell>
        </row>
        <row r="6594">
          <cell r="L6594" t="str">
            <v>Non-proportional</v>
          </cell>
          <cell r="S6594">
            <v>1371.46</v>
          </cell>
          <cell r="X6594" t="str">
            <v>Commissions - gross</v>
          </cell>
          <cell r="Y6594" t="str">
            <v>AUSTRALIA</v>
          </cell>
        </row>
        <row r="6595">
          <cell r="L6595" t="str">
            <v>Non-proportional</v>
          </cell>
          <cell r="S6595">
            <v>14.02</v>
          </cell>
          <cell r="X6595" t="str">
            <v>Commissions - gross</v>
          </cell>
          <cell r="Y6595" t="str">
            <v>ISRAEL</v>
          </cell>
        </row>
        <row r="6596">
          <cell r="L6596" t="str">
            <v>Non-proportional</v>
          </cell>
          <cell r="S6596">
            <v>1104.2</v>
          </cell>
          <cell r="X6596" t="str">
            <v>Commissions - gross</v>
          </cell>
          <cell r="Y6596" t="str">
            <v>EUROPE</v>
          </cell>
        </row>
        <row r="6597">
          <cell r="L6597" t="str">
            <v>Non-proportional</v>
          </cell>
          <cell r="S6597">
            <v>105.72</v>
          </cell>
          <cell r="X6597" t="str">
            <v>Commissions - gross</v>
          </cell>
          <cell r="Y6597" t="str">
            <v>JAPAN</v>
          </cell>
        </row>
        <row r="6598">
          <cell r="L6598" t="str">
            <v>Non-proportional</v>
          </cell>
          <cell r="S6598">
            <v>0</v>
          </cell>
          <cell r="X6598" t="str">
            <v>Commissions - gross</v>
          </cell>
          <cell r="Y6598" t="str">
            <v>DOMINICAN REPUBLIC</v>
          </cell>
        </row>
        <row r="6599">
          <cell r="L6599" t="str">
            <v>Non-proportional</v>
          </cell>
          <cell r="S6599">
            <v>-6.12</v>
          </cell>
          <cell r="X6599" t="str">
            <v>Commissions - gross</v>
          </cell>
          <cell r="Y6599" t="str">
            <v>DOMINICAN REPUBLIC</v>
          </cell>
        </row>
        <row r="6600">
          <cell r="L6600" t="str">
            <v>Non-proportional</v>
          </cell>
          <cell r="S6600">
            <v>-23.87</v>
          </cell>
          <cell r="X6600" t="str">
            <v>Commissions - gross</v>
          </cell>
          <cell r="Y6600" t="str">
            <v>COLOMBIA</v>
          </cell>
        </row>
        <row r="6601">
          <cell r="L6601" t="str">
            <v>Non-proportional</v>
          </cell>
          <cell r="S6601">
            <v>-5.14</v>
          </cell>
          <cell r="X6601" t="str">
            <v>Commissions - gross</v>
          </cell>
          <cell r="Y6601" t="str">
            <v>DOMINICAN REPUBLIC</v>
          </cell>
        </row>
        <row r="6602">
          <cell r="L6602" t="str">
            <v>Non-proportional</v>
          </cell>
          <cell r="S6602">
            <v>0</v>
          </cell>
          <cell r="X6602" t="str">
            <v>Commissions - gross</v>
          </cell>
          <cell r="Y6602" t="str">
            <v>DOMINICAN REPUBLIC</v>
          </cell>
        </row>
        <row r="6603">
          <cell r="L6603" t="str">
            <v>Non-proportional</v>
          </cell>
          <cell r="S6603">
            <v>385.42</v>
          </cell>
          <cell r="X6603" t="str">
            <v>Commissions - gross</v>
          </cell>
          <cell r="Y6603" t="str">
            <v>FRANCE</v>
          </cell>
        </row>
        <row r="6604">
          <cell r="L6604" t="str">
            <v>Non-proportional</v>
          </cell>
          <cell r="S6604">
            <v>251.77</v>
          </cell>
          <cell r="X6604" t="str">
            <v>Commissions - gross</v>
          </cell>
          <cell r="Y6604" t="str">
            <v>ITALY</v>
          </cell>
        </row>
        <row r="6605">
          <cell r="L6605" t="str">
            <v>Non-proportional</v>
          </cell>
          <cell r="S6605">
            <v>570.01</v>
          </cell>
          <cell r="X6605" t="str">
            <v>Commissions - gross</v>
          </cell>
          <cell r="Y6605" t="str">
            <v>PERU</v>
          </cell>
        </row>
        <row r="6606">
          <cell r="L6606" t="str">
            <v>Non-proportional</v>
          </cell>
          <cell r="S6606">
            <v>527.45000000000005</v>
          </cell>
          <cell r="X6606" t="str">
            <v>Commissions - gross</v>
          </cell>
          <cell r="Y6606" t="str">
            <v>CYPRUS</v>
          </cell>
        </row>
        <row r="6607">
          <cell r="L6607" t="str">
            <v>Non-proportional</v>
          </cell>
          <cell r="S6607">
            <v>378</v>
          </cell>
          <cell r="X6607" t="str">
            <v>Commissions - gross</v>
          </cell>
          <cell r="Y6607" t="str">
            <v>GREECE</v>
          </cell>
        </row>
        <row r="6608">
          <cell r="L6608" t="str">
            <v>Non-proportional</v>
          </cell>
          <cell r="S6608">
            <v>991.57</v>
          </cell>
          <cell r="X6608" t="str">
            <v>Commissions - gross</v>
          </cell>
          <cell r="Y6608" t="str">
            <v>NETHERLANDS</v>
          </cell>
        </row>
        <row r="6609">
          <cell r="L6609" t="str">
            <v>Non-proportional</v>
          </cell>
          <cell r="S6609">
            <v>5.0599999999999996</v>
          </cell>
          <cell r="X6609" t="str">
            <v>Commissions - gross</v>
          </cell>
          <cell r="Y6609" t="str">
            <v>GUATEMALA</v>
          </cell>
        </row>
        <row r="6610">
          <cell r="L6610" t="str">
            <v>Non-proportional</v>
          </cell>
          <cell r="S6610">
            <v>758.65</v>
          </cell>
          <cell r="X6610" t="str">
            <v>Commissions - gross</v>
          </cell>
          <cell r="Y6610" t="str">
            <v>FRANCE</v>
          </cell>
        </row>
        <row r="6611">
          <cell r="L6611" t="str">
            <v>Non-proportional</v>
          </cell>
          <cell r="S6611">
            <v>-37.82</v>
          </cell>
          <cell r="X6611" t="str">
            <v>Commissions - gross</v>
          </cell>
          <cell r="Y6611" t="str">
            <v>COLOMBIA</v>
          </cell>
        </row>
        <row r="6612">
          <cell r="L6612" t="str">
            <v>Non-proportional</v>
          </cell>
          <cell r="S6612">
            <v>54.69</v>
          </cell>
          <cell r="X6612" t="str">
            <v>Commissions - gross</v>
          </cell>
          <cell r="Y6612" t="str">
            <v>ITALY</v>
          </cell>
        </row>
        <row r="6613">
          <cell r="L6613" t="str">
            <v>Non-proportional</v>
          </cell>
          <cell r="S6613">
            <v>289.81</v>
          </cell>
          <cell r="X6613" t="str">
            <v>Commissions - gross</v>
          </cell>
          <cell r="Y6613" t="str">
            <v>ISRAEL</v>
          </cell>
        </row>
        <row r="6614">
          <cell r="L6614" t="str">
            <v>Non-proportional</v>
          </cell>
          <cell r="S6614">
            <v>0</v>
          </cell>
          <cell r="X6614" t="str">
            <v>Commissions - gross</v>
          </cell>
          <cell r="Y6614" t="str">
            <v>DOMINICAN REPUBLIC</v>
          </cell>
        </row>
        <row r="6615">
          <cell r="L6615" t="str">
            <v>Non-proportional</v>
          </cell>
          <cell r="S6615">
            <v>950.01</v>
          </cell>
          <cell r="X6615" t="str">
            <v>Commissions - gross</v>
          </cell>
          <cell r="Y6615" t="str">
            <v>TURKEY</v>
          </cell>
        </row>
        <row r="6616">
          <cell r="L6616" t="str">
            <v>Non-proportional</v>
          </cell>
          <cell r="S6616">
            <v>54.38</v>
          </cell>
          <cell r="X6616" t="str">
            <v>Commissions - gross</v>
          </cell>
          <cell r="Y6616" t="str">
            <v>GREECE</v>
          </cell>
        </row>
        <row r="6617">
          <cell r="L6617" t="str">
            <v>Non-proportional</v>
          </cell>
          <cell r="S6617">
            <v>373.4</v>
          </cell>
          <cell r="X6617" t="str">
            <v>Commissions - gross</v>
          </cell>
          <cell r="Y6617" t="str">
            <v>DOMINICAN REPUBLIC</v>
          </cell>
        </row>
        <row r="6618">
          <cell r="L6618" t="str">
            <v>Non-proportional</v>
          </cell>
          <cell r="S6618">
            <v>82.52</v>
          </cell>
          <cell r="X6618" t="str">
            <v>Commissions - gross</v>
          </cell>
          <cell r="Y6618" t="str">
            <v>MEXICO</v>
          </cell>
        </row>
        <row r="6619">
          <cell r="L6619" t="str">
            <v>Non-proportional</v>
          </cell>
          <cell r="S6619">
            <v>859.6</v>
          </cell>
          <cell r="X6619" t="str">
            <v>Commissions - gross</v>
          </cell>
          <cell r="Y6619" t="str">
            <v>MEXICO</v>
          </cell>
        </row>
        <row r="6620">
          <cell r="L6620" t="str">
            <v>Non-proportional</v>
          </cell>
          <cell r="S6620">
            <v>979.88</v>
          </cell>
          <cell r="X6620" t="str">
            <v>Commissions - gross</v>
          </cell>
          <cell r="Y6620" t="str">
            <v>UNITED KINGDOM</v>
          </cell>
        </row>
        <row r="6621">
          <cell r="L6621" t="str">
            <v>Non-proportional</v>
          </cell>
          <cell r="S6621">
            <v>87.14</v>
          </cell>
          <cell r="X6621" t="str">
            <v>Commissions - gross</v>
          </cell>
          <cell r="Y6621" t="str">
            <v>PERU</v>
          </cell>
        </row>
        <row r="6622">
          <cell r="L6622" t="str">
            <v>Non-proportional</v>
          </cell>
          <cell r="S6622">
            <v>164.64</v>
          </cell>
          <cell r="X6622" t="str">
            <v>Commissions - gross</v>
          </cell>
          <cell r="Y6622" t="str">
            <v>ECUADOR</v>
          </cell>
        </row>
        <row r="6623">
          <cell r="L6623" t="str">
            <v>Non-proportional</v>
          </cell>
          <cell r="S6623">
            <v>194.65</v>
          </cell>
          <cell r="X6623" t="str">
            <v>Commissions - gross</v>
          </cell>
          <cell r="Y6623" t="str">
            <v>REPUBLIC OF IRELAND</v>
          </cell>
        </row>
        <row r="6624">
          <cell r="L6624" t="str">
            <v>Non-proportional</v>
          </cell>
          <cell r="S6624">
            <v>38.75</v>
          </cell>
          <cell r="X6624" t="str">
            <v>Commissions - gross</v>
          </cell>
          <cell r="Y6624" t="str">
            <v>ITALY</v>
          </cell>
        </row>
        <row r="6625">
          <cell r="L6625" t="str">
            <v>Non-proportional</v>
          </cell>
          <cell r="S6625">
            <v>853.13</v>
          </cell>
          <cell r="X6625" t="str">
            <v>Commissions - gross</v>
          </cell>
          <cell r="Y6625" t="str">
            <v>TURKEY</v>
          </cell>
        </row>
        <row r="6626">
          <cell r="L6626" t="str">
            <v>Non-proportional</v>
          </cell>
          <cell r="S6626">
            <v>904.39</v>
          </cell>
          <cell r="X6626" t="str">
            <v>Commissions - gross</v>
          </cell>
          <cell r="Y6626" t="str">
            <v>FRANCE</v>
          </cell>
        </row>
        <row r="6627">
          <cell r="L6627" t="str">
            <v>Non-proportional</v>
          </cell>
          <cell r="S6627">
            <v>639.35</v>
          </cell>
          <cell r="X6627" t="str">
            <v>Commissions - gross</v>
          </cell>
          <cell r="Y6627" t="str">
            <v>NETHERLANDS</v>
          </cell>
        </row>
        <row r="6628">
          <cell r="L6628" t="str">
            <v>Non-proportional</v>
          </cell>
          <cell r="S6628">
            <v>125.78</v>
          </cell>
          <cell r="X6628" t="str">
            <v>Commissions - gross</v>
          </cell>
          <cell r="Y6628" t="str">
            <v>ITALY</v>
          </cell>
        </row>
        <row r="6629">
          <cell r="L6629" t="str">
            <v>Non-proportional</v>
          </cell>
          <cell r="S6629">
            <v>591.84</v>
          </cell>
          <cell r="X6629" t="str">
            <v>Commissions - gross</v>
          </cell>
          <cell r="Y6629" t="str">
            <v>EUROPE</v>
          </cell>
        </row>
        <row r="6630">
          <cell r="L6630" t="str">
            <v>Non-proportional</v>
          </cell>
          <cell r="S6630">
            <v>516.49</v>
          </cell>
          <cell r="X6630" t="str">
            <v>Commissions - gross</v>
          </cell>
          <cell r="Y6630" t="str">
            <v>JAPAN</v>
          </cell>
        </row>
        <row r="6631">
          <cell r="L6631" t="str">
            <v>Non-proportional</v>
          </cell>
          <cell r="S6631">
            <v>13.29</v>
          </cell>
          <cell r="X6631" t="str">
            <v>Commissions - gross</v>
          </cell>
          <cell r="Y6631" t="str">
            <v>ITALY</v>
          </cell>
        </row>
        <row r="6632">
          <cell r="L6632" t="str">
            <v>Non-proportional</v>
          </cell>
          <cell r="S6632">
            <v>2019.75</v>
          </cell>
          <cell r="X6632" t="str">
            <v>Commissions - gross</v>
          </cell>
          <cell r="Y6632" t="str">
            <v>ITALY</v>
          </cell>
        </row>
        <row r="6633">
          <cell r="L6633" t="str">
            <v>Non-proportional</v>
          </cell>
          <cell r="S6633">
            <v>870.14</v>
          </cell>
          <cell r="X6633" t="str">
            <v>Commissions - gross</v>
          </cell>
          <cell r="Y6633" t="str">
            <v>DOMINICAN REPUBLIC</v>
          </cell>
        </row>
        <row r="6634">
          <cell r="L6634" t="str">
            <v>Non-proportional</v>
          </cell>
          <cell r="S6634">
            <v>789.75</v>
          </cell>
          <cell r="X6634" t="str">
            <v>Commissions - gross</v>
          </cell>
          <cell r="Y6634" t="str">
            <v>ITALY</v>
          </cell>
        </row>
        <row r="6635">
          <cell r="L6635" t="str">
            <v>Non-proportional</v>
          </cell>
          <cell r="S6635">
            <v>213.27</v>
          </cell>
          <cell r="X6635" t="str">
            <v>Commissions - gross</v>
          </cell>
          <cell r="Y6635" t="str">
            <v>UNITED KINGDOM</v>
          </cell>
        </row>
        <row r="6636">
          <cell r="L6636" t="str">
            <v>Non-proportional</v>
          </cell>
          <cell r="S6636">
            <v>2.62</v>
          </cell>
          <cell r="X6636" t="str">
            <v>Commissions - gross</v>
          </cell>
          <cell r="Y6636" t="str">
            <v>JAPAN</v>
          </cell>
        </row>
        <row r="6637">
          <cell r="L6637" t="str">
            <v>Non-proportional</v>
          </cell>
          <cell r="S6637">
            <v>146.16</v>
          </cell>
          <cell r="X6637" t="str">
            <v>Commissions - gross</v>
          </cell>
          <cell r="Y6637" t="str">
            <v>AUSTRALIA</v>
          </cell>
        </row>
        <row r="6638">
          <cell r="L6638" t="str">
            <v>Non-proportional</v>
          </cell>
          <cell r="S6638">
            <v>171.21</v>
          </cell>
          <cell r="X6638" t="str">
            <v>Commissions - gross</v>
          </cell>
          <cell r="Y6638" t="str">
            <v>NEW ZEALAND</v>
          </cell>
        </row>
        <row r="6639">
          <cell r="L6639" t="str">
            <v>Non-proportional</v>
          </cell>
          <cell r="S6639">
            <v>40407.919999999998</v>
          </cell>
          <cell r="X6639" t="str">
            <v>Commissions - gross</v>
          </cell>
          <cell r="Y6639" t="str">
            <v>UNITED KINGDOM</v>
          </cell>
        </row>
        <row r="6640">
          <cell r="L6640" t="str">
            <v>Non-proportional</v>
          </cell>
          <cell r="S6640">
            <v>154.72</v>
          </cell>
          <cell r="X6640" t="str">
            <v>Commissions - gross</v>
          </cell>
          <cell r="Y6640" t="str">
            <v>CHILE</v>
          </cell>
        </row>
        <row r="6641">
          <cell r="L6641" t="str">
            <v>Non-proportional</v>
          </cell>
          <cell r="S6641">
            <v>531.29999999999995</v>
          </cell>
          <cell r="X6641" t="str">
            <v>Commissions - gross</v>
          </cell>
          <cell r="Y6641" t="str">
            <v>COLOMBIA</v>
          </cell>
        </row>
        <row r="6642">
          <cell r="L6642" t="str">
            <v>Non-proportional</v>
          </cell>
          <cell r="S6642">
            <v>638</v>
          </cell>
          <cell r="X6642" t="str">
            <v>Commissions - gross</v>
          </cell>
          <cell r="Y6642" t="str">
            <v>SPAIN</v>
          </cell>
        </row>
        <row r="6643">
          <cell r="L6643" t="str">
            <v>Non-proportional</v>
          </cell>
          <cell r="S6643">
            <v>88.18</v>
          </cell>
          <cell r="X6643" t="str">
            <v>Commissions - gross</v>
          </cell>
          <cell r="Y6643" t="str">
            <v>COLOMBIA</v>
          </cell>
        </row>
        <row r="6644">
          <cell r="L6644" t="str">
            <v>Non-proportional</v>
          </cell>
          <cell r="S6644">
            <v>1030.1400000000001</v>
          </cell>
          <cell r="X6644" t="str">
            <v>Commissions - gross</v>
          </cell>
          <cell r="Y6644" t="str">
            <v>COSTA RICA</v>
          </cell>
        </row>
        <row r="6645">
          <cell r="L6645" t="str">
            <v>Non-proportional</v>
          </cell>
          <cell r="S6645">
            <v>320.22000000000003</v>
          </cell>
          <cell r="X6645" t="str">
            <v>Commissions - gross</v>
          </cell>
          <cell r="Y6645" t="str">
            <v>ISRAEL</v>
          </cell>
        </row>
        <row r="6646">
          <cell r="L6646" t="str">
            <v>Non-proportional</v>
          </cell>
          <cell r="S6646">
            <v>306.05</v>
          </cell>
          <cell r="X6646" t="str">
            <v>Commissions - gross</v>
          </cell>
          <cell r="Y6646" t="str">
            <v>ISRAEL</v>
          </cell>
        </row>
        <row r="6647">
          <cell r="L6647" t="str">
            <v>Non-proportional</v>
          </cell>
          <cell r="S6647">
            <v>10.35</v>
          </cell>
          <cell r="X6647" t="str">
            <v>Commissions - gross</v>
          </cell>
          <cell r="Y6647" t="str">
            <v>INDIA</v>
          </cell>
        </row>
        <row r="6648">
          <cell r="L6648" t="str">
            <v>Non-proportional</v>
          </cell>
          <cell r="S6648">
            <v>135.53</v>
          </cell>
          <cell r="X6648" t="str">
            <v>Commissions - gross</v>
          </cell>
          <cell r="Y6648" t="str">
            <v>UNITED KINGDOM</v>
          </cell>
        </row>
        <row r="6649">
          <cell r="L6649" t="str">
            <v>Non-proportional</v>
          </cell>
          <cell r="S6649">
            <v>254.72</v>
          </cell>
          <cell r="X6649" t="str">
            <v>Commissions - gross</v>
          </cell>
          <cell r="Y6649" t="str">
            <v>JAPAN</v>
          </cell>
        </row>
        <row r="6650">
          <cell r="L6650" t="str">
            <v>Non-proportional</v>
          </cell>
          <cell r="S6650">
            <v>414.77</v>
          </cell>
          <cell r="X6650" t="str">
            <v>Commissions - gross</v>
          </cell>
          <cell r="Y6650" t="str">
            <v>COLOMBIA</v>
          </cell>
        </row>
        <row r="6651">
          <cell r="L6651" t="str">
            <v>Non-proportional</v>
          </cell>
          <cell r="S6651">
            <v>6.04</v>
          </cell>
          <cell r="X6651" t="str">
            <v>Commissions - gross</v>
          </cell>
          <cell r="Y6651" t="str">
            <v>ISRAEL</v>
          </cell>
        </row>
        <row r="6652">
          <cell r="L6652" t="str">
            <v>Non-proportional</v>
          </cell>
          <cell r="S6652">
            <v>91.67</v>
          </cell>
          <cell r="X6652" t="str">
            <v>Commissions - gross</v>
          </cell>
          <cell r="Y6652" t="str">
            <v>PERU</v>
          </cell>
        </row>
        <row r="6653">
          <cell r="L6653" t="str">
            <v>Non-proportional</v>
          </cell>
          <cell r="S6653">
            <v>1996.77</v>
          </cell>
          <cell r="X6653" t="str">
            <v>Commissions - gross</v>
          </cell>
          <cell r="Y6653" t="str">
            <v>FRANCE</v>
          </cell>
        </row>
        <row r="6654">
          <cell r="L6654" t="str">
            <v>Non-proportional</v>
          </cell>
          <cell r="S6654">
            <v>335.35</v>
          </cell>
          <cell r="X6654" t="str">
            <v>Commissions - gross</v>
          </cell>
          <cell r="Y6654" t="str">
            <v>ISRAEL</v>
          </cell>
        </row>
        <row r="6655">
          <cell r="L6655" t="str">
            <v>Non-proportional</v>
          </cell>
          <cell r="S6655">
            <v>-12.42</v>
          </cell>
          <cell r="X6655" t="str">
            <v>Commissions - gross</v>
          </cell>
          <cell r="Y6655" t="str">
            <v>JAPAN</v>
          </cell>
        </row>
        <row r="6656">
          <cell r="L6656" t="str">
            <v>Non-proportional</v>
          </cell>
          <cell r="S6656">
            <v>85.24</v>
          </cell>
          <cell r="X6656" t="str">
            <v>Commissions - gross</v>
          </cell>
          <cell r="Y6656" t="str">
            <v>ECUADOR</v>
          </cell>
        </row>
        <row r="6657">
          <cell r="L6657" t="str">
            <v>Non-proportional</v>
          </cell>
          <cell r="S6657">
            <v>119.94</v>
          </cell>
          <cell r="X6657" t="str">
            <v>Commissions - gross</v>
          </cell>
          <cell r="Y6657" t="str">
            <v>COLOMBIA</v>
          </cell>
        </row>
        <row r="6658">
          <cell r="L6658" t="str">
            <v>Non-proportional</v>
          </cell>
          <cell r="S6658">
            <v>1089.57</v>
          </cell>
          <cell r="X6658" t="str">
            <v>Commissions - gross</v>
          </cell>
          <cell r="Y6658" t="str">
            <v>INDIA</v>
          </cell>
        </row>
        <row r="6659">
          <cell r="L6659" t="str">
            <v>Non-proportional</v>
          </cell>
          <cell r="S6659">
            <v>198.21</v>
          </cell>
          <cell r="X6659" t="str">
            <v>Commissions - gross</v>
          </cell>
          <cell r="Y6659" t="str">
            <v>JAPAN</v>
          </cell>
        </row>
        <row r="6660">
          <cell r="L6660" t="str">
            <v>Non-proportional</v>
          </cell>
          <cell r="S6660">
            <v>441.41</v>
          </cell>
          <cell r="X6660" t="str">
            <v>Commissions - gross</v>
          </cell>
          <cell r="Y6660" t="str">
            <v>ECUADOR</v>
          </cell>
        </row>
        <row r="6661">
          <cell r="L6661" t="str">
            <v>Non-proportional</v>
          </cell>
          <cell r="S6661">
            <v>1039.33</v>
          </cell>
          <cell r="X6661" t="str">
            <v>Commissions - gross</v>
          </cell>
          <cell r="Y6661" t="str">
            <v>PERU</v>
          </cell>
        </row>
        <row r="6662">
          <cell r="L6662" t="str">
            <v>Non-proportional</v>
          </cell>
          <cell r="S6662">
            <v>14.63</v>
          </cell>
          <cell r="X6662" t="str">
            <v>Commissions - gross</v>
          </cell>
          <cell r="Y6662" t="str">
            <v>FRANCE</v>
          </cell>
        </row>
        <row r="6663">
          <cell r="L6663" t="str">
            <v>Non-proportional</v>
          </cell>
          <cell r="S6663">
            <v>4</v>
          </cell>
          <cell r="X6663" t="str">
            <v>Commissions - gross</v>
          </cell>
          <cell r="Y6663" t="str">
            <v>JAPAN</v>
          </cell>
        </row>
        <row r="6664">
          <cell r="L6664" t="str">
            <v>Non-proportional</v>
          </cell>
          <cell r="S6664">
            <v>541.54</v>
          </cell>
          <cell r="X6664" t="str">
            <v>Commissions - gross</v>
          </cell>
          <cell r="Y6664" t="str">
            <v>CHILE</v>
          </cell>
        </row>
        <row r="6665">
          <cell r="L6665" t="str">
            <v>Non-proportional</v>
          </cell>
          <cell r="S6665">
            <v>181.16</v>
          </cell>
          <cell r="X6665" t="str">
            <v>Commissions - gross</v>
          </cell>
          <cell r="Y6665" t="str">
            <v>ISRAEL</v>
          </cell>
        </row>
        <row r="6666">
          <cell r="L6666" t="str">
            <v>Non-proportional</v>
          </cell>
          <cell r="S6666">
            <v>809.08</v>
          </cell>
          <cell r="X6666" t="str">
            <v>Commissions - gross</v>
          </cell>
          <cell r="Y6666" t="str">
            <v>MEXICO</v>
          </cell>
        </row>
        <row r="6667">
          <cell r="L6667" t="str">
            <v>Non-proportional</v>
          </cell>
          <cell r="S6667">
            <v>359.24</v>
          </cell>
          <cell r="X6667" t="str">
            <v>Commissions - gross</v>
          </cell>
          <cell r="Y6667" t="str">
            <v>FRANCE</v>
          </cell>
        </row>
        <row r="6668">
          <cell r="L6668" t="str">
            <v>Non-proportional</v>
          </cell>
          <cell r="S6668">
            <v>4284.91</v>
          </cell>
          <cell r="X6668" t="str">
            <v>Commissions - gross</v>
          </cell>
          <cell r="Y6668" t="str">
            <v>UNITED KINGDOM</v>
          </cell>
        </row>
        <row r="6669">
          <cell r="L6669" t="str">
            <v>Non-proportional</v>
          </cell>
          <cell r="S6669">
            <v>231.16</v>
          </cell>
          <cell r="X6669" t="str">
            <v>Commissions - gross</v>
          </cell>
          <cell r="Y6669" t="str">
            <v>GUATEMALA</v>
          </cell>
        </row>
        <row r="6670">
          <cell r="L6670" t="str">
            <v>Non-proportional</v>
          </cell>
          <cell r="S6670">
            <v>762.86</v>
          </cell>
          <cell r="X6670" t="str">
            <v>Commissions - gross</v>
          </cell>
          <cell r="Y6670" t="str">
            <v>PUERTO RICO</v>
          </cell>
        </row>
        <row r="6671">
          <cell r="L6671" t="str">
            <v>Non-proportional</v>
          </cell>
          <cell r="S6671">
            <v>505.33</v>
          </cell>
          <cell r="X6671" t="str">
            <v>Commissions - gross</v>
          </cell>
          <cell r="Y6671" t="str">
            <v>GUATEMALA</v>
          </cell>
        </row>
        <row r="6672">
          <cell r="L6672" t="str">
            <v>Non-proportional</v>
          </cell>
          <cell r="S6672">
            <v>156.24</v>
          </cell>
          <cell r="X6672" t="str">
            <v>Commissions - gross</v>
          </cell>
          <cell r="Y6672" t="str">
            <v>FRANCE</v>
          </cell>
        </row>
        <row r="6673">
          <cell r="L6673" t="str">
            <v>Proportional</v>
          </cell>
          <cell r="S6673">
            <v>116.04</v>
          </cell>
          <cell r="X6673" t="str">
            <v>Commissions - gross</v>
          </cell>
          <cell r="Y6673" t="str">
            <v>CHILE</v>
          </cell>
        </row>
        <row r="6674">
          <cell r="L6674" t="str">
            <v>Non-proportional</v>
          </cell>
          <cell r="S6674">
            <v>907.93</v>
          </cell>
          <cell r="X6674" t="str">
            <v>Commissions - gross</v>
          </cell>
          <cell r="Y6674" t="str">
            <v>MEXICO</v>
          </cell>
        </row>
        <row r="6675">
          <cell r="L6675" t="str">
            <v>Non-proportional</v>
          </cell>
          <cell r="S6675">
            <v>11.58</v>
          </cell>
          <cell r="X6675" t="str">
            <v>Commissions - gross</v>
          </cell>
          <cell r="Y6675" t="str">
            <v>GUATEMALA</v>
          </cell>
        </row>
        <row r="6676">
          <cell r="L6676" t="str">
            <v>Non-proportional</v>
          </cell>
          <cell r="S6676">
            <v>-8.01</v>
          </cell>
          <cell r="X6676" t="str">
            <v>Commissions - gross</v>
          </cell>
          <cell r="Y6676" t="str">
            <v>DOMINICAN REPUBLIC</v>
          </cell>
        </row>
        <row r="6677">
          <cell r="L6677" t="str">
            <v>Proportional</v>
          </cell>
          <cell r="S6677">
            <v>570.23</v>
          </cell>
          <cell r="X6677" t="str">
            <v>Commissions - gross</v>
          </cell>
          <cell r="Y6677" t="str">
            <v>FRANCE</v>
          </cell>
        </row>
        <row r="6678">
          <cell r="L6678" t="str">
            <v>Non-proportional</v>
          </cell>
          <cell r="S6678">
            <v>723.8</v>
          </cell>
          <cell r="X6678" t="str">
            <v>Commissions - gross</v>
          </cell>
          <cell r="Y6678" t="str">
            <v>ECUADOR</v>
          </cell>
        </row>
        <row r="6679">
          <cell r="L6679" t="str">
            <v>Non-proportional</v>
          </cell>
          <cell r="S6679">
            <v>362.18</v>
          </cell>
          <cell r="X6679" t="str">
            <v>Commissions - gross</v>
          </cell>
          <cell r="Y6679" t="str">
            <v>GUATEMALA</v>
          </cell>
        </row>
        <row r="6680">
          <cell r="L6680" t="str">
            <v>Non-proportional</v>
          </cell>
          <cell r="S6680">
            <v>319</v>
          </cell>
          <cell r="X6680" t="str">
            <v>Commissions - gross</v>
          </cell>
          <cell r="Y6680" t="str">
            <v>ISRAEL</v>
          </cell>
        </row>
        <row r="6681">
          <cell r="L6681" t="str">
            <v>Non-proportional</v>
          </cell>
          <cell r="S6681">
            <v>1923.15</v>
          </cell>
          <cell r="X6681" t="str">
            <v>Commissions - gross</v>
          </cell>
          <cell r="Y6681" t="str">
            <v>FRANCE</v>
          </cell>
        </row>
        <row r="6682">
          <cell r="L6682" t="str">
            <v>Non-proportional</v>
          </cell>
          <cell r="S6682">
            <v>905.32</v>
          </cell>
          <cell r="X6682" t="str">
            <v>Commissions - gross</v>
          </cell>
          <cell r="Y6682" t="str">
            <v>ITALY</v>
          </cell>
        </row>
        <row r="6683">
          <cell r="L6683" t="str">
            <v>Non-proportional</v>
          </cell>
          <cell r="S6683">
            <v>623.62</v>
          </cell>
          <cell r="X6683" t="str">
            <v>Commissions - gross</v>
          </cell>
          <cell r="Y6683" t="str">
            <v>PERU</v>
          </cell>
        </row>
        <row r="6684">
          <cell r="L6684" t="str">
            <v>Non-proportional</v>
          </cell>
          <cell r="S6684">
            <v>3351.27</v>
          </cell>
          <cell r="X6684" t="str">
            <v>Commissions - gross</v>
          </cell>
          <cell r="Y6684" t="str">
            <v>NEW ZEALAND</v>
          </cell>
        </row>
        <row r="6685">
          <cell r="L6685" t="str">
            <v>Non-proportional</v>
          </cell>
          <cell r="S6685">
            <v>1329.69</v>
          </cell>
          <cell r="X6685" t="str">
            <v>Commissions - gross</v>
          </cell>
          <cell r="Y6685" t="str">
            <v>BELGIUM</v>
          </cell>
        </row>
        <row r="6686">
          <cell r="L6686" t="str">
            <v>Non-proportional</v>
          </cell>
          <cell r="S6686">
            <v>664.08</v>
          </cell>
          <cell r="X6686" t="str">
            <v>Commissions - gross</v>
          </cell>
          <cell r="Y6686" t="str">
            <v>PERU</v>
          </cell>
        </row>
        <row r="6687">
          <cell r="L6687" t="str">
            <v>Non-proportional</v>
          </cell>
          <cell r="S6687">
            <v>4575.8500000000004</v>
          </cell>
          <cell r="X6687" t="str">
            <v>Commissions - gross</v>
          </cell>
          <cell r="Y6687" t="str">
            <v>TURKEY</v>
          </cell>
        </row>
        <row r="6688">
          <cell r="L6688" t="str">
            <v>Non-proportional</v>
          </cell>
          <cell r="S6688">
            <v>348.13</v>
          </cell>
          <cell r="X6688" t="str">
            <v>Commissions - gross</v>
          </cell>
          <cell r="Y6688" t="str">
            <v>CHILE</v>
          </cell>
        </row>
        <row r="6689">
          <cell r="L6689" t="str">
            <v>Non-proportional</v>
          </cell>
          <cell r="S6689">
            <v>121.2</v>
          </cell>
          <cell r="X6689" t="str">
            <v>Commissions - gross</v>
          </cell>
          <cell r="Y6689" t="str">
            <v>JAPAN</v>
          </cell>
        </row>
        <row r="6690">
          <cell r="L6690" t="str">
            <v>Non-proportional</v>
          </cell>
          <cell r="S6690">
            <v>485.11</v>
          </cell>
          <cell r="X6690" t="str">
            <v>Commissions - gross</v>
          </cell>
          <cell r="Y6690" t="str">
            <v>AUSTRALIA</v>
          </cell>
        </row>
        <row r="6691">
          <cell r="L6691" t="str">
            <v>Non-proportional</v>
          </cell>
          <cell r="S6691">
            <v>80</v>
          </cell>
          <cell r="X6691" t="str">
            <v>Commissions - gross</v>
          </cell>
          <cell r="Y6691" t="str">
            <v>ITALY</v>
          </cell>
        </row>
        <row r="6692">
          <cell r="L6692" t="str">
            <v>Non-proportional</v>
          </cell>
          <cell r="S6692">
            <v>-8.4</v>
          </cell>
          <cell r="X6692" t="str">
            <v>Commissions - gross</v>
          </cell>
          <cell r="Y6692" t="str">
            <v>COLOMBIA</v>
          </cell>
        </row>
        <row r="6693">
          <cell r="L6693" t="str">
            <v>Non-proportional</v>
          </cell>
          <cell r="S6693">
            <v>182.62</v>
          </cell>
          <cell r="X6693" t="str">
            <v>Commissions - gross</v>
          </cell>
          <cell r="Y6693" t="str">
            <v>ECUADOR</v>
          </cell>
        </row>
        <row r="6694">
          <cell r="L6694" t="str">
            <v>Non-proportional</v>
          </cell>
          <cell r="S6694">
            <v>45.07</v>
          </cell>
          <cell r="X6694" t="str">
            <v>Commissions - gross</v>
          </cell>
          <cell r="Y6694" t="str">
            <v>NEW ZEALAND</v>
          </cell>
        </row>
        <row r="6695">
          <cell r="L6695" t="str">
            <v>Non-proportional</v>
          </cell>
          <cell r="S6695">
            <v>3013.75</v>
          </cell>
          <cell r="X6695" t="str">
            <v>Commissions - gross</v>
          </cell>
          <cell r="Y6695" t="str">
            <v>UNITED KINGDOM</v>
          </cell>
        </row>
        <row r="6696">
          <cell r="L6696" t="str">
            <v>Non-proportional</v>
          </cell>
          <cell r="S6696">
            <v>3.29</v>
          </cell>
          <cell r="X6696" t="str">
            <v>Commissions - gross</v>
          </cell>
          <cell r="Y6696" t="str">
            <v>ISRAEL</v>
          </cell>
        </row>
        <row r="6697">
          <cell r="L6697" t="str">
            <v>Non-proportional</v>
          </cell>
          <cell r="S6697">
            <v>272.51</v>
          </cell>
          <cell r="X6697" t="str">
            <v>Commissions - gross</v>
          </cell>
          <cell r="Y6697" t="str">
            <v>UNITED KINGDOM</v>
          </cell>
        </row>
        <row r="6698">
          <cell r="L6698" t="str">
            <v>Non-proportional</v>
          </cell>
          <cell r="S6698">
            <v>450.98</v>
          </cell>
          <cell r="X6698" t="str">
            <v>Commissions - gross</v>
          </cell>
          <cell r="Y6698" t="str">
            <v>FRANCE</v>
          </cell>
        </row>
        <row r="6699">
          <cell r="L6699" t="str">
            <v>Non-proportional</v>
          </cell>
          <cell r="S6699">
            <v>-77.36</v>
          </cell>
          <cell r="X6699" t="str">
            <v>Commissions - gross</v>
          </cell>
          <cell r="Y6699" t="str">
            <v>CHILE</v>
          </cell>
        </row>
        <row r="6700">
          <cell r="L6700" t="str">
            <v>Non-proportional</v>
          </cell>
          <cell r="S6700">
            <v>204.38</v>
          </cell>
          <cell r="X6700" t="str">
            <v>Commissions - gross</v>
          </cell>
          <cell r="Y6700" t="str">
            <v>GREECE</v>
          </cell>
        </row>
        <row r="6701">
          <cell r="L6701" t="str">
            <v>Non-proportional</v>
          </cell>
          <cell r="S6701">
            <v>662.31</v>
          </cell>
          <cell r="X6701" t="str">
            <v>Commissions - gross</v>
          </cell>
          <cell r="Y6701" t="str">
            <v>CYPRUS</v>
          </cell>
        </row>
        <row r="6702">
          <cell r="L6702" t="str">
            <v>Non-proportional</v>
          </cell>
          <cell r="S6702">
            <v>1265.96</v>
          </cell>
          <cell r="X6702" t="str">
            <v>Commissions - gross</v>
          </cell>
          <cell r="Y6702" t="str">
            <v>ITALY</v>
          </cell>
        </row>
        <row r="6703">
          <cell r="L6703" t="str">
            <v>Non-proportional</v>
          </cell>
          <cell r="S6703">
            <v>13.75</v>
          </cell>
          <cell r="X6703" t="str">
            <v>Commissions - gross</v>
          </cell>
          <cell r="Y6703" t="str">
            <v>JAPAN</v>
          </cell>
        </row>
        <row r="6704">
          <cell r="L6704" t="str">
            <v>Non-proportional</v>
          </cell>
          <cell r="S6704">
            <v>784.61</v>
          </cell>
          <cell r="X6704" t="str">
            <v>Commissions - gross</v>
          </cell>
          <cell r="Y6704" t="str">
            <v>UNITED KINGDOM</v>
          </cell>
        </row>
        <row r="6705">
          <cell r="L6705" t="str">
            <v>Non-proportional</v>
          </cell>
          <cell r="S6705">
            <v>2256.5100000000002</v>
          </cell>
          <cell r="X6705" t="str">
            <v>Commissions - gross</v>
          </cell>
          <cell r="Y6705" t="str">
            <v>UNITED KINGDOM</v>
          </cell>
        </row>
        <row r="6706">
          <cell r="L6706" t="str">
            <v>Non-proportional</v>
          </cell>
          <cell r="S6706">
            <v>175.31</v>
          </cell>
          <cell r="X6706" t="str">
            <v>Commissions - gross</v>
          </cell>
          <cell r="Y6706" t="str">
            <v>ROMANIA</v>
          </cell>
        </row>
        <row r="6707">
          <cell r="L6707" t="str">
            <v>Non-proportional</v>
          </cell>
          <cell r="S6707">
            <v>2189.46</v>
          </cell>
          <cell r="X6707" t="str">
            <v>Commissions - gross</v>
          </cell>
          <cell r="Y6707" t="str">
            <v>UNITED KINGDOM</v>
          </cell>
        </row>
        <row r="6708">
          <cell r="L6708" t="str">
            <v>Non-proportional</v>
          </cell>
          <cell r="S6708">
            <v>475.13</v>
          </cell>
          <cell r="X6708" t="str">
            <v>Commissions - gross</v>
          </cell>
          <cell r="Y6708" t="str">
            <v>FRANCE</v>
          </cell>
        </row>
        <row r="6709">
          <cell r="L6709" t="str">
            <v>Non-proportional</v>
          </cell>
          <cell r="S6709">
            <v>-9.67</v>
          </cell>
          <cell r="X6709" t="str">
            <v>Commissions - gross</v>
          </cell>
          <cell r="Y6709" t="str">
            <v>JAPAN</v>
          </cell>
        </row>
        <row r="6710">
          <cell r="L6710" t="str">
            <v>Non-proportional</v>
          </cell>
          <cell r="S6710">
            <v>665.89</v>
          </cell>
          <cell r="X6710" t="str">
            <v>Commissions - gross</v>
          </cell>
          <cell r="Y6710" t="str">
            <v>CYPRUS</v>
          </cell>
        </row>
        <row r="6711">
          <cell r="L6711" t="str">
            <v>Non-proportional</v>
          </cell>
          <cell r="S6711">
            <v>2.52</v>
          </cell>
          <cell r="X6711" t="str">
            <v>Commissions - gross</v>
          </cell>
          <cell r="Y6711" t="str">
            <v>INDIA</v>
          </cell>
        </row>
        <row r="6712">
          <cell r="L6712" t="str">
            <v>Non-proportional</v>
          </cell>
          <cell r="S6712">
            <v>5752.14</v>
          </cell>
          <cell r="X6712" t="str">
            <v>Commissions - gross</v>
          </cell>
          <cell r="Y6712" t="str">
            <v>UNITED KINGDOM</v>
          </cell>
        </row>
        <row r="6713">
          <cell r="L6713" t="str">
            <v>Non-proportional</v>
          </cell>
          <cell r="S6713">
            <v>375.6</v>
          </cell>
          <cell r="X6713" t="str">
            <v>Commissions - gross</v>
          </cell>
          <cell r="Y6713" t="str">
            <v>JAPAN</v>
          </cell>
        </row>
        <row r="6714">
          <cell r="L6714" t="str">
            <v>Proportional</v>
          </cell>
          <cell r="S6714">
            <v>3.95</v>
          </cell>
          <cell r="X6714" t="str">
            <v>Commissions - gross</v>
          </cell>
          <cell r="Y6714" t="str">
            <v>UNITED STATES</v>
          </cell>
        </row>
        <row r="6715">
          <cell r="L6715" t="str">
            <v>Non-proportional</v>
          </cell>
          <cell r="S6715">
            <v>643.47</v>
          </cell>
          <cell r="X6715" t="str">
            <v>Commissions - gross</v>
          </cell>
          <cell r="Y6715" t="str">
            <v>THAILAND</v>
          </cell>
        </row>
        <row r="6716">
          <cell r="L6716" t="str">
            <v>Non-proportional</v>
          </cell>
          <cell r="S6716">
            <v>2704.87</v>
          </cell>
          <cell r="X6716" t="str">
            <v>Commissions - gross</v>
          </cell>
          <cell r="Y6716" t="str">
            <v>UNITED KINGDOM</v>
          </cell>
        </row>
        <row r="6717">
          <cell r="L6717" t="str">
            <v>Non-proportional</v>
          </cell>
          <cell r="S6717">
            <v>497.15</v>
          </cell>
          <cell r="X6717" t="str">
            <v>Commissions - gross</v>
          </cell>
          <cell r="Y6717" t="str">
            <v>EUROPE</v>
          </cell>
        </row>
        <row r="6718">
          <cell r="L6718" t="str">
            <v>Non-proportional</v>
          </cell>
          <cell r="S6718">
            <v>875</v>
          </cell>
          <cell r="X6718" t="str">
            <v>Commissions - gross</v>
          </cell>
          <cell r="Y6718" t="str">
            <v>EUROPE</v>
          </cell>
        </row>
        <row r="6719">
          <cell r="L6719" t="str">
            <v>Non-proportional</v>
          </cell>
          <cell r="S6719">
            <v>823.83</v>
          </cell>
          <cell r="X6719" t="str">
            <v>Commissions - gross</v>
          </cell>
          <cell r="Y6719" t="str">
            <v>ITALY</v>
          </cell>
        </row>
        <row r="6720">
          <cell r="L6720" t="str">
            <v>Non-proportional</v>
          </cell>
          <cell r="S6720">
            <v>190.61</v>
          </cell>
          <cell r="X6720" t="str">
            <v>Commissions - gross</v>
          </cell>
          <cell r="Y6720" t="str">
            <v>UNITED KINGDOM</v>
          </cell>
        </row>
        <row r="6721">
          <cell r="L6721" t="str">
            <v>Non-proportional</v>
          </cell>
          <cell r="S6721">
            <v>364.54</v>
          </cell>
          <cell r="X6721" t="str">
            <v>Commissions - gross</v>
          </cell>
          <cell r="Y6721" t="str">
            <v>ISRAEL</v>
          </cell>
        </row>
        <row r="6722">
          <cell r="L6722" t="str">
            <v>Non-proportional</v>
          </cell>
          <cell r="S6722">
            <v>652.19000000000005</v>
          </cell>
          <cell r="X6722" t="str">
            <v>Commissions - gross</v>
          </cell>
          <cell r="Y6722" t="str">
            <v>ECUADOR</v>
          </cell>
        </row>
        <row r="6723">
          <cell r="L6723" t="str">
            <v>Non-proportional</v>
          </cell>
          <cell r="S6723">
            <v>965.94</v>
          </cell>
          <cell r="X6723" t="str">
            <v>Commissions - gross</v>
          </cell>
          <cell r="Y6723" t="str">
            <v>UNITED KINGDOM</v>
          </cell>
        </row>
        <row r="6724">
          <cell r="L6724" t="str">
            <v>Non-proportional</v>
          </cell>
          <cell r="S6724">
            <v>176.76</v>
          </cell>
          <cell r="X6724" t="str">
            <v>Commissions - gross</v>
          </cell>
          <cell r="Y6724" t="str">
            <v>INDIA</v>
          </cell>
        </row>
        <row r="6725">
          <cell r="L6725" t="str">
            <v>Non-proportional</v>
          </cell>
          <cell r="S6725">
            <v>3131.61</v>
          </cell>
          <cell r="X6725" t="str">
            <v>Commissions - gross</v>
          </cell>
          <cell r="Y6725" t="str">
            <v>FRANCE</v>
          </cell>
        </row>
        <row r="6726">
          <cell r="L6726" t="str">
            <v>Non-proportional</v>
          </cell>
          <cell r="S6726">
            <v>295.87</v>
          </cell>
          <cell r="X6726" t="str">
            <v>Commissions - gross</v>
          </cell>
          <cell r="Y6726" t="str">
            <v>UNITED KINGDOM</v>
          </cell>
        </row>
        <row r="6727">
          <cell r="L6727" t="str">
            <v>Proportional</v>
          </cell>
          <cell r="S6727">
            <v>424.7</v>
          </cell>
          <cell r="X6727" t="str">
            <v>Commissions - gross</v>
          </cell>
          <cell r="Y6727" t="str">
            <v>SWITZERLAND</v>
          </cell>
        </row>
        <row r="6728">
          <cell r="L6728" t="str">
            <v>Non-proportional</v>
          </cell>
          <cell r="S6728">
            <v>409.5</v>
          </cell>
          <cell r="X6728" t="str">
            <v>Commissions - gross</v>
          </cell>
          <cell r="Y6728" t="str">
            <v>FRANCE</v>
          </cell>
        </row>
        <row r="6729">
          <cell r="L6729" t="str">
            <v>Non-proportional</v>
          </cell>
          <cell r="S6729">
            <v>621.03</v>
          </cell>
          <cell r="X6729" t="str">
            <v>Commissions - gross</v>
          </cell>
          <cell r="Y6729" t="str">
            <v>ISRAEL</v>
          </cell>
        </row>
        <row r="6730">
          <cell r="L6730" t="str">
            <v>Non-proportional</v>
          </cell>
          <cell r="S6730">
            <v>-0.94</v>
          </cell>
          <cell r="X6730" t="str">
            <v>Commissions - gross</v>
          </cell>
          <cell r="Y6730" t="str">
            <v>JAPAN</v>
          </cell>
        </row>
        <row r="6731">
          <cell r="L6731" t="str">
            <v>Non-proportional</v>
          </cell>
          <cell r="S6731">
            <v>1.86</v>
          </cell>
          <cell r="X6731" t="str">
            <v>Commissions - gross</v>
          </cell>
          <cell r="Y6731" t="str">
            <v>ISRAEL</v>
          </cell>
        </row>
        <row r="6732">
          <cell r="L6732" t="str">
            <v>Non-proportional</v>
          </cell>
          <cell r="S6732">
            <v>518.05999999999995</v>
          </cell>
          <cell r="X6732" t="str">
            <v>Commissions - gross</v>
          </cell>
          <cell r="Y6732" t="str">
            <v>ISRAEL</v>
          </cell>
        </row>
        <row r="6733">
          <cell r="L6733" t="str">
            <v>Non-proportional</v>
          </cell>
          <cell r="S6733">
            <v>194.5</v>
          </cell>
          <cell r="X6733" t="str">
            <v>Commissions - gross</v>
          </cell>
          <cell r="Y6733" t="str">
            <v>PERU</v>
          </cell>
        </row>
        <row r="6734">
          <cell r="L6734" t="str">
            <v>Non-proportional</v>
          </cell>
          <cell r="S6734">
            <v>133.43</v>
          </cell>
          <cell r="X6734" t="str">
            <v>Commissions - gross</v>
          </cell>
          <cell r="Y6734" t="str">
            <v>PERU</v>
          </cell>
        </row>
        <row r="6735">
          <cell r="L6735" t="str">
            <v>Non-proportional</v>
          </cell>
          <cell r="S6735">
            <v>-25.46</v>
          </cell>
          <cell r="X6735" t="str">
            <v>Commissions - gross</v>
          </cell>
          <cell r="Y6735" t="str">
            <v>JAPAN</v>
          </cell>
        </row>
        <row r="6736">
          <cell r="L6736" t="str">
            <v>Non-proportional</v>
          </cell>
          <cell r="S6736">
            <v>0</v>
          </cell>
          <cell r="X6736" t="str">
            <v>Commissions - gross</v>
          </cell>
          <cell r="Y6736" t="str">
            <v>DOMINICAN REPUBLIC</v>
          </cell>
        </row>
        <row r="6737">
          <cell r="L6737" t="str">
            <v>Non-proportional</v>
          </cell>
          <cell r="S6737">
            <v>660.31</v>
          </cell>
          <cell r="X6737" t="str">
            <v>Commissions - gross</v>
          </cell>
          <cell r="Y6737" t="str">
            <v>UNITED KINGDOM</v>
          </cell>
        </row>
        <row r="6738">
          <cell r="L6738" t="str">
            <v>Non-proportional</v>
          </cell>
          <cell r="S6738">
            <v>324.93</v>
          </cell>
          <cell r="X6738" t="str">
            <v>Commissions - gross</v>
          </cell>
          <cell r="Y6738" t="str">
            <v>UNITED KINGDOM</v>
          </cell>
        </row>
        <row r="6739">
          <cell r="L6739" t="str">
            <v>Non-proportional</v>
          </cell>
          <cell r="S6739">
            <v>220.98</v>
          </cell>
          <cell r="X6739" t="str">
            <v>Commissions - gross</v>
          </cell>
          <cell r="Y6739" t="str">
            <v>GUATEMALA</v>
          </cell>
        </row>
        <row r="6740">
          <cell r="L6740" t="str">
            <v>Non-proportional</v>
          </cell>
          <cell r="S6740">
            <v>355.51</v>
          </cell>
          <cell r="X6740" t="str">
            <v>Commissions - gross</v>
          </cell>
          <cell r="Y6740" t="str">
            <v>BRAZIL</v>
          </cell>
        </row>
        <row r="6741">
          <cell r="L6741" t="str">
            <v>Non-proportional</v>
          </cell>
          <cell r="S6741">
            <v>212.2</v>
          </cell>
          <cell r="X6741" t="str">
            <v>Commissions - gross</v>
          </cell>
          <cell r="Y6741" t="str">
            <v>AUSTRALIA</v>
          </cell>
        </row>
        <row r="6742">
          <cell r="L6742" t="str">
            <v>Non-proportional</v>
          </cell>
          <cell r="S6742">
            <v>1307.3399999999999</v>
          </cell>
          <cell r="X6742" t="str">
            <v>Commissions - gross</v>
          </cell>
          <cell r="Y6742" t="str">
            <v>COSTA RICA</v>
          </cell>
        </row>
        <row r="6743">
          <cell r="L6743" t="str">
            <v>Non-proportional</v>
          </cell>
          <cell r="S6743">
            <v>597.16</v>
          </cell>
          <cell r="X6743" t="str">
            <v>Commissions - gross</v>
          </cell>
          <cell r="Y6743" t="str">
            <v>SINGAPORE</v>
          </cell>
        </row>
        <row r="6744">
          <cell r="L6744" t="str">
            <v>Non-proportional</v>
          </cell>
          <cell r="S6744">
            <v>877.51</v>
          </cell>
          <cell r="X6744" t="str">
            <v>Commissions - gross</v>
          </cell>
          <cell r="Y6744" t="str">
            <v>FRANCE</v>
          </cell>
        </row>
        <row r="6745">
          <cell r="L6745" t="str">
            <v>Non-proportional</v>
          </cell>
          <cell r="S6745">
            <v>6.07</v>
          </cell>
          <cell r="X6745" t="str">
            <v>Commissions - gross</v>
          </cell>
          <cell r="Y6745" t="str">
            <v>INDIA</v>
          </cell>
        </row>
        <row r="6746">
          <cell r="L6746" t="str">
            <v>Non-proportional</v>
          </cell>
          <cell r="S6746">
            <v>474.65</v>
          </cell>
          <cell r="X6746" t="str">
            <v>Commissions - gross</v>
          </cell>
          <cell r="Y6746" t="str">
            <v>UNITED KINGDOM</v>
          </cell>
        </row>
        <row r="6747">
          <cell r="L6747" t="str">
            <v>Non-proportional</v>
          </cell>
          <cell r="S6747">
            <v>206.39</v>
          </cell>
          <cell r="X6747" t="str">
            <v>Commissions - gross</v>
          </cell>
          <cell r="Y6747" t="str">
            <v>JAPAN</v>
          </cell>
        </row>
        <row r="6748">
          <cell r="L6748" t="str">
            <v>Non-proportional</v>
          </cell>
          <cell r="S6748">
            <v>406.14</v>
          </cell>
          <cell r="X6748" t="str">
            <v>Commissions - gross</v>
          </cell>
          <cell r="Y6748" t="str">
            <v>FRANCE</v>
          </cell>
        </row>
        <row r="6749">
          <cell r="L6749" t="str">
            <v>Non-proportional</v>
          </cell>
          <cell r="S6749">
            <v>174.97</v>
          </cell>
          <cell r="X6749" t="str">
            <v>Commissions - gross</v>
          </cell>
          <cell r="Y6749" t="str">
            <v>NETHERLANDS</v>
          </cell>
        </row>
        <row r="6750">
          <cell r="L6750" t="str">
            <v>Non-proportional</v>
          </cell>
          <cell r="S6750">
            <v>360.9</v>
          </cell>
          <cell r="X6750" t="str">
            <v>Commissions - gross</v>
          </cell>
          <cell r="Y6750" t="str">
            <v>AUSTRALIA</v>
          </cell>
        </row>
        <row r="6751">
          <cell r="L6751" t="str">
            <v>Non-proportional</v>
          </cell>
          <cell r="S6751">
            <v>118.24</v>
          </cell>
          <cell r="X6751" t="str">
            <v>Commissions - gross</v>
          </cell>
          <cell r="Y6751" t="str">
            <v>COSTA RICA</v>
          </cell>
        </row>
        <row r="6752">
          <cell r="L6752" t="str">
            <v>Non-proportional</v>
          </cell>
          <cell r="S6752">
            <v>232.09</v>
          </cell>
          <cell r="X6752" t="str">
            <v>Commissions - gross</v>
          </cell>
          <cell r="Y6752" t="str">
            <v>CHILE</v>
          </cell>
        </row>
        <row r="6753">
          <cell r="L6753" t="str">
            <v>Non-proportional</v>
          </cell>
          <cell r="S6753">
            <v>4686.47</v>
          </cell>
          <cell r="X6753" t="str">
            <v>Commissions - gross</v>
          </cell>
          <cell r="Y6753" t="str">
            <v>FRANCE</v>
          </cell>
        </row>
        <row r="6754">
          <cell r="L6754" t="str">
            <v>Non-proportional</v>
          </cell>
          <cell r="S6754">
            <v>3.62</v>
          </cell>
          <cell r="X6754" t="str">
            <v>Commissions - gross</v>
          </cell>
          <cell r="Y6754" t="str">
            <v>ISRAEL</v>
          </cell>
        </row>
        <row r="6755">
          <cell r="L6755" t="str">
            <v>Non-proportional</v>
          </cell>
          <cell r="S6755">
            <v>42.61</v>
          </cell>
          <cell r="X6755" t="str">
            <v>Commissions - gross</v>
          </cell>
          <cell r="Y6755" t="str">
            <v>COLOMBIA</v>
          </cell>
        </row>
        <row r="6756">
          <cell r="L6756" t="str">
            <v>Non-proportional</v>
          </cell>
          <cell r="S6756">
            <v>243.27</v>
          </cell>
          <cell r="X6756" t="str">
            <v>Commissions - gross</v>
          </cell>
          <cell r="Y6756" t="str">
            <v>JAPAN</v>
          </cell>
        </row>
        <row r="6757">
          <cell r="L6757" t="str">
            <v>Non-proportional</v>
          </cell>
          <cell r="S6757">
            <v>130.38</v>
          </cell>
          <cell r="X6757" t="str">
            <v>Commissions - gross</v>
          </cell>
          <cell r="Y6757" t="str">
            <v>CYPRUS</v>
          </cell>
        </row>
        <row r="6758">
          <cell r="L6758" t="str">
            <v>Non-proportional</v>
          </cell>
          <cell r="S6758">
            <v>324.22000000000003</v>
          </cell>
          <cell r="X6758" t="str">
            <v>Commissions - gross</v>
          </cell>
          <cell r="Y6758" t="str">
            <v>UNITED KINGDOM</v>
          </cell>
        </row>
        <row r="6759">
          <cell r="L6759" t="str">
            <v>Non-proportional</v>
          </cell>
          <cell r="S6759">
            <v>301.95</v>
          </cell>
          <cell r="X6759" t="str">
            <v>Commissions - gross</v>
          </cell>
          <cell r="Y6759" t="str">
            <v>THAILAND</v>
          </cell>
        </row>
        <row r="6760">
          <cell r="L6760" t="str">
            <v>Non-proportional</v>
          </cell>
          <cell r="S6760">
            <v>294.23</v>
          </cell>
          <cell r="X6760" t="str">
            <v>Commissions - gross</v>
          </cell>
          <cell r="Y6760" t="str">
            <v>UNITED KINGDOM</v>
          </cell>
        </row>
        <row r="6761">
          <cell r="L6761" t="str">
            <v>Non-proportional</v>
          </cell>
          <cell r="S6761">
            <v>39212.81</v>
          </cell>
          <cell r="X6761" t="str">
            <v>Commissions - gross</v>
          </cell>
          <cell r="Y6761" t="str">
            <v>UNITED KINGDOM</v>
          </cell>
        </row>
        <row r="6762">
          <cell r="L6762" t="str">
            <v>Non-proportional</v>
          </cell>
          <cell r="S6762">
            <v>24.47</v>
          </cell>
          <cell r="X6762" t="str">
            <v>Commissions - gross</v>
          </cell>
          <cell r="Y6762" t="str">
            <v>JAPAN</v>
          </cell>
        </row>
        <row r="6763">
          <cell r="L6763" t="str">
            <v>Non-proportional</v>
          </cell>
          <cell r="S6763">
            <v>884.39</v>
          </cell>
          <cell r="X6763" t="str">
            <v>Commissions - gross</v>
          </cell>
          <cell r="Y6763" t="str">
            <v>TURKEY</v>
          </cell>
        </row>
        <row r="6764">
          <cell r="L6764" t="str">
            <v>Non-proportional</v>
          </cell>
          <cell r="S6764">
            <v>345.37</v>
          </cell>
          <cell r="X6764" t="str">
            <v>Commissions - gross</v>
          </cell>
          <cell r="Y6764" t="str">
            <v>ISRAEL</v>
          </cell>
        </row>
        <row r="6765">
          <cell r="L6765" t="str">
            <v>Non-proportional</v>
          </cell>
          <cell r="S6765">
            <v>112.73</v>
          </cell>
          <cell r="X6765" t="str">
            <v>Commissions - gross</v>
          </cell>
          <cell r="Y6765" t="str">
            <v>PERU</v>
          </cell>
        </row>
        <row r="6766">
          <cell r="L6766" t="str">
            <v>Non-proportional</v>
          </cell>
          <cell r="S6766">
            <v>-38.68</v>
          </cell>
          <cell r="X6766" t="str">
            <v>Commissions - gross</v>
          </cell>
          <cell r="Y6766" t="str">
            <v>CHILE</v>
          </cell>
        </row>
        <row r="6767">
          <cell r="L6767" t="str">
            <v>Non-proportional</v>
          </cell>
          <cell r="S6767">
            <v>324.91000000000003</v>
          </cell>
          <cell r="X6767" t="str">
            <v>Commissions - gross</v>
          </cell>
          <cell r="Y6767" t="str">
            <v>FRANCE</v>
          </cell>
        </row>
        <row r="6768">
          <cell r="L6768" t="str">
            <v>Non-proportional</v>
          </cell>
          <cell r="S6768">
            <v>5.69</v>
          </cell>
          <cell r="X6768" t="str">
            <v>Commissions - gross</v>
          </cell>
          <cell r="Y6768" t="str">
            <v>JAPAN</v>
          </cell>
        </row>
        <row r="6769">
          <cell r="L6769" t="str">
            <v>Non-proportional</v>
          </cell>
          <cell r="S6769">
            <v>423.85</v>
          </cell>
          <cell r="X6769" t="str">
            <v>Commissions - gross</v>
          </cell>
          <cell r="Y6769" t="str">
            <v>FRANCE</v>
          </cell>
        </row>
        <row r="6770">
          <cell r="L6770" t="str">
            <v>Non-proportional</v>
          </cell>
          <cell r="S6770">
            <v>515.19000000000005</v>
          </cell>
          <cell r="X6770" t="str">
            <v>Commissions - gross</v>
          </cell>
          <cell r="Y6770" t="str">
            <v>ITALY</v>
          </cell>
        </row>
        <row r="6771">
          <cell r="L6771" t="str">
            <v>Non-proportional</v>
          </cell>
          <cell r="S6771">
            <v>503.15</v>
          </cell>
          <cell r="X6771" t="str">
            <v>Commissions - gross</v>
          </cell>
          <cell r="Y6771" t="str">
            <v>UNITED KINGDOM</v>
          </cell>
        </row>
        <row r="6772">
          <cell r="L6772" t="str">
            <v>Non-proportional</v>
          </cell>
          <cell r="S6772">
            <v>79.61</v>
          </cell>
          <cell r="X6772" t="str">
            <v>Commissions - gross</v>
          </cell>
          <cell r="Y6772" t="str">
            <v>BRAZIL</v>
          </cell>
        </row>
        <row r="6773">
          <cell r="L6773" t="str">
            <v>Non-proportional</v>
          </cell>
          <cell r="S6773">
            <v>-7.17</v>
          </cell>
          <cell r="X6773" t="str">
            <v>Commissions - gross</v>
          </cell>
          <cell r="Y6773" t="str">
            <v>COLOMBIA</v>
          </cell>
        </row>
        <row r="6774">
          <cell r="L6774" t="str">
            <v>Non-proportional</v>
          </cell>
          <cell r="S6774">
            <v>-549.85</v>
          </cell>
          <cell r="X6774" t="str">
            <v>Commissions - gross</v>
          </cell>
          <cell r="Y6774" t="str">
            <v>COLOMBIA</v>
          </cell>
        </row>
        <row r="6775">
          <cell r="L6775" t="str">
            <v>Non-proportional</v>
          </cell>
          <cell r="S6775">
            <v>3.65</v>
          </cell>
          <cell r="X6775" t="str">
            <v>Commissions - gross</v>
          </cell>
          <cell r="Y6775" t="str">
            <v>BRAZIL</v>
          </cell>
        </row>
        <row r="6776">
          <cell r="L6776" t="str">
            <v>Non-proportional</v>
          </cell>
          <cell r="S6776">
            <v>338.18</v>
          </cell>
          <cell r="X6776" t="str">
            <v>Commissions - gross</v>
          </cell>
          <cell r="Y6776" t="str">
            <v>ITALY</v>
          </cell>
        </row>
        <row r="6777">
          <cell r="L6777" t="str">
            <v>Proportional</v>
          </cell>
          <cell r="S6777">
            <v>129.32</v>
          </cell>
          <cell r="X6777" t="str">
            <v>Commissions - gross</v>
          </cell>
          <cell r="Y6777" t="str">
            <v>ITALY</v>
          </cell>
        </row>
        <row r="6778">
          <cell r="L6778" t="str">
            <v>Non-proportional</v>
          </cell>
          <cell r="S6778">
            <v>276.16000000000003</v>
          </cell>
          <cell r="X6778" t="str">
            <v>Commissions - gross</v>
          </cell>
          <cell r="Y6778" t="str">
            <v>ISRAEL</v>
          </cell>
        </row>
        <row r="6779">
          <cell r="L6779" t="str">
            <v>Non-proportional</v>
          </cell>
          <cell r="S6779">
            <v>6.18</v>
          </cell>
          <cell r="X6779" t="str">
            <v>Commissions - gross</v>
          </cell>
          <cell r="Y6779" t="str">
            <v>ISRAEL</v>
          </cell>
        </row>
        <row r="6780">
          <cell r="L6780" t="str">
            <v>Non-proportional</v>
          </cell>
          <cell r="S6780">
            <v>1353.84</v>
          </cell>
          <cell r="X6780" t="str">
            <v>Commissions - gross</v>
          </cell>
          <cell r="Y6780" t="str">
            <v>CHILE</v>
          </cell>
        </row>
        <row r="6781">
          <cell r="L6781" t="str">
            <v>Non-proportional</v>
          </cell>
          <cell r="S6781">
            <v>1200.1300000000001</v>
          </cell>
          <cell r="X6781" t="str">
            <v>Commissions - gross</v>
          </cell>
          <cell r="Y6781" t="str">
            <v>ITALY</v>
          </cell>
        </row>
        <row r="6782">
          <cell r="L6782" t="str">
            <v>Non-proportional</v>
          </cell>
          <cell r="S6782">
            <v>2.0499999999999998</v>
          </cell>
          <cell r="X6782" t="str">
            <v>Commissions - gross</v>
          </cell>
          <cell r="Y6782" t="str">
            <v>JAPAN</v>
          </cell>
        </row>
        <row r="6783">
          <cell r="L6783" t="str">
            <v>Proportional</v>
          </cell>
          <cell r="S6783">
            <v>14084.64</v>
          </cell>
          <cell r="X6783" t="str">
            <v>Commissions - gross</v>
          </cell>
          <cell r="Y6783" t="str">
            <v>UNITED STATES</v>
          </cell>
        </row>
        <row r="6784">
          <cell r="L6784" t="str">
            <v>Non-proportional</v>
          </cell>
          <cell r="S6784">
            <v>14467.45</v>
          </cell>
          <cell r="X6784" t="str">
            <v>Commissions - gross</v>
          </cell>
          <cell r="Y6784" t="str">
            <v>UNITED KINGDOM</v>
          </cell>
        </row>
        <row r="6785">
          <cell r="L6785" t="str">
            <v>Non-proportional</v>
          </cell>
          <cell r="S6785">
            <v>221.18</v>
          </cell>
          <cell r="X6785" t="str">
            <v>Commissions - gross</v>
          </cell>
          <cell r="Y6785" t="str">
            <v>JAPAN</v>
          </cell>
        </row>
        <row r="6786">
          <cell r="L6786" t="str">
            <v>Non-proportional</v>
          </cell>
          <cell r="S6786">
            <v>-19.91</v>
          </cell>
          <cell r="X6786" t="str">
            <v>Commissions - gross</v>
          </cell>
          <cell r="Y6786" t="str">
            <v>JAPAN</v>
          </cell>
        </row>
        <row r="6787">
          <cell r="L6787" t="str">
            <v>Non-proportional</v>
          </cell>
          <cell r="S6787">
            <v>454.19</v>
          </cell>
          <cell r="X6787" t="str">
            <v>Commissions - gross</v>
          </cell>
          <cell r="Y6787" t="str">
            <v>TURKEY</v>
          </cell>
        </row>
        <row r="6788">
          <cell r="L6788" t="str">
            <v>Non-proportional</v>
          </cell>
          <cell r="S6788">
            <v>126.87</v>
          </cell>
          <cell r="X6788" t="str">
            <v>Commissions - gross</v>
          </cell>
          <cell r="Y6788" t="str">
            <v>PERU</v>
          </cell>
        </row>
        <row r="6789">
          <cell r="L6789" t="str">
            <v>Non-proportional</v>
          </cell>
          <cell r="S6789">
            <v>202.99</v>
          </cell>
          <cell r="X6789" t="str">
            <v>Commissions - gross</v>
          </cell>
          <cell r="Y6789" t="str">
            <v>CYPRUS</v>
          </cell>
        </row>
        <row r="6790">
          <cell r="L6790" t="str">
            <v>Non-proportional</v>
          </cell>
          <cell r="S6790">
            <v>925.13</v>
          </cell>
          <cell r="X6790" t="str">
            <v>Commissions - gross</v>
          </cell>
          <cell r="Y6790" t="str">
            <v>ITALY</v>
          </cell>
        </row>
        <row r="6791">
          <cell r="L6791" t="str">
            <v>Non-proportional</v>
          </cell>
          <cell r="S6791">
            <v>92.06</v>
          </cell>
          <cell r="X6791" t="str">
            <v>Commissions - gross</v>
          </cell>
          <cell r="Y6791" t="str">
            <v>UNITED KINGDOM</v>
          </cell>
        </row>
        <row r="6792">
          <cell r="L6792" t="str">
            <v>Non-proportional</v>
          </cell>
          <cell r="S6792">
            <v>4484.1400000000003</v>
          </cell>
          <cell r="X6792" t="str">
            <v>Commissions - gross</v>
          </cell>
          <cell r="Y6792" t="str">
            <v>UNITED KINGDOM</v>
          </cell>
        </row>
        <row r="6793">
          <cell r="L6793" t="str">
            <v>Non-proportional</v>
          </cell>
          <cell r="S6793">
            <v>25.75</v>
          </cell>
          <cell r="X6793" t="str">
            <v>Commissions - gross</v>
          </cell>
          <cell r="Y6793" t="str">
            <v>COLOMBIA</v>
          </cell>
        </row>
        <row r="6794">
          <cell r="L6794" t="str">
            <v>Non-proportional</v>
          </cell>
          <cell r="S6794">
            <v>812.31</v>
          </cell>
          <cell r="X6794" t="str">
            <v>Commissions - gross</v>
          </cell>
          <cell r="Y6794" t="str">
            <v>CHILE</v>
          </cell>
        </row>
        <row r="6795">
          <cell r="L6795" t="str">
            <v>Non-proportional</v>
          </cell>
          <cell r="S6795">
            <v>335.02</v>
          </cell>
          <cell r="X6795" t="str">
            <v>Commissions - gross</v>
          </cell>
          <cell r="Y6795" t="str">
            <v>ECUADOR</v>
          </cell>
        </row>
        <row r="6796">
          <cell r="L6796" t="str">
            <v>Non-proportional</v>
          </cell>
          <cell r="S6796">
            <v>-13.59</v>
          </cell>
          <cell r="X6796" t="str">
            <v>Commissions - gross</v>
          </cell>
          <cell r="Y6796" t="str">
            <v>NEW ZEALAND</v>
          </cell>
        </row>
        <row r="6797">
          <cell r="L6797" t="str">
            <v>Non-proportional</v>
          </cell>
          <cell r="S6797">
            <v>790.19</v>
          </cell>
          <cell r="X6797" t="str">
            <v>Commissions - gross</v>
          </cell>
          <cell r="Y6797" t="str">
            <v>UNITED KINGDOM</v>
          </cell>
        </row>
        <row r="6798">
          <cell r="L6798" t="str">
            <v>Non-proportional</v>
          </cell>
          <cell r="S6798">
            <v>1732.36</v>
          </cell>
          <cell r="X6798" t="str">
            <v>Commissions - gross</v>
          </cell>
          <cell r="Y6798" t="str">
            <v>AUSTRALIA</v>
          </cell>
        </row>
        <row r="6799">
          <cell r="L6799" t="str">
            <v>Non-proportional</v>
          </cell>
          <cell r="S6799">
            <v>293.70999999999998</v>
          </cell>
          <cell r="X6799" t="str">
            <v>Commissions - gross</v>
          </cell>
          <cell r="Y6799" t="str">
            <v>NETHERLANDS</v>
          </cell>
        </row>
        <row r="6800">
          <cell r="L6800" t="str">
            <v>Non-proportional</v>
          </cell>
          <cell r="S6800">
            <v>77.36</v>
          </cell>
          <cell r="X6800" t="str">
            <v>Commissions - gross</v>
          </cell>
          <cell r="Y6800" t="str">
            <v>CHILE</v>
          </cell>
        </row>
        <row r="6801">
          <cell r="L6801" t="str">
            <v>Non-proportional</v>
          </cell>
          <cell r="S6801">
            <v>2.64</v>
          </cell>
          <cell r="X6801" t="str">
            <v>Commissions - gross</v>
          </cell>
          <cell r="Y6801" t="str">
            <v>JAPAN</v>
          </cell>
        </row>
        <row r="6802">
          <cell r="L6802" t="str">
            <v>Non-proportional</v>
          </cell>
          <cell r="S6802">
            <v>133.03</v>
          </cell>
          <cell r="X6802" t="str">
            <v>Commissions - gross</v>
          </cell>
          <cell r="Y6802" t="str">
            <v>FRANCE</v>
          </cell>
        </row>
        <row r="6803">
          <cell r="L6803" t="str">
            <v>Non-proportional</v>
          </cell>
          <cell r="S6803">
            <v>84.38</v>
          </cell>
          <cell r="X6803" t="str">
            <v>Commissions - gross</v>
          </cell>
          <cell r="Y6803" t="str">
            <v>GREECE</v>
          </cell>
        </row>
        <row r="6804">
          <cell r="L6804" t="str">
            <v>Proportional</v>
          </cell>
          <cell r="S6804">
            <v>344.92</v>
          </cell>
          <cell r="X6804" t="str">
            <v>Commissions - gross</v>
          </cell>
          <cell r="Y6804" t="str">
            <v>UNITED ARAB EMIRATES</v>
          </cell>
        </row>
        <row r="6805">
          <cell r="L6805" t="str">
            <v>Non-proportional</v>
          </cell>
          <cell r="S6805">
            <v>145.83000000000001</v>
          </cell>
          <cell r="X6805" t="str">
            <v>Commissions - gross</v>
          </cell>
          <cell r="Y6805" t="str">
            <v>ITALY</v>
          </cell>
        </row>
        <row r="6806">
          <cell r="L6806" t="str">
            <v>Non-proportional</v>
          </cell>
          <cell r="S6806">
            <v>442.55</v>
          </cell>
          <cell r="X6806" t="str">
            <v>Commissions - gross</v>
          </cell>
          <cell r="Y6806" t="str">
            <v>FRANCE</v>
          </cell>
        </row>
        <row r="6807">
          <cell r="L6807" t="str">
            <v>Non-proportional</v>
          </cell>
          <cell r="S6807">
            <v>-3.15</v>
          </cell>
          <cell r="X6807" t="str">
            <v>Commissions - gross</v>
          </cell>
          <cell r="Y6807" t="str">
            <v>NEW ZEALAND</v>
          </cell>
        </row>
        <row r="6808">
          <cell r="L6808" t="str">
            <v>Non-proportional</v>
          </cell>
          <cell r="S6808">
            <v>1580.04</v>
          </cell>
          <cell r="X6808" t="str">
            <v>Commissions - gross</v>
          </cell>
          <cell r="Y6808" t="str">
            <v>AUSTRALIA</v>
          </cell>
        </row>
        <row r="6809">
          <cell r="L6809" t="str">
            <v>Non-proportional</v>
          </cell>
          <cell r="S6809">
            <v>120.22</v>
          </cell>
          <cell r="X6809" t="str">
            <v>Commissions - gross</v>
          </cell>
          <cell r="Y6809" t="str">
            <v>REPUBLIC OF IRELAND</v>
          </cell>
        </row>
        <row r="6810">
          <cell r="L6810" t="str">
            <v>Non-proportional</v>
          </cell>
          <cell r="S6810">
            <v>1090.4100000000001</v>
          </cell>
          <cell r="X6810" t="str">
            <v>Commissions - gross</v>
          </cell>
          <cell r="Y6810" t="str">
            <v>POLAND</v>
          </cell>
        </row>
        <row r="6811">
          <cell r="L6811" t="str">
            <v>Non-proportional</v>
          </cell>
          <cell r="S6811">
            <v>673.43</v>
          </cell>
          <cell r="X6811" t="str">
            <v>Commissions - gross</v>
          </cell>
          <cell r="Y6811" t="str">
            <v>JAPAN</v>
          </cell>
        </row>
        <row r="6812">
          <cell r="L6812" t="str">
            <v>Non-proportional</v>
          </cell>
          <cell r="S6812">
            <v>-15.33</v>
          </cell>
          <cell r="X6812" t="str">
            <v>Commissions - gross</v>
          </cell>
          <cell r="Y6812" t="str">
            <v>JAPAN</v>
          </cell>
        </row>
        <row r="6813">
          <cell r="L6813" t="str">
            <v>Non-proportional</v>
          </cell>
          <cell r="S6813">
            <v>573.29999999999995</v>
          </cell>
          <cell r="X6813" t="str">
            <v>Commissions - gross</v>
          </cell>
          <cell r="Y6813" t="str">
            <v>ECUADOR</v>
          </cell>
        </row>
        <row r="6814">
          <cell r="L6814" t="str">
            <v>Non-proportional</v>
          </cell>
          <cell r="S6814">
            <v>437.08</v>
          </cell>
          <cell r="X6814" t="str">
            <v>Commissions - gross</v>
          </cell>
          <cell r="Y6814" t="str">
            <v>UNITED KINGDOM</v>
          </cell>
        </row>
        <row r="6815">
          <cell r="L6815" t="str">
            <v>Non-proportional</v>
          </cell>
          <cell r="S6815">
            <v>505.11</v>
          </cell>
          <cell r="X6815" t="str">
            <v>Commissions - gross</v>
          </cell>
          <cell r="Y6815" t="str">
            <v>COLOMBIA</v>
          </cell>
        </row>
        <row r="6816">
          <cell r="L6816" t="str">
            <v>Non-proportional</v>
          </cell>
          <cell r="S6816">
            <v>309.45</v>
          </cell>
          <cell r="X6816" t="str">
            <v>Commissions - gross</v>
          </cell>
          <cell r="Y6816" t="str">
            <v>CHILE</v>
          </cell>
        </row>
        <row r="6817">
          <cell r="L6817" t="str">
            <v>Non-proportional</v>
          </cell>
          <cell r="S6817">
            <v>20.57</v>
          </cell>
          <cell r="X6817" t="str">
            <v>Commissions - gross</v>
          </cell>
          <cell r="Y6817" t="str">
            <v>FRANCE</v>
          </cell>
        </row>
        <row r="6818">
          <cell r="L6818" t="str">
            <v>Proportional</v>
          </cell>
          <cell r="S6818">
            <v>26.14</v>
          </cell>
          <cell r="X6818" t="str">
            <v>Commissions - gross</v>
          </cell>
          <cell r="Y6818" t="str">
            <v>ITALY</v>
          </cell>
        </row>
        <row r="6819">
          <cell r="L6819" t="str">
            <v>Non-proportional</v>
          </cell>
          <cell r="S6819">
            <v>301.19</v>
          </cell>
          <cell r="X6819" t="str">
            <v>Commissions - gross</v>
          </cell>
          <cell r="Y6819" t="str">
            <v>DOMINICAN REPUBLIC</v>
          </cell>
        </row>
        <row r="6820">
          <cell r="L6820" t="str">
            <v>Non-proportional</v>
          </cell>
          <cell r="S6820">
            <v>538.13</v>
          </cell>
          <cell r="X6820" t="str">
            <v>Commissions - gross</v>
          </cell>
          <cell r="Y6820" t="str">
            <v>ISRAEL</v>
          </cell>
        </row>
        <row r="6821">
          <cell r="L6821" t="str">
            <v>Non-proportional</v>
          </cell>
          <cell r="S6821">
            <v>1448.39</v>
          </cell>
          <cell r="X6821" t="str">
            <v>Commissions - gross</v>
          </cell>
          <cell r="Y6821" t="str">
            <v>FRANCE</v>
          </cell>
        </row>
        <row r="6822">
          <cell r="L6822" t="str">
            <v>Non-proportional</v>
          </cell>
          <cell r="S6822">
            <v>41444.01</v>
          </cell>
          <cell r="X6822" t="str">
            <v>Commissions - gross</v>
          </cell>
          <cell r="Y6822" t="str">
            <v>UNITED KINGDOM</v>
          </cell>
        </row>
        <row r="6823">
          <cell r="L6823" t="str">
            <v>Non-proportional</v>
          </cell>
          <cell r="S6823">
            <v>762.86</v>
          </cell>
          <cell r="X6823" t="str">
            <v>Commissions - gross</v>
          </cell>
          <cell r="Y6823" t="str">
            <v>PUERTO RICO</v>
          </cell>
        </row>
        <row r="6824">
          <cell r="L6824" t="str">
            <v>Non-proportional</v>
          </cell>
          <cell r="S6824">
            <v>280.52</v>
          </cell>
          <cell r="X6824" t="str">
            <v>Commissions - gross</v>
          </cell>
          <cell r="Y6824" t="str">
            <v>REPUBLIC OF IRELAND</v>
          </cell>
        </row>
        <row r="6825">
          <cell r="L6825" t="str">
            <v>Non-proportional</v>
          </cell>
          <cell r="S6825">
            <v>3494.47</v>
          </cell>
          <cell r="X6825" t="str">
            <v>Commissions - gross</v>
          </cell>
          <cell r="Y6825" t="str">
            <v>UNITED STATES</v>
          </cell>
        </row>
        <row r="6826">
          <cell r="L6826" t="str">
            <v>Non-proportional</v>
          </cell>
          <cell r="S6826">
            <v>36.53</v>
          </cell>
          <cell r="X6826" t="str">
            <v>Commissions - gross</v>
          </cell>
          <cell r="Y6826" t="str">
            <v>CHILE</v>
          </cell>
        </row>
        <row r="6827">
          <cell r="L6827" t="str">
            <v>Non-proportional</v>
          </cell>
          <cell r="S6827">
            <v>4410.42</v>
          </cell>
          <cell r="X6827" t="str">
            <v>Commissions - gross</v>
          </cell>
          <cell r="Y6827" t="str">
            <v>UNITED KINGDOM</v>
          </cell>
        </row>
        <row r="6828">
          <cell r="L6828" t="str">
            <v>Non-proportional</v>
          </cell>
          <cell r="S6828">
            <v>1351.73</v>
          </cell>
          <cell r="X6828" t="str">
            <v>Commissions - gross</v>
          </cell>
          <cell r="Y6828" t="str">
            <v>ECUADOR</v>
          </cell>
        </row>
        <row r="6829">
          <cell r="L6829" t="str">
            <v>Non-proportional</v>
          </cell>
          <cell r="S6829">
            <v>672.67</v>
          </cell>
          <cell r="X6829" t="str">
            <v>Commissions - gross</v>
          </cell>
          <cell r="Y6829" t="str">
            <v>MEXICO</v>
          </cell>
        </row>
        <row r="6830">
          <cell r="L6830" t="str">
            <v>Non-proportional</v>
          </cell>
          <cell r="S6830">
            <v>1205.6099999999999</v>
          </cell>
          <cell r="X6830" t="str">
            <v>Commissions - gross</v>
          </cell>
          <cell r="Y6830" t="str">
            <v>CHILE</v>
          </cell>
        </row>
        <row r="6831">
          <cell r="L6831" t="str">
            <v>Non-proportional</v>
          </cell>
          <cell r="S6831">
            <v>136.83000000000001</v>
          </cell>
          <cell r="X6831" t="str">
            <v>Commissions - gross</v>
          </cell>
          <cell r="Y6831" t="str">
            <v>DOMINICAN REPUBLIC</v>
          </cell>
        </row>
        <row r="6832">
          <cell r="L6832" t="str">
            <v>Non-proportional</v>
          </cell>
          <cell r="S6832">
            <v>13.29</v>
          </cell>
          <cell r="X6832" t="str">
            <v>Commissions - gross</v>
          </cell>
          <cell r="Y6832" t="str">
            <v>ITALY</v>
          </cell>
        </row>
        <row r="6833">
          <cell r="L6833" t="str">
            <v>Non-proportional</v>
          </cell>
          <cell r="S6833">
            <v>489.01</v>
          </cell>
          <cell r="X6833" t="str">
            <v>Commissions - gross</v>
          </cell>
          <cell r="Y6833" t="str">
            <v>FRANCE</v>
          </cell>
        </row>
        <row r="6834">
          <cell r="L6834" t="str">
            <v>Non-proportional</v>
          </cell>
          <cell r="S6834">
            <v>41.77</v>
          </cell>
          <cell r="X6834" t="str">
            <v>Commissions - gross</v>
          </cell>
          <cell r="Y6834" t="str">
            <v>NETHERLANDS</v>
          </cell>
        </row>
        <row r="6835">
          <cell r="L6835" t="str">
            <v>Non-proportional</v>
          </cell>
          <cell r="S6835">
            <v>293.70999999999998</v>
          </cell>
          <cell r="X6835" t="str">
            <v>Commissions - gross</v>
          </cell>
          <cell r="Y6835" t="str">
            <v>NETHERLANDS</v>
          </cell>
        </row>
        <row r="6836">
          <cell r="L6836" t="str">
            <v>Non-proportional</v>
          </cell>
          <cell r="S6836">
            <v>991.57</v>
          </cell>
          <cell r="X6836" t="str">
            <v>Commissions - gross</v>
          </cell>
          <cell r="Y6836" t="str">
            <v>NETHERLANDS</v>
          </cell>
        </row>
        <row r="6837">
          <cell r="L6837" t="str">
            <v>Non-proportional</v>
          </cell>
          <cell r="S6837">
            <v>14.63</v>
          </cell>
          <cell r="X6837" t="str">
            <v>Commissions - gross</v>
          </cell>
          <cell r="Y6837" t="str">
            <v>FRANCE</v>
          </cell>
        </row>
        <row r="6838">
          <cell r="L6838" t="str">
            <v>Non-proportional</v>
          </cell>
          <cell r="S6838">
            <v>2219.12</v>
          </cell>
          <cell r="X6838" t="str">
            <v>Commissions - gross</v>
          </cell>
          <cell r="Y6838" t="str">
            <v>ISRAEL</v>
          </cell>
        </row>
        <row r="6839">
          <cell r="L6839" t="str">
            <v>Non-proportional</v>
          </cell>
          <cell r="S6839">
            <v>119.79</v>
          </cell>
          <cell r="X6839" t="str">
            <v>Commissions - gross</v>
          </cell>
          <cell r="Y6839" t="str">
            <v>GERMANY</v>
          </cell>
        </row>
        <row r="6840">
          <cell r="L6840" t="str">
            <v>Non-proportional</v>
          </cell>
          <cell r="S6840">
            <v>1074.8699999999999</v>
          </cell>
          <cell r="X6840" t="str">
            <v>Commissions - gross</v>
          </cell>
          <cell r="Y6840" t="str">
            <v>ITALY</v>
          </cell>
        </row>
        <row r="6841">
          <cell r="L6841" t="str">
            <v>Non-proportional</v>
          </cell>
          <cell r="S6841">
            <v>642.02</v>
          </cell>
          <cell r="X6841" t="str">
            <v>Commissions - gross</v>
          </cell>
          <cell r="Y6841" t="str">
            <v>JAPAN</v>
          </cell>
        </row>
        <row r="6842">
          <cell r="L6842" t="str">
            <v>Non-proportional</v>
          </cell>
          <cell r="S6842">
            <v>5808.8</v>
          </cell>
          <cell r="X6842" t="str">
            <v>Commissions - gross</v>
          </cell>
          <cell r="Y6842" t="str">
            <v>UNITED KINGDOM</v>
          </cell>
        </row>
        <row r="6843">
          <cell r="L6843" t="str">
            <v>Proportional</v>
          </cell>
          <cell r="S6843">
            <v>924.47</v>
          </cell>
          <cell r="X6843" t="str">
            <v>Commissions - gross</v>
          </cell>
          <cell r="Y6843" t="str">
            <v>SWITZERLAND</v>
          </cell>
        </row>
        <row r="6844">
          <cell r="L6844" t="str">
            <v>Non-proportional</v>
          </cell>
          <cell r="S6844">
            <v>-8.16</v>
          </cell>
          <cell r="X6844" t="str">
            <v>Commissions - gross</v>
          </cell>
          <cell r="Y6844" t="str">
            <v>DOMINICAN REPUBLIC</v>
          </cell>
        </row>
        <row r="6845">
          <cell r="L6845" t="str">
            <v>Non-proportional</v>
          </cell>
          <cell r="S6845">
            <v>209.77</v>
          </cell>
          <cell r="X6845" t="str">
            <v>Commissions - gross</v>
          </cell>
          <cell r="Y6845" t="str">
            <v>UNITED KINGDOM</v>
          </cell>
        </row>
        <row r="6846">
          <cell r="L6846" t="str">
            <v>Non-proportional</v>
          </cell>
          <cell r="S6846">
            <v>369.15</v>
          </cell>
          <cell r="X6846" t="str">
            <v>Commissions - gross</v>
          </cell>
          <cell r="Y6846" t="str">
            <v>THAILAND</v>
          </cell>
        </row>
        <row r="6847">
          <cell r="L6847" t="str">
            <v>Proportional</v>
          </cell>
          <cell r="S6847">
            <v>2.1800000000000002</v>
          </cell>
          <cell r="X6847" t="str">
            <v>Commissions - gross</v>
          </cell>
          <cell r="Y6847" t="str">
            <v>UNITED STATES</v>
          </cell>
        </row>
        <row r="6848">
          <cell r="L6848" t="str">
            <v>Non-proportional</v>
          </cell>
          <cell r="S6848">
            <v>8541.85</v>
          </cell>
          <cell r="X6848" t="str">
            <v>Commissions - gross</v>
          </cell>
          <cell r="Y6848" t="str">
            <v>UNITED KINGDOM</v>
          </cell>
        </row>
        <row r="6849">
          <cell r="L6849" t="str">
            <v>Non-proportional</v>
          </cell>
          <cell r="S6849">
            <v>463.73</v>
          </cell>
          <cell r="X6849" t="str">
            <v>Commissions - gross</v>
          </cell>
          <cell r="Y6849" t="str">
            <v>DOMINICAN REPUBLIC</v>
          </cell>
        </row>
        <row r="6850">
          <cell r="L6850" t="str">
            <v>Non-proportional</v>
          </cell>
          <cell r="S6850">
            <v>657.6</v>
          </cell>
          <cell r="X6850" t="str">
            <v>Commissions - gross</v>
          </cell>
          <cell r="Y6850" t="str">
            <v>CHILE</v>
          </cell>
        </row>
        <row r="6851">
          <cell r="L6851" t="str">
            <v>Non-proportional</v>
          </cell>
          <cell r="S6851">
            <v>113.12</v>
          </cell>
          <cell r="X6851" t="str">
            <v>Commissions - gross</v>
          </cell>
          <cell r="Y6851" t="str">
            <v>CYPRUS</v>
          </cell>
        </row>
        <row r="6852">
          <cell r="L6852" t="str">
            <v>Non-proportional</v>
          </cell>
          <cell r="S6852">
            <v>925.13</v>
          </cell>
          <cell r="X6852" t="str">
            <v>Commissions - gross</v>
          </cell>
          <cell r="Y6852" t="str">
            <v>ITALY</v>
          </cell>
        </row>
        <row r="6853">
          <cell r="L6853" t="str">
            <v>Non-proportional</v>
          </cell>
          <cell r="S6853">
            <v>-3576.96</v>
          </cell>
          <cell r="X6853" t="str">
            <v>Commissions - gross</v>
          </cell>
          <cell r="Y6853" t="str">
            <v>ECUADOR</v>
          </cell>
        </row>
        <row r="6854">
          <cell r="L6854" t="str">
            <v>Non-proportional</v>
          </cell>
          <cell r="S6854">
            <v>61.25</v>
          </cell>
          <cell r="X6854" t="str">
            <v>Commissions - gross</v>
          </cell>
          <cell r="Y6854" t="str">
            <v>GREECE</v>
          </cell>
        </row>
        <row r="6855">
          <cell r="L6855" t="str">
            <v>Non-proportional</v>
          </cell>
          <cell r="S6855">
            <v>206.18</v>
          </cell>
          <cell r="X6855" t="str">
            <v>Commissions - gross</v>
          </cell>
          <cell r="Y6855" t="str">
            <v>AUSTRALIA</v>
          </cell>
        </row>
        <row r="6856">
          <cell r="L6856" t="str">
            <v>Proportional</v>
          </cell>
          <cell r="S6856">
            <v>462.24</v>
          </cell>
          <cell r="X6856" t="str">
            <v>Commissions - gross</v>
          </cell>
          <cell r="Y6856" t="str">
            <v>UNITED ARAB EMIRATES</v>
          </cell>
        </row>
        <row r="6857">
          <cell r="L6857" t="str">
            <v>Non-proportional</v>
          </cell>
          <cell r="S6857">
            <v>409.91</v>
          </cell>
          <cell r="X6857" t="str">
            <v>Commissions - gross</v>
          </cell>
          <cell r="Y6857" t="str">
            <v>THAILAND</v>
          </cell>
        </row>
        <row r="6858">
          <cell r="L6858" t="str">
            <v>Non-proportional</v>
          </cell>
          <cell r="S6858">
            <v>90.65</v>
          </cell>
          <cell r="X6858" t="str">
            <v>Commissions - gross</v>
          </cell>
          <cell r="Y6858" t="str">
            <v>ISRAEL</v>
          </cell>
        </row>
        <row r="6859">
          <cell r="L6859" t="str">
            <v>Non-proportional</v>
          </cell>
          <cell r="S6859">
            <v>3802.68</v>
          </cell>
          <cell r="X6859" t="str">
            <v>Commissions - gross</v>
          </cell>
          <cell r="Y6859" t="str">
            <v>FRANCE</v>
          </cell>
        </row>
        <row r="6860">
          <cell r="L6860" t="str">
            <v>Proportional</v>
          </cell>
          <cell r="S6860">
            <v>2106.1799999999998</v>
          </cell>
          <cell r="X6860" t="str">
            <v>Commissions - gross</v>
          </cell>
          <cell r="Y6860" t="str">
            <v>UNITED STATES</v>
          </cell>
        </row>
        <row r="6861">
          <cell r="L6861" t="str">
            <v>Non-proportional</v>
          </cell>
          <cell r="S6861">
            <v>934.81</v>
          </cell>
          <cell r="X6861" t="str">
            <v>Commissions - gross</v>
          </cell>
          <cell r="Y6861" t="str">
            <v>NETHERLANDS</v>
          </cell>
        </row>
        <row r="6862">
          <cell r="L6862" t="str">
            <v>Non-proportional</v>
          </cell>
          <cell r="S6862">
            <v>-9359.49</v>
          </cell>
          <cell r="X6862" t="str">
            <v>Commissions - gross</v>
          </cell>
          <cell r="Y6862" t="str">
            <v>JAPAN</v>
          </cell>
        </row>
        <row r="6863">
          <cell r="L6863" t="str">
            <v>Non-proportional</v>
          </cell>
          <cell r="S6863">
            <v>218.76</v>
          </cell>
          <cell r="X6863" t="str">
            <v>Commissions - gross</v>
          </cell>
          <cell r="Y6863" t="str">
            <v>SPAIN</v>
          </cell>
        </row>
        <row r="6864">
          <cell r="L6864" t="str">
            <v>Non-proportional</v>
          </cell>
          <cell r="S6864">
            <v>4680.2</v>
          </cell>
          <cell r="X6864" t="str">
            <v>Commissions - gross</v>
          </cell>
          <cell r="Y6864" t="str">
            <v>UNITED KINGDOM</v>
          </cell>
        </row>
        <row r="6865">
          <cell r="L6865" t="str">
            <v>Non-proportional</v>
          </cell>
          <cell r="S6865">
            <v>389.19</v>
          </cell>
          <cell r="X6865" t="str">
            <v>Commissions - gross</v>
          </cell>
          <cell r="Y6865" t="str">
            <v>ECUADOR</v>
          </cell>
        </row>
        <row r="6866">
          <cell r="L6866" t="str">
            <v>Non-proportional</v>
          </cell>
          <cell r="S6866">
            <v>492.79</v>
          </cell>
          <cell r="X6866" t="str">
            <v>Commissions - gross</v>
          </cell>
          <cell r="Y6866" t="str">
            <v>COLOMBIA</v>
          </cell>
        </row>
        <row r="6867">
          <cell r="L6867" t="str">
            <v>Non-proportional</v>
          </cell>
          <cell r="S6867">
            <v>5.78</v>
          </cell>
          <cell r="X6867" t="str">
            <v>Commissions - gross</v>
          </cell>
          <cell r="Y6867" t="str">
            <v>INDIA</v>
          </cell>
        </row>
        <row r="6868">
          <cell r="L6868" t="str">
            <v>Non-proportional</v>
          </cell>
          <cell r="S6868">
            <v>997.75</v>
          </cell>
          <cell r="X6868" t="str">
            <v>Commissions - gross</v>
          </cell>
          <cell r="Y6868" t="str">
            <v>ITALY</v>
          </cell>
        </row>
        <row r="6869">
          <cell r="L6869" t="str">
            <v>Non-proportional</v>
          </cell>
          <cell r="S6869">
            <v>335.82</v>
          </cell>
          <cell r="X6869" t="str">
            <v>Commissions - gross</v>
          </cell>
          <cell r="Y6869" t="str">
            <v>ISRAEL</v>
          </cell>
        </row>
        <row r="6870">
          <cell r="L6870" t="str">
            <v>Non-proportional</v>
          </cell>
          <cell r="S6870">
            <v>357.06</v>
          </cell>
          <cell r="X6870" t="str">
            <v>Commissions - gross</v>
          </cell>
          <cell r="Y6870" t="str">
            <v>GREECE</v>
          </cell>
        </row>
        <row r="6871">
          <cell r="L6871" t="str">
            <v>Non-proportional</v>
          </cell>
          <cell r="S6871">
            <v>696.32</v>
          </cell>
          <cell r="X6871" t="str">
            <v>Commissions - gross</v>
          </cell>
          <cell r="Y6871" t="str">
            <v>FRANCE</v>
          </cell>
        </row>
        <row r="6872">
          <cell r="L6872" t="str">
            <v>Non-proportional</v>
          </cell>
          <cell r="S6872">
            <v>16.75</v>
          </cell>
          <cell r="X6872" t="str">
            <v>Commissions - gross</v>
          </cell>
          <cell r="Y6872" t="str">
            <v>FRANCE</v>
          </cell>
        </row>
        <row r="6873">
          <cell r="L6873" t="str">
            <v>Non-proportional</v>
          </cell>
          <cell r="S6873">
            <v>950.01</v>
          </cell>
          <cell r="X6873" t="str">
            <v>Commissions - gross</v>
          </cell>
          <cell r="Y6873" t="str">
            <v>TURKEY</v>
          </cell>
        </row>
        <row r="6874">
          <cell r="L6874" t="str">
            <v>Non-proportional</v>
          </cell>
          <cell r="S6874">
            <v>466.65</v>
          </cell>
          <cell r="X6874" t="str">
            <v>Commissions - gross</v>
          </cell>
          <cell r="Y6874" t="str">
            <v>TURKEY</v>
          </cell>
        </row>
        <row r="6875">
          <cell r="L6875" t="str">
            <v>Non-proportional</v>
          </cell>
          <cell r="S6875">
            <v>25534.75</v>
          </cell>
          <cell r="X6875" t="str">
            <v>Commissions - gross</v>
          </cell>
          <cell r="Y6875" t="str">
            <v>UNITED KINGDOM</v>
          </cell>
        </row>
        <row r="6876">
          <cell r="L6876" t="str">
            <v>Non-proportional</v>
          </cell>
          <cell r="S6876">
            <v>-636.44000000000005</v>
          </cell>
          <cell r="X6876" t="str">
            <v>Commissions - gross</v>
          </cell>
          <cell r="Y6876" t="str">
            <v>JAPAN</v>
          </cell>
        </row>
        <row r="6877">
          <cell r="L6877" t="str">
            <v>Non-proportional</v>
          </cell>
          <cell r="S6877">
            <v>54.69</v>
          </cell>
          <cell r="X6877" t="str">
            <v>Commissions - gross</v>
          </cell>
          <cell r="Y6877" t="str">
            <v>ITALY</v>
          </cell>
        </row>
        <row r="6878">
          <cell r="L6878" t="str">
            <v>Non-proportional</v>
          </cell>
          <cell r="S6878">
            <v>-6.23</v>
          </cell>
          <cell r="X6878" t="str">
            <v>Commissions - gross</v>
          </cell>
          <cell r="Y6878" t="str">
            <v>DOMINICAN REPUBLIC</v>
          </cell>
        </row>
        <row r="6879">
          <cell r="L6879" t="str">
            <v>Non-proportional</v>
          </cell>
          <cell r="S6879">
            <v>5657.58</v>
          </cell>
          <cell r="X6879" t="str">
            <v>Commissions - gross</v>
          </cell>
          <cell r="Y6879" t="str">
            <v>UNITED KINGDOM</v>
          </cell>
        </row>
        <row r="6880">
          <cell r="L6880" t="str">
            <v>Non-proportional</v>
          </cell>
          <cell r="S6880">
            <v>87.1</v>
          </cell>
          <cell r="X6880" t="str">
            <v>Commissions - gross</v>
          </cell>
          <cell r="Y6880" t="str">
            <v>PERU</v>
          </cell>
        </row>
        <row r="6881">
          <cell r="L6881" t="str">
            <v>Non-proportional</v>
          </cell>
          <cell r="S6881">
            <v>1408.05</v>
          </cell>
          <cell r="X6881" t="str">
            <v>Commissions - gross</v>
          </cell>
          <cell r="Y6881" t="str">
            <v>UNITED KINGDOM</v>
          </cell>
        </row>
        <row r="6882">
          <cell r="L6882" t="str">
            <v>Proportional</v>
          </cell>
          <cell r="S6882">
            <v>36.53</v>
          </cell>
          <cell r="X6882" t="str">
            <v>Commissions - gross</v>
          </cell>
          <cell r="Y6882" t="str">
            <v>CHILE</v>
          </cell>
        </row>
        <row r="6883">
          <cell r="L6883" t="str">
            <v>Non-proportional</v>
          </cell>
          <cell r="S6883">
            <v>1139.58</v>
          </cell>
          <cell r="X6883" t="str">
            <v>Commissions - gross</v>
          </cell>
          <cell r="Y6883" t="str">
            <v>AUSTRALIA</v>
          </cell>
        </row>
        <row r="6884">
          <cell r="L6884" t="str">
            <v>Non-proportional</v>
          </cell>
          <cell r="S6884">
            <v>4575.8500000000004</v>
          </cell>
          <cell r="X6884" t="str">
            <v>Commissions - gross</v>
          </cell>
          <cell r="Y6884" t="str">
            <v>TURKEY</v>
          </cell>
        </row>
        <row r="6885">
          <cell r="L6885" t="str">
            <v>Non-proportional</v>
          </cell>
          <cell r="S6885">
            <v>474.94</v>
          </cell>
          <cell r="X6885" t="str">
            <v>Commissions - gross</v>
          </cell>
          <cell r="Y6885" t="str">
            <v>CHILE</v>
          </cell>
        </row>
        <row r="6886">
          <cell r="L6886" t="str">
            <v>Non-proportional</v>
          </cell>
          <cell r="S6886">
            <v>-2.1</v>
          </cell>
          <cell r="X6886" t="str">
            <v>Commissions - gross</v>
          </cell>
          <cell r="Y6886" t="str">
            <v>COLOMBIA</v>
          </cell>
        </row>
        <row r="6887">
          <cell r="L6887" t="str">
            <v>Non-proportional</v>
          </cell>
          <cell r="S6887">
            <v>592.54</v>
          </cell>
          <cell r="X6887" t="str">
            <v>Commissions - gross</v>
          </cell>
          <cell r="Y6887" t="str">
            <v>PERU</v>
          </cell>
        </row>
        <row r="6888">
          <cell r="L6888" t="str">
            <v>Non-proportional</v>
          </cell>
          <cell r="S6888">
            <v>466.84</v>
          </cell>
          <cell r="X6888" t="str">
            <v>Commissions - gross</v>
          </cell>
          <cell r="Y6888" t="str">
            <v>UNITED KINGDOM</v>
          </cell>
        </row>
        <row r="6889">
          <cell r="L6889" t="str">
            <v>Non-proportional</v>
          </cell>
          <cell r="S6889">
            <v>-3192.56</v>
          </cell>
          <cell r="X6889" t="str">
            <v>Commissions - gross</v>
          </cell>
          <cell r="Y6889" t="str">
            <v>JAPAN</v>
          </cell>
        </row>
        <row r="6890">
          <cell r="L6890" t="str">
            <v>Non-proportional</v>
          </cell>
          <cell r="S6890">
            <v>-1093.8900000000001</v>
          </cell>
          <cell r="X6890" t="str">
            <v>Commissions - gross</v>
          </cell>
          <cell r="Y6890" t="str">
            <v>JAPAN</v>
          </cell>
        </row>
        <row r="6891">
          <cell r="L6891" t="str">
            <v>Non-proportional</v>
          </cell>
          <cell r="S6891">
            <v>4.03</v>
          </cell>
          <cell r="X6891" t="str">
            <v>Commissions - gross</v>
          </cell>
          <cell r="Y6891" t="str">
            <v>ISRAEL</v>
          </cell>
        </row>
        <row r="6892">
          <cell r="L6892" t="str">
            <v>Proportional</v>
          </cell>
          <cell r="S6892">
            <v>150.55000000000001</v>
          </cell>
          <cell r="X6892" t="str">
            <v>Commissions - gross</v>
          </cell>
          <cell r="Y6892" t="str">
            <v>FRANCE</v>
          </cell>
        </row>
        <row r="6893">
          <cell r="L6893" t="str">
            <v>Proportional</v>
          </cell>
          <cell r="S6893">
            <v>-31.05</v>
          </cell>
          <cell r="X6893" t="str">
            <v>Commissions - gross</v>
          </cell>
          <cell r="Y6893" t="str">
            <v>UNITED STATES</v>
          </cell>
        </row>
        <row r="6894">
          <cell r="L6894" t="str">
            <v>Non-proportional</v>
          </cell>
          <cell r="S6894">
            <v>4079.99</v>
          </cell>
          <cell r="X6894" t="str">
            <v>Commissions - gross</v>
          </cell>
          <cell r="Y6894" t="str">
            <v>TURKEY</v>
          </cell>
        </row>
        <row r="6895">
          <cell r="L6895" t="str">
            <v>Non-proportional</v>
          </cell>
          <cell r="S6895">
            <v>10572.33</v>
          </cell>
          <cell r="X6895" t="str">
            <v>Commissions - gross</v>
          </cell>
          <cell r="Y6895" t="str">
            <v>FRANCE</v>
          </cell>
        </row>
        <row r="6896">
          <cell r="L6896" t="str">
            <v>Non-proportional</v>
          </cell>
          <cell r="S6896">
            <v>511.47</v>
          </cell>
          <cell r="X6896" t="str">
            <v>Commissions - gross</v>
          </cell>
          <cell r="Y6896" t="str">
            <v>CHILE</v>
          </cell>
        </row>
        <row r="6897">
          <cell r="L6897" t="str">
            <v>Proportional</v>
          </cell>
          <cell r="S6897">
            <v>182.39</v>
          </cell>
          <cell r="X6897" t="str">
            <v>Commissions - gross</v>
          </cell>
          <cell r="Y6897" t="str">
            <v>ITALY</v>
          </cell>
        </row>
        <row r="6898">
          <cell r="L6898" t="str">
            <v>Non-proportional</v>
          </cell>
          <cell r="S6898">
            <v>3.75</v>
          </cell>
          <cell r="X6898" t="str">
            <v>Commissions - gross</v>
          </cell>
          <cell r="Y6898" t="str">
            <v>COSTA RICA</v>
          </cell>
        </row>
        <row r="6899">
          <cell r="L6899" t="str">
            <v>Non-proportional</v>
          </cell>
          <cell r="S6899">
            <v>-1234.28</v>
          </cell>
          <cell r="X6899" t="str">
            <v>Commissions - gross</v>
          </cell>
          <cell r="Y6899" t="str">
            <v>JAPAN</v>
          </cell>
        </row>
        <row r="6900">
          <cell r="L6900" t="str">
            <v>Non-proportional</v>
          </cell>
          <cell r="S6900">
            <v>-6516.44</v>
          </cell>
          <cell r="X6900" t="str">
            <v>Commissions - gross</v>
          </cell>
          <cell r="Y6900" t="str">
            <v>JAPAN</v>
          </cell>
        </row>
        <row r="6901">
          <cell r="L6901" t="str">
            <v>Non-proportional</v>
          </cell>
          <cell r="S6901">
            <v>196.4</v>
          </cell>
          <cell r="X6901" t="str">
            <v>Commissions - gross</v>
          </cell>
          <cell r="Y6901" t="str">
            <v>AUSTRALIA</v>
          </cell>
        </row>
        <row r="6902">
          <cell r="L6902" t="str">
            <v>Non-proportional</v>
          </cell>
          <cell r="S6902">
            <v>584.46</v>
          </cell>
          <cell r="X6902" t="str">
            <v>Commissions - gross</v>
          </cell>
          <cell r="Y6902" t="str">
            <v>AUSTRALIA</v>
          </cell>
        </row>
        <row r="6903">
          <cell r="L6903" t="str">
            <v>Non-proportional</v>
          </cell>
          <cell r="S6903">
            <v>177.75</v>
          </cell>
          <cell r="X6903" t="str">
            <v>Commissions - gross</v>
          </cell>
          <cell r="Y6903" t="str">
            <v>GREECE</v>
          </cell>
        </row>
        <row r="6904">
          <cell r="L6904" t="str">
            <v>Non-proportional</v>
          </cell>
          <cell r="S6904">
            <v>-5.24</v>
          </cell>
          <cell r="X6904" t="str">
            <v>Commissions - gross</v>
          </cell>
          <cell r="Y6904" t="str">
            <v>DOMINICAN REPUBLIC</v>
          </cell>
        </row>
        <row r="6905">
          <cell r="L6905" t="str">
            <v>Non-proportional</v>
          </cell>
          <cell r="S6905">
            <v>0.68</v>
          </cell>
          <cell r="X6905" t="str">
            <v>Commissions - gross</v>
          </cell>
          <cell r="Y6905" t="str">
            <v>COSTA RICA</v>
          </cell>
        </row>
        <row r="6906">
          <cell r="L6906" t="str">
            <v>Non-proportional</v>
          </cell>
          <cell r="S6906">
            <v>471.6</v>
          </cell>
          <cell r="X6906" t="str">
            <v>Commissions - gross</v>
          </cell>
          <cell r="Y6906" t="str">
            <v>PERU</v>
          </cell>
        </row>
        <row r="6907">
          <cell r="L6907" t="str">
            <v>Non-proportional</v>
          </cell>
          <cell r="S6907">
            <v>659.86</v>
          </cell>
          <cell r="X6907" t="str">
            <v>Commissions - gross</v>
          </cell>
          <cell r="Y6907" t="str">
            <v>DOMINICAN REPUBLIC</v>
          </cell>
        </row>
        <row r="6908">
          <cell r="L6908" t="str">
            <v>Non-proportional</v>
          </cell>
          <cell r="S6908">
            <v>133.31</v>
          </cell>
          <cell r="X6908" t="str">
            <v>Commissions - gross</v>
          </cell>
          <cell r="Y6908" t="str">
            <v>UNITED KINGDOM</v>
          </cell>
        </row>
        <row r="6909">
          <cell r="L6909" t="str">
            <v>Proportional</v>
          </cell>
          <cell r="S6909">
            <v>-168.84</v>
          </cell>
          <cell r="X6909" t="str">
            <v>Commissions - gross</v>
          </cell>
          <cell r="Y6909" t="str">
            <v>UNITED STATES</v>
          </cell>
        </row>
        <row r="6910">
          <cell r="L6910" t="str">
            <v>Non-proportional</v>
          </cell>
          <cell r="S6910">
            <v>176.77</v>
          </cell>
          <cell r="X6910" t="str">
            <v>Commissions - gross</v>
          </cell>
          <cell r="Y6910" t="str">
            <v>ISRAEL</v>
          </cell>
        </row>
        <row r="6911">
          <cell r="L6911" t="str">
            <v>Non-proportional</v>
          </cell>
          <cell r="S6911">
            <v>89.89</v>
          </cell>
          <cell r="X6911" t="str">
            <v>Commissions - gross</v>
          </cell>
          <cell r="Y6911" t="str">
            <v>FRANCE</v>
          </cell>
        </row>
        <row r="6912">
          <cell r="L6912" t="str">
            <v>Non-proportional</v>
          </cell>
          <cell r="S6912">
            <v>511.47</v>
          </cell>
          <cell r="X6912" t="str">
            <v>Commissions - gross</v>
          </cell>
          <cell r="Y6912" t="str">
            <v>CHILE</v>
          </cell>
        </row>
        <row r="6913">
          <cell r="L6913" t="str">
            <v>Non-proportional</v>
          </cell>
          <cell r="S6913">
            <v>312.47000000000003</v>
          </cell>
          <cell r="X6913" t="str">
            <v>Commissions - gross</v>
          </cell>
          <cell r="Y6913" t="str">
            <v>ISRAEL</v>
          </cell>
        </row>
        <row r="6914">
          <cell r="L6914" t="str">
            <v>Non-proportional</v>
          </cell>
          <cell r="S6914">
            <v>1535.24</v>
          </cell>
          <cell r="X6914" t="str">
            <v>Commissions - gross</v>
          </cell>
          <cell r="Y6914" t="str">
            <v>SOUTH KOREA</v>
          </cell>
        </row>
        <row r="6915">
          <cell r="L6915" t="str">
            <v>Non-proportional</v>
          </cell>
          <cell r="S6915">
            <v>246.96</v>
          </cell>
          <cell r="X6915" t="str">
            <v>Commissions - gross</v>
          </cell>
          <cell r="Y6915" t="str">
            <v>FRANCE</v>
          </cell>
        </row>
        <row r="6916">
          <cell r="L6916" t="str">
            <v>Non-proportional</v>
          </cell>
          <cell r="S6916">
            <v>344.89</v>
          </cell>
          <cell r="X6916" t="str">
            <v>Commissions - gross</v>
          </cell>
          <cell r="Y6916" t="str">
            <v>GUATEMALA</v>
          </cell>
        </row>
        <row r="6917">
          <cell r="L6917" t="str">
            <v>Non-proportional</v>
          </cell>
          <cell r="S6917">
            <v>36.53</v>
          </cell>
          <cell r="X6917" t="str">
            <v>Commissions - gross</v>
          </cell>
          <cell r="Y6917" t="str">
            <v>CHILE</v>
          </cell>
        </row>
        <row r="6918">
          <cell r="L6918" t="str">
            <v>Non-proportional</v>
          </cell>
          <cell r="S6918">
            <v>187.48</v>
          </cell>
          <cell r="X6918" t="str">
            <v>Commissions - gross</v>
          </cell>
          <cell r="Y6918" t="str">
            <v>UNITED KINGDOM</v>
          </cell>
        </row>
        <row r="6919">
          <cell r="L6919" t="str">
            <v>Non-proportional</v>
          </cell>
          <cell r="S6919">
            <v>771.71</v>
          </cell>
          <cell r="X6919" t="str">
            <v>Commissions - gross</v>
          </cell>
          <cell r="Y6919" t="str">
            <v>UNITED KINGDOM</v>
          </cell>
        </row>
        <row r="6920">
          <cell r="L6920" t="str">
            <v>Non-proportional</v>
          </cell>
          <cell r="S6920">
            <v>6833.61</v>
          </cell>
          <cell r="X6920" t="str">
            <v>Commissions - gross</v>
          </cell>
          <cell r="Y6920" t="str">
            <v>UNITED KINGDOM</v>
          </cell>
        </row>
        <row r="6921">
          <cell r="L6921" t="str">
            <v>Non-proportional</v>
          </cell>
          <cell r="S6921">
            <v>142.01</v>
          </cell>
          <cell r="X6921" t="str">
            <v>Commissions - gross</v>
          </cell>
          <cell r="Y6921" t="str">
            <v>AUSTRALIA</v>
          </cell>
        </row>
        <row r="6922">
          <cell r="L6922" t="str">
            <v>Non-proportional</v>
          </cell>
          <cell r="S6922">
            <v>54.38</v>
          </cell>
          <cell r="X6922" t="str">
            <v>Commissions - gross</v>
          </cell>
          <cell r="Y6922" t="str">
            <v>GREECE</v>
          </cell>
        </row>
        <row r="6923">
          <cell r="L6923" t="str">
            <v>Non-proportional</v>
          </cell>
          <cell r="S6923">
            <v>-208.84</v>
          </cell>
          <cell r="X6923" t="str">
            <v>Commissions - gross</v>
          </cell>
          <cell r="Y6923" t="str">
            <v>JAPAN</v>
          </cell>
        </row>
        <row r="6924">
          <cell r="L6924" t="str">
            <v>Non-proportional</v>
          </cell>
          <cell r="S6924">
            <v>1068.76</v>
          </cell>
          <cell r="X6924" t="str">
            <v>Commissions - gross</v>
          </cell>
          <cell r="Y6924" t="str">
            <v>POLAND</v>
          </cell>
        </row>
        <row r="6925">
          <cell r="L6925" t="str">
            <v>Proportional</v>
          </cell>
          <cell r="S6925">
            <v>942.16</v>
          </cell>
          <cell r="X6925" t="str">
            <v>Commissions - gross</v>
          </cell>
          <cell r="Y6925" t="str">
            <v>MEXICO</v>
          </cell>
        </row>
        <row r="6926">
          <cell r="L6926" t="str">
            <v>Non-proportional</v>
          </cell>
          <cell r="S6926">
            <v>2660.4</v>
          </cell>
          <cell r="X6926" t="str">
            <v>Commissions - gross</v>
          </cell>
          <cell r="Y6926" t="str">
            <v>UNITED KINGDOM</v>
          </cell>
        </row>
        <row r="6927">
          <cell r="L6927" t="str">
            <v>Non-proportional</v>
          </cell>
          <cell r="S6927">
            <v>78.41</v>
          </cell>
          <cell r="X6927" t="str">
            <v>Commissions - gross</v>
          </cell>
          <cell r="Y6927" t="str">
            <v>MEXICO</v>
          </cell>
        </row>
        <row r="6928">
          <cell r="L6928" t="str">
            <v>Non-proportional</v>
          </cell>
          <cell r="S6928">
            <v>3788.07</v>
          </cell>
          <cell r="X6928" t="str">
            <v>Commissions - gross</v>
          </cell>
          <cell r="Y6928" t="str">
            <v>UNITED KINGDOM</v>
          </cell>
        </row>
        <row r="6929">
          <cell r="L6929" t="str">
            <v>Non-proportional</v>
          </cell>
          <cell r="S6929">
            <v>168.5</v>
          </cell>
          <cell r="X6929" t="str">
            <v>Commissions - gross</v>
          </cell>
          <cell r="Y6929" t="str">
            <v>INDIA</v>
          </cell>
        </row>
        <row r="6930">
          <cell r="L6930" t="str">
            <v>Non-proportional</v>
          </cell>
          <cell r="S6930">
            <v>-5142.6499999999996</v>
          </cell>
          <cell r="X6930" t="str">
            <v>Commissions - gross</v>
          </cell>
          <cell r="Y6930" t="str">
            <v>CYPRUS</v>
          </cell>
        </row>
        <row r="6931">
          <cell r="L6931" t="str">
            <v>Proportional</v>
          </cell>
          <cell r="S6931">
            <v>3716.32</v>
          </cell>
          <cell r="X6931" t="str">
            <v>Commissions - gross</v>
          </cell>
          <cell r="Y6931" t="str">
            <v>AUSTRALIA</v>
          </cell>
        </row>
        <row r="6932">
          <cell r="L6932" t="str">
            <v>Non-proportional</v>
          </cell>
          <cell r="S6932">
            <v>1433.12</v>
          </cell>
          <cell r="X6932" t="str">
            <v>Commissions - gross</v>
          </cell>
          <cell r="Y6932" t="str">
            <v>FRANCE</v>
          </cell>
        </row>
        <row r="6933">
          <cell r="L6933" t="str">
            <v>Non-proportional</v>
          </cell>
          <cell r="S6933">
            <v>328.8</v>
          </cell>
          <cell r="X6933" t="str">
            <v>Commissions - gross</v>
          </cell>
          <cell r="Y6933" t="str">
            <v>CHILE</v>
          </cell>
        </row>
        <row r="6934">
          <cell r="L6934" t="str">
            <v>Non-proportional</v>
          </cell>
          <cell r="S6934">
            <v>-25.94</v>
          </cell>
          <cell r="X6934" t="str">
            <v>Commissions - gross</v>
          </cell>
          <cell r="Y6934" t="str">
            <v>COLOMBIA</v>
          </cell>
        </row>
        <row r="6935">
          <cell r="L6935" t="str">
            <v>Non-proportional</v>
          </cell>
          <cell r="S6935">
            <v>334.34</v>
          </cell>
          <cell r="X6935" t="str">
            <v>Commissions - gross</v>
          </cell>
          <cell r="Y6935" t="str">
            <v>ECUADOR</v>
          </cell>
        </row>
        <row r="6936">
          <cell r="L6936" t="str">
            <v>Non-proportional</v>
          </cell>
          <cell r="S6936">
            <v>9.41</v>
          </cell>
          <cell r="X6936" t="str">
            <v>Commissions - gross</v>
          </cell>
          <cell r="Y6936" t="str">
            <v>INDIA</v>
          </cell>
        </row>
        <row r="6937">
          <cell r="L6937" t="str">
            <v>Non-proportional</v>
          </cell>
          <cell r="S6937">
            <v>-11241.14</v>
          </cell>
          <cell r="X6937" t="str">
            <v>Commissions - gross</v>
          </cell>
          <cell r="Y6937" t="str">
            <v>NEW ZEALAND</v>
          </cell>
        </row>
        <row r="6938">
          <cell r="L6938" t="str">
            <v>Proportional</v>
          </cell>
          <cell r="S6938">
            <v>-5868.65</v>
          </cell>
          <cell r="X6938" t="str">
            <v>Commissions - gross</v>
          </cell>
          <cell r="Y6938" t="str">
            <v>UNITED KINGDOM</v>
          </cell>
        </row>
        <row r="6939">
          <cell r="L6939" t="str">
            <v>Non-proportional</v>
          </cell>
          <cell r="S6939">
            <v>-3745.38</v>
          </cell>
          <cell r="X6939" t="str">
            <v>Commissions - gross</v>
          </cell>
          <cell r="Y6939" t="str">
            <v>UNITED KINGDOM</v>
          </cell>
        </row>
        <row r="6940">
          <cell r="L6940" t="str">
            <v>Non-proportional</v>
          </cell>
          <cell r="S6940">
            <v>591.04</v>
          </cell>
          <cell r="X6940" t="str">
            <v>Commissions - gross</v>
          </cell>
          <cell r="Y6940" t="str">
            <v>COSTA RICA</v>
          </cell>
        </row>
        <row r="6941">
          <cell r="L6941" t="str">
            <v>Non-proportional</v>
          </cell>
          <cell r="S6941">
            <v>448.07</v>
          </cell>
          <cell r="X6941" t="str">
            <v>Commissions - gross</v>
          </cell>
          <cell r="Y6941" t="str">
            <v>COSTA RICA</v>
          </cell>
        </row>
        <row r="6942">
          <cell r="L6942" t="str">
            <v>Non-proportional</v>
          </cell>
          <cell r="S6942">
            <v>268.67</v>
          </cell>
          <cell r="X6942" t="str">
            <v>Commissions - gross</v>
          </cell>
          <cell r="Y6942" t="str">
            <v>MALTA</v>
          </cell>
        </row>
        <row r="6943">
          <cell r="L6943" t="str">
            <v>Non-proportional</v>
          </cell>
          <cell r="S6943">
            <v>768.76</v>
          </cell>
          <cell r="X6943" t="str">
            <v>Commissions - gross</v>
          </cell>
          <cell r="Y6943" t="str">
            <v>MEXICO</v>
          </cell>
        </row>
        <row r="6944">
          <cell r="L6944" t="str">
            <v>Proportional</v>
          </cell>
          <cell r="S6944">
            <v>182.67</v>
          </cell>
          <cell r="X6944" t="str">
            <v>Commissions - gross</v>
          </cell>
          <cell r="Y6944" t="str">
            <v>CHILE</v>
          </cell>
        </row>
        <row r="6945">
          <cell r="L6945" t="str">
            <v>Non-proportional</v>
          </cell>
          <cell r="S6945">
            <v>-13049.55</v>
          </cell>
          <cell r="X6945" t="str">
            <v>Commissions - gross</v>
          </cell>
          <cell r="Y6945" t="str">
            <v>EUROPE</v>
          </cell>
        </row>
        <row r="6946">
          <cell r="L6946" t="str">
            <v>Non-proportional</v>
          </cell>
          <cell r="S6946">
            <v>3.22</v>
          </cell>
          <cell r="X6946" t="str">
            <v>Commissions - gross</v>
          </cell>
          <cell r="Y6946" t="str">
            <v>ISRAEL</v>
          </cell>
        </row>
        <row r="6947">
          <cell r="L6947" t="str">
            <v>Non-proportional</v>
          </cell>
          <cell r="S6947">
            <v>40.549999999999997</v>
          </cell>
          <cell r="X6947" t="str">
            <v>Commissions - gross</v>
          </cell>
          <cell r="Y6947" t="str">
            <v>JAPAN</v>
          </cell>
        </row>
        <row r="6948">
          <cell r="L6948" t="str">
            <v>Non-proportional</v>
          </cell>
          <cell r="S6948">
            <v>63.02</v>
          </cell>
          <cell r="X6948" t="str">
            <v>Commissions - gross</v>
          </cell>
          <cell r="Y6948" t="str">
            <v>JAPAN</v>
          </cell>
        </row>
        <row r="6949">
          <cell r="L6949" t="str">
            <v>Non-proportional</v>
          </cell>
          <cell r="S6949">
            <v>378</v>
          </cell>
          <cell r="X6949" t="str">
            <v>Commissions - gross</v>
          </cell>
          <cell r="Y6949" t="str">
            <v>GREECE</v>
          </cell>
        </row>
        <row r="6950">
          <cell r="L6950" t="str">
            <v>Non-proportional</v>
          </cell>
          <cell r="S6950">
            <v>40762.720000000001</v>
          </cell>
          <cell r="X6950" t="str">
            <v>Commissions - gross</v>
          </cell>
          <cell r="Y6950" t="str">
            <v>UNITED KINGDOM</v>
          </cell>
        </row>
        <row r="6951">
          <cell r="L6951" t="str">
            <v>Non-proportional</v>
          </cell>
          <cell r="S6951">
            <v>767.21</v>
          </cell>
          <cell r="X6951" t="str">
            <v>Commissions - gross</v>
          </cell>
          <cell r="Y6951" t="str">
            <v>CHILE</v>
          </cell>
        </row>
        <row r="6952">
          <cell r="L6952" t="str">
            <v>Proportional</v>
          </cell>
          <cell r="S6952">
            <v>2164.08</v>
          </cell>
          <cell r="X6952" t="str">
            <v>Commissions - gross</v>
          </cell>
          <cell r="Y6952" t="str">
            <v>UNITED STATES</v>
          </cell>
        </row>
        <row r="6953">
          <cell r="L6953" t="str">
            <v>Non-proportional</v>
          </cell>
          <cell r="S6953">
            <v>82.8</v>
          </cell>
          <cell r="X6953" t="str">
            <v>Commissions - gross</v>
          </cell>
          <cell r="Y6953" t="str">
            <v>PERU</v>
          </cell>
        </row>
        <row r="6954">
          <cell r="L6954" t="str">
            <v>Non-proportional</v>
          </cell>
          <cell r="S6954">
            <v>318.98</v>
          </cell>
          <cell r="X6954" t="str">
            <v>Commissions - gross</v>
          </cell>
          <cell r="Y6954" t="str">
            <v>COLOMBIA</v>
          </cell>
        </row>
        <row r="6955">
          <cell r="L6955" t="str">
            <v>Non-proportional</v>
          </cell>
          <cell r="S6955">
            <v>531.28</v>
          </cell>
          <cell r="X6955" t="str">
            <v>Commissions - gross</v>
          </cell>
          <cell r="Y6955" t="str">
            <v>NETHERLANDS</v>
          </cell>
        </row>
        <row r="6956">
          <cell r="L6956" t="str">
            <v>Non-proportional</v>
          </cell>
          <cell r="S6956">
            <v>-1520.91</v>
          </cell>
          <cell r="X6956" t="str">
            <v>Commissions - gross</v>
          </cell>
          <cell r="Y6956" t="str">
            <v>JAPAN</v>
          </cell>
        </row>
        <row r="6957">
          <cell r="L6957" t="str">
            <v>Non-proportional</v>
          </cell>
          <cell r="S6957">
            <v>284.08</v>
          </cell>
          <cell r="X6957" t="str">
            <v>Commissions - gross</v>
          </cell>
          <cell r="Y6957" t="str">
            <v>EUROPE</v>
          </cell>
        </row>
        <row r="6958">
          <cell r="L6958" t="str">
            <v>Non-proportional</v>
          </cell>
          <cell r="S6958">
            <v>126.78</v>
          </cell>
          <cell r="X6958" t="str">
            <v>Commissions - gross</v>
          </cell>
          <cell r="Y6958" t="str">
            <v>PERU</v>
          </cell>
        </row>
        <row r="6959">
          <cell r="L6959" t="str">
            <v>Non-proportional</v>
          </cell>
          <cell r="S6959">
            <v>107.11</v>
          </cell>
          <cell r="X6959" t="str">
            <v>Commissions - gross</v>
          </cell>
          <cell r="Y6959" t="str">
            <v>PERU</v>
          </cell>
        </row>
        <row r="6960">
          <cell r="L6960" t="str">
            <v>Non-proportional</v>
          </cell>
          <cell r="S6960">
            <v>777.2</v>
          </cell>
          <cell r="X6960" t="str">
            <v>Commissions - gross</v>
          </cell>
          <cell r="Y6960" t="str">
            <v>UNITED KINGDOM</v>
          </cell>
        </row>
        <row r="6961">
          <cell r="L6961" t="str">
            <v>Non-proportional</v>
          </cell>
          <cell r="S6961">
            <v>960.66</v>
          </cell>
          <cell r="X6961" t="str">
            <v>Commissions - gross</v>
          </cell>
          <cell r="Y6961" t="str">
            <v>MEXICO</v>
          </cell>
        </row>
        <row r="6962">
          <cell r="L6962" t="str">
            <v>Non-proportional</v>
          </cell>
          <cell r="S6962">
            <v>145.83000000000001</v>
          </cell>
          <cell r="X6962" t="str">
            <v>Commissions - gross</v>
          </cell>
          <cell r="Y6962" t="str">
            <v>ITALY</v>
          </cell>
        </row>
        <row r="6963">
          <cell r="L6963" t="str">
            <v>Non-proportional</v>
          </cell>
          <cell r="S6963">
            <v>-9431.67</v>
          </cell>
          <cell r="X6963" t="str">
            <v>Commissions - gross</v>
          </cell>
          <cell r="Y6963" t="str">
            <v>CANADA</v>
          </cell>
        </row>
        <row r="6964">
          <cell r="L6964" t="str">
            <v>Non-proportional</v>
          </cell>
          <cell r="S6964">
            <v>74.09</v>
          </cell>
          <cell r="X6964" t="str">
            <v>Commissions - gross</v>
          </cell>
          <cell r="Y6964" t="str">
            <v>ISRAEL</v>
          </cell>
        </row>
        <row r="6965">
          <cell r="L6965" t="str">
            <v>Non-proportional</v>
          </cell>
          <cell r="S6965">
            <v>-7074.36</v>
          </cell>
          <cell r="X6965" t="str">
            <v>Commissions - gross</v>
          </cell>
          <cell r="Y6965" t="str">
            <v>NEW ZEALAND</v>
          </cell>
        </row>
        <row r="6966">
          <cell r="L6966" t="str">
            <v>Non-proportional</v>
          </cell>
          <cell r="S6966">
            <v>31.07</v>
          </cell>
          <cell r="X6966" t="str">
            <v>Commissions - gross</v>
          </cell>
          <cell r="Y6966" t="str">
            <v>ITALY</v>
          </cell>
        </row>
        <row r="6967">
          <cell r="L6967" t="str">
            <v>Non-proportional</v>
          </cell>
          <cell r="S6967">
            <v>-2531.36</v>
          </cell>
          <cell r="X6967" t="str">
            <v>Commissions - gross</v>
          </cell>
          <cell r="Y6967" t="str">
            <v>UNITED KINGDOM</v>
          </cell>
        </row>
        <row r="6968">
          <cell r="L6968" t="str">
            <v>Non-proportional</v>
          </cell>
          <cell r="S6968">
            <v>324.82</v>
          </cell>
          <cell r="X6968" t="str">
            <v>Commissions - gross</v>
          </cell>
          <cell r="Y6968" t="str">
            <v>COLOMBIA</v>
          </cell>
        </row>
        <row r="6969">
          <cell r="L6969" t="str">
            <v>Non-proportional</v>
          </cell>
          <cell r="S6969">
            <v>38.75</v>
          </cell>
          <cell r="X6969" t="str">
            <v>Commissions - gross</v>
          </cell>
          <cell r="Y6969" t="str">
            <v>ITALY</v>
          </cell>
        </row>
        <row r="6970">
          <cell r="L6970" t="str">
            <v>Non-proportional</v>
          </cell>
          <cell r="S6970">
            <v>460.34</v>
          </cell>
          <cell r="X6970" t="str">
            <v>Commissions - gross</v>
          </cell>
          <cell r="Y6970" t="str">
            <v>ISRAEL</v>
          </cell>
        </row>
        <row r="6971">
          <cell r="L6971" t="str">
            <v>Non-proportional</v>
          </cell>
          <cell r="S6971">
            <v>-7074.36</v>
          </cell>
          <cell r="X6971" t="str">
            <v>Commissions - gross</v>
          </cell>
          <cell r="Y6971" t="str">
            <v>NEW ZEALAND</v>
          </cell>
        </row>
        <row r="6972">
          <cell r="L6972" t="str">
            <v>Non-proportional</v>
          </cell>
          <cell r="S6972">
            <v>268.02999999999997</v>
          </cell>
          <cell r="X6972" t="str">
            <v>Commissions - gross</v>
          </cell>
          <cell r="Y6972" t="str">
            <v>UNITED KINGDOM</v>
          </cell>
        </row>
        <row r="6973">
          <cell r="L6973" t="str">
            <v>Non-proportional</v>
          </cell>
          <cell r="S6973">
            <v>117.23</v>
          </cell>
          <cell r="X6973" t="str">
            <v>Commissions - gross</v>
          </cell>
          <cell r="Y6973" t="str">
            <v>FRANCE</v>
          </cell>
        </row>
        <row r="6974">
          <cell r="L6974" t="str">
            <v>Non-proportional</v>
          </cell>
          <cell r="S6974">
            <v>1106.3399999999999</v>
          </cell>
          <cell r="X6974" t="str">
            <v>Commissions - gross</v>
          </cell>
          <cell r="Y6974" t="str">
            <v>JAPAN</v>
          </cell>
        </row>
        <row r="6975">
          <cell r="L6975" t="str">
            <v>Non-proportional</v>
          </cell>
          <cell r="S6975">
            <v>175.31</v>
          </cell>
          <cell r="X6975" t="str">
            <v>Commissions - gross</v>
          </cell>
          <cell r="Y6975" t="str">
            <v>ROMANIA</v>
          </cell>
        </row>
        <row r="6976">
          <cell r="L6976" t="str">
            <v>Non-proportional</v>
          </cell>
          <cell r="S6976">
            <v>-1918.69</v>
          </cell>
          <cell r="X6976" t="str">
            <v>Commissions - gross</v>
          </cell>
          <cell r="Y6976" t="str">
            <v>JAPAN</v>
          </cell>
        </row>
        <row r="6977">
          <cell r="L6977" t="str">
            <v>Non-proportional</v>
          </cell>
          <cell r="S6977">
            <v>423.85</v>
          </cell>
          <cell r="X6977" t="str">
            <v>Commissions - gross</v>
          </cell>
          <cell r="Y6977" t="str">
            <v>FRANCE</v>
          </cell>
        </row>
        <row r="6978">
          <cell r="L6978" t="str">
            <v>Non-proportional</v>
          </cell>
          <cell r="S6978">
            <v>0.48</v>
          </cell>
          <cell r="X6978" t="str">
            <v>Commissions - gross</v>
          </cell>
          <cell r="Y6978" t="str">
            <v>COSTA RICA</v>
          </cell>
        </row>
        <row r="6979">
          <cell r="L6979" t="str">
            <v>Non-proportional</v>
          </cell>
          <cell r="S6979">
            <v>1027.9000000000001</v>
          </cell>
          <cell r="X6979" t="str">
            <v>Commissions - gross</v>
          </cell>
          <cell r="Y6979" t="str">
            <v>COLOMBIA</v>
          </cell>
        </row>
        <row r="6980">
          <cell r="L6980" t="str">
            <v>Proportional</v>
          </cell>
          <cell r="S6980">
            <v>-5263.69</v>
          </cell>
          <cell r="X6980" t="str">
            <v>Commissions - gross</v>
          </cell>
          <cell r="Y6980" t="str">
            <v>UNITED KINGDOM</v>
          </cell>
        </row>
        <row r="6981">
          <cell r="L6981" t="str">
            <v>Non-proportional</v>
          </cell>
          <cell r="S6981">
            <v>206.01</v>
          </cell>
          <cell r="X6981" t="str">
            <v>Commissions - gross</v>
          </cell>
          <cell r="Y6981" t="str">
            <v>AUSTRALIA</v>
          </cell>
        </row>
        <row r="6982">
          <cell r="L6982" t="str">
            <v>Non-proportional</v>
          </cell>
          <cell r="S6982">
            <v>662.31</v>
          </cell>
          <cell r="X6982" t="str">
            <v>Commissions - gross</v>
          </cell>
          <cell r="Y6982" t="str">
            <v>CYPRUS</v>
          </cell>
        </row>
        <row r="6983">
          <cell r="L6983" t="str">
            <v>Non-proportional</v>
          </cell>
          <cell r="S6983">
            <v>-1936.27</v>
          </cell>
          <cell r="X6983" t="str">
            <v>Commissions - gross</v>
          </cell>
          <cell r="Y6983" t="str">
            <v>NEW ZEALAND</v>
          </cell>
        </row>
        <row r="6984">
          <cell r="L6984" t="str">
            <v>Non-proportional</v>
          </cell>
          <cell r="S6984">
            <v>63.85</v>
          </cell>
          <cell r="X6984" t="str">
            <v>Commissions - gross</v>
          </cell>
          <cell r="Y6984" t="str">
            <v>MALTA</v>
          </cell>
        </row>
        <row r="6985">
          <cell r="L6985" t="str">
            <v>Non-proportional</v>
          </cell>
          <cell r="S6985">
            <v>-6.65</v>
          </cell>
          <cell r="X6985" t="str">
            <v>Commissions - gross</v>
          </cell>
          <cell r="Y6985" t="str">
            <v>COLOMBIA</v>
          </cell>
        </row>
        <row r="6986">
          <cell r="L6986" t="str">
            <v>Non-proportional</v>
          </cell>
          <cell r="S6986">
            <v>1868.43</v>
          </cell>
          <cell r="X6986" t="str">
            <v>Commissions - gross</v>
          </cell>
          <cell r="Y6986" t="str">
            <v>CHINA</v>
          </cell>
        </row>
        <row r="6987">
          <cell r="L6987" t="str">
            <v>Non-proportional</v>
          </cell>
          <cell r="S6987">
            <v>0.43</v>
          </cell>
          <cell r="X6987" t="str">
            <v>Commissions - gross</v>
          </cell>
          <cell r="Y6987" t="str">
            <v>COSTA RICA</v>
          </cell>
        </row>
        <row r="6988">
          <cell r="L6988" t="str">
            <v>Non-proportional</v>
          </cell>
          <cell r="S6988">
            <v>485.67</v>
          </cell>
          <cell r="X6988" t="str">
            <v>Commissions - gross</v>
          </cell>
          <cell r="Y6988" t="str">
            <v>UNITED KINGDOM</v>
          </cell>
        </row>
        <row r="6989">
          <cell r="L6989" t="str">
            <v>Non-proportional</v>
          </cell>
          <cell r="S6989">
            <v>-5016.67</v>
          </cell>
          <cell r="X6989" t="str">
            <v>Commissions - gross</v>
          </cell>
          <cell r="Y6989" t="str">
            <v>ITALY</v>
          </cell>
        </row>
        <row r="6990">
          <cell r="L6990" t="str">
            <v>Non-proportional</v>
          </cell>
          <cell r="S6990">
            <v>131.06</v>
          </cell>
          <cell r="X6990" t="str">
            <v>Commissions - gross</v>
          </cell>
          <cell r="Y6990" t="str">
            <v>JAPAN</v>
          </cell>
        </row>
        <row r="6991">
          <cell r="L6991" t="str">
            <v>Non-proportional</v>
          </cell>
          <cell r="S6991">
            <v>1405.27</v>
          </cell>
          <cell r="X6991" t="str">
            <v>Commissions - gross</v>
          </cell>
          <cell r="Y6991" t="str">
            <v>ECUADOR</v>
          </cell>
        </row>
        <row r="6992">
          <cell r="L6992" t="str">
            <v>Non-proportional</v>
          </cell>
          <cell r="S6992">
            <v>-1478.94</v>
          </cell>
          <cell r="X6992" t="str">
            <v>Commissions - gross</v>
          </cell>
          <cell r="Y6992" t="str">
            <v>PUERTO RICO</v>
          </cell>
        </row>
        <row r="6993">
          <cell r="L6993" t="str">
            <v>Non-proportional</v>
          </cell>
          <cell r="S6993">
            <v>81.88</v>
          </cell>
          <cell r="X6993" t="str">
            <v>Commissions - gross</v>
          </cell>
          <cell r="Y6993" t="str">
            <v>PERU</v>
          </cell>
        </row>
        <row r="6994">
          <cell r="L6994" t="str">
            <v>Non-proportional</v>
          </cell>
          <cell r="S6994">
            <v>3981.02</v>
          </cell>
          <cell r="X6994" t="str">
            <v>Commissions - gross</v>
          </cell>
          <cell r="Y6994" t="str">
            <v>UNITED STATES</v>
          </cell>
        </row>
        <row r="6995">
          <cell r="L6995" t="str">
            <v>Non-proportional</v>
          </cell>
          <cell r="S6995">
            <v>292.27</v>
          </cell>
          <cell r="X6995" t="str">
            <v>Commissions - gross</v>
          </cell>
          <cell r="Y6995" t="str">
            <v>CHILE</v>
          </cell>
        </row>
        <row r="6996">
          <cell r="L6996" t="str">
            <v>Non-proportional</v>
          </cell>
          <cell r="S6996">
            <v>307</v>
          </cell>
          <cell r="X6996" t="str">
            <v>Commissions - gross</v>
          </cell>
          <cell r="Y6996" t="str">
            <v>DOMINICAN REPUBLIC</v>
          </cell>
        </row>
        <row r="6997">
          <cell r="L6997" t="str">
            <v>Non-proportional</v>
          </cell>
          <cell r="S6997">
            <v>1332.53</v>
          </cell>
          <cell r="X6997" t="str">
            <v>Commissions - gross</v>
          </cell>
          <cell r="Y6997" t="str">
            <v>AUSTRALIA</v>
          </cell>
        </row>
        <row r="6998">
          <cell r="L6998" t="str">
            <v>Non-proportional</v>
          </cell>
          <cell r="S6998">
            <v>-1887.76</v>
          </cell>
          <cell r="X6998" t="str">
            <v>Commissions - gross</v>
          </cell>
          <cell r="Y6998" t="str">
            <v>SOUTH AFRICA</v>
          </cell>
        </row>
        <row r="6999">
          <cell r="L6999" t="str">
            <v>Non-proportional</v>
          </cell>
          <cell r="S6999">
            <v>268.2</v>
          </cell>
          <cell r="X6999" t="str">
            <v>Commissions - gross</v>
          </cell>
          <cell r="Y6999" t="str">
            <v>UNITED ARAB EMIRATES</v>
          </cell>
        </row>
        <row r="7000">
          <cell r="L7000" t="str">
            <v>Non-proportional</v>
          </cell>
          <cell r="S7000">
            <v>535.37</v>
          </cell>
          <cell r="X7000" t="str">
            <v>Commissions - gross</v>
          </cell>
          <cell r="Y7000" t="str">
            <v>PUERTO RICO</v>
          </cell>
        </row>
        <row r="7001">
          <cell r="L7001" t="str">
            <v>Non-proportional</v>
          </cell>
          <cell r="S7001">
            <v>341.58</v>
          </cell>
          <cell r="X7001" t="str">
            <v>Commissions - gross</v>
          </cell>
          <cell r="Y7001" t="str">
            <v>UNITED KINGDOM</v>
          </cell>
        </row>
        <row r="7002">
          <cell r="L7002" t="str">
            <v>Non-proportional</v>
          </cell>
          <cell r="S7002">
            <v>4214.47</v>
          </cell>
          <cell r="X7002" t="str">
            <v>Commissions - gross</v>
          </cell>
          <cell r="Y7002" t="str">
            <v>UNITED KINGDOM</v>
          </cell>
        </row>
        <row r="7003">
          <cell r="L7003" t="str">
            <v>Non-proportional</v>
          </cell>
          <cell r="S7003">
            <v>391.98</v>
          </cell>
          <cell r="X7003" t="str">
            <v>Commissions - gross</v>
          </cell>
          <cell r="Y7003" t="str">
            <v>COLOMBIA</v>
          </cell>
        </row>
        <row r="7004">
          <cell r="L7004" t="str">
            <v>Non-proportional</v>
          </cell>
          <cell r="S7004">
            <v>670.45</v>
          </cell>
          <cell r="X7004" t="str">
            <v>Commissions - gross</v>
          </cell>
          <cell r="Y7004" t="str">
            <v>UNITED KINGDOM</v>
          </cell>
        </row>
        <row r="7005">
          <cell r="L7005" t="str">
            <v>Non-proportional</v>
          </cell>
          <cell r="S7005">
            <v>107.63</v>
          </cell>
          <cell r="X7005" t="str">
            <v>Commissions - gross</v>
          </cell>
          <cell r="Y7005" t="str">
            <v>MEXICO</v>
          </cell>
        </row>
        <row r="7006">
          <cell r="L7006" t="str">
            <v>Non-proportional</v>
          </cell>
          <cell r="S7006">
            <v>-1.29</v>
          </cell>
          <cell r="X7006" t="str">
            <v>Commissions - gross</v>
          </cell>
          <cell r="Y7006" t="str">
            <v>GUATEMALA</v>
          </cell>
        </row>
        <row r="7007">
          <cell r="L7007" t="str">
            <v>Non-proportional</v>
          </cell>
          <cell r="S7007">
            <v>648.69000000000005</v>
          </cell>
          <cell r="X7007" t="str">
            <v>Commissions - gross</v>
          </cell>
          <cell r="Y7007" t="str">
            <v>AUSTRALIA</v>
          </cell>
        </row>
        <row r="7008">
          <cell r="L7008" t="str">
            <v>Non-proportional</v>
          </cell>
          <cell r="S7008">
            <v>505.52</v>
          </cell>
          <cell r="X7008" t="str">
            <v>Commissions - gross</v>
          </cell>
          <cell r="Y7008" t="str">
            <v>ISRAEL</v>
          </cell>
        </row>
        <row r="7009">
          <cell r="L7009" t="str">
            <v>Non-proportional</v>
          </cell>
          <cell r="S7009">
            <v>-2552.1</v>
          </cell>
          <cell r="X7009" t="str">
            <v>Commissions - gross</v>
          </cell>
          <cell r="Y7009" t="str">
            <v>ECUADOR</v>
          </cell>
        </row>
        <row r="7010">
          <cell r="L7010" t="str">
            <v>Non-proportional</v>
          </cell>
          <cell r="S7010">
            <v>531.84</v>
          </cell>
          <cell r="X7010" t="str">
            <v>Commissions - gross</v>
          </cell>
          <cell r="Y7010" t="str">
            <v>DOMINICAN REPUBLIC</v>
          </cell>
        </row>
        <row r="7011">
          <cell r="L7011" t="str">
            <v>Non-proportional</v>
          </cell>
          <cell r="S7011">
            <v>2813.99</v>
          </cell>
          <cell r="X7011" t="str">
            <v>Commissions - gross</v>
          </cell>
          <cell r="Y7011" t="str">
            <v>UNITED KINGDOM</v>
          </cell>
        </row>
        <row r="7012">
          <cell r="L7012" t="str">
            <v>Non-proportional</v>
          </cell>
          <cell r="S7012">
            <v>321.86</v>
          </cell>
          <cell r="X7012" t="str">
            <v>Commissions - gross</v>
          </cell>
          <cell r="Y7012" t="str">
            <v>DOMINICAN REPUBLIC</v>
          </cell>
        </row>
        <row r="7013">
          <cell r="L7013" t="str">
            <v>Non-proportional</v>
          </cell>
          <cell r="S7013">
            <v>184.69</v>
          </cell>
          <cell r="X7013" t="str">
            <v>Commissions - gross</v>
          </cell>
          <cell r="Y7013" t="str">
            <v>FRANCE</v>
          </cell>
        </row>
        <row r="7014">
          <cell r="L7014" t="str">
            <v>Non-proportional</v>
          </cell>
          <cell r="S7014">
            <v>1151.06</v>
          </cell>
          <cell r="X7014" t="str">
            <v>Commissions - gross</v>
          </cell>
          <cell r="Y7014" t="str">
            <v>EUROPE</v>
          </cell>
        </row>
        <row r="7015">
          <cell r="L7015" t="str">
            <v>Non-proportional</v>
          </cell>
          <cell r="S7015">
            <v>252.5</v>
          </cell>
          <cell r="X7015" t="str">
            <v>Commissions - gross</v>
          </cell>
          <cell r="Y7015" t="str">
            <v>ISRAEL</v>
          </cell>
        </row>
        <row r="7016">
          <cell r="L7016" t="str">
            <v>Non-proportional</v>
          </cell>
          <cell r="S7016">
            <v>-15.48</v>
          </cell>
          <cell r="X7016" t="str">
            <v>Commissions - gross</v>
          </cell>
          <cell r="Y7016" t="str">
            <v>DOMINICAN REPUBLIC</v>
          </cell>
        </row>
        <row r="7017">
          <cell r="L7017" t="str">
            <v>Non-proportional</v>
          </cell>
          <cell r="S7017">
            <v>3319.06</v>
          </cell>
          <cell r="X7017" t="str">
            <v>Commissions - gross</v>
          </cell>
          <cell r="Y7017" t="str">
            <v>UNITED KINGDOM</v>
          </cell>
        </row>
        <row r="7018">
          <cell r="L7018" t="str">
            <v>Non-proportional</v>
          </cell>
          <cell r="S7018">
            <v>73.069999999999993</v>
          </cell>
          <cell r="X7018" t="str">
            <v>Commissions - gross</v>
          </cell>
          <cell r="Y7018" t="str">
            <v>CHILE</v>
          </cell>
        </row>
        <row r="7019">
          <cell r="L7019" t="str">
            <v>Non-proportional</v>
          </cell>
          <cell r="S7019">
            <v>726.77</v>
          </cell>
          <cell r="X7019" t="str">
            <v>Commissions - gross</v>
          </cell>
          <cell r="Y7019" t="str">
            <v>FRANCE</v>
          </cell>
        </row>
        <row r="7020">
          <cell r="L7020" t="str">
            <v>Non-proportional</v>
          </cell>
          <cell r="S7020">
            <v>493.91</v>
          </cell>
          <cell r="X7020" t="str">
            <v>Commissions - gross</v>
          </cell>
          <cell r="Y7020" t="str">
            <v>ISRAEL</v>
          </cell>
        </row>
        <row r="7021">
          <cell r="L7021" t="str">
            <v>Non-proportional</v>
          </cell>
          <cell r="S7021">
            <v>-1254.17</v>
          </cell>
          <cell r="X7021" t="str">
            <v>Commissions - gross</v>
          </cell>
          <cell r="Y7021" t="str">
            <v>JAPAN</v>
          </cell>
        </row>
        <row r="7022">
          <cell r="L7022" t="str">
            <v>Non-proportional</v>
          </cell>
          <cell r="S7022">
            <v>359.38</v>
          </cell>
          <cell r="X7022" t="str">
            <v>Commissions - gross</v>
          </cell>
          <cell r="Y7022" t="str">
            <v>GREECE</v>
          </cell>
        </row>
        <row r="7023">
          <cell r="L7023" t="str">
            <v>Non-proportional</v>
          </cell>
          <cell r="S7023">
            <v>4704.46</v>
          </cell>
          <cell r="X7023" t="str">
            <v>Commissions - gross</v>
          </cell>
          <cell r="Y7023" t="str">
            <v>UNITED KINGDOM</v>
          </cell>
        </row>
        <row r="7024">
          <cell r="L7024" t="str">
            <v>Non-proportional</v>
          </cell>
          <cell r="S7024">
            <v>45.62</v>
          </cell>
          <cell r="X7024" t="str">
            <v>Commissions - gross</v>
          </cell>
          <cell r="Y7024" t="str">
            <v>NEW ZEALAND</v>
          </cell>
        </row>
        <row r="7025">
          <cell r="L7025" t="str">
            <v>Non-proportional</v>
          </cell>
          <cell r="S7025">
            <v>497.15</v>
          </cell>
          <cell r="X7025" t="str">
            <v>Commissions - gross</v>
          </cell>
          <cell r="Y7025" t="str">
            <v>EUROPE</v>
          </cell>
        </row>
        <row r="7026">
          <cell r="L7026" t="str">
            <v>Non-proportional</v>
          </cell>
          <cell r="S7026">
            <v>39743.660000000003</v>
          </cell>
          <cell r="X7026" t="str">
            <v>Commissions - gross</v>
          </cell>
          <cell r="Y7026" t="str">
            <v>UNITED KINGDOM</v>
          </cell>
        </row>
        <row r="7027">
          <cell r="L7027" t="str">
            <v>Non-proportional</v>
          </cell>
          <cell r="S7027">
            <v>36.53</v>
          </cell>
          <cell r="X7027" t="str">
            <v>Commissions - gross</v>
          </cell>
          <cell r="Y7027" t="str">
            <v>CHILE</v>
          </cell>
        </row>
        <row r="7028">
          <cell r="L7028" t="str">
            <v>Non-proportional</v>
          </cell>
          <cell r="S7028">
            <v>973.49</v>
          </cell>
          <cell r="X7028" t="str">
            <v>Commissions - gross</v>
          </cell>
          <cell r="Y7028" t="str">
            <v>ECUADOR</v>
          </cell>
        </row>
        <row r="7029">
          <cell r="L7029" t="str">
            <v>Non-proportional</v>
          </cell>
          <cell r="S7029">
            <v>271.95</v>
          </cell>
          <cell r="X7029" t="str">
            <v>Commissions - gross</v>
          </cell>
          <cell r="Y7029" t="str">
            <v>ISRAEL</v>
          </cell>
        </row>
        <row r="7030">
          <cell r="L7030" t="str">
            <v>Non-proportional</v>
          </cell>
          <cell r="S7030">
            <v>-2487.5700000000002</v>
          </cell>
          <cell r="X7030" t="str">
            <v>Commissions - gross</v>
          </cell>
          <cell r="Y7030" t="str">
            <v>JAPAN</v>
          </cell>
        </row>
        <row r="7031">
          <cell r="L7031" t="str">
            <v>Proportional</v>
          </cell>
          <cell r="S7031">
            <v>764.17</v>
          </cell>
          <cell r="X7031" t="str">
            <v>Commissions - gross</v>
          </cell>
          <cell r="Y7031" t="str">
            <v>FRANCE</v>
          </cell>
        </row>
        <row r="7032">
          <cell r="L7032" t="str">
            <v>Non-proportional</v>
          </cell>
          <cell r="S7032">
            <v>1591.2</v>
          </cell>
          <cell r="X7032" t="str">
            <v>Commissions - gross</v>
          </cell>
          <cell r="Y7032" t="str">
            <v>UNITED KINGDOM</v>
          </cell>
        </row>
        <row r="7033">
          <cell r="L7033" t="str">
            <v>Non-proportional</v>
          </cell>
          <cell r="S7033">
            <v>901.92</v>
          </cell>
          <cell r="X7033" t="str">
            <v>Commissions - gross</v>
          </cell>
          <cell r="Y7033" t="str">
            <v>UNITED KINGDOM</v>
          </cell>
        </row>
        <row r="7034">
          <cell r="L7034" t="str">
            <v>Non-proportional</v>
          </cell>
          <cell r="S7034">
            <v>816.77</v>
          </cell>
          <cell r="X7034" t="str">
            <v>Commissions - gross</v>
          </cell>
          <cell r="Y7034" t="str">
            <v>MEXICO</v>
          </cell>
        </row>
        <row r="7035">
          <cell r="L7035" t="str">
            <v>Non-proportional</v>
          </cell>
          <cell r="S7035">
            <v>36.53</v>
          </cell>
          <cell r="X7035" t="str">
            <v>Commissions - gross</v>
          </cell>
          <cell r="Y7035" t="str">
            <v>CHILE</v>
          </cell>
        </row>
        <row r="7036">
          <cell r="L7036" t="str">
            <v>Non-proportional</v>
          </cell>
          <cell r="S7036">
            <v>418.59</v>
          </cell>
          <cell r="X7036" t="str">
            <v>Commissions - gross</v>
          </cell>
          <cell r="Y7036" t="str">
            <v>FRANCE</v>
          </cell>
        </row>
        <row r="7037">
          <cell r="L7037" t="str">
            <v>Non-proportional</v>
          </cell>
          <cell r="S7037">
            <v>-1462.41</v>
          </cell>
          <cell r="X7037" t="str">
            <v>Commissions - gross</v>
          </cell>
          <cell r="Y7037" t="str">
            <v>JAPAN</v>
          </cell>
        </row>
        <row r="7038">
          <cell r="L7038" t="str">
            <v>Non-proportional</v>
          </cell>
          <cell r="S7038">
            <v>63.08</v>
          </cell>
          <cell r="X7038" t="str">
            <v>Commissions - gross</v>
          </cell>
          <cell r="Y7038" t="str">
            <v>NEW ZEALAND</v>
          </cell>
        </row>
        <row r="7039">
          <cell r="L7039" t="str">
            <v>Non-proportional</v>
          </cell>
          <cell r="S7039">
            <v>2166.67</v>
          </cell>
          <cell r="X7039" t="str">
            <v>Commissions - gross</v>
          </cell>
          <cell r="Y7039" t="str">
            <v>FRANCE</v>
          </cell>
        </row>
        <row r="7040">
          <cell r="L7040" t="str">
            <v>Non-proportional</v>
          </cell>
          <cell r="S7040">
            <v>49.17</v>
          </cell>
          <cell r="X7040" t="str">
            <v>Commissions - gross</v>
          </cell>
          <cell r="Y7040" t="str">
            <v>JAPAN</v>
          </cell>
        </row>
        <row r="7041">
          <cell r="L7041" t="str">
            <v>Non-proportional</v>
          </cell>
          <cell r="S7041">
            <v>-12656.87</v>
          </cell>
          <cell r="X7041" t="str">
            <v>Commissions - gross</v>
          </cell>
          <cell r="Y7041" t="str">
            <v>MEXICO</v>
          </cell>
        </row>
        <row r="7042">
          <cell r="L7042" t="str">
            <v>Non-proportional</v>
          </cell>
          <cell r="S7042">
            <v>7814.53</v>
          </cell>
          <cell r="X7042" t="str">
            <v>Commissions - gross</v>
          </cell>
          <cell r="Y7042" t="str">
            <v>UNITED KINGDOM</v>
          </cell>
        </row>
        <row r="7043">
          <cell r="L7043" t="str">
            <v>Non-proportional</v>
          </cell>
          <cell r="S7043">
            <v>1129.31</v>
          </cell>
          <cell r="X7043" t="str">
            <v>Commissions - gross</v>
          </cell>
          <cell r="Y7043" t="str">
            <v>COLOMBIA</v>
          </cell>
        </row>
        <row r="7044">
          <cell r="L7044" t="str">
            <v>Non-proportional</v>
          </cell>
          <cell r="S7044">
            <v>584.54</v>
          </cell>
          <cell r="X7044" t="str">
            <v>Commissions - gross</v>
          </cell>
          <cell r="Y7044" t="str">
            <v>CHILE</v>
          </cell>
        </row>
        <row r="7045">
          <cell r="L7045" t="str">
            <v>Non-proportional</v>
          </cell>
          <cell r="S7045">
            <v>384.71</v>
          </cell>
          <cell r="X7045" t="str">
            <v>Commissions - gross</v>
          </cell>
          <cell r="Y7045" t="str">
            <v>COLOMBIA</v>
          </cell>
        </row>
        <row r="7046">
          <cell r="L7046" t="str">
            <v>Non-proportional</v>
          </cell>
          <cell r="S7046">
            <v>823.83</v>
          </cell>
          <cell r="X7046" t="str">
            <v>Commissions - gross</v>
          </cell>
          <cell r="Y7046" t="str">
            <v>ITALY</v>
          </cell>
        </row>
        <row r="7047">
          <cell r="L7047" t="str">
            <v>Non-proportional</v>
          </cell>
          <cell r="S7047">
            <v>1070.71</v>
          </cell>
          <cell r="X7047" t="str">
            <v>Commissions - gross</v>
          </cell>
          <cell r="Y7047" t="str">
            <v>FRANCE</v>
          </cell>
        </row>
        <row r="7048">
          <cell r="L7048" t="str">
            <v>Non-proportional</v>
          </cell>
          <cell r="S7048">
            <v>85.6</v>
          </cell>
          <cell r="X7048" t="str">
            <v>Commissions - gross</v>
          </cell>
          <cell r="Y7048" t="str">
            <v>FRANCE</v>
          </cell>
        </row>
        <row r="7049">
          <cell r="L7049" t="str">
            <v>Non-proportional</v>
          </cell>
          <cell r="S7049">
            <v>104.48</v>
          </cell>
          <cell r="X7049" t="str">
            <v>Commissions - gross</v>
          </cell>
          <cell r="Y7049" t="str">
            <v>CYPRUS</v>
          </cell>
        </row>
        <row r="7050">
          <cell r="L7050" t="str">
            <v>Non-proportional</v>
          </cell>
          <cell r="S7050">
            <v>77.290000000000006</v>
          </cell>
          <cell r="X7050" t="str">
            <v>Commissions - gross</v>
          </cell>
          <cell r="Y7050" t="str">
            <v>REPUBLIC OF IRELAND</v>
          </cell>
        </row>
        <row r="7051">
          <cell r="L7051" t="str">
            <v>Non-proportional</v>
          </cell>
          <cell r="S7051">
            <v>87.86</v>
          </cell>
          <cell r="X7051" t="str">
            <v>Commissions - gross</v>
          </cell>
          <cell r="Y7051" t="str">
            <v>COSTA RICA</v>
          </cell>
        </row>
        <row r="7052">
          <cell r="L7052" t="str">
            <v>Non-proportional</v>
          </cell>
          <cell r="S7052">
            <v>-2376.33</v>
          </cell>
          <cell r="X7052" t="str">
            <v>Commissions - gross</v>
          </cell>
          <cell r="Y7052" t="str">
            <v>GUATEMALA</v>
          </cell>
        </row>
        <row r="7053">
          <cell r="L7053" t="str">
            <v>Non-proportional</v>
          </cell>
          <cell r="S7053">
            <v>291.16000000000003</v>
          </cell>
          <cell r="X7053" t="str">
            <v>Commissions - gross</v>
          </cell>
          <cell r="Y7053" t="str">
            <v>THAILAND</v>
          </cell>
        </row>
        <row r="7054">
          <cell r="L7054" t="str">
            <v>Non-proportional</v>
          </cell>
          <cell r="S7054">
            <v>303.61</v>
          </cell>
          <cell r="X7054" t="str">
            <v>Commissions - gross</v>
          </cell>
          <cell r="Y7054" t="str">
            <v>UNITED KINGDOM</v>
          </cell>
        </row>
        <row r="7055">
          <cell r="L7055" t="str">
            <v>Non-proportional</v>
          </cell>
          <cell r="S7055">
            <v>391.3</v>
          </cell>
          <cell r="X7055" t="str">
            <v>Commissions - gross</v>
          </cell>
          <cell r="Y7055" t="str">
            <v>COLOMBIA</v>
          </cell>
        </row>
        <row r="7056">
          <cell r="L7056" t="str">
            <v>Non-proportional</v>
          </cell>
          <cell r="S7056">
            <v>182.67</v>
          </cell>
          <cell r="X7056" t="str">
            <v>Commissions - gross</v>
          </cell>
          <cell r="Y7056" t="str">
            <v>CHILE</v>
          </cell>
        </row>
        <row r="7057">
          <cell r="L7057" t="str">
            <v>Non-proportional</v>
          </cell>
          <cell r="S7057">
            <v>35.369999999999997</v>
          </cell>
          <cell r="X7057" t="str">
            <v>Commissions - gross</v>
          </cell>
          <cell r="Y7057" t="str">
            <v>JAPAN</v>
          </cell>
        </row>
        <row r="7058">
          <cell r="L7058" t="str">
            <v>Non-proportional</v>
          </cell>
          <cell r="S7058">
            <v>60.52</v>
          </cell>
          <cell r="X7058" t="str">
            <v>Commissions - gross</v>
          </cell>
          <cell r="Y7058" t="str">
            <v>JAPAN</v>
          </cell>
        </row>
        <row r="7059">
          <cell r="L7059" t="str">
            <v>Non-proportional</v>
          </cell>
          <cell r="S7059">
            <v>1683.19</v>
          </cell>
          <cell r="X7059" t="str">
            <v>Commissions - gross</v>
          </cell>
          <cell r="Y7059" t="str">
            <v>AUSTRALIA</v>
          </cell>
        </row>
        <row r="7060">
          <cell r="L7060" t="str">
            <v>Non-proportional</v>
          </cell>
          <cell r="S7060">
            <v>337.01</v>
          </cell>
          <cell r="X7060" t="str">
            <v>Commissions - gross</v>
          </cell>
          <cell r="Y7060" t="str">
            <v>ISRAEL</v>
          </cell>
        </row>
        <row r="7061">
          <cell r="L7061" t="str">
            <v>Non-proportional</v>
          </cell>
          <cell r="S7061">
            <v>1.49</v>
          </cell>
          <cell r="X7061" t="str">
            <v>Commissions - gross</v>
          </cell>
          <cell r="Y7061" t="str">
            <v>ISRAEL</v>
          </cell>
        </row>
        <row r="7062">
          <cell r="L7062" t="str">
            <v>Non-proportional</v>
          </cell>
          <cell r="S7062">
            <v>302.60000000000002</v>
          </cell>
          <cell r="X7062" t="str">
            <v>Commissions - gross</v>
          </cell>
          <cell r="Y7062" t="str">
            <v>JAPAN</v>
          </cell>
        </row>
        <row r="7063">
          <cell r="L7063" t="str">
            <v>Non-proportional</v>
          </cell>
          <cell r="S7063">
            <v>949.87</v>
          </cell>
          <cell r="X7063" t="str">
            <v>Commissions - gross</v>
          </cell>
          <cell r="Y7063" t="str">
            <v>CHILE</v>
          </cell>
        </row>
        <row r="7064">
          <cell r="L7064" t="str">
            <v>Non-proportional</v>
          </cell>
          <cell r="S7064">
            <v>570.02</v>
          </cell>
          <cell r="X7064" t="str">
            <v>Commissions - gross</v>
          </cell>
          <cell r="Y7064" t="str">
            <v>ITALY</v>
          </cell>
        </row>
        <row r="7065">
          <cell r="L7065" t="str">
            <v>Non-proportional</v>
          </cell>
          <cell r="S7065">
            <v>-3346.02</v>
          </cell>
          <cell r="X7065" t="str">
            <v>Commissions - gross</v>
          </cell>
          <cell r="Y7065" t="str">
            <v>JAPAN</v>
          </cell>
        </row>
        <row r="7066">
          <cell r="L7066" t="str">
            <v>Non-proportional</v>
          </cell>
          <cell r="S7066">
            <v>0.01</v>
          </cell>
          <cell r="X7066" t="str">
            <v>Commissions - gross</v>
          </cell>
          <cell r="Y7066" t="str">
            <v>COLOMBIA</v>
          </cell>
        </row>
        <row r="7067">
          <cell r="L7067" t="str">
            <v>Non-proportional</v>
          </cell>
          <cell r="S7067">
            <v>998.59</v>
          </cell>
          <cell r="X7067" t="str">
            <v>Commissions - gross</v>
          </cell>
          <cell r="Y7067" t="str">
            <v>FRANCE</v>
          </cell>
        </row>
        <row r="7068">
          <cell r="L7068" t="str">
            <v>Non-proportional</v>
          </cell>
          <cell r="S7068">
            <v>5.9</v>
          </cell>
          <cell r="X7068" t="str">
            <v>Commissions - gross</v>
          </cell>
          <cell r="Y7068" t="str">
            <v>ISRAEL</v>
          </cell>
        </row>
        <row r="7069">
          <cell r="L7069" t="str">
            <v>Non-proportional</v>
          </cell>
          <cell r="S7069">
            <v>918.75</v>
          </cell>
          <cell r="X7069" t="str">
            <v>Commissions - gross</v>
          </cell>
          <cell r="Y7069" t="str">
            <v>TURKEY</v>
          </cell>
        </row>
        <row r="7070">
          <cell r="L7070" t="str">
            <v>Non-proportional</v>
          </cell>
          <cell r="S7070">
            <v>1752.57</v>
          </cell>
          <cell r="X7070" t="str">
            <v>Commissions - gross</v>
          </cell>
          <cell r="Y7070" t="str">
            <v>UNITED KINGDOM</v>
          </cell>
        </row>
        <row r="7071">
          <cell r="L7071" t="str">
            <v>Non-proportional</v>
          </cell>
          <cell r="S7071">
            <v>65.25</v>
          </cell>
          <cell r="X7071" t="str">
            <v>Commissions - gross</v>
          </cell>
          <cell r="Y7071" t="str">
            <v>JAPAN</v>
          </cell>
        </row>
        <row r="7072">
          <cell r="L7072" t="str">
            <v>Non-proportional</v>
          </cell>
          <cell r="S7072">
            <v>62.03</v>
          </cell>
          <cell r="X7072" t="str">
            <v>Commissions - gross</v>
          </cell>
          <cell r="Y7072" t="str">
            <v>JAPAN</v>
          </cell>
        </row>
        <row r="7073">
          <cell r="L7073" t="str">
            <v>Non-proportional</v>
          </cell>
          <cell r="S7073">
            <v>608.63</v>
          </cell>
          <cell r="X7073" t="str">
            <v>Commissions - gross</v>
          </cell>
          <cell r="Y7073" t="str">
            <v>ITALY</v>
          </cell>
        </row>
        <row r="7074">
          <cell r="L7074" t="str">
            <v>Proportional</v>
          </cell>
          <cell r="S7074">
            <v>4386.8599999999997</v>
          </cell>
          <cell r="X7074" t="str">
            <v>Commissions - gross</v>
          </cell>
          <cell r="Y7074" t="str">
            <v>GERMANY</v>
          </cell>
        </row>
        <row r="7075">
          <cell r="L7075" t="str">
            <v>Non-proportional</v>
          </cell>
          <cell r="S7075">
            <v>522.75</v>
          </cell>
          <cell r="X7075" t="str">
            <v>Commissions - gross</v>
          </cell>
          <cell r="Y7075" t="str">
            <v>SPAIN</v>
          </cell>
        </row>
        <row r="7076">
          <cell r="L7076" t="str">
            <v>Non-proportional</v>
          </cell>
          <cell r="S7076">
            <v>1535.19</v>
          </cell>
          <cell r="X7076" t="str">
            <v>Commissions - gross</v>
          </cell>
          <cell r="Y7076" t="str">
            <v>AUSTRALIA</v>
          </cell>
        </row>
        <row r="7077">
          <cell r="L7077" t="str">
            <v>Non-proportional</v>
          </cell>
          <cell r="S7077">
            <v>1201.19</v>
          </cell>
          <cell r="X7077" t="str">
            <v>Commissions - gross</v>
          </cell>
          <cell r="Y7077" t="str">
            <v>FRANCE</v>
          </cell>
        </row>
        <row r="7078">
          <cell r="L7078" t="str">
            <v>Non-proportional</v>
          </cell>
          <cell r="S7078">
            <v>39.53</v>
          </cell>
          <cell r="X7078" t="str">
            <v>Commissions - gross</v>
          </cell>
          <cell r="Y7078" t="str">
            <v>COLOMBIA</v>
          </cell>
        </row>
        <row r="7079">
          <cell r="L7079" t="str">
            <v>Non-proportional</v>
          </cell>
          <cell r="S7079">
            <v>39.909999999999997</v>
          </cell>
          <cell r="X7079" t="str">
            <v>Commissions - gross</v>
          </cell>
          <cell r="Y7079" t="str">
            <v>JAPAN</v>
          </cell>
        </row>
        <row r="7080">
          <cell r="L7080" t="str">
            <v>Non-proportional</v>
          </cell>
          <cell r="S7080">
            <v>10831.38</v>
          </cell>
          <cell r="X7080" t="str">
            <v>Commissions - gross</v>
          </cell>
          <cell r="Y7080" t="str">
            <v>UNITED KINGDOM</v>
          </cell>
        </row>
        <row r="7081">
          <cell r="L7081" t="str">
            <v>Non-proportional</v>
          </cell>
          <cell r="S7081">
            <v>589.42999999999995</v>
          </cell>
          <cell r="X7081" t="str">
            <v>Commissions - gross</v>
          </cell>
          <cell r="Y7081" t="str">
            <v>UNITED KINGDOM</v>
          </cell>
        </row>
        <row r="7082">
          <cell r="L7082" t="str">
            <v>Non-proportional</v>
          </cell>
          <cell r="S7082">
            <v>343.01</v>
          </cell>
          <cell r="X7082" t="str">
            <v>Commissions - gross</v>
          </cell>
          <cell r="Y7082" t="str">
            <v>COLOMBIA</v>
          </cell>
        </row>
        <row r="7083">
          <cell r="L7083" t="str">
            <v>Non-proportional</v>
          </cell>
          <cell r="S7083">
            <v>1329.69</v>
          </cell>
          <cell r="X7083" t="str">
            <v>Commissions - gross</v>
          </cell>
          <cell r="Y7083" t="str">
            <v>BELGIUM</v>
          </cell>
        </row>
        <row r="7084">
          <cell r="L7084" t="str">
            <v>Non-proportional</v>
          </cell>
          <cell r="S7084">
            <v>668.33</v>
          </cell>
          <cell r="X7084" t="str">
            <v>Commissions - gross</v>
          </cell>
          <cell r="Y7084" t="str">
            <v>FRANCE</v>
          </cell>
        </row>
        <row r="7085">
          <cell r="L7085" t="str">
            <v>Non-proportional</v>
          </cell>
          <cell r="S7085">
            <v>481.27</v>
          </cell>
          <cell r="X7085" t="str">
            <v>Commissions - gross</v>
          </cell>
          <cell r="Y7085" t="str">
            <v>ISRAEL</v>
          </cell>
        </row>
        <row r="7086">
          <cell r="L7086" t="str">
            <v>Non-proportional</v>
          </cell>
          <cell r="S7086">
            <v>-73.069999999999993</v>
          </cell>
          <cell r="X7086" t="str">
            <v>Commissions - gross</v>
          </cell>
          <cell r="Y7086" t="str">
            <v>CHILE</v>
          </cell>
        </row>
        <row r="7087">
          <cell r="L7087" t="str">
            <v>Non-proportional</v>
          </cell>
          <cell r="S7087">
            <v>-7738.9</v>
          </cell>
          <cell r="X7087" t="str">
            <v>Commissions - gross</v>
          </cell>
          <cell r="Y7087" t="str">
            <v>JAPAN</v>
          </cell>
        </row>
        <row r="7088">
          <cell r="L7088" t="str">
            <v>Non-proportional</v>
          </cell>
          <cell r="S7088">
            <v>966.18</v>
          </cell>
          <cell r="X7088" t="str">
            <v>Commissions - gross</v>
          </cell>
          <cell r="Y7088" t="str">
            <v>ECUADOR</v>
          </cell>
        </row>
        <row r="7089">
          <cell r="L7089" t="str">
            <v>Non-proportional</v>
          </cell>
          <cell r="S7089">
            <v>156.24</v>
          </cell>
          <cell r="X7089" t="str">
            <v>Commissions - gross</v>
          </cell>
          <cell r="Y7089" t="str">
            <v>FRANCE</v>
          </cell>
        </row>
        <row r="7090">
          <cell r="L7090" t="str">
            <v>Non-proportional</v>
          </cell>
          <cell r="S7090">
            <v>-10042.040000000001</v>
          </cell>
          <cell r="X7090" t="str">
            <v>Commissions - gross</v>
          </cell>
          <cell r="Y7090" t="str">
            <v>NEW ZEALAND</v>
          </cell>
        </row>
        <row r="7091">
          <cell r="L7091" t="str">
            <v>Non-proportional</v>
          </cell>
          <cell r="S7091">
            <v>57.05</v>
          </cell>
          <cell r="X7091" t="str">
            <v>Commissions - gross</v>
          </cell>
          <cell r="Y7091" t="str">
            <v>BRAZIL</v>
          </cell>
        </row>
        <row r="7092">
          <cell r="L7092" t="str">
            <v>Non-proportional</v>
          </cell>
          <cell r="S7092">
            <v>1811.65</v>
          </cell>
          <cell r="X7092" t="str">
            <v>Commissions - gross</v>
          </cell>
          <cell r="Y7092" t="str">
            <v>UNITED KINGDOM</v>
          </cell>
        </row>
        <row r="7093">
          <cell r="L7093" t="str">
            <v>Non-proportional</v>
          </cell>
          <cell r="S7093">
            <v>494.88</v>
          </cell>
          <cell r="X7093" t="str">
            <v>Commissions - gross</v>
          </cell>
          <cell r="Y7093" t="str">
            <v>UNITED KINGDOM</v>
          </cell>
        </row>
        <row r="7094">
          <cell r="L7094" t="str">
            <v>Non-proportional</v>
          </cell>
          <cell r="S7094">
            <v>380.6</v>
          </cell>
          <cell r="X7094" t="str">
            <v>Commissions - gross</v>
          </cell>
          <cell r="Y7094" t="str">
            <v>DOMINICAN REPUBLIC</v>
          </cell>
        </row>
        <row r="7095">
          <cell r="L7095" t="str">
            <v>Non-proportional</v>
          </cell>
          <cell r="S7095">
            <v>26.81</v>
          </cell>
          <cell r="X7095" t="str">
            <v>Commissions - gross</v>
          </cell>
          <cell r="Y7095" t="str">
            <v>JAPAN</v>
          </cell>
        </row>
        <row r="7096">
          <cell r="L7096" t="str">
            <v>Non-proportional</v>
          </cell>
          <cell r="S7096">
            <v>666.65</v>
          </cell>
          <cell r="X7096" t="str">
            <v>Commissions - gross</v>
          </cell>
          <cell r="Y7096" t="str">
            <v>ITALY</v>
          </cell>
        </row>
        <row r="7097">
          <cell r="L7097" t="str">
            <v>Non-proportional</v>
          </cell>
          <cell r="S7097">
            <v>-3266</v>
          </cell>
          <cell r="X7097" t="str">
            <v>Commissions - gross</v>
          </cell>
          <cell r="Y7097" t="str">
            <v>JAPAN</v>
          </cell>
        </row>
        <row r="7098">
          <cell r="L7098" t="str">
            <v>Non-proportional</v>
          </cell>
          <cell r="S7098">
            <v>174.33</v>
          </cell>
          <cell r="X7098" t="str">
            <v>Commissions - gross</v>
          </cell>
          <cell r="Y7098" t="str">
            <v>COSTA RICA</v>
          </cell>
        </row>
        <row r="7099">
          <cell r="L7099" t="str">
            <v>Non-proportional</v>
          </cell>
          <cell r="S7099">
            <v>122.61</v>
          </cell>
          <cell r="X7099" t="str">
            <v>Commissions - gross</v>
          </cell>
          <cell r="Y7099" t="str">
            <v>COSTA RICA</v>
          </cell>
        </row>
        <row r="7100">
          <cell r="L7100" t="str">
            <v>Non-proportional</v>
          </cell>
          <cell r="S7100">
            <v>1656.85</v>
          </cell>
          <cell r="X7100" t="str">
            <v>Commissions - gross</v>
          </cell>
          <cell r="Y7100" t="str">
            <v>AUSTRALIA</v>
          </cell>
        </row>
        <row r="7101">
          <cell r="L7101" t="str">
            <v>Non-proportional</v>
          </cell>
          <cell r="S7101">
            <v>202.99</v>
          </cell>
          <cell r="X7101" t="str">
            <v>Commissions - gross</v>
          </cell>
          <cell r="Y7101" t="str">
            <v>CYPRUS</v>
          </cell>
        </row>
        <row r="7102">
          <cell r="L7102" t="str">
            <v>Non-proportional</v>
          </cell>
          <cell r="S7102">
            <v>1504.3</v>
          </cell>
          <cell r="X7102" t="str">
            <v>Commissions - gross</v>
          </cell>
          <cell r="Y7102" t="str">
            <v>FRANCE</v>
          </cell>
        </row>
        <row r="7103">
          <cell r="L7103" t="str">
            <v>Non-proportional</v>
          </cell>
          <cell r="S7103">
            <v>3.53</v>
          </cell>
          <cell r="X7103" t="str">
            <v>Commissions - gross</v>
          </cell>
          <cell r="Y7103" t="str">
            <v>ISRAEL</v>
          </cell>
        </row>
        <row r="7104">
          <cell r="L7104" t="str">
            <v>Non-proportional</v>
          </cell>
          <cell r="S7104">
            <v>1680.88</v>
          </cell>
          <cell r="X7104" t="str">
            <v>Commissions - gross</v>
          </cell>
          <cell r="Y7104" t="str">
            <v>HONG KONG</v>
          </cell>
        </row>
        <row r="7105">
          <cell r="L7105" t="str">
            <v>Non-proportional</v>
          </cell>
          <cell r="S7105">
            <v>381.99</v>
          </cell>
          <cell r="X7105" t="str">
            <v>Commissions - gross</v>
          </cell>
          <cell r="Y7105" t="str">
            <v>ECUADOR</v>
          </cell>
        </row>
        <row r="7106">
          <cell r="L7106" t="str">
            <v>Non-proportional</v>
          </cell>
          <cell r="S7106">
            <v>791.82</v>
          </cell>
          <cell r="X7106" t="str">
            <v>Commissions - gross</v>
          </cell>
          <cell r="Y7106" t="str">
            <v>MEXICO</v>
          </cell>
        </row>
        <row r="7107">
          <cell r="L7107" t="str">
            <v>Proportional</v>
          </cell>
          <cell r="S7107">
            <v>-3487.75</v>
          </cell>
          <cell r="X7107" t="str">
            <v>Commissions - gross</v>
          </cell>
          <cell r="Y7107" t="str">
            <v>SAUDI ARABIA</v>
          </cell>
        </row>
        <row r="7108">
          <cell r="L7108" t="str">
            <v>Non-proportional</v>
          </cell>
          <cell r="S7108">
            <v>511.47</v>
          </cell>
          <cell r="X7108" t="str">
            <v>Commissions - gross</v>
          </cell>
          <cell r="Y7108" t="str">
            <v>CHILE</v>
          </cell>
        </row>
        <row r="7109">
          <cell r="L7109" t="str">
            <v>Non-proportional</v>
          </cell>
          <cell r="S7109">
            <v>281.14</v>
          </cell>
          <cell r="X7109" t="str">
            <v>Commissions - gross</v>
          </cell>
          <cell r="Y7109" t="str">
            <v>POLAND</v>
          </cell>
        </row>
        <row r="7110">
          <cell r="L7110" t="str">
            <v>Non-proportional</v>
          </cell>
          <cell r="S7110">
            <v>425.07</v>
          </cell>
          <cell r="X7110" t="str">
            <v>Commissions - gross</v>
          </cell>
          <cell r="Y7110" t="str">
            <v>ITALY</v>
          </cell>
        </row>
        <row r="7111">
          <cell r="L7111" t="str">
            <v>Non-proportional</v>
          </cell>
          <cell r="S7111">
            <v>749.23</v>
          </cell>
          <cell r="X7111" t="str">
            <v>Commissions - gross</v>
          </cell>
          <cell r="Y7111" t="str">
            <v>FRANCE</v>
          </cell>
        </row>
        <row r="7112">
          <cell r="L7112" t="str">
            <v>Proportional</v>
          </cell>
          <cell r="S7112">
            <v>-96.91</v>
          </cell>
          <cell r="X7112" t="str">
            <v>Commissions - gross</v>
          </cell>
          <cell r="Y7112" t="str">
            <v>UNITED STATES</v>
          </cell>
        </row>
        <row r="7113">
          <cell r="L7113" t="str">
            <v>Non-proportional</v>
          </cell>
          <cell r="S7113">
            <v>-10.84</v>
          </cell>
          <cell r="X7113" t="str">
            <v>Commissions - gross</v>
          </cell>
          <cell r="Y7113" t="str">
            <v>DOMINICAN REPUBLIC</v>
          </cell>
        </row>
        <row r="7114">
          <cell r="L7114" t="str">
            <v>Non-proportional</v>
          </cell>
          <cell r="S7114">
            <v>171.8</v>
          </cell>
          <cell r="X7114" t="str">
            <v>Commissions - gross</v>
          </cell>
          <cell r="Y7114" t="str">
            <v>FRANCE</v>
          </cell>
        </row>
        <row r="7115">
          <cell r="L7115" t="str">
            <v>Non-proportional</v>
          </cell>
          <cell r="S7115">
            <v>63.05</v>
          </cell>
          <cell r="X7115" t="str">
            <v>Commissions - gross</v>
          </cell>
          <cell r="Y7115" t="str">
            <v>NEW ZEALAND</v>
          </cell>
        </row>
        <row r="7116">
          <cell r="L7116" t="str">
            <v>Non-proportional</v>
          </cell>
          <cell r="S7116">
            <v>1996.77</v>
          </cell>
          <cell r="X7116" t="str">
            <v>Commissions - gross</v>
          </cell>
          <cell r="Y7116" t="str">
            <v>FRANCE</v>
          </cell>
        </row>
        <row r="7117">
          <cell r="L7117" t="str">
            <v>Non-proportional</v>
          </cell>
          <cell r="S7117">
            <v>-5334.54</v>
          </cell>
          <cell r="X7117" t="str">
            <v>Commissions - gross</v>
          </cell>
          <cell r="Y7117" t="str">
            <v>NEW ZEALAND</v>
          </cell>
        </row>
        <row r="7118">
          <cell r="L7118" t="str">
            <v>Non-proportional</v>
          </cell>
          <cell r="S7118">
            <v>-1151.82</v>
          </cell>
          <cell r="X7118" t="str">
            <v>Commissions - gross</v>
          </cell>
          <cell r="Y7118" t="str">
            <v>SOUTH AFRICA</v>
          </cell>
        </row>
        <row r="7119">
          <cell r="L7119" t="str">
            <v>Proportional</v>
          </cell>
          <cell r="S7119">
            <v>146.13</v>
          </cell>
          <cell r="X7119" t="str">
            <v>Commissions - gross</v>
          </cell>
          <cell r="Y7119" t="str">
            <v>CHILE</v>
          </cell>
        </row>
        <row r="7120">
          <cell r="L7120" t="str">
            <v>Non-proportional</v>
          </cell>
          <cell r="S7120">
            <v>605.5</v>
          </cell>
          <cell r="X7120" t="str">
            <v>Commissions - gross</v>
          </cell>
          <cell r="Y7120" t="str">
            <v>FRANCE</v>
          </cell>
        </row>
        <row r="7121">
          <cell r="L7121" t="str">
            <v>Non-proportional</v>
          </cell>
          <cell r="S7121">
            <v>966.06</v>
          </cell>
          <cell r="X7121" t="str">
            <v>Commissions - gross</v>
          </cell>
          <cell r="Y7121" t="str">
            <v>CHINA</v>
          </cell>
        </row>
        <row r="7122">
          <cell r="L7122" t="str">
            <v>Non-proportional</v>
          </cell>
          <cell r="S7122">
            <v>255.74</v>
          </cell>
          <cell r="X7122" t="str">
            <v>Commissions - gross</v>
          </cell>
          <cell r="Y7122" t="str">
            <v>CHILE</v>
          </cell>
        </row>
        <row r="7123">
          <cell r="L7123" t="str">
            <v>Non-proportional</v>
          </cell>
          <cell r="S7123">
            <v>2153.4699999999998</v>
          </cell>
          <cell r="X7123" t="str">
            <v>Commissions - gross</v>
          </cell>
          <cell r="Y7123" t="str">
            <v>UNITED KINGDOM</v>
          </cell>
        </row>
        <row r="7124">
          <cell r="L7124" t="str">
            <v>Non-proportional</v>
          </cell>
          <cell r="S7124">
            <v>631.21</v>
          </cell>
          <cell r="X7124" t="str">
            <v>Commissions - gross</v>
          </cell>
          <cell r="Y7124" t="str">
            <v>AUSTRALIA</v>
          </cell>
        </row>
        <row r="7125">
          <cell r="L7125" t="str">
            <v>Non-proportional</v>
          </cell>
          <cell r="S7125">
            <v>5.03</v>
          </cell>
          <cell r="X7125" t="str">
            <v>Commissions - gross</v>
          </cell>
          <cell r="Y7125" t="str">
            <v>ISRAEL</v>
          </cell>
        </row>
        <row r="7126">
          <cell r="L7126" t="str">
            <v>Non-proportional</v>
          </cell>
          <cell r="S7126">
            <v>-1216.3</v>
          </cell>
          <cell r="X7126" t="str">
            <v>Commissions - gross</v>
          </cell>
          <cell r="Y7126" t="str">
            <v>SOUTH AFRICA</v>
          </cell>
        </row>
        <row r="7127">
          <cell r="L7127" t="str">
            <v>Non-proportional</v>
          </cell>
          <cell r="S7127">
            <v>-2625</v>
          </cell>
          <cell r="X7127" t="str">
            <v>Commissions - gross</v>
          </cell>
          <cell r="Y7127" t="str">
            <v>ITALY</v>
          </cell>
        </row>
        <row r="7128">
          <cell r="L7128" t="str">
            <v>Non-proportional</v>
          </cell>
          <cell r="S7128">
            <v>1278.68</v>
          </cell>
          <cell r="X7128" t="str">
            <v>Commissions - gross</v>
          </cell>
          <cell r="Y7128" t="str">
            <v>CHILE</v>
          </cell>
        </row>
        <row r="7129">
          <cell r="L7129" t="str">
            <v>Non-proportional</v>
          </cell>
          <cell r="S7129">
            <v>131.04</v>
          </cell>
          <cell r="X7129" t="str">
            <v>Commissions - gross</v>
          </cell>
          <cell r="Y7129" t="str">
            <v>DOMINICAN REPUBLIC</v>
          </cell>
        </row>
        <row r="7130">
          <cell r="L7130" t="str">
            <v>Non-proportional</v>
          </cell>
          <cell r="S7130">
            <v>853.13</v>
          </cell>
          <cell r="X7130" t="str">
            <v>Commissions - gross</v>
          </cell>
          <cell r="Y7130" t="str">
            <v>TURKEY</v>
          </cell>
        </row>
        <row r="7131">
          <cell r="L7131" t="str">
            <v>Non-proportional</v>
          </cell>
          <cell r="S7131">
            <v>350.66</v>
          </cell>
          <cell r="X7131" t="str">
            <v>Commissions - gross</v>
          </cell>
          <cell r="Y7131" t="str">
            <v>AUSTRALIA</v>
          </cell>
        </row>
        <row r="7132">
          <cell r="L7132" t="str">
            <v>Non-proportional</v>
          </cell>
          <cell r="S7132">
            <v>-264.12</v>
          </cell>
          <cell r="X7132" t="str">
            <v>Commissions - gross</v>
          </cell>
          <cell r="Y7132" t="str">
            <v>JAPAN</v>
          </cell>
        </row>
        <row r="7133">
          <cell r="L7133" t="str">
            <v>Non-proportional</v>
          </cell>
          <cell r="S7133">
            <v>423.33</v>
          </cell>
          <cell r="X7133" t="str">
            <v>Commissions - gross</v>
          </cell>
          <cell r="Y7133" t="str">
            <v>FRANCE</v>
          </cell>
        </row>
        <row r="7134">
          <cell r="L7134" t="str">
            <v>Non-proportional</v>
          </cell>
          <cell r="S7134">
            <v>158974.63</v>
          </cell>
          <cell r="X7134" t="str">
            <v>Commissions - gross</v>
          </cell>
          <cell r="Y7134" t="str">
            <v>UNITED KINGDOM</v>
          </cell>
        </row>
        <row r="7135">
          <cell r="L7135" t="str">
            <v>Non-proportional</v>
          </cell>
          <cell r="S7135">
            <v>1242.47</v>
          </cell>
          <cell r="X7135" t="str">
            <v>Commissions - gross</v>
          </cell>
          <cell r="Y7135" t="str">
            <v>UNITED KINGDOM</v>
          </cell>
        </row>
        <row r="7136">
          <cell r="L7136" t="str">
            <v>Non-proportional</v>
          </cell>
          <cell r="S7136">
            <v>3000</v>
          </cell>
          <cell r="X7136" t="str">
            <v>Commissions - gross</v>
          </cell>
          <cell r="Y7136" t="str">
            <v>FRANCE</v>
          </cell>
        </row>
        <row r="7137">
          <cell r="L7137" t="str">
            <v>Non-proportional</v>
          </cell>
          <cell r="S7137">
            <v>-22967.16</v>
          </cell>
          <cell r="X7137" t="str">
            <v>Commissions - gross</v>
          </cell>
          <cell r="Y7137" t="str">
            <v>AUSTRALIA</v>
          </cell>
        </row>
        <row r="7138">
          <cell r="L7138" t="str">
            <v>Non-proportional</v>
          </cell>
          <cell r="S7138">
            <v>22193.5</v>
          </cell>
          <cell r="X7138" t="str">
            <v>Commissions - gross</v>
          </cell>
          <cell r="Y7138" t="str">
            <v>BELGIUM</v>
          </cell>
        </row>
        <row r="7139">
          <cell r="L7139" t="str">
            <v>Non-proportional</v>
          </cell>
          <cell r="S7139">
            <v>4.8499999999999996</v>
          </cell>
          <cell r="X7139" t="str">
            <v>Commissions - gross</v>
          </cell>
          <cell r="Y7139" t="str">
            <v>BRAZIL</v>
          </cell>
        </row>
        <row r="7140">
          <cell r="L7140" t="str">
            <v>Non-proportional</v>
          </cell>
          <cell r="S7140">
            <v>20.13</v>
          </cell>
          <cell r="X7140" t="str">
            <v>Commissions - gross</v>
          </cell>
          <cell r="Y7140" t="str">
            <v>TURKEY</v>
          </cell>
        </row>
        <row r="7141">
          <cell r="L7141" t="str">
            <v>Non-proportional</v>
          </cell>
          <cell r="S7141">
            <v>-1949.12</v>
          </cell>
          <cell r="X7141" t="str">
            <v>Commissions - gross</v>
          </cell>
          <cell r="Y7141" t="str">
            <v>JAPAN</v>
          </cell>
        </row>
        <row r="7142">
          <cell r="L7142" t="str">
            <v>Non-proportional</v>
          </cell>
          <cell r="S7142">
            <v>-999.6</v>
          </cell>
          <cell r="X7142" t="str">
            <v>Commissions - gross</v>
          </cell>
          <cell r="Y7142" t="str">
            <v>PUERTO RICO</v>
          </cell>
        </row>
        <row r="7143">
          <cell r="L7143" t="str">
            <v>Non-proportional</v>
          </cell>
          <cell r="S7143">
            <v>1242.19</v>
          </cell>
          <cell r="X7143" t="str">
            <v>Commissions - gross</v>
          </cell>
          <cell r="Y7143" t="str">
            <v>COSTA RICA</v>
          </cell>
        </row>
        <row r="7144">
          <cell r="L7144" t="str">
            <v>Non-proportional</v>
          </cell>
          <cell r="S7144">
            <v>-22.14</v>
          </cell>
          <cell r="X7144" t="str">
            <v>Commissions - gross</v>
          </cell>
          <cell r="Y7144" t="str">
            <v>COLOMBIA</v>
          </cell>
        </row>
        <row r="7145">
          <cell r="L7145" t="str">
            <v>Non-proportional</v>
          </cell>
          <cell r="S7145">
            <v>289.39999999999998</v>
          </cell>
          <cell r="X7145" t="str">
            <v>Commissions - gross</v>
          </cell>
          <cell r="Y7145" t="str">
            <v>UNITED KINGDOM</v>
          </cell>
        </row>
        <row r="7146">
          <cell r="L7146" t="str">
            <v>Non-proportional</v>
          </cell>
          <cell r="S7146">
            <v>2241.92</v>
          </cell>
          <cell r="X7146" t="str">
            <v>Commissions - gross</v>
          </cell>
          <cell r="Y7146" t="str">
            <v>UNITED KINGDOM</v>
          </cell>
        </row>
        <row r="7147">
          <cell r="L7147" t="str">
            <v>Non-proportional</v>
          </cell>
          <cell r="S7147">
            <v>1442.4</v>
          </cell>
          <cell r="X7147" t="str">
            <v>Commissions - gross</v>
          </cell>
          <cell r="Y7147" t="str">
            <v>FRANCE</v>
          </cell>
        </row>
        <row r="7148">
          <cell r="L7148" t="str">
            <v>Non-proportional</v>
          </cell>
          <cell r="S7148">
            <v>380.69</v>
          </cell>
          <cell r="X7148" t="str">
            <v>Commissions - gross</v>
          </cell>
          <cell r="Y7148" t="str">
            <v>SINGAPORE</v>
          </cell>
        </row>
        <row r="7149">
          <cell r="L7149" t="str">
            <v>Non-proportional</v>
          </cell>
          <cell r="S7149">
            <v>149.01</v>
          </cell>
          <cell r="X7149" t="str">
            <v>Commissions - gross</v>
          </cell>
          <cell r="Y7149" t="str">
            <v>UNITED KINGDOM</v>
          </cell>
        </row>
        <row r="7150">
          <cell r="L7150" t="str">
            <v>Non-proportional</v>
          </cell>
          <cell r="S7150">
            <v>649.46</v>
          </cell>
          <cell r="X7150" t="str">
            <v>Commissions - gross</v>
          </cell>
          <cell r="Y7150" t="str">
            <v>UNITED KINGDOM</v>
          </cell>
        </row>
        <row r="7151">
          <cell r="L7151" t="str">
            <v>Non-proportional</v>
          </cell>
          <cell r="S7151">
            <v>385.42</v>
          </cell>
          <cell r="X7151" t="str">
            <v>Commissions - gross</v>
          </cell>
          <cell r="Y7151" t="str">
            <v>FRANCE</v>
          </cell>
        </row>
        <row r="7152">
          <cell r="L7152" t="str">
            <v>Non-proportional</v>
          </cell>
          <cell r="S7152">
            <v>-2083.9499999999998</v>
          </cell>
          <cell r="X7152" t="str">
            <v>Commissions - gross</v>
          </cell>
          <cell r="Y7152" t="str">
            <v>JAPAN</v>
          </cell>
        </row>
        <row r="7153">
          <cell r="L7153" t="str">
            <v>Non-proportional</v>
          </cell>
          <cell r="S7153">
            <v>620.48</v>
          </cell>
          <cell r="X7153" t="str">
            <v>Commissions - gross</v>
          </cell>
          <cell r="Y7153" t="str">
            <v>THAILAND</v>
          </cell>
        </row>
        <row r="7154">
          <cell r="L7154" t="str">
            <v>Non-proportional</v>
          </cell>
          <cell r="S7154">
            <v>16.78</v>
          </cell>
          <cell r="X7154" t="str">
            <v>Commissions - gross</v>
          </cell>
          <cell r="Y7154" t="str">
            <v>JAPAN</v>
          </cell>
        </row>
        <row r="7155">
          <cell r="L7155" t="str">
            <v>Non-proportional</v>
          </cell>
          <cell r="S7155">
            <v>751.67</v>
          </cell>
          <cell r="X7155" t="str">
            <v>Commissions - gross</v>
          </cell>
          <cell r="Y7155" t="str">
            <v>ECUADOR</v>
          </cell>
        </row>
        <row r="7156">
          <cell r="L7156" t="str">
            <v>Non-proportional</v>
          </cell>
          <cell r="S7156">
            <v>535.6</v>
          </cell>
          <cell r="X7156" t="str">
            <v>Commissions - gross</v>
          </cell>
          <cell r="Y7156" t="str">
            <v>COLOMBIA</v>
          </cell>
        </row>
        <row r="7157">
          <cell r="L7157" t="str">
            <v>Non-proportional</v>
          </cell>
          <cell r="S7157">
            <v>593.27</v>
          </cell>
          <cell r="X7157" t="str">
            <v>Commissions - gross</v>
          </cell>
          <cell r="Y7157" t="str">
            <v>ECUADOR</v>
          </cell>
        </row>
        <row r="7158">
          <cell r="L7158" t="str">
            <v>Proportional</v>
          </cell>
          <cell r="S7158">
            <v>-3.69</v>
          </cell>
          <cell r="X7158" t="str">
            <v>Commissions - gross</v>
          </cell>
          <cell r="Y7158" t="str">
            <v>UNITED STATES</v>
          </cell>
        </row>
        <row r="7159">
          <cell r="L7159" t="str">
            <v>Non-proportional</v>
          </cell>
          <cell r="S7159">
            <v>14.81</v>
          </cell>
          <cell r="X7159" t="str">
            <v>Commissions - gross</v>
          </cell>
          <cell r="Y7159" t="str">
            <v>INDIA</v>
          </cell>
        </row>
        <row r="7160">
          <cell r="L7160" t="str">
            <v>Non-proportional</v>
          </cell>
          <cell r="S7160">
            <v>-1167.01</v>
          </cell>
          <cell r="X7160" t="str">
            <v>Commissions - gross</v>
          </cell>
          <cell r="Y7160" t="str">
            <v>JAPAN</v>
          </cell>
        </row>
        <row r="7161">
          <cell r="L7161" t="str">
            <v>Non-proportional</v>
          </cell>
          <cell r="S7161">
            <v>721.87</v>
          </cell>
          <cell r="X7161" t="str">
            <v>Commissions - gross</v>
          </cell>
          <cell r="Y7161" t="str">
            <v>FRANCE</v>
          </cell>
        </row>
        <row r="7162">
          <cell r="L7162" t="str">
            <v>Non-proportional</v>
          </cell>
          <cell r="S7162">
            <v>3131.61</v>
          </cell>
          <cell r="X7162" t="str">
            <v>Commissions - gross</v>
          </cell>
          <cell r="Y7162" t="str">
            <v>FRANCE</v>
          </cell>
        </row>
        <row r="7163">
          <cell r="L7163" t="str">
            <v>Non-proportional</v>
          </cell>
          <cell r="S7163">
            <v>-0.56000000000000005</v>
          </cell>
          <cell r="X7163" t="str">
            <v>Commissions - gross</v>
          </cell>
          <cell r="Y7163" t="str">
            <v>GUATEMALA</v>
          </cell>
        </row>
        <row r="7164">
          <cell r="L7164" t="str">
            <v>Non-proportional</v>
          </cell>
          <cell r="S7164">
            <v>789.75</v>
          </cell>
          <cell r="X7164" t="str">
            <v>Commissions - gross</v>
          </cell>
          <cell r="Y7164" t="str">
            <v>ITALY</v>
          </cell>
        </row>
        <row r="7165">
          <cell r="L7165" t="str">
            <v>Non-proportional</v>
          </cell>
          <cell r="S7165">
            <v>2989.42</v>
          </cell>
          <cell r="X7165" t="str">
            <v>Commissions - gross</v>
          </cell>
          <cell r="Y7165" t="str">
            <v>TURKEY</v>
          </cell>
        </row>
        <row r="7166">
          <cell r="L7166" t="str">
            <v>Non-proportional</v>
          </cell>
          <cell r="S7166">
            <v>904.39</v>
          </cell>
          <cell r="X7166" t="str">
            <v>Commissions - gross</v>
          </cell>
          <cell r="Y7166" t="str">
            <v>FRANCE</v>
          </cell>
        </row>
        <row r="7167">
          <cell r="L7167" t="str">
            <v>Non-proportional</v>
          </cell>
          <cell r="S7167">
            <v>33.89</v>
          </cell>
          <cell r="X7167" t="str">
            <v>Commissions - gross</v>
          </cell>
          <cell r="Y7167" t="str">
            <v>DOMINICAN REPUBLIC</v>
          </cell>
        </row>
        <row r="7168">
          <cell r="L7168" t="str">
            <v>Non-proportional</v>
          </cell>
          <cell r="S7168">
            <v>1588.55</v>
          </cell>
          <cell r="X7168" t="str">
            <v>Commissions - gross</v>
          </cell>
          <cell r="Y7168" t="str">
            <v>EUROPE</v>
          </cell>
        </row>
        <row r="7169">
          <cell r="L7169" t="str">
            <v>Non-proportional</v>
          </cell>
          <cell r="S7169">
            <v>2709.24</v>
          </cell>
          <cell r="X7169" t="str">
            <v>Commissions - gross</v>
          </cell>
          <cell r="Y7169" t="str">
            <v>TURKEY</v>
          </cell>
        </row>
        <row r="7170">
          <cell r="L7170" t="str">
            <v>Non-proportional</v>
          </cell>
          <cell r="S7170">
            <v>922.03</v>
          </cell>
          <cell r="X7170" t="str">
            <v>Commissions - gross</v>
          </cell>
          <cell r="Y7170" t="str">
            <v>JAPAN</v>
          </cell>
        </row>
        <row r="7171">
          <cell r="L7171" t="str">
            <v>Non-proportional</v>
          </cell>
          <cell r="S7171">
            <v>-1520.91</v>
          </cell>
          <cell r="X7171" t="str">
            <v>Commissions - gross</v>
          </cell>
          <cell r="Y7171" t="str">
            <v>JAPAN</v>
          </cell>
        </row>
        <row r="7172">
          <cell r="L7172" t="str">
            <v>Non-proportional</v>
          </cell>
          <cell r="S7172">
            <v>606</v>
          </cell>
          <cell r="X7172" t="str">
            <v>Commissions - gross</v>
          </cell>
          <cell r="Y7172" t="str">
            <v>ISRAEL</v>
          </cell>
        </row>
        <row r="7173">
          <cell r="L7173" t="str">
            <v>Non-proportional</v>
          </cell>
          <cell r="S7173">
            <v>1265.96</v>
          </cell>
          <cell r="X7173" t="str">
            <v>Commissions - gross</v>
          </cell>
          <cell r="Y7173" t="str">
            <v>ITALY</v>
          </cell>
        </row>
        <row r="7174">
          <cell r="L7174" t="str">
            <v>Non-proportional</v>
          </cell>
          <cell r="S7174">
            <v>338.18</v>
          </cell>
          <cell r="X7174" t="str">
            <v>Commissions - gross</v>
          </cell>
          <cell r="Y7174" t="str">
            <v>ITALY</v>
          </cell>
        </row>
        <row r="7175">
          <cell r="L7175" t="str">
            <v>Proportional</v>
          </cell>
          <cell r="S7175">
            <v>165.91</v>
          </cell>
          <cell r="X7175" t="str">
            <v>Commissions - gross</v>
          </cell>
          <cell r="Y7175" t="str">
            <v>EUROPE</v>
          </cell>
        </row>
        <row r="7176">
          <cell r="L7176" t="str">
            <v>Non-proportional</v>
          </cell>
          <cell r="S7176">
            <v>502.38</v>
          </cell>
          <cell r="X7176" t="str">
            <v>Commissions - gross</v>
          </cell>
          <cell r="Y7176" t="str">
            <v>UNITED KINGDOM</v>
          </cell>
        </row>
        <row r="7177">
          <cell r="L7177" t="str">
            <v>Non-proportional</v>
          </cell>
          <cell r="S7177">
            <v>-2398.4</v>
          </cell>
          <cell r="X7177" t="str">
            <v>Commissions - gross</v>
          </cell>
          <cell r="Y7177" t="str">
            <v>JAPAN</v>
          </cell>
        </row>
        <row r="7178">
          <cell r="L7178" t="str">
            <v>Non-proportional</v>
          </cell>
          <cell r="S7178">
            <v>158.74</v>
          </cell>
          <cell r="X7178" t="str">
            <v>Commissions - gross</v>
          </cell>
          <cell r="Y7178" t="str">
            <v>ITALY</v>
          </cell>
        </row>
        <row r="7179">
          <cell r="L7179" t="str">
            <v>Proportional</v>
          </cell>
          <cell r="S7179">
            <v>19616.73</v>
          </cell>
          <cell r="X7179" t="str">
            <v>Commissions - gross</v>
          </cell>
          <cell r="Y7179" t="str">
            <v>UNITED STATES</v>
          </cell>
        </row>
        <row r="7180">
          <cell r="L7180" t="str">
            <v>Non-proportional</v>
          </cell>
          <cell r="S7180">
            <v>395.03</v>
          </cell>
          <cell r="X7180" t="str">
            <v>Commissions - gross</v>
          </cell>
          <cell r="Y7180" t="str">
            <v>UNITED KINGDOM</v>
          </cell>
        </row>
        <row r="7181">
          <cell r="L7181" t="str">
            <v>Non-proportional</v>
          </cell>
          <cell r="S7181">
            <v>421.39</v>
          </cell>
          <cell r="X7181" t="str">
            <v>Commissions - gross</v>
          </cell>
          <cell r="Y7181" t="str">
            <v>DOMINICAN REPUBLIC</v>
          </cell>
        </row>
        <row r="7182">
          <cell r="L7182" t="str">
            <v>Non-proportional</v>
          </cell>
          <cell r="S7182">
            <v>405.53</v>
          </cell>
          <cell r="X7182" t="str">
            <v>Commissions - gross</v>
          </cell>
          <cell r="Y7182" t="str">
            <v>INDIA</v>
          </cell>
        </row>
        <row r="7183">
          <cell r="L7183" t="str">
            <v>Non-proportional</v>
          </cell>
          <cell r="S7183">
            <v>35.369999999999997</v>
          </cell>
          <cell r="X7183" t="str">
            <v>Commissions - gross</v>
          </cell>
          <cell r="Y7183" t="str">
            <v>JAPAN</v>
          </cell>
        </row>
        <row r="7184">
          <cell r="L7184" t="str">
            <v>Proportional</v>
          </cell>
          <cell r="S7184">
            <v>-19725.88</v>
          </cell>
          <cell r="X7184" t="str">
            <v>Commissions - gross</v>
          </cell>
          <cell r="Y7184" t="str">
            <v>JAPAN</v>
          </cell>
        </row>
        <row r="7185">
          <cell r="L7185" t="str">
            <v>Non-proportional</v>
          </cell>
          <cell r="S7185">
            <v>2019.75</v>
          </cell>
          <cell r="X7185" t="str">
            <v>Commissions - gross</v>
          </cell>
          <cell r="Y7185" t="str">
            <v>ITALY</v>
          </cell>
        </row>
        <row r="7186">
          <cell r="L7186" t="str">
            <v>Non-proportional</v>
          </cell>
          <cell r="S7186">
            <v>204.01</v>
          </cell>
          <cell r="X7186" t="str">
            <v>Commissions - gross</v>
          </cell>
          <cell r="Y7186" t="str">
            <v>DOMINICAN REPUBLIC</v>
          </cell>
        </row>
        <row r="7187">
          <cell r="L7187" t="str">
            <v>Non-proportional</v>
          </cell>
          <cell r="S7187">
            <v>-1967.55</v>
          </cell>
          <cell r="X7187" t="str">
            <v>Commissions - gross</v>
          </cell>
          <cell r="Y7187" t="str">
            <v>SOUTH AFRICA</v>
          </cell>
        </row>
        <row r="7188">
          <cell r="L7188" t="str">
            <v>Non-proportional</v>
          </cell>
          <cell r="S7188">
            <v>690.77</v>
          </cell>
          <cell r="X7188" t="str">
            <v>Commissions - gross</v>
          </cell>
          <cell r="Y7188" t="str">
            <v>GREECE</v>
          </cell>
        </row>
        <row r="7189">
          <cell r="L7189" t="str">
            <v>Non-proportional</v>
          </cell>
          <cell r="S7189">
            <v>317.47000000000003</v>
          </cell>
          <cell r="X7189" t="str">
            <v>Commissions - gross</v>
          </cell>
          <cell r="Y7189" t="str">
            <v>PERU</v>
          </cell>
        </row>
        <row r="7190">
          <cell r="L7190" t="str">
            <v>Non-proportional</v>
          </cell>
          <cell r="S7190">
            <v>401.87</v>
          </cell>
          <cell r="X7190" t="str">
            <v>Commissions - gross</v>
          </cell>
          <cell r="Y7190" t="str">
            <v>CHILE</v>
          </cell>
        </row>
        <row r="7191">
          <cell r="L7191" t="str">
            <v>Non-proportional</v>
          </cell>
          <cell r="S7191">
            <v>319.20999999999998</v>
          </cell>
          <cell r="X7191" t="str">
            <v>Commissions - gross</v>
          </cell>
          <cell r="Y7191" t="str">
            <v>UNITED KINGDOM</v>
          </cell>
        </row>
        <row r="7192">
          <cell r="L7192" t="str">
            <v>Non-proportional</v>
          </cell>
          <cell r="S7192">
            <v>255.63</v>
          </cell>
          <cell r="X7192" t="str">
            <v>Commissions - gross</v>
          </cell>
          <cell r="Y7192" t="str">
            <v>AUSTRALIA</v>
          </cell>
        </row>
        <row r="7193">
          <cell r="L7193" t="str">
            <v>Non-proportional</v>
          </cell>
          <cell r="S7193">
            <v>66.5</v>
          </cell>
          <cell r="X7193" t="str">
            <v>Commissions - gross</v>
          </cell>
          <cell r="Y7193" t="str">
            <v>FRANCE</v>
          </cell>
        </row>
        <row r="7194">
          <cell r="L7194" t="str">
            <v>Non-proportional</v>
          </cell>
          <cell r="S7194">
            <v>3.25</v>
          </cell>
          <cell r="X7194" t="str">
            <v>Commissions - gross</v>
          </cell>
          <cell r="Y7194" t="str">
            <v>ISRAEL</v>
          </cell>
        </row>
        <row r="7195">
          <cell r="L7195" t="str">
            <v>Non-proportional</v>
          </cell>
          <cell r="S7195">
            <v>37.729999999999997</v>
          </cell>
          <cell r="X7195" t="str">
            <v>Commissions - gross</v>
          </cell>
          <cell r="Y7195" t="str">
            <v>JAPAN</v>
          </cell>
        </row>
        <row r="7196">
          <cell r="L7196" t="str">
            <v>Non-proportional</v>
          </cell>
          <cell r="S7196">
            <v>4.25</v>
          </cell>
          <cell r="X7196" t="str">
            <v>Commissions - gross</v>
          </cell>
          <cell r="Y7196" t="str">
            <v>ISRAEL</v>
          </cell>
        </row>
        <row r="7197">
          <cell r="L7197" t="str">
            <v>Non-proportional</v>
          </cell>
          <cell r="S7197">
            <v>-15784.65</v>
          </cell>
          <cell r="X7197" t="str">
            <v>Commissions - gross</v>
          </cell>
          <cell r="Y7197" t="str">
            <v>UNITED KINGDOM</v>
          </cell>
        </row>
        <row r="7198">
          <cell r="L7198" t="str">
            <v>Non-proportional</v>
          </cell>
          <cell r="S7198">
            <v>987.54</v>
          </cell>
          <cell r="X7198" t="str">
            <v>Commissions - gross</v>
          </cell>
          <cell r="Y7198" t="str">
            <v>PERU</v>
          </cell>
        </row>
        <row r="7199">
          <cell r="L7199" t="str">
            <v>Non-proportional</v>
          </cell>
          <cell r="S7199">
            <v>23.89</v>
          </cell>
          <cell r="X7199" t="str">
            <v>Commissions - gross</v>
          </cell>
          <cell r="Y7199" t="str">
            <v>COLOMBIA</v>
          </cell>
        </row>
        <row r="7200">
          <cell r="L7200" t="str">
            <v>Non-proportional</v>
          </cell>
          <cell r="S7200">
            <v>106.53</v>
          </cell>
          <cell r="X7200" t="str">
            <v>Commissions - gross</v>
          </cell>
          <cell r="Y7200" t="str">
            <v>JAPAN</v>
          </cell>
        </row>
        <row r="7201">
          <cell r="L7201" t="str">
            <v>Non-proportional</v>
          </cell>
          <cell r="S7201">
            <v>886.93</v>
          </cell>
          <cell r="X7201" t="str">
            <v>Commissions - gross</v>
          </cell>
          <cell r="Y7201" t="str">
            <v>DOMINICAN REPUBLIC</v>
          </cell>
        </row>
        <row r="7202">
          <cell r="L7202" t="str">
            <v>Non-proportional</v>
          </cell>
          <cell r="S7202">
            <v>145.83000000000001</v>
          </cell>
          <cell r="X7202" t="str">
            <v>Commissions - gross</v>
          </cell>
          <cell r="Y7202" t="str">
            <v>GREECE</v>
          </cell>
        </row>
        <row r="7203">
          <cell r="L7203" t="str">
            <v>Non-proportional</v>
          </cell>
          <cell r="S7203">
            <v>390.62</v>
          </cell>
          <cell r="X7203" t="str">
            <v>Commissions - gross</v>
          </cell>
          <cell r="Y7203" t="str">
            <v>EUROPE</v>
          </cell>
        </row>
        <row r="7204">
          <cell r="L7204" t="str">
            <v>Proportional</v>
          </cell>
          <cell r="S7204">
            <v>342.21</v>
          </cell>
          <cell r="X7204" t="str">
            <v>Commissions - gross</v>
          </cell>
          <cell r="Y7204" t="str">
            <v>ITALY</v>
          </cell>
        </row>
        <row r="7205">
          <cell r="L7205" t="str">
            <v>Proportional</v>
          </cell>
          <cell r="S7205">
            <v>4668.01</v>
          </cell>
          <cell r="X7205" t="str">
            <v>Commissions - gross</v>
          </cell>
          <cell r="Y7205" t="str">
            <v>UNITED STATES</v>
          </cell>
        </row>
        <row r="7206">
          <cell r="L7206" t="str">
            <v>Non-proportional</v>
          </cell>
          <cell r="S7206">
            <v>500.11</v>
          </cell>
          <cell r="X7206" t="str">
            <v>Commissions - gross</v>
          </cell>
          <cell r="Y7206" t="str">
            <v>ITALY</v>
          </cell>
        </row>
        <row r="7207">
          <cell r="L7207" t="str">
            <v>Non-proportional</v>
          </cell>
          <cell r="S7207">
            <v>882.53</v>
          </cell>
          <cell r="X7207" t="str">
            <v>Commissions - gross</v>
          </cell>
          <cell r="Y7207" t="str">
            <v>ISRAEL</v>
          </cell>
        </row>
        <row r="7208">
          <cell r="L7208" t="str">
            <v>Non-proportional</v>
          </cell>
          <cell r="S7208">
            <v>130.38</v>
          </cell>
          <cell r="X7208" t="str">
            <v>Commissions - gross</v>
          </cell>
          <cell r="Y7208" t="str">
            <v>CYPRUS</v>
          </cell>
        </row>
        <row r="7209">
          <cell r="L7209" t="str">
            <v>Non-proportional</v>
          </cell>
          <cell r="S7209">
            <v>164.73</v>
          </cell>
          <cell r="X7209" t="str">
            <v>Commissions - gross</v>
          </cell>
          <cell r="Y7209" t="str">
            <v>COSTA RICA</v>
          </cell>
        </row>
        <row r="7210">
          <cell r="L7210" t="str">
            <v>Non-proportional</v>
          </cell>
          <cell r="S7210">
            <v>4950.3900000000003</v>
          </cell>
          <cell r="X7210" t="str">
            <v>Commissions - gross</v>
          </cell>
          <cell r="Y7210" t="str">
            <v>UNITED KINGDOM</v>
          </cell>
        </row>
        <row r="7211">
          <cell r="L7211" t="str">
            <v>Non-proportional</v>
          </cell>
          <cell r="S7211">
            <v>486.29</v>
          </cell>
          <cell r="X7211" t="str">
            <v>Commissions - gross</v>
          </cell>
          <cell r="Y7211" t="str">
            <v>ECUADOR</v>
          </cell>
        </row>
        <row r="7212">
          <cell r="L7212" t="str">
            <v>Non-proportional</v>
          </cell>
          <cell r="S7212">
            <v>875</v>
          </cell>
          <cell r="X7212" t="str">
            <v>Commissions - gross</v>
          </cell>
          <cell r="Y7212" t="str">
            <v>EUROPE</v>
          </cell>
        </row>
        <row r="7213">
          <cell r="L7213" t="str">
            <v>Non-proportional</v>
          </cell>
          <cell r="S7213">
            <v>1923.15</v>
          </cell>
          <cell r="X7213" t="str">
            <v>Commissions - gross</v>
          </cell>
          <cell r="Y7213" t="str">
            <v>FRANCE</v>
          </cell>
        </row>
        <row r="7214">
          <cell r="L7214" t="str">
            <v>Non-proportional</v>
          </cell>
          <cell r="S7214">
            <v>67.38</v>
          </cell>
          <cell r="X7214" t="str">
            <v>Commissions - gross</v>
          </cell>
          <cell r="Y7214" t="str">
            <v>JAPAN</v>
          </cell>
        </row>
        <row r="7215">
          <cell r="L7215" t="str">
            <v>Non-proportional</v>
          </cell>
          <cell r="S7215">
            <v>6.27</v>
          </cell>
          <cell r="X7215" t="str">
            <v>Commissions - gross</v>
          </cell>
          <cell r="Y7215" t="str">
            <v>ISRAEL</v>
          </cell>
        </row>
        <row r="7216">
          <cell r="L7216" t="str">
            <v>Non-proportional</v>
          </cell>
          <cell r="S7216">
            <v>518.07000000000005</v>
          </cell>
          <cell r="X7216" t="str">
            <v>Commissions - gross</v>
          </cell>
          <cell r="Y7216" t="str">
            <v>UNITED KINGDOM</v>
          </cell>
        </row>
        <row r="7217">
          <cell r="L7217" t="str">
            <v>Non-proportional</v>
          </cell>
          <cell r="S7217">
            <v>14229.62</v>
          </cell>
          <cell r="X7217" t="str">
            <v>Commissions - gross</v>
          </cell>
          <cell r="Y7217" t="str">
            <v>UNITED KINGDOM</v>
          </cell>
        </row>
        <row r="7218">
          <cell r="L7218" t="str">
            <v>Proportional</v>
          </cell>
          <cell r="S7218">
            <v>2685.3</v>
          </cell>
          <cell r="X7218" t="str">
            <v>Commissions - gross</v>
          </cell>
          <cell r="Y7218" t="str">
            <v>JAPAN</v>
          </cell>
        </row>
        <row r="7219">
          <cell r="L7219" t="str">
            <v>Non-proportional</v>
          </cell>
          <cell r="S7219">
            <v>1458.34</v>
          </cell>
          <cell r="X7219" t="str">
            <v>Commissions - gross</v>
          </cell>
          <cell r="Y7219" t="str">
            <v>EUROPE</v>
          </cell>
        </row>
        <row r="7220">
          <cell r="L7220" t="str">
            <v>Non-proportional</v>
          </cell>
          <cell r="S7220">
            <v>164.03</v>
          </cell>
          <cell r="X7220" t="str">
            <v>Commissions - gross</v>
          </cell>
          <cell r="Y7220" t="str">
            <v>NEW ZEALAND</v>
          </cell>
        </row>
        <row r="7221">
          <cell r="L7221" t="str">
            <v>Non-proportional</v>
          </cell>
          <cell r="S7221">
            <v>1.1299999999999999</v>
          </cell>
          <cell r="X7221" t="str">
            <v>Commissions - gross</v>
          </cell>
          <cell r="Y7221" t="str">
            <v>GUATEMALA</v>
          </cell>
        </row>
        <row r="7222">
          <cell r="L7222" t="str">
            <v>Non-proportional</v>
          </cell>
          <cell r="S7222">
            <v>36.53</v>
          </cell>
          <cell r="X7222" t="str">
            <v>Commissions - gross</v>
          </cell>
          <cell r="Y7222" t="str">
            <v>CHILE</v>
          </cell>
        </row>
        <row r="7223">
          <cell r="L7223" t="str">
            <v>Non-proportional</v>
          </cell>
          <cell r="S7223">
            <v>362.44</v>
          </cell>
          <cell r="X7223" t="str">
            <v>Commissions - gross</v>
          </cell>
          <cell r="Y7223" t="str">
            <v>INDIA</v>
          </cell>
        </row>
        <row r="7224">
          <cell r="L7224" t="str">
            <v>Non-proportional</v>
          </cell>
          <cell r="S7224">
            <v>35.46</v>
          </cell>
          <cell r="X7224" t="str">
            <v>Commissions - gross</v>
          </cell>
          <cell r="Y7224" t="str">
            <v>TURKEY</v>
          </cell>
        </row>
        <row r="7225">
          <cell r="L7225" t="str">
            <v>Non-proportional</v>
          </cell>
          <cell r="S7225">
            <v>152.11000000000001</v>
          </cell>
          <cell r="X7225" t="str">
            <v>Commissions - gross</v>
          </cell>
          <cell r="Y7225" t="str">
            <v>ISRAEL</v>
          </cell>
        </row>
        <row r="7226">
          <cell r="L7226" t="str">
            <v>Non-proportional</v>
          </cell>
          <cell r="S7226">
            <v>80</v>
          </cell>
          <cell r="X7226" t="str">
            <v>Commissions - gross</v>
          </cell>
          <cell r="Y7226" t="str">
            <v>ITALY</v>
          </cell>
        </row>
        <row r="7227">
          <cell r="L7227" t="str">
            <v>Non-proportional</v>
          </cell>
          <cell r="S7227">
            <v>-5859.45</v>
          </cell>
          <cell r="X7227" t="str">
            <v>Commissions - gross</v>
          </cell>
          <cell r="Y7227" t="str">
            <v>NEW ZEALAND</v>
          </cell>
        </row>
        <row r="7228">
          <cell r="L7228" t="str">
            <v>Non-proportional</v>
          </cell>
          <cell r="S7228">
            <v>20.57</v>
          </cell>
          <cell r="X7228" t="str">
            <v>Commissions - gross</v>
          </cell>
          <cell r="Y7228" t="str">
            <v>FRANCE</v>
          </cell>
        </row>
        <row r="7229">
          <cell r="L7229" t="str">
            <v>Non-proportional</v>
          </cell>
          <cell r="S7229">
            <v>743.83</v>
          </cell>
          <cell r="X7229" t="str">
            <v>Commissions - gross</v>
          </cell>
          <cell r="Y7229" t="str">
            <v>COSTA RICA</v>
          </cell>
        </row>
        <row r="7230">
          <cell r="L7230" t="str">
            <v>Non-proportional</v>
          </cell>
          <cell r="S7230">
            <v>4.42</v>
          </cell>
          <cell r="X7230" t="str">
            <v>Commissions - gross</v>
          </cell>
          <cell r="Y7230" t="str">
            <v>COLOMBIA</v>
          </cell>
        </row>
        <row r="7231">
          <cell r="L7231" t="str">
            <v>Non-proportional</v>
          </cell>
          <cell r="S7231">
            <v>817.64</v>
          </cell>
          <cell r="X7231" t="str">
            <v>Commissions - gross</v>
          </cell>
          <cell r="Y7231" t="str">
            <v>PERU</v>
          </cell>
        </row>
        <row r="7232">
          <cell r="L7232" t="str">
            <v>Non-proportional</v>
          </cell>
          <cell r="S7232">
            <v>724.84</v>
          </cell>
          <cell r="X7232" t="str">
            <v>Commissions - gross</v>
          </cell>
          <cell r="Y7232" t="str">
            <v>PUERTO RICO</v>
          </cell>
        </row>
        <row r="7233">
          <cell r="L7233" t="str">
            <v>Non-proportional</v>
          </cell>
          <cell r="S7233">
            <v>319.58</v>
          </cell>
          <cell r="X7233" t="str">
            <v>Commissions - gross</v>
          </cell>
          <cell r="Y7233" t="str">
            <v>UNITED KINGDOM</v>
          </cell>
        </row>
        <row r="7234">
          <cell r="L7234" t="str">
            <v>Non-proportional</v>
          </cell>
          <cell r="S7234">
            <v>695.78</v>
          </cell>
          <cell r="X7234" t="str">
            <v>Commissions - gross</v>
          </cell>
          <cell r="Y7234" t="str">
            <v>ITALY</v>
          </cell>
        </row>
        <row r="7235">
          <cell r="L7235" t="str">
            <v>Proportional</v>
          </cell>
          <cell r="S7235">
            <v>36.86</v>
          </cell>
          <cell r="X7235" t="str">
            <v>Commissions - gross</v>
          </cell>
          <cell r="Y7235" t="str">
            <v>ITALY</v>
          </cell>
        </row>
        <row r="7236">
          <cell r="L7236" t="str">
            <v>Non-proportional</v>
          </cell>
          <cell r="S7236">
            <v>48.51</v>
          </cell>
          <cell r="X7236" t="str">
            <v>Commissions - gross</v>
          </cell>
          <cell r="Y7236" t="str">
            <v>BRAZIL</v>
          </cell>
        </row>
        <row r="7237">
          <cell r="L7237" t="str">
            <v>Proportional</v>
          </cell>
          <cell r="S7237">
            <v>5733.68</v>
          </cell>
          <cell r="X7237" t="str">
            <v>Commissions - gross</v>
          </cell>
          <cell r="Y7237" t="str">
            <v>UNITED KINGDOM</v>
          </cell>
        </row>
        <row r="7238">
          <cell r="L7238" t="str">
            <v>Non-proportional</v>
          </cell>
          <cell r="S7238">
            <v>639.35</v>
          </cell>
          <cell r="X7238" t="str">
            <v>Commissions - gross</v>
          </cell>
          <cell r="Y7238" t="str">
            <v>NETHERLANDS</v>
          </cell>
        </row>
        <row r="7239">
          <cell r="L7239" t="str">
            <v>Non-proportional</v>
          </cell>
          <cell r="S7239">
            <v>249.52</v>
          </cell>
          <cell r="X7239" t="str">
            <v>Commissions - gross</v>
          </cell>
          <cell r="Y7239" t="str">
            <v>ITALY</v>
          </cell>
        </row>
        <row r="7240">
          <cell r="L7240" t="str">
            <v>Non-proportional</v>
          </cell>
          <cell r="S7240">
            <v>738.39</v>
          </cell>
          <cell r="X7240" t="str">
            <v>Commissions - gross</v>
          </cell>
          <cell r="Y7240" t="str">
            <v>COLOMBIA</v>
          </cell>
        </row>
        <row r="7241">
          <cell r="L7241" t="str">
            <v>Non-proportional</v>
          </cell>
          <cell r="S7241">
            <v>403.92</v>
          </cell>
          <cell r="X7241" t="str">
            <v>Commissions - gross</v>
          </cell>
          <cell r="Y7241" t="str">
            <v>ECUADOR</v>
          </cell>
        </row>
        <row r="7242">
          <cell r="L7242" t="str">
            <v>Non-proportional</v>
          </cell>
          <cell r="S7242">
            <v>400.86</v>
          </cell>
          <cell r="X7242" t="str">
            <v>Commissions - gross</v>
          </cell>
          <cell r="Y7242" t="str">
            <v>MEXICO</v>
          </cell>
        </row>
        <row r="7243">
          <cell r="L7243" t="str">
            <v>Non-proportional</v>
          </cell>
          <cell r="S7243">
            <v>119.73</v>
          </cell>
          <cell r="X7243" t="str">
            <v>Commissions - gross</v>
          </cell>
          <cell r="Y7243" t="str">
            <v>COLOMBIA</v>
          </cell>
        </row>
        <row r="7244">
          <cell r="L7244" t="str">
            <v>Non-proportional</v>
          </cell>
          <cell r="S7244">
            <v>173.52</v>
          </cell>
          <cell r="X7244" t="str">
            <v>Commissions - gross</v>
          </cell>
          <cell r="Y7244" t="str">
            <v>ECUADOR</v>
          </cell>
        </row>
        <row r="7245">
          <cell r="L7245" t="str">
            <v>Non-proportional</v>
          </cell>
          <cell r="S7245">
            <v>1317.89</v>
          </cell>
          <cell r="X7245" t="str">
            <v>Commissions - gross</v>
          </cell>
          <cell r="Y7245" t="str">
            <v>MEXICO</v>
          </cell>
        </row>
        <row r="7246">
          <cell r="L7246" t="str">
            <v>Non-proportional</v>
          </cell>
          <cell r="S7246">
            <v>174.97</v>
          </cell>
          <cell r="X7246" t="str">
            <v>Commissions - gross</v>
          </cell>
          <cell r="Y7246" t="str">
            <v>NETHERLANDS</v>
          </cell>
        </row>
        <row r="7247">
          <cell r="L7247" t="str">
            <v>Non-proportional</v>
          </cell>
          <cell r="S7247">
            <v>5.17</v>
          </cell>
          <cell r="X7247" t="str">
            <v>Commissions - gross</v>
          </cell>
          <cell r="Y7247" t="str">
            <v>INDIA</v>
          </cell>
        </row>
        <row r="7248">
          <cell r="L7248" t="str">
            <v>Proportional</v>
          </cell>
          <cell r="S7248">
            <v>26178.720000000001</v>
          </cell>
          <cell r="X7248" t="str">
            <v>Commissions - gross</v>
          </cell>
          <cell r="Y7248" t="str">
            <v>UNITED STATES</v>
          </cell>
        </row>
        <row r="7249">
          <cell r="L7249" t="str">
            <v>Proportional</v>
          </cell>
          <cell r="S7249">
            <v>-2603.36</v>
          </cell>
          <cell r="X7249" t="str">
            <v>Commissions - gross</v>
          </cell>
          <cell r="Y7249" t="str">
            <v>REPUBLIC OF IRELAND</v>
          </cell>
        </row>
        <row r="7250">
          <cell r="L7250" t="str">
            <v>Non-proportional</v>
          </cell>
          <cell r="S7250">
            <v>10933.04</v>
          </cell>
          <cell r="X7250" t="str">
            <v>Commissions - gross</v>
          </cell>
          <cell r="Y7250" t="str">
            <v>FRANCE</v>
          </cell>
        </row>
        <row r="7251">
          <cell r="L7251" t="str">
            <v>Non-proportional</v>
          </cell>
          <cell r="S7251">
            <v>8.5399999999999991</v>
          </cell>
          <cell r="X7251" t="str">
            <v>Commissions - gross</v>
          </cell>
          <cell r="Y7251" t="str">
            <v>JAPAN</v>
          </cell>
        </row>
        <row r="7252">
          <cell r="L7252" t="str">
            <v>Non-proportional</v>
          </cell>
          <cell r="S7252">
            <v>946.75</v>
          </cell>
          <cell r="X7252" t="str">
            <v>Commissions - gross</v>
          </cell>
          <cell r="Y7252" t="str">
            <v>AUSTRALIA</v>
          </cell>
        </row>
        <row r="7253">
          <cell r="L7253" t="str">
            <v>Non-proportional</v>
          </cell>
          <cell r="S7253">
            <v>45537.14</v>
          </cell>
          <cell r="X7253" t="str">
            <v>Commissions - gross</v>
          </cell>
          <cell r="Y7253" t="str">
            <v>FRANCE</v>
          </cell>
        </row>
        <row r="7254">
          <cell r="L7254" t="str">
            <v>Non-proportional</v>
          </cell>
          <cell r="S7254">
            <v>585.13</v>
          </cell>
          <cell r="X7254" t="str">
            <v>Commissions - gross</v>
          </cell>
          <cell r="Y7254" t="str">
            <v>ITALY</v>
          </cell>
        </row>
        <row r="7255">
          <cell r="L7255" t="str">
            <v>Non-proportional</v>
          </cell>
          <cell r="S7255">
            <v>146.88</v>
          </cell>
          <cell r="X7255" t="str">
            <v>Commissions - gross</v>
          </cell>
          <cell r="Y7255" t="str">
            <v>GREECE</v>
          </cell>
        </row>
        <row r="7256">
          <cell r="L7256" t="str">
            <v>Non-proportional</v>
          </cell>
          <cell r="S7256">
            <v>87.86</v>
          </cell>
          <cell r="X7256" t="str">
            <v>Commissions - gross</v>
          </cell>
          <cell r="Y7256" t="str">
            <v>COSTA RICA</v>
          </cell>
        </row>
        <row r="7257">
          <cell r="L7257" t="str">
            <v>Non-proportional</v>
          </cell>
          <cell r="S7257">
            <v>638.05999999999995</v>
          </cell>
          <cell r="X7257" t="str">
            <v>Commissions - gross</v>
          </cell>
          <cell r="Y7257" t="str">
            <v>MEXICO</v>
          </cell>
        </row>
        <row r="7258">
          <cell r="L7258" t="str">
            <v>Non-proportional</v>
          </cell>
          <cell r="S7258">
            <v>606.21</v>
          </cell>
          <cell r="X7258" t="str">
            <v>Commissions - gross</v>
          </cell>
          <cell r="Y7258" t="str">
            <v>SPAIN</v>
          </cell>
        </row>
        <row r="7259">
          <cell r="L7259" t="str">
            <v>Non-proportional</v>
          </cell>
          <cell r="S7259">
            <v>-5250</v>
          </cell>
          <cell r="X7259" t="str">
            <v>Commissions - gross</v>
          </cell>
          <cell r="Y7259" t="str">
            <v>ITALY</v>
          </cell>
        </row>
        <row r="7260">
          <cell r="L7260" t="str">
            <v>Non-proportional</v>
          </cell>
          <cell r="S7260">
            <v>-2764.31</v>
          </cell>
          <cell r="X7260" t="str">
            <v>Commissions - gross</v>
          </cell>
          <cell r="Y7260" t="str">
            <v>SOUTH AFRICA</v>
          </cell>
        </row>
        <row r="7261">
          <cell r="L7261" t="str">
            <v>Non-proportional</v>
          </cell>
          <cell r="S7261">
            <v>133.03</v>
          </cell>
          <cell r="X7261" t="str">
            <v>Commissions - gross</v>
          </cell>
          <cell r="Y7261" t="str">
            <v>FRANCE</v>
          </cell>
        </row>
        <row r="7262">
          <cell r="L7262" t="str">
            <v>Non-proportional</v>
          </cell>
          <cell r="S7262">
            <v>-2018.14</v>
          </cell>
          <cell r="X7262" t="str">
            <v>Commissions - gross</v>
          </cell>
          <cell r="Y7262" t="str">
            <v>JAPAN</v>
          </cell>
        </row>
        <row r="7263">
          <cell r="L7263" t="str">
            <v>Non-proportional</v>
          </cell>
          <cell r="S7263">
            <v>194.65</v>
          </cell>
          <cell r="X7263" t="str">
            <v>Commissions - gross</v>
          </cell>
          <cell r="Y7263" t="str">
            <v>REPUBLIC OF IRELAND</v>
          </cell>
        </row>
        <row r="7264">
          <cell r="L7264" t="str">
            <v>Non-proportional</v>
          </cell>
          <cell r="S7264">
            <v>544.73</v>
          </cell>
          <cell r="X7264" t="str">
            <v>Commissions - gross</v>
          </cell>
          <cell r="Y7264" t="str">
            <v>ECUADOR</v>
          </cell>
        </row>
        <row r="7265">
          <cell r="L7265" t="str">
            <v>Non-proportional</v>
          </cell>
          <cell r="S7265">
            <v>-15885.15</v>
          </cell>
          <cell r="X7265" t="str">
            <v>Commissions - gross</v>
          </cell>
          <cell r="Y7265" t="str">
            <v>FRANCE</v>
          </cell>
        </row>
        <row r="7266">
          <cell r="L7266" t="str">
            <v>Non-proportional</v>
          </cell>
          <cell r="S7266">
            <v>74.040000000000006</v>
          </cell>
          <cell r="X7266" t="str">
            <v>Commissions - gross</v>
          </cell>
          <cell r="Y7266" t="str">
            <v>FRANCE</v>
          </cell>
        </row>
        <row r="7267">
          <cell r="L7267" t="str">
            <v>Non-proportional</v>
          </cell>
          <cell r="S7267">
            <v>328.13</v>
          </cell>
          <cell r="X7267" t="str">
            <v>Commissions - gross</v>
          </cell>
          <cell r="Y7267" t="str">
            <v>ITALY</v>
          </cell>
        </row>
        <row r="7268">
          <cell r="L7268" t="str">
            <v>Non-proportional</v>
          </cell>
          <cell r="S7268">
            <v>-34220.620000000003</v>
          </cell>
          <cell r="X7268" t="str">
            <v>Commissions - gross</v>
          </cell>
          <cell r="Y7268" t="str">
            <v>JAPAN</v>
          </cell>
        </row>
        <row r="7269">
          <cell r="L7269" t="str">
            <v>Non-proportional</v>
          </cell>
          <cell r="S7269">
            <v>125.78</v>
          </cell>
          <cell r="X7269" t="str">
            <v>Commissions - gross</v>
          </cell>
          <cell r="Y7269" t="str">
            <v>ITALY</v>
          </cell>
        </row>
        <row r="7270">
          <cell r="L7270" t="str">
            <v>Non-proportional</v>
          </cell>
          <cell r="S7270">
            <v>758.65</v>
          </cell>
          <cell r="X7270" t="str">
            <v>Commissions - gross</v>
          </cell>
          <cell r="Y7270" t="str">
            <v>FRANCE</v>
          </cell>
        </row>
        <row r="7271">
          <cell r="L7271" t="str">
            <v>Non-proportional</v>
          </cell>
          <cell r="S7271">
            <v>963.77</v>
          </cell>
          <cell r="X7271" t="str">
            <v>Commissions - gross</v>
          </cell>
          <cell r="Y7271" t="str">
            <v>UNITED KINGDOM</v>
          </cell>
        </row>
        <row r="7272">
          <cell r="L7272" t="str">
            <v>Non-proportional</v>
          </cell>
          <cell r="S7272">
            <v>49.17</v>
          </cell>
          <cell r="X7272" t="str">
            <v>Commissions - gross</v>
          </cell>
          <cell r="Y7272" t="str">
            <v>JAPAN</v>
          </cell>
        </row>
        <row r="7273">
          <cell r="L7273" t="str">
            <v>Non-proportional</v>
          </cell>
          <cell r="S7273">
            <v>44.75</v>
          </cell>
          <cell r="X7273" t="str">
            <v>Commissions - gross</v>
          </cell>
          <cell r="Y7273" t="str">
            <v>NEW ZEALAND</v>
          </cell>
        </row>
        <row r="7274">
          <cell r="L7274" t="str">
            <v>Non-proportional</v>
          </cell>
          <cell r="S7274">
            <v>9.86</v>
          </cell>
          <cell r="X7274" t="str">
            <v>Commissions - gross</v>
          </cell>
          <cell r="Y7274" t="str">
            <v>INDIA</v>
          </cell>
        </row>
        <row r="7275">
          <cell r="L7275" t="str">
            <v>Non-proportional</v>
          </cell>
          <cell r="S7275">
            <v>-19.88</v>
          </cell>
          <cell r="X7275" t="str">
            <v>Commissions - gross</v>
          </cell>
          <cell r="Y7275" t="str">
            <v>JAPAN</v>
          </cell>
        </row>
        <row r="7276">
          <cell r="L7276" t="str">
            <v>Non-proportional</v>
          </cell>
          <cell r="S7276">
            <v>-1936.27</v>
          </cell>
          <cell r="X7276" t="str">
            <v>Commissions - gross</v>
          </cell>
          <cell r="Y7276" t="str">
            <v>NEW ZEALAND</v>
          </cell>
        </row>
        <row r="7277">
          <cell r="L7277" t="str">
            <v>Non-proportional</v>
          </cell>
          <cell r="S7277">
            <v>302.24</v>
          </cell>
          <cell r="X7277" t="str">
            <v>Commissions - gross</v>
          </cell>
          <cell r="Y7277" t="str">
            <v>ISRAEL</v>
          </cell>
        </row>
        <row r="7278">
          <cell r="L7278" t="str">
            <v>Non-proportional</v>
          </cell>
          <cell r="S7278">
            <v>567.4</v>
          </cell>
          <cell r="X7278" t="str">
            <v>Commissions - gross</v>
          </cell>
          <cell r="Y7278" t="str">
            <v>SINGAPORE</v>
          </cell>
        </row>
        <row r="7279">
          <cell r="L7279" t="str">
            <v>Non-proportional</v>
          </cell>
          <cell r="S7279">
            <v>2.27</v>
          </cell>
          <cell r="X7279" t="str">
            <v>Commissions - gross</v>
          </cell>
          <cell r="Y7279" t="str">
            <v>INDIA</v>
          </cell>
        </row>
        <row r="7280">
          <cell r="L7280" t="str">
            <v>Non-proportional</v>
          </cell>
          <cell r="S7280">
            <v>218.75</v>
          </cell>
          <cell r="X7280" t="str">
            <v>Commissions - gross</v>
          </cell>
          <cell r="Y7280" t="str">
            <v>GERMANY</v>
          </cell>
        </row>
        <row r="7281">
          <cell r="L7281" t="str">
            <v>Non-proportional</v>
          </cell>
          <cell r="S7281">
            <v>1.08</v>
          </cell>
          <cell r="X7281" t="str">
            <v>Commissions - gross</v>
          </cell>
          <cell r="Y7281" t="str">
            <v>ISRAEL</v>
          </cell>
        </row>
        <row r="7282">
          <cell r="L7282" t="str">
            <v>Non-proportional</v>
          </cell>
          <cell r="S7282">
            <v>2.86</v>
          </cell>
          <cell r="X7282" t="str">
            <v>Commissions - gross</v>
          </cell>
          <cell r="Y7282" t="str">
            <v>ISRAEL</v>
          </cell>
        </row>
        <row r="7283">
          <cell r="L7283" t="str">
            <v>Non-proportional</v>
          </cell>
          <cell r="S7283">
            <v>374.99</v>
          </cell>
          <cell r="X7283" t="str">
            <v>Commissions - gross</v>
          </cell>
          <cell r="Y7283" t="str">
            <v>EUROPE</v>
          </cell>
        </row>
        <row r="7284">
          <cell r="L7284" t="str">
            <v>Non-proportional</v>
          </cell>
          <cell r="S7284">
            <v>359.24</v>
          </cell>
          <cell r="X7284" t="str">
            <v>Commissions - gross</v>
          </cell>
          <cell r="Y7284" t="str">
            <v>FRANCE</v>
          </cell>
        </row>
        <row r="7285">
          <cell r="L7285" t="str">
            <v>Non-proportional</v>
          </cell>
          <cell r="S7285">
            <v>485.03</v>
          </cell>
          <cell r="X7285" t="str">
            <v>Commissions - gross</v>
          </cell>
          <cell r="Y7285" t="str">
            <v>PERU</v>
          </cell>
        </row>
        <row r="7286">
          <cell r="L7286" t="str">
            <v>Non-proportional</v>
          </cell>
          <cell r="S7286">
            <v>324.91000000000003</v>
          </cell>
          <cell r="X7286" t="str">
            <v>Commissions - gross</v>
          </cell>
          <cell r="Y7286" t="str">
            <v>FRANCE</v>
          </cell>
        </row>
        <row r="7287">
          <cell r="L7287" t="str">
            <v>Non-proportional</v>
          </cell>
          <cell r="S7287">
            <v>-1014.33</v>
          </cell>
          <cell r="X7287" t="str">
            <v>Commissions - gross</v>
          </cell>
          <cell r="Y7287" t="str">
            <v>ECUADOR</v>
          </cell>
        </row>
        <row r="7288">
          <cell r="L7288" t="str">
            <v>Non-proportional</v>
          </cell>
          <cell r="S7288">
            <v>4686.47</v>
          </cell>
          <cell r="X7288" t="str">
            <v>Commissions - gross</v>
          </cell>
          <cell r="Y7288" t="str">
            <v>FRANCE</v>
          </cell>
        </row>
        <row r="7289">
          <cell r="L7289" t="str">
            <v>Non-proportional</v>
          </cell>
          <cell r="S7289">
            <v>392.73</v>
          </cell>
          <cell r="X7289" t="str">
            <v>Commissions - gross</v>
          </cell>
          <cell r="Y7289" t="str">
            <v>AUSTRALIA</v>
          </cell>
        </row>
        <row r="7290">
          <cell r="L7290" t="str">
            <v>Non-proportional</v>
          </cell>
          <cell r="S7290">
            <v>884.39</v>
          </cell>
          <cell r="X7290" t="str">
            <v>Commissions - gross</v>
          </cell>
          <cell r="Y7290" t="str">
            <v>TURKEY</v>
          </cell>
        </row>
        <row r="7291">
          <cell r="L7291" t="str">
            <v>Non-proportional</v>
          </cell>
          <cell r="S7291">
            <v>734.24</v>
          </cell>
          <cell r="X7291" t="str">
            <v>Commissions - gross</v>
          </cell>
          <cell r="Y7291" t="str">
            <v>FRANCE</v>
          </cell>
        </row>
        <row r="7292">
          <cell r="L7292" t="str">
            <v>Non-proportional</v>
          </cell>
          <cell r="S7292">
            <v>1.82</v>
          </cell>
          <cell r="X7292" t="str">
            <v>Commissions - gross</v>
          </cell>
          <cell r="Y7292" t="str">
            <v>ISRAEL</v>
          </cell>
        </row>
        <row r="7293">
          <cell r="L7293" t="str">
            <v>Non-proportional</v>
          </cell>
          <cell r="S7293">
            <v>109.6</v>
          </cell>
          <cell r="X7293" t="str">
            <v>Commissions - gross</v>
          </cell>
          <cell r="Y7293" t="str">
            <v>CHILE</v>
          </cell>
        </row>
        <row r="7294">
          <cell r="L7294" t="str">
            <v>Non-proportional</v>
          </cell>
          <cell r="S7294">
            <v>95.98</v>
          </cell>
          <cell r="X7294" t="str">
            <v>Commissions - gross</v>
          </cell>
          <cell r="Y7294" t="str">
            <v>PERU</v>
          </cell>
        </row>
        <row r="7295">
          <cell r="L7295" t="str">
            <v>Proportional</v>
          </cell>
          <cell r="S7295">
            <v>-11.79</v>
          </cell>
          <cell r="X7295" t="str">
            <v>Commissions - gross</v>
          </cell>
          <cell r="Y7295" t="str">
            <v>UNITED STATES</v>
          </cell>
        </row>
        <row r="7296">
          <cell r="L7296" t="str">
            <v>Non-proportional</v>
          </cell>
          <cell r="S7296">
            <v>90.54</v>
          </cell>
          <cell r="X7296" t="str">
            <v>Commissions - gross</v>
          </cell>
          <cell r="Y7296" t="str">
            <v>UNITED KINGDOM</v>
          </cell>
        </row>
        <row r="7297">
          <cell r="L7297" t="str">
            <v>Non-proportional</v>
          </cell>
          <cell r="S7297">
            <v>648.58000000000004</v>
          </cell>
          <cell r="X7297" t="str">
            <v>Commissions - gross</v>
          </cell>
          <cell r="Y7297" t="str">
            <v>COLOMBIA</v>
          </cell>
        </row>
        <row r="7298">
          <cell r="L7298" t="str">
            <v>Non-proportional</v>
          </cell>
          <cell r="S7298">
            <v>593.78</v>
          </cell>
          <cell r="X7298" t="str">
            <v>Commissions - gross</v>
          </cell>
          <cell r="Y7298" t="str">
            <v>ECUADOR</v>
          </cell>
        </row>
        <row r="7299">
          <cell r="L7299" t="str">
            <v>Non-proportional</v>
          </cell>
          <cell r="S7299">
            <v>-1949.12</v>
          </cell>
          <cell r="X7299" t="str">
            <v>Commissions - gross</v>
          </cell>
          <cell r="Y7299" t="str">
            <v>JAPAN</v>
          </cell>
        </row>
        <row r="7300">
          <cell r="L7300" t="str">
            <v>Non-proportional</v>
          </cell>
          <cell r="S7300">
            <v>-5859.45</v>
          </cell>
          <cell r="X7300" t="str">
            <v>Commissions - gross</v>
          </cell>
          <cell r="Y7300" t="str">
            <v>NEW ZEALAND</v>
          </cell>
        </row>
        <row r="7301">
          <cell r="L7301" t="str">
            <v>Non-proportional</v>
          </cell>
          <cell r="S7301">
            <v>149.82</v>
          </cell>
          <cell r="X7301" t="str">
            <v>Commissions - gross</v>
          </cell>
          <cell r="Y7301" t="str">
            <v>GUATEMALA</v>
          </cell>
        </row>
        <row r="7302">
          <cell r="L7302" t="str">
            <v>Non-proportional</v>
          </cell>
          <cell r="S7302">
            <v>132.68</v>
          </cell>
          <cell r="X7302" t="str">
            <v>Commissions - gross</v>
          </cell>
          <cell r="Y7302" t="str">
            <v>UNITED ARAB EMIRATES</v>
          </cell>
        </row>
        <row r="7303">
          <cell r="L7303" t="str">
            <v>Non-proportional</v>
          </cell>
          <cell r="S7303">
            <v>1262.51</v>
          </cell>
          <cell r="X7303" t="str">
            <v>Commissions - gross</v>
          </cell>
          <cell r="Y7303" t="str">
            <v>BELGIUM</v>
          </cell>
        </row>
        <row r="7304">
          <cell r="L7304" t="str">
            <v>Non-proportional</v>
          </cell>
          <cell r="S7304">
            <v>593.22</v>
          </cell>
          <cell r="X7304" t="str">
            <v>Commissions - gross</v>
          </cell>
          <cell r="Y7304" t="str">
            <v>ISRAEL</v>
          </cell>
        </row>
        <row r="7305">
          <cell r="L7305" t="str">
            <v>Non-proportional</v>
          </cell>
          <cell r="S7305">
            <v>724.84</v>
          </cell>
          <cell r="X7305" t="str">
            <v>Commissions - gross</v>
          </cell>
          <cell r="Y7305" t="str">
            <v>PUERTO RICO</v>
          </cell>
        </row>
        <row r="7306">
          <cell r="L7306" t="str">
            <v>Non-proportional</v>
          </cell>
          <cell r="S7306">
            <v>6.04</v>
          </cell>
          <cell r="X7306" t="str">
            <v>Commissions - gross</v>
          </cell>
          <cell r="Y7306" t="str">
            <v>ISRAEL</v>
          </cell>
        </row>
        <row r="7307">
          <cell r="L7307" t="str">
            <v>Non-proportional</v>
          </cell>
          <cell r="S7307">
            <v>802.05</v>
          </cell>
          <cell r="X7307" t="str">
            <v>Commissions - gross</v>
          </cell>
          <cell r="Y7307" t="str">
            <v>TURKEY</v>
          </cell>
        </row>
        <row r="7308">
          <cell r="L7308" t="str">
            <v>Non-proportional</v>
          </cell>
          <cell r="S7308">
            <v>1059.6099999999999</v>
          </cell>
          <cell r="X7308" t="str">
            <v>Commissions - gross</v>
          </cell>
          <cell r="Y7308" t="str">
            <v>FRANCE</v>
          </cell>
        </row>
        <row r="7309">
          <cell r="L7309" t="str">
            <v>Non-proportional</v>
          </cell>
          <cell r="S7309">
            <v>-19858.490000000002</v>
          </cell>
          <cell r="X7309" t="str">
            <v>Commissions - gross</v>
          </cell>
          <cell r="Y7309" t="str">
            <v>JAPAN</v>
          </cell>
        </row>
        <row r="7310">
          <cell r="L7310" t="str">
            <v>Non-proportional</v>
          </cell>
          <cell r="S7310">
            <v>407.81</v>
          </cell>
          <cell r="X7310" t="str">
            <v>Commissions - gross</v>
          </cell>
          <cell r="Y7310" t="str">
            <v>GREECE</v>
          </cell>
        </row>
        <row r="7311">
          <cell r="L7311" t="str">
            <v>Non-proportional</v>
          </cell>
          <cell r="S7311">
            <v>-4897.8999999999996</v>
          </cell>
          <cell r="X7311" t="str">
            <v>Commissions - gross</v>
          </cell>
          <cell r="Y7311" t="str">
            <v>GUATEMALA</v>
          </cell>
        </row>
        <row r="7312">
          <cell r="L7312" t="str">
            <v>Non-proportional</v>
          </cell>
          <cell r="S7312">
            <v>512.63</v>
          </cell>
          <cell r="X7312" t="str">
            <v>Commissions - gross</v>
          </cell>
          <cell r="Y7312" t="str">
            <v>DOMINICAN REPUBLIC</v>
          </cell>
        </row>
        <row r="7313">
          <cell r="L7313" t="str">
            <v>Non-proportional</v>
          </cell>
          <cell r="S7313">
            <v>406.14</v>
          </cell>
          <cell r="X7313" t="str">
            <v>Commissions - gross</v>
          </cell>
          <cell r="Y7313" t="str">
            <v>FRANCE</v>
          </cell>
        </row>
        <row r="7314">
          <cell r="L7314" t="str">
            <v>Non-proportional</v>
          </cell>
          <cell r="S7314">
            <v>98.53</v>
          </cell>
          <cell r="X7314" t="str">
            <v>Commissions - gross</v>
          </cell>
          <cell r="Y7314" t="str">
            <v>DOMINICAN REPUBLIC</v>
          </cell>
        </row>
        <row r="7315">
          <cell r="L7315" t="str">
            <v>Non-proportional</v>
          </cell>
          <cell r="S7315">
            <v>-8847.66</v>
          </cell>
          <cell r="X7315" t="str">
            <v>Commissions - gross</v>
          </cell>
          <cell r="Y7315" t="str">
            <v>NEW ZEALAND</v>
          </cell>
        </row>
        <row r="7316">
          <cell r="L7316" t="str">
            <v>Non-proportional</v>
          </cell>
          <cell r="S7316">
            <v>-1871.91</v>
          </cell>
          <cell r="X7316" t="str">
            <v>Commissions - gross</v>
          </cell>
          <cell r="Y7316" t="str">
            <v>JAPAN</v>
          </cell>
        </row>
        <row r="7317">
          <cell r="L7317" t="str">
            <v>Non-proportional</v>
          </cell>
          <cell r="S7317">
            <v>-7.79</v>
          </cell>
          <cell r="X7317" t="str">
            <v>Commissions - gross</v>
          </cell>
          <cell r="Y7317" t="str">
            <v>COLOMBIA</v>
          </cell>
        </row>
        <row r="7318">
          <cell r="L7318" t="str">
            <v>Non-proportional</v>
          </cell>
          <cell r="S7318">
            <v>-1.87</v>
          </cell>
          <cell r="X7318" t="str">
            <v>Commissions - gross</v>
          </cell>
          <cell r="Y7318" t="str">
            <v>COLOMBIA</v>
          </cell>
        </row>
        <row r="7319">
          <cell r="L7319" t="str">
            <v>Non-proportional</v>
          </cell>
          <cell r="S7319">
            <v>-3528.18</v>
          </cell>
          <cell r="X7319" t="str">
            <v>Commissions - gross</v>
          </cell>
          <cell r="Y7319" t="str">
            <v>GUATEMALA</v>
          </cell>
        </row>
        <row r="7320">
          <cell r="L7320" t="str">
            <v>Non-proportional</v>
          </cell>
          <cell r="S7320">
            <v>1200.1300000000001</v>
          </cell>
          <cell r="X7320" t="str">
            <v>Commissions - gross</v>
          </cell>
          <cell r="Y7320" t="str">
            <v>ITALY</v>
          </cell>
        </row>
        <row r="7321">
          <cell r="L7321" t="str">
            <v>Non-proportional</v>
          </cell>
          <cell r="S7321">
            <v>-519.01</v>
          </cell>
          <cell r="X7321" t="str">
            <v>Commissions - gross</v>
          </cell>
          <cell r="Y7321" t="str">
            <v>JAPAN</v>
          </cell>
        </row>
        <row r="7322">
          <cell r="L7322" t="str">
            <v>Non-proportional</v>
          </cell>
          <cell r="S7322">
            <v>917.84</v>
          </cell>
          <cell r="X7322" t="str">
            <v>Commissions - gross</v>
          </cell>
          <cell r="Y7322" t="str">
            <v>FRANCE</v>
          </cell>
        </row>
        <row r="7323">
          <cell r="L7323" t="str">
            <v>Non-proportional</v>
          </cell>
          <cell r="S7323">
            <v>-4068.7</v>
          </cell>
          <cell r="X7323" t="str">
            <v>Commissions - gross</v>
          </cell>
          <cell r="Y7323" t="str">
            <v>NEW ZEALAND</v>
          </cell>
        </row>
        <row r="7324">
          <cell r="L7324" t="str">
            <v>Non-proportional</v>
          </cell>
          <cell r="S7324">
            <v>1414.49</v>
          </cell>
          <cell r="X7324" t="str">
            <v>Commissions - gross</v>
          </cell>
          <cell r="Y7324" t="str">
            <v>ISRAEL</v>
          </cell>
        </row>
        <row r="7325">
          <cell r="L7325" t="str">
            <v>Non-proportional</v>
          </cell>
          <cell r="S7325">
            <v>10190.68</v>
          </cell>
          <cell r="X7325" t="str">
            <v>Commissions - gross</v>
          </cell>
          <cell r="Y7325" t="str">
            <v>UNITED KINGDOM</v>
          </cell>
        </row>
        <row r="7326">
          <cell r="L7326" t="str">
            <v>Non-proportional</v>
          </cell>
          <cell r="S7326">
            <v>73.069999999999993</v>
          </cell>
          <cell r="X7326" t="str">
            <v>Commissions - gross</v>
          </cell>
          <cell r="Y7326" t="str">
            <v>CHILE</v>
          </cell>
        </row>
        <row r="7327">
          <cell r="L7327" t="str">
            <v>Non-proportional</v>
          </cell>
          <cell r="S7327">
            <v>695.4</v>
          </cell>
          <cell r="X7327" t="str">
            <v>Commissions - gross</v>
          </cell>
          <cell r="Y7327" t="str">
            <v>UNITED KINGDOM</v>
          </cell>
        </row>
        <row r="7328">
          <cell r="L7328" t="str">
            <v>Non-proportional</v>
          </cell>
          <cell r="S7328">
            <v>1266.46</v>
          </cell>
          <cell r="X7328" t="str">
            <v>Commissions - gross</v>
          </cell>
          <cell r="Y7328" t="str">
            <v>FRANCE</v>
          </cell>
        </row>
        <row r="7329">
          <cell r="L7329" t="str">
            <v>Non-proportional</v>
          </cell>
          <cell r="S7329">
            <v>13.69</v>
          </cell>
          <cell r="X7329" t="str">
            <v>Commissions - gross</v>
          </cell>
          <cell r="Y7329" t="str">
            <v>ISRAEL</v>
          </cell>
        </row>
        <row r="7330">
          <cell r="L7330" t="str">
            <v>Non-proportional</v>
          </cell>
          <cell r="S7330">
            <v>65.52</v>
          </cell>
          <cell r="X7330" t="str">
            <v>Commissions - gross</v>
          </cell>
          <cell r="Y7330" t="str">
            <v>JAPAN</v>
          </cell>
        </row>
        <row r="7331">
          <cell r="L7331" t="str">
            <v>Non-proportional</v>
          </cell>
          <cell r="S7331">
            <v>7.86</v>
          </cell>
          <cell r="X7331" t="str">
            <v>Commissions - gross</v>
          </cell>
          <cell r="Y7331" t="str">
            <v>COLOMBIA</v>
          </cell>
        </row>
        <row r="7332">
          <cell r="L7332" t="str">
            <v>Non-proportional</v>
          </cell>
          <cell r="S7332">
            <v>272.06</v>
          </cell>
          <cell r="X7332" t="str">
            <v>Commissions - gross</v>
          </cell>
          <cell r="Y7332" t="str">
            <v>NEW ZEALAND</v>
          </cell>
        </row>
        <row r="7333">
          <cell r="L7333" t="str">
            <v>Non-proportional</v>
          </cell>
          <cell r="S7333">
            <v>870.83</v>
          </cell>
          <cell r="X7333" t="str">
            <v>Commissions - gross</v>
          </cell>
          <cell r="Y7333" t="str">
            <v>TURKEY</v>
          </cell>
        </row>
        <row r="7334">
          <cell r="L7334" t="str">
            <v>Non-proportional</v>
          </cell>
          <cell r="S7334">
            <v>36.53</v>
          </cell>
          <cell r="X7334" t="str">
            <v>Commissions - gross</v>
          </cell>
          <cell r="Y7334" t="str">
            <v>CHILE</v>
          </cell>
        </row>
        <row r="7335">
          <cell r="L7335" t="str">
            <v>Non-proportional</v>
          </cell>
          <cell r="S7335">
            <v>7885.1</v>
          </cell>
          <cell r="X7335" t="str">
            <v>Commissions - gross</v>
          </cell>
          <cell r="Y7335" t="str">
            <v>UNITED KINGDOM</v>
          </cell>
        </row>
        <row r="7336">
          <cell r="L7336" t="str">
            <v>Non-proportional</v>
          </cell>
          <cell r="S7336">
            <v>426.85</v>
          </cell>
          <cell r="X7336" t="str">
            <v>Commissions - gross</v>
          </cell>
          <cell r="Y7336" t="str">
            <v>UNITED KINGDOM</v>
          </cell>
        </row>
        <row r="7337">
          <cell r="L7337" t="str">
            <v>Non-proportional</v>
          </cell>
          <cell r="S7337">
            <v>5342.64</v>
          </cell>
          <cell r="X7337" t="str">
            <v>Commissions - gross</v>
          </cell>
          <cell r="Y7337" t="str">
            <v>UNITED KINGDOM</v>
          </cell>
        </row>
        <row r="7338">
          <cell r="L7338" t="str">
            <v>Non-proportional</v>
          </cell>
          <cell r="S7338">
            <v>20.58</v>
          </cell>
          <cell r="X7338" t="str">
            <v>Commissions - gross</v>
          </cell>
          <cell r="Y7338" t="str">
            <v>JAPAN</v>
          </cell>
        </row>
        <row r="7339">
          <cell r="L7339" t="str">
            <v>Non-proportional</v>
          </cell>
          <cell r="S7339">
            <v>69.86</v>
          </cell>
          <cell r="X7339" t="str">
            <v>Commissions - gross</v>
          </cell>
          <cell r="Y7339" t="str">
            <v>ITALY</v>
          </cell>
        </row>
        <row r="7340">
          <cell r="L7340" t="str">
            <v>Non-proportional</v>
          </cell>
          <cell r="S7340">
            <v>475.13</v>
          </cell>
          <cell r="X7340" t="str">
            <v>Commissions - gross</v>
          </cell>
          <cell r="Y7340" t="str">
            <v>FRANCE</v>
          </cell>
        </row>
        <row r="7341">
          <cell r="L7341" t="str">
            <v>Non-proportional</v>
          </cell>
          <cell r="S7341">
            <v>128.9</v>
          </cell>
          <cell r="X7341" t="str">
            <v>Commissions - gross</v>
          </cell>
          <cell r="Y7341" t="str">
            <v>COLOMBIA</v>
          </cell>
        </row>
        <row r="7342">
          <cell r="L7342" t="str">
            <v>Non-proportional</v>
          </cell>
          <cell r="S7342">
            <v>167.62</v>
          </cell>
          <cell r="X7342" t="str">
            <v>Commissions - gross</v>
          </cell>
          <cell r="Y7342" t="str">
            <v>UNITED KINGDOM</v>
          </cell>
        </row>
        <row r="7343">
          <cell r="L7343" t="str">
            <v>Non-proportional</v>
          </cell>
          <cell r="S7343">
            <v>248.76</v>
          </cell>
          <cell r="X7343" t="str">
            <v>Commissions - gross</v>
          </cell>
          <cell r="Y7343" t="str">
            <v>DOMINICAN REPUBLIC</v>
          </cell>
        </row>
        <row r="7344">
          <cell r="L7344" t="str">
            <v>Non-proportional</v>
          </cell>
          <cell r="S7344">
            <v>141.59</v>
          </cell>
          <cell r="X7344" t="str">
            <v>Commissions - gross</v>
          </cell>
          <cell r="Y7344" t="str">
            <v>FRANCE</v>
          </cell>
        </row>
        <row r="7345">
          <cell r="L7345" t="str">
            <v>Non-proportional</v>
          </cell>
          <cell r="S7345">
            <v>983.28</v>
          </cell>
          <cell r="X7345" t="str">
            <v>Commissions - gross</v>
          </cell>
          <cell r="Y7345" t="str">
            <v>FRANCE</v>
          </cell>
        </row>
        <row r="7346">
          <cell r="L7346" t="str">
            <v>Non-proportional</v>
          </cell>
          <cell r="S7346">
            <v>120.22</v>
          </cell>
          <cell r="X7346" t="str">
            <v>Commissions - gross</v>
          </cell>
          <cell r="Y7346" t="str">
            <v>REPUBLIC OF IRELAND</v>
          </cell>
        </row>
        <row r="7347">
          <cell r="L7347" t="str">
            <v>Non-proportional</v>
          </cell>
          <cell r="S7347">
            <v>-3.03</v>
          </cell>
          <cell r="X7347" t="str">
            <v>Commissions - gross</v>
          </cell>
          <cell r="Y7347" t="str">
            <v>POLAND</v>
          </cell>
        </row>
        <row r="7348">
          <cell r="L7348" t="str">
            <v>Non-proportional</v>
          </cell>
          <cell r="S7348">
            <v>841.57</v>
          </cell>
          <cell r="X7348" t="str">
            <v>Commissions - gross</v>
          </cell>
          <cell r="Y7348" t="str">
            <v>AUSTRALIA</v>
          </cell>
        </row>
        <row r="7349">
          <cell r="L7349" t="str">
            <v>Non-proportional</v>
          </cell>
          <cell r="S7349">
            <v>-1093.8900000000001</v>
          </cell>
          <cell r="X7349" t="str">
            <v>Commissions - gross</v>
          </cell>
          <cell r="Y7349" t="str">
            <v>JAPAN</v>
          </cell>
        </row>
        <row r="7350">
          <cell r="L7350" t="str">
            <v>Non-proportional</v>
          </cell>
          <cell r="S7350">
            <v>255.74</v>
          </cell>
          <cell r="X7350" t="str">
            <v>Commissions - gross</v>
          </cell>
          <cell r="Y7350" t="str">
            <v>CHILE</v>
          </cell>
        </row>
        <row r="7351">
          <cell r="L7351" t="str">
            <v>Non-proportional</v>
          </cell>
          <cell r="S7351">
            <v>184.81</v>
          </cell>
          <cell r="X7351" t="str">
            <v>Commissions - gross</v>
          </cell>
          <cell r="Y7351" t="str">
            <v>PERU</v>
          </cell>
        </row>
        <row r="7352">
          <cell r="L7352" t="str">
            <v>Non-proportional</v>
          </cell>
          <cell r="S7352">
            <v>148.08000000000001</v>
          </cell>
          <cell r="X7352" t="str">
            <v>Commissions - gross</v>
          </cell>
          <cell r="Y7352" t="str">
            <v>FRANCE</v>
          </cell>
        </row>
        <row r="7353">
          <cell r="L7353" t="str">
            <v>Non-proportional</v>
          </cell>
          <cell r="S7353">
            <v>124.64</v>
          </cell>
          <cell r="X7353" t="str">
            <v>Commissions - gross</v>
          </cell>
          <cell r="Y7353" t="str">
            <v>ISRAEL</v>
          </cell>
        </row>
        <row r="7354">
          <cell r="L7354" t="str">
            <v>Non-proportional</v>
          </cell>
          <cell r="S7354">
            <v>755.21</v>
          </cell>
          <cell r="X7354" t="str">
            <v>Commissions - gross</v>
          </cell>
          <cell r="Y7354" t="str">
            <v>ROMANIA</v>
          </cell>
        </row>
        <row r="7355">
          <cell r="L7355" t="str">
            <v>Non-proportional</v>
          </cell>
          <cell r="S7355">
            <v>-2309.5100000000002</v>
          </cell>
          <cell r="X7355" t="str">
            <v>Commissions - gross</v>
          </cell>
          <cell r="Y7355" t="str">
            <v>JAPAN</v>
          </cell>
        </row>
        <row r="7356">
          <cell r="L7356" t="str">
            <v>Non-proportional</v>
          </cell>
          <cell r="S7356">
            <v>327.24</v>
          </cell>
          <cell r="X7356" t="str">
            <v>Commissions - gross</v>
          </cell>
          <cell r="Y7356" t="str">
            <v>ISRAEL</v>
          </cell>
        </row>
        <row r="7357">
          <cell r="L7357" t="str">
            <v>Non-proportional</v>
          </cell>
          <cell r="S7357">
            <v>400.25</v>
          </cell>
          <cell r="X7357" t="str">
            <v>Commissions - gross</v>
          </cell>
          <cell r="Y7357" t="str">
            <v>UNITED KINGDOM</v>
          </cell>
        </row>
        <row r="7358">
          <cell r="L7358" t="str">
            <v>Non-proportional</v>
          </cell>
          <cell r="S7358">
            <v>591.84</v>
          </cell>
          <cell r="X7358" t="str">
            <v>Commissions - gross</v>
          </cell>
          <cell r="Y7358" t="str">
            <v>EUROPE</v>
          </cell>
        </row>
        <row r="7359">
          <cell r="L7359" t="str">
            <v>Non-proportional</v>
          </cell>
          <cell r="S7359">
            <v>1627.87</v>
          </cell>
          <cell r="X7359" t="str">
            <v>Commissions - gross</v>
          </cell>
          <cell r="Y7359" t="str">
            <v>ITALY</v>
          </cell>
        </row>
        <row r="7360">
          <cell r="L7360" t="str">
            <v>Non-proportional</v>
          </cell>
          <cell r="S7360">
            <v>108.18</v>
          </cell>
          <cell r="X7360" t="str">
            <v>Commissions - gross</v>
          </cell>
          <cell r="Y7360" t="str">
            <v>JAPAN</v>
          </cell>
        </row>
        <row r="7361">
          <cell r="L7361" t="str">
            <v>Non-proportional</v>
          </cell>
          <cell r="S7361">
            <v>-8.1</v>
          </cell>
          <cell r="X7361" t="str">
            <v>Commissions - gross</v>
          </cell>
          <cell r="Y7361" t="str">
            <v>BRAZIL</v>
          </cell>
        </row>
        <row r="7362">
          <cell r="L7362" t="str">
            <v>Non-proportional</v>
          </cell>
          <cell r="S7362">
            <v>204.38</v>
          </cell>
          <cell r="X7362" t="str">
            <v>Commissions - gross</v>
          </cell>
          <cell r="Y7362" t="str">
            <v>GREECE</v>
          </cell>
        </row>
        <row r="7363">
          <cell r="L7363" t="str">
            <v>Non-proportional</v>
          </cell>
          <cell r="S7363">
            <v>2884.86</v>
          </cell>
          <cell r="X7363" t="str">
            <v>Commissions - gross</v>
          </cell>
          <cell r="Y7363" t="str">
            <v>FRANCE</v>
          </cell>
        </row>
        <row r="7364">
          <cell r="L7364" t="str">
            <v>Non-proportional</v>
          </cell>
          <cell r="S7364">
            <v>84.38</v>
          </cell>
          <cell r="X7364" t="str">
            <v>Commissions - gross</v>
          </cell>
          <cell r="Y7364" t="str">
            <v>GREECE</v>
          </cell>
        </row>
        <row r="7365">
          <cell r="L7365" t="str">
            <v>Non-proportional</v>
          </cell>
          <cell r="S7365">
            <v>-2495.64</v>
          </cell>
          <cell r="X7365" t="str">
            <v>Commissions - gross</v>
          </cell>
          <cell r="Y7365" t="str">
            <v>ECUADOR</v>
          </cell>
        </row>
        <row r="7366">
          <cell r="L7366" t="str">
            <v>Non-proportional</v>
          </cell>
          <cell r="S7366">
            <v>1112.0999999999999</v>
          </cell>
          <cell r="X7366" t="str">
            <v>Commissions - gross</v>
          </cell>
          <cell r="Y7366" t="str">
            <v>MEXICO</v>
          </cell>
        </row>
        <row r="7367">
          <cell r="L7367" t="str">
            <v>Non-proportional</v>
          </cell>
          <cell r="S7367">
            <v>-1483.59</v>
          </cell>
          <cell r="X7367" t="str">
            <v>Commissions - gross</v>
          </cell>
          <cell r="Y7367" t="str">
            <v>NEW ZEALAND</v>
          </cell>
        </row>
        <row r="7368">
          <cell r="L7368" t="str">
            <v>Non-proportional</v>
          </cell>
          <cell r="S7368">
            <v>120.55</v>
          </cell>
          <cell r="X7368" t="str">
            <v>Commissions - gross</v>
          </cell>
          <cell r="Y7368" t="str">
            <v>PERU</v>
          </cell>
        </row>
        <row r="7369">
          <cell r="L7369" t="str">
            <v>Non-proportional</v>
          </cell>
          <cell r="S7369">
            <v>118721.44</v>
          </cell>
          <cell r="X7369" t="str">
            <v>Commissions - gross</v>
          </cell>
          <cell r="Y7369" t="str">
            <v>UNITED KINGDOM</v>
          </cell>
        </row>
        <row r="7370">
          <cell r="L7370" t="str">
            <v>Non-proportional</v>
          </cell>
          <cell r="S7370">
            <v>36.53</v>
          </cell>
          <cell r="X7370" t="str">
            <v>Commissions - gross</v>
          </cell>
          <cell r="Y7370" t="str">
            <v>CHILE</v>
          </cell>
        </row>
        <row r="7371">
          <cell r="L7371" t="str">
            <v>Non-proportional</v>
          </cell>
          <cell r="S7371">
            <v>-4360.2299999999996</v>
          </cell>
          <cell r="X7371" t="str">
            <v>Commissions - gross</v>
          </cell>
          <cell r="Y7371" t="str">
            <v>UNITED KINGDOM</v>
          </cell>
        </row>
        <row r="7372">
          <cell r="L7372" t="str">
            <v>Non-proportional</v>
          </cell>
          <cell r="S7372">
            <v>2362.16</v>
          </cell>
          <cell r="X7372" t="str">
            <v>Commissions - gross</v>
          </cell>
          <cell r="Y7372" t="str">
            <v>NEW ZEALAND</v>
          </cell>
        </row>
        <row r="7373">
          <cell r="L7373" t="str">
            <v>Non-proportional</v>
          </cell>
          <cell r="S7373">
            <v>80.42</v>
          </cell>
          <cell r="X7373" t="str">
            <v>Commissions - gross</v>
          </cell>
          <cell r="Y7373" t="str">
            <v>JAPAN</v>
          </cell>
        </row>
        <row r="7374">
          <cell r="L7374" t="str">
            <v>Proportional</v>
          </cell>
          <cell r="S7374">
            <v>117.45</v>
          </cell>
          <cell r="X7374" t="str">
            <v>Commissions - gross</v>
          </cell>
          <cell r="Y7374" t="str">
            <v>JAPAN</v>
          </cell>
        </row>
        <row r="7375">
          <cell r="L7375" t="str">
            <v>Non-proportional</v>
          </cell>
          <cell r="S7375">
            <v>2219.42</v>
          </cell>
          <cell r="X7375" t="str">
            <v>Commissions - gross</v>
          </cell>
          <cell r="Y7375" t="str">
            <v>UNITED KINGDOM</v>
          </cell>
        </row>
        <row r="7376">
          <cell r="L7376" t="str">
            <v>Non-proportional</v>
          </cell>
          <cell r="S7376">
            <v>-36.53</v>
          </cell>
          <cell r="X7376" t="str">
            <v>Commissions - gross</v>
          </cell>
          <cell r="Y7376" t="str">
            <v>CHILE</v>
          </cell>
        </row>
        <row r="7377">
          <cell r="L7377" t="str">
            <v>Non-proportional</v>
          </cell>
          <cell r="S7377">
            <v>39</v>
          </cell>
          <cell r="X7377" t="str">
            <v>Commissions - gross</v>
          </cell>
          <cell r="Y7377" t="str">
            <v>ITALY</v>
          </cell>
        </row>
        <row r="7378">
          <cell r="L7378" t="str">
            <v>Non-proportional</v>
          </cell>
          <cell r="S7378">
            <v>3.03</v>
          </cell>
          <cell r="X7378" t="str">
            <v>Commissions - gross</v>
          </cell>
          <cell r="Y7378" t="str">
            <v>BRAZIL</v>
          </cell>
        </row>
        <row r="7379">
          <cell r="L7379" t="str">
            <v>Non-proportional</v>
          </cell>
          <cell r="S7379">
            <v>151.55000000000001</v>
          </cell>
          <cell r="X7379" t="str">
            <v>Commissions - gross</v>
          </cell>
          <cell r="Y7379" t="str">
            <v>ISRAEL</v>
          </cell>
        </row>
        <row r="7380">
          <cell r="L7380" t="str">
            <v>Non-proportional</v>
          </cell>
          <cell r="S7380">
            <v>2.5299999999999998</v>
          </cell>
          <cell r="X7380" t="str">
            <v>Commissions - gross</v>
          </cell>
          <cell r="Y7380" t="str">
            <v>GUATEMALA</v>
          </cell>
        </row>
        <row r="7381">
          <cell r="L7381" t="str">
            <v>Non-proportional</v>
          </cell>
          <cell r="S7381">
            <v>290.8</v>
          </cell>
          <cell r="X7381" t="str">
            <v>Commissions - gross</v>
          </cell>
          <cell r="Y7381" t="str">
            <v>ISRAEL</v>
          </cell>
        </row>
        <row r="7382">
          <cell r="L7382" t="str">
            <v>Non-proportional</v>
          </cell>
          <cell r="S7382">
            <v>3349.84</v>
          </cell>
          <cell r="X7382" t="str">
            <v>Commissions - gross</v>
          </cell>
          <cell r="Y7382" t="str">
            <v>UNITED KINGDOM</v>
          </cell>
        </row>
        <row r="7383">
          <cell r="L7383" t="str">
            <v>Non-proportional</v>
          </cell>
          <cell r="S7383">
            <v>696.86</v>
          </cell>
          <cell r="X7383" t="str">
            <v>Commissions - gross</v>
          </cell>
          <cell r="Y7383" t="str">
            <v>POLAND</v>
          </cell>
        </row>
        <row r="7384">
          <cell r="L7384" t="str">
            <v>Non-proportional</v>
          </cell>
          <cell r="S7384">
            <v>299.97000000000003</v>
          </cell>
          <cell r="X7384" t="str">
            <v>Commissions - gross</v>
          </cell>
          <cell r="Y7384" t="str">
            <v>NETHERLANDS</v>
          </cell>
        </row>
        <row r="7385">
          <cell r="L7385" t="str">
            <v>Non-proportional</v>
          </cell>
          <cell r="S7385">
            <v>525.1</v>
          </cell>
          <cell r="X7385" t="str">
            <v>Commissions - gross</v>
          </cell>
          <cell r="Y7385" t="str">
            <v>ISRAEL</v>
          </cell>
        </row>
        <row r="7386">
          <cell r="L7386" t="str">
            <v>Non-proportional</v>
          </cell>
          <cell r="S7386">
            <v>77.540000000000006</v>
          </cell>
          <cell r="X7386" t="str">
            <v>Commissions - gross</v>
          </cell>
          <cell r="Y7386" t="str">
            <v>JAPAN</v>
          </cell>
        </row>
        <row r="7387">
          <cell r="L7387" t="str">
            <v>Non-proportional</v>
          </cell>
          <cell r="S7387">
            <v>2318.75</v>
          </cell>
          <cell r="X7387" t="str">
            <v>Commissions - gross</v>
          </cell>
          <cell r="Y7387" t="str">
            <v>ITALY</v>
          </cell>
        </row>
        <row r="7388">
          <cell r="L7388" t="str">
            <v>Non-proportional</v>
          </cell>
          <cell r="S7388">
            <v>36.53</v>
          </cell>
          <cell r="X7388" t="str">
            <v>Commissions - gross</v>
          </cell>
          <cell r="Y7388" t="str">
            <v>CHILE</v>
          </cell>
        </row>
        <row r="7389">
          <cell r="L7389" t="str">
            <v>Non-proportional</v>
          </cell>
          <cell r="S7389">
            <v>11219.8</v>
          </cell>
          <cell r="X7389" t="str">
            <v>Commissions - gross</v>
          </cell>
          <cell r="Y7389" t="str">
            <v>UNITED KINGDOM</v>
          </cell>
        </row>
        <row r="7390">
          <cell r="L7390" t="str">
            <v>Non-proportional</v>
          </cell>
          <cell r="S7390">
            <v>-36.53</v>
          </cell>
          <cell r="X7390" t="str">
            <v>Commissions - gross</v>
          </cell>
          <cell r="Y7390" t="str">
            <v>CHILE</v>
          </cell>
        </row>
        <row r="7391">
          <cell r="L7391" t="str">
            <v>Non-proportional</v>
          </cell>
          <cell r="S7391">
            <v>312.69</v>
          </cell>
          <cell r="X7391" t="str">
            <v>Commissions - gross</v>
          </cell>
          <cell r="Y7391" t="str">
            <v>FRANCE</v>
          </cell>
        </row>
        <row r="7392">
          <cell r="L7392" t="str">
            <v>Non-proportional</v>
          </cell>
          <cell r="S7392">
            <v>-2026.92</v>
          </cell>
          <cell r="X7392" t="str">
            <v>Commissions - gross</v>
          </cell>
          <cell r="Y7392" t="str">
            <v>JAPAN</v>
          </cell>
        </row>
        <row r="7393">
          <cell r="L7393" t="str">
            <v>Non-proportional</v>
          </cell>
          <cell r="S7393">
            <v>244.25</v>
          </cell>
          <cell r="X7393" t="str">
            <v>Commissions - gross</v>
          </cell>
          <cell r="Y7393" t="str">
            <v>CYPRUS</v>
          </cell>
        </row>
        <row r="7394">
          <cell r="L7394" t="str">
            <v>Non-proportional</v>
          </cell>
          <cell r="S7394">
            <v>272.24</v>
          </cell>
          <cell r="X7394" t="str">
            <v>Commissions - gross</v>
          </cell>
          <cell r="Y7394" t="str">
            <v>COLOMBIA</v>
          </cell>
        </row>
        <row r="7395">
          <cell r="L7395" t="str">
            <v>Non-proportional</v>
          </cell>
          <cell r="S7395">
            <v>-14.95</v>
          </cell>
          <cell r="X7395" t="str">
            <v>Commissions - gross</v>
          </cell>
          <cell r="Y7395" t="str">
            <v>TURKEY</v>
          </cell>
        </row>
        <row r="7396">
          <cell r="L7396" t="str">
            <v>Non-proportional</v>
          </cell>
          <cell r="S7396">
            <v>2475</v>
          </cell>
          <cell r="X7396" t="str">
            <v>Commissions - gross</v>
          </cell>
          <cell r="Y7396" t="str">
            <v>GREECE</v>
          </cell>
        </row>
        <row r="7397">
          <cell r="L7397" t="str">
            <v>Non-proportional</v>
          </cell>
          <cell r="S7397">
            <v>261</v>
          </cell>
          <cell r="X7397" t="str">
            <v>Commissions - gross</v>
          </cell>
          <cell r="Y7397" t="str">
            <v>GREECE</v>
          </cell>
        </row>
        <row r="7398">
          <cell r="L7398" t="str">
            <v>Non-proportional</v>
          </cell>
          <cell r="S7398">
            <v>29680.36</v>
          </cell>
          <cell r="X7398" t="str">
            <v>Commissions - gross</v>
          </cell>
          <cell r="Y7398" t="str">
            <v>UNITED KINGDOM</v>
          </cell>
        </row>
        <row r="7399">
          <cell r="L7399" t="str">
            <v>Non-proportional</v>
          </cell>
          <cell r="S7399">
            <v>4435.37</v>
          </cell>
          <cell r="X7399" t="str">
            <v>Commissions - gross</v>
          </cell>
          <cell r="Y7399" t="str">
            <v>UNITED KINGDOM</v>
          </cell>
        </row>
        <row r="7400">
          <cell r="L7400" t="str">
            <v>Non-proportional</v>
          </cell>
          <cell r="S7400">
            <v>36.53</v>
          </cell>
          <cell r="X7400" t="str">
            <v>Commissions - gross</v>
          </cell>
          <cell r="Y7400" t="str">
            <v>CHILE</v>
          </cell>
        </row>
        <row r="7401">
          <cell r="L7401" t="str">
            <v>Non-proportional</v>
          </cell>
          <cell r="S7401">
            <v>32.64</v>
          </cell>
          <cell r="X7401" t="str">
            <v>Commissions - gross</v>
          </cell>
          <cell r="Y7401" t="str">
            <v>COLOMBIA</v>
          </cell>
        </row>
        <row r="7402">
          <cell r="L7402" t="str">
            <v>Non-proportional</v>
          </cell>
          <cell r="S7402">
            <v>77.150000000000006</v>
          </cell>
          <cell r="X7402" t="str">
            <v>Commissions - gross</v>
          </cell>
          <cell r="Y7402" t="str">
            <v>GERMANY</v>
          </cell>
        </row>
        <row r="7403">
          <cell r="L7403" t="str">
            <v>Non-proportional</v>
          </cell>
          <cell r="S7403">
            <v>47.28</v>
          </cell>
          <cell r="X7403" t="str">
            <v>Commissions - gross</v>
          </cell>
          <cell r="Y7403" t="str">
            <v>JAPAN</v>
          </cell>
        </row>
        <row r="7404">
          <cell r="L7404" t="str">
            <v>Non-proportional</v>
          </cell>
          <cell r="S7404">
            <v>977.61</v>
          </cell>
          <cell r="X7404" t="str">
            <v>Commissions - gross</v>
          </cell>
          <cell r="Y7404" t="str">
            <v>TURKEY</v>
          </cell>
        </row>
        <row r="7405">
          <cell r="L7405" t="str">
            <v>Non-proportional</v>
          </cell>
          <cell r="S7405">
            <v>-47.14</v>
          </cell>
          <cell r="X7405" t="str">
            <v>Commissions - gross</v>
          </cell>
          <cell r="Y7405" t="str">
            <v>DOMINICAN REPUBLIC</v>
          </cell>
        </row>
        <row r="7406">
          <cell r="L7406" t="str">
            <v>Non-proportional</v>
          </cell>
          <cell r="S7406">
            <v>-2.69</v>
          </cell>
          <cell r="X7406" t="str">
            <v>Commissions - gross</v>
          </cell>
          <cell r="Y7406" t="str">
            <v>COLOMBIA</v>
          </cell>
        </row>
        <row r="7407">
          <cell r="L7407" t="str">
            <v>Non-proportional</v>
          </cell>
          <cell r="S7407">
            <v>4599.18</v>
          </cell>
          <cell r="X7407" t="str">
            <v>Commissions - gross</v>
          </cell>
          <cell r="Y7407" t="str">
            <v>UNITED KINGDOM</v>
          </cell>
        </row>
        <row r="7408">
          <cell r="L7408" t="str">
            <v>Non-proportional</v>
          </cell>
          <cell r="S7408">
            <v>365.34</v>
          </cell>
          <cell r="X7408" t="str">
            <v>Commissions - gross</v>
          </cell>
          <cell r="Y7408" t="str">
            <v>CHILE</v>
          </cell>
        </row>
        <row r="7409">
          <cell r="L7409" t="str">
            <v>Non-proportional</v>
          </cell>
          <cell r="S7409">
            <v>365.34</v>
          </cell>
          <cell r="X7409" t="str">
            <v>Commissions - gross</v>
          </cell>
          <cell r="Y7409" t="str">
            <v>CHILE</v>
          </cell>
        </row>
        <row r="7410">
          <cell r="L7410" t="str">
            <v>Proportional</v>
          </cell>
          <cell r="S7410">
            <v>2300.6</v>
          </cell>
          <cell r="X7410" t="str">
            <v>Commissions - gross</v>
          </cell>
          <cell r="Y7410" t="str">
            <v>MEXICO</v>
          </cell>
        </row>
        <row r="7411">
          <cell r="L7411" t="str">
            <v>Non-proportional</v>
          </cell>
          <cell r="S7411">
            <v>659.84</v>
          </cell>
          <cell r="X7411" t="str">
            <v>Commissions - gross</v>
          </cell>
          <cell r="Y7411" t="str">
            <v>INDIA</v>
          </cell>
        </row>
        <row r="7412">
          <cell r="L7412" t="str">
            <v>Non-proportional</v>
          </cell>
          <cell r="S7412">
            <v>2458.1799999999998</v>
          </cell>
          <cell r="X7412" t="str">
            <v>Commissions - gross</v>
          </cell>
          <cell r="Y7412" t="str">
            <v>NEW ZEALAND</v>
          </cell>
        </row>
        <row r="7413">
          <cell r="L7413" t="str">
            <v>Non-proportional</v>
          </cell>
          <cell r="S7413">
            <v>282.8</v>
          </cell>
          <cell r="X7413" t="str">
            <v>Commissions - gross</v>
          </cell>
          <cell r="Y7413" t="str">
            <v>ISRAEL</v>
          </cell>
        </row>
        <row r="7414">
          <cell r="L7414" t="str">
            <v>Non-proportional</v>
          </cell>
          <cell r="S7414">
            <v>627.9</v>
          </cell>
          <cell r="X7414" t="str">
            <v>Commissions - gross</v>
          </cell>
          <cell r="Y7414" t="str">
            <v>FRANCE</v>
          </cell>
        </row>
        <row r="7415">
          <cell r="L7415" t="str">
            <v>Non-proportional</v>
          </cell>
          <cell r="S7415">
            <v>210.68</v>
          </cell>
          <cell r="X7415" t="str">
            <v>Commissions - gross</v>
          </cell>
          <cell r="Y7415" t="str">
            <v>JAPAN</v>
          </cell>
        </row>
        <row r="7416">
          <cell r="L7416" t="str">
            <v>Proportional</v>
          </cell>
          <cell r="S7416">
            <v>268.83</v>
          </cell>
          <cell r="X7416" t="str">
            <v>Commissions - gross</v>
          </cell>
          <cell r="Y7416" t="str">
            <v>ITALY</v>
          </cell>
        </row>
        <row r="7417">
          <cell r="L7417" t="str">
            <v>Non-proportional</v>
          </cell>
          <cell r="S7417">
            <v>7.3</v>
          </cell>
          <cell r="X7417" t="str">
            <v>Commissions - gross</v>
          </cell>
          <cell r="Y7417" t="str">
            <v>COLOMBIA</v>
          </cell>
        </row>
        <row r="7418">
          <cell r="L7418" t="str">
            <v>Non-proportional</v>
          </cell>
          <cell r="S7418">
            <v>429.28</v>
          </cell>
          <cell r="X7418" t="str">
            <v>Commissions - gross</v>
          </cell>
          <cell r="Y7418" t="str">
            <v>UNITED KINGDOM</v>
          </cell>
        </row>
        <row r="7419">
          <cell r="L7419" t="str">
            <v>Non-proportional</v>
          </cell>
          <cell r="S7419">
            <v>7.24</v>
          </cell>
          <cell r="X7419" t="str">
            <v>Commissions - gross</v>
          </cell>
          <cell r="Y7419" t="str">
            <v>JAPAN</v>
          </cell>
        </row>
        <row r="7420">
          <cell r="L7420" t="str">
            <v>Non-proportional</v>
          </cell>
          <cell r="S7420">
            <v>1015.63</v>
          </cell>
          <cell r="X7420" t="str">
            <v>Commissions - gross</v>
          </cell>
          <cell r="Y7420" t="str">
            <v>EUROPE</v>
          </cell>
        </row>
        <row r="7421">
          <cell r="L7421" t="str">
            <v>Non-proportional</v>
          </cell>
          <cell r="S7421">
            <v>584.26</v>
          </cell>
          <cell r="X7421" t="str">
            <v>Commissions - gross</v>
          </cell>
          <cell r="Y7421" t="str">
            <v>AUSTRALIA</v>
          </cell>
        </row>
        <row r="7422">
          <cell r="L7422" t="str">
            <v>Non-proportional</v>
          </cell>
          <cell r="S7422">
            <v>750.3</v>
          </cell>
          <cell r="X7422" t="str">
            <v>Commissions - gross</v>
          </cell>
          <cell r="Y7422" t="str">
            <v>CYPRUS</v>
          </cell>
        </row>
        <row r="7423">
          <cell r="L7423" t="str">
            <v>Non-proportional</v>
          </cell>
          <cell r="S7423">
            <v>303.10000000000002</v>
          </cell>
          <cell r="X7423" t="str">
            <v>Commissions - gross</v>
          </cell>
          <cell r="Y7423" t="str">
            <v>ISRAEL</v>
          </cell>
        </row>
        <row r="7424">
          <cell r="L7424" t="str">
            <v>Non-proportional</v>
          </cell>
          <cell r="S7424">
            <v>862.69</v>
          </cell>
          <cell r="X7424" t="str">
            <v>Commissions - gross</v>
          </cell>
          <cell r="Y7424" t="str">
            <v>MEXICO</v>
          </cell>
        </row>
        <row r="7425">
          <cell r="L7425" t="str">
            <v>Non-proportional</v>
          </cell>
          <cell r="S7425">
            <v>-1918.69</v>
          </cell>
          <cell r="X7425" t="str">
            <v>Commissions - gross</v>
          </cell>
          <cell r="Y7425" t="str">
            <v>JAPAN</v>
          </cell>
        </row>
        <row r="7426">
          <cell r="L7426" t="str">
            <v>Non-proportional</v>
          </cell>
          <cell r="S7426">
            <v>105.55</v>
          </cell>
          <cell r="X7426" t="str">
            <v>Commissions - gross</v>
          </cell>
          <cell r="Y7426" t="str">
            <v>ISRAEL</v>
          </cell>
        </row>
        <row r="7427">
          <cell r="L7427" t="str">
            <v>Non-proportional</v>
          </cell>
          <cell r="S7427">
            <v>390.67</v>
          </cell>
          <cell r="X7427" t="str">
            <v>Commissions - gross</v>
          </cell>
          <cell r="Y7427" t="str">
            <v>COLOMBIA</v>
          </cell>
        </row>
        <row r="7428">
          <cell r="L7428" t="str">
            <v>Non-proportional</v>
          </cell>
          <cell r="S7428">
            <v>-881.41</v>
          </cell>
          <cell r="X7428" t="str">
            <v>Commissions - gross</v>
          </cell>
          <cell r="Y7428" t="str">
            <v>JAPAN</v>
          </cell>
        </row>
        <row r="7429">
          <cell r="L7429" t="str">
            <v>Non-proportional</v>
          </cell>
          <cell r="S7429">
            <v>241.12</v>
          </cell>
          <cell r="X7429" t="str">
            <v>Commissions - gross</v>
          </cell>
          <cell r="Y7429" t="str">
            <v>JAPAN</v>
          </cell>
        </row>
        <row r="7430">
          <cell r="L7430" t="str">
            <v>Non-proportional</v>
          </cell>
          <cell r="S7430">
            <v>650</v>
          </cell>
          <cell r="X7430" t="str">
            <v>Commissions - gross</v>
          </cell>
          <cell r="Y7430" t="str">
            <v>FRANCE</v>
          </cell>
        </row>
        <row r="7431">
          <cell r="L7431" t="str">
            <v>Non-proportional</v>
          </cell>
          <cell r="S7431">
            <v>1098.21</v>
          </cell>
          <cell r="X7431" t="str">
            <v>Commissions - gross</v>
          </cell>
          <cell r="Y7431" t="str">
            <v>CHILE</v>
          </cell>
        </row>
        <row r="7432">
          <cell r="L7432" t="str">
            <v>Non-proportional</v>
          </cell>
          <cell r="S7432">
            <v>691.29</v>
          </cell>
          <cell r="X7432" t="str">
            <v>Commissions - gross</v>
          </cell>
          <cell r="Y7432" t="str">
            <v>INDIA</v>
          </cell>
        </row>
        <row r="7433">
          <cell r="L7433" t="str">
            <v>Non-proportional</v>
          </cell>
          <cell r="S7433">
            <v>1038.68</v>
          </cell>
          <cell r="X7433" t="str">
            <v>Commissions - gross</v>
          </cell>
          <cell r="Y7433" t="str">
            <v>INDIA</v>
          </cell>
        </row>
        <row r="7434">
          <cell r="L7434" t="str">
            <v>Non-proportional</v>
          </cell>
          <cell r="S7434">
            <v>3328.79</v>
          </cell>
          <cell r="X7434" t="str">
            <v>Commissions - gross</v>
          </cell>
          <cell r="Y7434" t="str">
            <v>NEW ZEALAND</v>
          </cell>
        </row>
        <row r="7435">
          <cell r="L7435" t="str">
            <v>Non-proportional</v>
          </cell>
          <cell r="S7435">
            <v>-943.08</v>
          </cell>
          <cell r="X7435" t="str">
            <v>Commissions - gross</v>
          </cell>
          <cell r="Y7435" t="str">
            <v>SOUTH AFRICA</v>
          </cell>
        </row>
        <row r="7436">
          <cell r="L7436" t="str">
            <v>Non-proportional</v>
          </cell>
          <cell r="S7436">
            <v>-829.19</v>
          </cell>
          <cell r="X7436" t="str">
            <v>Commissions - gross</v>
          </cell>
          <cell r="Y7436" t="str">
            <v>JAPAN</v>
          </cell>
        </row>
        <row r="7437">
          <cell r="L7437" t="str">
            <v>Non-proportional</v>
          </cell>
          <cell r="S7437">
            <v>1049.99</v>
          </cell>
          <cell r="X7437" t="str">
            <v>Commissions - gross</v>
          </cell>
          <cell r="Y7437" t="str">
            <v>ITALY</v>
          </cell>
        </row>
        <row r="7438">
          <cell r="L7438" t="str">
            <v>Non-proportional</v>
          </cell>
          <cell r="S7438">
            <v>442.55</v>
          </cell>
          <cell r="X7438" t="str">
            <v>Commissions - gross</v>
          </cell>
          <cell r="Y7438" t="str">
            <v>FRANCE</v>
          </cell>
        </row>
        <row r="7439">
          <cell r="L7439" t="str">
            <v>Non-proportional</v>
          </cell>
          <cell r="S7439">
            <v>-1051.55</v>
          </cell>
          <cell r="X7439" t="str">
            <v>Commissions - gross</v>
          </cell>
          <cell r="Y7439" t="str">
            <v>ECUADOR</v>
          </cell>
        </row>
        <row r="7440">
          <cell r="L7440" t="str">
            <v>Non-proportional</v>
          </cell>
          <cell r="S7440">
            <v>-2197.77</v>
          </cell>
          <cell r="X7440" t="str">
            <v>Commissions - gross</v>
          </cell>
          <cell r="Y7440" t="str">
            <v>GUATEMALA</v>
          </cell>
        </row>
        <row r="7441">
          <cell r="L7441" t="str">
            <v>Non-proportional</v>
          </cell>
          <cell r="S7441">
            <v>0.01</v>
          </cell>
          <cell r="X7441" t="str">
            <v>Commissions - gross</v>
          </cell>
          <cell r="Y7441" t="str">
            <v>COLOMBIA</v>
          </cell>
        </row>
        <row r="7442">
          <cell r="L7442" t="str">
            <v>Non-proportional</v>
          </cell>
          <cell r="S7442">
            <v>840.27</v>
          </cell>
          <cell r="X7442" t="str">
            <v>Commissions - gross</v>
          </cell>
          <cell r="Y7442" t="str">
            <v>CHILE</v>
          </cell>
        </row>
        <row r="7443">
          <cell r="L7443" t="str">
            <v>Non-proportional</v>
          </cell>
          <cell r="S7443">
            <v>301.25</v>
          </cell>
          <cell r="X7443" t="str">
            <v>Commissions - gross</v>
          </cell>
          <cell r="Y7443" t="str">
            <v>DOMINICAN REPUBLIC</v>
          </cell>
        </row>
        <row r="7444">
          <cell r="L7444" t="str">
            <v>Non-proportional</v>
          </cell>
          <cell r="S7444">
            <v>-36.53</v>
          </cell>
          <cell r="X7444" t="str">
            <v>Commissions - gross</v>
          </cell>
          <cell r="Y7444" t="str">
            <v>CHILE</v>
          </cell>
        </row>
        <row r="7445">
          <cell r="L7445" t="str">
            <v>Non-proportional</v>
          </cell>
          <cell r="S7445">
            <v>877.51</v>
          </cell>
          <cell r="X7445" t="str">
            <v>Commissions - gross</v>
          </cell>
          <cell r="Y7445" t="str">
            <v>FRANCE</v>
          </cell>
        </row>
        <row r="7446">
          <cell r="L7446" t="str">
            <v>Non-proportional</v>
          </cell>
          <cell r="S7446">
            <v>-3062.5</v>
          </cell>
          <cell r="X7446" t="str">
            <v>Commissions - gross</v>
          </cell>
          <cell r="Y7446" t="str">
            <v>ITALY</v>
          </cell>
        </row>
        <row r="7447">
          <cell r="L7447" t="str">
            <v>Non-proportional</v>
          </cell>
          <cell r="S7447">
            <v>251.77</v>
          </cell>
          <cell r="X7447" t="str">
            <v>Commissions - gross</v>
          </cell>
          <cell r="Y7447" t="str">
            <v>ITALY</v>
          </cell>
        </row>
        <row r="7448">
          <cell r="L7448" t="str">
            <v>Non-proportional</v>
          </cell>
          <cell r="S7448">
            <v>28.63</v>
          </cell>
          <cell r="X7448" t="str">
            <v>Commissions - gross</v>
          </cell>
          <cell r="Y7448" t="str">
            <v>REPUBLIC OF IRELAND</v>
          </cell>
        </row>
        <row r="7449">
          <cell r="L7449" t="str">
            <v>Non-proportional</v>
          </cell>
          <cell r="S7449">
            <v>-2428.04</v>
          </cell>
          <cell r="X7449" t="str">
            <v>Commissions - gross</v>
          </cell>
          <cell r="Y7449" t="str">
            <v>UNITED KINGDOM</v>
          </cell>
        </row>
        <row r="7450">
          <cell r="L7450" t="str">
            <v>Non-proportional</v>
          </cell>
          <cell r="S7450">
            <v>1.82</v>
          </cell>
          <cell r="X7450" t="str">
            <v>Commissions - gross</v>
          </cell>
          <cell r="Y7450" t="str">
            <v>GUATEMALA</v>
          </cell>
        </row>
        <row r="7451">
          <cell r="L7451" t="str">
            <v>Non-proportional</v>
          </cell>
          <cell r="S7451">
            <v>81.790000000000006</v>
          </cell>
          <cell r="X7451" t="str">
            <v>Commissions - gross</v>
          </cell>
          <cell r="Y7451" t="str">
            <v>COLOMBIA</v>
          </cell>
        </row>
        <row r="7452">
          <cell r="L7452" t="str">
            <v>Non-proportional</v>
          </cell>
          <cell r="S7452">
            <v>15618.34</v>
          </cell>
          <cell r="X7452" t="str">
            <v>Commissions - gross</v>
          </cell>
          <cell r="Y7452" t="str">
            <v>UNITED KINGDOM</v>
          </cell>
        </row>
        <row r="7453">
          <cell r="L7453" t="str">
            <v>Non-proportional</v>
          </cell>
          <cell r="S7453">
            <v>63.02</v>
          </cell>
          <cell r="X7453" t="str">
            <v>Commissions - gross</v>
          </cell>
          <cell r="Y7453" t="str">
            <v>JAPAN</v>
          </cell>
        </row>
        <row r="7454">
          <cell r="L7454" t="str">
            <v>Non-proportional</v>
          </cell>
          <cell r="S7454">
            <v>1000</v>
          </cell>
          <cell r="X7454" t="str">
            <v>Commissions - gross</v>
          </cell>
          <cell r="Y7454" t="str">
            <v>EUROPE</v>
          </cell>
        </row>
        <row r="7455">
          <cell r="L7455" t="str">
            <v>Non-proportional</v>
          </cell>
          <cell r="S7455">
            <v>551.27</v>
          </cell>
          <cell r="X7455" t="str">
            <v>Commissions - gross</v>
          </cell>
          <cell r="Y7455" t="str">
            <v>NETHERLANDS</v>
          </cell>
        </row>
        <row r="7456">
          <cell r="L7456" t="str">
            <v>Non-proportional</v>
          </cell>
          <cell r="S7456">
            <v>665.89</v>
          </cell>
          <cell r="X7456" t="str">
            <v>Commissions - gross</v>
          </cell>
          <cell r="Y7456" t="str">
            <v>CYPRUS</v>
          </cell>
        </row>
        <row r="7457">
          <cell r="L7457" t="str">
            <v>Proportional</v>
          </cell>
          <cell r="S7457">
            <v>-2603.36</v>
          </cell>
          <cell r="X7457" t="str">
            <v>Commissions - gross</v>
          </cell>
          <cell r="Y7457" t="str">
            <v>REPUBLIC OF IRELAND</v>
          </cell>
        </row>
        <row r="7458">
          <cell r="L7458" t="str">
            <v>Non-proportional</v>
          </cell>
          <cell r="S7458">
            <v>295.91000000000003</v>
          </cell>
          <cell r="X7458" t="str">
            <v>Commissions - gross</v>
          </cell>
          <cell r="Y7458" t="str">
            <v>ISRAEL</v>
          </cell>
        </row>
        <row r="7459">
          <cell r="L7459" t="str">
            <v>Proportional</v>
          </cell>
          <cell r="S7459">
            <v>-233.31</v>
          </cell>
          <cell r="X7459" t="str">
            <v>Commissions - gross</v>
          </cell>
          <cell r="Y7459" t="str">
            <v>GERMANY</v>
          </cell>
        </row>
        <row r="7460">
          <cell r="L7460" t="str">
            <v>Non-proportional</v>
          </cell>
          <cell r="S7460">
            <v>97.5</v>
          </cell>
          <cell r="X7460" t="str">
            <v>Commissions - gross</v>
          </cell>
          <cell r="Y7460" t="str">
            <v>GREECE</v>
          </cell>
        </row>
        <row r="7461">
          <cell r="L7461" t="str">
            <v>Non-proportional</v>
          </cell>
          <cell r="S7461">
            <v>182.67</v>
          </cell>
          <cell r="X7461" t="str">
            <v>Commissions - gross</v>
          </cell>
          <cell r="Y7461" t="str">
            <v>CHILE</v>
          </cell>
        </row>
        <row r="7462">
          <cell r="L7462" t="str">
            <v>Non-proportional</v>
          </cell>
          <cell r="S7462">
            <v>-1387.34</v>
          </cell>
          <cell r="X7462" t="str">
            <v>Commissions - gross</v>
          </cell>
          <cell r="Y7462" t="str">
            <v>UNITED KINGDOM</v>
          </cell>
        </row>
        <row r="7463">
          <cell r="L7463" t="str">
            <v>Non-proportional</v>
          </cell>
          <cell r="S7463">
            <v>435.62</v>
          </cell>
          <cell r="X7463" t="str">
            <v>Commissions - gross</v>
          </cell>
          <cell r="Y7463" t="str">
            <v>ECUADOR</v>
          </cell>
        </row>
        <row r="7464">
          <cell r="L7464" t="str">
            <v>Non-proportional</v>
          </cell>
          <cell r="S7464">
            <v>2.4</v>
          </cell>
          <cell r="X7464" t="str">
            <v>Commissions - gross</v>
          </cell>
          <cell r="Y7464" t="str">
            <v>INDIA</v>
          </cell>
        </row>
        <row r="7465">
          <cell r="L7465" t="str">
            <v>Non-proportional</v>
          </cell>
          <cell r="S7465">
            <v>-3295.26</v>
          </cell>
          <cell r="X7465" t="str">
            <v>Commissions - gross</v>
          </cell>
          <cell r="Y7465" t="str">
            <v>JAPAN</v>
          </cell>
        </row>
        <row r="7466">
          <cell r="L7466" t="str">
            <v>Non-proportional</v>
          </cell>
          <cell r="S7466">
            <v>355.72</v>
          </cell>
          <cell r="X7466" t="str">
            <v>Commissions - gross</v>
          </cell>
          <cell r="Y7466" t="str">
            <v>ISRAEL</v>
          </cell>
        </row>
        <row r="7467">
          <cell r="L7467" t="str">
            <v>Non-proportional</v>
          </cell>
          <cell r="S7467">
            <v>328.8</v>
          </cell>
          <cell r="X7467" t="str">
            <v>Commissions - gross</v>
          </cell>
          <cell r="Y7467" t="str">
            <v>CHILE</v>
          </cell>
        </row>
        <row r="7468">
          <cell r="L7468" t="str">
            <v>Non-proportional</v>
          </cell>
          <cell r="S7468">
            <v>1012.05</v>
          </cell>
          <cell r="X7468" t="str">
            <v>Commissions - gross</v>
          </cell>
          <cell r="Y7468" t="str">
            <v>ITALY</v>
          </cell>
        </row>
        <row r="7469">
          <cell r="L7469" t="str">
            <v>Non-proportional</v>
          </cell>
          <cell r="S7469">
            <v>-2418.15</v>
          </cell>
          <cell r="X7469" t="str">
            <v>Commissions - gross</v>
          </cell>
          <cell r="Y7469" t="str">
            <v>COLOMBIA</v>
          </cell>
        </row>
        <row r="7470">
          <cell r="L7470" t="str">
            <v>Non-proportional</v>
          </cell>
          <cell r="S7470">
            <v>10564.1</v>
          </cell>
          <cell r="X7470" t="str">
            <v>Commissions - gross</v>
          </cell>
          <cell r="Y7470" t="str">
            <v>HONG KONG</v>
          </cell>
        </row>
        <row r="7471">
          <cell r="L7471" t="str">
            <v>Non-proportional</v>
          </cell>
          <cell r="S7471">
            <v>471.34</v>
          </cell>
          <cell r="X7471" t="str">
            <v>Commissions - gross</v>
          </cell>
          <cell r="Y7471" t="str">
            <v>AUSTRALIA</v>
          </cell>
        </row>
        <row r="7472">
          <cell r="L7472" t="str">
            <v>Non-proportional</v>
          </cell>
          <cell r="S7472">
            <v>22768.57</v>
          </cell>
          <cell r="X7472" t="str">
            <v>Commissions - gross</v>
          </cell>
          <cell r="Y7472" t="str">
            <v>FRANCE</v>
          </cell>
        </row>
        <row r="7473">
          <cell r="L7473" t="str">
            <v>Non-proportional</v>
          </cell>
          <cell r="S7473">
            <v>595.9</v>
          </cell>
          <cell r="X7473" t="str">
            <v>Commissions - gross</v>
          </cell>
          <cell r="Y7473" t="str">
            <v>ISRAEL</v>
          </cell>
        </row>
        <row r="7474">
          <cell r="L7474" t="str">
            <v>Non-proportional</v>
          </cell>
          <cell r="S7474">
            <v>409.5</v>
          </cell>
          <cell r="X7474" t="str">
            <v>Commissions - gross</v>
          </cell>
          <cell r="Y7474" t="str">
            <v>FRANCE</v>
          </cell>
        </row>
        <row r="7475">
          <cell r="L7475" t="str">
            <v>Non-proportional</v>
          </cell>
          <cell r="S7475">
            <v>77.62</v>
          </cell>
          <cell r="X7475" t="str">
            <v>Commissions - gross</v>
          </cell>
          <cell r="Y7475" t="str">
            <v>BRAZIL</v>
          </cell>
        </row>
        <row r="7476">
          <cell r="L7476" t="str">
            <v>Non-proportional</v>
          </cell>
          <cell r="S7476">
            <v>1448.39</v>
          </cell>
          <cell r="X7476" t="str">
            <v>Commissions - gross</v>
          </cell>
          <cell r="Y7476" t="str">
            <v>FRANCE</v>
          </cell>
        </row>
        <row r="7477">
          <cell r="L7477" t="str">
            <v>Non-proportional</v>
          </cell>
          <cell r="S7477">
            <v>-1234</v>
          </cell>
          <cell r="X7477" t="str">
            <v>Commissions - gross</v>
          </cell>
          <cell r="Y7477" t="str">
            <v>FRANCE</v>
          </cell>
        </row>
        <row r="7478">
          <cell r="L7478" t="str">
            <v>Non-proportional</v>
          </cell>
          <cell r="S7478">
            <v>851.51</v>
          </cell>
          <cell r="X7478" t="str">
            <v>Commissions - gross</v>
          </cell>
          <cell r="Y7478" t="str">
            <v>ISRAEL</v>
          </cell>
        </row>
        <row r="7479">
          <cell r="L7479" t="str">
            <v>Non-proportional</v>
          </cell>
          <cell r="S7479">
            <v>445.88</v>
          </cell>
          <cell r="X7479" t="str">
            <v>Commissions - gross</v>
          </cell>
          <cell r="Y7479" t="str">
            <v>ECUADOR</v>
          </cell>
        </row>
        <row r="7480">
          <cell r="L7480" t="str">
            <v>Non-proportional</v>
          </cell>
          <cell r="S7480">
            <v>3034.6</v>
          </cell>
          <cell r="X7480" t="str">
            <v>Commissions - gross</v>
          </cell>
          <cell r="Y7480" t="str">
            <v>FRANCE</v>
          </cell>
        </row>
        <row r="7481">
          <cell r="L7481" t="str">
            <v>Non-proportional</v>
          </cell>
          <cell r="S7481">
            <v>743.75</v>
          </cell>
          <cell r="X7481" t="str">
            <v>Commissions - gross</v>
          </cell>
          <cell r="Y7481" t="str">
            <v>ITALY</v>
          </cell>
        </row>
        <row r="7482">
          <cell r="L7482" t="str">
            <v>Non-proportional</v>
          </cell>
          <cell r="S7482">
            <v>-7458.26</v>
          </cell>
          <cell r="X7482" t="str">
            <v>Commissions - gross</v>
          </cell>
          <cell r="Y7482" t="str">
            <v>JAPAN</v>
          </cell>
        </row>
        <row r="7483">
          <cell r="L7483" t="str">
            <v>Non-proportional</v>
          </cell>
          <cell r="S7483">
            <v>527.45000000000005</v>
          </cell>
          <cell r="X7483" t="str">
            <v>Commissions - gross</v>
          </cell>
          <cell r="Y7483" t="str">
            <v>CYPRUS</v>
          </cell>
        </row>
        <row r="7484">
          <cell r="L7484" t="str">
            <v>Non-proportional</v>
          </cell>
          <cell r="S7484">
            <v>425.02</v>
          </cell>
          <cell r="X7484" t="str">
            <v>Commissions - gross</v>
          </cell>
          <cell r="Y7484" t="str">
            <v>ITALY</v>
          </cell>
        </row>
        <row r="7485">
          <cell r="L7485" t="str">
            <v>Non-proportional</v>
          </cell>
          <cell r="S7485">
            <v>-26.41</v>
          </cell>
          <cell r="X7485" t="str">
            <v>Commissions - gross</v>
          </cell>
          <cell r="Y7485" t="str">
            <v>COLOMBIA</v>
          </cell>
        </row>
        <row r="7486">
          <cell r="L7486" t="str">
            <v>Non-proportional</v>
          </cell>
          <cell r="S7486">
            <v>0.01</v>
          </cell>
          <cell r="X7486" t="str">
            <v>Commissions - gross</v>
          </cell>
          <cell r="Y7486" t="str">
            <v>COLOMBIA</v>
          </cell>
        </row>
        <row r="7487">
          <cell r="L7487" t="str">
            <v>Non-proportional</v>
          </cell>
          <cell r="S7487">
            <v>630.99</v>
          </cell>
          <cell r="X7487" t="str">
            <v>Commissions - gross</v>
          </cell>
          <cell r="Y7487" t="str">
            <v>PERU</v>
          </cell>
        </row>
        <row r="7488">
          <cell r="L7488" t="str">
            <v>Non-proportional</v>
          </cell>
          <cell r="S7488">
            <v>88.44</v>
          </cell>
          <cell r="X7488" t="str">
            <v>Commissions - gross</v>
          </cell>
          <cell r="Y7488" t="str">
            <v>FRANCE</v>
          </cell>
        </row>
        <row r="7489">
          <cell r="L7489" t="str">
            <v>Proportional</v>
          </cell>
          <cell r="S7489">
            <v>36.53</v>
          </cell>
          <cell r="X7489" t="str">
            <v>Commissions - gross</v>
          </cell>
          <cell r="Y7489" t="str">
            <v>CHILE</v>
          </cell>
        </row>
        <row r="7490">
          <cell r="L7490" t="str">
            <v>Non-proportional</v>
          </cell>
          <cell r="S7490">
            <v>479.71</v>
          </cell>
          <cell r="X7490" t="str">
            <v>Commissions - gross</v>
          </cell>
          <cell r="Y7490" t="str">
            <v>PERU</v>
          </cell>
        </row>
        <row r="7491">
          <cell r="L7491" t="str">
            <v>Non-proportional</v>
          </cell>
          <cell r="S7491">
            <v>369.49</v>
          </cell>
          <cell r="X7491" t="str">
            <v>Commissions - gross</v>
          </cell>
          <cell r="Y7491" t="str">
            <v>DOMINICAN REPUBLIC</v>
          </cell>
        </row>
        <row r="7492">
          <cell r="L7492" t="str">
            <v>Non-proportional</v>
          </cell>
          <cell r="S7492">
            <v>219.2</v>
          </cell>
          <cell r="X7492" t="str">
            <v>Commissions - gross</v>
          </cell>
          <cell r="Y7492" t="str">
            <v>CHILE</v>
          </cell>
        </row>
        <row r="7493">
          <cell r="L7493" t="str">
            <v>Non-proportional</v>
          </cell>
          <cell r="S7493">
            <v>454.19</v>
          </cell>
          <cell r="X7493" t="str">
            <v>Commissions - gross</v>
          </cell>
          <cell r="Y7493" t="str">
            <v>TURKEY</v>
          </cell>
        </row>
        <row r="7494">
          <cell r="L7494" t="str">
            <v>Non-proportional</v>
          </cell>
          <cell r="S7494">
            <v>292.27</v>
          </cell>
          <cell r="X7494" t="str">
            <v>Commissions - gross</v>
          </cell>
          <cell r="Y7494" t="str">
            <v>CHILE</v>
          </cell>
        </row>
        <row r="7495">
          <cell r="L7495" t="str">
            <v>Non-proportional</v>
          </cell>
          <cell r="S7495">
            <v>86</v>
          </cell>
          <cell r="X7495" t="str">
            <v>Commissions - gross</v>
          </cell>
          <cell r="Y7495" t="str">
            <v>GREECE</v>
          </cell>
        </row>
        <row r="7496">
          <cell r="L7496" t="str">
            <v>Non-proportional</v>
          </cell>
          <cell r="S7496">
            <v>61.5</v>
          </cell>
          <cell r="X7496" t="str">
            <v>Commissions - gross</v>
          </cell>
          <cell r="Y7496" t="str">
            <v>MEXICO</v>
          </cell>
        </row>
        <row r="7497">
          <cell r="L7497" t="str">
            <v>Non-proportional</v>
          </cell>
          <cell r="S7497">
            <v>429.9</v>
          </cell>
          <cell r="X7497" t="str">
            <v>Commissions - gross</v>
          </cell>
          <cell r="Y7497" t="str">
            <v>UNITED KINGDOM</v>
          </cell>
        </row>
        <row r="7498">
          <cell r="L7498" t="str">
            <v>Non-proportional</v>
          </cell>
          <cell r="S7498">
            <v>1228.3499999999999</v>
          </cell>
          <cell r="X7498" t="str">
            <v>Commissions - gross</v>
          </cell>
          <cell r="Y7498" t="str">
            <v>AUSTRALIA</v>
          </cell>
        </row>
        <row r="7499">
          <cell r="L7499" t="str">
            <v>Non-proportional</v>
          </cell>
          <cell r="S7499">
            <v>809.98</v>
          </cell>
          <cell r="X7499" t="str">
            <v>Commissions - gross</v>
          </cell>
          <cell r="Y7499" t="str">
            <v>AUSTRALIA</v>
          </cell>
        </row>
        <row r="7500">
          <cell r="L7500" t="str">
            <v>Non-proportional</v>
          </cell>
          <cell r="S7500">
            <v>117.23</v>
          </cell>
          <cell r="X7500" t="str">
            <v>Commissions - gross</v>
          </cell>
          <cell r="Y7500" t="str">
            <v>FRANCE</v>
          </cell>
        </row>
        <row r="7501">
          <cell r="L7501" t="str">
            <v>Non-proportional</v>
          </cell>
          <cell r="S7501">
            <v>481.27</v>
          </cell>
          <cell r="X7501" t="str">
            <v>Commissions - gross</v>
          </cell>
          <cell r="Y7501" t="str">
            <v>ISRAEL</v>
          </cell>
        </row>
        <row r="7502">
          <cell r="L7502" t="str">
            <v>Non-proportional</v>
          </cell>
          <cell r="S7502">
            <v>239.34</v>
          </cell>
          <cell r="X7502" t="str">
            <v>Commissions - gross</v>
          </cell>
          <cell r="Y7502" t="str">
            <v>ISRAEL</v>
          </cell>
        </row>
        <row r="7503">
          <cell r="L7503" t="str">
            <v>Proportional</v>
          </cell>
          <cell r="S7503">
            <v>1206.4000000000001</v>
          </cell>
          <cell r="X7503" t="str">
            <v>Commissions - gross</v>
          </cell>
          <cell r="Y7503" t="str">
            <v>CANADA</v>
          </cell>
        </row>
        <row r="7504">
          <cell r="L7504" t="str">
            <v>Non-proportional</v>
          </cell>
          <cell r="S7504">
            <v>97.37</v>
          </cell>
          <cell r="X7504" t="str">
            <v>Commissions - gross</v>
          </cell>
          <cell r="Y7504" t="str">
            <v>MEXICO</v>
          </cell>
        </row>
        <row r="7505">
          <cell r="L7505" t="str">
            <v>Non-proportional</v>
          </cell>
          <cell r="S7505">
            <v>0</v>
          </cell>
          <cell r="X7505" t="str">
            <v>Commissions - gross</v>
          </cell>
          <cell r="Y7505" t="str">
            <v>COLOMBIA</v>
          </cell>
        </row>
        <row r="7506">
          <cell r="L7506" t="str">
            <v>Non-proportional</v>
          </cell>
          <cell r="S7506">
            <v>-45537.14</v>
          </cell>
          <cell r="X7506" t="str">
            <v>Commissions - gross</v>
          </cell>
          <cell r="Y7506" t="str">
            <v>FRANCE</v>
          </cell>
        </row>
        <row r="7507">
          <cell r="L7507" t="str">
            <v>Non-proportional</v>
          </cell>
          <cell r="S7507">
            <v>494.91</v>
          </cell>
          <cell r="X7507" t="str">
            <v>Commissions - gross</v>
          </cell>
          <cell r="Y7507" t="str">
            <v>NETHERLANDS</v>
          </cell>
        </row>
        <row r="7508">
          <cell r="L7508" t="str">
            <v>Non-proportional</v>
          </cell>
          <cell r="S7508">
            <v>-11241.14</v>
          </cell>
          <cell r="X7508" t="str">
            <v>Commissions - gross</v>
          </cell>
          <cell r="Y7508" t="str">
            <v>NEW ZEALAND</v>
          </cell>
        </row>
        <row r="7509">
          <cell r="L7509" t="str">
            <v>Non-proportional</v>
          </cell>
          <cell r="S7509">
            <v>301.52999999999997</v>
          </cell>
          <cell r="X7509" t="str">
            <v>Commissions - gross</v>
          </cell>
          <cell r="Y7509" t="str">
            <v>ITALY</v>
          </cell>
        </row>
        <row r="7510">
          <cell r="L7510" t="str">
            <v>Non-proportional</v>
          </cell>
          <cell r="S7510">
            <v>6594.21</v>
          </cell>
          <cell r="X7510" t="str">
            <v>Commissions - gross</v>
          </cell>
          <cell r="Y7510" t="str">
            <v>UNITED KINGDOM</v>
          </cell>
        </row>
        <row r="7511">
          <cell r="L7511" t="str">
            <v>Proportional</v>
          </cell>
          <cell r="S7511">
            <v>569.15</v>
          </cell>
          <cell r="X7511" t="str">
            <v>Commissions - gross</v>
          </cell>
          <cell r="Y7511" t="str">
            <v>SWITZERLAND</v>
          </cell>
        </row>
        <row r="7512">
          <cell r="L7512" t="str">
            <v>Non-proportional</v>
          </cell>
          <cell r="S7512">
            <v>45.38</v>
          </cell>
          <cell r="X7512" t="str">
            <v>Commissions - gross</v>
          </cell>
          <cell r="Y7512" t="str">
            <v>UNITED KINGDOM</v>
          </cell>
        </row>
        <row r="7513">
          <cell r="L7513" t="str">
            <v>Non-proportional</v>
          </cell>
          <cell r="S7513">
            <v>95.81</v>
          </cell>
          <cell r="X7513" t="str">
            <v>Commissions - gross</v>
          </cell>
          <cell r="Y7513" t="str">
            <v>COLOMBIA</v>
          </cell>
        </row>
        <row r="7514">
          <cell r="L7514" t="str">
            <v>Non-proportional</v>
          </cell>
          <cell r="S7514">
            <v>782.19</v>
          </cell>
          <cell r="X7514" t="str">
            <v>Commissions - gross</v>
          </cell>
          <cell r="Y7514" t="str">
            <v>UNITED KINGDOM</v>
          </cell>
        </row>
        <row r="7515">
          <cell r="L7515" t="str">
            <v>Non-proportional</v>
          </cell>
          <cell r="S7515">
            <v>6.76</v>
          </cell>
          <cell r="X7515" t="str">
            <v>Commissions - gross</v>
          </cell>
          <cell r="Y7515" t="str">
            <v>JAPAN</v>
          </cell>
        </row>
        <row r="7516">
          <cell r="L7516" t="str">
            <v>Non-proportional</v>
          </cell>
          <cell r="S7516">
            <v>250.2</v>
          </cell>
          <cell r="X7516" t="str">
            <v>Commissions - gross</v>
          </cell>
          <cell r="Y7516" t="str">
            <v>JAPAN</v>
          </cell>
        </row>
        <row r="7517">
          <cell r="L7517" t="str">
            <v>Non-proportional</v>
          </cell>
          <cell r="S7517">
            <v>950.01</v>
          </cell>
          <cell r="X7517" t="str">
            <v>Commissions - gross</v>
          </cell>
          <cell r="Y7517" t="str">
            <v>TURKEY</v>
          </cell>
        </row>
        <row r="7518">
          <cell r="L7518" t="str">
            <v>Non-proportional</v>
          </cell>
          <cell r="S7518">
            <v>174.99</v>
          </cell>
          <cell r="X7518" t="str">
            <v>Commissions - gross</v>
          </cell>
          <cell r="Y7518" t="str">
            <v>EUROPE</v>
          </cell>
        </row>
        <row r="7519">
          <cell r="L7519" t="str">
            <v>Non-proportional</v>
          </cell>
          <cell r="S7519">
            <v>801.22</v>
          </cell>
          <cell r="X7519" t="str">
            <v>Commissions - gross</v>
          </cell>
          <cell r="Y7519" t="str">
            <v>UNITED KINGDOM</v>
          </cell>
        </row>
        <row r="7520">
          <cell r="L7520" t="str">
            <v>Non-proportional</v>
          </cell>
          <cell r="S7520">
            <v>36.53</v>
          </cell>
          <cell r="X7520" t="str">
            <v>Commissions - gross</v>
          </cell>
          <cell r="Y7520" t="str">
            <v>CHILE</v>
          </cell>
        </row>
        <row r="7521">
          <cell r="L7521" t="str">
            <v>Non-proportional</v>
          </cell>
          <cell r="S7521">
            <v>346.66</v>
          </cell>
          <cell r="X7521" t="str">
            <v>Commissions - gross</v>
          </cell>
          <cell r="Y7521" t="str">
            <v>BRAZIL</v>
          </cell>
        </row>
        <row r="7522">
          <cell r="L7522" t="str">
            <v>Non-proportional</v>
          </cell>
          <cell r="S7522">
            <v>1031.25</v>
          </cell>
          <cell r="X7522" t="str">
            <v>Commissions - gross</v>
          </cell>
          <cell r="Y7522" t="str">
            <v>ROMANIA</v>
          </cell>
        </row>
        <row r="7523">
          <cell r="L7523" t="str">
            <v>Non-proportional</v>
          </cell>
          <cell r="S7523">
            <v>379.65</v>
          </cell>
          <cell r="X7523" t="str">
            <v>Commissions - gross</v>
          </cell>
          <cell r="Y7523" t="str">
            <v>ITALY</v>
          </cell>
        </row>
        <row r="7524">
          <cell r="L7524" t="str">
            <v>Non-proportional</v>
          </cell>
          <cell r="S7524">
            <v>111.11</v>
          </cell>
          <cell r="X7524" t="str">
            <v>Commissions - gross</v>
          </cell>
          <cell r="Y7524" t="str">
            <v>COSTA RICA</v>
          </cell>
        </row>
        <row r="7525">
          <cell r="L7525" t="str">
            <v>Non-proportional</v>
          </cell>
          <cell r="S7525">
            <v>-2.13</v>
          </cell>
          <cell r="X7525" t="str">
            <v>Commissions - gross</v>
          </cell>
          <cell r="Y7525" t="str">
            <v>COLOMBIA</v>
          </cell>
        </row>
        <row r="7526">
          <cell r="L7526" t="str">
            <v>Non-proportional</v>
          </cell>
          <cell r="S7526">
            <v>214.83</v>
          </cell>
          <cell r="X7526" t="str">
            <v>Commissions - gross</v>
          </cell>
          <cell r="Y7526" t="str">
            <v>UNITED KINGDOM</v>
          </cell>
        </row>
        <row r="7527">
          <cell r="L7527" t="str">
            <v>Non-proportional</v>
          </cell>
          <cell r="S7527">
            <v>269.47000000000003</v>
          </cell>
          <cell r="X7527" t="str">
            <v>Commissions - gross</v>
          </cell>
          <cell r="Y7527" t="str">
            <v>ISRAEL</v>
          </cell>
        </row>
        <row r="7528">
          <cell r="L7528" t="str">
            <v>Non-proportional</v>
          </cell>
          <cell r="S7528">
            <v>968.08</v>
          </cell>
          <cell r="X7528" t="str">
            <v>Commissions - gross</v>
          </cell>
          <cell r="Y7528" t="str">
            <v>COSTA RICA</v>
          </cell>
        </row>
        <row r="7529">
          <cell r="L7529" t="str">
            <v>Non-proportional</v>
          </cell>
          <cell r="S7529">
            <v>28.5</v>
          </cell>
          <cell r="X7529" t="str">
            <v>Commissions - gross</v>
          </cell>
          <cell r="Y7529" t="str">
            <v>JAPAN</v>
          </cell>
        </row>
        <row r="7530">
          <cell r="L7530" t="str">
            <v>Non-proportional</v>
          </cell>
          <cell r="S7530">
            <v>481.74</v>
          </cell>
          <cell r="X7530" t="str">
            <v>Commissions - gross</v>
          </cell>
          <cell r="Y7530" t="str">
            <v>SPAIN</v>
          </cell>
        </row>
        <row r="7531">
          <cell r="L7531" t="str">
            <v>Non-proportional</v>
          </cell>
          <cell r="S7531">
            <v>905.32</v>
          </cell>
          <cell r="X7531" t="str">
            <v>Commissions - gross</v>
          </cell>
          <cell r="Y7531" t="str">
            <v>ITALY</v>
          </cell>
        </row>
        <row r="7532">
          <cell r="L7532" t="str">
            <v>Non-proportional</v>
          </cell>
          <cell r="S7532">
            <v>515.19000000000005</v>
          </cell>
          <cell r="X7532" t="str">
            <v>Commissions - gross</v>
          </cell>
          <cell r="Y7532" t="str">
            <v>ITALY</v>
          </cell>
        </row>
        <row r="7533">
          <cell r="L7533" t="str">
            <v>Non-proportional</v>
          </cell>
          <cell r="S7533">
            <v>328.8</v>
          </cell>
          <cell r="X7533" t="str">
            <v>Commissions - gross</v>
          </cell>
          <cell r="Y7533" t="str">
            <v>CHILE</v>
          </cell>
        </row>
        <row r="7534">
          <cell r="L7534" t="str">
            <v>Non-proportional</v>
          </cell>
          <cell r="S7534">
            <v>39.130000000000003</v>
          </cell>
          <cell r="X7534" t="str">
            <v>Commissions - gross</v>
          </cell>
          <cell r="Y7534" t="str">
            <v>TURKEY</v>
          </cell>
        </row>
        <row r="7535">
          <cell r="L7535" t="str">
            <v>Non-proportional</v>
          </cell>
          <cell r="S7535">
            <v>-53.66</v>
          </cell>
          <cell r="X7535" t="str">
            <v>Commissions - gross</v>
          </cell>
          <cell r="Y7535" t="str">
            <v>AUSTRALIA</v>
          </cell>
        </row>
        <row r="7536">
          <cell r="L7536" t="str">
            <v>Non-proportional</v>
          </cell>
          <cell r="S7536">
            <v>217.98</v>
          </cell>
          <cell r="X7536" t="str">
            <v>Commissions - gross</v>
          </cell>
          <cell r="Y7536" t="str">
            <v>FRANCE</v>
          </cell>
        </row>
        <row r="7537">
          <cell r="L7537" t="str">
            <v>Non-proportional</v>
          </cell>
          <cell r="S7537">
            <v>318.89</v>
          </cell>
          <cell r="X7537" t="str">
            <v>Commissions - gross</v>
          </cell>
          <cell r="Y7537" t="str">
            <v>UNITED KINGDOM</v>
          </cell>
        </row>
        <row r="7538">
          <cell r="L7538" t="str">
            <v>Non-proportional</v>
          </cell>
          <cell r="S7538">
            <v>3.56</v>
          </cell>
          <cell r="X7538" t="str">
            <v>Commissions - gross</v>
          </cell>
          <cell r="Y7538" t="str">
            <v>BRAZIL</v>
          </cell>
        </row>
        <row r="7539">
          <cell r="L7539" t="str">
            <v>Non-proportional</v>
          </cell>
          <cell r="S7539">
            <v>-5404.03</v>
          </cell>
          <cell r="X7539" t="str">
            <v>Commissions - gross</v>
          </cell>
          <cell r="Y7539" t="str">
            <v>ECUADOR</v>
          </cell>
        </row>
        <row r="7540">
          <cell r="L7540" t="str">
            <v>Non-proportional</v>
          </cell>
          <cell r="S7540">
            <v>489.89</v>
          </cell>
          <cell r="X7540" t="str">
            <v>Commissions - gross</v>
          </cell>
          <cell r="Y7540" t="str">
            <v>DOMINICAN REPUBLIC</v>
          </cell>
        </row>
        <row r="7541">
          <cell r="L7541" t="str">
            <v>Non-proportional</v>
          </cell>
          <cell r="S7541">
            <v>310.16000000000003</v>
          </cell>
          <cell r="X7541" t="str">
            <v>Commissions - gross</v>
          </cell>
          <cell r="Y7541" t="str">
            <v>DOMINICAN REPUBLIC</v>
          </cell>
        </row>
        <row r="7542">
          <cell r="L7542" t="str">
            <v>Non-proportional</v>
          </cell>
          <cell r="S7542">
            <v>292.27</v>
          </cell>
          <cell r="X7542" t="str">
            <v>Commissions - gross</v>
          </cell>
          <cell r="Y7542" t="str">
            <v>CHILE</v>
          </cell>
        </row>
        <row r="7543">
          <cell r="L7543" t="str">
            <v>Non-proportional</v>
          </cell>
          <cell r="S7543">
            <v>-2051.56</v>
          </cell>
          <cell r="X7543" t="str">
            <v>Commissions - gross</v>
          </cell>
          <cell r="Y7543" t="str">
            <v>NEW ZEALAND</v>
          </cell>
        </row>
        <row r="7544">
          <cell r="L7544" t="str">
            <v>Non-proportional</v>
          </cell>
          <cell r="S7544">
            <v>140.63</v>
          </cell>
          <cell r="X7544" t="str">
            <v>Commissions - gross</v>
          </cell>
          <cell r="Y7544" t="str">
            <v>GREECE</v>
          </cell>
        </row>
        <row r="7545">
          <cell r="L7545" t="str">
            <v>Proportional</v>
          </cell>
          <cell r="S7545">
            <v>15.29</v>
          </cell>
          <cell r="X7545" t="str">
            <v>Commissions - gross</v>
          </cell>
          <cell r="Y7545" t="str">
            <v>UNITED STATES</v>
          </cell>
        </row>
        <row r="7546">
          <cell r="L7546" t="str">
            <v>Non-proportional</v>
          </cell>
          <cell r="S7546">
            <v>324.48</v>
          </cell>
          <cell r="X7546" t="str">
            <v>Commissions - gross</v>
          </cell>
          <cell r="Y7546" t="str">
            <v>FRANCE</v>
          </cell>
        </row>
        <row r="7547">
          <cell r="L7547" t="str">
            <v>Non-proportional</v>
          </cell>
          <cell r="S7547">
            <v>-788.66</v>
          </cell>
          <cell r="X7547" t="str">
            <v>Commissions - gross</v>
          </cell>
          <cell r="Y7547" t="str">
            <v>ECUADOR</v>
          </cell>
        </row>
        <row r="7548">
          <cell r="L7548" t="str">
            <v>Non-proportional</v>
          </cell>
          <cell r="S7548">
            <v>1607.16</v>
          </cell>
          <cell r="X7548" t="str">
            <v>Commissions - gross</v>
          </cell>
          <cell r="Y7548" t="str">
            <v>UNITED KINGDOM</v>
          </cell>
        </row>
        <row r="7549">
          <cell r="L7549" t="str">
            <v>Non-proportional</v>
          </cell>
          <cell r="S7549">
            <v>694.45</v>
          </cell>
          <cell r="X7549" t="str">
            <v>Commissions - gross</v>
          </cell>
          <cell r="Y7549" t="str">
            <v>UNITED KINGDOM</v>
          </cell>
        </row>
        <row r="7550">
          <cell r="L7550" t="str">
            <v>Non-proportional</v>
          </cell>
          <cell r="S7550">
            <v>876.1</v>
          </cell>
          <cell r="X7550" t="str">
            <v>Commissions - gross</v>
          </cell>
          <cell r="Y7550" t="str">
            <v>AUSTRALIA</v>
          </cell>
        </row>
        <row r="7551">
          <cell r="L7551" t="str">
            <v>Non-proportional</v>
          </cell>
          <cell r="S7551">
            <v>-23.11</v>
          </cell>
          <cell r="X7551" t="str">
            <v>Commissions - gross</v>
          </cell>
          <cell r="Y7551" t="str">
            <v>SOUTH KOREA</v>
          </cell>
        </row>
        <row r="7552">
          <cell r="L7552" t="str">
            <v>Non-proportional</v>
          </cell>
          <cell r="S7552">
            <v>871.27</v>
          </cell>
          <cell r="X7552" t="str">
            <v>Commissions - gross</v>
          </cell>
          <cell r="Y7552" t="str">
            <v>AUSTRALIA</v>
          </cell>
        </row>
        <row r="7553">
          <cell r="L7553" t="str">
            <v>Non-proportional</v>
          </cell>
          <cell r="S7553">
            <v>-4053.78</v>
          </cell>
          <cell r="X7553" t="str">
            <v>Commissions - gross</v>
          </cell>
          <cell r="Y7553" t="str">
            <v>JAPAN</v>
          </cell>
        </row>
        <row r="7554">
          <cell r="L7554" t="str">
            <v>Non-proportional</v>
          </cell>
          <cell r="S7554">
            <v>1307.3</v>
          </cell>
          <cell r="X7554" t="str">
            <v>Commissions - gross</v>
          </cell>
          <cell r="Y7554" t="str">
            <v>FRANCE</v>
          </cell>
        </row>
        <row r="7555">
          <cell r="L7555" t="str">
            <v>Non-proportional</v>
          </cell>
          <cell r="S7555">
            <v>-224.19</v>
          </cell>
          <cell r="X7555" t="str">
            <v>Commissions - gross</v>
          </cell>
          <cell r="Y7555" t="str">
            <v>JAPAN</v>
          </cell>
        </row>
        <row r="7556">
          <cell r="L7556" t="str">
            <v>Non-proportional</v>
          </cell>
          <cell r="S7556">
            <v>1022.94</v>
          </cell>
          <cell r="X7556" t="str">
            <v>Commissions - gross</v>
          </cell>
          <cell r="Y7556" t="str">
            <v>CHILE</v>
          </cell>
        </row>
        <row r="7557">
          <cell r="L7557" t="str">
            <v>Non-proportional</v>
          </cell>
          <cell r="S7557">
            <v>450.98</v>
          </cell>
          <cell r="X7557" t="str">
            <v>Commissions - gross</v>
          </cell>
          <cell r="Y7557" t="str">
            <v>FRANCE</v>
          </cell>
        </row>
        <row r="7558">
          <cell r="L7558" t="str">
            <v>Non-proportional</v>
          </cell>
          <cell r="S7558">
            <v>146.13</v>
          </cell>
          <cell r="X7558" t="str">
            <v>Commissions - gross</v>
          </cell>
          <cell r="Y7558" t="str">
            <v>CHILE</v>
          </cell>
        </row>
        <row r="7559">
          <cell r="L7559" t="str">
            <v>Non-proportional</v>
          </cell>
          <cell r="S7559">
            <v>980.1</v>
          </cell>
          <cell r="X7559" t="str">
            <v>Commissions - gross</v>
          </cell>
          <cell r="Y7559" t="str">
            <v>UNITED KINGDOM</v>
          </cell>
        </row>
        <row r="7560">
          <cell r="L7560" t="str">
            <v>Non-proportional</v>
          </cell>
          <cell r="S7560">
            <v>62.03</v>
          </cell>
          <cell r="X7560" t="str">
            <v>Commissions - gross</v>
          </cell>
          <cell r="Y7560" t="str">
            <v>JAPAN</v>
          </cell>
        </row>
        <row r="7561">
          <cell r="L7561" t="str">
            <v>Non-proportional</v>
          </cell>
          <cell r="S7561">
            <v>391.73</v>
          </cell>
          <cell r="X7561" t="str">
            <v>Commissions - gross</v>
          </cell>
          <cell r="Y7561" t="str">
            <v>ITALY</v>
          </cell>
        </row>
        <row r="7562">
          <cell r="L7562" t="str">
            <v>Non-proportional</v>
          </cell>
          <cell r="S7562">
            <v>46.56</v>
          </cell>
          <cell r="X7562" t="str">
            <v>Commissions - gross</v>
          </cell>
          <cell r="Y7562" t="str">
            <v>NEW ZEALAND</v>
          </cell>
        </row>
        <row r="7563">
          <cell r="L7563" t="str">
            <v>Non-proportional</v>
          </cell>
          <cell r="S7563">
            <v>13.69</v>
          </cell>
          <cell r="X7563" t="str">
            <v>Commissions - gross</v>
          </cell>
          <cell r="Y7563" t="str">
            <v>ISRAEL</v>
          </cell>
        </row>
        <row r="7564">
          <cell r="L7564" t="str">
            <v>Non-proportional</v>
          </cell>
          <cell r="S7564">
            <v>541.61</v>
          </cell>
          <cell r="X7564" t="str">
            <v>Commissions - gross</v>
          </cell>
          <cell r="Y7564" t="str">
            <v>PERU</v>
          </cell>
        </row>
        <row r="7565">
          <cell r="L7565" t="str">
            <v>Non-proportional</v>
          </cell>
          <cell r="S7565">
            <v>390.08</v>
          </cell>
          <cell r="X7565" t="str">
            <v>Commissions - gross</v>
          </cell>
          <cell r="Y7565" t="str">
            <v>EUROPE</v>
          </cell>
        </row>
        <row r="7566">
          <cell r="L7566" t="str">
            <v>Non-proportional</v>
          </cell>
          <cell r="S7566">
            <v>-1940.63</v>
          </cell>
          <cell r="X7566" t="str">
            <v>Commissions - gross</v>
          </cell>
          <cell r="Y7566" t="str">
            <v>ECUADOR</v>
          </cell>
        </row>
        <row r="7567">
          <cell r="L7567" t="str">
            <v>Proportional</v>
          </cell>
          <cell r="S7567">
            <v>-0.97</v>
          </cell>
          <cell r="X7567" t="str">
            <v>Commissions - gross</v>
          </cell>
          <cell r="Y7567" t="str">
            <v>UNITED STATES</v>
          </cell>
        </row>
        <row r="7568">
          <cell r="L7568" t="str">
            <v>Non-proportional</v>
          </cell>
          <cell r="S7568">
            <v>1000</v>
          </cell>
          <cell r="X7568" t="str">
            <v>Commissions - gross</v>
          </cell>
          <cell r="Y7568" t="str">
            <v>ITALY</v>
          </cell>
        </row>
        <row r="7569">
          <cell r="L7569" t="str">
            <v>Non-proportional</v>
          </cell>
          <cell r="S7569">
            <v>1538.08</v>
          </cell>
          <cell r="X7569" t="str">
            <v>Commissions - gross</v>
          </cell>
          <cell r="Y7569" t="str">
            <v>TURKEY</v>
          </cell>
        </row>
        <row r="7570">
          <cell r="L7570" t="str">
            <v>Proportional</v>
          </cell>
          <cell r="S7570">
            <v>-15058.5</v>
          </cell>
          <cell r="X7570" t="str">
            <v>Commissions - gross</v>
          </cell>
          <cell r="Y7570" t="str">
            <v>CANADA</v>
          </cell>
        </row>
        <row r="7571">
          <cell r="L7571" t="str">
            <v>Non-proportional</v>
          </cell>
          <cell r="S7571">
            <v>204.17</v>
          </cell>
          <cell r="X7571" t="str">
            <v>Commissions - gross</v>
          </cell>
          <cell r="Y7571" t="str">
            <v>ITALY</v>
          </cell>
        </row>
        <row r="7572">
          <cell r="L7572" t="str">
            <v>Non-proportional</v>
          </cell>
          <cell r="S7572">
            <v>1.22</v>
          </cell>
          <cell r="X7572" t="str">
            <v>Commissions - gross</v>
          </cell>
          <cell r="Y7572" t="str">
            <v>GUATEMALA</v>
          </cell>
        </row>
        <row r="7573">
          <cell r="L7573" t="str">
            <v>Non-proportional</v>
          </cell>
          <cell r="S7573">
            <v>3272.44</v>
          </cell>
          <cell r="X7573" t="str">
            <v>Commissions - gross</v>
          </cell>
          <cell r="Y7573" t="str">
            <v>HONG KONG</v>
          </cell>
        </row>
        <row r="7574">
          <cell r="L7574" t="str">
            <v>Non-proportional</v>
          </cell>
          <cell r="S7574">
            <v>421.15</v>
          </cell>
          <cell r="X7574" t="str">
            <v>Commissions - gross</v>
          </cell>
          <cell r="Y7574" t="str">
            <v>THAILAND</v>
          </cell>
        </row>
        <row r="7575">
          <cell r="L7575" t="str">
            <v>Non-proportional</v>
          </cell>
          <cell r="S7575">
            <v>841.54</v>
          </cell>
          <cell r="X7575" t="str">
            <v>Commissions - gross</v>
          </cell>
          <cell r="Y7575" t="str">
            <v>AUSTRALIA</v>
          </cell>
        </row>
        <row r="7576">
          <cell r="L7576" t="str">
            <v>Non-proportional</v>
          </cell>
          <cell r="S7576">
            <v>158.99</v>
          </cell>
          <cell r="X7576" t="str">
            <v>Commissions - gross</v>
          </cell>
          <cell r="Y7576" t="str">
            <v>INDIA</v>
          </cell>
        </row>
        <row r="7577">
          <cell r="L7577" t="str">
            <v>Non-proportional</v>
          </cell>
          <cell r="S7577">
            <v>166.46</v>
          </cell>
          <cell r="X7577" t="str">
            <v>Commissions - gross</v>
          </cell>
          <cell r="Y7577" t="str">
            <v>FRANCE</v>
          </cell>
        </row>
        <row r="7578">
          <cell r="L7578" t="str">
            <v>Non-proportional</v>
          </cell>
          <cell r="S7578">
            <v>-3283.13</v>
          </cell>
          <cell r="X7578" t="str">
            <v>Commissions - gross</v>
          </cell>
          <cell r="Y7578" t="str">
            <v>JAPAN</v>
          </cell>
        </row>
        <row r="7579">
          <cell r="L7579" t="str">
            <v>Non-proportional</v>
          </cell>
          <cell r="S7579">
            <v>111.18</v>
          </cell>
          <cell r="X7579" t="str">
            <v>Commissions - gross</v>
          </cell>
          <cell r="Y7579" t="str">
            <v>JAPAN</v>
          </cell>
        </row>
        <row r="7580">
          <cell r="L7580" t="str">
            <v>Non-proportional</v>
          </cell>
          <cell r="S7580">
            <v>-8.01</v>
          </cell>
          <cell r="X7580" t="str">
            <v>Commissions - gross</v>
          </cell>
          <cell r="Y7580" t="str">
            <v>BRAZIL</v>
          </cell>
        </row>
        <row r="7581">
          <cell r="L7581" t="str">
            <v>Non-proportional</v>
          </cell>
          <cell r="S7581">
            <v>20.57</v>
          </cell>
          <cell r="X7581" t="str">
            <v>Commissions - gross</v>
          </cell>
          <cell r="Y7581" t="str">
            <v>FRANCE</v>
          </cell>
        </row>
        <row r="7582">
          <cell r="L7582" t="str">
            <v>Non-proportional</v>
          </cell>
          <cell r="S7582">
            <v>397.82</v>
          </cell>
          <cell r="X7582" t="str">
            <v>Commissions - gross</v>
          </cell>
          <cell r="Y7582" t="str">
            <v>UNITED KINGDOM</v>
          </cell>
        </row>
        <row r="7583">
          <cell r="L7583" t="str">
            <v>Non-proportional</v>
          </cell>
          <cell r="S7583">
            <v>291.39999999999998</v>
          </cell>
          <cell r="X7583" t="str">
            <v>Commissions - gross</v>
          </cell>
          <cell r="Y7583" t="str">
            <v>ISRAEL</v>
          </cell>
        </row>
        <row r="7584">
          <cell r="L7584" t="str">
            <v>Non-proportional</v>
          </cell>
          <cell r="S7584">
            <v>225.83</v>
          </cell>
          <cell r="X7584" t="str">
            <v>Commissions - gross</v>
          </cell>
          <cell r="Y7584" t="str">
            <v>COLOMBIA</v>
          </cell>
        </row>
        <row r="7585">
          <cell r="L7585" t="str">
            <v>Non-proportional</v>
          </cell>
          <cell r="S7585">
            <v>4466.72</v>
          </cell>
          <cell r="X7585" t="str">
            <v>Commissions - gross</v>
          </cell>
          <cell r="Y7585" t="str">
            <v>UNITED KINGDOM</v>
          </cell>
        </row>
        <row r="7586">
          <cell r="L7586" t="str">
            <v>Non-proportional</v>
          </cell>
          <cell r="S7586">
            <v>1329.69</v>
          </cell>
          <cell r="X7586" t="str">
            <v>Commissions - gross</v>
          </cell>
          <cell r="Y7586" t="str">
            <v>BELGIUM</v>
          </cell>
        </row>
        <row r="7587">
          <cell r="L7587" t="str">
            <v>Proportional</v>
          </cell>
          <cell r="S7587">
            <v>699.7</v>
          </cell>
          <cell r="X7587" t="str">
            <v>Commissions - gross</v>
          </cell>
          <cell r="Y7587" t="str">
            <v>JAPAN</v>
          </cell>
        </row>
        <row r="7588">
          <cell r="L7588" t="str">
            <v>Proportional</v>
          </cell>
          <cell r="S7588">
            <v>206.29</v>
          </cell>
          <cell r="X7588" t="str">
            <v>Commissions - gross</v>
          </cell>
          <cell r="Y7588" t="str">
            <v>JAPAN</v>
          </cell>
        </row>
        <row r="7589">
          <cell r="L7589" t="str">
            <v>Non-proportional</v>
          </cell>
          <cell r="S7589">
            <v>359.24</v>
          </cell>
          <cell r="X7589" t="str">
            <v>Commissions - gross</v>
          </cell>
          <cell r="Y7589" t="str">
            <v>FRANCE</v>
          </cell>
        </row>
        <row r="7590">
          <cell r="L7590" t="str">
            <v>Non-proportional</v>
          </cell>
          <cell r="S7590">
            <v>666.65</v>
          </cell>
          <cell r="X7590" t="str">
            <v>Commissions - gross</v>
          </cell>
          <cell r="Y7590" t="str">
            <v>ITALY</v>
          </cell>
        </row>
        <row r="7591">
          <cell r="L7591" t="str">
            <v>Non-proportional</v>
          </cell>
          <cell r="S7591">
            <v>301.39999999999998</v>
          </cell>
          <cell r="X7591" t="str">
            <v>Commissions - gross</v>
          </cell>
          <cell r="Y7591" t="str">
            <v>JAPAN</v>
          </cell>
        </row>
        <row r="7592">
          <cell r="L7592" t="str">
            <v>Non-proportional</v>
          </cell>
          <cell r="S7592">
            <v>4631.67</v>
          </cell>
          <cell r="X7592" t="str">
            <v>Commissions - gross</v>
          </cell>
          <cell r="Y7592" t="str">
            <v>UNITED KINGDOM</v>
          </cell>
        </row>
        <row r="7593">
          <cell r="L7593" t="str">
            <v>Proportional</v>
          </cell>
          <cell r="S7593">
            <v>-2240.87</v>
          </cell>
          <cell r="X7593" t="str">
            <v>Commissions - gross</v>
          </cell>
          <cell r="Y7593" t="str">
            <v>UNITED STATES</v>
          </cell>
        </row>
        <row r="7594">
          <cell r="L7594" t="str">
            <v>Non-proportional</v>
          </cell>
          <cell r="S7594">
            <v>1073.24</v>
          </cell>
          <cell r="X7594" t="str">
            <v>Commissions - gross</v>
          </cell>
          <cell r="Y7594" t="str">
            <v>POLAND</v>
          </cell>
        </row>
        <row r="7595">
          <cell r="L7595" t="str">
            <v>Non-proportional</v>
          </cell>
          <cell r="S7595">
            <v>301.52999999999997</v>
          </cell>
          <cell r="X7595" t="str">
            <v>Commissions - gross</v>
          </cell>
          <cell r="Y7595" t="str">
            <v>ITALY</v>
          </cell>
        </row>
        <row r="7596">
          <cell r="L7596" t="str">
            <v>Non-proportional</v>
          </cell>
          <cell r="S7596">
            <v>-21.72</v>
          </cell>
          <cell r="X7596" t="str">
            <v>Commissions - gross</v>
          </cell>
          <cell r="Y7596" t="str">
            <v>JAPAN</v>
          </cell>
        </row>
        <row r="7597">
          <cell r="L7597" t="str">
            <v>Non-proportional</v>
          </cell>
          <cell r="S7597">
            <v>261</v>
          </cell>
          <cell r="X7597" t="str">
            <v>Commissions - gross</v>
          </cell>
          <cell r="Y7597" t="str">
            <v>GREECE</v>
          </cell>
        </row>
        <row r="7598">
          <cell r="L7598" t="str">
            <v>Non-proportional</v>
          </cell>
          <cell r="S7598">
            <v>1000</v>
          </cell>
          <cell r="X7598" t="str">
            <v>Commissions - gross</v>
          </cell>
          <cell r="Y7598" t="str">
            <v>ITALY</v>
          </cell>
        </row>
        <row r="7599">
          <cell r="L7599" t="str">
            <v>Non-proportional</v>
          </cell>
          <cell r="S7599">
            <v>-4091.51</v>
          </cell>
          <cell r="X7599" t="str">
            <v>Commissions - gross</v>
          </cell>
          <cell r="Y7599" t="str">
            <v>THAILAND</v>
          </cell>
        </row>
        <row r="7600">
          <cell r="L7600" t="str">
            <v>Non-proportional</v>
          </cell>
          <cell r="S7600">
            <v>136.76</v>
          </cell>
          <cell r="X7600" t="str">
            <v>Commissions - gross</v>
          </cell>
          <cell r="Y7600" t="str">
            <v>DOMINICAN REPUBLIC</v>
          </cell>
        </row>
        <row r="7601">
          <cell r="L7601" t="str">
            <v>Non-proportional</v>
          </cell>
          <cell r="S7601">
            <v>511.47</v>
          </cell>
          <cell r="X7601" t="str">
            <v>Commissions - gross</v>
          </cell>
          <cell r="Y7601" t="str">
            <v>CHILE</v>
          </cell>
        </row>
        <row r="7602">
          <cell r="L7602" t="str">
            <v>Non-proportional</v>
          </cell>
          <cell r="S7602">
            <v>631.89</v>
          </cell>
          <cell r="X7602" t="str">
            <v>Commissions - gross</v>
          </cell>
          <cell r="Y7602" t="str">
            <v>ECUADOR</v>
          </cell>
        </row>
        <row r="7603">
          <cell r="L7603" t="str">
            <v>Non-proportional</v>
          </cell>
          <cell r="S7603">
            <v>1996.77</v>
          </cell>
          <cell r="X7603" t="str">
            <v>Commissions - gross</v>
          </cell>
          <cell r="Y7603" t="str">
            <v>FRANCE</v>
          </cell>
        </row>
        <row r="7604">
          <cell r="L7604" t="str">
            <v>Non-proportional</v>
          </cell>
          <cell r="S7604">
            <v>61.25</v>
          </cell>
          <cell r="X7604" t="str">
            <v>Commissions - gross</v>
          </cell>
          <cell r="Y7604" t="str">
            <v>GREECE</v>
          </cell>
        </row>
        <row r="7605">
          <cell r="L7605" t="str">
            <v>Non-proportional</v>
          </cell>
          <cell r="S7605">
            <v>-25420.27</v>
          </cell>
          <cell r="X7605" t="str">
            <v>Commissions - gross</v>
          </cell>
          <cell r="Y7605" t="str">
            <v>PUERTO RICO</v>
          </cell>
        </row>
        <row r="7606">
          <cell r="L7606" t="str">
            <v>Non-proportional</v>
          </cell>
          <cell r="S7606">
            <v>666.28</v>
          </cell>
          <cell r="X7606" t="str">
            <v>Commissions - gross</v>
          </cell>
          <cell r="Y7606" t="str">
            <v>COLOMBIA</v>
          </cell>
        </row>
        <row r="7607">
          <cell r="L7607" t="str">
            <v>Non-proportional</v>
          </cell>
          <cell r="S7607">
            <v>359.38</v>
          </cell>
          <cell r="X7607" t="str">
            <v>Commissions - gross</v>
          </cell>
          <cell r="Y7607" t="str">
            <v>GREECE</v>
          </cell>
        </row>
        <row r="7608">
          <cell r="L7608" t="str">
            <v>Non-proportional</v>
          </cell>
          <cell r="S7608">
            <v>3197.72</v>
          </cell>
          <cell r="X7608" t="str">
            <v>Commissions - gross</v>
          </cell>
          <cell r="Y7608" t="str">
            <v>UNITED KINGDOM</v>
          </cell>
        </row>
        <row r="7609">
          <cell r="L7609" t="str">
            <v>Non-proportional</v>
          </cell>
          <cell r="S7609">
            <v>107.34</v>
          </cell>
          <cell r="X7609" t="str">
            <v>Commissions - gross</v>
          </cell>
          <cell r="Y7609" t="str">
            <v>PERU</v>
          </cell>
        </row>
        <row r="7610">
          <cell r="L7610" t="str">
            <v>Non-proportional</v>
          </cell>
          <cell r="S7610">
            <v>22193.5</v>
          </cell>
          <cell r="X7610" t="str">
            <v>Commissions - gross</v>
          </cell>
          <cell r="Y7610" t="str">
            <v>BELGIUM</v>
          </cell>
        </row>
        <row r="7611">
          <cell r="L7611" t="str">
            <v>Non-proportional</v>
          </cell>
          <cell r="S7611">
            <v>463.5</v>
          </cell>
          <cell r="X7611" t="str">
            <v>Commissions - gross</v>
          </cell>
          <cell r="Y7611" t="str">
            <v>DOMINICAN REPUBLIC</v>
          </cell>
        </row>
        <row r="7612">
          <cell r="L7612" t="str">
            <v>Non-proportional</v>
          </cell>
          <cell r="S7612">
            <v>1201.19</v>
          </cell>
          <cell r="X7612" t="str">
            <v>Commissions - gross</v>
          </cell>
          <cell r="Y7612" t="str">
            <v>FRANCE</v>
          </cell>
        </row>
        <row r="7613">
          <cell r="L7613" t="str">
            <v>Non-proportional</v>
          </cell>
          <cell r="S7613">
            <v>132.96</v>
          </cell>
          <cell r="X7613" t="str">
            <v>Commissions - gross</v>
          </cell>
          <cell r="Y7613" t="str">
            <v>UNITED ARAB EMIRATES</v>
          </cell>
        </row>
        <row r="7614">
          <cell r="L7614" t="str">
            <v>Non-proportional</v>
          </cell>
          <cell r="S7614">
            <v>492.29</v>
          </cell>
          <cell r="X7614" t="str">
            <v>Commissions - gross</v>
          </cell>
          <cell r="Y7614" t="str">
            <v>ECUADOR</v>
          </cell>
        </row>
        <row r="7615">
          <cell r="L7615" t="str">
            <v>Non-proportional</v>
          </cell>
          <cell r="S7615">
            <v>476.41</v>
          </cell>
          <cell r="X7615" t="str">
            <v>Commissions - gross</v>
          </cell>
          <cell r="Y7615" t="str">
            <v>AUSTRALIA</v>
          </cell>
        </row>
        <row r="7616">
          <cell r="L7616" t="str">
            <v>Non-proportional</v>
          </cell>
          <cell r="S7616">
            <v>404.59</v>
          </cell>
          <cell r="X7616" t="str">
            <v>Commissions - gross</v>
          </cell>
          <cell r="Y7616" t="str">
            <v>INDIA</v>
          </cell>
        </row>
        <row r="7617">
          <cell r="L7617" t="str">
            <v>Non-proportional</v>
          </cell>
          <cell r="S7617">
            <v>303.73</v>
          </cell>
          <cell r="X7617" t="str">
            <v>Commissions - gross</v>
          </cell>
          <cell r="Y7617" t="str">
            <v>ISRAEL</v>
          </cell>
        </row>
        <row r="7618">
          <cell r="L7618" t="str">
            <v>Non-proportional</v>
          </cell>
          <cell r="S7618">
            <v>1265.96</v>
          </cell>
          <cell r="X7618" t="str">
            <v>Commissions - gross</v>
          </cell>
          <cell r="Y7618" t="str">
            <v>ITALY</v>
          </cell>
        </row>
        <row r="7619">
          <cell r="L7619" t="str">
            <v>Non-proportional</v>
          </cell>
          <cell r="S7619">
            <v>0</v>
          </cell>
          <cell r="X7619" t="str">
            <v>Commissions - gross</v>
          </cell>
          <cell r="Y7619" t="str">
            <v>DOMINICAN REPUBLIC</v>
          </cell>
        </row>
        <row r="7620">
          <cell r="L7620" t="str">
            <v>Non-proportional</v>
          </cell>
          <cell r="S7620">
            <v>-54.25</v>
          </cell>
          <cell r="X7620" t="str">
            <v>Commissions - gross</v>
          </cell>
          <cell r="Y7620" t="str">
            <v>AUSTRALIA</v>
          </cell>
        </row>
        <row r="7621">
          <cell r="L7621" t="str">
            <v>Proportional</v>
          </cell>
          <cell r="S7621">
            <v>-7879.89</v>
          </cell>
          <cell r="X7621" t="str">
            <v>Commissions - gross</v>
          </cell>
          <cell r="Y7621" t="str">
            <v>UNITED STATES</v>
          </cell>
        </row>
        <row r="7622">
          <cell r="L7622" t="str">
            <v>Non-proportional</v>
          </cell>
          <cell r="S7622">
            <v>10262.69</v>
          </cell>
          <cell r="X7622" t="str">
            <v>Commissions - gross</v>
          </cell>
          <cell r="Y7622" t="str">
            <v>UNITED KINGDOM</v>
          </cell>
        </row>
        <row r="7623">
          <cell r="L7623" t="str">
            <v>Non-proportional</v>
          </cell>
          <cell r="S7623">
            <v>268.67</v>
          </cell>
          <cell r="X7623" t="str">
            <v>Commissions - gross</v>
          </cell>
          <cell r="Y7623" t="str">
            <v>MALTA</v>
          </cell>
        </row>
        <row r="7624">
          <cell r="L7624" t="str">
            <v>Non-proportional</v>
          </cell>
          <cell r="S7624">
            <v>-3186.83</v>
          </cell>
          <cell r="X7624" t="str">
            <v>Commissions - gross</v>
          </cell>
          <cell r="Y7624" t="str">
            <v>CHINA</v>
          </cell>
        </row>
        <row r="7625">
          <cell r="L7625" t="str">
            <v>Non-proportional</v>
          </cell>
          <cell r="S7625">
            <v>175.57</v>
          </cell>
          <cell r="X7625" t="str">
            <v>Commissions - gross</v>
          </cell>
          <cell r="Y7625" t="str">
            <v>JAPAN</v>
          </cell>
        </row>
        <row r="7626">
          <cell r="L7626" t="str">
            <v>Non-proportional</v>
          </cell>
          <cell r="S7626">
            <v>185.34</v>
          </cell>
          <cell r="X7626" t="str">
            <v>Commissions - gross</v>
          </cell>
          <cell r="Y7626" t="str">
            <v>SOUTH AFRICA</v>
          </cell>
        </row>
        <row r="7627">
          <cell r="L7627" t="str">
            <v>Non-proportional</v>
          </cell>
          <cell r="S7627">
            <v>913.59</v>
          </cell>
          <cell r="X7627" t="str">
            <v>Commissions - gross</v>
          </cell>
          <cell r="Y7627" t="str">
            <v>JAPAN</v>
          </cell>
        </row>
        <row r="7628">
          <cell r="L7628" t="str">
            <v>Proportional</v>
          </cell>
          <cell r="S7628">
            <v>729.28</v>
          </cell>
          <cell r="X7628" t="str">
            <v>Commissions - gross</v>
          </cell>
          <cell r="Y7628" t="str">
            <v>SWITZERLAND</v>
          </cell>
        </row>
        <row r="7629">
          <cell r="L7629" t="str">
            <v>Non-proportional</v>
          </cell>
          <cell r="S7629">
            <v>41.77</v>
          </cell>
          <cell r="X7629" t="str">
            <v>Commissions - gross</v>
          </cell>
          <cell r="Y7629" t="str">
            <v>NETHERLANDS</v>
          </cell>
        </row>
        <row r="7630">
          <cell r="L7630" t="str">
            <v>Non-proportional</v>
          </cell>
          <cell r="S7630">
            <v>123</v>
          </cell>
          <cell r="X7630" t="str">
            <v>Commissions - gross</v>
          </cell>
          <cell r="Y7630" t="str">
            <v>COLOMBIA</v>
          </cell>
        </row>
        <row r="7631">
          <cell r="L7631" t="str">
            <v>Non-proportional</v>
          </cell>
          <cell r="S7631">
            <v>165.07</v>
          </cell>
          <cell r="X7631" t="str">
            <v>Commissions - gross</v>
          </cell>
          <cell r="Y7631" t="str">
            <v>COSTA RICA</v>
          </cell>
        </row>
        <row r="7632">
          <cell r="L7632" t="str">
            <v>Non-proportional</v>
          </cell>
          <cell r="S7632">
            <v>255.74</v>
          </cell>
          <cell r="X7632" t="str">
            <v>Commissions - gross</v>
          </cell>
          <cell r="Y7632" t="str">
            <v>CHILE</v>
          </cell>
        </row>
        <row r="7633">
          <cell r="L7633" t="str">
            <v>Non-proportional</v>
          </cell>
          <cell r="S7633">
            <v>120.8</v>
          </cell>
          <cell r="X7633" t="str">
            <v>Commissions - gross</v>
          </cell>
          <cell r="Y7633" t="str">
            <v>PERU</v>
          </cell>
        </row>
        <row r="7634">
          <cell r="L7634" t="str">
            <v>Non-proportional</v>
          </cell>
          <cell r="S7634">
            <v>19.82</v>
          </cell>
          <cell r="X7634" t="str">
            <v>Commissions - gross</v>
          </cell>
          <cell r="Y7634" t="str">
            <v>TURKEY</v>
          </cell>
        </row>
        <row r="7635">
          <cell r="L7635" t="str">
            <v>Non-proportional</v>
          </cell>
          <cell r="S7635">
            <v>333.69</v>
          </cell>
          <cell r="X7635" t="str">
            <v>Commissions - gross</v>
          </cell>
          <cell r="Y7635" t="str">
            <v>COLOMBIA</v>
          </cell>
        </row>
        <row r="7636">
          <cell r="L7636" t="str">
            <v>Non-proportional</v>
          </cell>
          <cell r="S7636">
            <v>696.32</v>
          </cell>
          <cell r="X7636" t="str">
            <v>Commissions - gross</v>
          </cell>
          <cell r="Y7636" t="str">
            <v>FRANCE</v>
          </cell>
        </row>
        <row r="7637">
          <cell r="L7637" t="str">
            <v>Non-proportional</v>
          </cell>
          <cell r="S7637">
            <v>488.74</v>
          </cell>
          <cell r="X7637" t="str">
            <v>Commissions - gross</v>
          </cell>
          <cell r="Y7637" t="str">
            <v>NEW ZEALAND</v>
          </cell>
        </row>
        <row r="7638">
          <cell r="L7638" t="str">
            <v>Non-proportional</v>
          </cell>
          <cell r="S7638">
            <v>172.83</v>
          </cell>
          <cell r="X7638" t="str">
            <v>Commissions - gross</v>
          </cell>
          <cell r="Y7638" t="str">
            <v>JAPAN</v>
          </cell>
        </row>
        <row r="7639">
          <cell r="L7639" t="str">
            <v>Non-proportional</v>
          </cell>
          <cell r="S7639">
            <v>321.83999999999997</v>
          </cell>
          <cell r="X7639" t="str">
            <v>Commissions - gross</v>
          </cell>
          <cell r="Y7639" t="str">
            <v>UNITED KINGDOM</v>
          </cell>
        </row>
        <row r="7640">
          <cell r="L7640" t="str">
            <v>Non-proportional</v>
          </cell>
          <cell r="S7640">
            <v>511.47</v>
          </cell>
          <cell r="X7640" t="str">
            <v>Commissions - gross</v>
          </cell>
          <cell r="Y7640" t="str">
            <v>CHILE</v>
          </cell>
        </row>
        <row r="7641">
          <cell r="L7641" t="str">
            <v>Non-proportional</v>
          </cell>
          <cell r="S7641">
            <v>-0.77</v>
          </cell>
          <cell r="X7641" t="str">
            <v>Commissions - gross</v>
          </cell>
          <cell r="Y7641" t="str">
            <v>JAPAN</v>
          </cell>
        </row>
        <row r="7642">
          <cell r="L7642" t="str">
            <v>Non-proportional</v>
          </cell>
          <cell r="S7642">
            <v>1627.87</v>
          </cell>
          <cell r="X7642" t="str">
            <v>Commissions - gross</v>
          </cell>
          <cell r="Y7642" t="str">
            <v>ITALY</v>
          </cell>
        </row>
        <row r="7643">
          <cell r="L7643" t="str">
            <v>Non-proportional</v>
          </cell>
          <cell r="S7643">
            <v>3131.61</v>
          </cell>
          <cell r="X7643" t="str">
            <v>Commissions - gross</v>
          </cell>
          <cell r="Y7643" t="str">
            <v>FRANCE</v>
          </cell>
        </row>
        <row r="7644">
          <cell r="L7644" t="str">
            <v>Non-proportional</v>
          </cell>
          <cell r="S7644">
            <v>1923.15</v>
          </cell>
          <cell r="X7644" t="str">
            <v>Commissions - gross</v>
          </cell>
          <cell r="Y7644" t="str">
            <v>FRANCE</v>
          </cell>
        </row>
        <row r="7645">
          <cell r="L7645" t="str">
            <v>Non-proportional</v>
          </cell>
          <cell r="S7645">
            <v>381.48</v>
          </cell>
          <cell r="X7645" t="str">
            <v>Commissions - gross</v>
          </cell>
          <cell r="Y7645" t="str">
            <v>SINGAPORE</v>
          </cell>
        </row>
        <row r="7646">
          <cell r="L7646" t="str">
            <v>Non-proportional</v>
          </cell>
          <cell r="S7646">
            <v>3.65</v>
          </cell>
          <cell r="X7646" t="str">
            <v>Commissions - gross</v>
          </cell>
          <cell r="Y7646" t="str">
            <v>ISRAEL</v>
          </cell>
        </row>
        <row r="7647">
          <cell r="L7647" t="str">
            <v>Non-proportional</v>
          </cell>
          <cell r="S7647">
            <v>321.45999999999998</v>
          </cell>
          <cell r="X7647" t="str">
            <v>Commissions - gross</v>
          </cell>
          <cell r="Y7647" t="str">
            <v>UNITED KINGDOM</v>
          </cell>
        </row>
        <row r="7648">
          <cell r="L7648" t="str">
            <v>Non-proportional</v>
          </cell>
          <cell r="S7648">
            <v>488.24</v>
          </cell>
          <cell r="X7648" t="str">
            <v>Commissions - gross</v>
          </cell>
          <cell r="Y7648" t="str">
            <v>ECUADOR</v>
          </cell>
        </row>
        <row r="7649">
          <cell r="L7649" t="str">
            <v>Non-proportional</v>
          </cell>
          <cell r="S7649">
            <v>-1.51</v>
          </cell>
          <cell r="X7649" t="str">
            <v>Commissions - gross</v>
          </cell>
          <cell r="Y7649" t="str">
            <v>JAPAN</v>
          </cell>
        </row>
        <row r="7650">
          <cell r="L7650" t="str">
            <v>Non-proportional</v>
          </cell>
          <cell r="S7650">
            <v>1114.4000000000001</v>
          </cell>
          <cell r="X7650" t="str">
            <v>Commissions - gross</v>
          </cell>
          <cell r="Y7650" t="str">
            <v>MEXICO</v>
          </cell>
        </row>
        <row r="7651">
          <cell r="L7651" t="str">
            <v>Non-proportional</v>
          </cell>
          <cell r="S7651">
            <v>91.06</v>
          </cell>
          <cell r="X7651" t="str">
            <v>Commissions - gross</v>
          </cell>
          <cell r="Y7651" t="str">
            <v>PUERTO RICO</v>
          </cell>
        </row>
        <row r="7652">
          <cell r="L7652" t="str">
            <v>Non-proportional</v>
          </cell>
          <cell r="S7652">
            <v>352.37</v>
          </cell>
          <cell r="X7652" t="str">
            <v>Commissions - gross</v>
          </cell>
          <cell r="Y7652" t="str">
            <v>COLOMBIA</v>
          </cell>
        </row>
        <row r="7653">
          <cell r="L7653" t="str">
            <v>Non-proportional</v>
          </cell>
          <cell r="S7653">
            <v>156.24</v>
          </cell>
          <cell r="X7653" t="str">
            <v>Commissions - gross</v>
          </cell>
          <cell r="Y7653" t="str">
            <v>FRANCE</v>
          </cell>
        </row>
        <row r="7654">
          <cell r="L7654" t="str">
            <v>Non-proportional</v>
          </cell>
          <cell r="S7654">
            <v>299.17</v>
          </cell>
          <cell r="X7654" t="str">
            <v>Commissions - gross</v>
          </cell>
          <cell r="Y7654" t="str">
            <v>JAPAN</v>
          </cell>
        </row>
        <row r="7655">
          <cell r="L7655" t="str">
            <v>Non-proportional</v>
          </cell>
          <cell r="S7655">
            <v>418.01</v>
          </cell>
          <cell r="X7655" t="str">
            <v>Commissions - gross</v>
          </cell>
          <cell r="Y7655" t="str">
            <v>THAILAND</v>
          </cell>
        </row>
        <row r="7656">
          <cell r="L7656" t="str">
            <v>Proportional</v>
          </cell>
          <cell r="S7656">
            <v>4997.87</v>
          </cell>
          <cell r="X7656" t="str">
            <v>Commissions - gross</v>
          </cell>
          <cell r="Y7656" t="str">
            <v>AUSTRALIA</v>
          </cell>
        </row>
        <row r="7657">
          <cell r="L7657" t="str">
            <v>Non-proportional</v>
          </cell>
          <cell r="S7657">
            <v>249.52</v>
          </cell>
          <cell r="X7657" t="str">
            <v>Commissions - gross</v>
          </cell>
          <cell r="Y7657" t="str">
            <v>ITALY</v>
          </cell>
        </row>
        <row r="7658">
          <cell r="L7658" t="str">
            <v>Non-proportional</v>
          </cell>
          <cell r="S7658">
            <v>117.23</v>
          </cell>
          <cell r="X7658" t="str">
            <v>Commissions - gross</v>
          </cell>
          <cell r="Y7658" t="str">
            <v>FRANCE</v>
          </cell>
        </row>
        <row r="7659">
          <cell r="L7659" t="str">
            <v>Non-proportional</v>
          </cell>
          <cell r="S7659">
            <v>-3997.21</v>
          </cell>
          <cell r="X7659" t="str">
            <v>Commissions - gross</v>
          </cell>
          <cell r="Y7659" t="str">
            <v>CHINA</v>
          </cell>
        </row>
        <row r="7660">
          <cell r="L7660" t="str">
            <v>Non-proportional</v>
          </cell>
          <cell r="S7660">
            <v>57.33</v>
          </cell>
          <cell r="X7660" t="str">
            <v>Commissions - gross</v>
          </cell>
          <cell r="Y7660" t="str">
            <v>JAPAN</v>
          </cell>
        </row>
        <row r="7661">
          <cell r="L7661" t="str">
            <v>Non-proportional</v>
          </cell>
          <cell r="S7661">
            <v>586.98</v>
          </cell>
          <cell r="X7661" t="str">
            <v>Commissions - gross</v>
          </cell>
          <cell r="Y7661" t="str">
            <v>JAPAN</v>
          </cell>
        </row>
        <row r="7662">
          <cell r="L7662" t="str">
            <v>Non-proportional</v>
          </cell>
          <cell r="S7662">
            <v>-9813.4599999999991</v>
          </cell>
          <cell r="X7662" t="str">
            <v>Commissions - gross</v>
          </cell>
          <cell r="Y7662" t="str">
            <v>PUERTO RICO</v>
          </cell>
        </row>
        <row r="7663">
          <cell r="L7663" t="str">
            <v>Non-proportional</v>
          </cell>
          <cell r="S7663">
            <v>-57.84</v>
          </cell>
          <cell r="X7663" t="str">
            <v>Commissions - gross</v>
          </cell>
          <cell r="Y7663" t="str">
            <v>JAPAN</v>
          </cell>
        </row>
        <row r="7664">
          <cell r="L7664" t="str">
            <v>Non-proportional</v>
          </cell>
          <cell r="S7664">
            <v>1307.3</v>
          </cell>
          <cell r="X7664" t="str">
            <v>Commissions - gross</v>
          </cell>
          <cell r="Y7664" t="str">
            <v>FRANCE</v>
          </cell>
        </row>
        <row r="7665">
          <cell r="L7665" t="str">
            <v>Non-proportional</v>
          </cell>
          <cell r="S7665">
            <v>182.67</v>
          </cell>
          <cell r="X7665" t="str">
            <v>Commissions - gross</v>
          </cell>
          <cell r="Y7665" t="str">
            <v>CHILE</v>
          </cell>
        </row>
        <row r="7666">
          <cell r="L7666" t="str">
            <v>Non-proportional</v>
          </cell>
          <cell r="S7666">
            <v>188.8</v>
          </cell>
          <cell r="X7666" t="str">
            <v>Commissions - gross</v>
          </cell>
          <cell r="Y7666" t="str">
            <v>UNITED KINGDOM</v>
          </cell>
        </row>
        <row r="7667">
          <cell r="L7667" t="str">
            <v>Non-proportional</v>
          </cell>
          <cell r="S7667">
            <v>950.01</v>
          </cell>
          <cell r="X7667" t="str">
            <v>Commissions - gross</v>
          </cell>
          <cell r="Y7667" t="str">
            <v>TURKEY</v>
          </cell>
        </row>
        <row r="7668">
          <cell r="L7668" t="str">
            <v>Non-proportional</v>
          </cell>
          <cell r="S7668">
            <v>997.75</v>
          </cell>
          <cell r="X7668" t="str">
            <v>Commissions - gross</v>
          </cell>
          <cell r="Y7668" t="str">
            <v>ITALY</v>
          </cell>
        </row>
        <row r="7669">
          <cell r="L7669" t="str">
            <v>Non-proportional</v>
          </cell>
          <cell r="S7669">
            <v>961.67</v>
          </cell>
          <cell r="X7669" t="str">
            <v>Commissions - gross</v>
          </cell>
          <cell r="Y7669" t="str">
            <v>TURKEY</v>
          </cell>
        </row>
        <row r="7670">
          <cell r="L7670" t="str">
            <v>Non-proportional</v>
          </cell>
          <cell r="S7670">
            <v>181.79</v>
          </cell>
          <cell r="X7670" t="str">
            <v>Commissions - gross</v>
          </cell>
          <cell r="Y7670" t="str">
            <v>JAPAN</v>
          </cell>
        </row>
        <row r="7671">
          <cell r="L7671" t="str">
            <v>Non-proportional</v>
          </cell>
          <cell r="S7671">
            <v>354.43</v>
          </cell>
          <cell r="X7671" t="str">
            <v>Commissions - gross</v>
          </cell>
          <cell r="Y7671" t="str">
            <v>AUSTRALIA</v>
          </cell>
        </row>
        <row r="7672">
          <cell r="L7672" t="str">
            <v>Non-proportional</v>
          </cell>
          <cell r="S7672">
            <v>33.880000000000003</v>
          </cell>
          <cell r="X7672" t="str">
            <v>Commissions - gross</v>
          </cell>
          <cell r="Y7672" t="str">
            <v>DOMINICAN REPUBLIC</v>
          </cell>
        </row>
        <row r="7673">
          <cell r="L7673" t="str">
            <v>Non-proportional</v>
          </cell>
          <cell r="S7673">
            <v>1031.25</v>
          </cell>
          <cell r="X7673" t="str">
            <v>Commissions - gross</v>
          </cell>
          <cell r="Y7673" t="str">
            <v>ROMANIA</v>
          </cell>
        </row>
        <row r="7674">
          <cell r="L7674" t="str">
            <v>Non-proportional</v>
          </cell>
          <cell r="S7674">
            <v>867.15</v>
          </cell>
          <cell r="X7674" t="str">
            <v>Commissions - gross</v>
          </cell>
          <cell r="Y7674" t="str">
            <v>CANADA</v>
          </cell>
        </row>
        <row r="7675">
          <cell r="L7675" t="str">
            <v>Non-proportional</v>
          </cell>
          <cell r="S7675">
            <v>98.53</v>
          </cell>
          <cell r="X7675" t="str">
            <v>Commissions - gross</v>
          </cell>
          <cell r="Y7675" t="str">
            <v>JAPAN</v>
          </cell>
        </row>
        <row r="7676">
          <cell r="L7676" t="str">
            <v>Non-proportional</v>
          </cell>
          <cell r="S7676">
            <v>1072.83</v>
          </cell>
          <cell r="X7676" t="str">
            <v>Commissions - gross</v>
          </cell>
          <cell r="Y7676" t="str">
            <v>NEW ZEALAND</v>
          </cell>
        </row>
        <row r="7677">
          <cell r="L7677" t="str">
            <v>Non-proportional</v>
          </cell>
          <cell r="S7677">
            <v>324.48</v>
          </cell>
          <cell r="X7677" t="str">
            <v>Commissions - gross</v>
          </cell>
          <cell r="Y7677" t="str">
            <v>FRANCE</v>
          </cell>
        </row>
        <row r="7678">
          <cell r="L7678" t="str">
            <v>Non-proportional</v>
          </cell>
          <cell r="S7678">
            <v>449</v>
          </cell>
          <cell r="X7678" t="str">
            <v>Commissions - gross</v>
          </cell>
          <cell r="Y7678" t="str">
            <v>COSTA RICA</v>
          </cell>
        </row>
        <row r="7679">
          <cell r="L7679" t="str">
            <v>Non-proportional</v>
          </cell>
          <cell r="S7679">
            <v>105.12</v>
          </cell>
          <cell r="X7679" t="str">
            <v>Commissions - gross</v>
          </cell>
          <cell r="Y7679" t="str">
            <v>JAPAN</v>
          </cell>
        </row>
        <row r="7680">
          <cell r="L7680" t="str">
            <v>Non-proportional</v>
          </cell>
          <cell r="S7680">
            <v>-19.7</v>
          </cell>
          <cell r="X7680" t="str">
            <v>Commissions - gross</v>
          </cell>
          <cell r="Y7680" t="str">
            <v>JAPAN</v>
          </cell>
        </row>
        <row r="7681">
          <cell r="L7681" t="str">
            <v>Non-proportional</v>
          </cell>
          <cell r="S7681">
            <v>148.08000000000001</v>
          </cell>
          <cell r="X7681" t="str">
            <v>Commissions - gross</v>
          </cell>
          <cell r="Y7681" t="str">
            <v>FRANCE</v>
          </cell>
        </row>
        <row r="7682">
          <cell r="L7682" t="str">
            <v>Non-proportional</v>
          </cell>
          <cell r="S7682">
            <v>-42.94</v>
          </cell>
          <cell r="X7682" t="str">
            <v>Commissions - gross</v>
          </cell>
          <cell r="Y7682" t="str">
            <v>NEW ZEALAND</v>
          </cell>
        </row>
        <row r="7683">
          <cell r="L7683" t="str">
            <v>Non-proportional</v>
          </cell>
          <cell r="S7683">
            <v>218.75</v>
          </cell>
          <cell r="X7683" t="str">
            <v>Commissions - gross</v>
          </cell>
          <cell r="Y7683" t="str">
            <v>GERMANY</v>
          </cell>
        </row>
        <row r="7684">
          <cell r="L7684" t="str">
            <v>Proportional</v>
          </cell>
          <cell r="S7684">
            <v>219.2</v>
          </cell>
          <cell r="X7684" t="str">
            <v>Commissions - gross</v>
          </cell>
          <cell r="Y7684" t="str">
            <v>CHILE</v>
          </cell>
        </row>
        <row r="7685">
          <cell r="L7685" t="str">
            <v>Non-proportional</v>
          </cell>
          <cell r="S7685">
            <v>15728.71</v>
          </cell>
          <cell r="X7685" t="str">
            <v>Commissions - gross</v>
          </cell>
          <cell r="Y7685" t="str">
            <v>UNITED KINGDOM</v>
          </cell>
        </row>
        <row r="7686">
          <cell r="L7686" t="str">
            <v>Non-proportional</v>
          </cell>
          <cell r="S7686">
            <v>4737.7</v>
          </cell>
          <cell r="X7686" t="str">
            <v>Commissions - gross</v>
          </cell>
          <cell r="Y7686" t="str">
            <v>UNITED KINGDOM</v>
          </cell>
        </row>
        <row r="7687">
          <cell r="L7687" t="str">
            <v>Non-proportional</v>
          </cell>
          <cell r="S7687">
            <v>130.97</v>
          </cell>
          <cell r="X7687" t="str">
            <v>Commissions - gross</v>
          </cell>
          <cell r="Y7687" t="str">
            <v>DOMINICAN REPUBLIC</v>
          </cell>
        </row>
        <row r="7688">
          <cell r="L7688" t="str">
            <v>Non-proportional</v>
          </cell>
          <cell r="S7688">
            <v>1100.48</v>
          </cell>
          <cell r="X7688" t="str">
            <v>Commissions - gross</v>
          </cell>
          <cell r="Y7688" t="str">
            <v>CHILE</v>
          </cell>
        </row>
        <row r="7689">
          <cell r="L7689" t="str">
            <v>Non-proportional</v>
          </cell>
          <cell r="S7689">
            <v>92.41</v>
          </cell>
          <cell r="X7689" t="str">
            <v>Commissions - gross</v>
          </cell>
          <cell r="Y7689" t="str">
            <v>ECUADOR</v>
          </cell>
        </row>
        <row r="7690">
          <cell r="L7690" t="str">
            <v>Non-proportional</v>
          </cell>
          <cell r="S7690">
            <v>-36.53</v>
          </cell>
          <cell r="X7690" t="str">
            <v>Commissions - gross</v>
          </cell>
          <cell r="Y7690" t="str">
            <v>CHILE</v>
          </cell>
        </row>
        <row r="7691">
          <cell r="L7691" t="str">
            <v>Non-proportional</v>
          </cell>
          <cell r="S7691">
            <v>-99.67</v>
          </cell>
          <cell r="X7691" t="str">
            <v>Commissions - gross</v>
          </cell>
          <cell r="Y7691" t="str">
            <v>JAPAN</v>
          </cell>
        </row>
        <row r="7692">
          <cell r="L7692" t="str">
            <v>Non-proportional</v>
          </cell>
          <cell r="S7692">
            <v>657.6</v>
          </cell>
          <cell r="X7692" t="str">
            <v>Commissions - gross</v>
          </cell>
          <cell r="Y7692" t="str">
            <v>CHILE</v>
          </cell>
        </row>
        <row r="7693">
          <cell r="L7693" t="str">
            <v>Non-proportional</v>
          </cell>
          <cell r="S7693">
            <v>659.52</v>
          </cell>
          <cell r="X7693" t="str">
            <v>Commissions - gross</v>
          </cell>
          <cell r="Y7693" t="str">
            <v>DOMINICAN REPUBLIC</v>
          </cell>
        </row>
        <row r="7694">
          <cell r="L7694" t="str">
            <v>Non-proportional</v>
          </cell>
          <cell r="S7694">
            <v>793.47</v>
          </cell>
          <cell r="X7694" t="str">
            <v>Commissions - gross</v>
          </cell>
          <cell r="Y7694" t="str">
            <v>MEXICO</v>
          </cell>
        </row>
        <row r="7695">
          <cell r="L7695" t="str">
            <v>Non-proportional</v>
          </cell>
          <cell r="S7695">
            <v>406.14</v>
          </cell>
          <cell r="X7695" t="str">
            <v>Commissions - gross</v>
          </cell>
          <cell r="Y7695" t="str">
            <v>FRANCE</v>
          </cell>
        </row>
        <row r="7696">
          <cell r="L7696" t="str">
            <v>Non-proportional</v>
          </cell>
          <cell r="S7696">
            <v>497.08</v>
          </cell>
          <cell r="X7696" t="str">
            <v>Commissions - gross</v>
          </cell>
          <cell r="Y7696" t="str">
            <v>ISRAEL</v>
          </cell>
        </row>
        <row r="7697">
          <cell r="L7697" t="str">
            <v>Non-proportional</v>
          </cell>
          <cell r="S7697">
            <v>819.33</v>
          </cell>
          <cell r="X7697" t="str">
            <v>Commissions - gross</v>
          </cell>
          <cell r="Y7697" t="str">
            <v>PERU</v>
          </cell>
        </row>
        <row r="7698">
          <cell r="L7698" t="str">
            <v>Non-proportional</v>
          </cell>
          <cell r="S7698">
            <v>592.26</v>
          </cell>
          <cell r="X7698" t="str">
            <v>Commissions - gross</v>
          </cell>
          <cell r="Y7698" t="str">
            <v>COSTA RICA</v>
          </cell>
        </row>
        <row r="7699">
          <cell r="L7699" t="str">
            <v>Non-proportional</v>
          </cell>
          <cell r="S7699">
            <v>625.91</v>
          </cell>
          <cell r="X7699" t="str">
            <v>Commissions - gross</v>
          </cell>
          <cell r="Y7699" t="str">
            <v>ISRAEL</v>
          </cell>
        </row>
        <row r="7700">
          <cell r="L7700" t="str">
            <v>Non-proportional</v>
          </cell>
          <cell r="S7700">
            <v>325.85000000000002</v>
          </cell>
          <cell r="X7700" t="str">
            <v>Commissions - gross</v>
          </cell>
          <cell r="Y7700" t="str">
            <v>ECUADOR</v>
          </cell>
        </row>
        <row r="7701">
          <cell r="L7701" t="str">
            <v>Non-proportional</v>
          </cell>
          <cell r="S7701">
            <v>699.36</v>
          </cell>
          <cell r="X7701" t="str">
            <v>Commissions - gross</v>
          </cell>
          <cell r="Y7701" t="str">
            <v>UNITED KINGDOM</v>
          </cell>
        </row>
        <row r="7702">
          <cell r="L7702" t="str">
            <v>Non-proportional</v>
          </cell>
          <cell r="S7702">
            <v>401.69</v>
          </cell>
          <cell r="X7702" t="str">
            <v>Commissions - gross</v>
          </cell>
          <cell r="Y7702" t="str">
            <v>MEXICO</v>
          </cell>
        </row>
        <row r="7703">
          <cell r="L7703" t="str">
            <v>Non-proportional</v>
          </cell>
          <cell r="S7703">
            <v>-18.98</v>
          </cell>
          <cell r="X7703" t="str">
            <v>Commissions - gross</v>
          </cell>
          <cell r="Y7703" t="str">
            <v>JAPAN</v>
          </cell>
        </row>
        <row r="7704">
          <cell r="L7704" t="str">
            <v>Non-proportional</v>
          </cell>
          <cell r="S7704">
            <v>321.14</v>
          </cell>
          <cell r="X7704" t="str">
            <v>Commissions - gross</v>
          </cell>
          <cell r="Y7704" t="str">
            <v>UNITED KINGDOM</v>
          </cell>
        </row>
        <row r="7705">
          <cell r="L7705" t="str">
            <v>Non-proportional</v>
          </cell>
          <cell r="S7705">
            <v>639.35</v>
          </cell>
          <cell r="X7705" t="str">
            <v>Commissions - gross</v>
          </cell>
          <cell r="Y7705" t="str">
            <v>NETHERLANDS</v>
          </cell>
        </row>
        <row r="7706">
          <cell r="L7706" t="str">
            <v>Non-proportional</v>
          </cell>
          <cell r="S7706">
            <v>36.53</v>
          </cell>
          <cell r="X7706" t="str">
            <v>Commissions - gross</v>
          </cell>
          <cell r="Y7706" t="str">
            <v>CHILE</v>
          </cell>
        </row>
        <row r="7707">
          <cell r="L7707" t="str">
            <v>Non-proportional</v>
          </cell>
          <cell r="S7707">
            <v>-5.59</v>
          </cell>
          <cell r="X7707" t="str">
            <v>Commissions - gross</v>
          </cell>
          <cell r="Y7707" t="str">
            <v>JAPAN</v>
          </cell>
        </row>
        <row r="7708">
          <cell r="L7708" t="str">
            <v>Non-proportional</v>
          </cell>
          <cell r="S7708">
            <v>198.51</v>
          </cell>
          <cell r="X7708" t="str">
            <v>Commissions - gross</v>
          </cell>
          <cell r="Y7708" t="str">
            <v>AUSTRALIA</v>
          </cell>
        </row>
        <row r="7709">
          <cell r="L7709" t="str">
            <v>Non-proportional</v>
          </cell>
          <cell r="S7709">
            <v>2380.5700000000002</v>
          </cell>
          <cell r="X7709" t="str">
            <v>Commissions - gross</v>
          </cell>
          <cell r="Y7709" t="str">
            <v>NEW ZEALAND</v>
          </cell>
        </row>
        <row r="7710">
          <cell r="L7710" t="str">
            <v>Non-proportional</v>
          </cell>
          <cell r="S7710">
            <v>407.81</v>
          </cell>
          <cell r="X7710" t="str">
            <v>Commissions - gross</v>
          </cell>
          <cell r="Y7710" t="str">
            <v>GREECE</v>
          </cell>
        </row>
        <row r="7711">
          <cell r="L7711" t="str">
            <v>Non-proportional</v>
          </cell>
          <cell r="S7711">
            <v>184.79</v>
          </cell>
          <cell r="X7711" t="str">
            <v>Commissions - gross</v>
          </cell>
          <cell r="Y7711" t="str">
            <v>NEW ZEALAND</v>
          </cell>
        </row>
        <row r="7712">
          <cell r="L7712" t="str">
            <v>Non-proportional</v>
          </cell>
          <cell r="S7712">
            <v>216.04</v>
          </cell>
          <cell r="X7712" t="str">
            <v>Commissions - gross</v>
          </cell>
          <cell r="Y7712" t="str">
            <v>JAPAN</v>
          </cell>
        </row>
        <row r="7713">
          <cell r="L7713" t="str">
            <v>Non-proportional</v>
          </cell>
          <cell r="S7713">
            <v>38.520000000000003</v>
          </cell>
          <cell r="X7713" t="str">
            <v>Commissions - gross</v>
          </cell>
          <cell r="Y7713" t="str">
            <v>TURKEY</v>
          </cell>
        </row>
        <row r="7714">
          <cell r="L7714" t="str">
            <v>Non-proportional</v>
          </cell>
          <cell r="S7714">
            <v>4244.25</v>
          </cell>
          <cell r="X7714" t="str">
            <v>Commissions - gross</v>
          </cell>
          <cell r="Y7714" t="str">
            <v>UNITED KINGDOM</v>
          </cell>
        </row>
        <row r="7715">
          <cell r="L7715" t="str">
            <v>Non-proportional</v>
          </cell>
          <cell r="S7715">
            <v>310</v>
          </cell>
          <cell r="X7715" t="str">
            <v>Commissions - gross</v>
          </cell>
          <cell r="Y7715" t="str">
            <v>DOMINICAN REPUBLIC</v>
          </cell>
        </row>
        <row r="7716">
          <cell r="L7716" t="str">
            <v>Non-proportional</v>
          </cell>
          <cell r="S7716">
            <v>-5.68</v>
          </cell>
          <cell r="X7716" t="str">
            <v>Commissions - gross</v>
          </cell>
          <cell r="Y7716" t="str">
            <v>JAPAN</v>
          </cell>
        </row>
        <row r="7717">
          <cell r="L7717" t="str">
            <v>Non-proportional</v>
          </cell>
          <cell r="S7717">
            <v>87.28</v>
          </cell>
          <cell r="X7717" t="str">
            <v>Commissions - gross</v>
          </cell>
          <cell r="Y7717" t="str">
            <v>PERU</v>
          </cell>
        </row>
        <row r="7718">
          <cell r="L7718" t="str">
            <v>Non-proportional</v>
          </cell>
          <cell r="S7718">
            <v>-1.3</v>
          </cell>
          <cell r="X7718" t="str">
            <v>Commissions - gross</v>
          </cell>
          <cell r="Y7718" t="str">
            <v>GUATEMALA</v>
          </cell>
        </row>
        <row r="7719">
          <cell r="L7719" t="str">
            <v>Non-proportional</v>
          </cell>
          <cell r="S7719">
            <v>327.69</v>
          </cell>
          <cell r="X7719" t="str">
            <v>Commissions - gross</v>
          </cell>
          <cell r="Y7719" t="str">
            <v>COLOMBIA</v>
          </cell>
        </row>
        <row r="7720">
          <cell r="L7720" t="str">
            <v>Non-proportional</v>
          </cell>
          <cell r="S7720">
            <v>726.77</v>
          </cell>
          <cell r="X7720" t="str">
            <v>Commissions - gross</v>
          </cell>
          <cell r="Y7720" t="str">
            <v>FRANCE</v>
          </cell>
        </row>
        <row r="7721">
          <cell r="L7721" t="str">
            <v>Non-proportional</v>
          </cell>
          <cell r="S7721">
            <v>442.55</v>
          </cell>
          <cell r="X7721" t="str">
            <v>Commissions - gross</v>
          </cell>
          <cell r="Y7721" t="str">
            <v>FRANCE</v>
          </cell>
        </row>
        <row r="7722">
          <cell r="L7722" t="str">
            <v>Non-proportional</v>
          </cell>
          <cell r="S7722">
            <v>79.39</v>
          </cell>
          <cell r="X7722" t="str">
            <v>Commissions - gross</v>
          </cell>
          <cell r="Y7722" t="str">
            <v>JAPAN</v>
          </cell>
        </row>
        <row r="7723">
          <cell r="L7723" t="str">
            <v>Non-proportional</v>
          </cell>
          <cell r="S7723">
            <v>3.52</v>
          </cell>
          <cell r="X7723" t="str">
            <v>Commissions - gross</v>
          </cell>
          <cell r="Y7723" t="str">
            <v>BRAZIL</v>
          </cell>
        </row>
        <row r="7724">
          <cell r="L7724" t="str">
            <v>Non-proportional</v>
          </cell>
          <cell r="S7724">
            <v>0.43</v>
          </cell>
          <cell r="X7724" t="str">
            <v>Commissions - gross</v>
          </cell>
          <cell r="Y7724" t="str">
            <v>COSTA RICA</v>
          </cell>
        </row>
        <row r="7725">
          <cell r="L7725" t="str">
            <v>Non-proportional</v>
          </cell>
          <cell r="S7725">
            <v>73.069999999999993</v>
          </cell>
          <cell r="X7725" t="str">
            <v>Commissions - gross</v>
          </cell>
          <cell r="Y7725" t="str">
            <v>CHILE</v>
          </cell>
        </row>
        <row r="7726">
          <cell r="L7726" t="str">
            <v>Non-proportional</v>
          </cell>
          <cell r="S7726">
            <v>-4.43</v>
          </cell>
          <cell r="X7726" t="str">
            <v>Commissions - gross</v>
          </cell>
          <cell r="Y7726" t="str">
            <v>JAPAN</v>
          </cell>
        </row>
        <row r="7727">
          <cell r="L7727" t="str">
            <v>Non-proportional</v>
          </cell>
          <cell r="S7727">
            <v>818.69</v>
          </cell>
          <cell r="X7727" t="str">
            <v>Commissions - gross</v>
          </cell>
          <cell r="Y7727" t="str">
            <v>AUSTRALIA</v>
          </cell>
        </row>
        <row r="7728">
          <cell r="L7728" t="str">
            <v>Non-proportional</v>
          </cell>
          <cell r="S7728">
            <v>1448.39</v>
          </cell>
          <cell r="X7728" t="str">
            <v>Commissions - gross</v>
          </cell>
          <cell r="Y7728" t="str">
            <v>FRANCE</v>
          </cell>
        </row>
        <row r="7729">
          <cell r="L7729" t="str">
            <v>Non-proportional</v>
          </cell>
          <cell r="S7729">
            <v>497.08</v>
          </cell>
          <cell r="X7729" t="str">
            <v>Commissions - gross</v>
          </cell>
          <cell r="Y7729" t="str">
            <v>ISRAEL</v>
          </cell>
        </row>
        <row r="7730">
          <cell r="L7730" t="str">
            <v>Non-proportional</v>
          </cell>
          <cell r="S7730">
            <v>171.8</v>
          </cell>
          <cell r="X7730" t="str">
            <v>Commissions - gross</v>
          </cell>
          <cell r="Y7730" t="str">
            <v>FRANCE</v>
          </cell>
        </row>
        <row r="7731">
          <cell r="L7731" t="str">
            <v>Non-proportional</v>
          </cell>
          <cell r="S7731">
            <v>-73.069999999999993</v>
          </cell>
          <cell r="X7731" t="str">
            <v>Commissions - gross</v>
          </cell>
          <cell r="Y7731" t="str">
            <v>CHILE</v>
          </cell>
        </row>
        <row r="7732">
          <cell r="L7732" t="str">
            <v>Non-proportional</v>
          </cell>
          <cell r="S7732">
            <v>382.81</v>
          </cell>
          <cell r="X7732" t="str">
            <v>Commissions - gross</v>
          </cell>
          <cell r="Y7732" t="str">
            <v>ITALY</v>
          </cell>
        </row>
        <row r="7733">
          <cell r="L7733" t="str">
            <v>Non-proportional</v>
          </cell>
          <cell r="S7733">
            <v>45.09</v>
          </cell>
          <cell r="X7733" t="str">
            <v>Commissions - gross</v>
          </cell>
          <cell r="Y7733" t="str">
            <v>NEW ZEALAND</v>
          </cell>
        </row>
        <row r="7734">
          <cell r="L7734" t="str">
            <v>Non-proportional</v>
          </cell>
          <cell r="S7734">
            <v>886.48</v>
          </cell>
          <cell r="X7734" t="str">
            <v>Commissions - gross</v>
          </cell>
          <cell r="Y7734" t="str">
            <v>DOMINICAN REPUBLIC</v>
          </cell>
        </row>
        <row r="7735">
          <cell r="L7735" t="str">
            <v>Proportional</v>
          </cell>
          <cell r="S7735">
            <v>979.16</v>
          </cell>
          <cell r="X7735" t="str">
            <v>Commissions - gross</v>
          </cell>
          <cell r="Y7735" t="str">
            <v>FRANCE</v>
          </cell>
        </row>
        <row r="7736">
          <cell r="L7736" t="str">
            <v>Non-proportional</v>
          </cell>
          <cell r="S7736">
            <v>54.38</v>
          </cell>
          <cell r="X7736" t="str">
            <v>Commissions - gross</v>
          </cell>
          <cell r="Y7736" t="str">
            <v>GREECE</v>
          </cell>
        </row>
        <row r="7737">
          <cell r="L7737" t="str">
            <v>Non-proportional</v>
          </cell>
          <cell r="S7737">
            <v>113.12</v>
          </cell>
          <cell r="X7737" t="str">
            <v>Commissions - gross</v>
          </cell>
          <cell r="Y7737" t="str">
            <v>CYPRUS</v>
          </cell>
        </row>
        <row r="7738">
          <cell r="L7738" t="str">
            <v>Non-proportional</v>
          </cell>
          <cell r="S7738">
            <v>594.45000000000005</v>
          </cell>
          <cell r="X7738" t="str">
            <v>Commissions - gross</v>
          </cell>
          <cell r="Y7738" t="str">
            <v>ISRAEL</v>
          </cell>
        </row>
        <row r="7739">
          <cell r="L7739" t="str">
            <v>Non-proportional</v>
          </cell>
          <cell r="S7739">
            <v>71.849999999999994</v>
          </cell>
          <cell r="X7739" t="str">
            <v>Commissions - gross</v>
          </cell>
          <cell r="Y7739" t="str">
            <v>ECUADOR</v>
          </cell>
        </row>
        <row r="7740">
          <cell r="L7740" t="str">
            <v>Non-proportional</v>
          </cell>
          <cell r="S7740">
            <v>1200.1300000000001</v>
          </cell>
          <cell r="X7740" t="str">
            <v>Commissions - gross</v>
          </cell>
          <cell r="Y7740" t="str">
            <v>ITALY</v>
          </cell>
        </row>
        <row r="7741">
          <cell r="L7741" t="str">
            <v>Non-proportional</v>
          </cell>
          <cell r="S7741">
            <v>296.91000000000003</v>
          </cell>
          <cell r="X7741" t="str">
            <v>Commissions - gross</v>
          </cell>
          <cell r="Y7741" t="str">
            <v>THAILAND</v>
          </cell>
        </row>
        <row r="7742">
          <cell r="L7742" t="str">
            <v>Non-proportional</v>
          </cell>
          <cell r="S7742">
            <v>0</v>
          </cell>
          <cell r="X7742" t="str">
            <v>Commissions - gross</v>
          </cell>
          <cell r="Y7742" t="str">
            <v>DOMINICAN REPUBLIC</v>
          </cell>
        </row>
        <row r="7743">
          <cell r="L7743" t="str">
            <v>Non-proportional</v>
          </cell>
          <cell r="S7743">
            <v>18.809999999999999</v>
          </cell>
          <cell r="X7743" t="str">
            <v>Commissions - gross</v>
          </cell>
          <cell r="Y7743" t="str">
            <v>JAPAN</v>
          </cell>
        </row>
        <row r="7744">
          <cell r="L7744" t="str">
            <v>Non-proportional</v>
          </cell>
          <cell r="S7744">
            <v>-2.57</v>
          </cell>
          <cell r="X7744" t="str">
            <v>Commissions - gross</v>
          </cell>
          <cell r="Y7744" t="str">
            <v>JAPAN</v>
          </cell>
        </row>
        <row r="7745">
          <cell r="L7745" t="str">
            <v>Non-proportional</v>
          </cell>
          <cell r="S7745">
            <v>950.01</v>
          </cell>
          <cell r="X7745" t="str">
            <v>Commissions - gross</v>
          </cell>
          <cell r="Y7745" t="str">
            <v>TURKEY</v>
          </cell>
        </row>
        <row r="7746">
          <cell r="L7746" t="str">
            <v>Non-proportional</v>
          </cell>
          <cell r="S7746">
            <v>217.13</v>
          </cell>
          <cell r="X7746" t="str">
            <v>Commissions - gross</v>
          </cell>
          <cell r="Y7746" t="str">
            <v>GUATEMALA</v>
          </cell>
        </row>
        <row r="7747">
          <cell r="L7747" t="str">
            <v>Non-proportional</v>
          </cell>
          <cell r="S7747">
            <v>697.09</v>
          </cell>
          <cell r="X7747" t="str">
            <v>Commissions - gross</v>
          </cell>
          <cell r="Y7747" t="str">
            <v>JAPAN</v>
          </cell>
        </row>
        <row r="7748">
          <cell r="L7748" t="str">
            <v>Non-proportional</v>
          </cell>
          <cell r="S7748">
            <v>486.03</v>
          </cell>
          <cell r="X7748" t="str">
            <v>Commissions - gross</v>
          </cell>
          <cell r="Y7748" t="str">
            <v>PERU</v>
          </cell>
        </row>
        <row r="7749">
          <cell r="L7749" t="str">
            <v>Non-proportional</v>
          </cell>
          <cell r="S7749">
            <v>559.21</v>
          </cell>
          <cell r="X7749" t="str">
            <v>Commissions - gross</v>
          </cell>
          <cell r="Y7749" t="str">
            <v>NEW ZEALAND</v>
          </cell>
        </row>
        <row r="7750">
          <cell r="L7750" t="str">
            <v>Non-proportional</v>
          </cell>
          <cell r="S7750">
            <v>432.32</v>
          </cell>
          <cell r="X7750" t="str">
            <v>Commissions - gross</v>
          </cell>
          <cell r="Y7750" t="str">
            <v>UNITED KINGDOM</v>
          </cell>
        </row>
        <row r="7751">
          <cell r="L7751" t="str">
            <v>Non-proportional</v>
          </cell>
          <cell r="S7751">
            <v>1015.63</v>
          </cell>
          <cell r="X7751" t="str">
            <v>Commissions - gross</v>
          </cell>
          <cell r="Y7751" t="str">
            <v>EUROPE</v>
          </cell>
        </row>
        <row r="7752">
          <cell r="L7752" t="str">
            <v>Non-proportional</v>
          </cell>
          <cell r="S7752">
            <v>137</v>
          </cell>
          <cell r="X7752" t="str">
            <v>Commissions - gross</v>
          </cell>
          <cell r="Y7752" t="str">
            <v>JAPAN</v>
          </cell>
        </row>
        <row r="7753">
          <cell r="L7753" t="str">
            <v>Non-proportional</v>
          </cell>
          <cell r="S7753">
            <v>1251.25</v>
          </cell>
          <cell r="X7753" t="str">
            <v>Commissions - gross</v>
          </cell>
          <cell r="Y7753" t="str">
            <v>UNITED KINGDOM</v>
          </cell>
        </row>
        <row r="7754">
          <cell r="L7754" t="str">
            <v>Non-proportional</v>
          </cell>
          <cell r="S7754">
            <v>369.3</v>
          </cell>
          <cell r="X7754" t="str">
            <v>Commissions - gross</v>
          </cell>
          <cell r="Y7754" t="str">
            <v>DOMINICAN REPUBLIC</v>
          </cell>
        </row>
        <row r="7755">
          <cell r="L7755" t="str">
            <v>Non-proportional</v>
          </cell>
          <cell r="S7755">
            <v>174.97</v>
          </cell>
          <cell r="X7755" t="str">
            <v>Commissions - gross</v>
          </cell>
          <cell r="Y7755" t="str">
            <v>NETHERLANDS</v>
          </cell>
        </row>
        <row r="7756">
          <cell r="L7756" t="str">
            <v>Non-proportional</v>
          </cell>
          <cell r="S7756">
            <v>338.18</v>
          </cell>
          <cell r="X7756" t="str">
            <v>Commissions - gross</v>
          </cell>
          <cell r="Y7756" t="str">
            <v>ITALY</v>
          </cell>
        </row>
        <row r="7757">
          <cell r="L7757" t="str">
            <v>Non-proportional</v>
          </cell>
          <cell r="S7757">
            <v>3.73</v>
          </cell>
          <cell r="X7757" t="str">
            <v>Commissions - gross</v>
          </cell>
          <cell r="Y7757" t="str">
            <v>COSTA RICA</v>
          </cell>
        </row>
        <row r="7758">
          <cell r="L7758" t="str">
            <v>Non-proportional</v>
          </cell>
          <cell r="S7758">
            <v>1000</v>
          </cell>
          <cell r="X7758" t="str">
            <v>Commissions - gross</v>
          </cell>
          <cell r="Y7758" t="str">
            <v>EUROPE</v>
          </cell>
        </row>
        <row r="7759">
          <cell r="L7759" t="str">
            <v>Non-proportional</v>
          </cell>
          <cell r="S7759">
            <v>-7.4</v>
          </cell>
          <cell r="X7759" t="str">
            <v>Commissions - gross</v>
          </cell>
          <cell r="Y7759" t="str">
            <v>NEW ZEALAND</v>
          </cell>
        </row>
        <row r="7760">
          <cell r="L7760" t="str">
            <v>Non-proportional</v>
          </cell>
          <cell r="S7760">
            <v>511.47</v>
          </cell>
          <cell r="X7760" t="str">
            <v>Commissions - gross</v>
          </cell>
          <cell r="Y7760" t="str">
            <v>CHILE</v>
          </cell>
        </row>
        <row r="7761">
          <cell r="L7761" t="str">
            <v>Non-proportional</v>
          </cell>
          <cell r="S7761">
            <v>-0.11</v>
          </cell>
          <cell r="X7761" t="str">
            <v>Commissions - gross</v>
          </cell>
          <cell r="Y7761" t="str">
            <v>GUATEMALA</v>
          </cell>
        </row>
        <row r="7762">
          <cell r="L7762" t="str">
            <v>Non-proportional</v>
          </cell>
          <cell r="S7762">
            <v>789.75</v>
          </cell>
          <cell r="X7762" t="str">
            <v>Commissions - gross</v>
          </cell>
          <cell r="Y7762" t="str">
            <v>ITALY</v>
          </cell>
        </row>
        <row r="7763">
          <cell r="L7763" t="str">
            <v>Non-proportional</v>
          </cell>
          <cell r="S7763">
            <v>342.89</v>
          </cell>
          <cell r="X7763" t="str">
            <v>Commissions - gross</v>
          </cell>
          <cell r="Y7763" t="str">
            <v>UNITED KINGDOM</v>
          </cell>
        </row>
        <row r="7764">
          <cell r="L7764" t="str">
            <v>Non-proportional</v>
          </cell>
          <cell r="S7764">
            <v>0</v>
          </cell>
          <cell r="X7764" t="str">
            <v>Commissions - gross</v>
          </cell>
          <cell r="Y7764" t="str">
            <v>DOMINICAN REPUBLIC</v>
          </cell>
        </row>
        <row r="7765">
          <cell r="L7765" t="str">
            <v>Non-proportional</v>
          </cell>
          <cell r="S7765">
            <v>29890.1</v>
          </cell>
          <cell r="X7765" t="str">
            <v>Commissions - gross</v>
          </cell>
          <cell r="Y7765" t="str">
            <v>UNITED KINGDOM</v>
          </cell>
        </row>
        <row r="7766">
          <cell r="L7766" t="str">
            <v>Non-proportional</v>
          </cell>
          <cell r="S7766">
            <v>949.87</v>
          </cell>
          <cell r="X7766" t="str">
            <v>Commissions - gross</v>
          </cell>
          <cell r="Y7766" t="str">
            <v>CHILE</v>
          </cell>
        </row>
        <row r="7767">
          <cell r="L7767" t="str">
            <v>Non-proportional</v>
          </cell>
          <cell r="S7767">
            <v>401.33</v>
          </cell>
          <cell r="X7767" t="str">
            <v>Commissions - gross</v>
          </cell>
          <cell r="Y7767" t="str">
            <v>COLOMBIA</v>
          </cell>
        </row>
        <row r="7768">
          <cell r="L7768" t="str">
            <v>Non-proportional</v>
          </cell>
          <cell r="S7768">
            <v>-1614.72</v>
          </cell>
          <cell r="X7768" t="str">
            <v>Commissions - gross</v>
          </cell>
          <cell r="Y7768" t="str">
            <v>FRANCE</v>
          </cell>
        </row>
        <row r="7769">
          <cell r="L7769" t="str">
            <v>Non-proportional</v>
          </cell>
          <cell r="S7769">
            <v>802.05</v>
          </cell>
          <cell r="X7769" t="str">
            <v>Commissions - gross</v>
          </cell>
          <cell r="Y7769" t="str">
            <v>TURKEY</v>
          </cell>
        </row>
        <row r="7770">
          <cell r="L7770" t="str">
            <v>Non-proportional</v>
          </cell>
          <cell r="S7770">
            <v>1.54</v>
          </cell>
          <cell r="X7770" t="str">
            <v>Commissions - gross</v>
          </cell>
          <cell r="Y7770" t="str">
            <v>ISRAEL</v>
          </cell>
        </row>
        <row r="7771">
          <cell r="L7771" t="str">
            <v>Non-proportional</v>
          </cell>
          <cell r="S7771">
            <v>-3.04</v>
          </cell>
          <cell r="X7771" t="str">
            <v>Commissions - gross</v>
          </cell>
          <cell r="Y7771" t="str">
            <v>POLAND</v>
          </cell>
        </row>
        <row r="7772">
          <cell r="L7772" t="str">
            <v>Non-proportional</v>
          </cell>
          <cell r="S7772">
            <v>403.08</v>
          </cell>
          <cell r="X7772" t="str">
            <v>Commissions - gross</v>
          </cell>
          <cell r="Y7772" t="str">
            <v>UNITED KINGDOM</v>
          </cell>
        </row>
        <row r="7773">
          <cell r="L7773" t="str">
            <v>Non-proportional</v>
          </cell>
          <cell r="S7773">
            <v>758.65</v>
          </cell>
          <cell r="X7773" t="str">
            <v>Commissions - gross</v>
          </cell>
          <cell r="Y7773" t="str">
            <v>FRANCE</v>
          </cell>
        </row>
        <row r="7774">
          <cell r="L7774" t="str">
            <v>Non-proportional</v>
          </cell>
          <cell r="S7774">
            <v>-15.48</v>
          </cell>
          <cell r="X7774" t="str">
            <v>Commissions - gross</v>
          </cell>
          <cell r="Y7774" t="str">
            <v>DOMINICAN REPUBLIC</v>
          </cell>
        </row>
        <row r="7775">
          <cell r="L7775" t="str">
            <v>Non-proportional</v>
          </cell>
          <cell r="S7775">
            <v>6.47</v>
          </cell>
          <cell r="X7775" t="str">
            <v>Commissions - gross</v>
          </cell>
          <cell r="Y7775" t="str">
            <v>ISRAEL</v>
          </cell>
        </row>
        <row r="7776">
          <cell r="L7776" t="str">
            <v>Non-proportional</v>
          </cell>
          <cell r="S7776">
            <v>321.7</v>
          </cell>
          <cell r="X7776" t="str">
            <v>Commissions - gross</v>
          </cell>
          <cell r="Y7776" t="str">
            <v>DOMINICAN REPUBLIC</v>
          </cell>
        </row>
        <row r="7777">
          <cell r="L7777" t="str">
            <v>Non-proportional</v>
          </cell>
          <cell r="S7777">
            <v>-0.1</v>
          </cell>
          <cell r="X7777" t="str">
            <v>Commissions - gross</v>
          </cell>
          <cell r="Y7777" t="str">
            <v>GUATEMALA</v>
          </cell>
        </row>
        <row r="7778">
          <cell r="L7778" t="str">
            <v>Proportional</v>
          </cell>
          <cell r="S7778">
            <v>2526.73</v>
          </cell>
          <cell r="X7778" t="str">
            <v>Commissions - gross</v>
          </cell>
          <cell r="Y7778" t="str">
            <v>MEXICO</v>
          </cell>
        </row>
        <row r="7779">
          <cell r="L7779" t="str">
            <v>Non-proportional</v>
          </cell>
          <cell r="S7779">
            <v>658.31</v>
          </cell>
          <cell r="X7779" t="str">
            <v>Commissions - gross</v>
          </cell>
          <cell r="Y7779" t="str">
            <v>INDIA</v>
          </cell>
        </row>
        <row r="7780">
          <cell r="L7780" t="str">
            <v>Non-proportional</v>
          </cell>
          <cell r="S7780">
            <v>-20580.009999999998</v>
          </cell>
          <cell r="X7780" t="str">
            <v>Commissions - gross</v>
          </cell>
          <cell r="Y7780" t="str">
            <v>PUERTO RICO</v>
          </cell>
        </row>
        <row r="7781">
          <cell r="L7781" t="str">
            <v>Non-proportional</v>
          </cell>
          <cell r="S7781">
            <v>182.67</v>
          </cell>
          <cell r="X7781" t="str">
            <v>Commissions - gross</v>
          </cell>
          <cell r="Y7781" t="str">
            <v>CHILE</v>
          </cell>
        </row>
        <row r="7782">
          <cell r="L7782" t="str">
            <v>Non-proportional</v>
          </cell>
          <cell r="S7782">
            <v>615.48</v>
          </cell>
          <cell r="X7782" t="str">
            <v>Commissions - gross</v>
          </cell>
          <cell r="Y7782" t="str">
            <v>ISRAEL</v>
          </cell>
        </row>
        <row r="7783">
          <cell r="L7783" t="str">
            <v>Proportional</v>
          </cell>
          <cell r="S7783">
            <v>494.41</v>
          </cell>
          <cell r="X7783" t="str">
            <v>Commissions - gross</v>
          </cell>
          <cell r="Y7783" t="str">
            <v>UNITED KINGDOM</v>
          </cell>
        </row>
        <row r="7784">
          <cell r="L7784" t="str">
            <v>Non-proportional</v>
          </cell>
          <cell r="S7784">
            <v>648.13</v>
          </cell>
          <cell r="X7784" t="str">
            <v>Commissions - gross</v>
          </cell>
          <cell r="Y7784" t="str">
            <v>NEW ZEALAND</v>
          </cell>
        </row>
        <row r="7785">
          <cell r="L7785" t="str">
            <v>Non-proportional</v>
          </cell>
          <cell r="S7785">
            <v>5.16</v>
          </cell>
          <cell r="X7785" t="str">
            <v>Commissions - gross</v>
          </cell>
          <cell r="Y7785" t="str">
            <v>INDIA</v>
          </cell>
        </row>
        <row r="7786">
          <cell r="L7786" t="str">
            <v>Non-proportional</v>
          </cell>
          <cell r="S7786">
            <v>46.93</v>
          </cell>
          <cell r="X7786" t="str">
            <v>Commissions - gross</v>
          </cell>
          <cell r="Y7786" t="str">
            <v>NEW ZEALAND</v>
          </cell>
        </row>
        <row r="7787">
          <cell r="L7787" t="str">
            <v>Non-proportional</v>
          </cell>
          <cell r="S7787">
            <v>6865.73</v>
          </cell>
          <cell r="X7787" t="str">
            <v>Commissions - gross</v>
          </cell>
          <cell r="Y7787" t="str">
            <v>UNITED KINGDOM</v>
          </cell>
        </row>
        <row r="7788">
          <cell r="L7788" t="str">
            <v>Non-proportional</v>
          </cell>
          <cell r="S7788">
            <v>-15.55</v>
          </cell>
          <cell r="X7788" t="str">
            <v>Commissions - gross</v>
          </cell>
          <cell r="Y7788" t="str">
            <v>NEW ZEALAND</v>
          </cell>
        </row>
        <row r="7789">
          <cell r="L7789" t="str">
            <v>Non-proportional</v>
          </cell>
          <cell r="S7789">
            <v>1458.34</v>
          </cell>
          <cell r="X7789" t="str">
            <v>Commissions - gross</v>
          </cell>
          <cell r="Y7789" t="str">
            <v>EUROPE</v>
          </cell>
        </row>
        <row r="7790">
          <cell r="L7790" t="str">
            <v>Non-proportional</v>
          </cell>
          <cell r="S7790">
            <v>1666.69</v>
          </cell>
          <cell r="X7790" t="str">
            <v>Commissions - gross</v>
          </cell>
          <cell r="Y7790" t="str">
            <v>HONG KONG</v>
          </cell>
        </row>
        <row r="7791">
          <cell r="L7791" t="str">
            <v>Non-proportional</v>
          </cell>
          <cell r="S7791">
            <v>3464.97</v>
          </cell>
          <cell r="X7791" t="str">
            <v>Commissions - gross</v>
          </cell>
          <cell r="Y7791" t="str">
            <v>UNITED STATES</v>
          </cell>
        </row>
        <row r="7792">
          <cell r="L7792" t="str">
            <v>Non-proportional</v>
          </cell>
          <cell r="S7792">
            <v>0</v>
          </cell>
          <cell r="X7792" t="str">
            <v>Commissions - gross</v>
          </cell>
          <cell r="Y7792" t="str">
            <v>DOMINICAN REPUBLIC</v>
          </cell>
        </row>
        <row r="7793">
          <cell r="L7793" t="str">
            <v>Non-proportional</v>
          </cell>
          <cell r="S7793">
            <v>-2200.33</v>
          </cell>
          <cell r="X7793" t="str">
            <v>Commissions - gross</v>
          </cell>
          <cell r="Y7793" t="str">
            <v>GERMANY</v>
          </cell>
        </row>
        <row r="7794">
          <cell r="L7794" t="str">
            <v>Non-proportional</v>
          </cell>
          <cell r="S7794">
            <v>107.86</v>
          </cell>
          <cell r="X7794" t="str">
            <v>Commissions - gross</v>
          </cell>
          <cell r="Y7794" t="str">
            <v>MEXICO</v>
          </cell>
        </row>
        <row r="7795">
          <cell r="L7795" t="str">
            <v>Non-proportional</v>
          </cell>
          <cell r="S7795">
            <v>510.14</v>
          </cell>
          <cell r="X7795" t="str">
            <v>Commissions - gross</v>
          </cell>
          <cell r="Y7795" t="str">
            <v>ISRAEL</v>
          </cell>
        </row>
        <row r="7796">
          <cell r="L7796" t="str">
            <v>Non-proportional</v>
          </cell>
          <cell r="S7796">
            <v>292.08999999999997</v>
          </cell>
          <cell r="X7796" t="str">
            <v>Commissions - gross</v>
          </cell>
          <cell r="Y7796" t="str">
            <v>ISRAEL</v>
          </cell>
        </row>
        <row r="7797">
          <cell r="L7797" t="str">
            <v>Non-proportional</v>
          </cell>
          <cell r="S7797">
            <v>654.04999999999995</v>
          </cell>
          <cell r="X7797" t="str">
            <v>Commissions - gross</v>
          </cell>
          <cell r="Y7797" t="str">
            <v>UNITED KINGDOM</v>
          </cell>
        </row>
        <row r="7798">
          <cell r="L7798" t="str">
            <v>Non-proportional</v>
          </cell>
          <cell r="S7798">
            <v>877.51</v>
          </cell>
          <cell r="X7798" t="str">
            <v>Commissions - gross</v>
          </cell>
          <cell r="Y7798" t="str">
            <v>FRANCE</v>
          </cell>
        </row>
        <row r="7799">
          <cell r="L7799" t="str">
            <v>Non-proportional</v>
          </cell>
          <cell r="S7799">
            <v>0.47</v>
          </cell>
          <cell r="X7799" t="str">
            <v>Commissions - gross</v>
          </cell>
          <cell r="Y7799" t="str">
            <v>COSTA RICA</v>
          </cell>
        </row>
        <row r="7800">
          <cell r="L7800" t="str">
            <v>Non-proportional</v>
          </cell>
          <cell r="S7800">
            <v>203.9</v>
          </cell>
          <cell r="X7800" t="str">
            <v>Commissions - gross</v>
          </cell>
          <cell r="Y7800" t="str">
            <v>DOMINICAN REPUBLIC</v>
          </cell>
        </row>
        <row r="7801">
          <cell r="L7801" t="str">
            <v>Non-proportional</v>
          </cell>
          <cell r="S7801">
            <v>466.65</v>
          </cell>
          <cell r="X7801" t="str">
            <v>Commissions - gross</v>
          </cell>
          <cell r="Y7801" t="str">
            <v>TURKEY</v>
          </cell>
        </row>
        <row r="7802">
          <cell r="L7802" t="str">
            <v>Non-proportional</v>
          </cell>
          <cell r="S7802">
            <v>1059.6099999999999</v>
          </cell>
          <cell r="X7802" t="str">
            <v>Commissions - gross</v>
          </cell>
          <cell r="Y7802" t="str">
            <v>FRANCE</v>
          </cell>
        </row>
        <row r="7803">
          <cell r="L7803" t="str">
            <v>Non-proportional</v>
          </cell>
          <cell r="S7803">
            <v>6640.81</v>
          </cell>
          <cell r="X7803" t="str">
            <v>Commissions - gross</v>
          </cell>
          <cell r="Y7803" t="str">
            <v>UNITED KINGDOM</v>
          </cell>
        </row>
        <row r="7804">
          <cell r="L7804" t="str">
            <v>Non-proportional</v>
          </cell>
          <cell r="S7804">
            <v>14.77</v>
          </cell>
          <cell r="X7804" t="str">
            <v>Commissions - gross</v>
          </cell>
          <cell r="Y7804" t="str">
            <v>INDIA</v>
          </cell>
        </row>
        <row r="7805">
          <cell r="L7805" t="str">
            <v>Non-proportional</v>
          </cell>
          <cell r="S7805">
            <v>292.27</v>
          </cell>
          <cell r="X7805" t="str">
            <v>Commissions - gross</v>
          </cell>
          <cell r="Y7805" t="str">
            <v>CHILE</v>
          </cell>
        </row>
        <row r="7806">
          <cell r="L7806" t="str">
            <v>Non-proportional</v>
          </cell>
          <cell r="S7806">
            <v>119.79</v>
          </cell>
          <cell r="X7806" t="str">
            <v>Commissions - gross</v>
          </cell>
          <cell r="Y7806" t="str">
            <v>GERMANY</v>
          </cell>
        </row>
        <row r="7807">
          <cell r="L7807" t="str">
            <v>Non-proportional</v>
          </cell>
          <cell r="S7807">
            <v>78.569999999999993</v>
          </cell>
          <cell r="X7807" t="str">
            <v>Commissions - gross</v>
          </cell>
          <cell r="Y7807" t="str">
            <v>MEXICO</v>
          </cell>
        </row>
        <row r="7808">
          <cell r="L7808" t="str">
            <v>Non-proportional</v>
          </cell>
          <cell r="S7808">
            <v>365.34</v>
          </cell>
          <cell r="X7808" t="str">
            <v>Commissions - gross</v>
          </cell>
          <cell r="Y7808" t="str">
            <v>CHILE</v>
          </cell>
        </row>
        <row r="7809">
          <cell r="L7809" t="str">
            <v>Non-proportional</v>
          </cell>
          <cell r="S7809">
            <v>396.95</v>
          </cell>
          <cell r="X7809" t="str">
            <v>Commissions - gross</v>
          </cell>
          <cell r="Y7809" t="str">
            <v>AUSTRALIA</v>
          </cell>
        </row>
        <row r="7810">
          <cell r="L7810" t="str">
            <v>Non-proportional</v>
          </cell>
          <cell r="S7810">
            <v>279.67</v>
          </cell>
          <cell r="X7810" t="str">
            <v>Commissions - gross</v>
          </cell>
          <cell r="Y7810" t="str">
            <v>COLOMBIA</v>
          </cell>
        </row>
        <row r="7811">
          <cell r="L7811" t="str">
            <v>Non-proportional</v>
          </cell>
          <cell r="S7811">
            <v>-0.17</v>
          </cell>
          <cell r="X7811" t="str">
            <v>Commissions - gross</v>
          </cell>
          <cell r="Y7811" t="str">
            <v>GUATEMALA</v>
          </cell>
        </row>
        <row r="7812">
          <cell r="L7812" t="str">
            <v>Non-proportional</v>
          </cell>
          <cell r="S7812">
            <v>395.21</v>
          </cell>
          <cell r="X7812" t="str">
            <v>Commissions - gross</v>
          </cell>
          <cell r="Y7812" t="str">
            <v>COLOMBIA</v>
          </cell>
        </row>
        <row r="7813">
          <cell r="L7813" t="str">
            <v>Non-proportional</v>
          </cell>
          <cell r="S7813">
            <v>63.85</v>
          </cell>
          <cell r="X7813" t="str">
            <v>Commissions - gross</v>
          </cell>
          <cell r="Y7813" t="str">
            <v>MALTA</v>
          </cell>
        </row>
        <row r="7814">
          <cell r="L7814" t="str">
            <v>Non-proportional</v>
          </cell>
          <cell r="S7814">
            <v>-15.03</v>
          </cell>
          <cell r="X7814" t="str">
            <v>Commissions - gross</v>
          </cell>
          <cell r="Y7814" t="str">
            <v>NEW ZEALAND</v>
          </cell>
        </row>
        <row r="7815">
          <cell r="L7815" t="str">
            <v>Non-proportional</v>
          </cell>
          <cell r="S7815">
            <v>-11.92</v>
          </cell>
          <cell r="X7815" t="str">
            <v>Commissions - gross</v>
          </cell>
          <cell r="Y7815" t="str">
            <v>JAPAN</v>
          </cell>
        </row>
        <row r="7816">
          <cell r="L7816" t="str">
            <v>Non-proportional</v>
          </cell>
          <cell r="S7816">
            <v>36.53</v>
          </cell>
          <cell r="X7816" t="str">
            <v>Commissions - gross</v>
          </cell>
          <cell r="Y7816" t="str">
            <v>CHILE</v>
          </cell>
        </row>
        <row r="7817">
          <cell r="L7817" t="str">
            <v>Non-proportional</v>
          </cell>
          <cell r="S7817">
            <v>342.43</v>
          </cell>
          <cell r="X7817" t="str">
            <v>Commissions - gross</v>
          </cell>
          <cell r="Y7817" t="str">
            <v>BRAZIL</v>
          </cell>
        </row>
        <row r="7818">
          <cell r="L7818" t="str">
            <v>Non-proportional</v>
          </cell>
          <cell r="S7818">
            <v>472.58</v>
          </cell>
          <cell r="X7818" t="str">
            <v>Commissions - gross</v>
          </cell>
          <cell r="Y7818" t="str">
            <v>PERU</v>
          </cell>
        </row>
        <row r="7819">
          <cell r="L7819" t="str">
            <v>Non-proportional</v>
          </cell>
          <cell r="S7819">
            <v>219.2</v>
          </cell>
          <cell r="X7819" t="str">
            <v>Commissions - gross</v>
          </cell>
          <cell r="Y7819" t="str">
            <v>CHILE</v>
          </cell>
        </row>
        <row r="7820">
          <cell r="L7820" t="str">
            <v>Non-proportional</v>
          </cell>
          <cell r="S7820">
            <v>925.13</v>
          </cell>
          <cell r="X7820" t="str">
            <v>Commissions - gross</v>
          </cell>
          <cell r="Y7820" t="str">
            <v>ITALY</v>
          </cell>
        </row>
        <row r="7821">
          <cell r="L7821" t="str">
            <v>Non-proportional</v>
          </cell>
          <cell r="S7821">
            <v>328.13</v>
          </cell>
          <cell r="X7821" t="str">
            <v>Commissions - gross</v>
          </cell>
          <cell r="Y7821" t="str">
            <v>ITALY</v>
          </cell>
        </row>
        <row r="7822">
          <cell r="L7822" t="str">
            <v>Non-proportional</v>
          </cell>
          <cell r="S7822">
            <v>46.75</v>
          </cell>
          <cell r="X7822" t="str">
            <v>Commissions - gross</v>
          </cell>
          <cell r="Y7822" t="str">
            <v>JAPAN</v>
          </cell>
        </row>
        <row r="7823">
          <cell r="L7823" t="str">
            <v>Non-proportional</v>
          </cell>
          <cell r="S7823">
            <v>135.91999999999999</v>
          </cell>
          <cell r="X7823" t="str">
            <v>Commissions - gross</v>
          </cell>
          <cell r="Y7823" t="str">
            <v>NEW ZEALAND</v>
          </cell>
        </row>
        <row r="7824">
          <cell r="L7824" t="str">
            <v>Non-proportional</v>
          </cell>
          <cell r="S7824">
            <v>2411.96</v>
          </cell>
          <cell r="X7824" t="str">
            <v>Commissions - gross</v>
          </cell>
          <cell r="Y7824" t="str">
            <v>UNITED KINGDOM</v>
          </cell>
        </row>
        <row r="7825">
          <cell r="L7825" t="str">
            <v>Non-proportional</v>
          </cell>
          <cell r="S7825">
            <v>4.38</v>
          </cell>
          <cell r="X7825" t="str">
            <v>Commissions - gross</v>
          </cell>
          <cell r="Y7825" t="str">
            <v>ISRAEL</v>
          </cell>
        </row>
        <row r="7826">
          <cell r="L7826" t="str">
            <v>Non-proportional</v>
          </cell>
          <cell r="S7826">
            <v>84.38</v>
          </cell>
          <cell r="X7826" t="str">
            <v>Commissions - gross</v>
          </cell>
          <cell r="Y7826" t="str">
            <v>GREECE</v>
          </cell>
        </row>
        <row r="7827">
          <cell r="L7827" t="str">
            <v>Non-proportional</v>
          </cell>
          <cell r="S7827">
            <v>278.33</v>
          </cell>
          <cell r="X7827" t="str">
            <v>Commissions - gross</v>
          </cell>
          <cell r="Y7827" t="str">
            <v>ISRAEL</v>
          </cell>
        </row>
        <row r="7828">
          <cell r="L7828" t="str">
            <v>Non-proportional</v>
          </cell>
          <cell r="S7828">
            <v>749.23</v>
          </cell>
          <cell r="X7828" t="str">
            <v>Commissions - gross</v>
          </cell>
          <cell r="Y7828" t="str">
            <v>FRANCE</v>
          </cell>
        </row>
        <row r="7829">
          <cell r="L7829" t="str">
            <v>Non-proportional</v>
          </cell>
          <cell r="S7829">
            <v>512.37</v>
          </cell>
          <cell r="X7829" t="str">
            <v>Commissions - gross</v>
          </cell>
          <cell r="Y7829" t="str">
            <v>DOMINICAN REPUBLIC</v>
          </cell>
        </row>
        <row r="7830">
          <cell r="L7830" t="str">
            <v>Non-proportional</v>
          </cell>
          <cell r="S7830">
            <v>3245.65</v>
          </cell>
          <cell r="X7830" t="str">
            <v>Commissions - gross</v>
          </cell>
          <cell r="Y7830" t="str">
            <v>HONG KONG</v>
          </cell>
        </row>
        <row r="7831">
          <cell r="L7831" t="str">
            <v>Non-proportional</v>
          </cell>
          <cell r="S7831">
            <v>224.07</v>
          </cell>
          <cell r="X7831" t="str">
            <v>Commissions - gross</v>
          </cell>
          <cell r="Y7831" t="str">
            <v>JAPAN</v>
          </cell>
        </row>
        <row r="7832">
          <cell r="L7832" t="str">
            <v>Non-proportional</v>
          </cell>
          <cell r="S7832">
            <v>10907.92</v>
          </cell>
          <cell r="X7832" t="str">
            <v>Commissions - gross</v>
          </cell>
          <cell r="Y7832" t="str">
            <v>UNITED KINGDOM</v>
          </cell>
        </row>
        <row r="7833">
          <cell r="L7833" t="str">
            <v>Non-proportional</v>
          </cell>
          <cell r="S7833">
            <v>-8567.57</v>
          </cell>
          <cell r="X7833" t="str">
            <v>Commissions - gross</v>
          </cell>
          <cell r="Y7833" t="str">
            <v>PUERTO RICO</v>
          </cell>
        </row>
        <row r="7834">
          <cell r="L7834" t="str">
            <v>Non-proportional</v>
          </cell>
          <cell r="S7834">
            <v>-22.54</v>
          </cell>
          <cell r="X7834" t="str">
            <v>Commissions - gross</v>
          </cell>
          <cell r="Y7834" t="str">
            <v>JAPAN</v>
          </cell>
        </row>
        <row r="7835">
          <cell r="L7835" t="str">
            <v>Non-proportional</v>
          </cell>
          <cell r="S7835">
            <v>1012.05</v>
          </cell>
          <cell r="X7835" t="str">
            <v>Commissions - gross</v>
          </cell>
          <cell r="Y7835" t="str">
            <v>ITALY</v>
          </cell>
        </row>
        <row r="7836">
          <cell r="L7836" t="str">
            <v>Non-proportional</v>
          </cell>
          <cell r="S7836">
            <v>112.97</v>
          </cell>
          <cell r="X7836" t="str">
            <v>Commissions - gross</v>
          </cell>
          <cell r="Y7836" t="str">
            <v>JAPAN</v>
          </cell>
        </row>
        <row r="7837">
          <cell r="L7837" t="str">
            <v>Non-proportional</v>
          </cell>
          <cell r="S7837">
            <v>467.51</v>
          </cell>
          <cell r="X7837" t="str">
            <v>Commissions - gross</v>
          </cell>
          <cell r="Y7837" t="str">
            <v>CYPRUS</v>
          </cell>
        </row>
        <row r="7838">
          <cell r="L7838" t="str">
            <v>Non-proportional</v>
          </cell>
          <cell r="S7838">
            <v>983.28</v>
          </cell>
          <cell r="X7838" t="str">
            <v>Commissions - gross</v>
          </cell>
          <cell r="Y7838" t="str">
            <v>FRANCE</v>
          </cell>
        </row>
        <row r="7839">
          <cell r="L7839" t="str">
            <v>Non-proportional</v>
          </cell>
          <cell r="S7839">
            <v>157.11000000000001</v>
          </cell>
          <cell r="X7839" t="str">
            <v>Commissions - gross</v>
          </cell>
          <cell r="Y7839" t="str">
            <v>ISRAEL</v>
          </cell>
        </row>
        <row r="7840">
          <cell r="L7840" t="str">
            <v>Non-proportional</v>
          </cell>
          <cell r="S7840">
            <v>1074.8699999999999</v>
          </cell>
          <cell r="X7840" t="str">
            <v>Commissions - gross</v>
          </cell>
          <cell r="Y7840" t="str">
            <v>ITALY</v>
          </cell>
        </row>
        <row r="7841">
          <cell r="L7841" t="str">
            <v>Non-proportional</v>
          </cell>
          <cell r="S7841">
            <v>475.13</v>
          </cell>
          <cell r="X7841" t="str">
            <v>Commissions - gross</v>
          </cell>
          <cell r="Y7841" t="str">
            <v>FRANCE</v>
          </cell>
        </row>
        <row r="7842">
          <cell r="L7842" t="str">
            <v>Non-proportional</v>
          </cell>
          <cell r="S7842">
            <v>5380.39</v>
          </cell>
          <cell r="X7842" t="str">
            <v>Commissions - gross</v>
          </cell>
          <cell r="Y7842" t="str">
            <v>UNITED KINGDOM</v>
          </cell>
        </row>
        <row r="7843">
          <cell r="L7843" t="str">
            <v>Non-proportional</v>
          </cell>
          <cell r="S7843">
            <v>-442.76</v>
          </cell>
          <cell r="X7843" t="str">
            <v>Commissions - gross</v>
          </cell>
          <cell r="Y7843" t="str">
            <v>AUSTRALIA</v>
          </cell>
        </row>
        <row r="7844">
          <cell r="L7844" t="str">
            <v>Non-proportional</v>
          </cell>
          <cell r="S7844">
            <v>1513</v>
          </cell>
          <cell r="X7844" t="str">
            <v>Commissions - gross</v>
          </cell>
          <cell r="Y7844" t="str">
            <v>TURKEY</v>
          </cell>
        </row>
        <row r="7845">
          <cell r="L7845" t="str">
            <v>Non-proportional</v>
          </cell>
          <cell r="S7845">
            <v>850.62</v>
          </cell>
          <cell r="X7845" t="str">
            <v>Commissions - gross</v>
          </cell>
          <cell r="Y7845" t="str">
            <v>AUSTRALIA</v>
          </cell>
        </row>
        <row r="7846">
          <cell r="L7846" t="str">
            <v>Proportional</v>
          </cell>
          <cell r="S7846">
            <v>437.58</v>
          </cell>
          <cell r="X7846" t="str">
            <v>Commissions - gross</v>
          </cell>
          <cell r="Y7846" t="str">
            <v>ITALY</v>
          </cell>
        </row>
        <row r="7847">
          <cell r="L7847" t="str">
            <v>Non-proportional</v>
          </cell>
          <cell r="S7847">
            <v>3082.47</v>
          </cell>
          <cell r="X7847" t="str">
            <v>Commissions - gross</v>
          </cell>
          <cell r="Y7847" t="str">
            <v>JAPAN</v>
          </cell>
        </row>
        <row r="7848">
          <cell r="L7848" t="str">
            <v>Non-proportional</v>
          </cell>
          <cell r="S7848">
            <v>998.59</v>
          </cell>
          <cell r="X7848" t="str">
            <v>Commissions - gross</v>
          </cell>
          <cell r="Y7848" t="str">
            <v>FRANCE</v>
          </cell>
        </row>
        <row r="7849">
          <cell r="L7849" t="str">
            <v>Proportional</v>
          </cell>
          <cell r="S7849">
            <v>43.54</v>
          </cell>
          <cell r="X7849" t="str">
            <v>Commissions - gross</v>
          </cell>
          <cell r="Y7849" t="str">
            <v>UNITED STATES</v>
          </cell>
        </row>
        <row r="7850">
          <cell r="L7850" t="str">
            <v>Non-proportional</v>
          </cell>
          <cell r="S7850">
            <v>1504.3</v>
          </cell>
          <cell r="X7850" t="str">
            <v>Commissions - gross</v>
          </cell>
          <cell r="Y7850" t="str">
            <v>FRANCE</v>
          </cell>
        </row>
        <row r="7851">
          <cell r="L7851" t="str">
            <v>Non-proportional</v>
          </cell>
          <cell r="S7851">
            <v>174.99</v>
          </cell>
          <cell r="X7851" t="str">
            <v>Commissions - gross</v>
          </cell>
          <cell r="Y7851" t="str">
            <v>EUROPE</v>
          </cell>
        </row>
        <row r="7852">
          <cell r="L7852" t="str">
            <v>Non-proportional</v>
          </cell>
          <cell r="S7852">
            <v>216.42</v>
          </cell>
          <cell r="X7852" t="str">
            <v>Commissions - gross</v>
          </cell>
          <cell r="Y7852" t="str">
            <v>JAPAN</v>
          </cell>
        </row>
        <row r="7853">
          <cell r="L7853" t="str">
            <v>Non-proportional</v>
          </cell>
          <cell r="S7853">
            <v>3.35</v>
          </cell>
          <cell r="X7853" t="str">
            <v>Commissions - gross</v>
          </cell>
          <cell r="Y7853" t="str">
            <v>ISRAEL</v>
          </cell>
        </row>
        <row r="7854">
          <cell r="L7854" t="str">
            <v>Non-proportional</v>
          </cell>
          <cell r="S7854">
            <v>-6.23</v>
          </cell>
          <cell r="X7854" t="str">
            <v>Commissions - gross</v>
          </cell>
          <cell r="Y7854" t="str">
            <v>DOMINICAN REPUBLIC</v>
          </cell>
        </row>
        <row r="7855">
          <cell r="L7855" t="str">
            <v>Non-proportional</v>
          </cell>
          <cell r="S7855">
            <v>638</v>
          </cell>
          <cell r="X7855" t="str">
            <v>Commissions - gross</v>
          </cell>
          <cell r="Y7855" t="str">
            <v>AUSTRALIA</v>
          </cell>
        </row>
        <row r="7856">
          <cell r="L7856" t="str">
            <v>Proportional</v>
          </cell>
          <cell r="S7856">
            <v>4227.68</v>
          </cell>
          <cell r="X7856" t="str">
            <v>Commissions - gross</v>
          </cell>
          <cell r="Y7856" t="str">
            <v>UNITED STATES</v>
          </cell>
        </row>
        <row r="7857">
          <cell r="L7857" t="str">
            <v>Non-proportional</v>
          </cell>
          <cell r="S7857">
            <v>367.4</v>
          </cell>
          <cell r="X7857" t="str">
            <v>Commissions - gross</v>
          </cell>
          <cell r="Y7857" t="str">
            <v>ISRAEL</v>
          </cell>
        </row>
        <row r="7858">
          <cell r="L7858" t="str">
            <v>Non-proportional</v>
          </cell>
          <cell r="S7858">
            <v>125.78</v>
          </cell>
          <cell r="X7858" t="str">
            <v>Commissions - gross</v>
          </cell>
          <cell r="Y7858" t="str">
            <v>ITALY</v>
          </cell>
        </row>
        <row r="7859">
          <cell r="L7859" t="str">
            <v>Non-proportional</v>
          </cell>
          <cell r="S7859">
            <v>34.909999999999997</v>
          </cell>
          <cell r="X7859" t="str">
            <v>Commissions - gross</v>
          </cell>
          <cell r="Y7859" t="str">
            <v>TURKEY</v>
          </cell>
        </row>
        <row r="7860">
          <cell r="L7860" t="str">
            <v>Non-proportional</v>
          </cell>
          <cell r="S7860">
            <v>-27.26</v>
          </cell>
          <cell r="X7860" t="str">
            <v>Commissions - gross</v>
          </cell>
          <cell r="Y7860" t="str">
            <v>JAPAN</v>
          </cell>
        </row>
        <row r="7861">
          <cell r="L7861" t="str">
            <v>Proportional</v>
          </cell>
          <cell r="S7861">
            <v>27.17</v>
          </cell>
          <cell r="X7861" t="str">
            <v>Commissions - gross</v>
          </cell>
          <cell r="Y7861" t="str">
            <v>REPUBLIC OF IRELAND</v>
          </cell>
        </row>
        <row r="7862">
          <cell r="L7862" t="str">
            <v>Non-proportional</v>
          </cell>
          <cell r="S7862">
            <v>41050.769999999997</v>
          </cell>
          <cell r="X7862" t="str">
            <v>Commissions - gross</v>
          </cell>
          <cell r="Y7862" t="str">
            <v>UNITED KINGDOM</v>
          </cell>
        </row>
        <row r="7863">
          <cell r="L7863" t="str">
            <v>Non-proportional</v>
          </cell>
          <cell r="S7863">
            <v>61.63</v>
          </cell>
          <cell r="X7863" t="str">
            <v>Commissions - gross</v>
          </cell>
          <cell r="Y7863" t="str">
            <v>MEXICO</v>
          </cell>
        </row>
        <row r="7864">
          <cell r="L7864" t="str">
            <v>Non-proportional</v>
          </cell>
          <cell r="S7864">
            <v>-4881.37</v>
          </cell>
          <cell r="X7864" t="str">
            <v>Commissions - gross</v>
          </cell>
          <cell r="Y7864" t="str">
            <v>SOUTH AFRICA</v>
          </cell>
        </row>
        <row r="7865">
          <cell r="L7865" t="str">
            <v>Non-proportional</v>
          </cell>
          <cell r="S7865">
            <v>312.69</v>
          </cell>
          <cell r="X7865" t="str">
            <v>Commissions - gross</v>
          </cell>
          <cell r="Y7865" t="str">
            <v>FRANCE</v>
          </cell>
        </row>
        <row r="7866">
          <cell r="L7866" t="str">
            <v>Non-proportional</v>
          </cell>
          <cell r="S7866">
            <v>318.13</v>
          </cell>
          <cell r="X7866" t="str">
            <v>Commissions - gross</v>
          </cell>
          <cell r="Y7866" t="str">
            <v>PERU</v>
          </cell>
        </row>
        <row r="7867">
          <cell r="L7867" t="str">
            <v>Non-proportional</v>
          </cell>
          <cell r="S7867">
            <v>36.53</v>
          </cell>
          <cell r="X7867" t="str">
            <v>Commissions - gross</v>
          </cell>
          <cell r="Y7867" t="str">
            <v>CHILE</v>
          </cell>
        </row>
        <row r="7868">
          <cell r="L7868" t="str">
            <v>Non-proportional</v>
          </cell>
          <cell r="S7868">
            <v>82.97</v>
          </cell>
          <cell r="X7868" t="str">
            <v>Commissions - gross</v>
          </cell>
          <cell r="Y7868" t="str">
            <v>PERU</v>
          </cell>
        </row>
        <row r="7869">
          <cell r="L7869" t="str">
            <v>Non-proportional</v>
          </cell>
          <cell r="S7869">
            <v>385.34</v>
          </cell>
          <cell r="X7869" t="str">
            <v>Commissions - gross</v>
          </cell>
          <cell r="Y7869" t="str">
            <v>ECUADOR</v>
          </cell>
        </row>
        <row r="7870">
          <cell r="L7870" t="str">
            <v>Non-proportional</v>
          </cell>
          <cell r="S7870">
            <v>864.48</v>
          </cell>
          <cell r="X7870" t="str">
            <v>Commissions - gross</v>
          </cell>
          <cell r="Y7870" t="str">
            <v>MEXICO</v>
          </cell>
        </row>
        <row r="7871">
          <cell r="L7871" t="str">
            <v>Non-proportional</v>
          </cell>
          <cell r="S7871">
            <v>130.38</v>
          </cell>
          <cell r="X7871" t="str">
            <v>Commissions - gross</v>
          </cell>
          <cell r="Y7871" t="str">
            <v>CYPRUS</v>
          </cell>
        </row>
        <row r="7872">
          <cell r="L7872" t="str">
            <v>Non-proportional</v>
          </cell>
          <cell r="S7872">
            <v>218.76</v>
          </cell>
          <cell r="X7872" t="str">
            <v>Commissions - gross</v>
          </cell>
          <cell r="Y7872" t="str">
            <v>SPAIN</v>
          </cell>
        </row>
        <row r="7873">
          <cell r="L7873" t="str">
            <v>Non-proportional</v>
          </cell>
          <cell r="S7873">
            <v>301.10000000000002</v>
          </cell>
          <cell r="X7873" t="str">
            <v>Commissions - gross</v>
          </cell>
          <cell r="Y7873" t="str">
            <v>DOMINICAN REPUBLIC</v>
          </cell>
        </row>
        <row r="7874">
          <cell r="L7874" t="str">
            <v>Non-proportional</v>
          </cell>
          <cell r="S7874">
            <v>770.36</v>
          </cell>
          <cell r="X7874" t="str">
            <v>Commissions - gross</v>
          </cell>
          <cell r="Y7874" t="str">
            <v>MEXICO</v>
          </cell>
        </row>
        <row r="7875">
          <cell r="L7875" t="str">
            <v>Non-proportional</v>
          </cell>
          <cell r="S7875">
            <v>904.39</v>
          </cell>
          <cell r="X7875" t="str">
            <v>Commissions - gross</v>
          </cell>
          <cell r="Y7875" t="str">
            <v>FRANCE</v>
          </cell>
        </row>
        <row r="7876">
          <cell r="L7876" t="str">
            <v>Non-proportional</v>
          </cell>
          <cell r="S7876">
            <v>365.15</v>
          </cell>
          <cell r="X7876" t="str">
            <v>Commissions - gross</v>
          </cell>
          <cell r="Y7876" t="str">
            <v>JAPAN</v>
          </cell>
        </row>
        <row r="7877">
          <cell r="L7877" t="str">
            <v>Non-proportional</v>
          </cell>
          <cell r="S7877">
            <v>-10.84</v>
          </cell>
          <cell r="X7877" t="str">
            <v>Commissions - gross</v>
          </cell>
          <cell r="Y7877" t="str">
            <v>DOMINICAN REPUBLIC</v>
          </cell>
        </row>
        <row r="7878">
          <cell r="L7878" t="str">
            <v>Non-proportional</v>
          </cell>
          <cell r="S7878">
            <v>1931</v>
          </cell>
          <cell r="X7878" t="str">
            <v>Commissions - gross</v>
          </cell>
          <cell r="Y7878" t="str">
            <v>UNITED KINGDOM</v>
          </cell>
        </row>
        <row r="7879">
          <cell r="L7879" t="str">
            <v>Non-proportional</v>
          </cell>
          <cell r="S7879">
            <v>523.83000000000004</v>
          </cell>
          <cell r="X7879" t="str">
            <v>Commissions - gross</v>
          </cell>
          <cell r="Y7879" t="str">
            <v>SPAIN</v>
          </cell>
        </row>
        <row r="7880">
          <cell r="L7880" t="str">
            <v>Non-proportional</v>
          </cell>
          <cell r="S7880">
            <v>98.43</v>
          </cell>
          <cell r="X7880" t="str">
            <v>Commissions - gross</v>
          </cell>
          <cell r="Y7880" t="str">
            <v>COLOMBIA</v>
          </cell>
        </row>
        <row r="7881">
          <cell r="L7881" t="str">
            <v>Non-proportional</v>
          </cell>
          <cell r="S7881">
            <v>689.68</v>
          </cell>
          <cell r="X7881" t="str">
            <v>Commissions - gross</v>
          </cell>
          <cell r="Y7881" t="str">
            <v>INDIA</v>
          </cell>
        </row>
        <row r="7882">
          <cell r="L7882" t="str">
            <v>Non-proportional</v>
          </cell>
          <cell r="S7882">
            <v>662.31</v>
          </cell>
          <cell r="X7882" t="str">
            <v>Commissions - gross</v>
          </cell>
          <cell r="Y7882" t="str">
            <v>CYPRUS</v>
          </cell>
        </row>
        <row r="7883">
          <cell r="L7883" t="str">
            <v>Proportional</v>
          </cell>
          <cell r="S7883">
            <v>-50.22</v>
          </cell>
          <cell r="X7883" t="str">
            <v>Commissions - gross</v>
          </cell>
          <cell r="Y7883" t="str">
            <v>UNITED STATES</v>
          </cell>
        </row>
        <row r="7884">
          <cell r="L7884" t="str">
            <v>Non-proportional</v>
          </cell>
          <cell r="S7884">
            <v>56.36</v>
          </cell>
          <cell r="X7884" t="str">
            <v>Commissions - gross</v>
          </cell>
          <cell r="Y7884" t="str">
            <v>BRAZIL</v>
          </cell>
        </row>
        <row r="7885">
          <cell r="L7885" t="str">
            <v>Non-proportional</v>
          </cell>
          <cell r="S7885">
            <v>66.5</v>
          </cell>
          <cell r="X7885" t="str">
            <v>Commissions - gross</v>
          </cell>
          <cell r="Y7885" t="str">
            <v>FRANCE</v>
          </cell>
        </row>
        <row r="7886">
          <cell r="L7886" t="str">
            <v>Non-proportional</v>
          </cell>
          <cell r="S7886">
            <v>1418</v>
          </cell>
          <cell r="X7886" t="str">
            <v>Commissions - gross</v>
          </cell>
          <cell r="Y7886" t="str">
            <v>UNITED KINGDOM</v>
          </cell>
        </row>
        <row r="7887">
          <cell r="L7887" t="str">
            <v>Proportional</v>
          </cell>
          <cell r="S7887">
            <v>36.4</v>
          </cell>
          <cell r="X7887" t="str">
            <v>Commissions - gross</v>
          </cell>
          <cell r="Y7887" t="str">
            <v>SAUDI ARABIA</v>
          </cell>
        </row>
        <row r="7888">
          <cell r="L7888" t="str">
            <v>Proportional</v>
          </cell>
          <cell r="S7888">
            <v>27.17</v>
          </cell>
          <cell r="X7888" t="str">
            <v>Commissions - gross</v>
          </cell>
          <cell r="Y7888" t="str">
            <v>REPUBLIC OF IRELAND</v>
          </cell>
        </row>
        <row r="7889">
          <cell r="L7889" t="str">
            <v>Non-proportional</v>
          </cell>
          <cell r="S7889">
            <v>291.44</v>
          </cell>
          <cell r="X7889" t="str">
            <v>Commissions - gross</v>
          </cell>
          <cell r="Y7889" t="str">
            <v>UNITED KINGDOM</v>
          </cell>
        </row>
        <row r="7890">
          <cell r="L7890" t="str">
            <v>Non-proportional</v>
          </cell>
          <cell r="S7890">
            <v>2168.69</v>
          </cell>
          <cell r="X7890" t="str">
            <v>Commissions - gross</v>
          </cell>
          <cell r="Y7890" t="str">
            <v>UNITED KINGDOM</v>
          </cell>
        </row>
        <row r="7891">
          <cell r="L7891" t="str">
            <v>Non-proportional</v>
          </cell>
          <cell r="S7891">
            <v>806.88</v>
          </cell>
          <cell r="X7891" t="str">
            <v>Commissions - gross</v>
          </cell>
          <cell r="Y7891" t="str">
            <v>UNITED KINGDOM</v>
          </cell>
        </row>
        <row r="7892">
          <cell r="L7892" t="str">
            <v>Non-proportional</v>
          </cell>
          <cell r="S7892">
            <v>82.05</v>
          </cell>
          <cell r="X7892" t="str">
            <v>Commissions - gross</v>
          </cell>
          <cell r="Y7892" t="str">
            <v>PERU</v>
          </cell>
        </row>
        <row r="7893">
          <cell r="L7893" t="str">
            <v>Non-proportional</v>
          </cell>
          <cell r="S7893">
            <v>934.81</v>
          </cell>
          <cell r="X7893" t="str">
            <v>Commissions - gross</v>
          </cell>
          <cell r="Y7893" t="str">
            <v>NETHERLANDS</v>
          </cell>
        </row>
        <row r="7894">
          <cell r="L7894" t="str">
            <v>Non-proportional</v>
          </cell>
          <cell r="S7894">
            <v>2679.2</v>
          </cell>
          <cell r="X7894" t="str">
            <v>Commissions - gross</v>
          </cell>
          <cell r="Y7894" t="str">
            <v>UNITED KINGDOM</v>
          </cell>
        </row>
        <row r="7895">
          <cell r="L7895" t="str">
            <v>Non-proportional</v>
          </cell>
          <cell r="S7895">
            <v>175.31</v>
          </cell>
          <cell r="X7895" t="str">
            <v>Commissions - gross</v>
          </cell>
          <cell r="Y7895" t="str">
            <v>ROMANIA</v>
          </cell>
        </row>
        <row r="7896">
          <cell r="L7896" t="str">
            <v>Non-proportional</v>
          </cell>
          <cell r="S7896">
            <v>1346.86</v>
          </cell>
          <cell r="X7896" t="str">
            <v>Commissions - gross</v>
          </cell>
          <cell r="Y7896" t="str">
            <v>AUSTRALIA</v>
          </cell>
        </row>
        <row r="7897">
          <cell r="L7897" t="str">
            <v>Non-proportional</v>
          </cell>
          <cell r="S7897">
            <v>656.25</v>
          </cell>
          <cell r="X7897" t="str">
            <v>Commissions - gross</v>
          </cell>
          <cell r="Y7897" t="str">
            <v>ITALY</v>
          </cell>
        </row>
        <row r="7898">
          <cell r="L7898" t="str">
            <v>Proportional</v>
          </cell>
          <cell r="S7898">
            <v>233.22</v>
          </cell>
          <cell r="X7898" t="str">
            <v>Commissions - gross</v>
          </cell>
          <cell r="Y7898" t="str">
            <v>ITALY</v>
          </cell>
        </row>
        <row r="7899">
          <cell r="L7899" t="str">
            <v>Non-proportional</v>
          </cell>
          <cell r="S7899">
            <v>348.09</v>
          </cell>
          <cell r="X7899" t="str">
            <v>Commissions - gross</v>
          </cell>
          <cell r="Y7899" t="str">
            <v>ISRAEL</v>
          </cell>
        </row>
        <row r="7900">
          <cell r="L7900" t="str">
            <v>Non-proportional</v>
          </cell>
          <cell r="S7900">
            <v>244.25</v>
          </cell>
          <cell r="X7900" t="str">
            <v>Commissions - gross</v>
          </cell>
          <cell r="Y7900" t="str">
            <v>CYPRUS</v>
          </cell>
        </row>
        <row r="7901">
          <cell r="L7901" t="str">
            <v>Non-proportional</v>
          </cell>
          <cell r="S7901">
            <v>328.8</v>
          </cell>
          <cell r="X7901" t="str">
            <v>Commissions - gross</v>
          </cell>
          <cell r="Y7901" t="str">
            <v>CHILE</v>
          </cell>
        </row>
        <row r="7902">
          <cell r="L7902" t="str">
            <v>Non-proportional</v>
          </cell>
          <cell r="S7902">
            <v>33.54</v>
          </cell>
          <cell r="X7902" t="str">
            <v>Commissions - gross</v>
          </cell>
          <cell r="Y7902" t="str">
            <v>COLOMBIA</v>
          </cell>
        </row>
        <row r="7903">
          <cell r="L7903" t="str">
            <v>Non-proportional</v>
          </cell>
          <cell r="S7903">
            <v>-42.94</v>
          </cell>
          <cell r="X7903" t="str">
            <v>Commissions - gross</v>
          </cell>
          <cell r="Y7903" t="str">
            <v>NEW ZEALAND</v>
          </cell>
        </row>
        <row r="7904">
          <cell r="L7904" t="str">
            <v>Non-proportional</v>
          </cell>
          <cell r="S7904">
            <v>545.86</v>
          </cell>
          <cell r="X7904" t="str">
            <v>Commissions - gross</v>
          </cell>
          <cell r="Y7904" t="str">
            <v>ECUADOR</v>
          </cell>
        </row>
        <row r="7905">
          <cell r="L7905" t="str">
            <v>Non-proportional</v>
          </cell>
          <cell r="S7905">
            <v>346.86</v>
          </cell>
          <cell r="X7905" t="str">
            <v>Commissions - gross</v>
          </cell>
          <cell r="Y7905" t="str">
            <v>ISRAEL</v>
          </cell>
        </row>
        <row r="7906">
          <cell r="L7906" t="str">
            <v>Non-proportional</v>
          </cell>
          <cell r="S7906">
            <v>8.07</v>
          </cell>
          <cell r="X7906" t="str">
            <v>Commissions - gross</v>
          </cell>
          <cell r="Y7906" t="str">
            <v>COLOMBIA</v>
          </cell>
        </row>
        <row r="7907">
          <cell r="L7907" t="str">
            <v>Non-proportional</v>
          </cell>
          <cell r="S7907">
            <v>782.69</v>
          </cell>
          <cell r="X7907" t="str">
            <v>Commissions - gross</v>
          </cell>
          <cell r="Y7907" t="str">
            <v>UNITED KINGDOM</v>
          </cell>
        </row>
        <row r="7908">
          <cell r="L7908" t="str">
            <v>Non-proportional</v>
          </cell>
          <cell r="S7908">
            <v>173.86</v>
          </cell>
          <cell r="X7908" t="str">
            <v>Commissions - gross</v>
          </cell>
          <cell r="Y7908" t="str">
            <v>COSTA RICA</v>
          </cell>
        </row>
        <row r="7909">
          <cell r="L7909" t="str">
            <v>Non-proportional</v>
          </cell>
          <cell r="S7909">
            <v>204.17</v>
          </cell>
          <cell r="X7909" t="str">
            <v>Commissions - gross</v>
          </cell>
          <cell r="Y7909" t="str">
            <v>ITALY</v>
          </cell>
        </row>
        <row r="7910">
          <cell r="L7910" t="str">
            <v>Non-proportional</v>
          </cell>
          <cell r="S7910">
            <v>374.99</v>
          </cell>
          <cell r="X7910" t="str">
            <v>Commissions - gross</v>
          </cell>
          <cell r="Y7910" t="str">
            <v>EUROPE</v>
          </cell>
        </row>
        <row r="7911">
          <cell r="L7911" t="str">
            <v>Non-proportional</v>
          </cell>
          <cell r="S7911">
            <v>454.19</v>
          </cell>
          <cell r="X7911" t="str">
            <v>Commissions - gross</v>
          </cell>
          <cell r="Y7911" t="str">
            <v>TURKEY</v>
          </cell>
        </row>
        <row r="7912">
          <cell r="L7912" t="str">
            <v>Non-proportional</v>
          </cell>
          <cell r="S7912">
            <v>423.85</v>
          </cell>
          <cell r="X7912" t="str">
            <v>Commissions - gross</v>
          </cell>
          <cell r="Y7912" t="str">
            <v>FRANCE</v>
          </cell>
        </row>
        <row r="7913">
          <cell r="L7913" t="str">
            <v>Non-proportional</v>
          </cell>
          <cell r="S7913">
            <v>1160.1300000000001</v>
          </cell>
          <cell r="X7913" t="str">
            <v>Commissions - gross</v>
          </cell>
          <cell r="Y7913" t="str">
            <v>COLOMBIA</v>
          </cell>
        </row>
        <row r="7914">
          <cell r="L7914" t="str">
            <v>Non-proportional</v>
          </cell>
          <cell r="S7914">
            <v>4.79</v>
          </cell>
          <cell r="X7914" t="str">
            <v>Commissions - gross</v>
          </cell>
          <cell r="Y7914" t="str">
            <v>BRAZIL</v>
          </cell>
        </row>
        <row r="7915">
          <cell r="L7915" t="str">
            <v>Non-proportional</v>
          </cell>
          <cell r="S7915">
            <v>88.44</v>
          </cell>
          <cell r="X7915" t="str">
            <v>Commissions - gross</v>
          </cell>
          <cell r="Y7915" t="str">
            <v>FRANCE</v>
          </cell>
        </row>
        <row r="7916">
          <cell r="L7916" t="str">
            <v>Proportional</v>
          </cell>
          <cell r="S7916">
            <v>46.07</v>
          </cell>
          <cell r="X7916" t="str">
            <v>Commissions - gross</v>
          </cell>
          <cell r="Y7916" t="str">
            <v>UNITED STATES</v>
          </cell>
        </row>
        <row r="7917">
          <cell r="L7917" t="str">
            <v>Non-proportional</v>
          </cell>
          <cell r="S7917">
            <v>184.79</v>
          </cell>
          <cell r="X7917" t="str">
            <v>Commissions - gross</v>
          </cell>
          <cell r="Y7917" t="str">
            <v>NEW ZEALAND</v>
          </cell>
        </row>
        <row r="7918">
          <cell r="L7918" t="str">
            <v>Non-proportional</v>
          </cell>
          <cell r="S7918">
            <v>109.6</v>
          </cell>
          <cell r="X7918" t="str">
            <v>Commissions - gross</v>
          </cell>
          <cell r="Y7918" t="str">
            <v>CHILE</v>
          </cell>
        </row>
        <row r="7919">
          <cell r="L7919" t="str">
            <v>Non-proportional</v>
          </cell>
          <cell r="S7919">
            <v>668.33</v>
          </cell>
          <cell r="X7919" t="str">
            <v>Commissions - gross</v>
          </cell>
          <cell r="Y7919" t="str">
            <v>FRANCE</v>
          </cell>
        </row>
        <row r="7920">
          <cell r="L7920" t="str">
            <v>Non-proportional</v>
          </cell>
          <cell r="S7920">
            <v>734.24</v>
          </cell>
          <cell r="X7920" t="str">
            <v>Commissions - gross</v>
          </cell>
          <cell r="Y7920" t="str">
            <v>FRANCE</v>
          </cell>
        </row>
        <row r="7921">
          <cell r="L7921" t="str">
            <v>Non-proportional</v>
          </cell>
          <cell r="S7921">
            <v>436.52</v>
          </cell>
          <cell r="X7921" t="str">
            <v>Commissions - gross</v>
          </cell>
          <cell r="Y7921" t="str">
            <v>ECUADOR</v>
          </cell>
        </row>
        <row r="7922">
          <cell r="L7922" t="str">
            <v>Non-proportional</v>
          </cell>
          <cell r="S7922">
            <v>515.19000000000005</v>
          </cell>
          <cell r="X7922" t="str">
            <v>Commissions - gross</v>
          </cell>
          <cell r="Y7922" t="str">
            <v>ITALY</v>
          </cell>
        </row>
        <row r="7923">
          <cell r="L7923" t="str">
            <v>Non-proportional</v>
          </cell>
          <cell r="S7923">
            <v>14330.18</v>
          </cell>
          <cell r="X7923" t="str">
            <v>Commissions - gross</v>
          </cell>
          <cell r="Y7923" t="str">
            <v>UNITED KINGDOM</v>
          </cell>
        </row>
        <row r="7924">
          <cell r="L7924" t="str">
            <v>Non-proportional</v>
          </cell>
          <cell r="S7924">
            <v>-24.03</v>
          </cell>
          <cell r="X7924" t="str">
            <v>Commissions - gross</v>
          </cell>
          <cell r="Y7924" t="str">
            <v>SOUTH KOREA</v>
          </cell>
        </row>
        <row r="7925">
          <cell r="L7925" t="str">
            <v>Non-proportional</v>
          </cell>
          <cell r="S7925">
            <v>150.07</v>
          </cell>
          <cell r="X7925" t="str">
            <v>Commissions - gross</v>
          </cell>
          <cell r="Y7925" t="str">
            <v>UNITED KINGDOM</v>
          </cell>
        </row>
        <row r="7926">
          <cell r="L7926" t="str">
            <v>Non-proportional</v>
          </cell>
          <cell r="S7926">
            <v>506.24</v>
          </cell>
          <cell r="X7926" t="str">
            <v>Commissions - gross</v>
          </cell>
          <cell r="Y7926" t="str">
            <v>COLOMBIA</v>
          </cell>
        </row>
        <row r="7927">
          <cell r="L7927" t="str">
            <v>Non-proportional</v>
          </cell>
          <cell r="S7927">
            <v>853.13</v>
          </cell>
          <cell r="X7927" t="str">
            <v>Commissions - gross</v>
          </cell>
          <cell r="Y7927" t="str">
            <v>TURKEY</v>
          </cell>
        </row>
        <row r="7928">
          <cell r="L7928" t="str">
            <v>Non-proportional</v>
          </cell>
          <cell r="S7928">
            <v>531.28</v>
          </cell>
          <cell r="X7928" t="str">
            <v>Commissions - gross</v>
          </cell>
          <cell r="Y7928" t="str">
            <v>NETHERLANDS</v>
          </cell>
        </row>
        <row r="7929">
          <cell r="L7929" t="str">
            <v>Non-proportional</v>
          </cell>
          <cell r="S7929">
            <v>425.07</v>
          </cell>
          <cell r="X7929" t="str">
            <v>Commissions - gross</v>
          </cell>
          <cell r="Y7929" t="str">
            <v>ITALY</v>
          </cell>
        </row>
        <row r="7930">
          <cell r="L7930" t="str">
            <v>Non-proportional</v>
          </cell>
          <cell r="S7930">
            <v>0</v>
          </cell>
          <cell r="X7930" t="str">
            <v>Commissions - gross</v>
          </cell>
          <cell r="Y7930" t="str">
            <v>DOMINICAN REPUBLIC</v>
          </cell>
        </row>
        <row r="7931">
          <cell r="L7931" t="str">
            <v>Non-proportional</v>
          </cell>
          <cell r="S7931">
            <v>284.08</v>
          </cell>
          <cell r="X7931" t="str">
            <v>Commissions - gross</v>
          </cell>
          <cell r="Y7931" t="str">
            <v>EUROPE</v>
          </cell>
        </row>
        <row r="7932">
          <cell r="L7932" t="str">
            <v>Non-proportional</v>
          </cell>
          <cell r="S7932">
            <v>13.29</v>
          </cell>
          <cell r="X7932" t="str">
            <v>Commissions - gross</v>
          </cell>
          <cell r="Y7932" t="str">
            <v>ITALY</v>
          </cell>
        </row>
        <row r="7933">
          <cell r="L7933" t="str">
            <v>Non-proportional</v>
          </cell>
          <cell r="S7933">
            <v>208.4</v>
          </cell>
          <cell r="X7933" t="str">
            <v>Commissions - gross</v>
          </cell>
          <cell r="Y7933" t="str">
            <v>AUSTRALIA</v>
          </cell>
        </row>
        <row r="7934">
          <cell r="L7934" t="str">
            <v>Non-proportional</v>
          </cell>
          <cell r="S7934">
            <v>743.75</v>
          </cell>
          <cell r="X7934" t="str">
            <v>Commissions - gross</v>
          </cell>
          <cell r="Y7934" t="str">
            <v>ITALY</v>
          </cell>
        </row>
        <row r="7935">
          <cell r="L7935" t="str">
            <v>Non-proportional</v>
          </cell>
          <cell r="S7935">
            <v>45.7</v>
          </cell>
          <cell r="X7935" t="str">
            <v>Commissions - gross</v>
          </cell>
          <cell r="Y7935" t="str">
            <v>UNITED KINGDOM</v>
          </cell>
        </row>
        <row r="7936">
          <cell r="L7936" t="str">
            <v>Non-proportional</v>
          </cell>
          <cell r="S7936">
            <v>292.27</v>
          </cell>
          <cell r="X7936" t="str">
            <v>Commissions - gross</v>
          </cell>
          <cell r="Y7936" t="str">
            <v>CHILE</v>
          </cell>
        </row>
        <row r="7937">
          <cell r="L7937" t="str">
            <v>Non-proportional</v>
          </cell>
          <cell r="S7937">
            <v>639.38</v>
          </cell>
          <cell r="X7937" t="str">
            <v>Commissions - gross</v>
          </cell>
          <cell r="Y7937" t="str">
            <v>MEXICO</v>
          </cell>
        </row>
        <row r="7938">
          <cell r="L7938" t="str">
            <v>Non-proportional</v>
          </cell>
          <cell r="S7938">
            <v>627.9</v>
          </cell>
          <cell r="X7938" t="str">
            <v>Commissions - gross</v>
          </cell>
          <cell r="Y7938" t="str">
            <v>FRANCE</v>
          </cell>
        </row>
        <row r="7939">
          <cell r="L7939" t="str">
            <v>Non-proportional</v>
          </cell>
          <cell r="S7939">
            <v>2166.67</v>
          </cell>
          <cell r="X7939" t="str">
            <v>Commissions - gross</v>
          </cell>
          <cell r="Y7939" t="str">
            <v>FRANCE</v>
          </cell>
        </row>
        <row r="7940">
          <cell r="L7940" t="str">
            <v>Non-proportional</v>
          </cell>
          <cell r="S7940">
            <v>0</v>
          </cell>
          <cell r="X7940" t="str">
            <v>Commissions - gross</v>
          </cell>
          <cell r="Y7940" t="str">
            <v>DOMINICAN REPUBLIC</v>
          </cell>
        </row>
        <row r="7941">
          <cell r="L7941" t="str">
            <v>Non-proportional</v>
          </cell>
          <cell r="S7941">
            <v>799.43</v>
          </cell>
          <cell r="X7941" t="str">
            <v>Commissions - gross</v>
          </cell>
          <cell r="Y7941" t="str">
            <v>UNITED KINGDOM</v>
          </cell>
        </row>
        <row r="7942">
          <cell r="L7942" t="str">
            <v>Non-proportional</v>
          </cell>
          <cell r="S7942">
            <v>6881.89</v>
          </cell>
          <cell r="X7942" t="str">
            <v>Commissions - gross</v>
          </cell>
          <cell r="Y7942" t="str">
            <v>UNITED KINGDOM</v>
          </cell>
        </row>
        <row r="7943">
          <cell r="L7943" t="str">
            <v>Non-proportional</v>
          </cell>
          <cell r="S7943">
            <v>593.77</v>
          </cell>
          <cell r="X7943" t="str">
            <v>Commissions - gross</v>
          </cell>
          <cell r="Y7943" t="str">
            <v>PERU</v>
          </cell>
        </row>
        <row r="7944">
          <cell r="L7944" t="str">
            <v>Non-proportional</v>
          </cell>
          <cell r="S7944">
            <v>655.67</v>
          </cell>
          <cell r="X7944" t="str">
            <v>Commissions - gross</v>
          </cell>
          <cell r="Y7944" t="str">
            <v>AUSTRALIA</v>
          </cell>
        </row>
        <row r="7945">
          <cell r="L7945" t="str">
            <v>Non-proportional</v>
          </cell>
          <cell r="S7945">
            <v>498.37</v>
          </cell>
          <cell r="X7945" t="str">
            <v>Commissions - gross</v>
          </cell>
          <cell r="Y7945" t="str">
            <v>UNITED KINGDOM</v>
          </cell>
        </row>
        <row r="7946">
          <cell r="L7946" t="str">
            <v>Non-proportional</v>
          </cell>
          <cell r="S7946">
            <v>1442.4</v>
          </cell>
          <cell r="X7946" t="str">
            <v>Commissions - gross</v>
          </cell>
          <cell r="Y7946" t="str">
            <v>FRANCE</v>
          </cell>
        </row>
        <row r="7947">
          <cell r="L7947" t="str">
            <v>Non-proportional</v>
          </cell>
          <cell r="S7947">
            <v>-6400.08</v>
          </cell>
          <cell r="X7947" t="str">
            <v>Commissions - gross</v>
          </cell>
          <cell r="Y7947" t="str">
            <v>PUERTO RICO</v>
          </cell>
        </row>
        <row r="7948">
          <cell r="L7948" t="str">
            <v>Non-proportional</v>
          </cell>
          <cell r="S7948">
            <v>380.41</v>
          </cell>
          <cell r="X7948" t="str">
            <v>Commissions - gross</v>
          </cell>
          <cell r="Y7948" t="str">
            <v>DOMINICAN REPUBLIC</v>
          </cell>
        </row>
        <row r="7949">
          <cell r="L7949" t="str">
            <v>Non-proportional</v>
          </cell>
          <cell r="S7949">
            <v>38.75</v>
          </cell>
          <cell r="X7949" t="str">
            <v>Commissions - gross</v>
          </cell>
          <cell r="Y7949" t="str">
            <v>ITALY</v>
          </cell>
        </row>
        <row r="7950">
          <cell r="L7950" t="str">
            <v>Proportional</v>
          </cell>
          <cell r="S7950">
            <v>13.5</v>
          </cell>
          <cell r="X7950" t="str">
            <v>Commissions - gross</v>
          </cell>
          <cell r="Y7950" t="str">
            <v>UNITED STATES</v>
          </cell>
        </row>
        <row r="7951">
          <cell r="L7951" t="str">
            <v>Non-proportional</v>
          </cell>
          <cell r="S7951">
            <v>61.7</v>
          </cell>
          <cell r="X7951" t="str">
            <v>Commissions - gross</v>
          </cell>
          <cell r="Y7951" t="str">
            <v>FRANCE</v>
          </cell>
        </row>
        <row r="7952">
          <cell r="L7952" t="str">
            <v>Non-proportional</v>
          </cell>
          <cell r="S7952">
            <v>1022.94</v>
          </cell>
          <cell r="X7952" t="str">
            <v>Commissions - gross</v>
          </cell>
          <cell r="Y7952" t="str">
            <v>CHILE</v>
          </cell>
        </row>
        <row r="7953">
          <cell r="L7953" t="str">
            <v>Non-proportional</v>
          </cell>
          <cell r="S7953">
            <v>1701.29</v>
          </cell>
          <cell r="X7953" t="str">
            <v>Commissions - gross</v>
          </cell>
          <cell r="Y7953" t="str">
            <v>AUSTRALIA</v>
          </cell>
        </row>
        <row r="7954">
          <cell r="L7954" t="str">
            <v>Non-proportional</v>
          </cell>
          <cell r="S7954">
            <v>-4.26</v>
          </cell>
          <cell r="X7954" t="str">
            <v>Commissions - gross</v>
          </cell>
          <cell r="Y7954" t="str">
            <v>JAPAN</v>
          </cell>
        </row>
        <row r="7955">
          <cell r="L7955" t="str">
            <v>Non-proportional</v>
          </cell>
          <cell r="S7955">
            <v>305.63</v>
          </cell>
          <cell r="X7955" t="str">
            <v>Commissions - gross</v>
          </cell>
          <cell r="Y7955" t="str">
            <v>ISRAEL</v>
          </cell>
        </row>
        <row r="7956">
          <cell r="L7956" t="str">
            <v>Non-proportional</v>
          </cell>
          <cell r="S7956">
            <v>475.46</v>
          </cell>
          <cell r="X7956" t="str">
            <v>Commissions - gross</v>
          </cell>
          <cell r="Y7956" t="str">
            <v>ISRAEL</v>
          </cell>
        </row>
        <row r="7957">
          <cell r="L7957" t="str">
            <v>Non-proportional</v>
          </cell>
          <cell r="S7957">
            <v>24.55</v>
          </cell>
          <cell r="X7957" t="str">
            <v>Commissions - gross</v>
          </cell>
          <cell r="Y7957" t="str">
            <v>COLOMBIA</v>
          </cell>
        </row>
        <row r="7958">
          <cell r="L7958" t="str">
            <v>Non-proportional</v>
          </cell>
          <cell r="S7958">
            <v>-27.13</v>
          </cell>
          <cell r="X7958" t="str">
            <v>Commissions - gross</v>
          </cell>
          <cell r="Y7958" t="str">
            <v>COLOMBIA</v>
          </cell>
        </row>
        <row r="7959">
          <cell r="L7959" t="str">
            <v>Non-proportional</v>
          </cell>
          <cell r="S7959">
            <v>2318.75</v>
          </cell>
          <cell r="X7959" t="str">
            <v>Commissions - gross</v>
          </cell>
          <cell r="Y7959" t="str">
            <v>ITALY</v>
          </cell>
        </row>
        <row r="7960">
          <cell r="L7960" t="str">
            <v>Non-proportional</v>
          </cell>
          <cell r="S7960">
            <v>151.87</v>
          </cell>
          <cell r="X7960" t="str">
            <v>Commissions - gross</v>
          </cell>
          <cell r="Y7960" t="str">
            <v>ISRAEL</v>
          </cell>
        </row>
        <row r="7961">
          <cell r="L7961" t="str">
            <v>Non-proportional</v>
          </cell>
          <cell r="S7961">
            <v>74.040000000000006</v>
          </cell>
          <cell r="X7961" t="str">
            <v>Commissions - gross</v>
          </cell>
          <cell r="Y7961" t="str">
            <v>FRANCE</v>
          </cell>
        </row>
        <row r="7962">
          <cell r="L7962" t="str">
            <v>Non-proportional</v>
          </cell>
          <cell r="S7962">
            <v>777.16</v>
          </cell>
          <cell r="X7962" t="str">
            <v>Commissions - gross</v>
          </cell>
          <cell r="Y7962" t="str">
            <v>UNITED KINGDOM</v>
          </cell>
        </row>
        <row r="7963">
          <cell r="L7963" t="str">
            <v>Non-proportional</v>
          </cell>
          <cell r="S7963">
            <v>328.13</v>
          </cell>
          <cell r="X7963" t="str">
            <v>Commissions - gross</v>
          </cell>
          <cell r="Y7963" t="str">
            <v>ITALY</v>
          </cell>
        </row>
        <row r="7964">
          <cell r="L7964" t="str">
            <v>Non-proportional</v>
          </cell>
          <cell r="S7964">
            <v>-7.4</v>
          </cell>
          <cell r="X7964" t="str">
            <v>Commissions - gross</v>
          </cell>
          <cell r="Y7964" t="str">
            <v>NEW ZEALAND</v>
          </cell>
        </row>
        <row r="7965">
          <cell r="L7965" t="str">
            <v>Non-proportional</v>
          </cell>
          <cell r="S7965">
            <v>605.5</v>
          </cell>
          <cell r="X7965" t="str">
            <v>Commissions - gross</v>
          </cell>
          <cell r="Y7965" t="str">
            <v>FRANCE</v>
          </cell>
        </row>
        <row r="7966">
          <cell r="L7966" t="str">
            <v>Non-proportional</v>
          </cell>
          <cell r="S7966">
            <v>172.83</v>
          </cell>
          <cell r="X7966" t="str">
            <v>Commissions - gross</v>
          </cell>
          <cell r="Y7966" t="str">
            <v>JAPAN</v>
          </cell>
        </row>
        <row r="7967">
          <cell r="L7967" t="str">
            <v>Non-proportional</v>
          </cell>
          <cell r="S7967">
            <v>10933.04</v>
          </cell>
          <cell r="X7967" t="str">
            <v>Commissions - gross</v>
          </cell>
          <cell r="Y7967" t="str">
            <v>FRANCE</v>
          </cell>
        </row>
        <row r="7968">
          <cell r="L7968" t="str">
            <v>Non-proportional</v>
          </cell>
          <cell r="S7968">
            <v>1408.19</v>
          </cell>
          <cell r="X7968" t="str">
            <v>Commissions - gross</v>
          </cell>
          <cell r="Y7968" t="str">
            <v>ECUADOR</v>
          </cell>
        </row>
        <row r="7969">
          <cell r="L7969" t="str">
            <v>Non-proportional</v>
          </cell>
          <cell r="S7969">
            <v>911.53</v>
          </cell>
          <cell r="X7969" t="str">
            <v>Commissions - gross</v>
          </cell>
          <cell r="Y7969" t="str">
            <v>ISRAEL</v>
          </cell>
        </row>
        <row r="7970">
          <cell r="L7970" t="str">
            <v>Non-proportional</v>
          </cell>
          <cell r="S7970">
            <v>542.73</v>
          </cell>
          <cell r="X7970" t="str">
            <v>Commissions - gross</v>
          </cell>
          <cell r="Y7970" t="str">
            <v>PERU</v>
          </cell>
        </row>
        <row r="7971">
          <cell r="L7971" t="str">
            <v>Non-proportional</v>
          </cell>
          <cell r="S7971">
            <v>402.68</v>
          </cell>
          <cell r="X7971" t="str">
            <v>Commissions - gross</v>
          </cell>
          <cell r="Y7971" t="str">
            <v>COLOMBIA</v>
          </cell>
        </row>
        <row r="7972">
          <cell r="L7972" t="str">
            <v>Non-proportional</v>
          </cell>
          <cell r="S7972">
            <v>131.72999999999999</v>
          </cell>
          <cell r="X7972" t="str">
            <v>Commissions - gross</v>
          </cell>
          <cell r="Y7972" t="str">
            <v>JAPAN</v>
          </cell>
        </row>
        <row r="7973">
          <cell r="L7973" t="str">
            <v>Non-proportional</v>
          </cell>
          <cell r="S7973">
            <v>280.52</v>
          </cell>
          <cell r="X7973" t="str">
            <v>Commissions - gross</v>
          </cell>
          <cell r="Y7973" t="str">
            <v>REPUBLIC OF IRELAND</v>
          </cell>
        </row>
        <row r="7974">
          <cell r="L7974" t="str">
            <v>Non-proportional</v>
          </cell>
          <cell r="S7974">
            <v>-10342.540000000001</v>
          </cell>
          <cell r="X7974" t="str">
            <v>Commissions - gross</v>
          </cell>
          <cell r="Y7974" t="str">
            <v>PUERTO RICO</v>
          </cell>
        </row>
        <row r="7975">
          <cell r="L7975" t="str">
            <v>Non-proportional</v>
          </cell>
          <cell r="S7975">
            <v>182.58</v>
          </cell>
          <cell r="X7975" t="str">
            <v>Commissions - gross</v>
          </cell>
          <cell r="Y7975" t="str">
            <v>ISRAEL</v>
          </cell>
        </row>
        <row r="7976">
          <cell r="L7976" t="str">
            <v>Non-proportional</v>
          </cell>
          <cell r="S7976">
            <v>521.73</v>
          </cell>
          <cell r="X7976" t="str">
            <v>Commissions - gross</v>
          </cell>
          <cell r="Y7976" t="str">
            <v>UNITED KINGDOM</v>
          </cell>
        </row>
        <row r="7977">
          <cell r="L7977" t="str">
            <v>Non-proportional</v>
          </cell>
          <cell r="S7977">
            <v>918.75</v>
          </cell>
          <cell r="X7977" t="str">
            <v>Commissions - gross</v>
          </cell>
          <cell r="Y7977" t="str">
            <v>TURKEY</v>
          </cell>
        </row>
        <row r="7978">
          <cell r="L7978" t="str">
            <v>Non-proportional</v>
          </cell>
          <cell r="S7978">
            <v>175.57</v>
          </cell>
          <cell r="X7978" t="str">
            <v>Commissions - gross</v>
          </cell>
          <cell r="Y7978" t="str">
            <v>JAPAN</v>
          </cell>
        </row>
        <row r="7979">
          <cell r="L7979" t="str">
            <v>Non-proportional</v>
          </cell>
          <cell r="S7979">
            <v>-22.74</v>
          </cell>
          <cell r="X7979" t="str">
            <v>Commissions - gross</v>
          </cell>
          <cell r="Y7979" t="str">
            <v>COLOMBIA</v>
          </cell>
        </row>
        <row r="7980">
          <cell r="L7980" t="str">
            <v>Non-proportional</v>
          </cell>
          <cell r="S7980">
            <v>489.64</v>
          </cell>
          <cell r="X7980" t="str">
            <v>Commissions - gross</v>
          </cell>
          <cell r="Y7980" t="str">
            <v>DOMINICAN REPUBLIC</v>
          </cell>
        </row>
        <row r="7981">
          <cell r="L7981" t="str">
            <v>Proportional</v>
          </cell>
          <cell r="S7981">
            <v>-39.299999999999997</v>
          </cell>
          <cell r="X7981" t="str">
            <v>Commissions - gross</v>
          </cell>
          <cell r="Y7981" t="str">
            <v>UNITED STATES</v>
          </cell>
        </row>
        <row r="7982">
          <cell r="L7982" t="str">
            <v>Non-proportional</v>
          </cell>
          <cell r="S7982">
            <v>299.97000000000003</v>
          </cell>
          <cell r="X7982" t="str">
            <v>Commissions - gross</v>
          </cell>
          <cell r="Y7982" t="str">
            <v>NETHERLANDS</v>
          </cell>
        </row>
        <row r="7983">
          <cell r="L7983" t="str">
            <v>Non-proportional</v>
          </cell>
          <cell r="S7983">
            <v>247.2</v>
          </cell>
          <cell r="X7983" t="str">
            <v>Commissions - gross</v>
          </cell>
          <cell r="Y7983" t="str">
            <v>ISRAEL</v>
          </cell>
        </row>
        <row r="7984">
          <cell r="L7984" t="str">
            <v>Non-proportional</v>
          </cell>
          <cell r="S7984">
            <v>3947.42</v>
          </cell>
          <cell r="X7984" t="str">
            <v>Commissions - gross</v>
          </cell>
          <cell r="Y7984" t="str">
            <v>UNITED STATES</v>
          </cell>
        </row>
        <row r="7985">
          <cell r="L7985" t="str">
            <v>Non-proportional</v>
          </cell>
          <cell r="S7985">
            <v>325.67</v>
          </cell>
          <cell r="X7985" t="str">
            <v>Commissions - gross</v>
          </cell>
          <cell r="Y7985" t="str">
            <v>ECUADOR</v>
          </cell>
        </row>
        <row r="7986">
          <cell r="L7986" t="str">
            <v>Non-proportional</v>
          </cell>
          <cell r="S7986">
            <v>-2068.5700000000002</v>
          </cell>
          <cell r="X7986" t="str">
            <v>Commissions - gross</v>
          </cell>
          <cell r="Y7986" t="str">
            <v>THAILAND</v>
          </cell>
        </row>
        <row r="7987">
          <cell r="L7987" t="str">
            <v>Proportional</v>
          </cell>
          <cell r="S7987">
            <v>343.75</v>
          </cell>
          <cell r="X7987" t="str">
            <v>Commissions - gross</v>
          </cell>
          <cell r="Y7987" t="str">
            <v>ITALY</v>
          </cell>
        </row>
        <row r="7988">
          <cell r="L7988" t="str">
            <v>Non-proportional</v>
          </cell>
          <cell r="S7988">
            <v>365.34</v>
          </cell>
          <cell r="X7988" t="str">
            <v>Commissions - gross</v>
          </cell>
          <cell r="Y7988" t="str">
            <v>CHILE</v>
          </cell>
        </row>
        <row r="7989">
          <cell r="L7989" t="str">
            <v>Non-proportional</v>
          </cell>
          <cell r="S7989">
            <v>989.59</v>
          </cell>
          <cell r="X7989" t="str">
            <v>Commissions - gross</v>
          </cell>
          <cell r="Y7989" t="str">
            <v>PERU</v>
          </cell>
        </row>
        <row r="7990">
          <cell r="L7990" t="str">
            <v>Non-proportional</v>
          </cell>
          <cell r="S7990">
            <v>-22.38</v>
          </cell>
          <cell r="X7990" t="str">
            <v>Commissions - gross</v>
          </cell>
          <cell r="Y7990" t="str">
            <v>NEW ZEALAND</v>
          </cell>
        </row>
        <row r="7991">
          <cell r="L7991" t="str">
            <v>Non-proportional</v>
          </cell>
          <cell r="S7991">
            <v>-0.65</v>
          </cell>
          <cell r="X7991" t="str">
            <v>Commissions - gross</v>
          </cell>
          <cell r="Y7991" t="str">
            <v>JAPAN</v>
          </cell>
        </row>
        <row r="7992">
          <cell r="L7992" t="str">
            <v>Non-proportional</v>
          </cell>
          <cell r="S7992">
            <v>1072.83</v>
          </cell>
          <cell r="X7992" t="str">
            <v>Commissions - gross</v>
          </cell>
          <cell r="Y7992" t="str">
            <v>NEW ZEALAND</v>
          </cell>
        </row>
        <row r="7993">
          <cell r="L7993" t="str">
            <v>Non-proportional</v>
          </cell>
          <cell r="S7993">
            <v>11607.09</v>
          </cell>
          <cell r="X7993" t="str">
            <v>Commissions - gross</v>
          </cell>
          <cell r="Y7993" t="str">
            <v>AUSTRALIA</v>
          </cell>
        </row>
        <row r="7994">
          <cell r="L7994" t="str">
            <v>Non-proportional</v>
          </cell>
          <cell r="S7994">
            <v>721.88</v>
          </cell>
          <cell r="X7994" t="str">
            <v>Commissions - gross</v>
          </cell>
          <cell r="Y7994" t="str">
            <v>FRANCE</v>
          </cell>
        </row>
        <row r="7995">
          <cell r="L7995" t="str">
            <v>Non-proportional</v>
          </cell>
          <cell r="S7995">
            <v>-4.18</v>
          </cell>
          <cell r="X7995" t="str">
            <v>Commissions - gross</v>
          </cell>
          <cell r="Y7995" t="str">
            <v>NEW ZEALAND</v>
          </cell>
        </row>
        <row r="7996">
          <cell r="L7996" t="str">
            <v>Non-proportional</v>
          </cell>
          <cell r="S7996">
            <v>1205.6099999999999</v>
          </cell>
          <cell r="X7996" t="str">
            <v>Commissions - gross</v>
          </cell>
          <cell r="Y7996" t="str">
            <v>CHILE</v>
          </cell>
        </row>
        <row r="7997">
          <cell r="L7997" t="str">
            <v>Non-proportional</v>
          </cell>
          <cell r="S7997">
            <v>-3.19</v>
          </cell>
          <cell r="X7997" t="str">
            <v>Commissions - gross</v>
          </cell>
          <cell r="Y7997" t="str">
            <v>JAPAN</v>
          </cell>
        </row>
        <row r="7998">
          <cell r="L7998" t="str">
            <v>Non-proportional</v>
          </cell>
          <cell r="S7998">
            <v>208.23</v>
          </cell>
          <cell r="X7998" t="str">
            <v>Commissions - gross</v>
          </cell>
          <cell r="Y7998" t="str">
            <v>AUSTRALIA</v>
          </cell>
        </row>
        <row r="7999">
          <cell r="L7999" t="str">
            <v>Non-proportional</v>
          </cell>
          <cell r="S7999">
            <v>1852.65</v>
          </cell>
          <cell r="X7999" t="str">
            <v>Commissions - gross</v>
          </cell>
          <cell r="Y7999" t="str">
            <v>CHINA</v>
          </cell>
        </row>
        <row r="8000">
          <cell r="L8000" t="str">
            <v>Non-proportional</v>
          </cell>
          <cell r="S8000">
            <v>168.62</v>
          </cell>
          <cell r="X8000" t="str">
            <v>Commissions - gross</v>
          </cell>
          <cell r="Y8000" t="str">
            <v>JAPAN</v>
          </cell>
        </row>
        <row r="8001">
          <cell r="L8001" t="str">
            <v>Non-proportional</v>
          </cell>
          <cell r="S8001">
            <v>810.6</v>
          </cell>
          <cell r="X8001" t="str">
            <v>Commissions - gross</v>
          </cell>
          <cell r="Y8001" t="str">
            <v>NEW ZEALAND</v>
          </cell>
        </row>
        <row r="8002">
          <cell r="L8002" t="str">
            <v>Non-proportional</v>
          </cell>
          <cell r="S8002">
            <v>14.13</v>
          </cell>
          <cell r="X8002" t="str">
            <v>Commissions - gross</v>
          </cell>
          <cell r="Y8002" t="str">
            <v>ISRAEL</v>
          </cell>
        </row>
        <row r="8003">
          <cell r="L8003" t="str">
            <v>Non-proportional</v>
          </cell>
          <cell r="S8003">
            <v>-24.93</v>
          </cell>
          <cell r="X8003" t="str">
            <v>Commissions - gross</v>
          </cell>
          <cell r="Y8003" t="str">
            <v>NEW ZEALAND</v>
          </cell>
        </row>
        <row r="8004">
          <cell r="L8004" t="str">
            <v>Non-proportional</v>
          </cell>
          <cell r="S8004">
            <v>494.91</v>
          </cell>
          <cell r="X8004" t="str">
            <v>Commissions - gross</v>
          </cell>
          <cell r="Y8004" t="str">
            <v>NETHERLANDS</v>
          </cell>
        </row>
        <row r="8005">
          <cell r="L8005" t="str">
            <v>Non-proportional</v>
          </cell>
          <cell r="S8005">
            <v>-1.85</v>
          </cell>
          <cell r="X8005" t="str">
            <v>Commissions - gross</v>
          </cell>
          <cell r="Y8005" t="str">
            <v>JAPAN</v>
          </cell>
        </row>
        <row r="8006">
          <cell r="L8006" t="str">
            <v>Proportional</v>
          </cell>
          <cell r="S8006">
            <v>11.72</v>
          </cell>
          <cell r="X8006" t="str">
            <v>Commissions - gross</v>
          </cell>
          <cell r="Y8006" t="str">
            <v>UNITED STATES</v>
          </cell>
        </row>
        <row r="8007">
          <cell r="L8007" t="str">
            <v>Proportional</v>
          </cell>
          <cell r="S8007">
            <v>192.5</v>
          </cell>
          <cell r="X8007" t="str">
            <v>Commissions - gross</v>
          </cell>
          <cell r="Y8007" t="str">
            <v>FRANCE</v>
          </cell>
        </row>
        <row r="8008">
          <cell r="L8008" t="str">
            <v>Non-proportional</v>
          </cell>
          <cell r="S8008">
            <v>140.63</v>
          </cell>
          <cell r="X8008" t="str">
            <v>Commissions - gross</v>
          </cell>
          <cell r="Y8008" t="str">
            <v>GREECE</v>
          </cell>
        </row>
        <row r="8009">
          <cell r="L8009" t="str">
            <v>Non-proportional</v>
          </cell>
          <cell r="S8009">
            <v>879.49</v>
          </cell>
          <cell r="X8009" t="str">
            <v>Commissions - gross</v>
          </cell>
          <cell r="Y8009" t="str">
            <v>ISRAEL</v>
          </cell>
        </row>
        <row r="8010">
          <cell r="L8010" t="str">
            <v>Non-proportional</v>
          </cell>
          <cell r="S8010">
            <v>690.77</v>
          </cell>
          <cell r="X8010" t="str">
            <v>Commissions - gross</v>
          </cell>
          <cell r="Y8010" t="str">
            <v>GREECE</v>
          </cell>
        </row>
        <row r="8011">
          <cell r="L8011" t="str">
            <v>Non-proportional</v>
          </cell>
          <cell r="S8011">
            <v>337.99</v>
          </cell>
          <cell r="X8011" t="str">
            <v>Commissions - gross</v>
          </cell>
          <cell r="Y8011" t="str">
            <v>ISRAEL</v>
          </cell>
        </row>
        <row r="8012">
          <cell r="L8012" t="str">
            <v>Non-proportional</v>
          </cell>
          <cell r="S8012">
            <v>0</v>
          </cell>
          <cell r="X8012" t="str">
            <v>Commissions - gross</v>
          </cell>
          <cell r="Y8012" t="str">
            <v>COLOMBIA</v>
          </cell>
        </row>
        <row r="8013">
          <cell r="L8013" t="str">
            <v>Non-proportional</v>
          </cell>
          <cell r="S8013">
            <v>108.5</v>
          </cell>
          <cell r="X8013" t="str">
            <v>Commissions - gross</v>
          </cell>
          <cell r="Y8013" t="str">
            <v>SOUTH AFRICA</v>
          </cell>
        </row>
        <row r="8014">
          <cell r="L8014" t="str">
            <v>Non-proportional</v>
          </cell>
          <cell r="S8014">
            <v>-6.99</v>
          </cell>
          <cell r="X8014" t="str">
            <v>Commissions - gross</v>
          </cell>
          <cell r="Y8014" t="str">
            <v>JAPAN</v>
          </cell>
        </row>
        <row r="8015">
          <cell r="L8015" t="str">
            <v>Non-proportional</v>
          </cell>
          <cell r="S8015">
            <v>1049.99</v>
          </cell>
          <cell r="X8015" t="str">
            <v>Commissions - gross</v>
          </cell>
          <cell r="Y8015" t="str">
            <v>ITALY</v>
          </cell>
        </row>
        <row r="8016">
          <cell r="L8016" t="str">
            <v>Non-proportional</v>
          </cell>
          <cell r="S8016">
            <v>2019.75</v>
          </cell>
          <cell r="X8016" t="str">
            <v>Commissions - gross</v>
          </cell>
          <cell r="Y8016" t="str">
            <v>ITALY</v>
          </cell>
        </row>
        <row r="8017">
          <cell r="L8017" t="str">
            <v>Non-proportional</v>
          </cell>
          <cell r="S8017">
            <v>211.25</v>
          </cell>
          <cell r="X8017" t="str">
            <v>Commissions - gross</v>
          </cell>
          <cell r="Y8017" t="str">
            <v>UNITED KINGDOM</v>
          </cell>
        </row>
        <row r="8018">
          <cell r="L8018" t="str">
            <v>Non-proportional</v>
          </cell>
          <cell r="S8018">
            <v>632.29</v>
          </cell>
          <cell r="X8018" t="str">
            <v>Commissions - gross</v>
          </cell>
          <cell r="Y8018" t="str">
            <v>PERU</v>
          </cell>
        </row>
        <row r="8019">
          <cell r="L8019" t="str">
            <v>Non-proportional</v>
          </cell>
          <cell r="S8019">
            <v>187.71</v>
          </cell>
          <cell r="X8019" t="str">
            <v>Commissions - gross</v>
          </cell>
          <cell r="Y8019" t="str">
            <v>JAPAN</v>
          </cell>
        </row>
        <row r="8020">
          <cell r="L8020" t="str">
            <v>Non-proportional</v>
          </cell>
          <cell r="S8020">
            <v>96.18</v>
          </cell>
          <cell r="X8020" t="str">
            <v>Commissions - gross</v>
          </cell>
          <cell r="Y8020" t="str">
            <v>PERU</v>
          </cell>
        </row>
        <row r="8021">
          <cell r="L8021" t="str">
            <v>Non-proportional</v>
          </cell>
          <cell r="S8021">
            <v>297.86</v>
          </cell>
          <cell r="X8021" t="str">
            <v>Commissions - gross</v>
          </cell>
          <cell r="Y8021" t="str">
            <v>ECUADOR</v>
          </cell>
        </row>
        <row r="8022">
          <cell r="L8022" t="str">
            <v>Non-proportional</v>
          </cell>
          <cell r="S8022">
            <v>409.5</v>
          </cell>
          <cell r="X8022" t="str">
            <v>Commissions - gross</v>
          </cell>
          <cell r="Y8022" t="str">
            <v>FRANCE</v>
          </cell>
        </row>
        <row r="8023">
          <cell r="L8023" t="str">
            <v>Non-proportional</v>
          </cell>
          <cell r="S8023">
            <v>917.84</v>
          </cell>
          <cell r="X8023" t="str">
            <v>Commissions - gross</v>
          </cell>
          <cell r="Y8023" t="str">
            <v>FRANCE</v>
          </cell>
        </row>
        <row r="8024">
          <cell r="L8024" t="str">
            <v>Non-proportional</v>
          </cell>
          <cell r="S8024">
            <v>20.190000000000001</v>
          </cell>
          <cell r="X8024" t="str">
            <v>Commissions - gross</v>
          </cell>
          <cell r="Y8024" t="str">
            <v>JAPAN</v>
          </cell>
        </row>
        <row r="8025">
          <cell r="L8025" t="str">
            <v>Non-proportional</v>
          </cell>
          <cell r="S8025">
            <v>44244.7</v>
          </cell>
          <cell r="X8025" t="str">
            <v>Commissions - gross</v>
          </cell>
          <cell r="Y8025" t="str">
            <v>UNITED KINGDOM</v>
          </cell>
        </row>
        <row r="8026">
          <cell r="L8026" t="str">
            <v>Non-proportional</v>
          </cell>
          <cell r="S8026">
            <v>-5.88</v>
          </cell>
          <cell r="X8026" t="str">
            <v>Commissions - gross</v>
          </cell>
          <cell r="Y8026" t="str">
            <v>JAPAN</v>
          </cell>
        </row>
        <row r="8027">
          <cell r="L8027" t="str">
            <v>Non-proportional</v>
          </cell>
          <cell r="S8027">
            <v>607.47</v>
          </cell>
          <cell r="X8027" t="str">
            <v>Commissions - gross</v>
          </cell>
          <cell r="Y8027" t="str">
            <v>SPAIN</v>
          </cell>
        </row>
        <row r="8028">
          <cell r="L8028" t="str">
            <v>Non-proportional</v>
          </cell>
          <cell r="S8028">
            <v>376.43</v>
          </cell>
          <cell r="X8028" t="str">
            <v>Commissions - gross</v>
          </cell>
          <cell r="Y8028" t="str">
            <v>THAILAND</v>
          </cell>
        </row>
        <row r="8029">
          <cell r="L8029" t="str">
            <v>Non-proportional</v>
          </cell>
          <cell r="S8029">
            <v>962.85</v>
          </cell>
          <cell r="X8029" t="str">
            <v>Commissions - gross</v>
          </cell>
          <cell r="Y8029" t="str">
            <v>UNITED KINGDOM</v>
          </cell>
        </row>
        <row r="8030">
          <cell r="L8030" t="str">
            <v>Non-proportional</v>
          </cell>
          <cell r="S8030">
            <v>306.85000000000002</v>
          </cell>
          <cell r="X8030" t="str">
            <v>Commissions - gross</v>
          </cell>
          <cell r="Y8030" t="str">
            <v>DOMINICAN REPUBLIC</v>
          </cell>
        </row>
        <row r="8031">
          <cell r="L8031" t="str">
            <v>Proportional</v>
          </cell>
          <cell r="S8031">
            <v>212.14</v>
          </cell>
          <cell r="X8031" t="str">
            <v>Commissions - gross</v>
          </cell>
          <cell r="Y8031" t="str">
            <v>EUROPE</v>
          </cell>
        </row>
        <row r="8032">
          <cell r="L8032" t="str">
            <v>Non-proportional</v>
          </cell>
          <cell r="S8032">
            <v>128.74</v>
          </cell>
          <cell r="X8032" t="str">
            <v>Commissions - gross</v>
          </cell>
          <cell r="Y8032" t="str">
            <v>ISRAEL</v>
          </cell>
        </row>
        <row r="8033">
          <cell r="L8033" t="str">
            <v>Non-proportional</v>
          </cell>
          <cell r="S8033">
            <v>-4260.83</v>
          </cell>
          <cell r="X8033" t="str">
            <v>Commissions - gross</v>
          </cell>
          <cell r="Y8033" t="str">
            <v>CHINA</v>
          </cell>
        </row>
        <row r="8034">
          <cell r="L8034" t="str">
            <v>Non-proportional</v>
          </cell>
          <cell r="S8034">
            <v>200.81</v>
          </cell>
          <cell r="X8034" t="str">
            <v>Commissions - gross</v>
          </cell>
          <cell r="Y8034" t="str">
            <v>GUATEMALA</v>
          </cell>
        </row>
        <row r="8035">
          <cell r="L8035" t="str">
            <v>Non-proportional</v>
          </cell>
          <cell r="S8035">
            <v>391.73</v>
          </cell>
          <cell r="X8035" t="str">
            <v>Commissions - gross</v>
          </cell>
          <cell r="Y8035" t="str">
            <v>ITALY</v>
          </cell>
        </row>
        <row r="8036">
          <cell r="L8036" t="str">
            <v>Non-proportional</v>
          </cell>
          <cell r="S8036">
            <v>117.23</v>
          </cell>
          <cell r="X8036" t="str">
            <v>Commissions - gross</v>
          </cell>
          <cell r="Y8036" t="str">
            <v>FRANCE</v>
          </cell>
        </row>
        <row r="8037">
          <cell r="L8037" t="str">
            <v>Non-proportional</v>
          </cell>
          <cell r="S8037">
            <v>40024.51</v>
          </cell>
          <cell r="X8037" t="str">
            <v>Commissions - gross</v>
          </cell>
          <cell r="Y8037" t="str">
            <v>UNITED KINGDOM</v>
          </cell>
        </row>
        <row r="8038">
          <cell r="L8038" t="str">
            <v>Non-proportional</v>
          </cell>
          <cell r="S8038">
            <v>-0.56999999999999995</v>
          </cell>
          <cell r="X8038" t="str">
            <v>Commissions - gross</v>
          </cell>
          <cell r="Y8038" t="str">
            <v>GUATEMALA</v>
          </cell>
        </row>
        <row r="8039">
          <cell r="L8039" t="str">
            <v>Non-proportional</v>
          </cell>
          <cell r="S8039">
            <v>850.59</v>
          </cell>
          <cell r="X8039" t="str">
            <v>Commissions - gross</v>
          </cell>
          <cell r="Y8039" t="str">
            <v>AUSTRALIA</v>
          </cell>
        </row>
        <row r="8040">
          <cell r="L8040" t="str">
            <v>Non-proportional</v>
          </cell>
          <cell r="S8040">
            <v>480.71</v>
          </cell>
          <cell r="X8040" t="str">
            <v>Commissions - gross</v>
          </cell>
          <cell r="Y8040" t="str">
            <v>PERU</v>
          </cell>
        </row>
        <row r="8041">
          <cell r="L8041" t="str">
            <v>Non-proportional</v>
          </cell>
          <cell r="S8041">
            <v>88.04</v>
          </cell>
          <cell r="X8041" t="str">
            <v>Commissions - gross</v>
          </cell>
          <cell r="Y8041" t="str">
            <v>COSTA RICA</v>
          </cell>
        </row>
        <row r="8042">
          <cell r="L8042" t="str">
            <v>Non-proportional</v>
          </cell>
          <cell r="S8042">
            <v>173.88</v>
          </cell>
          <cell r="X8042" t="str">
            <v>Commissions - gross</v>
          </cell>
          <cell r="Y8042" t="str">
            <v>ECUADOR</v>
          </cell>
        </row>
        <row r="8043">
          <cell r="L8043" t="str">
            <v>Non-proportional</v>
          </cell>
          <cell r="S8043">
            <v>89.89</v>
          </cell>
          <cell r="X8043" t="str">
            <v>Commissions - gross</v>
          </cell>
          <cell r="Y8043" t="str">
            <v>FRANCE</v>
          </cell>
        </row>
        <row r="8044">
          <cell r="L8044" t="str">
            <v>Non-proportional</v>
          </cell>
          <cell r="S8044">
            <v>4.54</v>
          </cell>
          <cell r="X8044" t="str">
            <v>Commissions - gross</v>
          </cell>
          <cell r="Y8044" t="str">
            <v>COLOMBIA</v>
          </cell>
        </row>
        <row r="8045">
          <cell r="L8045" t="str">
            <v>Non-proportional</v>
          </cell>
          <cell r="S8045">
            <v>1417.42</v>
          </cell>
          <cell r="X8045" t="str">
            <v>Commissions - gross</v>
          </cell>
          <cell r="Y8045" t="str">
            <v>ISRAEL</v>
          </cell>
        </row>
        <row r="8046">
          <cell r="L8046" t="str">
            <v>Non-proportional</v>
          </cell>
          <cell r="S8046">
            <v>185.19</v>
          </cell>
          <cell r="X8046" t="str">
            <v>Commissions - gross</v>
          </cell>
          <cell r="Y8046" t="str">
            <v>PERU</v>
          </cell>
        </row>
        <row r="8047">
          <cell r="L8047" t="str">
            <v>Non-proportional</v>
          </cell>
          <cell r="S8047">
            <v>2884.86</v>
          </cell>
          <cell r="X8047" t="str">
            <v>Commissions - gross</v>
          </cell>
          <cell r="Y8047" t="str">
            <v>FRANCE</v>
          </cell>
        </row>
        <row r="8048">
          <cell r="L8048" t="str">
            <v>Non-proportional</v>
          </cell>
          <cell r="S8048">
            <v>497.15</v>
          </cell>
          <cell r="X8048" t="str">
            <v>Commissions - gross</v>
          </cell>
          <cell r="Y8048" t="str">
            <v>EUROPE</v>
          </cell>
        </row>
        <row r="8049">
          <cell r="L8049" t="str">
            <v>Non-proportional</v>
          </cell>
          <cell r="S8049">
            <v>16.75</v>
          </cell>
          <cell r="X8049" t="str">
            <v>Commissions - gross</v>
          </cell>
          <cell r="Y8049" t="str">
            <v>FRANCE</v>
          </cell>
        </row>
        <row r="8050">
          <cell r="L8050" t="str">
            <v>Proportional</v>
          </cell>
          <cell r="S8050">
            <v>-2.91</v>
          </cell>
          <cell r="X8050" t="str">
            <v>Commissions - gross</v>
          </cell>
          <cell r="Y8050" t="str">
            <v>UNITED STATES</v>
          </cell>
        </row>
        <row r="8051">
          <cell r="L8051" t="str">
            <v>Proportional</v>
          </cell>
          <cell r="S8051">
            <v>36.53</v>
          </cell>
          <cell r="X8051" t="str">
            <v>Commissions - gross</v>
          </cell>
          <cell r="Y8051" t="str">
            <v>CHILE</v>
          </cell>
        </row>
        <row r="8052">
          <cell r="L8052" t="str">
            <v>Non-proportional</v>
          </cell>
          <cell r="S8052">
            <v>262.07</v>
          </cell>
          <cell r="X8052" t="str">
            <v>Commissions - gross</v>
          </cell>
          <cell r="Y8052" t="str">
            <v>ECUADOR</v>
          </cell>
        </row>
        <row r="8053">
          <cell r="L8053" t="str">
            <v>Non-proportional</v>
          </cell>
          <cell r="S8053">
            <v>418.59</v>
          </cell>
          <cell r="X8053" t="str">
            <v>Commissions - gross</v>
          </cell>
          <cell r="Y8053" t="str">
            <v>FRANCE</v>
          </cell>
        </row>
        <row r="8054">
          <cell r="L8054" t="str">
            <v>Non-proportional</v>
          </cell>
          <cell r="S8054">
            <v>0</v>
          </cell>
          <cell r="X8054" t="str">
            <v>Commissions - gross</v>
          </cell>
          <cell r="Y8054" t="str">
            <v>DOMINICAN REPUBLIC</v>
          </cell>
        </row>
        <row r="8055">
          <cell r="L8055" t="str">
            <v>Non-proportional</v>
          </cell>
          <cell r="S8055">
            <v>0</v>
          </cell>
          <cell r="X8055" t="str">
            <v>Commissions - gross</v>
          </cell>
          <cell r="Y8055" t="str">
            <v>DOMINICAN REPUBLIC</v>
          </cell>
        </row>
        <row r="8056">
          <cell r="L8056" t="str">
            <v>Non-proportional</v>
          </cell>
          <cell r="S8056">
            <v>880.64</v>
          </cell>
          <cell r="X8056" t="str">
            <v>Commissions - gross</v>
          </cell>
          <cell r="Y8056" t="str">
            <v>AUSTRALIA</v>
          </cell>
        </row>
        <row r="8057">
          <cell r="L8057" t="str">
            <v>Non-proportional</v>
          </cell>
          <cell r="S8057">
            <v>2477.34</v>
          </cell>
          <cell r="X8057" t="str">
            <v>Commissions - gross</v>
          </cell>
          <cell r="Y8057" t="str">
            <v>NEW ZEALAND</v>
          </cell>
        </row>
        <row r="8058">
          <cell r="L8058" t="str">
            <v>Non-proportional</v>
          </cell>
          <cell r="S8058">
            <v>3373.51</v>
          </cell>
          <cell r="X8058" t="str">
            <v>Commissions - gross</v>
          </cell>
          <cell r="Y8058" t="str">
            <v>UNITED KINGDOM</v>
          </cell>
        </row>
        <row r="8059">
          <cell r="L8059" t="str">
            <v>Non-proportional</v>
          </cell>
          <cell r="S8059">
            <v>133.03</v>
          </cell>
          <cell r="X8059" t="str">
            <v>Commissions - gross</v>
          </cell>
          <cell r="Y8059" t="str">
            <v>FRANCE</v>
          </cell>
        </row>
        <row r="8060">
          <cell r="L8060" t="str">
            <v>Non-proportional</v>
          </cell>
          <cell r="S8060">
            <v>217.98</v>
          </cell>
          <cell r="X8060" t="str">
            <v>Commissions - gross</v>
          </cell>
          <cell r="Y8060" t="str">
            <v>FRANCE</v>
          </cell>
        </row>
        <row r="8061">
          <cell r="L8061" t="str">
            <v>Non-proportional</v>
          </cell>
          <cell r="S8061">
            <v>-9.59</v>
          </cell>
          <cell r="X8061" t="str">
            <v>Commissions - gross</v>
          </cell>
          <cell r="Y8061" t="str">
            <v>JAPAN</v>
          </cell>
        </row>
        <row r="8062">
          <cell r="L8062" t="str">
            <v>Non-proportional</v>
          </cell>
          <cell r="S8062">
            <v>-11.81</v>
          </cell>
          <cell r="X8062" t="str">
            <v>Commissions - gross</v>
          </cell>
          <cell r="Y8062" t="str">
            <v>JAPAN</v>
          </cell>
        </row>
        <row r="8063">
          <cell r="L8063" t="str">
            <v>Non-proportional</v>
          </cell>
          <cell r="S8063">
            <v>8602.2099999999991</v>
          </cell>
          <cell r="X8063" t="str">
            <v>Commissions - gross</v>
          </cell>
          <cell r="Y8063" t="str">
            <v>UNITED KINGDOM</v>
          </cell>
        </row>
        <row r="8064">
          <cell r="L8064" t="str">
            <v>Non-proportional</v>
          </cell>
          <cell r="S8064">
            <v>0.67</v>
          </cell>
          <cell r="X8064" t="str">
            <v>Commissions - gross</v>
          </cell>
          <cell r="Y8064" t="str">
            <v>COSTA RICA</v>
          </cell>
        </row>
        <row r="8065">
          <cell r="L8065" t="str">
            <v>Non-proportional</v>
          </cell>
          <cell r="S8065">
            <v>54.69</v>
          </cell>
          <cell r="X8065" t="str">
            <v>Commissions - gross</v>
          </cell>
          <cell r="Y8065" t="str">
            <v>ITALY</v>
          </cell>
        </row>
        <row r="8066">
          <cell r="L8066" t="str">
            <v>Non-proportional</v>
          </cell>
          <cell r="S8066">
            <v>500.11</v>
          </cell>
          <cell r="X8066" t="str">
            <v>Commissions - gross</v>
          </cell>
          <cell r="Y8066" t="str">
            <v>ITALY</v>
          </cell>
        </row>
        <row r="8067">
          <cell r="L8067" t="str">
            <v>Non-proportional</v>
          </cell>
          <cell r="S8067">
            <v>80</v>
          </cell>
          <cell r="X8067" t="str">
            <v>Commissions - gross</v>
          </cell>
          <cell r="Y8067" t="str">
            <v>ITALY</v>
          </cell>
        </row>
        <row r="8068">
          <cell r="L8068" t="str">
            <v>Non-proportional</v>
          </cell>
          <cell r="S8068">
            <v>-8</v>
          </cell>
          <cell r="X8068" t="str">
            <v>Commissions - gross</v>
          </cell>
          <cell r="Y8068" t="str">
            <v>COLOMBIA</v>
          </cell>
        </row>
        <row r="8069">
          <cell r="L8069" t="str">
            <v>Non-proportional</v>
          </cell>
          <cell r="S8069">
            <v>-5.45</v>
          </cell>
          <cell r="X8069" t="str">
            <v>Commissions - gross</v>
          </cell>
          <cell r="Y8069" t="str">
            <v>JAPAN</v>
          </cell>
        </row>
        <row r="8070">
          <cell r="L8070" t="str">
            <v>Non-proportional</v>
          </cell>
          <cell r="S8070">
            <v>293.70999999999998</v>
          </cell>
          <cell r="X8070" t="str">
            <v>Commissions - gross</v>
          </cell>
          <cell r="Y8070" t="str">
            <v>NETHERLANDS</v>
          </cell>
        </row>
        <row r="8071">
          <cell r="L8071" t="str">
            <v>Non-proportional</v>
          </cell>
          <cell r="S8071">
            <v>843.07</v>
          </cell>
          <cell r="X8071" t="str">
            <v>Commissions - gross</v>
          </cell>
          <cell r="Y8071" t="str">
            <v>JAPAN</v>
          </cell>
        </row>
        <row r="8072">
          <cell r="L8072" t="str">
            <v>Non-proportional</v>
          </cell>
          <cell r="S8072">
            <v>4.1500000000000004</v>
          </cell>
          <cell r="X8072" t="str">
            <v>Commissions - gross</v>
          </cell>
          <cell r="Y8072" t="str">
            <v>ISRAEL</v>
          </cell>
        </row>
        <row r="8073">
          <cell r="L8073" t="str">
            <v>Non-proportional</v>
          </cell>
          <cell r="S8073">
            <v>120.22</v>
          </cell>
          <cell r="X8073" t="str">
            <v>Commissions - gross</v>
          </cell>
          <cell r="Y8073" t="str">
            <v>REPUBLIC OF IRELAND</v>
          </cell>
        </row>
        <row r="8074">
          <cell r="L8074" t="str">
            <v>Non-proportional</v>
          </cell>
          <cell r="S8074">
            <v>160098</v>
          </cell>
          <cell r="X8074" t="str">
            <v>Commissions - gross</v>
          </cell>
          <cell r="Y8074" t="str">
            <v>UNITED KINGDOM</v>
          </cell>
        </row>
        <row r="8075">
          <cell r="L8075" t="str">
            <v>Non-proportional</v>
          </cell>
          <cell r="S8075">
            <v>956.93</v>
          </cell>
          <cell r="X8075" t="str">
            <v>Commissions - gross</v>
          </cell>
          <cell r="Y8075" t="str">
            <v>AUSTRALIA</v>
          </cell>
        </row>
        <row r="8076">
          <cell r="L8076" t="str">
            <v>Non-proportional</v>
          </cell>
          <cell r="S8076">
            <v>187.96</v>
          </cell>
          <cell r="X8076" t="str">
            <v>Commissions - gross</v>
          </cell>
          <cell r="Y8076" t="str">
            <v>NEW ZEALAND</v>
          </cell>
        </row>
        <row r="8077">
          <cell r="L8077" t="str">
            <v>Non-proportional</v>
          </cell>
          <cell r="S8077">
            <v>158.74</v>
          </cell>
          <cell r="X8077" t="str">
            <v>Commissions - gross</v>
          </cell>
          <cell r="Y8077" t="str">
            <v>ITALY</v>
          </cell>
        </row>
        <row r="8078">
          <cell r="L8078" t="str">
            <v>Non-proportional</v>
          </cell>
          <cell r="S8078">
            <v>176.79</v>
          </cell>
          <cell r="X8078" t="str">
            <v>Commissions - gross</v>
          </cell>
          <cell r="Y8078" t="str">
            <v>ECUADOR</v>
          </cell>
        </row>
        <row r="8079">
          <cell r="L8079" t="str">
            <v>Non-proportional</v>
          </cell>
          <cell r="S8079">
            <v>968.18</v>
          </cell>
          <cell r="X8079" t="str">
            <v>Commissions - gross</v>
          </cell>
          <cell r="Y8079" t="str">
            <v>ECUADOR</v>
          </cell>
        </row>
        <row r="8080">
          <cell r="L8080" t="str">
            <v>Non-proportional</v>
          </cell>
          <cell r="S8080">
            <v>14077.86</v>
          </cell>
          <cell r="X8080" t="str">
            <v>Commissions - gross</v>
          </cell>
          <cell r="Y8080" t="str">
            <v>UNITED KINGDOM</v>
          </cell>
        </row>
        <row r="8081">
          <cell r="L8081" t="str">
            <v>Non-proportional</v>
          </cell>
          <cell r="S8081">
            <v>875</v>
          </cell>
          <cell r="X8081" t="str">
            <v>Commissions - gross</v>
          </cell>
          <cell r="Y8081" t="str">
            <v>EUROPE</v>
          </cell>
        </row>
        <row r="8082">
          <cell r="L8082" t="str">
            <v>Non-proportional</v>
          </cell>
          <cell r="S8082">
            <v>-1779.58</v>
          </cell>
          <cell r="X8082" t="str">
            <v>Commissions - gross</v>
          </cell>
          <cell r="Y8082" t="str">
            <v>THAILAND</v>
          </cell>
        </row>
        <row r="8083">
          <cell r="L8083" t="str">
            <v>Non-proportional</v>
          </cell>
          <cell r="S8083">
            <v>260.39999999999998</v>
          </cell>
          <cell r="X8083" t="str">
            <v>Commissions - gross</v>
          </cell>
          <cell r="Y8083" t="str">
            <v>SOUTH AFRICA</v>
          </cell>
        </row>
        <row r="8084">
          <cell r="L8084" t="str">
            <v>Non-proportional</v>
          </cell>
          <cell r="S8084">
            <v>-11.86</v>
          </cell>
          <cell r="X8084" t="str">
            <v>Commissions - gross</v>
          </cell>
          <cell r="Y8084" t="str">
            <v>JAPAN</v>
          </cell>
        </row>
        <row r="8085">
          <cell r="L8085" t="str">
            <v>Non-proportional</v>
          </cell>
          <cell r="S8085">
            <v>-0.23</v>
          </cell>
          <cell r="X8085" t="str">
            <v>Commissions - gross</v>
          </cell>
          <cell r="Y8085" t="str">
            <v>GUATEMALA</v>
          </cell>
        </row>
        <row r="8086">
          <cell r="L8086" t="str">
            <v>Non-proportional</v>
          </cell>
          <cell r="S8086">
            <v>3354.73</v>
          </cell>
          <cell r="X8086" t="str">
            <v>Commissions - gross</v>
          </cell>
          <cell r="Y8086" t="str">
            <v>NEW ZEALAND</v>
          </cell>
        </row>
        <row r="8087">
          <cell r="L8087" t="str">
            <v>Non-proportional</v>
          </cell>
          <cell r="S8087">
            <v>840.27</v>
          </cell>
          <cell r="X8087" t="str">
            <v>Commissions - gross</v>
          </cell>
          <cell r="Y8087" t="str">
            <v>CHILE</v>
          </cell>
        </row>
        <row r="8088">
          <cell r="L8088" t="str">
            <v>Non-proportional</v>
          </cell>
          <cell r="S8088">
            <v>137</v>
          </cell>
          <cell r="X8088" t="str">
            <v>Commissions - gross</v>
          </cell>
          <cell r="Y8088" t="str">
            <v>JAPAN</v>
          </cell>
        </row>
        <row r="8089">
          <cell r="L8089" t="str">
            <v>Non-proportional</v>
          </cell>
          <cell r="S8089">
            <v>823.83</v>
          </cell>
          <cell r="X8089" t="str">
            <v>Commissions - gross</v>
          </cell>
          <cell r="Y8089" t="str">
            <v>ITALY</v>
          </cell>
        </row>
        <row r="8090">
          <cell r="L8090" t="str">
            <v>Non-proportional</v>
          </cell>
          <cell r="S8090">
            <v>4441.59</v>
          </cell>
          <cell r="X8090" t="str">
            <v>Commissions - gross</v>
          </cell>
          <cell r="Y8090" t="str">
            <v>UNITED KINGDOM</v>
          </cell>
        </row>
        <row r="8091">
          <cell r="L8091" t="str">
            <v>Non-proportional</v>
          </cell>
          <cell r="S8091">
            <v>-8.16</v>
          </cell>
          <cell r="X8091" t="str">
            <v>Commissions - gross</v>
          </cell>
          <cell r="Y8091" t="str">
            <v>DOMINICAN REPUBLIC</v>
          </cell>
        </row>
        <row r="8092">
          <cell r="L8092" t="str">
            <v>Non-proportional</v>
          </cell>
          <cell r="S8092">
            <v>1262.51</v>
          </cell>
          <cell r="X8092" t="str">
            <v>Commissions - gross</v>
          </cell>
          <cell r="Y8092" t="str">
            <v>BELGIUM</v>
          </cell>
        </row>
        <row r="8093">
          <cell r="L8093" t="str">
            <v>Non-proportional</v>
          </cell>
          <cell r="S8093">
            <v>202.99</v>
          </cell>
          <cell r="X8093" t="str">
            <v>Commissions - gross</v>
          </cell>
          <cell r="Y8093" t="str">
            <v>CYPRUS</v>
          </cell>
        </row>
        <row r="8094">
          <cell r="L8094" t="str">
            <v>Non-proportional</v>
          </cell>
          <cell r="S8094">
            <v>3000</v>
          </cell>
          <cell r="X8094" t="str">
            <v>Commissions - gross</v>
          </cell>
          <cell r="Y8094" t="str">
            <v>FRANCE</v>
          </cell>
        </row>
        <row r="8095">
          <cell r="L8095" t="str">
            <v>Non-proportional</v>
          </cell>
          <cell r="S8095">
            <v>1.1200000000000001</v>
          </cell>
          <cell r="X8095" t="str">
            <v>Commissions - gross</v>
          </cell>
          <cell r="Y8095" t="str">
            <v>ISRAEL</v>
          </cell>
        </row>
        <row r="8096">
          <cell r="L8096" t="str">
            <v>Non-proportional</v>
          </cell>
          <cell r="S8096">
            <v>40.61</v>
          </cell>
          <cell r="X8096" t="str">
            <v>Commissions - gross</v>
          </cell>
          <cell r="Y8096" t="str">
            <v>COLOMBIA</v>
          </cell>
        </row>
        <row r="8097">
          <cell r="L8097" t="str">
            <v>Non-proportional</v>
          </cell>
          <cell r="S8097">
            <v>-7682.38</v>
          </cell>
          <cell r="X8097" t="str">
            <v>Commissions - gross</v>
          </cell>
          <cell r="Y8097" t="str">
            <v>GERMANY</v>
          </cell>
        </row>
        <row r="8098">
          <cell r="L8098" t="str">
            <v>Non-proportional</v>
          </cell>
          <cell r="S8098">
            <v>-8.39</v>
          </cell>
          <cell r="X8098" t="str">
            <v>Commissions - gross</v>
          </cell>
          <cell r="Y8098" t="str">
            <v>JAPAN</v>
          </cell>
        </row>
        <row r="8099">
          <cell r="L8099" t="str">
            <v>Non-proportional</v>
          </cell>
          <cell r="S8099">
            <v>222.43</v>
          </cell>
          <cell r="X8099" t="str">
            <v>Commissions - gross</v>
          </cell>
          <cell r="Y8099" t="str">
            <v>ECUADOR</v>
          </cell>
        </row>
        <row r="8100">
          <cell r="L8100" t="str">
            <v>Non-proportional</v>
          </cell>
          <cell r="S8100">
            <v>119560.37</v>
          </cell>
          <cell r="X8100" t="str">
            <v>Commissions - gross</v>
          </cell>
          <cell r="Y8100" t="str">
            <v>UNITED KINGDOM</v>
          </cell>
        </row>
        <row r="8101">
          <cell r="L8101" t="str">
            <v>Non-proportional</v>
          </cell>
          <cell r="S8101">
            <v>699.78</v>
          </cell>
          <cell r="X8101" t="str">
            <v>Commissions - gross</v>
          </cell>
          <cell r="Y8101" t="str">
            <v>POLAND</v>
          </cell>
        </row>
        <row r="8102">
          <cell r="L8102" t="str">
            <v>Non-proportional</v>
          </cell>
          <cell r="S8102">
            <v>991.57</v>
          </cell>
          <cell r="X8102" t="str">
            <v>Commissions - gross</v>
          </cell>
          <cell r="Y8102" t="str">
            <v>NETHERLANDS</v>
          </cell>
        </row>
        <row r="8103">
          <cell r="L8103" t="str">
            <v>Non-proportional</v>
          </cell>
          <cell r="S8103">
            <v>268.76</v>
          </cell>
          <cell r="X8103" t="str">
            <v>Commissions - gross</v>
          </cell>
          <cell r="Y8103" t="str">
            <v>UNITED ARAB EMIRATES</v>
          </cell>
        </row>
        <row r="8104">
          <cell r="L8104" t="str">
            <v>Non-proportional</v>
          </cell>
          <cell r="S8104">
            <v>1070.71</v>
          </cell>
          <cell r="X8104" t="str">
            <v>Commissions - gross</v>
          </cell>
          <cell r="Y8104" t="str">
            <v>FRANCE</v>
          </cell>
        </row>
        <row r="8105">
          <cell r="L8105" t="str">
            <v>Non-proportional</v>
          </cell>
          <cell r="S8105">
            <v>76.680000000000007</v>
          </cell>
          <cell r="X8105" t="str">
            <v>Commissions - gross</v>
          </cell>
          <cell r="Y8105" t="str">
            <v>BRAZIL</v>
          </cell>
        </row>
        <row r="8106">
          <cell r="L8106" t="str">
            <v>Non-proportional</v>
          </cell>
          <cell r="S8106">
            <v>-2479.2399999999998</v>
          </cell>
          <cell r="X8106" t="str">
            <v>Commissions - gross</v>
          </cell>
          <cell r="Y8106" t="str">
            <v>THAILAND</v>
          </cell>
        </row>
        <row r="8107">
          <cell r="L8107" t="str">
            <v>Non-proportional</v>
          </cell>
          <cell r="S8107">
            <v>-9.75</v>
          </cell>
          <cell r="X8107" t="str">
            <v>Commissions - gross</v>
          </cell>
          <cell r="Y8107" t="str">
            <v>JAPAN</v>
          </cell>
        </row>
        <row r="8108">
          <cell r="L8108" t="str">
            <v>Non-proportional</v>
          </cell>
          <cell r="S8108">
            <v>700.32</v>
          </cell>
          <cell r="X8108" t="str">
            <v>Commissions - gross</v>
          </cell>
          <cell r="Y8108" t="str">
            <v>UNITED KINGDOM</v>
          </cell>
        </row>
        <row r="8109">
          <cell r="L8109" t="str">
            <v>Non-proportional</v>
          </cell>
          <cell r="S8109">
            <v>104.48</v>
          </cell>
          <cell r="X8109" t="str">
            <v>Commissions - gross</v>
          </cell>
          <cell r="Y8109" t="str">
            <v>CYPRUS</v>
          </cell>
        </row>
        <row r="8110">
          <cell r="L8110" t="str">
            <v>Non-proportional</v>
          </cell>
          <cell r="S8110">
            <v>665.89</v>
          </cell>
          <cell r="X8110" t="str">
            <v>Commissions - gross</v>
          </cell>
          <cell r="Y8110" t="str">
            <v>CYPRUS</v>
          </cell>
        </row>
        <row r="8111">
          <cell r="L8111" t="str">
            <v>Non-proportional</v>
          </cell>
          <cell r="S8111">
            <v>232.49</v>
          </cell>
          <cell r="X8111" t="str">
            <v>Commissions - gross</v>
          </cell>
          <cell r="Y8111" t="str">
            <v>ECUADOR</v>
          </cell>
        </row>
        <row r="8112">
          <cell r="L8112" t="str">
            <v>Non-proportional</v>
          </cell>
          <cell r="S8112">
            <v>-14.71</v>
          </cell>
          <cell r="X8112" t="str">
            <v>Commissions - gross</v>
          </cell>
          <cell r="Y8112" t="str">
            <v>TURKEY</v>
          </cell>
        </row>
        <row r="8113">
          <cell r="L8113" t="str">
            <v>Non-proportional</v>
          </cell>
          <cell r="S8113">
            <v>69.86</v>
          </cell>
          <cell r="X8113" t="str">
            <v>Commissions - gross</v>
          </cell>
          <cell r="Y8113" t="str">
            <v>ITALY</v>
          </cell>
        </row>
        <row r="8114">
          <cell r="L8114" t="str">
            <v>Non-proportional</v>
          </cell>
          <cell r="S8114">
            <v>1320.62</v>
          </cell>
          <cell r="X8114" t="str">
            <v>Commissions - gross</v>
          </cell>
          <cell r="Y8114" t="str">
            <v>MEXICO</v>
          </cell>
        </row>
        <row r="8115">
          <cell r="L8115" t="str">
            <v>Non-proportional</v>
          </cell>
          <cell r="S8115">
            <v>357.06</v>
          </cell>
          <cell r="X8115" t="str">
            <v>Commissions - gross</v>
          </cell>
          <cell r="Y8115" t="str">
            <v>GREECE</v>
          </cell>
        </row>
        <row r="8116">
          <cell r="L8116" t="str">
            <v>Non-proportional</v>
          </cell>
          <cell r="S8116">
            <v>884.39</v>
          </cell>
          <cell r="X8116" t="str">
            <v>Commissions - gross</v>
          </cell>
          <cell r="Y8116" t="str">
            <v>TURKEY</v>
          </cell>
        </row>
        <row r="8117">
          <cell r="L8117" t="str">
            <v>Non-proportional</v>
          </cell>
          <cell r="S8117">
            <v>74.69</v>
          </cell>
          <cell r="X8117" t="str">
            <v>Commissions - gross</v>
          </cell>
          <cell r="Y8117" t="str">
            <v>JAPAN</v>
          </cell>
        </row>
        <row r="8118">
          <cell r="L8118" t="str">
            <v>Non-proportional</v>
          </cell>
          <cell r="S8118">
            <v>182.58</v>
          </cell>
          <cell r="X8118" t="str">
            <v>Commissions - gross</v>
          </cell>
          <cell r="Y8118" t="str">
            <v>JAPAN</v>
          </cell>
        </row>
        <row r="8119">
          <cell r="L8119" t="str">
            <v>Non-proportional</v>
          </cell>
          <cell r="S8119">
            <v>9.83</v>
          </cell>
          <cell r="X8119" t="str">
            <v>Commissions - gross</v>
          </cell>
          <cell r="Y8119" t="str">
            <v>INDIA</v>
          </cell>
        </row>
        <row r="8120">
          <cell r="L8120" t="str">
            <v>Non-proportional</v>
          </cell>
          <cell r="S8120">
            <v>5.19</v>
          </cell>
          <cell r="X8120" t="str">
            <v>Commissions - gross</v>
          </cell>
          <cell r="Y8120" t="str">
            <v>ISRAEL</v>
          </cell>
        </row>
        <row r="8121">
          <cell r="L8121" t="str">
            <v>Non-proportional</v>
          </cell>
          <cell r="S8121">
            <v>1771.56</v>
          </cell>
          <cell r="X8121" t="str">
            <v>Commissions - gross</v>
          </cell>
          <cell r="Y8121" t="str">
            <v>UNITED KINGDOM</v>
          </cell>
        </row>
        <row r="8122">
          <cell r="L8122" t="str">
            <v>Non-proportional</v>
          </cell>
          <cell r="S8122">
            <v>143.54</v>
          </cell>
          <cell r="X8122" t="str">
            <v>Commissions - gross</v>
          </cell>
          <cell r="Y8122" t="str">
            <v>AUSTRALIA</v>
          </cell>
        </row>
        <row r="8123">
          <cell r="L8123" t="str">
            <v>Non-proportional</v>
          </cell>
          <cell r="S8123">
            <v>158.62</v>
          </cell>
          <cell r="X8123" t="str">
            <v>Commissions - gross</v>
          </cell>
          <cell r="Y8123" t="str">
            <v>INDIA</v>
          </cell>
        </row>
        <row r="8124">
          <cell r="L8124" t="str">
            <v>Non-proportional</v>
          </cell>
          <cell r="S8124">
            <v>1151.06</v>
          </cell>
          <cell r="X8124" t="str">
            <v>Commissions - gross</v>
          </cell>
          <cell r="Y8124" t="str">
            <v>EUROPE</v>
          </cell>
        </row>
        <row r="8125">
          <cell r="L8125" t="str">
            <v>Non-proportional</v>
          </cell>
          <cell r="S8125">
            <v>312.17</v>
          </cell>
          <cell r="X8125" t="str">
            <v>Commissions - gross</v>
          </cell>
          <cell r="Y8125" t="str">
            <v>ISRAEL</v>
          </cell>
        </row>
        <row r="8126">
          <cell r="L8126" t="str">
            <v>Non-proportional</v>
          </cell>
          <cell r="S8126">
            <v>745.37</v>
          </cell>
          <cell r="X8126" t="str">
            <v>Commissions - gross</v>
          </cell>
          <cell r="Y8126" t="str">
            <v>COSTA RICA</v>
          </cell>
        </row>
        <row r="8127">
          <cell r="L8127" t="str">
            <v>Non-proportional</v>
          </cell>
          <cell r="S8127">
            <v>7940.82</v>
          </cell>
          <cell r="X8127" t="str">
            <v>Commissions - gross</v>
          </cell>
          <cell r="Y8127" t="str">
            <v>UNITED KINGDOM</v>
          </cell>
        </row>
        <row r="8128">
          <cell r="L8128" t="str">
            <v>Non-proportional</v>
          </cell>
          <cell r="S8128">
            <v>28.63</v>
          </cell>
          <cell r="X8128" t="str">
            <v>Commissions - gross</v>
          </cell>
          <cell r="Y8128" t="str">
            <v>REPUBLIC OF IRELAND</v>
          </cell>
        </row>
        <row r="8129">
          <cell r="L8129" t="str">
            <v>Non-proportional</v>
          </cell>
          <cell r="S8129">
            <v>5849.85</v>
          </cell>
          <cell r="X8129" t="str">
            <v>Commissions - gross</v>
          </cell>
          <cell r="Y8129" t="str">
            <v>UNITED KINGDOM</v>
          </cell>
        </row>
        <row r="8130">
          <cell r="L8130" t="str">
            <v>Non-proportional</v>
          </cell>
          <cell r="S8130">
            <v>11299.08</v>
          </cell>
          <cell r="X8130" t="str">
            <v>Commissions - gross</v>
          </cell>
          <cell r="Y8130" t="str">
            <v>UNITED KINGDOM</v>
          </cell>
        </row>
        <row r="8131">
          <cell r="L8131" t="str">
            <v>Non-proportional</v>
          </cell>
          <cell r="S8131">
            <v>-3.19</v>
          </cell>
          <cell r="X8131" t="str">
            <v>Commissions - gross</v>
          </cell>
          <cell r="Y8131" t="str">
            <v>JAPAN</v>
          </cell>
        </row>
        <row r="8132">
          <cell r="L8132" t="str">
            <v>Proportional</v>
          </cell>
          <cell r="S8132">
            <v>36.53</v>
          </cell>
          <cell r="X8132" t="str">
            <v>Commissions - gross</v>
          </cell>
          <cell r="Y8132" t="str">
            <v>CHILE</v>
          </cell>
        </row>
        <row r="8133">
          <cell r="L8133" t="str">
            <v>Non-proportional</v>
          </cell>
          <cell r="S8133">
            <v>97.57</v>
          </cell>
          <cell r="X8133" t="str">
            <v>Commissions - gross</v>
          </cell>
          <cell r="Y8133" t="str">
            <v>MEXICO</v>
          </cell>
        </row>
        <row r="8134">
          <cell r="L8134" t="str">
            <v>Non-proportional</v>
          </cell>
          <cell r="S8134">
            <v>361.59</v>
          </cell>
          <cell r="X8134" t="str">
            <v>Commissions - gross</v>
          </cell>
          <cell r="Y8134" t="str">
            <v>INDIA</v>
          </cell>
        </row>
        <row r="8135">
          <cell r="L8135" t="str">
            <v>Non-proportional</v>
          </cell>
          <cell r="S8135">
            <v>346.64</v>
          </cell>
          <cell r="X8135" t="str">
            <v>Commissions - gross</v>
          </cell>
          <cell r="Y8135" t="str">
            <v>GUATEMALA</v>
          </cell>
        </row>
        <row r="8136">
          <cell r="L8136" t="str">
            <v>Non-proportional</v>
          </cell>
          <cell r="S8136">
            <v>322.73</v>
          </cell>
          <cell r="X8136" t="str">
            <v>Commissions - gross</v>
          </cell>
          <cell r="Y8136" t="str">
            <v>ISRAEL</v>
          </cell>
        </row>
        <row r="8137">
          <cell r="L8137" t="str">
            <v>Non-proportional</v>
          </cell>
          <cell r="S8137">
            <v>31.07</v>
          </cell>
          <cell r="X8137" t="str">
            <v>Commissions - gross</v>
          </cell>
          <cell r="Y8137" t="str">
            <v>ITALY</v>
          </cell>
        </row>
        <row r="8138">
          <cell r="L8138" t="str">
            <v>Non-proportional</v>
          </cell>
          <cell r="S8138">
            <v>1788.78</v>
          </cell>
          <cell r="X8138" t="str">
            <v>Commissions - gross</v>
          </cell>
          <cell r="Y8138" t="str">
            <v>JAPAN</v>
          </cell>
        </row>
        <row r="8139">
          <cell r="L8139" t="str">
            <v>Non-proportional</v>
          </cell>
          <cell r="S8139">
            <v>429.86</v>
          </cell>
          <cell r="X8139" t="str">
            <v>Commissions - gross</v>
          </cell>
          <cell r="Y8139" t="str">
            <v>UNITED KINGDOM</v>
          </cell>
        </row>
        <row r="8140">
          <cell r="L8140" t="str">
            <v>Proportional</v>
          </cell>
          <cell r="S8140">
            <v>-9.31</v>
          </cell>
          <cell r="X8140" t="str">
            <v>Commissions - gross</v>
          </cell>
          <cell r="Y8140" t="str">
            <v>UNITED STATES</v>
          </cell>
        </row>
        <row r="8141">
          <cell r="L8141" t="str">
            <v>Non-proportional</v>
          </cell>
          <cell r="S8141">
            <v>88.84</v>
          </cell>
          <cell r="X8141" t="str">
            <v>Commissions - gross</v>
          </cell>
          <cell r="Y8141" t="str">
            <v>SOUTH AFRICA</v>
          </cell>
        </row>
        <row r="8142">
          <cell r="L8142" t="str">
            <v>Non-proportional</v>
          </cell>
          <cell r="S8142">
            <v>269.92</v>
          </cell>
          <cell r="X8142" t="str">
            <v>Commissions - gross</v>
          </cell>
          <cell r="Y8142" t="str">
            <v>UNITED KINGDOM</v>
          </cell>
        </row>
        <row r="8143">
          <cell r="L8143" t="str">
            <v>Non-proportional</v>
          </cell>
          <cell r="S8143">
            <v>150.58000000000001</v>
          </cell>
          <cell r="X8143" t="str">
            <v>Commissions - gross</v>
          </cell>
          <cell r="Y8143" t="str">
            <v>GUATEMALA</v>
          </cell>
        </row>
        <row r="8144">
          <cell r="L8144" t="str">
            <v>Non-proportional</v>
          </cell>
          <cell r="S8144">
            <v>-2494.4499999999998</v>
          </cell>
          <cell r="X8144" t="str">
            <v>Commissions - gross</v>
          </cell>
          <cell r="Y8144" t="str">
            <v>THAILAND</v>
          </cell>
        </row>
        <row r="8145">
          <cell r="L8145" t="str">
            <v>Non-proportional</v>
          </cell>
          <cell r="S8145">
            <v>4043.94</v>
          </cell>
          <cell r="X8145" t="str">
            <v>Commissions - gross</v>
          </cell>
          <cell r="Y8145" t="str">
            <v>UNITED KINGDOM</v>
          </cell>
        </row>
        <row r="8146">
          <cell r="L8146" t="str">
            <v>Non-proportional</v>
          </cell>
          <cell r="S8146">
            <v>-4.43</v>
          </cell>
          <cell r="X8146" t="str">
            <v>Commissions - gross</v>
          </cell>
          <cell r="Y8146" t="str">
            <v>JAPAN</v>
          </cell>
        </row>
        <row r="8147">
          <cell r="L8147" t="str">
            <v>Proportional</v>
          </cell>
          <cell r="S8147">
            <v>-20.22</v>
          </cell>
          <cell r="X8147" t="str">
            <v>Commissions - gross</v>
          </cell>
          <cell r="Y8147" t="str">
            <v>UNITED STATES</v>
          </cell>
        </row>
        <row r="8148">
          <cell r="L8148" t="str">
            <v>Non-proportional</v>
          </cell>
          <cell r="S8148">
            <v>258.38</v>
          </cell>
          <cell r="X8148" t="str">
            <v>Commissions - gross</v>
          </cell>
          <cell r="Y8148" t="str">
            <v>AUSTRALIA</v>
          </cell>
        </row>
        <row r="8149">
          <cell r="L8149" t="str">
            <v>Non-proportional</v>
          </cell>
          <cell r="S8149">
            <v>74.239999999999995</v>
          </cell>
          <cell r="X8149" t="str">
            <v>Commissions - gross</v>
          </cell>
          <cell r="Y8149" t="str">
            <v>ISRAEL</v>
          </cell>
        </row>
        <row r="8150">
          <cell r="L8150" t="str">
            <v>Non-proportional</v>
          </cell>
          <cell r="S8150">
            <v>166.46</v>
          </cell>
          <cell r="X8150" t="str">
            <v>Commissions - gross</v>
          </cell>
          <cell r="Y8150" t="str">
            <v>FRANCE</v>
          </cell>
        </row>
        <row r="8151">
          <cell r="L8151" t="str">
            <v>Non-proportional</v>
          </cell>
          <cell r="S8151">
            <v>632.73</v>
          </cell>
          <cell r="X8151" t="str">
            <v>Commissions - gross</v>
          </cell>
          <cell r="Y8151" t="str">
            <v>THAILAND</v>
          </cell>
        </row>
        <row r="8152">
          <cell r="L8152" t="str">
            <v>Non-proportional</v>
          </cell>
          <cell r="S8152">
            <v>2.4</v>
          </cell>
          <cell r="X8152" t="str">
            <v>Commissions - gross</v>
          </cell>
          <cell r="Y8152" t="str">
            <v>INDIA</v>
          </cell>
        </row>
        <row r="8153">
          <cell r="L8153" t="str">
            <v>Proportional</v>
          </cell>
          <cell r="S8153">
            <v>-458.25</v>
          </cell>
          <cell r="X8153" t="str">
            <v>Commissions - gross</v>
          </cell>
          <cell r="Y8153" t="str">
            <v>AUSTRALIA</v>
          </cell>
        </row>
        <row r="8154">
          <cell r="L8154" t="str">
            <v>Non-proportional</v>
          </cell>
          <cell r="S8154">
            <v>482.74</v>
          </cell>
          <cell r="X8154" t="str">
            <v>Commissions - gross</v>
          </cell>
          <cell r="Y8154" t="str">
            <v>SPAIN</v>
          </cell>
        </row>
        <row r="8155">
          <cell r="L8155" t="str">
            <v>Proportional</v>
          </cell>
          <cell r="S8155">
            <v>1.93</v>
          </cell>
          <cell r="X8155" t="str">
            <v>Commissions - gross</v>
          </cell>
          <cell r="Y8155" t="str">
            <v>UNITED STATES</v>
          </cell>
        </row>
        <row r="8156">
          <cell r="L8156" t="str">
            <v>Non-proportional</v>
          </cell>
          <cell r="S8156">
            <v>568.58000000000004</v>
          </cell>
          <cell r="X8156" t="str">
            <v>Commissions - gross</v>
          </cell>
          <cell r="Y8156" t="str">
            <v>SINGAPORE</v>
          </cell>
        </row>
        <row r="8157">
          <cell r="L8157" t="str">
            <v>Non-proportional</v>
          </cell>
          <cell r="S8157">
            <v>0</v>
          </cell>
          <cell r="X8157" t="str">
            <v>Commissions - gross</v>
          </cell>
          <cell r="Y8157" t="str">
            <v>DOMINICAN REPUBLIC</v>
          </cell>
        </row>
        <row r="8158">
          <cell r="L8158" t="str">
            <v>Non-proportional</v>
          </cell>
          <cell r="S8158">
            <v>9483.2999999999993</v>
          </cell>
          <cell r="X8158" t="str">
            <v>Commissions - gross</v>
          </cell>
          <cell r="Y8158" t="str">
            <v>UNITED KINGDOM</v>
          </cell>
        </row>
        <row r="8159">
          <cell r="L8159" t="str">
            <v>Non-proportional</v>
          </cell>
          <cell r="S8159">
            <v>2.95</v>
          </cell>
          <cell r="X8159" t="str">
            <v>Commissions - gross</v>
          </cell>
          <cell r="Y8159" t="str">
            <v>ISRAEL</v>
          </cell>
        </row>
        <row r="8160">
          <cell r="L8160" t="str">
            <v>Non-proportional</v>
          </cell>
          <cell r="S8160">
            <v>1824.45</v>
          </cell>
          <cell r="X8160" t="str">
            <v>Commissions - gross</v>
          </cell>
          <cell r="Y8160" t="str">
            <v>UNITED KINGDOM</v>
          </cell>
        </row>
        <row r="8161">
          <cell r="L8161" t="str">
            <v>Non-proportional</v>
          </cell>
          <cell r="S8161">
            <v>146.13</v>
          </cell>
          <cell r="X8161" t="str">
            <v>Commissions - gross</v>
          </cell>
          <cell r="Y8161" t="str">
            <v>CHILE</v>
          </cell>
        </row>
        <row r="8162">
          <cell r="L8162" t="str">
            <v>Non-proportional</v>
          </cell>
          <cell r="S8162">
            <v>98.53</v>
          </cell>
          <cell r="X8162" t="str">
            <v>Commissions - gross</v>
          </cell>
          <cell r="Y8162" t="str">
            <v>JAPAN</v>
          </cell>
        </row>
        <row r="8163">
          <cell r="L8163" t="str">
            <v>Non-proportional</v>
          </cell>
          <cell r="S8163">
            <v>450.98</v>
          </cell>
          <cell r="X8163" t="str">
            <v>Commissions - gross</v>
          </cell>
          <cell r="Y8163" t="str">
            <v>FRANCE</v>
          </cell>
        </row>
        <row r="8164">
          <cell r="L8164" t="str">
            <v>Non-proportional</v>
          </cell>
          <cell r="S8164">
            <v>0</v>
          </cell>
          <cell r="X8164" t="str">
            <v>Commissions - gross</v>
          </cell>
          <cell r="Y8164" t="str">
            <v>COLOMBIA</v>
          </cell>
        </row>
        <row r="8165">
          <cell r="L8165" t="str">
            <v>Non-proportional</v>
          </cell>
          <cell r="S8165">
            <v>394.99</v>
          </cell>
          <cell r="X8165" t="str">
            <v>Commissions - gross</v>
          </cell>
          <cell r="Y8165" t="str">
            <v>ECUADOR</v>
          </cell>
        </row>
        <row r="8166">
          <cell r="L8166" t="str">
            <v>Non-proportional</v>
          </cell>
          <cell r="S8166">
            <v>542.36</v>
          </cell>
          <cell r="X8166" t="str">
            <v>Commissions - gross</v>
          </cell>
          <cell r="Y8166" t="str">
            <v>ISRAEL</v>
          </cell>
        </row>
        <row r="8167">
          <cell r="L8167" t="str">
            <v>Non-proportional</v>
          </cell>
          <cell r="S8167">
            <v>184.69</v>
          </cell>
          <cell r="X8167" t="str">
            <v>Commissions - gross</v>
          </cell>
          <cell r="Y8167" t="str">
            <v>FRANCE</v>
          </cell>
        </row>
        <row r="8168">
          <cell r="L8168" t="str">
            <v>Non-proportional</v>
          </cell>
          <cell r="S8168">
            <v>25715.19</v>
          </cell>
          <cell r="X8168" t="str">
            <v>Commissions - gross</v>
          </cell>
          <cell r="Y8168" t="str">
            <v>UNITED KINGDOM</v>
          </cell>
        </row>
        <row r="8169">
          <cell r="L8169" t="str">
            <v>Non-proportional</v>
          </cell>
          <cell r="S8169">
            <v>-1650.25</v>
          </cell>
          <cell r="X8169" t="str">
            <v>Commissions - gross</v>
          </cell>
          <cell r="Y8169" t="str">
            <v>GERMANY</v>
          </cell>
        </row>
        <row r="8170">
          <cell r="L8170" t="str">
            <v>Non-proportional</v>
          </cell>
          <cell r="S8170">
            <v>1186.32</v>
          </cell>
          <cell r="X8170" t="str">
            <v>Commissions - gross</v>
          </cell>
          <cell r="Y8170" t="str">
            <v>EUROPE</v>
          </cell>
        </row>
        <row r="8171">
          <cell r="L8171" t="str">
            <v>Non-proportional</v>
          </cell>
          <cell r="S8171">
            <v>-6.83</v>
          </cell>
          <cell r="X8171" t="str">
            <v>Commissions - gross</v>
          </cell>
          <cell r="Y8171" t="str">
            <v>COLOMBIA</v>
          </cell>
        </row>
        <row r="8172">
          <cell r="L8172" t="str">
            <v>Non-proportional</v>
          </cell>
          <cell r="S8172">
            <v>-2.42</v>
          </cell>
          <cell r="X8172" t="str">
            <v>Commissions - gross</v>
          </cell>
          <cell r="Y8172" t="str">
            <v>JAPAN</v>
          </cell>
        </row>
        <row r="8173">
          <cell r="L8173" t="str">
            <v>Non-proportional</v>
          </cell>
          <cell r="S8173">
            <v>-0.61</v>
          </cell>
          <cell r="X8173" t="str">
            <v>Commissions - gross</v>
          </cell>
          <cell r="Y8173" t="str">
            <v>JAPAN</v>
          </cell>
        </row>
        <row r="8174">
          <cell r="L8174" t="str">
            <v>Non-proportional</v>
          </cell>
          <cell r="S8174">
            <v>767.21</v>
          </cell>
          <cell r="X8174" t="str">
            <v>Commissions - gross</v>
          </cell>
          <cell r="Y8174" t="str">
            <v>CHILE</v>
          </cell>
        </row>
        <row r="8175">
          <cell r="L8175" t="str">
            <v>Non-proportional</v>
          </cell>
          <cell r="S8175">
            <v>559.21</v>
          </cell>
          <cell r="X8175" t="str">
            <v>Commissions - gross</v>
          </cell>
          <cell r="Y8175" t="str">
            <v>NEW ZEALAND</v>
          </cell>
        </row>
        <row r="8176">
          <cell r="L8176" t="str">
            <v>Non-proportional</v>
          </cell>
          <cell r="S8176">
            <v>132.41999999999999</v>
          </cell>
          <cell r="X8176" t="str">
            <v>Commissions - gross</v>
          </cell>
          <cell r="Y8176" t="str">
            <v>COLOMBIA</v>
          </cell>
        </row>
        <row r="8177">
          <cell r="L8177" t="str">
            <v>Non-proportional</v>
          </cell>
          <cell r="S8177">
            <v>6007.51</v>
          </cell>
          <cell r="X8177" t="str">
            <v>Commissions - gross</v>
          </cell>
          <cell r="Y8177" t="str">
            <v>UNITED KINGDOM</v>
          </cell>
        </row>
        <row r="8178">
          <cell r="L8178" t="str">
            <v>Non-proportional</v>
          </cell>
          <cell r="S8178">
            <v>3730.67</v>
          </cell>
          <cell r="X8178" t="str">
            <v>Commissions - gross</v>
          </cell>
          <cell r="Y8178" t="str">
            <v>UNITED KINGDOM</v>
          </cell>
        </row>
        <row r="8179">
          <cell r="L8179" t="str">
            <v>Non-proportional</v>
          </cell>
          <cell r="S8179">
            <v>324.91000000000003</v>
          </cell>
          <cell r="X8179" t="str">
            <v>Commissions - gross</v>
          </cell>
          <cell r="Y8179" t="str">
            <v>FRANCE</v>
          </cell>
        </row>
        <row r="8180">
          <cell r="L8180" t="str">
            <v>Non-proportional</v>
          </cell>
          <cell r="S8180">
            <v>10572.33</v>
          </cell>
          <cell r="X8180" t="str">
            <v>Commissions - gross</v>
          </cell>
          <cell r="Y8180" t="str">
            <v>FRANCE</v>
          </cell>
        </row>
        <row r="8181">
          <cell r="L8181" t="str">
            <v>Non-proportional</v>
          </cell>
          <cell r="S8181">
            <v>216.35</v>
          </cell>
          <cell r="X8181" t="str">
            <v>Commissions - gross</v>
          </cell>
          <cell r="Y8181" t="str">
            <v>UNITED KINGDOM</v>
          </cell>
        </row>
        <row r="8182">
          <cell r="L8182" t="str">
            <v>Non-proportional</v>
          </cell>
          <cell r="S8182">
            <v>282.32</v>
          </cell>
          <cell r="X8182" t="str">
            <v>Commissions - gross</v>
          </cell>
          <cell r="Y8182" t="str">
            <v>POLAND</v>
          </cell>
        </row>
        <row r="8183">
          <cell r="L8183" t="str">
            <v>Non-proportional</v>
          </cell>
          <cell r="S8183">
            <v>84.02</v>
          </cell>
          <cell r="X8183" t="str">
            <v>Commissions - gross</v>
          </cell>
          <cell r="Y8183" t="str">
            <v>COLOMBIA</v>
          </cell>
        </row>
        <row r="8184">
          <cell r="L8184" t="str">
            <v>Non-proportional</v>
          </cell>
          <cell r="S8184">
            <v>527.45000000000005</v>
          </cell>
          <cell r="X8184" t="str">
            <v>Commissions - gross</v>
          </cell>
          <cell r="Y8184" t="str">
            <v>CYPRUS</v>
          </cell>
        </row>
        <row r="8185">
          <cell r="L8185" t="str">
            <v>Non-proportional</v>
          </cell>
          <cell r="S8185">
            <v>489.01</v>
          </cell>
          <cell r="X8185" t="str">
            <v>Commissions - gross</v>
          </cell>
          <cell r="Y8185" t="str">
            <v>FRANCE</v>
          </cell>
        </row>
        <row r="8186">
          <cell r="L8186" t="str">
            <v>Non-proportional</v>
          </cell>
          <cell r="S8186">
            <v>0</v>
          </cell>
          <cell r="X8186" t="str">
            <v>Commissions - gross</v>
          </cell>
          <cell r="Y8186" t="str">
            <v>DOMINICAN REPUBLIC</v>
          </cell>
        </row>
        <row r="8187">
          <cell r="L8187" t="str">
            <v>Non-proportional</v>
          </cell>
          <cell r="S8187">
            <v>1.88</v>
          </cell>
          <cell r="X8187" t="str">
            <v>Commissions - gross</v>
          </cell>
          <cell r="Y8187" t="str">
            <v>ISRAEL</v>
          </cell>
        </row>
        <row r="8188">
          <cell r="L8188" t="str">
            <v>Non-proportional</v>
          </cell>
          <cell r="S8188">
            <v>23.79</v>
          </cell>
          <cell r="X8188" t="str">
            <v>Commissions - gross</v>
          </cell>
          <cell r="Y8188" t="str">
            <v>JAPAN</v>
          </cell>
        </row>
        <row r="8189">
          <cell r="L8189" t="str">
            <v>Non-proportional</v>
          </cell>
          <cell r="S8189">
            <v>7.5</v>
          </cell>
          <cell r="X8189" t="str">
            <v>Commissions - gross</v>
          </cell>
          <cell r="Y8189" t="str">
            <v>COLOMBIA</v>
          </cell>
        </row>
        <row r="8190">
          <cell r="L8190" t="str">
            <v>Non-proportional</v>
          </cell>
          <cell r="S8190">
            <v>36.53</v>
          </cell>
          <cell r="X8190" t="str">
            <v>Commissions - gross</v>
          </cell>
          <cell r="Y8190" t="str">
            <v>CHILE</v>
          </cell>
        </row>
        <row r="8191">
          <cell r="L8191" t="str">
            <v>Non-proportional</v>
          </cell>
          <cell r="S8191">
            <v>3802.68</v>
          </cell>
          <cell r="X8191" t="str">
            <v>Commissions - gross</v>
          </cell>
          <cell r="Y8191" t="str">
            <v>FRANCE</v>
          </cell>
        </row>
        <row r="8192">
          <cell r="L8192" t="str">
            <v>Non-proportional</v>
          </cell>
          <cell r="S8192">
            <v>110.81</v>
          </cell>
          <cell r="X8192" t="str">
            <v>Commissions - gross</v>
          </cell>
          <cell r="Y8192" t="str">
            <v>COSTA RICA</v>
          </cell>
        </row>
        <row r="8193">
          <cell r="L8193" t="str">
            <v>Non-proportional</v>
          </cell>
          <cell r="S8193">
            <v>86</v>
          </cell>
          <cell r="X8193" t="str">
            <v>Commissions - gross</v>
          </cell>
          <cell r="Y8193" t="str">
            <v>GREECE</v>
          </cell>
        </row>
        <row r="8194">
          <cell r="L8194" t="str">
            <v>Non-proportional</v>
          </cell>
          <cell r="S8194">
            <v>423.33</v>
          </cell>
          <cell r="X8194" t="str">
            <v>Commissions - gross</v>
          </cell>
          <cell r="Y8194" t="str">
            <v>FRANCE</v>
          </cell>
        </row>
        <row r="8195">
          <cell r="L8195" t="str">
            <v>Proportional</v>
          </cell>
          <cell r="S8195">
            <v>592.28</v>
          </cell>
          <cell r="X8195" t="str">
            <v>Commissions - gross</v>
          </cell>
          <cell r="Y8195" t="str">
            <v>UNITED ARAB EMIRATES</v>
          </cell>
        </row>
        <row r="8196">
          <cell r="L8196" t="str">
            <v>Non-proportional</v>
          </cell>
          <cell r="S8196">
            <v>246.96</v>
          </cell>
          <cell r="X8196" t="str">
            <v>Commissions - gross</v>
          </cell>
          <cell r="Y8196" t="str">
            <v>FRANCE</v>
          </cell>
        </row>
        <row r="8197">
          <cell r="L8197" t="str">
            <v>Proportional</v>
          </cell>
          <cell r="S8197">
            <v>-1.06</v>
          </cell>
          <cell r="X8197" t="str">
            <v>Commissions - gross</v>
          </cell>
          <cell r="Y8197" t="str">
            <v>UNITED STATES</v>
          </cell>
        </row>
        <row r="8198">
          <cell r="L8198" t="str">
            <v>Non-proportional</v>
          </cell>
          <cell r="S8198">
            <v>-2.77</v>
          </cell>
          <cell r="X8198" t="str">
            <v>Commissions - gross</v>
          </cell>
          <cell r="Y8198" t="str">
            <v>COLOMBIA</v>
          </cell>
        </row>
        <row r="8199">
          <cell r="L8199" t="str">
            <v>Non-proportional</v>
          </cell>
          <cell r="S8199">
            <v>-2.16</v>
          </cell>
          <cell r="X8199" t="str">
            <v>Commissions - gross</v>
          </cell>
          <cell r="Y8199" t="str">
            <v>COLOMBIA</v>
          </cell>
        </row>
        <row r="8200">
          <cell r="L8200" t="str">
            <v>Non-proportional</v>
          </cell>
          <cell r="S8200">
            <v>3543.26</v>
          </cell>
          <cell r="X8200" t="str">
            <v>Commissions - gross</v>
          </cell>
          <cell r="Y8200" t="str">
            <v>UNITED KINGDOM</v>
          </cell>
        </row>
        <row r="8201">
          <cell r="L8201" t="str">
            <v>Non-proportional</v>
          </cell>
          <cell r="S8201">
            <v>876.98</v>
          </cell>
          <cell r="X8201" t="str">
            <v>Commissions - gross</v>
          </cell>
          <cell r="Y8201" t="str">
            <v>ECUADOR</v>
          </cell>
        </row>
        <row r="8202">
          <cell r="L8202" t="str">
            <v>Non-proportional</v>
          </cell>
          <cell r="S8202">
            <v>109.01</v>
          </cell>
          <cell r="X8202" t="str">
            <v>Commissions - gross</v>
          </cell>
          <cell r="Y8202" t="str">
            <v>ISRAEL</v>
          </cell>
        </row>
        <row r="8203">
          <cell r="L8203" t="str">
            <v>Non-proportional</v>
          </cell>
          <cell r="S8203">
            <v>1036.27</v>
          </cell>
          <cell r="X8203" t="str">
            <v>Commissions - gross</v>
          </cell>
          <cell r="Y8203" t="str">
            <v>INDIA</v>
          </cell>
        </row>
        <row r="8204">
          <cell r="L8204" t="str">
            <v>Non-proportional</v>
          </cell>
          <cell r="S8204">
            <v>429.46</v>
          </cell>
          <cell r="X8204" t="str">
            <v>Commissions - gross</v>
          </cell>
          <cell r="Y8204" t="str">
            <v>THAILAND</v>
          </cell>
        </row>
        <row r="8205">
          <cell r="L8205" t="str">
            <v>Non-proportional</v>
          </cell>
          <cell r="S8205">
            <v>3034.6</v>
          </cell>
          <cell r="X8205" t="str">
            <v>Commissions - gross</v>
          </cell>
          <cell r="Y8205" t="str">
            <v>FRANCE</v>
          </cell>
        </row>
        <row r="8206">
          <cell r="L8206" t="str">
            <v>Non-proportional</v>
          </cell>
          <cell r="S8206">
            <v>965.48</v>
          </cell>
          <cell r="X8206" t="str">
            <v>Commissions - gross</v>
          </cell>
          <cell r="Y8206" t="str">
            <v>COSTA RICA</v>
          </cell>
        </row>
        <row r="8207">
          <cell r="L8207" t="str">
            <v>Non-proportional</v>
          </cell>
          <cell r="S8207">
            <v>378</v>
          </cell>
          <cell r="X8207" t="str">
            <v>Commissions - gross</v>
          </cell>
          <cell r="Y8207" t="str">
            <v>GREECE</v>
          </cell>
        </row>
        <row r="8208">
          <cell r="L8208" t="str">
            <v>Non-proportional</v>
          </cell>
          <cell r="S8208">
            <v>627.08000000000004</v>
          </cell>
          <cell r="X8208" t="str">
            <v>Commissions - gross</v>
          </cell>
          <cell r="Y8208" t="str">
            <v>ITALY</v>
          </cell>
        </row>
        <row r="8209">
          <cell r="L8209" t="str">
            <v>Non-proportional</v>
          </cell>
          <cell r="S8209">
            <v>77.290000000000006</v>
          </cell>
          <cell r="X8209" t="str">
            <v>Commissions - gross</v>
          </cell>
          <cell r="Y8209" t="str">
            <v>REPUBLIC OF IRELAND</v>
          </cell>
        </row>
        <row r="8210">
          <cell r="L8210" t="str">
            <v>Non-proportional</v>
          </cell>
          <cell r="S8210">
            <v>1241.56</v>
          </cell>
          <cell r="X8210" t="str">
            <v>Commissions - gross</v>
          </cell>
          <cell r="Y8210" t="str">
            <v>AUSTRALIA</v>
          </cell>
        </row>
        <row r="8211">
          <cell r="L8211" t="str">
            <v>Non-proportional</v>
          </cell>
          <cell r="S8211">
            <v>222.29</v>
          </cell>
          <cell r="X8211" t="str">
            <v>Commissions - gross</v>
          </cell>
          <cell r="Y8211" t="str">
            <v>UNITED KINGDOM</v>
          </cell>
        </row>
        <row r="8212">
          <cell r="L8212" t="str">
            <v>Non-proportional</v>
          </cell>
          <cell r="S8212">
            <v>522.13</v>
          </cell>
          <cell r="X8212" t="str">
            <v>Commissions - gross</v>
          </cell>
          <cell r="Y8212" t="str">
            <v>ISRAEL</v>
          </cell>
        </row>
        <row r="8213">
          <cell r="L8213" t="str">
            <v>Non-proportional</v>
          </cell>
          <cell r="S8213">
            <v>88.04</v>
          </cell>
          <cell r="X8213" t="str">
            <v>Commissions - gross</v>
          </cell>
          <cell r="Y8213" t="str">
            <v>COSTA RICA</v>
          </cell>
        </row>
        <row r="8214">
          <cell r="L8214" t="str">
            <v>Non-proportional</v>
          </cell>
          <cell r="S8214">
            <v>328.8</v>
          </cell>
          <cell r="X8214" t="str">
            <v>Commissions - gross</v>
          </cell>
          <cell r="Y8214" t="str">
            <v>CHILE</v>
          </cell>
        </row>
        <row r="8215">
          <cell r="L8215" t="str">
            <v>Non-proportional</v>
          </cell>
          <cell r="S8215">
            <v>-6198.5</v>
          </cell>
          <cell r="X8215" t="str">
            <v>Commissions - gross</v>
          </cell>
          <cell r="Y8215" t="str">
            <v>GERMANY</v>
          </cell>
        </row>
        <row r="8216">
          <cell r="L8216" t="str">
            <v>Non-proportional</v>
          </cell>
          <cell r="S8216">
            <v>-7.24</v>
          </cell>
          <cell r="X8216" t="str">
            <v>Commissions - gross</v>
          </cell>
          <cell r="Y8216" t="str">
            <v>JAPAN</v>
          </cell>
        </row>
        <row r="8217">
          <cell r="L8217" t="str">
            <v>Proportional</v>
          </cell>
          <cell r="S8217">
            <v>149.6</v>
          </cell>
          <cell r="X8217" t="str">
            <v>Commissions - gross</v>
          </cell>
          <cell r="Y8217" t="str">
            <v>UNITED STATES</v>
          </cell>
        </row>
        <row r="8218">
          <cell r="L8218" t="str">
            <v>Non-proportional</v>
          </cell>
          <cell r="S8218">
            <v>-3.65</v>
          </cell>
          <cell r="X8218" t="str">
            <v>Commissions - gross</v>
          </cell>
          <cell r="Y8218" t="str">
            <v>JAPAN</v>
          </cell>
        </row>
        <row r="8219">
          <cell r="L8219" t="str">
            <v>Proportional</v>
          </cell>
          <cell r="S8219">
            <v>2772.93</v>
          </cell>
          <cell r="X8219" t="str">
            <v>Commissions - gross</v>
          </cell>
          <cell r="Y8219" t="str">
            <v>UNITED STATES</v>
          </cell>
        </row>
        <row r="8220">
          <cell r="L8220" t="str">
            <v>Proportional</v>
          </cell>
          <cell r="S8220">
            <v>182.67</v>
          </cell>
          <cell r="X8220" t="str">
            <v>Commissions - gross</v>
          </cell>
          <cell r="Y8220" t="str">
            <v>CHILE</v>
          </cell>
        </row>
        <row r="8221">
          <cell r="L8221" t="str">
            <v>Non-proportional</v>
          </cell>
          <cell r="S8221">
            <v>905.32</v>
          </cell>
          <cell r="X8221" t="str">
            <v>Commissions - gross</v>
          </cell>
          <cell r="Y8221" t="str">
            <v>ITALY</v>
          </cell>
        </row>
        <row r="8222">
          <cell r="L8222" t="str">
            <v>Non-proportional</v>
          </cell>
          <cell r="S8222">
            <v>4596.7299999999996</v>
          </cell>
          <cell r="X8222" t="str">
            <v>Commissions - gross</v>
          </cell>
          <cell r="Y8222" t="str">
            <v>UNITED KINGDOM</v>
          </cell>
        </row>
        <row r="8223">
          <cell r="L8223" t="str">
            <v>Non-proportional</v>
          </cell>
          <cell r="S8223">
            <v>987.03</v>
          </cell>
          <cell r="X8223" t="str">
            <v>Commissions - gross</v>
          </cell>
          <cell r="Y8223" t="str">
            <v>UNITED KINGDOM</v>
          </cell>
        </row>
        <row r="8224">
          <cell r="L8224" t="str">
            <v>Non-proportional</v>
          </cell>
          <cell r="S8224">
            <v>6.23</v>
          </cell>
          <cell r="X8224" t="str">
            <v>Commissions - gross</v>
          </cell>
          <cell r="Y8224" t="str">
            <v>ISRAEL</v>
          </cell>
        </row>
        <row r="8225">
          <cell r="L8225" t="str">
            <v>Non-proportional</v>
          </cell>
          <cell r="S8225">
            <v>0</v>
          </cell>
          <cell r="X8225" t="str">
            <v>Commissions - gross</v>
          </cell>
          <cell r="Y8225" t="str">
            <v>COLOMBIA</v>
          </cell>
        </row>
        <row r="8226">
          <cell r="L8226" t="str">
            <v>Non-proportional</v>
          </cell>
          <cell r="S8226">
            <v>251.77</v>
          </cell>
          <cell r="X8226" t="str">
            <v>Commissions - gross</v>
          </cell>
          <cell r="Y8226" t="str">
            <v>ITALY</v>
          </cell>
        </row>
        <row r="8227">
          <cell r="L8227" t="str">
            <v>Non-proportional</v>
          </cell>
          <cell r="S8227">
            <v>141.59</v>
          </cell>
          <cell r="X8227" t="str">
            <v>Commissions - gross</v>
          </cell>
          <cell r="Y8227" t="str">
            <v>FRANCE</v>
          </cell>
        </row>
        <row r="8228">
          <cell r="L8228" t="str">
            <v>Non-proportional</v>
          </cell>
          <cell r="S8228">
            <v>758.55</v>
          </cell>
          <cell r="X8228" t="str">
            <v>Commissions - gross</v>
          </cell>
          <cell r="Y8228" t="str">
            <v>COLOMBIA</v>
          </cell>
        </row>
        <row r="8229">
          <cell r="L8229" t="str">
            <v>Non-proportional</v>
          </cell>
          <cell r="S8229">
            <v>14.63</v>
          </cell>
          <cell r="X8229" t="str">
            <v>Commissions - gross</v>
          </cell>
          <cell r="Y8229" t="str">
            <v>FRANCE</v>
          </cell>
        </row>
        <row r="8230">
          <cell r="L8230" t="str">
            <v>Non-proportional</v>
          </cell>
          <cell r="S8230">
            <v>-3.6</v>
          </cell>
          <cell r="X8230" t="str">
            <v>Commissions - gross</v>
          </cell>
          <cell r="Y8230" t="str">
            <v>JAPAN</v>
          </cell>
        </row>
        <row r="8231">
          <cell r="L8231" t="str">
            <v>Non-proportional</v>
          </cell>
          <cell r="S8231">
            <v>146.88</v>
          </cell>
          <cell r="X8231" t="str">
            <v>Commissions - gross</v>
          </cell>
          <cell r="Y8231" t="str">
            <v>GREECE</v>
          </cell>
        </row>
        <row r="8232">
          <cell r="L8232" t="str">
            <v>Non-proportional</v>
          </cell>
          <cell r="S8232">
            <v>177.75</v>
          </cell>
          <cell r="X8232" t="str">
            <v>Commissions - gross</v>
          </cell>
          <cell r="Y8232" t="str">
            <v>GREECE</v>
          </cell>
        </row>
        <row r="8233">
          <cell r="L8233" t="str">
            <v>Non-proportional</v>
          </cell>
          <cell r="S8233">
            <v>5.77</v>
          </cell>
          <cell r="X8233" t="str">
            <v>Commissions - gross</v>
          </cell>
          <cell r="Y8233" t="str">
            <v>INDIA</v>
          </cell>
        </row>
        <row r="8234">
          <cell r="L8234" t="str">
            <v>Non-proportional</v>
          </cell>
          <cell r="S8234">
            <v>3.32</v>
          </cell>
          <cell r="X8234" t="str">
            <v>Commissions - gross</v>
          </cell>
          <cell r="Y8234" t="str">
            <v>ISRAEL</v>
          </cell>
        </row>
        <row r="8235">
          <cell r="L8235" t="str">
            <v>Non-proportional</v>
          </cell>
          <cell r="S8235">
            <v>-2.19</v>
          </cell>
          <cell r="X8235" t="str">
            <v>Commissions - gross</v>
          </cell>
          <cell r="Y8235" t="str">
            <v>COLOMBIA</v>
          </cell>
        </row>
        <row r="8236">
          <cell r="L8236" t="str">
            <v>Non-proportional</v>
          </cell>
          <cell r="S8236">
            <v>590.75</v>
          </cell>
          <cell r="X8236" t="str">
            <v>Commissions - gross</v>
          </cell>
          <cell r="Y8236" t="str">
            <v>AUSTRALIA</v>
          </cell>
        </row>
        <row r="8237">
          <cell r="L8237" t="str">
            <v>Non-proportional</v>
          </cell>
          <cell r="S8237">
            <v>2257.7600000000002</v>
          </cell>
          <cell r="X8237" t="str">
            <v>Commissions - gross</v>
          </cell>
          <cell r="Y8237" t="str">
            <v>UNITED KINGDOM</v>
          </cell>
        </row>
        <row r="8238">
          <cell r="L8238" t="str">
            <v>Proportional</v>
          </cell>
          <cell r="S8238">
            <v>-20.29</v>
          </cell>
          <cell r="X8238" t="str">
            <v>Commissions - gross</v>
          </cell>
          <cell r="Y8238" t="str">
            <v>UNITED STATES</v>
          </cell>
        </row>
        <row r="8239">
          <cell r="L8239" t="str">
            <v>Non-proportional</v>
          </cell>
          <cell r="S8239">
            <v>551.27</v>
          </cell>
          <cell r="X8239" t="str">
            <v>Commissions - gross</v>
          </cell>
          <cell r="Y8239" t="str">
            <v>NETHERLANDS</v>
          </cell>
        </row>
        <row r="8240">
          <cell r="L8240" t="str">
            <v>Non-proportional</v>
          </cell>
          <cell r="S8240">
            <v>447.52</v>
          </cell>
          <cell r="X8240" t="str">
            <v>Commissions - gross</v>
          </cell>
          <cell r="Y8240" t="str">
            <v>GUATEMALA</v>
          </cell>
        </row>
        <row r="8241">
          <cell r="L8241" t="str">
            <v>Non-proportional</v>
          </cell>
          <cell r="S8241">
            <v>650</v>
          </cell>
          <cell r="X8241" t="str">
            <v>Commissions - gross</v>
          </cell>
          <cell r="Y8241" t="str">
            <v>FRANCE</v>
          </cell>
        </row>
        <row r="8242">
          <cell r="L8242" t="str">
            <v>Non-proportional</v>
          </cell>
          <cell r="S8242">
            <v>474.94</v>
          </cell>
          <cell r="X8242" t="str">
            <v>Commissions - gross</v>
          </cell>
          <cell r="Y8242" t="str">
            <v>CHILE</v>
          </cell>
        </row>
        <row r="8243">
          <cell r="L8243" t="str">
            <v>Non-proportional</v>
          </cell>
          <cell r="S8243">
            <v>514.59</v>
          </cell>
          <cell r="X8243" t="str">
            <v>Commissions - gross</v>
          </cell>
          <cell r="Y8243" t="str">
            <v>UNITED KINGDOM</v>
          </cell>
        </row>
        <row r="8244">
          <cell r="L8244" t="str">
            <v>Non-proportional</v>
          </cell>
          <cell r="S8244">
            <v>-5.59</v>
          </cell>
          <cell r="X8244" t="str">
            <v>Commissions - gross</v>
          </cell>
          <cell r="Y8244" t="str">
            <v>JAPAN</v>
          </cell>
        </row>
        <row r="8245">
          <cell r="L8245" t="str">
            <v>Non-proportional</v>
          </cell>
          <cell r="S8245">
            <v>962.65</v>
          </cell>
          <cell r="X8245" t="str">
            <v>Commissions - gross</v>
          </cell>
          <cell r="Y8245" t="str">
            <v>MEXICO</v>
          </cell>
        </row>
        <row r="8246">
          <cell r="L8246" t="str">
            <v>Non-proportional</v>
          </cell>
          <cell r="S8246">
            <v>1551.7</v>
          </cell>
          <cell r="X8246" t="str">
            <v>Commissions - gross</v>
          </cell>
          <cell r="Y8246" t="str">
            <v>AUSTRALIA</v>
          </cell>
        </row>
        <row r="8247">
          <cell r="L8247" t="str">
            <v>Non-proportional</v>
          </cell>
          <cell r="S8247">
            <v>168.11</v>
          </cell>
          <cell r="X8247" t="str">
            <v>Commissions - gross</v>
          </cell>
          <cell r="Y8247" t="str">
            <v>INDIA</v>
          </cell>
        </row>
        <row r="8248">
          <cell r="L8248" t="str">
            <v>Non-proportional</v>
          </cell>
          <cell r="S8248">
            <v>296.83</v>
          </cell>
          <cell r="X8248" t="str">
            <v>Commissions - gross</v>
          </cell>
          <cell r="Y8248" t="str">
            <v>JAPAN</v>
          </cell>
        </row>
        <row r="8249">
          <cell r="L8249" t="str">
            <v>Non-proportional</v>
          </cell>
          <cell r="S8249">
            <v>2.2599999999999998</v>
          </cell>
          <cell r="X8249" t="str">
            <v>Commissions - gross</v>
          </cell>
          <cell r="Y8249" t="str">
            <v>INDIA</v>
          </cell>
        </row>
        <row r="8250">
          <cell r="L8250" t="str">
            <v>Non-proportional</v>
          </cell>
          <cell r="S8250">
            <v>0</v>
          </cell>
          <cell r="X8250" t="str">
            <v>Commissions - gross</v>
          </cell>
          <cell r="Y8250" t="str">
            <v>DOMINICAN REPUBLIC</v>
          </cell>
        </row>
        <row r="8251">
          <cell r="L8251" t="str">
            <v>Non-proportional</v>
          </cell>
          <cell r="S8251">
            <v>63.55</v>
          </cell>
          <cell r="X8251" t="str">
            <v>Commissions - gross</v>
          </cell>
          <cell r="Y8251" t="str">
            <v>NEW ZEALAND</v>
          </cell>
        </row>
        <row r="8252">
          <cell r="L8252" t="str">
            <v>Non-proportional</v>
          </cell>
          <cell r="S8252">
            <v>36.53</v>
          </cell>
          <cell r="X8252" t="str">
            <v>Commissions - gross</v>
          </cell>
          <cell r="Y8252" t="str">
            <v>CHILE</v>
          </cell>
        </row>
        <row r="8253">
          <cell r="L8253" t="str">
            <v>Non-proportional</v>
          </cell>
          <cell r="S8253">
            <v>-26.64</v>
          </cell>
          <cell r="X8253" t="str">
            <v>Commissions - gross</v>
          </cell>
          <cell r="Y8253" t="str">
            <v>COLOMBIA</v>
          </cell>
        </row>
        <row r="8254">
          <cell r="L8254" t="str">
            <v>Non-proportional</v>
          </cell>
          <cell r="S8254">
            <v>-3.4</v>
          </cell>
          <cell r="X8254" t="str">
            <v>Commissions - gross</v>
          </cell>
          <cell r="Y8254" t="str">
            <v>JAPAN</v>
          </cell>
        </row>
        <row r="8255">
          <cell r="L8255" t="str">
            <v>Non-proportional</v>
          </cell>
          <cell r="S8255">
            <v>401.98</v>
          </cell>
          <cell r="X8255" t="str">
            <v>Commissions - gross</v>
          </cell>
          <cell r="Y8255" t="str">
            <v>COLOMBIA</v>
          </cell>
        </row>
        <row r="8256">
          <cell r="L8256" t="str">
            <v>Non-proportional</v>
          </cell>
          <cell r="S8256">
            <v>505.93</v>
          </cell>
          <cell r="X8256" t="str">
            <v>Commissions - gross</v>
          </cell>
          <cell r="Y8256" t="str">
            <v>UNITED KINGDOM</v>
          </cell>
        </row>
        <row r="8257">
          <cell r="L8257" t="str">
            <v>Non-proportional</v>
          </cell>
          <cell r="S8257">
            <v>585.13</v>
          </cell>
          <cell r="X8257" t="str">
            <v>Commissions - gross</v>
          </cell>
          <cell r="Y8257" t="str">
            <v>ITALY</v>
          </cell>
        </row>
        <row r="8258">
          <cell r="L8258" t="str">
            <v>Non-proportional</v>
          </cell>
          <cell r="S8258">
            <v>1153.01</v>
          </cell>
          <cell r="X8258" t="str">
            <v>Commissions - gross</v>
          </cell>
          <cell r="Y8258" t="str">
            <v>MEXICO</v>
          </cell>
        </row>
        <row r="8259">
          <cell r="L8259" t="str">
            <v>Non-proportional</v>
          </cell>
          <cell r="S8259">
            <v>570.02</v>
          </cell>
          <cell r="X8259" t="str">
            <v>Commissions - gross</v>
          </cell>
          <cell r="Y8259" t="str">
            <v>ITALY</v>
          </cell>
        </row>
        <row r="8260">
          <cell r="L8260" t="str">
            <v>Non-proportional</v>
          </cell>
          <cell r="S8260">
            <v>231.75</v>
          </cell>
          <cell r="X8260" t="str">
            <v>Commissions - gross</v>
          </cell>
          <cell r="Y8260" t="str">
            <v>UNITED KINGDOM</v>
          </cell>
        </row>
        <row r="8261">
          <cell r="L8261" t="str">
            <v>Non-proportional</v>
          </cell>
          <cell r="S8261">
            <v>10479.65</v>
          </cell>
          <cell r="X8261" t="str">
            <v>Commissions - gross</v>
          </cell>
          <cell r="Y8261" t="str">
            <v>HONG KONG</v>
          </cell>
        </row>
        <row r="8262">
          <cell r="L8262" t="str">
            <v>Non-proportional</v>
          </cell>
          <cell r="S8262">
            <v>307.66000000000003</v>
          </cell>
          <cell r="X8262" t="str">
            <v>Commissions - gross</v>
          </cell>
          <cell r="Y8262" t="str">
            <v>JAPAN</v>
          </cell>
        </row>
        <row r="8263">
          <cell r="L8263" t="str">
            <v>Non-proportional</v>
          </cell>
          <cell r="S8263">
            <v>114.58</v>
          </cell>
          <cell r="X8263" t="str">
            <v>Commissions - gross</v>
          </cell>
          <cell r="Y8263" t="str">
            <v>SOUTH AFRICA</v>
          </cell>
        </row>
        <row r="8264">
          <cell r="L8264" t="str">
            <v>Non-proportional</v>
          </cell>
          <cell r="S8264">
            <v>755.21</v>
          </cell>
          <cell r="X8264" t="str">
            <v>Commissions - gross</v>
          </cell>
          <cell r="Y8264" t="str">
            <v>ROMANIA</v>
          </cell>
        </row>
        <row r="8265">
          <cell r="L8265" t="str">
            <v>Non-proportional</v>
          </cell>
          <cell r="S8265">
            <v>145.83000000000001</v>
          </cell>
          <cell r="X8265" t="str">
            <v>Commissions - gross</v>
          </cell>
          <cell r="Y8265" t="str">
            <v>ITALY</v>
          </cell>
        </row>
        <row r="8266">
          <cell r="L8266" t="str">
            <v>Non-proportional</v>
          </cell>
          <cell r="S8266">
            <v>328.8</v>
          </cell>
          <cell r="X8266" t="str">
            <v>Commissions - gross</v>
          </cell>
          <cell r="Y8266" t="str">
            <v>CHILE</v>
          </cell>
        </row>
        <row r="8267">
          <cell r="L8267" t="str">
            <v>Non-proportional</v>
          </cell>
          <cell r="S8267">
            <v>280.89</v>
          </cell>
          <cell r="X8267" t="str">
            <v>Commissions - gross</v>
          </cell>
          <cell r="Y8267" t="str">
            <v>ISRAEL</v>
          </cell>
        </row>
        <row r="8268">
          <cell r="L8268" t="str">
            <v>Non-proportional</v>
          </cell>
          <cell r="S8268">
            <v>385.42</v>
          </cell>
          <cell r="X8268" t="str">
            <v>Commissions - gross</v>
          </cell>
          <cell r="Y8268" t="str">
            <v>FRANCE</v>
          </cell>
        </row>
        <row r="8269">
          <cell r="L8269" t="str">
            <v>Non-proportional</v>
          </cell>
          <cell r="S8269">
            <v>550.22</v>
          </cell>
          <cell r="X8269" t="str">
            <v>Commissions - gross</v>
          </cell>
          <cell r="Y8269" t="str">
            <v>COLOMBIA</v>
          </cell>
        </row>
        <row r="8270">
          <cell r="L8270" t="str">
            <v>Non-proportional</v>
          </cell>
          <cell r="S8270">
            <v>306.05</v>
          </cell>
          <cell r="X8270" t="str">
            <v>Commissions - gross</v>
          </cell>
          <cell r="Y8270" t="str">
            <v>JAPAN</v>
          </cell>
        </row>
        <row r="8271">
          <cell r="L8271" t="str">
            <v>Non-proportional</v>
          </cell>
          <cell r="S8271">
            <v>591.84</v>
          </cell>
          <cell r="X8271" t="str">
            <v>Commissions - gross</v>
          </cell>
          <cell r="Y8271" t="str">
            <v>EUROPE</v>
          </cell>
        </row>
        <row r="8272">
          <cell r="L8272" t="str">
            <v>Non-proportional</v>
          </cell>
          <cell r="S8272">
            <v>-6.07</v>
          </cell>
          <cell r="X8272" t="str">
            <v>Commissions - gross</v>
          </cell>
          <cell r="Y8272" t="str">
            <v>JAPAN</v>
          </cell>
        </row>
        <row r="8273">
          <cell r="L8273" t="str">
            <v>Non-proportional</v>
          </cell>
          <cell r="S8273">
            <v>-5.9</v>
          </cell>
          <cell r="X8273" t="str">
            <v>Commissions - gross</v>
          </cell>
          <cell r="Y8273" t="str">
            <v>JAPAN</v>
          </cell>
        </row>
        <row r="8274">
          <cell r="L8274" t="str">
            <v>Non-proportional</v>
          </cell>
          <cell r="S8274">
            <v>227.35</v>
          </cell>
          <cell r="X8274" t="str">
            <v>Commissions - gross</v>
          </cell>
          <cell r="Y8274" t="str">
            <v>ECUADOR</v>
          </cell>
        </row>
        <row r="8275">
          <cell r="L8275" t="str">
            <v>Non-proportional</v>
          </cell>
          <cell r="S8275">
            <v>-5.24</v>
          </cell>
          <cell r="X8275" t="str">
            <v>Commissions - gross</v>
          </cell>
          <cell r="Y8275" t="str">
            <v>DOMINICAN REPUBLIC</v>
          </cell>
        </row>
        <row r="8276">
          <cell r="L8276" t="str">
            <v>Non-proportional</v>
          </cell>
          <cell r="S8276">
            <v>127.04</v>
          </cell>
          <cell r="X8276" t="str">
            <v>Commissions - gross</v>
          </cell>
          <cell r="Y8276" t="str">
            <v>PERU</v>
          </cell>
        </row>
        <row r="8277">
          <cell r="L8277" t="str">
            <v>Non-proportional</v>
          </cell>
          <cell r="S8277">
            <v>390.08</v>
          </cell>
          <cell r="X8277" t="str">
            <v>Commissions - gross</v>
          </cell>
          <cell r="Y8277" t="str">
            <v>EUROPE</v>
          </cell>
        </row>
        <row r="8278">
          <cell r="L8278" t="str">
            <v>Non-proportional</v>
          </cell>
          <cell r="S8278">
            <v>93.63</v>
          </cell>
          <cell r="X8278" t="str">
            <v>Commissions - gross</v>
          </cell>
          <cell r="Y8278" t="str">
            <v>ISRAEL</v>
          </cell>
        </row>
        <row r="8279">
          <cell r="L8279" t="str">
            <v>Non-proportional</v>
          </cell>
          <cell r="S8279">
            <v>4713.28</v>
          </cell>
          <cell r="X8279" t="str">
            <v>Commissions - gross</v>
          </cell>
          <cell r="Y8279" t="str">
            <v>UNITED KINGDOM</v>
          </cell>
        </row>
        <row r="8280">
          <cell r="L8280" t="str">
            <v>Non-proportional</v>
          </cell>
          <cell r="S8280">
            <v>-22.38</v>
          </cell>
          <cell r="X8280" t="str">
            <v>Commissions - gross</v>
          </cell>
          <cell r="Y8280" t="str">
            <v>NEW ZEALAND</v>
          </cell>
        </row>
        <row r="8281">
          <cell r="L8281" t="str">
            <v>Proportional</v>
          </cell>
          <cell r="S8281">
            <v>1042.83</v>
          </cell>
          <cell r="X8281" t="str">
            <v>Commissions - gross</v>
          </cell>
          <cell r="Y8281" t="str">
            <v>MEXICO</v>
          </cell>
        </row>
        <row r="8282">
          <cell r="L8282" t="str">
            <v>Non-proportional</v>
          </cell>
          <cell r="S8282">
            <v>590.54</v>
          </cell>
          <cell r="X8282" t="str">
            <v>Commissions - gross</v>
          </cell>
          <cell r="Y8282" t="str">
            <v>AUSTRALIA</v>
          </cell>
        </row>
        <row r="8283">
          <cell r="L8283" t="str">
            <v>Non-proportional</v>
          </cell>
          <cell r="S8283">
            <v>2940.68</v>
          </cell>
          <cell r="X8283" t="str">
            <v>Commissions - gross</v>
          </cell>
          <cell r="Y8283" t="str">
            <v>TURKEY</v>
          </cell>
        </row>
        <row r="8284">
          <cell r="L8284" t="str">
            <v>Non-proportional</v>
          </cell>
          <cell r="S8284">
            <v>695.78</v>
          </cell>
          <cell r="X8284" t="str">
            <v>Commissions - gross</v>
          </cell>
          <cell r="Y8284" t="str">
            <v>ITALY</v>
          </cell>
        </row>
        <row r="8285">
          <cell r="L8285" t="str">
            <v>Non-proportional</v>
          </cell>
          <cell r="S8285">
            <v>1594.94</v>
          </cell>
          <cell r="X8285" t="str">
            <v>Commissions - gross</v>
          </cell>
          <cell r="Y8285" t="str">
            <v>SOUTH KOREA</v>
          </cell>
        </row>
        <row r="8286">
          <cell r="L8286" t="str">
            <v>Non-proportional</v>
          </cell>
          <cell r="S8286">
            <v>145.83000000000001</v>
          </cell>
          <cell r="X8286" t="str">
            <v>Commissions - gross</v>
          </cell>
          <cell r="Y8286" t="str">
            <v>GREECE</v>
          </cell>
        </row>
        <row r="8287">
          <cell r="L8287" t="str">
            <v>Non-proportional</v>
          </cell>
          <cell r="S8287">
            <v>305.75</v>
          </cell>
          <cell r="X8287" t="str">
            <v>Commissions - gross</v>
          </cell>
          <cell r="Y8287" t="str">
            <v>UNITED KINGDOM</v>
          </cell>
        </row>
        <row r="8288">
          <cell r="L8288" t="str">
            <v>Non-proportional</v>
          </cell>
          <cell r="S8288">
            <v>95.79</v>
          </cell>
          <cell r="X8288" t="str">
            <v>Commissions - gross</v>
          </cell>
          <cell r="Y8288" t="str">
            <v>ECUADOR</v>
          </cell>
        </row>
        <row r="8289">
          <cell r="L8289" t="str">
            <v>Non-proportional</v>
          </cell>
          <cell r="S8289">
            <v>177.83</v>
          </cell>
          <cell r="X8289" t="str">
            <v>Commissions - gross</v>
          </cell>
          <cell r="Y8289" t="str">
            <v>SOUTH AFRICA</v>
          </cell>
        </row>
        <row r="8290">
          <cell r="L8290" t="str">
            <v>Non-proportional</v>
          </cell>
          <cell r="S8290">
            <v>-5.68</v>
          </cell>
          <cell r="X8290" t="str">
            <v>Commissions - gross</v>
          </cell>
          <cell r="Y8290" t="str">
            <v>JAPAN</v>
          </cell>
        </row>
        <row r="8291">
          <cell r="L8291" t="str">
            <v>Non-proportional</v>
          </cell>
          <cell r="S8291">
            <v>674.07</v>
          </cell>
          <cell r="X8291" t="str">
            <v>Commissions - gross</v>
          </cell>
          <cell r="Y8291" t="str">
            <v>MEXICO</v>
          </cell>
        </row>
        <row r="8292">
          <cell r="L8292" t="str">
            <v>Non-proportional</v>
          </cell>
          <cell r="S8292">
            <v>4686.47</v>
          </cell>
          <cell r="X8292" t="str">
            <v>Commissions - gross</v>
          </cell>
          <cell r="Y8292" t="str">
            <v>FRANCE</v>
          </cell>
        </row>
        <row r="8293">
          <cell r="L8293" t="str">
            <v>Non-proportional</v>
          </cell>
          <cell r="S8293">
            <v>322.37</v>
          </cell>
          <cell r="X8293" t="str">
            <v>Commissions - gross</v>
          </cell>
          <cell r="Y8293" t="str">
            <v>GUATEMALA</v>
          </cell>
        </row>
        <row r="8294">
          <cell r="L8294" t="str">
            <v>Non-proportional</v>
          </cell>
          <cell r="S8294">
            <v>255.74</v>
          </cell>
          <cell r="X8294" t="str">
            <v>Commissions - gross</v>
          </cell>
          <cell r="Y8294" t="str">
            <v>CHILE</v>
          </cell>
        </row>
        <row r="8295">
          <cell r="L8295" t="str">
            <v>Non-proportional</v>
          </cell>
          <cell r="S8295">
            <v>97.5</v>
          </cell>
          <cell r="X8295" t="str">
            <v>Commissions - gross</v>
          </cell>
          <cell r="Y8295" t="str">
            <v>GREECE</v>
          </cell>
        </row>
        <row r="8296">
          <cell r="L8296" t="str">
            <v>Non-proportional</v>
          </cell>
          <cell r="S8296">
            <v>1445.11</v>
          </cell>
          <cell r="X8296" t="str">
            <v>Commissions - gross</v>
          </cell>
          <cell r="Y8296" t="str">
            <v>UNITED KINGDOM</v>
          </cell>
        </row>
        <row r="8297">
          <cell r="L8297" t="str">
            <v>Non-proportional</v>
          </cell>
          <cell r="S8297">
            <v>-7682.38</v>
          </cell>
          <cell r="X8297" t="str">
            <v>Commissions - gross</v>
          </cell>
          <cell r="Y8297" t="str">
            <v>GERMANY</v>
          </cell>
        </row>
        <row r="8298">
          <cell r="L8298" t="str">
            <v>Non-proportional</v>
          </cell>
          <cell r="S8298">
            <v>401.87</v>
          </cell>
          <cell r="X8298" t="str">
            <v>Commissions - gross</v>
          </cell>
          <cell r="Y8298" t="str">
            <v>CHILE</v>
          </cell>
        </row>
        <row r="8299">
          <cell r="L8299" t="str">
            <v>Non-proportional</v>
          </cell>
          <cell r="S8299">
            <v>77.150000000000006</v>
          </cell>
          <cell r="X8299" t="str">
            <v>Commissions - gross</v>
          </cell>
          <cell r="Y8299" t="str">
            <v>GERMANY</v>
          </cell>
        </row>
        <row r="8300">
          <cell r="L8300" t="str">
            <v>Non-proportional</v>
          </cell>
          <cell r="S8300">
            <v>1674.67</v>
          </cell>
          <cell r="X8300" t="str">
            <v>Commissions - gross</v>
          </cell>
          <cell r="Y8300" t="str">
            <v>AUSTRALIA</v>
          </cell>
        </row>
        <row r="8301">
          <cell r="L8301" t="str">
            <v>Non-proportional</v>
          </cell>
          <cell r="S8301">
            <v>1588.55</v>
          </cell>
          <cell r="X8301" t="str">
            <v>Commissions - gross</v>
          </cell>
          <cell r="Y8301" t="str">
            <v>EUROPE</v>
          </cell>
        </row>
        <row r="8302">
          <cell r="L8302" t="str">
            <v>Non-proportional</v>
          </cell>
          <cell r="S8302">
            <v>1433.12</v>
          </cell>
          <cell r="X8302" t="str">
            <v>Commissions - gross</v>
          </cell>
          <cell r="Y8302" t="str">
            <v>FRANCE</v>
          </cell>
        </row>
        <row r="8303">
          <cell r="L8303" t="str">
            <v>Non-proportional</v>
          </cell>
          <cell r="S8303">
            <v>750.3</v>
          </cell>
          <cell r="X8303" t="str">
            <v>Commissions - gross</v>
          </cell>
          <cell r="Y8303" t="str">
            <v>CYPRUS</v>
          </cell>
        </row>
        <row r="8304">
          <cell r="L8304" t="str">
            <v>Non-proportional</v>
          </cell>
          <cell r="S8304">
            <v>0</v>
          </cell>
          <cell r="X8304" t="str">
            <v>Commissions - gross</v>
          </cell>
          <cell r="Y8304" t="str">
            <v>DOMINICAN REPUBLIC</v>
          </cell>
        </row>
        <row r="8305">
          <cell r="L8305" t="str">
            <v>Non-proportional</v>
          </cell>
          <cell r="S8305">
            <v>85.6</v>
          </cell>
          <cell r="X8305" t="str">
            <v>Commissions - gross</v>
          </cell>
          <cell r="Y8305" t="str">
            <v>FRANCE</v>
          </cell>
        </row>
        <row r="8306">
          <cell r="L8306" t="str">
            <v>Non-proportional</v>
          </cell>
          <cell r="S8306">
            <v>-28000</v>
          </cell>
          <cell r="X8306" t="str">
            <v>Commissions - gross</v>
          </cell>
          <cell r="Y8306" t="str">
            <v>ITALY</v>
          </cell>
        </row>
        <row r="8307">
          <cell r="L8307" t="str">
            <v>Non-proportional</v>
          </cell>
          <cell r="S8307">
            <v>-5.78</v>
          </cell>
          <cell r="X8307" t="str">
            <v>Commissions - gross</v>
          </cell>
          <cell r="Y8307" t="str">
            <v>NEW ZEALAND</v>
          </cell>
        </row>
        <row r="8308">
          <cell r="L8308" t="str">
            <v>Non-proportional</v>
          </cell>
          <cell r="S8308">
            <v>1151.8399999999999</v>
          </cell>
          <cell r="X8308" t="str">
            <v>Commissions - gross</v>
          </cell>
          <cell r="Y8308" t="str">
            <v>AUSTRALIA</v>
          </cell>
        </row>
        <row r="8309">
          <cell r="L8309" t="str">
            <v>Non-proportional</v>
          </cell>
          <cell r="S8309">
            <v>4079.99</v>
          </cell>
          <cell r="X8309" t="str">
            <v>Commissions - gross</v>
          </cell>
          <cell r="Y8309" t="str">
            <v>TURKEY</v>
          </cell>
        </row>
        <row r="8310">
          <cell r="L8310" t="str">
            <v>Non-proportional</v>
          </cell>
          <cell r="S8310">
            <v>390.62</v>
          </cell>
          <cell r="X8310" t="str">
            <v>Commissions - gross</v>
          </cell>
          <cell r="Y8310" t="str">
            <v>EUROPE</v>
          </cell>
        </row>
        <row r="8311">
          <cell r="L8311" t="str">
            <v>Proportional</v>
          </cell>
          <cell r="S8311">
            <v>-9105.33</v>
          </cell>
          <cell r="X8311" t="str">
            <v>Commissions - gross</v>
          </cell>
          <cell r="Y8311" t="str">
            <v>AUSTRALIA</v>
          </cell>
        </row>
        <row r="8312">
          <cell r="L8312" t="str">
            <v>Non-proportional</v>
          </cell>
          <cell r="S8312">
            <v>0</v>
          </cell>
          <cell r="X8312" t="str">
            <v>Commissions - gross</v>
          </cell>
          <cell r="Y8312" t="str">
            <v>DOMINICAN REPUBLIC</v>
          </cell>
        </row>
        <row r="8313">
          <cell r="L8313" t="str">
            <v>Non-proportional</v>
          </cell>
          <cell r="S8313">
            <v>134.25</v>
          </cell>
          <cell r="X8313" t="str">
            <v>Commissions - gross</v>
          </cell>
          <cell r="Y8313" t="str">
            <v>UNITED KINGDOM</v>
          </cell>
        </row>
        <row r="8314">
          <cell r="L8314" t="str">
            <v>Non-proportional</v>
          </cell>
          <cell r="S8314">
            <v>343.99</v>
          </cell>
          <cell r="X8314" t="str">
            <v>Commissions - gross</v>
          </cell>
          <cell r="Y8314" t="str">
            <v>UNITED KINGDOM</v>
          </cell>
        </row>
        <row r="8315">
          <cell r="L8315" t="str">
            <v>Non-proportional</v>
          </cell>
          <cell r="S8315">
            <v>47.92</v>
          </cell>
          <cell r="X8315" t="str">
            <v>Commissions - gross</v>
          </cell>
          <cell r="Y8315" t="str">
            <v>BRAZIL</v>
          </cell>
        </row>
        <row r="8316">
          <cell r="L8316" t="str">
            <v>Non-proportional</v>
          </cell>
          <cell r="S8316">
            <v>870.83</v>
          </cell>
          <cell r="X8316" t="str">
            <v>Commissions - gross</v>
          </cell>
          <cell r="Y8316" t="str">
            <v>TURKEY</v>
          </cell>
        </row>
        <row r="8317">
          <cell r="L8317" t="str">
            <v>Non-proportional</v>
          </cell>
          <cell r="S8317">
            <v>675.16</v>
          </cell>
          <cell r="X8317" t="str">
            <v>Commissions - gross</v>
          </cell>
          <cell r="Y8317" t="str">
            <v>NEW ZEALAND</v>
          </cell>
        </row>
        <row r="8318">
          <cell r="L8318" t="str">
            <v>Non-proportional</v>
          </cell>
          <cell r="S8318">
            <v>1055.96</v>
          </cell>
          <cell r="X8318" t="str">
            <v>Commissions - gross</v>
          </cell>
          <cell r="Y8318" t="str">
            <v>COLOMBIA</v>
          </cell>
        </row>
        <row r="8319">
          <cell r="L8319" t="str">
            <v>Non-proportional</v>
          </cell>
          <cell r="S8319">
            <v>-47.13</v>
          </cell>
          <cell r="X8319" t="str">
            <v>Commissions - gross</v>
          </cell>
          <cell r="Y8319" t="str">
            <v>DOMINICAN REPUBLIC</v>
          </cell>
        </row>
        <row r="8320">
          <cell r="L8320" t="str">
            <v>Non-proportional</v>
          </cell>
          <cell r="S8320">
            <v>1904.61</v>
          </cell>
          <cell r="X8320" t="str">
            <v>Commissions - gross</v>
          </cell>
          <cell r="Y8320" t="str">
            <v>UNITED KINGDOM</v>
          </cell>
        </row>
        <row r="8321">
          <cell r="L8321" t="str">
            <v>Non-proportional</v>
          </cell>
          <cell r="S8321">
            <v>1278.68</v>
          </cell>
          <cell r="X8321" t="str">
            <v>Commissions - gross</v>
          </cell>
          <cell r="Y8321" t="str">
            <v>CHILE</v>
          </cell>
        </row>
        <row r="8322">
          <cell r="L8322" t="str">
            <v>Non-proportional</v>
          </cell>
          <cell r="S8322">
            <v>531.57000000000005</v>
          </cell>
          <cell r="X8322" t="str">
            <v>Commissions - gross</v>
          </cell>
          <cell r="Y8322" t="str">
            <v>DOMINICAN REPUBLIC</v>
          </cell>
        </row>
        <row r="8323">
          <cell r="L8323" t="str">
            <v>Proportional</v>
          </cell>
          <cell r="S8323">
            <v>572.5</v>
          </cell>
          <cell r="X8323" t="str">
            <v>Commissions - gross</v>
          </cell>
          <cell r="Y8323" t="str">
            <v>JAPAN</v>
          </cell>
        </row>
        <row r="8324">
          <cell r="L8324" t="str">
            <v>Proportional</v>
          </cell>
          <cell r="S8324">
            <v>3384.93</v>
          </cell>
          <cell r="X8324" t="str">
            <v>Commissions - gross</v>
          </cell>
          <cell r="Y8324" t="str">
            <v>UNITED STATES</v>
          </cell>
        </row>
        <row r="8325">
          <cell r="L8325" t="str">
            <v>Non-proportional</v>
          </cell>
          <cell r="S8325">
            <v>425.02</v>
          </cell>
          <cell r="X8325" t="str">
            <v>Commissions - gross</v>
          </cell>
          <cell r="Y8325" t="str">
            <v>ITALY</v>
          </cell>
        </row>
        <row r="8326">
          <cell r="L8326" t="str">
            <v>Non-proportional</v>
          </cell>
          <cell r="S8326">
            <v>2475</v>
          </cell>
          <cell r="X8326" t="str">
            <v>Commissions - gross</v>
          </cell>
          <cell r="Y8326" t="str">
            <v>GREECE</v>
          </cell>
        </row>
        <row r="8327">
          <cell r="L8327" t="str">
            <v>Non-proportional</v>
          </cell>
          <cell r="S8327">
            <v>1266.46</v>
          </cell>
          <cell r="X8327" t="str">
            <v>Commissions - gross</v>
          </cell>
          <cell r="Y8327" t="str">
            <v>FRANCE</v>
          </cell>
        </row>
        <row r="8328">
          <cell r="L8328" t="str">
            <v>Non-proportional</v>
          </cell>
          <cell r="S8328">
            <v>2.99</v>
          </cell>
          <cell r="X8328" t="str">
            <v>Commissions - gross</v>
          </cell>
          <cell r="Y8328" t="str">
            <v>BRAZIL</v>
          </cell>
        </row>
        <row r="8329">
          <cell r="L8329" t="str">
            <v>Non-proportional</v>
          </cell>
          <cell r="S8329">
            <v>98.48</v>
          </cell>
          <cell r="X8329" t="str">
            <v>Commissions - gross</v>
          </cell>
          <cell r="Y8329" t="str">
            <v>DOMINICAN REPUBLIC</v>
          </cell>
        </row>
        <row r="8330">
          <cell r="L8330" t="str">
            <v>Non-proportional</v>
          </cell>
          <cell r="S8330">
            <v>818.46</v>
          </cell>
          <cell r="X8330" t="str">
            <v>Commissions - gross</v>
          </cell>
          <cell r="Y8330" t="str">
            <v>MEXICO</v>
          </cell>
        </row>
        <row r="8331">
          <cell r="L8331" t="str">
            <v>Non-proportional</v>
          </cell>
          <cell r="S8331">
            <v>957.91</v>
          </cell>
          <cell r="X8331" t="str">
            <v>Commissions - gross</v>
          </cell>
          <cell r="Y8331" t="str">
            <v>CHINA</v>
          </cell>
        </row>
        <row r="8332">
          <cell r="L8332" t="str">
            <v>Non-proportional</v>
          </cell>
          <cell r="S8332">
            <v>-16100.51</v>
          </cell>
          <cell r="X8332" t="str">
            <v>Commissions - gross</v>
          </cell>
          <cell r="Y8332" t="str">
            <v>PUERTO RICO</v>
          </cell>
        </row>
        <row r="8333">
          <cell r="L8333" t="str">
            <v>Non-proportional</v>
          </cell>
          <cell r="S8333">
            <v>1244.77</v>
          </cell>
          <cell r="X8333" t="str">
            <v>Commissions - gross</v>
          </cell>
          <cell r="Y8333" t="str">
            <v>COSTA RICA</v>
          </cell>
        </row>
        <row r="8334">
          <cell r="L8334" t="str">
            <v>Non-proportional</v>
          </cell>
          <cell r="S8334">
            <v>-11.59</v>
          </cell>
          <cell r="X8334" t="str">
            <v>Commissions - gross</v>
          </cell>
          <cell r="Y8334" t="str">
            <v>JAPAN</v>
          </cell>
        </row>
        <row r="8335">
          <cell r="L8335" t="str">
            <v>Proportional</v>
          </cell>
          <cell r="S8335">
            <v>1273.57</v>
          </cell>
          <cell r="X8335" t="str">
            <v>Commissions - gross</v>
          </cell>
          <cell r="Y8335" t="str">
            <v>CANADA</v>
          </cell>
        </row>
        <row r="8336">
          <cell r="L8336" t="str">
            <v>Non-proportional</v>
          </cell>
          <cell r="S8336">
            <v>421.18</v>
          </cell>
          <cell r="X8336" t="str">
            <v>Commissions - gross</v>
          </cell>
          <cell r="Y8336" t="str">
            <v>DOMINICAN REPUBLIC</v>
          </cell>
        </row>
        <row r="8337">
          <cell r="L8337" t="str">
            <v>Non-proportional</v>
          </cell>
          <cell r="S8337">
            <v>292.27</v>
          </cell>
          <cell r="X8337" t="str">
            <v>Commissions - gross</v>
          </cell>
          <cell r="Y8337" t="str">
            <v>CHILE</v>
          </cell>
        </row>
        <row r="8338">
          <cell r="L8338" t="str">
            <v>Non-proportional</v>
          </cell>
          <cell r="S8338">
            <v>2665.07</v>
          </cell>
          <cell r="X8338" t="str">
            <v>Commissions - gross</v>
          </cell>
          <cell r="Y8338" t="str">
            <v>TURKEY</v>
          </cell>
        </row>
        <row r="8339">
          <cell r="L8339" t="str">
            <v>Non-proportional</v>
          </cell>
          <cell r="S8339">
            <v>255.19</v>
          </cell>
          <cell r="X8339" t="str">
            <v>Commissions - gross</v>
          </cell>
          <cell r="Y8339" t="str">
            <v>ECUADOR</v>
          </cell>
        </row>
        <row r="8340">
          <cell r="L8340" t="str">
            <v>Non-proportional</v>
          </cell>
          <cell r="S8340">
            <v>260.8</v>
          </cell>
          <cell r="X8340" t="str">
            <v>Commissions - gross</v>
          </cell>
          <cell r="Y8340" t="str">
            <v>ISRAEL</v>
          </cell>
        </row>
        <row r="8341">
          <cell r="L8341" t="str">
            <v>Non-proportional</v>
          </cell>
          <cell r="S8341">
            <v>489.1</v>
          </cell>
          <cell r="X8341" t="str">
            <v>Commissions - gross</v>
          </cell>
          <cell r="Y8341" t="str">
            <v>UNITED KINGDOM</v>
          </cell>
        </row>
        <row r="8342">
          <cell r="L8342" t="str">
            <v>Non-proportional</v>
          </cell>
          <cell r="S8342">
            <v>73.069999999999993</v>
          </cell>
          <cell r="X8342" t="str">
            <v>Commissions - gross</v>
          </cell>
          <cell r="Y8342" t="str">
            <v>CHILE</v>
          </cell>
        </row>
        <row r="8343">
          <cell r="L8343" t="str">
            <v>Non-proportional</v>
          </cell>
          <cell r="S8343">
            <v>4609.12</v>
          </cell>
          <cell r="X8343" t="str">
            <v>Commissions - gross</v>
          </cell>
          <cell r="Y8343" t="str">
            <v>UNITED KINGDOM</v>
          </cell>
        </row>
        <row r="8344">
          <cell r="L8344" t="str">
            <v>Non-proportional</v>
          </cell>
          <cell r="S8344">
            <v>194.65</v>
          </cell>
          <cell r="X8344" t="str">
            <v>Commissions - gross</v>
          </cell>
          <cell r="Y8344" t="str">
            <v>REPUBLIC OF IRELAND</v>
          </cell>
        </row>
        <row r="8345">
          <cell r="L8345" t="str">
            <v>Non-proportional</v>
          </cell>
          <cell r="S8345">
            <v>6.09</v>
          </cell>
          <cell r="X8345" t="str">
            <v>Commissions - gross</v>
          </cell>
          <cell r="Y8345" t="str">
            <v>ISRAEL</v>
          </cell>
        </row>
        <row r="8346">
          <cell r="L8346" t="str">
            <v>Non-proportional</v>
          </cell>
          <cell r="S8346">
            <v>-38.36</v>
          </cell>
          <cell r="X8346" t="str">
            <v>Commissions - gross</v>
          </cell>
          <cell r="Y8346" t="str">
            <v>NEW ZEALAND</v>
          </cell>
        </row>
        <row r="8347">
          <cell r="L8347" t="str">
            <v>Non-proportional</v>
          </cell>
          <cell r="S8347">
            <v>-27.03</v>
          </cell>
          <cell r="X8347" t="str">
            <v>Commissions - gross</v>
          </cell>
          <cell r="Y8347" t="str">
            <v>NEW ZEALAND</v>
          </cell>
        </row>
        <row r="8348">
          <cell r="L8348" t="str">
            <v>Non-proportional</v>
          </cell>
          <cell r="S8348">
            <v>584.54</v>
          </cell>
          <cell r="X8348" t="str">
            <v>Commissions - gross</v>
          </cell>
          <cell r="Y8348" t="str">
            <v>CHILE</v>
          </cell>
        </row>
        <row r="8349">
          <cell r="L8349" t="str">
            <v>Non-proportional</v>
          </cell>
          <cell r="S8349">
            <v>204.38</v>
          </cell>
          <cell r="X8349" t="str">
            <v>Commissions - gross</v>
          </cell>
          <cell r="Y8349" t="str">
            <v>GREECE</v>
          </cell>
        </row>
        <row r="8350">
          <cell r="L8350" t="str">
            <v>Non-proportional</v>
          </cell>
          <cell r="S8350">
            <v>2292.04</v>
          </cell>
          <cell r="X8350" t="str">
            <v>Commissions - gross</v>
          </cell>
          <cell r="Y8350" t="str">
            <v>ISRAEL</v>
          </cell>
        </row>
        <row r="8351">
          <cell r="L8351" t="str">
            <v>Proportional</v>
          </cell>
          <cell r="S8351">
            <v>6061.23</v>
          </cell>
          <cell r="X8351" t="str">
            <v>Commissions - gross</v>
          </cell>
          <cell r="Y8351" t="str">
            <v>UNITED STATES</v>
          </cell>
        </row>
        <row r="8352">
          <cell r="L8352" t="str">
            <v>Non-proportional</v>
          </cell>
          <cell r="S8352">
            <v>671.82</v>
          </cell>
          <cell r="X8352" t="str">
            <v>Commissions - gross</v>
          </cell>
          <cell r="Y8352" t="str">
            <v>JAPAN</v>
          </cell>
        </row>
        <row r="8353">
          <cell r="L8353" t="str">
            <v>Non-proportional</v>
          </cell>
          <cell r="S8353">
            <v>0</v>
          </cell>
          <cell r="X8353" t="str">
            <v>Commissions - gross</v>
          </cell>
          <cell r="Y8353" t="str">
            <v>COLOMBIA</v>
          </cell>
        </row>
        <row r="8354">
          <cell r="L8354" t="str">
            <v>Non-proportional</v>
          </cell>
          <cell r="S8354">
            <v>134.72999999999999</v>
          </cell>
          <cell r="X8354" t="str">
            <v>Commissions - gross</v>
          </cell>
          <cell r="Y8354" t="str">
            <v>PUERTO RICO</v>
          </cell>
        </row>
        <row r="8355">
          <cell r="L8355" t="str">
            <v>Non-proportional</v>
          </cell>
          <cell r="S8355">
            <v>91.18</v>
          </cell>
          <cell r="X8355" t="str">
            <v>Commissions - gross</v>
          </cell>
          <cell r="Y8355" t="str">
            <v>UNITED KINGDOM</v>
          </cell>
        </row>
        <row r="8356">
          <cell r="L8356" t="str">
            <v>Proportional</v>
          </cell>
          <cell r="S8356">
            <v>47.14</v>
          </cell>
          <cell r="X8356" t="str">
            <v>Commissions - gross</v>
          </cell>
          <cell r="Y8356" t="str">
            <v>ITALY</v>
          </cell>
        </row>
        <row r="8357">
          <cell r="L8357" t="str">
            <v>Non-proportional</v>
          </cell>
          <cell r="S8357">
            <v>432.93</v>
          </cell>
          <cell r="X8357" t="str">
            <v>Commissions - gross</v>
          </cell>
          <cell r="Y8357" t="str">
            <v>UNITED KINGDOM</v>
          </cell>
        </row>
        <row r="8358">
          <cell r="L8358" t="str">
            <v>Non-proportional</v>
          </cell>
          <cell r="S8358">
            <v>958.39</v>
          </cell>
          <cell r="X8358" t="str">
            <v>Commissions - gross</v>
          </cell>
          <cell r="Y8358" t="str">
            <v>NEW ZEALAND</v>
          </cell>
        </row>
        <row r="8359">
          <cell r="L8359" t="str">
            <v>Non-proportional</v>
          </cell>
          <cell r="S8359">
            <v>4575.8500000000004</v>
          </cell>
          <cell r="X8359" t="str">
            <v>Commissions - gross</v>
          </cell>
          <cell r="Y8359" t="str">
            <v>TURKEY</v>
          </cell>
        </row>
        <row r="8360">
          <cell r="L8360" t="str">
            <v>Non-proportional</v>
          </cell>
          <cell r="S8360">
            <v>389.99</v>
          </cell>
          <cell r="X8360" t="str">
            <v>Commissions - gross</v>
          </cell>
          <cell r="Y8360" t="str">
            <v>ECUADOR</v>
          </cell>
        </row>
        <row r="8361">
          <cell r="L8361" t="str">
            <v>Non-proportional</v>
          </cell>
          <cell r="S8361">
            <v>388.31</v>
          </cell>
          <cell r="X8361" t="str">
            <v>Commissions - gross</v>
          </cell>
          <cell r="Y8361" t="str">
            <v>NEW ZEALAND</v>
          </cell>
        </row>
        <row r="8362">
          <cell r="L8362" t="str">
            <v>Non-proportional</v>
          </cell>
          <cell r="S8362">
            <v>-6198.5</v>
          </cell>
          <cell r="X8362" t="str">
            <v>Commissions - gross</v>
          </cell>
          <cell r="Y8362" t="str">
            <v>GERMANY</v>
          </cell>
        </row>
        <row r="8363">
          <cell r="L8363" t="str">
            <v>Non-proportional</v>
          </cell>
          <cell r="S8363">
            <v>3004.07</v>
          </cell>
          <cell r="X8363" t="str">
            <v>Commissions - gross</v>
          </cell>
          <cell r="Y8363" t="str">
            <v>UNITED KINGDOM</v>
          </cell>
        </row>
        <row r="8364">
          <cell r="L8364" t="str">
            <v>Proportional</v>
          </cell>
          <cell r="S8364">
            <v>2698.74</v>
          </cell>
          <cell r="X8364" t="str">
            <v>Commissions - gross</v>
          </cell>
          <cell r="Y8364" t="str">
            <v>UNITED STATES</v>
          </cell>
        </row>
        <row r="8365">
          <cell r="L8365" t="str">
            <v>Non-proportional</v>
          </cell>
          <cell r="S8365">
            <v>9.39</v>
          </cell>
          <cell r="X8365" t="str">
            <v>Commissions - gross</v>
          </cell>
          <cell r="Y8365" t="str">
            <v>INDIA</v>
          </cell>
        </row>
        <row r="8366">
          <cell r="L8366" t="str">
            <v>Non-proportional</v>
          </cell>
          <cell r="S8366">
            <v>14.13</v>
          </cell>
          <cell r="X8366" t="str">
            <v>Commissions - gross</v>
          </cell>
          <cell r="Y8366" t="str">
            <v>ISRAEL</v>
          </cell>
        </row>
        <row r="8367">
          <cell r="L8367" t="str">
            <v>Non-proportional</v>
          </cell>
          <cell r="S8367">
            <v>-1.93</v>
          </cell>
          <cell r="X8367" t="str">
            <v>Commissions - gross</v>
          </cell>
          <cell r="Y8367" t="str">
            <v>COLOMBIA</v>
          </cell>
        </row>
        <row r="8368">
          <cell r="L8368" t="str">
            <v>Non-proportional</v>
          </cell>
          <cell r="S8368">
            <v>248.63</v>
          </cell>
          <cell r="X8368" t="str">
            <v>Commissions - gross</v>
          </cell>
          <cell r="Y8368" t="str">
            <v>DOMINICAN REPUBLIC</v>
          </cell>
        </row>
        <row r="8369">
          <cell r="L8369" t="str">
            <v>Proportional</v>
          </cell>
          <cell r="S8369">
            <v>1184.56</v>
          </cell>
          <cell r="X8369" t="str">
            <v>Commissions - gross</v>
          </cell>
          <cell r="Y8369" t="str">
            <v>SWITZERLAND</v>
          </cell>
        </row>
        <row r="8370">
          <cell r="L8370" t="str">
            <v>Non-proportional</v>
          </cell>
          <cell r="S8370">
            <v>122.28</v>
          </cell>
          <cell r="X8370" t="str">
            <v>Commissions - gross</v>
          </cell>
          <cell r="Y8370" t="str">
            <v>COSTA RICA</v>
          </cell>
        </row>
        <row r="8371">
          <cell r="L8371" t="str">
            <v>Non-proportional</v>
          </cell>
          <cell r="S8371">
            <v>608.63</v>
          </cell>
          <cell r="X8371" t="str">
            <v>Commissions - gross</v>
          </cell>
          <cell r="Y8371" t="str">
            <v>ITALY</v>
          </cell>
        </row>
        <row r="8372">
          <cell r="L8372" t="str">
            <v>Non-proportional</v>
          </cell>
          <cell r="S8372">
            <v>379.65</v>
          </cell>
          <cell r="X8372" t="str">
            <v>Commissions - gross</v>
          </cell>
          <cell r="Y8372" t="str">
            <v>ITALY</v>
          </cell>
        </row>
        <row r="8373">
          <cell r="L8373" t="str">
            <v>Non-proportional</v>
          </cell>
          <cell r="S8373">
            <v>39</v>
          </cell>
          <cell r="X8373" t="str">
            <v>Commissions - gross</v>
          </cell>
          <cell r="Y8373" t="str">
            <v>ITALY</v>
          </cell>
        </row>
        <row r="8374">
          <cell r="L8374" t="str">
            <v>Non-proportional</v>
          </cell>
          <cell r="S8374">
            <v>-11.41</v>
          </cell>
          <cell r="X8374" t="str">
            <v>Commissions - gross</v>
          </cell>
          <cell r="Y8374" t="str">
            <v>JAPAN</v>
          </cell>
        </row>
        <row r="8375">
          <cell r="L8375" t="str">
            <v>Non-proportional</v>
          </cell>
          <cell r="S8375">
            <v>542.04999999999995</v>
          </cell>
          <cell r="X8375" t="str">
            <v>Commissions - gross</v>
          </cell>
          <cell r="Y8375" t="str">
            <v>COLOMBIA</v>
          </cell>
        </row>
        <row r="8376">
          <cell r="L8376" t="str">
            <v>Non-proportional</v>
          </cell>
          <cell r="S8376">
            <v>121.17</v>
          </cell>
          <cell r="X8376" t="str">
            <v>Commissions - gross</v>
          </cell>
          <cell r="Y8376" t="str">
            <v>COLOMBIA</v>
          </cell>
        </row>
        <row r="8377">
          <cell r="L8377" t="str">
            <v>Non-proportional</v>
          </cell>
          <cell r="S8377">
            <v>423.85</v>
          </cell>
          <cell r="X8377" t="str">
            <v>Commissions - gross</v>
          </cell>
          <cell r="Y8377" t="str">
            <v>FRANCE</v>
          </cell>
        </row>
        <row r="8378">
          <cell r="L8378" t="str">
            <v>Non-proportional</v>
          </cell>
          <cell r="S8378">
            <v>473.18</v>
          </cell>
          <cell r="X8378" t="str">
            <v>Commissions - gross</v>
          </cell>
          <cell r="Y8378" t="str">
            <v>ECUADOR</v>
          </cell>
        </row>
        <row r="8379">
          <cell r="L8379" t="str">
            <v>Non-proportional</v>
          </cell>
          <cell r="S8379">
            <v>-2.16</v>
          </cell>
          <cell r="X8379" t="str">
            <v>Commissions - gross</v>
          </cell>
          <cell r="Y8379" t="str">
            <v>COLOMBIA</v>
          </cell>
        </row>
        <row r="8380">
          <cell r="L8380" t="str">
            <v>Proportional</v>
          </cell>
          <cell r="S8380">
            <v>-451.38</v>
          </cell>
          <cell r="X8380" t="str">
            <v>Commissions - gross</v>
          </cell>
          <cell r="Y8380" t="str">
            <v>AUSTRALIA</v>
          </cell>
        </row>
        <row r="8381">
          <cell r="L8381" t="str">
            <v>Non-proportional</v>
          </cell>
          <cell r="S8381">
            <v>626.84</v>
          </cell>
          <cell r="X8381" t="str">
            <v>Commissions - gross</v>
          </cell>
          <cell r="Y8381" t="str">
            <v>AUSTRALIA</v>
          </cell>
        </row>
        <row r="8382">
          <cell r="L8382" t="str">
            <v>Non-proportional</v>
          </cell>
          <cell r="S8382">
            <v>553.37</v>
          </cell>
          <cell r="X8382" t="str">
            <v>Commissions - gross</v>
          </cell>
          <cell r="Y8382" t="str">
            <v>UNITED KINGDOM</v>
          </cell>
        </row>
        <row r="8383">
          <cell r="L8383" t="str">
            <v>Non-proportional</v>
          </cell>
          <cell r="S8383">
            <v>2451.91</v>
          </cell>
          <cell r="X8383" t="str">
            <v>Commissions - gross</v>
          </cell>
          <cell r="Y8383" t="str">
            <v>UNITED KINGDOM</v>
          </cell>
        </row>
        <row r="8384">
          <cell r="L8384" t="str">
            <v>Proportional</v>
          </cell>
          <cell r="S8384">
            <v>214.66</v>
          </cell>
          <cell r="X8384" t="str">
            <v>Commissions - gross</v>
          </cell>
          <cell r="Y8384" t="str">
            <v>CHILE</v>
          </cell>
        </row>
        <row r="8385">
          <cell r="L8385" t="str">
            <v>Non-proportional</v>
          </cell>
          <cell r="S8385">
            <v>214.66</v>
          </cell>
          <cell r="X8385" t="str">
            <v>Commissions - gross</v>
          </cell>
          <cell r="Y8385" t="str">
            <v>CHILE</v>
          </cell>
        </row>
        <row r="8386">
          <cell r="L8386" t="str">
            <v>Non-proportional</v>
          </cell>
          <cell r="S8386">
            <v>217.98</v>
          </cell>
          <cell r="X8386" t="str">
            <v>Commissions - gross</v>
          </cell>
          <cell r="Y8386" t="str">
            <v>FRANCE</v>
          </cell>
        </row>
        <row r="8387">
          <cell r="L8387" t="str">
            <v>Non-proportional</v>
          </cell>
          <cell r="S8387">
            <v>289.33999999999997</v>
          </cell>
          <cell r="X8387" t="str">
            <v>Commissions - gross</v>
          </cell>
          <cell r="Y8387" t="str">
            <v>THAILAND</v>
          </cell>
        </row>
        <row r="8388">
          <cell r="L8388" t="str">
            <v>Non-proportional</v>
          </cell>
          <cell r="S8388">
            <v>39456.65</v>
          </cell>
          <cell r="X8388" t="str">
            <v>Commissions - gross</v>
          </cell>
          <cell r="Y8388" t="str">
            <v>UNITED KINGDOM</v>
          </cell>
        </row>
        <row r="8389">
          <cell r="L8389" t="str">
            <v>Non-proportional</v>
          </cell>
          <cell r="S8389">
            <v>181.35</v>
          </cell>
          <cell r="X8389" t="str">
            <v>Commissions - gross</v>
          </cell>
          <cell r="Y8389" t="str">
            <v>JAPAN</v>
          </cell>
        </row>
        <row r="8390">
          <cell r="L8390" t="str">
            <v>Non-proportional</v>
          </cell>
          <cell r="S8390">
            <v>175.63</v>
          </cell>
          <cell r="X8390" t="str">
            <v>Commissions - gross</v>
          </cell>
          <cell r="Y8390" t="str">
            <v>JAPAN</v>
          </cell>
        </row>
        <row r="8391">
          <cell r="L8391" t="str">
            <v>Non-proportional</v>
          </cell>
          <cell r="S8391">
            <v>4079.99</v>
          </cell>
          <cell r="X8391" t="str">
            <v>Commissions - gross</v>
          </cell>
          <cell r="Y8391" t="str">
            <v>TURKEY</v>
          </cell>
        </row>
        <row r="8392">
          <cell r="L8392" t="str">
            <v>Non-proportional</v>
          </cell>
          <cell r="S8392">
            <v>251.77</v>
          </cell>
          <cell r="X8392" t="str">
            <v>Commissions - gross</v>
          </cell>
          <cell r="Y8392" t="str">
            <v>ITALY</v>
          </cell>
        </row>
        <row r="8393">
          <cell r="L8393" t="str">
            <v>Non-proportional</v>
          </cell>
          <cell r="S8393">
            <v>286.76</v>
          </cell>
          <cell r="X8393" t="str">
            <v>Commissions - gross</v>
          </cell>
          <cell r="Y8393" t="str">
            <v>JAPAN</v>
          </cell>
        </row>
        <row r="8394">
          <cell r="L8394" t="str">
            <v>Non-proportional</v>
          </cell>
          <cell r="S8394">
            <v>4.47</v>
          </cell>
          <cell r="X8394" t="str">
            <v>Commissions - gross</v>
          </cell>
          <cell r="Y8394" t="str">
            <v>COLOMBIA</v>
          </cell>
        </row>
        <row r="8395">
          <cell r="L8395" t="str">
            <v>Non-proportional</v>
          </cell>
          <cell r="S8395">
            <v>218.56</v>
          </cell>
          <cell r="X8395" t="str">
            <v>Commissions - gross</v>
          </cell>
          <cell r="Y8395" t="str">
            <v>CHINA</v>
          </cell>
        </row>
        <row r="8396">
          <cell r="L8396" t="str">
            <v>Non-proportional</v>
          </cell>
          <cell r="S8396">
            <v>352.78</v>
          </cell>
          <cell r="X8396" t="str">
            <v>Commissions - gross</v>
          </cell>
          <cell r="Y8396" t="str">
            <v>JAPAN</v>
          </cell>
        </row>
        <row r="8397">
          <cell r="L8397" t="str">
            <v>Non-proportional</v>
          </cell>
          <cell r="S8397">
            <v>1720.25</v>
          </cell>
          <cell r="X8397" t="str">
            <v>Commissions - gross</v>
          </cell>
          <cell r="Y8397" t="str">
            <v>UNITED KINGDOM</v>
          </cell>
        </row>
        <row r="8398">
          <cell r="L8398" t="str">
            <v>Non-proportional</v>
          </cell>
          <cell r="S8398">
            <v>45.05</v>
          </cell>
          <cell r="X8398" t="str">
            <v>Commissions - gross</v>
          </cell>
          <cell r="Y8398" t="str">
            <v>UNITED KINGDOM</v>
          </cell>
        </row>
        <row r="8399">
          <cell r="L8399" t="str">
            <v>Non-proportional</v>
          </cell>
          <cell r="S8399">
            <v>25350.34</v>
          </cell>
          <cell r="X8399" t="str">
            <v>Commissions - gross</v>
          </cell>
          <cell r="Y8399" t="str">
            <v>UNITED KINGDOM</v>
          </cell>
        </row>
        <row r="8400">
          <cell r="L8400" t="str">
            <v>Proportional</v>
          </cell>
          <cell r="S8400">
            <v>5.21</v>
          </cell>
          <cell r="X8400" t="str">
            <v>Commissions - gross</v>
          </cell>
          <cell r="Y8400" t="str">
            <v>UNITED STATES</v>
          </cell>
        </row>
        <row r="8401">
          <cell r="L8401" t="str">
            <v>Non-proportional</v>
          </cell>
          <cell r="S8401">
            <v>261</v>
          </cell>
          <cell r="X8401" t="str">
            <v>Commissions - gross</v>
          </cell>
          <cell r="Y8401" t="str">
            <v>GREECE</v>
          </cell>
        </row>
        <row r="8402">
          <cell r="L8402" t="str">
            <v>Non-proportional</v>
          </cell>
          <cell r="S8402">
            <v>96.96</v>
          </cell>
          <cell r="X8402" t="str">
            <v>Commissions - gross</v>
          </cell>
          <cell r="Y8402" t="str">
            <v>COLOMBIA</v>
          </cell>
        </row>
        <row r="8403">
          <cell r="L8403" t="str">
            <v>Non-proportional</v>
          </cell>
          <cell r="S8403">
            <v>348.91</v>
          </cell>
          <cell r="X8403" t="str">
            <v>Commissions - gross</v>
          </cell>
          <cell r="Y8403" t="str">
            <v>THAILAND</v>
          </cell>
        </row>
        <row r="8404">
          <cell r="L8404" t="str">
            <v>Proportional</v>
          </cell>
          <cell r="S8404">
            <v>-188.77</v>
          </cell>
          <cell r="X8404" t="str">
            <v>Commissions - gross</v>
          </cell>
          <cell r="Y8404" t="str">
            <v>UNITED STATES</v>
          </cell>
        </row>
        <row r="8405">
          <cell r="L8405" t="str">
            <v>Non-proportional</v>
          </cell>
          <cell r="S8405">
            <v>877.51</v>
          </cell>
          <cell r="X8405" t="str">
            <v>Commissions - gross</v>
          </cell>
          <cell r="Y8405" t="str">
            <v>FRANCE</v>
          </cell>
        </row>
        <row r="8406">
          <cell r="L8406" t="str">
            <v>Non-proportional</v>
          </cell>
          <cell r="S8406">
            <v>514.33000000000004</v>
          </cell>
          <cell r="X8406" t="str">
            <v>Commissions - gross</v>
          </cell>
          <cell r="Y8406" t="str">
            <v>UNITED KINGDOM</v>
          </cell>
        </row>
        <row r="8407">
          <cell r="L8407" t="str">
            <v>Non-proportional</v>
          </cell>
          <cell r="S8407">
            <v>18.170000000000002</v>
          </cell>
          <cell r="X8407" t="str">
            <v>Commissions - gross</v>
          </cell>
          <cell r="Y8407" t="str">
            <v>JAPAN</v>
          </cell>
        </row>
        <row r="8408">
          <cell r="L8408" t="str">
            <v>Non-proportional</v>
          </cell>
          <cell r="S8408">
            <v>33.39</v>
          </cell>
          <cell r="X8408" t="str">
            <v>Commissions - gross</v>
          </cell>
          <cell r="Y8408" t="str">
            <v>TURKEY</v>
          </cell>
        </row>
        <row r="8409">
          <cell r="L8409" t="str">
            <v>Non-proportional</v>
          </cell>
          <cell r="S8409">
            <v>314.33</v>
          </cell>
          <cell r="X8409" t="str">
            <v>Commissions - gross</v>
          </cell>
          <cell r="Y8409" t="str">
            <v>GERMANY</v>
          </cell>
        </row>
        <row r="8410">
          <cell r="L8410" t="str">
            <v>Non-proportional</v>
          </cell>
          <cell r="S8410">
            <v>117.23</v>
          </cell>
          <cell r="X8410" t="str">
            <v>Commissions - gross</v>
          </cell>
          <cell r="Y8410" t="str">
            <v>FRANCE</v>
          </cell>
        </row>
        <row r="8411">
          <cell r="L8411" t="str">
            <v>Non-proportional</v>
          </cell>
          <cell r="S8411">
            <v>282.89</v>
          </cell>
          <cell r="X8411" t="str">
            <v>Commissions - gross</v>
          </cell>
          <cell r="Y8411" t="str">
            <v>POLAND</v>
          </cell>
        </row>
        <row r="8412">
          <cell r="L8412" t="str">
            <v>Non-proportional</v>
          </cell>
          <cell r="S8412">
            <v>2137.92</v>
          </cell>
          <cell r="X8412" t="str">
            <v>Commissions - gross</v>
          </cell>
          <cell r="Y8412" t="str">
            <v>UNITED KINGDOM</v>
          </cell>
        </row>
        <row r="8413">
          <cell r="L8413" t="str">
            <v>Non-proportional</v>
          </cell>
          <cell r="S8413">
            <v>884.39</v>
          </cell>
          <cell r="X8413" t="str">
            <v>Commissions - gross</v>
          </cell>
          <cell r="Y8413" t="str">
            <v>TURKEY</v>
          </cell>
        </row>
        <row r="8414">
          <cell r="L8414" t="str">
            <v>Non-proportional</v>
          </cell>
          <cell r="S8414">
            <v>480.68</v>
          </cell>
          <cell r="X8414" t="str">
            <v>Commissions - gross</v>
          </cell>
          <cell r="Y8414" t="str">
            <v>NEW ZEALAND</v>
          </cell>
        </row>
        <row r="8415">
          <cell r="L8415" t="str">
            <v>Non-proportional</v>
          </cell>
          <cell r="S8415">
            <v>467.51</v>
          </cell>
          <cell r="X8415" t="str">
            <v>Commissions - gross</v>
          </cell>
          <cell r="Y8415" t="str">
            <v>CYPRUS</v>
          </cell>
        </row>
        <row r="8416">
          <cell r="L8416" t="str">
            <v>Non-proportional</v>
          </cell>
          <cell r="S8416">
            <v>85.32</v>
          </cell>
          <cell r="X8416" t="str">
            <v>Commissions - gross</v>
          </cell>
          <cell r="Y8416" t="str">
            <v>COSTA RICA</v>
          </cell>
        </row>
        <row r="8417">
          <cell r="L8417" t="str">
            <v>Non-proportional</v>
          </cell>
          <cell r="S8417">
            <v>1265.96</v>
          </cell>
          <cell r="X8417" t="str">
            <v>Commissions - gross</v>
          </cell>
          <cell r="Y8417" t="str">
            <v>ITALY</v>
          </cell>
        </row>
        <row r="8418">
          <cell r="L8418" t="str">
            <v>Non-proportional</v>
          </cell>
          <cell r="S8418">
            <v>14.63</v>
          </cell>
          <cell r="X8418" t="str">
            <v>Commissions - gross</v>
          </cell>
          <cell r="Y8418" t="str">
            <v>FRANCE</v>
          </cell>
        </row>
        <row r="8419">
          <cell r="L8419" t="str">
            <v>Non-proportional</v>
          </cell>
          <cell r="S8419">
            <v>390.02</v>
          </cell>
          <cell r="X8419" t="str">
            <v>Commissions - gross</v>
          </cell>
          <cell r="Y8419" t="str">
            <v>AUSTRALIA</v>
          </cell>
        </row>
        <row r="8420">
          <cell r="L8420" t="str">
            <v>Non-proportional</v>
          </cell>
          <cell r="S8420">
            <v>500.11</v>
          </cell>
          <cell r="X8420" t="str">
            <v>Commissions - gross</v>
          </cell>
          <cell r="Y8420" t="str">
            <v>ITALY</v>
          </cell>
        </row>
        <row r="8421">
          <cell r="L8421" t="str">
            <v>Non-proportional</v>
          </cell>
          <cell r="S8421">
            <v>1151.06</v>
          </cell>
          <cell r="X8421" t="str">
            <v>Commissions - gross</v>
          </cell>
          <cell r="Y8421" t="str">
            <v>EUROPE</v>
          </cell>
        </row>
        <row r="8422">
          <cell r="L8422" t="str">
            <v>Non-proportional</v>
          </cell>
          <cell r="S8422">
            <v>1397.88</v>
          </cell>
          <cell r="X8422" t="str">
            <v>Commissions - gross</v>
          </cell>
          <cell r="Y8422" t="str">
            <v>UNITED KINGDOM</v>
          </cell>
        </row>
        <row r="8423">
          <cell r="L8423" t="str">
            <v>Non-proportional</v>
          </cell>
          <cell r="S8423">
            <v>-3.53</v>
          </cell>
          <cell r="X8423" t="str">
            <v>Commissions - gross</v>
          </cell>
          <cell r="Y8423" t="str">
            <v>JAPAN</v>
          </cell>
        </row>
        <row r="8424">
          <cell r="L8424" t="str">
            <v>Non-proportional</v>
          </cell>
          <cell r="S8424">
            <v>297.61</v>
          </cell>
          <cell r="X8424" t="str">
            <v>Commissions - gross</v>
          </cell>
          <cell r="Y8424" t="str">
            <v>DOMINICAN REPUBLIC</v>
          </cell>
        </row>
        <row r="8425">
          <cell r="L8425" t="str">
            <v>Proportional</v>
          </cell>
          <cell r="S8425">
            <v>35.78</v>
          </cell>
          <cell r="X8425" t="str">
            <v>Commissions - gross</v>
          </cell>
          <cell r="Y8425" t="str">
            <v>CHILE</v>
          </cell>
        </row>
        <row r="8426">
          <cell r="L8426" t="str">
            <v>Non-proportional</v>
          </cell>
          <cell r="S8426">
            <v>795.43</v>
          </cell>
          <cell r="X8426" t="str">
            <v>Commissions - gross</v>
          </cell>
          <cell r="Y8426" t="str">
            <v>UNITED KINGDOM</v>
          </cell>
        </row>
        <row r="8427">
          <cell r="L8427" t="str">
            <v>Non-proportional</v>
          </cell>
          <cell r="S8427">
            <v>181.44</v>
          </cell>
          <cell r="X8427" t="str">
            <v>Commissions - gross</v>
          </cell>
          <cell r="Y8427" t="str">
            <v>SOUTH AFRICA</v>
          </cell>
        </row>
        <row r="8428">
          <cell r="L8428" t="str">
            <v>Non-proportional</v>
          </cell>
          <cell r="S8428">
            <v>178.88</v>
          </cell>
          <cell r="X8428" t="str">
            <v>Commissions - gross</v>
          </cell>
          <cell r="Y8428" t="str">
            <v>CHILE</v>
          </cell>
        </row>
        <row r="8429">
          <cell r="L8429" t="str">
            <v>Non-proportional</v>
          </cell>
          <cell r="S8429">
            <v>-6235.31</v>
          </cell>
          <cell r="X8429" t="str">
            <v>Commissions - gross</v>
          </cell>
          <cell r="Y8429" t="str">
            <v>UNITED KINGDOM</v>
          </cell>
        </row>
        <row r="8430">
          <cell r="L8430" t="str">
            <v>Non-proportional</v>
          </cell>
          <cell r="S8430">
            <v>1448.39</v>
          </cell>
          <cell r="X8430" t="str">
            <v>Commissions - gross</v>
          </cell>
          <cell r="Y8430" t="str">
            <v>FRANCE</v>
          </cell>
        </row>
        <row r="8431">
          <cell r="L8431" t="str">
            <v>Non-proportional</v>
          </cell>
          <cell r="S8431">
            <v>71.95</v>
          </cell>
          <cell r="X8431" t="str">
            <v>Commissions - gross</v>
          </cell>
          <cell r="Y8431" t="str">
            <v>ISRAEL</v>
          </cell>
        </row>
        <row r="8432">
          <cell r="L8432" t="str">
            <v>Non-proportional</v>
          </cell>
          <cell r="S8432">
            <v>204.38</v>
          </cell>
          <cell r="X8432" t="str">
            <v>Commissions - gross</v>
          </cell>
          <cell r="Y8432" t="str">
            <v>GREECE</v>
          </cell>
        </row>
        <row r="8433">
          <cell r="L8433" t="str">
            <v>Non-proportional</v>
          </cell>
          <cell r="S8433">
            <v>107.41</v>
          </cell>
          <cell r="X8433" t="str">
            <v>Commissions - gross</v>
          </cell>
          <cell r="Y8433" t="str">
            <v>JAPAN</v>
          </cell>
        </row>
        <row r="8434">
          <cell r="L8434" t="str">
            <v>Non-proportional</v>
          </cell>
          <cell r="S8434">
            <v>849.94</v>
          </cell>
          <cell r="X8434" t="str">
            <v>Commissions - gross</v>
          </cell>
          <cell r="Y8434" t="str">
            <v>ECUADOR</v>
          </cell>
        </row>
        <row r="8435">
          <cell r="L8435" t="str">
            <v>Non-proportional</v>
          </cell>
          <cell r="S8435">
            <v>35.78</v>
          </cell>
          <cell r="X8435" t="str">
            <v>Commissions - gross</v>
          </cell>
          <cell r="Y8435" t="str">
            <v>CHILE</v>
          </cell>
        </row>
        <row r="8436">
          <cell r="L8436" t="str">
            <v>Non-proportional</v>
          </cell>
          <cell r="S8436">
            <v>949.19</v>
          </cell>
          <cell r="X8436" t="str">
            <v>Commissions - gross</v>
          </cell>
          <cell r="Y8436" t="str">
            <v>UNITED KINGDOM</v>
          </cell>
        </row>
        <row r="8437">
          <cell r="L8437" t="str">
            <v>Non-proportional</v>
          </cell>
          <cell r="S8437">
            <v>-11.52</v>
          </cell>
          <cell r="X8437" t="str">
            <v>Commissions - gross</v>
          </cell>
          <cell r="Y8437" t="str">
            <v>JAPAN</v>
          </cell>
        </row>
        <row r="8438">
          <cell r="L8438" t="str">
            <v>Non-proportional</v>
          </cell>
          <cell r="S8438">
            <v>-15.28</v>
          </cell>
          <cell r="X8438" t="str">
            <v>Commissions - gross</v>
          </cell>
          <cell r="Y8438" t="str">
            <v>NEW ZEALAND</v>
          </cell>
        </row>
        <row r="8439">
          <cell r="L8439" t="str">
            <v>Non-proportional</v>
          </cell>
          <cell r="S8439">
            <v>1180.6300000000001</v>
          </cell>
          <cell r="X8439" t="str">
            <v>Commissions - gross</v>
          </cell>
          <cell r="Y8439" t="str">
            <v>CHILE</v>
          </cell>
        </row>
        <row r="8440">
          <cell r="L8440" t="str">
            <v>Non-proportional</v>
          </cell>
          <cell r="S8440">
            <v>690.38</v>
          </cell>
          <cell r="X8440" t="str">
            <v>Commissions - gross</v>
          </cell>
          <cell r="Y8440" t="str">
            <v>UNITED KINGDOM</v>
          </cell>
        </row>
        <row r="8441">
          <cell r="L8441" t="str">
            <v>Non-proportional</v>
          </cell>
          <cell r="S8441">
            <v>-6.75</v>
          </cell>
          <cell r="X8441" t="str">
            <v>Commissions - gross</v>
          </cell>
          <cell r="Y8441" t="str">
            <v>JAPAN</v>
          </cell>
        </row>
        <row r="8442">
          <cell r="L8442" t="str">
            <v>Non-proportional</v>
          </cell>
          <cell r="S8442">
            <v>321.99</v>
          </cell>
          <cell r="X8442" t="str">
            <v>Commissions - gross</v>
          </cell>
          <cell r="Y8442" t="str">
            <v>CHILE</v>
          </cell>
        </row>
        <row r="8443">
          <cell r="L8443" t="str">
            <v>Non-proportional</v>
          </cell>
          <cell r="S8443">
            <v>174.97</v>
          </cell>
          <cell r="X8443" t="str">
            <v>Commissions - gross</v>
          </cell>
          <cell r="Y8443" t="str">
            <v>NETHERLANDS</v>
          </cell>
        </row>
        <row r="8444">
          <cell r="L8444" t="str">
            <v>Non-proportional</v>
          </cell>
          <cell r="S8444">
            <v>145.69</v>
          </cell>
          <cell r="X8444" t="str">
            <v>Commissions - gross</v>
          </cell>
          <cell r="Y8444" t="str">
            <v>GUATEMALA</v>
          </cell>
        </row>
        <row r="8445">
          <cell r="L8445" t="str">
            <v>Non-proportional</v>
          </cell>
          <cell r="S8445">
            <v>515.95000000000005</v>
          </cell>
          <cell r="X8445" t="str">
            <v>Commissions - gross</v>
          </cell>
          <cell r="Y8445" t="str">
            <v>ISRAEL</v>
          </cell>
        </row>
        <row r="8446">
          <cell r="L8446" t="str">
            <v>Non-proportional</v>
          </cell>
          <cell r="S8446">
            <v>169.68</v>
          </cell>
          <cell r="X8446" t="str">
            <v>Commissions - gross</v>
          </cell>
          <cell r="Y8446" t="str">
            <v>COSTA RICA</v>
          </cell>
        </row>
        <row r="8447">
          <cell r="L8447" t="str">
            <v>Non-proportional</v>
          </cell>
          <cell r="S8447">
            <v>291.18</v>
          </cell>
          <cell r="X8447" t="str">
            <v>Commissions - gross</v>
          </cell>
          <cell r="Y8447" t="str">
            <v>JAPAN</v>
          </cell>
        </row>
        <row r="8448">
          <cell r="L8448" t="str">
            <v>Non-proportional</v>
          </cell>
          <cell r="S8448">
            <v>1031.25</v>
          </cell>
          <cell r="X8448" t="str">
            <v>Commissions - gross</v>
          </cell>
          <cell r="Y8448" t="str">
            <v>ROMANIA</v>
          </cell>
        </row>
        <row r="8449">
          <cell r="L8449" t="str">
            <v>Non-proportional</v>
          </cell>
          <cell r="S8449">
            <v>195.04</v>
          </cell>
          <cell r="X8449" t="str">
            <v>Commissions - gross</v>
          </cell>
          <cell r="Y8449" t="str">
            <v>AUSTRALIA</v>
          </cell>
        </row>
        <row r="8450">
          <cell r="L8450" t="str">
            <v>Non-proportional</v>
          </cell>
          <cell r="S8450">
            <v>391.73</v>
          </cell>
          <cell r="X8450" t="str">
            <v>Commissions - gross</v>
          </cell>
          <cell r="Y8450" t="str">
            <v>ITALY</v>
          </cell>
        </row>
        <row r="8451">
          <cell r="L8451" t="str">
            <v>Non-proportional</v>
          </cell>
          <cell r="S8451">
            <v>130.21</v>
          </cell>
          <cell r="X8451" t="str">
            <v>Commissions - gross</v>
          </cell>
          <cell r="Y8451" t="str">
            <v>ISRAEL</v>
          </cell>
        </row>
        <row r="8452">
          <cell r="L8452" t="str">
            <v>Proportional</v>
          </cell>
          <cell r="S8452">
            <v>249061.95</v>
          </cell>
          <cell r="X8452" t="str">
            <v>Commissions - gross</v>
          </cell>
          <cell r="Y8452" t="str">
            <v>HONG KONG</v>
          </cell>
        </row>
        <row r="8453">
          <cell r="L8453" t="str">
            <v>Non-proportional</v>
          </cell>
          <cell r="S8453">
            <v>-5.03</v>
          </cell>
          <cell r="X8453" t="str">
            <v>Commissions - gross</v>
          </cell>
          <cell r="Y8453" t="str">
            <v>DOMINICAN REPUBLIC</v>
          </cell>
        </row>
        <row r="8454">
          <cell r="L8454" t="str">
            <v>Non-proportional</v>
          </cell>
          <cell r="S8454">
            <v>76.7</v>
          </cell>
          <cell r="X8454" t="str">
            <v>Commissions - gross</v>
          </cell>
          <cell r="Y8454" t="str">
            <v>JAPAN</v>
          </cell>
        </row>
        <row r="8455">
          <cell r="L8455" t="str">
            <v>Non-proportional</v>
          </cell>
          <cell r="S8455">
            <v>1040.28</v>
          </cell>
          <cell r="X8455" t="str">
            <v>Commissions - gross</v>
          </cell>
          <cell r="Y8455" t="str">
            <v>COLOMBIA</v>
          </cell>
        </row>
        <row r="8456">
          <cell r="L8456" t="str">
            <v>Non-proportional</v>
          </cell>
          <cell r="S8456">
            <v>6784.25</v>
          </cell>
          <cell r="X8456" t="str">
            <v>Commissions - gross</v>
          </cell>
          <cell r="Y8456" t="str">
            <v>UNITED KINGDOM</v>
          </cell>
        </row>
        <row r="8457">
          <cell r="L8457" t="str">
            <v>Non-proportional</v>
          </cell>
          <cell r="S8457">
            <v>585.13</v>
          </cell>
          <cell r="X8457" t="str">
            <v>Commissions - gross</v>
          </cell>
          <cell r="Y8457" t="str">
            <v>ITALY</v>
          </cell>
        </row>
        <row r="8458">
          <cell r="L8458" t="str">
            <v>Non-proportional</v>
          </cell>
          <cell r="S8458">
            <v>639.35</v>
          </cell>
          <cell r="X8458" t="str">
            <v>Commissions - gross</v>
          </cell>
          <cell r="Y8458" t="str">
            <v>NETHERLANDS</v>
          </cell>
        </row>
        <row r="8459">
          <cell r="L8459" t="str">
            <v>Non-proportional</v>
          </cell>
          <cell r="S8459">
            <v>40</v>
          </cell>
          <cell r="X8459" t="str">
            <v>Commissions - gross</v>
          </cell>
          <cell r="Y8459" t="str">
            <v>COLOMBIA</v>
          </cell>
        </row>
        <row r="8460">
          <cell r="L8460" t="str">
            <v>Non-proportional</v>
          </cell>
          <cell r="S8460">
            <v>4565.96</v>
          </cell>
          <cell r="X8460" t="str">
            <v>Commissions - gross</v>
          </cell>
          <cell r="Y8460" t="str">
            <v>UNITED KINGDOM</v>
          </cell>
        </row>
        <row r="8461">
          <cell r="L8461" t="str">
            <v>Non-proportional</v>
          </cell>
          <cell r="S8461">
            <v>425.02</v>
          </cell>
          <cell r="X8461" t="str">
            <v>Commissions - gross</v>
          </cell>
          <cell r="Y8461" t="str">
            <v>ITALY</v>
          </cell>
        </row>
        <row r="8462">
          <cell r="L8462" t="str">
            <v>Non-proportional</v>
          </cell>
          <cell r="S8462">
            <v>390.08</v>
          </cell>
          <cell r="X8462" t="str">
            <v>Commissions - gross</v>
          </cell>
          <cell r="Y8462" t="str">
            <v>EUROPE</v>
          </cell>
        </row>
        <row r="8463">
          <cell r="L8463" t="str">
            <v>Proportional</v>
          </cell>
          <cell r="S8463">
            <v>38.770000000000003</v>
          </cell>
          <cell r="X8463" t="str">
            <v>Commissions - gross</v>
          </cell>
          <cell r="Y8463" t="str">
            <v>UNITED STATES</v>
          </cell>
        </row>
        <row r="8464">
          <cell r="L8464" t="str">
            <v>Non-proportional</v>
          </cell>
          <cell r="S8464">
            <v>-42.24</v>
          </cell>
          <cell r="X8464" t="str">
            <v>Commissions - gross</v>
          </cell>
          <cell r="Y8464" t="str">
            <v>NEW ZEALAND</v>
          </cell>
        </row>
        <row r="8465">
          <cell r="L8465" t="str">
            <v>Non-proportional</v>
          </cell>
          <cell r="S8465">
            <v>1200.1300000000001</v>
          </cell>
          <cell r="X8465" t="str">
            <v>Commissions - gross</v>
          </cell>
          <cell r="Y8465" t="str">
            <v>ITALY</v>
          </cell>
        </row>
        <row r="8466">
          <cell r="L8466" t="str">
            <v>Non-proportional</v>
          </cell>
          <cell r="S8466">
            <v>79.52</v>
          </cell>
          <cell r="X8466" t="str">
            <v>Commissions - gross</v>
          </cell>
          <cell r="Y8466" t="str">
            <v>PERU</v>
          </cell>
        </row>
        <row r="8467">
          <cell r="L8467" t="str">
            <v>Non-proportional</v>
          </cell>
          <cell r="S8467">
            <v>3141.95</v>
          </cell>
          <cell r="X8467" t="str">
            <v>Commissions - gross</v>
          </cell>
          <cell r="Y8467" t="str">
            <v>HONG KONG</v>
          </cell>
        </row>
        <row r="8468">
          <cell r="L8468" t="str">
            <v>Non-proportional</v>
          </cell>
          <cell r="S8468">
            <v>10572.33</v>
          </cell>
          <cell r="X8468" t="str">
            <v>Commissions - gross</v>
          </cell>
          <cell r="Y8468" t="str">
            <v>FRANCE</v>
          </cell>
        </row>
        <row r="8469">
          <cell r="L8469" t="str">
            <v>Non-proportional</v>
          </cell>
          <cell r="S8469">
            <v>357.77</v>
          </cell>
          <cell r="X8469" t="str">
            <v>Commissions - gross</v>
          </cell>
          <cell r="Y8469" t="str">
            <v>CHILE</v>
          </cell>
        </row>
        <row r="8470">
          <cell r="L8470" t="str">
            <v>Non-proportional</v>
          </cell>
          <cell r="S8470">
            <v>141.03</v>
          </cell>
          <cell r="X8470" t="str">
            <v>Commissions - gross</v>
          </cell>
          <cell r="Y8470" t="str">
            <v>AUSTRALIA</v>
          </cell>
        </row>
        <row r="8471">
          <cell r="L8471" t="str">
            <v>Non-proportional</v>
          </cell>
          <cell r="S8471">
            <v>213.28</v>
          </cell>
          <cell r="X8471" t="str">
            <v>Commissions - gross</v>
          </cell>
          <cell r="Y8471" t="str">
            <v>UNITED KINGDOM</v>
          </cell>
        </row>
        <row r="8472">
          <cell r="L8472" t="str">
            <v>Non-proportional</v>
          </cell>
          <cell r="S8472">
            <v>3034.6</v>
          </cell>
          <cell r="X8472" t="str">
            <v>Commissions - gross</v>
          </cell>
          <cell r="Y8472" t="str">
            <v>FRANCE</v>
          </cell>
        </row>
        <row r="8473">
          <cell r="L8473" t="str">
            <v>Proportional</v>
          </cell>
          <cell r="S8473">
            <v>3479.62</v>
          </cell>
          <cell r="X8473" t="str">
            <v>Commissions - gross</v>
          </cell>
          <cell r="Y8473" t="str">
            <v>UNITED STATES</v>
          </cell>
        </row>
        <row r="8474">
          <cell r="L8474" t="str">
            <v>Non-proportional</v>
          </cell>
          <cell r="S8474">
            <v>145.83000000000001</v>
          </cell>
          <cell r="X8474" t="str">
            <v>Commissions - gross</v>
          </cell>
          <cell r="Y8474" t="str">
            <v>GREECE</v>
          </cell>
        </row>
        <row r="8475">
          <cell r="L8475" t="str">
            <v>Non-proportional</v>
          </cell>
          <cell r="S8475">
            <v>722.39</v>
          </cell>
          <cell r="X8475" t="str">
            <v>Commissions - gross</v>
          </cell>
          <cell r="Y8475" t="str">
            <v>COSTA RICA</v>
          </cell>
        </row>
        <row r="8476">
          <cell r="L8476" t="str">
            <v>Non-proportional</v>
          </cell>
          <cell r="S8476">
            <v>529.03</v>
          </cell>
          <cell r="X8476" t="str">
            <v>Commissions - gross</v>
          </cell>
          <cell r="Y8476" t="str">
            <v>ECUADOR</v>
          </cell>
        </row>
        <row r="8477">
          <cell r="L8477" t="str">
            <v>Non-proportional</v>
          </cell>
          <cell r="S8477">
            <v>1755.83</v>
          </cell>
          <cell r="X8477" t="str">
            <v>Commissions - gross</v>
          </cell>
          <cell r="Y8477" t="str">
            <v>ITALY</v>
          </cell>
        </row>
        <row r="8478">
          <cell r="L8478" t="str">
            <v>Proportional</v>
          </cell>
          <cell r="S8478">
            <v>1152.83</v>
          </cell>
          <cell r="X8478" t="str">
            <v>Commissions - gross</v>
          </cell>
          <cell r="Y8478" t="str">
            <v>ITALY</v>
          </cell>
        </row>
        <row r="8479">
          <cell r="L8479" t="str">
            <v>Non-proportional</v>
          </cell>
          <cell r="S8479">
            <v>5.25</v>
          </cell>
          <cell r="X8479" t="str">
            <v>Commissions - gross</v>
          </cell>
          <cell r="Y8479" t="str">
            <v>ISRAEL</v>
          </cell>
        </row>
        <row r="8480">
          <cell r="L8480" t="str">
            <v>Proportional</v>
          </cell>
          <cell r="S8480">
            <v>702.81</v>
          </cell>
          <cell r="X8480" t="str">
            <v>Commissions - gross</v>
          </cell>
          <cell r="Y8480" t="str">
            <v>UNITED ARAB EMIRATES</v>
          </cell>
        </row>
        <row r="8481">
          <cell r="L8481" t="str">
            <v>Proportional</v>
          </cell>
          <cell r="S8481">
            <v>1161.8800000000001</v>
          </cell>
          <cell r="X8481" t="str">
            <v>Commissions - gross</v>
          </cell>
          <cell r="Y8481" t="str">
            <v>FRANCE</v>
          </cell>
        </row>
        <row r="8482">
          <cell r="L8482" t="str">
            <v>Non-proportional</v>
          </cell>
          <cell r="S8482">
            <v>220.34</v>
          </cell>
          <cell r="X8482" t="str">
            <v>Commissions - gross</v>
          </cell>
          <cell r="Y8482" t="str">
            <v>ECUADOR</v>
          </cell>
        </row>
        <row r="8483">
          <cell r="L8483" t="str">
            <v>Non-proportional</v>
          </cell>
          <cell r="S8483">
            <v>252127.94</v>
          </cell>
          <cell r="X8483" t="str">
            <v>Commissions - gross</v>
          </cell>
          <cell r="Y8483" t="str">
            <v>UNITED KINGDOM</v>
          </cell>
        </row>
        <row r="8484">
          <cell r="L8484" t="str">
            <v>Non-proportional</v>
          </cell>
          <cell r="S8484">
            <v>-8.1</v>
          </cell>
          <cell r="X8484" t="str">
            <v>Commissions - gross</v>
          </cell>
          <cell r="Y8484" t="str">
            <v>JAPAN</v>
          </cell>
        </row>
        <row r="8485">
          <cell r="L8485" t="str">
            <v>Non-proportional</v>
          </cell>
          <cell r="S8485">
            <v>1279.9100000000001</v>
          </cell>
          <cell r="X8485" t="str">
            <v>Commissions - gross</v>
          </cell>
          <cell r="Y8485" t="str">
            <v>MEXICO</v>
          </cell>
        </row>
        <row r="8486">
          <cell r="L8486" t="str">
            <v>Non-proportional</v>
          </cell>
          <cell r="S8486">
            <v>169.62</v>
          </cell>
          <cell r="X8486" t="str">
            <v>Commissions - gross</v>
          </cell>
          <cell r="Y8486" t="str">
            <v>JAPAN</v>
          </cell>
        </row>
        <row r="8487">
          <cell r="L8487" t="str">
            <v>Non-proportional</v>
          </cell>
          <cell r="S8487">
            <v>1458.34</v>
          </cell>
          <cell r="X8487" t="str">
            <v>Commissions - gross</v>
          </cell>
          <cell r="Y8487" t="str">
            <v>EUROPE</v>
          </cell>
        </row>
        <row r="8488">
          <cell r="L8488" t="str">
            <v>Non-proportional</v>
          </cell>
          <cell r="S8488">
            <v>10933.04</v>
          </cell>
          <cell r="X8488" t="str">
            <v>Commissions - gross</v>
          </cell>
          <cell r="Y8488" t="str">
            <v>FRANCE</v>
          </cell>
        </row>
        <row r="8489">
          <cell r="L8489" t="str">
            <v>Non-proportional</v>
          </cell>
          <cell r="S8489">
            <v>316.58999999999997</v>
          </cell>
          <cell r="X8489" t="str">
            <v>Commissions - gross</v>
          </cell>
          <cell r="Y8489" t="str">
            <v>UNITED KINGDOM</v>
          </cell>
        </row>
        <row r="8490">
          <cell r="L8490" t="str">
            <v>Non-proportional</v>
          </cell>
          <cell r="S8490">
            <v>644.77</v>
          </cell>
          <cell r="X8490" t="str">
            <v>Commissions - gross</v>
          </cell>
          <cell r="Y8490" t="str">
            <v>UNITED KINGDOM</v>
          </cell>
        </row>
        <row r="8491">
          <cell r="L8491" t="str">
            <v>Non-proportional</v>
          </cell>
          <cell r="S8491">
            <v>39</v>
          </cell>
          <cell r="X8491" t="str">
            <v>Commissions - gross</v>
          </cell>
          <cell r="Y8491" t="str">
            <v>ITALY</v>
          </cell>
        </row>
        <row r="8492">
          <cell r="L8492" t="str">
            <v>Non-proportional</v>
          </cell>
          <cell r="S8492">
            <v>315.8</v>
          </cell>
          <cell r="X8492" t="str">
            <v>Commissions - gross</v>
          </cell>
          <cell r="Y8492" t="str">
            <v>ECUADOR</v>
          </cell>
        </row>
        <row r="8493">
          <cell r="L8493" t="str">
            <v>Non-proportional</v>
          </cell>
          <cell r="S8493">
            <v>341.84</v>
          </cell>
          <cell r="X8493" t="str">
            <v>Commissions - gross</v>
          </cell>
          <cell r="Y8493" t="str">
            <v>ISRAEL</v>
          </cell>
        </row>
        <row r="8494">
          <cell r="L8494" t="str">
            <v>Proportional</v>
          </cell>
          <cell r="S8494">
            <v>73142.86</v>
          </cell>
          <cell r="X8494" t="str">
            <v>Commissions - gross</v>
          </cell>
          <cell r="Y8494" t="str">
            <v>ITALY</v>
          </cell>
        </row>
        <row r="8495">
          <cell r="L8495" t="str">
            <v>Non-proportional</v>
          </cell>
          <cell r="S8495">
            <v>14.29</v>
          </cell>
          <cell r="X8495" t="str">
            <v>Commissions - gross</v>
          </cell>
          <cell r="Y8495" t="str">
            <v>ISRAEL</v>
          </cell>
        </row>
        <row r="8496">
          <cell r="L8496" t="str">
            <v>Non-proportional</v>
          </cell>
          <cell r="S8496">
            <v>-12819.46</v>
          </cell>
          <cell r="X8496" t="str">
            <v>Commissions - gross</v>
          </cell>
          <cell r="Y8496" t="str">
            <v>PERU</v>
          </cell>
        </row>
        <row r="8497">
          <cell r="L8497" t="str">
            <v>Non-proportional</v>
          </cell>
          <cell r="S8497">
            <v>-21.78</v>
          </cell>
          <cell r="X8497" t="str">
            <v>Commissions - gross</v>
          </cell>
          <cell r="Y8497" t="str">
            <v>JAPAN</v>
          </cell>
        </row>
        <row r="8498">
          <cell r="L8498" t="str">
            <v>Non-proportional</v>
          </cell>
          <cell r="S8498">
            <v>41.77</v>
          </cell>
          <cell r="X8498" t="str">
            <v>Commissions - gross</v>
          </cell>
          <cell r="Y8498" t="str">
            <v>NETHERLANDS</v>
          </cell>
        </row>
        <row r="8499">
          <cell r="L8499" t="str">
            <v>Non-proportional</v>
          </cell>
          <cell r="S8499">
            <v>482.16</v>
          </cell>
          <cell r="X8499" t="str">
            <v>Commissions - gross</v>
          </cell>
          <cell r="Y8499" t="str">
            <v>UNITED KINGDOM</v>
          </cell>
        </row>
        <row r="8500">
          <cell r="L8500" t="str">
            <v>Non-proportional</v>
          </cell>
          <cell r="S8500">
            <v>11138.77</v>
          </cell>
          <cell r="X8500" t="str">
            <v>Commissions - gross</v>
          </cell>
          <cell r="Y8500" t="str">
            <v>UNITED KINGDOM</v>
          </cell>
        </row>
        <row r="8501">
          <cell r="L8501" t="str">
            <v>Non-proportional</v>
          </cell>
          <cell r="S8501">
            <v>-2.73</v>
          </cell>
          <cell r="X8501" t="str">
            <v>Commissions - gross</v>
          </cell>
          <cell r="Y8501" t="str">
            <v>COLOMBIA</v>
          </cell>
        </row>
        <row r="8502">
          <cell r="L8502" t="str">
            <v>Non-proportional</v>
          </cell>
          <cell r="S8502">
            <v>157826.56</v>
          </cell>
          <cell r="X8502" t="str">
            <v>Commissions - gross</v>
          </cell>
          <cell r="Y8502" t="str">
            <v>UNITED KINGDOM</v>
          </cell>
        </row>
        <row r="8503">
          <cell r="L8503" t="str">
            <v>Non-proportional</v>
          </cell>
          <cell r="S8503">
            <v>178.88</v>
          </cell>
          <cell r="X8503" t="str">
            <v>Commissions - gross</v>
          </cell>
          <cell r="Y8503" t="str">
            <v>CHILE</v>
          </cell>
        </row>
        <row r="8504">
          <cell r="L8504" t="str">
            <v>Non-proportional</v>
          </cell>
          <cell r="S8504">
            <v>1627.87</v>
          </cell>
          <cell r="X8504" t="str">
            <v>Commissions - gross</v>
          </cell>
          <cell r="Y8504" t="str">
            <v>ITALY</v>
          </cell>
        </row>
        <row r="8505">
          <cell r="L8505" t="str">
            <v>Non-proportional</v>
          </cell>
          <cell r="S8505">
            <v>3.39</v>
          </cell>
          <cell r="X8505" t="str">
            <v>Commissions - gross</v>
          </cell>
          <cell r="Y8505" t="str">
            <v>ISRAEL</v>
          </cell>
        </row>
        <row r="8506">
          <cell r="L8506" t="str">
            <v>Non-proportional</v>
          </cell>
          <cell r="S8506">
            <v>477.12</v>
          </cell>
          <cell r="X8506" t="str">
            <v>Commissions - gross</v>
          </cell>
          <cell r="Y8506" t="str">
            <v>ECUADOR</v>
          </cell>
        </row>
        <row r="8507">
          <cell r="L8507" t="str">
            <v>Non-proportional</v>
          </cell>
          <cell r="S8507">
            <v>-946959.37</v>
          </cell>
          <cell r="X8507" t="str">
            <v>Commissions - gross</v>
          </cell>
          <cell r="Y8507" t="str">
            <v>UNITED KINGDOM</v>
          </cell>
        </row>
        <row r="8508">
          <cell r="L8508" t="str">
            <v>Non-proportional</v>
          </cell>
          <cell r="S8508">
            <v>804.38</v>
          </cell>
          <cell r="X8508" t="str">
            <v>Commissions - gross</v>
          </cell>
          <cell r="Y8508" t="str">
            <v>AUSTRALIA</v>
          </cell>
        </row>
        <row r="8509">
          <cell r="L8509" t="str">
            <v>Non-proportional</v>
          </cell>
          <cell r="S8509">
            <v>662.31</v>
          </cell>
          <cell r="X8509" t="str">
            <v>Commissions - gross</v>
          </cell>
          <cell r="Y8509" t="str">
            <v>CYPRUS</v>
          </cell>
        </row>
        <row r="8510">
          <cell r="L8510" t="str">
            <v>Non-proportional</v>
          </cell>
          <cell r="S8510">
            <v>502.74</v>
          </cell>
          <cell r="X8510" t="str">
            <v>Commissions - gross</v>
          </cell>
          <cell r="Y8510" t="str">
            <v>ISRAEL</v>
          </cell>
        </row>
        <row r="8511">
          <cell r="L8511" t="str">
            <v>Non-proportional</v>
          </cell>
          <cell r="S8511">
            <v>120.22</v>
          </cell>
          <cell r="X8511" t="str">
            <v>Commissions - gross</v>
          </cell>
          <cell r="Y8511" t="str">
            <v>REPUBLIC OF IRELAND</v>
          </cell>
        </row>
        <row r="8512">
          <cell r="L8512" t="str">
            <v>Non-proportional</v>
          </cell>
          <cell r="S8512">
            <v>998.59</v>
          </cell>
          <cell r="X8512" t="str">
            <v>Commissions - gross</v>
          </cell>
          <cell r="Y8512" t="str">
            <v>FRANCE</v>
          </cell>
        </row>
        <row r="8513">
          <cell r="L8513" t="str">
            <v>Non-proportional</v>
          </cell>
          <cell r="S8513">
            <v>-55.88</v>
          </cell>
          <cell r="X8513" t="str">
            <v>Commissions - gross</v>
          </cell>
          <cell r="Y8513" t="str">
            <v>JAPAN</v>
          </cell>
        </row>
        <row r="8514">
          <cell r="L8514" t="str">
            <v>Non-proportional</v>
          </cell>
          <cell r="S8514">
            <v>335.39</v>
          </cell>
          <cell r="X8514" t="str">
            <v>Commissions - gross</v>
          </cell>
          <cell r="Y8514" t="str">
            <v>GUATEMALA</v>
          </cell>
        </row>
        <row r="8515">
          <cell r="L8515" t="str">
            <v>Non-proportional</v>
          </cell>
          <cell r="S8515">
            <v>-7.88</v>
          </cell>
          <cell r="X8515" t="str">
            <v>Commissions - gross</v>
          </cell>
          <cell r="Y8515" t="str">
            <v>COLOMBIA</v>
          </cell>
        </row>
        <row r="8516">
          <cell r="L8516" t="str">
            <v>Non-proportional</v>
          </cell>
          <cell r="S8516">
            <v>696.32</v>
          </cell>
          <cell r="X8516" t="str">
            <v>Commissions - gross</v>
          </cell>
          <cell r="Y8516" t="str">
            <v>FRANCE</v>
          </cell>
        </row>
        <row r="8517">
          <cell r="L8517" t="str">
            <v>Non-proportional</v>
          </cell>
          <cell r="S8517">
            <v>66.5</v>
          </cell>
          <cell r="X8517" t="str">
            <v>Commissions - gross</v>
          </cell>
          <cell r="Y8517" t="str">
            <v>FRANCE</v>
          </cell>
        </row>
        <row r="8518">
          <cell r="L8518" t="str">
            <v>Non-proportional</v>
          </cell>
          <cell r="S8518">
            <v>751.31</v>
          </cell>
          <cell r="X8518" t="str">
            <v>Commissions - gross</v>
          </cell>
          <cell r="Y8518" t="str">
            <v>CHILE</v>
          </cell>
        </row>
        <row r="8519">
          <cell r="L8519" t="str">
            <v>Non-proportional</v>
          </cell>
          <cell r="S8519">
            <v>500.87</v>
          </cell>
          <cell r="X8519" t="str">
            <v>Commissions - gross</v>
          </cell>
          <cell r="Y8519" t="str">
            <v>CHILE</v>
          </cell>
        </row>
        <row r="8520">
          <cell r="L8520" t="str">
            <v>Proportional</v>
          </cell>
          <cell r="S8520">
            <v>235.69</v>
          </cell>
          <cell r="X8520" t="str">
            <v>Commissions - gross</v>
          </cell>
          <cell r="Y8520" t="str">
            <v>FRANCE</v>
          </cell>
        </row>
        <row r="8521">
          <cell r="L8521" t="str">
            <v>Non-proportional</v>
          </cell>
          <cell r="S8521">
            <v>260.47000000000003</v>
          </cell>
          <cell r="X8521" t="str">
            <v>Commissions - gross</v>
          </cell>
          <cell r="Y8521" t="str">
            <v>UNITED ARAB EMIRATES</v>
          </cell>
        </row>
        <row r="8522">
          <cell r="L8522" t="str">
            <v>Non-proportional</v>
          </cell>
          <cell r="S8522">
            <v>-2236.46</v>
          </cell>
          <cell r="X8522" t="str">
            <v>Commissions - gross</v>
          </cell>
          <cell r="Y8522" t="str">
            <v>PERU</v>
          </cell>
        </row>
        <row r="8523">
          <cell r="L8523" t="str">
            <v>Non-proportional</v>
          </cell>
          <cell r="S8523">
            <v>89.56</v>
          </cell>
          <cell r="X8523" t="str">
            <v>Commissions - gross</v>
          </cell>
          <cell r="Y8523" t="str">
            <v>ECUADOR</v>
          </cell>
        </row>
        <row r="8524">
          <cell r="L8524" t="str">
            <v>Non-proportional</v>
          </cell>
          <cell r="S8524">
            <v>45.17</v>
          </cell>
          <cell r="X8524" t="str">
            <v>Commissions - gross</v>
          </cell>
          <cell r="Y8524" t="str">
            <v>JAPAN</v>
          </cell>
        </row>
        <row r="8525">
          <cell r="L8525" t="str">
            <v>Non-proportional</v>
          </cell>
          <cell r="S8525">
            <v>14126.86</v>
          </cell>
          <cell r="X8525" t="str">
            <v>Commissions - gross</v>
          </cell>
          <cell r="Y8525" t="str">
            <v>UNITED KINGDOM</v>
          </cell>
        </row>
        <row r="8526">
          <cell r="L8526" t="str">
            <v>Non-proportional</v>
          </cell>
          <cell r="S8526">
            <v>656.25</v>
          </cell>
          <cell r="X8526" t="str">
            <v>Commissions - gross</v>
          </cell>
          <cell r="Y8526" t="str">
            <v>ITALY</v>
          </cell>
        </row>
        <row r="8527">
          <cell r="L8527" t="str">
            <v>Non-proportional</v>
          </cell>
          <cell r="S8527">
            <v>1524.58</v>
          </cell>
          <cell r="X8527" t="str">
            <v>Commissions - gross</v>
          </cell>
          <cell r="Y8527" t="str">
            <v>AUSTRALIA</v>
          </cell>
        </row>
        <row r="8528">
          <cell r="L8528" t="str">
            <v>Non-proportional</v>
          </cell>
          <cell r="S8528">
            <v>128.86000000000001</v>
          </cell>
          <cell r="X8528" t="str">
            <v>Commissions - gross</v>
          </cell>
          <cell r="Y8528" t="str">
            <v>UNITED ARAB EMIRATES</v>
          </cell>
        </row>
        <row r="8529">
          <cell r="L8529" t="str">
            <v>Non-proportional</v>
          </cell>
          <cell r="S8529">
            <v>348.23</v>
          </cell>
          <cell r="X8529" t="str">
            <v>Commissions - gross</v>
          </cell>
          <cell r="Y8529" t="str">
            <v>AUSTRALIA</v>
          </cell>
        </row>
        <row r="8530">
          <cell r="L8530" t="str">
            <v>Non-proportional</v>
          </cell>
          <cell r="S8530">
            <v>-5.4</v>
          </cell>
          <cell r="X8530" t="str">
            <v>Commissions - gross</v>
          </cell>
          <cell r="Y8530" t="str">
            <v>JAPAN</v>
          </cell>
        </row>
        <row r="8531">
          <cell r="L8531" t="str">
            <v>Non-proportional</v>
          </cell>
          <cell r="S8531">
            <v>-3.66</v>
          </cell>
          <cell r="X8531" t="str">
            <v>Commissions - gross</v>
          </cell>
          <cell r="Y8531" t="str">
            <v>COLOMBIA</v>
          </cell>
        </row>
        <row r="8532">
          <cell r="L8532" t="str">
            <v>Non-proportional</v>
          </cell>
          <cell r="S8532">
            <v>-0.1</v>
          </cell>
          <cell r="X8532" t="str">
            <v>Commissions - gross</v>
          </cell>
          <cell r="Y8532" t="str">
            <v>GUATEMALA</v>
          </cell>
        </row>
        <row r="8533">
          <cell r="L8533" t="str">
            <v>Non-proportional</v>
          </cell>
          <cell r="S8533">
            <v>-0.16</v>
          </cell>
          <cell r="X8533" t="str">
            <v>Commissions - gross</v>
          </cell>
          <cell r="Y8533" t="str">
            <v>GUATEMALA</v>
          </cell>
        </row>
        <row r="8534">
          <cell r="L8534" t="str">
            <v>Non-proportional</v>
          </cell>
          <cell r="S8534">
            <v>4184.03</v>
          </cell>
          <cell r="X8534" t="str">
            <v>Commissions - gross</v>
          </cell>
          <cell r="Y8534" t="str">
            <v>UNITED KINGDOM</v>
          </cell>
        </row>
        <row r="8535">
          <cell r="L8535" t="str">
            <v>Non-proportional</v>
          </cell>
          <cell r="S8535">
            <v>55.39</v>
          </cell>
          <cell r="X8535" t="str">
            <v>Commissions - gross</v>
          </cell>
          <cell r="Y8535" t="str">
            <v>JAPAN</v>
          </cell>
        </row>
        <row r="8536">
          <cell r="L8536" t="str">
            <v>Non-proportional</v>
          </cell>
          <cell r="S8536">
            <v>-71.55</v>
          </cell>
          <cell r="X8536" t="str">
            <v>Commissions - gross</v>
          </cell>
          <cell r="Y8536" t="str">
            <v>CHILE</v>
          </cell>
        </row>
        <row r="8537">
          <cell r="L8537" t="str">
            <v>Non-proportional</v>
          </cell>
          <cell r="S8537">
            <v>-2735.22</v>
          </cell>
          <cell r="X8537" t="str">
            <v>Commissions - gross</v>
          </cell>
          <cell r="Y8537" t="str">
            <v>INDIA</v>
          </cell>
        </row>
        <row r="8538">
          <cell r="L8538" t="str">
            <v>Non-proportional</v>
          </cell>
          <cell r="S8538">
            <v>-6819.71</v>
          </cell>
          <cell r="X8538" t="str">
            <v>Commissions - gross</v>
          </cell>
          <cell r="Y8538" t="str">
            <v>INDIA</v>
          </cell>
        </row>
        <row r="8539">
          <cell r="L8539" t="str">
            <v>Non-proportional</v>
          </cell>
          <cell r="S8539">
            <v>649.04</v>
          </cell>
          <cell r="X8539" t="str">
            <v>Commissions - gross</v>
          </cell>
          <cell r="Y8539" t="str">
            <v>JAPAN</v>
          </cell>
        </row>
        <row r="8540">
          <cell r="L8540" t="str">
            <v>Non-proportional</v>
          </cell>
          <cell r="S8540">
            <v>-11.46</v>
          </cell>
          <cell r="X8540" t="str">
            <v>Commissions - gross</v>
          </cell>
          <cell r="Y8540" t="str">
            <v>JAPAN</v>
          </cell>
        </row>
        <row r="8541">
          <cell r="L8541" t="str">
            <v>Non-proportional</v>
          </cell>
          <cell r="S8541">
            <v>425.07</v>
          </cell>
          <cell r="X8541" t="str">
            <v>Commissions - gross</v>
          </cell>
          <cell r="Y8541" t="str">
            <v>ITALY</v>
          </cell>
        </row>
        <row r="8542">
          <cell r="L8542" t="str">
            <v>Non-proportional</v>
          </cell>
          <cell r="S8542">
            <v>0</v>
          </cell>
          <cell r="X8542" t="str">
            <v>Commissions - gross</v>
          </cell>
          <cell r="Y8542" t="str">
            <v>DOMINICAN REPUBLIC</v>
          </cell>
        </row>
        <row r="8543">
          <cell r="L8543" t="str">
            <v>Non-proportional</v>
          </cell>
          <cell r="S8543">
            <v>0</v>
          </cell>
          <cell r="X8543" t="str">
            <v>Commissions - gross</v>
          </cell>
          <cell r="Y8543" t="str">
            <v>DOMINICAN REPUBLIC</v>
          </cell>
        </row>
        <row r="8544">
          <cell r="L8544" t="str">
            <v>Non-proportional</v>
          </cell>
          <cell r="S8544">
            <v>570.02</v>
          </cell>
          <cell r="X8544" t="str">
            <v>Commissions - gross</v>
          </cell>
          <cell r="Y8544" t="str">
            <v>ITALY</v>
          </cell>
        </row>
        <row r="8545">
          <cell r="L8545" t="str">
            <v>Non-proportional</v>
          </cell>
          <cell r="S8545">
            <v>282.41000000000003</v>
          </cell>
          <cell r="X8545" t="str">
            <v>Commissions - gross</v>
          </cell>
          <cell r="Y8545" t="str">
            <v>ISRAEL</v>
          </cell>
        </row>
        <row r="8546">
          <cell r="L8546" t="str">
            <v>Non-proportional</v>
          </cell>
          <cell r="S8546">
            <v>127.26</v>
          </cell>
          <cell r="X8546" t="str">
            <v>Commissions - gross</v>
          </cell>
          <cell r="Y8546" t="str">
            <v>JAPAN</v>
          </cell>
        </row>
        <row r="8547">
          <cell r="L8547" t="str">
            <v>Non-proportional</v>
          </cell>
          <cell r="S8547">
            <v>33.03</v>
          </cell>
          <cell r="X8547" t="str">
            <v>Commissions - gross</v>
          </cell>
          <cell r="Y8547" t="str">
            <v>COLOMBIA</v>
          </cell>
        </row>
        <row r="8548">
          <cell r="L8548" t="str">
            <v>Non-proportional</v>
          </cell>
          <cell r="S8548">
            <v>3821.29</v>
          </cell>
          <cell r="X8548" t="str">
            <v>Commissions - gross</v>
          </cell>
          <cell r="Y8548" t="str">
            <v>UNITED STATES</v>
          </cell>
        </row>
        <row r="8549">
          <cell r="L8549" t="str">
            <v>Non-proportional</v>
          </cell>
          <cell r="S8549">
            <v>-53.3</v>
          </cell>
          <cell r="X8549" t="str">
            <v>Commissions - gross</v>
          </cell>
          <cell r="Y8549" t="str">
            <v>AUSTRALIA</v>
          </cell>
        </row>
        <row r="8550">
          <cell r="L8550" t="str">
            <v>Proportional</v>
          </cell>
          <cell r="S8550">
            <v>1.65</v>
          </cell>
          <cell r="X8550" t="str">
            <v>Commissions - gross</v>
          </cell>
          <cell r="Y8550" t="str">
            <v>UNITED STATES</v>
          </cell>
        </row>
        <row r="8551">
          <cell r="L8551" t="str">
            <v>Non-proportional</v>
          </cell>
          <cell r="S8551">
            <v>406.14</v>
          </cell>
          <cell r="X8551" t="str">
            <v>Commissions - gross</v>
          </cell>
          <cell r="Y8551" t="str">
            <v>FRANCE</v>
          </cell>
        </row>
        <row r="8552">
          <cell r="L8552" t="str">
            <v>Non-proportional</v>
          </cell>
          <cell r="S8552">
            <v>721.88</v>
          </cell>
          <cell r="X8552" t="str">
            <v>Commissions - gross</v>
          </cell>
          <cell r="Y8552" t="str">
            <v>FRANCE</v>
          </cell>
        </row>
        <row r="8553">
          <cell r="L8553" t="str">
            <v>Non-proportional</v>
          </cell>
          <cell r="S8553">
            <v>328.13</v>
          </cell>
          <cell r="X8553" t="str">
            <v>Commissions - gross</v>
          </cell>
          <cell r="Y8553" t="str">
            <v>ITALY</v>
          </cell>
        </row>
        <row r="8554">
          <cell r="L8554" t="str">
            <v>Non-proportional</v>
          </cell>
          <cell r="S8554">
            <v>997.75</v>
          </cell>
          <cell r="X8554" t="str">
            <v>Commissions - gross</v>
          </cell>
          <cell r="Y8554" t="str">
            <v>ITALY</v>
          </cell>
        </row>
        <row r="8555">
          <cell r="L8555" t="str">
            <v>Non-proportional</v>
          </cell>
          <cell r="S8555">
            <v>423.76</v>
          </cell>
          <cell r="X8555" t="str">
            <v>Commissions - gross</v>
          </cell>
          <cell r="Y8555" t="str">
            <v>UNITED KINGDOM</v>
          </cell>
        </row>
        <row r="8556">
          <cell r="L8556" t="str">
            <v>Non-proportional</v>
          </cell>
          <cell r="S8556">
            <v>179.48</v>
          </cell>
          <cell r="X8556" t="str">
            <v>Commissions - gross</v>
          </cell>
          <cell r="Y8556" t="str">
            <v>PERU</v>
          </cell>
        </row>
        <row r="8557">
          <cell r="L8557" t="str">
            <v>Non-proportional</v>
          </cell>
          <cell r="S8557">
            <v>22193.5</v>
          </cell>
          <cell r="X8557" t="str">
            <v>Commissions - gross</v>
          </cell>
          <cell r="Y8557" t="str">
            <v>BELGIUM</v>
          </cell>
        </row>
        <row r="8558">
          <cell r="L8558" t="str">
            <v>Non-proportional</v>
          </cell>
          <cell r="S8558">
            <v>1074.8699999999999</v>
          </cell>
          <cell r="X8558" t="str">
            <v>Commissions - gross</v>
          </cell>
          <cell r="Y8558" t="str">
            <v>ITALY</v>
          </cell>
        </row>
        <row r="8559">
          <cell r="L8559" t="str">
            <v>Non-proportional</v>
          </cell>
          <cell r="S8559">
            <v>280.52</v>
          </cell>
          <cell r="X8559" t="str">
            <v>Commissions - gross</v>
          </cell>
          <cell r="Y8559" t="str">
            <v>REPUBLIC OF IRELAND</v>
          </cell>
        </row>
        <row r="8560">
          <cell r="L8560" t="str">
            <v>Non-proportional</v>
          </cell>
          <cell r="S8560">
            <v>920.72</v>
          </cell>
          <cell r="X8560" t="str">
            <v>Commissions - gross</v>
          </cell>
          <cell r="Y8560" t="str">
            <v>TURKEY</v>
          </cell>
        </row>
        <row r="8561">
          <cell r="L8561" t="str">
            <v>Non-proportional</v>
          </cell>
          <cell r="S8561">
            <v>61.7</v>
          </cell>
          <cell r="X8561" t="str">
            <v>Commissions - gross</v>
          </cell>
          <cell r="Y8561" t="str">
            <v>FRANCE</v>
          </cell>
        </row>
        <row r="8562">
          <cell r="L8562" t="str">
            <v>Non-proportional</v>
          </cell>
          <cell r="S8562">
            <v>119.79</v>
          </cell>
          <cell r="X8562" t="str">
            <v>Commissions - gross</v>
          </cell>
          <cell r="Y8562" t="str">
            <v>GERMANY</v>
          </cell>
        </row>
        <row r="8563">
          <cell r="L8563" t="str">
            <v>Non-proportional</v>
          </cell>
          <cell r="S8563">
            <v>84.38</v>
          </cell>
          <cell r="X8563" t="str">
            <v>Commissions - gross</v>
          </cell>
          <cell r="Y8563" t="str">
            <v>GREECE</v>
          </cell>
        </row>
        <row r="8564">
          <cell r="L8564" t="str">
            <v>Non-proportional</v>
          </cell>
          <cell r="S8564">
            <v>-400.25</v>
          </cell>
          <cell r="X8564" t="str">
            <v>Commissions - gross</v>
          </cell>
          <cell r="Y8564" t="str">
            <v>NEW ZEALAND</v>
          </cell>
        </row>
        <row r="8565">
          <cell r="L8565" t="str">
            <v>Non-proportional</v>
          </cell>
          <cell r="S8565">
            <v>352.05</v>
          </cell>
          <cell r="X8565" t="str">
            <v>Commissions - gross</v>
          </cell>
          <cell r="Y8565" t="str">
            <v>ISRAEL</v>
          </cell>
        </row>
        <row r="8566">
          <cell r="L8566" t="str">
            <v>Non-proportional</v>
          </cell>
          <cell r="S8566">
            <v>-10027.9</v>
          </cell>
          <cell r="X8566" t="str">
            <v>Commissions - gross</v>
          </cell>
          <cell r="Y8566" t="str">
            <v>INDIA</v>
          </cell>
        </row>
        <row r="8567">
          <cell r="L8567" t="str">
            <v>Non-proportional</v>
          </cell>
          <cell r="S8567">
            <v>175.31</v>
          </cell>
          <cell r="X8567" t="str">
            <v>Commissions - gross</v>
          </cell>
          <cell r="Y8567" t="str">
            <v>ROMANIA</v>
          </cell>
        </row>
        <row r="8568">
          <cell r="L8568" t="str">
            <v>Non-proportional</v>
          </cell>
          <cell r="S8568">
            <v>71.55</v>
          </cell>
          <cell r="X8568" t="str">
            <v>Commissions - gross</v>
          </cell>
          <cell r="Y8568" t="str">
            <v>CHILE</v>
          </cell>
        </row>
        <row r="8569">
          <cell r="L8569" t="str">
            <v>Non-proportional</v>
          </cell>
          <cell r="S8569">
            <v>295.68</v>
          </cell>
          <cell r="X8569" t="str">
            <v>Commissions - gross</v>
          </cell>
          <cell r="Y8569" t="str">
            <v>JAPAN</v>
          </cell>
        </row>
        <row r="8570">
          <cell r="L8570" t="str">
            <v>Non-proportional</v>
          </cell>
          <cell r="S8570">
            <v>4770.68</v>
          </cell>
          <cell r="X8570" t="str">
            <v>Commissions - gross</v>
          </cell>
          <cell r="Y8570" t="str">
            <v>UNITED KINGDOM</v>
          </cell>
        </row>
        <row r="8571">
          <cell r="L8571" t="str">
            <v>Proportional</v>
          </cell>
          <cell r="S8571">
            <v>2.04</v>
          </cell>
          <cell r="X8571" t="str">
            <v>Commissions - gross</v>
          </cell>
          <cell r="Y8571" t="str">
            <v>UNITED STATES</v>
          </cell>
        </row>
        <row r="8572">
          <cell r="L8572" t="str">
            <v>Non-proportional</v>
          </cell>
          <cell r="S8572">
            <v>148.08000000000001</v>
          </cell>
          <cell r="X8572" t="str">
            <v>Commissions - gross</v>
          </cell>
          <cell r="Y8572" t="str">
            <v>FRANCE</v>
          </cell>
        </row>
        <row r="8573">
          <cell r="L8573" t="str">
            <v>Non-proportional</v>
          </cell>
          <cell r="S8573">
            <v>1015.63</v>
          </cell>
          <cell r="X8573" t="str">
            <v>Commissions - gross</v>
          </cell>
          <cell r="Y8573" t="str">
            <v>EUROPE</v>
          </cell>
        </row>
        <row r="8574">
          <cell r="L8574" t="str">
            <v>Non-proportional</v>
          </cell>
          <cell r="S8574">
            <v>130.38</v>
          </cell>
          <cell r="X8574" t="str">
            <v>Commissions - gross</v>
          </cell>
          <cell r="Y8574" t="str">
            <v>CYPRUS</v>
          </cell>
        </row>
        <row r="8575">
          <cell r="L8575" t="str">
            <v>Non-proportional</v>
          </cell>
          <cell r="S8575">
            <v>301.41000000000003</v>
          </cell>
          <cell r="X8575" t="str">
            <v>Commissions - gross</v>
          </cell>
          <cell r="Y8575" t="str">
            <v>UNITED KINGDOM</v>
          </cell>
        </row>
        <row r="8576">
          <cell r="L8576" t="str">
            <v>Non-proportional</v>
          </cell>
          <cell r="S8576">
            <v>378</v>
          </cell>
          <cell r="X8576" t="str">
            <v>Commissions - gross</v>
          </cell>
          <cell r="Y8576" t="str">
            <v>GREECE</v>
          </cell>
        </row>
        <row r="8577">
          <cell r="L8577" t="str">
            <v>Non-proportional</v>
          </cell>
          <cell r="S8577">
            <v>146.88</v>
          </cell>
          <cell r="X8577" t="str">
            <v>Commissions - gross</v>
          </cell>
          <cell r="Y8577" t="str">
            <v>GREECE</v>
          </cell>
        </row>
        <row r="8578">
          <cell r="L8578" t="str">
            <v>Non-proportional</v>
          </cell>
          <cell r="S8578">
            <v>3.64</v>
          </cell>
          <cell r="X8578" t="str">
            <v>Commissions - gross</v>
          </cell>
          <cell r="Y8578" t="str">
            <v>COSTA RICA</v>
          </cell>
        </row>
        <row r="8579">
          <cell r="L8579" t="str">
            <v>Non-proportional</v>
          </cell>
          <cell r="S8579">
            <v>365.21</v>
          </cell>
          <cell r="X8579" t="str">
            <v>Commissions - gross</v>
          </cell>
          <cell r="Y8579" t="str">
            <v>DOMINICAN REPUBLIC</v>
          </cell>
        </row>
        <row r="8580">
          <cell r="L8580" t="str">
            <v>Non-proportional</v>
          </cell>
          <cell r="S8580">
            <v>112.16</v>
          </cell>
          <cell r="X8580" t="str">
            <v>Commissions - gross</v>
          </cell>
          <cell r="Y8580" t="str">
            <v>SOUTH AFRICA</v>
          </cell>
        </row>
        <row r="8581">
          <cell r="L8581" t="str">
            <v>Non-proportional</v>
          </cell>
          <cell r="S8581">
            <v>1055.1500000000001</v>
          </cell>
          <cell r="X8581" t="str">
            <v>Commissions - gross</v>
          </cell>
          <cell r="Y8581" t="str">
            <v>NEW ZEALAND</v>
          </cell>
        </row>
        <row r="8582">
          <cell r="L8582" t="str">
            <v>Non-proportional</v>
          </cell>
          <cell r="S8582">
            <v>789.75</v>
          </cell>
          <cell r="X8582" t="str">
            <v>Commissions - gross</v>
          </cell>
          <cell r="Y8582" t="str">
            <v>ITALY</v>
          </cell>
        </row>
        <row r="8583">
          <cell r="L8583" t="str">
            <v>Non-proportional</v>
          </cell>
          <cell r="S8583">
            <v>605.5</v>
          </cell>
          <cell r="X8583" t="str">
            <v>Commissions - gross</v>
          </cell>
          <cell r="Y8583" t="str">
            <v>FRANCE</v>
          </cell>
        </row>
        <row r="8584">
          <cell r="L8584" t="str">
            <v>Non-proportional</v>
          </cell>
          <cell r="S8584">
            <v>4000</v>
          </cell>
          <cell r="X8584" t="str">
            <v>Commissions - gross</v>
          </cell>
          <cell r="Y8584" t="str">
            <v>ITALY</v>
          </cell>
        </row>
        <row r="8585">
          <cell r="L8585" t="str">
            <v>Non-proportional</v>
          </cell>
          <cell r="S8585">
            <v>507.68</v>
          </cell>
          <cell r="X8585" t="str">
            <v>Commissions - gross</v>
          </cell>
          <cell r="Y8585" t="str">
            <v>SPAIN</v>
          </cell>
        </row>
        <row r="8586">
          <cell r="L8586" t="str">
            <v>Non-proportional</v>
          </cell>
          <cell r="S8586">
            <v>-435.02</v>
          </cell>
          <cell r="X8586" t="str">
            <v>Commissions - gross</v>
          </cell>
          <cell r="Y8586" t="str">
            <v>AUSTRALIA</v>
          </cell>
        </row>
        <row r="8587">
          <cell r="L8587" t="str">
            <v>Non-proportional</v>
          </cell>
          <cell r="S8587">
            <v>297.23</v>
          </cell>
          <cell r="X8587" t="str">
            <v>Commissions - gross</v>
          </cell>
          <cell r="Y8587" t="str">
            <v>JAPAN</v>
          </cell>
        </row>
        <row r="8588">
          <cell r="L8588" t="str">
            <v>Non-proportional</v>
          </cell>
          <cell r="S8588">
            <v>86.96</v>
          </cell>
          <cell r="X8588" t="str">
            <v>Commissions - gross</v>
          </cell>
          <cell r="Y8588" t="str">
            <v>SOUTH AFRICA</v>
          </cell>
        </row>
        <row r="8589">
          <cell r="L8589" t="str">
            <v>Non-proportional</v>
          </cell>
          <cell r="S8589">
            <v>371.59</v>
          </cell>
          <cell r="X8589" t="str">
            <v>Commissions - gross</v>
          </cell>
          <cell r="Y8589" t="str">
            <v>ISRAEL</v>
          </cell>
        </row>
        <row r="8590">
          <cell r="L8590" t="str">
            <v>Non-proportional</v>
          </cell>
          <cell r="S8590">
            <v>140.63</v>
          </cell>
          <cell r="X8590" t="str">
            <v>Commissions - gross</v>
          </cell>
          <cell r="Y8590" t="str">
            <v>GREECE</v>
          </cell>
        </row>
        <row r="8591">
          <cell r="L8591" t="str">
            <v>Non-proportional</v>
          </cell>
          <cell r="S8591">
            <v>373.46</v>
          </cell>
          <cell r="X8591" t="str">
            <v>Commissions - gross</v>
          </cell>
          <cell r="Y8591" t="str">
            <v>ECUADOR</v>
          </cell>
        </row>
        <row r="8592">
          <cell r="L8592" t="str">
            <v>Non-proportional</v>
          </cell>
          <cell r="S8592">
            <v>442.55</v>
          </cell>
          <cell r="X8592" t="str">
            <v>Commissions - gross</v>
          </cell>
          <cell r="Y8592" t="str">
            <v>FRANCE</v>
          </cell>
        </row>
        <row r="8593">
          <cell r="L8593" t="str">
            <v>Non-proportional</v>
          </cell>
          <cell r="S8593">
            <v>218.76</v>
          </cell>
          <cell r="X8593" t="str">
            <v>Commissions - gross</v>
          </cell>
          <cell r="Y8593" t="str">
            <v>SPAIN</v>
          </cell>
        </row>
        <row r="8594">
          <cell r="L8594" t="str">
            <v>Non-proportional</v>
          </cell>
          <cell r="S8594">
            <v>-1355.27</v>
          </cell>
          <cell r="X8594" t="str">
            <v>Commissions - gross</v>
          </cell>
          <cell r="Y8594" t="str">
            <v>UNITED KINGDOM</v>
          </cell>
        </row>
        <row r="8595">
          <cell r="L8595" t="str">
            <v>Non-proportional</v>
          </cell>
          <cell r="S8595">
            <v>43616.959999999999</v>
          </cell>
          <cell r="X8595" t="str">
            <v>Commissions - gross</v>
          </cell>
          <cell r="Y8595" t="str">
            <v>UNITED KINGDOM</v>
          </cell>
        </row>
        <row r="8596">
          <cell r="L8596" t="str">
            <v>Non-proportional</v>
          </cell>
          <cell r="S8596">
            <v>281.5</v>
          </cell>
          <cell r="X8596" t="str">
            <v>Commissions - gross</v>
          </cell>
          <cell r="Y8596" t="str">
            <v>ISRAEL</v>
          </cell>
        </row>
        <row r="8597">
          <cell r="L8597" t="str">
            <v>Non-proportional</v>
          </cell>
          <cell r="S8597">
            <v>551.04999999999995</v>
          </cell>
          <cell r="X8597" t="str">
            <v>Commissions - gross</v>
          </cell>
          <cell r="Y8597" t="str">
            <v>SINGAPORE</v>
          </cell>
        </row>
        <row r="8598">
          <cell r="L8598" t="str">
            <v>Non-proportional</v>
          </cell>
          <cell r="S8598">
            <v>15782.65</v>
          </cell>
          <cell r="X8598" t="str">
            <v>Commissions - gross</v>
          </cell>
          <cell r="Y8598" t="str">
            <v>UNITED KINGDOM</v>
          </cell>
        </row>
        <row r="8599">
          <cell r="L8599" t="str">
            <v>Non-proportional</v>
          </cell>
          <cell r="S8599">
            <v>246.96</v>
          </cell>
          <cell r="X8599" t="str">
            <v>Commissions - gross</v>
          </cell>
          <cell r="Y8599" t="str">
            <v>FRANCE</v>
          </cell>
        </row>
        <row r="8600">
          <cell r="L8600" t="str">
            <v>Non-proportional</v>
          </cell>
          <cell r="S8600">
            <v>0.42</v>
          </cell>
          <cell r="X8600" t="str">
            <v>Commissions - gross</v>
          </cell>
          <cell r="Y8600" t="str">
            <v>COSTA RICA</v>
          </cell>
        </row>
        <row r="8601">
          <cell r="L8601" t="str">
            <v>Non-proportional</v>
          </cell>
          <cell r="S8601">
            <v>580.22</v>
          </cell>
          <cell r="X8601" t="str">
            <v>Commissions - gross</v>
          </cell>
          <cell r="Y8601" t="str">
            <v>AUSTRALIA</v>
          </cell>
        </row>
        <row r="8602">
          <cell r="L8602" t="str">
            <v>Non-proportional</v>
          </cell>
          <cell r="S8602">
            <v>1329.69</v>
          </cell>
          <cell r="X8602" t="str">
            <v>Commissions - gross</v>
          </cell>
          <cell r="Y8602" t="str">
            <v>BELGIUM</v>
          </cell>
        </row>
        <row r="8603">
          <cell r="L8603" t="str">
            <v>Non-proportional</v>
          </cell>
          <cell r="S8603">
            <v>28.63</v>
          </cell>
          <cell r="X8603" t="str">
            <v>Commissions - gross</v>
          </cell>
          <cell r="Y8603" t="str">
            <v>REPUBLIC OF IRELAND</v>
          </cell>
        </row>
        <row r="8604">
          <cell r="L8604" t="str">
            <v>Non-proportional</v>
          </cell>
          <cell r="S8604">
            <v>125.78</v>
          </cell>
          <cell r="X8604" t="str">
            <v>Commissions - gross</v>
          </cell>
          <cell r="Y8604" t="str">
            <v>ITALY</v>
          </cell>
        </row>
        <row r="8605">
          <cell r="L8605" t="str">
            <v>Non-proportional</v>
          </cell>
          <cell r="S8605">
            <v>526</v>
          </cell>
          <cell r="X8605" t="str">
            <v>Commissions - gross</v>
          </cell>
          <cell r="Y8605" t="str">
            <v>PERU</v>
          </cell>
        </row>
        <row r="8606">
          <cell r="L8606" t="str">
            <v>Non-proportional</v>
          </cell>
          <cell r="S8606">
            <v>467.86</v>
          </cell>
          <cell r="X8606" t="str">
            <v>Commissions - gross</v>
          </cell>
          <cell r="Y8606" t="str">
            <v>SPAIN</v>
          </cell>
        </row>
        <row r="8607">
          <cell r="L8607" t="str">
            <v>Non-proportional</v>
          </cell>
          <cell r="S8607">
            <v>548.54</v>
          </cell>
          <cell r="X8607" t="str">
            <v>Commissions - gross</v>
          </cell>
          <cell r="Y8607" t="str">
            <v>ISRAEL</v>
          </cell>
        </row>
        <row r="8608">
          <cell r="L8608" t="str">
            <v>Non-proportional</v>
          </cell>
          <cell r="S8608">
            <v>-14.1</v>
          </cell>
          <cell r="X8608" t="str">
            <v>Commissions - gross</v>
          </cell>
          <cell r="Y8608" t="str">
            <v>TURKEY</v>
          </cell>
        </row>
        <row r="8609">
          <cell r="L8609" t="str">
            <v>Non-proportional</v>
          </cell>
          <cell r="S8609">
            <v>633.04</v>
          </cell>
          <cell r="X8609" t="str">
            <v>Commissions - gross</v>
          </cell>
          <cell r="Y8609" t="str">
            <v>ISRAEL</v>
          </cell>
        </row>
        <row r="8610">
          <cell r="L8610" t="str">
            <v>Non-proportional</v>
          </cell>
          <cell r="S8610">
            <v>950.01</v>
          </cell>
          <cell r="X8610" t="str">
            <v>Commissions - gross</v>
          </cell>
          <cell r="Y8610" t="str">
            <v>TURKEY</v>
          </cell>
        </row>
        <row r="8611">
          <cell r="L8611" t="str">
            <v>Non-proportional</v>
          </cell>
          <cell r="S8611">
            <v>132.35</v>
          </cell>
          <cell r="X8611" t="str">
            <v>Commissions - gross</v>
          </cell>
          <cell r="Y8611" t="str">
            <v>JAPAN</v>
          </cell>
        </row>
        <row r="8612">
          <cell r="L8612" t="str">
            <v>Non-proportional</v>
          </cell>
          <cell r="S8612">
            <v>983.28</v>
          </cell>
          <cell r="X8612" t="str">
            <v>Commissions - gross</v>
          </cell>
          <cell r="Y8612" t="str">
            <v>FRANCE</v>
          </cell>
        </row>
        <row r="8613">
          <cell r="L8613" t="str">
            <v>Non-proportional</v>
          </cell>
          <cell r="S8613">
            <v>1.55</v>
          </cell>
          <cell r="X8613" t="str">
            <v>Commissions - gross</v>
          </cell>
          <cell r="Y8613" t="str">
            <v>ISRAEL</v>
          </cell>
        </row>
        <row r="8614">
          <cell r="L8614" t="str">
            <v>Non-proportional</v>
          </cell>
          <cell r="S8614">
            <v>750.3</v>
          </cell>
          <cell r="X8614" t="str">
            <v>Commissions - gross</v>
          </cell>
          <cell r="Y8614" t="str">
            <v>CYPRUS</v>
          </cell>
        </row>
        <row r="8615">
          <cell r="L8615" t="str">
            <v>Non-proportional</v>
          </cell>
          <cell r="S8615">
            <v>-5.99</v>
          </cell>
          <cell r="X8615" t="str">
            <v>Commissions - gross</v>
          </cell>
          <cell r="Y8615" t="str">
            <v>DOMINICAN REPUBLIC</v>
          </cell>
        </row>
        <row r="8616">
          <cell r="L8616" t="str">
            <v>Non-proportional</v>
          </cell>
          <cell r="S8616">
            <v>35.78</v>
          </cell>
          <cell r="X8616" t="str">
            <v>Commissions - gross</v>
          </cell>
          <cell r="Y8616" t="str">
            <v>CHILE</v>
          </cell>
        </row>
        <row r="8617">
          <cell r="L8617" t="str">
            <v>Non-proportional</v>
          </cell>
          <cell r="S8617">
            <v>2499.98</v>
          </cell>
          <cell r="X8617" t="str">
            <v>Commissions - gross</v>
          </cell>
          <cell r="Y8617" t="str">
            <v>FRANCE</v>
          </cell>
        </row>
        <row r="8618">
          <cell r="L8618" t="str">
            <v>Non-proportional</v>
          </cell>
          <cell r="S8618">
            <v>-3.08</v>
          </cell>
          <cell r="X8618" t="str">
            <v>Commissions - gross</v>
          </cell>
          <cell r="Y8618" t="str">
            <v>JAPAN</v>
          </cell>
        </row>
        <row r="8619">
          <cell r="L8619" t="str">
            <v>Non-proportional</v>
          </cell>
          <cell r="S8619">
            <v>184.86</v>
          </cell>
          <cell r="X8619" t="str">
            <v>Commissions - gross</v>
          </cell>
          <cell r="Y8619" t="str">
            <v>NEW ZEALAND</v>
          </cell>
        </row>
        <row r="8620">
          <cell r="L8620" t="str">
            <v>Non-proportional</v>
          </cell>
          <cell r="S8620">
            <v>338.18</v>
          </cell>
          <cell r="X8620" t="str">
            <v>Commissions - gross</v>
          </cell>
          <cell r="Y8620" t="str">
            <v>ITALY</v>
          </cell>
        </row>
        <row r="8621">
          <cell r="L8621" t="str">
            <v>Non-proportional</v>
          </cell>
          <cell r="S8621">
            <v>250.44</v>
          </cell>
          <cell r="X8621" t="str">
            <v>Commissions - gross</v>
          </cell>
          <cell r="Y8621" t="str">
            <v>CHILE</v>
          </cell>
        </row>
        <row r="8622">
          <cell r="L8622" t="str">
            <v>Proportional</v>
          </cell>
          <cell r="S8622">
            <v>502.33</v>
          </cell>
          <cell r="X8622" t="str">
            <v>Commissions - gross</v>
          </cell>
          <cell r="Y8622" t="str">
            <v>JAPAN</v>
          </cell>
        </row>
        <row r="8623">
          <cell r="L8623" t="str">
            <v>Proportional</v>
          </cell>
          <cell r="S8623">
            <v>420.88</v>
          </cell>
          <cell r="X8623" t="str">
            <v>Commissions - gross</v>
          </cell>
          <cell r="Y8623" t="str">
            <v>ITALY</v>
          </cell>
        </row>
        <row r="8624">
          <cell r="L8624" t="str">
            <v>Non-proportional</v>
          </cell>
          <cell r="S8624">
            <v>141.59</v>
          </cell>
          <cell r="X8624" t="str">
            <v>Commissions - gross</v>
          </cell>
          <cell r="Y8624" t="str">
            <v>FRANCE</v>
          </cell>
        </row>
        <row r="8625">
          <cell r="L8625" t="str">
            <v>Non-proportional</v>
          </cell>
          <cell r="S8625">
            <v>385.42</v>
          </cell>
          <cell r="X8625" t="str">
            <v>Commissions - gross</v>
          </cell>
          <cell r="Y8625" t="str">
            <v>FRANCE</v>
          </cell>
        </row>
        <row r="8626">
          <cell r="L8626" t="str">
            <v>Non-proportional</v>
          </cell>
          <cell r="S8626">
            <v>885.5</v>
          </cell>
          <cell r="X8626" t="str">
            <v>Commissions - gross</v>
          </cell>
          <cell r="Y8626" t="str">
            <v>GERMANY</v>
          </cell>
        </row>
        <row r="8627">
          <cell r="L8627" t="str">
            <v>Non-proportional</v>
          </cell>
          <cell r="S8627">
            <v>374.99</v>
          </cell>
          <cell r="X8627" t="str">
            <v>Commissions - gross</v>
          </cell>
          <cell r="Y8627" t="str">
            <v>EUROPE</v>
          </cell>
        </row>
        <row r="8628">
          <cell r="L8628" t="str">
            <v>Non-proportional</v>
          </cell>
          <cell r="S8628">
            <v>940.21</v>
          </cell>
          <cell r="X8628" t="str">
            <v>Commissions - gross</v>
          </cell>
          <cell r="Y8628" t="str">
            <v>AUSTRALIA</v>
          </cell>
        </row>
        <row r="8629">
          <cell r="L8629" t="str">
            <v>Non-proportional</v>
          </cell>
          <cell r="S8629">
            <v>286.20999999999998</v>
          </cell>
          <cell r="X8629" t="str">
            <v>Commissions - gross</v>
          </cell>
          <cell r="Y8629" t="str">
            <v>CHILE</v>
          </cell>
        </row>
        <row r="8630">
          <cell r="L8630" t="str">
            <v>Non-proportional</v>
          </cell>
          <cell r="S8630">
            <v>15505.55</v>
          </cell>
          <cell r="X8630" t="str">
            <v>Commissions - gross</v>
          </cell>
          <cell r="Y8630" t="str">
            <v>UNITED KINGDOM</v>
          </cell>
        </row>
        <row r="8631">
          <cell r="L8631" t="str">
            <v>Proportional</v>
          </cell>
          <cell r="S8631">
            <v>438857.14</v>
          </cell>
          <cell r="X8631" t="str">
            <v>Commissions - gross</v>
          </cell>
          <cell r="Y8631" t="str">
            <v>ITALY</v>
          </cell>
        </row>
        <row r="8632">
          <cell r="L8632" t="str">
            <v>Non-proportional</v>
          </cell>
          <cell r="S8632">
            <v>133.03</v>
          </cell>
          <cell r="X8632" t="str">
            <v>Commissions - gross</v>
          </cell>
          <cell r="Y8632" t="str">
            <v>FRANCE</v>
          </cell>
        </row>
        <row r="8633">
          <cell r="L8633" t="str">
            <v>Non-proportional</v>
          </cell>
          <cell r="S8633">
            <v>72.16</v>
          </cell>
          <cell r="X8633" t="str">
            <v>Commissions - gross</v>
          </cell>
          <cell r="Y8633" t="str">
            <v>JAPAN</v>
          </cell>
        </row>
        <row r="8634">
          <cell r="L8634" t="str">
            <v>Non-proportional</v>
          </cell>
          <cell r="S8634">
            <v>295.42</v>
          </cell>
          <cell r="X8634" t="str">
            <v>Commissions - gross</v>
          </cell>
          <cell r="Y8634" t="str">
            <v>ISRAEL</v>
          </cell>
        </row>
        <row r="8635">
          <cell r="L8635" t="str">
            <v>Non-proportional</v>
          </cell>
          <cell r="S8635">
            <v>174.99</v>
          </cell>
          <cell r="X8635" t="str">
            <v>Commissions - gross</v>
          </cell>
          <cell r="Y8635" t="str">
            <v>EUROPE</v>
          </cell>
        </row>
        <row r="8636">
          <cell r="L8636" t="str">
            <v>Non-proportional</v>
          </cell>
          <cell r="S8636">
            <v>1671.55</v>
          </cell>
          <cell r="X8636" t="str">
            <v>Commissions - gross</v>
          </cell>
          <cell r="Y8636" t="str">
            <v>AUSTRALIA</v>
          </cell>
        </row>
        <row r="8637">
          <cell r="L8637" t="str">
            <v>Non-proportional</v>
          </cell>
          <cell r="S8637">
            <v>588.74</v>
          </cell>
          <cell r="X8637" t="str">
            <v>Commissions - gross</v>
          </cell>
          <cell r="Y8637" t="str">
            <v>SPAIN</v>
          </cell>
        </row>
        <row r="8638">
          <cell r="L8638" t="str">
            <v>Proportional</v>
          </cell>
          <cell r="S8638">
            <v>865.37</v>
          </cell>
          <cell r="X8638" t="str">
            <v>Commissions - gross</v>
          </cell>
          <cell r="Y8638" t="str">
            <v>SWITZERLAND</v>
          </cell>
        </row>
        <row r="8639">
          <cell r="L8639" t="str">
            <v>Non-proportional</v>
          </cell>
          <cell r="S8639">
            <v>110.26</v>
          </cell>
          <cell r="X8639" t="str">
            <v>Commissions - gross</v>
          </cell>
          <cell r="Y8639" t="str">
            <v>ISRAEL</v>
          </cell>
        </row>
        <row r="8640">
          <cell r="L8640" t="str">
            <v>Non-proportional</v>
          </cell>
          <cell r="S8640">
            <v>3000</v>
          </cell>
          <cell r="X8640" t="str">
            <v>Commissions - gross</v>
          </cell>
          <cell r="Y8640" t="str">
            <v>FRANCE</v>
          </cell>
        </row>
        <row r="8641">
          <cell r="L8641" t="str">
            <v>Non-proportional</v>
          </cell>
          <cell r="S8641">
            <v>359.24</v>
          </cell>
          <cell r="X8641" t="str">
            <v>Commissions - gross</v>
          </cell>
          <cell r="Y8641" t="str">
            <v>FRANCE</v>
          </cell>
        </row>
        <row r="8642">
          <cell r="L8642" t="str">
            <v>Non-proportional</v>
          </cell>
          <cell r="S8642">
            <v>2977.99</v>
          </cell>
          <cell r="X8642" t="str">
            <v>Commissions - gross</v>
          </cell>
          <cell r="Y8642" t="str">
            <v>JAPAN</v>
          </cell>
        </row>
        <row r="8643">
          <cell r="L8643" t="str">
            <v>Non-proportional</v>
          </cell>
          <cell r="S8643">
            <v>369.72</v>
          </cell>
          <cell r="X8643" t="str">
            <v>Commissions - gross</v>
          </cell>
          <cell r="Y8643" t="str">
            <v>SINGAPORE</v>
          </cell>
        </row>
        <row r="8644">
          <cell r="L8644" t="str">
            <v>Non-proportional</v>
          </cell>
          <cell r="S8644">
            <v>-26037.18</v>
          </cell>
          <cell r="X8644" t="str">
            <v>Commissions - gross</v>
          </cell>
          <cell r="Y8644" t="str">
            <v>NEW ZEALAND</v>
          </cell>
        </row>
        <row r="8645">
          <cell r="L8645" t="str">
            <v>Non-proportional</v>
          </cell>
          <cell r="S8645">
            <v>0</v>
          </cell>
          <cell r="X8645" t="str">
            <v>Commissions - gross</v>
          </cell>
          <cell r="Y8645" t="str">
            <v>DOMINICAN REPUBLIC</v>
          </cell>
        </row>
        <row r="8646">
          <cell r="L8646" t="str">
            <v>Non-proportional</v>
          </cell>
          <cell r="S8646">
            <v>208.72</v>
          </cell>
          <cell r="X8646" t="str">
            <v>Commissions - gross</v>
          </cell>
          <cell r="Y8646" t="str">
            <v>JAPAN</v>
          </cell>
        </row>
        <row r="8647">
          <cell r="L8647" t="str">
            <v>Non-proportional</v>
          </cell>
          <cell r="S8647">
            <v>1448.57</v>
          </cell>
          <cell r="X8647" t="str">
            <v>Commissions - gross</v>
          </cell>
          <cell r="Y8647" t="str">
            <v>TURKEY</v>
          </cell>
        </row>
        <row r="8648">
          <cell r="L8648" t="str">
            <v>Non-proportional</v>
          </cell>
          <cell r="S8648">
            <v>4.2</v>
          </cell>
          <cell r="X8648" t="str">
            <v>Commissions - gross</v>
          </cell>
          <cell r="Y8648" t="str">
            <v>ISRAEL</v>
          </cell>
        </row>
        <row r="8649">
          <cell r="L8649" t="str">
            <v>Non-proportional</v>
          </cell>
          <cell r="S8649">
            <v>326.41000000000003</v>
          </cell>
          <cell r="X8649" t="str">
            <v>Commissions - gross</v>
          </cell>
          <cell r="Y8649" t="str">
            <v>ISRAEL</v>
          </cell>
        </row>
        <row r="8650">
          <cell r="L8650" t="str">
            <v>Non-proportional</v>
          </cell>
          <cell r="S8650">
            <v>0.46</v>
          </cell>
          <cell r="X8650" t="str">
            <v>Commissions - gross</v>
          </cell>
          <cell r="Y8650" t="str">
            <v>COSTA RICA</v>
          </cell>
        </row>
        <row r="8651">
          <cell r="L8651" t="str">
            <v>Non-proportional</v>
          </cell>
          <cell r="S8651">
            <v>-4.1100000000000003</v>
          </cell>
          <cell r="X8651" t="str">
            <v>Commissions - gross</v>
          </cell>
          <cell r="Y8651" t="str">
            <v>NEW ZEALAND</v>
          </cell>
        </row>
        <row r="8652">
          <cell r="L8652" t="str">
            <v>Non-proportional</v>
          </cell>
          <cell r="S8652">
            <v>701.2</v>
          </cell>
          <cell r="X8652" t="str">
            <v>Commissions - gross</v>
          </cell>
          <cell r="Y8652" t="str">
            <v>POLAND</v>
          </cell>
        </row>
        <row r="8653">
          <cell r="L8653" t="str">
            <v>Non-proportional</v>
          </cell>
          <cell r="S8653">
            <v>38.75</v>
          </cell>
          <cell r="X8653" t="str">
            <v>Commissions - gross</v>
          </cell>
          <cell r="Y8653" t="str">
            <v>ITALY</v>
          </cell>
        </row>
        <row r="8654">
          <cell r="L8654" t="str">
            <v>Non-proportional</v>
          </cell>
          <cell r="S8654">
            <v>94.7</v>
          </cell>
          <cell r="X8654" t="str">
            <v>Commissions - gross</v>
          </cell>
          <cell r="Y8654" t="str">
            <v>ISRAEL</v>
          </cell>
        </row>
        <row r="8655">
          <cell r="L8655" t="str">
            <v>Non-proportional</v>
          </cell>
          <cell r="S8655">
            <v>942.25</v>
          </cell>
          <cell r="X8655" t="str">
            <v>Commissions - gross</v>
          </cell>
          <cell r="Y8655" t="str">
            <v>COSTA RICA</v>
          </cell>
        </row>
        <row r="8656">
          <cell r="L8656" t="str">
            <v>Non-proportional</v>
          </cell>
          <cell r="S8656">
            <v>3802.68</v>
          </cell>
          <cell r="X8656" t="str">
            <v>Commissions - gross</v>
          </cell>
          <cell r="Y8656" t="str">
            <v>FRANCE</v>
          </cell>
        </row>
        <row r="8657">
          <cell r="L8657" t="str">
            <v>Non-proportional</v>
          </cell>
          <cell r="S8657">
            <v>-3070.09</v>
          </cell>
          <cell r="X8657" t="str">
            <v>Commissions - gross</v>
          </cell>
          <cell r="Y8657" t="str">
            <v>INDIA</v>
          </cell>
        </row>
        <row r="8658">
          <cell r="L8658" t="str">
            <v>Non-proportional</v>
          </cell>
          <cell r="S8658">
            <v>321.99</v>
          </cell>
          <cell r="X8658" t="str">
            <v>Commissions - gross</v>
          </cell>
          <cell r="Y8658" t="str">
            <v>CHILE</v>
          </cell>
        </row>
        <row r="8659">
          <cell r="L8659" t="str">
            <v>Non-proportional</v>
          </cell>
          <cell r="S8659">
            <v>925.13</v>
          </cell>
          <cell r="X8659" t="str">
            <v>Commissions - gross</v>
          </cell>
          <cell r="Y8659" t="str">
            <v>ITALY</v>
          </cell>
        </row>
        <row r="8660">
          <cell r="L8660" t="str">
            <v>Non-proportional</v>
          </cell>
          <cell r="S8660">
            <v>0</v>
          </cell>
          <cell r="X8660" t="str">
            <v>Commissions - gross</v>
          </cell>
          <cell r="Y8660" t="str">
            <v>COLOMBIA</v>
          </cell>
        </row>
        <row r="8661">
          <cell r="L8661" t="str">
            <v>Non-proportional</v>
          </cell>
          <cell r="S8661">
            <v>392.18</v>
          </cell>
          <cell r="X8661" t="str">
            <v>Commissions - gross</v>
          </cell>
          <cell r="Y8661" t="str">
            <v>UNITED KINGDOM</v>
          </cell>
        </row>
        <row r="8662">
          <cell r="L8662" t="str">
            <v>Proportional</v>
          </cell>
          <cell r="S8662">
            <v>35.78</v>
          </cell>
          <cell r="X8662" t="str">
            <v>Commissions - gross</v>
          </cell>
          <cell r="Y8662" t="str">
            <v>CHILE</v>
          </cell>
        </row>
        <row r="8663">
          <cell r="L8663" t="str">
            <v>Non-proportional</v>
          </cell>
          <cell r="S8663">
            <v>853.13</v>
          </cell>
          <cell r="X8663" t="str">
            <v>Commissions - gross</v>
          </cell>
          <cell r="Y8663" t="str">
            <v>TURKEY</v>
          </cell>
        </row>
        <row r="8664">
          <cell r="L8664" t="str">
            <v>Non-proportional</v>
          </cell>
          <cell r="S8664">
            <v>917.84</v>
          </cell>
          <cell r="X8664" t="str">
            <v>Commissions - gross</v>
          </cell>
          <cell r="Y8664" t="str">
            <v>FRANCE</v>
          </cell>
        </row>
        <row r="8665">
          <cell r="L8665" t="str">
            <v>Non-proportional</v>
          </cell>
          <cell r="S8665">
            <v>4403.34</v>
          </cell>
          <cell r="X8665" t="str">
            <v>Commissions - gross</v>
          </cell>
          <cell r="Y8665" t="str">
            <v>UNITED KINGDOM</v>
          </cell>
        </row>
        <row r="8666">
          <cell r="L8666" t="str">
            <v>Non-proportional</v>
          </cell>
          <cell r="S8666">
            <v>89.89</v>
          </cell>
          <cell r="X8666" t="str">
            <v>Commissions - gross</v>
          </cell>
          <cell r="Y8666" t="str">
            <v>UNITED KINGDOM</v>
          </cell>
        </row>
        <row r="8667">
          <cell r="L8667" t="str">
            <v>Non-proportional</v>
          </cell>
          <cell r="S8667">
            <v>275.52</v>
          </cell>
          <cell r="X8667" t="str">
            <v>Commissions - gross</v>
          </cell>
          <cell r="Y8667" t="str">
            <v>COLOMBIA</v>
          </cell>
        </row>
        <row r="8668">
          <cell r="L8668" t="str">
            <v>Non-proportional</v>
          </cell>
          <cell r="S8668">
            <v>-20.98</v>
          </cell>
          <cell r="X8668" t="str">
            <v>Commissions - gross</v>
          </cell>
          <cell r="Y8668" t="str">
            <v>JAPAN</v>
          </cell>
        </row>
        <row r="8669">
          <cell r="L8669" t="str">
            <v>Non-proportional</v>
          </cell>
          <cell r="S8669">
            <v>-3.29</v>
          </cell>
          <cell r="X8669" t="str">
            <v>Commissions - gross</v>
          </cell>
          <cell r="Y8669" t="str">
            <v>JAPAN</v>
          </cell>
        </row>
        <row r="8670">
          <cell r="L8670" t="str">
            <v>Non-proportional</v>
          </cell>
          <cell r="S8670">
            <v>991.57</v>
          </cell>
          <cell r="X8670" t="str">
            <v>Commissions - gross</v>
          </cell>
          <cell r="Y8670" t="str">
            <v>NETHERLANDS</v>
          </cell>
        </row>
        <row r="8671">
          <cell r="L8671" t="str">
            <v>Non-proportional</v>
          </cell>
          <cell r="S8671">
            <v>435.15</v>
          </cell>
          <cell r="X8671" t="str">
            <v>Commissions - gross</v>
          </cell>
          <cell r="Y8671" t="str">
            <v>COSTA RICA</v>
          </cell>
        </row>
        <row r="8672">
          <cell r="L8672" t="str">
            <v>Non-proportional</v>
          </cell>
          <cell r="S8672">
            <v>228.46</v>
          </cell>
          <cell r="X8672" t="str">
            <v>Commissions - gross</v>
          </cell>
          <cell r="Y8672" t="str">
            <v>UNITED KINGDOM</v>
          </cell>
        </row>
        <row r="8673">
          <cell r="L8673" t="str">
            <v>Non-proportional</v>
          </cell>
          <cell r="S8673">
            <v>357.06</v>
          </cell>
          <cell r="X8673" t="str">
            <v>Commissions - gross</v>
          </cell>
          <cell r="Y8673" t="str">
            <v>GREECE</v>
          </cell>
        </row>
        <row r="8674">
          <cell r="L8674" t="str">
            <v>Non-proportional</v>
          </cell>
          <cell r="S8674">
            <v>885.5</v>
          </cell>
          <cell r="X8674" t="str">
            <v>Commissions - gross</v>
          </cell>
          <cell r="Y8674" t="str">
            <v>GERMANY</v>
          </cell>
        </row>
        <row r="8675">
          <cell r="L8675" t="str">
            <v>Non-proportional</v>
          </cell>
          <cell r="S8675">
            <v>-1173.21</v>
          </cell>
          <cell r="X8675" t="str">
            <v>Commissions - gross</v>
          </cell>
          <cell r="Y8675" t="str">
            <v>JAPAN</v>
          </cell>
        </row>
        <row r="8676">
          <cell r="L8676" t="str">
            <v>Non-proportional</v>
          </cell>
          <cell r="S8676">
            <v>864.62</v>
          </cell>
          <cell r="X8676" t="str">
            <v>Commissions - gross</v>
          </cell>
          <cell r="Y8676" t="str">
            <v>PUERTO RICO</v>
          </cell>
        </row>
        <row r="8677">
          <cell r="L8677" t="str">
            <v>Non-proportional</v>
          </cell>
          <cell r="S8677">
            <v>-26.33</v>
          </cell>
          <cell r="X8677" t="str">
            <v>Commissions - gross</v>
          </cell>
          <cell r="Y8677" t="str">
            <v>JAPAN</v>
          </cell>
        </row>
        <row r="8678">
          <cell r="L8678" t="str">
            <v>Non-proportional</v>
          </cell>
          <cell r="S8678">
            <v>-3.08</v>
          </cell>
          <cell r="X8678" t="str">
            <v>Commissions - gross</v>
          </cell>
          <cell r="Y8678" t="str">
            <v>JAPAN</v>
          </cell>
        </row>
        <row r="8679">
          <cell r="L8679" t="str">
            <v>Non-proportional</v>
          </cell>
          <cell r="S8679">
            <v>-3343.86</v>
          </cell>
          <cell r="X8679" t="str">
            <v>Commissions - gross</v>
          </cell>
          <cell r="Y8679" t="str">
            <v>INDIA</v>
          </cell>
        </row>
        <row r="8680">
          <cell r="L8680" t="str">
            <v>Non-proportional</v>
          </cell>
          <cell r="S8680">
            <v>113.12</v>
          </cell>
          <cell r="X8680" t="str">
            <v>Commissions - gross</v>
          </cell>
          <cell r="Y8680" t="str">
            <v>CYPRUS</v>
          </cell>
        </row>
        <row r="8681">
          <cell r="L8681" t="str">
            <v>Non-proportional</v>
          </cell>
          <cell r="S8681">
            <v>1613.43</v>
          </cell>
          <cell r="X8681" t="str">
            <v>Commissions - gross</v>
          </cell>
          <cell r="Y8681" t="str">
            <v>HONG KONG</v>
          </cell>
        </row>
        <row r="8682">
          <cell r="L8682" t="str">
            <v>Proportional</v>
          </cell>
          <cell r="S8682">
            <v>-597.01</v>
          </cell>
          <cell r="X8682" t="str">
            <v>Commissions - gross</v>
          </cell>
          <cell r="Y8682" t="str">
            <v>ITALY</v>
          </cell>
        </row>
        <row r="8683">
          <cell r="L8683" t="str">
            <v>Non-proportional</v>
          </cell>
          <cell r="S8683">
            <v>397.36</v>
          </cell>
          <cell r="X8683" t="str">
            <v>Commissions - gross</v>
          </cell>
          <cell r="Y8683" t="str">
            <v>UNITED KINGDOM</v>
          </cell>
        </row>
        <row r="8684">
          <cell r="L8684" t="str">
            <v>Non-proportional</v>
          </cell>
          <cell r="S8684">
            <v>35.78</v>
          </cell>
          <cell r="X8684" t="str">
            <v>Commissions - gross</v>
          </cell>
          <cell r="Y8684" t="str">
            <v>CHILE</v>
          </cell>
        </row>
        <row r="8685">
          <cell r="L8685" t="str">
            <v>Non-proportional</v>
          </cell>
          <cell r="S8685">
            <v>88.44</v>
          </cell>
          <cell r="X8685" t="str">
            <v>Commissions - gross</v>
          </cell>
          <cell r="Y8685" t="str">
            <v>FRANCE</v>
          </cell>
        </row>
        <row r="8686">
          <cell r="L8686" t="str">
            <v>Non-proportional</v>
          </cell>
          <cell r="S8686">
            <v>54.38</v>
          </cell>
          <cell r="X8686" t="str">
            <v>Commissions - gross</v>
          </cell>
          <cell r="Y8686" t="str">
            <v>GREECE</v>
          </cell>
        </row>
        <row r="8687">
          <cell r="L8687" t="str">
            <v>Non-proportional</v>
          </cell>
          <cell r="S8687">
            <v>299.97000000000003</v>
          </cell>
          <cell r="X8687" t="str">
            <v>Commissions - gross</v>
          </cell>
          <cell r="Y8687" t="str">
            <v>NETHERLANDS</v>
          </cell>
        </row>
        <row r="8688">
          <cell r="L8688" t="str">
            <v>Non-proportional</v>
          </cell>
          <cell r="S8688">
            <v>158.9</v>
          </cell>
          <cell r="X8688" t="str">
            <v>Commissions - gross</v>
          </cell>
          <cell r="Y8688" t="str">
            <v>ISRAEL</v>
          </cell>
        </row>
        <row r="8689">
          <cell r="L8689" t="str">
            <v>Non-proportional</v>
          </cell>
          <cell r="S8689">
            <v>531.28</v>
          </cell>
          <cell r="X8689" t="str">
            <v>Commissions - gross</v>
          </cell>
          <cell r="Y8689" t="str">
            <v>NETHERLANDS</v>
          </cell>
        </row>
        <row r="8690">
          <cell r="L8690" t="str">
            <v>Non-proportional</v>
          </cell>
          <cell r="S8690">
            <v>1588.55</v>
          </cell>
          <cell r="X8690" t="str">
            <v>Commissions - gross</v>
          </cell>
          <cell r="Y8690" t="str">
            <v>EUROPE</v>
          </cell>
        </row>
        <row r="8691">
          <cell r="L8691" t="str">
            <v>Non-proportional</v>
          </cell>
          <cell r="S8691">
            <v>0</v>
          </cell>
          <cell r="X8691" t="str">
            <v>Commissions - gross</v>
          </cell>
          <cell r="Y8691" t="str">
            <v>DOMINICAN REPUBLIC</v>
          </cell>
        </row>
        <row r="8692">
          <cell r="L8692" t="str">
            <v>Non-proportional</v>
          </cell>
          <cell r="S8692">
            <v>0</v>
          </cell>
          <cell r="X8692" t="str">
            <v>Commissions - gross</v>
          </cell>
          <cell r="Y8692" t="str">
            <v>COLOMBIA</v>
          </cell>
        </row>
        <row r="8693">
          <cell r="L8693" t="str">
            <v>Non-proportional</v>
          </cell>
          <cell r="S8693">
            <v>851.05</v>
          </cell>
          <cell r="X8693" t="str">
            <v>Commissions - gross</v>
          </cell>
          <cell r="Y8693" t="str">
            <v>DOMINICAN REPUBLIC</v>
          </cell>
        </row>
        <row r="8694">
          <cell r="L8694" t="str">
            <v>Non-proportional</v>
          </cell>
          <cell r="S8694">
            <v>426.79</v>
          </cell>
          <cell r="X8694" t="str">
            <v>Commissions - gross</v>
          </cell>
          <cell r="Y8694" t="str">
            <v>UNITED KINGDOM</v>
          </cell>
        </row>
        <row r="8695">
          <cell r="L8695" t="str">
            <v>Non-proportional</v>
          </cell>
          <cell r="S8695">
            <v>95.19</v>
          </cell>
          <cell r="X8695" t="str">
            <v>Commissions - gross</v>
          </cell>
          <cell r="Y8695" t="str">
            <v>JAPAN</v>
          </cell>
        </row>
        <row r="8696">
          <cell r="L8696" t="str">
            <v>Non-proportional</v>
          </cell>
          <cell r="S8696">
            <v>132.35</v>
          </cell>
          <cell r="X8696" t="str">
            <v>Commissions - gross</v>
          </cell>
          <cell r="Y8696" t="str">
            <v>JAPAN</v>
          </cell>
        </row>
        <row r="8697">
          <cell r="L8697" t="str">
            <v>Non-proportional</v>
          </cell>
          <cell r="S8697">
            <v>2884.86</v>
          </cell>
          <cell r="X8697" t="str">
            <v>Commissions - gross</v>
          </cell>
          <cell r="Y8697" t="str">
            <v>FRANCE</v>
          </cell>
        </row>
        <row r="8698">
          <cell r="L8698" t="str">
            <v>Non-proportional</v>
          </cell>
          <cell r="S8698">
            <v>1049.99</v>
          </cell>
          <cell r="X8698" t="str">
            <v>Commissions - gross</v>
          </cell>
          <cell r="Y8698" t="str">
            <v>ITALY</v>
          </cell>
        </row>
        <row r="8699">
          <cell r="L8699" t="str">
            <v>Non-proportional</v>
          </cell>
          <cell r="S8699">
            <v>622.49</v>
          </cell>
          <cell r="X8699" t="str">
            <v>Commissions - gross</v>
          </cell>
          <cell r="Y8699" t="str">
            <v>ISRAEL</v>
          </cell>
        </row>
        <row r="8700">
          <cell r="L8700" t="str">
            <v>Non-proportional</v>
          </cell>
          <cell r="S8700">
            <v>35.78</v>
          </cell>
          <cell r="X8700" t="str">
            <v>Commissions - gross</v>
          </cell>
          <cell r="Y8700" t="str">
            <v>CHILE</v>
          </cell>
        </row>
        <row r="8701">
          <cell r="L8701" t="str">
            <v>Non-proportional</v>
          </cell>
          <cell r="S8701">
            <v>10144.82</v>
          </cell>
          <cell r="X8701" t="str">
            <v>Commissions - gross</v>
          </cell>
          <cell r="Y8701" t="str">
            <v>HONG KONG</v>
          </cell>
        </row>
        <row r="8702">
          <cell r="L8702" t="str">
            <v>Non-proportional</v>
          </cell>
          <cell r="S8702">
            <v>287.31</v>
          </cell>
          <cell r="X8702" t="str">
            <v>Commissions - gross</v>
          </cell>
          <cell r="Y8702" t="str">
            <v>UNITED KINGDOM</v>
          </cell>
        </row>
        <row r="8703">
          <cell r="L8703" t="str">
            <v>Non-proportional</v>
          </cell>
          <cell r="S8703">
            <v>502.74</v>
          </cell>
          <cell r="X8703" t="str">
            <v>Commissions - gross</v>
          </cell>
          <cell r="Y8703" t="str">
            <v>ISRAEL</v>
          </cell>
        </row>
        <row r="8704">
          <cell r="L8704" t="str">
            <v>Non-proportional</v>
          </cell>
          <cell r="S8704">
            <v>381.91</v>
          </cell>
          <cell r="X8704" t="str">
            <v>Commissions - gross</v>
          </cell>
          <cell r="Y8704" t="str">
            <v>NEW ZEALAND</v>
          </cell>
        </row>
        <row r="8705">
          <cell r="L8705" t="str">
            <v>Non-proportional</v>
          </cell>
          <cell r="S8705">
            <v>0</v>
          </cell>
          <cell r="X8705" t="str">
            <v>Commissions - gross</v>
          </cell>
          <cell r="Y8705" t="str">
            <v>DOMINICAN REPUBLIC</v>
          </cell>
        </row>
        <row r="8706">
          <cell r="L8706" t="str">
            <v>Non-proportional</v>
          </cell>
          <cell r="S8706">
            <v>749.23</v>
          </cell>
          <cell r="X8706" t="str">
            <v>Commissions - gross</v>
          </cell>
          <cell r="Y8706" t="str">
            <v>FRANCE</v>
          </cell>
        </row>
        <row r="8707">
          <cell r="L8707" t="str">
            <v>Non-proportional</v>
          </cell>
          <cell r="S8707">
            <v>16.75</v>
          </cell>
          <cell r="X8707" t="str">
            <v>Commissions - gross</v>
          </cell>
          <cell r="Y8707" t="str">
            <v>FRANCE</v>
          </cell>
        </row>
        <row r="8708">
          <cell r="L8708" t="str">
            <v>Non-proportional</v>
          </cell>
          <cell r="S8708">
            <v>360.85</v>
          </cell>
          <cell r="X8708" t="str">
            <v>Commissions - gross</v>
          </cell>
          <cell r="Y8708" t="str">
            <v>ECUADOR</v>
          </cell>
        </row>
        <row r="8709">
          <cell r="L8709" t="str">
            <v>Non-proportional</v>
          </cell>
          <cell r="S8709">
            <v>118.57</v>
          </cell>
          <cell r="X8709" t="str">
            <v>Commissions - gross</v>
          </cell>
          <cell r="Y8709" t="str">
            <v>UNITED KINGDOM</v>
          </cell>
        </row>
        <row r="8710">
          <cell r="L8710" t="str">
            <v>Non-proportional</v>
          </cell>
          <cell r="S8710">
            <v>202.99</v>
          </cell>
          <cell r="X8710" t="str">
            <v>Commissions - gross</v>
          </cell>
          <cell r="Y8710" t="str">
            <v>CYPRUS</v>
          </cell>
        </row>
        <row r="8711">
          <cell r="L8711" t="str">
            <v>Non-proportional</v>
          </cell>
          <cell r="S8711">
            <v>174.08</v>
          </cell>
          <cell r="X8711" t="str">
            <v>Commissions - gross</v>
          </cell>
          <cell r="Y8711" t="str">
            <v>SOUTH AFRICA</v>
          </cell>
        </row>
        <row r="8712">
          <cell r="L8712" t="str">
            <v>Non-proportional</v>
          </cell>
          <cell r="S8712">
            <v>-1806.89</v>
          </cell>
          <cell r="X8712" t="str">
            <v>Commissions - gross</v>
          </cell>
          <cell r="Y8712" t="str">
            <v>PERU</v>
          </cell>
        </row>
        <row r="8713">
          <cell r="L8713" t="str">
            <v>Non-proportional</v>
          </cell>
          <cell r="S8713">
            <v>0</v>
          </cell>
          <cell r="X8713" t="str">
            <v>Commissions - gross</v>
          </cell>
          <cell r="Y8713" t="str">
            <v>DOMINICAN REPUBLIC</v>
          </cell>
        </row>
        <row r="8714">
          <cell r="L8714" t="str">
            <v>Non-proportional</v>
          </cell>
          <cell r="S8714">
            <v>423.06</v>
          </cell>
          <cell r="X8714" t="str">
            <v>Commissions - gross</v>
          </cell>
          <cell r="Y8714" t="str">
            <v>ECUADOR</v>
          </cell>
        </row>
        <row r="8715">
          <cell r="L8715" t="str">
            <v>Non-proportional</v>
          </cell>
          <cell r="S8715">
            <v>-22.02</v>
          </cell>
          <cell r="X8715" t="str">
            <v>Commissions - gross</v>
          </cell>
          <cell r="Y8715" t="str">
            <v>NEW ZEALAND</v>
          </cell>
        </row>
        <row r="8716">
          <cell r="L8716" t="str">
            <v>Non-proportional</v>
          </cell>
          <cell r="S8716">
            <v>-1.26</v>
          </cell>
          <cell r="X8716" t="str">
            <v>Commissions - gross</v>
          </cell>
          <cell r="Y8716" t="str">
            <v>GUATEMALA</v>
          </cell>
        </row>
        <row r="8717">
          <cell r="L8717" t="str">
            <v>Non-proportional</v>
          </cell>
          <cell r="S8717">
            <v>104.53</v>
          </cell>
          <cell r="X8717" t="str">
            <v>Commissions - gross</v>
          </cell>
          <cell r="Y8717" t="str">
            <v>MEXICO</v>
          </cell>
        </row>
        <row r="8718">
          <cell r="L8718" t="str">
            <v>Non-proportional</v>
          </cell>
          <cell r="S8718">
            <v>289.02999999999997</v>
          </cell>
          <cell r="X8718" t="str">
            <v>Commissions - gross</v>
          </cell>
          <cell r="Y8718" t="str">
            <v>JAPAN</v>
          </cell>
        </row>
        <row r="8719">
          <cell r="L8719" t="str">
            <v>Non-proportional</v>
          </cell>
          <cell r="S8719">
            <v>418.59</v>
          </cell>
          <cell r="X8719" t="str">
            <v>Commissions - gross</v>
          </cell>
          <cell r="Y8719" t="str">
            <v>FRANCE</v>
          </cell>
        </row>
        <row r="8720">
          <cell r="L8720" t="str">
            <v>Non-proportional</v>
          </cell>
          <cell r="S8720">
            <v>133.68</v>
          </cell>
          <cell r="X8720" t="str">
            <v>Commissions - gross</v>
          </cell>
          <cell r="Y8720" t="str">
            <v>NEW ZEALAND</v>
          </cell>
        </row>
        <row r="8721">
          <cell r="L8721" t="str">
            <v>Non-proportional</v>
          </cell>
          <cell r="S8721">
            <v>11404.21</v>
          </cell>
          <cell r="X8721" t="str">
            <v>Commissions - gross</v>
          </cell>
          <cell r="Y8721" t="str">
            <v>AUSTRALIA</v>
          </cell>
        </row>
        <row r="8722">
          <cell r="L8722" t="str">
            <v>Non-proportional</v>
          </cell>
          <cell r="S8722">
            <v>549.99</v>
          </cell>
          <cell r="X8722" t="str">
            <v>Commissions - gross</v>
          </cell>
          <cell r="Y8722" t="str">
            <v>NEW ZEALAND</v>
          </cell>
        </row>
        <row r="8723">
          <cell r="L8723" t="str">
            <v>Non-proportional</v>
          </cell>
          <cell r="S8723">
            <v>85.6</v>
          </cell>
          <cell r="X8723" t="str">
            <v>Commissions - gross</v>
          </cell>
          <cell r="Y8723" t="str">
            <v>FRANCE</v>
          </cell>
        </row>
        <row r="8724">
          <cell r="L8724" t="str">
            <v>Proportional</v>
          </cell>
          <cell r="S8724">
            <v>-2.4500000000000002</v>
          </cell>
          <cell r="X8724" t="str">
            <v>Commissions - gross</v>
          </cell>
          <cell r="Y8724" t="str">
            <v>UNITED STATES</v>
          </cell>
        </row>
        <row r="8725">
          <cell r="L8725" t="str">
            <v>Non-proportional</v>
          </cell>
          <cell r="S8725">
            <v>18.96</v>
          </cell>
          <cell r="X8725" t="str">
            <v>Commissions - gross</v>
          </cell>
          <cell r="Y8725" t="str">
            <v>TURKEY</v>
          </cell>
        </row>
        <row r="8726">
          <cell r="L8726" t="str">
            <v>Non-proportional</v>
          </cell>
          <cell r="S8726">
            <v>1142.9100000000001</v>
          </cell>
          <cell r="X8726" t="str">
            <v>Commissions - gross</v>
          </cell>
          <cell r="Y8726" t="str">
            <v>COLOMBIA</v>
          </cell>
        </row>
        <row r="8727">
          <cell r="L8727" t="str">
            <v>Non-proportional</v>
          </cell>
          <cell r="S8727">
            <v>29466.02</v>
          </cell>
          <cell r="X8727" t="str">
            <v>Commissions - gross</v>
          </cell>
          <cell r="Y8727" t="str">
            <v>UNITED KINGDOM</v>
          </cell>
        </row>
        <row r="8728">
          <cell r="L8728" t="str">
            <v>Non-proportional</v>
          </cell>
          <cell r="S8728">
            <v>479.5</v>
          </cell>
          <cell r="X8728" t="str">
            <v>Commissions - gross</v>
          </cell>
          <cell r="Y8728" t="str">
            <v>ECUADOR</v>
          </cell>
        </row>
        <row r="8729">
          <cell r="L8729" t="str">
            <v>Non-proportional</v>
          </cell>
          <cell r="S8729">
            <v>1373.72</v>
          </cell>
          <cell r="X8729" t="str">
            <v>Commissions - gross</v>
          </cell>
          <cell r="Y8729" t="str">
            <v>ISRAEL</v>
          </cell>
        </row>
        <row r="8730">
          <cell r="L8730" t="str">
            <v>Non-proportional</v>
          </cell>
          <cell r="S8730">
            <v>1996.77</v>
          </cell>
          <cell r="X8730" t="str">
            <v>Commissions - gross</v>
          </cell>
          <cell r="Y8730" t="str">
            <v>FRANCE</v>
          </cell>
        </row>
        <row r="8731">
          <cell r="L8731" t="str">
            <v>Non-proportional</v>
          </cell>
          <cell r="S8731">
            <v>644.21</v>
          </cell>
          <cell r="X8731" t="str">
            <v>Commissions - gross</v>
          </cell>
          <cell r="Y8731" t="str">
            <v>AUSTRALIA</v>
          </cell>
        </row>
        <row r="8732">
          <cell r="L8732" t="str">
            <v>Non-proportional</v>
          </cell>
          <cell r="S8732">
            <v>309.14999999999998</v>
          </cell>
          <cell r="X8732" t="str">
            <v>Commissions - gross</v>
          </cell>
          <cell r="Y8732" t="str">
            <v>ECUADOR</v>
          </cell>
        </row>
        <row r="8733">
          <cell r="L8733" t="str">
            <v>Non-proportional</v>
          </cell>
          <cell r="S8733">
            <v>266.08999999999997</v>
          </cell>
          <cell r="X8733" t="str">
            <v>Commissions - gross</v>
          </cell>
          <cell r="Y8733" t="str">
            <v>UNITED KINGDOM</v>
          </cell>
        </row>
        <row r="8734">
          <cell r="L8734" t="str">
            <v>Non-proportional</v>
          </cell>
          <cell r="S8734">
            <v>633.16999999999996</v>
          </cell>
          <cell r="X8734" t="str">
            <v>Commissions - gross</v>
          </cell>
          <cell r="Y8734" t="str">
            <v>DOMINICAN REPUBLIC</v>
          </cell>
        </row>
        <row r="8735">
          <cell r="L8735" t="str">
            <v>Proportional</v>
          </cell>
          <cell r="S8735">
            <v>199249.56</v>
          </cell>
          <cell r="X8735" t="str">
            <v>Commissions - gross</v>
          </cell>
          <cell r="Y8735" t="str">
            <v>HONG KONG</v>
          </cell>
        </row>
        <row r="8736">
          <cell r="L8736" t="str">
            <v>Non-proportional</v>
          </cell>
          <cell r="S8736">
            <v>-22.4</v>
          </cell>
          <cell r="X8736" t="str">
            <v>Commissions - gross</v>
          </cell>
          <cell r="Y8736" t="str">
            <v>COLOMBIA</v>
          </cell>
        </row>
        <row r="8737">
          <cell r="L8737" t="str">
            <v>Non-proportional</v>
          </cell>
          <cell r="S8737">
            <v>225.32</v>
          </cell>
          <cell r="X8737" t="str">
            <v>Commissions - gross</v>
          </cell>
          <cell r="Y8737" t="str">
            <v>ECUADOR</v>
          </cell>
        </row>
        <row r="8738">
          <cell r="L8738" t="str">
            <v>Non-proportional</v>
          </cell>
          <cell r="S8738">
            <v>433</v>
          </cell>
          <cell r="X8738" t="str">
            <v>Commissions - gross</v>
          </cell>
          <cell r="Y8738" t="str">
            <v>GUATEMALA</v>
          </cell>
        </row>
        <row r="8739">
          <cell r="L8739" t="str">
            <v>Non-proportional</v>
          </cell>
          <cell r="S8739">
            <v>1424.61</v>
          </cell>
          <cell r="X8739" t="str">
            <v>Commissions - gross</v>
          </cell>
          <cell r="Y8739" t="str">
            <v>UNITED KINGDOM</v>
          </cell>
        </row>
        <row r="8740">
          <cell r="L8740" t="str">
            <v>Non-proportional</v>
          </cell>
          <cell r="S8740">
            <v>-7</v>
          </cell>
          <cell r="X8740" t="str">
            <v>Commissions - gross</v>
          </cell>
          <cell r="Y8740" t="str">
            <v>JAPAN</v>
          </cell>
        </row>
        <row r="8741">
          <cell r="L8741" t="str">
            <v>Proportional</v>
          </cell>
          <cell r="S8741">
            <v>125.9</v>
          </cell>
          <cell r="X8741" t="str">
            <v>Commissions - gross</v>
          </cell>
          <cell r="Y8741" t="str">
            <v>UNITED STATES</v>
          </cell>
        </row>
        <row r="8742">
          <cell r="L8742" t="str">
            <v>Non-proportional</v>
          </cell>
          <cell r="S8742">
            <v>166.46</v>
          </cell>
          <cell r="X8742" t="str">
            <v>Commissions - gross</v>
          </cell>
          <cell r="Y8742" t="str">
            <v>FRANCE</v>
          </cell>
        </row>
        <row r="8743">
          <cell r="L8743" t="str">
            <v>Non-proportional</v>
          </cell>
          <cell r="S8743">
            <v>-96.29</v>
          </cell>
          <cell r="X8743" t="str">
            <v>Commissions - gross</v>
          </cell>
          <cell r="Y8743" t="str">
            <v>JAPAN</v>
          </cell>
        </row>
        <row r="8744">
          <cell r="L8744" t="str">
            <v>Non-proportional</v>
          </cell>
          <cell r="S8744">
            <v>-7188.84</v>
          </cell>
          <cell r="X8744" t="str">
            <v>Commissions - gross</v>
          </cell>
          <cell r="Y8744" t="str">
            <v>MEXICO</v>
          </cell>
        </row>
        <row r="8745">
          <cell r="L8745" t="str">
            <v>Non-proportional</v>
          </cell>
          <cell r="S8745">
            <v>4575.8500000000004</v>
          </cell>
          <cell r="X8745" t="str">
            <v>Commissions - gross</v>
          </cell>
          <cell r="Y8745" t="str">
            <v>TURKEY</v>
          </cell>
        </row>
        <row r="8746">
          <cell r="L8746" t="str">
            <v>Non-proportional</v>
          </cell>
          <cell r="S8746">
            <v>2019.75</v>
          </cell>
          <cell r="X8746" t="str">
            <v>Commissions - gross</v>
          </cell>
          <cell r="Y8746" t="str">
            <v>ITALY</v>
          </cell>
        </row>
        <row r="8747">
          <cell r="L8747" t="str">
            <v>Non-proportional</v>
          </cell>
          <cell r="S8747">
            <v>3945.67</v>
          </cell>
          <cell r="X8747" t="str">
            <v>Commissions - gross</v>
          </cell>
          <cell r="Y8747" t="str">
            <v>UNITED KINGDOM</v>
          </cell>
        </row>
        <row r="8748">
          <cell r="L8748" t="str">
            <v>Non-proportional</v>
          </cell>
          <cell r="S8748">
            <v>0</v>
          </cell>
          <cell r="X8748" t="str">
            <v>Commissions - gross</v>
          </cell>
          <cell r="Y8748" t="str">
            <v>DOMINICAN REPUBLIC</v>
          </cell>
        </row>
        <row r="8749">
          <cell r="L8749" t="str">
            <v>Non-proportional</v>
          </cell>
          <cell r="S8749">
            <v>-42.24</v>
          </cell>
          <cell r="X8749" t="str">
            <v>Commissions - gross</v>
          </cell>
          <cell r="Y8749" t="str">
            <v>NEW ZEALAND</v>
          </cell>
        </row>
        <row r="8750">
          <cell r="L8750" t="str">
            <v>Non-proportional</v>
          </cell>
          <cell r="S8750">
            <v>1117.46</v>
          </cell>
          <cell r="X8750" t="str">
            <v>Commissions - gross</v>
          </cell>
          <cell r="Y8750" t="str">
            <v>MEXICO</v>
          </cell>
        </row>
        <row r="8751">
          <cell r="L8751" t="str">
            <v>Non-proportional</v>
          </cell>
          <cell r="S8751">
            <v>673.46</v>
          </cell>
          <cell r="X8751" t="str">
            <v>Commissions - gross</v>
          </cell>
          <cell r="Y8751" t="str">
            <v>JAPAN</v>
          </cell>
        </row>
        <row r="8752">
          <cell r="L8752" t="str">
            <v>Non-proportional</v>
          </cell>
          <cell r="S8752">
            <v>-1.79</v>
          </cell>
          <cell r="X8752" t="str">
            <v>Commissions - gross</v>
          </cell>
          <cell r="Y8752" t="str">
            <v>JAPAN</v>
          </cell>
        </row>
        <row r="8753">
          <cell r="L8753" t="str">
            <v>Non-proportional</v>
          </cell>
          <cell r="S8753">
            <v>-4.1100000000000003</v>
          </cell>
          <cell r="X8753" t="str">
            <v>Commissions - gross</v>
          </cell>
          <cell r="Y8753" t="str">
            <v>JAPAN</v>
          </cell>
        </row>
        <row r="8754">
          <cell r="L8754" t="str">
            <v>Non-proportional</v>
          </cell>
          <cell r="S8754">
            <v>109.14</v>
          </cell>
          <cell r="X8754" t="str">
            <v>Commissions - gross</v>
          </cell>
          <cell r="Y8754" t="str">
            <v>JAPAN</v>
          </cell>
        </row>
        <row r="8755">
          <cell r="L8755" t="str">
            <v>Non-proportional</v>
          </cell>
          <cell r="S8755">
            <v>209.09</v>
          </cell>
          <cell r="X8755" t="str">
            <v>Commissions - gross</v>
          </cell>
          <cell r="Y8755" t="str">
            <v>JAPAN</v>
          </cell>
        </row>
        <row r="8756">
          <cell r="L8756" t="str">
            <v>Non-proportional</v>
          </cell>
          <cell r="S8756">
            <v>250.44</v>
          </cell>
          <cell r="X8756" t="str">
            <v>Commissions - gross</v>
          </cell>
          <cell r="Y8756" t="str">
            <v>CHILE</v>
          </cell>
        </row>
        <row r="8757">
          <cell r="L8757" t="str">
            <v>Non-proportional</v>
          </cell>
          <cell r="S8757">
            <v>591.84</v>
          </cell>
          <cell r="X8757" t="str">
            <v>Commissions - gross</v>
          </cell>
          <cell r="Y8757" t="str">
            <v>EUROPE</v>
          </cell>
        </row>
        <row r="8758">
          <cell r="L8758" t="str">
            <v>Non-proportional</v>
          </cell>
          <cell r="S8758">
            <v>454.19</v>
          </cell>
          <cell r="X8758" t="str">
            <v>Commissions - gross</v>
          </cell>
          <cell r="Y8758" t="str">
            <v>TURKEY</v>
          </cell>
        </row>
        <row r="8759">
          <cell r="L8759" t="str">
            <v>Non-proportional</v>
          </cell>
          <cell r="S8759">
            <v>1055.1500000000001</v>
          </cell>
          <cell r="X8759" t="str">
            <v>Commissions - gross</v>
          </cell>
          <cell r="Y8759" t="str">
            <v>NEW ZEALAND</v>
          </cell>
        </row>
        <row r="8760">
          <cell r="L8760" t="str">
            <v>Non-proportional</v>
          </cell>
          <cell r="S8760">
            <v>656.38</v>
          </cell>
          <cell r="X8760" t="str">
            <v>Commissions - gross</v>
          </cell>
          <cell r="Y8760" t="str">
            <v>COLOMBIA</v>
          </cell>
        </row>
        <row r="8761">
          <cell r="L8761" t="str">
            <v>Non-proportional</v>
          </cell>
          <cell r="S8761">
            <v>-14.86</v>
          </cell>
          <cell r="X8761" t="str">
            <v>Commissions - gross</v>
          </cell>
          <cell r="Y8761" t="str">
            <v>DOMINICAN REPUBLIC</v>
          </cell>
        </row>
        <row r="8762">
          <cell r="L8762" t="str">
            <v>Proportional</v>
          </cell>
          <cell r="S8762">
            <v>-512000</v>
          </cell>
          <cell r="X8762" t="str">
            <v>Commissions - gross</v>
          </cell>
          <cell r="Y8762" t="str">
            <v>ITALY</v>
          </cell>
        </row>
        <row r="8763">
          <cell r="L8763" t="str">
            <v>Non-proportional</v>
          </cell>
          <cell r="S8763">
            <v>-26.25</v>
          </cell>
          <cell r="X8763" t="str">
            <v>Commissions - gross</v>
          </cell>
          <cell r="Y8763" t="str">
            <v>COLOMBIA</v>
          </cell>
        </row>
        <row r="8764">
          <cell r="L8764" t="str">
            <v>Proportional</v>
          </cell>
          <cell r="S8764">
            <v>0.84</v>
          </cell>
          <cell r="X8764" t="str">
            <v>Commissions - gross</v>
          </cell>
          <cell r="Y8764" t="str">
            <v>UNITED STATES</v>
          </cell>
        </row>
        <row r="8765">
          <cell r="L8765" t="str">
            <v>Non-proportional</v>
          </cell>
          <cell r="S8765">
            <v>904.39</v>
          </cell>
          <cell r="X8765" t="str">
            <v>Commissions - gross</v>
          </cell>
          <cell r="Y8765" t="str">
            <v>FRANCE</v>
          </cell>
        </row>
        <row r="8766">
          <cell r="L8766" t="str">
            <v>Non-proportional</v>
          </cell>
          <cell r="S8766">
            <v>204.75</v>
          </cell>
          <cell r="X8766" t="str">
            <v>Commissions - gross</v>
          </cell>
          <cell r="Y8766" t="str">
            <v>AUSTRALIA</v>
          </cell>
        </row>
        <row r="8767">
          <cell r="L8767" t="str">
            <v>Non-proportional</v>
          </cell>
          <cell r="S8767">
            <v>544.87</v>
          </cell>
          <cell r="X8767" t="str">
            <v>Commissions - gross</v>
          </cell>
          <cell r="Y8767" t="str">
            <v>UNITED KINGDOM</v>
          </cell>
        </row>
        <row r="8768">
          <cell r="L8768" t="str">
            <v>Non-proportional</v>
          </cell>
          <cell r="S8768">
            <v>117.23</v>
          </cell>
          <cell r="X8768" t="str">
            <v>Commissions - gross</v>
          </cell>
          <cell r="Y8768" t="str">
            <v>FRANCE</v>
          </cell>
        </row>
        <row r="8769">
          <cell r="L8769" t="str">
            <v>Non-proportional</v>
          </cell>
          <cell r="S8769">
            <v>498.73</v>
          </cell>
          <cell r="X8769" t="str">
            <v>Commissions - gross</v>
          </cell>
          <cell r="Y8769" t="str">
            <v>COLOMBIA</v>
          </cell>
        </row>
        <row r="8770">
          <cell r="L8770" t="str">
            <v>Non-proportional</v>
          </cell>
          <cell r="S8770">
            <v>457.21</v>
          </cell>
          <cell r="X8770" t="str">
            <v>Commissions - gross</v>
          </cell>
          <cell r="Y8770" t="str">
            <v>UNITED KINGDOM</v>
          </cell>
        </row>
        <row r="8771">
          <cell r="L8771" t="str">
            <v>Non-proportional</v>
          </cell>
          <cell r="S8771">
            <v>205.04</v>
          </cell>
          <cell r="X8771" t="str">
            <v>Commissions - gross</v>
          </cell>
          <cell r="Y8771" t="str">
            <v>CHINA</v>
          </cell>
        </row>
        <row r="8772">
          <cell r="L8772" t="str">
            <v>Non-proportional</v>
          </cell>
          <cell r="S8772">
            <v>1418.56</v>
          </cell>
          <cell r="X8772" t="str">
            <v>Commissions - gross</v>
          </cell>
          <cell r="Y8772" t="str">
            <v>PUERTO RICO</v>
          </cell>
        </row>
        <row r="8773">
          <cell r="L8773" t="str">
            <v>Non-proportional</v>
          </cell>
          <cell r="S8773">
            <v>2.98</v>
          </cell>
          <cell r="X8773" t="str">
            <v>Commissions - gross</v>
          </cell>
          <cell r="Y8773" t="str">
            <v>ISRAEL</v>
          </cell>
        </row>
        <row r="8774">
          <cell r="L8774" t="str">
            <v>Non-proportional</v>
          </cell>
          <cell r="S8774">
            <v>-4.28</v>
          </cell>
          <cell r="X8774" t="str">
            <v>Commissions - gross</v>
          </cell>
          <cell r="Y8774" t="str">
            <v>JAPAN</v>
          </cell>
        </row>
        <row r="8775">
          <cell r="L8775" t="str">
            <v>Non-proportional</v>
          </cell>
          <cell r="S8775">
            <v>4686.47</v>
          </cell>
          <cell r="X8775" t="str">
            <v>Commissions - gross</v>
          </cell>
          <cell r="Y8775" t="str">
            <v>FRANCE</v>
          </cell>
        </row>
        <row r="8776">
          <cell r="L8776" t="str">
            <v>Non-proportional</v>
          </cell>
          <cell r="S8776">
            <v>166.97</v>
          </cell>
          <cell r="X8776" t="str">
            <v>Commissions - gross</v>
          </cell>
          <cell r="Y8776" t="str">
            <v>JAPAN</v>
          </cell>
        </row>
        <row r="8777">
          <cell r="L8777" t="str">
            <v>Proportional</v>
          </cell>
          <cell r="S8777">
            <v>250.44</v>
          </cell>
          <cell r="X8777" t="str">
            <v>Commissions - gross</v>
          </cell>
          <cell r="Y8777" t="str">
            <v>CHILE</v>
          </cell>
        </row>
        <row r="8778">
          <cell r="L8778" t="str">
            <v>Non-proportional</v>
          </cell>
          <cell r="S8778">
            <v>-5.86</v>
          </cell>
          <cell r="X8778" t="str">
            <v>Commissions - gross</v>
          </cell>
          <cell r="Y8778" t="str">
            <v>JAPAN</v>
          </cell>
        </row>
        <row r="8779">
          <cell r="L8779" t="str">
            <v>Non-proportional</v>
          </cell>
          <cell r="S8779">
            <v>328.73</v>
          </cell>
          <cell r="X8779" t="str">
            <v>Commissions - gross</v>
          </cell>
          <cell r="Y8779" t="str">
            <v>COLOMBIA</v>
          </cell>
        </row>
        <row r="8780">
          <cell r="L8780" t="str">
            <v>Non-proportional</v>
          </cell>
          <cell r="S8780">
            <v>393.95</v>
          </cell>
          <cell r="X8780" t="str">
            <v>Commissions - gross</v>
          </cell>
          <cell r="Y8780" t="str">
            <v>ECUADOR</v>
          </cell>
        </row>
        <row r="8781">
          <cell r="L8781" t="str">
            <v>Non-proportional</v>
          </cell>
          <cell r="S8781">
            <v>423.33</v>
          </cell>
          <cell r="X8781" t="str">
            <v>Commissions - gross</v>
          </cell>
          <cell r="Y8781" t="str">
            <v>FRANCE</v>
          </cell>
        </row>
        <row r="8782">
          <cell r="L8782" t="str">
            <v>Non-proportional</v>
          </cell>
          <cell r="S8782">
            <v>169.62</v>
          </cell>
          <cell r="X8782" t="str">
            <v>Commissions - gross</v>
          </cell>
          <cell r="Y8782" t="str">
            <v>JAPAN</v>
          </cell>
        </row>
        <row r="8783">
          <cell r="L8783" t="str">
            <v>Non-proportional</v>
          </cell>
          <cell r="S8783">
            <v>1504.3</v>
          </cell>
          <cell r="X8783" t="str">
            <v>Commissions - gross</v>
          </cell>
          <cell r="Y8783" t="str">
            <v>FRANCE</v>
          </cell>
        </row>
        <row r="8784">
          <cell r="L8784" t="str">
            <v>Non-proportional</v>
          </cell>
          <cell r="S8784">
            <v>171.8</v>
          </cell>
          <cell r="X8784" t="str">
            <v>Commissions - gross</v>
          </cell>
          <cell r="Y8784" t="str">
            <v>FRANCE</v>
          </cell>
        </row>
        <row r="8785">
          <cell r="L8785" t="str">
            <v>Non-proportional</v>
          </cell>
          <cell r="S8785">
            <v>-11.2</v>
          </cell>
          <cell r="X8785" t="str">
            <v>Commissions - gross</v>
          </cell>
          <cell r="Y8785" t="str">
            <v>JAPAN</v>
          </cell>
        </row>
        <row r="8786">
          <cell r="L8786" t="str">
            <v>Non-proportional</v>
          </cell>
          <cell r="S8786">
            <v>322.82</v>
          </cell>
          <cell r="X8786" t="str">
            <v>Commissions - gross</v>
          </cell>
          <cell r="Y8786" t="str">
            <v>COLOMBIA</v>
          </cell>
        </row>
        <row r="8787">
          <cell r="L8787" t="str">
            <v>Non-proportional</v>
          </cell>
          <cell r="S8787">
            <v>74.040000000000006</v>
          </cell>
          <cell r="X8787" t="str">
            <v>Commissions - gross</v>
          </cell>
          <cell r="Y8787" t="str">
            <v>FRANCE</v>
          </cell>
        </row>
        <row r="8788">
          <cell r="L8788" t="str">
            <v>Non-proportional</v>
          </cell>
          <cell r="S8788">
            <v>875</v>
          </cell>
          <cell r="X8788" t="str">
            <v>Commissions - gross</v>
          </cell>
          <cell r="Y8788" t="str">
            <v>EUROPE</v>
          </cell>
        </row>
        <row r="8789">
          <cell r="L8789" t="str">
            <v>Non-proportional</v>
          </cell>
          <cell r="S8789">
            <v>1728.15</v>
          </cell>
          <cell r="X8789" t="str">
            <v>Commissions - gross</v>
          </cell>
          <cell r="Y8789" t="str">
            <v>JAPAN</v>
          </cell>
        </row>
        <row r="8790">
          <cell r="L8790" t="str">
            <v>Non-proportional</v>
          </cell>
          <cell r="S8790">
            <v>268.67</v>
          </cell>
          <cell r="X8790" t="str">
            <v>Commissions - gross</v>
          </cell>
          <cell r="Y8790" t="str">
            <v>MALTA</v>
          </cell>
        </row>
        <row r="8791">
          <cell r="L8791" t="str">
            <v>Non-proportional</v>
          </cell>
          <cell r="S8791">
            <v>551.27</v>
          </cell>
          <cell r="X8791" t="str">
            <v>Commissions - gross</v>
          </cell>
          <cell r="Y8791" t="str">
            <v>NETHERLANDS</v>
          </cell>
        </row>
        <row r="8792">
          <cell r="L8792" t="str">
            <v>Non-proportional</v>
          </cell>
          <cell r="S8792">
            <v>3.55</v>
          </cell>
          <cell r="X8792" t="str">
            <v>Commissions - gross</v>
          </cell>
          <cell r="Y8792" t="str">
            <v>BRAZIL</v>
          </cell>
        </row>
        <row r="8793">
          <cell r="L8793" t="str">
            <v>Non-proportional</v>
          </cell>
          <cell r="S8793">
            <v>2318.15</v>
          </cell>
          <cell r="X8793" t="str">
            <v>Commissions - gross</v>
          </cell>
          <cell r="Y8793" t="str">
            <v>ISRAEL</v>
          </cell>
        </row>
        <row r="8794">
          <cell r="L8794" t="str">
            <v>Non-proportional</v>
          </cell>
          <cell r="S8794">
            <v>263.77</v>
          </cell>
          <cell r="X8794" t="str">
            <v>Commissions - gross</v>
          </cell>
          <cell r="Y8794" t="str">
            <v>ISRAEL</v>
          </cell>
        </row>
        <row r="8795">
          <cell r="L8795" t="str">
            <v>Non-proportional</v>
          </cell>
          <cell r="S8795">
            <v>0</v>
          </cell>
          <cell r="X8795" t="str">
            <v>Commissions - gross</v>
          </cell>
          <cell r="Y8795" t="str">
            <v>DOMINICAN REPUBLIC</v>
          </cell>
        </row>
        <row r="8796">
          <cell r="L8796" t="str">
            <v>Non-proportional</v>
          </cell>
          <cell r="S8796">
            <v>308.32</v>
          </cell>
          <cell r="X8796" t="str">
            <v>Commissions - gross</v>
          </cell>
          <cell r="Y8796" t="str">
            <v>PERU</v>
          </cell>
        </row>
        <row r="8797">
          <cell r="L8797" t="str">
            <v>Non-proportional</v>
          </cell>
          <cell r="S8797">
            <v>1576.86</v>
          </cell>
          <cell r="X8797" t="str">
            <v>Commissions - gross</v>
          </cell>
          <cell r="Y8797" t="str">
            <v>SOUTH KOREA</v>
          </cell>
        </row>
        <row r="8798">
          <cell r="L8798" t="str">
            <v>Non-proportional</v>
          </cell>
          <cell r="S8798">
            <v>-7.28</v>
          </cell>
          <cell r="X8798" t="str">
            <v>Commissions - gross</v>
          </cell>
          <cell r="Y8798" t="str">
            <v>NEW ZEALAND</v>
          </cell>
        </row>
        <row r="8799">
          <cell r="L8799" t="str">
            <v>Non-proportional</v>
          </cell>
          <cell r="S8799">
            <v>-2014.16</v>
          </cell>
          <cell r="X8799" t="str">
            <v>Commissions - gross</v>
          </cell>
          <cell r="Y8799" t="str">
            <v>PERU</v>
          </cell>
        </row>
        <row r="8800">
          <cell r="L8800" t="str">
            <v>Non-proportional</v>
          </cell>
          <cell r="S8800">
            <v>253.86</v>
          </cell>
          <cell r="X8800" t="str">
            <v>Commissions - gross</v>
          </cell>
          <cell r="Y8800" t="str">
            <v>AUSTRALIA</v>
          </cell>
        </row>
        <row r="8801">
          <cell r="L8801" t="str">
            <v>Non-proportional</v>
          </cell>
          <cell r="S8801">
            <v>253.99</v>
          </cell>
          <cell r="X8801" t="str">
            <v>Commissions - gross</v>
          </cell>
          <cell r="Y8801" t="str">
            <v>ECUADOR</v>
          </cell>
        </row>
        <row r="8802">
          <cell r="L8802" t="str">
            <v>Non-proportional</v>
          </cell>
          <cell r="S8802">
            <v>147.94</v>
          </cell>
          <cell r="X8802" t="str">
            <v>Commissions - gross</v>
          </cell>
          <cell r="Y8802" t="str">
            <v>UNITED KINGDOM</v>
          </cell>
        </row>
        <row r="8803">
          <cell r="L8803" t="str">
            <v>Non-proportional</v>
          </cell>
          <cell r="S8803">
            <v>69.86</v>
          </cell>
          <cell r="X8803" t="str">
            <v>Commissions - gross</v>
          </cell>
          <cell r="Y8803" t="str">
            <v>ITALY</v>
          </cell>
        </row>
        <row r="8804">
          <cell r="L8804" t="str">
            <v>Non-proportional</v>
          </cell>
          <cell r="S8804">
            <v>814.49</v>
          </cell>
          <cell r="X8804" t="str">
            <v>Commissions - gross</v>
          </cell>
          <cell r="Y8804" t="str">
            <v>JAPAN</v>
          </cell>
        </row>
        <row r="8805">
          <cell r="L8805" t="str">
            <v>Non-proportional</v>
          </cell>
          <cell r="S8805">
            <v>7.38</v>
          </cell>
          <cell r="X8805" t="str">
            <v>Commissions - gross</v>
          </cell>
          <cell r="Y8805" t="str">
            <v>COLOMBIA</v>
          </cell>
        </row>
        <row r="8806">
          <cell r="L8806" t="str">
            <v>Non-proportional</v>
          </cell>
          <cell r="S8806">
            <v>-8.08</v>
          </cell>
          <cell r="X8806" t="str">
            <v>Commissions - gross</v>
          </cell>
          <cell r="Y8806" t="str">
            <v>BRAZIL</v>
          </cell>
        </row>
        <row r="8807">
          <cell r="L8807" t="str">
            <v>Non-proportional</v>
          </cell>
          <cell r="S8807">
            <v>664.03</v>
          </cell>
          <cell r="X8807" t="str">
            <v>Commissions - gross</v>
          </cell>
          <cell r="Y8807" t="str">
            <v>NEW ZEALAND</v>
          </cell>
        </row>
        <row r="8808">
          <cell r="L8808" t="str">
            <v>Non-proportional</v>
          </cell>
          <cell r="S8808">
            <v>527.45000000000005</v>
          </cell>
          <cell r="X8808" t="str">
            <v>Commissions - gross</v>
          </cell>
          <cell r="Y8808" t="str">
            <v>CYPRUS</v>
          </cell>
        </row>
        <row r="8809">
          <cell r="L8809" t="str">
            <v>Non-proportional</v>
          </cell>
          <cell r="S8809">
            <v>959.08</v>
          </cell>
          <cell r="X8809" t="str">
            <v>Commissions - gross</v>
          </cell>
          <cell r="Y8809" t="str">
            <v>PERU</v>
          </cell>
        </row>
        <row r="8810">
          <cell r="L8810" t="str">
            <v>Non-proportional</v>
          </cell>
          <cell r="S8810">
            <v>-22.02</v>
          </cell>
          <cell r="X8810" t="str">
            <v>Commissions - gross</v>
          </cell>
          <cell r="Y8810" t="str">
            <v>NEW ZEALAND</v>
          </cell>
        </row>
        <row r="8811">
          <cell r="L8811" t="str">
            <v>Non-proportional</v>
          </cell>
          <cell r="S8811">
            <v>3354.26</v>
          </cell>
          <cell r="X8811" t="str">
            <v>Commissions - gross</v>
          </cell>
          <cell r="Y8811" t="str">
            <v>UNITED STATES</v>
          </cell>
        </row>
        <row r="8812">
          <cell r="L8812" t="str">
            <v>Proportional</v>
          </cell>
          <cell r="S8812">
            <v>3202.35</v>
          </cell>
          <cell r="X8812" t="str">
            <v>Commissions - gross</v>
          </cell>
          <cell r="Y8812" t="str">
            <v>UNITED STATES</v>
          </cell>
        </row>
        <row r="8813">
          <cell r="L8813" t="str">
            <v>Non-proportional</v>
          </cell>
          <cell r="S8813">
            <v>54.69</v>
          </cell>
          <cell r="X8813" t="str">
            <v>Commissions - gross</v>
          </cell>
          <cell r="Y8813" t="str">
            <v>ITALY</v>
          </cell>
        </row>
        <row r="8814">
          <cell r="L8814" t="str">
            <v>Non-proportional</v>
          </cell>
          <cell r="S8814">
            <v>771.58</v>
          </cell>
          <cell r="X8814" t="str">
            <v>Commissions - gross</v>
          </cell>
          <cell r="Y8814" t="str">
            <v>UNITED KINGDOM</v>
          </cell>
        </row>
        <row r="8815">
          <cell r="L8815" t="str">
            <v>Non-proportional</v>
          </cell>
          <cell r="S8815">
            <v>823.83</v>
          </cell>
          <cell r="X8815" t="str">
            <v>Commissions - gross</v>
          </cell>
          <cell r="Y8815" t="str">
            <v>ITALY</v>
          </cell>
        </row>
        <row r="8816">
          <cell r="L8816" t="str">
            <v>Non-proportional</v>
          </cell>
          <cell r="S8816">
            <v>3.69</v>
          </cell>
          <cell r="X8816" t="str">
            <v>Commissions - gross</v>
          </cell>
          <cell r="Y8816" t="str">
            <v>ISRAEL</v>
          </cell>
        </row>
        <row r="8817">
          <cell r="L8817" t="str">
            <v>Proportional</v>
          </cell>
          <cell r="S8817">
            <v>7136.48</v>
          </cell>
          <cell r="X8817" t="str">
            <v>Commissions - gross</v>
          </cell>
          <cell r="Y8817" t="str">
            <v>UNITED STATES</v>
          </cell>
        </row>
        <row r="8818">
          <cell r="L8818" t="str">
            <v>Non-proportional</v>
          </cell>
          <cell r="S8818">
            <v>627.9</v>
          </cell>
          <cell r="X8818" t="str">
            <v>Commissions - gross</v>
          </cell>
          <cell r="Y8818" t="str">
            <v>FRANCE</v>
          </cell>
        </row>
        <row r="8819">
          <cell r="L8819" t="str">
            <v>Non-proportional</v>
          </cell>
          <cell r="S8819">
            <v>107.33</v>
          </cell>
          <cell r="X8819" t="str">
            <v>Commissions - gross</v>
          </cell>
          <cell r="Y8819" t="str">
            <v>CHILE</v>
          </cell>
        </row>
        <row r="8820">
          <cell r="L8820" t="str">
            <v>Non-proportional</v>
          </cell>
          <cell r="S8820">
            <v>0</v>
          </cell>
          <cell r="X8820" t="str">
            <v>Commissions - gross</v>
          </cell>
          <cell r="Y8820" t="str">
            <v>DOMINICAN REPUBLIC</v>
          </cell>
        </row>
        <row r="8821">
          <cell r="L8821" t="str">
            <v>Non-proportional</v>
          </cell>
          <cell r="S8821">
            <v>-2.13</v>
          </cell>
          <cell r="X8821" t="str">
            <v>Commissions - gross</v>
          </cell>
          <cell r="Y8821" t="str">
            <v>COLOMBIA</v>
          </cell>
        </row>
        <row r="8822">
          <cell r="L8822" t="str">
            <v>Non-proportional</v>
          </cell>
          <cell r="S8822">
            <v>743.75</v>
          </cell>
          <cell r="X8822" t="str">
            <v>Commissions - gross</v>
          </cell>
          <cell r="Y8822" t="str">
            <v>ITALY</v>
          </cell>
        </row>
        <row r="8823">
          <cell r="L8823" t="str">
            <v>Non-proportional</v>
          </cell>
          <cell r="S8823">
            <v>20040.57</v>
          </cell>
          <cell r="X8823" t="str">
            <v>Commissions - gross</v>
          </cell>
          <cell r="Y8823" t="str">
            <v>UNITED KINGDOM</v>
          </cell>
        </row>
        <row r="8824">
          <cell r="L8824" t="str">
            <v>Non-proportional</v>
          </cell>
          <cell r="S8824">
            <v>471.05</v>
          </cell>
          <cell r="X8824" t="str">
            <v>Commissions - gross</v>
          </cell>
          <cell r="Y8824" t="str">
            <v>PERU</v>
          </cell>
        </row>
        <row r="8825">
          <cell r="L8825" t="str">
            <v>Non-proportional</v>
          </cell>
          <cell r="S8825">
            <v>339.11</v>
          </cell>
          <cell r="X8825" t="str">
            <v>Commissions - gross</v>
          </cell>
          <cell r="Y8825" t="str">
            <v>UNITED KINGDOM</v>
          </cell>
        </row>
        <row r="8826">
          <cell r="L8826" t="str">
            <v>Proportional</v>
          </cell>
          <cell r="S8826">
            <v>-3726.11</v>
          </cell>
          <cell r="X8826" t="str">
            <v>Commissions - gross</v>
          </cell>
          <cell r="Y8826" t="str">
            <v>PERU</v>
          </cell>
        </row>
        <row r="8827">
          <cell r="L8827" t="str">
            <v>Proportional</v>
          </cell>
          <cell r="S8827">
            <v>57.71</v>
          </cell>
          <cell r="X8827" t="str">
            <v>Commissions - gross</v>
          </cell>
          <cell r="Y8827" t="str">
            <v>ITALY</v>
          </cell>
        </row>
        <row r="8828">
          <cell r="L8828" t="str">
            <v>Non-proportional</v>
          </cell>
          <cell r="S8828">
            <v>650</v>
          </cell>
          <cell r="X8828" t="str">
            <v>Commissions - gross</v>
          </cell>
          <cell r="Y8828" t="str">
            <v>FRANCE</v>
          </cell>
        </row>
        <row r="8829">
          <cell r="L8829" t="str">
            <v>Non-proportional</v>
          </cell>
          <cell r="S8829">
            <v>1.89</v>
          </cell>
          <cell r="X8829" t="str">
            <v>Commissions - gross</v>
          </cell>
          <cell r="Y8829" t="str">
            <v>ISRAEL</v>
          </cell>
        </row>
        <row r="8830">
          <cell r="L8830" t="str">
            <v>Non-proportional</v>
          </cell>
          <cell r="S8830">
            <v>1323.32</v>
          </cell>
          <cell r="X8830" t="str">
            <v>Commissions - gross</v>
          </cell>
          <cell r="Y8830" t="str">
            <v>AUSTRALIA</v>
          </cell>
        </row>
        <row r="8831">
          <cell r="L8831" t="str">
            <v>Non-proportional</v>
          </cell>
          <cell r="S8831">
            <v>14070.65</v>
          </cell>
          <cell r="X8831" t="str">
            <v>Commissions - gross</v>
          </cell>
          <cell r="Y8831" t="str">
            <v>UNITED KINGDOM</v>
          </cell>
        </row>
        <row r="8832">
          <cell r="L8832" t="str">
            <v>Non-proportional</v>
          </cell>
          <cell r="S8832">
            <v>82.77</v>
          </cell>
          <cell r="X8832" t="str">
            <v>Commissions - gross</v>
          </cell>
          <cell r="Y8832" t="str">
            <v>COLOMBIA</v>
          </cell>
        </row>
        <row r="8833">
          <cell r="L8833" t="str">
            <v>Non-proportional</v>
          </cell>
          <cell r="S8833">
            <v>132.34</v>
          </cell>
          <cell r="X8833" t="str">
            <v>Commissions - gross</v>
          </cell>
          <cell r="Y8833" t="str">
            <v>UNITED KINGDOM</v>
          </cell>
        </row>
        <row r="8834">
          <cell r="L8834" t="str">
            <v>Non-proportional</v>
          </cell>
          <cell r="S8834">
            <v>248.92</v>
          </cell>
          <cell r="X8834" t="str">
            <v>Commissions - gross</v>
          </cell>
          <cell r="Y8834" t="str">
            <v>THAILAND</v>
          </cell>
        </row>
        <row r="8835">
          <cell r="L8835" t="str">
            <v>Non-proportional</v>
          </cell>
          <cell r="S8835">
            <v>1533.43</v>
          </cell>
          <cell r="X8835" t="str">
            <v>Commissions - gross</v>
          </cell>
          <cell r="Y8835" t="str">
            <v>UNITED KINGDOM</v>
          </cell>
        </row>
        <row r="8836">
          <cell r="L8836" t="str">
            <v>Non-proportional</v>
          </cell>
          <cell r="S8836">
            <v>117.07</v>
          </cell>
          <cell r="X8836" t="str">
            <v>Commissions - gross</v>
          </cell>
          <cell r="Y8836" t="str">
            <v>PERU</v>
          </cell>
        </row>
        <row r="8837">
          <cell r="L8837" t="str">
            <v>Non-proportional</v>
          </cell>
          <cell r="S8837">
            <v>36.85</v>
          </cell>
          <cell r="X8837" t="str">
            <v>Commissions - gross</v>
          </cell>
          <cell r="Y8837" t="str">
            <v>TURKEY</v>
          </cell>
        </row>
        <row r="8838">
          <cell r="L8838" t="str">
            <v>Non-proportional</v>
          </cell>
          <cell r="S8838">
            <v>238.7</v>
          </cell>
          <cell r="X8838" t="str">
            <v>Commissions - gross</v>
          </cell>
          <cell r="Y8838" t="str">
            <v>DOMINICAN REPUBLIC</v>
          </cell>
        </row>
        <row r="8839">
          <cell r="L8839" t="str">
            <v>Non-proportional</v>
          </cell>
          <cell r="S8839">
            <v>942.59</v>
          </cell>
          <cell r="X8839" t="str">
            <v>Commissions - gross</v>
          </cell>
          <cell r="Y8839" t="str">
            <v>NEW ZEALAND</v>
          </cell>
        </row>
        <row r="8840">
          <cell r="L8840" t="str">
            <v>Non-proportional</v>
          </cell>
          <cell r="S8840">
            <v>-3617.62</v>
          </cell>
          <cell r="X8840" t="str">
            <v>Commissions - gross</v>
          </cell>
          <cell r="Y8840" t="str">
            <v>INDIA</v>
          </cell>
        </row>
        <row r="8841">
          <cell r="L8841" t="str">
            <v>Non-proportional</v>
          </cell>
          <cell r="S8841">
            <v>210.08</v>
          </cell>
          <cell r="X8841" t="str">
            <v>Commissions - gross</v>
          </cell>
          <cell r="Y8841" t="str">
            <v>GUATEMALA</v>
          </cell>
        </row>
        <row r="8842">
          <cell r="L8842" t="str">
            <v>Non-proportional</v>
          </cell>
          <cell r="S8842">
            <v>77.28</v>
          </cell>
          <cell r="X8842" t="str">
            <v>Commissions - gross</v>
          </cell>
          <cell r="Y8842" t="str">
            <v>BRAZIL</v>
          </cell>
        </row>
        <row r="8843">
          <cell r="L8843" t="str">
            <v>Non-proportional</v>
          </cell>
          <cell r="S8843">
            <v>-27866.83</v>
          </cell>
          <cell r="X8843" t="str">
            <v>Commissions - gross</v>
          </cell>
          <cell r="Y8843" t="str">
            <v>NEW ZEALAND</v>
          </cell>
        </row>
        <row r="8844">
          <cell r="L8844" t="str">
            <v>Non-proportional</v>
          </cell>
          <cell r="S8844">
            <v>612.79999999999995</v>
          </cell>
          <cell r="X8844" t="str">
            <v>Commissions - gross</v>
          </cell>
          <cell r="Y8844" t="str">
            <v>PERU</v>
          </cell>
        </row>
        <row r="8845">
          <cell r="L8845" t="str">
            <v>Proportional</v>
          </cell>
          <cell r="S8845">
            <v>37.69</v>
          </cell>
          <cell r="X8845" t="str">
            <v>Commissions - gross</v>
          </cell>
          <cell r="Y8845" t="str">
            <v>UNITED STATES</v>
          </cell>
        </row>
        <row r="8846">
          <cell r="L8846" t="str">
            <v>Non-proportional</v>
          </cell>
          <cell r="S8846">
            <v>147.18</v>
          </cell>
          <cell r="X8846" t="str">
            <v>Commissions - gross</v>
          </cell>
          <cell r="Y8846" t="str">
            <v>ISRAEL</v>
          </cell>
        </row>
        <row r="8847">
          <cell r="L8847" t="str">
            <v>Non-proportional</v>
          </cell>
          <cell r="S8847">
            <v>77.290000000000006</v>
          </cell>
          <cell r="X8847" t="str">
            <v>Commissions - gross</v>
          </cell>
          <cell r="Y8847" t="str">
            <v>REPUBLIC OF IRELAND</v>
          </cell>
        </row>
        <row r="8848">
          <cell r="L8848" t="str">
            <v>Non-proportional</v>
          </cell>
          <cell r="S8848">
            <v>-8439.49</v>
          </cell>
          <cell r="X8848" t="str">
            <v>Commissions - gross</v>
          </cell>
          <cell r="Y8848" t="str">
            <v>JAPAN</v>
          </cell>
        </row>
        <row r="8849">
          <cell r="L8849" t="str">
            <v>Proportional</v>
          </cell>
          <cell r="S8849">
            <v>-5274.62</v>
          </cell>
          <cell r="X8849" t="str">
            <v>Commissions - gross</v>
          </cell>
          <cell r="Y8849" t="str">
            <v>INDIA</v>
          </cell>
        </row>
        <row r="8850">
          <cell r="L8850" t="str">
            <v>Non-proportional</v>
          </cell>
          <cell r="S8850">
            <v>186.13</v>
          </cell>
          <cell r="X8850" t="str">
            <v>Commissions - gross</v>
          </cell>
          <cell r="Y8850" t="str">
            <v>UNITED KINGDOM</v>
          </cell>
        </row>
        <row r="8851">
          <cell r="L8851" t="str">
            <v>Non-proportional</v>
          </cell>
          <cell r="S8851">
            <v>181.75</v>
          </cell>
          <cell r="X8851" t="str">
            <v>Commissions - gross</v>
          </cell>
          <cell r="Y8851" t="str">
            <v>NEW ZEALAND</v>
          </cell>
        </row>
        <row r="8852">
          <cell r="L8852" t="str">
            <v>Non-proportional</v>
          </cell>
          <cell r="S8852">
            <v>45967</v>
          </cell>
          <cell r="X8852" t="str">
            <v>Commissions - gross</v>
          </cell>
          <cell r="Y8852" t="str">
            <v>UNITED KINGDOM</v>
          </cell>
        </row>
        <row r="8853">
          <cell r="L8853" t="str">
            <v>Non-proportional</v>
          </cell>
          <cell r="S8853">
            <v>619.52</v>
          </cell>
          <cell r="X8853" t="str">
            <v>Commissions - gross</v>
          </cell>
          <cell r="Y8853" t="str">
            <v>THAILAND</v>
          </cell>
        </row>
        <row r="8854">
          <cell r="L8854" t="str">
            <v>Non-proportional</v>
          </cell>
          <cell r="S8854">
            <v>420.5</v>
          </cell>
          <cell r="X8854" t="str">
            <v>Commissions - gross</v>
          </cell>
          <cell r="Y8854" t="str">
            <v>THAILAND</v>
          </cell>
        </row>
        <row r="8855">
          <cell r="L8855" t="str">
            <v>Non-proportional</v>
          </cell>
          <cell r="S8855">
            <v>357.77</v>
          </cell>
          <cell r="X8855" t="str">
            <v>Commissions - gross</v>
          </cell>
          <cell r="Y8855" t="str">
            <v>CHILE</v>
          </cell>
        </row>
        <row r="8856">
          <cell r="L8856" t="str">
            <v>Non-proportional</v>
          </cell>
          <cell r="S8856">
            <v>204.59</v>
          </cell>
          <cell r="X8856" t="str">
            <v>Commissions - gross</v>
          </cell>
          <cell r="Y8856" t="str">
            <v>AUSTRALIA</v>
          </cell>
        </row>
        <row r="8857">
          <cell r="L8857" t="str">
            <v>Non-proportional</v>
          </cell>
          <cell r="S8857">
            <v>317.27999999999997</v>
          </cell>
          <cell r="X8857" t="str">
            <v>Commissions - gross</v>
          </cell>
          <cell r="Y8857" t="str">
            <v>UNITED KINGDOM</v>
          </cell>
        </row>
        <row r="8858">
          <cell r="L8858" t="str">
            <v>Non-proportional</v>
          </cell>
          <cell r="S8858">
            <v>6.3</v>
          </cell>
          <cell r="X8858" t="str">
            <v>Commissions - gross</v>
          </cell>
          <cell r="Y8858" t="str">
            <v>ISRAEL</v>
          </cell>
        </row>
        <row r="8859">
          <cell r="L8859" t="str">
            <v>Non-proportional</v>
          </cell>
          <cell r="S8859">
            <v>254.91</v>
          </cell>
          <cell r="X8859" t="str">
            <v>Commissions - gross</v>
          </cell>
          <cell r="Y8859" t="str">
            <v>SOUTH AFRICA</v>
          </cell>
        </row>
        <row r="8860">
          <cell r="L8860" t="str">
            <v>Proportional</v>
          </cell>
          <cell r="S8860">
            <v>93.37</v>
          </cell>
          <cell r="X8860" t="str">
            <v>Commissions - gross</v>
          </cell>
          <cell r="Y8860" t="str">
            <v>AUSTRALIA</v>
          </cell>
        </row>
        <row r="8861">
          <cell r="L8861" t="str">
            <v>Non-proportional</v>
          </cell>
          <cell r="S8861">
            <v>181.75</v>
          </cell>
          <cell r="X8861" t="str">
            <v>Commissions - gross</v>
          </cell>
          <cell r="Y8861" t="str">
            <v>NEW ZEALAND</v>
          </cell>
        </row>
        <row r="8862">
          <cell r="L8862" t="str">
            <v>Non-proportional</v>
          </cell>
          <cell r="S8862">
            <v>14.29</v>
          </cell>
          <cell r="X8862" t="str">
            <v>Commissions - gross</v>
          </cell>
          <cell r="Y8862" t="str">
            <v>ISRAEL</v>
          </cell>
        </row>
        <row r="8863">
          <cell r="L8863" t="str">
            <v>Non-proportional</v>
          </cell>
          <cell r="S8863">
            <v>-45.25</v>
          </cell>
          <cell r="X8863" t="str">
            <v>Commissions - gross</v>
          </cell>
          <cell r="Y8863" t="str">
            <v>DOMINICAN REPUBLIC</v>
          </cell>
        </row>
        <row r="8864">
          <cell r="L8864" t="str">
            <v>Non-proportional</v>
          </cell>
          <cell r="S8864">
            <v>2961.45</v>
          </cell>
          <cell r="X8864" t="str">
            <v>Commissions - gross</v>
          </cell>
          <cell r="Y8864" t="str">
            <v>UNITED KINGDOM</v>
          </cell>
        </row>
        <row r="8865">
          <cell r="L8865" t="str">
            <v>Non-proportional</v>
          </cell>
          <cell r="S8865">
            <v>163.47</v>
          </cell>
          <cell r="X8865" t="str">
            <v>Commissions - gross</v>
          </cell>
          <cell r="Y8865" t="str">
            <v>CHINA</v>
          </cell>
        </row>
        <row r="8866">
          <cell r="L8866" t="str">
            <v>Non-proportional</v>
          </cell>
          <cell r="S8866">
            <v>-1.46</v>
          </cell>
          <cell r="X8866" t="str">
            <v>Commissions - gross</v>
          </cell>
          <cell r="Y8866" t="str">
            <v>JAPAN</v>
          </cell>
        </row>
        <row r="8867">
          <cell r="L8867" t="str">
            <v>Non-proportional</v>
          </cell>
          <cell r="S8867">
            <v>293.70999999999998</v>
          </cell>
          <cell r="X8867" t="str">
            <v>Commissions - gross</v>
          </cell>
          <cell r="Y8867" t="str">
            <v>NETHERLANDS</v>
          </cell>
        </row>
        <row r="8868">
          <cell r="L8868" t="str">
            <v>Non-proportional</v>
          </cell>
          <cell r="S8868">
            <v>284.08999999999997</v>
          </cell>
          <cell r="X8868" t="str">
            <v>Commissions - gross</v>
          </cell>
          <cell r="Y8868" t="str">
            <v>ISRAEL</v>
          </cell>
        </row>
        <row r="8869">
          <cell r="L8869" t="str">
            <v>Non-proportional</v>
          </cell>
          <cell r="S8869">
            <v>35.78</v>
          </cell>
          <cell r="X8869" t="str">
            <v>Commissions - gross</v>
          </cell>
          <cell r="Y8869" t="str">
            <v>CHILE</v>
          </cell>
        </row>
        <row r="8870">
          <cell r="L8870" t="str">
            <v>Non-proportional</v>
          </cell>
          <cell r="S8870">
            <v>843.03</v>
          </cell>
          <cell r="X8870" t="str">
            <v>Commissions - gross</v>
          </cell>
          <cell r="Y8870" t="str">
            <v>CANADA</v>
          </cell>
        </row>
        <row r="8871">
          <cell r="L8871" t="str">
            <v>Non-proportional</v>
          </cell>
          <cell r="S8871">
            <v>2166.67</v>
          </cell>
          <cell r="X8871" t="str">
            <v>Commissions - gross</v>
          </cell>
          <cell r="Y8871" t="str">
            <v>FRANCE</v>
          </cell>
        </row>
        <row r="8872">
          <cell r="L8872" t="str">
            <v>Non-proportional</v>
          </cell>
          <cell r="S8872">
            <v>-7.84</v>
          </cell>
          <cell r="X8872" t="str">
            <v>Commissions - gross</v>
          </cell>
          <cell r="Y8872" t="str">
            <v>DOMINICAN REPUBLIC</v>
          </cell>
        </row>
        <row r="8873">
          <cell r="L8873" t="str">
            <v>Non-proportional</v>
          </cell>
          <cell r="S8873">
            <v>5766.85</v>
          </cell>
          <cell r="X8873" t="str">
            <v>Commissions - gross</v>
          </cell>
          <cell r="Y8873" t="str">
            <v>UNITED KINGDOM</v>
          </cell>
        </row>
        <row r="8874">
          <cell r="L8874" t="str">
            <v>Non-proportional</v>
          </cell>
          <cell r="S8874">
            <v>324.91000000000003</v>
          </cell>
          <cell r="X8874" t="str">
            <v>Commissions - gross</v>
          </cell>
          <cell r="Y8874" t="str">
            <v>FRANCE</v>
          </cell>
        </row>
        <row r="8875">
          <cell r="L8875" t="str">
            <v>Non-proportional</v>
          </cell>
          <cell r="S8875">
            <v>184.69</v>
          </cell>
          <cell r="X8875" t="str">
            <v>Commissions - gross</v>
          </cell>
          <cell r="Y8875" t="str">
            <v>FRANCE</v>
          </cell>
        </row>
        <row r="8876">
          <cell r="L8876" t="str">
            <v>Non-proportional</v>
          </cell>
          <cell r="S8876">
            <v>835.72</v>
          </cell>
          <cell r="X8876" t="str">
            <v>Commissions - gross</v>
          </cell>
          <cell r="Y8876" t="str">
            <v>AUSTRALIA</v>
          </cell>
        </row>
        <row r="8877">
          <cell r="L8877" t="str">
            <v>Non-proportional</v>
          </cell>
          <cell r="S8877">
            <v>5452.2</v>
          </cell>
          <cell r="X8877" t="str">
            <v>Commissions - gross</v>
          </cell>
          <cell r="Y8877" t="str">
            <v>UNITED KINGDOM</v>
          </cell>
        </row>
        <row r="8878">
          <cell r="L8878" t="str">
            <v>Non-proportional</v>
          </cell>
          <cell r="S8878">
            <v>409.28</v>
          </cell>
          <cell r="X8878" t="str">
            <v>Commissions - gross</v>
          </cell>
          <cell r="Y8878" t="str">
            <v>THAILAND</v>
          </cell>
        </row>
        <row r="8879">
          <cell r="L8879" t="str">
            <v>Non-proportional</v>
          </cell>
          <cell r="S8879">
            <v>3325.65</v>
          </cell>
          <cell r="X8879" t="str">
            <v>Commissions - gross</v>
          </cell>
          <cell r="Y8879" t="str">
            <v>UNITED KINGDOM</v>
          </cell>
        </row>
        <row r="8880">
          <cell r="L8880" t="str">
            <v>Non-proportional</v>
          </cell>
          <cell r="S8880">
            <v>76.150000000000006</v>
          </cell>
          <cell r="X8880" t="str">
            <v>Commissions - gross</v>
          </cell>
          <cell r="Y8880" t="str">
            <v>MEXICO</v>
          </cell>
        </row>
        <row r="8881">
          <cell r="L8881" t="str">
            <v>Proportional</v>
          </cell>
          <cell r="S8881">
            <v>1405.61</v>
          </cell>
          <cell r="X8881" t="str">
            <v>Commissions - gross</v>
          </cell>
          <cell r="Y8881" t="str">
            <v>SWITZERLAND</v>
          </cell>
        </row>
        <row r="8882">
          <cell r="L8882" t="str">
            <v>Non-proportional</v>
          </cell>
          <cell r="S8882">
            <v>734.24</v>
          </cell>
          <cell r="X8882" t="str">
            <v>Commissions - gross</v>
          </cell>
          <cell r="Y8882" t="str">
            <v>FRANCE</v>
          </cell>
        </row>
        <row r="8883">
          <cell r="L8883" t="str">
            <v>Non-proportional</v>
          </cell>
          <cell r="S8883">
            <v>56.8</v>
          </cell>
          <cell r="X8883" t="str">
            <v>Commissions - gross</v>
          </cell>
          <cell r="Y8883" t="str">
            <v>BRAZIL</v>
          </cell>
        </row>
        <row r="8884">
          <cell r="L8884" t="str">
            <v>Non-proportional</v>
          </cell>
          <cell r="S8884">
            <v>59.73</v>
          </cell>
          <cell r="X8884" t="str">
            <v>Commissions - gross</v>
          </cell>
          <cell r="Y8884" t="str">
            <v>MEXICO</v>
          </cell>
        </row>
        <row r="8885">
          <cell r="L8885" t="str">
            <v>Non-proportional</v>
          </cell>
          <cell r="S8885">
            <v>2641.19</v>
          </cell>
          <cell r="X8885" t="str">
            <v>Commissions - gross</v>
          </cell>
          <cell r="Y8885" t="str">
            <v>UNITED KINGDOM</v>
          </cell>
        </row>
        <row r="8886">
          <cell r="L8886" t="str">
            <v>Non-proportional</v>
          </cell>
          <cell r="S8886">
            <v>97.5</v>
          </cell>
          <cell r="X8886" t="str">
            <v>Commissions - gross</v>
          </cell>
          <cell r="Y8886" t="str">
            <v>GREECE</v>
          </cell>
        </row>
        <row r="8887">
          <cell r="L8887" t="str">
            <v>Non-proportional</v>
          </cell>
          <cell r="S8887">
            <v>130.44999999999999</v>
          </cell>
          <cell r="X8887" t="str">
            <v>Commissions - gross</v>
          </cell>
          <cell r="Y8887" t="str">
            <v>COLOMBIA</v>
          </cell>
        </row>
        <row r="8888">
          <cell r="L8888" t="str">
            <v>Non-proportional</v>
          </cell>
          <cell r="S8888">
            <v>477.84</v>
          </cell>
          <cell r="X8888" t="str">
            <v>Commissions - gross</v>
          </cell>
          <cell r="Y8888" t="str">
            <v>SOUTH AFRICA</v>
          </cell>
        </row>
        <row r="8889">
          <cell r="L8889" t="str">
            <v>Non-proportional</v>
          </cell>
          <cell r="S8889">
            <v>4646.41</v>
          </cell>
          <cell r="X8889" t="str">
            <v>Commissions - gross</v>
          </cell>
          <cell r="Y8889" t="str">
            <v>UNITED KINGDOM</v>
          </cell>
        </row>
        <row r="8890">
          <cell r="L8890" t="str">
            <v>Non-proportional</v>
          </cell>
          <cell r="S8890">
            <v>1219.8599999999999</v>
          </cell>
          <cell r="X8890" t="str">
            <v>Commissions - gross</v>
          </cell>
          <cell r="Y8890" t="str">
            <v>AUSTRALIA</v>
          </cell>
        </row>
        <row r="8891">
          <cell r="L8891" t="str">
            <v>Proportional</v>
          </cell>
          <cell r="S8891">
            <v>487.22</v>
          </cell>
          <cell r="X8891" t="str">
            <v>Commissions - gross</v>
          </cell>
          <cell r="Y8891" t="str">
            <v>UNITED KINGDOM</v>
          </cell>
        </row>
        <row r="8892">
          <cell r="L8892" t="str">
            <v>Non-proportional</v>
          </cell>
          <cell r="S8892">
            <v>354.55</v>
          </cell>
          <cell r="X8892" t="str">
            <v>Commissions - gross</v>
          </cell>
          <cell r="Y8892" t="str">
            <v>DOMINICAN REPUBLIC</v>
          </cell>
        </row>
        <row r="8893">
          <cell r="L8893" t="str">
            <v>Non-proportional</v>
          </cell>
          <cell r="S8893">
            <v>382.81</v>
          </cell>
          <cell r="X8893" t="str">
            <v>Commissions - gross</v>
          </cell>
          <cell r="Y8893" t="str">
            <v>ITALY</v>
          </cell>
        </row>
        <row r="8894">
          <cell r="L8894" t="str">
            <v>Non-proportional</v>
          </cell>
          <cell r="S8894">
            <v>766.14</v>
          </cell>
          <cell r="X8894" t="str">
            <v>Commissions - gross</v>
          </cell>
          <cell r="Y8894" t="str">
            <v>UNITED KINGDOM</v>
          </cell>
        </row>
        <row r="8895">
          <cell r="L8895" t="str">
            <v>Non-proportional</v>
          </cell>
          <cell r="S8895">
            <v>-5.27</v>
          </cell>
          <cell r="X8895" t="str">
            <v>Commissions - gross</v>
          </cell>
          <cell r="Y8895" t="str">
            <v>JAPAN</v>
          </cell>
        </row>
        <row r="8896">
          <cell r="L8896" t="str">
            <v>Non-proportional</v>
          </cell>
          <cell r="S8896">
            <v>-3177.05</v>
          </cell>
          <cell r="X8896" t="str">
            <v>Commissions - gross</v>
          </cell>
          <cell r="Y8896" t="str">
            <v>JAPAN</v>
          </cell>
        </row>
        <row r="8897">
          <cell r="L8897" t="str">
            <v>Non-proportional</v>
          </cell>
          <cell r="S8897">
            <v>2551.5700000000002</v>
          </cell>
          <cell r="X8897" t="str">
            <v>Commissions - gross</v>
          </cell>
          <cell r="Y8897" t="str">
            <v>TURKEY</v>
          </cell>
        </row>
        <row r="8898">
          <cell r="L8898" t="str">
            <v>Non-proportional</v>
          </cell>
          <cell r="S8898">
            <v>793.23</v>
          </cell>
          <cell r="X8898" t="str">
            <v>Commissions - gross</v>
          </cell>
          <cell r="Y8898" t="str">
            <v>MEXICO</v>
          </cell>
        </row>
        <row r="8899">
          <cell r="L8899" t="str">
            <v>Non-proportional</v>
          </cell>
          <cell r="S8899">
            <v>-5.49</v>
          </cell>
          <cell r="X8899" t="str">
            <v>Commissions - gross</v>
          </cell>
          <cell r="Y8899" t="str">
            <v>JAPAN</v>
          </cell>
        </row>
        <row r="8900">
          <cell r="L8900" t="str">
            <v>Non-proportional</v>
          </cell>
          <cell r="S8900">
            <v>13.29</v>
          </cell>
          <cell r="X8900" t="str">
            <v>Commissions - gross</v>
          </cell>
          <cell r="Y8900" t="str">
            <v>ITALY</v>
          </cell>
        </row>
        <row r="8901">
          <cell r="L8901" t="str">
            <v>Non-proportional</v>
          </cell>
          <cell r="S8901">
            <v>-0.11</v>
          </cell>
          <cell r="X8901" t="str">
            <v>Commissions - gross</v>
          </cell>
          <cell r="Y8901" t="str">
            <v>GUATEMALA</v>
          </cell>
        </row>
        <row r="8902">
          <cell r="L8902" t="str">
            <v>Non-proportional</v>
          </cell>
          <cell r="S8902">
            <v>106.21</v>
          </cell>
          <cell r="X8902" t="str">
            <v>Commissions - gross</v>
          </cell>
          <cell r="Y8902" t="str">
            <v>SOUTH AFRICA</v>
          </cell>
        </row>
        <row r="8903">
          <cell r="L8903" t="str">
            <v>Non-proportional</v>
          </cell>
          <cell r="S8903">
            <v>797.24</v>
          </cell>
          <cell r="X8903" t="str">
            <v>Commissions - gross</v>
          </cell>
          <cell r="Y8903" t="str">
            <v>NEW ZEALAND</v>
          </cell>
        </row>
        <row r="8904">
          <cell r="L8904" t="str">
            <v>Non-proportional</v>
          </cell>
          <cell r="S8904">
            <v>1000</v>
          </cell>
          <cell r="X8904" t="str">
            <v>Commissions - gross</v>
          </cell>
          <cell r="Y8904" t="str">
            <v>EUROPE</v>
          </cell>
        </row>
        <row r="8905">
          <cell r="L8905" t="str">
            <v>Non-proportional</v>
          </cell>
          <cell r="S8905">
            <v>85.32</v>
          </cell>
          <cell r="X8905" t="str">
            <v>Commissions - gross</v>
          </cell>
          <cell r="Y8905" t="str">
            <v>COSTA RICA</v>
          </cell>
        </row>
        <row r="8906">
          <cell r="L8906" t="str">
            <v>Non-proportional</v>
          </cell>
          <cell r="S8906">
            <v>409.5</v>
          </cell>
          <cell r="X8906" t="str">
            <v>Commissions - gross</v>
          </cell>
          <cell r="Y8906" t="str">
            <v>FRANCE</v>
          </cell>
        </row>
        <row r="8907">
          <cell r="L8907" t="str">
            <v>Non-proportional</v>
          </cell>
          <cell r="S8907">
            <v>755.21</v>
          </cell>
          <cell r="X8907" t="str">
            <v>Commissions - gross</v>
          </cell>
          <cell r="Y8907" t="str">
            <v>ROMANIA</v>
          </cell>
        </row>
        <row r="8908">
          <cell r="L8908" t="str">
            <v>Non-proportional</v>
          </cell>
          <cell r="S8908">
            <v>145.83000000000001</v>
          </cell>
          <cell r="X8908" t="str">
            <v>Commissions - gross</v>
          </cell>
          <cell r="Y8908" t="str">
            <v>ITALY</v>
          </cell>
        </row>
        <row r="8909">
          <cell r="L8909" t="str">
            <v>Proportional</v>
          </cell>
          <cell r="S8909">
            <v>11.69</v>
          </cell>
          <cell r="X8909" t="str">
            <v>Commissions - gross</v>
          </cell>
          <cell r="Y8909" t="str">
            <v>UNITED STATES</v>
          </cell>
        </row>
        <row r="8910">
          <cell r="L8910" t="str">
            <v>Non-proportional</v>
          </cell>
          <cell r="S8910">
            <v>0</v>
          </cell>
          <cell r="X8910" t="str">
            <v>Commissions - gross</v>
          </cell>
          <cell r="Y8910" t="str">
            <v>DOMINICAN REPUBLIC</v>
          </cell>
        </row>
        <row r="8911">
          <cell r="L8911" t="str">
            <v>Non-proportional</v>
          </cell>
          <cell r="S8911">
            <v>-1.9</v>
          </cell>
          <cell r="X8911" t="str">
            <v>Commissions - gross</v>
          </cell>
          <cell r="Y8911" t="str">
            <v>COLOMBIA</v>
          </cell>
        </row>
        <row r="8912">
          <cell r="L8912" t="str">
            <v>Non-proportional</v>
          </cell>
          <cell r="S8912">
            <v>10117.09</v>
          </cell>
          <cell r="X8912" t="str">
            <v>Commissions - gross</v>
          </cell>
          <cell r="Y8912" t="str">
            <v>UNITED KINGDOM</v>
          </cell>
        </row>
        <row r="8913">
          <cell r="L8913" t="str">
            <v>Non-proportional</v>
          </cell>
          <cell r="S8913">
            <v>1252.19</v>
          </cell>
          <cell r="X8913" t="str">
            <v>Commissions - gross</v>
          </cell>
          <cell r="Y8913" t="str">
            <v>CHILE</v>
          </cell>
        </row>
        <row r="8914">
          <cell r="L8914" t="str">
            <v>Non-proportional</v>
          </cell>
          <cell r="S8914">
            <v>158.74</v>
          </cell>
          <cell r="X8914" t="str">
            <v>Commissions - gross</v>
          </cell>
          <cell r="Y8914" t="str">
            <v>ITALY</v>
          </cell>
        </row>
        <row r="8915">
          <cell r="L8915" t="str">
            <v>Non-proportional</v>
          </cell>
          <cell r="S8915">
            <v>726.77</v>
          </cell>
          <cell r="X8915" t="str">
            <v>Commissions - gross</v>
          </cell>
          <cell r="Y8915" t="str">
            <v>FRANCE</v>
          </cell>
        </row>
        <row r="8916">
          <cell r="L8916" t="str">
            <v>Non-proportional</v>
          </cell>
          <cell r="S8916">
            <v>0</v>
          </cell>
          <cell r="X8916" t="str">
            <v>Commissions - gross</v>
          </cell>
          <cell r="Y8916" t="str">
            <v>DOMINICAN REPUBLIC</v>
          </cell>
        </row>
        <row r="8917">
          <cell r="L8917" t="str">
            <v>Non-proportional</v>
          </cell>
          <cell r="S8917">
            <v>480.88</v>
          </cell>
          <cell r="X8917" t="str">
            <v>Commissions - gross</v>
          </cell>
          <cell r="Y8917" t="str">
            <v>ISRAEL</v>
          </cell>
        </row>
        <row r="8918">
          <cell r="L8918" t="str">
            <v>Non-proportional</v>
          </cell>
          <cell r="S8918">
            <v>290.70999999999998</v>
          </cell>
          <cell r="X8918" t="str">
            <v>Commissions - gross</v>
          </cell>
          <cell r="Y8918" t="str">
            <v>THAILAND</v>
          </cell>
        </row>
        <row r="8919">
          <cell r="L8919" t="str">
            <v>Non-proportional</v>
          </cell>
          <cell r="S8919">
            <v>1080.04</v>
          </cell>
          <cell r="X8919" t="str">
            <v>Commissions - gross</v>
          </cell>
          <cell r="Y8919" t="str">
            <v>MEXICO</v>
          </cell>
        </row>
        <row r="8920">
          <cell r="L8920" t="str">
            <v>Non-proportional</v>
          </cell>
          <cell r="S8920">
            <v>-2.48</v>
          </cell>
          <cell r="X8920" t="str">
            <v>Commissions - gross</v>
          </cell>
          <cell r="Y8920" t="str">
            <v>JAPAN</v>
          </cell>
        </row>
        <row r="8921">
          <cell r="L8921" t="str">
            <v>Non-proportional</v>
          </cell>
          <cell r="S8921">
            <v>695.78</v>
          </cell>
          <cell r="X8921" t="str">
            <v>Commissions - gross</v>
          </cell>
          <cell r="Y8921" t="str">
            <v>ITALY</v>
          </cell>
        </row>
        <row r="8922">
          <cell r="L8922" t="str">
            <v>Non-proportional</v>
          </cell>
          <cell r="S8922">
            <v>92.84</v>
          </cell>
          <cell r="X8922" t="str">
            <v>Commissions - gross</v>
          </cell>
          <cell r="Y8922" t="str">
            <v>ECUADOR</v>
          </cell>
        </row>
        <row r="8923">
          <cell r="L8923" t="str">
            <v>Non-proportional</v>
          </cell>
          <cell r="S8923">
            <v>11491.75</v>
          </cell>
          <cell r="X8923" t="str">
            <v>Commissions - gross</v>
          </cell>
          <cell r="Y8923" t="str">
            <v>UNITED KINGDOM</v>
          </cell>
        </row>
        <row r="8924">
          <cell r="L8924" t="str">
            <v>Non-proportional</v>
          </cell>
          <cell r="S8924">
            <v>6546.59</v>
          </cell>
          <cell r="X8924" t="str">
            <v>Commissions - gross</v>
          </cell>
          <cell r="Y8924" t="str">
            <v>UNITED KINGDOM</v>
          </cell>
        </row>
        <row r="8925">
          <cell r="L8925" t="str">
            <v>Non-proportional</v>
          </cell>
          <cell r="S8925">
            <v>48.3</v>
          </cell>
          <cell r="X8925" t="str">
            <v>Commissions - gross</v>
          </cell>
          <cell r="Y8925" t="str">
            <v>BRAZIL</v>
          </cell>
        </row>
        <row r="8926">
          <cell r="L8926" t="str">
            <v>Non-proportional</v>
          </cell>
          <cell r="S8926">
            <v>328.13</v>
          </cell>
          <cell r="X8926" t="str">
            <v>Commissions - gross</v>
          </cell>
          <cell r="Y8926" t="str">
            <v>ITALY</v>
          </cell>
        </row>
        <row r="8927">
          <cell r="L8927" t="str">
            <v>Proportional</v>
          </cell>
          <cell r="S8927">
            <v>8201.64</v>
          </cell>
          <cell r="X8927" t="str">
            <v>Commissions - gross</v>
          </cell>
          <cell r="Y8927" t="str">
            <v>UNITED STATES</v>
          </cell>
        </row>
        <row r="8928">
          <cell r="L8928" t="str">
            <v>Non-proportional</v>
          </cell>
          <cell r="S8928">
            <v>31.07</v>
          </cell>
          <cell r="X8928" t="str">
            <v>Commissions - gross</v>
          </cell>
          <cell r="Y8928" t="str">
            <v>ITALY</v>
          </cell>
        </row>
        <row r="8929">
          <cell r="L8929" t="str">
            <v>Non-proportional</v>
          </cell>
          <cell r="S8929">
            <v>465.1</v>
          </cell>
          <cell r="X8929" t="str">
            <v>Commissions - gross</v>
          </cell>
          <cell r="Y8929" t="str">
            <v>CHILE</v>
          </cell>
        </row>
        <row r="8930">
          <cell r="L8930" t="str">
            <v>Proportional</v>
          </cell>
          <cell r="S8930">
            <v>-43469.45</v>
          </cell>
          <cell r="X8930" t="str">
            <v>Commissions - gross</v>
          </cell>
          <cell r="Y8930" t="str">
            <v>MEXICO</v>
          </cell>
        </row>
        <row r="8931">
          <cell r="L8931" t="str">
            <v>Proportional</v>
          </cell>
          <cell r="S8931">
            <v>-0.89</v>
          </cell>
          <cell r="X8931" t="str">
            <v>Commissions - gross</v>
          </cell>
          <cell r="Y8931" t="str">
            <v>UNITED STATES</v>
          </cell>
        </row>
        <row r="8932">
          <cell r="L8932" t="str">
            <v>Non-proportional</v>
          </cell>
          <cell r="S8932">
            <v>468.09</v>
          </cell>
          <cell r="X8932" t="str">
            <v>Commissions - gross</v>
          </cell>
          <cell r="Y8932" t="str">
            <v>AUSTRALIA</v>
          </cell>
        </row>
        <row r="8933">
          <cell r="L8933" t="str">
            <v>Non-proportional</v>
          </cell>
          <cell r="S8933">
            <v>1131.71</v>
          </cell>
          <cell r="X8933" t="str">
            <v>Commissions - gross</v>
          </cell>
          <cell r="Y8933" t="str">
            <v>AUSTRALIA</v>
          </cell>
        </row>
        <row r="8934">
          <cell r="L8934" t="str">
            <v>Non-proportional</v>
          </cell>
          <cell r="S8934">
            <v>-18.34</v>
          </cell>
          <cell r="X8934" t="str">
            <v>Commissions - gross</v>
          </cell>
          <cell r="Y8934" t="str">
            <v>JAPAN</v>
          </cell>
        </row>
        <row r="8935">
          <cell r="L8935" t="str">
            <v>Non-proportional</v>
          </cell>
          <cell r="S8935">
            <v>802.05</v>
          </cell>
          <cell r="X8935" t="str">
            <v>Commissions - gross</v>
          </cell>
          <cell r="Y8935" t="str">
            <v>TURKEY</v>
          </cell>
        </row>
        <row r="8936">
          <cell r="L8936" t="str">
            <v>Non-proportional</v>
          </cell>
          <cell r="S8936">
            <v>1008511.72</v>
          </cell>
          <cell r="X8936" t="str">
            <v>Commissions - gross</v>
          </cell>
          <cell r="Y8936" t="str">
            <v>UNITED KINGDOM</v>
          </cell>
        </row>
        <row r="8937">
          <cell r="L8937" t="str">
            <v>Non-proportional</v>
          </cell>
          <cell r="S8937">
            <v>608.63</v>
          </cell>
          <cell r="X8937" t="str">
            <v>Commissions - gross</v>
          </cell>
          <cell r="Y8937" t="str">
            <v>ITALY</v>
          </cell>
        </row>
        <row r="8938">
          <cell r="L8938" t="str">
            <v>Non-proportional</v>
          </cell>
          <cell r="S8938">
            <v>204.17</v>
          </cell>
          <cell r="X8938" t="str">
            <v>Commissions - gross</v>
          </cell>
          <cell r="Y8938" t="str">
            <v>ITALY</v>
          </cell>
        </row>
        <row r="8939">
          <cell r="L8939" t="str">
            <v>Non-proportional</v>
          </cell>
          <cell r="S8939">
            <v>-7.28</v>
          </cell>
          <cell r="X8939" t="str">
            <v>Commissions - gross</v>
          </cell>
          <cell r="Y8939" t="str">
            <v>NEW ZEALAND</v>
          </cell>
        </row>
        <row r="8940">
          <cell r="L8940" t="str">
            <v>Non-proportional</v>
          </cell>
          <cell r="S8940">
            <v>3.36</v>
          </cell>
          <cell r="X8940" t="str">
            <v>Commissions - gross</v>
          </cell>
          <cell r="Y8940" t="str">
            <v>ISRAEL</v>
          </cell>
        </row>
        <row r="8941">
          <cell r="L8941" t="str">
            <v>Non-proportional</v>
          </cell>
          <cell r="S8941">
            <v>1262.51</v>
          </cell>
          <cell r="X8941" t="str">
            <v>Commissions - gross</v>
          </cell>
          <cell r="Y8941" t="str">
            <v>BELGIUM</v>
          </cell>
        </row>
        <row r="8942">
          <cell r="L8942" t="str">
            <v>Non-proportional</v>
          </cell>
          <cell r="S8942">
            <v>63.85</v>
          </cell>
          <cell r="X8942" t="str">
            <v>Commissions - gross</v>
          </cell>
          <cell r="Y8942" t="str">
            <v>MALTA</v>
          </cell>
        </row>
        <row r="8943">
          <cell r="L8943" t="str">
            <v>Non-proportional</v>
          </cell>
          <cell r="S8943">
            <v>918.75</v>
          </cell>
          <cell r="X8943" t="str">
            <v>Commissions - gross</v>
          </cell>
          <cell r="Y8943" t="str">
            <v>TURKEY</v>
          </cell>
        </row>
        <row r="8944">
          <cell r="L8944" t="str">
            <v>Non-proportional</v>
          </cell>
          <cell r="S8944">
            <v>747.28</v>
          </cell>
          <cell r="X8944" t="str">
            <v>Commissions - gross</v>
          </cell>
          <cell r="Y8944" t="str">
            <v>COLOMBIA</v>
          </cell>
        </row>
        <row r="8945">
          <cell r="L8945" t="str">
            <v>Proportional</v>
          </cell>
          <cell r="S8945">
            <v>624.49</v>
          </cell>
          <cell r="X8945" t="str">
            <v>Commissions - gross</v>
          </cell>
          <cell r="Y8945" t="str">
            <v>JAPAN</v>
          </cell>
        </row>
        <row r="8946">
          <cell r="L8946" t="str">
            <v>Non-proportional</v>
          </cell>
          <cell r="S8946">
            <v>-3813.85</v>
          </cell>
          <cell r="X8946" t="str">
            <v>Commissions - gross</v>
          </cell>
          <cell r="Y8946" t="str">
            <v>UNITED KINGDOM</v>
          </cell>
        </row>
        <row r="8947">
          <cell r="L8947" t="str">
            <v>Non-proportional</v>
          </cell>
          <cell r="S8947">
            <v>489.01</v>
          </cell>
          <cell r="X8947" t="str">
            <v>Commissions - gross</v>
          </cell>
          <cell r="Y8947" t="str">
            <v>FRANCE</v>
          </cell>
        </row>
        <row r="8948">
          <cell r="L8948" t="str">
            <v>Non-proportional</v>
          </cell>
          <cell r="S8948">
            <v>219.14</v>
          </cell>
          <cell r="X8948" t="str">
            <v>Commissions - gross</v>
          </cell>
          <cell r="Y8948" t="str">
            <v>UNITED KINGDOM</v>
          </cell>
        </row>
        <row r="8949">
          <cell r="L8949" t="str">
            <v>Non-proportional</v>
          </cell>
          <cell r="S8949">
            <v>921.91</v>
          </cell>
          <cell r="X8949" t="str">
            <v>Commissions - gross</v>
          </cell>
          <cell r="Y8949" t="str">
            <v>ISRAEL</v>
          </cell>
        </row>
        <row r="8950">
          <cell r="L8950" t="str">
            <v>Non-proportional</v>
          </cell>
          <cell r="S8950">
            <v>1059.6099999999999</v>
          </cell>
          <cell r="X8950" t="str">
            <v>Commissions - gross</v>
          </cell>
          <cell r="Y8950" t="str">
            <v>FRANCE</v>
          </cell>
        </row>
        <row r="8951">
          <cell r="L8951" t="str">
            <v>Non-proportional</v>
          </cell>
          <cell r="S8951">
            <v>289.07</v>
          </cell>
          <cell r="X8951" t="str">
            <v>Commissions - gross</v>
          </cell>
          <cell r="Y8951" t="str">
            <v>DOMINICAN REPUBLIC</v>
          </cell>
        </row>
        <row r="8952">
          <cell r="L8952" t="str">
            <v>Proportional</v>
          </cell>
          <cell r="S8952">
            <v>1238.1500000000001</v>
          </cell>
          <cell r="X8952" t="str">
            <v>Commissions - gross</v>
          </cell>
          <cell r="Y8952" t="str">
            <v>CANADA</v>
          </cell>
        </row>
        <row r="8953">
          <cell r="L8953" t="str">
            <v>Non-proportional</v>
          </cell>
          <cell r="S8953">
            <v>20.57</v>
          </cell>
          <cell r="X8953" t="str">
            <v>Commissions - gross</v>
          </cell>
          <cell r="Y8953" t="str">
            <v>FRANCE</v>
          </cell>
        </row>
        <row r="8954">
          <cell r="L8954" t="str">
            <v>Non-proportional</v>
          </cell>
          <cell r="S8954">
            <v>346.78</v>
          </cell>
          <cell r="X8954" t="str">
            <v>Commissions - gross</v>
          </cell>
          <cell r="Y8954" t="str">
            <v>THAILAND</v>
          </cell>
        </row>
        <row r="8955">
          <cell r="L8955" t="str">
            <v>Non-proportional</v>
          </cell>
          <cell r="S8955">
            <v>528.08000000000004</v>
          </cell>
          <cell r="X8955" t="str">
            <v>Commissions - gross</v>
          </cell>
          <cell r="Y8955" t="str">
            <v>ISRAEL</v>
          </cell>
        </row>
        <row r="8956">
          <cell r="L8956" t="str">
            <v>Proportional</v>
          </cell>
          <cell r="S8956">
            <v>332.59</v>
          </cell>
          <cell r="X8956" t="str">
            <v>Commissions - gross</v>
          </cell>
          <cell r="Y8956" t="str">
            <v>JAPAN</v>
          </cell>
        </row>
        <row r="8957">
          <cell r="L8957" t="str">
            <v>Non-proportional</v>
          </cell>
          <cell r="S8957">
            <v>379.65</v>
          </cell>
          <cell r="X8957" t="str">
            <v>Commissions - gross</v>
          </cell>
          <cell r="Y8957" t="str">
            <v>ITALY</v>
          </cell>
        </row>
        <row r="8958">
          <cell r="L8958" t="str">
            <v>Non-proportional</v>
          </cell>
          <cell r="S8958">
            <v>3986.57</v>
          </cell>
          <cell r="X8958" t="str">
            <v>Commissions - gross</v>
          </cell>
          <cell r="Y8958" t="str">
            <v>UNITED KINGDOM</v>
          </cell>
        </row>
        <row r="8959">
          <cell r="L8959" t="str">
            <v>Non-proportional</v>
          </cell>
          <cell r="S8959">
            <v>-5.4</v>
          </cell>
          <cell r="X8959" t="str">
            <v>Commissions - gross</v>
          </cell>
          <cell r="Y8959" t="str">
            <v>JAPAN</v>
          </cell>
        </row>
        <row r="8960">
          <cell r="L8960" t="str">
            <v>Non-proportional</v>
          </cell>
          <cell r="S8960">
            <v>491.89</v>
          </cell>
          <cell r="X8960" t="str">
            <v>Commissions - gross</v>
          </cell>
          <cell r="Y8960" t="str">
            <v>DOMINICAN REPUBLIC</v>
          </cell>
        </row>
        <row r="8961">
          <cell r="L8961" t="str">
            <v>Non-proportional</v>
          </cell>
          <cell r="S8961">
            <v>932.97</v>
          </cell>
          <cell r="X8961" t="str">
            <v>Commissions - gross</v>
          </cell>
          <cell r="Y8961" t="str">
            <v>MEXICO</v>
          </cell>
        </row>
        <row r="8962">
          <cell r="L8962" t="str">
            <v>Non-proportional</v>
          </cell>
          <cell r="S8962">
            <v>643.98</v>
          </cell>
          <cell r="X8962" t="str">
            <v>Commissions - gross</v>
          </cell>
          <cell r="Y8962" t="str">
            <v>CHILE</v>
          </cell>
        </row>
        <row r="8963">
          <cell r="L8963" t="str">
            <v>Non-proportional</v>
          </cell>
          <cell r="S8963">
            <v>-23.75</v>
          </cell>
          <cell r="X8963" t="str">
            <v>Commissions - gross</v>
          </cell>
          <cell r="Y8963" t="str">
            <v>SOUTH KOREA</v>
          </cell>
        </row>
        <row r="8964">
          <cell r="L8964" t="str">
            <v>Non-proportional</v>
          </cell>
          <cell r="S8964">
            <v>491.3</v>
          </cell>
          <cell r="X8964" t="str">
            <v>Commissions - gross</v>
          </cell>
          <cell r="Y8964" t="str">
            <v>UNITED KINGDOM</v>
          </cell>
        </row>
        <row r="8965">
          <cell r="L8965" t="str">
            <v>Non-proportional</v>
          </cell>
          <cell r="S8965">
            <v>301.52999999999997</v>
          </cell>
          <cell r="X8965" t="str">
            <v>Commissions - gross</v>
          </cell>
          <cell r="Y8965" t="str">
            <v>ITALY</v>
          </cell>
        </row>
        <row r="8966">
          <cell r="L8966" t="str">
            <v>Non-proportional</v>
          </cell>
          <cell r="S8966">
            <v>-9.27</v>
          </cell>
          <cell r="X8966" t="str">
            <v>Commissions - gross</v>
          </cell>
          <cell r="Y8966" t="str">
            <v>JAPAN</v>
          </cell>
        </row>
        <row r="8967">
          <cell r="L8967" t="str">
            <v>Non-proportional</v>
          </cell>
          <cell r="S8967">
            <v>119.34</v>
          </cell>
          <cell r="X8967" t="str">
            <v>Commissions - gross</v>
          </cell>
          <cell r="Y8967" t="str">
            <v>COSTA RICA</v>
          </cell>
        </row>
        <row r="8968">
          <cell r="L8968" t="str">
            <v>Non-proportional</v>
          </cell>
          <cell r="S8968">
            <v>143.11000000000001</v>
          </cell>
          <cell r="X8968" t="str">
            <v>Commissions - gross</v>
          </cell>
          <cell r="Y8968" t="str">
            <v>CHILE</v>
          </cell>
        </row>
        <row r="8969">
          <cell r="L8969" t="str">
            <v>Proportional</v>
          </cell>
          <cell r="S8969">
            <v>7094.23</v>
          </cell>
          <cell r="X8969" t="str">
            <v>Commissions - gross</v>
          </cell>
          <cell r="Y8969" t="str">
            <v>UNITED STATES</v>
          </cell>
        </row>
        <row r="8970">
          <cell r="L8970" t="str">
            <v>Non-proportional</v>
          </cell>
          <cell r="S8970">
            <v>475.13</v>
          </cell>
          <cell r="X8970" t="str">
            <v>Commissions - gross</v>
          </cell>
          <cell r="Y8970" t="str">
            <v>FRANCE</v>
          </cell>
        </row>
        <row r="8971">
          <cell r="L8971" t="str">
            <v>Non-proportional</v>
          </cell>
          <cell r="S8971">
            <v>94.55</v>
          </cell>
          <cell r="X8971" t="str">
            <v>Commissions - gross</v>
          </cell>
          <cell r="Y8971" t="str">
            <v>DOMINICAN REPUBLIC</v>
          </cell>
        </row>
        <row r="8972">
          <cell r="L8972" t="str">
            <v>Non-proportional</v>
          </cell>
          <cell r="S8972">
            <v>32.520000000000003</v>
          </cell>
          <cell r="X8972" t="str">
            <v>Commissions - gross</v>
          </cell>
          <cell r="Y8972" t="str">
            <v>DOMINICAN REPUBLIC</v>
          </cell>
        </row>
        <row r="8973">
          <cell r="L8973" t="str">
            <v>Non-proportional</v>
          </cell>
          <cell r="S8973">
            <v>347.14</v>
          </cell>
          <cell r="X8973" t="str">
            <v>Commissions - gross</v>
          </cell>
          <cell r="Y8973" t="str">
            <v>COLOMBIA</v>
          </cell>
        </row>
        <row r="8974">
          <cell r="L8974" t="str">
            <v>Non-proportional</v>
          </cell>
          <cell r="S8974">
            <v>474.32</v>
          </cell>
          <cell r="X8974" t="str">
            <v>Commissions - gross</v>
          </cell>
          <cell r="Y8974" t="str">
            <v>UNITED KINGDOM</v>
          </cell>
        </row>
        <row r="8975">
          <cell r="L8975" t="str">
            <v>Non-proportional</v>
          </cell>
          <cell r="S8975">
            <v>216.47</v>
          </cell>
          <cell r="X8975" t="str">
            <v>Commissions - gross</v>
          </cell>
          <cell r="Y8975" t="str">
            <v>JAPAN</v>
          </cell>
        </row>
        <row r="8976">
          <cell r="L8976" t="str">
            <v>Non-proportional</v>
          </cell>
          <cell r="S8976">
            <v>166.97</v>
          </cell>
          <cell r="X8976" t="str">
            <v>Commissions - gross</v>
          </cell>
          <cell r="Y8976" t="str">
            <v>JAPAN</v>
          </cell>
        </row>
        <row r="8977">
          <cell r="L8977" t="str">
            <v>Proportional</v>
          </cell>
          <cell r="S8977">
            <v>204999.42</v>
          </cell>
          <cell r="X8977" t="str">
            <v>Commissions - gross</v>
          </cell>
          <cell r="Y8977" t="str">
            <v>HONG KONG</v>
          </cell>
        </row>
        <row r="8978">
          <cell r="L8978" t="str">
            <v>Non-proportional</v>
          </cell>
          <cell r="S8978">
            <v>934.81</v>
          </cell>
          <cell r="X8978" t="str">
            <v>Commissions - gross</v>
          </cell>
          <cell r="Y8978" t="str">
            <v>NETHERLANDS</v>
          </cell>
        </row>
        <row r="8979">
          <cell r="L8979" t="str">
            <v>Non-proportional</v>
          </cell>
          <cell r="S8979">
            <v>-12593.42</v>
          </cell>
          <cell r="X8979" t="str">
            <v>Commissions - gross</v>
          </cell>
          <cell r="Y8979" t="str">
            <v>CHILE</v>
          </cell>
        </row>
        <row r="8980">
          <cell r="L8980" t="str">
            <v>Non-proportional</v>
          </cell>
          <cell r="S8980">
            <v>-0.63</v>
          </cell>
          <cell r="X8980" t="str">
            <v>Commissions - gross</v>
          </cell>
          <cell r="Y8980" t="str">
            <v>JAPAN</v>
          </cell>
        </row>
        <row r="8981">
          <cell r="L8981" t="str">
            <v>Non-proportional</v>
          </cell>
          <cell r="S8981">
            <v>95.19</v>
          </cell>
          <cell r="X8981" t="str">
            <v>Commissions - gross</v>
          </cell>
          <cell r="Y8981" t="str">
            <v>JAPAN</v>
          </cell>
        </row>
        <row r="8982">
          <cell r="L8982" t="str">
            <v>Non-proportional</v>
          </cell>
          <cell r="S8982">
            <v>162.9</v>
          </cell>
          <cell r="X8982" t="str">
            <v>Commissions - gross</v>
          </cell>
          <cell r="Y8982" t="str">
            <v>JAPAN</v>
          </cell>
        </row>
        <row r="8983">
          <cell r="L8983" t="str">
            <v>Non-proportional</v>
          </cell>
          <cell r="S8983">
            <v>2318.75</v>
          </cell>
          <cell r="X8983" t="str">
            <v>Commissions - gross</v>
          </cell>
          <cell r="Y8983" t="str">
            <v>ITALY</v>
          </cell>
        </row>
        <row r="8984">
          <cell r="L8984" t="str">
            <v>Non-proportional</v>
          </cell>
          <cell r="S8984">
            <v>1070.71</v>
          </cell>
          <cell r="X8984" t="str">
            <v>Commissions - gross</v>
          </cell>
          <cell r="Y8984" t="str">
            <v>FRANCE</v>
          </cell>
        </row>
        <row r="8985">
          <cell r="L8985" t="str">
            <v>Non-proportional</v>
          </cell>
          <cell r="S8985">
            <v>176.39</v>
          </cell>
          <cell r="X8985" t="str">
            <v>Commissions - gross</v>
          </cell>
          <cell r="Y8985" t="str">
            <v>JAPAN</v>
          </cell>
        </row>
        <row r="8986">
          <cell r="L8986" t="str">
            <v>Non-proportional</v>
          </cell>
          <cell r="S8986">
            <v>-5.68</v>
          </cell>
          <cell r="X8986" t="str">
            <v>Commissions - gross</v>
          </cell>
          <cell r="Y8986" t="str">
            <v>NEW ZEALAND</v>
          </cell>
        </row>
        <row r="8987">
          <cell r="L8987" t="str">
            <v>Non-proportional</v>
          </cell>
          <cell r="S8987">
            <v>1798.56</v>
          </cell>
          <cell r="X8987" t="str">
            <v>Commissions - gross</v>
          </cell>
          <cell r="Y8987" t="str">
            <v>UNITED KINGDOM</v>
          </cell>
        </row>
        <row r="8988">
          <cell r="L8988" t="str">
            <v>Non-proportional</v>
          </cell>
          <cell r="S8988">
            <v>689.43</v>
          </cell>
          <cell r="X8988" t="str">
            <v>Commissions - gross</v>
          </cell>
          <cell r="Y8988" t="str">
            <v>UNITED KINGDOM</v>
          </cell>
        </row>
        <row r="8989">
          <cell r="L8989" t="str">
            <v>Non-proportional</v>
          </cell>
          <cell r="S8989">
            <v>171.34</v>
          </cell>
          <cell r="X8989" t="str">
            <v>Commissions - gross</v>
          </cell>
          <cell r="Y8989" t="str">
            <v>ECUADOR</v>
          </cell>
        </row>
        <row r="8990">
          <cell r="L8990" t="str">
            <v>Non-proportional</v>
          </cell>
          <cell r="S8990">
            <v>794.07</v>
          </cell>
          <cell r="X8990" t="str">
            <v>Commissions - gross</v>
          </cell>
          <cell r="Y8990" t="str">
            <v>PERU</v>
          </cell>
        </row>
        <row r="8991">
          <cell r="L8991" t="str">
            <v>Non-proportional</v>
          </cell>
          <cell r="S8991">
            <v>870.83</v>
          </cell>
          <cell r="X8991" t="str">
            <v>Commissions - gross</v>
          </cell>
          <cell r="Y8991" t="str">
            <v>TURKEY</v>
          </cell>
        </row>
        <row r="8992">
          <cell r="L8992" t="str">
            <v>Non-proportional</v>
          </cell>
          <cell r="S8992">
            <v>0</v>
          </cell>
          <cell r="X8992" t="str">
            <v>Commissions - gross</v>
          </cell>
          <cell r="Y8992" t="str">
            <v>COLOMBIA</v>
          </cell>
        </row>
        <row r="8993">
          <cell r="L8993" t="str">
            <v>Non-proportional</v>
          </cell>
          <cell r="S8993">
            <v>470.07</v>
          </cell>
          <cell r="X8993" t="str">
            <v>Commissions - gross</v>
          </cell>
          <cell r="Y8993" t="str">
            <v>DOMINICAN REPUBLIC</v>
          </cell>
        </row>
        <row r="8994">
          <cell r="L8994" t="str">
            <v>Non-proportional</v>
          </cell>
          <cell r="S8994">
            <v>-4.28</v>
          </cell>
          <cell r="X8994" t="str">
            <v>Commissions - gross</v>
          </cell>
          <cell r="Y8994" t="str">
            <v>JAPAN</v>
          </cell>
        </row>
        <row r="8995">
          <cell r="L8995" t="str">
            <v>Non-proportional</v>
          </cell>
          <cell r="S8995">
            <v>270.14</v>
          </cell>
          <cell r="X8995" t="str">
            <v>Commissions - gross</v>
          </cell>
          <cell r="Y8995" t="str">
            <v>ECUADOR</v>
          </cell>
        </row>
        <row r="8996">
          <cell r="L8996" t="str">
            <v>Non-proportional</v>
          </cell>
          <cell r="S8996">
            <v>-295.98</v>
          </cell>
          <cell r="X8996" t="str">
            <v>Commissions - gross</v>
          </cell>
          <cell r="Y8996" t="str">
            <v>NEW ZEALAND</v>
          </cell>
        </row>
        <row r="8997">
          <cell r="L8997" t="str">
            <v>Non-proportional</v>
          </cell>
          <cell r="S8997">
            <v>123.12</v>
          </cell>
          <cell r="X8997" t="str">
            <v>Commissions - gross</v>
          </cell>
          <cell r="Y8997" t="str">
            <v>PERU</v>
          </cell>
        </row>
        <row r="8998">
          <cell r="L8998" t="str">
            <v>Proportional</v>
          </cell>
          <cell r="S8998">
            <v>256249.27</v>
          </cell>
          <cell r="X8998" t="str">
            <v>Commissions - gross</v>
          </cell>
          <cell r="Y8998" t="str">
            <v>HONG KONG</v>
          </cell>
        </row>
        <row r="8999">
          <cell r="L8999" t="str">
            <v>Non-proportional</v>
          </cell>
          <cell r="S8999">
            <v>1066.55</v>
          </cell>
          <cell r="X8999" t="str">
            <v>Commissions - gross</v>
          </cell>
          <cell r="Y8999" t="str">
            <v>CHILE</v>
          </cell>
        </row>
        <row r="9000">
          <cell r="L9000" t="str">
            <v>Non-proportional</v>
          </cell>
          <cell r="S9000">
            <v>911.24</v>
          </cell>
          <cell r="X9000" t="str">
            <v>Commissions - gross</v>
          </cell>
          <cell r="Y9000" t="str">
            <v>PUERTO RICO</v>
          </cell>
        </row>
        <row r="9001">
          <cell r="L9001" t="str">
            <v>Proportional</v>
          </cell>
          <cell r="S9001">
            <v>5378.9</v>
          </cell>
          <cell r="X9001" t="str">
            <v>Commissions - gross</v>
          </cell>
          <cell r="Y9001" t="str">
            <v>AUSTRALIA</v>
          </cell>
        </row>
        <row r="9002">
          <cell r="L9002" t="str">
            <v>Non-proportional</v>
          </cell>
          <cell r="S9002">
            <v>61.25</v>
          </cell>
          <cell r="X9002" t="str">
            <v>Commissions - gross</v>
          </cell>
          <cell r="Y9002" t="str">
            <v>GREECE</v>
          </cell>
        </row>
        <row r="9003">
          <cell r="L9003" t="str">
            <v>Non-proportional</v>
          </cell>
          <cell r="S9003">
            <v>666.65</v>
          </cell>
          <cell r="X9003" t="str">
            <v>Commissions - gross</v>
          </cell>
          <cell r="Y9003" t="str">
            <v>ITALY</v>
          </cell>
        </row>
        <row r="9004">
          <cell r="L9004" t="str">
            <v>Non-proportional</v>
          </cell>
          <cell r="S9004">
            <v>2239.6799999999998</v>
          </cell>
          <cell r="X9004" t="str">
            <v>Commissions - gross</v>
          </cell>
          <cell r="Y9004" t="str">
            <v>PUERTO RICO</v>
          </cell>
        </row>
        <row r="9005">
          <cell r="L9005" t="str">
            <v>Non-proportional</v>
          </cell>
          <cell r="S9005">
            <v>574</v>
          </cell>
          <cell r="X9005" t="str">
            <v>Commissions - gross</v>
          </cell>
          <cell r="Y9005" t="str">
            <v>COSTA RICA</v>
          </cell>
        </row>
        <row r="9006">
          <cell r="L9006" t="str">
            <v>Non-proportional</v>
          </cell>
          <cell r="S9006">
            <v>-236739.84</v>
          </cell>
          <cell r="X9006" t="str">
            <v>Commissions - gross</v>
          </cell>
          <cell r="Y9006" t="str">
            <v>UNITED KINGDOM</v>
          </cell>
        </row>
        <row r="9007">
          <cell r="L9007" t="str">
            <v>Non-proportional</v>
          </cell>
          <cell r="S9007">
            <v>396.7</v>
          </cell>
          <cell r="X9007" t="str">
            <v>Commissions - gross</v>
          </cell>
          <cell r="Y9007" t="str">
            <v>COLOMBIA</v>
          </cell>
        </row>
        <row r="9008">
          <cell r="L9008" t="str">
            <v>Non-proportional</v>
          </cell>
          <cell r="S9008">
            <v>19.510000000000002</v>
          </cell>
          <cell r="X9008" t="str">
            <v>Commissions - gross</v>
          </cell>
          <cell r="Y9008" t="str">
            <v>JAPAN</v>
          </cell>
        </row>
        <row r="9009">
          <cell r="L9009" t="str">
            <v>Non-proportional</v>
          </cell>
          <cell r="S9009">
            <v>-24.52</v>
          </cell>
          <cell r="X9009" t="str">
            <v>Commissions - gross</v>
          </cell>
          <cell r="Y9009" t="str">
            <v>NEW ZEALAND</v>
          </cell>
        </row>
        <row r="9010">
          <cell r="L9010" t="str">
            <v>Non-proportional</v>
          </cell>
          <cell r="S9010">
            <v>249.52</v>
          </cell>
          <cell r="X9010" t="str">
            <v>Commissions - gross</v>
          </cell>
          <cell r="Y9010" t="str">
            <v>ITALY</v>
          </cell>
        </row>
        <row r="9011">
          <cell r="L9011" t="str">
            <v>Non-proportional</v>
          </cell>
          <cell r="S9011">
            <v>1813.23</v>
          </cell>
          <cell r="X9011" t="str">
            <v>Commissions - gross</v>
          </cell>
          <cell r="Y9011" t="str">
            <v>PUERTO RICO</v>
          </cell>
        </row>
        <row r="9012">
          <cell r="L9012" t="str">
            <v>Non-proportional</v>
          </cell>
          <cell r="S9012">
            <v>1364.77</v>
          </cell>
          <cell r="X9012" t="str">
            <v>Commissions - gross</v>
          </cell>
          <cell r="Y9012" t="str">
            <v>ECUADOR</v>
          </cell>
        </row>
        <row r="9013">
          <cell r="L9013" t="str">
            <v>Non-proportional</v>
          </cell>
          <cell r="S9013">
            <v>612.41</v>
          </cell>
          <cell r="X9013" t="str">
            <v>Commissions - gross</v>
          </cell>
          <cell r="Y9013" t="str">
            <v>ECUADOR</v>
          </cell>
        </row>
        <row r="9014">
          <cell r="L9014" t="str">
            <v>Non-proportional</v>
          </cell>
          <cell r="S9014">
            <v>3492.99</v>
          </cell>
          <cell r="X9014" t="str">
            <v>Commissions - gross</v>
          </cell>
          <cell r="Y9014" t="str">
            <v>UNITED KINGDOM</v>
          </cell>
        </row>
        <row r="9015">
          <cell r="L9015" t="str">
            <v>Proportional</v>
          </cell>
          <cell r="S9015">
            <v>45.2</v>
          </cell>
          <cell r="X9015" t="str">
            <v>Commissions - gross</v>
          </cell>
          <cell r="Y9015" t="str">
            <v>REPUBLIC OF IRELAND</v>
          </cell>
        </row>
        <row r="9016">
          <cell r="L9016" t="str">
            <v>Non-proportional</v>
          </cell>
          <cell r="S9016">
            <v>497.15</v>
          </cell>
          <cell r="X9016" t="str">
            <v>Commissions - gross</v>
          </cell>
          <cell r="Y9016" t="str">
            <v>EUROPE</v>
          </cell>
        </row>
        <row r="9017">
          <cell r="L9017" t="str">
            <v>Non-proportional</v>
          </cell>
          <cell r="S9017">
            <v>294.37</v>
          </cell>
          <cell r="X9017" t="str">
            <v>Commissions - gross</v>
          </cell>
          <cell r="Y9017" t="str">
            <v>ISRAEL</v>
          </cell>
        </row>
        <row r="9018">
          <cell r="L9018" t="str">
            <v>Non-proportional</v>
          </cell>
          <cell r="S9018">
            <v>7.95</v>
          </cell>
          <cell r="X9018" t="str">
            <v>Commissions - gross</v>
          </cell>
          <cell r="Y9018" t="str">
            <v>COLOMBIA</v>
          </cell>
        </row>
        <row r="9019">
          <cell r="L9019" t="str">
            <v>Non-proportional</v>
          </cell>
          <cell r="S9019">
            <v>108.15</v>
          </cell>
          <cell r="X9019" t="str">
            <v>Commissions - gross</v>
          </cell>
          <cell r="Y9019" t="str">
            <v>COSTA RICA</v>
          </cell>
        </row>
        <row r="9020">
          <cell r="L9020" t="str">
            <v>Non-proportional</v>
          </cell>
          <cell r="S9020">
            <v>-6563.05</v>
          </cell>
          <cell r="X9020" t="str">
            <v>Commissions - gross</v>
          </cell>
          <cell r="Y9020" t="str">
            <v>INDIA</v>
          </cell>
        </row>
        <row r="9021">
          <cell r="L9021" t="str">
            <v>Non-proportional</v>
          </cell>
          <cell r="S9021">
            <v>-37683.54</v>
          </cell>
          <cell r="X9021" t="str">
            <v>Commissions - gross</v>
          </cell>
          <cell r="Y9021" t="str">
            <v>NEW ZEALAND</v>
          </cell>
        </row>
        <row r="9022">
          <cell r="L9022" t="str">
            <v>Non-proportional</v>
          </cell>
          <cell r="S9022">
            <v>168.52</v>
          </cell>
          <cell r="X9022" t="str">
            <v>Commissions - gross</v>
          </cell>
          <cell r="Y9022" t="str">
            <v>ECUADOR</v>
          </cell>
        </row>
        <row r="9023">
          <cell r="L9023" t="str">
            <v>Non-proportional</v>
          </cell>
          <cell r="S9023">
            <v>950.01</v>
          </cell>
          <cell r="X9023" t="str">
            <v>Commissions - gross</v>
          </cell>
          <cell r="Y9023" t="str">
            <v>TURKEY</v>
          </cell>
        </row>
        <row r="9024">
          <cell r="L9024" t="str">
            <v>Non-proportional</v>
          </cell>
          <cell r="S9024">
            <v>681.84</v>
          </cell>
          <cell r="X9024" t="str">
            <v>Commissions - gross</v>
          </cell>
          <cell r="Y9024" t="str">
            <v>UNITED KINGDOM</v>
          </cell>
        </row>
        <row r="9025">
          <cell r="L9025" t="str">
            <v>Non-proportional</v>
          </cell>
          <cell r="S9025">
            <v>930.2</v>
          </cell>
          <cell r="X9025" t="str">
            <v>Commissions - gross</v>
          </cell>
          <cell r="Y9025" t="str">
            <v>CHILE</v>
          </cell>
        </row>
        <row r="9026">
          <cell r="L9026" t="str">
            <v>Non-proportional</v>
          </cell>
          <cell r="S9026">
            <v>88.25</v>
          </cell>
          <cell r="X9026" t="str">
            <v>Commissions - gross</v>
          </cell>
          <cell r="Y9026" t="str">
            <v>PUERTO RICO</v>
          </cell>
        </row>
        <row r="9027">
          <cell r="L9027" t="str">
            <v>Non-proportional</v>
          </cell>
          <cell r="S9027">
            <v>4.82</v>
          </cell>
          <cell r="X9027" t="str">
            <v>Commissions - gross</v>
          </cell>
          <cell r="Y9027" t="str">
            <v>BRAZIL</v>
          </cell>
        </row>
        <row r="9028">
          <cell r="L9028" t="str">
            <v>Non-proportional</v>
          </cell>
          <cell r="S9028">
            <v>377.97</v>
          </cell>
          <cell r="X9028" t="str">
            <v>Commissions - gross</v>
          </cell>
          <cell r="Y9028" t="str">
            <v>ECUADOR</v>
          </cell>
        </row>
        <row r="9029">
          <cell r="L9029" t="str">
            <v>Non-proportional</v>
          </cell>
          <cell r="S9029">
            <v>359.38</v>
          </cell>
          <cell r="X9029" t="str">
            <v>Commissions - gross</v>
          </cell>
          <cell r="Y9029" t="str">
            <v>GREECE</v>
          </cell>
        </row>
        <row r="9030">
          <cell r="L9030" t="str">
            <v>Non-proportional</v>
          </cell>
          <cell r="S9030">
            <v>-14.78</v>
          </cell>
          <cell r="X9030" t="str">
            <v>Commissions - gross</v>
          </cell>
          <cell r="Y9030" t="str">
            <v>NEW ZEALAND</v>
          </cell>
        </row>
        <row r="9031">
          <cell r="L9031" t="str">
            <v>Non-proportional</v>
          </cell>
          <cell r="S9031">
            <v>1645.4</v>
          </cell>
          <cell r="X9031" t="str">
            <v>Commissions - gross</v>
          </cell>
          <cell r="Y9031" t="str">
            <v>AUSTRALIA</v>
          </cell>
        </row>
        <row r="9032">
          <cell r="L9032" t="str">
            <v>Non-proportional</v>
          </cell>
          <cell r="S9032">
            <v>-5.68</v>
          </cell>
          <cell r="X9032" t="str">
            <v>Commissions - gross</v>
          </cell>
          <cell r="Y9032" t="str">
            <v>JAPAN</v>
          </cell>
        </row>
        <row r="9033">
          <cell r="L9033" t="str">
            <v>Non-proportional</v>
          </cell>
          <cell r="S9033">
            <v>3131.61</v>
          </cell>
          <cell r="X9033" t="str">
            <v>Commissions - gross</v>
          </cell>
          <cell r="Y9033" t="str">
            <v>FRANCE</v>
          </cell>
        </row>
        <row r="9034">
          <cell r="L9034" t="str">
            <v>Non-proportional</v>
          </cell>
          <cell r="S9034">
            <v>515.19000000000005</v>
          </cell>
          <cell r="X9034" t="str">
            <v>Commissions - gross</v>
          </cell>
          <cell r="Y9034" t="str">
            <v>ITALY</v>
          </cell>
        </row>
        <row r="9035">
          <cell r="L9035" t="str">
            <v>Non-proportional</v>
          </cell>
          <cell r="S9035">
            <v>837.82</v>
          </cell>
          <cell r="X9035" t="str">
            <v>Commissions - gross</v>
          </cell>
          <cell r="Y9035" t="str">
            <v>MEXICO</v>
          </cell>
        </row>
        <row r="9036">
          <cell r="L9036" t="str">
            <v>Non-proportional</v>
          </cell>
          <cell r="S9036">
            <v>-0.55000000000000004</v>
          </cell>
          <cell r="X9036" t="str">
            <v>Commissions - gross</v>
          </cell>
          <cell r="Y9036" t="str">
            <v>GUATEMALA</v>
          </cell>
        </row>
        <row r="9037">
          <cell r="L9037" t="str">
            <v>Non-proportional</v>
          </cell>
          <cell r="S9037">
            <v>321.99</v>
          </cell>
          <cell r="X9037" t="str">
            <v>Commissions - gross</v>
          </cell>
          <cell r="Y9037" t="str">
            <v>CHILE</v>
          </cell>
        </row>
        <row r="9038">
          <cell r="L9038" t="str">
            <v>Non-proportional</v>
          </cell>
          <cell r="S9038">
            <v>130.57</v>
          </cell>
          <cell r="X9038" t="str">
            <v>Commissions - gross</v>
          </cell>
          <cell r="Y9038" t="str">
            <v>PUERTO RICO</v>
          </cell>
        </row>
        <row r="9039">
          <cell r="L9039" t="str">
            <v>Non-proportional</v>
          </cell>
          <cell r="S9039">
            <v>-10560.6</v>
          </cell>
          <cell r="X9039" t="str">
            <v>Commissions - gross</v>
          </cell>
          <cell r="Y9039" t="str">
            <v>MEXICO</v>
          </cell>
        </row>
        <row r="9040">
          <cell r="L9040" t="str">
            <v>Non-proportional</v>
          </cell>
          <cell r="S9040">
            <v>311.91000000000003</v>
          </cell>
          <cell r="X9040" t="str">
            <v>Commissions - gross</v>
          </cell>
          <cell r="Y9040" t="str">
            <v>GUATEMALA</v>
          </cell>
        </row>
        <row r="9041">
          <cell r="L9041" t="str">
            <v>Non-proportional</v>
          </cell>
          <cell r="S9041">
            <v>-37.729999999999997</v>
          </cell>
          <cell r="X9041" t="str">
            <v>Commissions - gross</v>
          </cell>
          <cell r="Y9041" t="str">
            <v>NEW ZEALAND</v>
          </cell>
        </row>
        <row r="9042">
          <cell r="L9042" t="str">
            <v>Proportional</v>
          </cell>
          <cell r="S9042">
            <v>2448.83</v>
          </cell>
          <cell r="X9042" t="str">
            <v>Commissions - gross</v>
          </cell>
          <cell r="Y9042" t="str">
            <v>MEXICO</v>
          </cell>
        </row>
        <row r="9043">
          <cell r="L9043" t="str">
            <v>Non-proportional</v>
          </cell>
          <cell r="S9043">
            <v>7828.16</v>
          </cell>
          <cell r="X9043" t="str">
            <v>Commissions - gross</v>
          </cell>
          <cell r="Y9043" t="str">
            <v>UNITED KINGDOM</v>
          </cell>
        </row>
        <row r="9044">
          <cell r="L9044" t="str">
            <v>Non-proportional</v>
          </cell>
          <cell r="S9044">
            <v>905.32</v>
          </cell>
          <cell r="X9044" t="str">
            <v>Commissions - gross</v>
          </cell>
          <cell r="Y9044" t="str">
            <v>ITALY</v>
          </cell>
        </row>
        <row r="9045">
          <cell r="L9045" t="str">
            <v>Non-proportional</v>
          </cell>
          <cell r="S9045">
            <v>1012.05</v>
          </cell>
          <cell r="X9045" t="str">
            <v>Commissions - gross</v>
          </cell>
          <cell r="Y9045" t="str">
            <v>ITALY</v>
          </cell>
        </row>
        <row r="9046">
          <cell r="L9046" t="str">
            <v>Non-proportional</v>
          </cell>
          <cell r="S9046">
            <v>244.25</v>
          </cell>
          <cell r="X9046" t="str">
            <v>Commissions - gross</v>
          </cell>
          <cell r="Y9046" t="str">
            <v>CYPRUS</v>
          </cell>
        </row>
        <row r="9047">
          <cell r="L9047" t="str">
            <v>Non-proportional</v>
          </cell>
          <cell r="S9047">
            <v>1442.4</v>
          </cell>
          <cell r="X9047" t="str">
            <v>Commissions - gross</v>
          </cell>
          <cell r="Y9047" t="str">
            <v>FRANCE</v>
          </cell>
        </row>
        <row r="9048">
          <cell r="L9048" t="str">
            <v>Non-proportional</v>
          </cell>
          <cell r="S9048">
            <v>-5.49</v>
          </cell>
          <cell r="X9048" t="str">
            <v>Commissions - gross</v>
          </cell>
          <cell r="Y9048" t="str">
            <v>JAPAN</v>
          </cell>
        </row>
        <row r="9049">
          <cell r="L9049" t="str">
            <v>Non-proportional</v>
          </cell>
          <cell r="S9049">
            <v>0.01</v>
          </cell>
          <cell r="X9049" t="str">
            <v>Commissions - gross</v>
          </cell>
          <cell r="Y9049" t="str">
            <v>JAPAN</v>
          </cell>
        </row>
        <row r="9050">
          <cell r="L9050" t="str">
            <v>Non-proportional</v>
          </cell>
          <cell r="S9050">
            <v>-9.42</v>
          </cell>
          <cell r="X9050" t="str">
            <v>Commissions - gross</v>
          </cell>
          <cell r="Y9050" t="str">
            <v>JAPAN</v>
          </cell>
        </row>
        <row r="9051">
          <cell r="L9051" t="str">
            <v>Non-proportional</v>
          </cell>
          <cell r="S9051">
            <v>498.75</v>
          </cell>
          <cell r="X9051" t="str">
            <v>Commissions - gross</v>
          </cell>
          <cell r="Y9051" t="str">
            <v>UNITED KINGDOM</v>
          </cell>
        </row>
        <row r="9052">
          <cell r="L9052" t="str">
            <v>Non-proportional</v>
          </cell>
          <cell r="S9052">
            <v>822.87</v>
          </cell>
          <cell r="X9052" t="str">
            <v>Commissions - gross</v>
          </cell>
          <cell r="Y9052" t="str">
            <v>CHILE</v>
          </cell>
        </row>
        <row r="9053">
          <cell r="L9053" t="str">
            <v>Non-proportional</v>
          </cell>
          <cell r="S9053">
            <v>390.62</v>
          </cell>
          <cell r="X9053" t="str">
            <v>Commissions - gross</v>
          </cell>
          <cell r="Y9053" t="str">
            <v>EUROPE</v>
          </cell>
        </row>
        <row r="9054">
          <cell r="L9054" t="str">
            <v>Non-proportional</v>
          </cell>
          <cell r="S9054">
            <v>195.75</v>
          </cell>
          <cell r="X9054" t="str">
            <v>Commissions - gross</v>
          </cell>
          <cell r="Y9054" t="str">
            <v>DOMINICAN REPUBLIC</v>
          </cell>
        </row>
        <row r="9055">
          <cell r="L9055" t="str">
            <v>Proportional</v>
          </cell>
          <cell r="S9055">
            <v>-14.19</v>
          </cell>
          <cell r="X9055" t="str">
            <v>Commissions - gross</v>
          </cell>
          <cell r="Y9055" t="str">
            <v>UNITED STATES</v>
          </cell>
        </row>
        <row r="9056">
          <cell r="L9056" t="str">
            <v>Non-proportional</v>
          </cell>
          <cell r="S9056">
            <v>889.5</v>
          </cell>
          <cell r="X9056" t="str">
            <v>Commissions - gross</v>
          </cell>
          <cell r="Y9056" t="str">
            <v>ISRAEL</v>
          </cell>
        </row>
        <row r="9057">
          <cell r="L9057" t="str">
            <v>Non-proportional</v>
          </cell>
          <cell r="S9057">
            <v>690.77</v>
          </cell>
          <cell r="X9057" t="str">
            <v>Commissions - gross</v>
          </cell>
          <cell r="Y9057" t="str">
            <v>GREECE</v>
          </cell>
        </row>
        <row r="9058">
          <cell r="L9058" t="str">
            <v>Non-proportional</v>
          </cell>
          <cell r="S9058">
            <v>22.98</v>
          </cell>
          <cell r="X9058" t="str">
            <v>Commissions - gross</v>
          </cell>
          <cell r="Y9058" t="str">
            <v>JAPAN</v>
          </cell>
        </row>
        <row r="9059">
          <cell r="L9059" t="str">
            <v>Non-proportional</v>
          </cell>
          <cell r="S9059">
            <v>444.98</v>
          </cell>
          <cell r="X9059" t="str">
            <v>Commissions - gross</v>
          </cell>
          <cell r="Y9059" t="str">
            <v>DOMINICAN REPUBLIC</v>
          </cell>
        </row>
        <row r="9060">
          <cell r="L9060" t="str">
            <v>Non-proportional</v>
          </cell>
          <cell r="S9060">
            <v>315.73</v>
          </cell>
          <cell r="X9060" t="str">
            <v>Commissions - gross</v>
          </cell>
          <cell r="Y9060" t="str">
            <v>ISRAEL</v>
          </cell>
        </row>
        <row r="9061">
          <cell r="L9061" t="str">
            <v>Non-proportional</v>
          </cell>
          <cell r="S9061">
            <v>-26.73</v>
          </cell>
          <cell r="X9061" t="str">
            <v>Commissions - gross</v>
          </cell>
          <cell r="Y9061" t="str">
            <v>COLOMBIA</v>
          </cell>
        </row>
        <row r="9062">
          <cell r="L9062" t="str">
            <v>Non-proportional</v>
          </cell>
          <cell r="S9062">
            <v>567.08000000000004</v>
          </cell>
          <cell r="X9062" t="str">
            <v>Commissions - gross</v>
          </cell>
          <cell r="Y9062" t="str">
            <v>JAPAN</v>
          </cell>
        </row>
        <row r="9063">
          <cell r="L9063" t="str">
            <v>Non-proportional</v>
          </cell>
          <cell r="S9063">
            <v>563.89</v>
          </cell>
          <cell r="X9063" t="str">
            <v>Commissions - gross</v>
          </cell>
          <cell r="Y9063" t="str">
            <v>PUERTO RICO</v>
          </cell>
        </row>
        <row r="9064">
          <cell r="L9064" t="str">
            <v>Non-proportional</v>
          </cell>
          <cell r="S9064">
            <v>294.58999999999997</v>
          </cell>
          <cell r="X9064" t="str">
            <v>Commissions - gross</v>
          </cell>
          <cell r="Y9064" t="str">
            <v>DOMINICAN REPUBLIC</v>
          </cell>
        </row>
        <row r="9065">
          <cell r="L9065" t="str">
            <v>Proportional</v>
          </cell>
          <cell r="S9065">
            <v>60.55</v>
          </cell>
          <cell r="X9065" t="str">
            <v>Commissions - gross</v>
          </cell>
          <cell r="Y9065" t="str">
            <v>SAUDI ARABIA</v>
          </cell>
        </row>
        <row r="9066">
          <cell r="L9066" t="str">
            <v>Non-proportional</v>
          </cell>
          <cell r="S9066">
            <v>1233.5</v>
          </cell>
          <cell r="X9066" t="str">
            <v>Commissions - gross</v>
          </cell>
          <cell r="Y9066" t="str">
            <v>UNITED KINGDOM</v>
          </cell>
        </row>
        <row r="9067">
          <cell r="L9067" t="str">
            <v>Non-proportional</v>
          </cell>
          <cell r="S9067">
            <v>194.29</v>
          </cell>
          <cell r="X9067" t="str">
            <v>Commissions - gross</v>
          </cell>
          <cell r="Y9067" t="str">
            <v>GUATEMALA</v>
          </cell>
        </row>
        <row r="9068">
          <cell r="L9068" t="str">
            <v>Non-proportional</v>
          </cell>
          <cell r="S9068">
            <v>407.81</v>
          </cell>
          <cell r="X9068" t="str">
            <v>Commissions - gross</v>
          </cell>
          <cell r="Y9068" t="str">
            <v>GREECE</v>
          </cell>
        </row>
        <row r="9069">
          <cell r="L9069" t="str">
            <v>Non-proportional</v>
          </cell>
          <cell r="S9069">
            <v>572.42999999999995</v>
          </cell>
          <cell r="X9069" t="str">
            <v>Commissions - gross</v>
          </cell>
          <cell r="Y9069" t="str">
            <v>CHILE</v>
          </cell>
        </row>
        <row r="9070">
          <cell r="L9070" t="str">
            <v>Non-proportional</v>
          </cell>
          <cell r="S9070">
            <v>580.41999999999996</v>
          </cell>
          <cell r="X9070" t="str">
            <v>Commissions - gross</v>
          </cell>
          <cell r="Y9070" t="str">
            <v>AUSTRALIA</v>
          </cell>
        </row>
        <row r="9071">
          <cell r="L9071" t="str">
            <v>Non-proportional</v>
          </cell>
          <cell r="S9071">
            <v>865.25</v>
          </cell>
          <cell r="X9071" t="str">
            <v>Commissions - gross</v>
          </cell>
          <cell r="Y9071" t="str">
            <v>AUSTRALIA</v>
          </cell>
        </row>
        <row r="9072">
          <cell r="L9072" t="str">
            <v>Non-proportional</v>
          </cell>
          <cell r="S9072">
            <v>-2.33</v>
          </cell>
          <cell r="X9072" t="str">
            <v>Commissions - gross</v>
          </cell>
          <cell r="Y9072" t="str">
            <v>JAPAN</v>
          </cell>
        </row>
        <row r="9073">
          <cell r="L9073" t="str">
            <v>Non-proportional</v>
          </cell>
          <cell r="S9073">
            <v>309.12</v>
          </cell>
          <cell r="X9073" t="str">
            <v>Commissions - gross</v>
          </cell>
          <cell r="Y9073" t="str">
            <v>ISRAEL</v>
          </cell>
        </row>
        <row r="9074">
          <cell r="L9074" t="str">
            <v>Non-proportional</v>
          </cell>
          <cell r="S9074">
            <v>1574</v>
          </cell>
          <cell r="X9074" t="str">
            <v>Commissions - gross</v>
          </cell>
          <cell r="Y9074" t="str">
            <v>UNITED KINGDOM</v>
          </cell>
        </row>
        <row r="9075">
          <cell r="L9075" t="str">
            <v>Non-proportional</v>
          </cell>
          <cell r="S9075">
            <v>-0.74</v>
          </cell>
          <cell r="X9075" t="str">
            <v>Commissions - gross</v>
          </cell>
          <cell r="Y9075" t="str">
            <v>JAPAN</v>
          </cell>
        </row>
        <row r="9076">
          <cell r="L9076" t="str">
            <v>Proportional</v>
          </cell>
          <cell r="S9076">
            <v>9.99</v>
          </cell>
          <cell r="X9076" t="str">
            <v>Commissions - gross</v>
          </cell>
          <cell r="Y9076" t="str">
            <v>UNITED STATES</v>
          </cell>
        </row>
        <row r="9077">
          <cell r="L9077" t="str">
            <v>Non-proportional</v>
          </cell>
          <cell r="S9077">
            <v>-3.48</v>
          </cell>
          <cell r="X9077" t="str">
            <v>Commissions - gross</v>
          </cell>
          <cell r="Y9077" t="str">
            <v>JAPAN</v>
          </cell>
        </row>
        <row r="9078">
          <cell r="L9078" t="str">
            <v>Non-proportional</v>
          </cell>
          <cell r="S9078">
            <v>389.34</v>
          </cell>
          <cell r="X9078" t="str">
            <v>Commissions - gross</v>
          </cell>
          <cell r="Y9078" t="str">
            <v>COLOMBIA</v>
          </cell>
        </row>
        <row r="9079">
          <cell r="L9079" t="str">
            <v>Non-proportional</v>
          </cell>
          <cell r="S9079">
            <v>1433.12</v>
          </cell>
          <cell r="X9079" t="str">
            <v>Commissions - gross</v>
          </cell>
          <cell r="Y9079" t="str">
            <v>FRANCE</v>
          </cell>
        </row>
        <row r="9080">
          <cell r="L9080" t="str">
            <v>Non-proportional</v>
          </cell>
          <cell r="S9080">
            <v>6.16</v>
          </cell>
          <cell r="X9080" t="str">
            <v>Commissions - gross</v>
          </cell>
          <cell r="Y9080" t="str">
            <v>ISRAEL</v>
          </cell>
        </row>
        <row r="9081">
          <cell r="L9081" t="str">
            <v>Non-proportional</v>
          </cell>
          <cell r="S9081">
            <v>1097.48</v>
          </cell>
          <cell r="X9081" t="str">
            <v>Commissions - gross</v>
          </cell>
          <cell r="Y9081" t="str">
            <v>GERMANY</v>
          </cell>
        </row>
        <row r="9082">
          <cell r="L9082" t="str">
            <v>Non-proportional</v>
          </cell>
          <cell r="S9082">
            <v>0.66</v>
          </cell>
          <cell r="X9082" t="str">
            <v>Commissions - gross</v>
          </cell>
          <cell r="Y9082" t="str">
            <v>COSTA RICA</v>
          </cell>
        </row>
        <row r="9083">
          <cell r="L9083" t="str">
            <v>Non-proportional</v>
          </cell>
          <cell r="S9083">
            <v>835.75</v>
          </cell>
          <cell r="X9083" t="str">
            <v>Commissions - gross</v>
          </cell>
          <cell r="Y9083" t="str">
            <v>AUSTRALIA</v>
          </cell>
        </row>
        <row r="9084">
          <cell r="L9084" t="str">
            <v>Non-proportional</v>
          </cell>
          <cell r="S9084">
            <v>396.01</v>
          </cell>
          <cell r="X9084" t="str">
            <v>Commissions - gross</v>
          </cell>
          <cell r="Y9084" t="str">
            <v>COLOMBIA</v>
          </cell>
        </row>
        <row r="9085">
          <cell r="L9085" t="str">
            <v>Non-proportional</v>
          </cell>
          <cell r="S9085">
            <v>286.20999999999998</v>
          </cell>
          <cell r="X9085" t="str">
            <v>Commissions - gross</v>
          </cell>
          <cell r="Y9085" t="str">
            <v>CHILE</v>
          </cell>
        </row>
        <row r="9086">
          <cell r="L9086" t="str">
            <v>Non-proportional</v>
          </cell>
          <cell r="S9086">
            <v>89.89</v>
          </cell>
          <cell r="X9086" t="str">
            <v>Commissions - gross</v>
          </cell>
          <cell r="Y9086" t="str">
            <v>FRANCE</v>
          </cell>
        </row>
        <row r="9087">
          <cell r="L9087" t="str">
            <v>Non-proportional</v>
          </cell>
          <cell r="S9087">
            <v>4.43</v>
          </cell>
          <cell r="X9087" t="str">
            <v>Commissions - gross</v>
          </cell>
          <cell r="Y9087" t="str">
            <v>ISRAEL</v>
          </cell>
        </row>
        <row r="9088">
          <cell r="L9088" t="str">
            <v>Non-proportional</v>
          </cell>
          <cell r="S9088">
            <v>1186.32</v>
          </cell>
          <cell r="X9088" t="str">
            <v>Commissions - gross</v>
          </cell>
          <cell r="Y9088" t="str">
            <v>EUROPE</v>
          </cell>
        </row>
        <row r="9089">
          <cell r="L9089" t="str">
            <v>Non-proportional</v>
          </cell>
          <cell r="S9089">
            <v>80</v>
          </cell>
          <cell r="X9089" t="str">
            <v>Commissions - gross</v>
          </cell>
          <cell r="Y9089" t="str">
            <v>ITALY</v>
          </cell>
        </row>
        <row r="9090">
          <cell r="L9090" t="str">
            <v>Non-proportional</v>
          </cell>
          <cell r="S9090">
            <v>637.45000000000005</v>
          </cell>
          <cell r="X9090" t="str">
            <v>Commissions - gross</v>
          </cell>
          <cell r="Y9090" t="str">
            <v>NEW ZEALAND</v>
          </cell>
        </row>
        <row r="9091">
          <cell r="L9091" t="str">
            <v>Non-proportional</v>
          </cell>
          <cell r="S9091">
            <v>3.01</v>
          </cell>
          <cell r="X9091" t="str">
            <v>Commissions - gross</v>
          </cell>
          <cell r="Y9091" t="str">
            <v>BRAZIL</v>
          </cell>
        </row>
        <row r="9092">
          <cell r="L9092" t="str">
            <v>Non-proportional</v>
          </cell>
          <cell r="S9092">
            <v>125.74</v>
          </cell>
          <cell r="X9092" t="str">
            <v>Commissions - gross</v>
          </cell>
          <cell r="Y9092" t="str">
            <v>DOMINICAN REPUBLIC</v>
          </cell>
        </row>
        <row r="9093">
          <cell r="L9093" t="str">
            <v>Non-proportional</v>
          </cell>
          <cell r="S9093">
            <v>500.87</v>
          </cell>
          <cell r="X9093" t="str">
            <v>Commissions - gross</v>
          </cell>
          <cell r="Y9093" t="str">
            <v>CHILE</v>
          </cell>
        </row>
        <row r="9094">
          <cell r="L9094" t="str">
            <v>Non-proportional</v>
          </cell>
          <cell r="S9094">
            <v>5304.06</v>
          </cell>
          <cell r="X9094" t="str">
            <v>Commissions - gross</v>
          </cell>
          <cell r="Y9094" t="str">
            <v>UNITED KINGDOM</v>
          </cell>
        </row>
        <row r="9095">
          <cell r="L9095" t="str">
            <v>Non-proportional</v>
          </cell>
          <cell r="S9095">
            <v>-5.7</v>
          </cell>
          <cell r="X9095" t="str">
            <v>Commissions - gross</v>
          </cell>
          <cell r="Y9095" t="str">
            <v>JAPAN</v>
          </cell>
        </row>
        <row r="9096">
          <cell r="L9096" t="str">
            <v>Non-proportional</v>
          </cell>
          <cell r="S9096">
            <v>-276.55</v>
          </cell>
          <cell r="X9096" t="str">
            <v>Commissions - gross</v>
          </cell>
          <cell r="Y9096" t="str">
            <v>NEW ZEALAND</v>
          </cell>
        </row>
        <row r="9097">
          <cell r="L9097" t="str">
            <v>Non-proportional</v>
          </cell>
          <cell r="S9097">
            <v>1000</v>
          </cell>
          <cell r="X9097" t="str">
            <v>Commissions - gross</v>
          </cell>
          <cell r="Y9097" t="str">
            <v>ITALY</v>
          </cell>
        </row>
        <row r="9098">
          <cell r="L9098" t="str">
            <v>Non-proportional</v>
          </cell>
          <cell r="S9098">
            <v>494.91</v>
          </cell>
          <cell r="X9098" t="str">
            <v>Commissions - gross</v>
          </cell>
          <cell r="Y9098" t="str">
            <v>NETHERLANDS</v>
          </cell>
        </row>
        <row r="9099">
          <cell r="L9099" t="str">
            <v>Non-proportional</v>
          </cell>
          <cell r="S9099">
            <v>510.33</v>
          </cell>
          <cell r="X9099" t="str">
            <v>Commissions - gross</v>
          </cell>
          <cell r="Y9099" t="str">
            <v>DOMINICAN REPUBLIC</v>
          </cell>
        </row>
        <row r="9100">
          <cell r="L9100" t="str">
            <v>Non-proportional</v>
          </cell>
          <cell r="S9100">
            <v>2225.73</v>
          </cell>
          <cell r="X9100" t="str">
            <v>Commissions - gross</v>
          </cell>
          <cell r="Y9100" t="str">
            <v>UNITED KINGDOM</v>
          </cell>
        </row>
        <row r="9101">
          <cell r="L9101" t="str">
            <v>Proportional</v>
          </cell>
          <cell r="S9101">
            <v>143.79</v>
          </cell>
          <cell r="X9101" t="str">
            <v>Commissions - gross</v>
          </cell>
          <cell r="Y9101" t="str">
            <v>CANADA</v>
          </cell>
        </row>
        <row r="9102">
          <cell r="L9102" t="str">
            <v>Non-proportional</v>
          </cell>
          <cell r="S9102">
            <v>104.48</v>
          </cell>
          <cell r="X9102" t="str">
            <v>Commissions - gross</v>
          </cell>
          <cell r="Y9102" t="str">
            <v>CYPRUS</v>
          </cell>
        </row>
        <row r="9103">
          <cell r="L9103" t="str">
            <v>Non-proportional</v>
          </cell>
          <cell r="S9103">
            <v>159.97999999999999</v>
          </cell>
          <cell r="X9103" t="str">
            <v>Commissions - gross</v>
          </cell>
          <cell r="Y9103" t="str">
            <v>COSTA RICA</v>
          </cell>
        </row>
        <row r="9104">
          <cell r="L9104" t="str">
            <v>Non-proportional</v>
          </cell>
          <cell r="S9104">
            <v>208.25</v>
          </cell>
          <cell r="X9104" t="str">
            <v>Commissions - gross</v>
          </cell>
          <cell r="Y9104" t="str">
            <v>UNITED KINGDOM</v>
          </cell>
        </row>
        <row r="9105">
          <cell r="L9105" t="str">
            <v>Non-proportional</v>
          </cell>
          <cell r="S9105">
            <v>338.02</v>
          </cell>
          <cell r="X9105" t="str">
            <v>Commissions - gross</v>
          </cell>
          <cell r="Y9105" t="str">
            <v>UNITED KINGDOM</v>
          </cell>
        </row>
        <row r="9106">
          <cell r="L9106" t="str">
            <v>Non-proportional</v>
          </cell>
          <cell r="S9106">
            <v>1793.46</v>
          </cell>
          <cell r="X9106" t="str">
            <v>Commissions - gross</v>
          </cell>
          <cell r="Y9106" t="str">
            <v>CHINA</v>
          </cell>
        </row>
        <row r="9107">
          <cell r="L9107" t="str">
            <v>Non-proportional</v>
          </cell>
          <cell r="S9107">
            <v>117864.07</v>
          </cell>
          <cell r="X9107" t="str">
            <v>Commissions - gross</v>
          </cell>
          <cell r="Y9107" t="str">
            <v>UNITED KINGDOM</v>
          </cell>
        </row>
        <row r="9108">
          <cell r="L9108" t="str">
            <v>Non-proportional</v>
          </cell>
          <cell r="S9108">
            <v>404.35</v>
          </cell>
          <cell r="X9108" t="str">
            <v>Commissions - gross</v>
          </cell>
          <cell r="Y9108" t="str">
            <v>DOMINICAN REPUBLIC</v>
          </cell>
        </row>
        <row r="9109">
          <cell r="L9109" t="str">
            <v>Non-proportional</v>
          </cell>
          <cell r="S9109">
            <v>-972.83</v>
          </cell>
          <cell r="X9109" t="str">
            <v>Commissions - gross</v>
          </cell>
          <cell r="Y9109" t="str">
            <v>UNITED KINGDOM</v>
          </cell>
        </row>
        <row r="9110">
          <cell r="L9110" t="str">
            <v>Non-proportional</v>
          </cell>
          <cell r="S9110">
            <v>250.02</v>
          </cell>
          <cell r="X9110" t="str">
            <v>Commissions - gross</v>
          </cell>
          <cell r="Y9110" t="str">
            <v>ISRAEL</v>
          </cell>
        </row>
        <row r="9111">
          <cell r="L9111" t="str">
            <v>Non-proportional</v>
          </cell>
          <cell r="S9111">
            <v>549.99</v>
          </cell>
          <cell r="X9111" t="str">
            <v>Commissions - gross</v>
          </cell>
          <cell r="Y9111" t="str">
            <v>NEW ZEALAND</v>
          </cell>
        </row>
        <row r="9112">
          <cell r="L9112" t="str">
            <v>Non-proportional</v>
          </cell>
          <cell r="S9112">
            <v>-6.73</v>
          </cell>
          <cell r="X9112" t="str">
            <v>Commissions - gross</v>
          </cell>
          <cell r="Y9112" t="str">
            <v>COLOMBIA</v>
          </cell>
        </row>
        <row r="9113">
          <cell r="L9113" t="str">
            <v>Non-proportional</v>
          </cell>
          <cell r="S9113">
            <v>345.14</v>
          </cell>
          <cell r="X9113" t="str">
            <v>Commissions - gross</v>
          </cell>
          <cell r="Y9113" t="str">
            <v>BRAZIL</v>
          </cell>
        </row>
        <row r="9114">
          <cell r="L9114" t="str">
            <v>Non-proportional</v>
          </cell>
          <cell r="S9114">
            <v>218.75</v>
          </cell>
          <cell r="X9114" t="str">
            <v>Commissions - gross</v>
          </cell>
          <cell r="Y9114" t="str">
            <v>GERMANY</v>
          </cell>
        </row>
        <row r="9115">
          <cell r="L9115" t="str">
            <v>Non-proportional</v>
          </cell>
          <cell r="S9115">
            <v>194.65</v>
          </cell>
          <cell r="X9115" t="str">
            <v>Commissions - gross</v>
          </cell>
          <cell r="Y9115" t="str">
            <v>REPUBLIC OF IRELAND</v>
          </cell>
        </row>
        <row r="9116">
          <cell r="L9116" t="str">
            <v>Non-proportional</v>
          </cell>
          <cell r="S9116">
            <v>2475</v>
          </cell>
          <cell r="X9116" t="str">
            <v>Commissions - gross</v>
          </cell>
          <cell r="Y9116" t="str">
            <v>GREECE</v>
          </cell>
        </row>
        <row r="9117">
          <cell r="L9117" t="str">
            <v>Non-proportional</v>
          </cell>
          <cell r="S9117">
            <v>466.65</v>
          </cell>
          <cell r="X9117" t="str">
            <v>Commissions - gross</v>
          </cell>
          <cell r="Y9117" t="str">
            <v>TURKEY</v>
          </cell>
        </row>
        <row r="9118">
          <cell r="L9118" t="str">
            <v>Non-proportional</v>
          </cell>
          <cell r="S9118">
            <v>619.66999999999996</v>
          </cell>
          <cell r="X9118" t="str">
            <v>Commissions - gross</v>
          </cell>
          <cell r="Y9118" t="str">
            <v>MEXICO</v>
          </cell>
        </row>
        <row r="9119">
          <cell r="L9119" t="str">
            <v>Non-proportional</v>
          </cell>
          <cell r="S9119">
            <v>324.48</v>
          </cell>
          <cell r="X9119" t="str">
            <v>Commissions - gross</v>
          </cell>
          <cell r="Y9119" t="str">
            <v>FRANCE</v>
          </cell>
        </row>
        <row r="9120">
          <cell r="L9120" t="str">
            <v>Non-proportional</v>
          </cell>
          <cell r="S9120">
            <v>1097.48</v>
          </cell>
          <cell r="X9120" t="str">
            <v>Commissions - gross</v>
          </cell>
          <cell r="Y9120" t="str">
            <v>GERMANY</v>
          </cell>
        </row>
        <row r="9121">
          <cell r="L9121" t="str">
            <v>Proportional</v>
          </cell>
          <cell r="S9121">
            <v>285.55</v>
          </cell>
          <cell r="X9121" t="str">
            <v>Commissions - gross</v>
          </cell>
          <cell r="Y9121" t="str">
            <v>ITALY</v>
          </cell>
        </row>
        <row r="9122">
          <cell r="L9122" t="str">
            <v>Non-proportional</v>
          </cell>
          <cell r="S9122">
            <v>94.56</v>
          </cell>
          <cell r="X9122" t="str">
            <v>Commissions - gross</v>
          </cell>
          <cell r="Y9122" t="str">
            <v>MEXICO</v>
          </cell>
        </row>
        <row r="9123">
          <cell r="L9123" t="str">
            <v>Non-proportional</v>
          </cell>
          <cell r="S9123">
            <v>312.69</v>
          </cell>
          <cell r="X9123" t="str">
            <v>Commissions - gross</v>
          </cell>
          <cell r="Y9123" t="str">
            <v>FRANCE</v>
          </cell>
        </row>
        <row r="9124">
          <cell r="L9124" t="str">
            <v>Non-proportional</v>
          </cell>
          <cell r="S9124">
            <v>184.66</v>
          </cell>
          <cell r="X9124" t="str">
            <v>Commissions - gross</v>
          </cell>
          <cell r="Y9124" t="str">
            <v>ISRAEL</v>
          </cell>
        </row>
        <row r="9125">
          <cell r="L9125" t="str">
            <v>Non-proportional</v>
          </cell>
          <cell r="S9125">
            <v>1307.3</v>
          </cell>
          <cell r="X9125" t="str">
            <v>Commissions - gross</v>
          </cell>
          <cell r="Y9125" t="str">
            <v>FRANCE</v>
          </cell>
        </row>
        <row r="9126">
          <cell r="L9126" t="str">
            <v>Non-proportional</v>
          </cell>
          <cell r="S9126">
            <v>426.18</v>
          </cell>
          <cell r="X9126" t="str">
            <v>Commissions - gross</v>
          </cell>
          <cell r="Y9126" t="str">
            <v>UNITED KINGDOM</v>
          </cell>
        </row>
        <row r="9127">
          <cell r="L9127" t="str">
            <v>Non-proportional</v>
          </cell>
          <cell r="S9127">
            <v>2178.48</v>
          </cell>
          <cell r="X9127" t="str">
            <v>Commissions - gross</v>
          </cell>
          <cell r="Y9127" t="str">
            <v>UNITED KINGDOM</v>
          </cell>
        </row>
        <row r="9128">
          <cell r="L9128" t="str">
            <v>Non-proportional</v>
          </cell>
          <cell r="S9128">
            <v>450.98</v>
          </cell>
          <cell r="X9128" t="str">
            <v>Commissions - gross</v>
          </cell>
          <cell r="Y9128" t="str">
            <v>FRANCE</v>
          </cell>
        </row>
        <row r="9129">
          <cell r="L9129" t="str">
            <v>Non-proportional</v>
          </cell>
          <cell r="S9129">
            <v>284.08</v>
          </cell>
          <cell r="X9129" t="str">
            <v>Commissions - gross</v>
          </cell>
          <cell r="Y9129" t="str">
            <v>EUROPE</v>
          </cell>
        </row>
        <row r="9130">
          <cell r="L9130" t="str">
            <v>Non-proportional</v>
          </cell>
          <cell r="S9130">
            <v>101.55</v>
          </cell>
          <cell r="X9130" t="str">
            <v>Commissions - gross</v>
          </cell>
          <cell r="Y9130" t="str">
            <v>JAPAN</v>
          </cell>
        </row>
        <row r="9131">
          <cell r="L9131" t="str">
            <v>Non-proportional</v>
          </cell>
          <cell r="S9131">
            <v>-26.58</v>
          </cell>
          <cell r="X9131" t="str">
            <v>Commissions - gross</v>
          </cell>
          <cell r="Y9131" t="str">
            <v>NEW ZEALAND</v>
          </cell>
        </row>
        <row r="9132">
          <cell r="L9132" t="str">
            <v>Non-proportional</v>
          </cell>
          <cell r="S9132">
            <v>177.75</v>
          </cell>
          <cell r="X9132" t="str">
            <v>Commissions - gross</v>
          </cell>
          <cell r="Y9132" t="str">
            <v>GREECE</v>
          </cell>
        </row>
        <row r="9133">
          <cell r="L9133" t="str">
            <v>Non-proportional</v>
          </cell>
          <cell r="S9133">
            <v>758.65</v>
          </cell>
          <cell r="X9133" t="str">
            <v>Commissions - gross</v>
          </cell>
          <cell r="Y9133" t="str">
            <v>FRANCE</v>
          </cell>
        </row>
        <row r="9134">
          <cell r="L9134" t="str">
            <v>Non-proportional</v>
          </cell>
          <cell r="S9134">
            <v>668.33</v>
          </cell>
          <cell r="X9134" t="str">
            <v>Commissions - gross</v>
          </cell>
          <cell r="Y9134" t="str">
            <v>FRANCE</v>
          </cell>
        </row>
        <row r="9135">
          <cell r="L9135" t="str">
            <v>Non-proportional</v>
          </cell>
          <cell r="S9135">
            <v>40468.35</v>
          </cell>
          <cell r="X9135" t="str">
            <v>Commissions - gross</v>
          </cell>
          <cell r="Y9135" t="str">
            <v>UNITED KINGDOM</v>
          </cell>
        </row>
        <row r="9136">
          <cell r="L9136" t="str">
            <v>Non-proportional</v>
          </cell>
          <cell r="S9136">
            <v>226.14</v>
          </cell>
          <cell r="X9136" t="str">
            <v>Commissions - gross</v>
          </cell>
          <cell r="Y9136" t="str">
            <v>COLOMBIA</v>
          </cell>
        </row>
        <row r="9137">
          <cell r="L9137" t="str">
            <v>Non-proportional</v>
          </cell>
          <cell r="S9137">
            <v>938.33</v>
          </cell>
          <cell r="X9137" t="str">
            <v>Commissions - gross</v>
          </cell>
          <cell r="Y9137" t="str">
            <v>ECUADOR</v>
          </cell>
        </row>
        <row r="9138">
          <cell r="L9138" t="str">
            <v>Non-proportional</v>
          </cell>
          <cell r="S9138">
            <v>927.3</v>
          </cell>
          <cell r="X9138" t="str">
            <v>Commissions - gross</v>
          </cell>
          <cell r="Y9138" t="str">
            <v>CHINA</v>
          </cell>
        </row>
        <row r="9139">
          <cell r="L9139" t="str">
            <v>Non-proportional</v>
          </cell>
          <cell r="S9139">
            <v>235.75</v>
          </cell>
          <cell r="X9139" t="str">
            <v>Commissions - gross</v>
          </cell>
          <cell r="Y9139" t="str">
            <v>GERMANY</v>
          </cell>
        </row>
        <row r="9140">
          <cell r="L9140" t="str">
            <v>Non-proportional</v>
          </cell>
          <cell r="S9140">
            <v>80.41</v>
          </cell>
          <cell r="X9140" t="str">
            <v>Commissions - gross</v>
          </cell>
          <cell r="Y9140" t="str">
            <v>PERU</v>
          </cell>
        </row>
        <row r="9141">
          <cell r="L9141" t="str">
            <v>Non-proportional</v>
          </cell>
          <cell r="S9141">
            <v>13878.13</v>
          </cell>
          <cell r="X9141" t="str">
            <v>Commissions - gross</v>
          </cell>
          <cell r="Y9141" t="str">
            <v>UNITED KINGDOM</v>
          </cell>
        </row>
        <row r="9142">
          <cell r="L9142" t="str">
            <v>Non-proportional</v>
          </cell>
          <cell r="S9142">
            <v>86</v>
          </cell>
          <cell r="X9142" t="str">
            <v>Commissions - gross</v>
          </cell>
          <cell r="Y9142" t="str">
            <v>GREECE</v>
          </cell>
        </row>
        <row r="9143">
          <cell r="L9143" t="str">
            <v>Proportional</v>
          </cell>
          <cell r="S9143">
            <v>-448311.52</v>
          </cell>
          <cell r="X9143" t="str">
            <v>Commissions - gross</v>
          </cell>
          <cell r="Y9143" t="str">
            <v>HONG KONG</v>
          </cell>
        </row>
        <row r="9144">
          <cell r="L9144" t="str">
            <v>Non-proportional</v>
          </cell>
          <cell r="S9144">
            <v>69.63</v>
          </cell>
          <cell r="X9144" t="str">
            <v>Commissions - gross</v>
          </cell>
          <cell r="Y9144" t="str">
            <v>ECUADOR</v>
          </cell>
        </row>
        <row r="9145">
          <cell r="L9145" t="str">
            <v>Non-proportional</v>
          </cell>
          <cell r="S9145">
            <v>665.89</v>
          </cell>
          <cell r="X9145" t="str">
            <v>Commissions - gross</v>
          </cell>
          <cell r="Y9145" t="str">
            <v>CYPRUS</v>
          </cell>
        </row>
        <row r="9146">
          <cell r="L9146" t="str">
            <v>Non-proportional</v>
          </cell>
          <cell r="S9146">
            <v>576.12</v>
          </cell>
          <cell r="X9146" t="str">
            <v>Commissions - gross</v>
          </cell>
          <cell r="Y9146" t="str">
            <v>ISRAEL</v>
          </cell>
        </row>
        <row r="9147">
          <cell r="L9147" t="str">
            <v>Non-proportional</v>
          </cell>
          <cell r="S9147">
            <v>754.85</v>
          </cell>
          <cell r="X9147" t="str">
            <v>Commissions - gross</v>
          </cell>
          <cell r="Y9147" t="str">
            <v>PUERTO RICO</v>
          </cell>
        </row>
        <row r="9148">
          <cell r="L9148" t="str">
            <v>Non-proportional</v>
          </cell>
          <cell r="S9148">
            <v>131.30000000000001</v>
          </cell>
          <cell r="X9148" t="str">
            <v>Commissions - gross</v>
          </cell>
          <cell r="Y9148" t="str">
            <v>DOMINICAN REPUBLIC</v>
          </cell>
        </row>
        <row r="9149">
          <cell r="L9149" t="str">
            <v>Non-proportional</v>
          </cell>
          <cell r="S9149">
            <v>395.38</v>
          </cell>
          <cell r="X9149" t="str">
            <v>Commissions - gross</v>
          </cell>
          <cell r="Y9149" t="str">
            <v>COLOMBIA</v>
          </cell>
        </row>
        <row r="9150">
          <cell r="L9150" t="str">
            <v>Proportional</v>
          </cell>
          <cell r="S9150">
            <v>-461248.69</v>
          </cell>
          <cell r="X9150" t="str">
            <v>Commissions - gross</v>
          </cell>
          <cell r="Y9150" t="str">
            <v>HONG KONG</v>
          </cell>
        </row>
        <row r="9151">
          <cell r="L9151" t="str">
            <v>Non-proportional</v>
          </cell>
          <cell r="S9151">
            <v>71.55</v>
          </cell>
          <cell r="X9151" t="str">
            <v>Commissions - gross</v>
          </cell>
          <cell r="Y9151" t="str">
            <v>CHILE</v>
          </cell>
        </row>
        <row r="9152">
          <cell r="L9152" t="str">
            <v>Non-proportional</v>
          </cell>
          <cell r="S9152">
            <v>0</v>
          </cell>
          <cell r="X9152" t="str">
            <v>Commissions - gross</v>
          </cell>
          <cell r="Y9152" t="str">
            <v>DOMINICAN REPUBLIC</v>
          </cell>
        </row>
        <row r="9153">
          <cell r="L9153" t="str">
            <v>Non-proportional</v>
          </cell>
          <cell r="S9153">
            <v>2815.44</v>
          </cell>
          <cell r="X9153" t="str">
            <v>Commissions - gross</v>
          </cell>
          <cell r="Y9153" t="str">
            <v>TURKEY</v>
          </cell>
        </row>
        <row r="9154">
          <cell r="L9154" t="str">
            <v>Non-proportional</v>
          </cell>
          <cell r="S9154">
            <v>458.01</v>
          </cell>
          <cell r="X9154" t="str">
            <v>Commissions - gross</v>
          </cell>
          <cell r="Y9154" t="str">
            <v>PERU</v>
          </cell>
        </row>
        <row r="9155">
          <cell r="L9155" t="str">
            <v>Non-proportional</v>
          </cell>
          <cell r="S9155">
            <v>308.85000000000002</v>
          </cell>
          <cell r="X9155" t="str">
            <v>Commissions - gross</v>
          </cell>
          <cell r="Y9155" t="str">
            <v>DOMINICAN REPUBLIC</v>
          </cell>
        </row>
        <row r="9156">
          <cell r="L9156" t="str">
            <v>Proportional</v>
          </cell>
          <cell r="S9156">
            <v>10.42</v>
          </cell>
          <cell r="X9156" t="str">
            <v>Commissions - gross</v>
          </cell>
          <cell r="Y9156" t="str">
            <v>UNITED STATES</v>
          </cell>
        </row>
        <row r="9157">
          <cell r="L9157" t="str">
            <v>Non-proportional</v>
          </cell>
          <cell r="S9157">
            <v>-0.23</v>
          </cell>
          <cell r="X9157" t="str">
            <v>Commissions - gross</v>
          </cell>
          <cell r="Y9157" t="str">
            <v>GUATEMALA</v>
          </cell>
        </row>
        <row r="9158">
          <cell r="L9158" t="str">
            <v>Non-proportional</v>
          </cell>
          <cell r="S9158">
            <v>1266.46</v>
          </cell>
          <cell r="X9158" t="str">
            <v>Commissions - gross</v>
          </cell>
          <cell r="Y9158" t="str">
            <v>FRANCE</v>
          </cell>
        </row>
        <row r="9159">
          <cell r="L9159" t="str">
            <v>Non-proportional</v>
          </cell>
          <cell r="S9159">
            <v>1923.15</v>
          </cell>
          <cell r="X9159" t="str">
            <v>Commissions - gross</v>
          </cell>
          <cell r="Y9159" t="str">
            <v>FRANCE</v>
          </cell>
        </row>
        <row r="9160">
          <cell r="L9160" t="str">
            <v>Non-proportional</v>
          </cell>
          <cell r="S9160">
            <v>316.89999999999998</v>
          </cell>
          <cell r="X9160" t="str">
            <v>Commissions - gross</v>
          </cell>
          <cell r="Y9160" t="str">
            <v>UNITED KINGDOM</v>
          </cell>
        </row>
        <row r="9161">
          <cell r="L9161" t="str">
            <v>Proportional</v>
          </cell>
          <cell r="S9161">
            <v>1107.72</v>
          </cell>
          <cell r="X9161" t="str">
            <v>Commissions - gross</v>
          </cell>
          <cell r="Y9161" t="str">
            <v>MEXICO</v>
          </cell>
        </row>
        <row r="9162">
          <cell r="L9162" t="str">
            <v>Non-proportional</v>
          </cell>
          <cell r="S9162">
            <v>2615.37</v>
          </cell>
          <cell r="X9162" t="str">
            <v>Commissions - gross</v>
          </cell>
          <cell r="Y9162" t="str">
            <v>UNITED KINGDOM</v>
          </cell>
        </row>
        <row r="9163">
          <cell r="L9163" t="str">
            <v>Non-proportional</v>
          </cell>
          <cell r="S9163">
            <v>156.24</v>
          </cell>
          <cell r="X9163" t="str">
            <v>Commissions - gross</v>
          </cell>
          <cell r="Y9163" t="str">
            <v>FRANCE</v>
          </cell>
        </row>
        <row r="9164">
          <cell r="L9164" t="str">
            <v>Non-proportional</v>
          </cell>
          <cell r="S9164">
            <v>7530.86</v>
          </cell>
          <cell r="X9164" t="str">
            <v>Commissions - gross</v>
          </cell>
          <cell r="Y9164" t="str">
            <v>UNITED KINGDOM</v>
          </cell>
        </row>
        <row r="9165">
          <cell r="L9165" t="str">
            <v>Non-proportional</v>
          </cell>
          <cell r="S9165">
            <v>-10.41</v>
          </cell>
          <cell r="X9165" t="str">
            <v>Commissions - gross</v>
          </cell>
          <cell r="Y9165" t="str">
            <v>DOMINICAN REPUBLIC</v>
          </cell>
        </row>
        <row r="9166">
          <cell r="L9166" t="str">
            <v>Non-proportional</v>
          </cell>
          <cell r="S9166">
            <v>368.57</v>
          </cell>
          <cell r="X9166" t="str">
            <v>Commissions - gross</v>
          </cell>
          <cell r="Y9166" t="str">
            <v>THAILAND</v>
          </cell>
        </row>
        <row r="9167">
          <cell r="L9167" t="str">
            <v>Non-proportional</v>
          </cell>
          <cell r="S9167">
            <v>-0.59</v>
          </cell>
          <cell r="X9167" t="str">
            <v>Commissions - gross</v>
          </cell>
          <cell r="Y9167" t="str">
            <v>JAPAN</v>
          </cell>
        </row>
        <row r="9168">
          <cell r="L9168" t="str">
            <v>Non-proportional</v>
          </cell>
          <cell r="S9168">
            <v>769</v>
          </cell>
          <cell r="X9168" t="str">
            <v>Commissions - gross</v>
          </cell>
          <cell r="Y9168" t="str">
            <v>MEXICO</v>
          </cell>
        </row>
        <row r="9169">
          <cell r="L9169" t="str">
            <v>Non-proportional</v>
          </cell>
          <cell r="S9169">
            <v>350.81</v>
          </cell>
          <cell r="X9169" t="str">
            <v>Commissions - gross</v>
          </cell>
          <cell r="Y9169" t="str">
            <v>ISRAEL</v>
          </cell>
        </row>
        <row r="9170">
          <cell r="L9170" t="str">
            <v>Proportional</v>
          </cell>
          <cell r="S9170">
            <v>259.74</v>
          </cell>
          <cell r="X9170" t="str">
            <v>Commissions - gross</v>
          </cell>
          <cell r="Y9170" t="str">
            <v>EUROPE</v>
          </cell>
        </row>
        <row r="9171">
          <cell r="L9171" t="str">
            <v>Non-proportional</v>
          </cell>
          <cell r="S9171">
            <v>0</v>
          </cell>
          <cell r="X9171" t="str">
            <v>Commissions - gross</v>
          </cell>
          <cell r="Y9171" t="str">
            <v>DOMINICAN REPUBLIC</v>
          </cell>
        </row>
        <row r="9172">
          <cell r="L9172" t="str">
            <v>Proportional</v>
          </cell>
          <cell r="S9172">
            <v>0.39</v>
          </cell>
          <cell r="X9172" t="str">
            <v>Commissions - gross</v>
          </cell>
          <cell r="Y9172" t="str">
            <v>UNITED STATES</v>
          </cell>
        </row>
        <row r="9173">
          <cell r="L9173" t="str">
            <v>Non-proportional</v>
          </cell>
          <cell r="S9173">
            <v>77.150000000000006</v>
          </cell>
          <cell r="X9173" t="str">
            <v>Commissions - gross</v>
          </cell>
          <cell r="Y9173" t="str">
            <v>GERMANY</v>
          </cell>
        </row>
        <row r="9174">
          <cell r="L9174" t="str">
            <v>Non-proportional</v>
          </cell>
          <cell r="S9174">
            <v>572.29999999999995</v>
          </cell>
          <cell r="X9174" t="str">
            <v>Commissions - gross</v>
          </cell>
          <cell r="Y9174" t="str">
            <v>THAILAND</v>
          </cell>
        </row>
        <row r="9175">
          <cell r="L9175" t="str">
            <v>Non-proportional</v>
          </cell>
          <cell r="S9175">
            <v>1.1299999999999999</v>
          </cell>
          <cell r="X9175" t="str">
            <v>Commissions - gross</v>
          </cell>
          <cell r="Y9175" t="str">
            <v>ISRAEL</v>
          </cell>
        </row>
        <row r="9176">
          <cell r="L9176" t="str">
            <v>Non-proportional</v>
          </cell>
          <cell r="S9176">
            <v>24.18</v>
          </cell>
          <cell r="X9176" t="str">
            <v>Commissions - gross</v>
          </cell>
          <cell r="Y9176" t="str">
            <v>COLOMBIA</v>
          </cell>
        </row>
        <row r="9177">
          <cell r="L9177" t="str">
            <v>Non-proportional</v>
          </cell>
          <cell r="S9177">
            <v>1206.3900000000001</v>
          </cell>
          <cell r="X9177" t="str">
            <v>Commissions - gross</v>
          </cell>
          <cell r="Y9177" t="str">
            <v>COSTA RICA</v>
          </cell>
        </row>
        <row r="9178">
          <cell r="L9178" t="str">
            <v>Non-proportional</v>
          </cell>
          <cell r="S9178">
            <v>465.89</v>
          </cell>
          <cell r="X9178" t="str">
            <v>Commissions - gross</v>
          </cell>
          <cell r="Y9178" t="str">
            <v>PERU</v>
          </cell>
        </row>
        <row r="9179">
          <cell r="L9179" t="str">
            <v>Non-proportional</v>
          </cell>
          <cell r="S9179">
            <v>6.54</v>
          </cell>
          <cell r="X9179" t="str">
            <v>Commissions - gross</v>
          </cell>
          <cell r="Y9179" t="str">
            <v>ISRAEL</v>
          </cell>
        </row>
        <row r="9180">
          <cell r="L9180" t="str">
            <v>Non-proportional</v>
          </cell>
          <cell r="S9180">
            <v>1201.19</v>
          </cell>
          <cell r="X9180" t="str">
            <v>Commissions - gross</v>
          </cell>
          <cell r="Y9180" t="str">
            <v>FRANCE</v>
          </cell>
        </row>
        <row r="9181">
          <cell r="L9181" t="str">
            <v>Non-proportional</v>
          </cell>
          <cell r="S9181">
            <v>393.54</v>
          </cell>
          <cell r="X9181" t="str">
            <v>Commissions - gross</v>
          </cell>
          <cell r="Y9181" t="str">
            <v>CHILE</v>
          </cell>
        </row>
        <row r="9182">
          <cell r="L9182" t="str">
            <v>Proportional</v>
          </cell>
          <cell r="S9182">
            <v>45.2</v>
          </cell>
          <cell r="X9182" t="str">
            <v>Commissions - gross</v>
          </cell>
          <cell r="Y9182" t="str">
            <v>REPUBLIC OF IRELAND</v>
          </cell>
        </row>
        <row r="9183">
          <cell r="L9183" t="str">
            <v>Proportional</v>
          </cell>
          <cell r="S9183">
            <v>-73142.86</v>
          </cell>
          <cell r="X9183" t="str">
            <v>Commissions - gross</v>
          </cell>
          <cell r="Y9183" t="str">
            <v>ITALY</v>
          </cell>
        </row>
        <row r="9184">
          <cell r="L9184" t="str">
            <v>Proportional</v>
          </cell>
          <cell r="S9184">
            <v>-438857.14</v>
          </cell>
          <cell r="X9184" t="str">
            <v>Commissions - gross</v>
          </cell>
          <cell r="Y9184" t="str">
            <v>ITALY</v>
          </cell>
        </row>
        <row r="9185">
          <cell r="L9185" t="str">
            <v>Proportional</v>
          </cell>
          <cell r="S9185">
            <v>36571.43</v>
          </cell>
          <cell r="X9185" t="str">
            <v>Commissions - gross</v>
          </cell>
          <cell r="Y9185" t="str">
            <v>ITALY</v>
          </cell>
        </row>
        <row r="9186">
          <cell r="L9186" t="str">
            <v>Non-proportional</v>
          </cell>
          <cell r="S9186">
            <v>-2248.96</v>
          </cell>
          <cell r="X9186" t="str">
            <v>Commissions - gross</v>
          </cell>
          <cell r="Y9186" t="str">
            <v>BELIZE</v>
          </cell>
        </row>
        <row r="9187">
          <cell r="L9187" t="str">
            <v>Non-proportional</v>
          </cell>
          <cell r="S9187">
            <v>13727.3</v>
          </cell>
          <cell r="X9187" t="str">
            <v>Commissions - gross</v>
          </cell>
          <cell r="Y9187" t="str">
            <v>UNITED KINGDOM</v>
          </cell>
        </row>
        <row r="9188">
          <cell r="L9188" t="str">
            <v>Non-proportional</v>
          </cell>
          <cell r="S9188">
            <v>10387.57</v>
          </cell>
          <cell r="X9188" t="str">
            <v>Commissions - gross</v>
          </cell>
          <cell r="Y9188" t="str">
            <v>HONG KONG</v>
          </cell>
        </row>
        <row r="9189">
          <cell r="L9189" t="str">
            <v>Non-proportional</v>
          </cell>
          <cell r="S9189">
            <v>150.71</v>
          </cell>
          <cell r="X9189" t="str">
            <v>Commissions - gross</v>
          </cell>
          <cell r="Y9189" t="str">
            <v>ISRAEL</v>
          </cell>
        </row>
        <row r="9190">
          <cell r="L9190" t="str">
            <v>Non-proportional</v>
          </cell>
          <cell r="S9190">
            <v>312.69</v>
          </cell>
          <cell r="X9190" t="str">
            <v>Commissions - gross</v>
          </cell>
          <cell r="Y9190" t="str">
            <v>FRANCE</v>
          </cell>
        </row>
        <row r="9191">
          <cell r="L9191" t="str">
            <v>Non-proportional</v>
          </cell>
          <cell r="S9191">
            <v>-0.16</v>
          </cell>
          <cell r="X9191" t="str">
            <v>Commissions - gross</v>
          </cell>
          <cell r="Y9191" t="str">
            <v>GUATEMALA</v>
          </cell>
        </row>
        <row r="9192">
          <cell r="L9192" t="str">
            <v>Non-proportional</v>
          </cell>
          <cell r="S9192">
            <v>39.71</v>
          </cell>
          <cell r="X9192" t="str">
            <v>Commissions - gross</v>
          </cell>
          <cell r="Y9192" t="str">
            <v>COLOMBIA</v>
          </cell>
        </row>
        <row r="9193">
          <cell r="L9193" t="str">
            <v>Non-proportional</v>
          </cell>
          <cell r="S9193">
            <v>454.19</v>
          </cell>
          <cell r="X9193" t="str">
            <v>Commissions - gross</v>
          </cell>
          <cell r="Y9193" t="str">
            <v>TURKEY</v>
          </cell>
        </row>
        <row r="9194">
          <cell r="L9194" t="str">
            <v>Non-proportional</v>
          </cell>
          <cell r="S9194">
            <v>3912.73</v>
          </cell>
          <cell r="X9194" t="str">
            <v>Commissions - gross</v>
          </cell>
          <cell r="Y9194" t="str">
            <v>UNITED STATES</v>
          </cell>
        </row>
        <row r="9195">
          <cell r="L9195" t="str">
            <v>Non-proportional</v>
          </cell>
          <cell r="S9195">
            <v>35.78</v>
          </cell>
          <cell r="X9195" t="str">
            <v>Commissions - gross</v>
          </cell>
          <cell r="Y9195" t="str">
            <v>CHILE</v>
          </cell>
        </row>
        <row r="9196">
          <cell r="L9196" t="str">
            <v>Proportional</v>
          </cell>
          <cell r="S9196">
            <v>156.94</v>
          </cell>
          <cell r="X9196" t="str">
            <v>Commissions - gross</v>
          </cell>
          <cell r="Y9196" t="str">
            <v>AUSTRALIA</v>
          </cell>
        </row>
        <row r="9197">
          <cell r="L9197" t="str">
            <v>Non-proportional</v>
          </cell>
          <cell r="S9197">
            <v>334.35</v>
          </cell>
          <cell r="X9197" t="str">
            <v>Commissions - gross</v>
          </cell>
          <cell r="Y9197" t="str">
            <v>UNITED KINGDOM</v>
          </cell>
        </row>
        <row r="9198">
          <cell r="L9198" t="str">
            <v>Non-proportional</v>
          </cell>
          <cell r="S9198">
            <v>743.75</v>
          </cell>
          <cell r="X9198" t="str">
            <v>Commissions - gross</v>
          </cell>
          <cell r="Y9198" t="str">
            <v>ITALY</v>
          </cell>
        </row>
        <row r="9199">
          <cell r="L9199" t="str">
            <v>Non-proportional</v>
          </cell>
          <cell r="S9199">
            <v>-12385.89</v>
          </cell>
          <cell r="X9199" t="str">
            <v>Commissions - gross</v>
          </cell>
          <cell r="Y9199" t="str">
            <v>AUSTRALIA</v>
          </cell>
        </row>
        <row r="9200">
          <cell r="L9200" t="str">
            <v>Non-proportional</v>
          </cell>
          <cell r="S9200">
            <v>77.290000000000006</v>
          </cell>
          <cell r="X9200" t="str">
            <v>Commissions - gross</v>
          </cell>
          <cell r="Y9200" t="str">
            <v>REPUBLIC OF IRELAND</v>
          </cell>
        </row>
        <row r="9201">
          <cell r="L9201" t="str">
            <v>Non-proportional</v>
          </cell>
          <cell r="S9201">
            <v>7.89</v>
          </cell>
          <cell r="X9201" t="str">
            <v>Commissions - gross</v>
          </cell>
          <cell r="Y9201" t="str">
            <v>COLOMBIA</v>
          </cell>
        </row>
        <row r="9202">
          <cell r="L9202" t="str">
            <v>Non-proportional</v>
          </cell>
          <cell r="S9202">
            <v>-12369.01</v>
          </cell>
          <cell r="X9202" t="str">
            <v>Commissions - gross</v>
          </cell>
          <cell r="Y9202" t="str">
            <v>AUSTRALIA</v>
          </cell>
        </row>
        <row r="9203">
          <cell r="L9203" t="str">
            <v>Non-proportional</v>
          </cell>
          <cell r="S9203">
            <v>-3522.22</v>
          </cell>
          <cell r="X9203" t="str">
            <v>Commissions - gross</v>
          </cell>
          <cell r="Y9203" t="str">
            <v>AUSTRALIA</v>
          </cell>
        </row>
        <row r="9204">
          <cell r="L9204" t="str">
            <v>Non-proportional</v>
          </cell>
          <cell r="S9204">
            <v>-8493.6200000000008</v>
          </cell>
          <cell r="X9204" t="str">
            <v>Commissions - gross</v>
          </cell>
          <cell r="Y9204" t="str">
            <v>UNITED KINGDOM</v>
          </cell>
        </row>
        <row r="9205">
          <cell r="L9205" t="str">
            <v>Non-proportional</v>
          </cell>
          <cell r="S9205">
            <v>293.16000000000003</v>
          </cell>
          <cell r="X9205" t="str">
            <v>Commissions - gross</v>
          </cell>
          <cell r="Y9205" t="str">
            <v>JAPAN</v>
          </cell>
        </row>
        <row r="9206">
          <cell r="L9206" t="str">
            <v>Non-proportional</v>
          </cell>
          <cell r="S9206">
            <v>1627.87</v>
          </cell>
          <cell r="X9206" t="str">
            <v>Commissions - gross</v>
          </cell>
          <cell r="Y9206" t="str">
            <v>ITALY</v>
          </cell>
        </row>
        <row r="9207">
          <cell r="L9207" t="str">
            <v>Non-proportional</v>
          </cell>
          <cell r="S9207">
            <v>-9.14</v>
          </cell>
          <cell r="X9207" t="str">
            <v>Commissions - gross</v>
          </cell>
          <cell r="Y9207" t="str">
            <v>JAPAN</v>
          </cell>
        </row>
        <row r="9208">
          <cell r="L9208" t="str">
            <v>Non-proportional</v>
          </cell>
          <cell r="S9208">
            <v>-6496.14</v>
          </cell>
          <cell r="X9208" t="str">
            <v>Commissions - gross</v>
          </cell>
          <cell r="Y9208" t="str">
            <v>SPAIN</v>
          </cell>
        </row>
        <row r="9209">
          <cell r="L9209" t="str">
            <v>Non-proportional</v>
          </cell>
          <cell r="S9209">
            <v>938.87</v>
          </cell>
          <cell r="X9209" t="str">
            <v>Commissions - gross</v>
          </cell>
          <cell r="Y9209" t="str">
            <v>UNITED KINGDOM</v>
          </cell>
        </row>
        <row r="9210">
          <cell r="L9210" t="str">
            <v>Non-proportional</v>
          </cell>
          <cell r="S9210">
            <v>1186.32</v>
          </cell>
          <cell r="X9210" t="str">
            <v>Commissions - gross</v>
          </cell>
          <cell r="Y9210" t="str">
            <v>EUROPE</v>
          </cell>
        </row>
        <row r="9211">
          <cell r="L9211" t="str">
            <v>Non-proportional</v>
          </cell>
          <cell r="S9211">
            <v>1015.63</v>
          </cell>
          <cell r="X9211" t="str">
            <v>Commissions - gross</v>
          </cell>
          <cell r="Y9211" t="str">
            <v>EUROPE</v>
          </cell>
        </row>
        <row r="9212">
          <cell r="L9212" t="str">
            <v>Non-proportional</v>
          </cell>
          <cell r="S9212">
            <v>375.72</v>
          </cell>
          <cell r="X9212" t="str">
            <v>Commissions - gross</v>
          </cell>
          <cell r="Y9212" t="str">
            <v>THAILAND</v>
          </cell>
        </row>
        <row r="9213">
          <cell r="L9213" t="str">
            <v>Non-proportional</v>
          </cell>
          <cell r="S9213">
            <v>479.66</v>
          </cell>
          <cell r="X9213" t="str">
            <v>Commissions - gross</v>
          </cell>
          <cell r="Y9213" t="str">
            <v>NEW ZEALAND</v>
          </cell>
        </row>
        <row r="9214">
          <cell r="L9214" t="str">
            <v>Non-proportional</v>
          </cell>
          <cell r="S9214">
            <v>-3.04</v>
          </cell>
          <cell r="X9214" t="str">
            <v>Commissions - gross</v>
          </cell>
          <cell r="Y9214" t="str">
            <v>JAPAN</v>
          </cell>
        </row>
        <row r="9215">
          <cell r="L9215" t="str">
            <v>Non-proportional</v>
          </cell>
          <cell r="S9215">
            <v>484.51</v>
          </cell>
          <cell r="X9215" t="str">
            <v>Commissions - gross</v>
          </cell>
          <cell r="Y9215" t="str">
            <v>ECUADOR</v>
          </cell>
        </row>
        <row r="9216">
          <cell r="L9216" t="str">
            <v>Non-proportional</v>
          </cell>
          <cell r="S9216">
            <v>1406.6</v>
          </cell>
          <cell r="X9216" t="str">
            <v>Commissions - gross</v>
          </cell>
          <cell r="Y9216" t="str">
            <v>ISRAEL</v>
          </cell>
        </row>
        <row r="9217">
          <cell r="L9217" t="str">
            <v>Non-proportional</v>
          </cell>
          <cell r="S9217">
            <v>-3581.32</v>
          </cell>
          <cell r="X9217" t="str">
            <v>Commissions - gross</v>
          </cell>
          <cell r="Y9217" t="str">
            <v>ECUADOR</v>
          </cell>
        </row>
        <row r="9218">
          <cell r="L9218" t="str">
            <v>Non-proportional</v>
          </cell>
          <cell r="S9218">
            <v>789.75</v>
          </cell>
          <cell r="X9218" t="str">
            <v>Commissions - gross</v>
          </cell>
          <cell r="Y9218" t="str">
            <v>ITALY</v>
          </cell>
        </row>
        <row r="9219">
          <cell r="L9219" t="str">
            <v>Non-proportional</v>
          </cell>
          <cell r="S9219">
            <v>-6.51</v>
          </cell>
          <cell r="X9219" t="str">
            <v>Commissions - gross</v>
          </cell>
          <cell r="Y9219" t="str">
            <v>UNITED KINGDOM</v>
          </cell>
        </row>
        <row r="9220">
          <cell r="L9220" t="str">
            <v>Non-proportional</v>
          </cell>
          <cell r="S9220">
            <v>-3773.9</v>
          </cell>
          <cell r="X9220" t="str">
            <v>Commissions - gross</v>
          </cell>
          <cell r="Y9220" t="str">
            <v>AUSTRALIA</v>
          </cell>
        </row>
        <row r="9221">
          <cell r="L9221" t="str">
            <v>Non-proportional</v>
          </cell>
          <cell r="S9221">
            <v>251.77</v>
          </cell>
          <cell r="X9221" t="str">
            <v>Commissions - gross</v>
          </cell>
          <cell r="Y9221" t="str">
            <v>ITALY</v>
          </cell>
        </row>
        <row r="9222">
          <cell r="L9222" t="str">
            <v>Non-proportional</v>
          </cell>
          <cell r="S9222">
            <v>2019.75</v>
          </cell>
          <cell r="X9222" t="str">
            <v>Commissions - gross</v>
          </cell>
          <cell r="Y9222" t="str">
            <v>ITALY</v>
          </cell>
        </row>
        <row r="9223">
          <cell r="L9223" t="str">
            <v>Non-proportional</v>
          </cell>
          <cell r="S9223">
            <v>81.430000000000007</v>
          </cell>
          <cell r="X9223" t="str">
            <v>Commissions - gross</v>
          </cell>
          <cell r="Y9223" t="str">
            <v>PERU</v>
          </cell>
        </row>
        <row r="9224">
          <cell r="L9224" t="str">
            <v>Non-proportional</v>
          </cell>
          <cell r="S9224">
            <v>4648.6099999999997</v>
          </cell>
          <cell r="X9224" t="str">
            <v>Commissions - gross</v>
          </cell>
          <cell r="Y9224" t="str">
            <v>UNITED KINGDOM</v>
          </cell>
        </row>
        <row r="9225">
          <cell r="L9225" t="str">
            <v>Non-proportional</v>
          </cell>
          <cell r="S9225">
            <v>1856.63</v>
          </cell>
          <cell r="X9225" t="str">
            <v>Commissions - gross</v>
          </cell>
          <cell r="Y9225" t="str">
            <v>PUERTO RICO</v>
          </cell>
        </row>
        <row r="9226">
          <cell r="L9226" t="str">
            <v>Non-proportional</v>
          </cell>
          <cell r="S9226">
            <v>407.81</v>
          </cell>
          <cell r="X9226" t="str">
            <v>Commissions - gross</v>
          </cell>
          <cell r="Y9226" t="str">
            <v>GREECE</v>
          </cell>
        </row>
        <row r="9227">
          <cell r="L9227" t="str">
            <v>Non-proportional</v>
          </cell>
          <cell r="S9227">
            <v>301.01</v>
          </cell>
          <cell r="X9227" t="str">
            <v>Commissions - gross</v>
          </cell>
          <cell r="Y9227" t="str">
            <v>ISRAEL</v>
          </cell>
        </row>
        <row r="9228">
          <cell r="L9228" t="str">
            <v>Non-proportional</v>
          </cell>
          <cell r="S9228">
            <v>-11401.38</v>
          </cell>
          <cell r="X9228" t="str">
            <v>Commissions - gross</v>
          </cell>
          <cell r="Y9228" t="str">
            <v>DOMINICAN REPUBLIC</v>
          </cell>
        </row>
        <row r="9229">
          <cell r="L9229" t="str">
            <v>Non-proportional</v>
          </cell>
          <cell r="S9229">
            <v>35.78</v>
          </cell>
          <cell r="X9229" t="str">
            <v>Commissions - gross</v>
          </cell>
          <cell r="Y9229" t="str">
            <v>CHILE</v>
          </cell>
        </row>
        <row r="9230">
          <cell r="L9230" t="str">
            <v>Non-proportional</v>
          </cell>
          <cell r="S9230">
            <v>662.31</v>
          </cell>
          <cell r="X9230" t="str">
            <v>Commissions - gross</v>
          </cell>
          <cell r="Y9230" t="str">
            <v>CYPRUS</v>
          </cell>
        </row>
        <row r="9231">
          <cell r="L9231" t="str">
            <v>Non-proportional</v>
          </cell>
          <cell r="S9231">
            <v>119.79</v>
          </cell>
          <cell r="X9231" t="str">
            <v>Commissions - gross</v>
          </cell>
          <cell r="Y9231" t="str">
            <v>GERMANY</v>
          </cell>
        </row>
        <row r="9232">
          <cell r="L9232" t="str">
            <v>Non-proportional</v>
          </cell>
          <cell r="S9232">
            <v>538.04</v>
          </cell>
          <cell r="X9232" t="str">
            <v>Commissions - gross</v>
          </cell>
          <cell r="Y9232" t="str">
            <v>COLOMBIA</v>
          </cell>
        </row>
        <row r="9233">
          <cell r="L9233" t="str">
            <v>Non-proportional</v>
          </cell>
          <cell r="S9233">
            <v>385.42</v>
          </cell>
          <cell r="X9233" t="str">
            <v>Commissions - gross</v>
          </cell>
          <cell r="Y9233" t="str">
            <v>FRANCE</v>
          </cell>
        </row>
        <row r="9234">
          <cell r="L9234" t="str">
            <v>Non-proportional</v>
          </cell>
          <cell r="S9234">
            <v>145.83000000000001</v>
          </cell>
          <cell r="X9234" t="str">
            <v>Commissions - gross</v>
          </cell>
          <cell r="Y9234" t="str">
            <v>ITALY</v>
          </cell>
        </row>
        <row r="9235">
          <cell r="L9235" t="str">
            <v>Non-proportional</v>
          </cell>
          <cell r="S9235">
            <v>751.31</v>
          </cell>
          <cell r="X9235" t="str">
            <v>Commissions - gross</v>
          </cell>
          <cell r="Y9235" t="str">
            <v>CHILE</v>
          </cell>
        </row>
        <row r="9236">
          <cell r="L9236" t="str">
            <v>Non-proportional</v>
          </cell>
          <cell r="S9236">
            <v>187.49</v>
          </cell>
          <cell r="X9236" t="str">
            <v>Commissions - gross</v>
          </cell>
          <cell r="Y9236" t="str">
            <v>PERU</v>
          </cell>
        </row>
        <row r="9237">
          <cell r="L9237" t="str">
            <v>Non-proportional</v>
          </cell>
          <cell r="S9237">
            <v>508.74</v>
          </cell>
          <cell r="X9237" t="str">
            <v>Commissions - gross</v>
          </cell>
          <cell r="Y9237" t="str">
            <v>UNITED KINGDOM</v>
          </cell>
        </row>
        <row r="9238">
          <cell r="L9238" t="str">
            <v>Non-proportional</v>
          </cell>
          <cell r="S9238">
            <v>2499.98</v>
          </cell>
          <cell r="X9238" t="str">
            <v>Commissions - gross</v>
          </cell>
          <cell r="Y9238" t="str">
            <v>FRANCE</v>
          </cell>
        </row>
        <row r="9239">
          <cell r="L9239" t="str">
            <v>Non-proportional</v>
          </cell>
          <cell r="S9239">
            <v>-5.62</v>
          </cell>
          <cell r="X9239" t="str">
            <v>Commissions - gross</v>
          </cell>
          <cell r="Y9239" t="str">
            <v>JAPAN</v>
          </cell>
        </row>
        <row r="9240">
          <cell r="L9240" t="str">
            <v>Non-proportional</v>
          </cell>
          <cell r="S9240">
            <v>991.57</v>
          </cell>
          <cell r="X9240" t="str">
            <v>Commissions - gross</v>
          </cell>
          <cell r="Y9240" t="str">
            <v>NETHERLANDS</v>
          </cell>
        </row>
        <row r="9241">
          <cell r="L9241" t="str">
            <v>Non-proportional</v>
          </cell>
          <cell r="S9241">
            <v>14.57</v>
          </cell>
          <cell r="X9241" t="str">
            <v>Commissions - gross</v>
          </cell>
          <cell r="Y9241" t="str">
            <v>ISRAEL</v>
          </cell>
        </row>
        <row r="9242">
          <cell r="L9242" t="str">
            <v>Non-proportional</v>
          </cell>
          <cell r="S9242">
            <v>548.83000000000004</v>
          </cell>
          <cell r="X9242" t="str">
            <v>Commissions - gross</v>
          </cell>
          <cell r="Y9242" t="str">
            <v>NEW ZEALAND</v>
          </cell>
        </row>
        <row r="9243">
          <cell r="L9243" t="str">
            <v>Non-proportional</v>
          </cell>
          <cell r="S9243">
            <v>329.75</v>
          </cell>
          <cell r="X9243" t="str">
            <v>Commissions - gross</v>
          </cell>
          <cell r="Y9243" t="str">
            <v>INDIA</v>
          </cell>
        </row>
        <row r="9244">
          <cell r="L9244" t="str">
            <v>Non-proportional</v>
          </cell>
          <cell r="S9244">
            <v>132.66999999999999</v>
          </cell>
          <cell r="X9244" t="str">
            <v>Commissions - gross</v>
          </cell>
          <cell r="Y9244" t="str">
            <v>ISRAEL</v>
          </cell>
        </row>
        <row r="9245">
          <cell r="L9245" t="str">
            <v>Non-proportional</v>
          </cell>
          <cell r="S9245">
            <v>875</v>
          </cell>
          <cell r="X9245" t="str">
            <v>Commissions - gross</v>
          </cell>
          <cell r="Y9245" t="str">
            <v>EUROPE</v>
          </cell>
        </row>
        <row r="9246">
          <cell r="L9246" t="str">
            <v>Proportional</v>
          </cell>
          <cell r="S9246">
            <v>63.74</v>
          </cell>
          <cell r="X9246" t="str">
            <v>Commissions - gross</v>
          </cell>
          <cell r="Y9246" t="str">
            <v>REPUBLIC OF IRELAND</v>
          </cell>
        </row>
        <row r="9247">
          <cell r="L9247" t="str">
            <v>Non-proportional</v>
          </cell>
          <cell r="S9247">
            <v>26.84</v>
          </cell>
          <cell r="X9247" t="str">
            <v>Commissions - gross</v>
          </cell>
          <cell r="Y9247" t="str">
            <v>NEW ZEALAND</v>
          </cell>
        </row>
        <row r="9248">
          <cell r="L9248" t="str">
            <v>Non-proportional</v>
          </cell>
          <cell r="S9248">
            <v>205.86</v>
          </cell>
          <cell r="X9248" t="str">
            <v>Commissions - gross</v>
          </cell>
          <cell r="Y9248" t="str">
            <v>JAPAN</v>
          </cell>
        </row>
        <row r="9249">
          <cell r="L9249" t="str">
            <v>Non-proportional</v>
          </cell>
          <cell r="S9249">
            <v>230.72</v>
          </cell>
          <cell r="X9249" t="str">
            <v>Commissions - gross</v>
          </cell>
          <cell r="Y9249" t="str">
            <v>ECUADOR</v>
          </cell>
        </row>
        <row r="9250">
          <cell r="L9250" t="str">
            <v>Non-proportional</v>
          </cell>
          <cell r="S9250">
            <v>199.63</v>
          </cell>
          <cell r="X9250" t="str">
            <v>Commissions - gross</v>
          </cell>
          <cell r="Y9250" t="str">
            <v>GUATEMALA</v>
          </cell>
        </row>
        <row r="9251">
          <cell r="L9251" t="str">
            <v>Non-proportional</v>
          </cell>
          <cell r="S9251">
            <v>321.99</v>
          </cell>
          <cell r="X9251" t="str">
            <v>Commissions - gross</v>
          </cell>
          <cell r="Y9251" t="str">
            <v>CHILE</v>
          </cell>
        </row>
        <row r="9252">
          <cell r="L9252" t="str">
            <v>Non-proportional</v>
          </cell>
          <cell r="S9252">
            <v>263.2</v>
          </cell>
          <cell r="X9252" t="str">
            <v>Commissions - gross</v>
          </cell>
          <cell r="Y9252" t="str">
            <v>UNITED KINGDOM</v>
          </cell>
        </row>
        <row r="9253">
          <cell r="L9253" t="str">
            <v>Non-proportional</v>
          </cell>
          <cell r="S9253">
            <v>-15.25</v>
          </cell>
          <cell r="X9253" t="str">
            <v>Commissions - gross</v>
          </cell>
          <cell r="Y9253" t="str">
            <v>NEW ZEALAND</v>
          </cell>
        </row>
        <row r="9254">
          <cell r="L9254" t="str">
            <v>Non-proportional</v>
          </cell>
          <cell r="S9254">
            <v>298.14</v>
          </cell>
          <cell r="X9254" t="str">
            <v>Commissions - gross</v>
          </cell>
          <cell r="Y9254" t="str">
            <v>UNITED KINGDOM</v>
          </cell>
        </row>
        <row r="9255">
          <cell r="L9255" t="str">
            <v>Proportional</v>
          </cell>
          <cell r="S9255">
            <v>8.83</v>
          </cell>
          <cell r="X9255" t="str">
            <v>Commissions - gross</v>
          </cell>
          <cell r="Y9255" t="str">
            <v>UNITED STATES</v>
          </cell>
        </row>
        <row r="9256">
          <cell r="L9256" t="str">
            <v>Non-proportional</v>
          </cell>
          <cell r="S9256">
            <v>117.23</v>
          </cell>
          <cell r="X9256" t="str">
            <v>Commissions - gross</v>
          </cell>
          <cell r="Y9256" t="str">
            <v>FRANCE</v>
          </cell>
        </row>
        <row r="9257">
          <cell r="L9257" t="str">
            <v>Non-proportional</v>
          </cell>
          <cell r="S9257">
            <v>-6875</v>
          </cell>
          <cell r="X9257" t="str">
            <v>Commissions - gross</v>
          </cell>
          <cell r="Y9257" t="str">
            <v>SPAIN</v>
          </cell>
        </row>
        <row r="9258">
          <cell r="L9258" t="str">
            <v>Non-proportional</v>
          </cell>
          <cell r="S9258">
            <v>-1.85</v>
          </cell>
          <cell r="X9258" t="str">
            <v>Commissions - gross</v>
          </cell>
          <cell r="Y9258" t="str">
            <v>UNITED KINGDOM</v>
          </cell>
        </row>
        <row r="9259">
          <cell r="L9259" t="str">
            <v>Non-proportional</v>
          </cell>
          <cell r="S9259">
            <v>130.54</v>
          </cell>
          <cell r="X9259" t="str">
            <v>Commissions - gross</v>
          </cell>
          <cell r="Y9259" t="str">
            <v>JAPAN</v>
          </cell>
        </row>
        <row r="9260">
          <cell r="L9260" t="str">
            <v>Non-proportional</v>
          </cell>
          <cell r="S9260">
            <v>268.76</v>
          </cell>
          <cell r="X9260" t="str">
            <v>Commissions - gross</v>
          </cell>
          <cell r="Y9260" t="str">
            <v>ISRAEL</v>
          </cell>
        </row>
        <row r="9261">
          <cell r="L9261" t="str">
            <v>Non-proportional</v>
          </cell>
          <cell r="S9261">
            <v>-2487.66</v>
          </cell>
          <cell r="X9261" t="str">
            <v>Commissions - gross</v>
          </cell>
          <cell r="Y9261" t="str">
            <v>DOMINICAN REPUBLIC</v>
          </cell>
        </row>
        <row r="9262">
          <cell r="L9262" t="str">
            <v>Non-proportional</v>
          </cell>
          <cell r="S9262">
            <v>26102.76</v>
          </cell>
          <cell r="X9262" t="str">
            <v>Commissions - gross</v>
          </cell>
          <cell r="Y9262" t="str">
            <v>UNITED KINGDOM</v>
          </cell>
        </row>
        <row r="9263">
          <cell r="L9263" t="str">
            <v>Non-proportional</v>
          </cell>
          <cell r="S9263">
            <v>-3.63</v>
          </cell>
          <cell r="X9263" t="str">
            <v>Commissions - gross</v>
          </cell>
          <cell r="Y9263" t="str">
            <v>COLOMBIA</v>
          </cell>
        </row>
        <row r="9264">
          <cell r="L9264" t="str">
            <v>Non-proportional</v>
          </cell>
          <cell r="S9264">
            <v>-6.68</v>
          </cell>
          <cell r="X9264" t="str">
            <v>Commissions - gross</v>
          </cell>
          <cell r="Y9264" t="str">
            <v>COLOMBIA</v>
          </cell>
        </row>
        <row r="9265">
          <cell r="L9265" t="str">
            <v>Non-proportional</v>
          </cell>
          <cell r="S9265">
            <v>286.83</v>
          </cell>
          <cell r="X9265" t="str">
            <v>Commissions - gross</v>
          </cell>
          <cell r="Y9265" t="str">
            <v>ISRAEL</v>
          </cell>
        </row>
        <row r="9266">
          <cell r="L9266" t="str">
            <v>Non-proportional</v>
          </cell>
          <cell r="S9266">
            <v>282.83999999999997</v>
          </cell>
          <cell r="X9266" t="str">
            <v>Commissions - gross</v>
          </cell>
          <cell r="Y9266" t="str">
            <v>JAPAN</v>
          </cell>
        </row>
        <row r="9267">
          <cell r="L9267" t="str">
            <v>Non-proportional</v>
          </cell>
          <cell r="S9267">
            <v>50435.96</v>
          </cell>
          <cell r="X9267" t="str">
            <v>Commissions - gross</v>
          </cell>
          <cell r="Y9267" t="str">
            <v>UNITED KINGDOM</v>
          </cell>
        </row>
        <row r="9268">
          <cell r="L9268" t="str">
            <v>Non-proportional</v>
          </cell>
          <cell r="S9268">
            <v>-0.73</v>
          </cell>
          <cell r="X9268" t="str">
            <v>Commissions - gross</v>
          </cell>
          <cell r="Y9268" t="str">
            <v>JAPAN</v>
          </cell>
        </row>
        <row r="9269">
          <cell r="L9269" t="str">
            <v>Non-proportional</v>
          </cell>
          <cell r="S9269">
            <v>1307.3</v>
          </cell>
          <cell r="X9269" t="str">
            <v>Commissions - gross</v>
          </cell>
          <cell r="Y9269" t="str">
            <v>FRANCE</v>
          </cell>
        </row>
        <row r="9270">
          <cell r="L9270" t="str">
            <v>Non-proportional</v>
          </cell>
          <cell r="S9270">
            <v>786.78</v>
          </cell>
          <cell r="X9270" t="str">
            <v>Commissions - gross</v>
          </cell>
          <cell r="Y9270" t="str">
            <v>UNITED KINGDOM</v>
          </cell>
        </row>
        <row r="9271">
          <cell r="L9271" t="str">
            <v>Non-proportional</v>
          </cell>
          <cell r="S9271">
            <v>1588.55</v>
          </cell>
          <cell r="X9271" t="str">
            <v>Commissions - gross</v>
          </cell>
          <cell r="Y9271" t="str">
            <v>EUROPE</v>
          </cell>
        </row>
        <row r="9272">
          <cell r="L9272" t="str">
            <v>Non-proportional</v>
          </cell>
          <cell r="S9272">
            <v>1452.52</v>
          </cell>
          <cell r="X9272" t="str">
            <v>Commissions - gross</v>
          </cell>
          <cell r="Y9272" t="str">
            <v>PUERTO RICO</v>
          </cell>
        </row>
        <row r="9273">
          <cell r="L9273" t="str">
            <v>Non-proportional</v>
          </cell>
          <cell r="S9273">
            <v>61.25</v>
          </cell>
          <cell r="X9273" t="str">
            <v>Commissions - gross</v>
          </cell>
          <cell r="Y9273" t="str">
            <v>GREECE</v>
          </cell>
        </row>
        <row r="9274">
          <cell r="L9274" t="str">
            <v>Non-proportional</v>
          </cell>
          <cell r="S9274">
            <v>280.52</v>
          </cell>
          <cell r="X9274" t="str">
            <v>Commissions - gross</v>
          </cell>
          <cell r="Y9274" t="str">
            <v>REPUBLIC OF IRELAND</v>
          </cell>
        </row>
        <row r="9275">
          <cell r="L9275" t="str">
            <v>Proportional</v>
          </cell>
          <cell r="S9275">
            <v>814.42</v>
          </cell>
          <cell r="X9275" t="str">
            <v>Commissions - gross</v>
          </cell>
          <cell r="Y9275" t="str">
            <v>UNITED ARAB EMIRATES</v>
          </cell>
        </row>
        <row r="9276">
          <cell r="L9276" t="str">
            <v>Non-proportional</v>
          </cell>
          <cell r="S9276">
            <v>-107.33</v>
          </cell>
          <cell r="X9276" t="str">
            <v>Commissions - gross</v>
          </cell>
          <cell r="Y9276" t="str">
            <v>CHILE</v>
          </cell>
        </row>
        <row r="9277">
          <cell r="L9277" t="str">
            <v>Non-proportional</v>
          </cell>
          <cell r="S9277">
            <v>-21.47</v>
          </cell>
          <cell r="X9277" t="str">
            <v>Commissions - gross</v>
          </cell>
          <cell r="Y9277" t="str">
            <v>JAPAN</v>
          </cell>
        </row>
        <row r="9278">
          <cell r="L9278" t="str">
            <v>Non-proportional</v>
          </cell>
          <cell r="S9278">
            <v>256.16000000000003</v>
          </cell>
          <cell r="X9278" t="str">
            <v>Commissions - gross</v>
          </cell>
          <cell r="Y9278" t="str">
            <v>SOUTH AFRICA</v>
          </cell>
        </row>
        <row r="9279">
          <cell r="L9279" t="str">
            <v>Non-proportional</v>
          </cell>
          <cell r="S9279">
            <v>-0.11</v>
          </cell>
          <cell r="X9279" t="str">
            <v>Commissions - gross</v>
          </cell>
          <cell r="Y9279" t="str">
            <v>GUATEMALA</v>
          </cell>
        </row>
        <row r="9280">
          <cell r="L9280" t="str">
            <v>Non-proportional</v>
          </cell>
          <cell r="S9280">
            <v>75.650000000000006</v>
          </cell>
          <cell r="X9280" t="str">
            <v>Commissions - gross</v>
          </cell>
          <cell r="Y9280" t="str">
            <v>JAPAN</v>
          </cell>
        </row>
        <row r="9281">
          <cell r="L9281" t="str">
            <v>Proportional</v>
          </cell>
          <cell r="S9281">
            <v>2.44</v>
          </cell>
          <cell r="X9281" t="str">
            <v>Commissions - gross</v>
          </cell>
          <cell r="Y9281" t="str">
            <v>UNITED STATES</v>
          </cell>
        </row>
        <row r="9282">
          <cell r="L9282" t="str">
            <v>Non-proportional</v>
          </cell>
          <cell r="S9282">
            <v>1568.87</v>
          </cell>
          <cell r="X9282" t="str">
            <v>Commissions - gross</v>
          </cell>
          <cell r="Y9282" t="str">
            <v>SOUTH KOREA</v>
          </cell>
        </row>
        <row r="9283">
          <cell r="L9283" t="str">
            <v>Non-proportional</v>
          </cell>
          <cell r="S9283">
            <v>43142.92</v>
          </cell>
          <cell r="X9283" t="str">
            <v>Commissions - gross</v>
          </cell>
          <cell r="Y9283" t="str">
            <v>UNITED KINGDOM</v>
          </cell>
        </row>
        <row r="9284">
          <cell r="L9284" t="str">
            <v>Non-proportional</v>
          </cell>
          <cell r="S9284">
            <v>577.39</v>
          </cell>
          <cell r="X9284" t="str">
            <v>Commissions - gross</v>
          </cell>
          <cell r="Y9284" t="str">
            <v>PUERTO RICO</v>
          </cell>
        </row>
        <row r="9285">
          <cell r="L9285" t="str">
            <v>Proportional</v>
          </cell>
          <cell r="S9285">
            <v>1474.31</v>
          </cell>
          <cell r="X9285" t="str">
            <v>Commissions - gross</v>
          </cell>
          <cell r="Y9285" t="str">
            <v>FRANCE</v>
          </cell>
        </row>
        <row r="9286">
          <cell r="L9286" t="str">
            <v>Non-proportional</v>
          </cell>
          <cell r="S9286">
            <v>-0.62</v>
          </cell>
          <cell r="X9286" t="str">
            <v>Commissions - gross</v>
          </cell>
          <cell r="Y9286" t="str">
            <v>JAPAN</v>
          </cell>
        </row>
        <row r="9287">
          <cell r="L9287" t="str">
            <v>Non-proportional</v>
          </cell>
          <cell r="S9287">
            <v>3.76</v>
          </cell>
          <cell r="X9287" t="str">
            <v>Commissions - gross</v>
          </cell>
          <cell r="Y9287" t="str">
            <v>ISRAEL</v>
          </cell>
        </row>
        <row r="9288">
          <cell r="L9288" t="str">
            <v>Non-proportional</v>
          </cell>
          <cell r="S9288">
            <v>682.88</v>
          </cell>
          <cell r="X9288" t="str">
            <v>Commissions - gross</v>
          </cell>
          <cell r="Y9288" t="str">
            <v>UNITED KINGDOM</v>
          </cell>
        </row>
        <row r="9289">
          <cell r="L9289" t="str">
            <v>Non-proportional</v>
          </cell>
          <cell r="S9289">
            <v>41.77</v>
          </cell>
          <cell r="X9289" t="str">
            <v>Commissions - gross</v>
          </cell>
          <cell r="Y9289" t="str">
            <v>NETHERLANDS</v>
          </cell>
        </row>
        <row r="9290">
          <cell r="L9290" t="str">
            <v>Non-proportional</v>
          </cell>
          <cell r="S9290">
            <v>950.01</v>
          </cell>
          <cell r="X9290" t="str">
            <v>Commissions - gross</v>
          </cell>
          <cell r="Y9290" t="str">
            <v>TURKEY</v>
          </cell>
        </row>
        <row r="9291">
          <cell r="L9291" t="str">
            <v>Non-proportional</v>
          </cell>
          <cell r="S9291">
            <v>-395.82</v>
          </cell>
          <cell r="X9291" t="str">
            <v>Commissions - gross</v>
          </cell>
          <cell r="Y9291" t="str">
            <v>UNITED ARAB EMIRATES</v>
          </cell>
        </row>
        <row r="9292">
          <cell r="L9292" t="str">
            <v>Non-proportional</v>
          </cell>
          <cell r="S9292">
            <v>634.28</v>
          </cell>
          <cell r="X9292" t="str">
            <v>Commissions - gross</v>
          </cell>
          <cell r="Y9292" t="str">
            <v>ISRAEL</v>
          </cell>
        </row>
        <row r="9293">
          <cell r="L9293" t="str">
            <v>Non-proportional</v>
          </cell>
          <cell r="S9293">
            <v>326.3</v>
          </cell>
          <cell r="X9293" t="str">
            <v>Commissions - gross</v>
          </cell>
          <cell r="Y9293" t="str">
            <v>COLOMBIA</v>
          </cell>
        </row>
        <row r="9294">
          <cell r="L9294" t="str">
            <v>Non-proportional</v>
          </cell>
          <cell r="S9294">
            <v>-7832.54</v>
          </cell>
          <cell r="X9294" t="str">
            <v>Commissions - gross</v>
          </cell>
          <cell r="Y9294" t="str">
            <v>UNITED KINGDOM</v>
          </cell>
        </row>
        <row r="9295">
          <cell r="L9295" t="str">
            <v>Proportional</v>
          </cell>
          <cell r="S9295">
            <v>8246.65</v>
          </cell>
          <cell r="X9295" t="str">
            <v>Commissions - gross</v>
          </cell>
          <cell r="Y9295" t="str">
            <v>UNITED STATES</v>
          </cell>
        </row>
        <row r="9296">
          <cell r="L9296" t="str">
            <v>Non-proportional</v>
          </cell>
          <cell r="S9296">
            <v>608.63</v>
          </cell>
          <cell r="X9296" t="str">
            <v>Commissions - gross</v>
          </cell>
          <cell r="Y9296" t="str">
            <v>ITALY</v>
          </cell>
        </row>
        <row r="9297">
          <cell r="L9297" t="str">
            <v>Non-proportional</v>
          </cell>
          <cell r="S9297">
            <v>-2879.27</v>
          </cell>
          <cell r="X9297" t="str">
            <v>Commissions - gross</v>
          </cell>
          <cell r="Y9297" t="str">
            <v>DOMINICAN REPUBLIC</v>
          </cell>
        </row>
        <row r="9298">
          <cell r="L9298" t="str">
            <v>Proportional</v>
          </cell>
          <cell r="S9298">
            <v>250.44</v>
          </cell>
          <cell r="X9298" t="str">
            <v>Commissions - gross</v>
          </cell>
          <cell r="Y9298" t="str">
            <v>CHILE</v>
          </cell>
        </row>
        <row r="9299">
          <cell r="L9299" t="str">
            <v>Non-proportional</v>
          </cell>
          <cell r="S9299">
            <v>146.33000000000001</v>
          </cell>
          <cell r="X9299" t="str">
            <v>Commissions - gross</v>
          </cell>
          <cell r="Y9299" t="str">
            <v>UNITED KINGDOM</v>
          </cell>
        </row>
        <row r="9300">
          <cell r="L9300" t="str">
            <v>Non-proportional</v>
          </cell>
          <cell r="S9300">
            <v>-9.2799999999999994</v>
          </cell>
          <cell r="X9300" t="str">
            <v>Commissions - gross</v>
          </cell>
          <cell r="Y9300" t="str">
            <v>JAPAN</v>
          </cell>
        </row>
        <row r="9301">
          <cell r="L9301" t="str">
            <v>Non-proportional</v>
          </cell>
          <cell r="S9301">
            <v>90.36</v>
          </cell>
          <cell r="X9301" t="str">
            <v>Commissions - gross</v>
          </cell>
          <cell r="Y9301" t="str">
            <v>PUERTO RICO</v>
          </cell>
        </row>
        <row r="9302">
          <cell r="L9302" t="str">
            <v>Proportional</v>
          </cell>
          <cell r="S9302">
            <v>63.74</v>
          </cell>
          <cell r="X9302" t="str">
            <v>Commissions - gross</v>
          </cell>
          <cell r="Y9302" t="str">
            <v>REPUBLIC OF IRELAND</v>
          </cell>
        </row>
        <row r="9303">
          <cell r="L9303" t="str">
            <v>Non-proportional</v>
          </cell>
          <cell r="S9303">
            <v>488.54</v>
          </cell>
          <cell r="X9303" t="str">
            <v>Commissions - gross</v>
          </cell>
          <cell r="Y9303" t="str">
            <v>ECUADOR</v>
          </cell>
        </row>
        <row r="9304">
          <cell r="L9304" t="str">
            <v>Non-proportional</v>
          </cell>
          <cell r="S9304">
            <v>-55.09</v>
          </cell>
          <cell r="X9304" t="str">
            <v>Commissions - gross</v>
          </cell>
          <cell r="Y9304" t="str">
            <v>JAPAN</v>
          </cell>
        </row>
        <row r="9305">
          <cell r="L9305" t="str">
            <v>Non-proportional</v>
          </cell>
          <cell r="S9305">
            <v>268.67</v>
          </cell>
          <cell r="X9305" t="str">
            <v>Commissions - gross</v>
          </cell>
          <cell r="Y9305" t="str">
            <v>MALTA</v>
          </cell>
        </row>
        <row r="9306">
          <cell r="L9306" t="str">
            <v>Proportional</v>
          </cell>
          <cell r="S9306">
            <v>1699.23</v>
          </cell>
          <cell r="X9306" t="str">
            <v>Commissions - gross</v>
          </cell>
          <cell r="Y9306" t="str">
            <v>SWITZERLAND</v>
          </cell>
        </row>
        <row r="9307">
          <cell r="L9307" t="str">
            <v>Non-proportional</v>
          </cell>
          <cell r="S9307">
            <v>418.59</v>
          </cell>
          <cell r="X9307" t="str">
            <v>Commissions - gross</v>
          </cell>
          <cell r="Y9307" t="str">
            <v>FRANCE</v>
          </cell>
        </row>
        <row r="9308">
          <cell r="L9308" t="str">
            <v>Non-proportional</v>
          </cell>
          <cell r="S9308">
            <v>291.63</v>
          </cell>
          <cell r="X9308" t="str">
            <v>Commissions - gross</v>
          </cell>
          <cell r="Y9308" t="str">
            <v>JAPAN</v>
          </cell>
        </row>
        <row r="9309">
          <cell r="L9309" t="str">
            <v>Non-proportional</v>
          </cell>
          <cell r="S9309">
            <v>3.43</v>
          </cell>
          <cell r="X9309" t="str">
            <v>Commissions - gross</v>
          </cell>
          <cell r="Y9309" t="str">
            <v>ISRAEL</v>
          </cell>
        </row>
        <row r="9310">
          <cell r="L9310" t="str">
            <v>Proportional</v>
          </cell>
          <cell r="S9310">
            <v>-0.76</v>
          </cell>
          <cell r="X9310" t="str">
            <v>Commissions - gross</v>
          </cell>
          <cell r="Y9310" t="str">
            <v>UNITED STATES</v>
          </cell>
        </row>
        <row r="9311">
          <cell r="L9311" t="str">
            <v>Non-proportional</v>
          </cell>
          <cell r="S9311">
            <v>250.44</v>
          </cell>
          <cell r="X9311" t="str">
            <v>Commissions - gross</v>
          </cell>
          <cell r="Y9311" t="str">
            <v>CHILE</v>
          </cell>
        </row>
        <row r="9312">
          <cell r="L9312" t="str">
            <v>Non-proportional</v>
          </cell>
          <cell r="S9312">
            <v>133.69999999999999</v>
          </cell>
          <cell r="X9312" t="str">
            <v>Commissions - gross</v>
          </cell>
          <cell r="Y9312" t="str">
            <v>PUERTO RICO</v>
          </cell>
        </row>
        <row r="9313">
          <cell r="L9313" t="str">
            <v>Proportional</v>
          </cell>
          <cell r="S9313">
            <v>-4562.25</v>
          </cell>
          <cell r="X9313" t="str">
            <v>Commissions - gross</v>
          </cell>
          <cell r="Y9313" t="str">
            <v>PERU</v>
          </cell>
        </row>
        <row r="9314">
          <cell r="L9314" t="str">
            <v>Non-proportional</v>
          </cell>
          <cell r="S9314">
            <v>-42.14</v>
          </cell>
          <cell r="X9314" t="str">
            <v>Commissions - gross</v>
          </cell>
          <cell r="Y9314" t="str">
            <v>NEW ZEALAND</v>
          </cell>
        </row>
        <row r="9315">
          <cell r="L9315" t="str">
            <v>Non-proportional</v>
          </cell>
          <cell r="S9315">
            <v>95.06</v>
          </cell>
          <cell r="X9315" t="str">
            <v>Commissions - gross</v>
          </cell>
          <cell r="Y9315" t="str">
            <v>ECUADOR</v>
          </cell>
        </row>
        <row r="9316">
          <cell r="L9316" t="str">
            <v>Non-proportional</v>
          </cell>
          <cell r="S9316">
            <v>1556.9</v>
          </cell>
          <cell r="X9316" t="str">
            <v>Commissions - gross</v>
          </cell>
          <cell r="Y9316" t="str">
            <v>UNITED KINGDOM</v>
          </cell>
        </row>
        <row r="9317">
          <cell r="L9317" t="str">
            <v>Non-proportional</v>
          </cell>
          <cell r="S9317">
            <v>695.78</v>
          </cell>
          <cell r="X9317" t="str">
            <v>Commissions - gross</v>
          </cell>
          <cell r="Y9317" t="str">
            <v>ITALY</v>
          </cell>
        </row>
        <row r="9318">
          <cell r="L9318" t="str">
            <v>Non-proportional</v>
          </cell>
          <cell r="S9318">
            <v>19.239999999999998</v>
          </cell>
          <cell r="X9318" t="str">
            <v>Commissions - gross</v>
          </cell>
          <cell r="Y9318" t="str">
            <v>JAPAN</v>
          </cell>
        </row>
        <row r="9319">
          <cell r="L9319" t="str">
            <v>Non-proportional</v>
          </cell>
          <cell r="S9319">
            <v>126.07</v>
          </cell>
          <cell r="X9319" t="str">
            <v>Commissions - gross</v>
          </cell>
          <cell r="Y9319" t="str">
            <v>PERU</v>
          </cell>
        </row>
        <row r="9320">
          <cell r="L9320" t="str">
            <v>Non-proportional</v>
          </cell>
          <cell r="S9320">
            <v>-2183.81</v>
          </cell>
          <cell r="X9320" t="str">
            <v>Commissions - gross</v>
          </cell>
          <cell r="Y9320" t="str">
            <v>DOMINICAN REPUBLIC</v>
          </cell>
        </row>
        <row r="9321">
          <cell r="L9321" t="str">
            <v>Non-proportional</v>
          </cell>
          <cell r="S9321">
            <v>558.91999999999996</v>
          </cell>
          <cell r="X9321" t="str">
            <v>Commissions - gross</v>
          </cell>
          <cell r="Y9321" t="str">
            <v>ISRAEL</v>
          </cell>
        </row>
        <row r="9322">
          <cell r="L9322" t="str">
            <v>Non-proportional</v>
          </cell>
          <cell r="S9322">
            <v>493.33</v>
          </cell>
          <cell r="X9322" t="str">
            <v>Commissions - gross</v>
          </cell>
          <cell r="Y9322" t="str">
            <v>UNITED KINGDOM</v>
          </cell>
        </row>
        <row r="9323">
          <cell r="L9323" t="str">
            <v>Non-proportional</v>
          </cell>
          <cell r="S9323">
            <v>-810.16</v>
          </cell>
          <cell r="X9323" t="str">
            <v>Commissions - gross</v>
          </cell>
          <cell r="Y9323" t="str">
            <v>ECUADOR</v>
          </cell>
        </row>
        <row r="9324">
          <cell r="L9324" t="str">
            <v>Non-proportional</v>
          </cell>
          <cell r="S9324">
            <v>335.43</v>
          </cell>
          <cell r="X9324" t="str">
            <v>Commissions - gross</v>
          </cell>
          <cell r="Y9324" t="str">
            <v>UNITED KINGDOM</v>
          </cell>
        </row>
        <row r="9325">
          <cell r="L9325" t="str">
            <v>Non-proportional</v>
          </cell>
          <cell r="S9325">
            <v>178.87</v>
          </cell>
          <cell r="X9325" t="str">
            <v>Commissions - gross</v>
          </cell>
          <cell r="Y9325" t="str">
            <v>JAPAN</v>
          </cell>
        </row>
        <row r="9326">
          <cell r="L9326" t="str">
            <v>Non-proportional</v>
          </cell>
          <cell r="S9326">
            <v>293.70999999999998</v>
          </cell>
          <cell r="X9326" t="str">
            <v>Commissions - gross</v>
          </cell>
          <cell r="Y9326" t="str">
            <v>NETHERLANDS</v>
          </cell>
        </row>
        <row r="9327">
          <cell r="L9327" t="str">
            <v>Non-proportional</v>
          </cell>
          <cell r="S9327">
            <v>-28581.61</v>
          </cell>
          <cell r="X9327" t="str">
            <v>Commissions - gross</v>
          </cell>
          <cell r="Y9327" t="str">
            <v>AUSTRALIA</v>
          </cell>
        </row>
        <row r="9328">
          <cell r="L9328" t="str">
            <v>Non-proportional</v>
          </cell>
          <cell r="S9328">
            <v>25.08</v>
          </cell>
          <cell r="X9328" t="str">
            <v>Commissions - gross</v>
          </cell>
          <cell r="Y9328" t="str">
            <v>NEW ZEALAND</v>
          </cell>
        </row>
        <row r="9329">
          <cell r="L9329" t="str">
            <v>Proportional</v>
          </cell>
          <cell r="S9329">
            <v>31.5</v>
          </cell>
          <cell r="X9329" t="str">
            <v>Commissions - gross</v>
          </cell>
          <cell r="Y9329" t="str">
            <v>ITALY</v>
          </cell>
        </row>
        <row r="9330">
          <cell r="L9330" t="str">
            <v>Non-proportional</v>
          </cell>
          <cell r="S9330">
            <v>-5495.03</v>
          </cell>
          <cell r="X9330" t="str">
            <v>Commissions - gross</v>
          </cell>
          <cell r="Y9330" t="str">
            <v>COLOMBIA</v>
          </cell>
        </row>
        <row r="9331">
          <cell r="L9331" t="str">
            <v>Non-proportional</v>
          </cell>
          <cell r="S9331">
            <v>-4368.41</v>
          </cell>
          <cell r="X9331" t="str">
            <v>Commissions - gross</v>
          </cell>
          <cell r="Y9331" t="str">
            <v>DOMINICAN REPUBLIC</v>
          </cell>
        </row>
        <row r="9332">
          <cell r="L9332" t="str">
            <v>Non-proportional</v>
          </cell>
          <cell r="S9332">
            <v>885.5</v>
          </cell>
          <cell r="X9332" t="str">
            <v>Commissions - gross</v>
          </cell>
          <cell r="Y9332" t="str">
            <v>GERMANY</v>
          </cell>
        </row>
        <row r="9333">
          <cell r="L9333" t="str">
            <v>Non-proportional</v>
          </cell>
          <cell r="S9333">
            <v>423.85</v>
          </cell>
          <cell r="X9333" t="str">
            <v>Commissions - gross</v>
          </cell>
          <cell r="Y9333" t="str">
            <v>FRANCE</v>
          </cell>
        </row>
        <row r="9334">
          <cell r="L9334" t="str">
            <v>Non-proportional</v>
          </cell>
          <cell r="S9334">
            <v>444.9</v>
          </cell>
          <cell r="X9334" t="str">
            <v>Commissions - gross</v>
          </cell>
          <cell r="Y9334" t="str">
            <v>GUATEMALA</v>
          </cell>
        </row>
        <row r="9335">
          <cell r="L9335" t="str">
            <v>Proportional</v>
          </cell>
          <cell r="S9335">
            <v>278.27</v>
          </cell>
          <cell r="X9335" t="str">
            <v>Commissions - gross</v>
          </cell>
          <cell r="Y9335" t="str">
            <v>FRANCE</v>
          </cell>
        </row>
        <row r="9336">
          <cell r="L9336" t="str">
            <v>Non-proportional</v>
          </cell>
          <cell r="S9336">
            <v>378</v>
          </cell>
          <cell r="X9336" t="str">
            <v>Commissions - gross</v>
          </cell>
          <cell r="Y9336" t="str">
            <v>GREECE</v>
          </cell>
        </row>
        <row r="9337">
          <cell r="L9337" t="str">
            <v>Non-proportional</v>
          </cell>
          <cell r="S9337">
            <v>5.94</v>
          </cell>
          <cell r="X9337" t="str">
            <v>Commissions - gross</v>
          </cell>
          <cell r="Y9337" t="str">
            <v>THAILAND</v>
          </cell>
        </row>
        <row r="9338">
          <cell r="L9338" t="str">
            <v>Non-proportional</v>
          </cell>
          <cell r="S9338">
            <v>24</v>
          </cell>
          <cell r="X9338" t="str">
            <v>Commissions - gross</v>
          </cell>
          <cell r="Y9338" t="str">
            <v>COLOMBIA</v>
          </cell>
        </row>
        <row r="9339">
          <cell r="L9339" t="str">
            <v>Non-proportional</v>
          </cell>
          <cell r="S9339">
            <v>500.11</v>
          </cell>
          <cell r="X9339" t="str">
            <v>Commissions - gross</v>
          </cell>
          <cell r="Y9339" t="str">
            <v>ITALY</v>
          </cell>
        </row>
        <row r="9340">
          <cell r="L9340" t="str">
            <v>Non-proportional</v>
          </cell>
          <cell r="S9340">
            <v>-11.3</v>
          </cell>
          <cell r="X9340" t="str">
            <v>Commissions - gross</v>
          </cell>
          <cell r="Y9340" t="str">
            <v>JAPAN</v>
          </cell>
        </row>
        <row r="9341">
          <cell r="L9341" t="str">
            <v>Non-proportional</v>
          </cell>
          <cell r="S9341">
            <v>-1065.31</v>
          </cell>
          <cell r="X9341" t="str">
            <v>Commissions - gross</v>
          </cell>
          <cell r="Y9341" t="str">
            <v>DOMINICAN REPUBLIC</v>
          </cell>
        </row>
        <row r="9342">
          <cell r="L9342" t="str">
            <v>Non-proportional</v>
          </cell>
          <cell r="S9342">
            <v>-8.0500000000000007</v>
          </cell>
          <cell r="X9342" t="str">
            <v>Commissions - gross</v>
          </cell>
          <cell r="Y9342" t="str">
            <v>UNITED KINGDOM</v>
          </cell>
        </row>
        <row r="9343">
          <cell r="L9343" t="str">
            <v>Non-proportional</v>
          </cell>
          <cell r="S9343">
            <v>35.78</v>
          </cell>
          <cell r="X9343" t="str">
            <v>Commissions - gross</v>
          </cell>
          <cell r="Y9343" t="str">
            <v>CHILE</v>
          </cell>
        </row>
        <row r="9344">
          <cell r="L9344" t="str">
            <v>Non-proportional</v>
          </cell>
          <cell r="S9344">
            <v>33.47</v>
          </cell>
          <cell r="X9344" t="str">
            <v>Commissions - gross</v>
          </cell>
          <cell r="Y9344" t="str">
            <v>TURKEY</v>
          </cell>
        </row>
        <row r="9345">
          <cell r="L9345" t="str">
            <v>Non-proportional</v>
          </cell>
          <cell r="S9345">
            <v>-1803.23</v>
          </cell>
          <cell r="X9345" t="str">
            <v>Commissions - gross</v>
          </cell>
          <cell r="Y9345" t="str">
            <v>ECUADOR</v>
          </cell>
        </row>
        <row r="9346">
          <cell r="L9346" t="str">
            <v>Non-proportional</v>
          </cell>
          <cell r="S9346">
            <v>168.2</v>
          </cell>
          <cell r="X9346" t="str">
            <v>Commissions - gross</v>
          </cell>
          <cell r="Y9346" t="str">
            <v>PERU</v>
          </cell>
        </row>
        <row r="9347">
          <cell r="L9347" t="str">
            <v>Non-proportional</v>
          </cell>
          <cell r="S9347">
            <v>85.6</v>
          </cell>
          <cell r="X9347" t="str">
            <v>Commissions - gross</v>
          </cell>
          <cell r="Y9347" t="str">
            <v>FRANCE</v>
          </cell>
        </row>
        <row r="9348">
          <cell r="L9348" t="str">
            <v>Non-proportional</v>
          </cell>
          <cell r="S9348">
            <v>-673.28</v>
          </cell>
          <cell r="X9348" t="str">
            <v>Commissions - gross</v>
          </cell>
          <cell r="Y9348" t="str">
            <v>DOMINICAN REPUBLIC</v>
          </cell>
        </row>
        <row r="9349">
          <cell r="L9349" t="str">
            <v>Non-proportional</v>
          </cell>
          <cell r="S9349">
            <v>591.84</v>
          </cell>
          <cell r="X9349" t="str">
            <v>Commissions - gross</v>
          </cell>
          <cell r="Y9349" t="str">
            <v>EUROPE</v>
          </cell>
        </row>
        <row r="9350">
          <cell r="L9350" t="str">
            <v>Non-proportional</v>
          </cell>
          <cell r="S9350">
            <v>-1.29</v>
          </cell>
          <cell r="X9350" t="str">
            <v>Commissions - gross</v>
          </cell>
          <cell r="Y9350" t="str">
            <v>GUATEMALA</v>
          </cell>
        </row>
        <row r="9351">
          <cell r="L9351" t="str">
            <v>Non-proportional</v>
          </cell>
          <cell r="S9351">
            <v>664.24</v>
          </cell>
          <cell r="X9351" t="str">
            <v>Commissions - gross</v>
          </cell>
          <cell r="Y9351" t="str">
            <v>JAPAN</v>
          </cell>
        </row>
        <row r="9352">
          <cell r="L9352" t="str">
            <v>Non-proportional</v>
          </cell>
          <cell r="S9352">
            <v>-13362.98</v>
          </cell>
          <cell r="X9352" t="str">
            <v>Commissions - gross</v>
          </cell>
          <cell r="Y9352" t="str">
            <v>MEXICO</v>
          </cell>
        </row>
        <row r="9353">
          <cell r="L9353" t="str">
            <v>Non-proportional</v>
          </cell>
          <cell r="S9353">
            <v>445.57</v>
          </cell>
          <cell r="X9353" t="str">
            <v>Commissions - gross</v>
          </cell>
          <cell r="Y9353" t="str">
            <v>COSTA RICA</v>
          </cell>
        </row>
        <row r="9354">
          <cell r="L9354" t="str">
            <v>Non-proportional</v>
          </cell>
          <cell r="S9354">
            <v>598.22</v>
          </cell>
          <cell r="X9354" t="str">
            <v>Commissions - gross</v>
          </cell>
          <cell r="Y9354" t="str">
            <v>INDIA</v>
          </cell>
        </row>
        <row r="9355">
          <cell r="L9355" t="str">
            <v>Non-proportional</v>
          </cell>
          <cell r="S9355">
            <v>795.56</v>
          </cell>
          <cell r="X9355" t="str">
            <v>Commissions - gross</v>
          </cell>
          <cell r="Y9355" t="str">
            <v>NEW ZEALAND</v>
          </cell>
        </row>
        <row r="9356">
          <cell r="L9356" t="str">
            <v>Non-proportional</v>
          </cell>
          <cell r="S9356">
            <v>2884.86</v>
          </cell>
          <cell r="X9356" t="str">
            <v>Commissions - gross</v>
          </cell>
          <cell r="Y9356" t="str">
            <v>FRANCE</v>
          </cell>
        </row>
        <row r="9357">
          <cell r="L9357" t="str">
            <v>Non-proportional</v>
          </cell>
          <cell r="S9357">
            <v>564.24</v>
          </cell>
          <cell r="X9357" t="str">
            <v>Commissions - gross</v>
          </cell>
          <cell r="Y9357" t="str">
            <v>SINGAPORE</v>
          </cell>
        </row>
        <row r="9358">
          <cell r="L9358" t="str">
            <v>Non-proportional</v>
          </cell>
          <cell r="S9358">
            <v>0.43</v>
          </cell>
          <cell r="X9358" t="str">
            <v>Commissions - gross</v>
          </cell>
          <cell r="Y9358" t="str">
            <v>COSTA RICA</v>
          </cell>
        </row>
        <row r="9359">
          <cell r="L9359" t="str">
            <v>Non-proportional</v>
          </cell>
          <cell r="S9359">
            <v>587.74</v>
          </cell>
          <cell r="X9359" t="str">
            <v>Commissions - gross</v>
          </cell>
          <cell r="Y9359" t="str">
            <v>COSTA RICA</v>
          </cell>
        </row>
        <row r="9360">
          <cell r="L9360" t="str">
            <v>Non-proportional</v>
          </cell>
          <cell r="S9360">
            <v>6.8</v>
          </cell>
          <cell r="X9360" t="str">
            <v>Commissions - gross</v>
          </cell>
          <cell r="Y9360" t="str">
            <v>BRAZIL</v>
          </cell>
        </row>
        <row r="9361">
          <cell r="L9361" t="str">
            <v>Non-proportional</v>
          </cell>
          <cell r="S9361">
            <v>-21.96</v>
          </cell>
          <cell r="X9361" t="str">
            <v>Commissions - gross</v>
          </cell>
          <cell r="Y9361" t="str">
            <v>NEW ZEALAND</v>
          </cell>
        </row>
        <row r="9362">
          <cell r="L9362" t="str">
            <v>Proportional</v>
          </cell>
          <cell r="S9362">
            <v>1046.1300000000001</v>
          </cell>
          <cell r="X9362" t="str">
            <v>Commissions - gross</v>
          </cell>
          <cell r="Y9362" t="str">
            <v>SWITZERLAND</v>
          </cell>
        </row>
        <row r="9363">
          <cell r="L9363" t="str">
            <v>Non-proportional</v>
          </cell>
          <cell r="S9363">
            <v>-1.44</v>
          </cell>
          <cell r="X9363" t="str">
            <v>Commissions - gross</v>
          </cell>
          <cell r="Y9363" t="str">
            <v>JAPAN</v>
          </cell>
        </row>
        <row r="9364">
          <cell r="L9364" t="str">
            <v>Non-proportional</v>
          </cell>
          <cell r="S9364">
            <v>359.24</v>
          </cell>
          <cell r="X9364" t="str">
            <v>Commissions - gross</v>
          </cell>
          <cell r="Y9364" t="str">
            <v>FRANCE</v>
          </cell>
        </row>
        <row r="9365">
          <cell r="L9365" t="str">
            <v>Non-proportional</v>
          </cell>
          <cell r="S9365">
            <v>217.98</v>
          </cell>
          <cell r="X9365" t="str">
            <v>Commissions - gross</v>
          </cell>
          <cell r="Y9365" t="str">
            <v>FRANCE</v>
          </cell>
        </row>
        <row r="9366">
          <cell r="L9366" t="str">
            <v>Non-proportional</v>
          </cell>
          <cell r="S9366">
            <v>2362.0100000000002</v>
          </cell>
          <cell r="X9366" t="str">
            <v>Commissions - gross</v>
          </cell>
          <cell r="Y9366" t="str">
            <v>NEW ZEALAND</v>
          </cell>
        </row>
        <row r="9367">
          <cell r="L9367" t="str">
            <v>Non-proportional</v>
          </cell>
          <cell r="S9367">
            <v>500.87</v>
          </cell>
          <cell r="X9367" t="str">
            <v>Commissions - gross</v>
          </cell>
          <cell r="Y9367" t="str">
            <v>CHILE</v>
          </cell>
        </row>
        <row r="9368">
          <cell r="L9368" t="str">
            <v>Proportional</v>
          </cell>
          <cell r="S9368">
            <v>35.78</v>
          </cell>
          <cell r="X9368" t="str">
            <v>Commissions - gross</v>
          </cell>
          <cell r="Y9368" t="str">
            <v>CHILE</v>
          </cell>
        </row>
        <row r="9369">
          <cell r="L9369" t="str">
            <v>Non-proportional</v>
          </cell>
          <cell r="S9369">
            <v>741.76</v>
          </cell>
          <cell r="X9369" t="str">
            <v>Commissions - gross</v>
          </cell>
          <cell r="Y9369" t="str">
            <v>COLOMBIA</v>
          </cell>
        </row>
        <row r="9370">
          <cell r="L9370" t="str">
            <v>Non-proportional</v>
          </cell>
          <cell r="S9370">
            <v>1074.8699999999999</v>
          </cell>
          <cell r="X9370" t="str">
            <v>Commissions - gross</v>
          </cell>
          <cell r="Y9370" t="str">
            <v>ITALY</v>
          </cell>
        </row>
        <row r="9371">
          <cell r="L9371" t="str">
            <v>Non-proportional</v>
          </cell>
          <cell r="S9371">
            <v>164.68</v>
          </cell>
          <cell r="X9371" t="str">
            <v>Commissions - gross</v>
          </cell>
          <cell r="Y9371" t="str">
            <v>JAPAN</v>
          </cell>
        </row>
        <row r="9372">
          <cell r="L9372" t="str">
            <v>Non-proportional</v>
          </cell>
          <cell r="S9372">
            <v>49175.040000000001</v>
          </cell>
          <cell r="X9372" t="str">
            <v>Commissions - gross</v>
          </cell>
          <cell r="Y9372" t="str">
            <v>UNITED KINGDOM</v>
          </cell>
        </row>
        <row r="9373">
          <cell r="L9373" t="str">
            <v>Non-proportional</v>
          </cell>
          <cell r="S9373">
            <v>-214.66</v>
          </cell>
          <cell r="X9373" t="str">
            <v>Commissions - gross</v>
          </cell>
          <cell r="Y9373" t="str">
            <v>CHILE</v>
          </cell>
        </row>
        <row r="9374">
          <cell r="L9374" t="str">
            <v>Non-proportional</v>
          </cell>
          <cell r="S9374">
            <v>91.7</v>
          </cell>
          <cell r="X9374" t="str">
            <v>Commissions - gross</v>
          </cell>
          <cell r="Y9374" t="str">
            <v>ECUADOR</v>
          </cell>
        </row>
        <row r="9375">
          <cell r="L9375" t="str">
            <v>Non-proportional</v>
          </cell>
          <cell r="S9375">
            <v>235.75</v>
          </cell>
          <cell r="X9375" t="str">
            <v>Commissions - gross</v>
          </cell>
          <cell r="Y9375" t="str">
            <v>GERMANY</v>
          </cell>
        </row>
        <row r="9376">
          <cell r="L9376" t="str">
            <v>Non-proportional</v>
          </cell>
          <cell r="S9376">
            <v>1012.05</v>
          </cell>
          <cell r="X9376" t="str">
            <v>Commissions - gross</v>
          </cell>
          <cell r="Y9376" t="str">
            <v>ITALY</v>
          </cell>
        </row>
        <row r="9377">
          <cell r="L9377" t="str">
            <v>Non-proportional</v>
          </cell>
          <cell r="S9377">
            <v>14.63</v>
          </cell>
          <cell r="X9377" t="str">
            <v>Commissions - gross</v>
          </cell>
          <cell r="Y9377" t="str">
            <v>FRANCE</v>
          </cell>
        </row>
        <row r="9378">
          <cell r="L9378" t="str">
            <v>Non-proportional</v>
          </cell>
          <cell r="S9378">
            <v>-26.52</v>
          </cell>
          <cell r="X9378" t="str">
            <v>Commissions - gross</v>
          </cell>
          <cell r="Y9378" t="str">
            <v>NEW ZEALAND</v>
          </cell>
        </row>
        <row r="9379">
          <cell r="L9379" t="str">
            <v>Non-proportional</v>
          </cell>
          <cell r="S9379">
            <v>286.20999999999998</v>
          </cell>
          <cell r="X9379" t="str">
            <v>Commissions - gross</v>
          </cell>
          <cell r="Y9379" t="str">
            <v>CHILE</v>
          </cell>
        </row>
        <row r="9380">
          <cell r="L9380" t="str">
            <v>Non-proportional</v>
          </cell>
          <cell r="S9380">
            <v>359.38</v>
          </cell>
          <cell r="X9380" t="str">
            <v>Commissions - gross</v>
          </cell>
          <cell r="Y9380" t="str">
            <v>GREECE</v>
          </cell>
        </row>
        <row r="9381">
          <cell r="L9381" t="str">
            <v>Non-proportional</v>
          </cell>
          <cell r="S9381">
            <v>5392.95</v>
          </cell>
          <cell r="X9381" t="str">
            <v>Commissions - gross</v>
          </cell>
          <cell r="Y9381" t="str">
            <v>UNITED KINGDOM</v>
          </cell>
        </row>
        <row r="9382">
          <cell r="L9382" t="str">
            <v>Non-proportional</v>
          </cell>
          <cell r="S9382">
            <v>1201.19</v>
          </cell>
          <cell r="X9382" t="str">
            <v>Commissions - gross</v>
          </cell>
          <cell r="Y9382" t="str">
            <v>FRANCE</v>
          </cell>
        </row>
        <row r="9383">
          <cell r="L9383" t="str">
            <v>Non-proportional</v>
          </cell>
          <cell r="S9383">
            <v>1704.47</v>
          </cell>
          <cell r="X9383" t="str">
            <v>Commissions - gross</v>
          </cell>
          <cell r="Y9383" t="str">
            <v>JAPAN</v>
          </cell>
        </row>
        <row r="9384">
          <cell r="L9384" t="str">
            <v>Non-proportional</v>
          </cell>
          <cell r="S9384">
            <v>167.29</v>
          </cell>
          <cell r="X9384" t="str">
            <v>Commissions - gross</v>
          </cell>
          <cell r="Y9384" t="str">
            <v>JAPAN</v>
          </cell>
        </row>
        <row r="9385">
          <cell r="L9385" t="str">
            <v>Non-proportional</v>
          </cell>
          <cell r="S9385">
            <v>2527.98</v>
          </cell>
          <cell r="X9385" t="str">
            <v>Commissions - gross</v>
          </cell>
          <cell r="Y9385" t="str">
            <v>NEW ZEALAND</v>
          </cell>
        </row>
        <row r="9386">
          <cell r="L9386" t="str">
            <v>Non-proportional</v>
          </cell>
          <cell r="S9386">
            <v>-1988.53</v>
          </cell>
          <cell r="X9386" t="str">
            <v>Commissions - gross</v>
          </cell>
          <cell r="Y9386" t="str">
            <v>DOMINICAN REPUBLIC</v>
          </cell>
        </row>
        <row r="9387">
          <cell r="L9387" t="str">
            <v>Non-proportional</v>
          </cell>
          <cell r="S9387">
            <v>-4398.32</v>
          </cell>
          <cell r="X9387" t="str">
            <v>Commissions - gross</v>
          </cell>
          <cell r="Y9387" t="str">
            <v>COLOMBIA</v>
          </cell>
        </row>
        <row r="9388">
          <cell r="L9388" t="str">
            <v>Non-proportional</v>
          </cell>
          <cell r="S9388">
            <v>32.79</v>
          </cell>
          <cell r="X9388" t="str">
            <v>Commissions - gross</v>
          </cell>
          <cell r="Y9388" t="str">
            <v>COLOMBIA</v>
          </cell>
        </row>
        <row r="9389">
          <cell r="L9389" t="str">
            <v>Non-proportional</v>
          </cell>
          <cell r="S9389">
            <v>382.4</v>
          </cell>
          <cell r="X9389" t="str">
            <v>Commissions - gross</v>
          </cell>
          <cell r="Y9389" t="str">
            <v>ECUADOR</v>
          </cell>
        </row>
        <row r="9390">
          <cell r="L9390" t="str">
            <v>Proportional</v>
          </cell>
          <cell r="S9390">
            <v>9.9</v>
          </cell>
          <cell r="X9390" t="str">
            <v>Commissions - gross</v>
          </cell>
          <cell r="Y9390" t="str">
            <v>UNITED STATES</v>
          </cell>
        </row>
        <row r="9391">
          <cell r="L9391" t="str">
            <v>Non-proportional</v>
          </cell>
          <cell r="S9391">
            <v>3384.11</v>
          </cell>
          <cell r="X9391" t="str">
            <v>Commissions - gross</v>
          </cell>
          <cell r="Y9391" t="str">
            <v>UNITED KINGDOM</v>
          </cell>
        </row>
        <row r="9392">
          <cell r="L9392" t="str">
            <v>Non-proportional</v>
          </cell>
          <cell r="S9392">
            <v>73.48</v>
          </cell>
          <cell r="X9392" t="str">
            <v>Commissions - gross</v>
          </cell>
          <cell r="Y9392" t="str">
            <v>BRAZIL</v>
          </cell>
        </row>
        <row r="9393">
          <cell r="L9393" t="str">
            <v>Non-proportional</v>
          </cell>
          <cell r="S9393">
            <v>145.83000000000001</v>
          </cell>
          <cell r="X9393" t="str">
            <v>Commissions - gross</v>
          </cell>
          <cell r="Y9393" t="str">
            <v>GREECE</v>
          </cell>
        </row>
        <row r="9394">
          <cell r="L9394" t="str">
            <v>Non-proportional</v>
          </cell>
          <cell r="S9394">
            <v>885.5</v>
          </cell>
          <cell r="X9394" t="str">
            <v>Commissions - gross</v>
          </cell>
          <cell r="Y9394" t="str">
            <v>GERMANY</v>
          </cell>
        </row>
        <row r="9395">
          <cell r="L9395" t="str">
            <v>Non-proportional</v>
          </cell>
          <cell r="S9395">
            <v>-214.66</v>
          </cell>
          <cell r="X9395" t="str">
            <v>Commissions - gross</v>
          </cell>
          <cell r="Y9395" t="str">
            <v>CHILE</v>
          </cell>
        </row>
        <row r="9396">
          <cell r="L9396" t="str">
            <v>Non-proportional</v>
          </cell>
          <cell r="S9396">
            <v>100.16</v>
          </cell>
          <cell r="X9396" t="str">
            <v>Commissions - gross</v>
          </cell>
          <cell r="Y9396" t="str">
            <v>JAPAN</v>
          </cell>
        </row>
        <row r="9397">
          <cell r="L9397" t="str">
            <v>Non-proportional</v>
          </cell>
          <cell r="S9397">
            <v>739.68</v>
          </cell>
          <cell r="X9397" t="str">
            <v>Commissions - gross</v>
          </cell>
          <cell r="Y9397" t="str">
            <v>COSTA RICA</v>
          </cell>
        </row>
        <row r="9398">
          <cell r="L9398" t="str">
            <v>Non-proportional</v>
          </cell>
          <cell r="S9398">
            <v>772.93</v>
          </cell>
          <cell r="X9398" t="str">
            <v>Commissions - gross</v>
          </cell>
          <cell r="Y9398" t="str">
            <v>PUERTO RICO</v>
          </cell>
        </row>
        <row r="9399">
          <cell r="L9399" t="str">
            <v>Non-proportional</v>
          </cell>
          <cell r="S9399">
            <v>3943.24</v>
          </cell>
          <cell r="X9399" t="str">
            <v>Commissions - gross</v>
          </cell>
          <cell r="Y9399" t="str">
            <v>UNITED KINGDOM</v>
          </cell>
        </row>
        <row r="9400">
          <cell r="L9400" t="str">
            <v>Non-proportional</v>
          </cell>
          <cell r="S9400">
            <v>-3096.54</v>
          </cell>
          <cell r="X9400" t="str">
            <v>Commissions - gross</v>
          </cell>
          <cell r="Y9400" t="str">
            <v>AUSTRALIA</v>
          </cell>
        </row>
        <row r="9401">
          <cell r="L9401" t="str">
            <v>Non-proportional</v>
          </cell>
          <cell r="S9401">
            <v>1052.9100000000001</v>
          </cell>
          <cell r="X9401" t="str">
            <v>Commissions - gross</v>
          </cell>
          <cell r="Y9401" t="str">
            <v>NEW ZEALAND</v>
          </cell>
        </row>
        <row r="9402">
          <cell r="L9402" t="str">
            <v>Non-proportional</v>
          </cell>
          <cell r="S9402">
            <v>1000</v>
          </cell>
          <cell r="X9402" t="str">
            <v>Commissions - gross</v>
          </cell>
          <cell r="Y9402" t="str">
            <v>ITALY</v>
          </cell>
        </row>
        <row r="9403">
          <cell r="L9403" t="str">
            <v>Non-proportional</v>
          </cell>
          <cell r="S9403">
            <v>304.79000000000002</v>
          </cell>
          <cell r="X9403" t="str">
            <v>Commissions - gross</v>
          </cell>
          <cell r="Y9403" t="str">
            <v>INDIA</v>
          </cell>
        </row>
        <row r="9404">
          <cell r="L9404" t="str">
            <v>Non-proportional</v>
          </cell>
          <cell r="S9404">
            <v>3455.02</v>
          </cell>
          <cell r="X9404" t="str">
            <v>Commissions - gross</v>
          </cell>
          <cell r="Y9404" t="str">
            <v>UNITED KINGDOM</v>
          </cell>
        </row>
        <row r="9405">
          <cell r="L9405" t="str">
            <v>Non-proportional</v>
          </cell>
          <cell r="S9405">
            <v>249.31</v>
          </cell>
          <cell r="X9405" t="str">
            <v>Commissions - gross</v>
          </cell>
          <cell r="Y9405" t="str">
            <v>INDIA</v>
          </cell>
        </row>
        <row r="9406">
          <cell r="L9406" t="str">
            <v>Non-proportional</v>
          </cell>
          <cell r="S9406">
            <v>3418.53</v>
          </cell>
          <cell r="X9406" t="str">
            <v>Commissions - gross</v>
          </cell>
          <cell r="Y9406" t="str">
            <v>NEW ZEALAND</v>
          </cell>
        </row>
        <row r="9407">
          <cell r="L9407" t="str">
            <v>Non-proportional</v>
          </cell>
          <cell r="S9407">
            <v>-22.24</v>
          </cell>
          <cell r="X9407" t="str">
            <v>Commissions - gross</v>
          </cell>
          <cell r="Y9407" t="str">
            <v>COLOMBIA</v>
          </cell>
        </row>
        <row r="9408">
          <cell r="L9408" t="str">
            <v>Non-proportional</v>
          </cell>
          <cell r="S9408">
            <v>10572.33</v>
          </cell>
          <cell r="X9408" t="str">
            <v>Commissions - gross</v>
          </cell>
          <cell r="Y9408" t="str">
            <v>FRANCE</v>
          </cell>
        </row>
        <row r="9409">
          <cell r="L9409" t="str">
            <v>Non-proportional</v>
          </cell>
          <cell r="S9409">
            <v>904.39</v>
          </cell>
          <cell r="X9409" t="str">
            <v>Commissions - gross</v>
          </cell>
          <cell r="Y9409" t="str">
            <v>FRANCE</v>
          </cell>
        </row>
        <row r="9410">
          <cell r="L9410" t="str">
            <v>Non-proportional</v>
          </cell>
          <cell r="S9410">
            <v>-3649.54</v>
          </cell>
          <cell r="X9410" t="str">
            <v>Commissions - gross</v>
          </cell>
          <cell r="Y9410" t="str">
            <v>ECUADOR</v>
          </cell>
        </row>
        <row r="9411">
          <cell r="L9411" t="str">
            <v>Non-proportional</v>
          </cell>
          <cell r="S9411">
            <v>149.69</v>
          </cell>
          <cell r="X9411" t="str">
            <v>Commissions - gross</v>
          </cell>
          <cell r="Y9411" t="str">
            <v>GUATEMALA</v>
          </cell>
        </row>
        <row r="9412">
          <cell r="L9412" t="str">
            <v>Non-proportional</v>
          </cell>
          <cell r="S9412">
            <v>-18.079999999999998</v>
          </cell>
          <cell r="X9412" t="str">
            <v>Commissions - gross</v>
          </cell>
          <cell r="Y9412" t="str">
            <v>JAPAN</v>
          </cell>
        </row>
        <row r="9413">
          <cell r="L9413" t="str">
            <v>Non-proportional</v>
          </cell>
          <cell r="S9413">
            <v>71.17</v>
          </cell>
          <cell r="X9413" t="str">
            <v>Commissions - gross</v>
          </cell>
          <cell r="Y9413" t="str">
            <v>JAPAN</v>
          </cell>
        </row>
        <row r="9414">
          <cell r="L9414" t="str">
            <v>Non-proportional</v>
          </cell>
          <cell r="S9414">
            <v>-2503.91</v>
          </cell>
          <cell r="X9414" t="str">
            <v>Commissions - gross</v>
          </cell>
          <cell r="Y9414" t="str">
            <v>UNITED KINGDOM</v>
          </cell>
        </row>
        <row r="9415">
          <cell r="L9415" t="str">
            <v>Non-proportional</v>
          </cell>
          <cell r="S9415">
            <v>4298.9399999999996</v>
          </cell>
          <cell r="X9415" t="str">
            <v>Commissions - gross</v>
          </cell>
          <cell r="Y9415" t="str">
            <v>UNITED KINGDOM</v>
          </cell>
        </row>
        <row r="9416">
          <cell r="L9416" t="str">
            <v>Non-proportional</v>
          </cell>
          <cell r="S9416">
            <v>89.89</v>
          </cell>
          <cell r="X9416" t="str">
            <v>Commissions - gross</v>
          </cell>
          <cell r="Y9416" t="str">
            <v>FRANCE</v>
          </cell>
        </row>
        <row r="9417">
          <cell r="L9417" t="str">
            <v>Non-proportional</v>
          </cell>
          <cell r="S9417">
            <v>639.35</v>
          </cell>
          <cell r="X9417" t="str">
            <v>Commissions - gross</v>
          </cell>
          <cell r="Y9417" t="str">
            <v>NETHERLANDS</v>
          </cell>
        </row>
        <row r="9418">
          <cell r="L9418" t="str">
            <v>Non-proportional</v>
          </cell>
          <cell r="S9418">
            <v>5.35</v>
          </cell>
          <cell r="X9418" t="str">
            <v>Commissions - gross</v>
          </cell>
          <cell r="Y9418" t="str">
            <v>ISRAEL</v>
          </cell>
        </row>
        <row r="9419">
          <cell r="L9419" t="str">
            <v>Proportional</v>
          </cell>
          <cell r="S9419">
            <v>-639.41</v>
          </cell>
          <cell r="X9419" t="str">
            <v>Commissions - gross</v>
          </cell>
          <cell r="Y9419" t="str">
            <v>AUSTRALIA</v>
          </cell>
        </row>
        <row r="9420">
          <cell r="L9420" t="str">
            <v>Non-proportional</v>
          </cell>
          <cell r="S9420">
            <v>668.33</v>
          </cell>
          <cell r="X9420" t="str">
            <v>Commissions - gross</v>
          </cell>
          <cell r="Y9420" t="str">
            <v>FRANCE</v>
          </cell>
        </row>
        <row r="9421">
          <cell r="L9421" t="str">
            <v>Non-proportional</v>
          </cell>
          <cell r="S9421">
            <v>-5.4</v>
          </cell>
          <cell r="X9421" t="str">
            <v>Commissions - gross</v>
          </cell>
          <cell r="Y9421" t="str">
            <v>JAPAN</v>
          </cell>
        </row>
        <row r="9422">
          <cell r="L9422" t="str">
            <v>Non-proportional</v>
          </cell>
          <cell r="S9422">
            <v>-1.77</v>
          </cell>
          <cell r="X9422" t="str">
            <v>Commissions - gross</v>
          </cell>
          <cell r="Y9422" t="str">
            <v>JAPAN</v>
          </cell>
        </row>
        <row r="9423">
          <cell r="L9423" t="str">
            <v>Non-proportional</v>
          </cell>
          <cell r="S9423">
            <v>500.87</v>
          </cell>
          <cell r="X9423" t="str">
            <v>Commissions - gross</v>
          </cell>
          <cell r="Y9423" t="str">
            <v>CHILE</v>
          </cell>
        </row>
        <row r="9424">
          <cell r="L9424" t="str">
            <v>Non-proportional</v>
          </cell>
          <cell r="S9424">
            <v>515.19000000000005</v>
          </cell>
          <cell r="X9424" t="str">
            <v>Commissions - gross</v>
          </cell>
          <cell r="Y9424" t="str">
            <v>ITALY</v>
          </cell>
        </row>
        <row r="9425">
          <cell r="L9425" t="str">
            <v>Non-proportional</v>
          </cell>
          <cell r="S9425">
            <v>-26.53</v>
          </cell>
          <cell r="X9425" t="str">
            <v>Commissions - gross</v>
          </cell>
          <cell r="Y9425" t="str">
            <v>COLOMBIA</v>
          </cell>
        </row>
        <row r="9426">
          <cell r="L9426" t="str">
            <v>Non-proportional</v>
          </cell>
          <cell r="S9426">
            <v>87.37</v>
          </cell>
          <cell r="X9426" t="str">
            <v>Commissions - gross</v>
          </cell>
          <cell r="Y9426" t="str">
            <v>COSTA RICA</v>
          </cell>
        </row>
        <row r="9427">
          <cell r="L9427" t="str">
            <v>Non-proportional</v>
          </cell>
          <cell r="S9427">
            <v>-20.69</v>
          </cell>
          <cell r="X9427" t="str">
            <v>Commissions - gross</v>
          </cell>
          <cell r="Y9427" t="str">
            <v>JAPAN</v>
          </cell>
        </row>
        <row r="9428">
          <cell r="L9428" t="str">
            <v>Non-proportional</v>
          </cell>
          <cell r="S9428">
            <v>406.14</v>
          </cell>
          <cell r="X9428" t="str">
            <v>Commissions - gross</v>
          </cell>
          <cell r="Y9428" t="str">
            <v>FRANCE</v>
          </cell>
        </row>
        <row r="9429">
          <cell r="L9429" t="str">
            <v>Non-proportional</v>
          </cell>
          <cell r="S9429">
            <v>324.91000000000003</v>
          </cell>
          <cell r="X9429" t="str">
            <v>Commissions - gross</v>
          </cell>
          <cell r="Y9429" t="str">
            <v>FRANCE</v>
          </cell>
        </row>
        <row r="9430">
          <cell r="L9430" t="str">
            <v>Non-proportional</v>
          </cell>
          <cell r="S9430">
            <v>-29258.34</v>
          </cell>
          <cell r="X9430" t="str">
            <v>Commissions - gross</v>
          </cell>
          <cell r="Y9430" t="str">
            <v>AUSTRALIA</v>
          </cell>
        </row>
        <row r="9431">
          <cell r="L9431" t="str">
            <v>Non-proportional</v>
          </cell>
          <cell r="S9431">
            <v>1092.08</v>
          </cell>
          <cell r="X9431" t="str">
            <v>Commissions - gross</v>
          </cell>
          <cell r="Y9431" t="str">
            <v>CHILE</v>
          </cell>
        </row>
        <row r="9432">
          <cell r="L9432" t="str">
            <v>Non-proportional</v>
          </cell>
          <cell r="S9432">
            <v>22.67</v>
          </cell>
          <cell r="X9432" t="str">
            <v>Commissions - gross</v>
          </cell>
          <cell r="Y9432" t="str">
            <v>JAPAN</v>
          </cell>
        </row>
        <row r="9433">
          <cell r="L9433" t="str">
            <v>Non-proportional</v>
          </cell>
          <cell r="S9433">
            <v>0.01</v>
          </cell>
          <cell r="X9433" t="str">
            <v>Commissions - gross</v>
          </cell>
          <cell r="Y9433" t="str">
            <v>COLOMBIA</v>
          </cell>
        </row>
        <row r="9434">
          <cell r="L9434" t="str">
            <v>Non-proportional</v>
          </cell>
          <cell r="S9434">
            <v>-14.11</v>
          </cell>
          <cell r="X9434" t="str">
            <v>Commissions - gross</v>
          </cell>
          <cell r="Y9434" t="str">
            <v>TURKEY</v>
          </cell>
        </row>
        <row r="9435">
          <cell r="L9435" t="str">
            <v>Non-proportional</v>
          </cell>
          <cell r="S9435">
            <v>485.96</v>
          </cell>
          <cell r="X9435" t="str">
            <v>Commissions - gross</v>
          </cell>
          <cell r="Y9435" t="str">
            <v>UNITED KINGDOM</v>
          </cell>
        </row>
        <row r="9436">
          <cell r="L9436" t="str">
            <v>Non-proportional</v>
          </cell>
          <cell r="S9436">
            <v>374.99</v>
          </cell>
          <cell r="X9436" t="str">
            <v>Commissions - gross</v>
          </cell>
          <cell r="Y9436" t="str">
            <v>EUROPE</v>
          </cell>
        </row>
        <row r="9437">
          <cell r="L9437" t="str">
            <v>Non-proportional</v>
          </cell>
          <cell r="S9437">
            <v>173.52</v>
          </cell>
          <cell r="X9437" t="str">
            <v>Commissions - gross</v>
          </cell>
          <cell r="Y9437" t="str">
            <v>COSTA RICA</v>
          </cell>
        </row>
        <row r="9438">
          <cell r="L9438" t="str">
            <v>Non-proportional</v>
          </cell>
          <cell r="S9438">
            <v>86</v>
          </cell>
          <cell r="X9438" t="str">
            <v>Commissions - gross</v>
          </cell>
          <cell r="Y9438" t="str">
            <v>GREECE</v>
          </cell>
        </row>
        <row r="9439">
          <cell r="L9439" t="str">
            <v>Non-proportional</v>
          </cell>
          <cell r="S9439">
            <v>-5.4</v>
          </cell>
          <cell r="X9439" t="str">
            <v>Commissions - gross</v>
          </cell>
          <cell r="Y9439" t="str">
            <v>JAPAN</v>
          </cell>
        </row>
        <row r="9440">
          <cell r="L9440" t="str">
            <v>Non-proportional</v>
          </cell>
          <cell r="S9440">
            <v>314.33</v>
          </cell>
          <cell r="X9440" t="str">
            <v>Commissions - gross</v>
          </cell>
          <cell r="Y9440" t="str">
            <v>GERMANY</v>
          </cell>
        </row>
        <row r="9441">
          <cell r="L9441" t="str">
            <v>Non-proportional</v>
          </cell>
          <cell r="S9441">
            <v>-12582.8</v>
          </cell>
          <cell r="X9441" t="str">
            <v>Commissions - gross</v>
          </cell>
          <cell r="Y9441" t="str">
            <v>MEXICO</v>
          </cell>
        </row>
        <row r="9442">
          <cell r="L9442" t="str">
            <v>Proportional</v>
          </cell>
          <cell r="S9442">
            <v>0.97</v>
          </cell>
          <cell r="X9442" t="str">
            <v>Commissions - gross</v>
          </cell>
          <cell r="Y9442" t="str">
            <v>UNITED STATES</v>
          </cell>
        </row>
        <row r="9443">
          <cell r="L9443" t="str">
            <v>Non-proportional</v>
          </cell>
          <cell r="S9443">
            <v>393.76</v>
          </cell>
          <cell r="X9443" t="str">
            <v>Commissions - gross</v>
          </cell>
          <cell r="Y9443" t="str">
            <v>COLOMBIA</v>
          </cell>
        </row>
        <row r="9444">
          <cell r="L9444" t="str">
            <v>Non-proportional</v>
          </cell>
          <cell r="S9444">
            <v>1442.4</v>
          </cell>
          <cell r="X9444" t="str">
            <v>Commissions - gross</v>
          </cell>
          <cell r="Y9444" t="str">
            <v>FRANCE</v>
          </cell>
        </row>
        <row r="9445">
          <cell r="L9445" t="str">
            <v>Non-proportional</v>
          </cell>
          <cell r="S9445">
            <v>296.33999999999997</v>
          </cell>
          <cell r="X9445" t="str">
            <v>Commissions - gross</v>
          </cell>
          <cell r="Y9445" t="str">
            <v>THAILAND</v>
          </cell>
        </row>
        <row r="9446">
          <cell r="L9446" t="str">
            <v>Non-proportional</v>
          </cell>
          <cell r="S9446">
            <v>1000</v>
          </cell>
          <cell r="X9446" t="str">
            <v>Commissions - gross</v>
          </cell>
          <cell r="Y9446" t="str">
            <v>EUROPE</v>
          </cell>
        </row>
        <row r="9447">
          <cell r="L9447" t="str">
            <v>Non-proportional</v>
          </cell>
          <cell r="S9447">
            <v>183.78</v>
          </cell>
          <cell r="X9447" t="str">
            <v>Commissions - gross</v>
          </cell>
          <cell r="Y9447" t="str">
            <v>PERU</v>
          </cell>
        </row>
        <row r="9448">
          <cell r="L9448" t="str">
            <v>Non-proportional</v>
          </cell>
          <cell r="S9448">
            <v>-4446.51</v>
          </cell>
          <cell r="X9448" t="str">
            <v>Commissions - gross</v>
          </cell>
          <cell r="Y9448" t="str">
            <v>UNITED KINGDOM</v>
          </cell>
        </row>
        <row r="9449">
          <cell r="L9449" t="str">
            <v>Non-proportional</v>
          </cell>
          <cell r="S9449">
            <v>-21570.51</v>
          </cell>
          <cell r="X9449" t="str">
            <v>Commissions - gross</v>
          </cell>
          <cell r="Y9449" t="str">
            <v>MEXICO</v>
          </cell>
        </row>
        <row r="9450">
          <cell r="L9450" t="str">
            <v>Non-proportional</v>
          </cell>
          <cell r="S9450">
            <v>-2872.95</v>
          </cell>
          <cell r="X9450" t="str">
            <v>Commissions - gross</v>
          </cell>
          <cell r="Y9450" t="str">
            <v>BELIZE</v>
          </cell>
        </row>
        <row r="9451">
          <cell r="L9451" t="str">
            <v>Non-proportional</v>
          </cell>
          <cell r="S9451">
            <v>669.18</v>
          </cell>
          <cell r="X9451" t="str">
            <v>Commissions - gross</v>
          </cell>
          <cell r="Y9451" t="str">
            <v>MEXICO</v>
          </cell>
        </row>
        <row r="9452">
          <cell r="L9452" t="str">
            <v>Non-proportional</v>
          </cell>
          <cell r="S9452">
            <v>209.07</v>
          </cell>
          <cell r="X9452" t="str">
            <v>Commissions - gross</v>
          </cell>
          <cell r="Y9452" t="str">
            <v>CHINA</v>
          </cell>
        </row>
        <row r="9453">
          <cell r="L9453" t="str">
            <v>Non-proportional</v>
          </cell>
          <cell r="S9453">
            <v>512.26</v>
          </cell>
          <cell r="X9453" t="str">
            <v>Commissions - gross</v>
          </cell>
          <cell r="Y9453" t="str">
            <v>ISRAEL</v>
          </cell>
        </row>
        <row r="9454">
          <cell r="L9454" t="str">
            <v>Non-proportional</v>
          </cell>
          <cell r="S9454">
            <v>1200.1300000000001</v>
          </cell>
          <cell r="X9454" t="str">
            <v>Commissions - gross</v>
          </cell>
          <cell r="Y9454" t="str">
            <v>ITALY</v>
          </cell>
        </row>
        <row r="9455">
          <cell r="L9455" t="str">
            <v>Non-proportional</v>
          </cell>
          <cell r="S9455">
            <v>1097.48</v>
          </cell>
          <cell r="X9455" t="str">
            <v>Commissions - gross</v>
          </cell>
          <cell r="Y9455" t="str">
            <v>GERMANY</v>
          </cell>
        </row>
        <row r="9456">
          <cell r="L9456" t="str">
            <v>Non-proportional</v>
          </cell>
          <cell r="S9456">
            <v>665.89</v>
          </cell>
          <cell r="X9456" t="str">
            <v>Commissions - gross</v>
          </cell>
          <cell r="Y9456" t="str">
            <v>CYPRUS</v>
          </cell>
        </row>
        <row r="9457">
          <cell r="L9457" t="str">
            <v>Non-proportional</v>
          </cell>
          <cell r="S9457">
            <v>3.73</v>
          </cell>
          <cell r="X9457" t="str">
            <v>Commissions - gross</v>
          </cell>
          <cell r="Y9457" t="str">
            <v>COSTA RICA</v>
          </cell>
        </row>
        <row r="9458">
          <cell r="L9458" t="str">
            <v>Proportional</v>
          </cell>
          <cell r="S9458">
            <v>337.12</v>
          </cell>
          <cell r="X9458" t="str">
            <v>Commissions - gross</v>
          </cell>
          <cell r="Y9458" t="str">
            <v>ITALY</v>
          </cell>
        </row>
        <row r="9459">
          <cell r="L9459" t="str">
            <v>Non-proportional</v>
          </cell>
          <cell r="S9459">
            <v>184.47</v>
          </cell>
          <cell r="X9459" t="str">
            <v>Commissions - gross</v>
          </cell>
          <cell r="Y9459" t="str">
            <v>NEW ZEALAND</v>
          </cell>
        </row>
        <row r="9460">
          <cell r="L9460" t="str">
            <v>Non-proportional</v>
          </cell>
          <cell r="S9460">
            <v>0</v>
          </cell>
          <cell r="X9460" t="str">
            <v>Commissions - gross</v>
          </cell>
          <cell r="Y9460" t="str">
            <v>COLOMBIA</v>
          </cell>
        </row>
        <row r="9461">
          <cell r="L9461" t="str">
            <v>Non-proportional</v>
          </cell>
          <cell r="S9461">
            <v>6.43</v>
          </cell>
          <cell r="X9461" t="str">
            <v>Commissions - gross</v>
          </cell>
          <cell r="Y9461" t="str">
            <v>ISRAEL</v>
          </cell>
        </row>
        <row r="9462">
          <cell r="L9462" t="str">
            <v>Non-proportional</v>
          </cell>
          <cell r="S9462">
            <v>38.75</v>
          </cell>
          <cell r="X9462" t="str">
            <v>Commissions - gross</v>
          </cell>
          <cell r="Y9462" t="str">
            <v>ITALY</v>
          </cell>
        </row>
        <row r="9463">
          <cell r="L9463" t="str">
            <v>Non-proportional</v>
          </cell>
          <cell r="S9463">
            <v>177.75</v>
          </cell>
          <cell r="X9463" t="str">
            <v>Commissions - gross</v>
          </cell>
          <cell r="Y9463" t="str">
            <v>GREECE</v>
          </cell>
        </row>
        <row r="9464">
          <cell r="L9464" t="str">
            <v>Non-proportional</v>
          </cell>
          <cell r="S9464">
            <v>287.19</v>
          </cell>
          <cell r="X9464" t="str">
            <v>Commissions - gross</v>
          </cell>
          <cell r="Y9464" t="str">
            <v>JAPAN</v>
          </cell>
        </row>
        <row r="9465">
          <cell r="L9465" t="str">
            <v>Non-proportional</v>
          </cell>
          <cell r="S9465">
            <v>109.21</v>
          </cell>
          <cell r="X9465" t="str">
            <v>Commissions - gross</v>
          </cell>
          <cell r="Y9465" t="str">
            <v>JAPAN</v>
          </cell>
        </row>
        <row r="9466">
          <cell r="L9466" t="str">
            <v>Non-proportional</v>
          </cell>
          <cell r="S9466">
            <v>4079.99</v>
          </cell>
          <cell r="X9466" t="str">
            <v>Commissions - gross</v>
          </cell>
          <cell r="Y9466" t="str">
            <v>TURKEY</v>
          </cell>
        </row>
        <row r="9467">
          <cell r="L9467" t="str">
            <v>Non-proportional</v>
          </cell>
          <cell r="S9467">
            <v>-3072.23</v>
          </cell>
          <cell r="X9467" t="str">
            <v>Commissions - gross</v>
          </cell>
          <cell r="Y9467" t="str">
            <v>DOMINICAN REPUBLIC</v>
          </cell>
        </row>
        <row r="9468">
          <cell r="L9468" t="str">
            <v>Non-proportional</v>
          </cell>
          <cell r="S9468">
            <v>419.16</v>
          </cell>
          <cell r="X9468" t="str">
            <v>Commissions - gross</v>
          </cell>
          <cell r="Y9468" t="str">
            <v>UNITED KINGDOM</v>
          </cell>
        </row>
        <row r="9469">
          <cell r="L9469" t="str">
            <v>Non-proportional</v>
          </cell>
          <cell r="S9469">
            <v>884.39</v>
          </cell>
          <cell r="X9469" t="str">
            <v>Commissions - gross</v>
          </cell>
          <cell r="Y9469" t="str">
            <v>TURKEY</v>
          </cell>
        </row>
        <row r="9470">
          <cell r="L9470" t="str">
            <v>Non-proportional</v>
          </cell>
          <cell r="S9470">
            <v>525.72</v>
          </cell>
          <cell r="X9470" t="str">
            <v>Commissions - gross</v>
          </cell>
          <cell r="Y9470" t="str">
            <v>ISRAEL</v>
          </cell>
        </row>
        <row r="9471">
          <cell r="L9471" t="str">
            <v>Non-proportional</v>
          </cell>
          <cell r="S9471">
            <v>344.61</v>
          </cell>
          <cell r="X9471" t="str">
            <v>Commissions - gross</v>
          </cell>
          <cell r="Y9471" t="str">
            <v>GUATEMALA</v>
          </cell>
        </row>
        <row r="9472">
          <cell r="L9472" t="str">
            <v>Non-proportional</v>
          </cell>
          <cell r="S9472">
            <v>323.36</v>
          </cell>
          <cell r="X9472" t="str">
            <v>Commissions - gross</v>
          </cell>
          <cell r="Y9472" t="str">
            <v>ECUADOR</v>
          </cell>
        </row>
        <row r="9473">
          <cell r="L9473" t="str">
            <v>Non-proportional</v>
          </cell>
          <cell r="S9473">
            <v>-30.49</v>
          </cell>
          <cell r="X9473" t="str">
            <v>Commissions - gross</v>
          </cell>
          <cell r="Y9473" t="str">
            <v>NEW ZEALAND</v>
          </cell>
        </row>
        <row r="9474">
          <cell r="L9474" t="str">
            <v>Non-proportional</v>
          </cell>
          <cell r="S9474">
            <v>3217.13</v>
          </cell>
          <cell r="X9474" t="str">
            <v>Commissions - gross</v>
          </cell>
          <cell r="Y9474" t="str">
            <v>HONG KONG</v>
          </cell>
        </row>
        <row r="9475">
          <cell r="L9475" t="str">
            <v>Non-proportional</v>
          </cell>
          <cell r="S9475">
            <v>1458.34</v>
          </cell>
          <cell r="X9475" t="str">
            <v>Commissions - gross</v>
          </cell>
          <cell r="Y9475" t="str">
            <v>EUROPE</v>
          </cell>
        </row>
        <row r="9476">
          <cell r="L9476" t="str">
            <v>Non-proportional</v>
          </cell>
          <cell r="S9476">
            <v>-21752.27</v>
          </cell>
          <cell r="X9476" t="str">
            <v>Commissions - gross</v>
          </cell>
          <cell r="Y9476" t="str">
            <v>CHILE</v>
          </cell>
        </row>
        <row r="9477">
          <cell r="L9477" t="str">
            <v>Proportional</v>
          </cell>
          <cell r="S9477">
            <v>600.72</v>
          </cell>
          <cell r="X9477" t="str">
            <v>Commissions - gross</v>
          </cell>
          <cell r="Y9477" t="str">
            <v>ITALY</v>
          </cell>
        </row>
        <row r="9478">
          <cell r="L9478" t="str">
            <v>Non-proportional</v>
          </cell>
          <cell r="S9478">
            <v>113.12</v>
          </cell>
          <cell r="X9478" t="str">
            <v>Commissions - gross</v>
          </cell>
          <cell r="Y9478" t="str">
            <v>CYPRUS</v>
          </cell>
        </row>
        <row r="9479">
          <cell r="L9479" t="str">
            <v>Non-proportional</v>
          </cell>
          <cell r="S9479">
            <v>1.58</v>
          </cell>
          <cell r="X9479" t="str">
            <v>Commissions - gross</v>
          </cell>
          <cell r="Y9479" t="str">
            <v>ISRAEL</v>
          </cell>
        </row>
        <row r="9480">
          <cell r="L9480" t="str">
            <v>Non-proportional</v>
          </cell>
          <cell r="S9480">
            <v>289.01</v>
          </cell>
          <cell r="X9480" t="str">
            <v>Commissions - gross</v>
          </cell>
          <cell r="Y9480" t="str">
            <v>THAILAND</v>
          </cell>
        </row>
        <row r="9481">
          <cell r="L9481" t="str">
            <v>Non-proportional</v>
          </cell>
          <cell r="S9481">
            <v>130.38</v>
          </cell>
          <cell r="X9481" t="str">
            <v>Commissions - gross</v>
          </cell>
          <cell r="Y9481" t="str">
            <v>CYPRUS</v>
          </cell>
        </row>
        <row r="9482">
          <cell r="L9482" t="str">
            <v>Non-proportional</v>
          </cell>
          <cell r="S9482">
            <v>4516.34</v>
          </cell>
          <cell r="X9482" t="str">
            <v>Commissions - gross</v>
          </cell>
          <cell r="Y9482" t="str">
            <v>UNITED KINGDOM</v>
          </cell>
        </row>
        <row r="9483">
          <cell r="L9483" t="str">
            <v>Non-proportional</v>
          </cell>
          <cell r="S9483">
            <v>-2843.21</v>
          </cell>
          <cell r="X9483" t="str">
            <v>Commissions - gross</v>
          </cell>
          <cell r="Y9483" t="str">
            <v>ECUADOR</v>
          </cell>
        </row>
        <row r="9484">
          <cell r="L9484" t="str">
            <v>Proportional</v>
          </cell>
          <cell r="S9484">
            <v>4.46</v>
          </cell>
          <cell r="X9484" t="str">
            <v>Commissions - gross</v>
          </cell>
          <cell r="Y9484" t="str">
            <v>UNITED STATES</v>
          </cell>
        </row>
        <row r="9485">
          <cell r="L9485" t="str">
            <v>Non-proportional</v>
          </cell>
          <cell r="S9485">
            <v>-1536.25</v>
          </cell>
          <cell r="X9485" t="str">
            <v>Commissions - gross</v>
          </cell>
          <cell r="Y9485" t="str">
            <v>UNITED KINGDOM</v>
          </cell>
        </row>
        <row r="9486">
          <cell r="L9486" t="str">
            <v>Non-proportional</v>
          </cell>
          <cell r="S9486">
            <v>645.03</v>
          </cell>
          <cell r="X9486" t="str">
            <v>Commissions - gross</v>
          </cell>
          <cell r="Y9486" t="str">
            <v>ISRAEL</v>
          </cell>
        </row>
        <row r="9487">
          <cell r="L9487" t="str">
            <v>Non-proportional</v>
          </cell>
          <cell r="S9487">
            <v>-10829.23</v>
          </cell>
          <cell r="X9487" t="str">
            <v>Commissions - gross</v>
          </cell>
          <cell r="Y9487" t="str">
            <v>ECUADOR</v>
          </cell>
        </row>
        <row r="9488">
          <cell r="L9488" t="str">
            <v>Non-proportional</v>
          </cell>
          <cell r="S9488">
            <v>173.22</v>
          </cell>
          <cell r="X9488" t="str">
            <v>Commissions - gross</v>
          </cell>
          <cell r="Y9488" t="str">
            <v>JAPAN</v>
          </cell>
        </row>
        <row r="9489">
          <cell r="L9489" t="str">
            <v>Proportional</v>
          </cell>
          <cell r="S9489">
            <v>39.82</v>
          </cell>
          <cell r="X9489" t="str">
            <v>Commissions - gross</v>
          </cell>
          <cell r="Y9489" t="str">
            <v>PERU</v>
          </cell>
        </row>
        <row r="9490">
          <cell r="L9490" t="str">
            <v>Non-proportional</v>
          </cell>
          <cell r="S9490">
            <v>877.51</v>
          </cell>
          <cell r="X9490" t="str">
            <v>Commissions - gross</v>
          </cell>
          <cell r="Y9490" t="str">
            <v>FRANCE</v>
          </cell>
        </row>
        <row r="9491">
          <cell r="L9491" t="str">
            <v>Non-proportional</v>
          </cell>
          <cell r="S9491">
            <v>1134.46</v>
          </cell>
          <cell r="X9491" t="str">
            <v>Commissions - gross</v>
          </cell>
          <cell r="Y9491" t="str">
            <v>COLOMBIA</v>
          </cell>
        </row>
        <row r="9492">
          <cell r="L9492" t="str">
            <v>Non-proportional</v>
          </cell>
          <cell r="S9492">
            <v>1451.8</v>
          </cell>
          <cell r="X9492" t="str">
            <v>Commissions - gross</v>
          </cell>
          <cell r="Y9492" t="str">
            <v>TURKEY</v>
          </cell>
        </row>
        <row r="9493">
          <cell r="L9493" t="str">
            <v>Non-proportional</v>
          </cell>
          <cell r="S9493">
            <v>-0.1</v>
          </cell>
          <cell r="X9493" t="str">
            <v>Commissions - gross</v>
          </cell>
          <cell r="Y9493" t="str">
            <v>GUATEMALA</v>
          </cell>
        </row>
        <row r="9494">
          <cell r="L9494" t="str">
            <v>Non-proportional</v>
          </cell>
          <cell r="S9494">
            <v>347.94</v>
          </cell>
          <cell r="X9494" t="str">
            <v>Commissions - gross</v>
          </cell>
          <cell r="Y9494" t="str">
            <v>JAPAN</v>
          </cell>
        </row>
        <row r="9495">
          <cell r="L9495" t="str">
            <v>Non-proportional</v>
          </cell>
          <cell r="S9495">
            <v>1836.37</v>
          </cell>
          <cell r="X9495" t="str">
            <v>Commissions - gross</v>
          </cell>
          <cell r="Y9495" t="str">
            <v>CHINA</v>
          </cell>
        </row>
        <row r="9496">
          <cell r="L9496" t="str">
            <v>Non-proportional</v>
          </cell>
          <cell r="S9496">
            <v>44.55</v>
          </cell>
          <cell r="X9496" t="str">
            <v>Commissions - gross</v>
          </cell>
          <cell r="Y9496" t="str">
            <v>JAPAN</v>
          </cell>
        </row>
        <row r="9497">
          <cell r="L9497" t="str">
            <v>Non-proportional</v>
          </cell>
          <cell r="S9497">
            <v>-14.75</v>
          </cell>
          <cell r="X9497" t="str">
            <v>Commissions - gross</v>
          </cell>
          <cell r="Y9497" t="str">
            <v>NEW ZEALAND</v>
          </cell>
        </row>
        <row r="9498">
          <cell r="L9498" t="str">
            <v>Non-proportional</v>
          </cell>
          <cell r="S9498">
            <v>107.65</v>
          </cell>
          <cell r="X9498" t="str">
            <v>Commissions - gross</v>
          </cell>
          <cell r="Y9498" t="str">
            <v>JAPAN</v>
          </cell>
        </row>
        <row r="9499">
          <cell r="L9499" t="str">
            <v>Non-proportional</v>
          </cell>
          <cell r="S9499">
            <v>4.29</v>
          </cell>
          <cell r="X9499" t="str">
            <v>Commissions - gross</v>
          </cell>
          <cell r="Y9499" t="str">
            <v>ISRAEL</v>
          </cell>
        </row>
        <row r="9500">
          <cell r="L9500" t="str">
            <v>Non-proportional</v>
          </cell>
          <cell r="S9500">
            <v>7449.01</v>
          </cell>
          <cell r="X9500" t="str">
            <v>Commissions - gross</v>
          </cell>
          <cell r="Y9500" t="str">
            <v>UNITED KINGDOM</v>
          </cell>
        </row>
        <row r="9501">
          <cell r="L9501" t="str">
            <v>Non-proportional</v>
          </cell>
          <cell r="S9501">
            <v>20.57</v>
          </cell>
          <cell r="X9501" t="str">
            <v>Commissions - gross</v>
          </cell>
          <cell r="Y9501" t="str">
            <v>FRANCE</v>
          </cell>
        </row>
        <row r="9502">
          <cell r="L9502" t="str">
            <v>Non-proportional</v>
          </cell>
          <cell r="S9502">
            <v>1382.69</v>
          </cell>
          <cell r="X9502" t="str">
            <v>Commissions - gross</v>
          </cell>
          <cell r="Y9502" t="str">
            <v>UNITED KINGDOM</v>
          </cell>
        </row>
        <row r="9503">
          <cell r="L9503" t="str">
            <v>Proportional</v>
          </cell>
          <cell r="S9503">
            <v>3967.73</v>
          </cell>
          <cell r="X9503" t="str">
            <v>Commissions - gross</v>
          </cell>
          <cell r="Y9503" t="str">
            <v>UNITED STATES</v>
          </cell>
        </row>
        <row r="9504">
          <cell r="L9504" t="str">
            <v>Non-proportional</v>
          </cell>
          <cell r="S9504">
            <v>3034.6</v>
          </cell>
          <cell r="X9504" t="str">
            <v>Commissions - gross</v>
          </cell>
          <cell r="Y9504" t="str">
            <v>FRANCE</v>
          </cell>
        </row>
        <row r="9505">
          <cell r="L9505" t="str">
            <v>Non-proportional</v>
          </cell>
          <cell r="S9505">
            <v>61.7</v>
          </cell>
          <cell r="X9505" t="str">
            <v>Commissions - gross</v>
          </cell>
          <cell r="Y9505" t="str">
            <v>FRANCE</v>
          </cell>
        </row>
        <row r="9506">
          <cell r="L9506" t="str">
            <v>Non-proportional</v>
          </cell>
          <cell r="S9506">
            <v>-1860.39</v>
          </cell>
          <cell r="X9506" t="str">
            <v>Commissions - gross</v>
          </cell>
          <cell r="Y9506" t="str">
            <v>CHILE</v>
          </cell>
        </row>
        <row r="9507">
          <cell r="L9507" t="str">
            <v>Non-proportional</v>
          </cell>
          <cell r="S9507">
            <v>174.93</v>
          </cell>
          <cell r="X9507" t="str">
            <v>Commissions - gross</v>
          </cell>
          <cell r="Y9507" t="str">
            <v>SOUTH AFRICA</v>
          </cell>
        </row>
        <row r="9508">
          <cell r="L9508" t="str">
            <v>Non-proportional</v>
          </cell>
          <cell r="S9508">
            <v>2475</v>
          </cell>
          <cell r="X9508" t="str">
            <v>Commissions - gross</v>
          </cell>
          <cell r="Y9508" t="str">
            <v>GREECE</v>
          </cell>
        </row>
        <row r="9509">
          <cell r="L9509" t="str">
            <v>Non-proportional</v>
          </cell>
          <cell r="S9509">
            <v>93.89</v>
          </cell>
          <cell r="X9509" t="str">
            <v>Commissions - gross</v>
          </cell>
          <cell r="Y9509" t="str">
            <v>JAPAN</v>
          </cell>
        </row>
        <row r="9510">
          <cell r="L9510" t="str">
            <v>Non-proportional</v>
          </cell>
          <cell r="S9510">
            <v>-3.04</v>
          </cell>
          <cell r="X9510" t="str">
            <v>Commissions - gross</v>
          </cell>
          <cell r="Y9510" t="str">
            <v>JAPAN</v>
          </cell>
        </row>
        <row r="9511">
          <cell r="L9511" t="str">
            <v>Proportional</v>
          </cell>
          <cell r="S9511">
            <v>9.84</v>
          </cell>
          <cell r="X9511" t="str">
            <v>Commissions - gross</v>
          </cell>
          <cell r="Y9511" t="str">
            <v>UNITED STATES</v>
          </cell>
        </row>
        <row r="9512">
          <cell r="L9512" t="str">
            <v>Non-proportional</v>
          </cell>
          <cell r="S9512">
            <v>823.83</v>
          </cell>
          <cell r="X9512" t="str">
            <v>Commissions - gross</v>
          </cell>
          <cell r="Y9512" t="str">
            <v>ITALY</v>
          </cell>
        </row>
        <row r="9513">
          <cell r="L9513" t="str">
            <v>Non-proportional</v>
          </cell>
          <cell r="S9513">
            <v>-3827.72</v>
          </cell>
          <cell r="X9513" t="str">
            <v>Commissions - gross</v>
          </cell>
          <cell r="Y9513" t="str">
            <v>DOMINICAN REPUBLIC</v>
          </cell>
        </row>
        <row r="9514">
          <cell r="L9514" t="str">
            <v>Non-proportional</v>
          </cell>
          <cell r="S9514">
            <v>202.99</v>
          </cell>
          <cell r="X9514" t="str">
            <v>Commissions - gross</v>
          </cell>
          <cell r="Y9514" t="str">
            <v>CYPRUS</v>
          </cell>
        </row>
        <row r="9515">
          <cell r="L9515" t="str">
            <v>Non-proportional</v>
          </cell>
          <cell r="S9515">
            <v>13.29</v>
          </cell>
          <cell r="X9515" t="str">
            <v>Commissions - gross</v>
          </cell>
          <cell r="Y9515" t="str">
            <v>ITALY</v>
          </cell>
        </row>
        <row r="9516">
          <cell r="L9516" t="str">
            <v>Non-proportional</v>
          </cell>
          <cell r="S9516">
            <v>-6605.86</v>
          </cell>
          <cell r="X9516" t="str">
            <v>Commissions - gross</v>
          </cell>
          <cell r="Y9516" t="str">
            <v>UNITED KINGDOM</v>
          </cell>
        </row>
        <row r="9517">
          <cell r="L9517" t="str">
            <v>Non-proportional</v>
          </cell>
          <cell r="S9517">
            <v>166.46</v>
          </cell>
          <cell r="X9517" t="str">
            <v>Commissions - gross</v>
          </cell>
          <cell r="Y9517" t="str">
            <v>FRANCE</v>
          </cell>
        </row>
        <row r="9518">
          <cell r="L9518" t="str">
            <v>Non-proportional</v>
          </cell>
          <cell r="S9518">
            <v>983.28</v>
          </cell>
          <cell r="X9518" t="str">
            <v>Commissions - gross</v>
          </cell>
          <cell r="Y9518" t="str">
            <v>FRANCE</v>
          </cell>
        </row>
        <row r="9519">
          <cell r="L9519" t="str">
            <v>Non-proportional</v>
          </cell>
          <cell r="S9519">
            <v>289.47000000000003</v>
          </cell>
          <cell r="X9519" t="str">
            <v>Commissions - gross</v>
          </cell>
          <cell r="Y9519" t="str">
            <v>ISRAEL</v>
          </cell>
        </row>
        <row r="9520">
          <cell r="L9520" t="str">
            <v>Non-proportional</v>
          </cell>
          <cell r="S9520">
            <v>218.75</v>
          </cell>
          <cell r="X9520" t="str">
            <v>Commissions - gross</v>
          </cell>
          <cell r="Y9520" t="str">
            <v>GERMANY</v>
          </cell>
        </row>
        <row r="9521">
          <cell r="L9521" t="str">
            <v>Non-proportional</v>
          </cell>
          <cell r="S9521">
            <v>167.29</v>
          </cell>
          <cell r="X9521" t="str">
            <v>Commissions - gross</v>
          </cell>
          <cell r="Y9521" t="str">
            <v>JAPAN</v>
          </cell>
        </row>
        <row r="9522">
          <cell r="L9522" t="str">
            <v>Non-proportional</v>
          </cell>
          <cell r="S9522">
            <v>-4.38</v>
          </cell>
          <cell r="X9522" t="str">
            <v>Commissions - gross</v>
          </cell>
          <cell r="Y9522" t="str">
            <v>UNITED KINGDOM</v>
          </cell>
        </row>
        <row r="9523">
          <cell r="L9523" t="str">
            <v>Proportional</v>
          </cell>
          <cell r="S9523">
            <v>7106.95</v>
          </cell>
          <cell r="X9523" t="str">
            <v>Commissions - gross</v>
          </cell>
          <cell r="Y9523" t="str">
            <v>UNITED STATES</v>
          </cell>
        </row>
        <row r="9524">
          <cell r="L9524" t="str">
            <v>Proportional</v>
          </cell>
          <cell r="S9524">
            <v>-2539.8200000000002</v>
          </cell>
          <cell r="X9524" t="str">
            <v>Commissions - gross</v>
          </cell>
          <cell r="Y9524" t="str">
            <v>JAPAN</v>
          </cell>
        </row>
        <row r="9525">
          <cell r="L9525" t="str">
            <v>Non-proportional</v>
          </cell>
          <cell r="S9525">
            <v>110.6</v>
          </cell>
          <cell r="X9525" t="str">
            <v>Commissions - gross</v>
          </cell>
          <cell r="Y9525" t="str">
            <v>COSTA RICA</v>
          </cell>
        </row>
        <row r="9526">
          <cell r="L9526" t="str">
            <v>Non-proportional</v>
          </cell>
          <cell r="S9526">
            <v>1448.39</v>
          </cell>
          <cell r="X9526" t="str">
            <v>Commissions - gross</v>
          </cell>
          <cell r="Y9526" t="str">
            <v>FRANCE</v>
          </cell>
        </row>
        <row r="9527">
          <cell r="L9527" t="str">
            <v>Non-proportional</v>
          </cell>
          <cell r="S9527">
            <v>-4.22</v>
          </cell>
          <cell r="X9527" t="str">
            <v>Commissions - gross</v>
          </cell>
          <cell r="Y9527" t="str">
            <v>JAPAN</v>
          </cell>
        </row>
        <row r="9528">
          <cell r="L9528" t="str">
            <v>Proportional</v>
          </cell>
          <cell r="S9528">
            <v>1134.24</v>
          </cell>
          <cell r="X9528" t="str">
            <v>Commissions - gross</v>
          </cell>
          <cell r="Y9528" t="str">
            <v>MEXICO</v>
          </cell>
        </row>
        <row r="9529">
          <cell r="L9529" t="str">
            <v>Non-proportional</v>
          </cell>
          <cell r="S9529">
            <v>14.57</v>
          </cell>
          <cell r="X9529" t="str">
            <v>Commissions - gross</v>
          </cell>
          <cell r="Y9529" t="str">
            <v>ISRAEL</v>
          </cell>
        </row>
        <row r="9530">
          <cell r="L9530" t="str">
            <v>Non-proportional</v>
          </cell>
          <cell r="S9530">
            <v>547.36</v>
          </cell>
          <cell r="X9530" t="str">
            <v>Commissions - gross</v>
          </cell>
          <cell r="Y9530" t="str">
            <v>UNITED KINGDOM</v>
          </cell>
        </row>
        <row r="9531">
          <cell r="L9531" t="str">
            <v>Non-proportional</v>
          </cell>
          <cell r="S9531">
            <v>204.17</v>
          </cell>
          <cell r="X9531" t="str">
            <v>Commissions - gross</v>
          </cell>
          <cell r="Y9531" t="str">
            <v>ITALY</v>
          </cell>
        </row>
        <row r="9532">
          <cell r="L9532" t="str">
            <v>Non-proportional</v>
          </cell>
          <cell r="S9532">
            <v>77.150000000000006</v>
          </cell>
          <cell r="X9532" t="str">
            <v>Commissions - gross</v>
          </cell>
          <cell r="Y9532" t="str">
            <v>GERMANY</v>
          </cell>
        </row>
        <row r="9533">
          <cell r="L9533" t="str">
            <v>Non-proportional</v>
          </cell>
          <cell r="S9533">
            <v>213.51</v>
          </cell>
          <cell r="X9533" t="str">
            <v>Commissions - gross</v>
          </cell>
          <cell r="Y9533" t="str">
            <v>JAPAN</v>
          </cell>
        </row>
        <row r="9534">
          <cell r="L9534" t="str">
            <v>Non-proportional</v>
          </cell>
          <cell r="S9534">
            <v>15965.76</v>
          </cell>
          <cell r="X9534" t="str">
            <v>Commissions - gross</v>
          </cell>
          <cell r="Y9534" t="str">
            <v>UNITED KINGDOM</v>
          </cell>
        </row>
        <row r="9535">
          <cell r="L9535" t="str">
            <v>Non-proportional</v>
          </cell>
          <cell r="S9535">
            <v>206.22</v>
          </cell>
          <cell r="X9535" t="str">
            <v>Commissions - gross</v>
          </cell>
          <cell r="Y9535" t="str">
            <v>JAPAN</v>
          </cell>
        </row>
        <row r="9536">
          <cell r="L9536" t="str">
            <v>Non-proportional</v>
          </cell>
          <cell r="S9536">
            <v>438.96</v>
          </cell>
          <cell r="X9536" t="str">
            <v>Commissions - gross</v>
          </cell>
          <cell r="Y9536" t="str">
            <v>ITALY</v>
          </cell>
        </row>
        <row r="9537">
          <cell r="L9537" t="str">
            <v>Non-proportional</v>
          </cell>
          <cell r="S9537">
            <v>631.53</v>
          </cell>
          <cell r="X9537" t="str">
            <v>Commissions - gross</v>
          </cell>
          <cell r="Y9537" t="str">
            <v>THAILAND</v>
          </cell>
        </row>
        <row r="9538">
          <cell r="L9538" t="str">
            <v>Non-proportional</v>
          </cell>
          <cell r="S9538">
            <v>-12862.84</v>
          </cell>
          <cell r="X9538" t="str">
            <v>Commissions - gross</v>
          </cell>
          <cell r="Y9538" t="str">
            <v>AUSTRALIA</v>
          </cell>
        </row>
        <row r="9539">
          <cell r="L9539" t="str">
            <v>Non-proportional</v>
          </cell>
          <cell r="S9539">
            <v>120.22</v>
          </cell>
          <cell r="X9539" t="str">
            <v>Commissions - gross</v>
          </cell>
          <cell r="Y9539" t="str">
            <v>REPUBLIC OF IRELAND</v>
          </cell>
        </row>
        <row r="9540">
          <cell r="L9540" t="str">
            <v>Non-proportional</v>
          </cell>
          <cell r="S9540">
            <v>1097.48</v>
          </cell>
          <cell r="X9540" t="str">
            <v>Commissions - gross</v>
          </cell>
          <cell r="Y9540" t="str">
            <v>GERMANY</v>
          </cell>
        </row>
        <row r="9541">
          <cell r="L9541" t="str">
            <v>Non-proportional</v>
          </cell>
          <cell r="S9541">
            <v>391.73</v>
          </cell>
          <cell r="X9541" t="str">
            <v>Commissions - gross</v>
          </cell>
          <cell r="Y9541" t="str">
            <v>ITALY</v>
          </cell>
        </row>
        <row r="9542">
          <cell r="L9542" t="str">
            <v>Proportional</v>
          </cell>
          <cell r="S9542">
            <v>85.4</v>
          </cell>
          <cell r="X9542" t="str">
            <v>Commissions - gross</v>
          </cell>
          <cell r="Y9542" t="str">
            <v>SAUDI ARABIA</v>
          </cell>
        </row>
        <row r="9543">
          <cell r="L9543" t="str">
            <v>Non-proportional</v>
          </cell>
          <cell r="S9543">
            <v>758.65</v>
          </cell>
          <cell r="X9543" t="str">
            <v>Commissions - gross</v>
          </cell>
          <cell r="Y9543" t="str">
            <v>FRANCE</v>
          </cell>
        </row>
        <row r="9544">
          <cell r="L9544" t="str">
            <v>Non-proportional</v>
          </cell>
          <cell r="S9544">
            <v>-3.48</v>
          </cell>
          <cell r="X9544" t="str">
            <v>Commissions - gross</v>
          </cell>
          <cell r="Y9544" t="str">
            <v>JAPAN</v>
          </cell>
        </row>
        <row r="9545">
          <cell r="L9545" t="str">
            <v>Non-proportional</v>
          </cell>
          <cell r="S9545">
            <v>-3535.18</v>
          </cell>
          <cell r="X9545" t="str">
            <v>Commissions - gross</v>
          </cell>
          <cell r="Y9545" t="str">
            <v>AUSTRALIA</v>
          </cell>
        </row>
        <row r="9546">
          <cell r="L9546" t="str">
            <v>Non-proportional</v>
          </cell>
          <cell r="S9546">
            <v>-0.23</v>
          </cell>
          <cell r="X9546" t="str">
            <v>Commissions - gross</v>
          </cell>
          <cell r="Y9546" t="str">
            <v>GUATEMALA</v>
          </cell>
        </row>
        <row r="9547">
          <cell r="L9547" t="str">
            <v>Non-proportional</v>
          </cell>
          <cell r="S9547">
            <v>1173.1600000000001</v>
          </cell>
          <cell r="X9547" t="str">
            <v>Commissions - gross</v>
          </cell>
          <cell r="Y9547" t="str">
            <v>UNITED KINGDOM</v>
          </cell>
        </row>
        <row r="9548">
          <cell r="L9548" t="str">
            <v>Non-proportional</v>
          </cell>
          <cell r="S9548">
            <v>4595.91</v>
          </cell>
          <cell r="X9548" t="str">
            <v>Commissions - gross</v>
          </cell>
          <cell r="Y9548" t="str">
            <v>UNITED KINGDOM</v>
          </cell>
        </row>
        <row r="9549">
          <cell r="L9549" t="str">
            <v>Non-proportional</v>
          </cell>
          <cell r="S9549">
            <v>320.48</v>
          </cell>
          <cell r="X9549" t="str">
            <v>Commissions - gross</v>
          </cell>
          <cell r="Y9549" t="str">
            <v>GUATEMALA</v>
          </cell>
        </row>
        <row r="9550">
          <cell r="L9550" t="str">
            <v>Proportional</v>
          </cell>
          <cell r="S9550">
            <v>133.19999999999999</v>
          </cell>
          <cell r="X9550" t="str">
            <v>Commissions - gross</v>
          </cell>
          <cell r="Y9550" t="str">
            <v>INDIA</v>
          </cell>
        </row>
        <row r="9551">
          <cell r="L9551" t="str">
            <v>Non-proportional</v>
          </cell>
          <cell r="S9551">
            <v>3434.52</v>
          </cell>
          <cell r="X9551" t="str">
            <v>Commissions - gross</v>
          </cell>
          <cell r="Y9551" t="str">
            <v>UNITED STATES</v>
          </cell>
        </row>
        <row r="9552">
          <cell r="L9552" t="str">
            <v>Non-proportional</v>
          </cell>
          <cell r="S9552">
            <v>-2400.9299999999998</v>
          </cell>
          <cell r="X9552" t="str">
            <v>Commissions - gross</v>
          </cell>
          <cell r="Y9552" t="str">
            <v>DOMINICAN REPUBLIC</v>
          </cell>
        </row>
        <row r="9553">
          <cell r="L9553" t="str">
            <v>Non-proportional</v>
          </cell>
          <cell r="S9553">
            <v>4575.8500000000004</v>
          </cell>
          <cell r="X9553" t="str">
            <v>Commissions - gross</v>
          </cell>
          <cell r="Y9553" t="str">
            <v>TURKEY</v>
          </cell>
        </row>
        <row r="9554">
          <cell r="L9554" t="str">
            <v>Proportional</v>
          </cell>
          <cell r="S9554">
            <v>458.88</v>
          </cell>
          <cell r="X9554" t="str">
            <v>Commissions - gross</v>
          </cell>
          <cell r="Y9554" t="str">
            <v>JAPAN</v>
          </cell>
        </row>
        <row r="9555">
          <cell r="L9555" t="str">
            <v>Non-proportional</v>
          </cell>
          <cell r="S9555">
            <v>-21466.06</v>
          </cell>
          <cell r="X9555" t="str">
            <v>Commissions - gross</v>
          </cell>
          <cell r="Y9555" t="str">
            <v>CHILE</v>
          </cell>
        </row>
        <row r="9556">
          <cell r="L9556" t="str">
            <v>Non-proportional</v>
          </cell>
          <cell r="S9556">
            <v>0.01</v>
          </cell>
          <cell r="X9556" t="str">
            <v>Commissions - gross</v>
          </cell>
          <cell r="Y9556" t="str">
            <v>COLOMBIA</v>
          </cell>
        </row>
        <row r="9557">
          <cell r="L9557" t="str">
            <v>Proportional</v>
          </cell>
          <cell r="S9557">
            <v>68.14</v>
          </cell>
          <cell r="X9557" t="str">
            <v>Commissions - gross</v>
          </cell>
          <cell r="Y9557" t="str">
            <v>ITALY</v>
          </cell>
        </row>
        <row r="9558">
          <cell r="L9558" t="str">
            <v>Non-proportional</v>
          </cell>
          <cell r="S9558">
            <v>475.13</v>
          </cell>
          <cell r="X9558" t="str">
            <v>Commissions - gross</v>
          </cell>
          <cell r="Y9558" t="str">
            <v>FRANCE</v>
          </cell>
        </row>
        <row r="9559">
          <cell r="L9559" t="str">
            <v>Proportional</v>
          </cell>
          <cell r="S9559">
            <v>-2325.4899999999998</v>
          </cell>
          <cell r="X9559" t="str">
            <v>Commissions - gross</v>
          </cell>
          <cell r="Y9559" t="str">
            <v>CHILE</v>
          </cell>
        </row>
        <row r="9560">
          <cell r="L9560" t="str">
            <v>Non-proportional</v>
          </cell>
          <cell r="S9560">
            <v>548.83000000000004</v>
          </cell>
          <cell r="X9560" t="str">
            <v>Commissions - gross</v>
          </cell>
          <cell r="Y9560" t="str">
            <v>NEW ZEALAND</v>
          </cell>
        </row>
        <row r="9561">
          <cell r="L9561" t="str">
            <v>Non-proportional</v>
          </cell>
          <cell r="S9561">
            <v>421.55</v>
          </cell>
          <cell r="X9561" t="str">
            <v>Commissions - gross</v>
          </cell>
          <cell r="Y9561" t="str">
            <v>UNITED KINGDOM</v>
          </cell>
        </row>
        <row r="9562">
          <cell r="L9562" t="str">
            <v>Non-proportional</v>
          </cell>
          <cell r="S9562">
            <v>690.77</v>
          </cell>
          <cell r="X9562" t="str">
            <v>Commissions - gross</v>
          </cell>
          <cell r="Y9562" t="str">
            <v>GREECE</v>
          </cell>
        </row>
        <row r="9563">
          <cell r="L9563" t="str">
            <v>Non-proportional</v>
          </cell>
          <cell r="S9563">
            <v>171.8</v>
          </cell>
          <cell r="X9563" t="str">
            <v>Commissions - gross</v>
          </cell>
          <cell r="Y9563" t="str">
            <v>FRANCE</v>
          </cell>
        </row>
        <row r="9564">
          <cell r="L9564" t="str">
            <v>Non-proportional</v>
          </cell>
          <cell r="S9564">
            <v>54.69</v>
          </cell>
          <cell r="X9564" t="str">
            <v>Commissions - gross</v>
          </cell>
          <cell r="Y9564" t="str">
            <v>ITALY</v>
          </cell>
        </row>
        <row r="9565">
          <cell r="L9565" t="str">
            <v>Non-proportional</v>
          </cell>
          <cell r="S9565">
            <v>13973.33</v>
          </cell>
          <cell r="X9565" t="str">
            <v>Commissions - gross</v>
          </cell>
          <cell r="Y9565" t="str">
            <v>UNITED KINGDOM</v>
          </cell>
        </row>
        <row r="9566">
          <cell r="L9566" t="str">
            <v>Non-proportional</v>
          </cell>
          <cell r="S9566">
            <v>390.62</v>
          </cell>
          <cell r="X9566" t="str">
            <v>Commissions - gross</v>
          </cell>
          <cell r="Y9566" t="str">
            <v>EUROPE</v>
          </cell>
        </row>
        <row r="9567">
          <cell r="L9567" t="str">
            <v>Non-proportional</v>
          </cell>
          <cell r="S9567">
            <v>97.5</v>
          </cell>
          <cell r="X9567" t="str">
            <v>Commissions - gross</v>
          </cell>
          <cell r="Y9567" t="str">
            <v>GREECE</v>
          </cell>
        </row>
        <row r="9568">
          <cell r="L9568" t="str">
            <v>Non-proportional</v>
          </cell>
          <cell r="S9568">
            <v>634.5</v>
          </cell>
          <cell r="X9568" t="str">
            <v>Commissions - gross</v>
          </cell>
          <cell r="Y9568" t="str">
            <v>MEXICO</v>
          </cell>
        </row>
        <row r="9569">
          <cell r="L9569" t="str">
            <v>Non-proportional</v>
          </cell>
          <cell r="S9569">
            <v>465.1</v>
          </cell>
          <cell r="X9569" t="str">
            <v>Commissions - gross</v>
          </cell>
          <cell r="Y9569" t="str">
            <v>CHILE</v>
          </cell>
        </row>
        <row r="9570">
          <cell r="L9570" t="str">
            <v>Non-proportional</v>
          </cell>
          <cell r="S9570">
            <v>467.51</v>
          </cell>
          <cell r="X9570" t="str">
            <v>Commissions - gross</v>
          </cell>
          <cell r="Y9570" t="str">
            <v>CYPRUS</v>
          </cell>
        </row>
        <row r="9571">
          <cell r="L9571" t="str">
            <v>Non-proportional</v>
          </cell>
          <cell r="S9571">
            <v>480.19</v>
          </cell>
          <cell r="X9571" t="str">
            <v>Commissions - gross</v>
          </cell>
          <cell r="Y9571" t="str">
            <v>SOUTH AFRICA</v>
          </cell>
        </row>
        <row r="9572">
          <cell r="L9572" t="str">
            <v>Non-proportional</v>
          </cell>
          <cell r="S9572">
            <v>71.55</v>
          </cell>
          <cell r="X9572" t="str">
            <v>Commissions - gross</v>
          </cell>
          <cell r="Y9572" t="str">
            <v>CHILE</v>
          </cell>
        </row>
        <row r="9573">
          <cell r="L9573" t="str">
            <v>Non-proportional</v>
          </cell>
          <cell r="S9573">
            <v>914.04</v>
          </cell>
          <cell r="X9573" t="str">
            <v>Commissions - gross</v>
          </cell>
          <cell r="Y9573" t="str">
            <v>INDIA</v>
          </cell>
        </row>
        <row r="9574">
          <cell r="L9574" t="str">
            <v>Proportional</v>
          </cell>
          <cell r="S9574">
            <v>33.229999999999997</v>
          </cell>
          <cell r="X9574" t="str">
            <v>Commissions - gross</v>
          </cell>
          <cell r="Y9574" t="str">
            <v>UNITED STATES</v>
          </cell>
        </row>
        <row r="9575">
          <cell r="L9575" t="str">
            <v>Non-proportional</v>
          </cell>
          <cell r="S9575">
            <v>477.04</v>
          </cell>
          <cell r="X9575" t="str">
            <v>Commissions - gross</v>
          </cell>
          <cell r="Y9575" t="str">
            <v>PERU</v>
          </cell>
        </row>
        <row r="9576">
          <cell r="L9576" t="str">
            <v>Non-proportional</v>
          </cell>
          <cell r="S9576">
            <v>-5.67</v>
          </cell>
          <cell r="X9576" t="str">
            <v>Commissions - gross</v>
          </cell>
          <cell r="Y9576" t="str">
            <v>NEW ZEALAND</v>
          </cell>
        </row>
        <row r="9577">
          <cell r="L9577" t="str">
            <v>Non-proportional</v>
          </cell>
          <cell r="S9577">
            <v>357.77</v>
          </cell>
          <cell r="X9577" t="str">
            <v>Commissions - gross</v>
          </cell>
          <cell r="Y9577" t="str">
            <v>CHILE</v>
          </cell>
        </row>
        <row r="9578">
          <cell r="L9578" t="str">
            <v>Non-proportional</v>
          </cell>
          <cell r="S9578">
            <v>0</v>
          </cell>
          <cell r="X9578" t="str">
            <v>Commissions - gross</v>
          </cell>
          <cell r="Y9578" t="str">
            <v>COLOMBIA</v>
          </cell>
        </row>
        <row r="9579">
          <cell r="L9579" t="str">
            <v>Non-proportional</v>
          </cell>
          <cell r="S9579">
            <v>1652.04</v>
          </cell>
          <cell r="X9579" t="str">
            <v>Commissions - gross</v>
          </cell>
          <cell r="Y9579" t="str">
            <v>HONG KONG</v>
          </cell>
        </row>
        <row r="9580">
          <cell r="L9580" t="str">
            <v>Non-proportional</v>
          </cell>
          <cell r="S9580">
            <v>0.67</v>
          </cell>
          <cell r="X9580" t="str">
            <v>Commissions - gross</v>
          </cell>
          <cell r="Y9580" t="str">
            <v>COSTA RICA</v>
          </cell>
        </row>
        <row r="9581">
          <cell r="L9581" t="str">
            <v>Non-proportional</v>
          </cell>
          <cell r="S9581">
            <v>4.5199999999999996</v>
          </cell>
          <cell r="X9581" t="str">
            <v>Commissions - gross</v>
          </cell>
          <cell r="Y9581" t="str">
            <v>ISRAEL</v>
          </cell>
        </row>
        <row r="9582">
          <cell r="L9582" t="str">
            <v>Non-proportional</v>
          </cell>
          <cell r="S9582">
            <v>4686.47</v>
          </cell>
          <cell r="X9582" t="str">
            <v>Commissions - gross</v>
          </cell>
          <cell r="Y9582" t="str">
            <v>FRANCE</v>
          </cell>
        </row>
        <row r="9583">
          <cell r="L9583" t="str">
            <v>Non-proportional</v>
          </cell>
          <cell r="S9583">
            <v>-4348.6000000000004</v>
          </cell>
          <cell r="X9583" t="str">
            <v>Commissions - gross</v>
          </cell>
          <cell r="Y9583" t="str">
            <v>SPAIN</v>
          </cell>
        </row>
        <row r="9584">
          <cell r="L9584" t="str">
            <v>Non-proportional</v>
          </cell>
          <cell r="S9584">
            <v>194.65</v>
          </cell>
          <cell r="X9584" t="str">
            <v>Commissions - gross</v>
          </cell>
          <cell r="Y9584" t="str">
            <v>REPUBLIC OF IRELAND</v>
          </cell>
        </row>
        <row r="9585">
          <cell r="L9585" t="str">
            <v>Non-proportional</v>
          </cell>
          <cell r="S9585">
            <v>-4140.99</v>
          </cell>
          <cell r="X9585" t="str">
            <v>Commissions - gross</v>
          </cell>
          <cell r="Y9585" t="str">
            <v>COLOMBIA</v>
          </cell>
        </row>
        <row r="9586">
          <cell r="L9586" t="str">
            <v>Non-proportional</v>
          </cell>
          <cell r="S9586">
            <v>310.61</v>
          </cell>
          <cell r="X9586" t="str">
            <v>Commissions - gross</v>
          </cell>
          <cell r="Y9586" t="str">
            <v>THAILAND</v>
          </cell>
        </row>
        <row r="9587">
          <cell r="L9587" t="str">
            <v>Non-proportional</v>
          </cell>
          <cell r="S9587">
            <v>173.97</v>
          </cell>
          <cell r="X9587" t="str">
            <v>Commissions - gross</v>
          </cell>
          <cell r="Y9587" t="str">
            <v>JAPAN</v>
          </cell>
        </row>
        <row r="9588">
          <cell r="L9588" t="str">
            <v>Non-proportional</v>
          </cell>
          <cell r="S9588">
            <v>-787.09</v>
          </cell>
          <cell r="X9588" t="str">
            <v>Commissions - gross</v>
          </cell>
          <cell r="Y9588" t="str">
            <v>CHILE</v>
          </cell>
        </row>
        <row r="9589">
          <cell r="L9589" t="str">
            <v>Non-proportional</v>
          </cell>
          <cell r="S9589">
            <v>379.65</v>
          </cell>
          <cell r="X9589" t="str">
            <v>Commissions - gross</v>
          </cell>
          <cell r="Y9589" t="str">
            <v>ITALY</v>
          </cell>
        </row>
        <row r="9590">
          <cell r="L9590" t="str">
            <v>Proportional</v>
          </cell>
          <cell r="S9590">
            <v>306.66000000000003</v>
          </cell>
          <cell r="X9590" t="str">
            <v>Commissions - gross</v>
          </cell>
          <cell r="Y9590" t="str">
            <v>EUROPE</v>
          </cell>
        </row>
        <row r="9591">
          <cell r="L9591" t="str">
            <v>Non-proportional</v>
          </cell>
          <cell r="S9591">
            <v>640.15</v>
          </cell>
          <cell r="X9591" t="str">
            <v>Commissions - gross</v>
          </cell>
          <cell r="Y9591" t="str">
            <v>JAPAN</v>
          </cell>
        </row>
        <row r="9592">
          <cell r="L9592" t="str">
            <v>Non-proportional</v>
          </cell>
          <cell r="S9592">
            <v>939.37</v>
          </cell>
          <cell r="X9592" t="str">
            <v>Commissions - gross</v>
          </cell>
          <cell r="Y9592" t="str">
            <v>ISRAEL</v>
          </cell>
        </row>
        <row r="9593">
          <cell r="L9593" t="str">
            <v>Non-proportional</v>
          </cell>
          <cell r="S9593">
            <v>10933.04</v>
          </cell>
          <cell r="X9593" t="str">
            <v>Commissions - gross</v>
          </cell>
          <cell r="Y9593" t="str">
            <v>FRANCE</v>
          </cell>
        </row>
        <row r="9594">
          <cell r="L9594" t="str">
            <v>Non-proportional</v>
          </cell>
          <cell r="S9594">
            <v>-21.96</v>
          </cell>
          <cell r="X9594" t="str">
            <v>Commissions - gross</v>
          </cell>
          <cell r="Y9594" t="str">
            <v>NEW ZEALAND</v>
          </cell>
        </row>
        <row r="9595">
          <cell r="L9595" t="str">
            <v>Non-proportional</v>
          </cell>
          <cell r="S9595">
            <v>161.9</v>
          </cell>
          <cell r="X9595" t="str">
            <v>Commissions - gross</v>
          </cell>
          <cell r="Y9595" t="str">
            <v>ISRAEL</v>
          </cell>
        </row>
        <row r="9596">
          <cell r="L9596" t="str">
            <v>Non-proportional</v>
          </cell>
          <cell r="S9596">
            <v>7743.08</v>
          </cell>
          <cell r="X9596" t="str">
            <v>Commissions - gross</v>
          </cell>
          <cell r="Y9596" t="str">
            <v>UNITED KINGDOM</v>
          </cell>
        </row>
        <row r="9597">
          <cell r="L9597" t="str">
            <v>Non-proportional</v>
          </cell>
          <cell r="S9597">
            <v>9.25</v>
          </cell>
          <cell r="X9597" t="str">
            <v>Commissions - gross</v>
          </cell>
          <cell r="Y9597" t="str">
            <v>BRAZIL</v>
          </cell>
        </row>
        <row r="9598">
          <cell r="L9598" t="str">
            <v>Non-proportional</v>
          </cell>
          <cell r="S9598">
            <v>0.47</v>
          </cell>
          <cell r="X9598" t="str">
            <v>Commissions - gross</v>
          </cell>
          <cell r="Y9598" t="str">
            <v>COSTA RICA</v>
          </cell>
        </row>
        <row r="9599">
          <cell r="L9599" t="str">
            <v>Non-proportional</v>
          </cell>
          <cell r="S9599">
            <v>19</v>
          </cell>
          <cell r="X9599" t="str">
            <v>Commissions - gross</v>
          </cell>
          <cell r="Y9599" t="str">
            <v>TURKEY</v>
          </cell>
        </row>
        <row r="9600">
          <cell r="L9600" t="str">
            <v>Non-proportional</v>
          </cell>
          <cell r="S9600">
            <v>324.48</v>
          </cell>
          <cell r="X9600" t="str">
            <v>Commissions - gross</v>
          </cell>
          <cell r="Y9600" t="str">
            <v>FRANCE</v>
          </cell>
        </row>
        <row r="9601">
          <cell r="L9601" t="str">
            <v>Non-proportional</v>
          </cell>
          <cell r="S9601">
            <v>-9073.61</v>
          </cell>
          <cell r="X9601" t="str">
            <v>Commissions - gross</v>
          </cell>
          <cell r="Y9601" t="str">
            <v>AUSTRALIA</v>
          </cell>
        </row>
        <row r="9602">
          <cell r="L9602" t="str">
            <v>Non-proportional</v>
          </cell>
          <cell r="S9602">
            <v>148.08000000000001</v>
          </cell>
          <cell r="X9602" t="str">
            <v>Commissions - gross</v>
          </cell>
          <cell r="Y9602" t="str">
            <v>FRANCE</v>
          </cell>
        </row>
        <row r="9603">
          <cell r="L9603" t="str">
            <v>Non-proportional</v>
          </cell>
          <cell r="S9603">
            <v>5.78</v>
          </cell>
          <cell r="X9603" t="str">
            <v>Commissions - gross</v>
          </cell>
          <cell r="Y9603" t="str">
            <v>BRAZIL</v>
          </cell>
        </row>
        <row r="9604">
          <cell r="L9604" t="str">
            <v>Non-proportional</v>
          </cell>
          <cell r="S9604">
            <v>-3237.6</v>
          </cell>
          <cell r="X9604" t="str">
            <v>Commissions - gross</v>
          </cell>
          <cell r="Y9604" t="str">
            <v>DOMINICAN REPUBLIC</v>
          </cell>
        </row>
        <row r="9605">
          <cell r="L9605" t="str">
            <v>Non-proportional</v>
          </cell>
          <cell r="S9605">
            <v>0.01</v>
          </cell>
          <cell r="X9605" t="str">
            <v>Commissions - gross</v>
          </cell>
          <cell r="Y9605" t="str">
            <v>COLOMBIA</v>
          </cell>
        </row>
        <row r="9606">
          <cell r="L9606" t="str">
            <v>Non-proportional</v>
          </cell>
          <cell r="S9606">
            <v>1433.12</v>
          </cell>
          <cell r="X9606" t="str">
            <v>Commissions - gross</v>
          </cell>
          <cell r="Y9606" t="str">
            <v>FRANCE</v>
          </cell>
        </row>
        <row r="9607">
          <cell r="L9607" t="str">
            <v>Non-proportional</v>
          </cell>
          <cell r="S9607">
            <v>-5.32</v>
          </cell>
          <cell r="X9607" t="str">
            <v>Commissions - gross</v>
          </cell>
          <cell r="Y9607" t="str">
            <v>JAPAN</v>
          </cell>
        </row>
        <row r="9608">
          <cell r="L9608" t="str">
            <v>Proportional</v>
          </cell>
          <cell r="S9608">
            <v>-599.13</v>
          </cell>
          <cell r="X9608" t="str">
            <v>Commissions - gross</v>
          </cell>
          <cell r="Y9608" t="str">
            <v>UNITED STATES</v>
          </cell>
        </row>
        <row r="9609">
          <cell r="L9609" t="str">
            <v>Non-proportional</v>
          </cell>
          <cell r="S9609">
            <v>184.69</v>
          </cell>
          <cell r="X9609" t="str">
            <v>Commissions - gross</v>
          </cell>
          <cell r="Y9609" t="str">
            <v>FRANCE</v>
          </cell>
        </row>
        <row r="9610">
          <cell r="L9610" t="str">
            <v>Non-proportional</v>
          </cell>
          <cell r="S9610">
            <v>-2011.17</v>
          </cell>
          <cell r="X9610" t="str">
            <v>Commissions - gross</v>
          </cell>
          <cell r="Y9610" t="str">
            <v>PERU</v>
          </cell>
        </row>
        <row r="9611">
          <cell r="L9611" t="str">
            <v>Non-proportional</v>
          </cell>
          <cell r="S9611">
            <v>7.17</v>
          </cell>
          <cell r="X9611" t="str">
            <v>Commissions - gross</v>
          </cell>
          <cell r="Y9611" t="str">
            <v>THAILAND</v>
          </cell>
        </row>
        <row r="9612">
          <cell r="L9612" t="str">
            <v>Non-proportional</v>
          </cell>
          <cell r="S9612">
            <v>7.33</v>
          </cell>
          <cell r="X9612" t="str">
            <v>Commissions - gross</v>
          </cell>
          <cell r="Y9612" t="str">
            <v>COLOMBIA</v>
          </cell>
        </row>
        <row r="9613">
          <cell r="L9613" t="str">
            <v>Non-proportional</v>
          </cell>
          <cell r="S9613">
            <v>1516.76</v>
          </cell>
          <cell r="X9613" t="str">
            <v>Commissions - gross</v>
          </cell>
          <cell r="Y9613" t="str">
            <v>UNITED KINGDOM</v>
          </cell>
        </row>
        <row r="9614">
          <cell r="L9614" t="str">
            <v>Non-proportional</v>
          </cell>
          <cell r="S9614">
            <v>2937.19</v>
          </cell>
          <cell r="X9614" t="str">
            <v>Commissions - gross</v>
          </cell>
          <cell r="Y9614" t="str">
            <v>JAPAN</v>
          </cell>
        </row>
        <row r="9615">
          <cell r="L9615" t="str">
            <v>Non-proportional</v>
          </cell>
          <cell r="S9615">
            <v>196700.19</v>
          </cell>
          <cell r="X9615" t="str">
            <v>Commissions - gross</v>
          </cell>
          <cell r="Y9615" t="str">
            <v>UNITED KINGDOM</v>
          </cell>
        </row>
        <row r="9616">
          <cell r="L9616" t="str">
            <v>Non-proportional</v>
          </cell>
          <cell r="S9616">
            <v>4718.83</v>
          </cell>
          <cell r="X9616" t="str">
            <v>Commissions - gross</v>
          </cell>
          <cell r="Y9616" t="str">
            <v>UNITED KINGDOM</v>
          </cell>
        </row>
        <row r="9617">
          <cell r="L9617" t="str">
            <v>Non-proportional</v>
          </cell>
          <cell r="S9617">
            <v>-5677.65</v>
          </cell>
          <cell r="X9617" t="str">
            <v>Commissions - gross</v>
          </cell>
          <cell r="Y9617" t="str">
            <v>BELIZE</v>
          </cell>
        </row>
        <row r="9618">
          <cell r="L9618" t="str">
            <v>Non-proportional</v>
          </cell>
          <cell r="S9618">
            <v>273.48</v>
          </cell>
          <cell r="X9618" t="str">
            <v>Commissions - gross</v>
          </cell>
          <cell r="Y9618" t="str">
            <v>COLOMBIA</v>
          </cell>
        </row>
        <row r="9619">
          <cell r="L9619" t="str">
            <v>Non-proportional</v>
          </cell>
          <cell r="S9619">
            <v>1397.44</v>
          </cell>
          <cell r="X9619" t="str">
            <v>Commissions - gross</v>
          </cell>
          <cell r="Y9619" t="str">
            <v>ECUADOR</v>
          </cell>
        </row>
        <row r="9620">
          <cell r="L9620" t="str">
            <v>Proportional</v>
          </cell>
          <cell r="S9620">
            <v>0.46</v>
          </cell>
          <cell r="X9620" t="str">
            <v>Commissions - gross</v>
          </cell>
          <cell r="Y9620" t="str">
            <v>UNITED STATES</v>
          </cell>
        </row>
        <row r="9621">
          <cell r="L9621" t="str">
            <v>Proportional</v>
          </cell>
          <cell r="S9621">
            <v>1252.92</v>
          </cell>
          <cell r="X9621" t="str">
            <v>Commissions - gross</v>
          </cell>
          <cell r="Y9621" t="str">
            <v>CANADA</v>
          </cell>
        </row>
        <row r="9622">
          <cell r="L9622" t="str">
            <v>Non-proportional</v>
          </cell>
          <cell r="S9622">
            <v>982.04</v>
          </cell>
          <cell r="X9622" t="str">
            <v>Commissions - gross</v>
          </cell>
          <cell r="Y9622" t="str">
            <v>PERU</v>
          </cell>
        </row>
        <row r="9623">
          <cell r="L9623" t="str">
            <v>Non-proportional</v>
          </cell>
          <cell r="S9623">
            <v>117.29</v>
          </cell>
          <cell r="X9623" t="str">
            <v>Commissions - gross</v>
          </cell>
          <cell r="Y9623" t="str">
            <v>UNITED KINGDOM</v>
          </cell>
        </row>
        <row r="9624">
          <cell r="L9624" t="str">
            <v>Non-proportional</v>
          </cell>
          <cell r="S9624">
            <v>442.55</v>
          </cell>
          <cell r="X9624" t="str">
            <v>Commissions - gross</v>
          </cell>
          <cell r="Y9624" t="str">
            <v>FRANCE</v>
          </cell>
        </row>
        <row r="9625">
          <cell r="L9625" t="str">
            <v>Proportional</v>
          </cell>
          <cell r="S9625">
            <v>481.93</v>
          </cell>
          <cell r="X9625" t="str">
            <v>Commissions - gross</v>
          </cell>
          <cell r="Y9625" t="str">
            <v>UNITED KINGDOM</v>
          </cell>
        </row>
        <row r="9626">
          <cell r="L9626" t="str">
            <v>Non-proportional</v>
          </cell>
          <cell r="S9626">
            <v>570.02</v>
          </cell>
          <cell r="X9626" t="str">
            <v>Commissions - gross</v>
          </cell>
          <cell r="Y9626" t="str">
            <v>ITALY</v>
          </cell>
        </row>
        <row r="9627">
          <cell r="L9627" t="str">
            <v>Non-proportional</v>
          </cell>
          <cell r="S9627">
            <v>88.44</v>
          </cell>
          <cell r="X9627" t="str">
            <v>Commissions - gross</v>
          </cell>
          <cell r="Y9627" t="str">
            <v>FRANCE</v>
          </cell>
        </row>
        <row r="9628">
          <cell r="L9628" t="str">
            <v>Non-proportional</v>
          </cell>
          <cell r="S9628">
            <v>998.59</v>
          </cell>
          <cell r="X9628" t="str">
            <v>Commissions - gross</v>
          </cell>
          <cell r="Y9628" t="str">
            <v>FRANCE</v>
          </cell>
        </row>
        <row r="9629">
          <cell r="L9629" t="str">
            <v>Non-proportional</v>
          </cell>
          <cell r="S9629">
            <v>28.63</v>
          </cell>
          <cell r="X9629" t="str">
            <v>Commissions - gross</v>
          </cell>
          <cell r="Y9629" t="str">
            <v>REPUBLIC OF IRELAND</v>
          </cell>
        </row>
        <row r="9630">
          <cell r="L9630" t="str">
            <v>Non-proportional</v>
          </cell>
          <cell r="S9630">
            <v>428.65</v>
          </cell>
          <cell r="X9630" t="str">
            <v>Commissions - gross</v>
          </cell>
          <cell r="Y9630" t="str">
            <v>THAILAND</v>
          </cell>
        </row>
        <row r="9631">
          <cell r="L9631" t="str">
            <v>Proportional</v>
          </cell>
          <cell r="S9631">
            <v>321.99</v>
          </cell>
          <cell r="X9631" t="str">
            <v>Commissions - gross</v>
          </cell>
          <cell r="Y9631" t="str">
            <v>CHILE</v>
          </cell>
        </row>
        <row r="9632">
          <cell r="L9632" t="str">
            <v>Non-proportional</v>
          </cell>
          <cell r="S9632">
            <v>425.02</v>
          </cell>
          <cell r="X9632" t="str">
            <v>Commissions - gross</v>
          </cell>
          <cell r="Y9632" t="str">
            <v>ITALY</v>
          </cell>
        </row>
        <row r="9633">
          <cell r="L9633" t="str">
            <v>Non-proportional</v>
          </cell>
          <cell r="S9633">
            <v>84.38</v>
          </cell>
          <cell r="X9633" t="str">
            <v>Commissions - gross</v>
          </cell>
          <cell r="Y9633" t="str">
            <v>GREECE</v>
          </cell>
        </row>
        <row r="9634">
          <cell r="L9634" t="str">
            <v>Non-proportional</v>
          </cell>
          <cell r="S9634">
            <v>338.18</v>
          </cell>
          <cell r="X9634" t="str">
            <v>Commissions - gross</v>
          </cell>
          <cell r="Y9634" t="str">
            <v>ITALY</v>
          </cell>
        </row>
        <row r="9635">
          <cell r="L9635" t="str">
            <v>Non-proportional</v>
          </cell>
          <cell r="S9635">
            <v>9105.2099999999991</v>
          </cell>
          <cell r="X9635" t="str">
            <v>Commissions - gross</v>
          </cell>
          <cell r="Y9635" t="str">
            <v>UNITED KINGDOM</v>
          </cell>
        </row>
        <row r="9636">
          <cell r="L9636" t="str">
            <v>Non-proportional</v>
          </cell>
          <cell r="S9636">
            <v>7466.38</v>
          </cell>
          <cell r="X9636" t="str">
            <v>Commissions - gross</v>
          </cell>
          <cell r="Y9636" t="str">
            <v>UNITED KINGDOM</v>
          </cell>
        </row>
        <row r="9637">
          <cell r="L9637" t="str">
            <v>Proportional</v>
          </cell>
          <cell r="S9637">
            <v>107.91</v>
          </cell>
          <cell r="X9637" t="str">
            <v>Commissions - gross</v>
          </cell>
          <cell r="Y9637" t="str">
            <v>UNITED STATES</v>
          </cell>
        </row>
        <row r="9638">
          <cell r="L9638" t="str">
            <v>Non-proportional</v>
          </cell>
          <cell r="S9638">
            <v>-8.1300000000000008</v>
          </cell>
          <cell r="X9638" t="str">
            <v>Commissions - gross</v>
          </cell>
          <cell r="Y9638" t="str">
            <v>BRAZIL</v>
          </cell>
        </row>
        <row r="9639">
          <cell r="L9639" t="str">
            <v>Non-proportional</v>
          </cell>
          <cell r="S9639">
            <v>627.07000000000005</v>
          </cell>
          <cell r="X9639" t="str">
            <v>Commissions - gross</v>
          </cell>
          <cell r="Y9639" t="str">
            <v>ECUADOR</v>
          </cell>
        </row>
        <row r="9640">
          <cell r="L9640" t="str">
            <v>Non-proportional</v>
          </cell>
          <cell r="S9640">
            <v>-288.31</v>
          </cell>
          <cell r="X9640" t="str">
            <v>Commissions - gross</v>
          </cell>
          <cell r="Y9640" t="str">
            <v>ECUADOR</v>
          </cell>
        </row>
        <row r="9641">
          <cell r="L9641" t="str">
            <v>Non-proportional</v>
          </cell>
          <cell r="S9641">
            <v>1033.02</v>
          </cell>
          <cell r="X9641" t="str">
            <v>Commissions - gross</v>
          </cell>
          <cell r="Y9641" t="str">
            <v>UNITED KINGDOM</v>
          </cell>
        </row>
        <row r="9642">
          <cell r="L9642" t="str">
            <v>Non-proportional</v>
          </cell>
          <cell r="S9642">
            <v>-5.78</v>
          </cell>
          <cell r="X9642" t="str">
            <v>Commissions - gross</v>
          </cell>
          <cell r="Y9642" t="str">
            <v>JAPAN</v>
          </cell>
        </row>
        <row r="9643">
          <cell r="L9643" t="str">
            <v>Non-proportional</v>
          </cell>
          <cell r="S9643">
            <v>-5060.16</v>
          </cell>
          <cell r="X9643" t="str">
            <v>Commissions - gross</v>
          </cell>
          <cell r="Y9643" t="str">
            <v>BELIZE</v>
          </cell>
        </row>
        <row r="9644">
          <cell r="L9644" t="str">
            <v>Non-proportional</v>
          </cell>
          <cell r="S9644">
            <v>182.33</v>
          </cell>
          <cell r="X9644" t="str">
            <v>Commissions - gross</v>
          </cell>
          <cell r="Y9644" t="str">
            <v>SOUTH AFRICA</v>
          </cell>
        </row>
        <row r="9645">
          <cell r="L9645" t="str">
            <v>Non-proportional</v>
          </cell>
          <cell r="S9645">
            <v>146.88</v>
          </cell>
          <cell r="X9645" t="str">
            <v>Commissions - gross</v>
          </cell>
          <cell r="Y9645" t="str">
            <v>GREECE</v>
          </cell>
        </row>
        <row r="9646">
          <cell r="L9646" t="str">
            <v>Non-proportional</v>
          </cell>
          <cell r="S9646">
            <v>181.36</v>
          </cell>
          <cell r="X9646" t="str">
            <v>Commissions - gross</v>
          </cell>
          <cell r="Y9646" t="str">
            <v>NEW ZEALAND</v>
          </cell>
        </row>
        <row r="9647">
          <cell r="L9647" t="str">
            <v>Non-proportional</v>
          </cell>
          <cell r="S9647">
            <v>726.77</v>
          </cell>
          <cell r="X9647" t="str">
            <v>Commissions - gross</v>
          </cell>
          <cell r="Y9647" t="str">
            <v>FRANCE</v>
          </cell>
        </row>
        <row r="9648">
          <cell r="L9648" t="str">
            <v>Non-proportional</v>
          </cell>
          <cell r="S9648">
            <v>-8489.02</v>
          </cell>
          <cell r="X9648" t="str">
            <v>Commissions - gross</v>
          </cell>
          <cell r="Y9648" t="str">
            <v>COLOMBIA</v>
          </cell>
        </row>
        <row r="9649">
          <cell r="L9649" t="str">
            <v>Non-proportional</v>
          </cell>
          <cell r="S9649">
            <v>357.45</v>
          </cell>
          <cell r="X9649" t="str">
            <v>Commissions - gross</v>
          </cell>
          <cell r="Y9649" t="str">
            <v>ISRAEL</v>
          </cell>
        </row>
        <row r="9650">
          <cell r="L9650" t="str">
            <v>Non-proportional</v>
          </cell>
          <cell r="S9650">
            <v>-5.6</v>
          </cell>
          <cell r="X9650" t="str">
            <v>Commissions - gross</v>
          </cell>
          <cell r="Y9650" t="str">
            <v>JAPAN</v>
          </cell>
        </row>
        <row r="9651">
          <cell r="L9651" t="str">
            <v>Non-proportional</v>
          </cell>
          <cell r="S9651">
            <v>4958.5200000000004</v>
          </cell>
          <cell r="X9651" t="str">
            <v>Commissions - gross</v>
          </cell>
          <cell r="Y9651" t="str">
            <v>UNITED KINGDOM</v>
          </cell>
        </row>
        <row r="9652">
          <cell r="L9652" t="str">
            <v>Non-proportional</v>
          </cell>
          <cell r="S9652">
            <v>859.85</v>
          </cell>
          <cell r="X9652" t="str">
            <v>Commissions - gross</v>
          </cell>
          <cell r="Y9652" t="str">
            <v>CANADA</v>
          </cell>
        </row>
        <row r="9653">
          <cell r="L9653" t="str">
            <v>Non-proportional</v>
          </cell>
          <cell r="S9653">
            <v>2154.8000000000002</v>
          </cell>
          <cell r="X9653" t="str">
            <v>Commissions - gross</v>
          </cell>
          <cell r="Y9653" t="str">
            <v>UNITED KINGDOM</v>
          </cell>
        </row>
        <row r="9654">
          <cell r="L9654" t="str">
            <v>Non-proportional</v>
          </cell>
          <cell r="S9654">
            <v>531.28</v>
          </cell>
          <cell r="X9654" t="str">
            <v>Commissions - gross</v>
          </cell>
          <cell r="Y9654" t="str">
            <v>NETHERLANDS</v>
          </cell>
        </row>
        <row r="9655">
          <cell r="L9655" t="str">
            <v>Non-proportional</v>
          </cell>
          <cell r="S9655">
            <v>254.76</v>
          </cell>
          <cell r="X9655" t="str">
            <v>Commissions - gross</v>
          </cell>
          <cell r="Y9655" t="str">
            <v>ISRAEL</v>
          </cell>
        </row>
        <row r="9656">
          <cell r="L9656" t="str">
            <v>Non-proportional</v>
          </cell>
          <cell r="S9656">
            <v>246.96</v>
          </cell>
          <cell r="X9656" t="str">
            <v>Commissions - gross</v>
          </cell>
          <cell r="Y9656" t="str">
            <v>FRANCE</v>
          </cell>
        </row>
        <row r="9657">
          <cell r="L9657" t="str">
            <v>Non-proportional</v>
          </cell>
          <cell r="S9657">
            <v>387.02</v>
          </cell>
          <cell r="X9657" t="str">
            <v>Commissions - gross</v>
          </cell>
          <cell r="Y9657" t="str">
            <v>ECUADOR</v>
          </cell>
        </row>
        <row r="9658">
          <cell r="L9658" t="str">
            <v>Non-proportional</v>
          </cell>
          <cell r="S9658">
            <v>627.47</v>
          </cell>
          <cell r="X9658" t="str">
            <v>Commissions - gross</v>
          </cell>
          <cell r="Y9658" t="str">
            <v>PERU</v>
          </cell>
        </row>
        <row r="9659">
          <cell r="L9659" t="str">
            <v>Non-proportional</v>
          </cell>
          <cell r="S9659">
            <v>906.35</v>
          </cell>
          <cell r="X9659" t="str">
            <v>Commissions - gross</v>
          </cell>
          <cell r="Y9659" t="str">
            <v>ISRAEL</v>
          </cell>
        </row>
        <row r="9660">
          <cell r="L9660" t="str">
            <v>Proportional</v>
          </cell>
          <cell r="S9660">
            <v>-250.44</v>
          </cell>
          <cell r="X9660" t="str">
            <v>Commissions - gross</v>
          </cell>
          <cell r="Y9660" t="str">
            <v>CHILE</v>
          </cell>
        </row>
        <row r="9661">
          <cell r="L9661" t="str">
            <v>Non-proportional</v>
          </cell>
          <cell r="S9661">
            <v>589.91</v>
          </cell>
          <cell r="X9661" t="str">
            <v>Commissions - gross</v>
          </cell>
          <cell r="Y9661" t="str">
            <v>ISRAEL</v>
          </cell>
        </row>
        <row r="9662">
          <cell r="L9662" t="str">
            <v>Non-proportional</v>
          </cell>
          <cell r="S9662">
            <v>-12352.4</v>
          </cell>
          <cell r="X9662" t="str">
            <v>Commissions - gross</v>
          </cell>
          <cell r="Y9662" t="str">
            <v>PERU</v>
          </cell>
        </row>
        <row r="9663">
          <cell r="L9663" t="str">
            <v>Non-proportional</v>
          </cell>
          <cell r="S9663">
            <v>129.49</v>
          </cell>
          <cell r="X9663" t="str">
            <v>Commissions - gross</v>
          </cell>
          <cell r="Y9663" t="str">
            <v>COLOMBIA</v>
          </cell>
        </row>
        <row r="9664">
          <cell r="L9664" t="str">
            <v>Non-proportional</v>
          </cell>
          <cell r="S9664">
            <v>125.78</v>
          </cell>
          <cell r="X9664" t="str">
            <v>Commissions - gross</v>
          </cell>
          <cell r="Y9664" t="str">
            <v>ITALY</v>
          </cell>
        </row>
        <row r="9665">
          <cell r="L9665" t="str">
            <v>Non-proportional</v>
          </cell>
          <cell r="S9665">
            <v>35.78</v>
          </cell>
          <cell r="X9665" t="str">
            <v>Commissions - gross</v>
          </cell>
          <cell r="Y9665" t="str">
            <v>CHILE</v>
          </cell>
        </row>
        <row r="9666">
          <cell r="L9666" t="str">
            <v>Proportional</v>
          </cell>
          <cell r="S9666">
            <v>90.6</v>
          </cell>
          <cell r="X9666" t="str">
            <v>Commissions - gross</v>
          </cell>
          <cell r="Y9666" t="str">
            <v>CHILE</v>
          </cell>
        </row>
        <row r="9667">
          <cell r="L9667" t="str">
            <v>Non-proportional</v>
          </cell>
          <cell r="S9667">
            <v>214.66</v>
          </cell>
          <cell r="X9667" t="str">
            <v>Commissions - gross</v>
          </cell>
          <cell r="Y9667" t="str">
            <v>CHILE</v>
          </cell>
        </row>
        <row r="9668">
          <cell r="L9668" t="str">
            <v>Non-proportional</v>
          </cell>
          <cell r="S9668">
            <v>802.05</v>
          </cell>
          <cell r="X9668" t="str">
            <v>Commissions - gross</v>
          </cell>
          <cell r="Y9668" t="str">
            <v>TURKEY</v>
          </cell>
        </row>
        <row r="9669">
          <cell r="L9669" t="str">
            <v>Non-proportional</v>
          </cell>
          <cell r="S9669">
            <v>-0.56000000000000005</v>
          </cell>
          <cell r="X9669" t="str">
            <v>Commissions - gross</v>
          </cell>
          <cell r="Y9669" t="str">
            <v>GUATEMALA</v>
          </cell>
        </row>
        <row r="9670">
          <cell r="L9670" t="str">
            <v>Non-proportional</v>
          </cell>
          <cell r="S9670">
            <v>178.88</v>
          </cell>
          <cell r="X9670" t="str">
            <v>Commissions - gross</v>
          </cell>
          <cell r="Y9670" t="str">
            <v>CHILE</v>
          </cell>
        </row>
        <row r="9671">
          <cell r="L9671" t="str">
            <v>Non-proportional</v>
          </cell>
          <cell r="S9671">
            <v>6.68</v>
          </cell>
          <cell r="X9671" t="str">
            <v>Commissions - gross</v>
          </cell>
          <cell r="Y9671" t="str">
            <v>ISRAEL</v>
          </cell>
        </row>
        <row r="9672">
          <cell r="L9672" t="str">
            <v>Non-proportional</v>
          </cell>
          <cell r="S9672">
            <v>216.75</v>
          </cell>
          <cell r="X9672" t="str">
            <v>Commissions - gross</v>
          </cell>
          <cell r="Y9672" t="str">
            <v>UNITED KINGDOM</v>
          </cell>
        </row>
        <row r="9673">
          <cell r="L9673" t="str">
            <v>Non-proportional</v>
          </cell>
          <cell r="S9673">
            <v>-2221.29</v>
          </cell>
          <cell r="X9673" t="str">
            <v>Commissions - gross</v>
          </cell>
          <cell r="Y9673" t="str">
            <v>DOMINICAN REPUBLIC</v>
          </cell>
        </row>
        <row r="9674">
          <cell r="L9674" t="str">
            <v>Non-proportional</v>
          </cell>
          <cell r="S9674">
            <v>1265.96</v>
          </cell>
          <cell r="X9674" t="str">
            <v>Commissions - gross</v>
          </cell>
          <cell r="Y9674" t="str">
            <v>ITALY</v>
          </cell>
        </row>
        <row r="9675">
          <cell r="L9675" t="str">
            <v>Non-proportional</v>
          </cell>
          <cell r="S9675">
            <v>536.65</v>
          </cell>
          <cell r="X9675" t="str">
            <v>Commissions - gross</v>
          </cell>
          <cell r="Y9675" t="str">
            <v>CHILE</v>
          </cell>
        </row>
        <row r="9676">
          <cell r="L9676" t="str">
            <v>Non-proportional</v>
          </cell>
          <cell r="S9676">
            <v>489.01</v>
          </cell>
          <cell r="X9676" t="str">
            <v>Commissions - gross</v>
          </cell>
          <cell r="Y9676" t="str">
            <v>FRANCE</v>
          </cell>
        </row>
        <row r="9677">
          <cell r="L9677" t="str">
            <v>Non-proportional</v>
          </cell>
          <cell r="S9677">
            <v>-7.99</v>
          </cell>
          <cell r="X9677" t="str">
            <v>Commissions - gross</v>
          </cell>
          <cell r="Y9677" t="str">
            <v>JAPAN</v>
          </cell>
        </row>
        <row r="9678">
          <cell r="L9678" t="str">
            <v>Non-proportional</v>
          </cell>
          <cell r="S9678">
            <v>-7.26</v>
          </cell>
          <cell r="X9678" t="str">
            <v>Commissions - gross</v>
          </cell>
          <cell r="Y9678" t="str">
            <v>NEW ZEALAND</v>
          </cell>
        </row>
        <row r="9679">
          <cell r="L9679" t="str">
            <v>Non-proportional</v>
          </cell>
          <cell r="S9679">
            <v>1409.12</v>
          </cell>
          <cell r="X9679" t="str">
            <v>Commissions - gross</v>
          </cell>
          <cell r="Y9679" t="str">
            <v>UNITED KINGDOM</v>
          </cell>
        </row>
        <row r="9680">
          <cell r="L9680" t="str">
            <v>Non-proportional</v>
          </cell>
          <cell r="S9680">
            <v>-3001.49</v>
          </cell>
          <cell r="X9680" t="str">
            <v>Commissions - gross</v>
          </cell>
          <cell r="Y9680" t="str">
            <v>ECUADOR</v>
          </cell>
        </row>
        <row r="9681">
          <cell r="L9681" t="str">
            <v>Proportional</v>
          </cell>
          <cell r="S9681">
            <v>6439.9</v>
          </cell>
          <cell r="X9681" t="str">
            <v>Commissions - gross</v>
          </cell>
          <cell r="Y9681" t="str">
            <v>AUSTRALIA</v>
          </cell>
        </row>
        <row r="9682">
          <cell r="L9682" t="str">
            <v>Non-proportional</v>
          </cell>
          <cell r="S9682">
            <v>1701.55</v>
          </cell>
          <cell r="X9682" t="str">
            <v>Commissions - gross</v>
          </cell>
          <cell r="Y9682" t="str">
            <v>UNITED KINGDOM</v>
          </cell>
        </row>
        <row r="9683">
          <cell r="L9683" t="str">
            <v>Non-proportional</v>
          </cell>
          <cell r="S9683">
            <v>-6875</v>
          </cell>
          <cell r="X9683" t="str">
            <v>Commissions - gross</v>
          </cell>
          <cell r="Y9683" t="str">
            <v>SPAIN</v>
          </cell>
        </row>
        <row r="9684">
          <cell r="L9684" t="str">
            <v>Non-proportional</v>
          </cell>
          <cell r="S9684">
            <v>-3808.46</v>
          </cell>
          <cell r="X9684" t="str">
            <v>Commissions - gross</v>
          </cell>
          <cell r="Y9684" t="str">
            <v>DOMINICAN REPUBLIC</v>
          </cell>
        </row>
        <row r="9685">
          <cell r="L9685" t="str">
            <v>Non-proportional</v>
          </cell>
          <cell r="S9685">
            <v>476.92</v>
          </cell>
          <cell r="X9685" t="str">
            <v>Commissions - gross</v>
          </cell>
          <cell r="Y9685" t="str">
            <v>UNITED KINGDOM</v>
          </cell>
        </row>
        <row r="9686">
          <cell r="L9686" t="str">
            <v>Non-proportional</v>
          </cell>
          <cell r="S9686">
            <v>918.75</v>
          </cell>
          <cell r="X9686" t="str">
            <v>Commissions - gross</v>
          </cell>
          <cell r="Y9686" t="str">
            <v>TURKEY</v>
          </cell>
        </row>
        <row r="9687">
          <cell r="L9687" t="str">
            <v>Proportional</v>
          </cell>
          <cell r="S9687">
            <v>-3700.35</v>
          </cell>
          <cell r="X9687" t="str">
            <v>Commissions - gross</v>
          </cell>
          <cell r="Y9687" t="str">
            <v>PERU</v>
          </cell>
        </row>
        <row r="9688">
          <cell r="L9688" t="str">
            <v>Non-proportional</v>
          </cell>
          <cell r="S9688">
            <v>417.21</v>
          </cell>
          <cell r="X9688" t="str">
            <v>Commissions - gross</v>
          </cell>
          <cell r="Y9688" t="str">
            <v>THAILAND</v>
          </cell>
        </row>
        <row r="9689">
          <cell r="L9689" t="str">
            <v>Non-proportional</v>
          </cell>
          <cell r="S9689">
            <v>112.71</v>
          </cell>
          <cell r="X9689" t="str">
            <v>Commissions - gross</v>
          </cell>
          <cell r="Y9689" t="str">
            <v>SOUTH AFRICA</v>
          </cell>
        </row>
        <row r="9690">
          <cell r="L9690" t="str">
            <v>Non-proportional</v>
          </cell>
          <cell r="S9690">
            <v>347.76</v>
          </cell>
          <cell r="X9690" t="str">
            <v>Commissions - gross</v>
          </cell>
          <cell r="Y9690" t="str">
            <v>BRAZIL</v>
          </cell>
        </row>
        <row r="9691">
          <cell r="L9691" t="str">
            <v>Non-proportional</v>
          </cell>
          <cell r="S9691">
            <v>1504.3</v>
          </cell>
          <cell r="X9691" t="str">
            <v>Commissions - gross</v>
          </cell>
          <cell r="Y9691" t="str">
            <v>FRANCE</v>
          </cell>
        </row>
        <row r="9692">
          <cell r="L9692" t="str">
            <v>Non-proportional</v>
          </cell>
          <cell r="S9692">
            <v>106.74</v>
          </cell>
          <cell r="X9692" t="str">
            <v>Commissions - gross</v>
          </cell>
          <cell r="Y9692" t="str">
            <v>SOUTH AFRICA</v>
          </cell>
        </row>
        <row r="9693">
          <cell r="L9693" t="str">
            <v>Non-proportional</v>
          </cell>
          <cell r="S9693">
            <v>885.32</v>
          </cell>
          <cell r="X9693" t="str">
            <v>Commissions - gross</v>
          </cell>
          <cell r="Y9693" t="str">
            <v>PUERTO RICO</v>
          </cell>
        </row>
        <row r="9694">
          <cell r="L9694" t="str">
            <v>Non-proportional</v>
          </cell>
          <cell r="S9694">
            <v>321.99</v>
          </cell>
          <cell r="X9694" t="str">
            <v>Commissions - gross</v>
          </cell>
          <cell r="Y9694" t="str">
            <v>CHILE</v>
          </cell>
        </row>
        <row r="9695">
          <cell r="L9695" t="str">
            <v>Non-proportional</v>
          </cell>
          <cell r="S9695">
            <v>1070.71</v>
          </cell>
          <cell r="X9695" t="str">
            <v>Commissions - gross</v>
          </cell>
          <cell r="Y9695" t="str">
            <v>FRANCE</v>
          </cell>
        </row>
        <row r="9696">
          <cell r="L9696" t="str">
            <v>Non-proportional</v>
          </cell>
          <cell r="S9696">
            <v>73.680000000000007</v>
          </cell>
          <cell r="X9696" t="str">
            <v>Commissions - gross</v>
          </cell>
          <cell r="Y9696" t="str">
            <v>ISRAEL</v>
          </cell>
        </row>
        <row r="9697">
          <cell r="L9697" t="str">
            <v>Non-proportional</v>
          </cell>
          <cell r="S9697">
            <v>-4.22</v>
          </cell>
          <cell r="X9697" t="str">
            <v>Commissions - gross</v>
          </cell>
          <cell r="Y9697" t="str">
            <v>JAPAN</v>
          </cell>
        </row>
        <row r="9698">
          <cell r="L9698" t="str">
            <v>Non-proportional</v>
          </cell>
          <cell r="S9698">
            <v>301.42</v>
          </cell>
          <cell r="X9698" t="str">
            <v>Commissions - gross</v>
          </cell>
          <cell r="Y9698" t="str">
            <v>ISRAEL</v>
          </cell>
        </row>
        <row r="9699">
          <cell r="L9699" t="str">
            <v>Non-proportional</v>
          </cell>
          <cell r="S9699">
            <v>45.93</v>
          </cell>
          <cell r="X9699" t="str">
            <v>Commissions - gross</v>
          </cell>
          <cell r="Y9699" t="str">
            <v>BRAZIL</v>
          </cell>
        </row>
        <row r="9700">
          <cell r="L9700" t="str">
            <v>Proportional</v>
          </cell>
          <cell r="S9700">
            <v>8.3699999999999992</v>
          </cell>
          <cell r="X9700" t="str">
            <v>Commissions - gross</v>
          </cell>
          <cell r="Y9700" t="str">
            <v>UNITED STATES</v>
          </cell>
        </row>
        <row r="9701">
          <cell r="L9701" t="str">
            <v>Non-proportional</v>
          </cell>
          <cell r="S9701">
            <v>125.52</v>
          </cell>
          <cell r="X9701" t="str">
            <v>Commissions - gross</v>
          </cell>
          <cell r="Y9701" t="str">
            <v>JAPAN</v>
          </cell>
        </row>
        <row r="9702">
          <cell r="L9702" t="str">
            <v>Proportional</v>
          </cell>
          <cell r="S9702">
            <v>-2.1</v>
          </cell>
          <cell r="X9702" t="str">
            <v>Commissions - gross</v>
          </cell>
          <cell r="Y9702" t="str">
            <v>UNITED STATES</v>
          </cell>
        </row>
        <row r="9703">
          <cell r="L9703" t="str">
            <v>Non-proportional</v>
          </cell>
          <cell r="S9703">
            <v>3.04</v>
          </cell>
          <cell r="X9703" t="str">
            <v>Commissions - gross</v>
          </cell>
          <cell r="Y9703" t="str">
            <v>ISRAEL</v>
          </cell>
        </row>
        <row r="9704">
          <cell r="L9704" t="str">
            <v>Non-proportional</v>
          </cell>
          <cell r="S9704">
            <v>-2853.08</v>
          </cell>
          <cell r="X9704" t="str">
            <v>Commissions - gross</v>
          </cell>
          <cell r="Y9704" t="str">
            <v>MEXICO</v>
          </cell>
        </row>
        <row r="9705">
          <cell r="L9705" t="str">
            <v>Proportional</v>
          </cell>
          <cell r="S9705">
            <v>72.03</v>
          </cell>
          <cell r="X9705" t="str">
            <v>Commissions - gross</v>
          </cell>
          <cell r="Y9705" t="str">
            <v>UNITED STATES</v>
          </cell>
        </row>
        <row r="9706">
          <cell r="L9706" t="str">
            <v>Non-proportional</v>
          </cell>
          <cell r="S9706">
            <v>662.63</v>
          </cell>
          <cell r="X9706" t="str">
            <v>Commissions - gross</v>
          </cell>
          <cell r="Y9706" t="str">
            <v>NEW ZEALAND</v>
          </cell>
        </row>
        <row r="9707">
          <cell r="L9707" t="str">
            <v>Non-proportional</v>
          </cell>
          <cell r="S9707">
            <v>-11278.28</v>
          </cell>
          <cell r="X9707" t="str">
            <v>Commissions - gross</v>
          </cell>
          <cell r="Y9707" t="str">
            <v>PERU</v>
          </cell>
        </row>
        <row r="9708">
          <cell r="L9708" t="str">
            <v>Non-proportional</v>
          </cell>
          <cell r="S9708">
            <v>-3097.07</v>
          </cell>
          <cell r="X9708" t="str">
            <v>Commissions - gross</v>
          </cell>
          <cell r="Y9708" t="str">
            <v>AUSTRALIA</v>
          </cell>
        </row>
        <row r="9709">
          <cell r="L9709" t="str">
            <v>Non-proportional</v>
          </cell>
          <cell r="S9709">
            <v>425.07</v>
          </cell>
          <cell r="X9709" t="str">
            <v>Commissions - gross</v>
          </cell>
          <cell r="Y9709" t="str">
            <v>ITALY</v>
          </cell>
        </row>
        <row r="9710">
          <cell r="L9710" t="str">
            <v>Non-proportional</v>
          </cell>
          <cell r="S9710">
            <v>627.9</v>
          </cell>
          <cell r="X9710" t="str">
            <v>Commissions - gross</v>
          </cell>
          <cell r="Y9710" t="str">
            <v>FRANCE</v>
          </cell>
        </row>
        <row r="9711">
          <cell r="L9711" t="str">
            <v>Non-proportional</v>
          </cell>
          <cell r="S9711">
            <v>2318.75</v>
          </cell>
          <cell r="X9711" t="str">
            <v>Commissions - gross</v>
          </cell>
          <cell r="Y9711" t="str">
            <v>ITALY</v>
          </cell>
        </row>
        <row r="9712">
          <cell r="L9712" t="str">
            <v>Non-proportional</v>
          </cell>
          <cell r="S9712">
            <v>174.99</v>
          </cell>
          <cell r="X9712" t="str">
            <v>Commissions - gross</v>
          </cell>
          <cell r="Y9712" t="str">
            <v>EUROPE</v>
          </cell>
        </row>
        <row r="9713">
          <cell r="L9713" t="str">
            <v>Non-proportional</v>
          </cell>
          <cell r="S9713">
            <v>571.64</v>
          </cell>
          <cell r="X9713" t="str">
            <v>Commissions - gross</v>
          </cell>
          <cell r="Y9713" t="str">
            <v>THAILAND</v>
          </cell>
        </row>
        <row r="9714">
          <cell r="L9714" t="str">
            <v>Non-proportional</v>
          </cell>
          <cell r="S9714">
            <v>4015.82</v>
          </cell>
          <cell r="X9714" t="str">
            <v>Commissions - gross</v>
          </cell>
          <cell r="Y9714" t="str">
            <v>UNITED KINGDOM</v>
          </cell>
        </row>
        <row r="9715">
          <cell r="L9715" t="str">
            <v>Non-proportional</v>
          </cell>
          <cell r="S9715">
            <v>1266.46</v>
          </cell>
          <cell r="X9715" t="str">
            <v>Commissions - gross</v>
          </cell>
          <cell r="Y9715" t="str">
            <v>FRANCE</v>
          </cell>
        </row>
        <row r="9716">
          <cell r="L9716" t="str">
            <v>Non-proportional</v>
          </cell>
          <cell r="S9716">
            <v>315.7</v>
          </cell>
          <cell r="X9716" t="str">
            <v>Commissions - gross</v>
          </cell>
          <cell r="Y9716" t="str">
            <v>PERU</v>
          </cell>
        </row>
        <row r="9717">
          <cell r="L9717" t="str">
            <v>Non-proportional</v>
          </cell>
          <cell r="S9717">
            <v>6.28</v>
          </cell>
          <cell r="X9717" t="str">
            <v>Commissions - gross</v>
          </cell>
          <cell r="Y9717" t="str">
            <v>ISRAEL</v>
          </cell>
        </row>
        <row r="9718">
          <cell r="L9718" t="str">
            <v>Non-proportional</v>
          </cell>
          <cell r="S9718">
            <v>2557.27</v>
          </cell>
          <cell r="X9718" t="str">
            <v>Commissions - gross</v>
          </cell>
          <cell r="Y9718" t="str">
            <v>TURKEY</v>
          </cell>
        </row>
        <row r="9719">
          <cell r="L9719" t="str">
            <v>Non-proportional</v>
          </cell>
          <cell r="S9719">
            <v>650</v>
          </cell>
          <cell r="X9719" t="str">
            <v>Commissions - gross</v>
          </cell>
          <cell r="Y9719" t="str">
            <v>FRANCE</v>
          </cell>
        </row>
        <row r="9720">
          <cell r="L9720" t="str">
            <v>Non-proportional</v>
          </cell>
          <cell r="S9720">
            <v>0.01</v>
          </cell>
          <cell r="X9720" t="str">
            <v>Commissions - gross</v>
          </cell>
          <cell r="Y9720" t="str">
            <v>COLOMBIA</v>
          </cell>
        </row>
        <row r="9721">
          <cell r="L9721" t="str">
            <v>Non-proportional</v>
          </cell>
          <cell r="S9721">
            <v>940.6</v>
          </cell>
          <cell r="X9721" t="str">
            <v>Commissions - gross</v>
          </cell>
          <cell r="Y9721" t="str">
            <v>NEW ZEALAND</v>
          </cell>
        </row>
        <row r="9722">
          <cell r="L9722" t="str">
            <v>Non-proportional</v>
          </cell>
          <cell r="S9722">
            <v>314.97000000000003</v>
          </cell>
          <cell r="X9722" t="str">
            <v>Commissions - gross</v>
          </cell>
          <cell r="Y9722" t="str">
            <v>ISRAEL</v>
          </cell>
        </row>
        <row r="9723">
          <cell r="L9723" t="str">
            <v>Non-proportional</v>
          </cell>
          <cell r="S9723">
            <v>605.5</v>
          </cell>
          <cell r="X9723" t="str">
            <v>Commissions - gross</v>
          </cell>
          <cell r="Y9723" t="str">
            <v>FRANCE</v>
          </cell>
        </row>
        <row r="9724">
          <cell r="L9724" t="str">
            <v>Non-proportional</v>
          </cell>
          <cell r="S9724">
            <v>279.83999999999997</v>
          </cell>
          <cell r="X9724" t="str">
            <v>Commissions - gross</v>
          </cell>
          <cell r="Y9724" t="str">
            <v>INDIA</v>
          </cell>
        </row>
        <row r="9725">
          <cell r="L9725" t="str">
            <v>Non-proportional</v>
          </cell>
          <cell r="S9725">
            <v>-11.04</v>
          </cell>
          <cell r="X9725" t="str">
            <v>Commissions - gross</v>
          </cell>
          <cell r="Y9725" t="str">
            <v>JAPAN</v>
          </cell>
        </row>
        <row r="9726">
          <cell r="L9726" t="str">
            <v>Non-proportional</v>
          </cell>
          <cell r="S9726">
            <v>17.920000000000002</v>
          </cell>
          <cell r="X9726" t="str">
            <v>Commissions - gross</v>
          </cell>
          <cell r="Y9726" t="str">
            <v>JAPAN</v>
          </cell>
        </row>
        <row r="9727">
          <cell r="L9727" t="str">
            <v>Non-proportional</v>
          </cell>
          <cell r="S9727">
            <v>1.1499999999999999</v>
          </cell>
          <cell r="X9727" t="str">
            <v>Commissions - gross</v>
          </cell>
          <cell r="Y9727" t="str">
            <v>ISRAEL</v>
          </cell>
        </row>
        <row r="9728">
          <cell r="L9728" t="str">
            <v>Non-proportional</v>
          </cell>
          <cell r="S9728">
            <v>16.75</v>
          </cell>
          <cell r="X9728" t="str">
            <v>Commissions - gross</v>
          </cell>
          <cell r="Y9728" t="str">
            <v>FRANCE</v>
          </cell>
        </row>
        <row r="9729">
          <cell r="L9729" t="str">
            <v>Non-proportional</v>
          </cell>
          <cell r="S9729">
            <v>250.44</v>
          </cell>
          <cell r="X9729" t="str">
            <v>Commissions - gross</v>
          </cell>
          <cell r="Y9729" t="str">
            <v>CHILE</v>
          </cell>
        </row>
        <row r="9730">
          <cell r="L9730" t="str">
            <v>Non-proportional</v>
          </cell>
          <cell r="S9730">
            <v>-12883.88</v>
          </cell>
          <cell r="X9730" t="str">
            <v>Commissions - gross</v>
          </cell>
          <cell r="Y9730" t="str">
            <v>MEXICO</v>
          </cell>
        </row>
        <row r="9731">
          <cell r="L9731" t="str">
            <v>Non-proportional</v>
          </cell>
          <cell r="S9731">
            <v>450.98</v>
          </cell>
          <cell r="X9731" t="str">
            <v>Commissions - gross</v>
          </cell>
          <cell r="Y9731" t="str">
            <v>FRANCE</v>
          </cell>
        </row>
        <row r="9732">
          <cell r="L9732" t="str">
            <v>Non-proportional</v>
          </cell>
          <cell r="S9732">
            <v>71.3</v>
          </cell>
          <cell r="X9732" t="str">
            <v>Commissions - gross</v>
          </cell>
          <cell r="Y9732" t="str">
            <v>ECUADOR</v>
          </cell>
        </row>
        <row r="9733">
          <cell r="L9733" t="str">
            <v>Non-proportional</v>
          </cell>
          <cell r="S9733">
            <v>96.49</v>
          </cell>
          <cell r="X9733" t="str">
            <v>Commissions - gross</v>
          </cell>
          <cell r="Y9733" t="str">
            <v>ISRAEL</v>
          </cell>
        </row>
        <row r="9734">
          <cell r="L9734" t="str">
            <v>Non-proportional</v>
          </cell>
          <cell r="S9734">
            <v>1059.6099999999999</v>
          </cell>
          <cell r="X9734" t="str">
            <v>Commissions - gross</v>
          </cell>
          <cell r="Y9734" t="str">
            <v>FRANCE</v>
          </cell>
        </row>
        <row r="9735">
          <cell r="L9735" t="str">
            <v>Non-proportional</v>
          </cell>
          <cell r="S9735">
            <v>-7.26</v>
          </cell>
          <cell r="X9735" t="str">
            <v>Commissions - gross</v>
          </cell>
          <cell r="Y9735" t="str">
            <v>NEW ZEALAND</v>
          </cell>
        </row>
        <row r="9736">
          <cell r="L9736" t="str">
            <v>Non-proportional</v>
          </cell>
          <cell r="S9736">
            <v>328.13</v>
          </cell>
          <cell r="X9736" t="str">
            <v>Commissions - gross</v>
          </cell>
          <cell r="Y9736" t="str">
            <v>ITALY</v>
          </cell>
        </row>
        <row r="9737">
          <cell r="L9737" t="str">
            <v>Non-proportional</v>
          </cell>
          <cell r="S9737">
            <v>122.04</v>
          </cell>
          <cell r="X9737" t="str">
            <v>Commissions - gross</v>
          </cell>
          <cell r="Y9737" t="str">
            <v>COSTA RICA</v>
          </cell>
        </row>
        <row r="9738">
          <cell r="L9738" t="str">
            <v>Non-proportional</v>
          </cell>
          <cell r="S9738">
            <v>-858.64</v>
          </cell>
          <cell r="X9738" t="str">
            <v>Commissions - gross</v>
          </cell>
          <cell r="Y9738" t="str">
            <v>CHILE</v>
          </cell>
        </row>
        <row r="9739">
          <cell r="L9739" t="str">
            <v>Non-proportional</v>
          </cell>
          <cell r="S9739">
            <v>621.61</v>
          </cell>
          <cell r="X9739" t="str">
            <v>Commissions - gross</v>
          </cell>
          <cell r="Y9739" t="str">
            <v>INDIA</v>
          </cell>
        </row>
        <row r="9740">
          <cell r="L9740" t="str">
            <v>Non-proportional</v>
          </cell>
          <cell r="S9740">
            <v>348.32</v>
          </cell>
          <cell r="X9740" t="str">
            <v>Commissions - gross</v>
          </cell>
          <cell r="Y9740" t="str">
            <v>ISRAEL</v>
          </cell>
        </row>
        <row r="9741">
          <cell r="L9741" t="str">
            <v>Non-proportional</v>
          </cell>
          <cell r="S9741">
            <v>-400.77</v>
          </cell>
          <cell r="X9741" t="str">
            <v>Commissions - gross</v>
          </cell>
          <cell r="Y9741" t="str">
            <v>DOMINICAN REPUBLIC</v>
          </cell>
        </row>
        <row r="9742">
          <cell r="L9742" t="str">
            <v>Non-proportional</v>
          </cell>
          <cell r="S9742">
            <v>-42.14</v>
          </cell>
          <cell r="X9742" t="str">
            <v>Commissions - gross</v>
          </cell>
          <cell r="Y9742" t="str">
            <v>NEW ZEALAND</v>
          </cell>
        </row>
        <row r="9743">
          <cell r="L9743" t="str">
            <v>Non-proportional</v>
          </cell>
          <cell r="S9743">
            <v>-7547.46</v>
          </cell>
          <cell r="X9743" t="str">
            <v>Commissions - gross</v>
          </cell>
          <cell r="Y9743" t="str">
            <v>AUSTRALIA</v>
          </cell>
        </row>
        <row r="9744">
          <cell r="L9744" t="str">
            <v>Non-proportional</v>
          </cell>
          <cell r="S9744">
            <v>74.040000000000006</v>
          </cell>
          <cell r="X9744" t="str">
            <v>Commissions - gross</v>
          </cell>
          <cell r="Y9744" t="str">
            <v>FRANCE</v>
          </cell>
        </row>
        <row r="9745">
          <cell r="L9745" t="str">
            <v>Non-proportional</v>
          </cell>
          <cell r="S9745">
            <v>917.84</v>
          </cell>
          <cell r="X9745" t="str">
            <v>Commissions - gross</v>
          </cell>
          <cell r="Y9745" t="str">
            <v>FRANCE</v>
          </cell>
        </row>
        <row r="9746">
          <cell r="L9746" t="str">
            <v>Non-proportional</v>
          </cell>
          <cell r="S9746">
            <v>3.46</v>
          </cell>
          <cell r="X9746" t="str">
            <v>Commissions - gross</v>
          </cell>
          <cell r="Y9746" t="str">
            <v>ISRAEL</v>
          </cell>
        </row>
        <row r="9747">
          <cell r="L9747" t="str">
            <v>Non-proportional</v>
          </cell>
          <cell r="S9747">
            <v>208.18</v>
          </cell>
          <cell r="X9747" t="str">
            <v>Commissions - gross</v>
          </cell>
          <cell r="Y9747" t="str">
            <v>PERU</v>
          </cell>
        </row>
        <row r="9748">
          <cell r="L9748" t="str">
            <v>Non-proportional</v>
          </cell>
          <cell r="S9748">
            <v>-4.0999999999999996</v>
          </cell>
          <cell r="X9748" t="str">
            <v>Commissions - gross</v>
          </cell>
          <cell r="Y9748" t="str">
            <v>NEW ZEALAND</v>
          </cell>
        </row>
        <row r="9749">
          <cell r="L9749" t="str">
            <v>Proportional</v>
          </cell>
          <cell r="S9749">
            <v>-71.55</v>
          </cell>
          <cell r="X9749" t="str">
            <v>Commissions - gross</v>
          </cell>
          <cell r="Y9749" t="str">
            <v>CHILE</v>
          </cell>
        </row>
        <row r="9750">
          <cell r="L9750" t="str">
            <v>Proportional</v>
          </cell>
          <cell r="S9750">
            <v>1.39</v>
          </cell>
          <cell r="X9750" t="str">
            <v>Commissions - gross</v>
          </cell>
          <cell r="Y9750" t="str">
            <v>UNITED STATES</v>
          </cell>
        </row>
        <row r="9751">
          <cell r="L9751" t="str">
            <v>Non-proportional</v>
          </cell>
          <cell r="S9751">
            <v>-1466.63</v>
          </cell>
          <cell r="X9751" t="str">
            <v>Commissions - gross</v>
          </cell>
          <cell r="Y9751" t="str">
            <v>ECUADOR</v>
          </cell>
        </row>
        <row r="9752">
          <cell r="L9752" t="str">
            <v>Non-proportional</v>
          </cell>
          <cell r="S9752">
            <v>-800.2</v>
          </cell>
          <cell r="X9752" t="str">
            <v>Commissions - gross</v>
          </cell>
          <cell r="Y9752" t="str">
            <v>UNITED ARAB EMIRATES</v>
          </cell>
        </row>
        <row r="9753">
          <cell r="L9753" t="str">
            <v>Non-proportional</v>
          </cell>
          <cell r="S9753">
            <v>-6363.31</v>
          </cell>
          <cell r="X9753" t="str">
            <v>Commissions - gross</v>
          </cell>
          <cell r="Y9753" t="str">
            <v>AUSTRALIA</v>
          </cell>
        </row>
        <row r="9754">
          <cell r="L9754" t="str">
            <v>Non-proportional</v>
          </cell>
          <cell r="S9754">
            <v>-3.42</v>
          </cell>
          <cell r="X9754" t="str">
            <v>Commissions - gross</v>
          </cell>
          <cell r="Y9754" t="str">
            <v>JAPAN</v>
          </cell>
        </row>
        <row r="9755">
          <cell r="L9755" t="str">
            <v>Non-proportional</v>
          </cell>
          <cell r="S9755">
            <v>112.34</v>
          </cell>
          <cell r="X9755" t="str">
            <v>Commissions - gross</v>
          </cell>
          <cell r="Y9755" t="str">
            <v>ISRAEL</v>
          </cell>
        </row>
        <row r="9756">
          <cell r="L9756" t="str">
            <v>Non-proportional</v>
          </cell>
          <cell r="S9756">
            <v>141.59</v>
          </cell>
          <cell r="X9756" t="str">
            <v>Commissions - gross</v>
          </cell>
          <cell r="Y9756" t="str">
            <v>FRANCE</v>
          </cell>
        </row>
        <row r="9757">
          <cell r="L9757" t="str">
            <v>Proportional</v>
          </cell>
          <cell r="S9757">
            <v>3109.51</v>
          </cell>
          <cell r="X9757" t="str">
            <v>Commissions - gross</v>
          </cell>
          <cell r="Y9757" t="str">
            <v>JAPAN</v>
          </cell>
        </row>
        <row r="9758">
          <cell r="L9758" t="str">
            <v>Proportional</v>
          </cell>
          <cell r="S9758">
            <v>-68.099999999999994</v>
          </cell>
          <cell r="X9758" t="str">
            <v>Commissions - gross</v>
          </cell>
          <cell r="Y9758" t="str">
            <v>FRANCE</v>
          </cell>
        </row>
        <row r="9759">
          <cell r="L9759" t="str">
            <v>Non-proportional</v>
          </cell>
          <cell r="S9759">
            <v>-26.06</v>
          </cell>
          <cell r="X9759" t="str">
            <v>Commissions - gross</v>
          </cell>
          <cell r="Y9759" t="str">
            <v>COLOMBIA</v>
          </cell>
        </row>
        <row r="9760">
          <cell r="L9760" t="str">
            <v>Non-proportional</v>
          </cell>
          <cell r="S9760">
            <v>527.45000000000005</v>
          </cell>
          <cell r="X9760" t="str">
            <v>Commissions - gross</v>
          </cell>
          <cell r="Y9760" t="str">
            <v>CYPRUS</v>
          </cell>
        </row>
        <row r="9761">
          <cell r="L9761" t="str">
            <v>Non-proportional</v>
          </cell>
          <cell r="S9761">
            <v>184.1</v>
          </cell>
          <cell r="X9761" t="str">
            <v>Commissions - gross</v>
          </cell>
          <cell r="Y9761" t="str">
            <v>UNITED KINGDOM</v>
          </cell>
        </row>
        <row r="9762">
          <cell r="L9762" t="str">
            <v>Non-proportional</v>
          </cell>
          <cell r="S9762">
            <v>120.28</v>
          </cell>
          <cell r="X9762" t="str">
            <v>Commissions - gross</v>
          </cell>
          <cell r="Y9762" t="str">
            <v>COLOMBIA</v>
          </cell>
        </row>
        <row r="9763">
          <cell r="L9763" t="str">
            <v>Non-proportional</v>
          </cell>
          <cell r="S9763">
            <v>494.91</v>
          </cell>
          <cell r="X9763" t="str">
            <v>Commissions - gross</v>
          </cell>
          <cell r="Y9763" t="str">
            <v>NETHERLANDS</v>
          </cell>
        </row>
        <row r="9764">
          <cell r="L9764" t="str">
            <v>Non-proportional</v>
          </cell>
          <cell r="S9764">
            <v>357.06</v>
          </cell>
          <cell r="X9764" t="str">
            <v>Commissions - gross</v>
          </cell>
          <cell r="Y9764" t="str">
            <v>GREECE</v>
          </cell>
        </row>
        <row r="9765">
          <cell r="L9765" t="str">
            <v>Proportional</v>
          </cell>
          <cell r="S9765">
            <v>35.78</v>
          </cell>
          <cell r="X9765" t="str">
            <v>Commissions - gross</v>
          </cell>
          <cell r="Y9765" t="str">
            <v>CHILE</v>
          </cell>
        </row>
        <row r="9766">
          <cell r="L9766" t="str">
            <v>Non-proportional</v>
          </cell>
          <cell r="S9766">
            <v>348.51</v>
          </cell>
          <cell r="X9766" t="str">
            <v>Commissions - gross</v>
          </cell>
          <cell r="Y9766" t="str">
            <v>THAILAND</v>
          </cell>
        </row>
        <row r="9767">
          <cell r="L9767" t="str">
            <v>Non-proportional</v>
          </cell>
          <cell r="S9767">
            <v>-321.99</v>
          </cell>
          <cell r="X9767" t="str">
            <v>Commissions - gross</v>
          </cell>
          <cell r="Y9767" t="str">
            <v>CHILE</v>
          </cell>
        </row>
        <row r="9768">
          <cell r="L9768" t="str">
            <v>Non-proportional</v>
          </cell>
          <cell r="S9768">
            <v>785.55</v>
          </cell>
          <cell r="X9768" t="str">
            <v>Commissions - gross</v>
          </cell>
          <cell r="Y9768" t="str">
            <v>JAPAN</v>
          </cell>
        </row>
        <row r="9769">
          <cell r="L9769" t="str">
            <v>Non-proportional</v>
          </cell>
          <cell r="S9769">
            <v>225.62</v>
          </cell>
          <cell r="X9769" t="str">
            <v>Commissions - gross</v>
          </cell>
          <cell r="Y9769" t="str">
            <v>ECUADOR</v>
          </cell>
        </row>
        <row r="9770">
          <cell r="L9770" t="str">
            <v>Non-proportional</v>
          </cell>
          <cell r="S9770">
            <v>870.83</v>
          </cell>
          <cell r="X9770" t="str">
            <v>Commissions - gross</v>
          </cell>
          <cell r="Y9770" t="str">
            <v>TURKEY</v>
          </cell>
        </row>
        <row r="9771">
          <cell r="L9771" t="str">
            <v>Non-proportional</v>
          </cell>
          <cell r="S9771">
            <v>749.23</v>
          </cell>
          <cell r="X9771" t="str">
            <v>Commissions - gross</v>
          </cell>
          <cell r="Y9771" t="str">
            <v>FRANCE</v>
          </cell>
        </row>
        <row r="9772">
          <cell r="L9772" t="str">
            <v>Non-proportional</v>
          </cell>
          <cell r="S9772">
            <v>-3.24</v>
          </cell>
          <cell r="X9772" t="str">
            <v>Commissions - gross</v>
          </cell>
          <cell r="Y9772" t="str">
            <v>JAPAN</v>
          </cell>
        </row>
        <row r="9773">
          <cell r="L9773" t="str">
            <v>Non-proportional</v>
          </cell>
          <cell r="S9773">
            <v>-8128.31</v>
          </cell>
          <cell r="X9773" t="str">
            <v>Commissions - gross</v>
          </cell>
          <cell r="Y9773" t="str">
            <v>AUSTRALIA</v>
          </cell>
        </row>
        <row r="9774">
          <cell r="L9774" t="str">
            <v>Non-proportional</v>
          </cell>
          <cell r="S9774">
            <v>551.27</v>
          </cell>
          <cell r="X9774" t="str">
            <v>Commissions - gross</v>
          </cell>
          <cell r="Y9774" t="str">
            <v>NETHERLANDS</v>
          </cell>
        </row>
        <row r="9775">
          <cell r="L9775" t="str">
            <v>Non-proportional</v>
          </cell>
          <cell r="S9775">
            <v>140.63</v>
          </cell>
          <cell r="X9775" t="str">
            <v>Commissions - gross</v>
          </cell>
          <cell r="Y9775" t="str">
            <v>GREECE</v>
          </cell>
        </row>
        <row r="9776">
          <cell r="L9776" t="str">
            <v>Non-proportional</v>
          </cell>
          <cell r="S9776">
            <v>983.03</v>
          </cell>
          <cell r="X9776" t="str">
            <v>Commissions - gross</v>
          </cell>
          <cell r="Y9776" t="str">
            <v>MEXICO</v>
          </cell>
        </row>
        <row r="9777">
          <cell r="L9777" t="str">
            <v>Non-proportional</v>
          </cell>
          <cell r="S9777">
            <v>285.07</v>
          </cell>
          <cell r="X9777" t="str">
            <v>Commissions - gross</v>
          </cell>
          <cell r="Y9777" t="str">
            <v>JAPAN</v>
          </cell>
        </row>
        <row r="9778">
          <cell r="L9778" t="str">
            <v>Non-proportional</v>
          </cell>
          <cell r="S9778">
            <v>1032.58</v>
          </cell>
          <cell r="X9778" t="str">
            <v>Commissions - gross</v>
          </cell>
          <cell r="Y9778" t="str">
            <v>COLOMBIA</v>
          </cell>
        </row>
        <row r="9779">
          <cell r="L9779" t="str">
            <v>Non-proportional</v>
          </cell>
          <cell r="S9779">
            <v>6475.44</v>
          </cell>
          <cell r="X9779" t="str">
            <v>Commissions - gross</v>
          </cell>
          <cell r="Y9779" t="str">
            <v>UNITED KINGDOM</v>
          </cell>
        </row>
        <row r="9780">
          <cell r="L9780" t="str">
            <v>Non-proportional</v>
          </cell>
          <cell r="S9780">
            <v>-11.36</v>
          </cell>
          <cell r="X9780" t="str">
            <v>Commissions - gross</v>
          </cell>
          <cell r="Y9780" t="str">
            <v>JAPAN</v>
          </cell>
        </row>
        <row r="9781">
          <cell r="L9781" t="str">
            <v>Non-proportional</v>
          </cell>
          <cell r="S9781">
            <v>54.38</v>
          </cell>
          <cell r="X9781" t="str">
            <v>Commissions - gross</v>
          </cell>
          <cell r="Y9781" t="str">
            <v>GREECE</v>
          </cell>
        </row>
        <row r="9782">
          <cell r="L9782" t="str">
            <v>Non-proportional</v>
          </cell>
          <cell r="S9782">
            <v>-6.65</v>
          </cell>
          <cell r="X9782" t="str">
            <v>Commissions - gross</v>
          </cell>
          <cell r="Y9782" t="str">
            <v>JAPAN</v>
          </cell>
        </row>
        <row r="9783">
          <cell r="L9783" t="str">
            <v>Non-proportional</v>
          </cell>
          <cell r="S9783">
            <v>559.30999999999995</v>
          </cell>
          <cell r="X9783" t="str">
            <v>Commissions - gross</v>
          </cell>
          <cell r="Y9783" t="str">
            <v>JAPAN</v>
          </cell>
        </row>
        <row r="9784">
          <cell r="L9784" t="str">
            <v>Non-proportional</v>
          </cell>
          <cell r="S9784">
            <v>299.97000000000003</v>
          </cell>
          <cell r="X9784" t="str">
            <v>Commissions - gross</v>
          </cell>
          <cell r="Y9784" t="str">
            <v>NETHERLANDS</v>
          </cell>
        </row>
        <row r="9785">
          <cell r="L9785" t="str">
            <v>Non-proportional</v>
          </cell>
          <cell r="S9785">
            <v>1235.27</v>
          </cell>
          <cell r="X9785" t="str">
            <v>Commissions - gross</v>
          </cell>
          <cell r="Y9785" t="str">
            <v>COSTA RICA</v>
          </cell>
        </row>
        <row r="9786">
          <cell r="L9786" t="str">
            <v>Non-proportional</v>
          </cell>
          <cell r="S9786">
            <v>36723.67</v>
          </cell>
          <cell r="X9786" t="str">
            <v>Commissions - gross</v>
          </cell>
          <cell r="Y9786" t="str">
            <v>UNITED KINGDOM</v>
          </cell>
        </row>
        <row r="9787">
          <cell r="L9787" t="str">
            <v>Non-proportional</v>
          </cell>
          <cell r="S9787">
            <v>36.93</v>
          </cell>
          <cell r="X9787" t="str">
            <v>Commissions - gross</v>
          </cell>
          <cell r="Y9787" t="str">
            <v>TURKEY</v>
          </cell>
        </row>
        <row r="9788">
          <cell r="L9788" t="str">
            <v>Non-proportional</v>
          </cell>
          <cell r="S9788">
            <v>87.37</v>
          </cell>
          <cell r="X9788" t="str">
            <v>Commissions - gross</v>
          </cell>
          <cell r="Y9788" t="str">
            <v>COSTA RICA</v>
          </cell>
        </row>
        <row r="9789">
          <cell r="L9789" t="str">
            <v>Non-proportional</v>
          </cell>
          <cell r="S9789">
            <v>143.11000000000001</v>
          </cell>
          <cell r="X9789" t="str">
            <v>Commissions - gross</v>
          </cell>
          <cell r="Y9789" t="str">
            <v>CHILE</v>
          </cell>
        </row>
        <row r="9790">
          <cell r="L9790" t="str">
            <v>Non-proportional</v>
          </cell>
          <cell r="S9790">
            <v>-28.84</v>
          </cell>
          <cell r="X9790" t="str">
            <v>Commissions - gross</v>
          </cell>
          <cell r="Y9790" t="str">
            <v>JAPAN</v>
          </cell>
        </row>
        <row r="9791">
          <cell r="L9791" t="str">
            <v>Non-proportional</v>
          </cell>
          <cell r="S9791">
            <v>1.94</v>
          </cell>
          <cell r="X9791" t="str">
            <v>Commissions - gross</v>
          </cell>
          <cell r="Y9791" t="str">
            <v>ISRAEL</v>
          </cell>
        </row>
        <row r="9792">
          <cell r="L9792" t="str">
            <v>Non-proportional</v>
          </cell>
          <cell r="S9792">
            <v>381.1</v>
          </cell>
          <cell r="X9792" t="str">
            <v>Commissions - gross</v>
          </cell>
          <cell r="Y9792" t="str">
            <v>NEW ZEALAND</v>
          </cell>
        </row>
        <row r="9793">
          <cell r="L9793" t="str">
            <v>Non-proportional</v>
          </cell>
          <cell r="S9793">
            <v>289.18</v>
          </cell>
          <cell r="X9793" t="str">
            <v>Commissions - gross</v>
          </cell>
          <cell r="Y9793" t="str">
            <v>ISRAEL</v>
          </cell>
        </row>
        <row r="9794">
          <cell r="L9794" t="str">
            <v>Non-proportional</v>
          </cell>
          <cell r="S9794">
            <v>222.86</v>
          </cell>
          <cell r="X9794" t="str">
            <v>Commissions - gross</v>
          </cell>
          <cell r="Y9794" t="str">
            <v>CHINA</v>
          </cell>
        </row>
        <row r="9795">
          <cell r="L9795" t="str">
            <v>Non-proportional</v>
          </cell>
          <cell r="S9795">
            <v>35.78</v>
          </cell>
          <cell r="X9795" t="str">
            <v>Commissions - gross</v>
          </cell>
          <cell r="Y9795" t="str">
            <v>CHILE</v>
          </cell>
        </row>
        <row r="9796">
          <cell r="L9796" t="str">
            <v>Non-proportional</v>
          </cell>
          <cell r="S9796">
            <v>489.98</v>
          </cell>
          <cell r="X9796" t="str">
            <v>Commissions - gross</v>
          </cell>
          <cell r="Y9796" t="str">
            <v>ISRAEL</v>
          </cell>
        </row>
        <row r="9797">
          <cell r="L9797" t="str">
            <v>Non-proportional</v>
          </cell>
          <cell r="S9797">
            <v>321.70999999999998</v>
          </cell>
          <cell r="X9797" t="str">
            <v>Commissions - gross</v>
          </cell>
          <cell r="Y9797" t="str">
            <v>ISRAEL</v>
          </cell>
        </row>
        <row r="9798">
          <cell r="L9798" t="str">
            <v>Proportional</v>
          </cell>
          <cell r="S9798">
            <v>-38.619999999999997</v>
          </cell>
          <cell r="X9798" t="str">
            <v>Commissions - gross</v>
          </cell>
          <cell r="Y9798" t="str">
            <v>CANADA</v>
          </cell>
        </row>
        <row r="9799">
          <cell r="L9799" t="str">
            <v>Non-proportional</v>
          </cell>
          <cell r="S9799">
            <v>997.75</v>
          </cell>
          <cell r="X9799" t="str">
            <v>Commissions - gross</v>
          </cell>
          <cell r="Y9799" t="str">
            <v>ITALY</v>
          </cell>
        </row>
        <row r="9800">
          <cell r="L9800" t="str">
            <v>Non-proportional</v>
          </cell>
          <cell r="S9800">
            <v>225.98</v>
          </cell>
          <cell r="X9800" t="str">
            <v>Commissions - gross</v>
          </cell>
          <cell r="Y9800" t="str">
            <v>UNITED KINGDOM</v>
          </cell>
        </row>
        <row r="9801">
          <cell r="L9801" t="str">
            <v>Non-proportional</v>
          </cell>
          <cell r="S9801">
            <v>-11.25</v>
          </cell>
          <cell r="X9801" t="str">
            <v>Commissions - gross</v>
          </cell>
          <cell r="Y9801" t="str">
            <v>JAPAN</v>
          </cell>
        </row>
        <row r="9802">
          <cell r="L9802" t="str">
            <v>Non-proportional</v>
          </cell>
          <cell r="S9802">
            <v>87.39</v>
          </cell>
          <cell r="X9802" t="str">
            <v>Commissions - gross</v>
          </cell>
          <cell r="Y9802" t="str">
            <v>SOUTH AFRICA</v>
          </cell>
        </row>
        <row r="9803">
          <cell r="L9803" t="str">
            <v>Non-proportional</v>
          </cell>
          <cell r="S9803">
            <v>-5.32</v>
          </cell>
          <cell r="X9803" t="str">
            <v>Commissions - gross</v>
          </cell>
          <cell r="Y9803" t="str">
            <v>JAPAN</v>
          </cell>
        </row>
        <row r="9804">
          <cell r="L9804" t="str">
            <v>Non-proportional</v>
          </cell>
          <cell r="S9804">
            <v>538.08000000000004</v>
          </cell>
          <cell r="X9804" t="str">
            <v>Commissions - gross</v>
          </cell>
          <cell r="Y9804" t="str">
            <v>ISRAEL</v>
          </cell>
        </row>
        <row r="9805">
          <cell r="L9805" t="str">
            <v>Non-proportional</v>
          </cell>
          <cell r="S9805">
            <v>-5.9</v>
          </cell>
          <cell r="X9805" t="str">
            <v>Commissions - gross</v>
          </cell>
          <cell r="Y9805" t="str">
            <v>UNITED KINGDOM</v>
          </cell>
        </row>
        <row r="9806">
          <cell r="L9806" t="str">
            <v>Non-proportional</v>
          </cell>
          <cell r="S9806">
            <v>-608.21</v>
          </cell>
          <cell r="X9806" t="str">
            <v>Commissions - gross</v>
          </cell>
          <cell r="Y9806" t="str">
            <v>CHILE</v>
          </cell>
        </row>
        <row r="9807">
          <cell r="L9807" t="str">
            <v>Non-proportional</v>
          </cell>
          <cell r="S9807">
            <v>-5257.34</v>
          </cell>
          <cell r="X9807" t="str">
            <v>Commissions - gross</v>
          </cell>
          <cell r="Y9807" t="str">
            <v>SPAIN</v>
          </cell>
        </row>
        <row r="9808">
          <cell r="L9808" t="str">
            <v>Non-proportional</v>
          </cell>
          <cell r="S9808">
            <v>1923.15</v>
          </cell>
          <cell r="X9808" t="str">
            <v>Commissions - gross</v>
          </cell>
          <cell r="Y9808" t="str">
            <v>FRANCE</v>
          </cell>
        </row>
        <row r="9809">
          <cell r="L9809" t="str">
            <v>Non-proportional</v>
          </cell>
          <cell r="S9809">
            <v>-5061.2</v>
          </cell>
          <cell r="X9809" t="str">
            <v>Commissions - gross</v>
          </cell>
          <cell r="Y9809" t="str">
            <v>COLOMBIA</v>
          </cell>
        </row>
        <row r="9810">
          <cell r="L9810" t="str">
            <v>Non-proportional</v>
          </cell>
          <cell r="S9810">
            <v>-2.2999999999999998</v>
          </cell>
          <cell r="X9810" t="str">
            <v>Commissions - gross</v>
          </cell>
          <cell r="Y9810" t="str">
            <v>JAPAN</v>
          </cell>
        </row>
        <row r="9811">
          <cell r="L9811" t="str">
            <v>Non-proportional</v>
          </cell>
          <cell r="S9811">
            <v>96.25</v>
          </cell>
          <cell r="X9811" t="str">
            <v>Commissions - gross</v>
          </cell>
          <cell r="Y9811" t="str">
            <v>COLOMBIA</v>
          </cell>
        </row>
        <row r="9812">
          <cell r="L9812" t="str">
            <v>Non-proportional</v>
          </cell>
          <cell r="S9812">
            <v>-7.83</v>
          </cell>
          <cell r="X9812" t="str">
            <v>Commissions - gross</v>
          </cell>
          <cell r="Y9812" t="str">
            <v>COLOMBIA</v>
          </cell>
        </row>
        <row r="9813">
          <cell r="L9813" t="str">
            <v>Proportional</v>
          </cell>
          <cell r="S9813">
            <v>242</v>
          </cell>
          <cell r="X9813" t="str">
            <v>Commissions - gross</v>
          </cell>
          <cell r="Y9813" t="str">
            <v>CHILE</v>
          </cell>
        </row>
        <row r="9814">
          <cell r="L9814" t="str">
            <v>Non-proportional</v>
          </cell>
          <cell r="S9814">
            <v>5704.17</v>
          </cell>
          <cell r="X9814" t="str">
            <v>Commissions - gross</v>
          </cell>
          <cell r="Y9814" t="str">
            <v>UNITED KINGDOM</v>
          </cell>
        </row>
        <row r="9815">
          <cell r="L9815" t="str">
            <v>Non-proportional</v>
          </cell>
          <cell r="S9815">
            <v>950.01</v>
          </cell>
          <cell r="X9815" t="str">
            <v>Commissions - gross</v>
          </cell>
          <cell r="Y9815" t="str">
            <v>TURKEY</v>
          </cell>
        </row>
        <row r="9816">
          <cell r="L9816" t="str">
            <v>Non-proportional</v>
          </cell>
          <cell r="S9816">
            <v>3000</v>
          </cell>
          <cell r="X9816" t="str">
            <v>Commissions - gross</v>
          </cell>
          <cell r="Y9816" t="str">
            <v>FRANCE</v>
          </cell>
        </row>
        <row r="9817">
          <cell r="L9817" t="str">
            <v>Non-proportional</v>
          </cell>
          <cell r="S9817">
            <v>734.24</v>
          </cell>
          <cell r="X9817" t="str">
            <v>Commissions - gross</v>
          </cell>
          <cell r="Y9817" t="str">
            <v>FRANCE</v>
          </cell>
        </row>
        <row r="9818">
          <cell r="L9818" t="str">
            <v>Non-proportional</v>
          </cell>
          <cell r="S9818">
            <v>1151.06</v>
          </cell>
          <cell r="X9818" t="str">
            <v>Commissions - gross</v>
          </cell>
          <cell r="Y9818" t="str">
            <v>EUROPE</v>
          </cell>
        </row>
        <row r="9819">
          <cell r="L9819" t="str">
            <v>Non-proportional</v>
          </cell>
          <cell r="S9819">
            <v>1996.77</v>
          </cell>
          <cell r="X9819" t="str">
            <v>Commissions - gross</v>
          </cell>
          <cell r="Y9819" t="str">
            <v>FRANCE</v>
          </cell>
        </row>
        <row r="9820">
          <cell r="L9820" t="str">
            <v>Non-proportional</v>
          </cell>
          <cell r="S9820">
            <v>54.01</v>
          </cell>
          <cell r="X9820" t="str">
            <v>Commissions - gross</v>
          </cell>
          <cell r="Y9820" t="str">
            <v>BRAZIL</v>
          </cell>
        </row>
        <row r="9821">
          <cell r="L9821" t="str">
            <v>Non-proportional</v>
          </cell>
          <cell r="S9821">
            <v>382.81</v>
          </cell>
          <cell r="X9821" t="str">
            <v>Commissions - gross</v>
          </cell>
          <cell r="Y9821" t="str">
            <v>ITALY</v>
          </cell>
        </row>
        <row r="9822">
          <cell r="L9822" t="str">
            <v>Non-proportional</v>
          </cell>
          <cell r="S9822">
            <v>-4483.57</v>
          </cell>
          <cell r="X9822" t="str">
            <v>Commissions - gross</v>
          </cell>
          <cell r="Y9822" t="str">
            <v>ECUADOR</v>
          </cell>
        </row>
        <row r="9823">
          <cell r="L9823" t="str">
            <v>Non-proportional</v>
          </cell>
          <cell r="S9823">
            <v>181.36</v>
          </cell>
          <cell r="X9823" t="str">
            <v>Commissions - gross</v>
          </cell>
          <cell r="Y9823" t="str">
            <v>NEW ZEALAND</v>
          </cell>
        </row>
        <row r="9824">
          <cell r="L9824" t="str">
            <v>Non-proportional</v>
          </cell>
          <cell r="S9824">
            <v>-400.29</v>
          </cell>
          <cell r="X9824" t="str">
            <v>Commissions - gross</v>
          </cell>
          <cell r="Y9824" t="str">
            <v>UNITED KINGDOM</v>
          </cell>
        </row>
        <row r="9825">
          <cell r="L9825" t="str">
            <v>Non-proportional</v>
          </cell>
          <cell r="S9825">
            <v>320.43</v>
          </cell>
          <cell r="X9825" t="str">
            <v>Commissions - gross</v>
          </cell>
          <cell r="Y9825" t="str">
            <v>COLOMBIA</v>
          </cell>
        </row>
        <row r="9826">
          <cell r="L9826" t="str">
            <v>Non-proportional</v>
          </cell>
          <cell r="S9826">
            <v>963.58</v>
          </cell>
          <cell r="X9826" t="str">
            <v>Commissions - gross</v>
          </cell>
          <cell r="Y9826" t="str">
            <v>COSTA RICA</v>
          </cell>
        </row>
        <row r="9827">
          <cell r="L9827" t="str">
            <v>Non-proportional</v>
          </cell>
          <cell r="S9827">
            <v>107.33</v>
          </cell>
          <cell r="X9827" t="str">
            <v>Commissions - gross</v>
          </cell>
          <cell r="Y9827" t="str">
            <v>CHILE</v>
          </cell>
        </row>
        <row r="9828">
          <cell r="L9828" t="str">
            <v>Non-proportional</v>
          </cell>
          <cell r="S9828">
            <v>925.13</v>
          </cell>
          <cell r="X9828" t="str">
            <v>Commissions - gross</v>
          </cell>
          <cell r="Y9828" t="str">
            <v>ITALY</v>
          </cell>
        </row>
        <row r="9829">
          <cell r="L9829" t="str">
            <v>Non-proportional</v>
          </cell>
          <cell r="S9829">
            <v>378.57</v>
          </cell>
          <cell r="X9829" t="str">
            <v>Commissions - gross</v>
          </cell>
          <cell r="Y9829" t="str">
            <v>SINGAPORE</v>
          </cell>
        </row>
        <row r="9830">
          <cell r="L9830" t="str">
            <v>Non-proportional</v>
          </cell>
          <cell r="S9830">
            <v>166.69</v>
          </cell>
          <cell r="X9830" t="str">
            <v>Commissions - gross</v>
          </cell>
          <cell r="Y9830" t="str">
            <v>CHINA</v>
          </cell>
        </row>
        <row r="9831">
          <cell r="L9831" t="str">
            <v>Non-proportional</v>
          </cell>
          <cell r="S9831">
            <v>119.88</v>
          </cell>
          <cell r="X9831" t="str">
            <v>Commissions - gross</v>
          </cell>
          <cell r="Y9831" t="str">
            <v>PERU</v>
          </cell>
        </row>
        <row r="9832">
          <cell r="L9832" t="str">
            <v>Non-proportional</v>
          </cell>
          <cell r="S9832">
            <v>423.33</v>
          </cell>
          <cell r="X9832" t="str">
            <v>Commissions - gross</v>
          </cell>
          <cell r="Y9832" t="str">
            <v>FRANCE</v>
          </cell>
        </row>
        <row r="9833">
          <cell r="L9833" t="str">
            <v>Non-proportional</v>
          </cell>
          <cell r="S9833">
            <v>3802.68</v>
          </cell>
          <cell r="X9833" t="str">
            <v>Commissions - gross</v>
          </cell>
          <cell r="Y9833" t="str">
            <v>FRANCE</v>
          </cell>
        </row>
        <row r="9834">
          <cell r="L9834" t="str">
            <v>Non-proportional</v>
          </cell>
          <cell r="S9834">
            <v>188.16</v>
          </cell>
          <cell r="X9834" t="str">
            <v>Commissions - gross</v>
          </cell>
          <cell r="Y9834" t="str">
            <v>ISRAEL</v>
          </cell>
        </row>
        <row r="9835">
          <cell r="L9835" t="str">
            <v>Non-proportional</v>
          </cell>
          <cell r="S9835">
            <v>2362.0500000000002</v>
          </cell>
          <cell r="X9835" t="str">
            <v>Commissions - gross</v>
          </cell>
          <cell r="Y9835" t="str">
            <v>ISRAEL</v>
          </cell>
        </row>
        <row r="9836">
          <cell r="L9836" t="str">
            <v>Non-proportional</v>
          </cell>
          <cell r="S9836">
            <v>-3718.16</v>
          </cell>
          <cell r="X9836" t="str">
            <v>Commissions - gross</v>
          </cell>
          <cell r="Y9836" t="str">
            <v>DOMINICAN REPUBLIC</v>
          </cell>
        </row>
        <row r="9837">
          <cell r="L9837" t="str">
            <v>Non-proportional</v>
          </cell>
          <cell r="S9837">
            <v>164.68</v>
          </cell>
          <cell r="X9837" t="str">
            <v>Commissions - gross</v>
          </cell>
          <cell r="Y9837" t="str">
            <v>JAPAN</v>
          </cell>
        </row>
        <row r="9838">
          <cell r="L9838" t="str">
            <v>Non-proportional</v>
          </cell>
          <cell r="S9838">
            <v>585.13</v>
          </cell>
          <cell r="X9838" t="str">
            <v>Commissions - gross</v>
          </cell>
          <cell r="Y9838" t="str">
            <v>ITALY</v>
          </cell>
        </row>
        <row r="9839">
          <cell r="L9839" t="str">
            <v>Non-proportional</v>
          </cell>
          <cell r="S9839">
            <v>215.85</v>
          </cell>
          <cell r="X9839" t="str">
            <v>Commissions - gross</v>
          </cell>
          <cell r="Y9839" t="str">
            <v>GUATEMALA</v>
          </cell>
        </row>
        <row r="9840">
          <cell r="L9840" t="str">
            <v>Non-proportional</v>
          </cell>
          <cell r="S9840">
            <v>-2505.86</v>
          </cell>
          <cell r="X9840" t="str">
            <v>Commissions - gross</v>
          </cell>
          <cell r="Y9840" t="str">
            <v>DOMINICAN REPUBLIC</v>
          </cell>
        </row>
        <row r="9841">
          <cell r="L9841" t="str">
            <v>Non-proportional</v>
          </cell>
          <cell r="S9841">
            <v>221.73</v>
          </cell>
          <cell r="X9841" t="str">
            <v>Commissions - gross</v>
          </cell>
          <cell r="Y9841" t="str">
            <v>THAILAND</v>
          </cell>
        </row>
        <row r="9842">
          <cell r="L9842" t="str">
            <v>Non-proportional</v>
          </cell>
          <cell r="S9842">
            <v>3131.61</v>
          </cell>
          <cell r="X9842" t="str">
            <v>Commissions - gross</v>
          </cell>
          <cell r="Y9842" t="str">
            <v>FRANCE</v>
          </cell>
        </row>
        <row r="9843">
          <cell r="L9843" t="str">
            <v>Non-proportional</v>
          </cell>
          <cell r="S9843">
            <v>750.3</v>
          </cell>
          <cell r="X9843" t="str">
            <v>Commissions - gross</v>
          </cell>
          <cell r="Y9843" t="str">
            <v>CYPRUS</v>
          </cell>
        </row>
        <row r="9844">
          <cell r="L9844" t="str">
            <v>Non-proportional</v>
          </cell>
          <cell r="S9844">
            <v>130.54</v>
          </cell>
          <cell r="X9844" t="str">
            <v>Commissions - gross</v>
          </cell>
          <cell r="Y9844" t="str">
            <v>JAPAN</v>
          </cell>
        </row>
        <row r="9845">
          <cell r="L9845" t="str">
            <v>Non-proportional</v>
          </cell>
          <cell r="S9845">
            <v>69.86</v>
          </cell>
          <cell r="X9845" t="str">
            <v>Commissions - gross</v>
          </cell>
          <cell r="Y9845" t="str">
            <v>ITALY</v>
          </cell>
        </row>
        <row r="9846">
          <cell r="L9846" t="str">
            <v>Non-proportional</v>
          </cell>
          <cell r="S9846">
            <v>11.76</v>
          </cell>
          <cell r="X9846" t="str">
            <v>Commissions - gross</v>
          </cell>
          <cell r="Y9846" t="str">
            <v>THAILAND</v>
          </cell>
        </row>
        <row r="9847">
          <cell r="L9847" t="str">
            <v>Proportional</v>
          </cell>
          <cell r="S9847">
            <v>314.2</v>
          </cell>
          <cell r="X9847" t="str">
            <v>Commissions - gross</v>
          </cell>
          <cell r="Y9847" t="str">
            <v>JAPAN</v>
          </cell>
        </row>
        <row r="9848">
          <cell r="L9848" t="str">
            <v>Non-proportional</v>
          </cell>
          <cell r="S9848">
            <v>-3193.19</v>
          </cell>
          <cell r="X9848" t="str">
            <v>Commissions - gross</v>
          </cell>
          <cell r="Y9848" t="str">
            <v>AUSTRALIA</v>
          </cell>
        </row>
        <row r="9849">
          <cell r="L9849" t="str">
            <v>Non-proportional</v>
          </cell>
          <cell r="S9849">
            <v>-12633.51</v>
          </cell>
          <cell r="X9849" t="str">
            <v>Commissions - gross</v>
          </cell>
          <cell r="Y9849" t="str">
            <v>ECUADOR</v>
          </cell>
        </row>
        <row r="9850">
          <cell r="L9850" t="str">
            <v>Non-proportional</v>
          </cell>
          <cell r="S9850">
            <v>42.75</v>
          </cell>
          <cell r="X9850" t="str">
            <v>Commissions - gross</v>
          </cell>
          <cell r="Y9850" t="str">
            <v>THAILAND</v>
          </cell>
        </row>
        <row r="9851">
          <cell r="L9851" t="str">
            <v>Non-proportional</v>
          </cell>
          <cell r="S9851">
            <v>332.59</v>
          </cell>
          <cell r="X9851" t="str">
            <v>Commissions - gross</v>
          </cell>
          <cell r="Y9851" t="str">
            <v>ISRAEL</v>
          </cell>
        </row>
        <row r="9852">
          <cell r="L9852" t="str">
            <v>Non-proportional</v>
          </cell>
          <cell r="S9852">
            <v>412.48</v>
          </cell>
          <cell r="X9852" t="str">
            <v>Commissions - gross</v>
          </cell>
          <cell r="Y9852" t="str">
            <v>UNITED KINGDOM</v>
          </cell>
        </row>
        <row r="9853">
          <cell r="L9853" t="str">
            <v>Non-proportional</v>
          </cell>
          <cell r="S9853">
            <v>643.98</v>
          </cell>
          <cell r="X9853" t="str">
            <v>Commissions - gross</v>
          </cell>
          <cell r="Y9853" t="str">
            <v>CHILE</v>
          </cell>
        </row>
        <row r="9854">
          <cell r="L9854" t="str">
            <v>Non-proportional</v>
          </cell>
          <cell r="S9854">
            <v>-2.44</v>
          </cell>
          <cell r="X9854" t="str">
            <v>Commissions - gross</v>
          </cell>
          <cell r="Y9854" t="str">
            <v>JAPAN</v>
          </cell>
        </row>
        <row r="9855">
          <cell r="L9855" t="str">
            <v>Non-proportional</v>
          </cell>
          <cell r="S9855">
            <v>-6.75</v>
          </cell>
          <cell r="X9855" t="str">
            <v>Commissions - gross</v>
          </cell>
          <cell r="Y9855" t="str">
            <v>CANADA</v>
          </cell>
        </row>
        <row r="9856">
          <cell r="L9856" t="str">
            <v>Non-proportional</v>
          </cell>
          <cell r="S9856">
            <v>44.56</v>
          </cell>
          <cell r="X9856" t="str">
            <v>Commissions - gross</v>
          </cell>
          <cell r="Y9856" t="str">
            <v>UNITED KINGDOM</v>
          </cell>
        </row>
        <row r="9857">
          <cell r="L9857" t="str">
            <v>Non-proportional</v>
          </cell>
          <cell r="S9857">
            <v>146894.67000000001</v>
          </cell>
          <cell r="X9857" t="str">
            <v>Commissions - gross</v>
          </cell>
          <cell r="Y9857" t="str">
            <v>UNITED KINGDOM</v>
          </cell>
        </row>
        <row r="9858">
          <cell r="L9858" t="str">
            <v>Non-proportional</v>
          </cell>
          <cell r="S9858">
            <v>30.68</v>
          </cell>
          <cell r="X9858" t="str">
            <v>Commissions - gross</v>
          </cell>
          <cell r="Y9858" t="str">
            <v>THAILAND</v>
          </cell>
        </row>
        <row r="9859">
          <cell r="L9859" t="str">
            <v>Non-proportional</v>
          </cell>
          <cell r="S9859">
            <v>-1702.79</v>
          </cell>
          <cell r="X9859" t="str">
            <v>Commissions - gross</v>
          </cell>
          <cell r="Y9859" t="str">
            <v>AUSTRALIA</v>
          </cell>
        </row>
        <row r="9860">
          <cell r="L9860" t="str">
            <v>Non-proportional</v>
          </cell>
          <cell r="S9860">
            <v>2166.67</v>
          </cell>
          <cell r="X9860" t="str">
            <v>Commissions - gross</v>
          </cell>
          <cell r="Y9860" t="str">
            <v>FRANCE</v>
          </cell>
        </row>
        <row r="9861">
          <cell r="L9861" t="str">
            <v>Non-proportional</v>
          </cell>
          <cell r="S9861">
            <v>11017.71</v>
          </cell>
          <cell r="X9861" t="str">
            <v>Commissions - gross</v>
          </cell>
          <cell r="Y9861" t="str">
            <v>UNITED KINGDOM</v>
          </cell>
        </row>
        <row r="9862">
          <cell r="L9862" t="str">
            <v>Non-proportional</v>
          </cell>
          <cell r="S9862">
            <v>-5806.11</v>
          </cell>
          <cell r="X9862" t="str">
            <v>Commissions - gross</v>
          </cell>
          <cell r="Y9862" t="str">
            <v>AUSTRALIA</v>
          </cell>
        </row>
        <row r="9863">
          <cell r="L9863" t="str">
            <v>Non-proportional</v>
          </cell>
          <cell r="S9863">
            <v>80</v>
          </cell>
          <cell r="X9863" t="str">
            <v>Commissions - gross</v>
          </cell>
          <cell r="Y9863" t="str">
            <v>ITALY</v>
          </cell>
        </row>
        <row r="9864">
          <cell r="L9864" t="str">
            <v>Non-proportional</v>
          </cell>
          <cell r="S9864">
            <v>-8052.64</v>
          </cell>
          <cell r="X9864" t="str">
            <v>Commissions - gross</v>
          </cell>
          <cell r="Y9864" t="str">
            <v>MEXICO</v>
          </cell>
        </row>
        <row r="9865">
          <cell r="L9865" t="str">
            <v>Non-proportional</v>
          </cell>
          <cell r="S9865">
            <v>-5784.89</v>
          </cell>
          <cell r="X9865" t="str">
            <v>Commissions - gross</v>
          </cell>
          <cell r="Y9865" t="str">
            <v>DOMINICAN REPUBLIC</v>
          </cell>
        </row>
        <row r="9866">
          <cell r="L9866" t="str">
            <v>Non-proportional</v>
          </cell>
          <cell r="S9866">
            <v>249.52</v>
          </cell>
          <cell r="X9866" t="str">
            <v>Commissions - gross</v>
          </cell>
          <cell r="Y9866" t="str">
            <v>ITALY</v>
          </cell>
        </row>
        <row r="9867">
          <cell r="L9867" t="str">
            <v>Non-proportional</v>
          </cell>
          <cell r="S9867">
            <v>1193.31</v>
          </cell>
          <cell r="X9867" t="str">
            <v>Commissions - gross</v>
          </cell>
          <cell r="Y9867" t="str">
            <v>PERU</v>
          </cell>
        </row>
        <row r="9868">
          <cell r="L9868" t="str">
            <v>Proportional</v>
          </cell>
          <cell r="S9868">
            <v>9189.6200000000008</v>
          </cell>
          <cell r="X9868" t="str">
            <v>Commissions - gross</v>
          </cell>
          <cell r="Y9868" t="str">
            <v>UNITED STATES</v>
          </cell>
        </row>
        <row r="9869">
          <cell r="L9869" t="str">
            <v>Non-proportional</v>
          </cell>
          <cell r="S9869">
            <v>0.01</v>
          </cell>
          <cell r="X9869" t="str">
            <v>Commissions - gross</v>
          </cell>
          <cell r="Y9869" t="str">
            <v>COLOMBIA</v>
          </cell>
        </row>
        <row r="9870">
          <cell r="L9870" t="str">
            <v>Non-proportional</v>
          </cell>
          <cell r="S9870">
            <v>1052.9100000000001</v>
          </cell>
          <cell r="X9870" t="str">
            <v>Commissions - gross</v>
          </cell>
          <cell r="Y9870" t="str">
            <v>NEW ZEALAND</v>
          </cell>
        </row>
        <row r="9871">
          <cell r="L9871" t="str">
            <v>Non-proportional</v>
          </cell>
          <cell r="S9871">
            <v>803.33</v>
          </cell>
          <cell r="X9871" t="str">
            <v>Commissions - gross</v>
          </cell>
          <cell r="Y9871" t="str">
            <v>JAPAN</v>
          </cell>
        </row>
        <row r="9872">
          <cell r="L9872" t="str">
            <v>Non-proportional</v>
          </cell>
          <cell r="S9872">
            <v>-24.46</v>
          </cell>
          <cell r="X9872" t="str">
            <v>Commissions - gross</v>
          </cell>
          <cell r="Y9872" t="str">
            <v>NEW ZEALAND</v>
          </cell>
        </row>
        <row r="9873">
          <cell r="L9873" t="str">
            <v>Non-proportional</v>
          </cell>
          <cell r="S9873">
            <v>2929.26</v>
          </cell>
          <cell r="X9873" t="str">
            <v>Commissions - gross</v>
          </cell>
          <cell r="Y9873" t="str">
            <v>UNITED KINGDOM</v>
          </cell>
        </row>
        <row r="9874">
          <cell r="L9874" t="str">
            <v>Non-proportional</v>
          </cell>
          <cell r="S9874">
            <v>4000</v>
          </cell>
          <cell r="X9874" t="str">
            <v>Commissions - gross</v>
          </cell>
          <cell r="Y9874" t="str">
            <v>ITALY</v>
          </cell>
        </row>
        <row r="9875">
          <cell r="L9875" t="str">
            <v>Non-proportional</v>
          </cell>
          <cell r="S9875">
            <v>133.4</v>
          </cell>
          <cell r="X9875" t="str">
            <v>Commissions - gross</v>
          </cell>
          <cell r="Y9875" t="str">
            <v>NEW ZEALAND</v>
          </cell>
        </row>
        <row r="9876">
          <cell r="L9876" t="str">
            <v>Non-proportional</v>
          </cell>
          <cell r="S9876">
            <v>-94.93</v>
          </cell>
          <cell r="X9876" t="str">
            <v>Commissions - gross</v>
          </cell>
          <cell r="Y9876" t="str">
            <v>JAPAN</v>
          </cell>
        </row>
        <row r="9877">
          <cell r="L9877" t="str">
            <v>Proportional</v>
          </cell>
          <cell r="S9877">
            <v>-14947.5</v>
          </cell>
          <cell r="X9877" t="str">
            <v>Commissions - gross</v>
          </cell>
          <cell r="Y9877" t="str">
            <v>SPAIN</v>
          </cell>
        </row>
        <row r="9878">
          <cell r="L9878" t="str">
            <v>Non-proportional</v>
          </cell>
          <cell r="S9878">
            <v>93.89</v>
          </cell>
          <cell r="X9878" t="str">
            <v>Commissions - gross</v>
          </cell>
          <cell r="Y9878" t="str">
            <v>JAPAN</v>
          </cell>
        </row>
        <row r="9879">
          <cell r="L9879" t="str">
            <v>Non-proportional</v>
          </cell>
          <cell r="S9879">
            <v>260.07</v>
          </cell>
          <cell r="X9879" t="str">
            <v>Commissions - gross</v>
          </cell>
          <cell r="Y9879" t="str">
            <v>ECUADOR</v>
          </cell>
        </row>
        <row r="9880">
          <cell r="L9880" t="str">
            <v>Non-proportional</v>
          </cell>
          <cell r="S9880">
            <v>2293.3000000000002</v>
          </cell>
          <cell r="X9880" t="str">
            <v>Commissions - gross</v>
          </cell>
          <cell r="Y9880" t="str">
            <v>PUERTO RICO</v>
          </cell>
        </row>
        <row r="9881">
          <cell r="L9881" t="str">
            <v>Non-proportional</v>
          </cell>
          <cell r="S9881">
            <v>378.63</v>
          </cell>
          <cell r="X9881" t="str">
            <v>Commissions - gross</v>
          </cell>
          <cell r="Y9881" t="str">
            <v>ISRAEL</v>
          </cell>
        </row>
        <row r="9882">
          <cell r="L9882" t="str">
            <v>Non-proportional</v>
          </cell>
          <cell r="S9882">
            <v>674.42</v>
          </cell>
          <cell r="X9882" t="str">
            <v>Commissions - gross</v>
          </cell>
          <cell r="Y9882" t="str">
            <v>UNITED KINGDOM</v>
          </cell>
        </row>
        <row r="9883">
          <cell r="L9883" t="str">
            <v>Non-proportional</v>
          </cell>
          <cell r="S9883">
            <v>922.77</v>
          </cell>
          <cell r="X9883" t="str">
            <v>Commissions - gross</v>
          </cell>
          <cell r="Y9883" t="str">
            <v>TURKEY</v>
          </cell>
        </row>
        <row r="9884">
          <cell r="L9884" t="str">
            <v>Non-proportional</v>
          </cell>
          <cell r="S9884">
            <v>328.13</v>
          </cell>
          <cell r="X9884" t="str">
            <v>Commissions - gross</v>
          </cell>
          <cell r="Y9884" t="str">
            <v>ITALY</v>
          </cell>
        </row>
        <row r="9885">
          <cell r="L9885" t="str">
            <v>Non-proportional</v>
          </cell>
          <cell r="S9885">
            <v>2821.73</v>
          </cell>
          <cell r="X9885" t="str">
            <v>Commissions - gross</v>
          </cell>
          <cell r="Y9885" t="str">
            <v>TURKEY</v>
          </cell>
        </row>
        <row r="9886">
          <cell r="L9886" t="str">
            <v>Non-proportional</v>
          </cell>
          <cell r="S9886">
            <v>409.5</v>
          </cell>
          <cell r="X9886" t="str">
            <v>Commissions - gross</v>
          </cell>
          <cell r="Y9886" t="str">
            <v>FRANCE</v>
          </cell>
        </row>
        <row r="9887">
          <cell r="L9887" t="str">
            <v>Proportional</v>
          </cell>
          <cell r="S9887">
            <v>3871.29</v>
          </cell>
          <cell r="X9887" t="str">
            <v>Commissions - gross</v>
          </cell>
          <cell r="Y9887" t="str">
            <v>UNITED STATES</v>
          </cell>
        </row>
        <row r="9888">
          <cell r="L9888" t="str">
            <v>Non-proportional</v>
          </cell>
          <cell r="S9888">
            <v>36.299999999999997</v>
          </cell>
          <cell r="X9888" t="str">
            <v>Commissions - gross</v>
          </cell>
          <cell r="Y9888" t="str">
            <v>NEW ZEALAND</v>
          </cell>
        </row>
        <row r="9889">
          <cell r="L9889" t="str">
            <v>Non-proportional</v>
          </cell>
          <cell r="S9889">
            <v>1262.51</v>
          </cell>
          <cell r="X9889" t="str">
            <v>Commissions - gross</v>
          </cell>
          <cell r="Y9889" t="str">
            <v>BELGIUM</v>
          </cell>
        </row>
        <row r="9890">
          <cell r="L9890" t="str">
            <v>Non-proportional</v>
          </cell>
          <cell r="S9890">
            <v>905.32</v>
          </cell>
          <cell r="X9890" t="str">
            <v>Commissions - gross</v>
          </cell>
          <cell r="Y9890" t="str">
            <v>ITALY</v>
          </cell>
        </row>
        <row r="9891">
          <cell r="L9891" t="str">
            <v>Non-proportional</v>
          </cell>
          <cell r="S9891">
            <v>452.24</v>
          </cell>
          <cell r="X9891" t="str">
            <v>Commissions - gross</v>
          </cell>
          <cell r="Y9891" t="str">
            <v>UNITED KINGDOM</v>
          </cell>
        </row>
        <row r="9892">
          <cell r="L9892" t="str">
            <v>Non-proportional</v>
          </cell>
          <cell r="S9892">
            <v>-894.42</v>
          </cell>
          <cell r="X9892" t="str">
            <v>Commissions - gross</v>
          </cell>
          <cell r="Y9892" t="str">
            <v>CHILE</v>
          </cell>
        </row>
        <row r="9893">
          <cell r="L9893" t="str">
            <v>Proportional</v>
          </cell>
          <cell r="S9893">
            <v>464.53</v>
          </cell>
          <cell r="X9893" t="str">
            <v>Commissions - gross</v>
          </cell>
          <cell r="Y9893" t="str">
            <v>MEXICO</v>
          </cell>
        </row>
        <row r="9894">
          <cell r="L9894" t="str">
            <v>Non-proportional</v>
          </cell>
          <cell r="S9894">
            <v>390.08</v>
          </cell>
          <cell r="X9894" t="str">
            <v>Commissions - gross</v>
          </cell>
          <cell r="Y9894" t="str">
            <v>EUROPE</v>
          </cell>
        </row>
        <row r="9895">
          <cell r="L9895" t="str">
            <v>Non-proportional</v>
          </cell>
          <cell r="S9895">
            <v>1144.21</v>
          </cell>
          <cell r="X9895" t="str">
            <v>Commissions - gross</v>
          </cell>
          <cell r="Y9895" t="str">
            <v>MEXICO</v>
          </cell>
        </row>
        <row r="9896">
          <cell r="L9896" t="str">
            <v>Non-proportional</v>
          </cell>
          <cell r="S9896">
            <v>295.37</v>
          </cell>
          <cell r="X9896" t="str">
            <v>Commissions - gross</v>
          </cell>
          <cell r="Y9896" t="str">
            <v>JAPAN</v>
          </cell>
        </row>
        <row r="9897">
          <cell r="L9897" t="str">
            <v>Non-proportional</v>
          </cell>
          <cell r="S9897">
            <v>1252.19</v>
          </cell>
          <cell r="X9897" t="str">
            <v>Commissions - gross</v>
          </cell>
          <cell r="Y9897" t="str">
            <v>CHILE</v>
          </cell>
        </row>
        <row r="9898">
          <cell r="L9898" t="str">
            <v>Non-proportional</v>
          </cell>
          <cell r="S9898">
            <v>130.91</v>
          </cell>
          <cell r="X9898" t="str">
            <v>Commissions - gross</v>
          </cell>
          <cell r="Y9898" t="str">
            <v>UNITED KINGDOM</v>
          </cell>
        </row>
        <row r="9899">
          <cell r="L9899" t="str">
            <v>Non-proportional</v>
          </cell>
          <cell r="S9899">
            <v>205.99</v>
          </cell>
          <cell r="X9899" t="str">
            <v>Commissions - gross</v>
          </cell>
          <cell r="Y9899" t="str">
            <v>UNITED KINGDOM</v>
          </cell>
        </row>
        <row r="9900">
          <cell r="L9900" t="str">
            <v>Non-proportional</v>
          </cell>
          <cell r="S9900">
            <v>105.94</v>
          </cell>
          <cell r="X9900" t="str">
            <v>Commissions - gross</v>
          </cell>
          <cell r="Y9900" t="str">
            <v>JAPAN</v>
          </cell>
        </row>
        <row r="9901">
          <cell r="L9901" t="str">
            <v>Non-proportional</v>
          </cell>
          <cell r="S9901">
            <v>-10544.96</v>
          </cell>
          <cell r="X9901" t="str">
            <v>Commissions - gross</v>
          </cell>
          <cell r="Y9901" t="str">
            <v>MEXICO</v>
          </cell>
        </row>
        <row r="9902">
          <cell r="L9902" t="str">
            <v>Non-proportional</v>
          </cell>
          <cell r="S9902">
            <v>4355.49</v>
          </cell>
          <cell r="X9902" t="str">
            <v>Commissions - gross</v>
          </cell>
          <cell r="Y9902" t="str">
            <v>UNITED KINGDOM</v>
          </cell>
        </row>
        <row r="9903">
          <cell r="L9903" t="str">
            <v>Non-proportional</v>
          </cell>
          <cell r="S9903">
            <v>721.88</v>
          </cell>
          <cell r="X9903" t="str">
            <v>Commissions - gross</v>
          </cell>
          <cell r="Y9903" t="str">
            <v>FRANCE</v>
          </cell>
        </row>
        <row r="9904">
          <cell r="L9904" t="str">
            <v>Non-proportional</v>
          </cell>
          <cell r="S9904">
            <v>66.5</v>
          </cell>
          <cell r="X9904" t="str">
            <v>Commissions - gross</v>
          </cell>
          <cell r="Y9904" t="str">
            <v>FRANCE</v>
          </cell>
        </row>
        <row r="9905">
          <cell r="L9905" t="str">
            <v>Non-proportional</v>
          </cell>
          <cell r="S9905">
            <v>656.25</v>
          </cell>
          <cell r="X9905" t="str">
            <v>Commissions - gross</v>
          </cell>
          <cell r="Y9905" t="str">
            <v>ITALY</v>
          </cell>
        </row>
        <row r="9906">
          <cell r="L9906" t="str">
            <v>Non-proportional</v>
          </cell>
          <cell r="S9906">
            <v>156.24</v>
          </cell>
          <cell r="X9906" t="str">
            <v>Commissions - gross</v>
          </cell>
          <cell r="Y9906" t="str">
            <v>FRANCE</v>
          </cell>
        </row>
        <row r="9907">
          <cell r="L9907" t="str">
            <v>Non-proportional</v>
          </cell>
          <cell r="S9907">
            <v>822.87</v>
          </cell>
          <cell r="X9907" t="str">
            <v>Commissions - gross</v>
          </cell>
          <cell r="Y9907" t="str">
            <v>CHILE</v>
          </cell>
        </row>
        <row r="9908">
          <cell r="L9908" t="str">
            <v>Non-proportional</v>
          </cell>
          <cell r="S9908">
            <v>757.81</v>
          </cell>
          <cell r="X9908" t="str">
            <v>Commissions - gross</v>
          </cell>
          <cell r="Y9908" t="str">
            <v>UNITED KINGDOM</v>
          </cell>
        </row>
        <row r="9909">
          <cell r="L9909" t="str">
            <v>Non-proportional</v>
          </cell>
          <cell r="S9909">
            <v>-5.19</v>
          </cell>
          <cell r="X9909" t="str">
            <v>Commissions - gross</v>
          </cell>
          <cell r="Y9909" t="str">
            <v>JAPAN</v>
          </cell>
        </row>
        <row r="9910">
          <cell r="L9910" t="str">
            <v>Non-proportional</v>
          </cell>
          <cell r="S9910">
            <v>933.05</v>
          </cell>
          <cell r="X9910" t="str">
            <v>Commissions - gross</v>
          </cell>
          <cell r="Y9910" t="str">
            <v>PUERTO RICO</v>
          </cell>
        </row>
        <row r="9911">
          <cell r="L9911" t="str">
            <v>Non-proportional</v>
          </cell>
          <cell r="S9911">
            <v>930.2</v>
          </cell>
          <cell r="X9911" t="str">
            <v>Commissions - gross</v>
          </cell>
          <cell r="Y9911" t="str">
            <v>CHILE</v>
          </cell>
        </row>
        <row r="9912">
          <cell r="L9912" t="str">
            <v>Non-proportional</v>
          </cell>
          <cell r="S9912">
            <v>133.03</v>
          </cell>
          <cell r="X9912" t="str">
            <v>Commissions - gross</v>
          </cell>
          <cell r="Y9912" t="str">
            <v>FRANCE</v>
          </cell>
        </row>
        <row r="9913">
          <cell r="L9913" t="str">
            <v>Non-proportional</v>
          </cell>
          <cell r="S9913">
            <v>469.16</v>
          </cell>
          <cell r="X9913" t="str">
            <v>Commissions - gross</v>
          </cell>
          <cell r="Y9913" t="str">
            <v>UNITED KINGDOM</v>
          </cell>
        </row>
        <row r="9914">
          <cell r="L9914" t="str">
            <v>Non-proportional</v>
          </cell>
          <cell r="S9914">
            <v>63.85</v>
          </cell>
          <cell r="X9914" t="str">
            <v>Commissions - gross</v>
          </cell>
          <cell r="Y9914" t="str">
            <v>MALTA</v>
          </cell>
        </row>
        <row r="9915">
          <cell r="L9915" t="str">
            <v>Non-proportional</v>
          </cell>
          <cell r="S9915">
            <v>261</v>
          </cell>
          <cell r="X9915" t="str">
            <v>Commissions - gross</v>
          </cell>
          <cell r="Y9915" t="str">
            <v>GREECE</v>
          </cell>
        </row>
        <row r="9916">
          <cell r="L9916" t="str">
            <v>Non-proportional</v>
          </cell>
          <cell r="S9916">
            <v>-12962.3</v>
          </cell>
          <cell r="X9916" t="str">
            <v>Commissions - gross</v>
          </cell>
          <cell r="Y9916" t="str">
            <v>AUSTRALIA</v>
          </cell>
        </row>
        <row r="9917">
          <cell r="L9917" t="str">
            <v>Non-proportional</v>
          </cell>
          <cell r="S9917">
            <v>422.15</v>
          </cell>
          <cell r="X9917" t="str">
            <v>Commissions - gross</v>
          </cell>
          <cell r="Y9917" t="str">
            <v>UNITED KINGDOM</v>
          </cell>
        </row>
        <row r="9918">
          <cell r="L9918" t="str">
            <v>Proportional</v>
          </cell>
          <cell r="S9918">
            <v>-286.20999999999998</v>
          </cell>
          <cell r="X9918" t="str">
            <v>Commissions - gross</v>
          </cell>
          <cell r="Y9918" t="str">
            <v>CHILE</v>
          </cell>
        </row>
        <row r="9919">
          <cell r="L9919" t="str">
            <v>Non-proportional</v>
          </cell>
          <cell r="S9919">
            <v>321.99</v>
          </cell>
          <cell r="X9919" t="str">
            <v>Commissions - gross</v>
          </cell>
          <cell r="Y9919" t="str">
            <v>CHILE</v>
          </cell>
        </row>
        <row r="9920">
          <cell r="L9920" t="str">
            <v>Proportional</v>
          </cell>
          <cell r="S9920">
            <v>35.78</v>
          </cell>
          <cell r="X9920" t="str">
            <v>Commissions - gross</v>
          </cell>
          <cell r="Y9920" t="str">
            <v>CHILE</v>
          </cell>
        </row>
        <row r="9921">
          <cell r="L9921" t="str">
            <v>Non-proportional</v>
          </cell>
          <cell r="S9921">
            <v>313.14999999999998</v>
          </cell>
          <cell r="X9921" t="str">
            <v>Commissions - gross</v>
          </cell>
          <cell r="Y9921" t="str">
            <v>UNITED KINGDOM</v>
          </cell>
        </row>
        <row r="9922">
          <cell r="L9922" t="str">
            <v>Non-proportional</v>
          </cell>
          <cell r="S9922">
            <v>949.49</v>
          </cell>
          <cell r="X9922" t="str">
            <v>Commissions - gross</v>
          </cell>
          <cell r="Y9922" t="str">
            <v>CHINA</v>
          </cell>
        </row>
        <row r="9923">
          <cell r="L9923" t="str">
            <v>Non-proportional</v>
          </cell>
          <cell r="S9923">
            <v>218.76</v>
          </cell>
          <cell r="X9923" t="str">
            <v>Commissions - gross</v>
          </cell>
          <cell r="Y9923" t="str">
            <v>SPAIN</v>
          </cell>
        </row>
        <row r="9924">
          <cell r="L9924" t="str">
            <v>Non-proportional</v>
          </cell>
          <cell r="S9924">
            <v>244.25</v>
          </cell>
          <cell r="X9924" t="str">
            <v>Commissions - gross</v>
          </cell>
          <cell r="Y9924" t="str">
            <v>CYPRUS</v>
          </cell>
        </row>
        <row r="9925">
          <cell r="L9925" t="str">
            <v>Non-proportional</v>
          </cell>
          <cell r="S9925">
            <v>-9838.61</v>
          </cell>
          <cell r="X9925" t="str">
            <v>Commissions - gross</v>
          </cell>
          <cell r="Y9925" t="str">
            <v>CHILE</v>
          </cell>
        </row>
        <row r="9926">
          <cell r="L9926" t="str">
            <v>Non-proportional</v>
          </cell>
          <cell r="S9926">
            <v>-12972.89</v>
          </cell>
          <cell r="X9926" t="str">
            <v>Commissions - gross</v>
          </cell>
          <cell r="Y9926" t="str">
            <v>MEXICO</v>
          </cell>
        </row>
        <row r="9927">
          <cell r="L9927" t="str">
            <v>Proportional</v>
          </cell>
          <cell r="S9927">
            <v>4.3899999999999997</v>
          </cell>
          <cell r="X9927" t="str">
            <v>Commissions - gross</v>
          </cell>
          <cell r="Y9927" t="str">
            <v>UNITED STATES</v>
          </cell>
        </row>
        <row r="9928">
          <cell r="L9928" t="str">
            <v>Non-proportional</v>
          </cell>
          <cell r="S9928">
            <v>54.63</v>
          </cell>
          <cell r="X9928" t="str">
            <v>Commissions - gross</v>
          </cell>
          <cell r="Y9928" t="str">
            <v>JAPAN</v>
          </cell>
        </row>
        <row r="9929">
          <cell r="L9929" t="str">
            <v>Non-proportional</v>
          </cell>
          <cell r="S9929">
            <v>813.08</v>
          </cell>
          <cell r="X9929" t="str">
            <v>Commissions - gross</v>
          </cell>
          <cell r="Y9929" t="str">
            <v>PERU</v>
          </cell>
        </row>
        <row r="9930">
          <cell r="L9930" t="str">
            <v>Non-proportional</v>
          </cell>
          <cell r="S9930">
            <v>853.13</v>
          </cell>
          <cell r="X9930" t="str">
            <v>Commissions - gross</v>
          </cell>
          <cell r="Y9930" t="str">
            <v>TURKEY</v>
          </cell>
        </row>
        <row r="9931">
          <cell r="L9931" t="str">
            <v>Non-proportional</v>
          </cell>
          <cell r="S9931">
            <v>82.16</v>
          </cell>
          <cell r="X9931" t="str">
            <v>Commissions - gross</v>
          </cell>
          <cell r="Y9931" t="str">
            <v>COLOMBIA</v>
          </cell>
        </row>
        <row r="9932">
          <cell r="L9932" t="str">
            <v>Non-proportional</v>
          </cell>
          <cell r="S9932">
            <v>284.08</v>
          </cell>
          <cell r="X9932" t="str">
            <v>Commissions - gross</v>
          </cell>
          <cell r="Y9932" t="str">
            <v>EUROPE</v>
          </cell>
        </row>
        <row r="9933">
          <cell r="L9933" t="str">
            <v>Non-proportional</v>
          </cell>
          <cell r="S9933">
            <v>666.59</v>
          </cell>
          <cell r="X9933" t="str">
            <v>Commissions - gross</v>
          </cell>
          <cell r="Y9933" t="str">
            <v>NEW ZEALAND</v>
          </cell>
        </row>
        <row r="9934">
          <cell r="L9934" t="str">
            <v>Non-proportional</v>
          </cell>
          <cell r="S9934">
            <v>934.81</v>
          </cell>
          <cell r="X9934" t="str">
            <v>Commissions - gross</v>
          </cell>
          <cell r="Y9934" t="str">
            <v>NETHERLANDS</v>
          </cell>
        </row>
        <row r="9935">
          <cell r="L9935" t="str">
            <v>Non-proportional</v>
          </cell>
          <cell r="S9935">
            <v>696.32</v>
          </cell>
          <cell r="X9935" t="str">
            <v>Commissions - gross</v>
          </cell>
          <cell r="Y9935" t="str">
            <v>FRANCE</v>
          </cell>
        </row>
        <row r="9936">
          <cell r="L9936" t="str">
            <v>Non-proportional</v>
          </cell>
          <cell r="S9936">
            <v>-3311.39</v>
          </cell>
          <cell r="X9936" t="str">
            <v>Commissions - gross</v>
          </cell>
          <cell r="Y9936" t="str">
            <v>ECUADOR</v>
          </cell>
        </row>
        <row r="9937">
          <cell r="L9937" t="str">
            <v>Non-proportional</v>
          </cell>
          <cell r="S9937">
            <v>-2702.22</v>
          </cell>
          <cell r="X9937" t="str">
            <v>Commissions - gross</v>
          </cell>
          <cell r="Y9937" t="str">
            <v>UNITED KINGDOM</v>
          </cell>
        </row>
        <row r="9938">
          <cell r="L9938" t="str">
            <v>Proportional</v>
          </cell>
          <cell r="S9938">
            <v>257.04000000000002</v>
          </cell>
          <cell r="X9938" t="str">
            <v>Commissions - gross</v>
          </cell>
          <cell r="Y9938" t="str">
            <v>CHILE</v>
          </cell>
        </row>
        <row r="9939">
          <cell r="L9939" t="str">
            <v>Non-proportional</v>
          </cell>
          <cell r="S9939">
            <v>22193.5</v>
          </cell>
          <cell r="X9939" t="str">
            <v>Commissions - gross</v>
          </cell>
          <cell r="Y9939" t="str">
            <v>BELGIUM</v>
          </cell>
        </row>
        <row r="9940">
          <cell r="L9940" t="str">
            <v>Non-proportional</v>
          </cell>
          <cell r="S9940">
            <v>541.69000000000005</v>
          </cell>
          <cell r="X9940" t="str">
            <v>Commissions - gross</v>
          </cell>
          <cell r="Y9940" t="str">
            <v>ECUADOR</v>
          </cell>
        </row>
        <row r="9941">
          <cell r="L9941" t="str">
            <v>Non-proportional</v>
          </cell>
          <cell r="S9941">
            <v>-393.54</v>
          </cell>
          <cell r="X9941" t="str">
            <v>Commissions - gross</v>
          </cell>
          <cell r="Y9941" t="str">
            <v>CHILE</v>
          </cell>
        </row>
        <row r="9942">
          <cell r="L9942" t="str">
            <v>Non-proportional</v>
          </cell>
          <cell r="S9942">
            <v>-1836.37</v>
          </cell>
          <cell r="X9942" t="str">
            <v>Commissions - gross</v>
          </cell>
          <cell r="Y9942" t="str">
            <v>DOMINICAN REPUBLIC</v>
          </cell>
        </row>
        <row r="9943">
          <cell r="L9943" t="str">
            <v>Non-proportional</v>
          </cell>
          <cell r="S9943">
            <v>-0.57999999999999996</v>
          </cell>
          <cell r="X9943" t="str">
            <v>Commissions - gross</v>
          </cell>
          <cell r="Y9943" t="str">
            <v>JAPAN</v>
          </cell>
        </row>
        <row r="9944">
          <cell r="L9944" t="str">
            <v>Non-proportional</v>
          </cell>
          <cell r="S9944">
            <v>358.72</v>
          </cell>
          <cell r="X9944" t="str">
            <v>Commissions - gross</v>
          </cell>
          <cell r="Y9944" t="str">
            <v>ISRAEL</v>
          </cell>
        </row>
        <row r="9945">
          <cell r="L9945" t="str">
            <v>Non-proportional</v>
          </cell>
          <cell r="S9945">
            <v>39</v>
          </cell>
          <cell r="X9945" t="str">
            <v>Commissions - gross</v>
          </cell>
          <cell r="Y9945" t="str">
            <v>ITALY</v>
          </cell>
        </row>
        <row r="9946">
          <cell r="L9946" t="str">
            <v>Non-proportional</v>
          </cell>
          <cell r="S9946">
            <v>512.26</v>
          </cell>
          <cell r="X9946" t="str">
            <v>Commissions - gross</v>
          </cell>
          <cell r="Y9946" t="str">
            <v>ISRAEL</v>
          </cell>
        </row>
        <row r="9947">
          <cell r="L9947" t="str">
            <v>Non-proportional</v>
          </cell>
          <cell r="S9947">
            <v>538.59</v>
          </cell>
          <cell r="X9947" t="str">
            <v>Commissions - gross</v>
          </cell>
          <cell r="Y9947" t="str">
            <v>PERU</v>
          </cell>
        </row>
        <row r="9948">
          <cell r="L9948" t="str">
            <v>Proportional</v>
          </cell>
          <cell r="S9948">
            <v>2382</v>
          </cell>
          <cell r="X9948" t="str">
            <v>Commissions - gross</v>
          </cell>
          <cell r="Y9948" t="str">
            <v>CHILE</v>
          </cell>
        </row>
        <row r="9949">
          <cell r="L9949" t="str">
            <v>Non-proportional</v>
          </cell>
          <cell r="S9949">
            <v>158.74</v>
          </cell>
          <cell r="X9949" t="str">
            <v>Commissions - gross</v>
          </cell>
          <cell r="Y9949" t="str">
            <v>ITALY</v>
          </cell>
        </row>
        <row r="9950">
          <cell r="L9950" t="str">
            <v>Non-proportional</v>
          </cell>
          <cell r="S9950">
            <v>-6.9</v>
          </cell>
          <cell r="X9950" t="str">
            <v>Commissions - gross</v>
          </cell>
          <cell r="Y9950" t="str">
            <v>JAPAN</v>
          </cell>
        </row>
        <row r="9951">
          <cell r="L9951" t="str">
            <v>Non-proportional</v>
          </cell>
          <cell r="S9951">
            <v>666.65</v>
          </cell>
          <cell r="X9951" t="str">
            <v>Commissions - gross</v>
          </cell>
          <cell r="Y9951" t="str">
            <v>ITALY</v>
          </cell>
        </row>
        <row r="9952">
          <cell r="L9952" t="str">
            <v>Proportional</v>
          </cell>
          <cell r="S9952">
            <v>2287.7800000000002</v>
          </cell>
          <cell r="X9952" t="str">
            <v>Commissions - gross</v>
          </cell>
          <cell r="Y9952" t="str">
            <v>MEXICO</v>
          </cell>
        </row>
        <row r="9953">
          <cell r="L9953" t="str">
            <v>Proportional</v>
          </cell>
          <cell r="S9953">
            <v>-858.64</v>
          </cell>
          <cell r="X9953" t="str">
            <v>Commissions - gross</v>
          </cell>
          <cell r="Y9953" t="str">
            <v>CHILE</v>
          </cell>
        </row>
        <row r="9954">
          <cell r="L9954" t="str">
            <v>Non-proportional</v>
          </cell>
          <cell r="S9954">
            <v>-15637.21</v>
          </cell>
          <cell r="X9954" t="str">
            <v>Commissions - gross</v>
          </cell>
          <cell r="Y9954" t="str">
            <v>AUSTRALIA</v>
          </cell>
        </row>
        <row r="9955">
          <cell r="L9955" t="str">
            <v>Non-proportional</v>
          </cell>
          <cell r="S9955">
            <v>175.44</v>
          </cell>
          <cell r="X9955" t="str">
            <v>Commissions - gross</v>
          </cell>
          <cell r="Y9955" t="str">
            <v>ECUADOR</v>
          </cell>
        </row>
        <row r="9956">
          <cell r="L9956" t="str">
            <v>Proportional</v>
          </cell>
          <cell r="S9956">
            <v>496.9</v>
          </cell>
          <cell r="X9956" t="str">
            <v>Commissions - gross</v>
          </cell>
          <cell r="Y9956" t="str">
            <v>ITALY</v>
          </cell>
        </row>
        <row r="9957">
          <cell r="L9957" t="str">
            <v>Proportional</v>
          </cell>
          <cell r="S9957">
            <v>876.88</v>
          </cell>
          <cell r="X9957" t="str">
            <v>Commissions - gross</v>
          </cell>
          <cell r="Y9957" t="str">
            <v>CHILE</v>
          </cell>
        </row>
        <row r="9958">
          <cell r="L9958" t="str">
            <v>Non-proportional</v>
          </cell>
          <cell r="S9958">
            <v>497.15</v>
          </cell>
          <cell r="X9958" t="str">
            <v>Commissions - gross</v>
          </cell>
          <cell r="Y9958" t="str">
            <v>EUROPE</v>
          </cell>
        </row>
        <row r="9959">
          <cell r="L9959" t="str">
            <v>Non-proportional</v>
          </cell>
          <cell r="S9959">
            <v>0</v>
          </cell>
          <cell r="X9959" t="str">
            <v>Commissions - gross</v>
          </cell>
          <cell r="Y9959" t="str">
            <v>COLOMBIA</v>
          </cell>
        </row>
        <row r="9960">
          <cell r="L9960" t="str">
            <v>Non-proportional</v>
          </cell>
          <cell r="S9960">
            <v>1049.99</v>
          </cell>
          <cell r="X9960" t="str">
            <v>Commissions - gross</v>
          </cell>
          <cell r="Y9960" t="str">
            <v>ITALY</v>
          </cell>
        </row>
        <row r="9961">
          <cell r="L9961" t="str">
            <v>Non-proportional</v>
          </cell>
          <cell r="S9961">
            <v>31.07</v>
          </cell>
          <cell r="X9961" t="str">
            <v>Commissions - gross</v>
          </cell>
          <cell r="Y9961" t="str">
            <v>ITALY</v>
          </cell>
        </row>
        <row r="9962">
          <cell r="L9962" t="str">
            <v>Non-proportional</v>
          </cell>
          <cell r="S9962">
            <v>174.97</v>
          </cell>
          <cell r="X9962" t="str">
            <v>Commissions - gross</v>
          </cell>
          <cell r="Y9962" t="str">
            <v>NETHERLANDS</v>
          </cell>
        </row>
        <row r="9963">
          <cell r="L9963" t="str">
            <v>Non-proportional</v>
          </cell>
          <cell r="S9963">
            <v>224.47</v>
          </cell>
          <cell r="X9963" t="str">
            <v>Commissions - gross</v>
          </cell>
          <cell r="Y9963" t="str">
            <v>COLOMBIA</v>
          </cell>
        </row>
        <row r="9964">
          <cell r="L9964" t="str">
            <v>Non-proportional</v>
          </cell>
          <cell r="S9964">
            <v>870.29</v>
          </cell>
          <cell r="X9964" t="str">
            <v>Commissions - gross</v>
          </cell>
          <cell r="Y9964" t="str">
            <v>ECUADOR</v>
          </cell>
        </row>
        <row r="9965">
          <cell r="L9965" t="str">
            <v>Non-proportional</v>
          </cell>
          <cell r="S9965">
            <v>651.53</v>
          </cell>
          <cell r="X9965" t="str">
            <v>Commissions - gross</v>
          </cell>
          <cell r="Y9965" t="str">
            <v>COLOMBIA</v>
          </cell>
        </row>
        <row r="9966">
          <cell r="L9966" t="str">
            <v>Non-proportional</v>
          </cell>
          <cell r="S9966">
            <v>-25.97</v>
          </cell>
          <cell r="X9966" t="str">
            <v>Commissions - gross</v>
          </cell>
          <cell r="Y9966" t="str">
            <v>JAPAN</v>
          </cell>
        </row>
        <row r="9967">
          <cell r="L9967" t="str">
            <v>Non-proportional</v>
          </cell>
          <cell r="S9967">
            <v>-37.65</v>
          </cell>
          <cell r="X9967" t="str">
            <v>Commissions - gross</v>
          </cell>
          <cell r="Y9967" t="str">
            <v>NEW ZEALAND</v>
          </cell>
        </row>
        <row r="9968">
          <cell r="L9968" t="str">
            <v>Non-proportional</v>
          </cell>
          <cell r="S9968">
            <v>301.52999999999997</v>
          </cell>
          <cell r="X9968" t="str">
            <v>Commissions - gross</v>
          </cell>
          <cell r="Y9968" t="str">
            <v>ITALY</v>
          </cell>
        </row>
        <row r="9969">
          <cell r="L9969" t="str">
            <v>Non-proportional</v>
          </cell>
          <cell r="S9969">
            <v>-16603.13</v>
          </cell>
          <cell r="X9969" t="str">
            <v>Commissions - gross</v>
          </cell>
          <cell r="Y9969" t="str">
            <v>BELGIUM</v>
          </cell>
        </row>
        <row r="9970">
          <cell r="L9970" t="str">
            <v>Non-proportional</v>
          </cell>
          <cell r="S9970">
            <v>163.81</v>
          </cell>
          <cell r="X9970" t="str">
            <v>Commissions - gross</v>
          </cell>
          <cell r="Y9970" t="str">
            <v>COSTA RICA</v>
          </cell>
        </row>
        <row r="9971">
          <cell r="L9971" t="str">
            <v>Non-proportional</v>
          </cell>
          <cell r="S9971">
            <v>204.38</v>
          </cell>
          <cell r="X9971" t="str">
            <v>Commissions - gross</v>
          </cell>
          <cell r="Y9971" t="str">
            <v>GREECE</v>
          </cell>
        </row>
        <row r="9972">
          <cell r="L9972" t="str">
            <v>Proportional</v>
          </cell>
          <cell r="S9972">
            <v>-13024.2</v>
          </cell>
          <cell r="X9972" t="str">
            <v>Commissions - gross</v>
          </cell>
          <cell r="Y9972" t="str">
            <v>MEXICO</v>
          </cell>
        </row>
        <row r="9973">
          <cell r="L9973" t="str">
            <v>Non-proportional</v>
          </cell>
          <cell r="S9973">
            <v>160.66999999999999</v>
          </cell>
          <cell r="X9973" t="str">
            <v>Commissions - gross</v>
          </cell>
          <cell r="Y9973" t="str">
            <v>JAPAN</v>
          </cell>
        </row>
        <row r="9974">
          <cell r="L9974" t="str">
            <v>Non-proportional</v>
          </cell>
          <cell r="S9974">
            <v>-23.62</v>
          </cell>
          <cell r="X9974" t="str">
            <v>Commissions - gross</v>
          </cell>
          <cell r="Y9974" t="str">
            <v>SOUTH KOREA</v>
          </cell>
        </row>
        <row r="9975">
          <cell r="L9975" t="str">
            <v>Non-proportional</v>
          </cell>
          <cell r="S9975">
            <v>117.23</v>
          </cell>
          <cell r="X9975" t="str">
            <v>Commissions - gross</v>
          </cell>
          <cell r="Y9975" t="str">
            <v>FRANCE</v>
          </cell>
        </row>
        <row r="9976">
          <cell r="L9976" t="str">
            <v>Non-proportional</v>
          </cell>
          <cell r="S9976">
            <v>-4.0599999999999996</v>
          </cell>
          <cell r="X9976" t="str">
            <v>Commissions - gross</v>
          </cell>
          <cell r="Y9976" t="str">
            <v>JAPAN</v>
          </cell>
        </row>
        <row r="9977">
          <cell r="L9977" t="str">
            <v>Non-proportional</v>
          </cell>
          <cell r="S9977">
            <v>466.65</v>
          </cell>
          <cell r="X9977" t="str">
            <v>Commissions - gross</v>
          </cell>
          <cell r="Y9977" t="str">
            <v>TURKEY</v>
          </cell>
        </row>
        <row r="9978">
          <cell r="L9978" t="str">
            <v>Non-proportional</v>
          </cell>
          <cell r="S9978">
            <v>104.48</v>
          </cell>
          <cell r="X9978" t="str">
            <v>Commissions - gross</v>
          </cell>
          <cell r="Y9978" t="str">
            <v>CYPRUS</v>
          </cell>
        </row>
        <row r="9979">
          <cell r="L9979" t="str">
            <v>Non-proportional</v>
          </cell>
          <cell r="S9979">
            <v>0</v>
          </cell>
          <cell r="X9979" t="str">
            <v>Commissions - gross</v>
          </cell>
          <cell r="Y9979" t="str">
            <v>DOMINICAN REPUBLIC</v>
          </cell>
        </row>
        <row r="9980">
          <cell r="L9980" t="str">
            <v>Non-proportional</v>
          </cell>
          <cell r="S9980">
            <v>4956.57</v>
          </cell>
          <cell r="X9980" t="str">
            <v>Commissions - gross</v>
          </cell>
          <cell r="Y9980" t="str">
            <v>UNITED KINGDOM</v>
          </cell>
        </row>
        <row r="9981">
          <cell r="L9981" t="str">
            <v>Non-proportional</v>
          </cell>
          <cell r="S9981">
            <v>4353.78</v>
          </cell>
          <cell r="X9981" t="str">
            <v>Commissions - gross</v>
          </cell>
          <cell r="Y9981" t="str">
            <v>UNITED KINGDOM</v>
          </cell>
        </row>
        <row r="9982">
          <cell r="L9982" t="str">
            <v>Non-proportional</v>
          </cell>
          <cell r="S9982">
            <v>9747.5300000000007</v>
          </cell>
          <cell r="X9982" t="str">
            <v>Commissions - gross</v>
          </cell>
          <cell r="Y9982" t="str">
            <v>UNITED KINGDOM</v>
          </cell>
        </row>
        <row r="9983">
          <cell r="L9983" t="str">
            <v>Proportional</v>
          </cell>
          <cell r="S9983">
            <v>9902.61</v>
          </cell>
          <cell r="X9983" t="str">
            <v>Commissions - gross</v>
          </cell>
          <cell r="Y9983" t="str">
            <v>UNITED STATES</v>
          </cell>
        </row>
        <row r="9984">
          <cell r="L9984" t="str">
            <v>Non-proportional</v>
          </cell>
          <cell r="S9984">
            <v>0</v>
          </cell>
          <cell r="X9984" t="str">
            <v>Commissions - gross</v>
          </cell>
          <cell r="Y9984" t="str">
            <v>COLOMBIA</v>
          </cell>
        </row>
        <row r="9985">
          <cell r="L9985" t="str">
            <v>Non-proportional</v>
          </cell>
          <cell r="S9985">
            <v>466.65</v>
          </cell>
          <cell r="X9985" t="str">
            <v>Commissions - gross</v>
          </cell>
          <cell r="Y9985" t="str">
            <v>TURKEY</v>
          </cell>
        </row>
        <row r="9986">
          <cell r="L9986" t="str">
            <v>Non-proportional</v>
          </cell>
          <cell r="S9986">
            <v>1119.1199999999999</v>
          </cell>
          <cell r="X9986" t="str">
            <v>Commissions - gross</v>
          </cell>
          <cell r="Y9986" t="str">
            <v>AUSTRALIA</v>
          </cell>
        </row>
        <row r="9987">
          <cell r="L9987" t="str">
            <v>Non-proportional</v>
          </cell>
          <cell r="S9987">
            <v>-5.18</v>
          </cell>
          <cell r="X9987" t="str">
            <v>Commissions - gross</v>
          </cell>
          <cell r="Y9987" t="str">
            <v>JAPAN</v>
          </cell>
        </row>
        <row r="9988">
          <cell r="L9988" t="str">
            <v>Non-proportional</v>
          </cell>
          <cell r="S9988">
            <v>1015.63</v>
          </cell>
          <cell r="X9988" t="str">
            <v>Commissions - gross</v>
          </cell>
          <cell r="Y9988" t="str">
            <v>EUROPE</v>
          </cell>
        </row>
        <row r="9989">
          <cell r="L9989" t="str">
            <v>Proportional</v>
          </cell>
          <cell r="S9989">
            <v>481.74</v>
          </cell>
          <cell r="X9989" t="str">
            <v>Commissions - gross</v>
          </cell>
          <cell r="Y9989" t="str">
            <v>UNITED KINGDOM</v>
          </cell>
        </row>
        <row r="9990">
          <cell r="L9990" t="str">
            <v>Non-proportional</v>
          </cell>
          <cell r="S9990">
            <v>917.58</v>
          </cell>
          <cell r="X9990" t="str">
            <v>Commissions - gross</v>
          </cell>
          <cell r="Y9990" t="str">
            <v>CHILE</v>
          </cell>
        </row>
        <row r="9991">
          <cell r="L9991" t="str">
            <v>Non-proportional</v>
          </cell>
          <cell r="S9991">
            <v>-4.21</v>
          </cell>
          <cell r="X9991" t="str">
            <v>Commissions - gross</v>
          </cell>
          <cell r="Y9991" t="str">
            <v>JAPAN</v>
          </cell>
        </row>
        <row r="9992">
          <cell r="L9992" t="str">
            <v>Proportional</v>
          </cell>
          <cell r="S9992">
            <v>78.709999999999994</v>
          </cell>
          <cell r="X9992" t="str">
            <v>Commissions - gross</v>
          </cell>
          <cell r="Y9992" t="str">
            <v>ITALY</v>
          </cell>
        </row>
        <row r="9993">
          <cell r="L9993" t="str">
            <v>Non-proportional</v>
          </cell>
          <cell r="S9993">
            <v>-14.9</v>
          </cell>
          <cell r="X9993" t="str">
            <v>Commissions - gross</v>
          </cell>
          <cell r="Y9993" t="str">
            <v>NEW ZEALAND</v>
          </cell>
        </row>
        <row r="9994">
          <cell r="L9994" t="str">
            <v>Non-proportional</v>
          </cell>
          <cell r="S9994">
            <v>467.25</v>
          </cell>
          <cell r="X9994" t="str">
            <v>Commissions - gross</v>
          </cell>
          <cell r="Y9994" t="str">
            <v>PERU</v>
          </cell>
        </row>
        <row r="9995">
          <cell r="L9995" t="str">
            <v>Non-proportional</v>
          </cell>
          <cell r="S9995">
            <v>298.51</v>
          </cell>
          <cell r="X9995" t="str">
            <v>Commissions - gross</v>
          </cell>
          <cell r="Y9995" t="str">
            <v>ISRAEL</v>
          </cell>
        </row>
        <row r="9996">
          <cell r="L9996" t="str">
            <v>Non-proportional</v>
          </cell>
          <cell r="S9996">
            <v>88.44</v>
          </cell>
          <cell r="X9996" t="str">
            <v>Commissions - gross</v>
          </cell>
          <cell r="Y9996" t="str">
            <v>FRANCE</v>
          </cell>
        </row>
        <row r="9997">
          <cell r="L9997" t="str">
            <v>Non-proportional</v>
          </cell>
          <cell r="S9997">
            <v>-3.03</v>
          </cell>
          <cell r="X9997" t="str">
            <v>Commissions - gross</v>
          </cell>
          <cell r="Y9997" t="str">
            <v>JAPAN</v>
          </cell>
        </row>
        <row r="9998">
          <cell r="L9998" t="str">
            <v>Proportional</v>
          </cell>
          <cell r="S9998">
            <v>-162.02000000000001</v>
          </cell>
          <cell r="X9998" t="str">
            <v>Commissions - gross</v>
          </cell>
          <cell r="Y9998" t="str">
            <v>UNITED STATES</v>
          </cell>
        </row>
        <row r="9999">
          <cell r="L9999" t="str">
            <v>Non-proportional</v>
          </cell>
          <cell r="S9999">
            <v>668.33</v>
          </cell>
          <cell r="X9999" t="str">
            <v>Commissions - gross</v>
          </cell>
          <cell r="Y9999" t="str">
            <v>FRANCE</v>
          </cell>
        </row>
        <row r="10000">
          <cell r="L10000" t="str">
            <v>Non-proportional</v>
          </cell>
          <cell r="S10000">
            <v>177.12</v>
          </cell>
          <cell r="X10000" t="str">
            <v>Commissions - gross</v>
          </cell>
          <cell r="Y10000" t="str">
            <v>NEW ZEALAND</v>
          </cell>
        </row>
        <row r="10001">
          <cell r="L10001" t="str">
            <v>Non-proportional</v>
          </cell>
          <cell r="S10001">
            <v>14.44</v>
          </cell>
          <cell r="X10001" t="str">
            <v>Commissions - gross</v>
          </cell>
          <cell r="Y10001" t="str">
            <v>ISRAEL</v>
          </cell>
        </row>
        <row r="10002">
          <cell r="L10002" t="str">
            <v>Non-proportional</v>
          </cell>
          <cell r="S10002">
            <v>20.57</v>
          </cell>
          <cell r="X10002" t="str">
            <v>Commissions - gross</v>
          </cell>
          <cell r="Y10002" t="str">
            <v>FRANCE</v>
          </cell>
        </row>
        <row r="10003">
          <cell r="L10003" t="str">
            <v>Non-proportional</v>
          </cell>
          <cell r="S10003">
            <v>194.65</v>
          </cell>
          <cell r="X10003" t="str">
            <v>Commissions - gross</v>
          </cell>
          <cell r="Y10003" t="str">
            <v>REPUBLIC OF IRELAND</v>
          </cell>
        </row>
        <row r="10004">
          <cell r="L10004" t="str">
            <v>Non-proportional</v>
          </cell>
          <cell r="S10004">
            <v>176.46</v>
          </cell>
          <cell r="X10004" t="str">
            <v>Commissions - gross</v>
          </cell>
          <cell r="Y10004" t="str">
            <v>CHILE</v>
          </cell>
        </row>
        <row r="10005">
          <cell r="L10005" t="str">
            <v>Non-proportional</v>
          </cell>
          <cell r="S10005">
            <v>14.63</v>
          </cell>
          <cell r="X10005" t="str">
            <v>Commissions - gross</v>
          </cell>
          <cell r="Y10005" t="str">
            <v>FRANCE</v>
          </cell>
        </row>
        <row r="10006">
          <cell r="L10006" t="str">
            <v>Non-proportional</v>
          </cell>
          <cell r="S10006">
            <v>61.25</v>
          </cell>
          <cell r="X10006" t="str">
            <v>Commissions - gross</v>
          </cell>
          <cell r="Y10006" t="str">
            <v>GREECE</v>
          </cell>
        </row>
        <row r="10007">
          <cell r="L10007" t="str">
            <v>Non-proportional</v>
          </cell>
          <cell r="S10007">
            <v>120.22</v>
          </cell>
          <cell r="X10007" t="str">
            <v>Commissions - gross</v>
          </cell>
          <cell r="Y10007" t="str">
            <v>REPUBLIC OF IRELAND</v>
          </cell>
        </row>
        <row r="10008">
          <cell r="L10008" t="str">
            <v>Non-proportional</v>
          </cell>
          <cell r="S10008">
            <v>468.98</v>
          </cell>
          <cell r="X10008" t="str">
            <v>Commissions - gross</v>
          </cell>
          <cell r="Y10008" t="str">
            <v>UNITED KINGDOM</v>
          </cell>
        </row>
        <row r="10009">
          <cell r="L10009" t="str">
            <v>Non-proportional</v>
          </cell>
          <cell r="S10009">
            <v>-81.48</v>
          </cell>
          <cell r="X10009" t="str">
            <v>Commissions - gross</v>
          </cell>
          <cell r="Y10009" t="str">
            <v>DOMINICAN REPUBLIC</v>
          </cell>
        </row>
        <row r="10010">
          <cell r="L10010" t="str">
            <v>Non-proportional</v>
          </cell>
          <cell r="S10010">
            <v>605.03</v>
          </cell>
          <cell r="X10010" t="str">
            <v>Commissions - gross</v>
          </cell>
          <cell r="Y10010" t="str">
            <v>INDIA</v>
          </cell>
        </row>
        <row r="10011">
          <cell r="L10011" t="str">
            <v>Non-proportional</v>
          </cell>
          <cell r="S10011">
            <v>247.04</v>
          </cell>
          <cell r="X10011" t="str">
            <v>Commissions - gross</v>
          </cell>
          <cell r="Y10011" t="str">
            <v>CHILE</v>
          </cell>
        </row>
        <row r="10012">
          <cell r="L10012" t="str">
            <v>Non-proportional</v>
          </cell>
          <cell r="S10012">
            <v>639.35</v>
          </cell>
          <cell r="X10012" t="str">
            <v>Commissions - gross</v>
          </cell>
          <cell r="Y10012" t="str">
            <v>NETHERLANDS</v>
          </cell>
        </row>
        <row r="10013">
          <cell r="L10013" t="str">
            <v>Non-proportional</v>
          </cell>
          <cell r="S10013">
            <v>119.79</v>
          </cell>
          <cell r="X10013" t="str">
            <v>Commissions - gross</v>
          </cell>
          <cell r="Y10013" t="str">
            <v>GERMANY</v>
          </cell>
        </row>
        <row r="10014">
          <cell r="L10014" t="str">
            <v>Non-proportional</v>
          </cell>
          <cell r="S10014">
            <v>674.16</v>
          </cell>
          <cell r="X10014" t="str">
            <v>Commissions - gross</v>
          </cell>
          <cell r="Y10014" t="str">
            <v>UNITED KINGDOM</v>
          </cell>
        </row>
        <row r="10015">
          <cell r="L10015" t="str">
            <v>Non-proportional</v>
          </cell>
          <cell r="S10015">
            <v>266.52999999999997</v>
          </cell>
          <cell r="X10015" t="str">
            <v>Commissions - gross</v>
          </cell>
          <cell r="Y10015" t="str">
            <v>ISRAEL</v>
          </cell>
        </row>
        <row r="10016">
          <cell r="L10016" t="str">
            <v>Non-proportional</v>
          </cell>
          <cell r="S10016">
            <v>574.95000000000005</v>
          </cell>
          <cell r="X10016" t="str">
            <v>Commissions - gross</v>
          </cell>
          <cell r="Y10016" t="str">
            <v>AUSTRALIA</v>
          </cell>
        </row>
        <row r="10017">
          <cell r="L10017" t="str">
            <v>Non-proportional</v>
          </cell>
          <cell r="S10017">
            <v>529.37</v>
          </cell>
          <cell r="X10017" t="str">
            <v>Commissions - gross</v>
          </cell>
          <cell r="Y10017" t="str">
            <v>CHILE</v>
          </cell>
        </row>
        <row r="10018">
          <cell r="L10018" t="str">
            <v>Non-proportional</v>
          </cell>
          <cell r="S10018">
            <v>10572.33</v>
          </cell>
          <cell r="X10018" t="str">
            <v>Commissions - gross</v>
          </cell>
          <cell r="Y10018" t="str">
            <v>FRANCE</v>
          </cell>
        </row>
        <row r="10019">
          <cell r="L10019" t="str">
            <v>Non-proportional</v>
          </cell>
          <cell r="S10019">
            <v>1588.55</v>
          </cell>
          <cell r="X10019" t="str">
            <v>Commissions - gross</v>
          </cell>
          <cell r="Y10019" t="str">
            <v>EUROPE</v>
          </cell>
        </row>
        <row r="10020">
          <cell r="L10020" t="str">
            <v>Non-proportional</v>
          </cell>
          <cell r="S10020">
            <v>324.91000000000003</v>
          </cell>
          <cell r="X10020" t="str">
            <v>Commissions - gross</v>
          </cell>
          <cell r="Y10020" t="str">
            <v>FRANCE</v>
          </cell>
        </row>
        <row r="10021">
          <cell r="L10021" t="str">
            <v>Non-proportional</v>
          </cell>
          <cell r="S10021">
            <v>421.99</v>
          </cell>
          <cell r="X10021" t="str">
            <v>Commissions - gross</v>
          </cell>
          <cell r="Y10021" t="str">
            <v>UNITED KINGDOM</v>
          </cell>
        </row>
        <row r="10022">
          <cell r="L10022" t="str">
            <v>Non-proportional</v>
          </cell>
          <cell r="S10022">
            <v>205.82</v>
          </cell>
          <cell r="X10022" t="str">
            <v>Commissions - gross</v>
          </cell>
          <cell r="Y10022" t="str">
            <v>JAPAN</v>
          </cell>
        </row>
        <row r="10023">
          <cell r="L10023" t="str">
            <v>Non-proportional</v>
          </cell>
          <cell r="S10023">
            <v>-11.23</v>
          </cell>
          <cell r="X10023" t="str">
            <v>Commissions - gross</v>
          </cell>
          <cell r="Y10023" t="str">
            <v>JAPAN</v>
          </cell>
        </row>
        <row r="10024">
          <cell r="L10024" t="str">
            <v>Non-proportional</v>
          </cell>
          <cell r="S10024">
            <v>340.99</v>
          </cell>
          <cell r="X10024" t="str">
            <v>Commissions - gross</v>
          </cell>
          <cell r="Y10024" t="str">
            <v>AUSTRALIA</v>
          </cell>
        </row>
        <row r="10025">
          <cell r="L10025" t="str">
            <v>Non-proportional</v>
          </cell>
          <cell r="S10025">
            <v>-0.62</v>
          </cell>
          <cell r="X10025" t="str">
            <v>Commissions - gross</v>
          </cell>
          <cell r="Y10025" t="str">
            <v>JAPAN</v>
          </cell>
        </row>
        <row r="10026">
          <cell r="L10026" t="str">
            <v>Non-proportional</v>
          </cell>
          <cell r="S10026">
            <v>70.58</v>
          </cell>
          <cell r="X10026" t="str">
            <v>Commissions - gross</v>
          </cell>
          <cell r="Y10026" t="str">
            <v>CHILE</v>
          </cell>
        </row>
        <row r="10027">
          <cell r="L10027" t="str">
            <v>Proportional</v>
          </cell>
          <cell r="S10027">
            <v>1013.63</v>
          </cell>
          <cell r="X10027" t="str">
            <v>Commissions - gross</v>
          </cell>
          <cell r="Y10027" t="str">
            <v>MEXICO</v>
          </cell>
        </row>
        <row r="10028">
          <cell r="L10028" t="str">
            <v>Non-proportional</v>
          </cell>
          <cell r="S10028">
            <v>225.89</v>
          </cell>
          <cell r="X10028" t="str">
            <v>Commissions - gross</v>
          </cell>
          <cell r="Y10028" t="str">
            <v>UNITED KINGDOM</v>
          </cell>
        </row>
        <row r="10029">
          <cell r="L10029" t="str">
            <v>Proportional</v>
          </cell>
          <cell r="S10029">
            <v>543.20000000000005</v>
          </cell>
          <cell r="X10029" t="str">
            <v>Commissions - gross</v>
          </cell>
          <cell r="Y10029" t="str">
            <v>JAPAN</v>
          </cell>
        </row>
        <row r="10030">
          <cell r="L10030" t="str">
            <v>Non-proportional</v>
          </cell>
          <cell r="S10030">
            <v>204.38</v>
          </cell>
          <cell r="X10030" t="str">
            <v>Commissions - gross</v>
          </cell>
          <cell r="Y10030" t="str">
            <v>GREECE</v>
          </cell>
        </row>
        <row r="10031">
          <cell r="L10031" t="str">
            <v>Non-proportional</v>
          </cell>
          <cell r="S10031">
            <v>107.28</v>
          </cell>
          <cell r="X10031" t="str">
            <v>Commissions - gross</v>
          </cell>
          <cell r="Y10031" t="str">
            <v>SOUTH AFRICA</v>
          </cell>
        </row>
        <row r="10032">
          <cell r="L10032" t="str">
            <v>Non-proportional</v>
          </cell>
          <cell r="S10032">
            <v>147.61000000000001</v>
          </cell>
          <cell r="X10032" t="str">
            <v>Commissions - gross</v>
          </cell>
          <cell r="Y10032" t="str">
            <v>ISRAEL</v>
          </cell>
        </row>
        <row r="10033">
          <cell r="L10033" t="str">
            <v>Non-proportional</v>
          </cell>
          <cell r="S10033">
            <v>1382.15</v>
          </cell>
          <cell r="X10033" t="str">
            <v>Commissions - gross</v>
          </cell>
          <cell r="Y10033" t="str">
            <v>UNITED KINGDOM</v>
          </cell>
        </row>
        <row r="10034">
          <cell r="L10034" t="str">
            <v>Non-proportional</v>
          </cell>
          <cell r="S10034">
            <v>565.54</v>
          </cell>
          <cell r="X10034" t="str">
            <v>Commissions - gross</v>
          </cell>
          <cell r="Y10034" t="str">
            <v>PUERTO RICO</v>
          </cell>
        </row>
        <row r="10035">
          <cell r="L10035" t="str">
            <v>Non-proportional</v>
          </cell>
          <cell r="S10035">
            <v>662.31</v>
          </cell>
          <cell r="X10035" t="str">
            <v>Commissions - gross</v>
          </cell>
          <cell r="Y10035" t="str">
            <v>CYPRUS</v>
          </cell>
        </row>
        <row r="10036">
          <cell r="L10036" t="str">
            <v>Proportional</v>
          </cell>
          <cell r="S10036">
            <v>321.45999999999998</v>
          </cell>
          <cell r="X10036" t="str">
            <v>Commissions - gross</v>
          </cell>
          <cell r="Y10036" t="str">
            <v>FRANCE</v>
          </cell>
        </row>
        <row r="10037">
          <cell r="L10037" t="str">
            <v>Non-proportional</v>
          </cell>
          <cell r="S10037">
            <v>452.06</v>
          </cell>
          <cell r="X10037" t="str">
            <v>Commissions - gross</v>
          </cell>
          <cell r="Y10037" t="str">
            <v>UNITED KINGDOM</v>
          </cell>
        </row>
        <row r="10038">
          <cell r="L10038" t="str">
            <v>Non-proportional</v>
          </cell>
          <cell r="S10038">
            <v>385.42</v>
          </cell>
          <cell r="X10038" t="str">
            <v>Commissions - gross</v>
          </cell>
          <cell r="Y10038" t="str">
            <v>FRANCE</v>
          </cell>
        </row>
        <row r="10039">
          <cell r="L10039" t="str">
            <v>Non-proportional</v>
          </cell>
          <cell r="S10039">
            <v>754.96</v>
          </cell>
          <cell r="X10039" t="str">
            <v>Commissions - gross</v>
          </cell>
          <cell r="Y10039" t="str">
            <v>PUERTO RICO</v>
          </cell>
        </row>
        <row r="10040">
          <cell r="L10040" t="str">
            <v>Proportional</v>
          </cell>
          <cell r="S10040">
            <v>1183.71</v>
          </cell>
          <cell r="X10040" t="str">
            <v>Commissions - gross</v>
          </cell>
          <cell r="Y10040" t="str">
            <v>SWITZERLAND</v>
          </cell>
        </row>
        <row r="10041">
          <cell r="L10041" t="str">
            <v>Non-proportional</v>
          </cell>
          <cell r="S10041">
            <v>3857.56</v>
          </cell>
          <cell r="X10041" t="str">
            <v>Commissions - gross</v>
          </cell>
          <cell r="Y10041" t="str">
            <v>UNITED STATES</v>
          </cell>
        </row>
        <row r="10042">
          <cell r="L10042" t="str">
            <v>Non-proportional</v>
          </cell>
          <cell r="S10042">
            <v>-5.77</v>
          </cell>
          <cell r="X10042" t="str">
            <v>Commissions - gross</v>
          </cell>
          <cell r="Y10042" t="str">
            <v>JAPAN</v>
          </cell>
        </row>
        <row r="10043">
          <cell r="L10043" t="str">
            <v>Proportional</v>
          </cell>
          <cell r="S10043">
            <v>6927.39</v>
          </cell>
          <cell r="X10043" t="str">
            <v>Commissions - gross</v>
          </cell>
          <cell r="Y10043" t="str">
            <v>AUSTRALIA</v>
          </cell>
        </row>
        <row r="10044">
          <cell r="L10044" t="str">
            <v>Non-proportional</v>
          </cell>
          <cell r="S10044">
            <v>-41.16</v>
          </cell>
          <cell r="X10044" t="str">
            <v>Commissions - gross</v>
          </cell>
          <cell r="Y10044" t="str">
            <v>NEW ZEALAND</v>
          </cell>
        </row>
        <row r="10045">
          <cell r="L10045" t="str">
            <v>Non-proportional</v>
          </cell>
          <cell r="S10045">
            <v>204.17</v>
          </cell>
          <cell r="X10045" t="str">
            <v>Commissions - gross</v>
          </cell>
          <cell r="Y10045" t="str">
            <v>ITALY</v>
          </cell>
        </row>
        <row r="10046">
          <cell r="L10046" t="str">
            <v>Non-proportional</v>
          </cell>
          <cell r="S10046">
            <v>54.38</v>
          </cell>
          <cell r="X10046" t="str">
            <v>Commissions - gross</v>
          </cell>
          <cell r="Y10046" t="str">
            <v>GREECE</v>
          </cell>
        </row>
        <row r="10047">
          <cell r="L10047" t="str">
            <v>Proportional</v>
          </cell>
          <cell r="S10047">
            <v>46.64</v>
          </cell>
          <cell r="X10047" t="str">
            <v>Commissions - gross</v>
          </cell>
          <cell r="Y10047" t="str">
            <v>PERU</v>
          </cell>
        </row>
        <row r="10048">
          <cell r="L10048" t="str">
            <v>Non-proportional</v>
          </cell>
          <cell r="S10048">
            <v>0.66</v>
          </cell>
          <cell r="X10048" t="str">
            <v>Commissions - gross</v>
          </cell>
          <cell r="Y10048" t="str">
            <v>COSTA RICA</v>
          </cell>
        </row>
        <row r="10049">
          <cell r="L10049" t="str">
            <v>Non-proportional</v>
          </cell>
          <cell r="S10049">
            <v>0</v>
          </cell>
          <cell r="X10049" t="str">
            <v>Commissions - gross</v>
          </cell>
          <cell r="Y10049" t="str">
            <v>DOMINICAN REPUBLIC</v>
          </cell>
        </row>
        <row r="10050">
          <cell r="L10050" t="str">
            <v>Non-proportional</v>
          </cell>
          <cell r="S10050">
            <v>130.59</v>
          </cell>
          <cell r="X10050" t="str">
            <v>Commissions - gross</v>
          </cell>
          <cell r="Y10050" t="str">
            <v>ECUADOR</v>
          </cell>
        </row>
        <row r="10051">
          <cell r="L10051" t="str">
            <v>Non-proportional</v>
          </cell>
          <cell r="S10051">
            <v>-21.46</v>
          </cell>
          <cell r="X10051" t="str">
            <v>Commissions - gross</v>
          </cell>
          <cell r="Y10051" t="str">
            <v>NEW ZEALAND</v>
          </cell>
        </row>
        <row r="10052">
          <cell r="L10052" t="str">
            <v>Non-proportional</v>
          </cell>
          <cell r="S10052">
            <v>-23.89</v>
          </cell>
          <cell r="X10052" t="str">
            <v>Commissions - gross</v>
          </cell>
          <cell r="Y10052" t="str">
            <v>NEW ZEALAND</v>
          </cell>
        </row>
        <row r="10053">
          <cell r="L10053" t="str">
            <v>Non-proportional</v>
          </cell>
          <cell r="S10053">
            <v>1.91</v>
          </cell>
          <cell r="X10053" t="str">
            <v>Commissions - gross</v>
          </cell>
          <cell r="Y10053" t="str">
            <v>ISRAEL</v>
          </cell>
        </row>
        <row r="10054">
          <cell r="L10054" t="str">
            <v>Non-proportional</v>
          </cell>
          <cell r="S10054">
            <v>943.6</v>
          </cell>
          <cell r="X10054" t="str">
            <v>Commissions - gross</v>
          </cell>
          <cell r="Y10054" t="str">
            <v>COSTA RICA</v>
          </cell>
        </row>
        <row r="10055">
          <cell r="L10055" t="str">
            <v>Non-proportional</v>
          </cell>
          <cell r="S10055">
            <v>796.39</v>
          </cell>
          <cell r="X10055" t="str">
            <v>Commissions - gross</v>
          </cell>
          <cell r="Y10055" t="str">
            <v>PERU</v>
          </cell>
        </row>
        <row r="10056">
          <cell r="L10056" t="str">
            <v>Non-proportional</v>
          </cell>
          <cell r="S10056">
            <v>918.75</v>
          </cell>
          <cell r="X10056" t="str">
            <v>Commissions - gross</v>
          </cell>
          <cell r="Y10056" t="str">
            <v>TURKEY</v>
          </cell>
        </row>
        <row r="10057">
          <cell r="L10057" t="str">
            <v>Non-proportional</v>
          </cell>
          <cell r="S10057">
            <v>288.52</v>
          </cell>
          <cell r="X10057" t="str">
            <v>Commissions - gross</v>
          </cell>
          <cell r="Y10057" t="str">
            <v>AUSTRALIA</v>
          </cell>
        </row>
        <row r="10058">
          <cell r="L10058" t="str">
            <v>Non-proportional</v>
          </cell>
          <cell r="S10058">
            <v>-4589.71</v>
          </cell>
          <cell r="X10058" t="str">
            <v>Commissions - gross</v>
          </cell>
          <cell r="Y10058" t="str">
            <v>COLOMBIA</v>
          </cell>
        </row>
        <row r="10059">
          <cell r="L10059" t="str">
            <v>Non-proportional</v>
          </cell>
          <cell r="S10059">
            <v>-3.24</v>
          </cell>
          <cell r="X10059" t="str">
            <v>Commissions - gross</v>
          </cell>
          <cell r="Y10059" t="str">
            <v>JAPAN</v>
          </cell>
        </row>
        <row r="10060">
          <cell r="L10060" t="str">
            <v>Non-proportional</v>
          </cell>
          <cell r="S10060">
            <v>235.75</v>
          </cell>
          <cell r="X10060" t="str">
            <v>Commissions - gross</v>
          </cell>
          <cell r="Y10060" t="str">
            <v>GERMANY</v>
          </cell>
        </row>
        <row r="10061">
          <cell r="L10061" t="str">
            <v>Non-proportional</v>
          </cell>
          <cell r="S10061">
            <v>-7.98</v>
          </cell>
          <cell r="X10061" t="str">
            <v>Commissions - gross</v>
          </cell>
          <cell r="Y10061" t="str">
            <v>JAPAN</v>
          </cell>
        </row>
        <row r="10062">
          <cell r="L10062" t="str">
            <v>Non-proportional</v>
          </cell>
          <cell r="S10062">
            <v>0</v>
          </cell>
          <cell r="X10062" t="str">
            <v>Commissions - gross</v>
          </cell>
          <cell r="Y10062" t="str">
            <v>BELIZE</v>
          </cell>
        </row>
        <row r="10063">
          <cell r="L10063" t="str">
            <v>Non-proportional</v>
          </cell>
          <cell r="S10063">
            <v>497.93</v>
          </cell>
          <cell r="X10063" t="str">
            <v>Commissions - gross</v>
          </cell>
          <cell r="Y10063" t="str">
            <v>DOMINICAN REPUBLIC</v>
          </cell>
        </row>
        <row r="10064">
          <cell r="L10064" t="str">
            <v>Non-proportional</v>
          </cell>
          <cell r="S10064">
            <v>638.91</v>
          </cell>
          <cell r="X10064" t="str">
            <v>Commissions - gross</v>
          </cell>
          <cell r="Y10064" t="str">
            <v>JAPAN</v>
          </cell>
        </row>
        <row r="10065">
          <cell r="L10065" t="str">
            <v>Non-proportional</v>
          </cell>
          <cell r="S10065">
            <v>328.13</v>
          </cell>
          <cell r="X10065" t="str">
            <v>Commissions - gross</v>
          </cell>
          <cell r="Y10065" t="str">
            <v>ITALY</v>
          </cell>
        </row>
        <row r="10066">
          <cell r="L10066" t="str">
            <v>Non-proportional</v>
          </cell>
          <cell r="S10066">
            <v>0</v>
          </cell>
          <cell r="X10066" t="str">
            <v>Commissions - gross</v>
          </cell>
          <cell r="Y10066" t="str">
            <v>DOMINICAN REPUBLIC</v>
          </cell>
        </row>
        <row r="10067">
          <cell r="L10067" t="str">
            <v>Non-proportional</v>
          </cell>
          <cell r="S10067">
            <v>3000</v>
          </cell>
          <cell r="X10067" t="str">
            <v>Commissions - gross</v>
          </cell>
          <cell r="Y10067" t="str">
            <v>FRANCE</v>
          </cell>
        </row>
        <row r="10068">
          <cell r="L10068" t="str">
            <v>Non-proportional</v>
          </cell>
          <cell r="S10068">
            <v>662.02</v>
          </cell>
          <cell r="X10068" t="str">
            <v>Commissions - gross</v>
          </cell>
          <cell r="Y10068" t="str">
            <v>COLOMBIA</v>
          </cell>
        </row>
        <row r="10069">
          <cell r="L10069" t="str">
            <v>Non-proportional</v>
          </cell>
          <cell r="S10069">
            <v>-0.23</v>
          </cell>
          <cell r="X10069" t="str">
            <v>Commissions - gross</v>
          </cell>
          <cell r="Y10069" t="str">
            <v>GUATEMALA</v>
          </cell>
        </row>
        <row r="10070">
          <cell r="L10070" t="str">
            <v>Non-proportional</v>
          </cell>
          <cell r="S10070">
            <v>936.1</v>
          </cell>
          <cell r="X10070" t="str">
            <v>Commissions - gross</v>
          </cell>
          <cell r="Y10070" t="str">
            <v>CHINA</v>
          </cell>
        </row>
        <row r="10071">
          <cell r="L10071" t="str">
            <v>Non-proportional</v>
          </cell>
          <cell r="S10071">
            <v>445.99</v>
          </cell>
          <cell r="X10071" t="str">
            <v>Commissions - gross</v>
          </cell>
          <cell r="Y10071" t="str">
            <v>DOMINICAN REPUBLIC</v>
          </cell>
        </row>
        <row r="10072">
          <cell r="L10072" t="str">
            <v>Non-proportional</v>
          </cell>
          <cell r="S10072">
            <v>1162.22</v>
          </cell>
          <cell r="X10072" t="str">
            <v>Commissions - gross</v>
          </cell>
          <cell r="Y10072" t="str">
            <v>AUSTRALIA</v>
          </cell>
        </row>
        <row r="10073">
          <cell r="L10073" t="str">
            <v>Non-proportional</v>
          </cell>
          <cell r="S10073">
            <v>552.66</v>
          </cell>
          <cell r="X10073" t="str">
            <v>Commissions - gross</v>
          </cell>
          <cell r="Y10073" t="str">
            <v>SINGAPORE</v>
          </cell>
        </row>
        <row r="10074">
          <cell r="L10074" t="str">
            <v>Non-proportional</v>
          </cell>
          <cell r="S10074">
            <v>-28.79</v>
          </cell>
          <cell r="X10074" t="str">
            <v>Commissions - gross</v>
          </cell>
          <cell r="Y10074" t="str">
            <v>JAPAN</v>
          </cell>
        </row>
        <row r="10075">
          <cell r="L10075" t="str">
            <v>Non-proportional</v>
          </cell>
          <cell r="S10075">
            <v>35.29</v>
          </cell>
          <cell r="X10075" t="str">
            <v>Commissions - gross</v>
          </cell>
          <cell r="Y10075" t="str">
            <v>CHILE</v>
          </cell>
        </row>
        <row r="10076">
          <cell r="L10076" t="str">
            <v>Non-proportional</v>
          </cell>
          <cell r="S10076">
            <v>319.42</v>
          </cell>
          <cell r="X10076" t="str">
            <v>Commissions - gross</v>
          </cell>
          <cell r="Y10076" t="str">
            <v>AUSTRALIA</v>
          </cell>
        </row>
        <row r="10077">
          <cell r="L10077" t="str">
            <v>Non-proportional</v>
          </cell>
          <cell r="S10077">
            <v>546.70000000000005</v>
          </cell>
          <cell r="X10077" t="str">
            <v>Commissions - gross</v>
          </cell>
          <cell r="Y10077" t="str">
            <v>COLOMBIA</v>
          </cell>
        </row>
        <row r="10078">
          <cell r="L10078" t="str">
            <v>Non-proportional</v>
          </cell>
          <cell r="S10078">
            <v>421.39</v>
          </cell>
          <cell r="X10078" t="str">
            <v>Commissions - gross</v>
          </cell>
          <cell r="Y10078" t="str">
            <v>UNITED KINGDOM</v>
          </cell>
        </row>
        <row r="10079">
          <cell r="L10079" t="str">
            <v>Non-proportional</v>
          </cell>
          <cell r="S10079">
            <v>10933.04</v>
          </cell>
          <cell r="X10079" t="str">
            <v>Commissions - gross</v>
          </cell>
          <cell r="Y10079" t="str">
            <v>FRANCE</v>
          </cell>
        </row>
        <row r="10080">
          <cell r="L10080" t="str">
            <v>Non-proportional</v>
          </cell>
          <cell r="S10080">
            <v>757.51</v>
          </cell>
          <cell r="X10080" t="str">
            <v>Commissions - gross</v>
          </cell>
          <cell r="Y10080" t="str">
            <v>UNITED KINGDOM</v>
          </cell>
        </row>
        <row r="10081">
          <cell r="L10081" t="str">
            <v>Non-proportional</v>
          </cell>
          <cell r="S10081">
            <v>7740.05</v>
          </cell>
          <cell r="X10081" t="str">
            <v>Commissions - gross</v>
          </cell>
          <cell r="Y10081" t="str">
            <v>UNITED KINGDOM</v>
          </cell>
        </row>
        <row r="10082">
          <cell r="L10082" t="str">
            <v>Non-proportional</v>
          </cell>
          <cell r="S10082">
            <v>853.13</v>
          </cell>
          <cell r="X10082" t="str">
            <v>Commissions - gross</v>
          </cell>
          <cell r="Y10082" t="str">
            <v>TURKEY</v>
          </cell>
        </row>
        <row r="10083">
          <cell r="L10083" t="str">
            <v>Non-proportional</v>
          </cell>
          <cell r="S10083">
            <v>625</v>
          </cell>
          <cell r="X10083" t="str">
            <v>Commissions - gross</v>
          </cell>
          <cell r="Y10083" t="str">
            <v>SPAIN</v>
          </cell>
        </row>
        <row r="10084">
          <cell r="L10084" t="str">
            <v>Non-proportional</v>
          </cell>
          <cell r="S10084">
            <v>351.05</v>
          </cell>
          <cell r="X10084" t="str">
            <v>Commissions - gross</v>
          </cell>
          <cell r="Y10084" t="str">
            <v>THAILAND</v>
          </cell>
        </row>
        <row r="10085">
          <cell r="L10085" t="str">
            <v>Non-proportional</v>
          </cell>
          <cell r="S10085">
            <v>71.03</v>
          </cell>
          <cell r="X10085" t="str">
            <v>Commissions - gross</v>
          </cell>
          <cell r="Y10085" t="str">
            <v>JAPAN</v>
          </cell>
        </row>
        <row r="10086">
          <cell r="L10086" t="str">
            <v>Non-proportional</v>
          </cell>
          <cell r="S10086">
            <v>407.81</v>
          </cell>
          <cell r="X10086" t="str">
            <v>Commissions - gross</v>
          </cell>
          <cell r="Y10086" t="str">
            <v>GREECE</v>
          </cell>
        </row>
        <row r="10087">
          <cell r="L10087" t="str">
            <v>Non-proportional</v>
          </cell>
          <cell r="S10087">
            <v>0</v>
          </cell>
          <cell r="X10087" t="str">
            <v>Commissions - gross</v>
          </cell>
          <cell r="Y10087" t="str">
            <v>DOMINICAN REPUBLIC</v>
          </cell>
        </row>
        <row r="10088">
          <cell r="L10088" t="str">
            <v>Non-proportional</v>
          </cell>
          <cell r="S10088">
            <v>1307.3</v>
          </cell>
          <cell r="X10088" t="str">
            <v>Commissions - gross</v>
          </cell>
          <cell r="Y10088" t="str">
            <v>FRANCE</v>
          </cell>
        </row>
        <row r="10089">
          <cell r="L10089" t="str">
            <v>Non-proportional</v>
          </cell>
          <cell r="S10089">
            <v>7.12</v>
          </cell>
          <cell r="X10089" t="str">
            <v>Commissions - gross</v>
          </cell>
          <cell r="Y10089" t="str">
            <v>THAILAND</v>
          </cell>
        </row>
        <row r="10090">
          <cell r="L10090" t="str">
            <v>Non-proportional</v>
          </cell>
          <cell r="S10090">
            <v>100.23</v>
          </cell>
          <cell r="X10090" t="str">
            <v>Commissions - gross</v>
          </cell>
          <cell r="Y10090" t="str">
            <v>UNITED KINGDOM</v>
          </cell>
        </row>
        <row r="10091">
          <cell r="L10091" t="str">
            <v>Non-proportional</v>
          </cell>
          <cell r="S10091">
            <v>2475</v>
          </cell>
          <cell r="X10091" t="str">
            <v>Commissions - gross</v>
          </cell>
          <cell r="Y10091" t="str">
            <v>GREECE</v>
          </cell>
        </row>
        <row r="10092">
          <cell r="L10092" t="str">
            <v>Non-proportional</v>
          </cell>
          <cell r="S10092">
            <v>1004.26</v>
          </cell>
          <cell r="X10092" t="str">
            <v>Commissions - gross</v>
          </cell>
          <cell r="Y10092" t="str">
            <v>PERU</v>
          </cell>
        </row>
        <row r="10093">
          <cell r="L10093" t="str">
            <v>Non-proportional</v>
          </cell>
          <cell r="S10093">
            <v>717.03</v>
          </cell>
          <cell r="X10093" t="str">
            <v>Commissions - gross</v>
          </cell>
          <cell r="Y10093" t="str">
            <v>MEXICO</v>
          </cell>
        </row>
        <row r="10094">
          <cell r="L10094" t="str">
            <v>Non-proportional</v>
          </cell>
          <cell r="S10094">
            <v>286.64</v>
          </cell>
          <cell r="X10094" t="str">
            <v>Commissions - gross</v>
          </cell>
          <cell r="Y10094" t="str">
            <v>JAPAN</v>
          </cell>
        </row>
        <row r="10095">
          <cell r="L10095" t="str">
            <v>Non-proportional</v>
          </cell>
          <cell r="S10095">
            <v>35.72</v>
          </cell>
          <cell r="X10095" t="str">
            <v>Commissions - gross</v>
          </cell>
          <cell r="Y10095" t="str">
            <v>TURKEY</v>
          </cell>
        </row>
        <row r="10096">
          <cell r="L10096" t="str">
            <v>Non-proportional</v>
          </cell>
          <cell r="S10096">
            <v>75.510000000000005</v>
          </cell>
          <cell r="X10096" t="str">
            <v>Commissions - gross</v>
          </cell>
          <cell r="Y10096" t="str">
            <v>JAPAN</v>
          </cell>
        </row>
        <row r="10097">
          <cell r="L10097" t="str">
            <v>Non-proportional</v>
          </cell>
          <cell r="S10097">
            <v>0</v>
          </cell>
          <cell r="X10097" t="str">
            <v>Commissions - gross</v>
          </cell>
          <cell r="Y10097" t="str">
            <v>BELIZE</v>
          </cell>
        </row>
        <row r="10098">
          <cell r="L10098" t="str">
            <v>Non-proportional</v>
          </cell>
          <cell r="S10098">
            <v>-29.77</v>
          </cell>
          <cell r="X10098" t="str">
            <v>Commissions - gross</v>
          </cell>
          <cell r="Y10098" t="str">
            <v>NEW ZEALAND</v>
          </cell>
        </row>
        <row r="10099">
          <cell r="L10099" t="str">
            <v>Non-proportional</v>
          </cell>
          <cell r="S10099">
            <v>1049.2</v>
          </cell>
          <cell r="X10099" t="str">
            <v>Commissions - gross</v>
          </cell>
          <cell r="Y10099" t="str">
            <v>COLOMBIA</v>
          </cell>
        </row>
        <row r="10100">
          <cell r="L10100" t="str">
            <v>Non-proportional</v>
          </cell>
          <cell r="S10100">
            <v>382.51</v>
          </cell>
          <cell r="X10100" t="str">
            <v>Commissions - gross</v>
          </cell>
          <cell r="Y10100" t="str">
            <v>COLOMBIA</v>
          </cell>
        </row>
        <row r="10101">
          <cell r="L10101" t="str">
            <v>Non-proportional</v>
          </cell>
          <cell r="S10101">
            <v>1032.6199999999999</v>
          </cell>
          <cell r="X10101" t="str">
            <v>Commissions - gross</v>
          </cell>
          <cell r="Y10101" t="str">
            <v>UNITED KINGDOM</v>
          </cell>
        </row>
        <row r="10102">
          <cell r="L10102" t="str">
            <v>Non-proportional</v>
          </cell>
          <cell r="S10102">
            <v>-3.47</v>
          </cell>
          <cell r="X10102" t="str">
            <v>Commissions - gross</v>
          </cell>
          <cell r="Y10102" t="str">
            <v>JAPAN</v>
          </cell>
        </row>
        <row r="10103">
          <cell r="L10103" t="str">
            <v>Non-proportional</v>
          </cell>
          <cell r="S10103">
            <v>4686.47</v>
          </cell>
          <cell r="X10103" t="str">
            <v>Commissions - gross</v>
          </cell>
          <cell r="Y10103" t="str">
            <v>FRANCE</v>
          </cell>
        </row>
        <row r="10104">
          <cell r="L10104" t="str">
            <v>Non-proportional</v>
          </cell>
          <cell r="S10104">
            <v>6.84</v>
          </cell>
          <cell r="X10104" t="str">
            <v>Commissions - gross</v>
          </cell>
          <cell r="Y10104" t="str">
            <v>BRAZIL</v>
          </cell>
        </row>
        <row r="10105">
          <cell r="L10105" t="str">
            <v>Non-proportional</v>
          </cell>
          <cell r="S10105">
            <v>1074.8699999999999</v>
          </cell>
          <cell r="X10105" t="str">
            <v>Commissions - gross</v>
          </cell>
          <cell r="Y10105" t="str">
            <v>ITALY</v>
          </cell>
        </row>
        <row r="10106">
          <cell r="L10106" t="str">
            <v>Non-proportional</v>
          </cell>
          <cell r="S10106">
            <v>282.29000000000002</v>
          </cell>
          <cell r="X10106" t="str">
            <v>Commissions - gross</v>
          </cell>
          <cell r="Y10106" t="str">
            <v>JAPAN</v>
          </cell>
        </row>
        <row r="10107">
          <cell r="L10107" t="str">
            <v>Non-proportional</v>
          </cell>
          <cell r="S10107">
            <v>141.16999999999999</v>
          </cell>
          <cell r="X10107" t="str">
            <v>Commissions - gross</v>
          </cell>
          <cell r="Y10107" t="str">
            <v>CHILE</v>
          </cell>
        </row>
        <row r="10108">
          <cell r="L10108" t="str">
            <v>Proportional</v>
          </cell>
          <cell r="S10108">
            <v>282.33</v>
          </cell>
          <cell r="X10108" t="str">
            <v>Commissions - gross</v>
          </cell>
          <cell r="Y10108" t="str">
            <v>CHILE</v>
          </cell>
        </row>
        <row r="10109">
          <cell r="L10109" t="str">
            <v>Non-proportional</v>
          </cell>
          <cell r="S10109">
            <v>25.67</v>
          </cell>
          <cell r="X10109" t="str">
            <v>Commissions - gross</v>
          </cell>
          <cell r="Y10109" t="str">
            <v>ECUADOR</v>
          </cell>
        </row>
        <row r="10110">
          <cell r="L10110" t="str">
            <v>Proportional</v>
          </cell>
          <cell r="S10110">
            <v>11.65</v>
          </cell>
          <cell r="X10110" t="str">
            <v>Commissions - gross</v>
          </cell>
          <cell r="Y10110" t="str">
            <v>UNITED STATES</v>
          </cell>
        </row>
        <row r="10111">
          <cell r="L10111" t="str">
            <v>Non-proportional</v>
          </cell>
          <cell r="S10111">
            <v>5.3</v>
          </cell>
          <cell r="X10111" t="str">
            <v>Commissions - gross</v>
          </cell>
          <cell r="Y10111" t="str">
            <v>ISRAEL</v>
          </cell>
        </row>
        <row r="10112">
          <cell r="L10112" t="str">
            <v>Non-proportional</v>
          </cell>
          <cell r="S10112">
            <v>153.85</v>
          </cell>
          <cell r="X10112" t="str">
            <v>Commissions - gross</v>
          </cell>
          <cell r="Y10112" t="str">
            <v>AUSTRALIA</v>
          </cell>
        </row>
        <row r="10113">
          <cell r="L10113" t="str">
            <v>Non-proportional</v>
          </cell>
          <cell r="S10113">
            <v>171.16</v>
          </cell>
          <cell r="X10113" t="str">
            <v>Commissions - gross</v>
          </cell>
          <cell r="Y10113" t="str">
            <v>DOMINICAN REPUBLIC</v>
          </cell>
        </row>
        <row r="10114">
          <cell r="L10114" t="str">
            <v>Non-proportional</v>
          </cell>
          <cell r="S10114">
            <v>1516.17</v>
          </cell>
          <cell r="X10114" t="str">
            <v>Commissions - gross</v>
          </cell>
          <cell r="Y10114" t="str">
            <v>UNITED KINGDOM</v>
          </cell>
        </row>
        <row r="10115">
          <cell r="L10115" t="str">
            <v>Non-proportional</v>
          </cell>
          <cell r="S10115">
            <v>399.24</v>
          </cell>
          <cell r="X10115" t="str">
            <v>Commissions - gross</v>
          </cell>
          <cell r="Y10115" t="str">
            <v>ECUADOR</v>
          </cell>
        </row>
        <row r="10116">
          <cell r="L10116" t="str">
            <v>Proportional</v>
          </cell>
          <cell r="S10116">
            <v>-5.1100000000000003</v>
          </cell>
          <cell r="X10116" t="str">
            <v>Commissions - gross</v>
          </cell>
          <cell r="Y10116" t="str">
            <v>UNITED STATES</v>
          </cell>
        </row>
        <row r="10117">
          <cell r="L10117" t="str">
            <v>Non-proportional</v>
          </cell>
          <cell r="S10117">
            <v>88.51</v>
          </cell>
          <cell r="X10117" t="str">
            <v>Commissions - gross</v>
          </cell>
          <cell r="Y10117" t="str">
            <v>PUERTO RICO</v>
          </cell>
        </row>
        <row r="10118">
          <cell r="L10118" t="str">
            <v>Non-proportional</v>
          </cell>
          <cell r="S10118">
            <v>1200.1300000000001</v>
          </cell>
          <cell r="X10118" t="str">
            <v>Commissions - gross</v>
          </cell>
          <cell r="Y10118" t="str">
            <v>ITALY</v>
          </cell>
        </row>
        <row r="10119">
          <cell r="L10119" t="str">
            <v>Proportional</v>
          </cell>
          <cell r="S10119">
            <v>516.48</v>
          </cell>
          <cell r="X10119" t="str">
            <v>Commissions - gross</v>
          </cell>
          <cell r="Y10119" t="str">
            <v>JAPAN</v>
          </cell>
        </row>
        <row r="10120">
          <cell r="L10120" t="str">
            <v>Non-proportional</v>
          </cell>
          <cell r="S10120">
            <v>-4565.74</v>
          </cell>
          <cell r="X10120" t="str">
            <v>Commissions - gross</v>
          </cell>
          <cell r="Y10120" t="str">
            <v>COLOMBIA</v>
          </cell>
        </row>
        <row r="10121">
          <cell r="L10121" t="str">
            <v>Non-proportional</v>
          </cell>
          <cell r="S10121">
            <v>354.48</v>
          </cell>
          <cell r="X10121" t="str">
            <v>Commissions - gross</v>
          </cell>
          <cell r="Y10121" t="str">
            <v>ISRAEL</v>
          </cell>
        </row>
        <row r="10122">
          <cell r="L10122" t="str">
            <v>Proportional</v>
          </cell>
          <cell r="S10122">
            <v>5500.56</v>
          </cell>
          <cell r="X10122" t="str">
            <v>Commissions - gross</v>
          </cell>
          <cell r="Y10122" t="str">
            <v>UNITED STATES</v>
          </cell>
        </row>
        <row r="10123">
          <cell r="L10123" t="str">
            <v>Non-proportional</v>
          </cell>
          <cell r="S10123">
            <v>3034.6</v>
          </cell>
          <cell r="X10123" t="str">
            <v>Commissions - gross</v>
          </cell>
          <cell r="Y10123" t="str">
            <v>FRANCE</v>
          </cell>
        </row>
        <row r="10124">
          <cell r="L10124" t="str">
            <v>Non-proportional</v>
          </cell>
          <cell r="S10124">
            <v>-0.55000000000000004</v>
          </cell>
          <cell r="X10124" t="str">
            <v>Commissions - gross</v>
          </cell>
          <cell r="Y10124" t="str">
            <v>GUATEMALA</v>
          </cell>
        </row>
        <row r="10125">
          <cell r="L10125" t="str">
            <v>Proportional</v>
          </cell>
          <cell r="S10125">
            <v>37.61</v>
          </cell>
          <cell r="X10125" t="str">
            <v>Commissions - gross</v>
          </cell>
          <cell r="Y10125" t="str">
            <v>UNITED STATES</v>
          </cell>
        </row>
        <row r="10126">
          <cell r="L10126" t="str">
            <v>Non-proportional</v>
          </cell>
          <cell r="S10126">
            <v>61.7</v>
          </cell>
          <cell r="X10126" t="str">
            <v>Commissions - gross</v>
          </cell>
          <cell r="Y10126" t="str">
            <v>FRANCE</v>
          </cell>
        </row>
        <row r="10127">
          <cell r="L10127" t="str">
            <v>Non-proportional</v>
          </cell>
          <cell r="S10127">
            <v>-36.770000000000003</v>
          </cell>
          <cell r="X10127" t="str">
            <v>Commissions - gross</v>
          </cell>
          <cell r="Y10127" t="str">
            <v>NEW ZEALAND</v>
          </cell>
        </row>
        <row r="10128">
          <cell r="L10128" t="str">
            <v>Non-proportional</v>
          </cell>
          <cell r="S10128">
            <v>784.03</v>
          </cell>
          <cell r="X10128" t="str">
            <v>Commissions - gross</v>
          </cell>
          <cell r="Y10128" t="str">
            <v>JAPAN</v>
          </cell>
        </row>
        <row r="10129">
          <cell r="L10129" t="str">
            <v>Proportional</v>
          </cell>
          <cell r="S10129">
            <v>220</v>
          </cell>
          <cell r="X10129" t="str">
            <v>Commissions - gross</v>
          </cell>
          <cell r="Y10129" t="str">
            <v>AUSTRALIA</v>
          </cell>
        </row>
        <row r="10130">
          <cell r="L10130" t="str">
            <v>Non-proportional</v>
          </cell>
          <cell r="S10130">
            <v>1168.82</v>
          </cell>
          <cell r="X10130" t="str">
            <v>Commissions - gross</v>
          </cell>
          <cell r="Y10130" t="str">
            <v>PERU</v>
          </cell>
        </row>
        <row r="10131">
          <cell r="L10131" t="str">
            <v>Proportional</v>
          </cell>
          <cell r="S10131">
            <v>70.58</v>
          </cell>
          <cell r="X10131" t="str">
            <v>Commissions - gross</v>
          </cell>
          <cell r="Y10131" t="str">
            <v>CHILE</v>
          </cell>
        </row>
        <row r="10132">
          <cell r="L10132" t="str">
            <v>Non-proportional</v>
          </cell>
          <cell r="S10132">
            <v>885.5</v>
          </cell>
          <cell r="X10132" t="str">
            <v>Commissions - gross</v>
          </cell>
          <cell r="Y10132" t="str">
            <v>GERMANY</v>
          </cell>
        </row>
        <row r="10133">
          <cell r="L10133" t="str">
            <v>Non-proportional</v>
          </cell>
          <cell r="S10133">
            <v>494.91</v>
          </cell>
          <cell r="X10133" t="str">
            <v>Commissions - gross</v>
          </cell>
          <cell r="Y10133" t="str">
            <v>NETHERLANDS</v>
          </cell>
        </row>
        <row r="10134">
          <cell r="L10134" t="str">
            <v>Non-proportional</v>
          </cell>
          <cell r="S10134">
            <v>656.25</v>
          </cell>
          <cell r="X10134" t="str">
            <v>Commissions - gross</v>
          </cell>
          <cell r="Y10134" t="str">
            <v>ITALY</v>
          </cell>
        </row>
        <row r="10135">
          <cell r="L10135" t="str">
            <v>Non-proportional</v>
          </cell>
          <cell r="S10135">
            <v>130.94999999999999</v>
          </cell>
          <cell r="X10135" t="str">
            <v>Commissions - gross</v>
          </cell>
          <cell r="Y10135" t="str">
            <v>PUERTO RICO</v>
          </cell>
        </row>
        <row r="10136">
          <cell r="L10136" t="str">
            <v>Non-proportional</v>
          </cell>
          <cell r="S10136">
            <v>1097.48</v>
          </cell>
          <cell r="X10136" t="str">
            <v>Commissions - gross</v>
          </cell>
          <cell r="Y10136" t="str">
            <v>GERMANY</v>
          </cell>
        </row>
        <row r="10137">
          <cell r="L10137" t="str">
            <v>Non-proportional</v>
          </cell>
          <cell r="S10137">
            <v>-92.99</v>
          </cell>
          <cell r="X10137" t="str">
            <v>Commissions - gross</v>
          </cell>
          <cell r="Y10137" t="str">
            <v>DOMINICAN REPUBLIC</v>
          </cell>
        </row>
        <row r="10138">
          <cell r="L10138" t="str">
            <v>Non-proportional</v>
          </cell>
          <cell r="S10138">
            <v>2928.12</v>
          </cell>
          <cell r="X10138" t="str">
            <v>Commissions - gross</v>
          </cell>
          <cell r="Y10138" t="str">
            <v>UNITED KINGDOM</v>
          </cell>
        </row>
        <row r="10139">
          <cell r="L10139" t="str">
            <v>Proportional</v>
          </cell>
          <cell r="S10139">
            <v>-14.88</v>
          </cell>
          <cell r="X10139" t="str">
            <v>Commissions - gross</v>
          </cell>
          <cell r="Y10139" t="str">
            <v>CHILE</v>
          </cell>
        </row>
        <row r="10140">
          <cell r="L10140" t="str">
            <v>Non-proportional</v>
          </cell>
          <cell r="S10140">
            <v>131.57</v>
          </cell>
          <cell r="X10140" t="str">
            <v>Commissions - gross</v>
          </cell>
          <cell r="Y10140" t="str">
            <v>ISRAEL</v>
          </cell>
        </row>
        <row r="10141">
          <cell r="L10141" t="str">
            <v>Non-proportional</v>
          </cell>
          <cell r="S10141">
            <v>7446.09</v>
          </cell>
          <cell r="X10141" t="str">
            <v>Commissions - gross</v>
          </cell>
          <cell r="Y10141" t="str">
            <v>UNITED KINGDOM</v>
          </cell>
        </row>
        <row r="10142">
          <cell r="L10142" t="str">
            <v>Non-proportional</v>
          </cell>
          <cell r="S10142">
            <v>750.3</v>
          </cell>
          <cell r="X10142" t="str">
            <v>Commissions - gross</v>
          </cell>
          <cell r="Y10142" t="str">
            <v>CYPRUS</v>
          </cell>
        </row>
        <row r="10143">
          <cell r="L10143" t="str">
            <v>Non-proportional</v>
          </cell>
          <cell r="S10143">
            <v>575.67999999999995</v>
          </cell>
          <cell r="X10143" t="str">
            <v>Commissions - gross</v>
          </cell>
          <cell r="Y10143" t="str">
            <v>COSTA RICA</v>
          </cell>
        </row>
        <row r="10144">
          <cell r="L10144" t="str">
            <v>Non-proportional</v>
          </cell>
          <cell r="S10144">
            <v>5390.83</v>
          </cell>
          <cell r="X10144" t="str">
            <v>Commissions - gross</v>
          </cell>
          <cell r="Y10144" t="str">
            <v>UNITED KINGDOM</v>
          </cell>
        </row>
        <row r="10145">
          <cell r="L10145" t="str">
            <v>Non-proportional</v>
          </cell>
          <cell r="S10145">
            <v>435.58</v>
          </cell>
          <cell r="X10145" t="str">
            <v>Commissions - gross</v>
          </cell>
          <cell r="Y10145" t="str">
            <v>GUATEMALA</v>
          </cell>
        </row>
        <row r="10146">
          <cell r="L10146" t="str">
            <v>Non-proportional</v>
          </cell>
          <cell r="S10146">
            <v>-9.27</v>
          </cell>
          <cell r="X10146" t="str">
            <v>Commissions - gross</v>
          </cell>
          <cell r="Y10146" t="str">
            <v>JAPAN</v>
          </cell>
        </row>
        <row r="10147">
          <cell r="L10147" t="str">
            <v>Non-proportional</v>
          </cell>
          <cell r="S10147">
            <v>448.3</v>
          </cell>
          <cell r="X10147" t="str">
            <v>Commissions - gross</v>
          </cell>
          <cell r="Y10147" t="str">
            <v>DOMINICAN REPUBLIC</v>
          </cell>
        </row>
        <row r="10148">
          <cell r="L10148" t="str">
            <v>Non-proportional</v>
          </cell>
          <cell r="S10148">
            <v>218.76</v>
          </cell>
          <cell r="X10148" t="str">
            <v>Commissions - gross</v>
          </cell>
          <cell r="Y10148" t="str">
            <v>SPAIN</v>
          </cell>
        </row>
        <row r="10149">
          <cell r="L10149" t="str">
            <v>Non-proportional</v>
          </cell>
          <cell r="S10149">
            <v>811.71</v>
          </cell>
          <cell r="X10149" t="str">
            <v>Commissions - gross</v>
          </cell>
          <cell r="Y10149" t="str">
            <v>CHILE</v>
          </cell>
        </row>
        <row r="10150">
          <cell r="L10150" t="str">
            <v>Proportional</v>
          </cell>
          <cell r="S10150">
            <v>153.63999999999999</v>
          </cell>
          <cell r="X10150" t="str">
            <v>Commissions - gross</v>
          </cell>
          <cell r="Y10150" t="str">
            <v>INDIA</v>
          </cell>
        </row>
        <row r="10151">
          <cell r="L10151" t="str">
            <v>Non-proportional</v>
          </cell>
          <cell r="S10151">
            <v>527.54</v>
          </cell>
          <cell r="X10151" t="str">
            <v>Commissions - gross</v>
          </cell>
          <cell r="Y10151" t="str">
            <v>PERU</v>
          </cell>
        </row>
        <row r="10152">
          <cell r="L10152" t="str">
            <v>Non-proportional</v>
          </cell>
          <cell r="S10152">
            <v>123.48</v>
          </cell>
          <cell r="X10152" t="str">
            <v>Commissions - gross</v>
          </cell>
          <cell r="Y10152" t="str">
            <v>PERU</v>
          </cell>
        </row>
        <row r="10153">
          <cell r="L10153" t="str">
            <v>Proportional</v>
          </cell>
          <cell r="S10153">
            <v>-146.47</v>
          </cell>
          <cell r="X10153" t="str">
            <v>Commissions - gross</v>
          </cell>
          <cell r="Y10153" t="str">
            <v>CHILE</v>
          </cell>
        </row>
        <row r="10154">
          <cell r="L10154" t="str">
            <v>Non-proportional</v>
          </cell>
          <cell r="S10154">
            <v>-45.06</v>
          </cell>
          <cell r="X10154" t="str">
            <v>Commissions - gross</v>
          </cell>
          <cell r="Y10154" t="str">
            <v>AUSTRALIA</v>
          </cell>
        </row>
        <row r="10155">
          <cell r="L10155" t="str">
            <v>Non-proportional</v>
          </cell>
          <cell r="S10155">
            <v>0</v>
          </cell>
          <cell r="X10155" t="str">
            <v>Commissions - gross</v>
          </cell>
          <cell r="Y10155" t="str">
            <v>DOMINICAN REPUBLIC</v>
          </cell>
        </row>
        <row r="10156">
          <cell r="L10156" t="str">
            <v>Non-proportional</v>
          </cell>
          <cell r="S10156">
            <v>2582.48</v>
          </cell>
          <cell r="X10156" t="str">
            <v>Commissions - gross</v>
          </cell>
          <cell r="Y10156" t="str">
            <v>AUSTRALIA</v>
          </cell>
        </row>
        <row r="10157">
          <cell r="L10157" t="str">
            <v>Non-proportional</v>
          </cell>
          <cell r="S10157">
            <v>18.38</v>
          </cell>
          <cell r="X10157" t="str">
            <v>Commissions - gross</v>
          </cell>
          <cell r="Y10157" t="str">
            <v>TURKEY</v>
          </cell>
        </row>
        <row r="10158">
          <cell r="L10158" t="str">
            <v>Non-proportional</v>
          </cell>
          <cell r="S10158">
            <v>1368.76</v>
          </cell>
          <cell r="X10158" t="str">
            <v>Commissions - gross</v>
          </cell>
          <cell r="Y10158" t="str">
            <v>ECUADOR</v>
          </cell>
        </row>
        <row r="10159">
          <cell r="L10159" t="str">
            <v>Proportional</v>
          </cell>
          <cell r="S10159">
            <v>81.510000000000005</v>
          </cell>
          <cell r="X10159" t="str">
            <v>Commissions - gross</v>
          </cell>
          <cell r="Y10159" t="str">
            <v>REPUBLIC OF IRELAND</v>
          </cell>
        </row>
        <row r="10160">
          <cell r="L10160" t="str">
            <v>Non-proportional</v>
          </cell>
          <cell r="S10160">
            <v>0</v>
          </cell>
          <cell r="X10160" t="str">
            <v>Commissions - gross</v>
          </cell>
          <cell r="Y10160" t="str">
            <v>COLOMBIA</v>
          </cell>
        </row>
        <row r="10161">
          <cell r="L10161" t="str">
            <v>Non-proportional</v>
          </cell>
          <cell r="S10161">
            <v>57.95</v>
          </cell>
          <cell r="X10161" t="str">
            <v>Commissions - gross</v>
          </cell>
          <cell r="Y10161" t="str">
            <v>DOMINICAN REPUBLIC</v>
          </cell>
        </row>
        <row r="10162">
          <cell r="L10162" t="str">
            <v>Non-proportional</v>
          </cell>
          <cell r="S10162">
            <v>884.39</v>
          </cell>
          <cell r="X10162" t="str">
            <v>Commissions - gross</v>
          </cell>
          <cell r="Y10162" t="str">
            <v>TURKEY</v>
          </cell>
        </row>
        <row r="10163">
          <cell r="L10163" t="str">
            <v>Non-proportional</v>
          </cell>
          <cell r="S10163">
            <v>317.62</v>
          </cell>
          <cell r="X10163" t="str">
            <v>Commissions - gross</v>
          </cell>
          <cell r="Y10163" t="str">
            <v>CHILE</v>
          </cell>
        </row>
        <row r="10164">
          <cell r="L10164" t="str">
            <v>Non-proportional</v>
          </cell>
          <cell r="S10164">
            <v>917.58</v>
          </cell>
          <cell r="X10164" t="str">
            <v>Commissions - gross</v>
          </cell>
          <cell r="Y10164" t="str">
            <v>CHILE</v>
          </cell>
        </row>
        <row r="10165">
          <cell r="L10165" t="str">
            <v>Non-proportional</v>
          </cell>
          <cell r="S10165">
            <v>312.69</v>
          </cell>
          <cell r="X10165" t="str">
            <v>Commissions - gross</v>
          </cell>
          <cell r="Y10165" t="str">
            <v>FRANCE</v>
          </cell>
        </row>
        <row r="10166">
          <cell r="L10166" t="str">
            <v>Non-proportional</v>
          </cell>
          <cell r="S10166">
            <v>-55.01</v>
          </cell>
          <cell r="X10166" t="str">
            <v>Commissions - gross</v>
          </cell>
          <cell r="Y10166" t="str">
            <v>JAPAN</v>
          </cell>
        </row>
        <row r="10167">
          <cell r="L10167" t="str">
            <v>Non-proportional</v>
          </cell>
          <cell r="S10167">
            <v>1147.23</v>
          </cell>
          <cell r="X10167" t="str">
            <v>Commissions - gross</v>
          </cell>
          <cell r="Y10167" t="str">
            <v>MEXICO</v>
          </cell>
        </row>
        <row r="10168">
          <cell r="L10168" t="str">
            <v>Non-proportional</v>
          </cell>
          <cell r="S10168">
            <v>847.96</v>
          </cell>
          <cell r="X10168" t="str">
            <v>Commissions - gross</v>
          </cell>
          <cell r="Y10168" t="str">
            <v>CANADA</v>
          </cell>
        </row>
        <row r="10169">
          <cell r="L10169" t="str">
            <v>Non-proportional</v>
          </cell>
          <cell r="S10169">
            <v>70.58</v>
          </cell>
          <cell r="X10169" t="str">
            <v>Commissions - gross</v>
          </cell>
          <cell r="Y10169" t="str">
            <v>CHILE</v>
          </cell>
        </row>
        <row r="10170">
          <cell r="L10170" t="str">
            <v>Non-proportional</v>
          </cell>
          <cell r="S10170">
            <v>272.37</v>
          </cell>
          <cell r="X10170" t="str">
            <v>Commissions - gross</v>
          </cell>
          <cell r="Y10170" t="str">
            <v>INDIA</v>
          </cell>
        </row>
        <row r="10171">
          <cell r="L10171" t="str">
            <v>Non-proportional</v>
          </cell>
          <cell r="S10171">
            <v>627.09</v>
          </cell>
          <cell r="X10171" t="str">
            <v>Commissions - gross</v>
          </cell>
          <cell r="Y10171" t="str">
            <v>THAILAND</v>
          </cell>
        </row>
        <row r="10172">
          <cell r="L10172" t="str">
            <v>Non-proportional</v>
          </cell>
          <cell r="S10172">
            <v>284.08</v>
          </cell>
          <cell r="X10172" t="str">
            <v>Commissions - gross</v>
          </cell>
          <cell r="Y10172" t="str">
            <v>EUROPE</v>
          </cell>
        </row>
        <row r="10173">
          <cell r="L10173" t="str">
            <v>Non-proportional</v>
          </cell>
          <cell r="S10173">
            <v>91.7</v>
          </cell>
          <cell r="X10173" t="str">
            <v>Commissions - gross</v>
          </cell>
          <cell r="Y10173" t="str">
            <v>DOMINICAN REPUBLIC</v>
          </cell>
        </row>
        <row r="10174">
          <cell r="L10174" t="str">
            <v>Non-proportional</v>
          </cell>
          <cell r="S10174">
            <v>218.75</v>
          </cell>
          <cell r="X10174" t="str">
            <v>Commissions - gross</v>
          </cell>
          <cell r="Y10174" t="str">
            <v>GERMANY</v>
          </cell>
        </row>
        <row r="10175">
          <cell r="L10175" t="str">
            <v>Non-proportional</v>
          </cell>
          <cell r="S10175">
            <v>418.99</v>
          </cell>
          <cell r="X10175" t="str">
            <v>Commissions - gross</v>
          </cell>
          <cell r="Y10175" t="str">
            <v>UNITED KINGDOM</v>
          </cell>
        </row>
        <row r="10176">
          <cell r="L10176" t="str">
            <v>Non-proportional</v>
          </cell>
          <cell r="S10176">
            <v>1000</v>
          </cell>
          <cell r="X10176" t="str">
            <v>Commissions - gross</v>
          </cell>
          <cell r="Y10176" t="str">
            <v>EUROPE</v>
          </cell>
        </row>
        <row r="10177">
          <cell r="L10177" t="str">
            <v>Non-proportional</v>
          </cell>
          <cell r="S10177">
            <v>140.63</v>
          </cell>
          <cell r="X10177" t="str">
            <v>Commissions - gross</v>
          </cell>
          <cell r="Y10177" t="str">
            <v>GREECE</v>
          </cell>
        </row>
        <row r="10178">
          <cell r="L10178" t="str">
            <v>Non-proportional</v>
          </cell>
          <cell r="S10178">
            <v>318.25</v>
          </cell>
          <cell r="X10178" t="str">
            <v>Commissions - gross</v>
          </cell>
          <cell r="Y10178" t="str">
            <v>AUSTRALIA</v>
          </cell>
        </row>
        <row r="10179">
          <cell r="L10179" t="str">
            <v>Non-proportional</v>
          </cell>
          <cell r="S10179">
            <v>171.8</v>
          </cell>
          <cell r="X10179" t="str">
            <v>Commissions - gross</v>
          </cell>
          <cell r="Y10179" t="str">
            <v>FRANCE</v>
          </cell>
        </row>
        <row r="10180">
          <cell r="L10180" t="str">
            <v>Non-proportional</v>
          </cell>
          <cell r="S10180">
            <v>146.56</v>
          </cell>
          <cell r="X10180" t="str">
            <v>Commissions - gross</v>
          </cell>
          <cell r="Y10180" t="str">
            <v>GUATEMALA</v>
          </cell>
        </row>
        <row r="10181">
          <cell r="L10181" t="str">
            <v>Non-proportional</v>
          </cell>
          <cell r="S10181">
            <v>591.84</v>
          </cell>
          <cell r="X10181" t="str">
            <v>Commissions - gross</v>
          </cell>
          <cell r="Y10181" t="str">
            <v>EUROPE</v>
          </cell>
        </row>
        <row r="10182">
          <cell r="L10182" t="str">
            <v>Non-proportional</v>
          </cell>
          <cell r="S10182">
            <v>3131.61</v>
          </cell>
          <cell r="X10182" t="str">
            <v>Commissions - gross</v>
          </cell>
          <cell r="Y10182" t="str">
            <v>FRANCE</v>
          </cell>
        </row>
        <row r="10183">
          <cell r="L10183" t="str">
            <v>Non-proportional</v>
          </cell>
          <cell r="S10183">
            <v>918.6</v>
          </cell>
          <cell r="X10183" t="str">
            <v>Commissions - gross</v>
          </cell>
          <cell r="Y10183" t="str">
            <v>NEW ZEALAND</v>
          </cell>
        </row>
        <row r="10184">
          <cell r="L10184" t="str">
            <v>Non-proportional</v>
          </cell>
          <cell r="S10184">
            <v>0</v>
          </cell>
          <cell r="X10184" t="str">
            <v>Commissions - gross</v>
          </cell>
          <cell r="Y10184" t="str">
            <v>DOMINICAN REPUBLIC</v>
          </cell>
        </row>
        <row r="10185">
          <cell r="L10185" t="str">
            <v>Proportional</v>
          </cell>
          <cell r="S10185">
            <v>35.29</v>
          </cell>
          <cell r="X10185" t="str">
            <v>Commissions - gross</v>
          </cell>
          <cell r="Y10185" t="str">
            <v>CHILE</v>
          </cell>
        </row>
        <row r="10186">
          <cell r="L10186" t="str">
            <v>Non-proportional</v>
          </cell>
          <cell r="S10186">
            <v>696.32</v>
          </cell>
          <cell r="X10186" t="str">
            <v>Commissions - gross</v>
          </cell>
          <cell r="Y10186" t="str">
            <v>FRANCE</v>
          </cell>
        </row>
        <row r="10187">
          <cell r="L10187" t="str">
            <v>Non-proportional</v>
          </cell>
          <cell r="S10187">
            <v>425.63</v>
          </cell>
          <cell r="X10187" t="str">
            <v>Commissions - gross</v>
          </cell>
          <cell r="Y10187" t="str">
            <v>THAILAND</v>
          </cell>
        </row>
        <row r="10188">
          <cell r="L10188" t="str">
            <v>Non-proportional</v>
          </cell>
          <cell r="S10188">
            <v>289.7</v>
          </cell>
          <cell r="X10188" t="str">
            <v>Commissions - gross</v>
          </cell>
          <cell r="Y10188" t="str">
            <v>JAPAN</v>
          </cell>
        </row>
        <row r="10189">
          <cell r="L10189" t="str">
            <v>Non-proportional</v>
          </cell>
          <cell r="S10189">
            <v>-8.18</v>
          </cell>
          <cell r="X10189" t="str">
            <v>Commissions - gross</v>
          </cell>
          <cell r="Y10189" t="str">
            <v>BRAZIL</v>
          </cell>
        </row>
        <row r="10190">
          <cell r="L10190" t="str">
            <v>Non-proportional</v>
          </cell>
          <cell r="S10190">
            <v>284.44</v>
          </cell>
          <cell r="X10190" t="str">
            <v>Commissions - gross</v>
          </cell>
          <cell r="Y10190" t="str">
            <v>ISRAEL</v>
          </cell>
        </row>
        <row r="10191">
          <cell r="L10191" t="str">
            <v>Non-proportional</v>
          </cell>
          <cell r="S10191">
            <v>85.6</v>
          </cell>
          <cell r="X10191" t="str">
            <v>Commissions - gross</v>
          </cell>
          <cell r="Y10191" t="str">
            <v>FRANCE</v>
          </cell>
        </row>
        <row r="10192">
          <cell r="L10192" t="str">
            <v>Non-proportional</v>
          </cell>
          <cell r="S10192">
            <v>390.08</v>
          </cell>
          <cell r="X10192" t="str">
            <v>Commissions - gross</v>
          </cell>
          <cell r="Y10192" t="str">
            <v>EUROPE</v>
          </cell>
        </row>
        <row r="10193">
          <cell r="L10193" t="str">
            <v>Non-proportional</v>
          </cell>
          <cell r="S10193">
            <v>247.83</v>
          </cell>
          <cell r="X10193" t="str">
            <v>Commissions - gross</v>
          </cell>
          <cell r="Y10193" t="str">
            <v>DOMINICAN REPUBLIC</v>
          </cell>
        </row>
        <row r="10194">
          <cell r="L10194" t="str">
            <v>Non-proportional</v>
          </cell>
          <cell r="S10194">
            <v>-25.92</v>
          </cell>
          <cell r="X10194" t="str">
            <v>Commissions - gross</v>
          </cell>
          <cell r="Y10194" t="str">
            <v>JAPAN</v>
          </cell>
        </row>
        <row r="10195">
          <cell r="L10195" t="str">
            <v>Non-proportional</v>
          </cell>
          <cell r="S10195">
            <v>346.06</v>
          </cell>
          <cell r="X10195" t="str">
            <v>Commissions - gross</v>
          </cell>
          <cell r="Y10195" t="str">
            <v>THAILAND</v>
          </cell>
        </row>
        <row r="10196">
          <cell r="L10196" t="str">
            <v>Non-proportional</v>
          </cell>
          <cell r="S10196">
            <v>105.74</v>
          </cell>
          <cell r="X10196" t="str">
            <v>Commissions - gross</v>
          </cell>
          <cell r="Y10196" t="str">
            <v>JAPAN</v>
          </cell>
        </row>
        <row r="10197">
          <cell r="L10197" t="str">
            <v>Non-proportional</v>
          </cell>
          <cell r="S10197">
            <v>74.040000000000006</v>
          </cell>
          <cell r="X10197" t="str">
            <v>Commissions - gross</v>
          </cell>
          <cell r="Y10197" t="str">
            <v>FRANCE</v>
          </cell>
        </row>
        <row r="10198">
          <cell r="L10198" t="str">
            <v>Non-proportional</v>
          </cell>
          <cell r="S10198">
            <v>2306.77</v>
          </cell>
          <cell r="X10198" t="str">
            <v>Commissions - gross</v>
          </cell>
          <cell r="Y10198" t="str">
            <v>NEW ZEALAND</v>
          </cell>
        </row>
        <row r="10199">
          <cell r="L10199" t="str">
            <v>Non-proportional</v>
          </cell>
          <cell r="S10199">
            <v>141.59</v>
          </cell>
          <cell r="X10199" t="str">
            <v>Commissions - gross</v>
          </cell>
          <cell r="Y10199" t="str">
            <v>FRANCE</v>
          </cell>
        </row>
        <row r="10200">
          <cell r="L10200" t="str">
            <v>Non-proportional</v>
          </cell>
          <cell r="S10200">
            <v>0</v>
          </cell>
          <cell r="X10200" t="str">
            <v>Commissions - gross</v>
          </cell>
          <cell r="Y10200" t="str">
            <v>COLOMBIA</v>
          </cell>
        </row>
        <row r="10201">
          <cell r="L10201" t="str">
            <v>Proportional</v>
          </cell>
          <cell r="S10201">
            <v>1922.68</v>
          </cell>
          <cell r="X10201" t="str">
            <v>Commissions - gross</v>
          </cell>
          <cell r="Y10201" t="str">
            <v>SWITZERLAND</v>
          </cell>
        </row>
        <row r="10202">
          <cell r="L10202" t="str">
            <v>Non-proportional</v>
          </cell>
          <cell r="S10202">
            <v>117.24</v>
          </cell>
          <cell r="X10202" t="str">
            <v>Commissions - gross</v>
          </cell>
          <cell r="Y10202" t="str">
            <v>UNITED KINGDOM</v>
          </cell>
        </row>
        <row r="10203">
          <cell r="L10203" t="str">
            <v>Non-proportional</v>
          </cell>
          <cell r="S10203">
            <v>508</v>
          </cell>
          <cell r="X10203" t="str">
            <v>Commissions - gross</v>
          </cell>
          <cell r="Y10203" t="str">
            <v>ISRAEL</v>
          </cell>
        </row>
        <row r="10204">
          <cell r="L10204" t="str">
            <v>Non-proportional</v>
          </cell>
          <cell r="S10204">
            <v>1306.24</v>
          </cell>
          <cell r="X10204" t="str">
            <v>Commissions - gross</v>
          </cell>
          <cell r="Y10204" t="str">
            <v>UNITED ARAB EMIRATES</v>
          </cell>
        </row>
        <row r="10205">
          <cell r="L10205" t="str">
            <v>Non-proportional</v>
          </cell>
          <cell r="S10205">
            <v>178.52</v>
          </cell>
          <cell r="X10205" t="str">
            <v>Commissions - gross</v>
          </cell>
          <cell r="Y10205" t="str">
            <v>JAPAN</v>
          </cell>
        </row>
        <row r="10206">
          <cell r="L10206" t="str">
            <v>Non-proportional</v>
          </cell>
          <cell r="S10206">
            <v>1266.46</v>
          </cell>
          <cell r="X10206" t="str">
            <v>Commissions - gross</v>
          </cell>
          <cell r="Y10206" t="str">
            <v>FRANCE</v>
          </cell>
        </row>
        <row r="10207">
          <cell r="L10207" t="str">
            <v>Non-proportional</v>
          </cell>
          <cell r="S10207">
            <v>34811.18</v>
          </cell>
          <cell r="X10207" t="str">
            <v>Commissions - gross</v>
          </cell>
          <cell r="Y10207" t="str">
            <v>UNITED KINGDOM</v>
          </cell>
        </row>
        <row r="10208">
          <cell r="L10208" t="str">
            <v>Non-proportional</v>
          </cell>
          <cell r="S10208">
            <v>558.23</v>
          </cell>
          <cell r="X10208" t="str">
            <v>Commissions - gross</v>
          </cell>
          <cell r="Y10208" t="str">
            <v>JAPAN</v>
          </cell>
        </row>
        <row r="10209">
          <cell r="L10209" t="str">
            <v>Non-proportional</v>
          </cell>
          <cell r="S10209">
            <v>252.63</v>
          </cell>
          <cell r="X10209" t="str">
            <v>Commissions - gross</v>
          </cell>
          <cell r="Y10209" t="str">
            <v>ISRAEL</v>
          </cell>
        </row>
        <row r="10210">
          <cell r="L10210" t="str">
            <v>Non-proportional</v>
          </cell>
          <cell r="S10210">
            <v>-68.92</v>
          </cell>
          <cell r="X10210" t="str">
            <v>Commissions - gross</v>
          </cell>
          <cell r="Y10210" t="str">
            <v>DOMINICAN REPUBLIC</v>
          </cell>
        </row>
        <row r="10211">
          <cell r="L10211" t="str">
            <v>Non-proportional</v>
          </cell>
          <cell r="S10211">
            <v>316.73</v>
          </cell>
          <cell r="X10211" t="str">
            <v>Commissions - gross</v>
          </cell>
          <cell r="Y10211" t="str">
            <v>ECUADOR</v>
          </cell>
        </row>
        <row r="10212">
          <cell r="L10212" t="str">
            <v>Non-proportional</v>
          </cell>
          <cell r="S10212">
            <v>1627.87</v>
          </cell>
          <cell r="X10212" t="str">
            <v>Commissions - gross</v>
          </cell>
          <cell r="Y10212" t="str">
            <v>ITALY</v>
          </cell>
        </row>
        <row r="10213">
          <cell r="L10213" t="str">
            <v>Non-proportional</v>
          </cell>
          <cell r="S10213">
            <v>0</v>
          </cell>
          <cell r="X10213" t="str">
            <v>Commissions - gross</v>
          </cell>
          <cell r="Y10213" t="str">
            <v>DOMINICAN REPUBLIC</v>
          </cell>
        </row>
        <row r="10214">
          <cell r="L10214" t="str">
            <v>Non-proportional</v>
          </cell>
          <cell r="S10214">
            <v>0.01</v>
          </cell>
          <cell r="X10214" t="str">
            <v>Commissions - gross</v>
          </cell>
          <cell r="Y10214" t="str">
            <v>COLOMBIA</v>
          </cell>
        </row>
        <row r="10215">
          <cell r="L10215" t="str">
            <v>Non-proportional</v>
          </cell>
          <cell r="S10215">
            <v>1120.42</v>
          </cell>
          <cell r="X10215" t="str">
            <v>Commissions - gross</v>
          </cell>
          <cell r="Y10215" t="str">
            <v>MEXICO</v>
          </cell>
        </row>
        <row r="10216">
          <cell r="L10216" t="str">
            <v>Non-proportional</v>
          </cell>
          <cell r="S10216">
            <v>904.39</v>
          </cell>
          <cell r="X10216" t="str">
            <v>Commissions - gross</v>
          </cell>
          <cell r="Y10216" t="str">
            <v>FRANCE</v>
          </cell>
        </row>
        <row r="10217">
          <cell r="L10217" t="str">
            <v>Non-proportional</v>
          </cell>
          <cell r="S10217">
            <v>582.26</v>
          </cell>
          <cell r="X10217" t="str">
            <v>Commissions - gross</v>
          </cell>
          <cell r="Y10217" t="str">
            <v>INDIA</v>
          </cell>
        </row>
        <row r="10218">
          <cell r="L10218" t="str">
            <v>Non-proportional</v>
          </cell>
          <cell r="S10218">
            <v>228.08</v>
          </cell>
          <cell r="X10218" t="str">
            <v>Commissions - gross</v>
          </cell>
          <cell r="Y10218" t="str">
            <v>COLOMBIA</v>
          </cell>
        </row>
        <row r="10219">
          <cell r="L10219" t="str">
            <v>Non-proportional</v>
          </cell>
          <cell r="S10219">
            <v>2330.91</v>
          </cell>
          <cell r="X10219" t="str">
            <v>Commissions - gross</v>
          </cell>
          <cell r="Y10219" t="str">
            <v>UNITED KINGDOM</v>
          </cell>
        </row>
        <row r="10220">
          <cell r="L10220" t="str">
            <v>Non-proportional</v>
          </cell>
          <cell r="S10220">
            <v>292.58999999999997</v>
          </cell>
          <cell r="X10220" t="str">
            <v>Commissions - gross</v>
          </cell>
          <cell r="Y10220" t="str">
            <v>JAPAN</v>
          </cell>
        </row>
        <row r="10221">
          <cell r="L10221" t="str">
            <v>Non-proportional</v>
          </cell>
          <cell r="S10221">
            <v>106.97</v>
          </cell>
          <cell r="X10221" t="str">
            <v>Commissions - gross</v>
          </cell>
          <cell r="Y10221" t="str">
            <v>JAPAN</v>
          </cell>
        </row>
        <row r="10222">
          <cell r="L10222" t="str">
            <v>Non-proportional</v>
          </cell>
          <cell r="S10222">
            <v>4079.99</v>
          </cell>
          <cell r="X10222" t="str">
            <v>Commissions - gross</v>
          </cell>
          <cell r="Y10222" t="str">
            <v>TURKEY</v>
          </cell>
        </row>
        <row r="10223">
          <cell r="L10223" t="str">
            <v>Non-proportional</v>
          </cell>
          <cell r="S10223">
            <v>801.78</v>
          </cell>
          <cell r="X10223" t="str">
            <v>Commissions - gross</v>
          </cell>
          <cell r="Y10223" t="str">
            <v>JAPAN</v>
          </cell>
        </row>
        <row r="10224">
          <cell r="L10224" t="str">
            <v>Non-proportional</v>
          </cell>
          <cell r="S10224">
            <v>24.39</v>
          </cell>
          <cell r="X10224" t="str">
            <v>Commissions - gross</v>
          </cell>
          <cell r="Y10224" t="str">
            <v>COLOMBIA</v>
          </cell>
        </row>
        <row r="10225">
          <cell r="L10225" t="str">
            <v>Non-proportional</v>
          </cell>
          <cell r="S10225">
            <v>89.82</v>
          </cell>
          <cell r="X10225" t="str">
            <v>Commissions - gross</v>
          </cell>
          <cell r="Y10225" t="str">
            <v>ECUADOR</v>
          </cell>
        </row>
        <row r="10226">
          <cell r="L10226" t="str">
            <v>Non-proportional</v>
          </cell>
          <cell r="S10226">
            <v>695.78</v>
          </cell>
          <cell r="X10226" t="str">
            <v>Commissions - gross</v>
          </cell>
          <cell r="Y10226" t="str">
            <v>ITALY</v>
          </cell>
        </row>
        <row r="10227">
          <cell r="L10227" t="str">
            <v>Non-proportional</v>
          </cell>
          <cell r="S10227">
            <v>317.62</v>
          </cell>
          <cell r="X10227" t="str">
            <v>Commissions - gross</v>
          </cell>
          <cell r="Y10227" t="str">
            <v>CHILE</v>
          </cell>
        </row>
        <row r="10228">
          <cell r="L10228" t="str">
            <v>Non-proportional</v>
          </cell>
          <cell r="S10228">
            <v>85.57</v>
          </cell>
          <cell r="X10228" t="str">
            <v>Commissions - gross</v>
          </cell>
          <cell r="Y10228" t="str">
            <v>COSTA RICA</v>
          </cell>
        </row>
        <row r="10229">
          <cell r="L10229" t="str">
            <v>Non-proportional</v>
          </cell>
          <cell r="S10229">
            <v>191.2</v>
          </cell>
          <cell r="X10229" t="str">
            <v>Commissions - gross</v>
          </cell>
          <cell r="Y10229" t="str">
            <v>DOMINICAN REPUBLIC</v>
          </cell>
        </row>
        <row r="10230">
          <cell r="L10230" t="str">
            <v>Non-proportional</v>
          </cell>
          <cell r="S10230">
            <v>77.150000000000006</v>
          </cell>
          <cell r="X10230" t="str">
            <v>Commissions - gross</v>
          </cell>
          <cell r="Y10230" t="str">
            <v>GERMANY</v>
          </cell>
        </row>
        <row r="10231">
          <cell r="L10231" t="str">
            <v>Non-proportional</v>
          </cell>
          <cell r="S10231">
            <v>261</v>
          </cell>
          <cell r="X10231" t="str">
            <v>Commissions - gross</v>
          </cell>
          <cell r="Y10231" t="str">
            <v>GREECE</v>
          </cell>
        </row>
        <row r="10232">
          <cell r="L10232" t="str">
            <v>Non-proportional</v>
          </cell>
          <cell r="S10232">
            <v>353.73</v>
          </cell>
          <cell r="X10232" t="str">
            <v>Commissions - gross</v>
          </cell>
          <cell r="Y10232" t="str">
            <v>UNITED KINGDOM</v>
          </cell>
        </row>
        <row r="10233">
          <cell r="L10233" t="str">
            <v>Non-proportional</v>
          </cell>
          <cell r="S10233">
            <v>160.56</v>
          </cell>
          <cell r="X10233" t="str">
            <v>Commissions - gross</v>
          </cell>
          <cell r="Y10233" t="str">
            <v>ECUADOR</v>
          </cell>
        </row>
        <row r="10234">
          <cell r="L10234" t="str">
            <v>Non-proportional</v>
          </cell>
          <cell r="S10234">
            <v>547.14</v>
          </cell>
          <cell r="X10234" t="str">
            <v>Commissions - gross</v>
          </cell>
          <cell r="Y10234" t="str">
            <v>UNITED KINGDOM</v>
          </cell>
        </row>
        <row r="10235">
          <cell r="L10235" t="str">
            <v>Non-proportional</v>
          </cell>
          <cell r="S10235">
            <v>889.65</v>
          </cell>
          <cell r="X10235" t="str">
            <v>Commissions - gross</v>
          </cell>
          <cell r="Y10235" t="str">
            <v>INDIA</v>
          </cell>
        </row>
        <row r="10236">
          <cell r="L10236" t="str">
            <v>Non-proportional</v>
          </cell>
          <cell r="S10236">
            <v>352.92</v>
          </cell>
          <cell r="X10236" t="str">
            <v>Commissions - gross</v>
          </cell>
          <cell r="Y10236" t="str">
            <v>CHILE</v>
          </cell>
        </row>
        <row r="10237">
          <cell r="L10237" t="str">
            <v>Non-proportional</v>
          </cell>
          <cell r="S10237">
            <v>130.38</v>
          </cell>
          <cell r="X10237" t="str">
            <v>Commissions - gross</v>
          </cell>
          <cell r="Y10237" t="str">
            <v>CYPRUS</v>
          </cell>
        </row>
        <row r="10238">
          <cell r="L10238" t="str">
            <v>Non-proportional</v>
          </cell>
          <cell r="S10238">
            <v>758.65</v>
          </cell>
          <cell r="X10238" t="str">
            <v>Commissions - gross</v>
          </cell>
          <cell r="Y10238" t="str">
            <v>FRANCE</v>
          </cell>
        </row>
        <row r="10239">
          <cell r="L10239" t="str">
            <v>Non-proportional</v>
          </cell>
          <cell r="S10239">
            <v>412.31</v>
          </cell>
          <cell r="X10239" t="str">
            <v>Commissions - gross</v>
          </cell>
          <cell r="Y10239" t="str">
            <v>UNITED KINGDOM</v>
          </cell>
        </row>
        <row r="10240">
          <cell r="L10240" t="str">
            <v>Non-proportional</v>
          </cell>
          <cell r="S10240">
            <v>681.95</v>
          </cell>
          <cell r="X10240" t="str">
            <v>Commissions - gross</v>
          </cell>
          <cell r="Y10240" t="str">
            <v>AUSTRALIA</v>
          </cell>
        </row>
        <row r="10241">
          <cell r="L10241" t="str">
            <v>Non-proportional</v>
          </cell>
          <cell r="S10241">
            <v>35.29</v>
          </cell>
          <cell r="X10241" t="str">
            <v>Commissions - gross</v>
          </cell>
          <cell r="Y10241" t="str">
            <v>CHILE</v>
          </cell>
        </row>
        <row r="10242">
          <cell r="L10242" t="str">
            <v>Non-proportional</v>
          </cell>
          <cell r="S10242">
            <v>357.06</v>
          </cell>
          <cell r="X10242" t="str">
            <v>Commissions - gross</v>
          </cell>
          <cell r="Y10242" t="str">
            <v>GREECE</v>
          </cell>
        </row>
        <row r="10243">
          <cell r="L10243" t="str">
            <v>Non-proportional</v>
          </cell>
          <cell r="S10243">
            <v>4.24</v>
          </cell>
          <cell r="X10243" t="str">
            <v>Commissions - gross</v>
          </cell>
          <cell r="Y10243" t="str">
            <v>ISRAEL</v>
          </cell>
        </row>
        <row r="10244">
          <cell r="L10244" t="str">
            <v>Non-proportional</v>
          </cell>
          <cell r="S10244">
            <v>442.55</v>
          </cell>
          <cell r="X10244" t="str">
            <v>Commissions - gross</v>
          </cell>
          <cell r="Y10244" t="str">
            <v>FRANCE</v>
          </cell>
        </row>
        <row r="10245">
          <cell r="L10245" t="str">
            <v>Non-proportional</v>
          </cell>
          <cell r="S10245">
            <v>70.58</v>
          </cell>
          <cell r="X10245" t="str">
            <v>Commissions - gross</v>
          </cell>
          <cell r="Y10245" t="str">
            <v>CHILE</v>
          </cell>
        </row>
        <row r="10246">
          <cell r="L10246" t="str">
            <v>Non-proportional</v>
          </cell>
          <cell r="S10246">
            <v>205.91</v>
          </cell>
          <cell r="X10246" t="str">
            <v>Commissions - gross</v>
          </cell>
          <cell r="Y10246" t="str">
            <v>UNITED KINGDOM</v>
          </cell>
        </row>
        <row r="10247">
          <cell r="L10247" t="str">
            <v>Non-proportional</v>
          </cell>
          <cell r="S10247">
            <v>174.99</v>
          </cell>
          <cell r="X10247" t="str">
            <v>Commissions - gross</v>
          </cell>
          <cell r="Y10247" t="str">
            <v>EUROPE</v>
          </cell>
        </row>
        <row r="10248">
          <cell r="L10248" t="str">
            <v>Non-proportional</v>
          </cell>
          <cell r="S10248">
            <v>117.23</v>
          </cell>
          <cell r="X10248" t="str">
            <v>Commissions - gross</v>
          </cell>
          <cell r="Y10248" t="str">
            <v>FRANCE</v>
          </cell>
        </row>
        <row r="10249">
          <cell r="L10249" t="str">
            <v>Non-proportional</v>
          </cell>
          <cell r="S10249">
            <v>554.27</v>
          </cell>
          <cell r="X10249" t="str">
            <v>Commissions - gross</v>
          </cell>
          <cell r="Y10249" t="str">
            <v>ISRAEL</v>
          </cell>
        </row>
        <row r="10250">
          <cell r="L10250" t="str">
            <v>Non-proportional</v>
          </cell>
          <cell r="S10250">
            <v>493.14</v>
          </cell>
          <cell r="X10250" t="str">
            <v>Commissions - gross</v>
          </cell>
          <cell r="Y10250" t="str">
            <v>UNITED KINGDOM</v>
          </cell>
        </row>
        <row r="10251">
          <cell r="L10251" t="str">
            <v>Non-proportional</v>
          </cell>
          <cell r="S10251">
            <v>1155.1500000000001</v>
          </cell>
          <cell r="X10251" t="str">
            <v>Commissions - gross</v>
          </cell>
          <cell r="Y10251" t="str">
            <v>MEXICO</v>
          </cell>
        </row>
        <row r="10252">
          <cell r="L10252" t="str">
            <v>Non-proportional</v>
          </cell>
          <cell r="S10252">
            <v>1770.67</v>
          </cell>
          <cell r="X10252" t="str">
            <v>Commissions - gross</v>
          </cell>
          <cell r="Y10252" t="str">
            <v>UNITED KINGDOM</v>
          </cell>
        </row>
        <row r="10253">
          <cell r="L10253" t="str">
            <v>Non-proportional</v>
          </cell>
          <cell r="S10253">
            <v>174.97</v>
          </cell>
          <cell r="X10253" t="str">
            <v>Commissions - gross</v>
          </cell>
          <cell r="Y10253" t="str">
            <v>NETHERLANDS</v>
          </cell>
        </row>
        <row r="10254">
          <cell r="L10254" t="str">
            <v>Non-proportional</v>
          </cell>
          <cell r="S10254">
            <v>1189.8800000000001</v>
          </cell>
          <cell r="X10254" t="str">
            <v>Commissions - gross</v>
          </cell>
          <cell r="Y10254" t="str">
            <v>MEXICO</v>
          </cell>
        </row>
        <row r="10255">
          <cell r="L10255" t="str">
            <v>Non-proportional</v>
          </cell>
          <cell r="S10255">
            <v>80</v>
          </cell>
          <cell r="X10255" t="str">
            <v>Commissions - gross</v>
          </cell>
          <cell r="Y10255" t="str">
            <v>ITALY</v>
          </cell>
        </row>
        <row r="10256">
          <cell r="L10256" t="str">
            <v>Non-proportional</v>
          </cell>
          <cell r="S10256">
            <v>33940.9</v>
          </cell>
          <cell r="X10256" t="str">
            <v>Commissions - gross</v>
          </cell>
          <cell r="Y10256" t="str">
            <v>UNITED KINGDOM</v>
          </cell>
        </row>
        <row r="10257">
          <cell r="L10257" t="str">
            <v>Non-proportional</v>
          </cell>
          <cell r="S10257">
            <v>164.75</v>
          </cell>
          <cell r="X10257" t="str">
            <v>Commissions - gross</v>
          </cell>
          <cell r="Y10257" t="str">
            <v>PERU</v>
          </cell>
        </row>
        <row r="10258">
          <cell r="L10258" t="str">
            <v>Non-proportional</v>
          </cell>
          <cell r="S10258">
            <v>54.36</v>
          </cell>
          <cell r="X10258" t="str">
            <v>Commissions - gross</v>
          </cell>
          <cell r="Y10258" t="str">
            <v>BRAZIL</v>
          </cell>
        </row>
        <row r="10259">
          <cell r="L10259" t="str">
            <v>Non-proportional</v>
          </cell>
          <cell r="S10259">
            <v>1012.05</v>
          </cell>
          <cell r="X10259" t="str">
            <v>Commissions - gross</v>
          </cell>
          <cell r="Y10259" t="str">
            <v>ITALY</v>
          </cell>
        </row>
        <row r="10260">
          <cell r="L10260" t="str">
            <v>Non-proportional</v>
          </cell>
          <cell r="S10260">
            <v>13967.85</v>
          </cell>
          <cell r="X10260" t="str">
            <v>Commissions - gross</v>
          </cell>
          <cell r="Y10260" t="str">
            <v>UNITED KINGDOM</v>
          </cell>
        </row>
        <row r="10261">
          <cell r="L10261" t="str">
            <v>Non-proportional</v>
          </cell>
          <cell r="S10261">
            <v>184.69</v>
          </cell>
          <cell r="X10261" t="str">
            <v>Commissions - gross</v>
          </cell>
          <cell r="Y10261" t="str">
            <v>FRANCE</v>
          </cell>
        </row>
        <row r="10262">
          <cell r="L10262" t="str">
            <v>Non-proportional</v>
          </cell>
          <cell r="S10262">
            <v>-5.59</v>
          </cell>
          <cell r="X10262" t="str">
            <v>Commissions - gross</v>
          </cell>
          <cell r="Y10262" t="str">
            <v>JAPAN</v>
          </cell>
        </row>
        <row r="10263">
          <cell r="L10263" t="str">
            <v>Non-proportional</v>
          </cell>
          <cell r="S10263">
            <v>247.04</v>
          </cell>
          <cell r="X10263" t="str">
            <v>Commissions - gross</v>
          </cell>
          <cell r="Y10263" t="str">
            <v>CHILE</v>
          </cell>
        </row>
        <row r="10264">
          <cell r="L10264" t="str">
            <v>Non-proportional</v>
          </cell>
          <cell r="S10264">
            <v>2884.86</v>
          </cell>
          <cell r="X10264" t="str">
            <v>Commissions - gross</v>
          </cell>
          <cell r="Y10264" t="str">
            <v>FRANCE</v>
          </cell>
        </row>
        <row r="10265">
          <cell r="L10265" t="str">
            <v>Non-proportional</v>
          </cell>
          <cell r="S10265">
            <v>467.51</v>
          </cell>
          <cell r="X10265" t="str">
            <v>Commissions - gross</v>
          </cell>
          <cell r="Y10265" t="str">
            <v>COLOMBIA</v>
          </cell>
        </row>
        <row r="10266">
          <cell r="L10266" t="str">
            <v>Non-proportional</v>
          </cell>
          <cell r="S10266">
            <v>227.54</v>
          </cell>
          <cell r="X10266" t="str">
            <v>Commissions - gross</v>
          </cell>
          <cell r="Y10266" t="str">
            <v>UNITED KINGDOM</v>
          </cell>
        </row>
        <row r="10267">
          <cell r="L10267" t="str">
            <v>Non-proportional</v>
          </cell>
          <cell r="S10267">
            <v>877.51</v>
          </cell>
          <cell r="X10267" t="str">
            <v>Commissions - gross</v>
          </cell>
          <cell r="Y10267" t="str">
            <v>FRANCE</v>
          </cell>
        </row>
        <row r="10268">
          <cell r="L10268" t="str">
            <v>Non-proportional</v>
          </cell>
          <cell r="S10268">
            <v>254.05</v>
          </cell>
          <cell r="X10268" t="str">
            <v>Commissions - gross</v>
          </cell>
          <cell r="Y10268" t="str">
            <v>MEXICO</v>
          </cell>
        </row>
        <row r="10269">
          <cell r="L10269" t="str">
            <v>Non-proportional</v>
          </cell>
          <cell r="S10269">
            <v>201.94</v>
          </cell>
          <cell r="X10269" t="str">
            <v>Commissions - gross</v>
          </cell>
          <cell r="Y10269" t="str">
            <v>BELIZE</v>
          </cell>
        </row>
        <row r="10270">
          <cell r="L10270" t="str">
            <v>Non-proportional</v>
          </cell>
          <cell r="S10270">
            <v>19.2</v>
          </cell>
          <cell r="X10270" t="str">
            <v>Commissions - gross</v>
          </cell>
          <cell r="Y10270" t="str">
            <v>JAPAN</v>
          </cell>
        </row>
        <row r="10271">
          <cell r="L10271" t="str">
            <v>Non-proportional</v>
          </cell>
          <cell r="S10271">
            <v>69.84</v>
          </cell>
          <cell r="X10271" t="str">
            <v>Commissions - gross</v>
          </cell>
          <cell r="Y10271" t="str">
            <v>ECUADOR</v>
          </cell>
        </row>
        <row r="10272">
          <cell r="L10272" t="str">
            <v>Non-proportional</v>
          </cell>
          <cell r="S10272">
            <v>4716.99</v>
          </cell>
          <cell r="X10272" t="str">
            <v>Commissions - gross</v>
          </cell>
          <cell r="Y10272" t="str">
            <v>UNITED KINGDOM</v>
          </cell>
        </row>
        <row r="10273">
          <cell r="L10273" t="str">
            <v>Non-proportional</v>
          </cell>
          <cell r="S10273">
            <v>1556.29</v>
          </cell>
          <cell r="X10273" t="str">
            <v>Commissions - gross</v>
          </cell>
          <cell r="Y10273" t="str">
            <v>UNITED KINGDOM</v>
          </cell>
        </row>
        <row r="10274">
          <cell r="L10274" t="str">
            <v>Non-proportional</v>
          </cell>
          <cell r="S10274">
            <v>515.19000000000005</v>
          </cell>
          <cell r="X10274" t="str">
            <v>Commissions - gross</v>
          </cell>
          <cell r="Y10274" t="str">
            <v>ITALY</v>
          </cell>
        </row>
        <row r="10275">
          <cell r="L10275" t="str">
            <v>Non-proportional</v>
          </cell>
          <cell r="S10275">
            <v>122.21</v>
          </cell>
          <cell r="X10275" t="str">
            <v>Commissions - gross</v>
          </cell>
          <cell r="Y10275" t="str">
            <v>COLOMBIA</v>
          </cell>
        </row>
        <row r="10276">
          <cell r="L10276" t="str">
            <v>Non-proportional</v>
          </cell>
          <cell r="S10276">
            <v>931.55</v>
          </cell>
          <cell r="X10276" t="str">
            <v>Commissions - gross</v>
          </cell>
          <cell r="Y10276" t="str">
            <v>ISRAEL</v>
          </cell>
        </row>
        <row r="10277">
          <cell r="L10277" t="str">
            <v>Non-proportional</v>
          </cell>
          <cell r="S10277">
            <v>509.81</v>
          </cell>
          <cell r="X10277" t="str">
            <v>Commissions - gross</v>
          </cell>
          <cell r="Y10277" t="str">
            <v>BELIZE</v>
          </cell>
        </row>
        <row r="10278">
          <cell r="L10278" t="str">
            <v>Non-proportional</v>
          </cell>
          <cell r="S10278">
            <v>423.85</v>
          </cell>
          <cell r="X10278" t="str">
            <v>Commissions - gross</v>
          </cell>
          <cell r="Y10278" t="str">
            <v>FRANCE</v>
          </cell>
        </row>
        <row r="10279">
          <cell r="L10279" t="str">
            <v>Non-proportional</v>
          </cell>
          <cell r="S10279">
            <v>183.64</v>
          </cell>
          <cell r="X10279" t="str">
            <v>Commissions - gross</v>
          </cell>
          <cell r="Y10279" t="str">
            <v>PERU</v>
          </cell>
        </row>
        <row r="10280">
          <cell r="L10280" t="str">
            <v>Non-proportional</v>
          </cell>
          <cell r="S10280">
            <v>46.22</v>
          </cell>
          <cell r="X10280" t="str">
            <v>Commissions - gross</v>
          </cell>
          <cell r="Y10280" t="str">
            <v>BRAZIL</v>
          </cell>
        </row>
        <row r="10281">
          <cell r="L10281" t="str">
            <v>Non-proportional</v>
          </cell>
          <cell r="S10281">
            <v>298.02</v>
          </cell>
          <cell r="X10281" t="str">
            <v>Commissions - gross</v>
          </cell>
          <cell r="Y10281" t="str">
            <v>UNITED KINGDOM</v>
          </cell>
        </row>
        <row r="10282">
          <cell r="L10282" t="str">
            <v>Non-proportional</v>
          </cell>
          <cell r="S10282">
            <v>885.5</v>
          </cell>
          <cell r="X10282" t="str">
            <v>Commissions - gross</v>
          </cell>
          <cell r="Y10282" t="str">
            <v>GERMANY</v>
          </cell>
        </row>
        <row r="10283">
          <cell r="L10283" t="str">
            <v>Non-proportional</v>
          </cell>
          <cell r="S10283">
            <v>324.97000000000003</v>
          </cell>
          <cell r="X10283" t="str">
            <v>Commissions - gross</v>
          </cell>
          <cell r="Y10283" t="str">
            <v>ECUADOR</v>
          </cell>
        </row>
        <row r="10284">
          <cell r="L10284" t="str">
            <v>Non-proportional</v>
          </cell>
          <cell r="S10284">
            <v>0</v>
          </cell>
          <cell r="X10284" t="str">
            <v>Commissions - gross</v>
          </cell>
          <cell r="Y10284" t="str">
            <v>COLOMBIA</v>
          </cell>
        </row>
        <row r="10285">
          <cell r="L10285" t="str">
            <v>Proportional</v>
          </cell>
          <cell r="S10285">
            <v>83.87</v>
          </cell>
          <cell r="X10285" t="str">
            <v>Commissions - gross</v>
          </cell>
          <cell r="Y10285" t="str">
            <v>JAPAN</v>
          </cell>
        </row>
        <row r="10286">
          <cell r="L10286" t="str">
            <v>Non-proportional</v>
          </cell>
          <cell r="S10286">
            <v>1996.77</v>
          </cell>
          <cell r="X10286" t="str">
            <v>Commissions - gross</v>
          </cell>
          <cell r="Y10286" t="str">
            <v>FRANCE</v>
          </cell>
        </row>
        <row r="10287">
          <cell r="L10287" t="str">
            <v>Non-proportional</v>
          </cell>
          <cell r="S10287">
            <v>373.08</v>
          </cell>
          <cell r="X10287" t="str">
            <v>Commissions - gross</v>
          </cell>
          <cell r="Y10287" t="str">
            <v>THAILAND</v>
          </cell>
        </row>
        <row r="10288">
          <cell r="L10288" t="str">
            <v>Non-proportional</v>
          </cell>
          <cell r="S10288">
            <v>282.33</v>
          </cell>
          <cell r="X10288" t="str">
            <v>Commissions - gross</v>
          </cell>
          <cell r="Y10288" t="str">
            <v>CHILE</v>
          </cell>
        </row>
        <row r="10289">
          <cell r="L10289" t="str">
            <v>Non-proportional</v>
          </cell>
          <cell r="S10289">
            <v>54.52</v>
          </cell>
          <cell r="X10289" t="str">
            <v>Commissions - gross</v>
          </cell>
          <cell r="Y10289" t="str">
            <v>JAPAN</v>
          </cell>
        </row>
        <row r="10290">
          <cell r="L10290" t="str">
            <v>Non-proportional</v>
          </cell>
          <cell r="S10290">
            <v>1402.93</v>
          </cell>
          <cell r="X10290" t="str">
            <v>Commissions - gross</v>
          </cell>
          <cell r="Y10290" t="str">
            <v>TURKEY</v>
          </cell>
        </row>
        <row r="10291">
          <cell r="L10291" t="str">
            <v>Non-proportional</v>
          </cell>
          <cell r="S10291">
            <v>257.47000000000003</v>
          </cell>
          <cell r="X10291" t="str">
            <v>Commissions - gross</v>
          </cell>
          <cell r="Y10291" t="str">
            <v>SOUTH AFRICA</v>
          </cell>
        </row>
        <row r="10292">
          <cell r="L10292" t="str">
            <v>Non-proportional</v>
          </cell>
          <cell r="S10292">
            <v>22193.5</v>
          </cell>
          <cell r="X10292" t="str">
            <v>Commissions - gross</v>
          </cell>
          <cell r="Y10292" t="str">
            <v>BELGIUM</v>
          </cell>
        </row>
        <row r="10293">
          <cell r="L10293" t="str">
            <v>Non-proportional</v>
          </cell>
          <cell r="S10293">
            <v>345.42</v>
          </cell>
          <cell r="X10293" t="str">
            <v>Commissions - gross</v>
          </cell>
          <cell r="Y10293" t="str">
            <v>ISRAEL</v>
          </cell>
        </row>
        <row r="10294">
          <cell r="L10294" t="str">
            <v>Non-proportional</v>
          </cell>
          <cell r="S10294">
            <v>-3.03</v>
          </cell>
          <cell r="X10294" t="str">
            <v>Commissions - gross</v>
          </cell>
          <cell r="Y10294" t="str">
            <v>JAPAN</v>
          </cell>
        </row>
        <row r="10295">
          <cell r="L10295" t="str">
            <v>Non-proportional</v>
          </cell>
          <cell r="S10295">
            <v>101387.54</v>
          </cell>
          <cell r="X10295" t="str">
            <v>Commissions - gross</v>
          </cell>
          <cell r="Y10295" t="str">
            <v>UNITED KINGDOM</v>
          </cell>
        </row>
        <row r="10296">
          <cell r="L10296" t="str">
            <v>Proportional</v>
          </cell>
          <cell r="S10296">
            <v>2028.73</v>
          </cell>
          <cell r="X10296" t="str">
            <v>Commissions - gross</v>
          </cell>
          <cell r="Y10296" t="str">
            <v>MEXICO</v>
          </cell>
        </row>
        <row r="10297">
          <cell r="L10297" t="str">
            <v>Non-proportional</v>
          </cell>
          <cell r="S10297">
            <v>1.57</v>
          </cell>
          <cell r="X10297" t="str">
            <v>Commissions - gross</v>
          </cell>
          <cell r="Y10297" t="str">
            <v>ISRAEL</v>
          </cell>
        </row>
        <row r="10298">
          <cell r="L10298" t="str">
            <v>Non-proportional</v>
          </cell>
          <cell r="S10298">
            <v>2166.67</v>
          </cell>
          <cell r="X10298" t="str">
            <v>Commissions - gross</v>
          </cell>
          <cell r="Y10298" t="str">
            <v>FRANCE</v>
          </cell>
        </row>
        <row r="10299">
          <cell r="L10299" t="str">
            <v>Proportional</v>
          </cell>
          <cell r="S10299">
            <v>35.65</v>
          </cell>
          <cell r="X10299" t="str">
            <v>Commissions - gross</v>
          </cell>
          <cell r="Y10299" t="str">
            <v>ITALY</v>
          </cell>
        </row>
        <row r="10300">
          <cell r="L10300" t="str">
            <v>Non-proportional</v>
          </cell>
          <cell r="S10300">
            <v>97.5</v>
          </cell>
          <cell r="X10300" t="str">
            <v>Commissions - gross</v>
          </cell>
          <cell r="Y10300" t="str">
            <v>GREECE</v>
          </cell>
        </row>
        <row r="10301">
          <cell r="L10301" t="str">
            <v>Proportional</v>
          </cell>
          <cell r="S10301">
            <v>756.86</v>
          </cell>
          <cell r="X10301" t="str">
            <v>Commissions - gross</v>
          </cell>
          <cell r="Y10301" t="str">
            <v>MEXICO</v>
          </cell>
        </row>
        <row r="10302">
          <cell r="L10302" t="str">
            <v>Proportional</v>
          </cell>
          <cell r="S10302">
            <v>-801.78</v>
          </cell>
          <cell r="X10302" t="str">
            <v>Commissions - gross</v>
          </cell>
          <cell r="Y10302" t="str">
            <v>UNITED STATES</v>
          </cell>
        </row>
        <row r="10303">
          <cell r="L10303" t="str">
            <v>Non-proportional</v>
          </cell>
          <cell r="S10303">
            <v>0</v>
          </cell>
          <cell r="X10303" t="str">
            <v>Commissions - gross</v>
          </cell>
          <cell r="Y10303" t="str">
            <v>COLOMBIA</v>
          </cell>
        </row>
        <row r="10304">
          <cell r="L10304" t="str">
            <v>Non-proportional</v>
          </cell>
          <cell r="S10304">
            <v>635.25</v>
          </cell>
          <cell r="X10304" t="str">
            <v>Commissions - gross</v>
          </cell>
          <cell r="Y10304" t="str">
            <v>CHILE</v>
          </cell>
        </row>
        <row r="10305">
          <cell r="L10305" t="str">
            <v>Non-proportional</v>
          </cell>
          <cell r="S10305">
            <v>2726.75</v>
          </cell>
          <cell r="X10305" t="str">
            <v>Commissions - gross</v>
          </cell>
          <cell r="Y10305" t="str">
            <v>TURKEY</v>
          </cell>
        </row>
        <row r="10306">
          <cell r="L10306" t="str">
            <v>Non-proportional</v>
          </cell>
          <cell r="S10306">
            <v>1059.6099999999999</v>
          </cell>
          <cell r="X10306" t="str">
            <v>Commissions - gross</v>
          </cell>
          <cell r="Y10306" t="str">
            <v>FRANCE</v>
          </cell>
        </row>
        <row r="10307">
          <cell r="L10307" t="str">
            <v>Non-proportional</v>
          </cell>
          <cell r="S10307">
            <v>38.75</v>
          </cell>
          <cell r="X10307" t="str">
            <v>Commissions - gross</v>
          </cell>
          <cell r="Y10307" t="str">
            <v>ITALY</v>
          </cell>
        </row>
        <row r="10308">
          <cell r="L10308" t="str">
            <v>Non-proportional</v>
          </cell>
          <cell r="S10308">
            <v>1412.89</v>
          </cell>
          <cell r="X10308" t="str">
            <v>Commissions - gross</v>
          </cell>
          <cell r="Y10308" t="str">
            <v>AUSTRALIA</v>
          </cell>
        </row>
        <row r="10309">
          <cell r="L10309" t="str">
            <v>Non-proportional</v>
          </cell>
          <cell r="S10309">
            <v>220.99</v>
          </cell>
          <cell r="X10309" t="str">
            <v>Commissions - gross</v>
          </cell>
          <cell r="Y10309" t="str">
            <v>ECUADOR</v>
          </cell>
        </row>
        <row r="10310">
          <cell r="L10310" t="str">
            <v>Non-proportional</v>
          </cell>
          <cell r="S10310">
            <v>2318.75</v>
          </cell>
          <cell r="X10310" t="str">
            <v>Commissions - gross</v>
          </cell>
          <cell r="Y10310" t="str">
            <v>ITALY</v>
          </cell>
        </row>
        <row r="10311">
          <cell r="L10311" t="str">
            <v>Non-proportional</v>
          </cell>
          <cell r="S10311">
            <v>3386.09</v>
          </cell>
          <cell r="X10311" t="str">
            <v>Commissions - gross</v>
          </cell>
          <cell r="Y10311" t="str">
            <v>UNITED STATES</v>
          </cell>
        </row>
        <row r="10312">
          <cell r="L10312" t="str">
            <v>Non-proportional</v>
          </cell>
          <cell r="S10312">
            <v>164.36</v>
          </cell>
          <cell r="X10312" t="str">
            <v>Commissions - gross</v>
          </cell>
          <cell r="Y10312" t="str">
            <v>JAPAN</v>
          </cell>
        </row>
        <row r="10313">
          <cell r="L10313" t="str">
            <v>Non-proportional</v>
          </cell>
          <cell r="S10313">
            <v>317.62</v>
          </cell>
          <cell r="X10313" t="str">
            <v>Commissions - gross</v>
          </cell>
          <cell r="Y10313" t="str">
            <v>CHILE</v>
          </cell>
        </row>
        <row r="10314">
          <cell r="L10314" t="str">
            <v>Non-proportional</v>
          </cell>
          <cell r="S10314">
            <v>608.63</v>
          </cell>
          <cell r="X10314" t="str">
            <v>Commissions - gross</v>
          </cell>
          <cell r="Y10314" t="str">
            <v>ITALY</v>
          </cell>
        </row>
        <row r="10315">
          <cell r="L10315" t="str">
            <v>Non-proportional</v>
          </cell>
          <cell r="S10315">
            <v>1458.34</v>
          </cell>
          <cell r="X10315" t="str">
            <v>Commissions - gross</v>
          </cell>
          <cell r="Y10315" t="str">
            <v>EUROPE</v>
          </cell>
        </row>
        <row r="10316">
          <cell r="L10316" t="str">
            <v>Non-proportional</v>
          </cell>
          <cell r="S10316">
            <v>3.65</v>
          </cell>
          <cell r="X10316" t="str">
            <v>Commissions - gross</v>
          </cell>
          <cell r="Y10316" t="str">
            <v>COSTA RICA</v>
          </cell>
        </row>
        <row r="10317">
          <cell r="L10317" t="str">
            <v>Non-proportional</v>
          </cell>
          <cell r="S10317">
            <v>650</v>
          </cell>
          <cell r="X10317" t="str">
            <v>Commissions - gross</v>
          </cell>
          <cell r="Y10317" t="str">
            <v>FRANCE</v>
          </cell>
        </row>
        <row r="10318">
          <cell r="L10318" t="str">
            <v>Non-proportional</v>
          </cell>
          <cell r="S10318">
            <v>312.35000000000002</v>
          </cell>
          <cell r="X10318" t="str">
            <v>Commissions - gross</v>
          </cell>
          <cell r="Y10318" t="str">
            <v>ISRAEL</v>
          </cell>
        </row>
        <row r="10319">
          <cell r="L10319" t="str">
            <v>Non-proportional</v>
          </cell>
          <cell r="S10319">
            <v>319.02999999999997</v>
          </cell>
          <cell r="X10319" t="str">
            <v>Commissions - gross</v>
          </cell>
          <cell r="Y10319" t="str">
            <v>ISRAEL</v>
          </cell>
        </row>
        <row r="10320">
          <cell r="L10320" t="str">
            <v>Non-proportional</v>
          </cell>
          <cell r="S10320">
            <v>-11.03</v>
          </cell>
          <cell r="X10320" t="str">
            <v>Commissions - gross</v>
          </cell>
          <cell r="Y10320" t="str">
            <v>JAPAN</v>
          </cell>
        </row>
        <row r="10321">
          <cell r="L10321" t="str">
            <v>Non-proportional</v>
          </cell>
          <cell r="S10321">
            <v>-6.65</v>
          </cell>
          <cell r="X10321" t="str">
            <v>Commissions - gross</v>
          </cell>
          <cell r="Y10321" t="str">
            <v>JAPAN</v>
          </cell>
        </row>
        <row r="10322">
          <cell r="L10322" t="str">
            <v>Non-proportional</v>
          </cell>
          <cell r="S10322">
            <v>214.12</v>
          </cell>
          <cell r="X10322" t="str">
            <v>Commissions - gross</v>
          </cell>
          <cell r="Y10322" t="str">
            <v>DOMINICAN REPUBLIC</v>
          </cell>
        </row>
        <row r="10323">
          <cell r="L10323" t="str">
            <v>Proportional</v>
          </cell>
          <cell r="S10323">
            <v>-459.67</v>
          </cell>
          <cell r="X10323" t="str">
            <v>Commissions - gross</v>
          </cell>
          <cell r="Y10323" t="str">
            <v>UNITED STATES</v>
          </cell>
        </row>
        <row r="10324">
          <cell r="L10324" t="str">
            <v>Non-proportional</v>
          </cell>
          <cell r="S10324">
            <v>983.28</v>
          </cell>
          <cell r="X10324" t="str">
            <v>Commissions - gross</v>
          </cell>
          <cell r="Y10324" t="str">
            <v>FRANCE</v>
          </cell>
        </row>
        <row r="10325">
          <cell r="L10325" t="str">
            <v>Proportional</v>
          </cell>
          <cell r="S10325">
            <v>11.21</v>
          </cell>
          <cell r="X10325" t="str">
            <v>Commissions - gross</v>
          </cell>
          <cell r="Y10325" t="str">
            <v>UNITED STATES</v>
          </cell>
        </row>
        <row r="10326">
          <cell r="L10326" t="str">
            <v>Non-proportional</v>
          </cell>
          <cell r="S10326">
            <v>295.23</v>
          </cell>
          <cell r="X10326" t="str">
            <v>Commissions - gross</v>
          </cell>
          <cell r="Y10326" t="str">
            <v>ISRAEL</v>
          </cell>
        </row>
        <row r="10327">
          <cell r="L10327" t="str">
            <v>Non-proportional</v>
          </cell>
          <cell r="S10327">
            <v>211.33</v>
          </cell>
          <cell r="X10327" t="str">
            <v>Commissions - gross</v>
          </cell>
          <cell r="Y10327" t="str">
            <v>GUATEMALA</v>
          </cell>
        </row>
        <row r="10328">
          <cell r="L10328" t="str">
            <v>Non-proportional</v>
          </cell>
          <cell r="S10328">
            <v>4575.8500000000004</v>
          </cell>
          <cell r="X10328" t="str">
            <v>Commissions - gross</v>
          </cell>
          <cell r="Y10328" t="str">
            <v>TURKEY</v>
          </cell>
        </row>
        <row r="10329">
          <cell r="L10329" t="str">
            <v>Proportional</v>
          </cell>
          <cell r="S10329">
            <v>-23.8</v>
          </cell>
          <cell r="X10329" t="str">
            <v>Commissions - gross</v>
          </cell>
          <cell r="Y10329" t="str">
            <v>CANADA</v>
          </cell>
        </row>
        <row r="10330">
          <cell r="L10330" t="str">
            <v>Non-proportional</v>
          </cell>
          <cell r="S10330">
            <v>400.1</v>
          </cell>
          <cell r="X10330" t="str">
            <v>Commissions - gross</v>
          </cell>
          <cell r="Y10330" t="str">
            <v>COLOMBIA</v>
          </cell>
        </row>
        <row r="10331">
          <cell r="L10331" t="str">
            <v>Non-proportional</v>
          </cell>
          <cell r="S10331">
            <v>1422.7</v>
          </cell>
          <cell r="X10331" t="str">
            <v>Commissions - gross</v>
          </cell>
          <cell r="Y10331" t="str">
            <v>PUERTO RICO</v>
          </cell>
        </row>
        <row r="10332">
          <cell r="L10332" t="str">
            <v>Non-proportional</v>
          </cell>
          <cell r="S10332">
            <v>425.02</v>
          </cell>
          <cell r="X10332" t="str">
            <v>Commissions - gross</v>
          </cell>
          <cell r="Y10332" t="str">
            <v>ITALY</v>
          </cell>
        </row>
        <row r="10333">
          <cell r="L10333" t="str">
            <v>Non-proportional</v>
          </cell>
          <cell r="S10333">
            <v>1509.38</v>
          </cell>
          <cell r="X10333" t="str">
            <v>Commissions - gross</v>
          </cell>
          <cell r="Y10333" t="str">
            <v>BELGIUM</v>
          </cell>
        </row>
        <row r="10334">
          <cell r="L10334" t="str">
            <v>Non-proportional</v>
          </cell>
          <cell r="S10334">
            <v>964.27</v>
          </cell>
          <cell r="X10334" t="str">
            <v>Commissions - gross</v>
          </cell>
          <cell r="Y10334" t="str">
            <v>ECUADOR</v>
          </cell>
        </row>
        <row r="10335">
          <cell r="L10335" t="str">
            <v>Non-proportional</v>
          </cell>
          <cell r="S10335">
            <v>-6.66</v>
          </cell>
          <cell r="X10335" t="str">
            <v>Commissions - gross</v>
          </cell>
          <cell r="Y10335" t="str">
            <v>CANADA</v>
          </cell>
        </row>
        <row r="10336">
          <cell r="L10336" t="str">
            <v>Non-proportional</v>
          </cell>
          <cell r="S10336">
            <v>3171.77</v>
          </cell>
          <cell r="X10336" t="str">
            <v>Commissions - gross</v>
          </cell>
          <cell r="Y10336" t="str">
            <v>HONG KONG</v>
          </cell>
        </row>
        <row r="10337">
          <cell r="L10337" t="str">
            <v>Non-proportional</v>
          </cell>
          <cell r="S10337">
            <v>-3.7</v>
          </cell>
          <cell r="X10337" t="str">
            <v>Commissions - gross</v>
          </cell>
          <cell r="Y10337" t="str">
            <v>COLOMBIA</v>
          </cell>
        </row>
        <row r="10338">
          <cell r="L10338" t="str">
            <v>Non-proportional</v>
          </cell>
          <cell r="S10338">
            <v>-5619.55</v>
          </cell>
          <cell r="X10338" t="str">
            <v>Commissions - gross</v>
          </cell>
          <cell r="Y10338" t="str">
            <v>COLOMBIA</v>
          </cell>
        </row>
        <row r="10339">
          <cell r="L10339" t="str">
            <v>Non-proportional</v>
          </cell>
          <cell r="S10339">
            <v>1117.5999999999999</v>
          </cell>
          <cell r="X10339" t="str">
            <v>Commissions - gross</v>
          </cell>
          <cell r="Y10339" t="str">
            <v>AUSTRALIA</v>
          </cell>
        </row>
        <row r="10340">
          <cell r="L10340" t="str">
            <v>Non-proportional</v>
          </cell>
          <cell r="S10340">
            <v>404.07</v>
          </cell>
          <cell r="X10340" t="str">
            <v>Commissions - gross</v>
          </cell>
          <cell r="Y10340" t="str">
            <v>UNITED KINGDOM</v>
          </cell>
        </row>
        <row r="10341">
          <cell r="L10341" t="str">
            <v>Non-proportional</v>
          </cell>
          <cell r="S10341">
            <v>867.15</v>
          </cell>
          <cell r="X10341" t="str">
            <v>Commissions - gross</v>
          </cell>
          <cell r="Y10341" t="str">
            <v>PUERTO RICO</v>
          </cell>
        </row>
        <row r="10342">
          <cell r="L10342" t="str">
            <v>Non-proportional</v>
          </cell>
          <cell r="S10342">
            <v>66.5</v>
          </cell>
          <cell r="X10342" t="str">
            <v>Commissions - gross</v>
          </cell>
          <cell r="Y10342" t="str">
            <v>FRANCE</v>
          </cell>
        </row>
        <row r="10343">
          <cell r="L10343" t="str">
            <v>Non-proportional</v>
          </cell>
          <cell r="S10343">
            <v>0</v>
          </cell>
          <cell r="X10343" t="str">
            <v>Commissions - gross</v>
          </cell>
          <cell r="Y10343" t="str">
            <v>COLOMBIA</v>
          </cell>
        </row>
        <row r="10344">
          <cell r="L10344" t="str">
            <v>Non-proportional</v>
          </cell>
          <cell r="S10344">
            <v>724.5</v>
          </cell>
          <cell r="X10344" t="str">
            <v>Commissions - gross</v>
          </cell>
          <cell r="Y10344" t="str">
            <v>COSTA RICA</v>
          </cell>
        </row>
        <row r="10345">
          <cell r="L10345" t="str">
            <v>Non-proportional</v>
          </cell>
          <cell r="S10345">
            <v>237.78</v>
          </cell>
          <cell r="X10345" t="str">
            <v>Commissions - gross</v>
          </cell>
          <cell r="Y10345" t="str">
            <v>UNITED KINGDOM</v>
          </cell>
        </row>
        <row r="10346">
          <cell r="L10346" t="str">
            <v>Non-proportional</v>
          </cell>
          <cell r="S10346">
            <v>-5.4</v>
          </cell>
          <cell r="X10346" t="str">
            <v>Commissions - gross</v>
          </cell>
          <cell r="Y10346" t="str">
            <v>JAPAN</v>
          </cell>
        </row>
        <row r="10347">
          <cell r="L10347" t="str">
            <v>Non-proportional</v>
          </cell>
          <cell r="S10347">
            <v>468.13</v>
          </cell>
          <cell r="X10347" t="str">
            <v>Commissions - gross</v>
          </cell>
          <cell r="Y10347" t="str">
            <v>SPAIN</v>
          </cell>
        </row>
        <row r="10348">
          <cell r="L10348" t="str">
            <v>Non-proportional</v>
          </cell>
          <cell r="S10348">
            <v>-5.54</v>
          </cell>
          <cell r="X10348" t="str">
            <v>Commissions - gross</v>
          </cell>
          <cell r="Y10348" t="str">
            <v>NEW ZEALAND</v>
          </cell>
        </row>
        <row r="10349">
          <cell r="L10349" t="str">
            <v>Proportional</v>
          </cell>
          <cell r="S10349">
            <v>37.82</v>
          </cell>
          <cell r="X10349" t="str">
            <v>Commissions - gross</v>
          </cell>
          <cell r="Y10349" t="str">
            <v>PERU</v>
          </cell>
        </row>
        <row r="10350">
          <cell r="L10350" t="str">
            <v>Non-proportional</v>
          </cell>
          <cell r="S10350">
            <v>313.77</v>
          </cell>
          <cell r="X10350" t="str">
            <v>Commissions - gross</v>
          </cell>
          <cell r="Y10350" t="str">
            <v>GUATEMALA</v>
          </cell>
        </row>
        <row r="10351">
          <cell r="L10351" t="str">
            <v>Non-proportional</v>
          </cell>
          <cell r="S10351">
            <v>85.57</v>
          </cell>
          <cell r="X10351" t="str">
            <v>Commissions - gross</v>
          </cell>
          <cell r="Y10351" t="str">
            <v>COSTA RICA</v>
          </cell>
        </row>
        <row r="10352">
          <cell r="L10352" t="str">
            <v>Non-proportional</v>
          </cell>
          <cell r="S10352">
            <v>-20.66</v>
          </cell>
          <cell r="X10352" t="str">
            <v>Commissions - gross</v>
          </cell>
          <cell r="Y10352" t="str">
            <v>JAPAN</v>
          </cell>
        </row>
        <row r="10353">
          <cell r="L10353" t="str">
            <v>Non-proportional</v>
          </cell>
          <cell r="S10353">
            <v>998.59</v>
          </cell>
          <cell r="X10353" t="str">
            <v>Commissions - gross</v>
          </cell>
          <cell r="Y10353" t="str">
            <v>FRANCE</v>
          </cell>
        </row>
        <row r="10354">
          <cell r="L10354" t="str">
            <v>Non-proportional</v>
          </cell>
          <cell r="S10354">
            <v>3941.7</v>
          </cell>
          <cell r="X10354" t="str">
            <v>Commissions - gross</v>
          </cell>
          <cell r="Y10354" t="str">
            <v>UNITED KINGDOM</v>
          </cell>
        </row>
        <row r="10355">
          <cell r="L10355" t="str">
            <v>Non-proportional</v>
          </cell>
          <cell r="S10355">
            <v>1152.71</v>
          </cell>
          <cell r="X10355" t="str">
            <v>Commissions - gross</v>
          </cell>
          <cell r="Y10355" t="str">
            <v>COLOMBIA</v>
          </cell>
        </row>
        <row r="10356">
          <cell r="L10356" t="str">
            <v>Non-proportional</v>
          </cell>
          <cell r="S10356">
            <v>263.08999999999997</v>
          </cell>
          <cell r="X10356" t="str">
            <v>Commissions - gross</v>
          </cell>
          <cell r="Y10356" t="str">
            <v>UNITED KINGDOM</v>
          </cell>
        </row>
        <row r="10357">
          <cell r="L10357" t="str">
            <v>Non-proportional</v>
          </cell>
          <cell r="S10357">
            <v>508.54</v>
          </cell>
          <cell r="X10357" t="str">
            <v>Commissions - gross</v>
          </cell>
          <cell r="Y10357" t="str">
            <v>UNITED KINGDOM</v>
          </cell>
        </row>
        <row r="10358">
          <cell r="L10358" t="str">
            <v>Non-proportional</v>
          </cell>
          <cell r="S10358">
            <v>-161.25</v>
          </cell>
          <cell r="X10358" t="str">
            <v>Commissions - gross</v>
          </cell>
          <cell r="Y10358" t="str">
            <v>DOMINICAN REPUBLIC</v>
          </cell>
        </row>
        <row r="10359">
          <cell r="L10359" t="str">
            <v>Non-proportional</v>
          </cell>
          <cell r="S10359">
            <v>329.82</v>
          </cell>
          <cell r="X10359" t="str">
            <v>Commissions - gross</v>
          </cell>
          <cell r="Y10359" t="str">
            <v>ISRAEL</v>
          </cell>
        </row>
        <row r="10360">
          <cell r="L10360" t="str">
            <v>Non-proportional</v>
          </cell>
          <cell r="S10360">
            <v>1923.15</v>
          </cell>
          <cell r="X10360" t="str">
            <v>Commissions - gross</v>
          </cell>
          <cell r="Y10360" t="str">
            <v>FRANCE</v>
          </cell>
        </row>
        <row r="10361">
          <cell r="L10361" t="str">
            <v>Non-proportional</v>
          </cell>
          <cell r="S10361">
            <v>169.92</v>
          </cell>
          <cell r="X10361" t="str">
            <v>Commissions - gross</v>
          </cell>
          <cell r="Y10361" t="str">
            <v>COSTA RICA</v>
          </cell>
        </row>
        <row r="10362">
          <cell r="L10362" t="str">
            <v>Non-proportional</v>
          </cell>
          <cell r="S10362">
            <v>-0.73</v>
          </cell>
          <cell r="X10362" t="str">
            <v>Commissions - gross</v>
          </cell>
          <cell r="Y10362" t="str">
            <v>JAPAN</v>
          </cell>
        </row>
        <row r="10363">
          <cell r="L10363" t="str">
            <v>Non-proportional</v>
          </cell>
          <cell r="S10363">
            <v>279.83</v>
          </cell>
          <cell r="X10363" t="str">
            <v>Commissions - gross</v>
          </cell>
          <cell r="Y10363" t="str">
            <v>AUSTRALIA</v>
          </cell>
        </row>
        <row r="10364">
          <cell r="L10364" t="str">
            <v>Non-proportional</v>
          </cell>
          <cell r="S10364">
            <v>205.46</v>
          </cell>
          <cell r="X10364" t="str">
            <v>Commissions - gross</v>
          </cell>
          <cell r="Y10364" t="str">
            <v>JAPAN</v>
          </cell>
        </row>
        <row r="10365">
          <cell r="L10365" t="str">
            <v>Proportional</v>
          </cell>
          <cell r="S10365">
            <v>3.54</v>
          </cell>
          <cell r="X10365" t="str">
            <v>Commissions - gross</v>
          </cell>
          <cell r="Y10365" t="str">
            <v>UNITED STATES</v>
          </cell>
        </row>
        <row r="10366">
          <cell r="L10366" t="str">
            <v>Non-proportional</v>
          </cell>
          <cell r="S10366">
            <v>93.11</v>
          </cell>
          <cell r="X10366" t="str">
            <v>Commissions - gross</v>
          </cell>
          <cell r="Y10366" t="str">
            <v>ECUADOR</v>
          </cell>
        </row>
        <row r="10367">
          <cell r="L10367" t="str">
            <v>Proportional</v>
          </cell>
          <cell r="S10367">
            <v>5285.81</v>
          </cell>
          <cell r="X10367" t="str">
            <v>Commissions - gross</v>
          </cell>
          <cell r="Y10367" t="str">
            <v>UNITED STATES</v>
          </cell>
        </row>
        <row r="10368">
          <cell r="L10368" t="str">
            <v>Non-proportional</v>
          </cell>
          <cell r="S10368">
            <v>4514.57</v>
          </cell>
          <cell r="X10368" t="str">
            <v>Commissions - gross</v>
          </cell>
          <cell r="Y10368" t="str">
            <v>UNITED KINGDOM</v>
          </cell>
        </row>
        <row r="10369">
          <cell r="L10369" t="str">
            <v>Non-proportional</v>
          </cell>
          <cell r="S10369">
            <v>105.87</v>
          </cell>
          <cell r="X10369" t="str">
            <v>Commissions - gross</v>
          </cell>
          <cell r="Y10369" t="str">
            <v>CHILE</v>
          </cell>
        </row>
        <row r="10370">
          <cell r="L10370" t="str">
            <v>Non-proportional</v>
          </cell>
          <cell r="S10370">
            <v>680.94</v>
          </cell>
          <cell r="X10370" t="str">
            <v>Commissions - gross</v>
          </cell>
          <cell r="Y10370" t="str">
            <v>UNITED KINGDOM</v>
          </cell>
        </row>
        <row r="10371">
          <cell r="L10371" t="str">
            <v>Non-proportional</v>
          </cell>
          <cell r="S10371">
            <v>0</v>
          </cell>
          <cell r="X10371" t="str">
            <v>Commissions - gross</v>
          </cell>
          <cell r="Y10371" t="str">
            <v>COLOMBIA</v>
          </cell>
        </row>
        <row r="10372">
          <cell r="L10372" t="str">
            <v>Proportional</v>
          </cell>
          <cell r="S10372">
            <v>367522.85</v>
          </cell>
          <cell r="X10372" t="str">
            <v>Commissions - gross</v>
          </cell>
          <cell r="Y10372" t="str">
            <v>ITALY</v>
          </cell>
        </row>
        <row r="10373">
          <cell r="L10373" t="str">
            <v>Non-proportional</v>
          </cell>
          <cell r="S10373">
            <v>93.71</v>
          </cell>
          <cell r="X10373" t="str">
            <v>Commissions - gross</v>
          </cell>
          <cell r="Y10373" t="str">
            <v>JAPAN</v>
          </cell>
        </row>
        <row r="10374">
          <cell r="L10374" t="str">
            <v>Non-proportional</v>
          </cell>
          <cell r="S10374">
            <v>217.98</v>
          </cell>
          <cell r="X10374" t="str">
            <v>Commissions - gross</v>
          </cell>
          <cell r="Y10374" t="str">
            <v>FRANCE</v>
          </cell>
        </row>
        <row r="10375">
          <cell r="L10375" t="str">
            <v>Non-proportional</v>
          </cell>
          <cell r="S10375">
            <v>898.81</v>
          </cell>
          <cell r="X10375" t="str">
            <v>Commissions - gross</v>
          </cell>
          <cell r="Y10375" t="str">
            <v>ISRAEL</v>
          </cell>
        </row>
        <row r="10376">
          <cell r="L10376" t="str">
            <v>Non-proportional</v>
          </cell>
          <cell r="S10376">
            <v>-1.27</v>
          </cell>
          <cell r="X10376" t="str">
            <v>Commissions - gross</v>
          </cell>
          <cell r="Y10376" t="str">
            <v>GUATEMALA</v>
          </cell>
        </row>
        <row r="10377">
          <cell r="L10377" t="str">
            <v>Non-proportional</v>
          </cell>
          <cell r="S10377">
            <v>917.58</v>
          </cell>
          <cell r="X10377" t="str">
            <v>Commissions - gross</v>
          </cell>
          <cell r="Y10377" t="str">
            <v>CHILE</v>
          </cell>
        </row>
        <row r="10378">
          <cell r="L10378" t="str">
            <v>Non-proportional</v>
          </cell>
          <cell r="S10378">
            <v>962.86</v>
          </cell>
          <cell r="X10378" t="str">
            <v>Commissions - gross</v>
          </cell>
          <cell r="Y10378" t="str">
            <v>MEXICO</v>
          </cell>
        </row>
        <row r="10379">
          <cell r="L10379" t="str">
            <v>Non-proportional</v>
          </cell>
          <cell r="S10379">
            <v>1235.21</v>
          </cell>
          <cell r="X10379" t="str">
            <v>Commissions - gross</v>
          </cell>
          <cell r="Y10379" t="str">
            <v>CHILE</v>
          </cell>
        </row>
        <row r="10380">
          <cell r="L10380" t="str">
            <v>Non-proportional</v>
          </cell>
          <cell r="S10380">
            <v>160.56</v>
          </cell>
          <cell r="X10380" t="str">
            <v>Commissions - gross</v>
          </cell>
          <cell r="Y10380" t="str">
            <v>ISRAEL</v>
          </cell>
        </row>
        <row r="10381">
          <cell r="L10381" t="str">
            <v>Non-proportional</v>
          </cell>
          <cell r="S10381">
            <v>22.62</v>
          </cell>
          <cell r="X10381" t="str">
            <v>Commissions - gross</v>
          </cell>
          <cell r="Y10381" t="str">
            <v>JAPAN</v>
          </cell>
        </row>
        <row r="10382">
          <cell r="L10382" t="str">
            <v>Proportional</v>
          </cell>
          <cell r="S10382">
            <v>-622.42999999999995</v>
          </cell>
          <cell r="X10382" t="str">
            <v>Commissions - gross</v>
          </cell>
          <cell r="Y10382" t="str">
            <v>AUSTRALIA</v>
          </cell>
        </row>
        <row r="10383">
          <cell r="L10383" t="str">
            <v>Non-proportional</v>
          </cell>
          <cell r="S10383">
            <v>651</v>
          </cell>
          <cell r="X10383" t="str">
            <v>Commissions - gross</v>
          </cell>
          <cell r="Y10383" t="str">
            <v>NEW ZEALAND</v>
          </cell>
        </row>
        <row r="10384">
          <cell r="L10384" t="str">
            <v>Non-proportional</v>
          </cell>
          <cell r="S10384">
            <v>4297.25</v>
          </cell>
          <cell r="X10384" t="str">
            <v>Commissions - gross</v>
          </cell>
          <cell r="Y10384" t="str">
            <v>UNITED KINGDOM</v>
          </cell>
        </row>
        <row r="10385">
          <cell r="L10385" t="str">
            <v>Non-proportional</v>
          </cell>
          <cell r="S10385">
            <v>819.84</v>
          </cell>
          <cell r="X10385" t="str">
            <v>Commissions - gross</v>
          </cell>
          <cell r="Y10385" t="str">
            <v>AUSTRALIA</v>
          </cell>
        </row>
        <row r="10386">
          <cell r="L10386" t="str">
            <v>Non-proportional</v>
          </cell>
          <cell r="S10386">
            <v>113.28</v>
          </cell>
          <cell r="X10386" t="str">
            <v>Commissions - gross</v>
          </cell>
          <cell r="Y10386" t="str">
            <v>SOUTH AFRICA</v>
          </cell>
        </row>
        <row r="10387">
          <cell r="L10387" t="str">
            <v>Non-proportional</v>
          </cell>
          <cell r="S10387">
            <v>2246.23</v>
          </cell>
          <cell r="X10387" t="str">
            <v>Commissions - gross</v>
          </cell>
          <cell r="Y10387" t="str">
            <v>PUERTO RICO</v>
          </cell>
        </row>
        <row r="10388">
          <cell r="L10388" t="str">
            <v>Non-proportional</v>
          </cell>
          <cell r="S10388">
            <v>215.69</v>
          </cell>
          <cell r="X10388" t="str">
            <v>Commissions - gross</v>
          </cell>
          <cell r="Y10388" t="str">
            <v>DOMINICAN REPUBLIC</v>
          </cell>
        </row>
        <row r="10389">
          <cell r="L10389" t="str">
            <v>Non-proportional</v>
          </cell>
          <cell r="S10389">
            <v>570.02</v>
          </cell>
          <cell r="X10389" t="str">
            <v>Commissions - gross</v>
          </cell>
          <cell r="Y10389" t="str">
            <v>ITALY</v>
          </cell>
        </row>
        <row r="10390">
          <cell r="L10390" t="str">
            <v>Non-proportional</v>
          </cell>
          <cell r="S10390">
            <v>160.44999999999999</v>
          </cell>
          <cell r="X10390" t="str">
            <v>Commissions - gross</v>
          </cell>
          <cell r="Y10390" t="str">
            <v>COSTA RICA</v>
          </cell>
        </row>
        <row r="10391">
          <cell r="L10391" t="str">
            <v>Non-proportional</v>
          </cell>
          <cell r="S10391">
            <v>524.61</v>
          </cell>
          <cell r="X10391" t="str">
            <v>Commissions - gross</v>
          </cell>
          <cell r="Y10391" t="str">
            <v>AUSTRALIA</v>
          </cell>
        </row>
        <row r="10392">
          <cell r="L10392" t="str">
            <v>Non-proportional</v>
          </cell>
          <cell r="S10392">
            <v>253.17</v>
          </cell>
          <cell r="X10392" t="str">
            <v>Commissions - gross</v>
          </cell>
          <cell r="Y10392" t="str">
            <v>ECUADOR</v>
          </cell>
        </row>
        <row r="10393">
          <cell r="L10393" t="str">
            <v>Non-proportional</v>
          </cell>
          <cell r="S10393">
            <v>257.97000000000003</v>
          </cell>
          <cell r="X10393" t="str">
            <v>Commissions - gross</v>
          </cell>
          <cell r="Y10393" t="str">
            <v>BELIZE</v>
          </cell>
        </row>
        <row r="10394">
          <cell r="L10394" t="str">
            <v>Non-proportional</v>
          </cell>
          <cell r="S10394">
            <v>87.84</v>
          </cell>
          <cell r="X10394" t="str">
            <v>Commissions - gross</v>
          </cell>
          <cell r="Y10394" t="str">
            <v>SOUTH AFRICA</v>
          </cell>
        </row>
        <row r="10395">
          <cell r="L10395" t="str">
            <v>Non-proportional</v>
          </cell>
          <cell r="S10395">
            <v>776.95</v>
          </cell>
          <cell r="X10395" t="str">
            <v>Commissions - gross</v>
          </cell>
          <cell r="Y10395" t="str">
            <v>NEW ZEALAND</v>
          </cell>
        </row>
        <row r="10396">
          <cell r="L10396" t="str">
            <v>Non-proportional</v>
          </cell>
          <cell r="S10396">
            <v>-0.11</v>
          </cell>
          <cell r="X10396" t="str">
            <v>Commissions - gross</v>
          </cell>
          <cell r="Y10396" t="str">
            <v>GUATEMALA</v>
          </cell>
        </row>
        <row r="10397">
          <cell r="L10397" t="str">
            <v>Non-proportional</v>
          </cell>
          <cell r="S10397">
            <v>527.45000000000005</v>
          </cell>
          <cell r="X10397" t="str">
            <v>Commissions - gross</v>
          </cell>
          <cell r="Y10397" t="str">
            <v>CYPRUS</v>
          </cell>
        </row>
        <row r="10398">
          <cell r="L10398" t="str">
            <v>Non-proportional</v>
          </cell>
          <cell r="S10398">
            <v>145.83000000000001</v>
          </cell>
          <cell r="X10398" t="str">
            <v>Commissions - gross</v>
          </cell>
          <cell r="Y10398" t="str">
            <v>ITALY</v>
          </cell>
        </row>
        <row r="10399">
          <cell r="L10399" t="str">
            <v>Non-proportional</v>
          </cell>
          <cell r="S10399">
            <v>536</v>
          </cell>
          <cell r="X10399" t="str">
            <v>Commissions - gross</v>
          </cell>
          <cell r="Y10399" t="str">
            <v>NEW ZEALAND</v>
          </cell>
        </row>
        <row r="10400">
          <cell r="L10400" t="str">
            <v>Non-proportional</v>
          </cell>
          <cell r="S10400">
            <v>35.29</v>
          </cell>
          <cell r="X10400" t="str">
            <v>Commissions - gross</v>
          </cell>
          <cell r="Y10400" t="str">
            <v>CHILE</v>
          </cell>
        </row>
        <row r="10401">
          <cell r="L10401" t="str">
            <v>Non-proportional</v>
          </cell>
          <cell r="S10401">
            <v>218.63</v>
          </cell>
          <cell r="X10401" t="str">
            <v>Commissions - gross</v>
          </cell>
          <cell r="Y10401" t="str">
            <v>DOMINICAN REPUBLIC</v>
          </cell>
        </row>
        <row r="10402">
          <cell r="L10402" t="str">
            <v>Non-proportional</v>
          </cell>
          <cell r="S10402">
            <v>249.52</v>
          </cell>
          <cell r="X10402" t="str">
            <v>Commissions - gross</v>
          </cell>
          <cell r="Y10402" t="str">
            <v>ITALY</v>
          </cell>
        </row>
        <row r="10403">
          <cell r="L10403" t="str">
            <v>Non-proportional</v>
          </cell>
          <cell r="S10403">
            <v>482.63</v>
          </cell>
          <cell r="X10403" t="str">
            <v>Commissions - gross</v>
          </cell>
          <cell r="Y10403" t="str">
            <v>SOUTH AFRICA</v>
          </cell>
        </row>
        <row r="10404">
          <cell r="L10404" t="str">
            <v>Non-proportional</v>
          </cell>
          <cell r="S10404">
            <v>1810.48</v>
          </cell>
          <cell r="X10404" t="str">
            <v>Commissions - gross</v>
          </cell>
          <cell r="Y10404" t="str">
            <v>CHINA</v>
          </cell>
        </row>
        <row r="10405">
          <cell r="L10405" t="str">
            <v>Non-proportional</v>
          </cell>
          <cell r="S10405">
            <v>0.01</v>
          </cell>
          <cell r="X10405" t="str">
            <v>Commissions - gross</v>
          </cell>
          <cell r="Y10405" t="str">
            <v>COLOMBIA</v>
          </cell>
        </row>
        <row r="10406">
          <cell r="L10406" t="str">
            <v>Non-proportional</v>
          </cell>
          <cell r="S10406">
            <v>-81.069999999999993</v>
          </cell>
          <cell r="X10406" t="str">
            <v>Commissions - gross</v>
          </cell>
          <cell r="Y10406" t="str">
            <v>DOMINICAN REPUBLIC</v>
          </cell>
        </row>
        <row r="10407">
          <cell r="L10407" t="str">
            <v>Non-proportional</v>
          </cell>
          <cell r="S10407">
            <v>31.07</v>
          </cell>
          <cell r="X10407" t="str">
            <v>Commissions - gross</v>
          </cell>
          <cell r="Y10407" t="str">
            <v>ITALY</v>
          </cell>
        </row>
        <row r="10408">
          <cell r="L10408" t="str">
            <v>Non-proportional</v>
          </cell>
          <cell r="S10408">
            <v>180.16</v>
          </cell>
          <cell r="X10408" t="str">
            <v>Commissions - gross</v>
          </cell>
          <cell r="Y10408" t="str">
            <v>NEW ZEALAND</v>
          </cell>
        </row>
        <row r="10409">
          <cell r="L10409" t="str">
            <v>Non-proportional</v>
          </cell>
          <cell r="S10409">
            <v>614.20000000000005</v>
          </cell>
          <cell r="X10409" t="str">
            <v>Commissions - gross</v>
          </cell>
          <cell r="Y10409" t="str">
            <v>ECUADOR</v>
          </cell>
        </row>
        <row r="10410">
          <cell r="L10410" t="str">
            <v>Non-proportional</v>
          </cell>
          <cell r="S10410">
            <v>202.99</v>
          </cell>
          <cell r="X10410" t="str">
            <v>Commissions - gross</v>
          </cell>
          <cell r="Y10410" t="str">
            <v>CYPRUS</v>
          </cell>
        </row>
        <row r="10411">
          <cell r="L10411" t="str">
            <v>Non-proportional</v>
          </cell>
          <cell r="S10411">
            <v>474.57</v>
          </cell>
          <cell r="X10411" t="str">
            <v>Commissions - gross</v>
          </cell>
          <cell r="Y10411" t="str">
            <v>ECUADOR</v>
          </cell>
        </row>
        <row r="10412">
          <cell r="L10412" t="str">
            <v>Non-proportional</v>
          </cell>
          <cell r="S10412">
            <v>382.81</v>
          </cell>
          <cell r="X10412" t="str">
            <v>Commissions - gross</v>
          </cell>
          <cell r="Y10412" t="str">
            <v>ITALY</v>
          </cell>
        </row>
        <row r="10413">
          <cell r="L10413" t="str">
            <v>Non-proportional</v>
          </cell>
          <cell r="S10413">
            <v>3338.58</v>
          </cell>
          <cell r="X10413" t="str">
            <v>Commissions - gross</v>
          </cell>
          <cell r="Y10413" t="str">
            <v>NEW ZEALAND</v>
          </cell>
        </row>
        <row r="10414">
          <cell r="L10414" t="str">
            <v>Non-proportional</v>
          </cell>
          <cell r="S10414">
            <v>314.33</v>
          </cell>
          <cell r="X10414" t="str">
            <v>Commissions - gross</v>
          </cell>
          <cell r="Y10414" t="str">
            <v>GERMANY</v>
          </cell>
        </row>
        <row r="10415">
          <cell r="L10415" t="str">
            <v>Non-proportional</v>
          </cell>
          <cell r="S10415">
            <v>216.67</v>
          </cell>
          <cell r="X10415" t="str">
            <v>Commissions - gross</v>
          </cell>
          <cell r="Y10415" t="str">
            <v>UNITED KINGDOM</v>
          </cell>
        </row>
        <row r="10416">
          <cell r="L10416" t="str">
            <v>Non-proportional</v>
          </cell>
          <cell r="S10416">
            <v>108.3</v>
          </cell>
          <cell r="X10416" t="str">
            <v>Commissions - gross</v>
          </cell>
          <cell r="Y10416" t="str">
            <v>COSTA RICA</v>
          </cell>
        </row>
        <row r="10417">
          <cell r="L10417" t="str">
            <v>Non-proportional</v>
          </cell>
          <cell r="S10417">
            <v>3.01</v>
          </cell>
          <cell r="X10417" t="str">
            <v>Commissions - gross</v>
          </cell>
          <cell r="Y10417" t="str">
            <v>ISRAEL</v>
          </cell>
        </row>
        <row r="10418">
          <cell r="L10418" t="str">
            <v>Non-proportional</v>
          </cell>
          <cell r="S10418">
            <v>293.70999999999998</v>
          </cell>
          <cell r="X10418" t="str">
            <v>Commissions - gross</v>
          </cell>
          <cell r="Y10418" t="str">
            <v>NETHERLANDS</v>
          </cell>
        </row>
        <row r="10419">
          <cell r="L10419" t="str">
            <v>Non-proportional</v>
          </cell>
          <cell r="S10419">
            <v>655.44</v>
          </cell>
          <cell r="X10419" t="str">
            <v>Commissions - gross</v>
          </cell>
          <cell r="Y10419" t="str">
            <v>MEXICO</v>
          </cell>
        </row>
        <row r="10420">
          <cell r="L10420" t="str">
            <v>Non-proportional</v>
          </cell>
          <cell r="S10420">
            <v>-1.76</v>
          </cell>
          <cell r="X10420" t="str">
            <v>Commissions - gross</v>
          </cell>
          <cell r="Y10420" t="str">
            <v>JAPAN</v>
          </cell>
        </row>
        <row r="10421">
          <cell r="L10421" t="str">
            <v>Non-proportional</v>
          </cell>
          <cell r="S10421">
            <v>187.97</v>
          </cell>
          <cell r="X10421" t="str">
            <v>Commissions - gross</v>
          </cell>
          <cell r="Y10421" t="str">
            <v>DOMINICAN REPUBLIC</v>
          </cell>
        </row>
        <row r="10422">
          <cell r="L10422" t="str">
            <v>Non-proportional</v>
          </cell>
          <cell r="S10422">
            <v>25346.880000000001</v>
          </cell>
          <cell r="X10422" t="str">
            <v>Commissions - gross</v>
          </cell>
          <cell r="Y10422" t="str">
            <v>UNITED KINGDOM</v>
          </cell>
        </row>
        <row r="10423">
          <cell r="L10423" t="str">
            <v>Non-proportional</v>
          </cell>
          <cell r="S10423">
            <v>107.44</v>
          </cell>
          <cell r="X10423" t="str">
            <v>Commissions - gross</v>
          </cell>
          <cell r="Y10423" t="str">
            <v>JAPAN</v>
          </cell>
        </row>
        <row r="10424">
          <cell r="L10424" t="str">
            <v>Non-proportional</v>
          </cell>
          <cell r="S10424">
            <v>264.44</v>
          </cell>
          <cell r="X10424" t="str">
            <v>Commissions - gross</v>
          </cell>
          <cell r="Y10424" t="str">
            <v>DOMINICAN REPUBLIC</v>
          </cell>
        </row>
        <row r="10425">
          <cell r="L10425" t="str">
            <v>Non-proportional</v>
          </cell>
          <cell r="S10425">
            <v>8.02</v>
          </cell>
          <cell r="X10425" t="str">
            <v>Commissions - gross</v>
          </cell>
          <cell r="Y10425" t="str">
            <v>COLOMBIA</v>
          </cell>
        </row>
        <row r="10426">
          <cell r="L10426" t="str">
            <v>Non-proportional</v>
          </cell>
          <cell r="S10426">
            <v>468.45</v>
          </cell>
          <cell r="X10426" t="str">
            <v>Commissions - gross</v>
          </cell>
          <cell r="Y10426" t="str">
            <v>NEW ZEALAND</v>
          </cell>
        </row>
        <row r="10427">
          <cell r="L10427" t="str">
            <v>Non-proportional</v>
          </cell>
          <cell r="S10427">
            <v>1818.52</v>
          </cell>
          <cell r="X10427" t="str">
            <v>Commissions - gross</v>
          </cell>
          <cell r="Y10427" t="str">
            <v>PUERTO RICO</v>
          </cell>
        </row>
        <row r="10428">
          <cell r="L10428" t="str">
            <v>Non-proportional</v>
          </cell>
          <cell r="S10428">
            <v>166.46</v>
          </cell>
          <cell r="X10428" t="str">
            <v>Commissions - gross</v>
          </cell>
          <cell r="Y10428" t="str">
            <v>FRANCE</v>
          </cell>
        </row>
        <row r="10429">
          <cell r="L10429" t="str">
            <v>Non-proportional</v>
          </cell>
          <cell r="S10429">
            <v>301.52999999999997</v>
          </cell>
          <cell r="X10429" t="str">
            <v>Commissions - gross</v>
          </cell>
          <cell r="Y10429" t="str">
            <v>ITALY</v>
          </cell>
        </row>
        <row r="10430">
          <cell r="L10430" t="str">
            <v>Non-proportional</v>
          </cell>
          <cell r="S10430">
            <v>-4</v>
          </cell>
          <cell r="X10430" t="str">
            <v>Commissions - gross</v>
          </cell>
          <cell r="Y10430" t="str">
            <v>NEW ZEALAND</v>
          </cell>
        </row>
        <row r="10431">
          <cell r="L10431" t="str">
            <v>Non-proportional</v>
          </cell>
          <cell r="S10431">
            <v>1201.19</v>
          </cell>
          <cell r="X10431" t="str">
            <v>Commissions - gross</v>
          </cell>
          <cell r="Y10431" t="str">
            <v>FRANCE</v>
          </cell>
        </row>
        <row r="10432">
          <cell r="L10432" t="str">
            <v>Non-proportional</v>
          </cell>
          <cell r="S10432">
            <v>26.22</v>
          </cell>
          <cell r="X10432" t="str">
            <v>Commissions - gross</v>
          </cell>
          <cell r="Y10432" t="str">
            <v>NEW ZEALAND</v>
          </cell>
        </row>
        <row r="10433">
          <cell r="L10433" t="str">
            <v>Non-proportional</v>
          </cell>
          <cell r="S10433">
            <v>1377.73</v>
          </cell>
          <cell r="X10433" t="str">
            <v>Commissions - gross</v>
          </cell>
          <cell r="Y10433" t="str">
            <v>ISRAEL</v>
          </cell>
        </row>
        <row r="10434">
          <cell r="L10434" t="str">
            <v>Non-proportional</v>
          </cell>
          <cell r="S10434">
            <v>567.62</v>
          </cell>
          <cell r="X10434" t="str">
            <v>Commissions - gross</v>
          </cell>
          <cell r="Y10434" t="str">
            <v>THAILAND</v>
          </cell>
        </row>
        <row r="10435">
          <cell r="L10435" t="str">
            <v>Non-proportional</v>
          </cell>
          <cell r="S10435">
            <v>337.39</v>
          </cell>
          <cell r="X10435" t="str">
            <v>Commissions - gross</v>
          </cell>
          <cell r="Y10435" t="str">
            <v>GUATEMALA</v>
          </cell>
        </row>
        <row r="10436">
          <cell r="L10436" t="str">
            <v>Non-proportional</v>
          </cell>
          <cell r="S10436">
            <v>406.28</v>
          </cell>
          <cell r="X10436" t="str">
            <v>Commissions - gross</v>
          </cell>
          <cell r="Y10436" t="str">
            <v>COLOMBIA</v>
          </cell>
        </row>
        <row r="10437">
          <cell r="L10437" t="str">
            <v>Non-proportional</v>
          </cell>
          <cell r="S10437">
            <v>711.77</v>
          </cell>
          <cell r="X10437" t="str">
            <v>Commissions - gross</v>
          </cell>
          <cell r="Y10437" t="str">
            <v>UNITED KINGDOM</v>
          </cell>
        </row>
        <row r="10438">
          <cell r="L10438" t="str">
            <v>Proportional</v>
          </cell>
          <cell r="S10438">
            <v>-2.2999999999999998</v>
          </cell>
          <cell r="X10438" t="str">
            <v>Commissions - gross</v>
          </cell>
          <cell r="Y10438" t="str">
            <v>UNITED STATES</v>
          </cell>
        </row>
        <row r="10439">
          <cell r="L10439" t="str">
            <v>Proportional</v>
          </cell>
          <cell r="S10439">
            <v>963.5</v>
          </cell>
          <cell r="X10439" t="str">
            <v>Commissions - gross</v>
          </cell>
          <cell r="Y10439" t="str">
            <v>UNITED ARAB EMIRATES</v>
          </cell>
        </row>
        <row r="10440">
          <cell r="L10440" t="str">
            <v>Non-proportional</v>
          </cell>
          <cell r="S10440">
            <v>24.49</v>
          </cell>
          <cell r="X10440" t="str">
            <v>Commissions - gross</v>
          </cell>
          <cell r="Y10440" t="str">
            <v>NEW ZEALAND</v>
          </cell>
        </row>
        <row r="10441">
          <cell r="L10441" t="str">
            <v>Non-proportional</v>
          </cell>
          <cell r="S10441">
            <v>324.48</v>
          </cell>
          <cell r="X10441" t="str">
            <v>Commissions - gross</v>
          </cell>
          <cell r="Y10441" t="str">
            <v>FRANCE</v>
          </cell>
        </row>
        <row r="10442">
          <cell r="L10442" t="str">
            <v>Proportional</v>
          </cell>
          <cell r="S10442">
            <v>6606.56</v>
          </cell>
          <cell r="X10442" t="str">
            <v>Commissions - gross</v>
          </cell>
          <cell r="Y10442" t="str">
            <v>UNITED STATES</v>
          </cell>
        </row>
        <row r="10443">
          <cell r="L10443" t="str">
            <v>Non-proportional</v>
          </cell>
          <cell r="S10443">
            <v>1628.75</v>
          </cell>
          <cell r="X10443" t="str">
            <v>Commissions - gross</v>
          </cell>
          <cell r="Y10443" t="str">
            <v>HONG KONG</v>
          </cell>
        </row>
        <row r="10444">
          <cell r="L10444" t="str">
            <v>Non-proportional</v>
          </cell>
          <cell r="S10444">
            <v>-3.42</v>
          </cell>
          <cell r="X10444" t="str">
            <v>Commissions - gross</v>
          </cell>
          <cell r="Y10444" t="str">
            <v>JAPAN</v>
          </cell>
        </row>
        <row r="10445">
          <cell r="L10445" t="str">
            <v>Non-proportional</v>
          </cell>
          <cell r="S10445">
            <v>3453.67</v>
          </cell>
          <cell r="X10445" t="str">
            <v>Commissions - gross</v>
          </cell>
          <cell r="Y10445" t="str">
            <v>UNITED KINGDOM</v>
          </cell>
        </row>
        <row r="10446">
          <cell r="L10446" t="str">
            <v>Non-proportional</v>
          </cell>
          <cell r="S10446">
            <v>743.75</v>
          </cell>
          <cell r="X10446" t="str">
            <v>Commissions - gross</v>
          </cell>
          <cell r="Y10446" t="str">
            <v>ITALY</v>
          </cell>
        </row>
        <row r="10447">
          <cell r="L10447" t="str">
            <v>Non-proportional</v>
          </cell>
          <cell r="S10447">
            <v>450.98</v>
          </cell>
          <cell r="X10447" t="str">
            <v>Commissions - gross</v>
          </cell>
          <cell r="Y10447" t="str">
            <v>FRANCE</v>
          </cell>
        </row>
        <row r="10448">
          <cell r="L10448" t="str">
            <v>Non-proportional</v>
          </cell>
          <cell r="S10448">
            <v>938.96</v>
          </cell>
          <cell r="X10448" t="str">
            <v>Commissions - gross</v>
          </cell>
          <cell r="Y10448" t="str">
            <v>MEXICO</v>
          </cell>
        </row>
        <row r="10449">
          <cell r="L10449" t="str">
            <v>Non-proportional</v>
          </cell>
          <cell r="S10449">
            <v>206.66</v>
          </cell>
          <cell r="X10449" t="str">
            <v>Commissions - gross</v>
          </cell>
          <cell r="Y10449" t="str">
            <v>DOMINICAN REPUBLIC</v>
          </cell>
        </row>
        <row r="10450">
          <cell r="L10450" t="str">
            <v>Non-proportional</v>
          </cell>
          <cell r="S10450">
            <v>467.51</v>
          </cell>
          <cell r="X10450" t="str">
            <v>Commissions - gross</v>
          </cell>
          <cell r="Y10450" t="str">
            <v>CYPRUS</v>
          </cell>
        </row>
        <row r="10451">
          <cell r="L10451" t="str">
            <v>Non-proportional</v>
          </cell>
          <cell r="S10451">
            <v>251.77</v>
          </cell>
          <cell r="X10451" t="str">
            <v>Commissions - gross</v>
          </cell>
          <cell r="Y10451" t="str">
            <v>ITALY</v>
          </cell>
        </row>
        <row r="10452">
          <cell r="L10452" t="str">
            <v>Non-proportional</v>
          </cell>
          <cell r="S10452">
            <v>40.35</v>
          </cell>
          <cell r="X10452" t="str">
            <v>Commissions - gross</v>
          </cell>
          <cell r="Y10452" t="str">
            <v>COLOMBIA</v>
          </cell>
        </row>
        <row r="10453">
          <cell r="L10453" t="str">
            <v>Non-proportional</v>
          </cell>
          <cell r="S10453">
            <v>485.91</v>
          </cell>
          <cell r="X10453" t="str">
            <v>Commissions - gross</v>
          </cell>
          <cell r="Y10453" t="str">
            <v>ISRAEL</v>
          </cell>
        </row>
        <row r="10454">
          <cell r="L10454" t="str">
            <v>Proportional</v>
          </cell>
          <cell r="S10454">
            <v>4.28</v>
          </cell>
          <cell r="X10454" t="str">
            <v>Commissions - gross</v>
          </cell>
          <cell r="Y10454" t="str">
            <v>FRANCE</v>
          </cell>
        </row>
        <row r="10455">
          <cell r="L10455" t="str">
            <v>Non-proportional</v>
          </cell>
          <cell r="S10455">
            <v>908.6</v>
          </cell>
          <cell r="X10455" t="str">
            <v>Commissions - gross</v>
          </cell>
          <cell r="Y10455" t="str">
            <v>PUERTO RICO</v>
          </cell>
        </row>
        <row r="10456">
          <cell r="L10456" t="str">
            <v>Proportional</v>
          </cell>
          <cell r="S10456">
            <v>109.2</v>
          </cell>
          <cell r="X10456" t="str">
            <v>Commissions - gross</v>
          </cell>
          <cell r="Y10456" t="str">
            <v>SAUDI ARABIA</v>
          </cell>
        </row>
        <row r="10457">
          <cell r="L10457" t="str">
            <v>Non-proportional</v>
          </cell>
          <cell r="S10457">
            <v>287.06</v>
          </cell>
          <cell r="X10457" t="str">
            <v>Commissions - gross</v>
          </cell>
          <cell r="Y10457" t="str">
            <v>ISRAEL</v>
          </cell>
        </row>
        <row r="10458">
          <cell r="L10458" t="str">
            <v>Non-proportional</v>
          </cell>
          <cell r="S10458">
            <v>242.66</v>
          </cell>
          <cell r="X10458" t="str">
            <v>Commissions - gross</v>
          </cell>
          <cell r="Y10458" t="str">
            <v>INDIA</v>
          </cell>
        </row>
        <row r="10459">
          <cell r="L10459" t="str">
            <v>Non-proportional</v>
          </cell>
          <cell r="S10459">
            <v>-0.1</v>
          </cell>
          <cell r="X10459" t="str">
            <v>Commissions - gross</v>
          </cell>
          <cell r="Y10459" t="str">
            <v>GUATEMALA</v>
          </cell>
        </row>
        <row r="10460">
          <cell r="L10460" t="str">
            <v>Non-proportional</v>
          </cell>
          <cell r="S10460">
            <v>125.78</v>
          </cell>
          <cell r="X10460" t="str">
            <v>Commissions - gross</v>
          </cell>
          <cell r="Y10460" t="str">
            <v>ITALY</v>
          </cell>
        </row>
        <row r="10461">
          <cell r="L10461" t="str">
            <v>Non-proportional</v>
          </cell>
          <cell r="S10461">
            <v>875</v>
          </cell>
          <cell r="X10461" t="str">
            <v>Commissions - gross</v>
          </cell>
          <cell r="Y10461" t="str">
            <v>EUROPE</v>
          </cell>
        </row>
        <row r="10462">
          <cell r="L10462" t="str">
            <v>Proportional</v>
          </cell>
          <cell r="S10462">
            <v>389.45</v>
          </cell>
          <cell r="X10462" t="str">
            <v>Commissions - gross</v>
          </cell>
          <cell r="Y10462" t="str">
            <v>ITALY</v>
          </cell>
        </row>
        <row r="10463">
          <cell r="L10463" t="str">
            <v>Non-proportional</v>
          </cell>
          <cell r="S10463">
            <v>10241.09</v>
          </cell>
          <cell r="X10463" t="str">
            <v>Commissions - gross</v>
          </cell>
          <cell r="Y10463" t="str">
            <v>HONG KONG</v>
          </cell>
        </row>
        <row r="10464">
          <cell r="L10464" t="str">
            <v>Non-proportional</v>
          </cell>
          <cell r="S10464">
            <v>2499.98</v>
          </cell>
          <cell r="X10464" t="str">
            <v>Commissions - gross</v>
          </cell>
          <cell r="Y10464" t="str">
            <v>FRANCE</v>
          </cell>
        </row>
        <row r="10465">
          <cell r="L10465" t="str">
            <v>Non-proportional</v>
          </cell>
          <cell r="S10465">
            <v>335.29</v>
          </cell>
          <cell r="X10465" t="str">
            <v>Commissions - gross</v>
          </cell>
          <cell r="Y10465" t="str">
            <v>UNITED KINGDOM</v>
          </cell>
        </row>
        <row r="10466">
          <cell r="L10466" t="str">
            <v>Non-proportional</v>
          </cell>
          <cell r="S10466">
            <v>521.35</v>
          </cell>
          <cell r="X10466" t="str">
            <v>Commissions - gross</v>
          </cell>
          <cell r="Y10466" t="str">
            <v>ISRAEL</v>
          </cell>
        </row>
        <row r="10467">
          <cell r="L10467" t="str">
            <v>Non-proportional</v>
          </cell>
          <cell r="S10467">
            <v>-5.31</v>
          </cell>
          <cell r="X10467" t="str">
            <v>Commissions - gross</v>
          </cell>
          <cell r="Y10467" t="str">
            <v>JAPAN</v>
          </cell>
        </row>
        <row r="10468">
          <cell r="L10468" t="str">
            <v>Non-proportional</v>
          </cell>
          <cell r="S10468">
            <v>9101.65</v>
          </cell>
          <cell r="X10468" t="str">
            <v>Commissions - gross</v>
          </cell>
          <cell r="Y10468" t="str">
            <v>UNITED KINGDOM</v>
          </cell>
        </row>
        <row r="10469">
          <cell r="L10469" t="str">
            <v>Non-proportional</v>
          </cell>
          <cell r="S10469">
            <v>-14.41</v>
          </cell>
          <cell r="X10469" t="str">
            <v>Commissions - gross</v>
          </cell>
          <cell r="Y10469" t="str">
            <v>NEW ZEALAND</v>
          </cell>
        </row>
        <row r="10470">
          <cell r="L10470" t="str">
            <v>Non-proportional</v>
          </cell>
          <cell r="S10470">
            <v>721.88</v>
          </cell>
          <cell r="X10470" t="str">
            <v>Commissions - gross</v>
          </cell>
          <cell r="Y10470" t="str">
            <v>FRANCE</v>
          </cell>
        </row>
        <row r="10471">
          <cell r="L10471" t="str">
            <v>Non-proportional</v>
          </cell>
          <cell r="S10471">
            <v>905.32</v>
          </cell>
          <cell r="X10471" t="str">
            <v>Commissions - gross</v>
          </cell>
          <cell r="Y10471" t="str">
            <v>ITALY</v>
          </cell>
        </row>
        <row r="10472">
          <cell r="L10472" t="str">
            <v>Non-proportional</v>
          </cell>
          <cell r="S10472">
            <v>-25.91</v>
          </cell>
          <cell r="X10472" t="str">
            <v>Commissions - gross</v>
          </cell>
          <cell r="Y10472" t="str">
            <v>NEW ZEALAND</v>
          </cell>
        </row>
        <row r="10473">
          <cell r="L10473" t="str">
            <v>Non-proportional</v>
          </cell>
          <cell r="S10473">
            <v>578.42999999999995</v>
          </cell>
          <cell r="X10473" t="str">
            <v>Commissions - gross</v>
          </cell>
          <cell r="Y10473" t="str">
            <v>SPAIN</v>
          </cell>
        </row>
        <row r="10474">
          <cell r="L10474" t="str">
            <v>Non-proportional</v>
          </cell>
          <cell r="S10474">
            <v>1000</v>
          </cell>
          <cell r="X10474" t="str">
            <v>Commissions - gross</v>
          </cell>
          <cell r="Y10474" t="str">
            <v>ITALY</v>
          </cell>
        </row>
        <row r="10475">
          <cell r="L10475" t="str">
            <v>Non-proportional</v>
          </cell>
          <cell r="S10475">
            <v>203.9</v>
          </cell>
          <cell r="X10475" t="str">
            <v>Commissions - gross</v>
          </cell>
          <cell r="Y10475" t="str">
            <v>PERU</v>
          </cell>
        </row>
        <row r="10476">
          <cell r="L10476" t="str">
            <v>Non-proportional</v>
          </cell>
          <cell r="S10476">
            <v>299.97000000000003</v>
          </cell>
          <cell r="X10476" t="str">
            <v>Commissions - gross</v>
          </cell>
          <cell r="Y10476" t="str">
            <v>NETHERLANDS</v>
          </cell>
        </row>
        <row r="10477">
          <cell r="L10477" t="str">
            <v>Non-proportional</v>
          </cell>
          <cell r="S10477">
            <v>1448.39</v>
          </cell>
          <cell r="X10477" t="str">
            <v>Commissions - gross</v>
          </cell>
          <cell r="Y10477" t="str">
            <v>FRANCE</v>
          </cell>
        </row>
        <row r="10478">
          <cell r="L10478" t="str">
            <v>Non-proportional</v>
          </cell>
          <cell r="S10478">
            <v>3802.68</v>
          </cell>
          <cell r="X10478" t="str">
            <v>Commissions - gross</v>
          </cell>
          <cell r="Y10478" t="str">
            <v>FRANCE</v>
          </cell>
        </row>
        <row r="10479">
          <cell r="L10479" t="str">
            <v>Non-proportional</v>
          </cell>
          <cell r="S10479">
            <v>184.03</v>
          </cell>
          <cell r="X10479" t="str">
            <v>Commissions - gross</v>
          </cell>
          <cell r="Y10479" t="str">
            <v>UNITED KINGDOM</v>
          </cell>
        </row>
        <row r="10480">
          <cell r="L10480" t="str">
            <v>Non-proportional</v>
          </cell>
          <cell r="S10480">
            <v>160.36000000000001</v>
          </cell>
          <cell r="X10480" t="str">
            <v>Commissions - gross</v>
          </cell>
          <cell r="Y10480" t="str">
            <v>JAPAN</v>
          </cell>
        </row>
        <row r="10481">
          <cell r="L10481" t="str">
            <v>Non-proportional</v>
          </cell>
          <cell r="S10481">
            <v>4.4800000000000004</v>
          </cell>
          <cell r="X10481" t="str">
            <v>Commissions - gross</v>
          </cell>
          <cell r="Y10481" t="str">
            <v>ISRAEL</v>
          </cell>
        </row>
        <row r="10482">
          <cell r="L10482" t="str">
            <v>Non-proportional</v>
          </cell>
          <cell r="S10482">
            <v>286.97000000000003</v>
          </cell>
          <cell r="X10482" t="str">
            <v>Commissions - gross</v>
          </cell>
          <cell r="Y10482" t="str">
            <v>THAILAND</v>
          </cell>
        </row>
        <row r="10483">
          <cell r="L10483" t="str">
            <v>Non-proportional</v>
          </cell>
          <cell r="S10483">
            <v>6.61</v>
          </cell>
          <cell r="X10483" t="str">
            <v>Commissions - gross</v>
          </cell>
          <cell r="Y10483" t="str">
            <v>ISRAEL</v>
          </cell>
        </row>
        <row r="10484">
          <cell r="L10484" t="str">
            <v>Non-proportional</v>
          </cell>
          <cell r="S10484">
            <v>246.96</v>
          </cell>
          <cell r="X10484" t="str">
            <v>Commissions - gross</v>
          </cell>
          <cell r="Y10484" t="str">
            <v>FRANCE</v>
          </cell>
        </row>
        <row r="10485">
          <cell r="L10485" t="str">
            <v>Proportional</v>
          </cell>
          <cell r="S10485">
            <v>352.92</v>
          </cell>
          <cell r="X10485" t="str">
            <v>Commissions - gross</v>
          </cell>
          <cell r="Y10485" t="str">
            <v>CHILE</v>
          </cell>
        </row>
        <row r="10486">
          <cell r="L10486" t="str">
            <v>Non-proportional</v>
          </cell>
          <cell r="S10486">
            <v>1070.71</v>
          </cell>
          <cell r="X10486" t="str">
            <v>Commissions - gross</v>
          </cell>
          <cell r="Y10486" t="str">
            <v>FRANCE</v>
          </cell>
        </row>
        <row r="10487">
          <cell r="L10487" t="str">
            <v>Non-proportional</v>
          </cell>
          <cell r="S10487">
            <v>-11.34</v>
          </cell>
          <cell r="X10487" t="str">
            <v>Commissions - gross</v>
          </cell>
          <cell r="Y10487" t="str">
            <v>JAPAN</v>
          </cell>
        </row>
        <row r="10488">
          <cell r="L10488" t="str">
            <v>Non-proportional</v>
          </cell>
          <cell r="S10488">
            <v>1099.8900000000001</v>
          </cell>
          <cell r="X10488" t="str">
            <v>Commissions - gross</v>
          </cell>
          <cell r="Y10488" t="str">
            <v>PERU</v>
          </cell>
        </row>
        <row r="10489">
          <cell r="L10489" t="str">
            <v>Non-proportional</v>
          </cell>
          <cell r="S10489">
            <v>294.26</v>
          </cell>
          <cell r="X10489" t="str">
            <v>Commissions - gross</v>
          </cell>
          <cell r="Y10489" t="str">
            <v>THAILAND</v>
          </cell>
        </row>
        <row r="10490">
          <cell r="L10490" t="str">
            <v>Non-proportional</v>
          </cell>
          <cell r="S10490">
            <v>950.01</v>
          </cell>
          <cell r="X10490" t="str">
            <v>Commissions - gross</v>
          </cell>
          <cell r="Y10490" t="str">
            <v>TURKEY</v>
          </cell>
        </row>
        <row r="10491">
          <cell r="L10491" t="str">
            <v>Non-proportional</v>
          </cell>
          <cell r="S10491">
            <v>244.25</v>
          </cell>
          <cell r="X10491" t="str">
            <v>Commissions - gross</v>
          </cell>
          <cell r="Y10491" t="str">
            <v>CYPRUS</v>
          </cell>
        </row>
        <row r="10492">
          <cell r="L10492" t="str">
            <v>Non-proportional</v>
          </cell>
          <cell r="S10492">
            <v>0</v>
          </cell>
          <cell r="X10492" t="str">
            <v>Commissions - gross</v>
          </cell>
          <cell r="Y10492" t="str">
            <v>DOMINICAN REPUBLIC</v>
          </cell>
        </row>
        <row r="10493">
          <cell r="L10493" t="str">
            <v>Non-proportional</v>
          </cell>
          <cell r="S10493">
            <v>3.42</v>
          </cell>
          <cell r="X10493" t="str">
            <v>Commissions - gross</v>
          </cell>
          <cell r="Y10493" t="str">
            <v>ISRAEL</v>
          </cell>
        </row>
        <row r="10494">
          <cell r="L10494" t="str">
            <v>Non-proportional</v>
          </cell>
          <cell r="S10494">
            <v>991.57</v>
          </cell>
          <cell r="X10494" t="str">
            <v>Commissions - gross</v>
          </cell>
          <cell r="Y10494" t="str">
            <v>NETHERLANDS</v>
          </cell>
        </row>
        <row r="10495">
          <cell r="L10495" t="str">
            <v>Non-proportional</v>
          </cell>
          <cell r="S10495">
            <v>2468.86</v>
          </cell>
          <cell r="X10495" t="str">
            <v>Commissions - gross</v>
          </cell>
          <cell r="Y10495" t="str">
            <v>NEW ZEALAND</v>
          </cell>
        </row>
        <row r="10496">
          <cell r="L10496" t="str">
            <v>Non-proportional</v>
          </cell>
          <cell r="S10496">
            <v>-7.09</v>
          </cell>
          <cell r="X10496" t="str">
            <v>Commissions - gross</v>
          </cell>
          <cell r="Y10496" t="str">
            <v>NEW ZEALAND</v>
          </cell>
        </row>
        <row r="10497">
          <cell r="L10497" t="str">
            <v>Proportional</v>
          </cell>
          <cell r="S10497">
            <v>141.16999999999999</v>
          </cell>
          <cell r="X10497" t="str">
            <v>Commissions - gross</v>
          </cell>
          <cell r="Y10497" t="str">
            <v>CHILE</v>
          </cell>
        </row>
        <row r="10498">
          <cell r="L10498" t="str">
            <v>Non-proportional</v>
          </cell>
          <cell r="S10498">
            <v>-23.24</v>
          </cell>
          <cell r="X10498" t="str">
            <v>Commissions - gross</v>
          </cell>
          <cell r="Y10498" t="str">
            <v>SOUTH KOREA</v>
          </cell>
        </row>
        <row r="10499">
          <cell r="L10499" t="str">
            <v>Proportional</v>
          </cell>
          <cell r="S10499">
            <v>-53.92</v>
          </cell>
          <cell r="X10499" t="str">
            <v>Commissions - gross</v>
          </cell>
          <cell r="Y10499" t="str">
            <v>CHILE</v>
          </cell>
        </row>
        <row r="10500">
          <cell r="L10500" t="str">
            <v>Non-proportional</v>
          </cell>
          <cell r="S10500">
            <v>5701.94</v>
          </cell>
          <cell r="X10500" t="str">
            <v>Commissions - gross</v>
          </cell>
          <cell r="Y10500" t="str">
            <v>UNITED KINGDOM</v>
          </cell>
        </row>
        <row r="10501">
          <cell r="L10501" t="str">
            <v>Non-proportional</v>
          </cell>
          <cell r="S10501">
            <v>63.85</v>
          </cell>
          <cell r="X10501" t="str">
            <v>Commissions - gross</v>
          </cell>
          <cell r="Y10501" t="str">
            <v>MALTA</v>
          </cell>
        </row>
        <row r="10502">
          <cell r="L10502" t="str">
            <v>Non-proportional</v>
          </cell>
          <cell r="S10502">
            <v>625</v>
          </cell>
          <cell r="X10502" t="str">
            <v>Commissions - gross</v>
          </cell>
          <cell r="Y10502" t="str">
            <v>SPAIN</v>
          </cell>
        </row>
        <row r="10503">
          <cell r="L10503" t="str">
            <v>Non-proportional</v>
          </cell>
          <cell r="S10503">
            <v>646.16999999999996</v>
          </cell>
          <cell r="X10503" t="str">
            <v>Commissions - gross</v>
          </cell>
          <cell r="Y10503" t="str">
            <v>UNITED ARAB EMIRATES</v>
          </cell>
        </row>
        <row r="10504">
          <cell r="L10504" t="str">
            <v>Non-proportional</v>
          </cell>
          <cell r="S10504">
            <v>320.04000000000002</v>
          </cell>
          <cell r="X10504" t="str">
            <v>Commissions - gross</v>
          </cell>
          <cell r="Y10504" t="str">
            <v>DOMINICAN REPUBLIC</v>
          </cell>
        </row>
        <row r="10505">
          <cell r="L10505" t="str">
            <v>Non-proportional</v>
          </cell>
          <cell r="S10505">
            <v>254.74</v>
          </cell>
          <cell r="X10505" t="str">
            <v>Commissions - gross</v>
          </cell>
          <cell r="Y10505" t="str">
            <v>ECUADOR</v>
          </cell>
        </row>
        <row r="10506">
          <cell r="L10506" t="str">
            <v>Non-proportional</v>
          </cell>
          <cell r="S10506">
            <v>925.13</v>
          </cell>
          <cell r="X10506" t="str">
            <v>Commissions - gross</v>
          </cell>
          <cell r="Y10506" t="str">
            <v>ITALY</v>
          </cell>
        </row>
        <row r="10507">
          <cell r="L10507" t="str">
            <v>Non-proportional</v>
          </cell>
          <cell r="S10507">
            <v>17.89</v>
          </cell>
          <cell r="X10507" t="str">
            <v>Commissions - gross</v>
          </cell>
          <cell r="Y10507" t="str">
            <v>JAPAN</v>
          </cell>
        </row>
        <row r="10508">
          <cell r="L10508" t="str">
            <v>Proportional</v>
          </cell>
          <cell r="S10508">
            <v>-3.74</v>
          </cell>
          <cell r="X10508" t="str">
            <v>Commissions - gross</v>
          </cell>
          <cell r="Y10508" t="str">
            <v>UNITED STATES</v>
          </cell>
        </row>
        <row r="10509">
          <cell r="L10509" t="str">
            <v>Non-proportional</v>
          </cell>
          <cell r="S10509">
            <v>917.84</v>
          </cell>
          <cell r="X10509" t="str">
            <v>Commissions - gross</v>
          </cell>
          <cell r="Y10509" t="str">
            <v>FRANCE</v>
          </cell>
        </row>
        <row r="10510">
          <cell r="L10510" t="str">
            <v>Proportional</v>
          </cell>
          <cell r="S10510">
            <v>156</v>
          </cell>
          <cell r="X10510" t="str">
            <v>Commissions - gross</v>
          </cell>
          <cell r="Y10510" t="str">
            <v>SPAIN</v>
          </cell>
        </row>
        <row r="10511">
          <cell r="L10511" t="str">
            <v>Non-proportional</v>
          </cell>
          <cell r="S10511">
            <v>166.97</v>
          </cell>
          <cell r="X10511" t="str">
            <v>Commissions - gross</v>
          </cell>
          <cell r="Y10511" t="str">
            <v>JAPAN</v>
          </cell>
        </row>
        <row r="10512">
          <cell r="L10512" t="str">
            <v>Non-proportional</v>
          </cell>
          <cell r="S10512">
            <v>489.01</v>
          </cell>
          <cell r="X10512" t="str">
            <v>Commissions - gross</v>
          </cell>
          <cell r="Y10512" t="str">
            <v>FRANCE</v>
          </cell>
        </row>
        <row r="10513">
          <cell r="L10513" t="str">
            <v>Non-proportional</v>
          </cell>
          <cell r="S10513">
            <v>77.290000000000006</v>
          </cell>
          <cell r="X10513" t="str">
            <v>Commissions - gross</v>
          </cell>
          <cell r="Y10513" t="str">
            <v>REPUBLIC OF IRELAND</v>
          </cell>
        </row>
        <row r="10514">
          <cell r="L10514" t="str">
            <v>Non-proportional</v>
          </cell>
          <cell r="S10514">
            <v>406.14</v>
          </cell>
          <cell r="X10514" t="str">
            <v>Commissions - gross</v>
          </cell>
          <cell r="Y10514" t="str">
            <v>FRANCE</v>
          </cell>
        </row>
        <row r="10515">
          <cell r="L10515" t="str">
            <v>Non-proportional</v>
          </cell>
          <cell r="S10515">
            <v>0.46</v>
          </cell>
          <cell r="X10515" t="str">
            <v>Commissions - gross</v>
          </cell>
          <cell r="Y10515" t="str">
            <v>COSTA RICA</v>
          </cell>
        </row>
        <row r="10516">
          <cell r="L10516" t="str">
            <v>Non-proportional</v>
          </cell>
          <cell r="S10516">
            <v>1920.71</v>
          </cell>
          <cell r="X10516" t="str">
            <v>Commissions - gross</v>
          </cell>
          <cell r="Y10516" t="str">
            <v>MEXICO</v>
          </cell>
        </row>
        <row r="10517">
          <cell r="L10517" t="str">
            <v>Proportional</v>
          </cell>
          <cell r="S10517">
            <v>70.58</v>
          </cell>
          <cell r="X10517" t="str">
            <v>Commissions - gross</v>
          </cell>
          <cell r="Y10517" t="str">
            <v>CHILE</v>
          </cell>
        </row>
        <row r="10518">
          <cell r="L10518" t="str">
            <v>Non-proportional</v>
          </cell>
          <cell r="S10518">
            <v>531.28</v>
          </cell>
          <cell r="X10518" t="str">
            <v>Commissions - gross</v>
          </cell>
          <cell r="Y10518" t="str">
            <v>NETHERLANDS</v>
          </cell>
        </row>
        <row r="10519">
          <cell r="L10519" t="str">
            <v>Non-proportional</v>
          </cell>
          <cell r="S10519">
            <v>2471.19</v>
          </cell>
          <cell r="X10519" t="str">
            <v>Commissions - gross</v>
          </cell>
          <cell r="Y10519" t="str">
            <v>TURKEY</v>
          </cell>
        </row>
        <row r="10520">
          <cell r="L10520" t="str">
            <v>Non-proportional</v>
          </cell>
          <cell r="S10520">
            <v>26092.54</v>
          </cell>
          <cell r="X10520" t="str">
            <v>Commissions - gross</v>
          </cell>
          <cell r="Y10520" t="str">
            <v>UNITED KINGDOM</v>
          </cell>
        </row>
        <row r="10521">
          <cell r="L10521" t="str">
            <v>Non-proportional</v>
          </cell>
          <cell r="S10521">
            <v>1.1399999999999999</v>
          </cell>
          <cell r="X10521" t="str">
            <v>Commissions - gross</v>
          </cell>
          <cell r="Y10521" t="str">
            <v>ISRAEL</v>
          </cell>
        </row>
        <row r="10522">
          <cell r="L10522" t="str">
            <v>Non-proportional</v>
          </cell>
          <cell r="S10522">
            <v>84.38</v>
          </cell>
          <cell r="X10522" t="str">
            <v>Commissions - gross</v>
          </cell>
          <cell r="Y10522" t="str">
            <v>GREECE</v>
          </cell>
        </row>
        <row r="10523">
          <cell r="L10523" t="str">
            <v>Non-proportional</v>
          </cell>
          <cell r="S10523">
            <v>245.56</v>
          </cell>
          <cell r="X10523" t="str">
            <v>Commissions - gross</v>
          </cell>
          <cell r="Y10523" t="str">
            <v>UNITED KINGDOM</v>
          </cell>
        </row>
        <row r="10524">
          <cell r="L10524" t="str">
            <v>Non-proportional</v>
          </cell>
          <cell r="S10524">
            <v>533.6</v>
          </cell>
          <cell r="X10524" t="str">
            <v>Commissions - gross</v>
          </cell>
          <cell r="Y10524" t="str">
            <v>ISRAEL</v>
          </cell>
        </row>
        <row r="10525">
          <cell r="L10525" t="str">
            <v>Non-proportional</v>
          </cell>
          <cell r="S10525">
            <v>-5.4</v>
          </cell>
          <cell r="X10525" t="str">
            <v>Commissions - gross</v>
          </cell>
          <cell r="Y10525" t="str">
            <v>JAPAN</v>
          </cell>
        </row>
        <row r="10526">
          <cell r="L10526" t="str">
            <v>Non-proportional</v>
          </cell>
          <cell r="S10526">
            <v>213.1</v>
          </cell>
          <cell r="X10526" t="str">
            <v>Commissions - gross</v>
          </cell>
          <cell r="Y10526" t="str">
            <v>JAPAN</v>
          </cell>
        </row>
        <row r="10527">
          <cell r="L10527" t="str">
            <v>Non-proportional</v>
          </cell>
          <cell r="S10527">
            <v>130.29</v>
          </cell>
          <cell r="X10527" t="str">
            <v>Commissions - gross</v>
          </cell>
          <cell r="Y10527" t="str">
            <v>JAPAN</v>
          </cell>
        </row>
        <row r="10528">
          <cell r="L10528" t="str">
            <v>Non-proportional</v>
          </cell>
          <cell r="S10528">
            <v>283.24</v>
          </cell>
          <cell r="X10528" t="str">
            <v>Commissions - gross</v>
          </cell>
          <cell r="Y10528" t="str">
            <v>ISRAEL</v>
          </cell>
        </row>
        <row r="10529">
          <cell r="L10529" t="str">
            <v>Non-proportional</v>
          </cell>
          <cell r="S10529">
            <v>284.52</v>
          </cell>
          <cell r="X10529" t="str">
            <v>Commissions - gross</v>
          </cell>
          <cell r="Y10529" t="str">
            <v>JAPAN</v>
          </cell>
        </row>
        <row r="10530">
          <cell r="L10530" t="str">
            <v>Non-proportional</v>
          </cell>
          <cell r="S10530">
            <v>511.42</v>
          </cell>
          <cell r="X10530" t="str">
            <v>Commissions - gross</v>
          </cell>
          <cell r="Y10530" t="str">
            <v>DOMINICAN REPUBLIC</v>
          </cell>
        </row>
        <row r="10531">
          <cell r="L10531" t="str">
            <v>Non-proportional</v>
          </cell>
          <cell r="S10531">
            <v>379.07</v>
          </cell>
          <cell r="X10531" t="str">
            <v>Commissions - gross</v>
          </cell>
          <cell r="Y10531" t="str">
            <v>ECUADOR</v>
          </cell>
        </row>
        <row r="10532">
          <cell r="L10532" t="str">
            <v>Non-proportional</v>
          </cell>
          <cell r="S10532">
            <v>870.83</v>
          </cell>
          <cell r="X10532" t="str">
            <v>Commissions - gross</v>
          </cell>
          <cell r="Y10532" t="str">
            <v>TURKEY</v>
          </cell>
        </row>
        <row r="10533">
          <cell r="L10533" t="str">
            <v>Non-proportional</v>
          </cell>
          <cell r="S10533">
            <v>328.13</v>
          </cell>
          <cell r="X10533" t="str">
            <v>Commissions - gross</v>
          </cell>
          <cell r="Y10533" t="str">
            <v>ITALY</v>
          </cell>
        </row>
        <row r="10534">
          <cell r="L10534" t="str">
            <v>Non-proportional</v>
          </cell>
          <cell r="S10534">
            <v>291.06</v>
          </cell>
          <cell r="X10534" t="str">
            <v>Commissions - gross</v>
          </cell>
          <cell r="Y10534" t="str">
            <v>JAPAN</v>
          </cell>
        </row>
        <row r="10535">
          <cell r="L10535" t="str">
            <v>Non-proportional</v>
          </cell>
          <cell r="S10535">
            <v>176.46</v>
          </cell>
          <cell r="X10535" t="str">
            <v>Commissions - gross</v>
          </cell>
          <cell r="Y10535" t="str">
            <v>CHILE</v>
          </cell>
        </row>
        <row r="10536">
          <cell r="L10536" t="str">
            <v>Non-proportional</v>
          </cell>
          <cell r="S10536">
            <v>334.22</v>
          </cell>
          <cell r="X10536" t="str">
            <v>Commissions - gross</v>
          </cell>
          <cell r="Y10536" t="str">
            <v>UNITED KINGDOM</v>
          </cell>
        </row>
        <row r="10537">
          <cell r="L10537" t="str">
            <v>Non-proportional</v>
          </cell>
          <cell r="S10537">
            <v>789.75</v>
          </cell>
          <cell r="X10537" t="str">
            <v>Commissions - gross</v>
          </cell>
          <cell r="Y10537" t="str">
            <v>ITALY</v>
          </cell>
        </row>
        <row r="10538">
          <cell r="L10538" t="str">
            <v>Non-proportional</v>
          </cell>
          <cell r="S10538">
            <v>145.83000000000001</v>
          </cell>
          <cell r="X10538" t="str">
            <v>Commissions - gross</v>
          </cell>
          <cell r="Y10538" t="str">
            <v>GREECE</v>
          </cell>
        </row>
        <row r="10539">
          <cell r="L10539" t="str">
            <v>Non-proportional</v>
          </cell>
          <cell r="S10539">
            <v>375.48</v>
          </cell>
          <cell r="X10539" t="str">
            <v>Commissions - gross</v>
          </cell>
          <cell r="Y10539" t="str">
            <v>ISRAEL</v>
          </cell>
        </row>
        <row r="10540">
          <cell r="L10540" t="str">
            <v>Non-proportional</v>
          </cell>
          <cell r="S10540">
            <v>438.96</v>
          </cell>
          <cell r="X10540" t="str">
            <v>Commissions - gross</v>
          </cell>
          <cell r="Y10540" t="str">
            <v>ITALY</v>
          </cell>
        </row>
        <row r="10541">
          <cell r="L10541" t="str">
            <v>Non-proportional</v>
          </cell>
          <cell r="S10541">
            <v>418.59</v>
          </cell>
          <cell r="X10541" t="str">
            <v>Commissions - gross</v>
          </cell>
          <cell r="Y10541" t="str">
            <v>FRANCE</v>
          </cell>
        </row>
        <row r="10542">
          <cell r="L10542" t="str">
            <v>Non-proportional</v>
          </cell>
          <cell r="S10542">
            <v>1701.18</v>
          </cell>
          <cell r="X10542" t="str">
            <v>Commissions - gross</v>
          </cell>
          <cell r="Y10542" t="str">
            <v>JAPAN</v>
          </cell>
        </row>
        <row r="10543">
          <cell r="L10543" t="str">
            <v>Non-proportional</v>
          </cell>
          <cell r="S10543">
            <v>131.57</v>
          </cell>
          <cell r="X10543" t="str">
            <v>Commissions - gross</v>
          </cell>
          <cell r="Y10543" t="str">
            <v>COLOMBIA</v>
          </cell>
        </row>
        <row r="10544">
          <cell r="L10544" t="str">
            <v>Non-proportional</v>
          </cell>
          <cell r="S10544">
            <v>72.14</v>
          </cell>
          <cell r="X10544" t="str">
            <v>Commissions - gross</v>
          </cell>
          <cell r="Y10544" t="str">
            <v>ECUADOR</v>
          </cell>
        </row>
        <row r="10545">
          <cell r="L10545" t="str">
            <v>Non-proportional</v>
          </cell>
          <cell r="S10545">
            <v>130.29</v>
          </cell>
          <cell r="X10545" t="str">
            <v>Commissions - gross</v>
          </cell>
          <cell r="Y10545" t="str">
            <v>JAPAN</v>
          </cell>
        </row>
        <row r="10546">
          <cell r="L10546" t="str">
            <v>Non-proportional</v>
          </cell>
          <cell r="S10546">
            <v>313.02</v>
          </cell>
          <cell r="X10546" t="str">
            <v>Commissions - gross</v>
          </cell>
          <cell r="Y10546" t="str">
            <v>UNITED KINGDOM</v>
          </cell>
        </row>
        <row r="10547">
          <cell r="L10547" t="str">
            <v>Non-proportional</v>
          </cell>
          <cell r="S10547">
            <v>320.95</v>
          </cell>
          <cell r="X10547" t="str">
            <v>Commissions - gross</v>
          </cell>
          <cell r="Y10547" t="str">
            <v>INDIA</v>
          </cell>
        </row>
        <row r="10548">
          <cell r="L10548" t="str">
            <v>Non-proportional</v>
          </cell>
          <cell r="S10548">
            <v>507.59</v>
          </cell>
          <cell r="X10548" t="str">
            <v>Commissions - gross</v>
          </cell>
          <cell r="Y10548" t="str">
            <v>COLOMBIA</v>
          </cell>
        </row>
        <row r="10549">
          <cell r="L10549" t="str">
            <v>Non-proportional</v>
          </cell>
          <cell r="S10549">
            <v>1028.29</v>
          </cell>
          <cell r="X10549" t="str">
            <v>Commissions - gross</v>
          </cell>
          <cell r="Y10549" t="str">
            <v>NEW ZEALAND</v>
          </cell>
        </row>
        <row r="10550">
          <cell r="L10550" t="str">
            <v>Non-proportional</v>
          </cell>
          <cell r="S10550">
            <v>-4.21</v>
          </cell>
          <cell r="X10550" t="str">
            <v>Commissions - gross</v>
          </cell>
          <cell r="Y10550" t="str">
            <v>JAPAN</v>
          </cell>
        </row>
        <row r="10551">
          <cell r="L10551" t="str">
            <v>Non-proportional</v>
          </cell>
          <cell r="S10551">
            <v>3.4</v>
          </cell>
          <cell r="X10551" t="str">
            <v>Commissions - gross</v>
          </cell>
          <cell r="Y10551" t="str">
            <v>ISRAEL</v>
          </cell>
        </row>
        <row r="10552">
          <cell r="L10552" t="str">
            <v>Non-proportional</v>
          </cell>
          <cell r="S10552">
            <v>2688.72</v>
          </cell>
          <cell r="X10552" t="str">
            <v>Commissions - gross</v>
          </cell>
          <cell r="Y10552" t="str">
            <v>AUSTRALIA</v>
          </cell>
        </row>
        <row r="10553">
          <cell r="L10553" t="str">
            <v>Non-proportional</v>
          </cell>
          <cell r="S10553">
            <v>99.97</v>
          </cell>
          <cell r="X10553" t="str">
            <v>Commissions - gross</v>
          </cell>
          <cell r="Y10553" t="str">
            <v>JAPAN</v>
          </cell>
        </row>
        <row r="10554">
          <cell r="L10554" t="str">
            <v>Non-proportional</v>
          </cell>
          <cell r="S10554">
            <v>891.71</v>
          </cell>
          <cell r="X10554" t="str">
            <v>Commissions - gross</v>
          </cell>
          <cell r="Y10554" t="str">
            <v>TURKEY</v>
          </cell>
        </row>
        <row r="10555">
          <cell r="L10555" t="str">
            <v>Non-proportional</v>
          </cell>
          <cell r="S10555">
            <v>32.369999999999997</v>
          </cell>
          <cell r="X10555" t="str">
            <v>Commissions - gross</v>
          </cell>
          <cell r="Y10555" t="str">
            <v>TURKEY</v>
          </cell>
        </row>
        <row r="10556">
          <cell r="L10556" t="str">
            <v>Non-proportional</v>
          </cell>
          <cell r="S10556">
            <v>347.27</v>
          </cell>
          <cell r="X10556" t="str">
            <v>Commissions - gross</v>
          </cell>
          <cell r="Y10556" t="str">
            <v>JAPAN</v>
          </cell>
        </row>
        <row r="10557">
          <cell r="L10557" t="str">
            <v>Non-proportional</v>
          </cell>
          <cell r="S10557">
            <v>-21.46</v>
          </cell>
          <cell r="X10557" t="str">
            <v>Commissions - gross</v>
          </cell>
          <cell r="Y10557" t="str">
            <v>NEW ZEALAND</v>
          </cell>
        </row>
        <row r="10558">
          <cell r="L10558" t="str">
            <v>Non-proportional</v>
          </cell>
          <cell r="S10558">
            <v>647.13</v>
          </cell>
          <cell r="X10558" t="str">
            <v>Commissions - gross</v>
          </cell>
          <cell r="Y10558" t="str">
            <v>NEW ZEALAND</v>
          </cell>
        </row>
        <row r="10559">
          <cell r="L10559" t="str">
            <v>Non-proportional</v>
          </cell>
          <cell r="S10559">
            <v>41.77</v>
          </cell>
          <cell r="X10559" t="str">
            <v>Commissions - gross</v>
          </cell>
          <cell r="Y10559" t="str">
            <v>NETHERLANDS</v>
          </cell>
        </row>
        <row r="10560">
          <cell r="L10560" t="str">
            <v>Non-proportional</v>
          </cell>
          <cell r="S10560">
            <v>6472.91</v>
          </cell>
          <cell r="X10560" t="str">
            <v>Commissions - gross</v>
          </cell>
          <cell r="Y10560" t="str">
            <v>UNITED KINGDOM</v>
          </cell>
        </row>
        <row r="10561">
          <cell r="L10561" t="str">
            <v>Non-proportional</v>
          </cell>
          <cell r="S10561">
            <v>113.12</v>
          </cell>
          <cell r="X10561" t="str">
            <v>Commissions - gross</v>
          </cell>
          <cell r="Y10561" t="str">
            <v>CYPRUS</v>
          </cell>
        </row>
        <row r="10562">
          <cell r="L10562" t="str">
            <v>Non-proportional</v>
          </cell>
          <cell r="S10562">
            <v>16.75</v>
          </cell>
          <cell r="X10562" t="str">
            <v>Commissions - gross</v>
          </cell>
          <cell r="Y10562" t="str">
            <v>FRANCE</v>
          </cell>
        </row>
        <row r="10563">
          <cell r="L10563" t="str">
            <v>Non-proportional</v>
          </cell>
          <cell r="S10563">
            <v>753.7</v>
          </cell>
          <cell r="X10563" t="str">
            <v>Commissions - gross</v>
          </cell>
          <cell r="Y10563" t="str">
            <v>COLOMBIA</v>
          </cell>
        </row>
        <row r="10564">
          <cell r="L10564" t="str">
            <v>Non-proportional</v>
          </cell>
          <cell r="S10564">
            <v>355.74</v>
          </cell>
          <cell r="X10564" t="str">
            <v>Commissions - gross</v>
          </cell>
          <cell r="Y10564" t="str">
            <v>ISRAEL</v>
          </cell>
        </row>
        <row r="10565">
          <cell r="L10565" t="str">
            <v>Non-proportional</v>
          </cell>
          <cell r="S10565">
            <v>585.13</v>
          </cell>
          <cell r="X10565" t="str">
            <v>Commissions - gross</v>
          </cell>
          <cell r="Y10565" t="str">
            <v>ITALY</v>
          </cell>
        </row>
        <row r="10566">
          <cell r="L10566" t="str">
            <v>Non-proportional</v>
          </cell>
          <cell r="S10566">
            <v>1700.88</v>
          </cell>
          <cell r="X10566" t="str">
            <v>Commissions - gross</v>
          </cell>
          <cell r="Y10566" t="str">
            <v>UNITED KINGDOM</v>
          </cell>
        </row>
        <row r="10567">
          <cell r="L10567" t="str">
            <v>Non-proportional</v>
          </cell>
          <cell r="S10567">
            <v>79.75</v>
          </cell>
          <cell r="X10567" t="str">
            <v>Commissions - gross</v>
          </cell>
          <cell r="Y10567" t="str">
            <v>PERU</v>
          </cell>
        </row>
        <row r="10568">
          <cell r="L10568" t="str">
            <v>Non-proportional</v>
          </cell>
          <cell r="S10568">
            <v>530.57000000000005</v>
          </cell>
          <cell r="X10568" t="str">
            <v>Commissions - gross</v>
          </cell>
          <cell r="Y10568" t="str">
            <v>ECUADOR</v>
          </cell>
        </row>
        <row r="10569">
          <cell r="L10569" t="str">
            <v>Non-proportional</v>
          </cell>
          <cell r="S10569">
            <v>-5.62</v>
          </cell>
          <cell r="X10569" t="str">
            <v>Commissions - gross</v>
          </cell>
          <cell r="Y10569" t="str">
            <v>JAPAN</v>
          </cell>
        </row>
        <row r="10570">
          <cell r="L10570" t="str">
            <v>Non-proportional</v>
          </cell>
          <cell r="S10570">
            <v>4594.1099999999997</v>
          </cell>
          <cell r="X10570" t="str">
            <v>Commissions - gross</v>
          </cell>
          <cell r="Y10570" t="str">
            <v>UNITED KINGDOM</v>
          </cell>
        </row>
        <row r="10571">
          <cell r="L10571" t="str">
            <v>Proportional</v>
          </cell>
          <cell r="S10571">
            <v>133.13999999999999</v>
          </cell>
          <cell r="X10571" t="str">
            <v>Commissions - gross</v>
          </cell>
          <cell r="Y10571" t="str">
            <v>MEXICO</v>
          </cell>
        </row>
        <row r="10572">
          <cell r="L10572" t="str">
            <v>Non-proportional</v>
          </cell>
          <cell r="S10572">
            <v>-2.44</v>
          </cell>
          <cell r="X10572" t="str">
            <v>Commissions - gross</v>
          </cell>
          <cell r="Y10572" t="str">
            <v>JAPAN</v>
          </cell>
        </row>
        <row r="10573">
          <cell r="L10573" t="str">
            <v>Non-proportional</v>
          </cell>
          <cell r="S10573">
            <v>938.5</v>
          </cell>
          <cell r="X10573" t="str">
            <v>Commissions - gross</v>
          </cell>
          <cell r="Y10573" t="str">
            <v>UNITED KINGDOM</v>
          </cell>
        </row>
        <row r="10574">
          <cell r="L10574" t="str">
            <v>Non-proportional</v>
          </cell>
          <cell r="S10574">
            <v>-0.16</v>
          </cell>
          <cell r="X10574" t="str">
            <v>Commissions - gross</v>
          </cell>
          <cell r="Y10574" t="str">
            <v>GUATEMALA</v>
          </cell>
        </row>
        <row r="10575">
          <cell r="L10575" t="str">
            <v>Non-proportional</v>
          </cell>
          <cell r="S10575">
            <v>1433.12</v>
          </cell>
          <cell r="X10575" t="str">
            <v>Commissions - gross</v>
          </cell>
          <cell r="Y10575" t="str">
            <v>FRANCE</v>
          </cell>
        </row>
        <row r="10576">
          <cell r="L10576" t="str">
            <v>Non-proportional</v>
          </cell>
          <cell r="S10576">
            <v>183.26</v>
          </cell>
          <cell r="X10576" t="str">
            <v>Commissions - gross</v>
          </cell>
          <cell r="Y10576" t="str">
            <v>SOUTH AFRICA</v>
          </cell>
        </row>
        <row r="10577">
          <cell r="L10577" t="str">
            <v>Non-proportional</v>
          </cell>
          <cell r="S10577">
            <v>294.85000000000002</v>
          </cell>
          <cell r="X10577" t="str">
            <v>Commissions - gross</v>
          </cell>
          <cell r="Y10577" t="str">
            <v>ECUADOR</v>
          </cell>
        </row>
        <row r="10578">
          <cell r="L10578" t="str">
            <v>Non-proportional</v>
          </cell>
          <cell r="S10578">
            <v>13.29</v>
          </cell>
          <cell r="X10578" t="str">
            <v>Commissions - gross</v>
          </cell>
          <cell r="Y10578" t="str">
            <v>ITALY</v>
          </cell>
        </row>
        <row r="10579">
          <cell r="L10579" t="str">
            <v>Non-proportional</v>
          </cell>
          <cell r="S10579">
            <v>981.37</v>
          </cell>
          <cell r="X10579" t="str">
            <v>Commissions - gross</v>
          </cell>
          <cell r="Y10579" t="str">
            <v>DOMINICAN REPUBLIC</v>
          </cell>
        </row>
        <row r="10580">
          <cell r="L10580" t="str">
            <v>Non-proportional</v>
          </cell>
          <cell r="S10580">
            <v>177.75</v>
          </cell>
          <cell r="X10580" t="str">
            <v>Commissions - gross</v>
          </cell>
          <cell r="Y10580" t="str">
            <v>GREECE</v>
          </cell>
        </row>
        <row r="10581">
          <cell r="L10581" t="str">
            <v>Non-proportional</v>
          </cell>
          <cell r="S10581">
            <v>784.15</v>
          </cell>
          <cell r="X10581" t="str">
            <v>Commissions - gross</v>
          </cell>
          <cell r="Y10581" t="str">
            <v>COLOMBIA</v>
          </cell>
        </row>
        <row r="10582">
          <cell r="L10582" t="str">
            <v>Non-proportional</v>
          </cell>
          <cell r="S10582">
            <v>-4.05</v>
          </cell>
          <cell r="X10582" t="str">
            <v>Commissions - gross</v>
          </cell>
          <cell r="Y10582" t="str">
            <v>JAPAN</v>
          </cell>
        </row>
        <row r="10583">
          <cell r="L10583" t="str">
            <v>Non-proportional</v>
          </cell>
          <cell r="S10583">
            <v>338.18</v>
          </cell>
          <cell r="X10583" t="str">
            <v>Commissions - gross</v>
          </cell>
          <cell r="Y10583" t="str">
            <v>ITALY</v>
          </cell>
        </row>
        <row r="10584">
          <cell r="L10584" t="str">
            <v>Non-proportional</v>
          </cell>
          <cell r="S10584">
            <v>662.95</v>
          </cell>
          <cell r="X10584" t="str">
            <v>Commissions - gross</v>
          </cell>
          <cell r="Y10584" t="str">
            <v>JAPAN</v>
          </cell>
        </row>
        <row r="10585">
          <cell r="L10585" t="str">
            <v>Non-proportional</v>
          </cell>
          <cell r="S10585">
            <v>72.16</v>
          </cell>
          <cell r="X10585" t="str">
            <v>Commissions - gross</v>
          </cell>
          <cell r="Y10585" t="str">
            <v>ISRAEL</v>
          </cell>
        </row>
        <row r="10586">
          <cell r="L10586" t="str">
            <v>Non-proportional</v>
          </cell>
          <cell r="S10586">
            <v>5.9</v>
          </cell>
          <cell r="X10586" t="str">
            <v>Commissions - gross</v>
          </cell>
          <cell r="Y10586" t="str">
            <v>THAILAND</v>
          </cell>
        </row>
        <row r="10587">
          <cell r="L10587" t="str">
            <v>Non-proportional</v>
          </cell>
          <cell r="S10587">
            <v>9.31</v>
          </cell>
          <cell r="X10587" t="str">
            <v>Commissions - gross</v>
          </cell>
          <cell r="Y10587" t="str">
            <v>BRAZIL</v>
          </cell>
        </row>
        <row r="10588">
          <cell r="L10588" t="str">
            <v>Non-proportional</v>
          </cell>
          <cell r="S10588">
            <v>146.27000000000001</v>
          </cell>
          <cell r="X10588" t="str">
            <v>Commissions - gross</v>
          </cell>
          <cell r="Y10588" t="str">
            <v>UNITED KINGDOM</v>
          </cell>
        </row>
        <row r="10589">
          <cell r="L10589" t="str">
            <v>Non-proportional</v>
          </cell>
          <cell r="S10589">
            <v>133.03</v>
          </cell>
          <cell r="X10589" t="str">
            <v>Commissions - gross</v>
          </cell>
          <cell r="Y10589" t="str">
            <v>FRANCE</v>
          </cell>
        </row>
        <row r="10590">
          <cell r="L10590" t="str">
            <v>Proportional</v>
          </cell>
          <cell r="S10590">
            <v>-74.150000000000006</v>
          </cell>
          <cell r="X10590" t="str">
            <v>Commissions - gross</v>
          </cell>
          <cell r="Y10590" t="str">
            <v>UNITED STATES</v>
          </cell>
        </row>
        <row r="10591">
          <cell r="L10591" t="str">
            <v>Non-proportional</v>
          </cell>
          <cell r="S10591">
            <v>70.58</v>
          </cell>
          <cell r="X10591" t="str">
            <v>Commissions - gross</v>
          </cell>
          <cell r="Y10591" t="str">
            <v>CHILE</v>
          </cell>
        </row>
        <row r="10592">
          <cell r="L10592" t="str">
            <v>Non-proportional</v>
          </cell>
          <cell r="S10592">
            <v>279.79000000000002</v>
          </cell>
          <cell r="X10592" t="str">
            <v>Commissions - gross</v>
          </cell>
          <cell r="Y10592" t="str">
            <v>AUSTRALIA</v>
          </cell>
        </row>
        <row r="10593">
          <cell r="L10593" t="str">
            <v>Proportional</v>
          </cell>
          <cell r="S10593">
            <v>88.62</v>
          </cell>
          <cell r="X10593" t="str">
            <v>Commissions - gross</v>
          </cell>
          <cell r="Y10593" t="str">
            <v>UNITED STATES</v>
          </cell>
        </row>
        <row r="10594">
          <cell r="L10594" t="str">
            <v>Non-proportional</v>
          </cell>
          <cell r="S10594">
            <v>158.74</v>
          </cell>
          <cell r="X10594" t="str">
            <v>Commissions - gross</v>
          </cell>
          <cell r="Y10594" t="str">
            <v>ITALY</v>
          </cell>
        </row>
        <row r="10595">
          <cell r="L10595" t="str">
            <v>Non-proportional</v>
          </cell>
          <cell r="S10595">
            <v>802.05</v>
          </cell>
          <cell r="X10595" t="str">
            <v>Commissions - gross</v>
          </cell>
          <cell r="Y10595" t="str">
            <v>TURKEY</v>
          </cell>
        </row>
        <row r="10596">
          <cell r="L10596" t="str">
            <v>Non-proportional</v>
          </cell>
          <cell r="S10596">
            <v>0.42</v>
          </cell>
          <cell r="X10596" t="str">
            <v>Commissions - gross</v>
          </cell>
          <cell r="Y10596" t="str">
            <v>COSTA RICA</v>
          </cell>
        </row>
        <row r="10597">
          <cell r="L10597" t="str">
            <v>Non-proportional</v>
          </cell>
          <cell r="S10597">
            <v>494.08</v>
          </cell>
          <cell r="X10597" t="str">
            <v>Commissions - gross</v>
          </cell>
          <cell r="Y10597" t="str">
            <v>CHILE</v>
          </cell>
        </row>
        <row r="10598">
          <cell r="L10598" t="str">
            <v>Proportional</v>
          </cell>
          <cell r="S10598">
            <v>35.29</v>
          </cell>
          <cell r="X10598" t="str">
            <v>Commissions - gross</v>
          </cell>
          <cell r="Y10598" t="str">
            <v>CHILE</v>
          </cell>
        </row>
        <row r="10599">
          <cell r="L10599" t="str">
            <v>Non-proportional</v>
          </cell>
          <cell r="S10599">
            <v>309.22000000000003</v>
          </cell>
          <cell r="X10599" t="str">
            <v>Commissions - gross</v>
          </cell>
          <cell r="Y10599" t="str">
            <v>PERU</v>
          </cell>
        </row>
        <row r="10600">
          <cell r="L10600" t="str">
            <v>Non-proportional</v>
          </cell>
          <cell r="S10600">
            <v>852.42</v>
          </cell>
          <cell r="X10600" t="str">
            <v>Commissions - gross</v>
          </cell>
          <cell r="Y10600" t="str">
            <v>ECUADOR</v>
          </cell>
        </row>
        <row r="10601">
          <cell r="L10601" t="str">
            <v>Non-proportional</v>
          </cell>
          <cell r="S10601">
            <v>267.26</v>
          </cell>
          <cell r="X10601" t="str">
            <v>Commissions - gross</v>
          </cell>
          <cell r="Y10601" t="str">
            <v>ECUADOR</v>
          </cell>
        </row>
        <row r="10602">
          <cell r="L10602" t="str">
            <v>Non-proportional</v>
          </cell>
          <cell r="S10602">
            <v>206.61</v>
          </cell>
          <cell r="X10602" t="str">
            <v>Commissions - gross</v>
          </cell>
          <cell r="Y10602" t="str">
            <v>CHINA</v>
          </cell>
        </row>
        <row r="10603">
          <cell r="L10603" t="str">
            <v>Non-proportional</v>
          </cell>
          <cell r="S10603">
            <v>148.08000000000001</v>
          </cell>
          <cell r="X10603" t="str">
            <v>Commissions - gross</v>
          </cell>
          <cell r="Y10603" t="str">
            <v>FRANCE</v>
          </cell>
        </row>
        <row r="10604">
          <cell r="L10604" t="str">
            <v>Non-proportional</v>
          </cell>
          <cell r="S10604">
            <v>934.81</v>
          </cell>
          <cell r="X10604" t="str">
            <v>Commissions - gross</v>
          </cell>
          <cell r="Y10604" t="str">
            <v>NETHERLANDS</v>
          </cell>
        </row>
        <row r="10605">
          <cell r="L10605" t="str">
            <v>Non-proportional</v>
          </cell>
          <cell r="S10605">
            <v>0</v>
          </cell>
          <cell r="X10605" t="str">
            <v>Commissions - gross</v>
          </cell>
          <cell r="Y10605" t="str">
            <v>COLOMBIA</v>
          </cell>
        </row>
        <row r="10606">
          <cell r="L10606" t="str">
            <v>Non-proportional</v>
          </cell>
          <cell r="S10606">
            <v>425.07</v>
          </cell>
          <cell r="X10606" t="str">
            <v>Commissions - gross</v>
          </cell>
          <cell r="Y10606" t="str">
            <v>ITALY</v>
          </cell>
        </row>
        <row r="10607">
          <cell r="L10607" t="str">
            <v>Non-proportional</v>
          </cell>
          <cell r="S10607">
            <v>-11.28</v>
          </cell>
          <cell r="X10607" t="str">
            <v>Commissions - gross</v>
          </cell>
          <cell r="Y10607" t="str">
            <v>JAPAN</v>
          </cell>
        </row>
        <row r="10608">
          <cell r="L10608" t="str">
            <v>Proportional</v>
          </cell>
          <cell r="S10608">
            <v>35.29</v>
          </cell>
          <cell r="X10608" t="str">
            <v>Commissions - gross</v>
          </cell>
          <cell r="Y10608" t="str">
            <v>CHILE</v>
          </cell>
        </row>
        <row r="10609">
          <cell r="L10609" t="str">
            <v>Non-proportional</v>
          </cell>
          <cell r="S10609">
            <v>458.79</v>
          </cell>
          <cell r="X10609" t="str">
            <v>Commissions - gross</v>
          </cell>
          <cell r="Y10609" t="str">
            <v>CHILE</v>
          </cell>
        </row>
        <row r="10610">
          <cell r="L10610" t="str">
            <v>Non-proportional</v>
          </cell>
          <cell r="S10610">
            <v>2019.75</v>
          </cell>
          <cell r="X10610" t="str">
            <v>Commissions - gross</v>
          </cell>
          <cell r="Y10610" t="str">
            <v>ITALY</v>
          </cell>
        </row>
        <row r="10611">
          <cell r="L10611" t="str">
            <v>Non-proportional</v>
          </cell>
          <cell r="S10611">
            <v>359.24</v>
          </cell>
          <cell r="X10611" t="str">
            <v>Commissions - gross</v>
          </cell>
          <cell r="Y10611" t="str">
            <v>FRANCE</v>
          </cell>
        </row>
        <row r="10612">
          <cell r="L10612" t="str">
            <v>Non-proportional</v>
          </cell>
          <cell r="S10612">
            <v>629</v>
          </cell>
          <cell r="X10612" t="str">
            <v>Commissions - gross</v>
          </cell>
          <cell r="Y10612" t="str">
            <v>ISRAEL</v>
          </cell>
        </row>
        <row r="10613">
          <cell r="L10613" t="str">
            <v>Non-proportional</v>
          </cell>
          <cell r="S10613">
            <v>621.48</v>
          </cell>
          <cell r="X10613" t="str">
            <v>Commissions - gross</v>
          </cell>
          <cell r="Y10613" t="str">
            <v>MEXICO</v>
          </cell>
        </row>
        <row r="10614">
          <cell r="L10614" t="str">
            <v>Proportional</v>
          </cell>
          <cell r="S10614">
            <v>8.09</v>
          </cell>
          <cell r="X10614" t="str">
            <v>Commissions - gross</v>
          </cell>
          <cell r="Y10614" t="str">
            <v>UNITED STATES</v>
          </cell>
        </row>
        <row r="10615">
          <cell r="L10615" t="str">
            <v>Non-proportional</v>
          </cell>
          <cell r="S10615">
            <v>220.24</v>
          </cell>
          <cell r="X10615" t="str">
            <v>Commissions - gross</v>
          </cell>
          <cell r="Y10615" t="str">
            <v>CHINA</v>
          </cell>
        </row>
        <row r="10616">
          <cell r="L10616" t="str">
            <v>Non-proportional</v>
          </cell>
          <cell r="S10616">
            <v>1542.95</v>
          </cell>
          <cell r="X10616" t="str">
            <v>Commissions - gross</v>
          </cell>
          <cell r="Y10616" t="str">
            <v>SOUTH KOREA</v>
          </cell>
        </row>
        <row r="10617">
          <cell r="L10617" t="str">
            <v>Non-proportional</v>
          </cell>
          <cell r="S10617">
            <v>28.63</v>
          </cell>
          <cell r="X10617" t="str">
            <v>Commissions - gross</v>
          </cell>
          <cell r="Y10617" t="str">
            <v>REPUBLIC OF IRELAND</v>
          </cell>
        </row>
        <row r="10618">
          <cell r="L10618" t="str">
            <v>Non-proportional</v>
          </cell>
          <cell r="S10618">
            <v>164.72</v>
          </cell>
          <cell r="X10618" t="str">
            <v>Commissions - gross</v>
          </cell>
          <cell r="Y10618" t="str">
            <v>CHINA</v>
          </cell>
        </row>
        <row r="10619">
          <cell r="L10619" t="str">
            <v>Non-proportional</v>
          </cell>
          <cell r="S10619">
            <v>997.75</v>
          </cell>
          <cell r="X10619" t="str">
            <v>Commissions - gross</v>
          </cell>
          <cell r="Y10619" t="str">
            <v>ITALY</v>
          </cell>
        </row>
        <row r="10620">
          <cell r="L10620" t="str">
            <v>Non-proportional</v>
          </cell>
          <cell r="S10620">
            <v>1265.96</v>
          </cell>
          <cell r="X10620" t="str">
            <v>Commissions - gross</v>
          </cell>
          <cell r="Y10620" t="str">
            <v>ITALY</v>
          </cell>
        </row>
        <row r="10621">
          <cell r="L10621" t="str">
            <v>Non-proportional</v>
          </cell>
          <cell r="S10621">
            <v>11013.4</v>
          </cell>
          <cell r="X10621" t="str">
            <v>Commissions - gross</v>
          </cell>
          <cell r="Y10621" t="str">
            <v>UNITED KINGDOM</v>
          </cell>
        </row>
        <row r="10622">
          <cell r="L10622" t="str">
            <v>Non-proportional</v>
          </cell>
          <cell r="S10622">
            <v>14.44</v>
          </cell>
          <cell r="X10622" t="str">
            <v>Commissions - gross</v>
          </cell>
          <cell r="Y10622" t="str">
            <v>ISRAEL</v>
          </cell>
        </row>
        <row r="10623">
          <cell r="L10623" t="str">
            <v>Non-proportional</v>
          </cell>
          <cell r="S10623">
            <v>93.71</v>
          </cell>
          <cell r="X10623" t="str">
            <v>Commissions - gross</v>
          </cell>
          <cell r="Y10623" t="str">
            <v>JAPAN</v>
          </cell>
        </row>
        <row r="10624">
          <cell r="L10624" t="str">
            <v>Non-proportional</v>
          </cell>
          <cell r="S10624">
            <v>961.88</v>
          </cell>
          <cell r="X10624" t="str">
            <v>Commissions - gross</v>
          </cell>
          <cell r="Y10624" t="str">
            <v>PERU</v>
          </cell>
        </row>
        <row r="10625">
          <cell r="L10625" t="str">
            <v>Non-proportional</v>
          </cell>
          <cell r="S10625">
            <v>666.65</v>
          </cell>
          <cell r="X10625" t="str">
            <v>Commissions - gross</v>
          </cell>
          <cell r="Y10625" t="str">
            <v>ITALY</v>
          </cell>
        </row>
        <row r="10626">
          <cell r="L10626" t="str">
            <v>Non-proportional</v>
          </cell>
          <cell r="S10626">
            <v>211.75</v>
          </cell>
          <cell r="X10626" t="str">
            <v>Commissions - gross</v>
          </cell>
          <cell r="Y10626" t="str">
            <v>CHILE</v>
          </cell>
        </row>
        <row r="10627">
          <cell r="L10627" t="str">
            <v>Non-proportional</v>
          </cell>
          <cell r="S10627">
            <v>614.59</v>
          </cell>
          <cell r="X10627" t="str">
            <v>Commissions - gross</v>
          </cell>
          <cell r="Y10627" t="str">
            <v>PERU</v>
          </cell>
        </row>
        <row r="10628">
          <cell r="L10628" t="str">
            <v>Non-proportional</v>
          </cell>
          <cell r="S10628">
            <v>551.27</v>
          </cell>
          <cell r="X10628" t="str">
            <v>Commissions - gross</v>
          </cell>
          <cell r="Y10628" t="str">
            <v>NETHERLANDS</v>
          </cell>
        </row>
        <row r="10629">
          <cell r="L10629" t="str">
            <v>Proportional</v>
          </cell>
          <cell r="S10629">
            <v>1235.5999999999999</v>
          </cell>
          <cell r="X10629" t="str">
            <v>Commissions - gross</v>
          </cell>
          <cell r="Y10629" t="str">
            <v>CANADA</v>
          </cell>
        </row>
        <row r="10630">
          <cell r="L10630" t="str">
            <v>Non-proportional</v>
          </cell>
          <cell r="S10630">
            <v>726.77</v>
          </cell>
          <cell r="X10630" t="str">
            <v>Commissions - gross</v>
          </cell>
          <cell r="Y10630" t="str">
            <v>FRANCE</v>
          </cell>
        </row>
        <row r="10631">
          <cell r="L10631" t="str">
            <v>Non-proportional</v>
          </cell>
          <cell r="S10631">
            <v>158.06</v>
          </cell>
          <cell r="X10631" t="str">
            <v>Commissions - gross</v>
          </cell>
          <cell r="Y10631" t="str">
            <v>DOMINICAN REPUBLIC</v>
          </cell>
        </row>
        <row r="10632">
          <cell r="L10632" t="str">
            <v>Non-proportional</v>
          </cell>
          <cell r="S10632">
            <v>117.42</v>
          </cell>
          <cell r="X10632" t="str">
            <v>Commissions - gross</v>
          </cell>
          <cell r="Y10632" t="str">
            <v>PERU</v>
          </cell>
        </row>
        <row r="10633">
          <cell r="L10633" t="str">
            <v>Non-proportional</v>
          </cell>
          <cell r="S10633">
            <v>280.52</v>
          </cell>
          <cell r="X10633" t="str">
            <v>Commissions - gross</v>
          </cell>
          <cell r="Y10633" t="str">
            <v>REPUBLIC OF IRELAND</v>
          </cell>
        </row>
        <row r="10634">
          <cell r="L10634" t="str">
            <v>Non-proportional</v>
          </cell>
          <cell r="S10634">
            <v>437.24</v>
          </cell>
          <cell r="X10634" t="str">
            <v>Commissions - gross</v>
          </cell>
          <cell r="Y10634" t="str">
            <v>UNITED KINGDOM</v>
          </cell>
        </row>
        <row r="10635">
          <cell r="L10635" t="str">
            <v>Non-proportional</v>
          </cell>
          <cell r="S10635">
            <v>823.83</v>
          </cell>
          <cell r="X10635" t="str">
            <v>Commissions - gross</v>
          </cell>
          <cell r="Y10635" t="str">
            <v>ITALY</v>
          </cell>
        </row>
        <row r="10636">
          <cell r="L10636" t="str">
            <v>Non-proportional</v>
          </cell>
          <cell r="S10636">
            <v>4000</v>
          </cell>
          <cell r="X10636" t="str">
            <v>Commissions - gross</v>
          </cell>
          <cell r="Y10636" t="str">
            <v>ITALY</v>
          </cell>
        </row>
        <row r="10637">
          <cell r="L10637" t="str">
            <v>Non-proportional</v>
          </cell>
          <cell r="S10637">
            <v>44.46</v>
          </cell>
          <cell r="X10637" t="str">
            <v>Commissions - gross</v>
          </cell>
          <cell r="Y10637" t="str">
            <v>JAPAN</v>
          </cell>
        </row>
        <row r="10638">
          <cell r="L10638" t="str">
            <v>Non-proportional</v>
          </cell>
          <cell r="S10638">
            <v>69.86</v>
          </cell>
          <cell r="X10638" t="str">
            <v>Commissions - gross</v>
          </cell>
          <cell r="Y10638" t="str">
            <v>ITALY</v>
          </cell>
        </row>
        <row r="10639">
          <cell r="L10639" t="str">
            <v>Non-proportional</v>
          </cell>
          <cell r="S10639">
            <v>1151.06</v>
          </cell>
          <cell r="X10639" t="str">
            <v>Commissions - gross</v>
          </cell>
          <cell r="Y10639" t="str">
            <v>EUROPE</v>
          </cell>
        </row>
        <row r="10640">
          <cell r="L10640" t="str">
            <v>Non-proportional</v>
          </cell>
          <cell r="S10640">
            <v>3.73</v>
          </cell>
          <cell r="X10640" t="str">
            <v>Commissions - gross</v>
          </cell>
          <cell r="Y10640" t="str">
            <v>ISRAEL</v>
          </cell>
        </row>
        <row r="10641">
          <cell r="L10641" t="str">
            <v>Non-proportional</v>
          </cell>
          <cell r="S10641">
            <v>268.67</v>
          </cell>
          <cell r="X10641" t="str">
            <v>Commissions - gross</v>
          </cell>
          <cell r="Y10641" t="str">
            <v>MALTA</v>
          </cell>
        </row>
        <row r="10642">
          <cell r="L10642" t="str">
            <v>Non-proportional</v>
          </cell>
          <cell r="S10642">
            <v>33.32</v>
          </cell>
          <cell r="X10642" t="str">
            <v>Commissions - gross</v>
          </cell>
          <cell r="Y10642" t="str">
            <v>COLOMBIA</v>
          </cell>
        </row>
        <row r="10643">
          <cell r="L10643" t="str">
            <v>Non-proportional</v>
          </cell>
          <cell r="S10643">
            <v>86</v>
          </cell>
          <cell r="X10643" t="str">
            <v>Commissions - gross</v>
          </cell>
          <cell r="Y10643" t="str">
            <v>GREECE</v>
          </cell>
        </row>
        <row r="10644">
          <cell r="L10644" t="str">
            <v>Non-proportional</v>
          </cell>
          <cell r="S10644">
            <v>7613.87</v>
          </cell>
          <cell r="X10644" t="str">
            <v>Commissions - gross</v>
          </cell>
          <cell r="Y10644" t="str">
            <v>UNITED KINGDOM</v>
          </cell>
        </row>
        <row r="10645">
          <cell r="L10645" t="str">
            <v>Non-proportional</v>
          </cell>
          <cell r="S10645">
            <v>1209.92</v>
          </cell>
          <cell r="X10645" t="str">
            <v>Commissions - gross</v>
          </cell>
          <cell r="Y10645" t="str">
            <v>COSTA RICA</v>
          </cell>
        </row>
        <row r="10646">
          <cell r="L10646" t="str">
            <v>Proportional</v>
          </cell>
          <cell r="S10646">
            <v>4452.9799999999996</v>
          </cell>
          <cell r="X10646" t="str">
            <v>Commissions - gross</v>
          </cell>
          <cell r="Y10646" t="str">
            <v>UNITED STATES</v>
          </cell>
        </row>
        <row r="10647">
          <cell r="L10647" t="str">
            <v>Non-proportional</v>
          </cell>
          <cell r="S10647">
            <v>423.33</v>
          </cell>
          <cell r="X10647" t="str">
            <v>Commissions - gross</v>
          </cell>
          <cell r="Y10647" t="str">
            <v>FRANCE</v>
          </cell>
        </row>
        <row r="10648">
          <cell r="L10648" t="str">
            <v>Non-proportional</v>
          </cell>
          <cell r="S10648">
            <v>318.89</v>
          </cell>
          <cell r="X10648" t="str">
            <v>Commissions - gross</v>
          </cell>
          <cell r="Y10648" t="str">
            <v>ECUADOR</v>
          </cell>
        </row>
        <row r="10649">
          <cell r="L10649" t="str">
            <v>Non-proportional</v>
          </cell>
          <cell r="S10649">
            <v>1120.72</v>
          </cell>
          <cell r="X10649" t="str">
            <v>Commissions - gross</v>
          </cell>
          <cell r="Y10649" t="str">
            <v>MEXICO</v>
          </cell>
        </row>
        <row r="10650">
          <cell r="L10650" t="str">
            <v>Non-proportional</v>
          </cell>
          <cell r="S10650">
            <v>414.28</v>
          </cell>
          <cell r="X10650" t="str">
            <v>Commissions - gross</v>
          </cell>
          <cell r="Y10650" t="str">
            <v>THAILAND</v>
          </cell>
        </row>
        <row r="10651">
          <cell r="L10651" t="str">
            <v>Non-proportional</v>
          </cell>
          <cell r="S10651">
            <v>387.21</v>
          </cell>
          <cell r="X10651" t="str">
            <v>Commissions - gross</v>
          </cell>
          <cell r="Y10651" t="str">
            <v>SPAIN</v>
          </cell>
        </row>
        <row r="10652">
          <cell r="L10652" t="str">
            <v>Proportional</v>
          </cell>
          <cell r="S10652">
            <v>64.87</v>
          </cell>
          <cell r="X10652" t="str">
            <v>Commissions - gross</v>
          </cell>
          <cell r="Y10652" t="str">
            <v>PERU</v>
          </cell>
        </row>
        <row r="10653">
          <cell r="L10653" t="str">
            <v>Non-proportional</v>
          </cell>
          <cell r="S10653">
            <v>605.5</v>
          </cell>
          <cell r="X10653" t="str">
            <v>Commissions - gross</v>
          </cell>
          <cell r="Y10653" t="str">
            <v>FRANCE</v>
          </cell>
        </row>
        <row r="10654">
          <cell r="L10654" t="str">
            <v>Non-proportional</v>
          </cell>
          <cell r="S10654">
            <v>186.59</v>
          </cell>
          <cell r="X10654" t="str">
            <v>Commissions - gross</v>
          </cell>
          <cell r="Y10654" t="str">
            <v>ISRAEL</v>
          </cell>
        </row>
        <row r="10655">
          <cell r="L10655" t="str">
            <v>Non-proportional</v>
          </cell>
          <cell r="S10655">
            <v>166.97</v>
          </cell>
          <cell r="X10655" t="str">
            <v>Commissions - gross</v>
          </cell>
          <cell r="Y10655" t="str">
            <v>JAPAN</v>
          </cell>
        </row>
        <row r="10656">
          <cell r="L10656" t="str">
            <v>Non-proportional</v>
          </cell>
          <cell r="S10656">
            <v>-94.78</v>
          </cell>
          <cell r="X10656" t="str">
            <v>Commissions - gross</v>
          </cell>
          <cell r="Y10656" t="str">
            <v>JAPAN</v>
          </cell>
        </row>
        <row r="10657">
          <cell r="L10657" t="str">
            <v>Non-proportional</v>
          </cell>
          <cell r="S10657">
            <v>-2.2999999999999998</v>
          </cell>
          <cell r="X10657" t="str">
            <v>Commissions - gross</v>
          </cell>
          <cell r="Y10657" t="str">
            <v>JAPAN</v>
          </cell>
        </row>
        <row r="10658">
          <cell r="L10658" t="str">
            <v>Proportional</v>
          </cell>
          <cell r="S10658">
            <v>-5.58</v>
          </cell>
          <cell r="X10658" t="str">
            <v>Commissions - gross</v>
          </cell>
          <cell r="Y10658" t="str">
            <v>INDIA</v>
          </cell>
        </row>
        <row r="10659">
          <cell r="L10659" t="str">
            <v>Non-proportional</v>
          </cell>
          <cell r="S10659">
            <v>378</v>
          </cell>
          <cell r="X10659" t="str">
            <v>Commissions - gross</v>
          </cell>
          <cell r="Y10659" t="str">
            <v>GREECE</v>
          </cell>
        </row>
        <row r="10660">
          <cell r="L10660" t="str">
            <v>Non-proportional</v>
          </cell>
          <cell r="S10660">
            <v>-7.09</v>
          </cell>
          <cell r="X10660" t="str">
            <v>Commissions - gross</v>
          </cell>
          <cell r="Y10660" t="str">
            <v>NEW ZEALAND</v>
          </cell>
        </row>
        <row r="10661">
          <cell r="L10661" t="str">
            <v>Non-proportional</v>
          </cell>
          <cell r="S10661">
            <v>35.450000000000003</v>
          </cell>
          <cell r="X10661" t="str">
            <v>Commissions - gross</v>
          </cell>
          <cell r="Y10661" t="str">
            <v>NEW ZEALAND</v>
          </cell>
        </row>
        <row r="10662">
          <cell r="L10662" t="str">
            <v>Non-proportional</v>
          </cell>
          <cell r="S10662">
            <v>1442.4</v>
          </cell>
          <cell r="X10662" t="str">
            <v>Commissions - gross</v>
          </cell>
          <cell r="Y10662" t="str">
            <v>FRANCE</v>
          </cell>
        </row>
        <row r="10663">
          <cell r="L10663" t="str">
            <v>Non-proportional</v>
          </cell>
          <cell r="S10663">
            <v>423.5</v>
          </cell>
          <cell r="X10663" t="str">
            <v>Commissions - gross</v>
          </cell>
          <cell r="Y10663" t="str">
            <v>CHILE</v>
          </cell>
        </row>
        <row r="10664">
          <cell r="L10664" t="str">
            <v>Non-proportional</v>
          </cell>
          <cell r="S10664">
            <v>2342.39</v>
          </cell>
          <cell r="X10664" t="str">
            <v>Commissions - gross</v>
          </cell>
          <cell r="Y10664" t="str">
            <v>ISRAEL</v>
          </cell>
        </row>
        <row r="10665">
          <cell r="L10665" t="str">
            <v>Non-proportional</v>
          </cell>
          <cell r="S10665">
            <v>195.45</v>
          </cell>
          <cell r="X10665" t="str">
            <v>Commissions - gross</v>
          </cell>
          <cell r="Y10665" t="str">
            <v>GUATEMALA</v>
          </cell>
        </row>
        <row r="10666">
          <cell r="L10666" t="str">
            <v>Non-proportional</v>
          </cell>
          <cell r="S10666">
            <v>117.23</v>
          </cell>
          <cell r="X10666" t="str">
            <v>Commissions - gross</v>
          </cell>
          <cell r="Y10666" t="str">
            <v>FRANCE</v>
          </cell>
        </row>
        <row r="10667">
          <cell r="L10667" t="str">
            <v>Non-proportional</v>
          </cell>
          <cell r="S10667">
            <v>70.58</v>
          </cell>
          <cell r="X10667" t="str">
            <v>Commissions - gross</v>
          </cell>
          <cell r="Y10667" t="str">
            <v>CHILE</v>
          </cell>
        </row>
        <row r="10668">
          <cell r="L10668" t="str">
            <v>Non-proportional</v>
          </cell>
          <cell r="S10668">
            <v>175.82</v>
          </cell>
          <cell r="X10668" t="str">
            <v>Commissions - gross</v>
          </cell>
          <cell r="Y10668" t="str">
            <v>SOUTH AFRICA</v>
          </cell>
        </row>
        <row r="10669">
          <cell r="L10669" t="str">
            <v>Non-proportional</v>
          </cell>
          <cell r="S10669">
            <v>44.54</v>
          </cell>
          <cell r="X10669" t="str">
            <v>Commissions - gross</v>
          </cell>
          <cell r="Y10669" t="str">
            <v>UNITED KINGDOM</v>
          </cell>
        </row>
        <row r="10670">
          <cell r="L10670" t="str">
            <v>Non-proportional</v>
          </cell>
          <cell r="S10670">
            <v>15959.51</v>
          </cell>
          <cell r="X10670" t="str">
            <v>Commissions - gross</v>
          </cell>
          <cell r="Y10670" t="str">
            <v>UNITED KINGDOM</v>
          </cell>
        </row>
        <row r="10671">
          <cell r="L10671" t="str">
            <v>Non-proportional</v>
          </cell>
          <cell r="S10671">
            <v>349.99</v>
          </cell>
          <cell r="X10671" t="str">
            <v>Commissions - gross</v>
          </cell>
          <cell r="Y10671" t="str">
            <v>BRAZIL</v>
          </cell>
        </row>
        <row r="10672">
          <cell r="L10672" t="str">
            <v>Non-proportional</v>
          </cell>
          <cell r="S10672">
            <v>475.13</v>
          </cell>
          <cell r="X10672" t="str">
            <v>Commissions - gross</v>
          </cell>
          <cell r="Y10672" t="str">
            <v>FRANCE</v>
          </cell>
        </row>
        <row r="10673">
          <cell r="L10673" t="str">
            <v>Non-proportional</v>
          </cell>
          <cell r="S10673">
            <v>4646.79</v>
          </cell>
          <cell r="X10673" t="str">
            <v>Commissions - gross</v>
          </cell>
          <cell r="Y10673" t="str">
            <v>UNITED KINGDOM</v>
          </cell>
        </row>
        <row r="10674">
          <cell r="L10674" t="str">
            <v>Non-proportional</v>
          </cell>
          <cell r="S10674">
            <v>173.64</v>
          </cell>
          <cell r="X10674" t="str">
            <v>Commissions - gross</v>
          </cell>
          <cell r="Y10674" t="str">
            <v>JAPAN</v>
          </cell>
        </row>
        <row r="10675">
          <cell r="L10675" t="str">
            <v>Non-proportional</v>
          </cell>
          <cell r="S10675">
            <v>1504.3</v>
          </cell>
          <cell r="X10675" t="str">
            <v>Commissions - gross</v>
          </cell>
          <cell r="Y10675" t="str">
            <v>FRANCE</v>
          </cell>
        </row>
        <row r="10676">
          <cell r="L10676" t="str">
            <v>Proportional</v>
          </cell>
          <cell r="S10676">
            <v>1585</v>
          </cell>
          <cell r="X10676" t="str">
            <v>Commissions - gross</v>
          </cell>
          <cell r="Y10676" t="str">
            <v>FRANCE</v>
          </cell>
        </row>
        <row r="10677">
          <cell r="L10677" t="str">
            <v>Non-proportional</v>
          </cell>
          <cell r="S10677">
            <v>39</v>
          </cell>
          <cell r="X10677" t="str">
            <v>Commissions - gross</v>
          </cell>
          <cell r="Y10677" t="str">
            <v>ITALY</v>
          </cell>
        </row>
        <row r="10678">
          <cell r="L10678" t="str">
            <v>Non-proportional</v>
          </cell>
          <cell r="S10678">
            <v>225.98</v>
          </cell>
          <cell r="X10678" t="str">
            <v>Commissions - gross</v>
          </cell>
          <cell r="Y10678" t="str">
            <v>ECUADOR</v>
          </cell>
        </row>
        <row r="10679">
          <cell r="L10679" t="str">
            <v>Non-proportional</v>
          </cell>
          <cell r="S10679">
            <v>1028.29</v>
          </cell>
          <cell r="X10679" t="str">
            <v>Commissions - gross</v>
          </cell>
          <cell r="Y10679" t="str">
            <v>NEW ZEALAND</v>
          </cell>
        </row>
        <row r="10680">
          <cell r="L10680" t="str">
            <v>Non-proportional</v>
          </cell>
          <cell r="S10680">
            <v>577.79999999999995</v>
          </cell>
          <cell r="X10680" t="str">
            <v>Commissions - gross</v>
          </cell>
          <cell r="Y10680" t="str">
            <v>ISRAEL</v>
          </cell>
        </row>
        <row r="10681">
          <cell r="L10681" t="str">
            <v>Non-proportional</v>
          </cell>
          <cell r="S10681">
            <v>536</v>
          </cell>
          <cell r="X10681" t="str">
            <v>Commissions - gross</v>
          </cell>
          <cell r="Y10681" t="str">
            <v>NEW ZEALAND</v>
          </cell>
        </row>
        <row r="10682">
          <cell r="L10682" t="str">
            <v>Non-proportional</v>
          </cell>
          <cell r="S10682">
            <v>135763.57</v>
          </cell>
          <cell r="X10682" t="str">
            <v>Commissions - gross</v>
          </cell>
          <cell r="Y10682" t="str">
            <v>UNITED KINGDOM</v>
          </cell>
        </row>
        <row r="10683">
          <cell r="L10683" t="str">
            <v>Proportional</v>
          </cell>
          <cell r="S10683">
            <v>354.25</v>
          </cell>
          <cell r="X10683" t="str">
            <v>Commissions - gross</v>
          </cell>
          <cell r="Y10683" t="str">
            <v>EUROPE</v>
          </cell>
        </row>
        <row r="10684">
          <cell r="L10684" t="str">
            <v>Non-proportional</v>
          </cell>
          <cell r="S10684">
            <v>43126.01</v>
          </cell>
          <cell r="X10684" t="str">
            <v>Commissions - gross</v>
          </cell>
          <cell r="Y10684" t="str">
            <v>UNITED KINGDOM</v>
          </cell>
        </row>
        <row r="10685">
          <cell r="L10685" t="str">
            <v>Proportional</v>
          </cell>
          <cell r="S10685">
            <v>1.1299999999999999</v>
          </cell>
          <cell r="X10685" t="str">
            <v>Commissions - gross</v>
          </cell>
          <cell r="Y10685" t="str">
            <v>UNITED STATES</v>
          </cell>
        </row>
        <row r="10686">
          <cell r="L10686" t="str">
            <v>Non-proportional</v>
          </cell>
          <cell r="S10686">
            <v>6.37</v>
          </cell>
          <cell r="X10686" t="str">
            <v>Commissions - gross</v>
          </cell>
          <cell r="Y10686" t="str">
            <v>ISRAEL</v>
          </cell>
        </row>
        <row r="10687">
          <cell r="L10687" t="str">
            <v>Non-proportional</v>
          </cell>
          <cell r="S10687">
            <v>374.56</v>
          </cell>
          <cell r="X10687" t="str">
            <v>Commissions - gross</v>
          </cell>
          <cell r="Y10687" t="str">
            <v>ECUADOR</v>
          </cell>
        </row>
        <row r="10688">
          <cell r="L10688" t="str">
            <v>Non-proportional</v>
          </cell>
          <cell r="S10688">
            <v>-41.16</v>
          </cell>
          <cell r="X10688" t="str">
            <v>Commissions - gross</v>
          </cell>
          <cell r="Y10688" t="str">
            <v>NEW ZEALAND</v>
          </cell>
        </row>
        <row r="10689">
          <cell r="L10689" t="str">
            <v>Non-proportional</v>
          </cell>
          <cell r="S10689">
            <v>734.43</v>
          </cell>
          <cell r="X10689" t="str">
            <v>Commissions - gross</v>
          </cell>
          <cell r="Y10689" t="str">
            <v>AUSTRALIA</v>
          </cell>
        </row>
        <row r="10690">
          <cell r="L10690" t="str">
            <v>Non-proportional</v>
          </cell>
          <cell r="S10690">
            <v>54.69</v>
          </cell>
          <cell r="X10690" t="str">
            <v>Commissions - gross</v>
          </cell>
          <cell r="Y10690" t="str">
            <v>ITALY</v>
          </cell>
        </row>
        <row r="10691">
          <cell r="L10691" t="str">
            <v>Non-proportional</v>
          </cell>
          <cell r="S10691">
            <v>665.89</v>
          </cell>
          <cell r="X10691" t="str">
            <v>Commissions - gross</v>
          </cell>
          <cell r="Y10691" t="str">
            <v>CYPRUS</v>
          </cell>
        </row>
        <row r="10692">
          <cell r="L10692" t="str">
            <v>Non-proportional</v>
          </cell>
          <cell r="S10692">
            <v>-6.89</v>
          </cell>
          <cell r="X10692" t="str">
            <v>Commissions - gross</v>
          </cell>
          <cell r="Y10692" t="str">
            <v>JAPAN</v>
          </cell>
        </row>
        <row r="10693">
          <cell r="L10693" t="str">
            <v>Non-proportional</v>
          </cell>
          <cell r="S10693">
            <v>-13.64</v>
          </cell>
          <cell r="X10693" t="str">
            <v>Commissions - gross</v>
          </cell>
          <cell r="Y10693" t="str">
            <v>TURKEY</v>
          </cell>
        </row>
        <row r="10694">
          <cell r="L10694" t="str">
            <v>Proportional</v>
          </cell>
          <cell r="S10694">
            <v>-15.81</v>
          </cell>
          <cell r="X10694" t="str">
            <v>Commissions - gross</v>
          </cell>
          <cell r="Y10694" t="str">
            <v>CHILE</v>
          </cell>
        </row>
        <row r="10695">
          <cell r="L10695" t="str">
            <v>Non-proportional</v>
          </cell>
          <cell r="S10695">
            <v>1069.67</v>
          </cell>
          <cell r="X10695" t="str">
            <v>Commissions - gross</v>
          </cell>
          <cell r="Y10695" t="str">
            <v>CHILE</v>
          </cell>
        </row>
        <row r="10696">
          <cell r="L10696" t="str">
            <v>Non-proportional</v>
          </cell>
          <cell r="S10696">
            <v>500.11</v>
          </cell>
          <cell r="X10696" t="str">
            <v>Commissions - gross</v>
          </cell>
          <cell r="Y10696" t="str">
            <v>ITALY</v>
          </cell>
        </row>
        <row r="10697">
          <cell r="L10697" t="str">
            <v>Non-proportional</v>
          </cell>
          <cell r="S10697">
            <v>5.82</v>
          </cell>
          <cell r="X10697" t="str">
            <v>Commissions - gross</v>
          </cell>
          <cell r="Y10697" t="str">
            <v>BRAZIL</v>
          </cell>
        </row>
        <row r="10698">
          <cell r="L10698" t="str">
            <v>Non-proportional</v>
          </cell>
          <cell r="S10698">
            <v>6.22</v>
          </cell>
          <cell r="X10698" t="str">
            <v>Commissions - gross</v>
          </cell>
          <cell r="Y10698" t="str">
            <v>ISRAEL</v>
          </cell>
        </row>
        <row r="10699">
          <cell r="L10699" t="str">
            <v>Non-proportional</v>
          </cell>
          <cell r="S10699">
            <v>130.85</v>
          </cell>
          <cell r="X10699" t="str">
            <v>Commissions - gross</v>
          </cell>
          <cell r="Y10699" t="str">
            <v>UNITED KINGDOM</v>
          </cell>
        </row>
        <row r="10700">
          <cell r="L10700" t="str">
            <v>Non-proportional</v>
          </cell>
          <cell r="S10700">
            <v>7463.45</v>
          </cell>
          <cell r="X10700" t="str">
            <v>Commissions - gross</v>
          </cell>
          <cell r="Y10700" t="str">
            <v>UNITED KINGDOM</v>
          </cell>
        </row>
        <row r="10701">
          <cell r="L10701" t="str">
            <v>Non-proportional</v>
          </cell>
          <cell r="S10701">
            <v>252.22</v>
          </cell>
          <cell r="X10701" t="str">
            <v>Commissions - gross</v>
          </cell>
          <cell r="Y10701" t="str">
            <v>THAILAND</v>
          </cell>
        </row>
        <row r="10702">
          <cell r="L10702" t="str">
            <v>Non-proportional</v>
          </cell>
          <cell r="S10702">
            <v>1186.32</v>
          </cell>
          <cell r="X10702" t="str">
            <v>Commissions - gross</v>
          </cell>
          <cell r="Y10702" t="str">
            <v>EUROPE</v>
          </cell>
        </row>
        <row r="10703">
          <cell r="L10703" t="str">
            <v>Non-proportional</v>
          </cell>
          <cell r="S10703">
            <v>-1.44</v>
          </cell>
          <cell r="X10703" t="str">
            <v>Commissions - gross</v>
          </cell>
          <cell r="Y10703" t="str">
            <v>JAPAN</v>
          </cell>
        </row>
        <row r="10704">
          <cell r="L10704" t="str">
            <v>Non-proportional</v>
          </cell>
          <cell r="S10704">
            <v>372.19</v>
          </cell>
          <cell r="X10704" t="str">
            <v>Commissions - gross</v>
          </cell>
          <cell r="Y10704" t="str">
            <v>NEW ZEALAND</v>
          </cell>
        </row>
        <row r="10705">
          <cell r="L10705" t="str">
            <v>Non-proportional</v>
          </cell>
          <cell r="S10705">
            <v>-18.05</v>
          </cell>
          <cell r="X10705" t="str">
            <v>Commissions - gross</v>
          </cell>
          <cell r="Y10705" t="str">
            <v>JAPAN</v>
          </cell>
        </row>
        <row r="10706">
          <cell r="L10706" t="str">
            <v>Non-proportional</v>
          </cell>
          <cell r="S10706">
            <v>1097.48</v>
          </cell>
          <cell r="X10706" t="str">
            <v>Commissions - gross</v>
          </cell>
          <cell r="Y10706" t="str">
            <v>GERMANY</v>
          </cell>
        </row>
        <row r="10707">
          <cell r="L10707" t="str">
            <v>Non-proportional</v>
          </cell>
          <cell r="S10707">
            <v>-9.1199999999999992</v>
          </cell>
          <cell r="X10707" t="str">
            <v>Commissions - gross</v>
          </cell>
          <cell r="Y10707" t="str">
            <v>JAPAN</v>
          </cell>
        </row>
        <row r="10708">
          <cell r="L10708" t="str">
            <v>Non-proportional</v>
          </cell>
          <cell r="S10708">
            <v>682.61</v>
          </cell>
          <cell r="X10708" t="str">
            <v>Commissions - gross</v>
          </cell>
          <cell r="Y10708" t="str">
            <v>UNITED KINGDOM</v>
          </cell>
        </row>
        <row r="10709">
          <cell r="L10709" t="str">
            <v>Non-proportional</v>
          </cell>
          <cell r="S10709">
            <v>370.8</v>
          </cell>
          <cell r="X10709" t="str">
            <v>Commissions - gross</v>
          </cell>
          <cell r="Y10709" t="str">
            <v>SINGAPORE</v>
          </cell>
        </row>
        <row r="10710">
          <cell r="L10710" t="str">
            <v>Non-proportional</v>
          </cell>
          <cell r="S10710">
            <v>454.19</v>
          </cell>
          <cell r="X10710" t="str">
            <v>Commissions - gross</v>
          </cell>
          <cell r="Y10710" t="str">
            <v>TURKEY</v>
          </cell>
        </row>
        <row r="10711">
          <cell r="L10711" t="str">
            <v>Non-proportional</v>
          </cell>
          <cell r="S10711">
            <v>374.99</v>
          </cell>
          <cell r="X10711" t="str">
            <v>Commissions - gross</v>
          </cell>
          <cell r="Y10711" t="str">
            <v>EUROPE</v>
          </cell>
        </row>
        <row r="10712">
          <cell r="L10712" t="str">
            <v>Non-proportional</v>
          </cell>
          <cell r="S10712">
            <v>35.29</v>
          </cell>
          <cell r="X10712" t="str">
            <v>Commissions - gross</v>
          </cell>
          <cell r="Y10712" t="str">
            <v>CHILE</v>
          </cell>
        </row>
        <row r="10713">
          <cell r="L10713" t="str">
            <v>Non-proportional</v>
          </cell>
          <cell r="S10713">
            <v>180</v>
          </cell>
          <cell r="X10713" t="str">
            <v>Commissions - gross</v>
          </cell>
          <cell r="Y10713" t="str">
            <v>PERU</v>
          </cell>
        </row>
        <row r="10714">
          <cell r="L10714" t="str">
            <v>Non-proportional</v>
          </cell>
          <cell r="S10714">
            <v>320.32</v>
          </cell>
          <cell r="X10714" t="str">
            <v>Commissions - gross</v>
          </cell>
          <cell r="Y10714" t="str">
            <v>UNITED KINGDOM</v>
          </cell>
        </row>
        <row r="10715">
          <cell r="L10715" t="str">
            <v>Non-proportional</v>
          </cell>
          <cell r="S10715">
            <v>-21.44</v>
          </cell>
          <cell r="X10715" t="str">
            <v>Commissions - gross</v>
          </cell>
          <cell r="Y10715" t="str">
            <v>JAPAN</v>
          </cell>
        </row>
        <row r="10716">
          <cell r="L10716" t="str">
            <v>Non-proportional</v>
          </cell>
          <cell r="S10716">
            <v>171.84</v>
          </cell>
          <cell r="X10716" t="str">
            <v>Commissions - gross</v>
          </cell>
          <cell r="Y10716" t="str">
            <v>ECUADOR</v>
          </cell>
        </row>
        <row r="10717">
          <cell r="L10717" t="str">
            <v>Proportional</v>
          </cell>
          <cell r="S10717">
            <v>26.77</v>
          </cell>
          <cell r="X10717" t="str">
            <v>Commissions - gross</v>
          </cell>
          <cell r="Y10717" t="str">
            <v>UNITED STATES</v>
          </cell>
        </row>
        <row r="10718">
          <cell r="L10718" t="str">
            <v>Non-proportional</v>
          </cell>
          <cell r="S10718">
            <v>-0.57999999999999996</v>
          </cell>
          <cell r="X10718" t="str">
            <v>Commissions - gross</v>
          </cell>
          <cell r="Y10718" t="str">
            <v>JAPAN</v>
          </cell>
        </row>
        <row r="10719">
          <cell r="L10719" t="str">
            <v>Non-proportional</v>
          </cell>
          <cell r="S10719">
            <v>1124.92</v>
          </cell>
          <cell r="X10719" t="str">
            <v>Commissions - gross</v>
          </cell>
          <cell r="Y10719" t="str">
            <v>ECUADOR</v>
          </cell>
        </row>
        <row r="10720">
          <cell r="L10720" t="str">
            <v>Non-proportional</v>
          </cell>
          <cell r="S10720">
            <v>13721.92</v>
          </cell>
          <cell r="X10720" t="str">
            <v>Commissions - gross</v>
          </cell>
          <cell r="Y10720" t="str">
            <v>UNITED KINGDOM</v>
          </cell>
        </row>
        <row r="10721">
          <cell r="L10721" t="str">
            <v>Non-proportional</v>
          </cell>
          <cell r="S10721">
            <v>2931.51</v>
          </cell>
          <cell r="X10721" t="str">
            <v>Commissions - gross</v>
          </cell>
          <cell r="Y10721" t="str">
            <v>JAPAN</v>
          </cell>
        </row>
        <row r="10722">
          <cell r="L10722" t="str">
            <v>Non-proportional</v>
          </cell>
          <cell r="S10722">
            <v>478.51</v>
          </cell>
          <cell r="X10722" t="str">
            <v>Commissions - gross</v>
          </cell>
          <cell r="Y10722" t="str">
            <v>ECUADOR</v>
          </cell>
        </row>
        <row r="10723">
          <cell r="L10723" t="str">
            <v>Non-proportional</v>
          </cell>
          <cell r="S10723">
            <v>749.23</v>
          </cell>
          <cell r="X10723" t="str">
            <v>Commissions - gross</v>
          </cell>
          <cell r="Y10723" t="str">
            <v>FRANCE</v>
          </cell>
        </row>
        <row r="10724">
          <cell r="L10724" t="str">
            <v>Non-proportional</v>
          </cell>
          <cell r="S10724">
            <v>476.74</v>
          </cell>
          <cell r="X10724" t="str">
            <v>Commissions - gross</v>
          </cell>
          <cell r="Y10724" t="str">
            <v>UNITED KINGDOM</v>
          </cell>
        </row>
        <row r="10725">
          <cell r="L10725" t="str">
            <v>Non-proportional</v>
          </cell>
          <cell r="S10725">
            <v>130.28</v>
          </cell>
          <cell r="X10725" t="str">
            <v>Commissions - gross</v>
          </cell>
          <cell r="Y10725" t="str">
            <v>NEW ZEALAND</v>
          </cell>
        </row>
        <row r="10726">
          <cell r="L10726" t="str">
            <v>Non-proportional</v>
          </cell>
          <cell r="S10726">
            <v>391.73</v>
          </cell>
          <cell r="X10726" t="str">
            <v>Commissions - gross</v>
          </cell>
          <cell r="Y10726" t="str">
            <v>ITALY</v>
          </cell>
        </row>
        <row r="10727">
          <cell r="L10727" t="str">
            <v>Non-proportional</v>
          </cell>
          <cell r="S10727">
            <v>1408.57</v>
          </cell>
          <cell r="X10727" t="str">
            <v>Commissions - gross</v>
          </cell>
          <cell r="Y10727" t="str">
            <v>UNITED KINGDOM</v>
          </cell>
        </row>
        <row r="10728">
          <cell r="L10728" t="str">
            <v>Non-proportional</v>
          </cell>
          <cell r="S10728">
            <v>1964.24</v>
          </cell>
          <cell r="X10728" t="str">
            <v>Commissions - gross</v>
          </cell>
          <cell r="Y10728" t="str">
            <v>UNITED KINGDOM</v>
          </cell>
        </row>
        <row r="10729">
          <cell r="L10729" t="str">
            <v>Non-proportional</v>
          </cell>
          <cell r="S10729">
            <v>89.89</v>
          </cell>
          <cell r="X10729" t="str">
            <v>Commissions - gross</v>
          </cell>
          <cell r="Y10729" t="str">
            <v>FRANCE</v>
          </cell>
        </row>
        <row r="10730">
          <cell r="L10730" t="str">
            <v>Non-proportional</v>
          </cell>
          <cell r="S10730">
            <v>296.66000000000003</v>
          </cell>
          <cell r="X10730" t="str">
            <v>Commissions - gross</v>
          </cell>
          <cell r="Y10730" t="str">
            <v>INDIA</v>
          </cell>
        </row>
        <row r="10731">
          <cell r="L10731" t="str">
            <v>Non-proportional</v>
          </cell>
          <cell r="S10731">
            <v>119.51</v>
          </cell>
          <cell r="X10731" t="str">
            <v>Commissions - gross</v>
          </cell>
          <cell r="Y10731" t="str">
            <v>COSTA RICA</v>
          </cell>
        </row>
        <row r="10732">
          <cell r="L10732" t="str">
            <v>Non-proportional</v>
          </cell>
          <cell r="S10732">
            <v>104.48</v>
          </cell>
          <cell r="X10732" t="str">
            <v>Commissions - gross</v>
          </cell>
          <cell r="Y10732" t="str">
            <v>CYPRUS</v>
          </cell>
        </row>
        <row r="10733">
          <cell r="L10733" t="str">
            <v>Non-proportional</v>
          </cell>
          <cell r="S10733">
            <v>11.67</v>
          </cell>
          <cell r="X10733" t="str">
            <v>Commissions - gross</v>
          </cell>
          <cell r="Y10733" t="str">
            <v>THAILAND</v>
          </cell>
        </row>
        <row r="10734">
          <cell r="L10734" t="str">
            <v>Non-proportional</v>
          </cell>
          <cell r="S10734">
            <v>7.45</v>
          </cell>
          <cell r="X10734" t="str">
            <v>Commissions - gross</v>
          </cell>
          <cell r="Y10734" t="str">
            <v>COLOMBIA</v>
          </cell>
        </row>
        <row r="10735">
          <cell r="L10735" t="str">
            <v>Non-proportional</v>
          </cell>
          <cell r="S10735">
            <v>454.37</v>
          </cell>
          <cell r="X10735" t="str">
            <v>Commissions - gross</v>
          </cell>
          <cell r="Y10735" t="str">
            <v>BELIZE</v>
          </cell>
        </row>
        <row r="10736">
          <cell r="L10736" t="str">
            <v>Non-proportional</v>
          </cell>
          <cell r="S10736">
            <v>494.08</v>
          </cell>
          <cell r="X10736" t="str">
            <v>Commissions - gross</v>
          </cell>
          <cell r="Y10736" t="str">
            <v>CHILE</v>
          </cell>
        </row>
        <row r="10737">
          <cell r="L10737" t="str">
            <v>Non-proportional</v>
          </cell>
          <cell r="S10737">
            <v>95.69</v>
          </cell>
          <cell r="X10737" t="str">
            <v>Commissions - gross</v>
          </cell>
          <cell r="Y10737" t="str">
            <v>ISRAEL</v>
          </cell>
        </row>
        <row r="10738">
          <cell r="L10738" t="str">
            <v>Non-proportional</v>
          </cell>
          <cell r="S10738">
            <v>0</v>
          </cell>
          <cell r="X10738" t="str">
            <v>Commissions - gross</v>
          </cell>
          <cell r="Y10738" t="str">
            <v>DOMINICAN REPUBLIC</v>
          </cell>
        </row>
        <row r="10739">
          <cell r="L10739" t="str">
            <v>Proportional</v>
          </cell>
          <cell r="S10739">
            <v>6.84</v>
          </cell>
          <cell r="X10739" t="str">
            <v>Commissions - gross</v>
          </cell>
          <cell r="Y10739" t="str">
            <v>UNITED STATES</v>
          </cell>
        </row>
        <row r="10740">
          <cell r="L10740" t="str">
            <v>Non-proportional</v>
          </cell>
          <cell r="S10740">
            <v>436.43</v>
          </cell>
          <cell r="X10740" t="str">
            <v>Commissions - gross</v>
          </cell>
          <cell r="Y10740" t="str">
            <v>COSTA RICA</v>
          </cell>
        </row>
        <row r="10741">
          <cell r="L10741" t="str">
            <v>Non-proportional</v>
          </cell>
          <cell r="S10741">
            <v>485.77</v>
          </cell>
          <cell r="X10741" t="str">
            <v>Commissions - gross</v>
          </cell>
          <cell r="Y10741" t="str">
            <v>UNITED KINGDOM</v>
          </cell>
        </row>
        <row r="10742">
          <cell r="L10742" t="str">
            <v>Proportional</v>
          </cell>
          <cell r="S10742">
            <v>574.02</v>
          </cell>
          <cell r="X10742" t="str">
            <v>Commissions - gross</v>
          </cell>
          <cell r="Y10742" t="str">
            <v>ITALY</v>
          </cell>
        </row>
        <row r="10743">
          <cell r="L10743" t="str">
            <v>Proportional</v>
          </cell>
          <cell r="S10743">
            <v>391.32</v>
          </cell>
          <cell r="X10743" t="str">
            <v>Commissions - gross</v>
          </cell>
          <cell r="Y10743" t="str">
            <v>UNITED STATES</v>
          </cell>
        </row>
        <row r="10744">
          <cell r="L10744" t="str">
            <v>Non-proportional</v>
          </cell>
          <cell r="S10744">
            <v>379.65</v>
          </cell>
          <cell r="X10744" t="str">
            <v>Commissions - gross</v>
          </cell>
          <cell r="Y10744" t="str">
            <v>ITALY</v>
          </cell>
        </row>
        <row r="10745">
          <cell r="L10745" t="str">
            <v>Non-proportional</v>
          </cell>
          <cell r="S10745">
            <v>172.89</v>
          </cell>
          <cell r="X10745" t="str">
            <v>Commissions - gross</v>
          </cell>
          <cell r="Y10745" t="str">
            <v>JAPAN</v>
          </cell>
        </row>
        <row r="10746">
          <cell r="L10746" t="str">
            <v>Non-proportional</v>
          </cell>
          <cell r="S10746">
            <v>409.5</v>
          </cell>
          <cell r="X10746" t="str">
            <v>Commissions - gross</v>
          </cell>
          <cell r="Y10746" t="str">
            <v>FRANCE</v>
          </cell>
        </row>
        <row r="10747">
          <cell r="L10747" t="str">
            <v>Non-proportional</v>
          </cell>
          <cell r="S10747">
            <v>146.88</v>
          </cell>
          <cell r="X10747" t="str">
            <v>Commissions - gross</v>
          </cell>
          <cell r="Y10747" t="str">
            <v>GREECE</v>
          </cell>
        </row>
        <row r="10748">
          <cell r="L10748" t="str">
            <v>Non-proportional</v>
          </cell>
          <cell r="S10748">
            <v>2153.96</v>
          </cell>
          <cell r="X10748" t="str">
            <v>Commissions - gross</v>
          </cell>
          <cell r="Y10748" t="str">
            <v>UNITED KINGDOM</v>
          </cell>
        </row>
        <row r="10749">
          <cell r="L10749" t="str">
            <v>Non-proportional</v>
          </cell>
          <cell r="S10749">
            <v>156.24</v>
          </cell>
          <cell r="X10749" t="str">
            <v>Commissions - gross</v>
          </cell>
          <cell r="Y10749" t="str">
            <v>FRANCE</v>
          </cell>
        </row>
        <row r="10750">
          <cell r="L10750" t="str">
            <v>Proportional</v>
          </cell>
          <cell r="S10750">
            <v>81.510000000000005</v>
          </cell>
          <cell r="X10750" t="str">
            <v>Commissions - gross</v>
          </cell>
          <cell r="Y10750" t="str">
            <v>REPUBLIC OF IRELAND</v>
          </cell>
        </row>
        <row r="10751">
          <cell r="L10751" t="str">
            <v>Non-proportional</v>
          </cell>
          <cell r="S10751">
            <v>125.28</v>
          </cell>
          <cell r="X10751" t="str">
            <v>Commissions - gross</v>
          </cell>
          <cell r="Y10751" t="str">
            <v>JAPAN</v>
          </cell>
        </row>
        <row r="10752">
          <cell r="L10752" t="str">
            <v>Non-proportional</v>
          </cell>
          <cell r="S10752">
            <v>-5.31</v>
          </cell>
          <cell r="X10752" t="str">
            <v>Commissions - gross</v>
          </cell>
          <cell r="Y10752" t="str">
            <v>JAPAN</v>
          </cell>
        </row>
        <row r="10753">
          <cell r="L10753" t="str">
            <v>Non-proportional</v>
          </cell>
          <cell r="S10753">
            <v>111.41</v>
          </cell>
          <cell r="X10753" t="str">
            <v>Commissions - gross</v>
          </cell>
          <cell r="Y10753" t="str">
            <v>ISRAEL</v>
          </cell>
        </row>
        <row r="10754">
          <cell r="L10754" t="str">
            <v>Non-proportional</v>
          </cell>
          <cell r="S10754">
            <v>0</v>
          </cell>
          <cell r="X10754" t="str">
            <v>Commissions - gross</v>
          </cell>
          <cell r="Y10754" t="str">
            <v>DOMINICAN REPUBLIC</v>
          </cell>
        </row>
        <row r="10755">
          <cell r="L10755" t="str">
            <v>Non-proportional</v>
          </cell>
          <cell r="S10755">
            <v>508</v>
          </cell>
          <cell r="X10755" t="str">
            <v>Commissions - gross</v>
          </cell>
          <cell r="Y10755" t="str">
            <v>ISRAEL</v>
          </cell>
        </row>
        <row r="10756">
          <cell r="L10756" t="str">
            <v>Proportional</v>
          </cell>
          <cell r="S10756">
            <v>397.91</v>
          </cell>
          <cell r="X10756" t="str">
            <v>Commissions - gross</v>
          </cell>
          <cell r="Y10756" t="str">
            <v>JAPAN</v>
          </cell>
        </row>
        <row r="10757">
          <cell r="L10757" t="str">
            <v>Non-proportional</v>
          </cell>
          <cell r="S10757">
            <v>786.48</v>
          </cell>
          <cell r="X10757" t="str">
            <v>Commissions - gross</v>
          </cell>
          <cell r="Y10757" t="str">
            <v>UNITED KINGDOM</v>
          </cell>
        </row>
        <row r="10758">
          <cell r="L10758" t="str">
            <v>Proportional</v>
          </cell>
          <cell r="S10758">
            <v>693.96</v>
          </cell>
          <cell r="X10758" t="str">
            <v>Commissions - gross</v>
          </cell>
          <cell r="Y10758" t="str">
            <v>ITALY</v>
          </cell>
        </row>
        <row r="10759">
          <cell r="L10759" t="str">
            <v>Non-proportional</v>
          </cell>
          <cell r="S10759">
            <v>639.66</v>
          </cell>
          <cell r="X10759" t="str">
            <v>Commissions - gross</v>
          </cell>
          <cell r="Y10759" t="str">
            <v>ISRAEL</v>
          </cell>
        </row>
        <row r="10760">
          <cell r="L10760" t="str">
            <v>Non-proportional</v>
          </cell>
          <cell r="S10760">
            <v>34.5</v>
          </cell>
          <cell r="X10760" t="str">
            <v>Commissions - gross</v>
          </cell>
          <cell r="Y10760" t="str">
            <v>DOMINICAN REPUBLIC</v>
          </cell>
        </row>
        <row r="10761">
          <cell r="L10761" t="str">
            <v>Non-proportional</v>
          </cell>
          <cell r="S10761">
            <v>-336.32</v>
          </cell>
          <cell r="X10761" t="str">
            <v>Commissions - gross</v>
          </cell>
          <cell r="Y10761" t="str">
            <v>PERU</v>
          </cell>
        </row>
        <row r="10762">
          <cell r="L10762" t="str">
            <v>Non-proportional</v>
          </cell>
          <cell r="S10762">
            <v>11303.63</v>
          </cell>
          <cell r="X10762" t="str">
            <v>Commissions - gross</v>
          </cell>
          <cell r="Y10762" t="str">
            <v>UNITED KINGDOM</v>
          </cell>
        </row>
        <row r="10763">
          <cell r="L10763" t="str">
            <v>Non-proportional</v>
          </cell>
          <cell r="S10763">
            <v>0</v>
          </cell>
          <cell r="X10763" t="str">
            <v>Commissions - gross</v>
          </cell>
          <cell r="Y10763" t="str">
            <v>DOMINICAN REPUBLIC</v>
          </cell>
        </row>
        <row r="10764">
          <cell r="L10764" t="str">
            <v>Proportional</v>
          </cell>
          <cell r="S10764">
            <v>-5.57</v>
          </cell>
          <cell r="X10764" t="str">
            <v>Commissions - gross</v>
          </cell>
          <cell r="Y10764" t="str">
            <v>CHILE</v>
          </cell>
        </row>
        <row r="10765">
          <cell r="L10765" t="str">
            <v>Non-proportional</v>
          </cell>
          <cell r="S10765">
            <v>1262.51</v>
          </cell>
          <cell r="X10765" t="str">
            <v>Commissions - gross</v>
          </cell>
          <cell r="Y10765" t="str">
            <v>BELGIUM</v>
          </cell>
        </row>
        <row r="10766">
          <cell r="L10766" t="str">
            <v>Non-proportional</v>
          </cell>
          <cell r="S10766">
            <v>35.29</v>
          </cell>
          <cell r="X10766" t="str">
            <v>Commissions - gross</v>
          </cell>
          <cell r="Y10766" t="str">
            <v>CHILE</v>
          </cell>
        </row>
        <row r="10767">
          <cell r="L10767" t="str">
            <v>Non-proportional</v>
          </cell>
          <cell r="S10767">
            <v>690.77</v>
          </cell>
          <cell r="X10767" t="str">
            <v>Commissions - gross</v>
          </cell>
          <cell r="Y10767" t="str">
            <v>GREECE</v>
          </cell>
        </row>
        <row r="10768">
          <cell r="L10768" t="str">
            <v>Non-proportional</v>
          </cell>
          <cell r="S10768">
            <v>1049.99</v>
          </cell>
          <cell r="X10768" t="str">
            <v>Commissions - gross</v>
          </cell>
          <cell r="Y10768" t="str">
            <v>ITALY</v>
          </cell>
        </row>
        <row r="10769">
          <cell r="L10769" t="str">
            <v>Non-proportional</v>
          </cell>
          <cell r="S10769">
            <v>627.9</v>
          </cell>
          <cell r="X10769" t="str">
            <v>Commissions - gross</v>
          </cell>
          <cell r="Y10769" t="str">
            <v>FRANCE</v>
          </cell>
        </row>
        <row r="10770">
          <cell r="L10770" t="str">
            <v>Non-proportional</v>
          </cell>
          <cell r="S10770">
            <v>73.959999999999994</v>
          </cell>
          <cell r="X10770" t="str">
            <v>Commissions - gross</v>
          </cell>
          <cell r="Y10770" t="str">
            <v>BRAZIL</v>
          </cell>
        </row>
        <row r="10771">
          <cell r="L10771" t="str">
            <v>Non-proportional</v>
          </cell>
          <cell r="S10771">
            <v>0</v>
          </cell>
          <cell r="X10771" t="str">
            <v>Commissions - gross</v>
          </cell>
          <cell r="Y10771" t="str">
            <v>DOMINICAN REPUBLIC</v>
          </cell>
        </row>
        <row r="10772">
          <cell r="L10772" t="str">
            <v>Non-proportional</v>
          </cell>
          <cell r="S10772">
            <v>0</v>
          </cell>
          <cell r="X10772" t="str">
            <v>Commissions - gross</v>
          </cell>
          <cell r="Y10772" t="str">
            <v>COLOMBIA</v>
          </cell>
        </row>
        <row r="10773">
          <cell r="L10773" t="str">
            <v>Non-proportional</v>
          </cell>
          <cell r="S10773">
            <v>359.38</v>
          </cell>
          <cell r="X10773" t="str">
            <v>Commissions - gross</v>
          </cell>
          <cell r="Y10773" t="str">
            <v>GREECE</v>
          </cell>
        </row>
        <row r="10774">
          <cell r="L10774" t="str">
            <v>Non-proportional</v>
          </cell>
          <cell r="S10774">
            <v>1171.21</v>
          </cell>
          <cell r="X10774" t="str">
            <v>Commissions - gross</v>
          </cell>
          <cell r="Y10774" t="str">
            <v>AUSTRALIA</v>
          </cell>
        </row>
        <row r="10775">
          <cell r="L10775" t="str">
            <v>Non-proportional</v>
          </cell>
          <cell r="S10775">
            <v>177.12</v>
          </cell>
          <cell r="X10775" t="str">
            <v>Commissions - gross</v>
          </cell>
          <cell r="Y10775" t="str">
            <v>NEW ZEALAND</v>
          </cell>
        </row>
        <row r="10776">
          <cell r="L10776" t="str">
            <v>Non-proportional</v>
          </cell>
          <cell r="S10776">
            <v>734.24</v>
          </cell>
          <cell r="X10776" t="str">
            <v>Commissions - gross</v>
          </cell>
          <cell r="Y10776" t="str">
            <v>FRANCE</v>
          </cell>
        </row>
        <row r="10777">
          <cell r="L10777" t="str">
            <v>Non-proportional</v>
          </cell>
          <cell r="S10777">
            <v>0</v>
          </cell>
          <cell r="X10777" t="str">
            <v>Commissions - gross</v>
          </cell>
          <cell r="Y10777" t="str">
            <v>DOMINICAN REPUBLIC</v>
          </cell>
        </row>
        <row r="10778">
          <cell r="L10778" t="str">
            <v>Non-proportional</v>
          </cell>
          <cell r="S10778">
            <v>164.36</v>
          </cell>
          <cell r="X10778" t="str">
            <v>Commissions - gross</v>
          </cell>
          <cell r="Y10778" t="str">
            <v>JAPAN</v>
          </cell>
        </row>
        <row r="10779">
          <cell r="L10779" t="str">
            <v>Non-proportional</v>
          </cell>
          <cell r="S10779">
            <v>497.15</v>
          </cell>
          <cell r="X10779" t="str">
            <v>Commissions - gross</v>
          </cell>
          <cell r="Y10779" t="str">
            <v>EUROPE</v>
          </cell>
        </row>
        <row r="10780">
          <cell r="L10780" t="str">
            <v>Non-proportional</v>
          </cell>
          <cell r="S10780">
            <v>950.01</v>
          </cell>
          <cell r="X10780" t="str">
            <v>Commissions - gross</v>
          </cell>
          <cell r="Y10780" t="str">
            <v>TURKEY</v>
          </cell>
        </row>
        <row r="10781">
          <cell r="L10781" t="str">
            <v>Non-proportional</v>
          </cell>
          <cell r="S10781">
            <v>741.12</v>
          </cell>
          <cell r="X10781" t="str">
            <v>Commissions - gross</v>
          </cell>
          <cell r="Y10781" t="str">
            <v>CHILE</v>
          </cell>
        </row>
        <row r="10782">
          <cell r="L10782" t="str">
            <v>Non-proportional</v>
          </cell>
          <cell r="S10782">
            <v>390.62</v>
          </cell>
          <cell r="X10782" t="str">
            <v>Commissions - gross</v>
          </cell>
          <cell r="Y10782" t="str">
            <v>EUROPE</v>
          </cell>
        </row>
        <row r="10783">
          <cell r="L10783" t="str">
            <v>Non-proportional</v>
          </cell>
          <cell r="S10783">
            <v>578.54999999999995</v>
          </cell>
          <cell r="X10783" t="str">
            <v>Commissions - gross</v>
          </cell>
          <cell r="Y10783" t="str">
            <v>AUSTRALIA</v>
          </cell>
        </row>
        <row r="10784">
          <cell r="L10784" t="str">
            <v>Non-proportional</v>
          </cell>
          <cell r="S10784">
            <v>174.82</v>
          </cell>
          <cell r="X10784" t="str">
            <v>Commissions - gross</v>
          </cell>
          <cell r="Y10784" t="str">
            <v>CHILE</v>
          </cell>
        </row>
        <row r="10785">
          <cell r="L10785" t="str">
            <v>Non-proportional</v>
          </cell>
          <cell r="S10785">
            <v>1381.68</v>
          </cell>
          <cell r="X10785" t="str">
            <v>Commissions - gross</v>
          </cell>
          <cell r="Y10785" t="str">
            <v>TURKEY</v>
          </cell>
        </row>
        <row r="10786">
          <cell r="L10786" t="str">
            <v>Non-proportional</v>
          </cell>
          <cell r="S10786">
            <v>690.77</v>
          </cell>
          <cell r="X10786" t="str">
            <v>Commissions - gross</v>
          </cell>
          <cell r="Y10786" t="str">
            <v>GREECE</v>
          </cell>
        </row>
        <row r="10787">
          <cell r="L10787" t="str">
            <v>Non-proportional</v>
          </cell>
          <cell r="S10787">
            <v>-28.46</v>
          </cell>
          <cell r="X10787" t="str">
            <v>Commissions - gross</v>
          </cell>
          <cell r="Y10787" t="str">
            <v>JAPAN</v>
          </cell>
        </row>
        <row r="10788">
          <cell r="L10788" t="str">
            <v>Non-proportional</v>
          </cell>
          <cell r="S10788">
            <v>130.38</v>
          </cell>
          <cell r="X10788" t="str">
            <v>Commissions - gross</v>
          </cell>
          <cell r="Y10788" t="str">
            <v>CYPRUS</v>
          </cell>
        </row>
        <row r="10789">
          <cell r="L10789" t="str">
            <v>Non-proportional</v>
          </cell>
          <cell r="S10789">
            <v>683.39</v>
          </cell>
          <cell r="X10789" t="str">
            <v>Commissions - gross</v>
          </cell>
          <cell r="Y10789" t="str">
            <v>COLOMBIA</v>
          </cell>
        </row>
        <row r="10790">
          <cell r="L10790" t="str">
            <v>Non-proportional</v>
          </cell>
          <cell r="S10790">
            <v>13.29</v>
          </cell>
          <cell r="X10790" t="str">
            <v>Commissions - gross</v>
          </cell>
          <cell r="Y10790" t="str">
            <v>ITALY</v>
          </cell>
        </row>
        <row r="10791">
          <cell r="L10791" t="str">
            <v>Non-proportional</v>
          </cell>
          <cell r="S10791">
            <v>1064.6500000000001</v>
          </cell>
          <cell r="X10791" t="str">
            <v>Commissions - gross</v>
          </cell>
          <cell r="Y10791" t="str">
            <v>CHILE</v>
          </cell>
        </row>
        <row r="10792">
          <cell r="L10792" t="str">
            <v>Non-proportional</v>
          </cell>
          <cell r="S10792">
            <v>1097.48</v>
          </cell>
          <cell r="X10792" t="str">
            <v>Commissions - gross</v>
          </cell>
          <cell r="Y10792" t="str">
            <v>GERMANY</v>
          </cell>
        </row>
        <row r="10793">
          <cell r="L10793" t="str">
            <v>Non-proportional</v>
          </cell>
          <cell r="S10793">
            <v>301.52999999999997</v>
          </cell>
          <cell r="X10793" t="str">
            <v>Commissions - gross</v>
          </cell>
          <cell r="Y10793" t="str">
            <v>ITALY</v>
          </cell>
        </row>
        <row r="10794">
          <cell r="L10794" t="str">
            <v>Non-proportional</v>
          </cell>
          <cell r="S10794">
            <v>2705.52</v>
          </cell>
          <cell r="X10794" t="str">
            <v>Commissions - gross</v>
          </cell>
          <cell r="Y10794" t="str">
            <v>AUSTRALIA</v>
          </cell>
        </row>
        <row r="10795">
          <cell r="L10795" t="str">
            <v>Non-proportional</v>
          </cell>
          <cell r="S10795">
            <v>7376.52</v>
          </cell>
          <cell r="X10795" t="str">
            <v>Commissions - gross</v>
          </cell>
          <cell r="Y10795" t="str">
            <v>UNITED KINGDOM</v>
          </cell>
        </row>
        <row r="10796">
          <cell r="L10796" t="str">
            <v>Non-proportional</v>
          </cell>
          <cell r="S10796">
            <v>1371.26</v>
          </cell>
          <cell r="X10796" t="str">
            <v>Commissions - gross</v>
          </cell>
          <cell r="Y10796" t="str">
            <v>ISRAEL</v>
          </cell>
        </row>
        <row r="10797">
          <cell r="L10797" t="str">
            <v>Non-proportional</v>
          </cell>
          <cell r="S10797">
            <v>220.51</v>
          </cell>
          <cell r="X10797" t="str">
            <v>Commissions - gross</v>
          </cell>
          <cell r="Y10797" t="str">
            <v>DOMINICAN REPUBLIC</v>
          </cell>
        </row>
        <row r="10798">
          <cell r="L10798" t="str">
            <v>Non-proportional</v>
          </cell>
          <cell r="S10798">
            <v>425.07</v>
          </cell>
          <cell r="X10798" t="str">
            <v>Commissions - gross</v>
          </cell>
          <cell r="Y10798" t="str">
            <v>ITALY</v>
          </cell>
        </row>
        <row r="10799">
          <cell r="L10799" t="str">
            <v>Non-proportional</v>
          </cell>
          <cell r="S10799">
            <v>85.6</v>
          </cell>
          <cell r="X10799" t="str">
            <v>Commissions - gross</v>
          </cell>
          <cell r="Y10799" t="str">
            <v>FRANCE</v>
          </cell>
        </row>
        <row r="10800">
          <cell r="L10800" t="str">
            <v>Non-proportional</v>
          </cell>
          <cell r="S10800">
            <v>1582.43</v>
          </cell>
          <cell r="X10800" t="str">
            <v>Commissions - gross</v>
          </cell>
          <cell r="Y10800" t="str">
            <v>DOMINICAN REPUBLIC</v>
          </cell>
        </row>
        <row r="10801">
          <cell r="L10801" t="str">
            <v>Non-proportional</v>
          </cell>
          <cell r="S10801">
            <v>312.55</v>
          </cell>
          <cell r="X10801" t="str">
            <v>Commissions - gross</v>
          </cell>
          <cell r="Y10801" t="str">
            <v>GUATEMALA</v>
          </cell>
        </row>
        <row r="10802">
          <cell r="L10802" t="str">
            <v>Non-proportional</v>
          </cell>
          <cell r="S10802">
            <v>408.46</v>
          </cell>
          <cell r="X10802" t="str">
            <v>Commissions - gross</v>
          </cell>
          <cell r="Y10802" t="str">
            <v>UNITED KINGDOM</v>
          </cell>
        </row>
        <row r="10803">
          <cell r="L10803" t="str">
            <v>Proportional</v>
          </cell>
          <cell r="S10803">
            <v>34.96</v>
          </cell>
          <cell r="X10803" t="str">
            <v>Commissions - gross</v>
          </cell>
          <cell r="Y10803" t="str">
            <v>CHILE</v>
          </cell>
        </row>
        <row r="10804">
          <cell r="L10804" t="str">
            <v>Non-proportional</v>
          </cell>
          <cell r="S10804">
            <v>8.2799999999999994</v>
          </cell>
          <cell r="X10804" t="str">
            <v>Commissions - gross</v>
          </cell>
          <cell r="Y10804" t="str">
            <v>COLOMBIA</v>
          </cell>
        </row>
        <row r="10805">
          <cell r="L10805" t="str">
            <v>Proportional</v>
          </cell>
          <cell r="S10805">
            <v>1085.98</v>
          </cell>
          <cell r="X10805" t="str">
            <v>Commissions - gross</v>
          </cell>
          <cell r="Y10805" t="str">
            <v>UNITED ARAB EMIRATES</v>
          </cell>
        </row>
        <row r="10806">
          <cell r="L10806" t="str">
            <v>Non-proportional</v>
          </cell>
          <cell r="S10806">
            <v>77.290000000000006</v>
          </cell>
          <cell r="X10806" t="str">
            <v>Commissions - gross</v>
          </cell>
          <cell r="Y10806" t="str">
            <v>REPUBLIC OF IRELAND</v>
          </cell>
        </row>
        <row r="10807">
          <cell r="L10807" t="str">
            <v>Non-proportional</v>
          </cell>
          <cell r="S10807">
            <v>472.34</v>
          </cell>
          <cell r="X10807" t="str">
            <v>Commissions - gross</v>
          </cell>
          <cell r="Y10807" t="str">
            <v>ECUADOR</v>
          </cell>
        </row>
        <row r="10808">
          <cell r="L10808" t="str">
            <v>Non-proportional</v>
          </cell>
          <cell r="S10808">
            <v>-301.73</v>
          </cell>
          <cell r="X10808" t="str">
            <v>Commissions - gross</v>
          </cell>
          <cell r="Y10808" t="str">
            <v>DOMINICAN REPUBLIC</v>
          </cell>
        </row>
        <row r="10809">
          <cell r="L10809" t="str">
            <v>Non-proportional</v>
          </cell>
          <cell r="S10809">
            <v>53.92</v>
          </cell>
          <cell r="X10809" t="str">
            <v>Commissions - gross</v>
          </cell>
          <cell r="Y10809" t="str">
            <v>JAPAN</v>
          </cell>
        </row>
        <row r="10810">
          <cell r="L10810" t="str">
            <v>Non-proportional</v>
          </cell>
          <cell r="S10810">
            <v>179.16</v>
          </cell>
          <cell r="X10810" t="str">
            <v>Commissions - gross</v>
          </cell>
          <cell r="Y10810" t="str">
            <v>PERU</v>
          </cell>
        </row>
        <row r="10811">
          <cell r="L10811" t="str">
            <v>Non-proportional</v>
          </cell>
          <cell r="S10811">
            <v>268.67</v>
          </cell>
          <cell r="X10811" t="str">
            <v>Commissions - gross</v>
          </cell>
          <cell r="Y10811" t="str">
            <v>MALTA</v>
          </cell>
        </row>
        <row r="10812">
          <cell r="L10812" t="str">
            <v>Non-proportional</v>
          </cell>
          <cell r="S10812">
            <v>14.55</v>
          </cell>
          <cell r="X10812" t="str">
            <v>Commissions - gross</v>
          </cell>
          <cell r="Y10812" t="str">
            <v>ISRAEL</v>
          </cell>
        </row>
        <row r="10813">
          <cell r="L10813" t="str">
            <v>Non-proportional</v>
          </cell>
          <cell r="S10813">
            <v>165.14</v>
          </cell>
          <cell r="X10813" t="str">
            <v>Commissions - gross</v>
          </cell>
          <cell r="Y10813" t="str">
            <v>JAPAN</v>
          </cell>
        </row>
        <row r="10814">
          <cell r="L10814" t="str">
            <v>Non-proportional</v>
          </cell>
          <cell r="S10814">
            <v>261.93</v>
          </cell>
          <cell r="X10814" t="str">
            <v>Commissions - gross</v>
          </cell>
          <cell r="Y10814" t="str">
            <v>SOUTH AFRICA</v>
          </cell>
        </row>
        <row r="10815">
          <cell r="L10815" t="str">
            <v>Non-proportional</v>
          </cell>
          <cell r="S10815">
            <v>433.89</v>
          </cell>
          <cell r="X10815" t="str">
            <v>Commissions - gross</v>
          </cell>
          <cell r="Y10815" t="str">
            <v>GUATEMALA</v>
          </cell>
        </row>
        <row r="10816">
          <cell r="L10816" t="str">
            <v>Proportional</v>
          </cell>
          <cell r="S10816">
            <v>-16.77</v>
          </cell>
          <cell r="X10816" t="str">
            <v>Commissions - gross</v>
          </cell>
          <cell r="Y10816" t="str">
            <v>CHILE</v>
          </cell>
        </row>
        <row r="10817">
          <cell r="L10817" t="str">
            <v>Non-proportional</v>
          </cell>
          <cell r="S10817">
            <v>489.63</v>
          </cell>
          <cell r="X10817" t="str">
            <v>Commissions - gross</v>
          </cell>
          <cell r="Y10817" t="str">
            <v>ISRAEL</v>
          </cell>
        </row>
        <row r="10818">
          <cell r="L10818" t="str">
            <v>Non-proportional</v>
          </cell>
          <cell r="S10818">
            <v>283.49</v>
          </cell>
          <cell r="X10818" t="str">
            <v>Commissions - gross</v>
          </cell>
          <cell r="Y10818" t="str">
            <v>JAPAN</v>
          </cell>
        </row>
        <row r="10819">
          <cell r="L10819" t="str">
            <v>Non-proportional</v>
          </cell>
          <cell r="S10819">
            <v>-3.82</v>
          </cell>
          <cell r="X10819" t="str">
            <v>Commissions - gross</v>
          </cell>
          <cell r="Y10819" t="str">
            <v>COLOMBIA</v>
          </cell>
        </row>
        <row r="10820">
          <cell r="L10820" t="str">
            <v>Non-proportional</v>
          </cell>
          <cell r="S10820">
            <v>2685.44</v>
          </cell>
          <cell r="X10820" t="str">
            <v>Commissions - gross</v>
          </cell>
          <cell r="Y10820" t="str">
            <v>TURKEY</v>
          </cell>
        </row>
        <row r="10821">
          <cell r="L10821" t="str">
            <v>Non-proportional</v>
          </cell>
          <cell r="S10821">
            <v>176.56</v>
          </cell>
          <cell r="X10821" t="str">
            <v>Commissions - gross</v>
          </cell>
          <cell r="Y10821" t="str">
            <v>JAPAN</v>
          </cell>
        </row>
        <row r="10822">
          <cell r="L10822" t="str">
            <v>Non-proportional</v>
          </cell>
          <cell r="S10822">
            <v>904.39</v>
          </cell>
          <cell r="X10822" t="str">
            <v>Commissions - gross</v>
          </cell>
          <cell r="Y10822" t="str">
            <v>FRANCE</v>
          </cell>
        </row>
        <row r="10823">
          <cell r="L10823" t="str">
            <v>Non-proportional</v>
          </cell>
          <cell r="S10823">
            <v>-5.25</v>
          </cell>
          <cell r="X10823" t="str">
            <v>Commissions - gross</v>
          </cell>
          <cell r="Y10823" t="str">
            <v>JAPAN</v>
          </cell>
        </row>
        <row r="10824">
          <cell r="L10824" t="str">
            <v>Non-proportional</v>
          </cell>
          <cell r="S10824">
            <v>1049.99</v>
          </cell>
          <cell r="X10824" t="str">
            <v>Commissions - gross</v>
          </cell>
          <cell r="Y10824" t="str">
            <v>ITALY</v>
          </cell>
        </row>
        <row r="10825">
          <cell r="L10825" t="str">
            <v>Non-proportional</v>
          </cell>
          <cell r="S10825">
            <v>69.86</v>
          </cell>
          <cell r="X10825" t="str">
            <v>Commissions - gross</v>
          </cell>
          <cell r="Y10825" t="str">
            <v>ITALY</v>
          </cell>
        </row>
        <row r="10826">
          <cell r="L10826" t="str">
            <v>Non-proportional</v>
          </cell>
          <cell r="S10826">
            <v>-5.34</v>
          </cell>
          <cell r="X10826" t="str">
            <v>Commissions - gross</v>
          </cell>
          <cell r="Y10826" t="str">
            <v>JAPAN</v>
          </cell>
        </row>
        <row r="10827">
          <cell r="L10827" t="str">
            <v>Non-proportional</v>
          </cell>
          <cell r="S10827">
            <v>721.88</v>
          </cell>
          <cell r="X10827" t="str">
            <v>Commissions - gross</v>
          </cell>
          <cell r="Y10827" t="str">
            <v>FRANCE</v>
          </cell>
        </row>
        <row r="10828">
          <cell r="L10828" t="str">
            <v>Non-proportional</v>
          </cell>
          <cell r="S10828">
            <v>804.18</v>
          </cell>
          <cell r="X10828" t="str">
            <v>Commissions - gross</v>
          </cell>
          <cell r="Y10828" t="str">
            <v>CHILE</v>
          </cell>
        </row>
        <row r="10829">
          <cell r="L10829" t="str">
            <v>Non-proportional</v>
          </cell>
          <cell r="S10829">
            <v>61.25</v>
          </cell>
          <cell r="X10829" t="str">
            <v>Commissions - gross</v>
          </cell>
          <cell r="Y10829" t="str">
            <v>GREECE</v>
          </cell>
        </row>
        <row r="10830">
          <cell r="L10830" t="str">
            <v>Non-proportional</v>
          </cell>
          <cell r="S10830">
            <v>885.5</v>
          </cell>
          <cell r="X10830" t="str">
            <v>Commissions - gross</v>
          </cell>
          <cell r="Y10830" t="str">
            <v>GERMANY</v>
          </cell>
        </row>
        <row r="10831">
          <cell r="L10831" t="str">
            <v>Non-proportional</v>
          </cell>
          <cell r="S10831">
            <v>-25.64</v>
          </cell>
          <cell r="X10831" t="str">
            <v>Commissions - gross</v>
          </cell>
          <cell r="Y10831" t="str">
            <v>JAPAN</v>
          </cell>
        </row>
        <row r="10832">
          <cell r="L10832" t="str">
            <v>Non-proportional</v>
          </cell>
          <cell r="S10832">
            <v>17.690000000000001</v>
          </cell>
          <cell r="X10832" t="str">
            <v>Commissions - gross</v>
          </cell>
          <cell r="Y10832" t="str">
            <v>JAPAN</v>
          </cell>
        </row>
        <row r="10833">
          <cell r="L10833" t="str">
            <v>Non-proportional</v>
          </cell>
          <cell r="S10833">
            <v>909.07</v>
          </cell>
          <cell r="X10833" t="str">
            <v>Commissions - gross</v>
          </cell>
          <cell r="Y10833" t="str">
            <v>CHILE</v>
          </cell>
        </row>
        <row r="10834">
          <cell r="L10834" t="str">
            <v>Proportional</v>
          </cell>
          <cell r="S10834">
            <v>69.930000000000007</v>
          </cell>
          <cell r="X10834" t="str">
            <v>Commissions - gross</v>
          </cell>
          <cell r="Y10834" t="str">
            <v>CHILE</v>
          </cell>
        </row>
        <row r="10835">
          <cell r="L10835" t="str">
            <v>Non-proportional</v>
          </cell>
          <cell r="S10835">
            <v>127.59</v>
          </cell>
          <cell r="X10835" t="str">
            <v>Commissions - gross</v>
          </cell>
          <cell r="Y10835" t="str">
            <v>NEW ZEALAND</v>
          </cell>
        </row>
        <row r="10836">
          <cell r="L10836" t="str">
            <v>Non-proportional</v>
          </cell>
          <cell r="S10836">
            <v>0</v>
          </cell>
          <cell r="X10836" t="str">
            <v>Commissions - gross</v>
          </cell>
          <cell r="Y10836" t="str">
            <v>DOMINICAN REPUBLIC</v>
          </cell>
        </row>
        <row r="10837">
          <cell r="L10837" t="str">
            <v>Non-proportional</v>
          </cell>
          <cell r="S10837">
            <v>570.02</v>
          </cell>
          <cell r="X10837" t="str">
            <v>Commissions - gross</v>
          </cell>
          <cell r="Y10837" t="str">
            <v>ITALY</v>
          </cell>
        </row>
        <row r="10838">
          <cell r="L10838" t="str">
            <v>Non-proportional</v>
          </cell>
          <cell r="S10838">
            <v>1070.71</v>
          </cell>
          <cell r="X10838" t="str">
            <v>Commissions - gross</v>
          </cell>
          <cell r="Y10838" t="str">
            <v>FRANCE</v>
          </cell>
        </row>
        <row r="10839">
          <cell r="L10839" t="str">
            <v>Non-proportional</v>
          </cell>
          <cell r="S10839">
            <v>34.96</v>
          </cell>
          <cell r="X10839" t="str">
            <v>Commissions - gross</v>
          </cell>
          <cell r="Y10839" t="str">
            <v>CHILE</v>
          </cell>
        </row>
        <row r="10840">
          <cell r="L10840" t="str">
            <v>Non-proportional</v>
          </cell>
          <cell r="S10840">
            <v>10572.33</v>
          </cell>
          <cell r="X10840" t="str">
            <v>Commissions - gross</v>
          </cell>
          <cell r="Y10840" t="str">
            <v>FRANCE</v>
          </cell>
        </row>
        <row r="10841">
          <cell r="L10841" t="str">
            <v>Non-proportional</v>
          </cell>
          <cell r="S10841">
            <v>113.12</v>
          </cell>
          <cell r="X10841" t="str">
            <v>Commissions - gross</v>
          </cell>
          <cell r="Y10841" t="str">
            <v>CYPRUS</v>
          </cell>
        </row>
        <row r="10842">
          <cell r="L10842" t="str">
            <v>Non-proportional</v>
          </cell>
          <cell r="S10842">
            <v>6.95</v>
          </cell>
          <cell r="X10842" t="str">
            <v>Commissions - gross</v>
          </cell>
          <cell r="Y10842" t="str">
            <v>BRAZIL</v>
          </cell>
        </row>
        <row r="10843">
          <cell r="L10843" t="str">
            <v>Non-proportional</v>
          </cell>
          <cell r="S10843">
            <v>0</v>
          </cell>
          <cell r="X10843" t="str">
            <v>Commissions - gross</v>
          </cell>
          <cell r="Y10843" t="str">
            <v>COLOMBIA</v>
          </cell>
        </row>
        <row r="10844">
          <cell r="L10844" t="str">
            <v>Non-proportional</v>
          </cell>
          <cell r="S10844">
            <v>4313.1000000000004</v>
          </cell>
          <cell r="X10844" t="str">
            <v>Commissions - gross</v>
          </cell>
          <cell r="Y10844" t="str">
            <v>UNITED KINGDOM</v>
          </cell>
        </row>
        <row r="10845">
          <cell r="L10845" t="str">
            <v>Non-proportional</v>
          </cell>
          <cell r="S10845">
            <v>303.10000000000002</v>
          </cell>
          <cell r="X10845" t="str">
            <v>Commissions - gross</v>
          </cell>
          <cell r="Y10845" t="str">
            <v>INDIA</v>
          </cell>
        </row>
        <row r="10846">
          <cell r="L10846" t="str">
            <v>Non-proportional</v>
          </cell>
          <cell r="S10846">
            <v>378</v>
          </cell>
          <cell r="X10846" t="str">
            <v>Commissions - gross</v>
          </cell>
          <cell r="Y10846" t="str">
            <v>GREECE</v>
          </cell>
        </row>
        <row r="10847">
          <cell r="L10847" t="str">
            <v>Non-proportional</v>
          </cell>
          <cell r="S10847">
            <v>1169.48</v>
          </cell>
          <cell r="X10847" t="str">
            <v>Commissions - gross</v>
          </cell>
          <cell r="Y10847" t="str">
            <v>AUSTRALIA</v>
          </cell>
        </row>
        <row r="10848">
          <cell r="L10848" t="str">
            <v>Non-proportional</v>
          </cell>
          <cell r="S10848">
            <v>146.88</v>
          </cell>
          <cell r="X10848" t="str">
            <v>Commissions - gross</v>
          </cell>
          <cell r="Y10848" t="str">
            <v>GREECE</v>
          </cell>
        </row>
        <row r="10849">
          <cell r="L10849" t="str">
            <v>Non-proportional</v>
          </cell>
          <cell r="S10849">
            <v>7393.71</v>
          </cell>
          <cell r="X10849" t="str">
            <v>Commissions - gross</v>
          </cell>
          <cell r="Y10849" t="str">
            <v>UNITED KINGDOM</v>
          </cell>
        </row>
        <row r="10850">
          <cell r="L10850" t="str">
            <v>Non-proportional</v>
          </cell>
          <cell r="S10850">
            <v>413.02</v>
          </cell>
          <cell r="X10850" t="str">
            <v>Commissions - gross</v>
          </cell>
          <cell r="Y10850" t="str">
            <v>COLOMBIA</v>
          </cell>
        </row>
        <row r="10851">
          <cell r="L10851" t="str">
            <v>Non-proportional</v>
          </cell>
          <cell r="S10851">
            <v>3.42</v>
          </cell>
          <cell r="X10851" t="str">
            <v>Commissions - gross</v>
          </cell>
          <cell r="Y10851" t="str">
            <v>ISRAEL</v>
          </cell>
        </row>
        <row r="10852">
          <cell r="L10852" t="str">
            <v>Non-proportional</v>
          </cell>
          <cell r="S10852">
            <v>251.98</v>
          </cell>
          <cell r="X10852" t="str">
            <v>Commissions - gross</v>
          </cell>
          <cell r="Y10852" t="str">
            <v>ECUADOR</v>
          </cell>
        </row>
        <row r="10853">
          <cell r="L10853" t="str">
            <v>Non-proportional</v>
          </cell>
          <cell r="S10853">
            <v>910.27</v>
          </cell>
          <cell r="X10853" t="str">
            <v>Commissions - gross</v>
          </cell>
          <cell r="Y10853" t="str">
            <v>PUERTO RICO</v>
          </cell>
        </row>
        <row r="10854">
          <cell r="L10854" t="str">
            <v>Non-proportional</v>
          </cell>
          <cell r="S10854">
            <v>229.54</v>
          </cell>
          <cell r="X10854" t="str">
            <v>Commissions - gross</v>
          </cell>
          <cell r="Y10854" t="str">
            <v>PERU</v>
          </cell>
        </row>
        <row r="10855">
          <cell r="L10855" t="str">
            <v>Non-proportional</v>
          </cell>
          <cell r="S10855">
            <v>0</v>
          </cell>
          <cell r="X10855" t="str">
            <v>Commissions - gross</v>
          </cell>
          <cell r="Y10855" t="str">
            <v>BELIZE</v>
          </cell>
        </row>
        <row r="10856">
          <cell r="L10856" t="str">
            <v>Non-proportional</v>
          </cell>
          <cell r="S10856">
            <v>465.93</v>
          </cell>
          <cell r="X10856" t="str">
            <v>Commissions - gross</v>
          </cell>
          <cell r="Y10856" t="str">
            <v>SPAIN</v>
          </cell>
        </row>
        <row r="10857">
          <cell r="L10857" t="str">
            <v>Non-proportional</v>
          </cell>
          <cell r="S10857">
            <v>753.77</v>
          </cell>
          <cell r="X10857" t="str">
            <v>Commissions - gross</v>
          </cell>
          <cell r="Y10857" t="str">
            <v>PUERTO RICO</v>
          </cell>
        </row>
        <row r="10858">
          <cell r="L10858" t="str">
            <v>Non-proportional</v>
          </cell>
          <cell r="S10858">
            <v>3.45</v>
          </cell>
          <cell r="X10858" t="str">
            <v>Commissions - gross</v>
          </cell>
          <cell r="Y10858" t="str">
            <v>ISRAEL</v>
          </cell>
        </row>
        <row r="10859">
          <cell r="L10859" t="str">
            <v>Non-proportional</v>
          </cell>
          <cell r="S10859">
            <v>608.63</v>
          </cell>
          <cell r="X10859" t="str">
            <v>Commissions - gross</v>
          </cell>
          <cell r="Y10859" t="str">
            <v>ITALY</v>
          </cell>
        </row>
        <row r="10860">
          <cell r="L10860" t="str">
            <v>Non-proportional</v>
          </cell>
          <cell r="S10860">
            <v>89.4</v>
          </cell>
          <cell r="X10860" t="str">
            <v>Commissions - gross</v>
          </cell>
          <cell r="Y10860" t="str">
            <v>ECUADOR</v>
          </cell>
        </row>
        <row r="10861">
          <cell r="L10861" t="str">
            <v>Non-proportional</v>
          </cell>
          <cell r="S10861">
            <v>166.46</v>
          </cell>
          <cell r="X10861" t="str">
            <v>Commissions - gross</v>
          </cell>
          <cell r="Y10861" t="str">
            <v>FRANCE</v>
          </cell>
        </row>
        <row r="10862">
          <cell r="L10862" t="str">
            <v>Non-proportional</v>
          </cell>
          <cell r="S10862">
            <v>286.62</v>
          </cell>
          <cell r="X10862" t="str">
            <v>Commissions - gross</v>
          </cell>
          <cell r="Y10862" t="str">
            <v>ISRAEL</v>
          </cell>
        </row>
        <row r="10863">
          <cell r="L10863" t="str">
            <v>Non-proportional</v>
          </cell>
          <cell r="S10863">
            <v>749.23</v>
          </cell>
          <cell r="X10863" t="str">
            <v>Commissions - gross</v>
          </cell>
          <cell r="Y10863" t="str">
            <v>FRANCE</v>
          </cell>
        </row>
        <row r="10864">
          <cell r="L10864" t="str">
            <v>Non-proportional</v>
          </cell>
          <cell r="S10864">
            <v>257.86</v>
          </cell>
          <cell r="X10864" t="str">
            <v>Commissions - gross</v>
          </cell>
          <cell r="Y10864" t="str">
            <v>BELIZE</v>
          </cell>
        </row>
        <row r="10865">
          <cell r="L10865" t="str">
            <v>Non-proportional</v>
          </cell>
          <cell r="S10865">
            <v>34.96</v>
          </cell>
          <cell r="X10865" t="str">
            <v>Commissions - gross</v>
          </cell>
          <cell r="Y10865" t="str">
            <v>CHILE</v>
          </cell>
        </row>
        <row r="10866">
          <cell r="L10866" t="str">
            <v>Non-proportional</v>
          </cell>
          <cell r="S10866">
            <v>71.83</v>
          </cell>
          <cell r="X10866" t="str">
            <v>Commissions - gross</v>
          </cell>
          <cell r="Y10866" t="str">
            <v>ISRAEL</v>
          </cell>
        </row>
        <row r="10867">
          <cell r="L10867" t="str">
            <v>Non-proportional</v>
          </cell>
          <cell r="S10867">
            <v>25848.73</v>
          </cell>
          <cell r="X10867" t="str">
            <v>Commissions - gross</v>
          </cell>
          <cell r="Y10867" t="str">
            <v>UNITED KINGDOM</v>
          </cell>
        </row>
        <row r="10868">
          <cell r="L10868" t="str">
            <v>Non-proportional</v>
          </cell>
          <cell r="S10868">
            <v>-11.11</v>
          </cell>
          <cell r="X10868" t="str">
            <v>Commissions - gross</v>
          </cell>
          <cell r="Y10868" t="str">
            <v>JAPAN</v>
          </cell>
        </row>
        <row r="10869">
          <cell r="L10869" t="str">
            <v>Non-proportional</v>
          </cell>
          <cell r="S10869">
            <v>253.54</v>
          </cell>
          <cell r="X10869" t="str">
            <v>Commissions - gross</v>
          </cell>
          <cell r="Y10869" t="str">
            <v>ECUADOR</v>
          </cell>
        </row>
        <row r="10870">
          <cell r="L10870" t="str">
            <v>Non-proportional</v>
          </cell>
          <cell r="S10870">
            <v>591.84</v>
          </cell>
          <cell r="X10870" t="str">
            <v>Commissions - gross</v>
          </cell>
          <cell r="Y10870" t="str">
            <v>EUROPE</v>
          </cell>
        </row>
        <row r="10871">
          <cell r="L10871" t="str">
            <v>Non-proportional</v>
          </cell>
          <cell r="S10871">
            <v>31.07</v>
          </cell>
          <cell r="X10871" t="str">
            <v>Commissions - gross</v>
          </cell>
          <cell r="Y10871" t="str">
            <v>ITALY</v>
          </cell>
        </row>
        <row r="10872">
          <cell r="L10872" t="str">
            <v>Non-proportional</v>
          </cell>
          <cell r="S10872">
            <v>999.54</v>
          </cell>
          <cell r="X10872" t="str">
            <v>Commissions - gross</v>
          </cell>
          <cell r="Y10872" t="str">
            <v>PERU</v>
          </cell>
        </row>
        <row r="10873">
          <cell r="L10873" t="str">
            <v>Non-proportional</v>
          </cell>
          <cell r="S10873">
            <v>575.72</v>
          </cell>
          <cell r="X10873" t="str">
            <v>Commissions - gross</v>
          </cell>
          <cell r="Y10873" t="str">
            <v>SPAIN</v>
          </cell>
        </row>
        <row r="10874">
          <cell r="L10874" t="str">
            <v>Non-proportional</v>
          </cell>
          <cell r="S10874">
            <v>174.82</v>
          </cell>
          <cell r="X10874" t="str">
            <v>Commissions - gross</v>
          </cell>
          <cell r="Y10874" t="str">
            <v>CHILE</v>
          </cell>
        </row>
        <row r="10875">
          <cell r="L10875" t="str">
            <v>Non-proportional</v>
          </cell>
          <cell r="S10875">
            <v>1074.8699999999999</v>
          </cell>
          <cell r="X10875" t="str">
            <v>Commissions - gross</v>
          </cell>
          <cell r="Y10875" t="str">
            <v>ITALY</v>
          </cell>
        </row>
        <row r="10876">
          <cell r="L10876" t="str">
            <v>Non-proportional</v>
          </cell>
          <cell r="S10876">
            <v>2133.83</v>
          </cell>
          <cell r="X10876" t="str">
            <v>Commissions - gross</v>
          </cell>
          <cell r="Y10876" t="str">
            <v>UNITED KINGDOM</v>
          </cell>
        </row>
        <row r="10877">
          <cell r="L10877" t="str">
            <v>Non-proportional</v>
          </cell>
          <cell r="S10877">
            <v>629.36</v>
          </cell>
          <cell r="X10877" t="str">
            <v>Commissions - gross</v>
          </cell>
          <cell r="Y10877" t="str">
            <v>CHILE</v>
          </cell>
        </row>
        <row r="10878">
          <cell r="L10878" t="str">
            <v>Non-proportional</v>
          </cell>
          <cell r="S10878">
            <v>10216.11</v>
          </cell>
          <cell r="X10878" t="str">
            <v>Commissions - gross</v>
          </cell>
          <cell r="Y10878" t="str">
            <v>HONG KONG</v>
          </cell>
        </row>
        <row r="10879">
          <cell r="L10879" t="str">
            <v>Non-proportional</v>
          </cell>
          <cell r="S10879">
            <v>551.27</v>
          </cell>
          <cell r="X10879" t="str">
            <v>Commissions - gross</v>
          </cell>
          <cell r="Y10879" t="str">
            <v>NETHERLANDS</v>
          </cell>
        </row>
        <row r="10880">
          <cell r="L10880" t="str">
            <v>Proportional</v>
          </cell>
          <cell r="S10880">
            <v>-68.53</v>
          </cell>
          <cell r="X10880" t="str">
            <v>Commissions - gross</v>
          </cell>
          <cell r="Y10880" t="str">
            <v>UNITED STATES</v>
          </cell>
        </row>
        <row r="10881">
          <cell r="L10881" t="str">
            <v>Non-proportional</v>
          </cell>
          <cell r="S10881">
            <v>2899.32</v>
          </cell>
          <cell r="X10881" t="str">
            <v>Commissions - gross</v>
          </cell>
          <cell r="Y10881" t="str">
            <v>JAPAN</v>
          </cell>
        </row>
        <row r="10882">
          <cell r="L10882" t="str">
            <v>Non-proportional</v>
          </cell>
          <cell r="S10882">
            <v>655.67</v>
          </cell>
          <cell r="X10882" t="str">
            <v>Commissions - gross</v>
          </cell>
          <cell r="Y10882" t="str">
            <v>JAPAN</v>
          </cell>
        </row>
        <row r="10883">
          <cell r="L10883" t="str">
            <v>Non-proportional</v>
          </cell>
          <cell r="S10883">
            <v>173.47</v>
          </cell>
          <cell r="X10883" t="str">
            <v>Commissions - gross</v>
          </cell>
          <cell r="Y10883" t="str">
            <v>NEW ZEALAND</v>
          </cell>
        </row>
        <row r="10884">
          <cell r="L10884" t="str">
            <v>Non-proportional</v>
          </cell>
          <cell r="S10884">
            <v>-9.17</v>
          </cell>
          <cell r="X10884" t="str">
            <v>Commissions - gross</v>
          </cell>
          <cell r="Y10884" t="str">
            <v>JAPAN</v>
          </cell>
        </row>
        <row r="10885">
          <cell r="L10885" t="str">
            <v>Non-proportional</v>
          </cell>
          <cell r="S10885">
            <v>28.63</v>
          </cell>
          <cell r="X10885" t="str">
            <v>Commissions - gross</v>
          </cell>
          <cell r="Y10885" t="str">
            <v>REPUBLIC OF IRELAND</v>
          </cell>
        </row>
        <row r="10886">
          <cell r="L10886" t="str">
            <v>Non-proportional</v>
          </cell>
          <cell r="S10886">
            <v>244.25</v>
          </cell>
          <cell r="X10886" t="str">
            <v>Commissions - gross</v>
          </cell>
          <cell r="Y10886" t="str">
            <v>CYPRUS</v>
          </cell>
        </row>
        <row r="10887">
          <cell r="L10887" t="str">
            <v>Non-proportional</v>
          </cell>
          <cell r="S10887">
            <v>575.09</v>
          </cell>
          <cell r="X10887" t="str">
            <v>Commissions - gross</v>
          </cell>
          <cell r="Y10887" t="str">
            <v>ISRAEL</v>
          </cell>
        </row>
        <row r="10888">
          <cell r="L10888" t="str">
            <v>Non-proportional</v>
          </cell>
          <cell r="S10888">
            <v>420.9</v>
          </cell>
          <cell r="X10888" t="str">
            <v>Commissions - gross</v>
          </cell>
          <cell r="Y10888" t="str">
            <v>THAILAND</v>
          </cell>
        </row>
        <row r="10889">
          <cell r="L10889" t="str">
            <v>Non-proportional</v>
          </cell>
          <cell r="S10889">
            <v>290.32</v>
          </cell>
          <cell r="X10889" t="str">
            <v>Commissions - gross</v>
          </cell>
          <cell r="Y10889" t="str">
            <v>AUSTRALIA</v>
          </cell>
        </row>
        <row r="10890">
          <cell r="L10890" t="str">
            <v>Non-proportional</v>
          </cell>
          <cell r="S10890">
            <v>174.97</v>
          </cell>
          <cell r="X10890" t="str">
            <v>Commissions - gross</v>
          </cell>
          <cell r="Y10890" t="str">
            <v>NETHERLANDS</v>
          </cell>
        </row>
        <row r="10891">
          <cell r="L10891" t="str">
            <v>Proportional</v>
          </cell>
          <cell r="S10891">
            <v>5.62</v>
          </cell>
          <cell r="X10891" t="str">
            <v>Commissions - gross</v>
          </cell>
          <cell r="Y10891" t="str">
            <v>UNITED STATES</v>
          </cell>
        </row>
        <row r="10892">
          <cell r="L10892" t="str">
            <v>Non-proportional</v>
          </cell>
          <cell r="S10892">
            <v>0</v>
          </cell>
          <cell r="X10892" t="str">
            <v>Commissions - gross</v>
          </cell>
          <cell r="Y10892" t="str">
            <v>COLOMBIA</v>
          </cell>
        </row>
        <row r="10893">
          <cell r="L10893" t="str">
            <v>Non-proportional</v>
          </cell>
          <cell r="S10893">
            <v>314.74</v>
          </cell>
          <cell r="X10893" t="str">
            <v>Commissions - gross</v>
          </cell>
          <cell r="Y10893" t="str">
            <v>ISRAEL</v>
          </cell>
        </row>
        <row r="10894">
          <cell r="L10894" t="str">
            <v>Non-proportional</v>
          </cell>
          <cell r="S10894">
            <v>631.9</v>
          </cell>
          <cell r="X10894" t="str">
            <v>Commissions - gross</v>
          </cell>
          <cell r="Y10894" t="str">
            <v>JAPAN</v>
          </cell>
        </row>
        <row r="10895">
          <cell r="L10895" t="str">
            <v>Non-proportional</v>
          </cell>
          <cell r="S10895">
            <v>2499.98</v>
          </cell>
          <cell r="X10895" t="str">
            <v>Commissions - gross</v>
          </cell>
          <cell r="Y10895" t="str">
            <v>FRANCE</v>
          </cell>
        </row>
        <row r="10896">
          <cell r="L10896" t="str">
            <v>Non-proportional</v>
          </cell>
          <cell r="S10896">
            <v>69.930000000000007</v>
          </cell>
          <cell r="X10896" t="str">
            <v>Commissions - gross</v>
          </cell>
          <cell r="Y10896" t="str">
            <v>CHILE</v>
          </cell>
        </row>
        <row r="10897">
          <cell r="L10897" t="str">
            <v>Non-proportional</v>
          </cell>
          <cell r="S10897">
            <v>281.58</v>
          </cell>
          <cell r="X10897" t="str">
            <v>Commissions - gross</v>
          </cell>
          <cell r="Y10897" t="str">
            <v>AUSTRALIA</v>
          </cell>
        </row>
        <row r="10898">
          <cell r="L10898" t="str">
            <v>Proportional</v>
          </cell>
          <cell r="S10898">
            <v>4999.8100000000004</v>
          </cell>
          <cell r="X10898" t="str">
            <v>Commissions - gross</v>
          </cell>
          <cell r="Y10898" t="str">
            <v>UNITED STATES</v>
          </cell>
        </row>
        <row r="10899">
          <cell r="L10899" t="str">
            <v>Non-proportional</v>
          </cell>
          <cell r="S10899">
            <v>1151.06</v>
          </cell>
          <cell r="X10899" t="str">
            <v>Commissions - gross</v>
          </cell>
          <cell r="Y10899" t="str">
            <v>EUROPE</v>
          </cell>
        </row>
        <row r="10900">
          <cell r="L10900" t="str">
            <v>Non-proportional</v>
          </cell>
          <cell r="S10900">
            <v>281.54000000000002</v>
          </cell>
          <cell r="X10900" t="str">
            <v>Commissions - gross</v>
          </cell>
          <cell r="Y10900" t="str">
            <v>AUSTRALIA</v>
          </cell>
        </row>
        <row r="10901">
          <cell r="L10901" t="str">
            <v>Non-proportional</v>
          </cell>
          <cell r="S10901">
            <v>464.6</v>
          </cell>
          <cell r="X10901" t="str">
            <v>Commissions - gross</v>
          </cell>
          <cell r="Y10901" t="str">
            <v>UNITED KINGDOM</v>
          </cell>
        </row>
        <row r="10902">
          <cell r="L10902" t="str">
            <v>Non-proportional</v>
          </cell>
          <cell r="S10902">
            <v>320.24</v>
          </cell>
          <cell r="X10902" t="str">
            <v>Commissions - gross</v>
          </cell>
          <cell r="Y10902" t="str">
            <v>AUSTRALIA</v>
          </cell>
        </row>
        <row r="10903">
          <cell r="L10903" t="str">
            <v>Non-proportional</v>
          </cell>
          <cell r="S10903">
            <v>141.59</v>
          </cell>
          <cell r="X10903" t="str">
            <v>Commissions - gross</v>
          </cell>
          <cell r="Y10903" t="str">
            <v>FRANCE</v>
          </cell>
        </row>
        <row r="10904">
          <cell r="L10904" t="str">
            <v>Non-proportional</v>
          </cell>
          <cell r="S10904">
            <v>511.89</v>
          </cell>
          <cell r="X10904" t="str">
            <v>Commissions - gross</v>
          </cell>
          <cell r="Y10904" t="str">
            <v>ISRAEL</v>
          </cell>
        </row>
        <row r="10905">
          <cell r="L10905" t="str">
            <v>Non-proportional</v>
          </cell>
          <cell r="S10905">
            <v>-9.8800000000000008</v>
          </cell>
          <cell r="X10905" t="str">
            <v>Commissions - gross</v>
          </cell>
          <cell r="Y10905" t="str">
            <v>INDIA</v>
          </cell>
        </row>
        <row r="10906">
          <cell r="L10906" t="str">
            <v>Non-proportional</v>
          </cell>
          <cell r="S10906">
            <v>182.78</v>
          </cell>
          <cell r="X10906" t="str">
            <v>Commissions - gross</v>
          </cell>
          <cell r="Y10906" t="str">
            <v>PERU</v>
          </cell>
        </row>
        <row r="10907">
          <cell r="L10907" t="str">
            <v>Non-proportional</v>
          </cell>
          <cell r="S10907">
            <v>611.30999999999995</v>
          </cell>
          <cell r="X10907" t="str">
            <v>Commissions - gross</v>
          </cell>
          <cell r="Y10907" t="str">
            <v>ECUADOR</v>
          </cell>
        </row>
        <row r="10908">
          <cell r="L10908" t="str">
            <v>Non-proportional</v>
          </cell>
          <cell r="S10908">
            <v>1502</v>
          </cell>
          <cell r="X10908" t="str">
            <v>Commissions - gross</v>
          </cell>
          <cell r="Y10908" t="str">
            <v>UNITED KINGDOM</v>
          </cell>
        </row>
        <row r="10909">
          <cell r="L10909" t="str">
            <v>Non-proportional</v>
          </cell>
          <cell r="S10909">
            <v>218.75</v>
          </cell>
          <cell r="X10909" t="str">
            <v>Commissions - gross</v>
          </cell>
          <cell r="Y10909" t="str">
            <v>GERMANY</v>
          </cell>
        </row>
        <row r="10910">
          <cell r="L10910" t="str">
            <v>Non-proportional</v>
          </cell>
          <cell r="S10910">
            <v>35.15</v>
          </cell>
          <cell r="X10910" t="str">
            <v>Commissions - gross</v>
          </cell>
          <cell r="Y10910" t="str">
            <v>TURKEY</v>
          </cell>
        </row>
        <row r="10911">
          <cell r="L10911" t="str">
            <v>Non-proportional</v>
          </cell>
          <cell r="S10911">
            <v>1124.58</v>
          </cell>
          <cell r="X10911" t="str">
            <v>Commissions - gross</v>
          </cell>
          <cell r="Y10911" t="str">
            <v>AUSTRALIA</v>
          </cell>
        </row>
        <row r="10912">
          <cell r="L10912" t="str">
            <v>Non-proportional</v>
          </cell>
          <cell r="S10912">
            <v>299.97000000000003</v>
          </cell>
          <cell r="X10912" t="str">
            <v>Commissions - gross</v>
          </cell>
          <cell r="Y10912" t="str">
            <v>NETHERLANDS</v>
          </cell>
        </row>
        <row r="10913">
          <cell r="L10913" t="str">
            <v>Non-proportional</v>
          </cell>
          <cell r="S10913">
            <v>99.29</v>
          </cell>
          <cell r="X10913" t="str">
            <v>Commissions - gross</v>
          </cell>
          <cell r="Y10913" t="str">
            <v>UNITED KINGDOM</v>
          </cell>
        </row>
        <row r="10914">
          <cell r="L10914" t="str">
            <v>Non-proportional</v>
          </cell>
          <cell r="S10914">
            <v>98.87</v>
          </cell>
          <cell r="X10914" t="str">
            <v>Commissions - gross</v>
          </cell>
          <cell r="Y10914" t="str">
            <v>JAPAN</v>
          </cell>
        </row>
        <row r="10915">
          <cell r="L10915" t="str">
            <v>Non-proportional</v>
          </cell>
          <cell r="S10915">
            <v>1448.39</v>
          </cell>
          <cell r="X10915" t="str">
            <v>Commissions - gross</v>
          </cell>
          <cell r="Y10915" t="str">
            <v>FRANCE</v>
          </cell>
        </row>
        <row r="10916">
          <cell r="L10916" t="str">
            <v>Non-proportional</v>
          </cell>
          <cell r="S10916">
            <v>929.73</v>
          </cell>
          <cell r="X10916" t="str">
            <v>Commissions - gross</v>
          </cell>
          <cell r="Y10916" t="str">
            <v>UNITED KINGDOM</v>
          </cell>
        </row>
        <row r="10917">
          <cell r="L10917" t="str">
            <v>Non-proportional</v>
          </cell>
          <cell r="S10917">
            <v>5.34</v>
          </cell>
          <cell r="X10917" t="str">
            <v>Commissions - gross</v>
          </cell>
          <cell r="Y10917" t="str">
            <v>ISRAEL</v>
          </cell>
        </row>
        <row r="10918">
          <cell r="L10918" t="str">
            <v>Non-proportional</v>
          </cell>
          <cell r="S10918">
            <v>69.930000000000007</v>
          </cell>
          <cell r="X10918" t="str">
            <v>Commissions - gross</v>
          </cell>
          <cell r="Y10918" t="str">
            <v>CHILE</v>
          </cell>
        </row>
        <row r="10919">
          <cell r="L10919" t="str">
            <v>Non-proportional</v>
          </cell>
          <cell r="S10919">
            <v>349.64</v>
          </cell>
          <cell r="X10919" t="str">
            <v>Commissions - gross</v>
          </cell>
          <cell r="Y10919" t="str">
            <v>CHILE</v>
          </cell>
        </row>
        <row r="10920">
          <cell r="L10920" t="str">
            <v>Non-proportional</v>
          </cell>
          <cell r="S10920">
            <v>89.36</v>
          </cell>
          <cell r="X10920" t="str">
            <v>Commissions - gross</v>
          </cell>
          <cell r="Y10920" t="str">
            <v>SOUTH AFRICA</v>
          </cell>
        </row>
        <row r="10921">
          <cell r="L10921" t="str">
            <v>Non-proportional</v>
          </cell>
          <cell r="S10921">
            <v>605.5</v>
          </cell>
          <cell r="X10921" t="str">
            <v>Commissions - gross</v>
          </cell>
          <cell r="Y10921" t="str">
            <v>FRANCE</v>
          </cell>
        </row>
        <row r="10922">
          <cell r="L10922" t="str">
            <v>Non-proportional</v>
          </cell>
          <cell r="S10922">
            <v>465.05</v>
          </cell>
          <cell r="X10922" t="str">
            <v>Commissions - gross</v>
          </cell>
          <cell r="Y10922" t="str">
            <v>PERU</v>
          </cell>
        </row>
        <row r="10923">
          <cell r="L10923" t="str">
            <v>Non-proportional</v>
          </cell>
          <cell r="S10923">
            <v>423.85</v>
          </cell>
          <cell r="X10923" t="str">
            <v>Commissions - gross</v>
          </cell>
          <cell r="Y10923" t="str">
            <v>FRANCE</v>
          </cell>
        </row>
        <row r="10924">
          <cell r="L10924" t="str">
            <v>Non-proportional</v>
          </cell>
          <cell r="S10924">
            <v>1504.3</v>
          </cell>
          <cell r="X10924" t="str">
            <v>Commissions - gross</v>
          </cell>
          <cell r="Y10924" t="str">
            <v>FRANCE</v>
          </cell>
        </row>
        <row r="10925">
          <cell r="L10925" t="str">
            <v>Non-proportional</v>
          </cell>
          <cell r="S10925">
            <v>217.24</v>
          </cell>
          <cell r="X10925" t="str">
            <v>Commissions - gross</v>
          </cell>
          <cell r="Y10925" t="str">
            <v>DOMINICAN REPUBLIC</v>
          </cell>
        </row>
        <row r="10926">
          <cell r="L10926" t="str">
            <v>Non-proportional</v>
          </cell>
          <cell r="S10926">
            <v>3848.14</v>
          </cell>
          <cell r="X10926" t="str">
            <v>Commissions - gross</v>
          </cell>
          <cell r="Y10926" t="str">
            <v>UNITED STATES</v>
          </cell>
        </row>
        <row r="10927">
          <cell r="L10927" t="str">
            <v>Non-proportional</v>
          </cell>
          <cell r="S10927">
            <v>-10.91</v>
          </cell>
          <cell r="X10927" t="str">
            <v>Commissions - gross</v>
          </cell>
          <cell r="Y10927" t="str">
            <v>JAPAN</v>
          </cell>
        </row>
        <row r="10928">
          <cell r="L10928" t="str">
            <v>Non-proportional</v>
          </cell>
          <cell r="S10928">
            <v>918.75</v>
          </cell>
          <cell r="X10928" t="str">
            <v>Commissions - gross</v>
          </cell>
          <cell r="Y10928" t="str">
            <v>TURKEY</v>
          </cell>
        </row>
        <row r="10929">
          <cell r="L10929" t="str">
            <v>Proportional</v>
          </cell>
          <cell r="S10929">
            <v>34.96</v>
          </cell>
          <cell r="X10929" t="str">
            <v>Commissions - gross</v>
          </cell>
          <cell r="Y10929" t="str">
            <v>CHILE</v>
          </cell>
        </row>
        <row r="10930">
          <cell r="L10930" t="str">
            <v>Proportional</v>
          </cell>
          <cell r="S10930">
            <v>-690.82</v>
          </cell>
          <cell r="X10930" t="str">
            <v>Commissions - gross</v>
          </cell>
          <cell r="Y10930" t="str">
            <v>ITALY</v>
          </cell>
        </row>
        <row r="10931">
          <cell r="L10931" t="str">
            <v>Non-proportional</v>
          </cell>
          <cell r="S10931">
            <v>178.88</v>
          </cell>
          <cell r="X10931" t="str">
            <v>Commissions - gross</v>
          </cell>
          <cell r="Y10931" t="str">
            <v>SOUTH AFRICA</v>
          </cell>
        </row>
        <row r="10932">
          <cell r="L10932" t="str">
            <v>Non-proportional</v>
          </cell>
          <cell r="S10932">
            <v>1015.63</v>
          </cell>
          <cell r="X10932" t="str">
            <v>Commissions - gross</v>
          </cell>
          <cell r="Y10932" t="str">
            <v>EUROPE</v>
          </cell>
        </row>
        <row r="10933">
          <cell r="L10933" t="str">
            <v>Non-proportional</v>
          </cell>
          <cell r="S10933">
            <v>18.989999999999998</v>
          </cell>
          <cell r="X10933" t="str">
            <v>Commissions - gross</v>
          </cell>
          <cell r="Y10933" t="str">
            <v>JAPAN</v>
          </cell>
        </row>
        <row r="10934">
          <cell r="L10934" t="str">
            <v>Non-proportional</v>
          </cell>
          <cell r="S10934">
            <v>235.45</v>
          </cell>
          <cell r="X10934" t="str">
            <v>Commissions - gross</v>
          </cell>
          <cell r="Y10934" t="str">
            <v>COLOMBIA</v>
          </cell>
        </row>
        <row r="10935">
          <cell r="L10935" t="str">
            <v>Proportional</v>
          </cell>
          <cell r="S10935">
            <v>629.39</v>
          </cell>
          <cell r="X10935" t="str">
            <v>Commissions - gross</v>
          </cell>
          <cell r="Y10935" t="str">
            <v>JAPAN</v>
          </cell>
        </row>
        <row r="10936">
          <cell r="L10936" t="str">
            <v>Non-proportional</v>
          </cell>
          <cell r="S10936">
            <v>792.98</v>
          </cell>
          <cell r="X10936" t="str">
            <v>Commissions - gross</v>
          </cell>
          <cell r="Y10936" t="str">
            <v>JAPAN</v>
          </cell>
        </row>
        <row r="10937">
          <cell r="L10937" t="str">
            <v>Non-proportional</v>
          </cell>
          <cell r="S10937">
            <v>0</v>
          </cell>
          <cell r="X10937" t="str">
            <v>Commissions - gross</v>
          </cell>
          <cell r="Y10937" t="str">
            <v>DOMINICAN REPUBLIC</v>
          </cell>
        </row>
        <row r="10938">
          <cell r="L10938" t="str">
            <v>Non-proportional</v>
          </cell>
          <cell r="S10938">
            <v>288.33999999999997</v>
          </cell>
          <cell r="X10938" t="str">
            <v>Commissions - gross</v>
          </cell>
          <cell r="Y10938" t="str">
            <v>JAPAN</v>
          </cell>
        </row>
        <row r="10939">
          <cell r="L10939" t="str">
            <v>Non-proportional</v>
          </cell>
          <cell r="S10939">
            <v>1126.1099999999999</v>
          </cell>
          <cell r="X10939" t="str">
            <v>Commissions - gross</v>
          </cell>
          <cell r="Y10939" t="str">
            <v>AUSTRALIA</v>
          </cell>
        </row>
        <row r="10940">
          <cell r="L10940" t="str">
            <v>Non-proportional</v>
          </cell>
          <cell r="S10940">
            <v>3421.4</v>
          </cell>
          <cell r="X10940" t="str">
            <v>Commissions - gross</v>
          </cell>
          <cell r="Y10940" t="str">
            <v>UNITED KINGDOM</v>
          </cell>
        </row>
        <row r="10941">
          <cell r="L10941" t="str">
            <v>Non-proportional</v>
          </cell>
          <cell r="S10941">
            <v>7.69</v>
          </cell>
          <cell r="X10941" t="str">
            <v>Commissions - gross</v>
          </cell>
          <cell r="Y10941" t="str">
            <v>COLOMBIA</v>
          </cell>
        </row>
        <row r="10942">
          <cell r="L10942" t="str">
            <v>Non-proportional</v>
          </cell>
          <cell r="S10942">
            <v>163.97</v>
          </cell>
          <cell r="X10942" t="str">
            <v>Commissions - gross</v>
          </cell>
          <cell r="Y10942" t="str">
            <v>PERU</v>
          </cell>
        </row>
        <row r="10943">
          <cell r="L10943" t="str">
            <v>Non-proportional</v>
          </cell>
          <cell r="S10943">
            <v>1007.07</v>
          </cell>
          <cell r="X10943" t="str">
            <v>Commissions - gross</v>
          </cell>
          <cell r="Y10943" t="str">
            <v>NEW ZEALAND</v>
          </cell>
        </row>
        <row r="10944">
          <cell r="L10944" t="str">
            <v>Non-proportional</v>
          </cell>
          <cell r="S10944">
            <v>176.44</v>
          </cell>
          <cell r="X10944" t="str">
            <v>Commissions - gross</v>
          </cell>
          <cell r="Y10944" t="str">
            <v>NEW ZEALAND</v>
          </cell>
        </row>
        <row r="10945">
          <cell r="L10945" t="str">
            <v>Non-proportional</v>
          </cell>
          <cell r="S10945">
            <v>3802.68</v>
          </cell>
          <cell r="X10945" t="str">
            <v>Commissions - gross</v>
          </cell>
          <cell r="Y10945" t="str">
            <v>FRANCE</v>
          </cell>
        </row>
        <row r="10946">
          <cell r="L10946" t="str">
            <v>Non-proportional</v>
          </cell>
          <cell r="S10946">
            <v>525.34</v>
          </cell>
          <cell r="X10946" t="str">
            <v>Commissions - gross</v>
          </cell>
          <cell r="Y10946" t="str">
            <v>ISRAEL</v>
          </cell>
        </row>
        <row r="10947">
          <cell r="L10947" t="str">
            <v>Non-proportional</v>
          </cell>
          <cell r="S10947">
            <v>-9.07</v>
          </cell>
          <cell r="X10947" t="str">
            <v>Commissions - gross</v>
          </cell>
          <cell r="Y10947" t="str">
            <v>INDIA</v>
          </cell>
        </row>
        <row r="10948">
          <cell r="L10948" t="str">
            <v>Non-proportional</v>
          </cell>
          <cell r="S10948">
            <v>266.01</v>
          </cell>
          <cell r="X10948" t="str">
            <v>Commissions - gross</v>
          </cell>
          <cell r="Y10948" t="str">
            <v>ECUADOR</v>
          </cell>
        </row>
        <row r="10949">
          <cell r="L10949" t="str">
            <v>Non-proportional</v>
          </cell>
          <cell r="S10949">
            <v>92.68</v>
          </cell>
          <cell r="X10949" t="str">
            <v>Commissions - gross</v>
          </cell>
          <cell r="Y10949" t="str">
            <v>ECUADOR</v>
          </cell>
        </row>
        <row r="10950">
          <cell r="L10950" t="str">
            <v>Non-proportional</v>
          </cell>
          <cell r="S10950">
            <v>260.64</v>
          </cell>
          <cell r="X10950" t="str">
            <v>Commissions - gross</v>
          </cell>
          <cell r="Y10950" t="str">
            <v>UNITED KINGDOM</v>
          </cell>
        </row>
        <row r="10951">
          <cell r="L10951" t="str">
            <v>Non-proportional</v>
          </cell>
          <cell r="S10951">
            <v>293.66000000000003</v>
          </cell>
          <cell r="X10951" t="str">
            <v>Commissions - gross</v>
          </cell>
          <cell r="Y10951" t="str">
            <v>DOMINICAN REPUBLIC</v>
          </cell>
        </row>
        <row r="10952">
          <cell r="L10952" t="str">
            <v>Non-proportional</v>
          </cell>
          <cell r="S10952">
            <v>11.54</v>
          </cell>
          <cell r="X10952" t="str">
            <v>Commissions - gross</v>
          </cell>
          <cell r="Y10952" t="str">
            <v>THAILAND</v>
          </cell>
        </row>
        <row r="10953">
          <cell r="L10953" t="str">
            <v>Non-proportional</v>
          </cell>
          <cell r="S10953">
            <v>41.65</v>
          </cell>
          <cell r="X10953" t="str">
            <v>Commissions - gross</v>
          </cell>
          <cell r="Y10953" t="str">
            <v>COLOMBIA</v>
          </cell>
        </row>
        <row r="10954">
          <cell r="L10954" t="str">
            <v>Non-proportional</v>
          </cell>
          <cell r="S10954">
            <v>564.35</v>
          </cell>
          <cell r="X10954" t="str">
            <v>Commissions - gross</v>
          </cell>
          <cell r="Y10954" t="str">
            <v>COLOMBIA</v>
          </cell>
        </row>
        <row r="10955">
          <cell r="L10955" t="str">
            <v>Non-proportional</v>
          </cell>
          <cell r="S10955">
            <v>86</v>
          </cell>
          <cell r="X10955" t="str">
            <v>Commissions - gross</v>
          </cell>
          <cell r="Y10955" t="str">
            <v>GREECE</v>
          </cell>
        </row>
        <row r="10956">
          <cell r="L10956" t="str">
            <v>Non-proportional</v>
          </cell>
          <cell r="S10956">
            <v>447.84</v>
          </cell>
          <cell r="X10956" t="str">
            <v>Commissions - gross</v>
          </cell>
          <cell r="Y10956" t="str">
            <v>UNITED KINGDOM</v>
          </cell>
        </row>
        <row r="10957">
          <cell r="L10957" t="str">
            <v>Non-proportional</v>
          </cell>
          <cell r="S10957">
            <v>25.55</v>
          </cell>
          <cell r="X10957" t="str">
            <v>Commissions - gross</v>
          </cell>
          <cell r="Y10957" t="str">
            <v>ECUADOR</v>
          </cell>
        </row>
        <row r="10958">
          <cell r="L10958" t="str">
            <v>Non-proportional</v>
          </cell>
          <cell r="S10958">
            <v>104.89</v>
          </cell>
          <cell r="X10958" t="str">
            <v>Commissions - gross</v>
          </cell>
          <cell r="Y10958" t="str">
            <v>CHILE</v>
          </cell>
        </row>
        <row r="10959">
          <cell r="L10959" t="str">
            <v>Non-proportional</v>
          </cell>
          <cell r="S10959">
            <v>909.07</v>
          </cell>
          <cell r="X10959" t="str">
            <v>Commissions - gross</v>
          </cell>
          <cell r="Y10959" t="str">
            <v>CHILE</v>
          </cell>
        </row>
        <row r="10960">
          <cell r="L10960" t="str">
            <v>Non-proportional</v>
          </cell>
          <cell r="S10960">
            <v>758.65</v>
          </cell>
          <cell r="X10960" t="str">
            <v>Commissions - gross</v>
          </cell>
          <cell r="Y10960" t="str">
            <v>FRANCE</v>
          </cell>
        </row>
        <row r="10961">
          <cell r="L10961" t="str">
            <v>Non-proportional</v>
          </cell>
          <cell r="S10961">
            <v>1395.41</v>
          </cell>
          <cell r="X10961" t="str">
            <v>Commissions - gross</v>
          </cell>
          <cell r="Y10961" t="str">
            <v>UNITED KINGDOM</v>
          </cell>
        </row>
        <row r="10962">
          <cell r="L10962" t="str">
            <v>Non-proportional</v>
          </cell>
          <cell r="S10962">
            <v>158.74</v>
          </cell>
          <cell r="X10962" t="str">
            <v>Commissions - gross</v>
          </cell>
          <cell r="Y10962" t="str">
            <v>ITALY</v>
          </cell>
        </row>
        <row r="10963">
          <cell r="L10963" t="str">
            <v>Non-proportional</v>
          </cell>
          <cell r="S10963">
            <v>1115.46</v>
          </cell>
          <cell r="X10963" t="str">
            <v>Commissions - gross</v>
          </cell>
          <cell r="Y10963" t="str">
            <v>MEXICO</v>
          </cell>
        </row>
        <row r="10964">
          <cell r="L10964" t="str">
            <v>Proportional</v>
          </cell>
          <cell r="S10964">
            <v>669.53</v>
          </cell>
          <cell r="X10964" t="str">
            <v>Commissions - gross</v>
          </cell>
          <cell r="Y10964" t="str">
            <v>ITALY</v>
          </cell>
        </row>
        <row r="10965">
          <cell r="L10965" t="str">
            <v>Non-proportional</v>
          </cell>
          <cell r="S10965">
            <v>343.46</v>
          </cell>
          <cell r="X10965" t="str">
            <v>Commissions - gross</v>
          </cell>
          <cell r="Y10965" t="str">
            <v>JAPAN</v>
          </cell>
        </row>
        <row r="10966">
          <cell r="L10966" t="str">
            <v>Non-proportional</v>
          </cell>
          <cell r="S10966">
            <v>2318.75</v>
          </cell>
          <cell r="X10966" t="str">
            <v>Commissions - gross</v>
          </cell>
          <cell r="Y10966" t="str">
            <v>ITALY</v>
          </cell>
        </row>
        <row r="10967">
          <cell r="L10967" t="str">
            <v>Non-proportional</v>
          </cell>
          <cell r="S10967">
            <v>347.15</v>
          </cell>
          <cell r="X10967" t="str">
            <v>Commissions - gross</v>
          </cell>
          <cell r="Y10967" t="str">
            <v>THAILAND</v>
          </cell>
        </row>
        <row r="10968">
          <cell r="L10968" t="str">
            <v>Non-proportional</v>
          </cell>
          <cell r="S10968">
            <v>775.43</v>
          </cell>
          <cell r="X10968" t="str">
            <v>Commissions - gross</v>
          </cell>
          <cell r="Y10968" t="str">
            <v>JAPAN</v>
          </cell>
        </row>
        <row r="10969">
          <cell r="L10969" t="str">
            <v>Non-proportional</v>
          </cell>
          <cell r="S10969">
            <v>61.7</v>
          </cell>
          <cell r="X10969" t="str">
            <v>Commissions - gross</v>
          </cell>
          <cell r="Y10969" t="str">
            <v>FRANCE</v>
          </cell>
        </row>
        <row r="10970">
          <cell r="L10970" t="str">
            <v>Non-proportional</v>
          </cell>
          <cell r="S10970">
            <v>409.68</v>
          </cell>
          <cell r="X10970" t="str">
            <v>Commissions - gross</v>
          </cell>
          <cell r="Y10970" t="str">
            <v>THAILAND</v>
          </cell>
        </row>
        <row r="10971">
          <cell r="L10971" t="str">
            <v>Non-proportional</v>
          </cell>
          <cell r="S10971">
            <v>1416.02</v>
          </cell>
          <cell r="X10971" t="str">
            <v>Commissions - gross</v>
          </cell>
          <cell r="Y10971" t="str">
            <v>PUERTO RICO</v>
          </cell>
        </row>
        <row r="10972">
          <cell r="L10972" t="str">
            <v>Non-proportional</v>
          </cell>
          <cell r="S10972">
            <v>489.01</v>
          </cell>
          <cell r="X10972" t="str">
            <v>Commissions - gross</v>
          </cell>
          <cell r="Y10972" t="str">
            <v>FRANCE</v>
          </cell>
        </row>
        <row r="10973">
          <cell r="L10973" t="str">
            <v>Non-proportional</v>
          </cell>
          <cell r="S10973">
            <v>1806.06</v>
          </cell>
          <cell r="X10973" t="str">
            <v>Commissions - gross</v>
          </cell>
          <cell r="Y10973" t="str">
            <v>CHINA</v>
          </cell>
        </row>
        <row r="10974">
          <cell r="L10974" t="str">
            <v>Non-proportional</v>
          </cell>
          <cell r="S10974">
            <v>489.5</v>
          </cell>
          <cell r="X10974" t="str">
            <v>Commissions - gross</v>
          </cell>
          <cell r="Y10974" t="str">
            <v>CHILE</v>
          </cell>
        </row>
        <row r="10975">
          <cell r="L10975" t="str">
            <v>Non-proportional</v>
          </cell>
          <cell r="S10975">
            <v>34.96</v>
          </cell>
          <cell r="X10975" t="str">
            <v>Commissions - gross</v>
          </cell>
          <cell r="Y10975" t="str">
            <v>CHILE</v>
          </cell>
        </row>
        <row r="10976">
          <cell r="L10976" t="str">
            <v>Non-proportional</v>
          </cell>
          <cell r="S10976">
            <v>15810.38</v>
          </cell>
          <cell r="X10976" t="str">
            <v>Commissions - gross</v>
          </cell>
          <cell r="Y10976" t="str">
            <v>UNITED KINGDOM</v>
          </cell>
        </row>
        <row r="10977">
          <cell r="L10977" t="str">
            <v>Non-proportional</v>
          </cell>
          <cell r="S10977">
            <v>1.1499999999999999</v>
          </cell>
          <cell r="X10977" t="str">
            <v>Commissions - gross</v>
          </cell>
          <cell r="Y10977" t="str">
            <v>ISRAEL</v>
          </cell>
        </row>
        <row r="10978">
          <cell r="L10978" t="str">
            <v>Non-proportional</v>
          </cell>
          <cell r="S10978">
            <v>279.70999999999998</v>
          </cell>
          <cell r="X10978" t="str">
            <v>Commissions - gross</v>
          </cell>
          <cell r="Y10978" t="str">
            <v>CHILE</v>
          </cell>
        </row>
        <row r="10979">
          <cell r="L10979" t="str">
            <v>Non-proportional</v>
          </cell>
          <cell r="S10979">
            <v>235.56</v>
          </cell>
          <cell r="X10979" t="str">
            <v>Commissions - gross</v>
          </cell>
          <cell r="Y10979" t="str">
            <v>UNITED KINGDOM</v>
          </cell>
        </row>
        <row r="10980">
          <cell r="L10980" t="str">
            <v>Non-proportional</v>
          </cell>
          <cell r="S10980">
            <v>2417.91</v>
          </cell>
          <cell r="X10980" t="str">
            <v>Commissions - gross</v>
          </cell>
          <cell r="Y10980" t="str">
            <v>NEW ZEALAND</v>
          </cell>
        </row>
        <row r="10981">
          <cell r="L10981" t="str">
            <v>Non-proportional</v>
          </cell>
          <cell r="S10981">
            <v>119.79</v>
          </cell>
          <cell r="X10981" t="str">
            <v>Commissions - gross</v>
          </cell>
          <cell r="Y10981" t="str">
            <v>GERMANY</v>
          </cell>
        </row>
        <row r="10982">
          <cell r="L10982" t="str">
            <v>Non-proportional</v>
          </cell>
          <cell r="S10982">
            <v>165.14</v>
          </cell>
          <cell r="X10982" t="str">
            <v>Commissions - gross</v>
          </cell>
          <cell r="Y10982" t="str">
            <v>JAPAN</v>
          </cell>
        </row>
        <row r="10983">
          <cell r="L10983" t="str">
            <v>Non-proportional</v>
          </cell>
          <cell r="S10983">
            <v>472.28</v>
          </cell>
          <cell r="X10983" t="str">
            <v>Commissions - gross</v>
          </cell>
          <cell r="Y10983" t="str">
            <v>UNITED KINGDOM</v>
          </cell>
        </row>
        <row r="10984">
          <cell r="L10984" t="str">
            <v>Non-proportional</v>
          </cell>
          <cell r="S10984">
            <v>792.65</v>
          </cell>
          <cell r="X10984" t="str">
            <v>Commissions - gross</v>
          </cell>
          <cell r="Y10984" t="str">
            <v>PERU</v>
          </cell>
        </row>
        <row r="10985">
          <cell r="L10985" t="str">
            <v>Non-proportional</v>
          </cell>
          <cell r="S10985">
            <v>676.23</v>
          </cell>
          <cell r="X10985" t="str">
            <v>Commissions - gross</v>
          </cell>
          <cell r="Y10985" t="str">
            <v>UNITED KINGDOM</v>
          </cell>
        </row>
        <row r="10986">
          <cell r="L10986" t="str">
            <v>Non-proportional</v>
          </cell>
          <cell r="S10986">
            <v>205.97</v>
          </cell>
          <cell r="X10986" t="str">
            <v>Commissions - gross</v>
          </cell>
          <cell r="Y10986" t="str">
            <v>CHINA</v>
          </cell>
        </row>
        <row r="10987">
          <cell r="L10987" t="str">
            <v>Non-proportional</v>
          </cell>
          <cell r="S10987">
            <v>235.75</v>
          </cell>
          <cell r="X10987" t="str">
            <v>Commissions - gross</v>
          </cell>
          <cell r="Y10987" t="str">
            <v>GERMANY</v>
          </cell>
        </row>
        <row r="10988">
          <cell r="L10988" t="str">
            <v>Non-proportional</v>
          </cell>
          <cell r="S10988">
            <v>3904.87</v>
          </cell>
          <cell r="X10988" t="str">
            <v>Commissions - gross</v>
          </cell>
          <cell r="Y10988" t="str">
            <v>UNITED KINGDOM</v>
          </cell>
        </row>
        <row r="10989">
          <cell r="L10989" t="str">
            <v>Non-proportional</v>
          </cell>
          <cell r="S10989">
            <v>44.13</v>
          </cell>
          <cell r="X10989" t="str">
            <v>Commissions - gross</v>
          </cell>
          <cell r="Y10989" t="str">
            <v>UNITED KINGDOM</v>
          </cell>
        </row>
        <row r="10990">
          <cell r="L10990" t="str">
            <v>Non-proportional</v>
          </cell>
          <cell r="S10990">
            <v>-3</v>
          </cell>
          <cell r="X10990" t="str">
            <v>Commissions - gross</v>
          </cell>
          <cell r="Y10990" t="str">
            <v>JAPAN</v>
          </cell>
        </row>
        <row r="10991">
          <cell r="L10991" t="str">
            <v>Non-proportional</v>
          </cell>
          <cell r="S10991">
            <v>315.24</v>
          </cell>
          <cell r="X10991" t="str">
            <v>Commissions - gross</v>
          </cell>
          <cell r="Y10991" t="str">
            <v>ECUADOR</v>
          </cell>
        </row>
        <row r="10992">
          <cell r="L10992" t="str">
            <v>Non-proportional</v>
          </cell>
          <cell r="S10992">
            <v>18.079999999999998</v>
          </cell>
          <cell r="X10992" t="str">
            <v>Commissions - gross</v>
          </cell>
          <cell r="Y10992" t="str">
            <v>TURKEY</v>
          </cell>
        </row>
        <row r="10993">
          <cell r="L10993" t="str">
            <v>Non-proportional</v>
          </cell>
          <cell r="S10993">
            <v>314.68</v>
          </cell>
          <cell r="X10993" t="str">
            <v>Commissions - gross</v>
          </cell>
          <cell r="Y10993" t="str">
            <v>CHILE</v>
          </cell>
        </row>
        <row r="10994">
          <cell r="L10994" t="str">
            <v>Non-proportional</v>
          </cell>
          <cell r="S10994">
            <v>611.70000000000005</v>
          </cell>
          <cell r="X10994" t="str">
            <v>Commissions - gross</v>
          </cell>
          <cell r="Y10994" t="str">
            <v>PERU</v>
          </cell>
        </row>
        <row r="10995">
          <cell r="L10995" t="str">
            <v>Non-proportional</v>
          </cell>
          <cell r="S10995">
            <v>662.31</v>
          </cell>
          <cell r="X10995" t="str">
            <v>Commissions - gross</v>
          </cell>
          <cell r="Y10995" t="str">
            <v>CYPRUS</v>
          </cell>
        </row>
        <row r="10996">
          <cell r="L10996" t="str">
            <v>Non-proportional</v>
          </cell>
          <cell r="S10996">
            <v>359.38</v>
          </cell>
          <cell r="X10996" t="str">
            <v>Commissions - gross</v>
          </cell>
          <cell r="Y10996" t="str">
            <v>GREECE</v>
          </cell>
        </row>
        <row r="10997">
          <cell r="L10997" t="str">
            <v>Non-proportional</v>
          </cell>
          <cell r="S10997">
            <v>870.83</v>
          </cell>
          <cell r="X10997" t="str">
            <v>Commissions - gross</v>
          </cell>
          <cell r="Y10997" t="str">
            <v>TURKEY</v>
          </cell>
        </row>
        <row r="10998">
          <cell r="L10998" t="str">
            <v>Non-proportional</v>
          </cell>
          <cell r="S10998">
            <v>171.73</v>
          </cell>
          <cell r="X10998" t="str">
            <v>Commissions - gross</v>
          </cell>
          <cell r="Y10998" t="str">
            <v>JAPAN</v>
          </cell>
        </row>
        <row r="10999">
          <cell r="L10999" t="str">
            <v>Non-proportional</v>
          </cell>
          <cell r="S10999">
            <v>261</v>
          </cell>
          <cell r="X10999" t="str">
            <v>Commissions - gross</v>
          </cell>
          <cell r="Y10999" t="str">
            <v>GREECE</v>
          </cell>
        </row>
        <row r="11000">
          <cell r="L11000" t="str">
            <v>Non-proportional</v>
          </cell>
          <cell r="S11000">
            <v>-93.74</v>
          </cell>
          <cell r="X11000" t="str">
            <v>Commissions - gross</v>
          </cell>
          <cell r="Y11000" t="str">
            <v>JAPAN</v>
          </cell>
        </row>
        <row r="11001">
          <cell r="L11001" t="str">
            <v>Non-proportional</v>
          </cell>
          <cell r="S11001">
            <v>-5.53</v>
          </cell>
          <cell r="X11001" t="str">
            <v>Commissions - gross</v>
          </cell>
          <cell r="Y11001" t="str">
            <v>JAPAN</v>
          </cell>
        </row>
        <row r="11002">
          <cell r="L11002" t="str">
            <v>Non-proportional</v>
          </cell>
          <cell r="S11002">
            <v>192.57</v>
          </cell>
          <cell r="X11002" t="str">
            <v>Commissions - gross</v>
          </cell>
          <cell r="Y11002" t="str">
            <v>DOMINICAN REPUBLIC</v>
          </cell>
        </row>
        <row r="11003">
          <cell r="L11003" t="str">
            <v>Non-proportional</v>
          </cell>
          <cell r="S11003">
            <v>214.64</v>
          </cell>
          <cell r="X11003" t="str">
            <v>Commissions - gross</v>
          </cell>
          <cell r="Y11003" t="str">
            <v>UNITED KINGDOM</v>
          </cell>
        </row>
        <row r="11004">
          <cell r="L11004" t="str">
            <v>Non-proportional</v>
          </cell>
          <cell r="S11004">
            <v>321.41000000000003</v>
          </cell>
          <cell r="X11004" t="str">
            <v>Commissions - gross</v>
          </cell>
          <cell r="Y11004" t="str">
            <v>AUSTRALIA</v>
          </cell>
        </row>
        <row r="11005">
          <cell r="L11005" t="str">
            <v>Non-proportional</v>
          </cell>
          <cell r="S11005">
            <v>22193.5</v>
          </cell>
          <cell r="X11005" t="str">
            <v>Commissions - gross</v>
          </cell>
          <cell r="Y11005" t="str">
            <v>BELGIUM</v>
          </cell>
        </row>
        <row r="11006">
          <cell r="L11006" t="str">
            <v>Non-proportional</v>
          </cell>
          <cell r="S11006">
            <v>950.01</v>
          </cell>
          <cell r="X11006" t="str">
            <v>Commissions - gross</v>
          </cell>
          <cell r="Y11006" t="str">
            <v>TURKEY</v>
          </cell>
        </row>
        <row r="11007">
          <cell r="L11007" t="str">
            <v>Non-proportional</v>
          </cell>
          <cell r="S11007">
            <v>458.78</v>
          </cell>
          <cell r="X11007" t="str">
            <v>Commissions - gross</v>
          </cell>
          <cell r="Y11007" t="str">
            <v>NEW ZEALAND</v>
          </cell>
        </row>
        <row r="11008">
          <cell r="L11008" t="str">
            <v>Non-proportional</v>
          </cell>
          <cell r="S11008">
            <v>218.76</v>
          </cell>
          <cell r="X11008" t="str">
            <v>Commissions - gross</v>
          </cell>
          <cell r="Y11008" t="str">
            <v>SPAIN</v>
          </cell>
        </row>
        <row r="11009">
          <cell r="L11009" t="str">
            <v>Proportional</v>
          </cell>
          <cell r="S11009">
            <v>-222.77</v>
          </cell>
          <cell r="X11009" t="str">
            <v>Commissions - gross</v>
          </cell>
          <cell r="Y11009" t="str">
            <v>ITALY</v>
          </cell>
        </row>
        <row r="11010">
          <cell r="L11010" t="str">
            <v>Non-proportional</v>
          </cell>
          <cell r="S11010">
            <v>10910.49</v>
          </cell>
          <cell r="X11010" t="str">
            <v>Commissions - gross</v>
          </cell>
          <cell r="Y11010" t="str">
            <v>UNITED KINGDOM</v>
          </cell>
        </row>
        <row r="11011">
          <cell r="L11011" t="str">
            <v>Non-proportional</v>
          </cell>
          <cell r="S11011">
            <v>625</v>
          </cell>
          <cell r="X11011" t="str">
            <v>Commissions - gross</v>
          </cell>
          <cell r="Y11011" t="str">
            <v>SPAIN</v>
          </cell>
        </row>
        <row r="11012">
          <cell r="L11012" t="str">
            <v>Non-proportional</v>
          </cell>
          <cell r="S11012">
            <v>92.68</v>
          </cell>
          <cell r="X11012" t="str">
            <v>Commissions - gross</v>
          </cell>
          <cell r="Y11012" t="str">
            <v>JAPAN</v>
          </cell>
        </row>
        <row r="11013">
          <cell r="L11013" t="str">
            <v>Non-proportional</v>
          </cell>
          <cell r="S11013">
            <v>2235.6799999999998</v>
          </cell>
          <cell r="X11013" t="str">
            <v>Commissions - gross</v>
          </cell>
          <cell r="Y11013" t="str">
            <v>PUERTO RICO</v>
          </cell>
        </row>
        <row r="11014">
          <cell r="L11014" t="str">
            <v>Non-proportional</v>
          </cell>
          <cell r="S11014">
            <v>92.68</v>
          </cell>
          <cell r="X11014" t="str">
            <v>Commissions - gross</v>
          </cell>
          <cell r="Y11014" t="str">
            <v>JAPAN</v>
          </cell>
        </row>
        <row r="11015">
          <cell r="L11015" t="str">
            <v>Non-proportional</v>
          </cell>
          <cell r="S11015">
            <v>-40.32</v>
          </cell>
          <cell r="X11015" t="str">
            <v>Commissions - gross</v>
          </cell>
          <cell r="Y11015" t="str">
            <v>NEW ZEALAND</v>
          </cell>
        </row>
        <row r="11016">
          <cell r="L11016" t="str">
            <v>Non-proportional</v>
          </cell>
          <cell r="S11016">
            <v>618.55999999999995</v>
          </cell>
          <cell r="X11016" t="str">
            <v>Commissions - gross</v>
          </cell>
          <cell r="Y11016" t="str">
            <v>MEXICO</v>
          </cell>
        </row>
        <row r="11017">
          <cell r="L11017" t="str">
            <v>Non-proportional</v>
          </cell>
          <cell r="S11017">
            <v>-3.92</v>
          </cell>
          <cell r="X11017" t="str">
            <v>Commissions - gross</v>
          </cell>
          <cell r="Y11017" t="str">
            <v>NEW ZEALAND</v>
          </cell>
        </row>
        <row r="11018">
          <cell r="L11018" t="str">
            <v>Non-proportional</v>
          </cell>
          <cell r="S11018">
            <v>552.1</v>
          </cell>
          <cell r="X11018" t="str">
            <v>Commissions - gross</v>
          </cell>
          <cell r="Y11018" t="str">
            <v>JAPAN</v>
          </cell>
        </row>
        <row r="11019">
          <cell r="L11019" t="str">
            <v>Non-proportional</v>
          </cell>
          <cell r="S11019">
            <v>112.26</v>
          </cell>
          <cell r="X11019" t="str">
            <v>Commissions - gross</v>
          </cell>
          <cell r="Y11019" t="str">
            <v>ISRAEL</v>
          </cell>
        </row>
        <row r="11020">
          <cell r="L11020" t="str">
            <v>Non-proportional</v>
          </cell>
          <cell r="S11020">
            <v>7.04</v>
          </cell>
          <cell r="X11020" t="str">
            <v>Commissions - gross</v>
          </cell>
          <cell r="Y11020" t="str">
            <v>THAILAND</v>
          </cell>
        </row>
        <row r="11021">
          <cell r="L11021" t="str">
            <v>Non-proportional</v>
          </cell>
          <cell r="S11021">
            <v>494.91</v>
          </cell>
          <cell r="X11021" t="str">
            <v>Commissions - gross</v>
          </cell>
          <cell r="Y11021" t="str">
            <v>NETHERLANDS</v>
          </cell>
        </row>
        <row r="11022">
          <cell r="L11022" t="str">
            <v>Non-proportional</v>
          </cell>
          <cell r="S11022">
            <v>503.79</v>
          </cell>
          <cell r="X11022" t="str">
            <v>Commissions - gross</v>
          </cell>
          <cell r="Y11022" t="str">
            <v>UNITED KINGDOM</v>
          </cell>
        </row>
        <row r="11023">
          <cell r="L11023" t="str">
            <v>Non-proportional</v>
          </cell>
          <cell r="S11023">
            <v>0.42</v>
          </cell>
          <cell r="X11023" t="str">
            <v>Commissions - gross</v>
          </cell>
          <cell r="Y11023" t="str">
            <v>COSTA RICA</v>
          </cell>
        </row>
        <row r="11024">
          <cell r="L11024" t="str">
            <v>Non-proportional</v>
          </cell>
          <cell r="S11024">
            <v>159.19999999999999</v>
          </cell>
          <cell r="X11024" t="str">
            <v>Commissions - gross</v>
          </cell>
          <cell r="Y11024" t="str">
            <v>DOMINICAN REPUBLIC</v>
          </cell>
        </row>
        <row r="11025">
          <cell r="L11025" t="str">
            <v>Non-proportional</v>
          </cell>
          <cell r="S11025">
            <v>1141.8399999999999</v>
          </cell>
          <cell r="X11025" t="str">
            <v>Commissions - gross</v>
          </cell>
          <cell r="Y11025" t="str">
            <v>MEXICO</v>
          </cell>
        </row>
        <row r="11026">
          <cell r="L11026" t="str">
            <v>Non-proportional</v>
          </cell>
          <cell r="S11026">
            <v>-3.38</v>
          </cell>
          <cell r="X11026" t="str">
            <v>Commissions - gross</v>
          </cell>
          <cell r="Y11026" t="str">
            <v>JAPAN</v>
          </cell>
        </row>
        <row r="11027">
          <cell r="L11027" t="str">
            <v>Non-proportional</v>
          </cell>
          <cell r="S11027">
            <v>442.55</v>
          </cell>
          <cell r="X11027" t="str">
            <v>Commissions - gross</v>
          </cell>
          <cell r="Y11027" t="str">
            <v>FRANCE</v>
          </cell>
        </row>
        <row r="11028">
          <cell r="L11028" t="str">
            <v>Non-proportional</v>
          </cell>
          <cell r="S11028">
            <v>0</v>
          </cell>
          <cell r="X11028" t="str">
            <v>Commissions - gross</v>
          </cell>
          <cell r="Y11028" t="str">
            <v>COLOMBIA</v>
          </cell>
        </row>
        <row r="11029">
          <cell r="L11029" t="str">
            <v>Non-proportional</v>
          </cell>
          <cell r="S11029">
            <v>2598.62</v>
          </cell>
          <cell r="X11029" t="str">
            <v>Commissions - gross</v>
          </cell>
          <cell r="Y11029" t="str">
            <v>AUSTRALIA</v>
          </cell>
        </row>
        <row r="11030">
          <cell r="L11030" t="str">
            <v>Non-proportional</v>
          </cell>
          <cell r="S11030">
            <v>824.97</v>
          </cell>
          <cell r="X11030" t="str">
            <v>Commissions - gross</v>
          </cell>
          <cell r="Y11030" t="str">
            <v>AUSTRALIA</v>
          </cell>
        </row>
        <row r="11031">
          <cell r="L11031" t="str">
            <v>Non-proportional</v>
          </cell>
          <cell r="S11031">
            <v>328.07</v>
          </cell>
          <cell r="X11031" t="str">
            <v>Commissions - gross</v>
          </cell>
          <cell r="Y11031" t="str">
            <v>DOMINICAN REPUBLIC</v>
          </cell>
        </row>
        <row r="11032">
          <cell r="L11032" t="str">
            <v>Proportional</v>
          </cell>
          <cell r="S11032">
            <v>477.24</v>
          </cell>
          <cell r="X11032" t="str">
            <v>Commissions - gross</v>
          </cell>
          <cell r="Y11032" t="str">
            <v>UNITED KINGDOM</v>
          </cell>
        </row>
        <row r="11033">
          <cell r="L11033" t="str">
            <v>Non-proportional</v>
          </cell>
          <cell r="S11033">
            <v>3131.61</v>
          </cell>
          <cell r="X11033" t="str">
            <v>Commissions - gross</v>
          </cell>
          <cell r="Y11033" t="str">
            <v>FRANCE</v>
          </cell>
        </row>
        <row r="11034">
          <cell r="L11034" t="str">
            <v>Proportional</v>
          </cell>
          <cell r="S11034">
            <v>0.81</v>
          </cell>
          <cell r="X11034" t="str">
            <v>Commissions - gross</v>
          </cell>
          <cell r="Y11034" t="str">
            <v>UNITED STATES</v>
          </cell>
        </row>
        <row r="11035">
          <cell r="L11035" t="str">
            <v>Non-proportional</v>
          </cell>
          <cell r="S11035">
            <v>326.43</v>
          </cell>
          <cell r="X11035" t="str">
            <v>Commissions - gross</v>
          </cell>
          <cell r="Y11035" t="str">
            <v>DOMINICAN REPUBLIC</v>
          </cell>
        </row>
        <row r="11036">
          <cell r="L11036" t="str">
            <v>Proportional</v>
          </cell>
          <cell r="S11036">
            <v>9.11</v>
          </cell>
          <cell r="X11036" t="str">
            <v>Commissions - gross</v>
          </cell>
          <cell r="Y11036" t="str">
            <v>UNITED STATES</v>
          </cell>
        </row>
        <row r="11037">
          <cell r="L11037" t="str">
            <v>Non-proportional</v>
          </cell>
          <cell r="S11037">
            <v>467.51</v>
          </cell>
          <cell r="X11037" t="str">
            <v>Commissions - gross</v>
          </cell>
          <cell r="Y11037" t="str">
            <v>CYPRUS</v>
          </cell>
        </row>
        <row r="11038">
          <cell r="L11038" t="str">
            <v>Non-proportional</v>
          </cell>
          <cell r="S11038">
            <v>119.26</v>
          </cell>
          <cell r="X11038" t="str">
            <v>Commissions - gross</v>
          </cell>
          <cell r="Y11038" t="str">
            <v>COSTA RICA</v>
          </cell>
        </row>
        <row r="11039">
          <cell r="L11039" t="str">
            <v>Non-proportional</v>
          </cell>
          <cell r="S11039">
            <v>13593.7</v>
          </cell>
          <cell r="X11039" t="str">
            <v>Commissions - gross</v>
          </cell>
          <cell r="Y11039" t="str">
            <v>UNITED KINGDOM</v>
          </cell>
        </row>
        <row r="11040">
          <cell r="L11040" t="str">
            <v>Non-proportional</v>
          </cell>
          <cell r="S11040">
            <v>59.68</v>
          </cell>
          <cell r="X11040" t="str">
            <v>Commissions - gross</v>
          </cell>
          <cell r="Y11040" t="str">
            <v>DOMINICAN REPUBLIC</v>
          </cell>
        </row>
        <row r="11041">
          <cell r="L11041" t="str">
            <v>Non-proportional</v>
          </cell>
          <cell r="S11041">
            <v>324.91000000000003</v>
          </cell>
          <cell r="X11041" t="str">
            <v>Commissions - gross</v>
          </cell>
          <cell r="Y11041" t="str">
            <v>FRANCE</v>
          </cell>
        </row>
        <row r="11042">
          <cell r="L11042" t="str">
            <v>Proportional</v>
          </cell>
          <cell r="S11042">
            <v>68.099999999999994</v>
          </cell>
          <cell r="X11042" t="str">
            <v>Commissions - gross</v>
          </cell>
          <cell r="Y11042" t="str">
            <v>UNITED STATES</v>
          </cell>
        </row>
        <row r="11043">
          <cell r="L11043" t="str">
            <v>Non-proportional</v>
          </cell>
          <cell r="S11043">
            <v>85.17</v>
          </cell>
          <cell r="X11043" t="str">
            <v>Commissions - gross</v>
          </cell>
          <cell r="Y11043" t="str">
            <v>COSTA RICA</v>
          </cell>
        </row>
        <row r="11044">
          <cell r="L11044" t="str">
            <v>Non-proportional</v>
          </cell>
          <cell r="S11044">
            <v>1184.29</v>
          </cell>
          <cell r="X11044" t="str">
            <v>Commissions - gross</v>
          </cell>
          <cell r="Y11044" t="str">
            <v>MEXICO</v>
          </cell>
        </row>
        <row r="11045">
          <cell r="L11045" t="str">
            <v>Non-proportional</v>
          </cell>
          <cell r="S11045">
            <v>-5.43</v>
          </cell>
          <cell r="X11045" t="str">
            <v>Commissions - gross</v>
          </cell>
          <cell r="Y11045" t="str">
            <v>NEW ZEALAND</v>
          </cell>
        </row>
        <row r="11046">
          <cell r="L11046" t="str">
            <v>Non-proportional</v>
          </cell>
          <cell r="S11046">
            <v>34.96</v>
          </cell>
          <cell r="X11046" t="str">
            <v>Commissions - gross</v>
          </cell>
          <cell r="Y11046" t="str">
            <v>CHILE</v>
          </cell>
        </row>
        <row r="11047">
          <cell r="L11047" t="str">
            <v>Non-proportional</v>
          </cell>
          <cell r="S11047">
            <v>3034.6</v>
          </cell>
          <cell r="X11047" t="str">
            <v>Commissions - gross</v>
          </cell>
          <cell r="Y11047" t="str">
            <v>FRANCE</v>
          </cell>
        </row>
        <row r="11048">
          <cell r="L11048" t="str">
            <v>Non-proportional</v>
          </cell>
          <cell r="S11048">
            <v>251.77</v>
          </cell>
          <cell r="X11048" t="str">
            <v>Commissions - gross</v>
          </cell>
          <cell r="Y11048" t="str">
            <v>ITALY</v>
          </cell>
        </row>
        <row r="11049">
          <cell r="L11049" t="str">
            <v>Non-proportional</v>
          </cell>
          <cell r="S11049">
            <v>328.13</v>
          </cell>
          <cell r="X11049" t="str">
            <v>Commissions - gross</v>
          </cell>
          <cell r="Y11049" t="str">
            <v>ITALY</v>
          </cell>
        </row>
        <row r="11050">
          <cell r="L11050" t="str">
            <v>Non-proportional</v>
          </cell>
          <cell r="S11050">
            <v>-14.11</v>
          </cell>
          <cell r="X11050" t="str">
            <v>Commissions - gross</v>
          </cell>
          <cell r="Y11050" t="str">
            <v>NEW ZEALAND</v>
          </cell>
        </row>
        <row r="11051">
          <cell r="L11051" t="str">
            <v>Non-proportional</v>
          </cell>
          <cell r="S11051">
            <v>650</v>
          </cell>
          <cell r="X11051" t="str">
            <v>Commissions - gross</v>
          </cell>
          <cell r="Y11051" t="str">
            <v>FRANCE</v>
          </cell>
        </row>
        <row r="11052">
          <cell r="L11052" t="str">
            <v>Non-proportional</v>
          </cell>
          <cell r="S11052">
            <v>-19.39</v>
          </cell>
          <cell r="X11052" t="str">
            <v>Commissions - gross</v>
          </cell>
          <cell r="Y11052" t="str">
            <v>INDIA</v>
          </cell>
        </row>
        <row r="11053">
          <cell r="L11053" t="str">
            <v>Non-proportional</v>
          </cell>
          <cell r="S11053">
            <v>991.57</v>
          </cell>
          <cell r="X11053" t="str">
            <v>Commissions - gross</v>
          </cell>
          <cell r="Y11053" t="str">
            <v>NETHERLANDS</v>
          </cell>
        </row>
        <row r="11054">
          <cell r="L11054" t="str">
            <v>Proportional</v>
          </cell>
          <cell r="S11054">
            <v>283.07</v>
          </cell>
          <cell r="X11054" t="str">
            <v>Commissions - gross</v>
          </cell>
          <cell r="Y11054" t="str">
            <v>AUSTRALIA</v>
          </cell>
        </row>
        <row r="11055">
          <cell r="L11055" t="str">
            <v>Non-proportional</v>
          </cell>
          <cell r="S11055">
            <v>172.39</v>
          </cell>
          <cell r="X11055" t="str">
            <v>Commissions - gross</v>
          </cell>
          <cell r="Y11055" t="str">
            <v>DOMINICAN REPUBLIC</v>
          </cell>
        </row>
        <row r="11056">
          <cell r="L11056" t="str">
            <v>Proportional</v>
          </cell>
          <cell r="S11056">
            <v>259.5</v>
          </cell>
          <cell r="X11056" t="str">
            <v>Commissions - gross</v>
          </cell>
          <cell r="Y11056" t="str">
            <v>SPAIN</v>
          </cell>
        </row>
        <row r="11057">
          <cell r="L11057" t="str">
            <v>Non-proportional</v>
          </cell>
          <cell r="S11057">
            <v>409.5</v>
          </cell>
          <cell r="X11057" t="str">
            <v>Commissions - gross</v>
          </cell>
          <cell r="Y11057" t="str">
            <v>FRANCE</v>
          </cell>
        </row>
        <row r="11058">
          <cell r="L11058" t="str">
            <v>Non-proportional</v>
          </cell>
          <cell r="S11058">
            <v>1624.77</v>
          </cell>
          <cell r="X11058" t="str">
            <v>Commissions - gross</v>
          </cell>
          <cell r="Y11058" t="str">
            <v>HONG KONG</v>
          </cell>
        </row>
        <row r="11059">
          <cell r="L11059" t="str">
            <v>Non-proportional</v>
          </cell>
          <cell r="S11059">
            <v>328.13</v>
          </cell>
          <cell r="X11059" t="str">
            <v>Commissions - gross</v>
          </cell>
          <cell r="Y11059" t="str">
            <v>ITALY</v>
          </cell>
        </row>
        <row r="11060">
          <cell r="L11060" t="str">
            <v>Non-proportional</v>
          </cell>
          <cell r="S11060">
            <v>1433.12</v>
          </cell>
          <cell r="X11060" t="str">
            <v>Commissions - gross</v>
          </cell>
          <cell r="Y11060" t="str">
            <v>FRANCE</v>
          </cell>
        </row>
        <row r="11061">
          <cell r="L11061" t="str">
            <v>Non-proportional</v>
          </cell>
          <cell r="S11061">
            <v>243.27</v>
          </cell>
          <cell r="X11061" t="str">
            <v>Commissions - gross</v>
          </cell>
          <cell r="Y11061" t="str">
            <v>UNITED KINGDOM</v>
          </cell>
        </row>
        <row r="11062">
          <cell r="L11062" t="str">
            <v>Non-proportional</v>
          </cell>
          <cell r="S11062">
            <v>4910.26</v>
          </cell>
          <cell r="X11062" t="str">
            <v>Commissions - gross</v>
          </cell>
          <cell r="Y11062" t="str">
            <v>UNITED KINGDOM</v>
          </cell>
        </row>
        <row r="11063">
          <cell r="L11063" t="str">
            <v>Non-proportional</v>
          </cell>
          <cell r="S11063">
            <v>905.32</v>
          </cell>
          <cell r="X11063" t="str">
            <v>Commissions - gross</v>
          </cell>
          <cell r="Y11063" t="str">
            <v>ITALY</v>
          </cell>
        </row>
        <row r="11064">
          <cell r="L11064" t="str">
            <v>Non-proportional</v>
          </cell>
          <cell r="S11064">
            <v>550.05999999999995</v>
          </cell>
          <cell r="X11064" t="str">
            <v>Commissions - gross</v>
          </cell>
          <cell r="Y11064" t="str">
            <v>SINGAPORE</v>
          </cell>
        </row>
        <row r="11065">
          <cell r="L11065" t="str">
            <v>Non-proportional</v>
          </cell>
          <cell r="S11065">
            <v>3.64</v>
          </cell>
          <cell r="X11065" t="str">
            <v>Commissions - gross</v>
          </cell>
          <cell r="Y11065" t="str">
            <v>COSTA RICA</v>
          </cell>
        </row>
        <row r="11066">
          <cell r="L11066" t="str">
            <v>Non-proportional</v>
          </cell>
          <cell r="S11066">
            <v>54.69</v>
          </cell>
          <cell r="X11066" t="str">
            <v>Commissions - gross</v>
          </cell>
          <cell r="Y11066" t="str">
            <v>ITALY</v>
          </cell>
        </row>
        <row r="11067">
          <cell r="L11067" t="str">
            <v>Non-proportional</v>
          </cell>
          <cell r="S11067">
            <v>359.24</v>
          </cell>
          <cell r="X11067" t="str">
            <v>Commissions - gross</v>
          </cell>
          <cell r="Y11067" t="str">
            <v>FRANCE</v>
          </cell>
        </row>
        <row r="11068">
          <cell r="L11068" t="str">
            <v>Non-proportional</v>
          </cell>
          <cell r="S11068">
            <v>194.94</v>
          </cell>
          <cell r="X11068" t="str">
            <v>Commissions - gross</v>
          </cell>
          <cell r="Y11068" t="str">
            <v>UNITED KINGDOM</v>
          </cell>
        </row>
        <row r="11069">
          <cell r="L11069" t="str">
            <v>Non-proportional</v>
          </cell>
          <cell r="S11069">
            <v>338.18</v>
          </cell>
          <cell r="X11069" t="str">
            <v>Commissions - gross</v>
          </cell>
          <cell r="Y11069" t="str">
            <v>ITALY</v>
          </cell>
        </row>
        <row r="11070">
          <cell r="L11070" t="str">
            <v>Non-proportional</v>
          </cell>
          <cell r="S11070">
            <v>-0.56999999999999995</v>
          </cell>
          <cell r="X11070" t="str">
            <v>Commissions - gross</v>
          </cell>
          <cell r="Y11070" t="str">
            <v>JAPAN</v>
          </cell>
        </row>
        <row r="11071">
          <cell r="L11071" t="str">
            <v>Non-proportional</v>
          </cell>
          <cell r="S11071">
            <v>6412.42</v>
          </cell>
          <cell r="X11071" t="str">
            <v>Commissions - gross</v>
          </cell>
          <cell r="Y11071" t="str">
            <v>UNITED KINGDOM</v>
          </cell>
        </row>
        <row r="11072">
          <cell r="L11072" t="str">
            <v>Non-proportional</v>
          </cell>
          <cell r="S11072">
            <v>633.78</v>
          </cell>
          <cell r="X11072" t="str">
            <v>Commissions - gross</v>
          </cell>
          <cell r="Y11072" t="str">
            <v>NEW ZEALAND</v>
          </cell>
        </row>
        <row r="11073">
          <cell r="L11073" t="str">
            <v>Non-proportional</v>
          </cell>
          <cell r="S11073">
            <v>47.01</v>
          </cell>
          <cell r="X11073" t="str">
            <v>Commissions - gross</v>
          </cell>
          <cell r="Y11073" t="str">
            <v>BRAZIL</v>
          </cell>
        </row>
        <row r="11074">
          <cell r="L11074" t="str">
            <v>Non-proportional</v>
          </cell>
          <cell r="S11074">
            <v>350.42</v>
          </cell>
          <cell r="X11074" t="str">
            <v>Commissions - gross</v>
          </cell>
          <cell r="Y11074" t="str">
            <v>UNITED KINGDOM</v>
          </cell>
        </row>
        <row r="11075">
          <cell r="L11075" t="str">
            <v>Non-proportional</v>
          </cell>
          <cell r="S11075">
            <v>7667.72</v>
          </cell>
          <cell r="X11075" t="str">
            <v>Commissions - gross</v>
          </cell>
          <cell r="Y11075" t="str">
            <v>UNITED KINGDOM</v>
          </cell>
        </row>
        <row r="11076">
          <cell r="L11076" t="str">
            <v>Non-proportional</v>
          </cell>
          <cell r="S11076">
            <v>-5.55</v>
          </cell>
          <cell r="X11076" t="str">
            <v>Commissions - gross</v>
          </cell>
          <cell r="Y11076" t="str">
            <v>JAPAN</v>
          </cell>
        </row>
        <row r="11077">
          <cell r="L11077" t="str">
            <v>Non-proportional</v>
          </cell>
          <cell r="S11077">
            <v>572.98</v>
          </cell>
          <cell r="X11077" t="str">
            <v>Commissions - gross</v>
          </cell>
          <cell r="Y11077" t="str">
            <v>COSTA RICA</v>
          </cell>
        </row>
        <row r="11078">
          <cell r="L11078" t="str">
            <v>Non-proportional</v>
          </cell>
          <cell r="S11078">
            <v>0</v>
          </cell>
          <cell r="X11078" t="str">
            <v>Commissions - gross</v>
          </cell>
          <cell r="Y11078" t="str">
            <v>DOMINICAN REPUBLIC</v>
          </cell>
        </row>
        <row r="11079">
          <cell r="L11079" t="str">
            <v>Non-proportional</v>
          </cell>
          <cell r="S11079">
            <v>260</v>
          </cell>
          <cell r="X11079" t="str">
            <v>Commissions - gross</v>
          </cell>
          <cell r="Y11079" t="str">
            <v>UNITED ARAB EMIRATES</v>
          </cell>
        </row>
        <row r="11080">
          <cell r="L11080" t="str">
            <v>Non-proportional</v>
          </cell>
          <cell r="S11080">
            <v>2166.67</v>
          </cell>
          <cell r="X11080" t="str">
            <v>Commissions - gross</v>
          </cell>
          <cell r="Y11080" t="str">
            <v>FRANCE</v>
          </cell>
        </row>
        <row r="11081">
          <cell r="L11081" t="str">
            <v>Proportional</v>
          </cell>
          <cell r="S11081">
            <v>-6.28</v>
          </cell>
          <cell r="X11081" t="str">
            <v>Commissions - gross</v>
          </cell>
          <cell r="Y11081" t="str">
            <v>CHILE</v>
          </cell>
        </row>
        <row r="11082">
          <cell r="L11082" t="str">
            <v>Proportional</v>
          </cell>
          <cell r="S11082">
            <v>89.14</v>
          </cell>
          <cell r="X11082" t="str">
            <v>Commissions - gross</v>
          </cell>
          <cell r="Y11082" t="str">
            <v>ITALY</v>
          </cell>
        </row>
        <row r="11083">
          <cell r="L11083" t="str">
            <v>Non-proportional</v>
          </cell>
          <cell r="S11083">
            <v>104.48</v>
          </cell>
          <cell r="X11083" t="str">
            <v>Commissions - gross</v>
          </cell>
          <cell r="Y11083" t="str">
            <v>CYPRUS</v>
          </cell>
        </row>
        <row r="11084">
          <cell r="L11084" t="str">
            <v>Non-proportional</v>
          </cell>
          <cell r="S11084">
            <v>203.21</v>
          </cell>
          <cell r="X11084" t="str">
            <v>Commissions - gross</v>
          </cell>
          <cell r="Y11084" t="str">
            <v>JAPAN</v>
          </cell>
        </row>
        <row r="11085">
          <cell r="L11085" t="str">
            <v>Non-proportional</v>
          </cell>
          <cell r="S11085">
            <v>164.21</v>
          </cell>
          <cell r="X11085" t="str">
            <v>Commissions - gross</v>
          </cell>
          <cell r="Y11085" t="str">
            <v>CHINA</v>
          </cell>
        </row>
        <row r="11086">
          <cell r="L11086" t="str">
            <v>Non-proportional</v>
          </cell>
          <cell r="S11086">
            <v>201.86</v>
          </cell>
          <cell r="X11086" t="str">
            <v>Commissions - gross</v>
          </cell>
          <cell r="Y11086" t="str">
            <v>BELIZE</v>
          </cell>
        </row>
        <row r="11087">
          <cell r="L11087" t="str">
            <v>Non-proportional</v>
          </cell>
          <cell r="S11087">
            <v>-20.149999999999999</v>
          </cell>
          <cell r="X11087" t="str">
            <v>Commissions - gross</v>
          </cell>
          <cell r="Y11087" t="str">
            <v>INDIA</v>
          </cell>
        </row>
        <row r="11088">
          <cell r="L11088" t="str">
            <v>Non-proportional</v>
          </cell>
          <cell r="S11088">
            <v>154.81</v>
          </cell>
          <cell r="X11088" t="str">
            <v>Commissions - gross</v>
          </cell>
          <cell r="Y11088" t="str">
            <v>AUSTRALIA</v>
          </cell>
        </row>
        <row r="11089">
          <cell r="L11089" t="str">
            <v>Non-proportional</v>
          </cell>
          <cell r="S11089">
            <v>482.61</v>
          </cell>
          <cell r="X11089" t="str">
            <v>Commissions - gross</v>
          </cell>
          <cell r="Y11089" t="str">
            <v>COLOMBIA</v>
          </cell>
        </row>
        <row r="11090">
          <cell r="L11090" t="str">
            <v>Non-proportional</v>
          </cell>
          <cell r="S11090">
            <v>905.7</v>
          </cell>
          <cell r="X11090" t="str">
            <v>Commissions - gross</v>
          </cell>
          <cell r="Y11090" t="str">
            <v>ISRAEL</v>
          </cell>
        </row>
        <row r="11091">
          <cell r="L11091" t="str">
            <v>Non-proportional</v>
          </cell>
          <cell r="S11091">
            <v>885.5</v>
          </cell>
          <cell r="X11091" t="str">
            <v>Commissions - gross</v>
          </cell>
          <cell r="Y11091" t="str">
            <v>GERMANY</v>
          </cell>
        </row>
        <row r="11092">
          <cell r="L11092" t="str">
            <v>Non-proportional</v>
          </cell>
          <cell r="S11092">
            <v>0</v>
          </cell>
          <cell r="X11092" t="str">
            <v>Commissions - gross</v>
          </cell>
          <cell r="Y11092" t="str">
            <v>DOMINICAN REPUBLIC</v>
          </cell>
        </row>
        <row r="11093">
          <cell r="L11093" t="str">
            <v>Non-proportional</v>
          </cell>
          <cell r="S11093">
            <v>252.86</v>
          </cell>
          <cell r="X11093" t="str">
            <v>Commissions - gross</v>
          </cell>
          <cell r="Y11093" t="str">
            <v>MEXICO</v>
          </cell>
        </row>
        <row r="11094">
          <cell r="L11094" t="str">
            <v>Non-proportional</v>
          </cell>
          <cell r="S11094">
            <v>11198.01</v>
          </cell>
          <cell r="X11094" t="str">
            <v>Commissions - gross</v>
          </cell>
          <cell r="Y11094" t="str">
            <v>UNITED KINGDOM</v>
          </cell>
        </row>
        <row r="11095">
          <cell r="L11095" t="str">
            <v>Non-proportional</v>
          </cell>
          <cell r="S11095">
            <v>1627.87</v>
          </cell>
          <cell r="X11095" t="str">
            <v>Commissions - gross</v>
          </cell>
          <cell r="Y11095" t="str">
            <v>ITALY</v>
          </cell>
        </row>
        <row r="11096">
          <cell r="L11096" t="str">
            <v>Non-proportional</v>
          </cell>
          <cell r="S11096">
            <v>476.26</v>
          </cell>
          <cell r="X11096" t="str">
            <v>Commissions - gross</v>
          </cell>
          <cell r="Y11096" t="str">
            <v>ECUADOR</v>
          </cell>
        </row>
        <row r="11097">
          <cell r="L11097" t="str">
            <v>Non-proportional</v>
          </cell>
          <cell r="S11097">
            <v>877.51</v>
          </cell>
          <cell r="X11097" t="str">
            <v>Commissions - gross</v>
          </cell>
          <cell r="Y11097" t="str">
            <v>FRANCE</v>
          </cell>
        </row>
        <row r="11098">
          <cell r="L11098" t="str">
            <v>Non-proportional</v>
          </cell>
          <cell r="S11098">
            <v>524.46</v>
          </cell>
          <cell r="X11098" t="str">
            <v>Commissions - gross</v>
          </cell>
          <cell r="Y11098" t="str">
            <v>CHILE</v>
          </cell>
        </row>
        <row r="11099">
          <cell r="L11099" t="str">
            <v>Non-proportional</v>
          </cell>
          <cell r="S11099">
            <v>397.36</v>
          </cell>
          <cell r="X11099" t="str">
            <v>Commissions - gross</v>
          </cell>
          <cell r="Y11099" t="str">
            <v>ECUADOR</v>
          </cell>
        </row>
        <row r="11100">
          <cell r="L11100" t="str">
            <v>Non-proportional</v>
          </cell>
          <cell r="S11100">
            <v>585.13</v>
          </cell>
          <cell r="X11100" t="str">
            <v>Commissions - gross</v>
          </cell>
          <cell r="Y11100" t="str">
            <v>ITALY</v>
          </cell>
        </row>
        <row r="11101">
          <cell r="L11101" t="str">
            <v>Non-proportional</v>
          </cell>
          <cell r="S11101">
            <v>24.02</v>
          </cell>
          <cell r="X11101" t="str">
            <v>Commissions - gross</v>
          </cell>
          <cell r="Y11101" t="str">
            <v>NEW ZEALAND</v>
          </cell>
        </row>
        <row r="11102">
          <cell r="L11102" t="str">
            <v>Non-proportional</v>
          </cell>
          <cell r="S11102">
            <v>0.46</v>
          </cell>
          <cell r="X11102" t="str">
            <v>Commissions - gross</v>
          </cell>
          <cell r="Y11102" t="str">
            <v>COSTA RICA</v>
          </cell>
        </row>
        <row r="11103">
          <cell r="L11103" t="str">
            <v>Non-proportional</v>
          </cell>
          <cell r="S11103">
            <v>208.14</v>
          </cell>
          <cell r="X11103" t="str">
            <v>Commissions - gross</v>
          </cell>
          <cell r="Y11103" t="str">
            <v>DOMINICAN REPUBLIC</v>
          </cell>
        </row>
        <row r="11104">
          <cell r="L11104" t="str">
            <v>Non-proportional</v>
          </cell>
          <cell r="S11104">
            <v>307.77</v>
          </cell>
          <cell r="X11104" t="str">
            <v>Commissions - gross</v>
          </cell>
          <cell r="Y11104" t="str">
            <v>PERU</v>
          </cell>
        </row>
        <row r="11105">
          <cell r="L11105" t="str">
            <v>Non-proportional</v>
          </cell>
          <cell r="S11105">
            <v>933.82</v>
          </cell>
          <cell r="X11105" t="str">
            <v>Commissions - gross</v>
          </cell>
          <cell r="Y11105" t="str">
            <v>CHINA</v>
          </cell>
        </row>
        <row r="11106">
          <cell r="L11106" t="str">
            <v>Non-proportional</v>
          </cell>
          <cell r="S11106">
            <v>-17.850000000000001</v>
          </cell>
          <cell r="X11106" t="str">
            <v>Commissions - gross</v>
          </cell>
          <cell r="Y11106" t="str">
            <v>JAPAN</v>
          </cell>
        </row>
        <row r="11107">
          <cell r="L11107" t="str">
            <v>Non-proportional</v>
          </cell>
          <cell r="S11107">
            <v>332.35</v>
          </cell>
          <cell r="X11107" t="str">
            <v>Commissions - gross</v>
          </cell>
          <cell r="Y11107" t="str">
            <v>ISRAEL</v>
          </cell>
        </row>
        <row r="11108">
          <cell r="L11108" t="str">
            <v>Non-proportional</v>
          </cell>
          <cell r="S11108">
            <v>721.1</v>
          </cell>
          <cell r="X11108" t="str">
            <v>Commissions - gross</v>
          </cell>
          <cell r="Y11108" t="str">
            <v>COSTA RICA</v>
          </cell>
        </row>
        <row r="11109">
          <cell r="L11109" t="str">
            <v>Non-proportional</v>
          </cell>
          <cell r="S11109">
            <v>34.39</v>
          </cell>
          <cell r="X11109" t="str">
            <v>Commissions - gross</v>
          </cell>
          <cell r="Y11109" t="str">
            <v>COLOMBIA</v>
          </cell>
        </row>
        <row r="11110">
          <cell r="L11110" t="str">
            <v>Non-proportional</v>
          </cell>
          <cell r="S11110">
            <v>2360.34</v>
          </cell>
          <cell r="X11110" t="str">
            <v>Commissions - gross</v>
          </cell>
          <cell r="Y11110" t="str">
            <v>ISRAEL</v>
          </cell>
        </row>
        <row r="11111">
          <cell r="L11111" t="str">
            <v>Non-proportional</v>
          </cell>
          <cell r="S11111">
            <v>1.93</v>
          </cell>
          <cell r="X11111" t="str">
            <v>Commissions - gross</v>
          </cell>
          <cell r="Y11111" t="str">
            <v>ISRAEL</v>
          </cell>
        </row>
        <row r="11112">
          <cell r="L11112" t="str">
            <v>Non-proportional</v>
          </cell>
          <cell r="S11112">
            <v>382.81</v>
          </cell>
          <cell r="X11112" t="str">
            <v>Commissions - gross</v>
          </cell>
          <cell r="Y11112" t="str">
            <v>ITALY</v>
          </cell>
        </row>
        <row r="11113">
          <cell r="L11113" t="str">
            <v>Non-proportional</v>
          </cell>
          <cell r="S11113">
            <v>-3</v>
          </cell>
          <cell r="X11113" t="str">
            <v>Commissions - gross</v>
          </cell>
          <cell r="Y11113" t="str">
            <v>JAPAN</v>
          </cell>
        </row>
        <row r="11114">
          <cell r="L11114" t="str">
            <v>Non-proportional</v>
          </cell>
          <cell r="S11114">
            <v>4079.99</v>
          </cell>
          <cell r="X11114" t="str">
            <v>Commissions - gross</v>
          </cell>
          <cell r="Y11114" t="str">
            <v>TURKEY</v>
          </cell>
        </row>
        <row r="11115">
          <cell r="L11115" t="str">
            <v>Non-proportional</v>
          </cell>
          <cell r="S11115">
            <v>3000</v>
          </cell>
          <cell r="X11115" t="str">
            <v>Commissions - gross</v>
          </cell>
          <cell r="Y11115" t="str">
            <v>FRANCE</v>
          </cell>
        </row>
        <row r="11116">
          <cell r="L11116" t="str">
            <v>Proportional</v>
          </cell>
          <cell r="S11116">
            <v>42.59</v>
          </cell>
          <cell r="X11116" t="str">
            <v>Commissions - gross</v>
          </cell>
          <cell r="Y11116" t="str">
            <v>UNITED STATES</v>
          </cell>
        </row>
        <row r="11117">
          <cell r="L11117" t="str">
            <v>Non-proportional</v>
          </cell>
          <cell r="S11117">
            <v>1115.1500000000001</v>
          </cell>
          <cell r="X11117" t="str">
            <v>Commissions - gross</v>
          </cell>
          <cell r="Y11117" t="str">
            <v>MEXICO</v>
          </cell>
        </row>
        <row r="11118">
          <cell r="L11118" t="str">
            <v>Non-proportional</v>
          </cell>
          <cell r="S11118">
            <v>71.8</v>
          </cell>
          <cell r="X11118" t="str">
            <v>Commissions - gross</v>
          </cell>
          <cell r="Y11118" t="str">
            <v>ECUADOR</v>
          </cell>
        </row>
        <row r="11119">
          <cell r="L11119" t="str">
            <v>Non-proportional</v>
          </cell>
          <cell r="S11119">
            <v>726.77</v>
          </cell>
          <cell r="X11119" t="str">
            <v>Commissions - gross</v>
          </cell>
          <cell r="Y11119" t="str">
            <v>FRANCE</v>
          </cell>
        </row>
        <row r="11120">
          <cell r="L11120" t="str">
            <v>Non-proportional</v>
          </cell>
          <cell r="S11120">
            <v>329.58</v>
          </cell>
          <cell r="X11120" t="str">
            <v>Commissions - gross</v>
          </cell>
          <cell r="Y11120" t="str">
            <v>DOMINICAN REPUBLIC</v>
          </cell>
        </row>
        <row r="11121">
          <cell r="L11121" t="str">
            <v>Proportional</v>
          </cell>
          <cell r="S11121">
            <v>-60.77</v>
          </cell>
          <cell r="X11121" t="str">
            <v>Commissions - gross</v>
          </cell>
          <cell r="Y11121" t="str">
            <v>CHILE</v>
          </cell>
        </row>
        <row r="11122">
          <cell r="L11122" t="str">
            <v>Non-proportional</v>
          </cell>
          <cell r="S11122">
            <v>108.08</v>
          </cell>
          <cell r="X11122" t="str">
            <v>Commissions - gross</v>
          </cell>
          <cell r="Y11122" t="str">
            <v>COSTA RICA</v>
          </cell>
        </row>
        <row r="11123">
          <cell r="L11123" t="str">
            <v>Non-proportional</v>
          </cell>
          <cell r="S11123">
            <v>1754.12</v>
          </cell>
          <cell r="X11123" t="str">
            <v>Commissions - gross</v>
          </cell>
          <cell r="Y11123" t="str">
            <v>UNITED KINGDOM</v>
          </cell>
        </row>
        <row r="11124">
          <cell r="L11124" t="str">
            <v>Non-proportional</v>
          </cell>
          <cell r="S11124">
            <v>2309.13</v>
          </cell>
          <cell r="X11124" t="str">
            <v>Commissions - gross</v>
          </cell>
          <cell r="Y11124" t="str">
            <v>UNITED KINGDOM</v>
          </cell>
        </row>
        <row r="11125">
          <cell r="L11125" t="str">
            <v>Non-proportional</v>
          </cell>
          <cell r="S11125">
            <v>778.03</v>
          </cell>
          <cell r="X11125" t="str">
            <v>Commissions - gross</v>
          </cell>
          <cell r="Y11125" t="str">
            <v>COLOMBIA</v>
          </cell>
        </row>
        <row r="11126">
          <cell r="L11126" t="str">
            <v>Non-proportional</v>
          </cell>
          <cell r="S11126">
            <v>106.26</v>
          </cell>
          <cell r="X11126" t="str">
            <v>Commissions - gross</v>
          </cell>
          <cell r="Y11126" t="str">
            <v>JAPAN</v>
          </cell>
        </row>
        <row r="11127">
          <cell r="L11127" t="str">
            <v>Non-proportional</v>
          </cell>
          <cell r="S11127">
            <v>1163.33</v>
          </cell>
          <cell r="X11127" t="str">
            <v>Commissions - gross</v>
          </cell>
          <cell r="Y11127" t="str">
            <v>PERU</v>
          </cell>
        </row>
        <row r="11128">
          <cell r="L11128" t="str">
            <v>Non-proportional</v>
          </cell>
          <cell r="S11128">
            <v>109.14</v>
          </cell>
          <cell r="X11128" t="str">
            <v>Commissions - gross</v>
          </cell>
          <cell r="Y11128" t="str">
            <v>SOUTH AFRICA</v>
          </cell>
        </row>
        <row r="11129">
          <cell r="L11129" t="str">
            <v>Non-proportional</v>
          </cell>
          <cell r="S11129">
            <v>170.99</v>
          </cell>
          <cell r="X11129" t="str">
            <v>Commissions - gross</v>
          </cell>
          <cell r="Y11129" t="str">
            <v>JAPAN</v>
          </cell>
        </row>
        <row r="11130">
          <cell r="L11130" t="str">
            <v>Non-proportional</v>
          </cell>
          <cell r="S11130">
            <v>-0.16</v>
          </cell>
          <cell r="X11130" t="str">
            <v>Commissions - gross</v>
          </cell>
          <cell r="Y11130" t="str">
            <v>GUATEMALA</v>
          </cell>
        </row>
        <row r="11131">
          <cell r="L11131" t="str">
            <v>Non-proportional</v>
          </cell>
          <cell r="S11131">
            <v>116.14</v>
          </cell>
          <cell r="X11131" t="str">
            <v>Commissions - gross</v>
          </cell>
          <cell r="Y11131" t="str">
            <v>UNITED KINGDOM</v>
          </cell>
        </row>
        <row r="11132">
          <cell r="L11132" t="str">
            <v>Non-proportional</v>
          </cell>
          <cell r="S11132">
            <v>-1.74</v>
          </cell>
          <cell r="X11132" t="str">
            <v>Commissions - gross</v>
          </cell>
          <cell r="Y11132" t="str">
            <v>JAPAN</v>
          </cell>
        </row>
        <row r="11133">
          <cell r="L11133" t="str">
            <v>Non-proportional</v>
          </cell>
          <cell r="S11133">
            <v>475.13</v>
          </cell>
          <cell r="X11133" t="str">
            <v>Commissions - gross</v>
          </cell>
          <cell r="Y11133" t="str">
            <v>FRANCE</v>
          </cell>
        </row>
        <row r="11134">
          <cell r="L11134" t="str">
            <v>Non-proportional</v>
          </cell>
          <cell r="S11134">
            <v>917.84</v>
          </cell>
          <cell r="X11134" t="str">
            <v>Commissions - gross</v>
          </cell>
          <cell r="Y11134" t="str">
            <v>FRANCE</v>
          </cell>
        </row>
        <row r="11135">
          <cell r="L11135" t="str">
            <v>Non-proportional</v>
          </cell>
          <cell r="S11135">
            <v>-54.4</v>
          </cell>
          <cell r="X11135" t="str">
            <v>Commissions - gross</v>
          </cell>
          <cell r="Y11135" t="str">
            <v>JAPAN</v>
          </cell>
        </row>
        <row r="11136">
          <cell r="L11136" t="str">
            <v>Proportional</v>
          </cell>
          <cell r="S11136">
            <v>7574.69</v>
          </cell>
          <cell r="X11136" t="str">
            <v>Commissions - gross</v>
          </cell>
          <cell r="Y11136" t="str">
            <v>AUSTRALIA</v>
          </cell>
        </row>
        <row r="11137">
          <cell r="L11137" t="str">
            <v>Non-proportional</v>
          </cell>
          <cell r="S11137">
            <v>528.08000000000004</v>
          </cell>
          <cell r="X11137" t="str">
            <v>Commissions - gross</v>
          </cell>
          <cell r="Y11137" t="str">
            <v>ECUADOR</v>
          </cell>
        </row>
        <row r="11138">
          <cell r="L11138" t="str">
            <v>Non-proportional</v>
          </cell>
          <cell r="S11138">
            <v>-0.78</v>
          </cell>
          <cell r="X11138" t="str">
            <v>Commissions - gross</v>
          </cell>
          <cell r="Y11138" t="str">
            <v>DOMINICAN REPUBLIC</v>
          </cell>
        </row>
        <row r="11139">
          <cell r="L11139" t="str">
            <v>Non-proportional</v>
          </cell>
          <cell r="S11139">
            <v>1059.6099999999999</v>
          </cell>
          <cell r="X11139" t="str">
            <v>Commissions - gross</v>
          </cell>
          <cell r="Y11139" t="str">
            <v>FRANCE</v>
          </cell>
        </row>
        <row r="11140">
          <cell r="L11140" t="str">
            <v>Non-proportional</v>
          </cell>
          <cell r="S11140">
            <v>1200.1300000000001</v>
          </cell>
          <cell r="X11140" t="str">
            <v>Commissions - gross</v>
          </cell>
          <cell r="Y11140" t="str">
            <v>ITALY</v>
          </cell>
        </row>
        <row r="11141">
          <cell r="L11141" t="str">
            <v>Non-proportional</v>
          </cell>
          <cell r="S11141">
            <v>128.63</v>
          </cell>
          <cell r="X11141" t="str">
            <v>Commissions - gross</v>
          </cell>
          <cell r="Y11141" t="str">
            <v>UNITED ARAB EMIRATES</v>
          </cell>
        </row>
        <row r="11142">
          <cell r="L11142" t="str">
            <v>Non-proportional</v>
          </cell>
          <cell r="S11142">
            <v>434.38</v>
          </cell>
          <cell r="X11142" t="str">
            <v>Commissions - gross</v>
          </cell>
          <cell r="Y11142" t="str">
            <v>COSTA RICA</v>
          </cell>
        </row>
        <row r="11143">
          <cell r="L11143" t="str">
            <v>Non-proportional</v>
          </cell>
          <cell r="S11143">
            <v>407.81</v>
          </cell>
          <cell r="X11143" t="str">
            <v>Commissions - gross</v>
          </cell>
          <cell r="Y11143" t="str">
            <v>GREECE</v>
          </cell>
        </row>
        <row r="11144">
          <cell r="L11144" t="str">
            <v>Non-proportional</v>
          </cell>
          <cell r="S11144">
            <v>278.27999999999997</v>
          </cell>
          <cell r="X11144" t="str">
            <v>Commissions - gross</v>
          </cell>
          <cell r="Y11144" t="str">
            <v>INDIA</v>
          </cell>
        </row>
        <row r="11145">
          <cell r="L11145" t="str">
            <v>Non-proportional</v>
          </cell>
          <cell r="S11145">
            <v>295.24</v>
          </cell>
          <cell r="X11145" t="str">
            <v>Commissions - gross</v>
          </cell>
          <cell r="Y11145" t="str">
            <v>UNITED KINGDOM</v>
          </cell>
        </row>
        <row r="11146">
          <cell r="L11146" t="str">
            <v>Non-proportional</v>
          </cell>
          <cell r="S11146">
            <v>488.53</v>
          </cell>
          <cell r="X11146" t="str">
            <v>Commissions - gross</v>
          </cell>
          <cell r="Y11146" t="str">
            <v>UNITED KINGDOM</v>
          </cell>
        </row>
        <row r="11147">
          <cell r="L11147" t="str">
            <v>Non-proportional</v>
          </cell>
          <cell r="S11147">
            <v>4.51</v>
          </cell>
          <cell r="X11147" t="str">
            <v>Commissions - gross</v>
          </cell>
          <cell r="Y11147" t="str">
            <v>ISRAEL</v>
          </cell>
        </row>
        <row r="11148">
          <cell r="L11148" t="str">
            <v>Non-proportional</v>
          </cell>
          <cell r="S11148">
            <v>5.84</v>
          </cell>
          <cell r="X11148" t="str">
            <v>Commissions - gross</v>
          </cell>
          <cell r="Y11148" t="str">
            <v>THAILAND</v>
          </cell>
        </row>
        <row r="11149">
          <cell r="L11149" t="str">
            <v>Non-proportional</v>
          </cell>
          <cell r="S11149">
            <v>739.02</v>
          </cell>
          <cell r="X11149" t="str">
            <v>Commissions - gross</v>
          </cell>
          <cell r="Y11149" t="str">
            <v>AUSTRALIA</v>
          </cell>
        </row>
        <row r="11150">
          <cell r="L11150" t="str">
            <v>Proportional</v>
          </cell>
          <cell r="S11150">
            <v>-1.08</v>
          </cell>
          <cell r="X11150" t="str">
            <v>Commissions - gross</v>
          </cell>
          <cell r="Y11150" t="str">
            <v>UNITED STATES</v>
          </cell>
        </row>
        <row r="11151">
          <cell r="L11151" t="str">
            <v>Non-proportional</v>
          </cell>
          <cell r="S11151">
            <v>625</v>
          </cell>
          <cell r="X11151" t="str">
            <v>Commissions - gross</v>
          </cell>
          <cell r="Y11151" t="str">
            <v>SPAIN</v>
          </cell>
        </row>
        <row r="11152">
          <cell r="L11152" t="str">
            <v>Proportional</v>
          </cell>
          <cell r="S11152">
            <v>220.43</v>
          </cell>
          <cell r="X11152" t="str">
            <v>Commissions - gross</v>
          </cell>
          <cell r="Y11152" t="str">
            <v>MEXICO</v>
          </cell>
        </row>
        <row r="11153">
          <cell r="L11153" t="str">
            <v>Non-proportional</v>
          </cell>
          <cell r="S11153">
            <v>-0.73</v>
          </cell>
          <cell r="X11153" t="str">
            <v>Commissions - gross</v>
          </cell>
          <cell r="Y11153" t="str">
            <v>JAPAN</v>
          </cell>
        </row>
        <row r="11154">
          <cell r="L11154" t="str">
            <v>Non-proportional</v>
          </cell>
          <cell r="S11154">
            <v>-0.1</v>
          </cell>
          <cell r="X11154" t="str">
            <v>Commissions - gross</v>
          </cell>
          <cell r="Y11154" t="str">
            <v>GUATEMALA</v>
          </cell>
        </row>
        <row r="11155">
          <cell r="L11155" t="str">
            <v>Non-proportional</v>
          </cell>
          <cell r="S11155">
            <v>925.13</v>
          </cell>
          <cell r="X11155" t="str">
            <v>Commissions - gross</v>
          </cell>
          <cell r="Y11155" t="str">
            <v>ITALY</v>
          </cell>
        </row>
        <row r="11156">
          <cell r="L11156" t="str">
            <v>Non-proportional</v>
          </cell>
          <cell r="S11156">
            <v>1186.32</v>
          </cell>
          <cell r="X11156" t="str">
            <v>Commissions - gross</v>
          </cell>
          <cell r="Y11156" t="str">
            <v>EUROPE</v>
          </cell>
        </row>
        <row r="11157">
          <cell r="L11157" t="str">
            <v>Proportional</v>
          </cell>
          <cell r="S11157">
            <v>133.69999999999999</v>
          </cell>
          <cell r="X11157" t="str">
            <v>Commissions - gross</v>
          </cell>
          <cell r="Y11157" t="str">
            <v>SAUDI ARABIA</v>
          </cell>
        </row>
        <row r="11158">
          <cell r="L11158" t="str">
            <v>Proportional</v>
          </cell>
          <cell r="S11158">
            <v>-96675.19</v>
          </cell>
          <cell r="X11158" t="str">
            <v>Commissions - gross</v>
          </cell>
          <cell r="Y11158" t="str">
            <v>ITALY</v>
          </cell>
        </row>
        <row r="11159">
          <cell r="L11159" t="str">
            <v>Non-proportional</v>
          </cell>
          <cell r="S11159">
            <v>524.92999999999995</v>
          </cell>
          <cell r="X11159" t="str">
            <v>Commissions - gross</v>
          </cell>
          <cell r="Y11159" t="str">
            <v>NEW ZEALAND</v>
          </cell>
        </row>
        <row r="11160">
          <cell r="L11160" t="str">
            <v>Non-proportional</v>
          </cell>
          <cell r="S11160">
            <v>0.65</v>
          </cell>
          <cell r="X11160" t="str">
            <v>Commissions - gross</v>
          </cell>
          <cell r="Y11160" t="str">
            <v>COSTA RICA</v>
          </cell>
        </row>
        <row r="11161">
          <cell r="L11161" t="str">
            <v>Non-proportional</v>
          </cell>
          <cell r="S11161">
            <v>374.43</v>
          </cell>
          <cell r="X11161" t="str">
            <v>Commissions - gross</v>
          </cell>
          <cell r="Y11161" t="str">
            <v>DOMINICAN REPUBLIC</v>
          </cell>
        </row>
        <row r="11162">
          <cell r="L11162" t="str">
            <v>Non-proportional</v>
          </cell>
          <cell r="S11162">
            <v>203.56</v>
          </cell>
          <cell r="X11162" t="str">
            <v>Commissions - gross</v>
          </cell>
          <cell r="Y11162" t="str">
            <v>JAPAN</v>
          </cell>
        </row>
        <row r="11163">
          <cell r="L11163" t="str">
            <v>Non-proportional</v>
          </cell>
          <cell r="S11163">
            <v>244.75</v>
          </cell>
          <cell r="X11163" t="str">
            <v>Commissions - gross</v>
          </cell>
          <cell r="Y11163" t="str">
            <v>CHILE</v>
          </cell>
        </row>
        <row r="11164">
          <cell r="L11164" t="str">
            <v>Proportional</v>
          </cell>
          <cell r="S11164">
            <v>4506.2299999999996</v>
          </cell>
          <cell r="X11164" t="str">
            <v>Commissions - gross</v>
          </cell>
          <cell r="Y11164" t="str">
            <v>UNITED STATES</v>
          </cell>
        </row>
        <row r="11165">
          <cell r="L11165" t="str">
            <v>Non-proportional</v>
          </cell>
          <cell r="S11165">
            <v>126.16</v>
          </cell>
          <cell r="X11165" t="str">
            <v>Commissions - gross</v>
          </cell>
          <cell r="Y11165" t="str">
            <v>COLOMBIA</v>
          </cell>
        </row>
        <row r="11166">
          <cell r="L11166" t="str">
            <v>Non-proportional</v>
          </cell>
          <cell r="S11166">
            <v>1266.46</v>
          </cell>
          <cell r="X11166" t="str">
            <v>Commissions - gross</v>
          </cell>
          <cell r="Y11166" t="str">
            <v>FRANCE</v>
          </cell>
        </row>
        <row r="11167">
          <cell r="L11167" t="str">
            <v>Non-proportional</v>
          </cell>
          <cell r="S11167">
            <v>-7.89</v>
          </cell>
          <cell r="X11167" t="str">
            <v>Commissions - gross</v>
          </cell>
          <cell r="Y11167" t="str">
            <v>JAPAN</v>
          </cell>
        </row>
        <row r="11168">
          <cell r="L11168" t="str">
            <v>Non-proportional</v>
          </cell>
          <cell r="S11168">
            <v>0</v>
          </cell>
          <cell r="X11168" t="str">
            <v>Commissions - gross</v>
          </cell>
          <cell r="Y11168" t="str">
            <v>COLOMBIA</v>
          </cell>
        </row>
        <row r="11169">
          <cell r="L11169" t="str">
            <v>Non-proportional</v>
          </cell>
          <cell r="S11169">
            <v>1362.33</v>
          </cell>
          <cell r="X11169" t="str">
            <v>Commissions - gross</v>
          </cell>
          <cell r="Y11169" t="str">
            <v>ECUADOR</v>
          </cell>
        </row>
        <row r="11170">
          <cell r="L11170" t="str">
            <v>Non-proportional</v>
          </cell>
          <cell r="S11170">
            <v>-3.2</v>
          </cell>
          <cell r="X11170" t="str">
            <v>Commissions - gross</v>
          </cell>
          <cell r="Y11170" t="str">
            <v>JAPAN</v>
          </cell>
        </row>
        <row r="11171">
          <cell r="L11171" t="str">
            <v>Non-proportional</v>
          </cell>
          <cell r="S11171">
            <v>281.91000000000003</v>
          </cell>
          <cell r="X11171" t="str">
            <v>Commissions - gross</v>
          </cell>
          <cell r="Y11171" t="str">
            <v>ISRAEL</v>
          </cell>
        </row>
        <row r="11172">
          <cell r="L11172" t="str">
            <v>Non-proportional</v>
          </cell>
          <cell r="S11172">
            <v>287.87</v>
          </cell>
          <cell r="X11172" t="str">
            <v>Commissions - gross</v>
          </cell>
          <cell r="Y11172" t="str">
            <v>JAPAN</v>
          </cell>
        </row>
        <row r="11173">
          <cell r="L11173" t="str">
            <v>Non-proportional</v>
          </cell>
          <cell r="S11173">
            <v>282.43</v>
          </cell>
          <cell r="X11173" t="str">
            <v>Commissions - gross</v>
          </cell>
          <cell r="Y11173" t="str">
            <v>UNITED KINGDOM</v>
          </cell>
        </row>
        <row r="11174">
          <cell r="L11174" t="str">
            <v>Non-proportional</v>
          </cell>
          <cell r="S11174">
            <v>1719.56</v>
          </cell>
          <cell r="X11174" t="str">
            <v>Commissions - gross</v>
          </cell>
          <cell r="Y11174" t="str">
            <v>UNITED KINGDOM</v>
          </cell>
        </row>
        <row r="11175">
          <cell r="L11175" t="str">
            <v>Proportional</v>
          </cell>
          <cell r="S11175">
            <v>-29.05</v>
          </cell>
          <cell r="X11175" t="str">
            <v>Commissions - gross</v>
          </cell>
          <cell r="Y11175" t="str">
            <v>UNITED STATES</v>
          </cell>
        </row>
        <row r="11176">
          <cell r="L11176" t="str">
            <v>Non-proportional</v>
          </cell>
          <cell r="S11176">
            <v>-5.71</v>
          </cell>
          <cell r="X11176" t="str">
            <v>Commissions - gross</v>
          </cell>
          <cell r="Y11176" t="str">
            <v>JAPAN</v>
          </cell>
        </row>
        <row r="11177">
          <cell r="L11177" t="str">
            <v>Non-proportional</v>
          </cell>
          <cell r="S11177">
            <v>417.45</v>
          </cell>
          <cell r="X11177" t="str">
            <v>Commissions - gross</v>
          </cell>
          <cell r="Y11177" t="str">
            <v>UNITED KINGDOM</v>
          </cell>
        </row>
        <row r="11178">
          <cell r="L11178" t="str">
            <v>Non-proportional</v>
          </cell>
          <cell r="S11178">
            <v>94.43</v>
          </cell>
          <cell r="X11178" t="str">
            <v>Commissions - gross</v>
          </cell>
          <cell r="Y11178" t="str">
            <v>DOMINICAN REPUBLIC</v>
          </cell>
        </row>
        <row r="11179">
          <cell r="L11179" t="str">
            <v>Non-proportional</v>
          </cell>
          <cell r="S11179">
            <v>1945.89</v>
          </cell>
          <cell r="X11179" t="str">
            <v>Commissions - gross</v>
          </cell>
          <cell r="Y11179" t="str">
            <v>UNITED KINGDOM</v>
          </cell>
        </row>
        <row r="11180">
          <cell r="L11180" t="str">
            <v>Non-proportional</v>
          </cell>
          <cell r="S11180">
            <v>695.78</v>
          </cell>
          <cell r="X11180" t="str">
            <v>Commissions - gross</v>
          </cell>
          <cell r="Y11180" t="str">
            <v>ITALY</v>
          </cell>
        </row>
        <row r="11181">
          <cell r="L11181" t="str">
            <v>Non-proportional</v>
          </cell>
          <cell r="S11181">
            <v>4551.18</v>
          </cell>
          <cell r="X11181" t="str">
            <v>Commissions - gross</v>
          </cell>
          <cell r="Y11181" t="str">
            <v>UNITED KINGDOM</v>
          </cell>
        </row>
        <row r="11182">
          <cell r="L11182" t="str">
            <v>Non-proportional</v>
          </cell>
          <cell r="S11182">
            <v>779.13</v>
          </cell>
          <cell r="X11182" t="str">
            <v>Commissions - gross</v>
          </cell>
          <cell r="Y11182" t="str">
            <v>UNITED KINGDOM</v>
          </cell>
        </row>
        <row r="11183">
          <cell r="L11183" t="str">
            <v>Proportional</v>
          </cell>
          <cell r="S11183">
            <v>6.32</v>
          </cell>
          <cell r="X11183" t="str">
            <v>Commissions - gross</v>
          </cell>
          <cell r="Y11183" t="str">
            <v>UNITED STATES</v>
          </cell>
        </row>
        <row r="11184">
          <cell r="L11184" t="str">
            <v>Non-proportional</v>
          </cell>
          <cell r="S11184">
            <v>-1.26</v>
          </cell>
          <cell r="X11184" t="str">
            <v>Commissions - gross</v>
          </cell>
          <cell r="Y11184" t="str">
            <v>GUATEMALA</v>
          </cell>
        </row>
        <row r="11185">
          <cell r="L11185" t="str">
            <v>Non-proportional</v>
          </cell>
          <cell r="S11185">
            <v>355.93</v>
          </cell>
          <cell r="X11185" t="str">
            <v>Commissions - gross</v>
          </cell>
          <cell r="Y11185" t="str">
            <v>BRAZIL</v>
          </cell>
        </row>
        <row r="11186">
          <cell r="L11186" t="str">
            <v>Non-proportional</v>
          </cell>
          <cell r="S11186">
            <v>4672.91</v>
          </cell>
          <cell r="X11186" t="str">
            <v>Commissions - gross</v>
          </cell>
          <cell r="Y11186" t="str">
            <v>UNITED KINGDOM</v>
          </cell>
        </row>
        <row r="11187">
          <cell r="L11187" t="str">
            <v>Non-proportional</v>
          </cell>
          <cell r="S11187">
            <v>618.16</v>
          </cell>
          <cell r="X11187" t="str">
            <v>Commissions - gross</v>
          </cell>
          <cell r="Y11187" t="str">
            <v>INDIA</v>
          </cell>
        </row>
        <row r="11188">
          <cell r="L11188" t="str">
            <v>Non-proportional</v>
          </cell>
          <cell r="S11188">
            <v>1923.15</v>
          </cell>
          <cell r="X11188" t="str">
            <v>Commissions - gross</v>
          </cell>
          <cell r="Y11188" t="str">
            <v>FRANCE</v>
          </cell>
        </row>
        <row r="11189">
          <cell r="L11189" t="str">
            <v>Non-proportional</v>
          </cell>
          <cell r="S11189">
            <v>-8.33</v>
          </cell>
          <cell r="X11189" t="str">
            <v>Commissions - gross</v>
          </cell>
          <cell r="Y11189" t="str">
            <v>BRAZIL</v>
          </cell>
        </row>
        <row r="11190">
          <cell r="L11190" t="str">
            <v>Proportional</v>
          </cell>
          <cell r="S11190">
            <v>99.8</v>
          </cell>
          <cell r="X11190" t="str">
            <v>Commissions - gross</v>
          </cell>
          <cell r="Y11190" t="str">
            <v>REPUBLIC OF IRELAND</v>
          </cell>
        </row>
        <row r="11191">
          <cell r="L11191" t="str">
            <v>Non-proportional</v>
          </cell>
          <cell r="S11191">
            <v>266.33999999999997</v>
          </cell>
          <cell r="X11191" t="str">
            <v>Commissions - gross</v>
          </cell>
          <cell r="Y11191" t="str">
            <v>DOMINICAN REPUBLIC</v>
          </cell>
        </row>
        <row r="11192">
          <cell r="L11192" t="str">
            <v>Non-proportional</v>
          </cell>
          <cell r="S11192">
            <v>934.81</v>
          </cell>
          <cell r="X11192" t="str">
            <v>Commissions - gross</v>
          </cell>
          <cell r="Y11192" t="str">
            <v>NETHERLANDS</v>
          </cell>
        </row>
        <row r="11193">
          <cell r="L11193" t="str">
            <v>Non-proportional</v>
          </cell>
          <cell r="S11193">
            <v>934.55</v>
          </cell>
          <cell r="X11193" t="str">
            <v>Commissions - gross</v>
          </cell>
          <cell r="Y11193" t="str">
            <v>MEXICO</v>
          </cell>
        </row>
        <row r="11194">
          <cell r="L11194" t="str">
            <v>Non-proportional</v>
          </cell>
          <cell r="S11194">
            <v>34.96</v>
          </cell>
          <cell r="X11194" t="str">
            <v>Commissions - gross</v>
          </cell>
          <cell r="Y11194" t="str">
            <v>CHILE</v>
          </cell>
        </row>
        <row r="11195">
          <cell r="L11195" t="str">
            <v>Proportional</v>
          </cell>
          <cell r="S11195">
            <v>401.17</v>
          </cell>
          <cell r="X11195" t="str">
            <v>Commissions - gross</v>
          </cell>
          <cell r="Y11195" t="str">
            <v>EUROPE</v>
          </cell>
        </row>
        <row r="11196">
          <cell r="L11196" t="str">
            <v>Non-proportional</v>
          </cell>
          <cell r="S11196">
            <v>130.34</v>
          </cell>
          <cell r="X11196" t="str">
            <v>Commissions - gross</v>
          </cell>
          <cell r="Y11196" t="str">
            <v>PUERTO RICO</v>
          </cell>
        </row>
        <row r="11197">
          <cell r="L11197" t="str">
            <v>Non-proportional</v>
          </cell>
          <cell r="S11197">
            <v>1149.72</v>
          </cell>
          <cell r="X11197" t="str">
            <v>Commissions - gross</v>
          </cell>
          <cell r="Y11197" t="str">
            <v>MEXICO</v>
          </cell>
        </row>
        <row r="11198">
          <cell r="L11198" t="str">
            <v>Non-proportional</v>
          </cell>
          <cell r="S11198">
            <v>246.96</v>
          </cell>
          <cell r="X11198" t="str">
            <v>Commissions - gross</v>
          </cell>
          <cell r="Y11198" t="str">
            <v>FRANCE</v>
          </cell>
        </row>
        <row r="11199">
          <cell r="L11199" t="str">
            <v>Non-proportional</v>
          </cell>
          <cell r="S11199">
            <v>374.99</v>
          </cell>
          <cell r="X11199" t="str">
            <v>Commissions - gross</v>
          </cell>
          <cell r="Y11199" t="str">
            <v>EUROPE</v>
          </cell>
        </row>
        <row r="11200">
          <cell r="L11200" t="str">
            <v>Non-proportional</v>
          </cell>
          <cell r="S11200">
            <v>594.9</v>
          </cell>
          <cell r="X11200" t="str">
            <v>Commissions - gross</v>
          </cell>
          <cell r="Y11200" t="str">
            <v>INDIA</v>
          </cell>
        </row>
        <row r="11201">
          <cell r="L11201" t="str">
            <v>Non-proportional</v>
          </cell>
          <cell r="S11201">
            <v>268.57</v>
          </cell>
          <cell r="X11201" t="str">
            <v>Commissions - gross</v>
          </cell>
          <cell r="Y11201" t="str">
            <v>ISRAEL</v>
          </cell>
        </row>
        <row r="11202">
          <cell r="L11202" t="str">
            <v>Non-proportional</v>
          </cell>
          <cell r="S11202">
            <v>-11.22</v>
          </cell>
          <cell r="X11202" t="str">
            <v>Commissions - gross</v>
          </cell>
          <cell r="Y11202" t="str">
            <v>JAPAN</v>
          </cell>
        </row>
        <row r="11203">
          <cell r="L11203" t="str">
            <v>Proportional</v>
          </cell>
          <cell r="S11203">
            <v>-6.76</v>
          </cell>
          <cell r="X11203" t="str">
            <v>Commissions - gross</v>
          </cell>
          <cell r="Y11203" t="str">
            <v>INDIA</v>
          </cell>
        </row>
        <row r="11204">
          <cell r="L11204" t="str">
            <v>Non-proportional</v>
          </cell>
          <cell r="S11204">
            <v>537.69000000000005</v>
          </cell>
          <cell r="X11204" t="str">
            <v>Commissions - gross</v>
          </cell>
          <cell r="Y11204" t="str">
            <v>ISRAEL</v>
          </cell>
        </row>
        <row r="11205">
          <cell r="L11205" t="str">
            <v>Non-proportional</v>
          </cell>
          <cell r="S11205">
            <v>1911.69</v>
          </cell>
          <cell r="X11205" t="str">
            <v>Commissions - gross</v>
          </cell>
          <cell r="Y11205" t="str">
            <v>MEXICO</v>
          </cell>
        </row>
        <row r="11206">
          <cell r="L11206" t="str">
            <v>Non-proportional</v>
          </cell>
          <cell r="S11206">
            <v>668.33</v>
          </cell>
          <cell r="X11206" t="str">
            <v>Commissions - gross</v>
          </cell>
          <cell r="Y11206" t="str">
            <v>FRANCE</v>
          </cell>
        </row>
        <row r="11207">
          <cell r="L11207" t="str">
            <v>Non-proportional</v>
          </cell>
          <cell r="S11207">
            <v>734.25</v>
          </cell>
          <cell r="X11207" t="str">
            <v>Commissions - gross</v>
          </cell>
          <cell r="Y11207" t="str">
            <v>CHILE</v>
          </cell>
        </row>
        <row r="11208">
          <cell r="L11208" t="str">
            <v>Non-proportional</v>
          </cell>
          <cell r="S11208">
            <v>-29.17</v>
          </cell>
          <cell r="X11208" t="str">
            <v>Commissions - gross</v>
          </cell>
          <cell r="Y11208" t="str">
            <v>NEW ZEALAND</v>
          </cell>
        </row>
        <row r="11209">
          <cell r="L11209" t="str">
            <v>Non-proportional</v>
          </cell>
          <cell r="S11209">
            <v>1223.75</v>
          </cell>
          <cell r="X11209" t="str">
            <v>Commissions - gross</v>
          </cell>
          <cell r="Y11209" t="str">
            <v>CHILE</v>
          </cell>
        </row>
        <row r="11210">
          <cell r="L11210" t="str">
            <v>Non-proportional</v>
          </cell>
          <cell r="S11210">
            <v>491.01</v>
          </cell>
          <cell r="X11210" t="str">
            <v>Commissions - gross</v>
          </cell>
          <cell r="Y11210" t="str">
            <v>SOUTH AFRICA</v>
          </cell>
        </row>
        <row r="11211">
          <cell r="L11211" t="str">
            <v>Non-proportional</v>
          </cell>
          <cell r="S11211">
            <v>2884.86</v>
          </cell>
          <cell r="X11211" t="str">
            <v>Commissions - gross</v>
          </cell>
          <cell r="Y11211" t="str">
            <v>FRANCE</v>
          </cell>
        </row>
        <row r="11212">
          <cell r="L11212" t="str">
            <v>Non-proportional</v>
          </cell>
          <cell r="S11212">
            <v>219.95</v>
          </cell>
          <cell r="X11212" t="str">
            <v>Commissions - gross</v>
          </cell>
          <cell r="Y11212" t="str">
            <v>ECUADOR</v>
          </cell>
        </row>
        <row r="11213">
          <cell r="L11213" t="str">
            <v>Non-proportional</v>
          </cell>
          <cell r="S11213">
            <v>2019.75</v>
          </cell>
          <cell r="X11213" t="str">
            <v>Commissions - gross</v>
          </cell>
          <cell r="Y11213" t="str">
            <v>ITALY</v>
          </cell>
        </row>
        <row r="11214">
          <cell r="L11214" t="str">
            <v>Non-proportional</v>
          </cell>
          <cell r="S11214">
            <v>204.17</v>
          </cell>
          <cell r="X11214" t="str">
            <v>Commissions - gross</v>
          </cell>
          <cell r="Y11214" t="str">
            <v>ITALY</v>
          </cell>
        </row>
        <row r="11215">
          <cell r="L11215" t="str">
            <v>Non-proportional</v>
          </cell>
          <cell r="S11215">
            <v>428.47</v>
          </cell>
          <cell r="X11215" t="str">
            <v>Commissions - gross</v>
          </cell>
          <cell r="Y11215" t="str">
            <v>COLOMBIA</v>
          </cell>
        </row>
        <row r="11216">
          <cell r="L11216" t="str">
            <v>Proportional</v>
          </cell>
          <cell r="S11216">
            <v>99.8</v>
          </cell>
          <cell r="X11216" t="str">
            <v>Commissions - gross</v>
          </cell>
          <cell r="Y11216" t="str">
            <v>REPUBLIC OF IRELAND</v>
          </cell>
        </row>
        <row r="11217">
          <cell r="L11217" t="str">
            <v>Non-proportional</v>
          </cell>
          <cell r="S11217">
            <v>713.66</v>
          </cell>
          <cell r="X11217" t="str">
            <v>Commissions - gross</v>
          </cell>
          <cell r="Y11217" t="str">
            <v>MEXICO</v>
          </cell>
        </row>
        <row r="11218">
          <cell r="L11218" t="str">
            <v>Non-proportional</v>
          </cell>
          <cell r="S11218">
            <v>249.61</v>
          </cell>
          <cell r="X11218" t="str">
            <v>Commissions - gross</v>
          </cell>
          <cell r="Y11218" t="str">
            <v>DOMINICAN REPUBLIC</v>
          </cell>
        </row>
        <row r="11219">
          <cell r="L11219" t="str">
            <v>Non-proportional</v>
          </cell>
          <cell r="S11219">
            <v>-4.17</v>
          </cell>
          <cell r="X11219" t="str">
            <v>Commissions - gross</v>
          </cell>
          <cell r="Y11219" t="str">
            <v>JAPAN</v>
          </cell>
        </row>
        <row r="11220">
          <cell r="L11220" t="str">
            <v>Non-proportional</v>
          </cell>
          <cell r="S11220">
            <v>0</v>
          </cell>
          <cell r="X11220" t="str">
            <v>Commissions - gross</v>
          </cell>
          <cell r="Y11220" t="str">
            <v>COLOMBIA</v>
          </cell>
        </row>
        <row r="11221">
          <cell r="L11221" t="str">
            <v>Non-proportional</v>
          </cell>
          <cell r="S11221">
            <v>148.08000000000001</v>
          </cell>
          <cell r="X11221" t="str">
            <v>Commissions - gross</v>
          </cell>
          <cell r="Y11221" t="str">
            <v>FRANCE</v>
          </cell>
        </row>
        <row r="11222">
          <cell r="L11222" t="str">
            <v>Non-proportional</v>
          </cell>
          <cell r="S11222">
            <v>1094.73</v>
          </cell>
          <cell r="X11222" t="str">
            <v>Commissions - gross</v>
          </cell>
          <cell r="Y11222" t="str">
            <v>PERU</v>
          </cell>
        </row>
        <row r="11223">
          <cell r="L11223" t="str">
            <v>Non-proportional</v>
          </cell>
          <cell r="S11223">
            <v>406.14</v>
          </cell>
          <cell r="X11223" t="str">
            <v>Commissions - gross</v>
          </cell>
          <cell r="Y11223" t="str">
            <v>FRANCE</v>
          </cell>
        </row>
        <row r="11224">
          <cell r="L11224" t="str">
            <v>Non-proportional</v>
          </cell>
          <cell r="S11224">
            <v>6.42</v>
          </cell>
          <cell r="X11224" t="str">
            <v>Commissions - gross</v>
          </cell>
          <cell r="Y11224" t="str">
            <v>ISRAEL</v>
          </cell>
        </row>
        <row r="11225">
          <cell r="L11225" t="str">
            <v>Non-proportional</v>
          </cell>
          <cell r="S11225">
            <v>0</v>
          </cell>
          <cell r="X11225" t="str">
            <v>Commissions - gross</v>
          </cell>
          <cell r="Y11225" t="str">
            <v>DOMINICAN REPUBLIC</v>
          </cell>
        </row>
        <row r="11226">
          <cell r="L11226" t="str">
            <v>Non-proportional</v>
          </cell>
          <cell r="S11226">
            <v>372.8</v>
          </cell>
          <cell r="X11226" t="str">
            <v>Commissions - gross</v>
          </cell>
          <cell r="Y11226" t="str">
            <v>ECUADOR</v>
          </cell>
        </row>
        <row r="11227">
          <cell r="L11227" t="str">
            <v>Non-proportional</v>
          </cell>
          <cell r="S11227">
            <v>1083.07</v>
          </cell>
          <cell r="X11227" t="str">
            <v>Commissions - gross</v>
          </cell>
          <cell r="Y11227" t="str">
            <v>COLOMBIA</v>
          </cell>
        </row>
        <row r="11228">
          <cell r="L11228" t="str">
            <v>Non-proportional</v>
          </cell>
          <cell r="S11228">
            <v>144.9</v>
          </cell>
          <cell r="X11228" t="str">
            <v>Commissions - gross</v>
          </cell>
          <cell r="Y11228" t="str">
            <v>UNITED KINGDOM</v>
          </cell>
        </row>
        <row r="11229">
          <cell r="L11229" t="str">
            <v>Proportional</v>
          </cell>
          <cell r="S11229">
            <v>174.82</v>
          </cell>
          <cell r="X11229" t="str">
            <v>Commissions - gross</v>
          </cell>
          <cell r="Y11229" t="str">
            <v>CHILE</v>
          </cell>
        </row>
        <row r="11230">
          <cell r="L11230" t="str">
            <v>Non-proportional</v>
          </cell>
          <cell r="S11230">
            <v>1458.34</v>
          </cell>
          <cell r="X11230" t="str">
            <v>Commissions - gross</v>
          </cell>
          <cell r="Y11230" t="str">
            <v>EUROPE</v>
          </cell>
        </row>
        <row r="11231">
          <cell r="L11231" t="str">
            <v>Non-proportional</v>
          </cell>
          <cell r="S11231">
            <v>327.91</v>
          </cell>
          <cell r="X11231" t="str">
            <v>Commissions - gross</v>
          </cell>
          <cell r="Y11231" t="str">
            <v>INDIA</v>
          </cell>
        </row>
        <row r="11232">
          <cell r="L11232" t="str">
            <v>Non-proportional</v>
          </cell>
          <cell r="S11232">
            <v>244.75</v>
          </cell>
          <cell r="X11232" t="str">
            <v>Commissions - gross</v>
          </cell>
          <cell r="Y11232" t="str">
            <v>CHILE</v>
          </cell>
        </row>
        <row r="11233">
          <cell r="L11233" t="str">
            <v>Non-proportional</v>
          </cell>
          <cell r="S11233">
            <v>122.9</v>
          </cell>
          <cell r="X11233" t="str">
            <v>Commissions - gross</v>
          </cell>
          <cell r="Y11233" t="str">
            <v>PERU</v>
          </cell>
        </row>
        <row r="11234">
          <cell r="L11234" t="str">
            <v>Non-proportional</v>
          </cell>
          <cell r="S11234">
            <v>1262.51</v>
          </cell>
          <cell r="X11234" t="str">
            <v>Commissions - gross</v>
          </cell>
          <cell r="Y11234" t="str">
            <v>BELGIUM</v>
          </cell>
        </row>
        <row r="11235">
          <cell r="L11235" t="str">
            <v>Proportional</v>
          </cell>
          <cell r="S11235">
            <v>12.48</v>
          </cell>
          <cell r="X11235" t="str">
            <v>Commissions - gross</v>
          </cell>
          <cell r="Y11235" t="str">
            <v>UNITED STATES</v>
          </cell>
        </row>
        <row r="11236">
          <cell r="L11236" t="str">
            <v>Non-proportional</v>
          </cell>
          <cell r="S11236">
            <v>863.08</v>
          </cell>
          <cell r="X11236" t="str">
            <v>Commissions - gross</v>
          </cell>
          <cell r="Y11236" t="str">
            <v>PUERTO RICO</v>
          </cell>
        </row>
        <row r="11237">
          <cell r="L11237" t="str">
            <v>Proportional</v>
          </cell>
          <cell r="S11237">
            <v>37.56</v>
          </cell>
          <cell r="X11237" t="str">
            <v>Commissions - gross</v>
          </cell>
          <cell r="Y11237" t="str">
            <v>UNITED STATES</v>
          </cell>
        </row>
        <row r="11238">
          <cell r="L11238" t="str">
            <v>Non-proportional</v>
          </cell>
          <cell r="S11238">
            <v>14.63</v>
          </cell>
          <cell r="X11238" t="str">
            <v>Commissions - gross</v>
          </cell>
          <cell r="Y11238" t="str">
            <v>FRANCE</v>
          </cell>
        </row>
        <row r="11239">
          <cell r="L11239" t="str">
            <v>Proportional</v>
          </cell>
          <cell r="S11239">
            <v>20.57</v>
          </cell>
          <cell r="X11239" t="str">
            <v>Commissions - gross</v>
          </cell>
          <cell r="Y11239" t="str">
            <v>UNITED STATES</v>
          </cell>
        </row>
        <row r="11240">
          <cell r="L11240" t="str">
            <v>Non-proportional</v>
          </cell>
          <cell r="S11240">
            <v>743.75</v>
          </cell>
          <cell r="X11240" t="str">
            <v>Commissions - gross</v>
          </cell>
          <cell r="Y11240" t="str">
            <v>ITALY</v>
          </cell>
        </row>
        <row r="11241">
          <cell r="L11241" t="str">
            <v>Non-proportional</v>
          </cell>
          <cell r="S11241">
            <v>1178.52</v>
          </cell>
          <cell r="X11241" t="str">
            <v>Commissions - gross</v>
          </cell>
          <cell r="Y11241" t="str">
            <v>AUSTRALIA</v>
          </cell>
        </row>
        <row r="11242">
          <cell r="L11242" t="str">
            <v>Non-proportional</v>
          </cell>
          <cell r="S11242">
            <v>-22.89</v>
          </cell>
          <cell r="X11242" t="str">
            <v>Commissions - gross</v>
          </cell>
          <cell r="Y11242" t="str">
            <v>SOUTH KOREA</v>
          </cell>
        </row>
        <row r="11243">
          <cell r="L11243" t="str">
            <v>Non-proportional</v>
          </cell>
          <cell r="S11243">
            <v>-9.02</v>
          </cell>
          <cell r="X11243" t="str">
            <v>Commissions - gross</v>
          </cell>
          <cell r="Y11243" t="str">
            <v>JAPAN</v>
          </cell>
        </row>
        <row r="11244">
          <cell r="L11244" t="str">
            <v>Non-proportional</v>
          </cell>
          <cell r="S11244">
            <v>3377.83</v>
          </cell>
          <cell r="X11244" t="str">
            <v>Commissions - gross</v>
          </cell>
          <cell r="Y11244" t="str">
            <v>UNITED STATES</v>
          </cell>
        </row>
        <row r="11245">
          <cell r="L11245" t="str">
            <v>Non-proportional</v>
          </cell>
          <cell r="S11245">
            <v>88.44</v>
          </cell>
          <cell r="X11245" t="str">
            <v>Commissions - gross</v>
          </cell>
          <cell r="Y11245" t="str">
            <v>FRANCE</v>
          </cell>
        </row>
        <row r="11246">
          <cell r="L11246" t="str">
            <v>Non-proportional</v>
          </cell>
          <cell r="S11246">
            <v>454.19</v>
          </cell>
          <cell r="X11246" t="str">
            <v>Commissions - gross</v>
          </cell>
          <cell r="Y11246" t="str">
            <v>TURKEY</v>
          </cell>
        </row>
        <row r="11247">
          <cell r="L11247" t="str">
            <v>Non-proportional</v>
          </cell>
          <cell r="S11247">
            <v>314.33</v>
          </cell>
          <cell r="X11247" t="str">
            <v>Commissions - gross</v>
          </cell>
          <cell r="Y11247" t="str">
            <v>GERMANY</v>
          </cell>
        </row>
        <row r="11248">
          <cell r="L11248" t="str">
            <v>Proportional</v>
          </cell>
          <cell r="S11248">
            <v>314.68</v>
          </cell>
          <cell r="X11248" t="str">
            <v>Commissions - gross</v>
          </cell>
          <cell r="Y11248" t="str">
            <v>CHILE</v>
          </cell>
        </row>
        <row r="11249">
          <cell r="L11249" t="str">
            <v>Non-proportional</v>
          </cell>
          <cell r="S11249">
            <v>-1.42</v>
          </cell>
          <cell r="X11249" t="str">
            <v>Commissions - gross</v>
          </cell>
          <cell r="Y11249" t="str">
            <v>JAPAN</v>
          </cell>
        </row>
        <row r="11250">
          <cell r="L11250" t="str">
            <v>Non-proportional</v>
          </cell>
          <cell r="S11250">
            <v>0</v>
          </cell>
          <cell r="X11250" t="str">
            <v>Commissions - gross</v>
          </cell>
          <cell r="Y11250" t="str">
            <v>DOMINICAN REPUBLIC</v>
          </cell>
        </row>
        <row r="11251">
          <cell r="L11251" t="str">
            <v>Non-proportional</v>
          </cell>
          <cell r="S11251">
            <v>-7.25</v>
          </cell>
          <cell r="X11251" t="str">
            <v>Commissions - gross</v>
          </cell>
          <cell r="Y11251" t="str">
            <v>DOMINICAN REPUBLIC</v>
          </cell>
        </row>
        <row r="11252">
          <cell r="L11252" t="str">
            <v>Non-proportional</v>
          </cell>
          <cell r="S11252">
            <v>89.89</v>
          </cell>
          <cell r="X11252" t="str">
            <v>Commissions - gross</v>
          </cell>
          <cell r="Y11252" t="str">
            <v>FRANCE</v>
          </cell>
        </row>
        <row r="11253">
          <cell r="L11253" t="str">
            <v>Non-proportional</v>
          </cell>
          <cell r="S11253">
            <v>184.69</v>
          </cell>
          <cell r="X11253" t="str">
            <v>Commissions - gross</v>
          </cell>
          <cell r="Y11253" t="str">
            <v>FRANCE</v>
          </cell>
        </row>
        <row r="11254">
          <cell r="L11254" t="str">
            <v>Non-proportional</v>
          </cell>
          <cell r="S11254">
            <v>899.64</v>
          </cell>
          <cell r="X11254" t="str">
            <v>Commissions - gross</v>
          </cell>
          <cell r="Y11254" t="str">
            <v>NEW ZEALAND</v>
          </cell>
        </row>
        <row r="11255">
          <cell r="L11255" t="str">
            <v>Non-proportional</v>
          </cell>
          <cell r="S11255">
            <v>63.85</v>
          </cell>
          <cell r="X11255" t="str">
            <v>Commissions - gross</v>
          </cell>
          <cell r="Y11255" t="str">
            <v>MALTA</v>
          </cell>
        </row>
        <row r="11256">
          <cell r="L11256" t="str">
            <v>Non-proportional</v>
          </cell>
          <cell r="S11256">
            <v>69.930000000000007</v>
          </cell>
          <cell r="X11256" t="str">
            <v>Commissions - gross</v>
          </cell>
          <cell r="Y11256" t="str">
            <v>CHILE</v>
          </cell>
        </row>
        <row r="11257">
          <cell r="L11257" t="str">
            <v>Non-proportional</v>
          </cell>
          <cell r="S11257">
            <v>-6.57</v>
          </cell>
          <cell r="X11257" t="str">
            <v>Commissions - gross</v>
          </cell>
          <cell r="Y11257" t="str">
            <v>JAPAN</v>
          </cell>
        </row>
        <row r="11258">
          <cell r="L11258" t="str">
            <v>Non-proportional</v>
          </cell>
          <cell r="S11258">
            <v>1509.38</v>
          </cell>
          <cell r="X11258" t="str">
            <v>Commissions - gross</v>
          </cell>
          <cell r="Y11258" t="str">
            <v>BELGIUM</v>
          </cell>
        </row>
        <row r="11259">
          <cell r="L11259" t="str">
            <v>Non-proportional</v>
          </cell>
          <cell r="S11259">
            <v>1421.72</v>
          </cell>
          <cell r="X11259" t="str">
            <v>Commissions - gross</v>
          </cell>
          <cell r="Y11259" t="str">
            <v>AUSTRALIA</v>
          </cell>
        </row>
        <row r="11260">
          <cell r="L11260" t="str">
            <v>Non-proportional</v>
          </cell>
          <cell r="S11260">
            <v>358.46</v>
          </cell>
          <cell r="X11260" t="str">
            <v>Commissions - gross</v>
          </cell>
          <cell r="Y11260" t="str">
            <v>ISRAEL</v>
          </cell>
        </row>
        <row r="11261">
          <cell r="L11261" t="str">
            <v>Non-proportional</v>
          </cell>
          <cell r="S11261">
            <v>317.32</v>
          </cell>
          <cell r="X11261" t="str">
            <v>Commissions - gross</v>
          </cell>
          <cell r="Y11261" t="str">
            <v>UNITED KINGDOM</v>
          </cell>
        </row>
        <row r="11262">
          <cell r="L11262" t="str">
            <v>Non-proportional</v>
          </cell>
          <cell r="S11262">
            <v>162.56</v>
          </cell>
          <cell r="X11262" t="str">
            <v>Commissions - gross</v>
          </cell>
          <cell r="Y11262" t="str">
            <v>JAPAN</v>
          </cell>
        </row>
        <row r="11263">
          <cell r="L11263" t="str">
            <v>Non-proportional</v>
          </cell>
          <cell r="S11263">
            <v>5648.66</v>
          </cell>
          <cell r="X11263" t="str">
            <v>Commissions - gross</v>
          </cell>
          <cell r="Y11263" t="str">
            <v>UNITED KINGDOM</v>
          </cell>
        </row>
        <row r="11264">
          <cell r="L11264" t="str">
            <v>Non-proportional</v>
          </cell>
          <cell r="S11264">
            <v>203.98</v>
          </cell>
          <cell r="X11264" t="str">
            <v>Commissions - gross</v>
          </cell>
          <cell r="Y11264" t="str">
            <v>UNITED KINGDOM</v>
          </cell>
        </row>
        <row r="11265">
          <cell r="L11265" t="str">
            <v>Non-proportional</v>
          </cell>
          <cell r="S11265">
            <v>1204.23</v>
          </cell>
          <cell r="X11265" t="str">
            <v>Commissions - gross</v>
          </cell>
          <cell r="Y11265" t="str">
            <v>COSTA RICA</v>
          </cell>
        </row>
        <row r="11266">
          <cell r="L11266" t="str">
            <v>Proportional</v>
          </cell>
          <cell r="S11266">
            <v>5.3</v>
          </cell>
          <cell r="X11266" t="str">
            <v>Commissions - gross</v>
          </cell>
          <cell r="Y11266" t="str">
            <v>UNITED STATES</v>
          </cell>
        </row>
        <row r="11267">
          <cell r="L11267" t="str">
            <v>Non-proportional</v>
          </cell>
          <cell r="S11267">
            <v>666.65</v>
          </cell>
          <cell r="X11267" t="str">
            <v>Commissions - gross</v>
          </cell>
          <cell r="Y11267" t="str">
            <v>ITALY</v>
          </cell>
        </row>
        <row r="11268">
          <cell r="L11268" t="str">
            <v>Non-proportional</v>
          </cell>
          <cell r="S11268">
            <v>13837.34</v>
          </cell>
          <cell r="X11268" t="str">
            <v>Commissions - gross</v>
          </cell>
          <cell r="Y11268" t="str">
            <v>UNITED KINGDOM</v>
          </cell>
        </row>
        <row r="11269">
          <cell r="L11269" t="str">
            <v>Non-proportional</v>
          </cell>
          <cell r="S11269">
            <v>280.52</v>
          </cell>
          <cell r="X11269" t="str">
            <v>Commissions - gross</v>
          </cell>
          <cell r="Y11269" t="str">
            <v>REPUBLIC OF IRELAND</v>
          </cell>
        </row>
        <row r="11270">
          <cell r="L11270" t="str">
            <v>Non-proportional</v>
          </cell>
          <cell r="S11270">
            <v>0</v>
          </cell>
          <cell r="X11270" t="str">
            <v>Commissions - gross</v>
          </cell>
          <cell r="Y11270" t="str">
            <v>DOMINICAN REPUBLIC</v>
          </cell>
        </row>
        <row r="11271">
          <cell r="L11271" t="str">
            <v>Proportional</v>
          </cell>
          <cell r="S11271">
            <v>465.82</v>
          </cell>
          <cell r="X11271" t="str">
            <v>Commissions - gross</v>
          </cell>
          <cell r="Y11271" t="str">
            <v>JAPAN</v>
          </cell>
        </row>
        <row r="11272">
          <cell r="L11272" t="str">
            <v>Non-proportional</v>
          </cell>
          <cell r="S11272">
            <v>983.28</v>
          </cell>
          <cell r="X11272" t="str">
            <v>Commissions - gross</v>
          </cell>
          <cell r="Y11272" t="str">
            <v>FRANCE</v>
          </cell>
        </row>
        <row r="11273">
          <cell r="L11273" t="str">
            <v>Non-proportional</v>
          </cell>
          <cell r="S11273">
            <v>620.12</v>
          </cell>
          <cell r="X11273" t="str">
            <v>Commissions - gross</v>
          </cell>
          <cell r="Y11273" t="str">
            <v>THAILAND</v>
          </cell>
        </row>
        <row r="11274">
          <cell r="L11274" t="str">
            <v>Non-proportional</v>
          </cell>
          <cell r="S11274">
            <v>281.39</v>
          </cell>
          <cell r="X11274" t="str">
            <v>Commissions - gross</v>
          </cell>
          <cell r="Y11274" t="str">
            <v>JAPAN</v>
          </cell>
        </row>
        <row r="11275">
          <cell r="L11275" t="str">
            <v>Proportional</v>
          </cell>
          <cell r="S11275">
            <v>342.82</v>
          </cell>
          <cell r="X11275" t="str">
            <v>Commissions - gross</v>
          </cell>
          <cell r="Y11275" t="str">
            <v>JAPAN</v>
          </cell>
        </row>
        <row r="11276">
          <cell r="L11276" t="str">
            <v>Non-proportional</v>
          </cell>
          <cell r="S11276">
            <v>300.8</v>
          </cell>
          <cell r="X11276" t="str">
            <v>Commissions - gross</v>
          </cell>
          <cell r="Y11276" t="str">
            <v>ISRAEL</v>
          </cell>
        </row>
        <row r="11277">
          <cell r="L11277" t="str">
            <v>Non-proportional</v>
          </cell>
          <cell r="S11277">
            <v>321.48</v>
          </cell>
          <cell r="X11277" t="str">
            <v>Commissions - gross</v>
          </cell>
          <cell r="Y11277" t="str">
            <v>ISRAEL</v>
          </cell>
        </row>
        <row r="11278">
          <cell r="L11278" t="str">
            <v>Non-proportional</v>
          </cell>
          <cell r="S11278">
            <v>-6.55</v>
          </cell>
          <cell r="X11278" t="str">
            <v>Commissions - gross</v>
          </cell>
          <cell r="Y11278" t="str">
            <v>CANADA</v>
          </cell>
        </row>
        <row r="11279">
          <cell r="L11279" t="str">
            <v>Non-proportional</v>
          </cell>
          <cell r="S11279">
            <v>284.08</v>
          </cell>
          <cell r="X11279" t="str">
            <v>Commissions - gross</v>
          </cell>
          <cell r="Y11279" t="str">
            <v>EUROPE</v>
          </cell>
        </row>
        <row r="11280">
          <cell r="L11280" t="str">
            <v>Non-proportional</v>
          </cell>
          <cell r="S11280">
            <v>0</v>
          </cell>
          <cell r="X11280" t="str">
            <v>Commissions - gross</v>
          </cell>
          <cell r="Y11280" t="str">
            <v>DOMINICAN REPUBLIC</v>
          </cell>
        </row>
        <row r="11281">
          <cell r="L11281" t="str">
            <v>Non-proportional</v>
          </cell>
          <cell r="S11281">
            <v>-0.11</v>
          </cell>
          <cell r="X11281" t="str">
            <v>Commissions - gross</v>
          </cell>
          <cell r="Y11281" t="str">
            <v>GUATEMALA</v>
          </cell>
        </row>
        <row r="11282">
          <cell r="L11282" t="str">
            <v>Non-proportional</v>
          </cell>
          <cell r="S11282">
            <v>4686.47</v>
          </cell>
          <cell r="X11282" t="str">
            <v>Commissions - gross</v>
          </cell>
          <cell r="Y11282" t="str">
            <v>FRANCE</v>
          </cell>
        </row>
        <row r="11283">
          <cell r="L11283" t="str">
            <v>Non-proportional</v>
          </cell>
          <cell r="S11283">
            <v>3269.68</v>
          </cell>
          <cell r="X11283" t="str">
            <v>Commissions - gross</v>
          </cell>
          <cell r="Y11283" t="str">
            <v>NEW ZEALAND</v>
          </cell>
        </row>
        <row r="11284">
          <cell r="L11284" t="str">
            <v>Non-proportional</v>
          </cell>
          <cell r="S11284">
            <v>760.92</v>
          </cell>
          <cell r="X11284" t="str">
            <v>Commissions - gross</v>
          </cell>
          <cell r="Y11284" t="str">
            <v>NEW ZEALAND</v>
          </cell>
        </row>
        <row r="11285">
          <cell r="L11285" t="str">
            <v>Proportional</v>
          </cell>
          <cell r="S11285">
            <v>34.96</v>
          </cell>
          <cell r="X11285" t="str">
            <v>Commissions - gross</v>
          </cell>
          <cell r="Y11285" t="str">
            <v>CHILE</v>
          </cell>
        </row>
        <row r="11286">
          <cell r="L11286" t="str">
            <v>Non-proportional</v>
          </cell>
          <cell r="S11286">
            <v>-594.67999999999995</v>
          </cell>
          <cell r="X11286" t="str">
            <v>Commissions - gross</v>
          </cell>
          <cell r="Y11286" t="str">
            <v>DOMINICAN REPUBLIC</v>
          </cell>
        </row>
        <row r="11287">
          <cell r="L11287" t="str">
            <v>Non-proportional</v>
          </cell>
          <cell r="S11287">
            <v>14.55</v>
          </cell>
          <cell r="X11287" t="str">
            <v>Commissions - gross</v>
          </cell>
          <cell r="Y11287" t="str">
            <v>ISRAEL</v>
          </cell>
        </row>
        <row r="11288">
          <cell r="L11288" t="str">
            <v>Non-proportional</v>
          </cell>
          <cell r="S11288">
            <v>293.83999999999997</v>
          </cell>
          <cell r="X11288" t="str">
            <v>Commissions - gross</v>
          </cell>
          <cell r="Y11288" t="str">
            <v>ISRAEL</v>
          </cell>
        </row>
        <row r="11289">
          <cell r="L11289" t="str">
            <v>Non-proportional</v>
          </cell>
          <cell r="S11289">
            <v>74.040000000000006</v>
          </cell>
          <cell r="X11289" t="str">
            <v>Commissions - gross</v>
          </cell>
          <cell r="Y11289" t="str">
            <v>FRANCE</v>
          </cell>
        </row>
        <row r="11290">
          <cell r="L11290" t="str">
            <v>Non-proportional</v>
          </cell>
          <cell r="S11290">
            <v>1265.96</v>
          </cell>
          <cell r="X11290" t="str">
            <v>Commissions - gross</v>
          </cell>
          <cell r="Y11290" t="str">
            <v>ITALY</v>
          </cell>
        </row>
        <row r="11291">
          <cell r="L11291" t="str">
            <v>Non-proportional</v>
          </cell>
          <cell r="S11291">
            <v>279.19</v>
          </cell>
          <cell r="X11291" t="str">
            <v>Commissions - gross</v>
          </cell>
          <cell r="Y11291" t="str">
            <v>JAPAN</v>
          </cell>
        </row>
        <row r="11292">
          <cell r="L11292" t="str">
            <v>Non-proportional</v>
          </cell>
          <cell r="S11292">
            <v>2433.7399999999998</v>
          </cell>
          <cell r="X11292" t="str">
            <v>Commissions - gross</v>
          </cell>
          <cell r="Y11292" t="str">
            <v>TURKEY</v>
          </cell>
        </row>
        <row r="11293">
          <cell r="L11293" t="str">
            <v>Proportional</v>
          </cell>
          <cell r="S11293">
            <v>4.84</v>
          </cell>
          <cell r="X11293" t="str">
            <v>Commissions - gross</v>
          </cell>
          <cell r="Y11293" t="str">
            <v>FRANCE</v>
          </cell>
        </row>
        <row r="11294">
          <cell r="L11294" t="str">
            <v>Non-proportional</v>
          </cell>
          <cell r="S11294">
            <v>174.99</v>
          </cell>
          <cell r="X11294" t="str">
            <v>Commissions - gross</v>
          </cell>
          <cell r="Y11294" t="str">
            <v>EUROPE</v>
          </cell>
        </row>
        <row r="11295">
          <cell r="L11295" t="str">
            <v>Non-proportional</v>
          </cell>
          <cell r="S11295">
            <v>25110.04</v>
          </cell>
          <cell r="X11295" t="str">
            <v>Commissions - gross</v>
          </cell>
          <cell r="Y11295" t="str">
            <v>UNITED KINGDOM</v>
          </cell>
        </row>
        <row r="11296">
          <cell r="L11296" t="str">
            <v>Non-proportional</v>
          </cell>
          <cell r="S11296">
            <v>310.10000000000002</v>
          </cell>
          <cell r="X11296" t="str">
            <v>Commissions - gross</v>
          </cell>
          <cell r="Y11296" t="str">
            <v>UNITED KINGDOM</v>
          </cell>
        </row>
        <row r="11297">
          <cell r="L11297" t="str">
            <v>Non-proportional</v>
          </cell>
          <cell r="S11297">
            <v>957.36</v>
          </cell>
          <cell r="X11297" t="str">
            <v>Commissions - gross</v>
          </cell>
          <cell r="Y11297" t="str">
            <v>PERU</v>
          </cell>
        </row>
        <row r="11298">
          <cell r="L11298" t="str">
            <v>Non-proportional</v>
          </cell>
          <cell r="S11298">
            <v>169.57</v>
          </cell>
          <cell r="X11298" t="str">
            <v>Commissions - gross</v>
          </cell>
          <cell r="Y11298" t="str">
            <v>COSTA RICA</v>
          </cell>
        </row>
        <row r="11299">
          <cell r="L11299" t="str">
            <v>Non-proportional</v>
          </cell>
          <cell r="S11299">
            <v>123.9</v>
          </cell>
          <cell r="X11299" t="str">
            <v>Commissions - gross</v>
          </cell>
          <cell r="Y11299" t="str">
            <v>JAPAN</v>
          </cell>
        </row>
        <row r="11300">
          <cell r="L11300" t="str">
            <v>Non-proportional</v>
          </cell>
          <cell r="S11300">
            <v>106.46</v>
          </cell>
          <cell r="X11300" t="str">
            <v>Commissions - gross</v>
          </cell>
          <cell r="Y11300" t="str">
            <v>JAPAN</v>
          </cell>
        </row>
        <row r="11301">
          <cell r="L11301" t="str">
            <v>Non-proportional</v>
          </cell>
          <cell r="S11301">
            <v>343.12</v>
          </cell>
          <cell r="X11301" t="str">
            <v>Commissions - gross</v>
          </cell>
          <cell r="Y11301" t="str">
            <v>AUSTRALIA</v>
          </cell>
        </row>
        <row r="11302">
          <cell r="L11302" t="str">
            <v>Non-proportional</v>
          </cell>
          <cell r="S11302">
            <v>140.63</v>
          </cell>
          <cell r="X11302" t="str">
            <v>Commissions - gross</v>
          </cell>
          <cell r="Y11302" t="str">
            <v>GREECE</v>
          </cell>
        </row>
        <row r="11303">
          <cell r="L11303" t="str">
            <v>Non-proportional</v>
          </cell>
          <cell r="S11303">
            <v>644.55999999999995</v>
          </cell>
          <cell r="X11303" t="str">
            <v>Commissions - gross</v>
          </cell>
          <cell r="Y11303" t="str">
            <v>ISRAEL</v>
          </cell>
        </row>
        <row r="11304">
          <cell r="L11304" t="str">
            <v>Non-proportional</v>
          </cell>
          <cell r="S11304">
            <v>400.3</v>
          </cell>
          <cell r="X11304" t="str">
            <v>Commissions - gross</v>
          </cell>
          <cell r="Y11304" t="str">
            <v>UNITED KINGDOM</v>
          </cell>
        </row>
        <row r="11305">
          <cell r="L11305" t="str">
            <v>Non-proportional</v>
          </cell>
          <cell r="S11305">
            <v>1369.24</v>
          </cell>
          <cell r="X11305" t="str">
            <v>Commissions - gross</v>
          </cell>
          <cell r="Y11305" t="str">
            <v>UNITED KINGDOM</v>
          </cell>
        </row>
        <row r="11306">
          <cell r="L11306" t="str">
            <v>Non-proportional</v>
          </cell>
          <cell r="S11306">
            <v>390.08</v>
          </cell>
          <cell r="X11306" t="str">
            <v>Commissions - gross</v>
          </cell>
          <cell r="Y11306" t="str">
            <v>EUROPE</v>
          </cell>
        </row>
        <row r="11307">
          <cell r="L11307" t="str">
            <v>Proportional</v>
          </cell>
          <cell r="S11307">
            <v>650.04</v>
          </cell>
          <cell r="X11307" t="str">
            <v>Commissions - gross</v>
          </cell>
          <cell r="Y11307" t="str">
            <v>ITALY</v>
          </cell>
        </row>
        <row r="11308">
          <cell r="L11308" t="str">
            <v>Non-proportional</v>
          </cell>
          <cell r="S11308">
            <v>438.96</v>
          </cell>
          <cell r="X11308" t="str">
            <v>Commissions - gross</v>
          </cell>
          <cell r="Y11308" t="str">
            <v>ITALY</v>
          </cell>
        </row>
        <row r="11309">
          <cell r="L11309" t="str">
            <v>Non-proportional</v>
          </cell>
          <cell r="S11309">
            <v>323.44</v>
          </cell>
          <cell r="X11309" t="str">
            <v>Commissions - gross</v>
          </cell>
          <cell r="Y11309" t="str">
            <v>ECUADOR</v>
          </cell>
        </row>
        <row r="11310">
          <cell r="L11310" t="str">
            <v>Proportional</v>
          </cell>
          <cell r="S11310">
            <v>1334.17</v>
          </cell>
          <cell r="X11310" t="str">
            <v>Commissions - gross</v>
          </cell>
          <cell r="Y11310" t="str">
            <v>SWITZERLAND</v>
          </cell>
        </row>
        <row r="11311">
          <cell r="L11311" t="str">
            <v>Non-proportional</v>
          </cell>
          <cell r="S11311">
            <v>293.70999999999998</v>
          </cell>
          <cell r="X11311" t="str">
            <v>Commissions - gross</v>
          </cell>
          <cell r="Y11311" t="str">
            <v>NETHERLANDS</v>
          </cell>
        </row>
        <row r="11312">
          <cell r="L11312" t="str">
            <v>Non-proportional</v>
          </cell>
          <cell r="S11312">
            <v>4472.38</v>
          </cell>
          <cell r="X11312" t="str">
            <v>Commissions - gross</v>
          </cell>
          <cell r="Y11312" t="str">
            <v>UNITED KINGDOM</v>
          </cell>
        </row>
        <row r="11313">
          <cell r="L11313" t="str">
            <v>Non-proportional</v>
          </cell>
          <cell r="S11313">
            <v>390.62</v>
          </cell>
          <cell r="X11313" t="str">
            <v>Commissions - gross</v>
          </cell>
          <cell r="Y11313" t="str">
            <v>EUROPE</v>
          </cell>
        </row>
        <row r="11314">
          <cell r="L11314" t="str">
            <v>Non-proportional</v>
          </cell>
          <cell r="S11314">
            <v>204.38</v>
          </cell>
          <cell r="X11314" t="str">
            <v>Commissions - gross</v>
          </cell>
          <cell r="Y11314" t="str">
            <v>GREECE</v>
          </cell>
        </row>
        <row r="11315">
          <cell r="L11315" t="str">
            <v>Non-proportional</v>
          </cell>
          <cell r="S11315">
            <v>217.98</v>
          </cell>
          <cell r="X11315" t="str">
            <v>Commissions - gross</v>
          </cell>
          <cell r="Y11315" t="str">
            <v>FRANCE</v>
          </cell>
        </row>
        <row r="11316">
          <cell r="L11316" t="str">
            <v>Non-proportional</v>
          </cell>
          <cell r="S11316">
            <v>6.27</v>
          </cell>
          <cell r="X11316" t="str">
            <v>Commissions - gross</v>
          </cell>
          <cell r="Y11316" t="str">
            <v>ISRAEL</v>
          </cell>
        </row>
        <row r="11317">
          <cell r="L11317" t="str">
            <v>Non-proportional</v>
          </cell>
          <cell r="S11317">
            <v>159.81</v>
          </cell>
          <cell r="X11317" t="str">
            <v>Commissions - gross</v>
          </cell>
          <cell r="Y11317" t="str">
            <v>ECUADOR</v>
          </cell>
        </row>
        <row r="11318">
          <cell r="L11318" t="str">
            <v>Non-proportional</v>
          </cell>
          <cell r="S11318">
            <v>1189.93</v>
          </cell>
          <cell r="X11318" t="str">
            <v>Commissions - gross</v>
          </cell>
          <cell r="Y11318" t="str">
            <v>COLOMBIA</v>
          </cell>
        </row>
        <row r="11319">
          <cell r="L11319" t="str">
            <v>Non-proportional</v>
          </cell>
          <cell r="S11319">
            <v>-4.8499999999999996</v>
          </cell>
          <cell r="X11319" t="str">
            <v>Commissions - gross</v>
          </cell>
          <cell r="Y11319" t="str">
            <v>DOMINICAN REPUBLIC</v>
          </cell>
        </row>
        <row r="11320">
          <cell r="L11320" t="str">
            <v>Non-proportional</v>
          </cell>
          <cell r="S11320">
            <v>289.26</v>
          </cell>
          <cell r="X11320" t="str">
            <v>Commissions - gross</v>
          </cell>
          <cell r="Y11320" t="str">
            <v>ISRAEL</v>
          </cell>
        </row>
        <row r="11321">
          <cell r="L11321" t="str">
            <v>Non-proportional</v>
          </cell>
          <cell r="S11321">
            <v>3164.03</v>
          </cell>
          <cell r="X11321" t="str">
            <v>Commissions - gross</v>
          </cell>
          <cell r="Y11321" t="str">
            <v>HONG KONG</v>
          </cell>
        </row>
        <row r="11322">
          <cell r="L11322" t="str">
            <v>Non-proportional</v>
          </cell>
          <cell r="S11322">
            <v>1684.99</v>
          </cell>
          <cell r="X11322" t="str">
            <v>Commissions - gross</v>
          </cell>
          <cell r="Y11322" t="str">
            <v>UNITED KINGDOM</v>
          </cell>
        </row>
        <row r="11323">
          <cell r="L11323" t="str">
            <v>Non-proportional</v>
          </cell>
          <cell r="S11323">
            <v>225.42</v>
          </cell>
          <cell r="X11323" t="str">
            <v>Commissions - gross</v>
          </cell>
          <cell r="Y11323" t="str">
            <v>UNITED KINGDOM</v>
          </cell>
        </row>
        <row r="11324">
          <cell r="L11324" t="str">
            <v>Proportional</v>
          </cell>
          <cell r="S11324">
            <v>77.22</v>
          </cell>
          <cell r="X11324" t="str">
            <v>Commissions - gross</v>
          </cell>
          <cell r="Y11324" t="str">
            <v>PERU</v>
          </cell>
        </row>
        <row r="11325">
          <cell r="L11325" t="str">
            <v>Non-proportional</v>
          </cell>
          <cell r="S11325">
            <v>958.33</v>
          </cell>
          <cell r="X11325" t="str">
            <v>Commissions - gross</v>
          </cell>
          <cell r="Y11325" t="str">
            <v>MEXICO</v>
          </cell>
        </row>
        <row r="11326">
          <cell r="L11326" t="str">
            <v>Non-proportional</v>
          </cell>
          <cell r="S11326">
            <v>4575.8500000000004</v>
          </cell>
          <cell r="X11326" t="str">
            <v>Commissions - gross</v>
          </cell>
          <cell r="Y11326" t="str">
            <v>TURKEY</v>
          </cell>
        </row>
        <row r="11327">
          <cell r="L11327" t="str">
            <v>Non-proportional</v>
          </cell>
          <cell r="S11327">
            <v>364.51</v>
          </cell>
          <cell r="X11327" t="str">
            <v>Commissions - gross</v>
          </cell>
          <cell r="Y11327" t="str">
            <v>NEW ZEALAND</v>
          </cell>
        </row>
        <row r="11328">
          <cell r="L11328" t="str">
            <v>Non-proportional</v>
          </cell>
          <cell r="S11328">
            <v>-0.62</v>
          </cell>
          <cell r="X11328" t="str">
            <v>Commissions - gross</v>
          </cell>
          <cell r="Y11328" t="str">
            <v>JAPAN</v>
          </cell>
        </row>
        <row r="11329">
          <cell r="L11329" t="str">
            <v>Non-proportional</v>
          </cell>
          <cell r="S11329">
            <v>158.6</v>
          </cell>
          <cell r="X11329" t="str">
            <v>Commissions - gross</v>
          </cell>
          <cell r="Y11329" t="str">
            <v>JAPAN</v>
          </cell>
        </row>
        <row r="11330">
          <cell r="L11330" t="str">
            <v>Non-proportional</v>
          </cell>
          <cell r="S11330">
            <v>-4.26</v>
          </cell>
          <cell r="X11330" t="str">
            <v>Commissions - gross</v>
          </cell>
          <cell r="Y11330" t="str">
            <v>DOMINICAN REPUBLIC</v>
          </cell>
        </row>
        <row r="11331">
          <cell r="L11331" t="str">
            <v>Non-proportional</v>
          </cell>
          <cell r="S11331">
            <v>0</v>
          </cell>
          <cell r="X11331" t="str">
            <v>Commissions - gross</v>
          </cell>
          <cell r="Y11331" t="str">
            <v>COLOMBIA</v>
          </cell>
        </row>
        <row r="11332">
          <cell r="L11332" t="str">
            <v>Proportional</v>
          </cell>
          <cell r="S11332">
            <v>-165.09</v>
          </cell>
          <cell r="X11332" t="str">
            <v>Commissions - gross</v>
          </cell>
          <cell r="Y11332" t="str">
            <v>CHILE</v>
          </cell>
        </row>
        <row r="11333">
          <cell r="L11333" t="str">
            <v>Non-proportional</v>
          </cell>
          <cell r="S11333">
            <v>132.58000000000001</v>
          </cell>
          <cell r="X11333" t="str">
            <v>Commissions - gross</v>
          </cell>
          <cell r="Y11333" t="str">
            <v>ISRAEL</v>
          </cell>
        </row>
        <row r="11334">
          <cell r="L11334" t="str">
            <v>Non-proportional</v>
          </cell>
          <cell r="S11334">
            <v>5.91</v>
          </cell>
          <cell r="X11334" t="str">
            <v>Commissions - gross</v>
          </cell>
          <cell r="Y11334" t="str">
            <v>BRAZIL</v>
          </cell>
        </row>
        <row r="11335">
          <cell r="L11335" t="str">
            <v>Non-proportional</v>
          </cell>
          <cell r="S11335">
            <v>69.930000000000007</v>
          </cell>
          <cell r="X11335" t="str">
            <v>Commissions - gross</v>
          </cell>
          <cell r="Y11335" t="str">
            <v>CHILE</v>
          </cell>
        </row>
        <row r="11336">
          <cell r="L11336" t="str">
            <v>Non-proportional</v>
          </cell>
          <cell r="S11336">
            <v>249.42</v>
          </cell>
          <cell r="X11336" t="str">
            <v>Commissions - gross</v>
          </cell>
          <cell r="Y11336" t="str">
            <v>THAILAND</v>
          </cell>
        </row>
        <row r="11337">
          <cell r="L11337" t="str">
            <v>Non-proportional</v>
          </cell>
          <cell r="S11337">
            <v>527.89</v>
          </cell>
          <cell r="X11337" t="str">
            <v>Commissions - gross</v>
          </cell>
          <cell r="Y11337" t="str">
            <v>AUSTRALIA</v>
          </cell>
        </row>
        <row r="11338">
          <cell r="L11338" t="str">
            <v>Proportional</v>
          </cell>
          <cell r="S11338">
            <v>59.76</v>
          </cell>
          <cell r="X11338" t="str">
            <v>Commissions - gross</v>
          </cell>
          <cell r="Y11338" t="str">
            <v>UNITED STATES</v>
          </cell>
        </row>
        <row r="11339">
          <cell r="L11339" t="str">
            <v>Non-proportional</v>
          </cell>
          <cell r="S11339">
            <v>-0.01</v>
          </cell>
          <cell r="X11339" t="str">
            <v>Commissions - gross</v>
          </cell>
          <cell r="Y11339" t="str">
            <v>COLOMBIA</v>
          </cell>
        </row>
        <row r="11340">
          <cell r="L11340" t="str">
            <v>Non-proportional</v>
          </cell>
          <cell r="S11340">
            <v>450.98</v>
          </cell>
          <cell r="X11340" t="str">
            <v>Commissions - gross</v>
          </cell>
          <cell r="Y11340" t="str">
            <v>FRANCE</v>
          </cell>
        </row>
        <row r="11341">
          <cell r="L11341" t="str">
            <v>Non-proportional</v>
          </cell>
          <cell r="S11341">
            <v>4.28</v>
          </cell>
          <cell r="X11341" t="str">
            <v>Commissions - gross</v>
          </cell>
          <cell r="Y11341" t="str">
            <v>ISRAEL</v>
          </cell>
        </row>
        <row r="11342">
          <cell r="L11342" t="str">
            <v>Non-proportional</v>
          </cell>
          <cell r="S11342">
            <v>55.28</v>
          </cell>
          <cell r="X11342" t="str">
            <v>Commissions - gross</v>
          </cell>
          <cell r="Y11342" t="str">
            <v>BRAZIL</v>
          </cell>
        </row>
        <row r="11343">
          <cell r="L11343" t="str">
            <v>Non-proportional</v>
          </cell>
          <cell r="S11343">
            <v>391.73</v>
          </cell>
          <cell r="X11343" t="str">
            <v>Commissions - gross</v>
          </cell>
          <cell r="Y11343" t="str">
            <v>ITALY</v>
          </cell>
        </row>
        <row r="11344">
          <cell r="L11344" t="str">
            <v>Non-proportional</v>
          </cell>
          <cell r="S11344">
            <v>515.19000000000005</v>
          </cell>
          <cell r="X11344" t="str">
            <v>Commissions - gross</v>
          </cell>
          <cell r="Y11344" t="str">
            <v>ITALY</v>
          </cell>
        </row>
        <row r="11345">
          <cell r="L11345" t="str">
            <v>Non-proportional</v>
          </cell>
          <cell r="S11345">
            <v>77.150000000000006</v>
          </cell>
          <cell r="X11345" t="str">
            <v>Commissions - gross</v>
          </cell>
          <cell r="Y11345" t="str">
            <v>GERMANY</v>
          </cell>
        </row>
        <row r="11346">
          <cell r="L11346" t="str">
            <v>Non-proportional</v>
          </cell>
          <cell r="S11346">
            <v>1.58</v>
          </cell>
          <cell r="X11346" t="str">
            <v>Commissions - gross</v>
          </cell>
          <cell r="Y11346" t="str">
            <v>ISRAEL</v>
          </cell>
        </row>
        <row r="11347">
          <cell r="L11347" t="str">
            <v>Non-proportional</v>
          </cell>
          <cell r="S11347">
            <v>22.38</v>
          </cell>
          <cell r="X11347" t="str">
            <v>Commissions - gross</v>
          </cell>
          <cell r="Y11347" t="str">
            <v>JAPAN</v>
          </cell>
        </row>
        <row r="11348">
          <cell r="L11348" t="str">
            <v>Non-proportional</v>
          </cell>
          <cell r="S11348">
            <v>70.25</v>
          </cell>
          <cell r="X11348" t="str">
            <v>Commissions - gross</v>
          </cell>
          <cell r="Y11348" t="str">
            <v>JAPAN</v>
          </cell>
        </row>
        <row r="11349">
          <cell r="L11349" t="str">
            <v>Non-proportional</v>
          </cell>
          <cell r="S11349">
            <v>750.44</v>
          </cell>
          <cell r="X11349" t="str">
            <v>Commissions - gross</v>
          </cell>
          <cell r="Y11349" t="str">
            <v>UNITED KINGDOM</v>
          </cell>
        </row>
        <row r="11350">
          <cell r="L11350" t="str">
            <v>Non-proportional</v>
          </cell>
          <cell r="S11350">
            <v>79.38</v>
          </cell>
          <cell r="X11350" t="str">
            <v>Commissions - gross</v>
          </cell>
          <cell r="Y11350" t="str">
            <v>PERU</v>
          </cell>
        </row>
        <row r="11351">
          <cell r="L11351" t="str">
            <v>Non-proportional</v>
          </cell>
          <cell r="S11351">
            <v>3.76</v>
          </cell>
          <cell r="X11351" t="str">
            <v>Commissions - gross</v>
          </cell>
          <cell r="Y11351" t="str">
            <v>ISRAEL</v>
          </cell>
        </row>
        <row r="11352">
          <cell r="L11352" t="str">
            <v>Non-proportional</v>
          </cell>
          <cell r="S11352">
            <v>16.75</v>
          </cell>
          <cell r="X11352" t="str">
            <v>Commissions - gross</v>
          </cell>
          <cell r="Y11352" t="str">
            <v>FRANCE</v>
          </cell>
        </row>
        <row r="11353">
          <cell r="L11353" t="str">
            <v>Non-proportional</v>
          </cell>
          <cell r="S11353">
            <v>909.07</v>
          </cell>
          <cell r="X11353" t="str">
            <v>Commissions - gross</v>
          </cell>
          <cell r="Y11353" t="str">
            <v>CHILE</v>
          </cell>
        </row>
        <row r="11354">
          <cell r="L11354" t="str">
            <v>Non-proportional</v>
          </cell>
          <cell r="S11354">
            <v>-5.25</v>
          </cell>
          <cell r="X11354" t="str">
            <v>Commissions - gross</v>
          </cell>
          <cell r="Y11354" t="str">
            <v>JAPAN</v>
          </cell>
        </row>
        <row r="11355">
          <cell r="L11355" t="str">
            <v>Non-proportional</v>
          </cell>
          <cell r="S11355">
            <v>-2.42</v>
          </cell>
          <cell r="X11355" t="str">
            <v>Commissions - gross</v>
          </cell>
          <cell r="Y11355" t="str">
            <v>JAPAN</v>
          </cell>
        </row>
        <row r="11356">
          <cell r="L11356" t="str">
            <v>Non-proportional</v>
          </cell>
          <cell r="S11356">
            <v>117.23</v>
          </cell>
          <cell r="X11356" t="str">
            <v>Commissions - gross</v>
          </cell>
          <cell r="Y11356" t="str">
            <v>FRANCE</v>
          </cell>
        </row>
        <row r="11357">
          <cell r="L11357" t="str">
            <v>Non-proportional</v>
          </cell>
          <cell r="S11357">
            <v>128.86000000000001</v>
          </cell>
          <cell r="X11357" t="str">
            <v>Commissions - gross</v>
          </cell>
          <cell r="Y11357" t="str">
            <v>JAPAN</v>
          </cell>
        </row>
        <row r="11358">
          <cell r="L11358" t="str">
            <v>Non-proportional</v>
          </cell>
          <cell r="S11358">
            <v>5340.46</v>
          </cell>
          <cell r="X11358" t="str">
            <v>Commissions - gross</v>
          </cell>
          <cell r="Y11358" t="str">
            <v>UNITED KINGDOM</v>
          </cell>
        </row>
        <row r="11359">
          <cell r="L11359" t="str">
            <v>Non-proportional</v>
          </cell>
          <cell r="S11359">
            <v>9.4600000000000009</v>
          </cell>
          <cell r="X11359" t="str">
            <v>Commissions - gross</v>
          </cell>
          <cell r="Y11359" t="str">
            <v>BRAZIL</v>
          </cell>
        </row>
        <row r="11360">
          <cell r="L11360" t="str">
            <v>Proportional</v>
          </cell>
          <cell r="S11360">
            <v>1535.71</v>
          </cell>
          <cell r="X11360" t="str">
            <v>Commissions - gross</v>
          </cell>
          <cell r="Y11360" t="str">
            <v>ITALY</v>
          </cell>
        </row>
        <row r="11361">
          <cell r="L11361" t="str">
            <v>Non-proportional</v>
          </cell>
          <cell r="S11361">
            <v>665.89</v>
          </cell>
          <cell r="X11361" t="str">
            <v>Commissions - gross</v>
          </cell>
          <cell r="Y11361" t="str">
            <v>CYPRUS</v>
          </cell>
        </row>
        <row r="11362">
          <cell r="L11362" t="str">
            <v>Proportional</v>
          </cell>
          <cell r="S11362">
            <v>-720.42</v>
          </cell>
          <cell r="X11362" t="str">
            <v>Commissions - gross</v>
          </cell>
          <cell r="Y11362" t="str">
            <v>AUSTRALIA</v>
          </cell>
        </row>
        <row r="11363">
          <cell r="L11363" t="str">
            <v>Non-proportional</v>
          </cell>
          <cell r="S11363">
            <v>801.92</v>
          </cell>
          <cell r="X11363" t="str">
            <v>Commissions - gross</v>
          </cell>
          <cell r="Y11363" t="str">
            <v>DOMINICAN REPUBLIC</v>
          </cell>
        </row>
        <row r="11364">
          <cell r="L11364" t="str">
            <v>Non-proportional</v>
          </cell>
          <cell r="S11364">
            <v>-36.01</v>
          </cell>
          <cell r="X11364" t="str">
            <v>Commissions - gross</v>
          </cell>
          <cell r="Y11364" t="str">
            <v>NEW ZEALAND</v>
          </cell>
        </row>
        <row r="11365">
          <cell r="L11365" t="str">
            <v>Non-proportional</v>
          </cell>
          <cell r="S11365">
            <v>0</v>
          </cell>
          <cell r="X11365" t="str">
            <v>Commissions - gross</v>
          </cell>
          <cell r="Y11365" t="str">
            <v>COLOMBIA</v>
          </cell>
        </row>
        <row r="11366">
          <cell r="L11366" t="str">
            <v>Proportional</v>
          </cell>
          <cell r="S11366">
            <v>-2.46</v>
          </cell>
          <cell r="X11366" t="str">
            <v>Commissions - gross</v>
          </cell>
          <cell r="Y11366" t="str">
            <v>UNITED STATES</v>
          </cell>
        </row>
        <row r="11367">
          <cell r="L11367" t="str">
            <v>Proportional</v>
          </cell>
          <cell r="S11367">
            <v>1213.99</v>
          </cell>
          <cell r="X11367" t="str">
            <v>Commissions - gross</v>
          </cell>
          <cell r="Y11367" t="str">
            <v>CANADA</v>
          </cell>
        </row>
        <row r="11368">
          <cell r="L11368" t="str">
            <v>Proportional</v>
          </cell>
          <cell r="S11368">
            <v>384.61</v>
          </cell>
          <cell r="X11368" t="str">
            <v>Commissions - gross</v>
          </cell>
          <cell r="Y11368" t="str">
            <v>CHILE</v>
          </cell>
        </row>
        <row r="11369">
          <cell r="L11369" t="str">
            <v>Non-proportional</v>
          </cell>
          <cell r="S11369">
            <v>145.83000000000001</v>
          </cell>
          <cell r="X11369" t="str">
            <v>Commissions - gross</v>
          </cell>
          <cell r="Y11369" t="str">
            <v>ITALY</v>
          </cell>
        </row>
        <row r="11370">
          <cell r="L11370" t="str">
            <v>Non-proportional</v>
          </cell>
          <cell r="S11370">
            <v>0</v>
          </cell>
          <cell r="X11370" t="str">
            <v>Commissions - gross</v>
          </cell>
          <cell r="Y11370" t="str">
            <v>COLOMBIA</v>
          </cell>
        </row>
        <row r="11371">
          <cell r="L11371" t="str">
            <v>Non-proportional</v>
          </cell>
          <cell r="S11371">
            <v>42723.05</v>
          </cell>
          <cell r="X11371" t="str">
            <v>Commissions - gross</v>
          </cell>
          <cell r="Y11371" t="str">
            <v>UNITED KINGDOM</v>
          </cell>
        </row>
        <row r="11372">
          <cell r="L11372" t="str">
            <v>Non-proportional</v>
          </cell>
          <cell r="S11372">
            <v>254.57</v>
          </cell>
          <cell r="X11372" t="str">
            <v>Commissions - gross</v>
          </cell>
          <cell r="Y11372" t="str">
            <v>ISRAEL</v>
          </cell>
        </row>
        <row r="11373">
          <cell r="L11373" t="str">
            <v>Proportional</v>
          </cell>
          <cell r="S11373">
            <v>10877.1</v>
          </cell>
          <cell r="X11373" t="str">
            <v>Commissions - gross</v>
          </cell>
          <cell r="Y11373" t="str">
            <v>UNITED STATES</v>
          </cell>
        </row>
        <row r="11374">
          <cell r="L11374" t="str">
            <v>Non-proportional</v>
          </cell>
          <cell r="S11374">
            <v>523.97</v>
          </cell>
          <cell r="X11374" t="str">
            <v>Commissions - gross</v>
          </cell>
          <cell r="Y11374" t="str">
            <v>COLOMBIA</v>
          </cell>
        </row>
        <row r="11375">
          <cell r="L11375" t="str">
            <v>Non-proportional</v>
          </cell>
          <cell r="S11375">
            <v>125.78</v>
          </cell>
          <cell r="X11375" t="str">
            <v>Commissions - gross</v>
          </cell>
          <cell r="Y11375" t="str">
            <v>ITALY</v>
          </cell>
        </row>
        <row r="11376">
          <cell r="L11376" t="str">
            <v>Non-proportional</v>
          </cell>
          <cell r="S11376">
            <v>674.58</v>
          </cell>
          <cell r="X11376" t="str">
            <v>Commissions - gross</v>
          </cell>
          <cell r="Y11376" t="str">
            <v>UNITED KINGDOM</v>
          </cell>
        </row>
        <row r="11377">
          <cell r="L11377" t="str">
            <v>Non-proportional</v>
          </cell>
          <cell r="S11377">
            <v>182.31</v>
          </cell>
          <cell r="X11377" t="str">
            <v>Commissions - gross</v>
          </cell>
          <cell r="Y11377" t="str">
            <v>UNITED KINGDOM</v>
          </cell>
        </row>
        <row r="11378">
          <cell r="L11378" t="str">
            <v>Non-proportional</v>
          </cell>
          <cell r="S11378">
            <v>186.44</v>
          </cell>
          <cell r="X11378" t="str">
            <v>Commissions - gross</v>
          </cell>
          <cell r="Y11378" t="str">
            <v>SOUTH AFRICA</v>
          </cell>
        </row>
        <row r="11379">
          <cell r="L11379" t="str">
            <v>Non-proportional</v>
          </cell>
          <cell r="S11379">
            <v>34485.910000000003</v>
          </cell>
          <cell r="X11379" t="str">
            <v>Commissions - gross</v>
          </cell>
          <cell r="Y11379" t="str">
            <v>UNITED KINGDOM</v>
          </cell>
        </row>
        <row r="11380">
          <cell r="L11380" t="str">
            <v>Non-proportional</v>
          </cell>
          <cell r="S11380">
            <v>117.23</v>
          </cell>
          <cell r="X11380" t="str">
            <v>Commissions - gross</v>
          </cell>
          <cell r="Y11380" t="str">
            <v>FRANCE</v>
          </cell>
        </row>
        <row r="11381">
          <cell r="L11381" t="str">
            <v>Proportional</v>
          </cell>
          <cell r="S11381">
            <v>1062.47</v>
          </cell>
          <cell r="X11381" t="str">
            <v>Commissions - gross</v>
          </cell>
          <cell r="Y11381" t="str">
            <v>MEXICO</v>
          </cell>
        </row>
        <row r="11382">
          <cell r="L11382" t="str">
            <v>Non-proportional</v>
          </cell>
          <cell r="S11382">
            <v>1442.4</v>
          </cell>
          <cell r="X11382" t="str">
            <v>Commissions - gross</v>
          </cell>
          <cell r="Y11382" t="str">
            <v>FRANCE</v>
          </cell>
        </row>
        <row r="11383">
          <cell r="L11383" t="str">
            <v>Non-proportional</v>
          </cell>
          <cell r="S11383">
            <v>0</v>
          </cell>
          <cell r="X11383" t="str">
            <v>Commissions - gross</v>
          </cell>
          <cell r="Y11383" t="str">
            <v>DOMINICAN REPUBLIC</v>
          </cell>
        </row>
        <row r="11384">
          <cell r="L11384" t="str">
            <v>Non-proportional</v>
          </cell>
          <cell r="S11384">
            <v>100440.19</v>
          </cell>
          <cell r="X11384" t="str">
            <v>Commissions - gross</v>
          </cell>
          <cell r="Y11384" t="str">
            <v>UNITED KINGDOM</v>
          </cell>
        </row>
        <row r="11385">
          <cell r="L11385" t="str">
            <v>Non-proportional</v>
          </cell>
          <cell r="S11385">
            <v>193.58</v>
          </cell>
          <cell r="X11385" t="str">
            <v>Commissions - gross</v>
          </cell>
          <cell r="Y11385" t="str">
            <v>DOMINICAN REPUBLIC</v>
          </cell>
        </row>
        <row r="11386">
          <cell r="L11386" t="str">
            <v>Non-proportional</v>
          </cell>
          <cell r="S11386">
            <v>145.99</v>
          </cell>
          <cell r="X11386" t="str">
            <v>Commissions - gross</v>
          </cell>
          <cell r="Y11386" t="str">
            <v>GUATEMALA</v>
          </cell>
        </row>
        <row r="11387">
          <cell r="L11387" t="str">
            <v>Non-proportional</v>
          </cell>
          <cell r="S11387">
            <v>75.209999999999994</v>
          </cell>
          <cell r="X11387" t="str">
            <v>Commissions - gross</v>
          </cell>
          <cell r="Y11387" t="str">
            <v>BRAZIL</v>
          </cell>
        </row>
        <row r="11388">
          <cell r="L11388" t="str">
            <v>Proportional</v>
          </cell>
          <cell r="S11388">
            <v>5000.0600000000004</v>
          </cell>
          <cell r="X11388" t="str">
            <v>Commissions - gross</v>
          </cell>
          <cell r="Y11388" t="str">
            <v>UNITED STATES</v>
          </cell>
        </row>
        <row r="11389">
          <cell r="L11389" t="str">
            <v>Non-proportional</v>
          </cell>
          <cell r="S11389">
            <v>385.39</v>
          </cell>
          <cell r="X11389" t="str">
            <v>Commissions - gross</v>
          </cell>
          <cell r="Y11389" t="str">
            <v>SPAIN</v>
          </cell>
        </row>
        <row r="11390">
          <cell r="L11390" t="str">
            <v>Non-proportional</v>
          </cell>
          <cell r="S11390">
            <v>88.09</v>
          </cell>
          <cell r="X11390" t="str">
            <v>Commissions - gross</v>
          </cell>
          <cell r="Y11390" t="str">
            <v>PUERTO RICO</v>
          </cell>
        </row>
        <row r="11391">
          <cell r="L11391" t="str">
            <v>Non-proportional</v>
          </cell>
          <cell r="S11391">
            <v>336.07</v>
          </cell>
          <cell r="X11391" t="str">
            <v>Commissions - gross</v>
          </cell>
          <cell r="Y11391" t="str">
            <v>GUATEMALA</v>
          </cell>
        </row>
        <row r="11392">
          <cell r="L11392" t="str">
            <v>Non-proportional</v>
          </cell>
          <cell r="S11392">
            <v>134495.01</v>
          </cell>
          <cell r="X11392" t="str">
            <v>Commissions - gross</v>
          </cell>
          <cell r="Y11392" t="str">
            <v>UNITED KINGDOM</v>
          </cell>
        </row>
        <row r="11393">
          <cell r="L11393" t="str">
            <v>Non-proportional</v>
          </cell>
          <cell r="S11393">
            <v>833.13</v>
          </cell>
          <cell r="X11393" t="str">
            <v>Commissions - gross</v>
          </cell>
          <cell r="Y11393" t="str">
            <v>CANADA</v>
          </cell>
        </row>
        <row r="11394">
          <cell r="L11394" t="str">
            <v>Non-proportional</v>
          </cell>
          <cell r="S11394">
            <v>4257.1000000000004</v>
          </cell>
          <cell r="X11394" t="str">
            <v>Commissions - gross</v>
          </cell>
          <cell r="Y11394" t="str">
            <v>UNITED KINGDOM</v>
          </cell>
        </row>
        <row r="11395">
          <cell r="L11395" t="str">
            <v>Non-proportional</v>
          </cell>
          <cell r="S11395">
            <v>542.03</v>
          </cell>
          <cell r="X11395" t="str">
            <v>Commissions - gross</v>
          </cell>
          <cell r="Y11395" t="str">
            <v>UNITED KINGDOM</v>
          </cell>
        </row>
        <row r="11396">
          <cell r="L11396" t="str">
            <v>Non-proportional</v>
          </cell>
          <cell r="S11396">
            <v>80</v>
          </cell>
          <cell r="X11396" t="str">
            <v>Commissions - gross</v>
          </cell>
          <cell r="Y11396" t="str">
            <v>ITALY</v>
          </cell>
        </row>
        <row r="11397">
          <cell r="L11397" t="str">
            <v>Non-proportional</v>
          </cell>
          <cell r="S11397">
            <v>219.55</v>
          </cell>
          <cell r="X11397" t="str">
            <v>Commissions - gross</v>
          </cell>
          <cell r="Y11397" t="str">
            <v>CHINA</v>
          </cell>
        </row>
        <row r="11398">
          <cell r="L11398" t="str">
            <v>Non-proportional</v>
          </cell>
          <cell r="S11398">
            <v>34.96</v>
          </cell>
          <cell r="X11398" t="str">
            <v>Commissions - gross</v>
          </cell>
          <cell r="Y11398" t="str">
            <v>CHILE</v>
          </cell>
        </row>
        <row r="11399">
          <cell r="L11399" t="str">
            <v>Non-proportional</v>
          </cell>
          <cell r="S11399">
            <v>415.08</v>
          </cell>
          <cell r="X11399" t="str">
            <v>Commissions - gross</v>
          </cell>
          <cell r="Y11399" t="str">
            <v>UNITED KINGDOM</v>
          </cell>
        </row>
        <row r="11400">
          <cell r="L11400" t="str">
            <v>Non-proportional</v>
          </cell>
          <cell r="S11400">
            <v>342.21</v>
          </cell>
          <cell r="X11400" t="str">
            <v>Commissions - gross</v>
          </cell>
          <cell r="Y11400" t="str">
            <v>THAILAND</v>
          </cell>
        </row>
        <row r="11401">
          <cell r="L11401" t="str">
            <v>Non-proportional</v>
          </cell>
          <cell r="S11401">
            <v>527.36</v>
          </cell>
          <cell r="X11401" t="str">
            <v>Commissions - gross</v>
          </cell>
          <cell r="Y11401" t="str">
            <v>COLOMBIA</v>
          </cell>
        </row>
        <row r="11402">
          <cell r="L11402" t="str">
            <v>Non-proportional</v>
          </cell>
          <cell r="S11402">
            <v>998.59</v>
          </cell>
          <cell r="X11402" t="str">
            <v>Commissions - gross</v>
          </cell>
          <cell r="Y11402" t="str">
            <v>FRANCE</v>
          </cell>
        </row>
        <row r="11403">
          <cell r="L11403" t="str">
            <v>Non-proportional</v>
          </cell>
          <cell r="S11403">
            <v>627.9</v>
          </cell>
          <cell r="X11403" t="str">
            <v>Commissions - gross</v>
          </cell>
          <cell r="Y11403" t="str">
            <v>FRANCE</v>
          </cell>
        </row>
        <row r="11404">
          <cell r="L11404" t="str">
            <v>Non-proportional</v>
          </cell>
          <cell r="S11404">
            <v>74.680000000000007</v>
          </cell>
          <cell r="X11404" t="str">
            <v>Commissions - gross</v>
          </cell>
          <cell r="Y11404" t="str">
            <v>JAPAN</v>
          </cell>
        </row>
        <row r="11405">
          <cell r="L11405" t="str">
            <v>Non-proportional</v>
          </cell>
          <cell r="S11405">
            <v>418.59</v>
          </cell>
          <cell r="X11405" t="str">
            <v>Commissions - gross</v>
          </cell>
          <cell r="Y11405" t="str">
            <v>FRANCE</v>
          </cell>
        </row>
        <row r="11406">
          <cell r="L11406" t="str">
            <v>Non-proportional</v>
          </cell>
          <cell r="S11406">
            <v>76.08</v>
          </cell>
          <cell r="X11406" t="str">
            <v>Commissions - gross</v>
          </cell>
          <cell r="Y11406" t="str">
            <v>UNITED KINGDOM</v>
          </cell>
        </row>
        <row r="11407">
          <cell r="L11407" t="str">
            <v>Non-proportional</v>
          </cell>
          <cell r="S11407">
            <v>656.25</v>
          </cell>
          <cell r="X11407" t="str">
            <v>Commissions - gross</v>
          </cell>
          <cell r="Y11407" t="str">
            <v>ITALY</v>
          </cell>
        </row>
        <row r="11408">
          <cell r="L11408" t="str">
            <v>Proportional</v>
          </cell>
          <cell r="S11408">
            <v>5.31</v>
          </cell>
          <cell r="X11408" t="str">
            <v>Commissions - gross</v>
          </cell>
          <cell r="Y11408" t="str">
            <v>UNITED STATES</v>
          </cell>
        </row>
        <row r="11409">
          <cell r="L11409" t="str">
            <v>Non-proportional</v>
          </cell>
          <cell r="S11409">
            <v>194.69</v>
          </cell>
          <cell r="X11409" t="str">
            <v>Commissions - gross</v>
          </cell>
          <cell r="Y11409" t="str">
            <v>GUATEMALA</v>
          </cell>
        </row>
        <row r="11410">
          <cell r="L11410" t="str">
            <v>Non-proportional</v>
          </cell>
          <cell r="S11410">
            <v>1119.6400000000001</v>
          </cell>
          <cell r="X11410" t="str">
            <v>Commissions - gross</v>
          </cell>
          <cell r="Y11410" t="str">
            <v>ECUADOR</v>
          </cell>
        </row>
        <row r="11411">
          <cell r="L11411" t="str">
            <v>Proportional</v>
          </cell>
          <cell r="S11411">
            <v>69.930000000000007</v>
          </cell>
          <cell r="X11411" t="str">
            <v>Commissions - gross</v>
          </cell>
          <cell r="Y11411" t="str">
            <v>CHILE</v>
          </cell>
        </row>
        <row r="11412">
          <cell r="L11412" t="str">
            <v>Non-proportional</v>
          </cell>
          <cell r="S11412">
            <v>202.99</v>
          </cell>
          <cell r="X11412" t="str">
            <v>Commissions - gross</v>
          </cell>
          <cell r="Y11412" t="str">
            <v>CYPRUS</v>
          </cell>
        </row>
        <row r="11413">
          <cell r="L11413" t="str">
            <v>Non-proportional</v>
          </cell>
          <cell r="S11413">
            <v>-21.01</v>
          </cell>
          <cell r="X11413" t="str">
            <v>Commissions - gross</v>
          </cell>
          <cell r="Y11413" t="str">
            <v>NEW ZEALAND</v>
          </cell>
        </row>
        <row r="11414">
          <cell r="L11414" t="str">
            <v>Non-proportional</v>
          </cell>
          <cell r="S11414">
            <v>430.72</v>
          </cell>
          <cell r="X11414" t="str">
            <v>Commissions - gross</v>
          </cell>
          <cell r="Y11414" t="str">
            <v>COLOMBIA</v>
          </cell>
        </row>
        <row r="11415">
          <cell r="L11415" t="str">
            <v>Non-proportional</v>
          </cell>
          <cell r="S11415">
            <v>324.48</v>
          </cell>
          <cell r="X11415" t="str">
            <v>Commissions - gross</v>
          </cell>
          <cell r="Y11415" t="str">
            <v>FRANCE</v>
          </cell>
        </row>
        <row r="11416">
          <cell r="L11416" t="str">
            <v>Non-proportional</v>
          </cell>
          <cell r="S11416">
            <v>128.86000000000001</v>
          </cell>
          <cell r="X11416" t="str">
            <v>Commissions - gross</v>
          </cell>
          <cell r="Y11416" t="str">
            <v>JAPAN</v>
          </cell>
        </row>
        <row r="11417">
          <cell r="L11417" t="str">
            <v>Non-proportional</v>
          </cell>
          <cell r="S11417">
            <v>558.52</v>
          </cell>
          <cell r="X11417" t="str">
            <v>Commissions - gross</v>
          </cell>
          <cell r="Y11417" t="str">
            <v>ISRAEL</v>
          </cell>
        </row>
        <row r="11418">
          <cell r="L11418" t="str">
            <v>Non-proportional</v>
          </cell>
          <cell r="S11418">
            <v>385.42</v>
          </cell>
          <cell r="X11418" t="str">
            <v>Commissions - gross</v>
          </cell>
          <cell r="Y11418" t="str">
            <v>FRANCE</v>
          </cell>
        </row>
        <row r="11419">
          <cell r="L11419" t="str">
            <v>Non-proportional</v>
          </cell>
          <cell r="S11419">
            <v>-5.34</v>
          </cell>
          <cell r="X11419" t="str">
            <v>Commissions - gross</v>
          </cell>
          <cell r="Y11419" t="str">
            <v>JAPAN</v>
          </cell>
        </row>
        <row r="11420">
          <cell r="L11420" t="str">
            <v>Proportional</v>
          </cell>
          <cell r="S11420">
            <v>208.1</v>
          </cell>
          <cell r="X11420" t="str">
            <v>Commissions - gross</v>
          </cell>
          <cell r="Y11420" t="str">
            <v>INDIA</v>
          </cell>
        </row>
        <row r="11421">
          <cell r="L11421" t="str">
            <v>Non-proportional</v>
          </cell>
          <cell r="S11421">
            <v>224.92</v>
          </cell>
          <cell r="X11421" t="str">
            <v>Commissions - gross</v>
          </cell>
          <cell r="Y11421" t="str">
            <v>ECUADOR</v>
          </cell>
        </row>
        <row r="11422">
          <cell r="L11422" t="str">
            <v>Non-proportional</v>
          </cell>
          <cell r="S11422">
            <v>750.3</v>
          </cell>
          <cell r="X11422" t="str">
            <v>Commissions - gross</v>
          </cell>
          <cell r="Y11422" t="str">
            <v>CYPRUS</v>
          </cell>
        </row>
        <row r="11423">
          <cell r="L11423" t="str">
            <v>Non-proportional</v>
          </cell>
          <cell r="S11423">
            <v>-4.17</v>
          </cell>
          <cell r="X11423" t="str">
            <v>Commissions - gross</v>
          </cell>
          <cell r="Y11423" t="str">
            <v>JAPAN</v>
          </cell>
        </row>
        <row r="11424">
          <cell r="L11424" t="str">
            <v>Non-proportional</v>
          </cell>
          <cell r="S11424">
            <v>-14.59</v>
          </cell>
          <cell r="X11424" t="str">
            <v>Commissions - gross</v>
          </cell>
          <cell r="Y11424" t="str">
            <v>NEW ZEALAND</v>
          </cell>
        </row>
        <row r="11425">
          <cell r="L11425" t="str">
            <v>Non-proportional</v>
          </cell>
          <cell r="S11425">
            <v>802.05</v>
          </cell>
          <cell r="X11425" t="str">
            <v>Commissions - gross</v>
          </cell>
          <cell r="Y11425" t="str">
            <v>TURKEY</v>
          </cell>
        </row>
        <row r="11426">
          <cell r="L11426" t="str">
            <v>Non-proportional</v>
          </cell>
          <cell r="S11426">
            <v>-10.69</v>
          </cell>
          <cell r="X11426" t="str">
            <v>Commissions - gross</v>
          </cell>
          <cell r="Y11426" t="str">
            <v>INDIA</v>
          </cell>
        </row>
        <row r="11427">
          <cell r="L11427" t="str">
            <v>Non-proportional</v>
          </cell>
          <cell r="S11427">
            <v>162.56</v>
          </cell>
          <cell r="X11427" t="str">
            <v>Commissions - gross</v>
          </cell>
          <cell r="Y11427" t="str">
            <v>JAPAN</v>
          </cell>
        </row>
        <row r="11428">
          <cell r="L11428" t="str">
            <v>Non-proportional</v>
          </cell>
          <cell r="S11428">
            <v>135.82</v>
          </cell>
          <cell r="X11428" t="str">
            <v>Commissions - gross</v>
          </cell>
          <cell r="Y11428" t="str">
            <v>COLOMBIA</v>
          </cell>
        </row>
        <row r="11429">
          <cell r="L11429" t="str">
            <v>Non-proportional</v>
          </cell>
          <cell r="S11429">
            <v>379.65</v>
          </cell>
          <cell r="X11429" t="str">
            <v>Commissions - gross</v>
          </cell>
          <cell r="Y11429" t="str">
            <v>ITALY</v>
          </cell>
        </row>
        <row r="11430">
          <cell r="L11430" t="str">
            <v>Non-proportional</v>
          </cell>
          <cell r="S11430">
            <v>177.75</v>
          </cell>
          <cell r="X11430" t="str">
            <v>Commissions - gross</v>
          </cell>
          <cell r="Y11430" t="str">
            <v>GREECE</v>
          </cell>
        </row>
        <row r="11431">
          <cell r="L11431" t="str">
            <v>Non-proportional</v>
          </cell>
          <cell r="S11431">
            <v>908.96</v>
          </cell>
          <cell r="X11431" t="str">
            <v>Commissions - gross</v>
          </cell>
          <cell r="Y11431" t="str">
            <v>INDIA</v>
          </cell>
        </row>
        <row r="11432">
          <cell r="L11432" t="str">
            <v>Non-proportional</v>
          </cell>
          <cell r="S11432">
            <v>509.6</v>
          </cell>
          <cell r="X11432" t="str">
            <v>Commissions - gross</v>
          </cell>
          <cell r="Y11432" t="str">
            <v>BELIZE</v>
          </cell>
        </row>
        <row r="11433">
          <cell r="L11433" t="str">
            <v>Non-proportional</v>
          </cell>
          <cell r="S11433">
            <v>-6.81</v>
          </cell>
          <cell r="X11433" t="str">
            <v>Commissions - gross</v>
          </cell>
          <cell r="Y11433" t="str">
            <v>JAPAN</v>
          </cell>
        </row>
        <row r="11434">
          <cell r="L11434" t="str">
            <v>Non-proportional</v>
          </cell>
          <cell r="S11434">
            <v>43.97</v>
          </cell>
          <cell r="X11434" t="str">
            <v>Commissions - gross</v>
          </cell>
          <cell r="Y11434" t="str">
            <v>JAPAN</v>
          </cell>
        </row>
        <row r="11435">
          <cell r="L11435" t="str">
            <v>Non-proportional</v>
          </cell>
          <cell r="S11435">
            <v>0</v>
          </cell>
          <cell r="X11435" t="str">
            <v>Commissions - gross</v>
          </cell>
          <cell r="Y11435" t="str">
            <v>BELIZE</v>
          </cell>
        </row>
        <row r="11436">
          <cell r="L11436" t="str">
            <v>Non-proportional</v>
          </cell>
          <cell r="S11436">
            <v>-5.13</v>
          </cell>
          <cell r="X11436" t="str">
            <v>Commissions - gross</v>
          </cell>
          <cell r="Y11436" t="str">
            <v>JAPAN</v>
          </cell>
        </row>
        <row r="11437">
          <cell r="L11437" t="str">
            <v>Non-proportional</v>
          </cell>
          <cell r="S11437">
            <v>156.24</v>
          </cell>
          <cell r="X11437" t="str">
            <v>Commissions - gross</v>
          </cell>
          <cell r="Y11437" t="str">
            <v>FRANCE</v>
          </cell>
        </row>
        <row r="11438">
          <cell r="L11438" t="str">
            <v>Non-proportional</v>
          </cell>
          <cell r="S11438">
            <v>4000</v>
          </cell>
          <cell r="X11438" t="str">
            <v>Commissions - gross</v>
          </cell>
          <cell r="Y11438" t="str">
            <v>ITALY</v>
          </cell>
        </row>
        <row r="11439">
          <cell r="L11439" t="str">
            <v>Proportional</v>
          </cell>
          <cell r="S11439">
            <v>1805.03</v>
          </cell>
          <cell r="X11439" t="str">
            <v>Commissions - gross</v>
          </cell>
          <cell r="Y11439" t="str">
            <v>MEXICO</v>
          </cell>
        </row>
        <row r="11440">
          <cell r="L11440" t="str">
            <v>Proportional</v>
          </cell>
          <cell r="S11440">
            <v>1786.48</v>
          </cell>
          <cell r="X11440" t="str">
            <v>Commissions - gross</v>
          </cell>
          <cell r="Y11440" t="str">
            <v>FRANCE</v>
          </cell>
        </row>
        <row r="11441">
          <cell r="L11441" t="str">
            <v>Non-proportional</v>
          </cell>
          <cell r="S11441">
            <v>-11.16</v>
          </cell>
          <cell r="X11441" t="str">
            <v>Commissions - gross</v>
          </cell>
          <cell r="Y11441" t="str">
            <v>JAPAN</v>
          </cell>
        </row>
        <row r="11442">
          <cell r="L11442" t="str">
            <v>Non-proportional</v>
          </cell>
          <cell r="S11442">
            <v>7542.73</v>
          </cell>
          <cell r="X11442" t="str">
            <v>Commissions - gross</v>
          </cell>
          <cell r="Y11442" t="str">
            <v>UNITED KINGDOM</v>
          </cell>
        </row>
        <row r="11443">
          <cell r="L11443" t="str">
            <v>Non-proportional</v>
          </cell>
          <cell r="S11443">
            <v>-2.27</v>
          </cell>
          <cell r="X11443" t="str">
            <v>Commissions - gross</v>
          </cell>
          <cell r="Y11443" t="str">
            <v>JAPAN</v>
          </cell>
        </row>
        <row r="11444">
          <cell r="L11444" t="str">
            <v>Non-proportional</v>
          </cell>
          <cell r="S11444">
            <v>54.38</v>
          </cell>
          <cell r="X11444" t="str">
            <v>Commissions - gross</v>
          </cell>
          <cell r="Y11444" t="str">
            <v>GREECE</v>
          </cell>
        </row>
        <row r="11445">
          <cell r="L11445" t="str">
            <v>Non-proportional</v>
          </cell>
          <cell r="S11445">
            <v>210.51</v>
          </cell>
          <cell r="X11445" t="str">
            <v>Commissions - gross</v>
          </cell>
          <cell r="Y11445" t="str">
            <v>GUATEMALA</v>
          </cell>
        </row>
        <row r="11446">
          <cell r="L11446" t="str">
            <v>Non-proportional</v>
          </cell>
          <cell r="S11446">
            <v>1000</v>
          </cell>
          <cell r="X11446" t="str">
            <v>Commissions - gross</v>
          </cell>
          <cell r="Y11446" t="str">
            <v>ITALY</v>
          </cell>
        </row>
        <row r="11447">
          <cell r="L11447" t="str">
            <v>Non-proportional</v>
          </cell>
          <cell r="S11447">
            <v>-45.38</v>
          </cell>
          <cell r="X11447" t="str">
            <v>Commissions - gross</v>
          </cell>
          <cell r="Y11447" t="str">
            <v>AUSTRALIA</v>
          </cell>
        </row>
        <row r="11448">
          <cell r="L11448" t="str">
            <v>Non-proportional</v>
          </cell>
          <cell r="S11448">
            <v>283.77999999999997</v>
          </cell>
          <cell r="X11448" t="str">
            <v>Commissions - gross</v>
          </cell>
          <cell r="Y11448" t="str">
            <v>THAILAND</v>
          </cell>
        </row>
        <row r="11449">
          <cell r="L11449" t="str">
            <v>Non-proportional</v>
          </cell>
          <cell r="S11449">
            <v>9016.6</v>
          </cell>
          <cell r="X11449" t="str">
            <v>Commissions - gross</v>
          </cell>
          <cell r="Y11449" t="str">
            <v>UNITED KINGDOM</v>
          </cell>
        </row>
        <row r="11450">
          <cell r="L11450" t="str">
            <v>Non-proportional</v>
          </cell>
          <cell r="S11450">
            <v>35.520000000000003</v>
          </cell>
          <cell r="X11450" t="str">
            <v>Commissions - gross</v>
          </cell>
          <cell r="Y11450" t="str">
            <v>DOMINICAN REPUBLIC</v>
          </cell>
        </row>
        <row r="11451">
          <cell r="L11451" t="str">
            <v>Non-proportional</v>
          </cell>
          <cell r="S11451">
            <v>357.2</v>
          </cell>
          <cell r="X11451" t="str">
            <v>Commissions - gross</v>
          </cell>
          <cell r="Y11451" t="str">
            <v>ISRAEL</v>
          </cell>
        </row>
        <row r="11452">
          <cell r="L11452" t="str">
            <v>Non-proportional</v>
          </cell>
          <cell r="S11452">
            <v>-23.4</v>
          </cell>
          <cell r="X11452" t="str">
            <v>Commissions - gross</v>
          </cell>
          <cell r="Y11452" t="str">
            <v>NEW ZEALAND</v>
          </cell>
        </row>
        <row r="11453">
          <cell r="L11453" t="str">
            <v>Non-proportional</v>
          </cell>
          <cell r="S11453">
            <v>312.69</v>
          </cell>
          <cell r="X11453" t="str">
            <v>Commissions - gross</v>
          </cell>
          <cell r="Y11453" t="str">
            <v>FRANCE</v>
          </cell>
        </row>
        <row r="11454">
          <cell r="L11454" t="str">
            <v>Non-proportional</v>
          </cell>
          <cell r="S11454">
            <v>4603.37</v>
          </cell>
          <cell r="X11454" t="str">
            <v>Commissions - gross</v>
          </cell>
          <cell r="Y11454" t="str">
            <v>UNITED KINGDOM</v>
          </cell>
        </row>
        <row r="11455">
          <cell r="L11455" t="str">
            <v>Non-proportional</v>
          </cell>
          <cell r="S11455">
            <v>525.05999999999995</v>
          </cell>
          <cell r="X11455" t="str">
            <v>Commissions - gross</v>
          </cell>
          <cell r="Y11455" t="str">
            <v>PERU</v>
          </cell>
        </row>
        <row r="11456">
          <cell r="L11456" t="str">
            <v>Non-proportional</v>
          </cell>
          <cell r="S11456">
            <v>511.89</v>
          </cell>
          <cell r="X11456" t="str">
            <v>Commissions - gross</v>
          </cell>
          <cell r="Y11456" t="str">
            <v>ISRAEL</v>
          </cell>
        </row>
        <row r="11457">
          <cell r="L11457" t="str">
            <v>Non-proportional</v>
          </cell>
          <cell r="S11457">
            <v>139.86000000000001</v>
          </cell>
          <cell r="X11457" t="str">
            <v>Commissions - gross</v>
          </cell>
          <cell r="Y11457" t="str">
            <v>CHILE</v>
          </cell>
        </row>
        <row r="11458">
          <cell r="L11458" t="str">
            <v>Proportional</v>
          </cell>
          <cell r="S11458">
            <v>364.03</v>
          </cell>
          <cell r="X11458" t="str">
            <v>Commissions - gross</v>
          </cell>
          <cell r="Y11458" t="str">
            <v>FRANCE</v>
          </cell>
        </row>
        <row r="11459">
          <cell r="L11459" t="str">
            <v>Non-proportional</v>
          </cell>
          <cell r="S11459">
            <v>1996.77</v>
          </cell>
          <cell r="X11459" t="str">
            <v>Commissions - gross</v>
          </cell>
          <cell r="Y11459" t="str">
            <v>FRANCE</v>
          </cell>
        </row>
        <row r="11460">
          <cell r="L11460" t="str">
            <v>Non-proportional</v>
          </cell>
          <cell r="S11460">
            <v>561.30999999999995</v>
          </cell>
          <cell r="X11460" t="str">
            <v>Commissions - gross</v>
          </cell>
          <cell r="Y11460" t="str">
            <v>THAILAND</v>
          </cell>
        </row>
        <row r="11461">
          <cell r="L11461" t="str">
            <v>Non-proportional</v>
          </cell>
          <cell r="S11461">
            <v>171.03</v>
          </cell>
          <cell r="X11461" t="str">
            <v>Commissions - gross</v>
          </cell>
          <cell r="Y11461" t="str">
            <v>ECUADOR</v>
          </cell>
        </row>
        <row r="11462">
          <cell r="L11462" t="str">
            <v>Non-proportional</v>
          </cell>
          <cell r="S11462">
            <v>637.57000000000005</v>
          </cell>
          <cell r="X11462" t="str">
            <v>Commissions - gross</v>
          </cell>
          <cell r="Y11462" t="str">
            <v>NEW ZEALAND</v>
          </cell>
        </row>
        <row r="11463">
          <cell r="L11463" t="str">
            <v>Non-proportional</v>
          </cell>
          <cell r="S11463">
            <v>789.75</v>
          </cell>
          <cell r="X11463" t="str">
            <v>Commissions - gross</v>
          </cell>
          <cell r="Y11463" t="str">
            <v>ITALY</v>
          </cell>
        </row>
        <row r="11464">
          <cell r="L11464" t="str">
            <v>Non-proportional</v>
          </cell>
          <cell r="S11464">
            <v>314.68</v>
          </cell>
          <cell r="X11464" t="str">
            <v>Commissions - gross</v>
          </cell>
          <cell r="Y11464" t="str">
            <v>CHILE</v>
          </cell>
        </row>
        <row r="11465">
          <cell r="L11465" t="str">
            <v>Non-proportional</v>
          </cell>
          <cell r="S11465">
            <v>497.15</v>
          </cell>
          <cell r="X11465" t="str">
            <v>Commissions - gross</v>
          </cell>
          <cell r="Y11465" t="str">
            <v>EUROPE</v>
          </cell>
        </row>
        <row r="11466">
          <cell r="L11466" t="str">
            <v>Proportional</v>
          </cell>
          <cell r="S11466">
            <v>-17.82</v>
          </cell>
          <cell r="X11466" t="str">
            <v>Commissions - gross</v>
          </cell>
          <cell r="Y11466" t="str">
            <v>CHILE</v>
          </cell>
        </row>
        <row r="11467">
          <cell r="L11467" t="str">
            <v>Non-proportional</v>
          </cell>
          <cell r="S11467">
            <v>290.99</v>
          </cell>
          <cell r="X11467" t="str">
            <v>Commissions - gross</v>
          </cell>
          <cell r="Y11467" t="str">
            <v>THAILAND</v>
          </cell>
        </row>
        <row r="11468">
          <cell r="L11468" t="str">
            <v>Non-proportional</v>
          </cell>
          <cell r="S11468">
            <v>209.79</v>
          </cell>
          <cell r="X11468" t="str">
            <v>Commissions - gross</v>
          </cell>
          <cell r="Y11468" t="str">
            <v>CHILE</v>
          </cell>
        </row>
        <row r="11469">
          <cell r="L11469" t="str">
            <v>Non-proportional</v>
          </cell>
          <cell r="S11469">
            <v>878.2</v>
          </cell>
          <cell r="X11469" t="str">
            <v>Commissions - gross</v>
          </cell>
          <cell r="Y11469" t="str">
            <v>TURKEY</v>
          </cell>
        </row>
        <row r="11470">
          <cell r="L11470" t="str">
            <v>Non-proportional</v>
          </cell>
          <cell r="S11470">
            <v>146.91999999999999</v>
          </cell>
          <cell r="X11470" t="str">
            <v>Commissions - gross</v>
          </cell>
          <cell r="Y11470" t="str">
            <v>ISRAEL</v>
          </cell>
        </row>
        <row r="11471">
          <cell r="L11471" t="str">
            <v>Non-proportional</v>
          </cell>
          <cell r="S11471">
            <v>1541.74</v>
          </cell>
          <cell r="X11471" t="str">
            <v>Commissions - gross</v>
          </cell>
          <cell r="Y11471" t="str">
            <v>UNITED KINGDOM</v>
          </cell>
        </row>
        <row r="11472">
          <cell r="L11472" t="str">
            <v>Non-proportional</v>
          </cell>
          <cell r="S11472">
            <v>0</v>
          </cell>
          <cell r="X11472" t="str">
            <v>Commissions - gross</v>
          </cell>
          <cell r="Y11472" t="str">
            <v>COLOMBIA</v>
          </cell>
        </row>
        <row r="11473">
          <cell r="L11473" t="str">
            <v>Non-proportional</v>
          </cell>
          <cell r="S11473">
            <v>245.34</v>
          </cell>
          <cell r="X11473" t="str">
            <v>Commissions - gross</v>
          </cell>
          <cell r="Y11473" t="str">
            <v>UNITED KINGDOM</v>
          </cell>
        </row>
        <row r="11474">
          <cell r="L11474" t="str">
            <v>Non-proportional</v>
          </cell>
          <cell r="S11474">
            <v>941.63</v>
          </cell>
          <cell r="X11474" t="str">
            <v>Commissions - gross</v>
          </cell>
          <cell r="Y11474" t="str">
            <v>COSTA RICA</v>
          </cell>
        </row>
        <row r="11475">
          <cell r="L11475" t="str">
            <v>Non-proportional</v>
          </cell>
          <cell r="S11475">
            <v>1000</v>
          </cell>
          <cell r="X11475" t="str">
            <v>Commissions - gross</v>
          </cell>
          <cell r="Y11475" t="str">
            <v>EUROPE</v>
          </cell>
        </row>
        <row r="11476">
          <cell r="L11476" t="str">
            <v>Non-proportional</v>
          </cell>
          <cell r="S11476">
            <v>33623.760000000002</v>
          </cell>
          <cell r="X11476" t="str">
            <v>Commissions - gross</v>
          </cell>
          <cell r="Y11476" t="str">
            <v>UNITED KINGDOM</v>
          </cell>
        </row>
        <row r="11477">
          <cell r="L11477" t="str">
            <v>Non-proportional</v>
          </cell>
          <cell r="S11477">
            <v>145.83000000000001</v>
          </cell>
          <cell r="X11477" t="str">
            <v>Commissions - gross</v>
          </cell>
          <cell r="Y11477" t="str">
            <v>GREECE</v>
          </cell>
        </row>
        <row r="11478">
          <cell r="L11478" t="str">
            <v>Non-proportional</v>
          </cell>
          <cell r="S11478">
            <v>-6.95</v>
          </cell>
          <cell r="X11478" t="str">
            <v>Commissions - gross</v>
          </cell>
          <cell r="Y11478" t="str">
            <v>NEW ZEALAND</v>
          </cell>
        </row>
        <row r="11479">
          <cell r="L11479" t="str">
            <v>Non-proportional</v>
          </cell>
          <cell r="S11479">
            <v>66.5</v>
          </cell>
          <cell r="X11479" t="str">
            <v>Commissions - gross</v>
          </cell>
          <cell r="Y11479" t="str">
            <v>FRANCE</v>
          </cell>
        </row>
        <row r="11480">
          <cell r="L11480" t="str">
            <v>Non-proportional</v>
          </cell>
          <cell r="S11480">
            <v>6.66</v>
          </cell>
          <cell r="X11480" t="str">
            <v>Commissions - gross</v>
          </cell>
          <cell r="Y11480" t="str">
            <v>ISRAEL</v>
          </cell>
        </row>
        <row r="11481">
          <cell r="L11481" t="str">
            <v>Non-proportional</v>
          </cell>
          <cell r="S11481">
            <v>734.24</v>
          </cell>
          <cell r="X11481" t="str">
            <v>Commissions - gross</v>
          </cell>
          <cell r="Y11481" t="str">
            <v>FRANCE</v>
          </cell>
        </row>
        <row r="11482">
          <cell r="L11482" t="str">
            <v>Non-proportional</v>
          </cell>
          <cell r="S11482">
            <v>84.38</v>
          </cell>
          <cell r="X11482" t="str">
            <v>Commissions - gross</v>
          </cell>
          <cell r="Y11482" t="str">
            <v>GREECE</v>
          </cell>
        </row>
        <row r="11483">
          <cell r="L11483" t="str">
            <v>Non-proportional</v>
          </cell>
          <cell r="S11483">
            <v>1201.19</v>
          </cell>
          <cell r="X11483" t="str">
            <v>Commissions - gross</v>
          </cell>
          <cell r="Y11483" t="str">
            <v>FRANCE</v>
          </cell>
        </row>
        <row r="11484">
          <cell r="L11484" t="str">
            <v>Non-proportional</v>
          </cell>
          <cell r="S11484">
            <v>524.92999999999995</v>
          </cell>
          <cell r="X11484" t="str">
            <v>Commissions - gross</v>
          </cell>
          <cell r="Y11484" t="str">
            <v>NEW ZEALAND</v>
          </cell>
        </row>
        <row r="11485">
          <cell r="L11485" t="str">
            <v>Non-proportional</v>
          </cell>
          <cell r="S11485">
            <v>120.22</v>
          </cell>
          <cell r="X11485" t="str">
            <v>Commissions - gross</v>
          </cell>
          <cell r="Y11485" t="str">
            <v>REPUBLIC OF IRELAND</v>
          </cell>
        </row>
        <row r="11486">
          <cell r="L11486" t="str">
            <v>Non-proportional</v>
          </cell>
          <cell r="S11486">
            <v>705.12</v>
          </cell>
          <cell r="X11486" t="str">
            <v>Commissions - gross</v>
          </cell>
          <cell r="Y11486" t="str">
            <v>UNITED KINGDOM</v>
          </cell>
        </row>
        <row r="11487">
          <cell r="L11487" t="str">
            <v>Non-proportional</v>
          </cell>
          <cell r="S11487">
            <v>-21.2</v>
          </cell>
          <cell r="X11487" t="str">
            <v>Commissions - gross</v>
          </cell>
          <cell r="Y11487" t="str">
            <v>JAPAN</v>
          </cell>
        </row>
        <row r="11488">
          <cell r="L11488" t="str">
            <v>Non-proportional</v>
          </cell>
          <cell r="S11488">
            <v>69.930000000000007</v>
          </cell>
          <cell r="X11488" t="str">
            <v>Commissions - gross</v>
          </cell>
          <cell r="Y11488" t="str">
            <v>CHILE</v>
          </cell>
        </row>
        <row r="11489">
          <cell r="L11489" t="str">
            <v>Non-proportional</v>
          </cell>
          <cell r="S11489">
            <v>247.93</v>
          </cell>
          <cell r="X11489" t="str">
            <v>Commissions - gross</v>
          </cell>
          <cell r="Y11489" t="str">
            <v>INDIA</v>
          </cell>
        </row>
        <row r="11490">
          <cell r="L11490" t="str">
            <v>Non-proportional</v>
          </cell>
          <cell r="S11490">
            <v>293.47000000000003</v>
          </cell>
          <cell r="X11490" t="str">
            <v>Commissions - gross</v>
          </cell>
          <cell r="Y11490" t="str">
            <v>ECUADOR</v>
          </cell>
        </row>
        <row r="11491">
          <cell r="L11491" t="str">
            <v>Non-proportional</v>
          </cell>
          <cell r="S11491">
            <v>875</v>
          </cell>
          <cell r="X11491" t="str">
            <v>Commissions - gross</v>
          </cell>
          <cell r="Y11491" t="str">
            <v>EUROPE</v>
          </cell>
        </row>
        <row r="11492">
          <cell r="L11492" t="str">
            <v>Non-proportional</v>
          </cell>
          <cell r="S11492">
            <v>423.33</v>
          </cell>
          <cell r="X11492" t="str">
            <v>Commissions - gross</v>
          </cell>
          <cell r="Y11492" t="str">
            <v>FRANCE</v>
          </cell>
        </row>
        <row r="11493">
          <cell r="L11493" t="str">
            <v>Non-proportional</v>
          </cell>
          <cell r="S11493">
            <v>-13.45</v>
          </cell>
          <cell r="X11493" t="str">
            <v>Commissions - gross</v>
          </cell>
          <cell r="Y11493" t="str">
            <v>TURKEY</v>
          </cell>
        </row>
        <row r="11494">
          <cell r="L11494" t="str">
            <v>Non-proportional</v>
          </cell>
          <cell r="S11494">
            <v>314.68</v>
          </cell>
          <cell r="X11494" t="str">
            <v>Commissions - gross</v>
          </cell>
          <cell r="Y11494" t="str">
            <v>CHILE</v>
          </cell>
        </row>
        <row r="11495">
          <cell r="L11495" t="str">
            <v>Non-proportional</v>
          </cell>
          <cell r="S11495">
            <v>161.79</v>
          </cell>
          <cell r="X11495" t="str">
            <v>Commissions - gross</v>
          </cell>
          <cell r="Y11495" t="str">
            <v>ISRAEL</v>
          </cell>
        </row>
        <row r="11496">
          <cell r="L11496" t="str">
            <v>Non-proportional</v>
          </cell>
          <cell r="S11496">
            <v>454.18</v>
          </cell>
          <cell r="X11496" t="str">
            <v>Commissions - gross</v>
          </cell>
          <cell r="Y11496" t="str">
            <v>BELIZE</v>
          </cell>
        </row>
        <row r="11497">
          <cell r="L11497" t="str">
            <v>Non-proportional</v>
          </cell>
          <cell r="S11497">
            <v>997.75</v>
          </cell>
          <cell r="X11497" t="str">
            <v>Commissions - gross</v>
          </cell>
          <cell r="Y11497" t="str">
            <v>ITALY</v>
          </cell>
        </row>
        <row r="11498">
          <cell r="L11498" t="str">
            <v>Non-proportional</v>
          </cell>
          <cell r="S11498">
            <v>-1.31</v>
          </cell>
          <cell r="X11498" t="str">
            <v>Commissions - gross</v>
          </cell>
          <cell r="Y11498" t="str">
            <v>DOMINICAN REPUBLIC</v>
          </cell>
        </row>
        <row r="11499">
          <cell r="L11499" t="str">
            <v>Non-proportional</v>
          </cell>
          <cell r="S11499">
            <v>-8.08</v>
          </cell>
          <cell r="X11499" t="str">
            <v>Commissions - gross</v>
          </cell>
          <cell r="Y11499" t="str">
            <v>INDIA</v>
          </cell>
        </row>
        <row r="11500">
          <cell r="L11500" t="str">
            <v>Non-proportional</v>
          </cell>
          <cell r="S11500">
            <v>249.52</v>
          </cell>
          <cell r="X11500" t="str">
            <v>Commissions - gross</v>
          </cell>
          <cell r="Y11500" t="str">
            <v>ITALY</v>
          </cell>
        </row>
        <row r="11501">
          <cell r="L11501" t="str">
            <v>Non-proportional</v>
          </cell>
          <cell r="S11501">
            <v>223.78</v>
          </cell>
          <cell r="X11501" t="str">
            <v>Commissions - gross</v>
          </cell>
          <cell r="Y11501" t="str">
            <v>UNITED KINGDOM</v>
          </cell>
        </row>
        <row r="11502">
          <cell r="L11502" t="str">
            <v>Non-proportional</v>
          </cell>
          <cell r="S11502">
            <v>25.17</v>
          </cell>
          <cell r="X11502" t="str">
            <v>Commissions - gross</v>
          </cell>
          <cell r="Y11502" t="str">
            <v>COLOMBIA</v>
          </cell>
        </row>
        <row r="11503">
          <cell r="L11503" t="str">
            <v>Non-proportional</v>
          </cell>
          <cell r="S11503">
            <v>-21.01</v>
          </cell>
          <cell r="X11503" t="str">
            <v>Commissions - gross</v>
          </cell>
          <cell r="Y11503" t="str">
            <v>NEW ZEALAND</v>
          </cell>
        </row>
        <row r="11504">
          <cell r="L11504" t="str">
            <v>Non-proportional</v>
          </cell>
          <cell r="S11504">
            <v>-2.08</v>
          </cell>
          <cell r="X11504" t="str">
            <v>Commissions - gross</v>
          </cell>
          <cell r="Y11504" t="str">
            <v>DOMINICAN REPUBLIC</v>
          </cell>
        </row>
        <row r="11505">
          <cell r="L11505" t="str">
            <v>Non-proportional</v>
          </cell>
          <cell r="S11505">
            <v>357.06</v>
          </cell>
          <cell r="X11505" t="str">
            <v>Commissions - gross</v>
          </cell>
          <cell r="Y11505" t="str">
            <v>GREECE</v>
          </cell>
        </row>
        <row r="11506">
          <cell r="L11506" t="str">
            <v>Non-proportional</v>
          </cell>
          <cell r="S11506">
            <v>2475</v>
          </cell>
          <cell r="X11506" t="str">
            <v>Commissions - gross</v>
          </cell>
          <cell r="Y11506" t="str">
            <v>GREECE</v>
          </cell>
        </row>
        <row r="11507">
          <cell r="L11507" t="str">
            <v>Non-proportional</v>
          </cell>
          <cell r="S11507">
            <v>527.45000000000005</v>
          </cell>
          <cell r="X11507" t="str">
            <v>Commissions - gross</v>
          </cell>
          <cell r="Y11507" t="str">
            <v>CYPRUS</v>
          </cell>
        </row>
        <row r="11508">
          <cell r="L11508" t="str">
            <v>Non-proportional</v>
          </cell>
          <cell r="S11508">
            <v>348.06</v>
          </cell>
          <cell r="X11508" t="str">
            <v>Commissions - gross</v>
          </cell>
          <cell r="Y11508" t="str">
            <v>ISRAEL</v>
          </cell>
        </row>
        <row r="11509">
          <cell r="L11509" t="str">
            <v>Non-proportional</v>
          </cell>
          <cell r="S11509">
            <v>1097.48</v>
          </cell>
          <cell r="X11509" t="str">
            <v>Commissions - gross</v>
          </cell>
          <cell r="Y11509" t="str">
            <v>GERMANY</v>
          </cell>
        </row>
        <row r="11510">
          <cell r="L11510" t="str">
            <v>Non-proportional</v>
          </cell>
          <cell r="S11510">
            <v>394.86</v>
          </cell>
          <cell r="X11510" t="str">
            <v>Commissions - gross</v>
          </cell>
          <cell r="Y11510" t="str">
            <v>COLOMBIA</v>
          </cell>
        </row>
        <row r="11511">
          <cell r="L11511" t="str">
            <v>Non-proportional</v>
          </cell>
          <cell r="S11511">
            <v>317.39</v>
          </cell>
          <cell r="X11511" t="str">
            <v>Commissions - gross</v>
          </cell>
          <cell r="Y11511" t="str">
            <v>ECUADOR</v>
          </cell>
        </row>
        <row r="11512">
          <cell r="L11512" t="str">
            <v>Non-proportional</v>
          </cell>
          <cell r="S11512">
            <v>-40.32</v>
          </cell>
          <cell r="X11512" t="str">
            <v>Commissions - gross</v>
          </cell>
          <cell r="Y11512" t="str">
            <v>NEW ZEALAND</v>
          </cell>
        </row>
        <row r="11513">
          <cell r="L11513" t="str">
            <v>Non-proportional</v>
          </cell>
          <cell r="S11513">
            <v>369.06</v>
          </cell>
          <cell r="X11513" t="str">
            <v>Commissions - gross</v>
          </cell>
          <cell r="Y11513" t="str">
            <v>SINGAPORE</v>
          </cell>
        </row>
        <row r="11514">
          <cell r="L11514" t="str">
            <v>Non-proportional</v>
          </cell>
          <cell r="S11514">
            <v>31.85</v>
          </cell>
          <cell r="X11514" t="str">
            <v>Commissions - gross</v>
          </cell>
          <cell r="Y11514" t="str">
            <v>TURKEY</v>
          </cell>
        </row>
        <row r="11515">
          <cell r="L11515" t="str">
            <v>Proportional</v>
          </cell>
          <cell r="S11515">
            <v>101.73</v>
          </cell>
          <cell r="X11515" t="str">
            <v>Commissions - gross</v>
          </cell>
          <cell r="Y11515" t="str">
            <v>JAPAN</v>
          </cell>
        </row>
        <row r="11516">
          <cell r="L11516" t="str">
            <v>Non-proportional</v>
          </cell>
          <cell r="S11516">
            <v>202.95</v>
          </cell>
          <cell r="X11516" t="str">
            <v>Commissions - gross</v>
          </cell>
          <cell r="Y11516" t="str">
            <v>PERU</v>
          </cell>
        </row>
        <row r="11517">
          <cell r="L11517" t="str">
            <v>Non-proportional</v>
          </cell>
          <cell r="S11517">
            <v>1007.07</v>
          </cell>
          <cell r="X11517" t="str">
            <v>Commissions - gross</v>
          </cell>
          <cell r="Y11517" t="str">
            <v>NEW ZEALAND</v>
          </cell>
        </row>
        <row r="11518">
          <cell r="L11518" t="str">
            <v>Non-proportional</v>
          </cell>
          <cell r="S11518">
            <v>-0.22</v>
          </cell>
          <cell r="X11518" t="str">
            <v>Commissions - gross</v>
          </cell>
          <cell r="Y11518" t="str">
            <v>GUATEMALA</v>
          </cell>
        </row>
        <row r="11519">
          <cell r="L11519" t="str">
            <v>Non-proportional</v>
          </cell>
          <cell r="S11519">
            <v>34.76</v>
          </cell>
          <cell r="X11519" t="str">
            <v>Commissions - gross</v>
          </cell>
          <cell r="Y11519" t="str">
            <v>NEW ZEALAND</v>
          </cell>
        </row>
        <row r="11520">
          <cell r="L11520" t="str">
            <v>Non-proportional</v>
          </cell>
          <cell r="S11520">
            <v>466.65</v>
          </cell>
          <cell r="X11520" t="str">
            <v>Commissions - gross</v>
          </cell>
          <cell r="Y11520" t="str">
            <v>TURKEY</v>
          </cell>
        </row>
        <row r="11521">
          <cell r="L11521" t="str">
            <v>Non-proportional</v>
          </cell>
          <cell r="S11521">
            <v>1588.55</v>
          </cell>
          <cell r="X11521" t="str">
            <v>Commissions - gross</v>
          </cell>
          <cell r="Y11521" t="str">
            <v>EUROPE</v>
          </cell>
        </row>
        <row r="11522">
          <cell r="L11522" t="str">
            <v>Proportional</v>
          </cell>
          <cell r="S11522">
            <v>913.37</v>
          </cell>
          <cell r="X11522" t="str">
            <v>Commissions - gross</v>
          </cell>
          <cell r="Y11522" t="str">
            <v>MEXICO</v>
          </cell>
        </row>
        <row r="11523">
          <cell r="L11523" t="str">
            <v>Non-proportional</v>
          </cell>
          <cell r="S11523">
            <v>25.7</v>
          </cell>
          <cell r="X11523" t="str">
            <v>Commissions - gross</v>
          </cell>
          <cell r="Y11523" t="str">
            <v>NEW ZEALAND</v>
          </cell>
        </row>
        <row r="11524">
          <cell r="L11524" t="str">
            <v>Proportional</v>
          </cell>
          <cell r="S11524">
            <v>2.72</v>
          </cell>
          <cell r="X11524" t="str">
            <v>Commissions - gross</v>
          </cell>
          <cell r="Y11524" t="str">
            <v>UNITED STATES</v>
          </cell>
        </row>
        <row r="11525">
          <cell r="L11525" t="str">
            <v>Proportional</v>
          </cell>
          <cell r="S11525">
            <v>91.07</v>
          </cell>
          <cell r="X11525" t="str">
            <v>Commissions - gross</v>
          </cell>
          <cell r="Y11525" t="str">
            <v>PERU</v>
          </cell>
        </row>
        <row r="11526">
          <cell r="L11526" t="str">
            <v>Non-proportional</v>
          </cell>
          <cell r="S11526">
            <v>1519.61</v>
          </cell>
          <cell r="X11526" t="str">
            <v>Commissions - gross</v>
          </cell>
          <cell r="Y11526" t="str">
            <v>SOUTH KOREA</v>
          </cell>
        </row>
        <row r="11527">
          <cell r="L11527" t="str">
            <v>Non-proportional</v>
          </cell>
          <cell r="S11527">
            <v>38.75</v>
          </cell>
          <cell r="X11527" t="str">
            <v>Commissions - gross</v>
          </cell>
          <cell r="Y11527" t="str">
            <v>ITALY</v>
          </cell>
        </row>
        <row r="11528">
          <cell r="L11528" t="str">
            <v>Non-proportional</v>
          </cell>
          <cell r="S11528">
            <v>115.25</v>
          </cell>
          <cell r="X11528" t="str">
            <v>Commissions - gross</v>
          </cell>
          <cell r="Y11528" t="str">
            <v>SOUTH AFRICA</v>
          </cell>
        </row>
        <row r="11529">
          <cell r="L11529" t="str">
            <v>Non-proportional</v>
          </cell>
          <cell r="S11529">
            <v>97.5</v>
          </cell>
          <cell r="X11529" t="str">
            <v>Commissions - gross</v>
          </cell>
          <cell r="Y11529" t="str">
            <v>GREECE</v>
          </cell>
        </row>
        <row r="11530">
          <cell r="L11530" t="str">
            <v>Non-proportional</v>
          </cell>
          <cell r="S11530">
            <v>116.86</v>
          </cell>
          <cell r="X11530" t="str">
            <v>Commissions - gross</v>
          </cell>
          <cell r="Y11530" t="str">
            <v>PERU</v>
          </cell>
        </row>
        <row r="11531">
          <cell r="L11531" t="str">
            <v>Non-proportional</v>
          </cell>
          <cell r="S11531">
            <v>433.16</v>
          </cell>
          <cell r="X11531" t="str">
            <v>Commissions - gross</v>
          </cell>
          <cell r="Y11531" t="str">
            <v>UNITED KINGDOM</v>
          </cell>
        </row>
        <row r="11532">
          <cell r="L11532" t="str">
            <v>Non-proportional</v>
          </cell>
          <cell r="S11532">
            <v>-4.01</v>
          </cell>
          <cell r="X11532" t="str">
            <v>Commissions - gross</v>
          </cell>
          <cell r="Y11532" t="str">
            <v>JAPAN</v>
          </cell>
        </row>
        <row r="11533">
          <cell r="L11533" t="str">
            <v>Non-proportional</v>
          </cell>
          <cell r="S11533">
            <v>959.74</v>
          </cell>
          <cell r="X11533" t="str">
            <v>Commissions - gross</v>
          </cell>
          <cell r="Y11533" t="str">
            <v>ECUADOR</v>
          </cell>
        </row>
        <row r="11534">
          <cell r="L11534" t="str">
            <v>Proportional</v>
          </cell>
          <cell r="S11534">
            <v>62.63</v>
          </cell>
          <cell r="X11534" t="str">
            <v>Commissions - gross</v>
          </cell>
          <cell r="Y11534" t="str">
            <v>PERU</v>
          </cell>
        </row>
        <row r="11535">
          <cell r="L11535" t="str">
            <v>Non-proportional</v>
          </cell>
          <cell r="S11535">
            <v>20.57</v>
          </cell>
          <cell r="X11535" t="str">
            <v>Commissions - gross</v>
          </cell>
          <cell r="Y11535" t="str">
            <v>FRANCE</v>
          </cell>
        </row>
        <row r="11536">
          <cell r="L11536" t="str">
            <v>Non-proportional</v>
          </cell>
          <cell r="S11536">
            <v>378.35</v>
          </cell>
          <cell r="X11536" t="str">
            <v>Commissions - gross</v>
          </cell>
          <cell r="Y11536" t="str">
            <v>ISRAEL</v>
          </cell>
        </row>
        <row r="11537">
          <cell r="L11537" t="str">
            <v>Non-proportional</v>
          </cell>
          <cell r="S11537">
            <v>633.82000000000005</v>
          </cell>
          <cell r="X11537" t="str">
            <v>Commissions - gross</v>
          </cell>
          <cell r="Y11537" t="str">
            <v>ISRAEL</v>
          </cell>
        </row>
        <row r="11538">
          <cell r="L11538" t="str">
            <v>Non-proportional</v>
          </cell>
          <cell r="S11538">
            <v>696.32</v>
          </cell>
          <cell r="X11538" t="str">
            <v>Commissions - gross</v>
          </cell>
          <cell r="Y11538" t="str">
            <v>FRANCE</v>
          </cell>
        </row>
        <row r="11539">
          <cell r="L11539" t="str">
            <v>Non-proportional</v>
          </cell>
          <cell r="S11539">
            <v>129.97999999999999</v>
          </cell>
          <cell r="X11539" t="str">
            <v>Commissions - gross</v>
          </cell>
          <cell r="Y11539" t="str">
            <v>ECUADOR</v>
          </cell>
        </row>
        <row r="11540">
          <cell r="L11540" t="str">
            <v>Non-proportional</v>
          </cell>
          <cell r="S11540">
            <v>531.28</v>
          </cell>
          <cell r="X11540" t="str">
            <v>Commissions - gross</v>
          </cell>
          <cell r="Y11540" t="str">
            <v>NETHERLANDS</v>
          </cell>
        </row>
        <row r="11541">
          <cell r="L11541" t="str">
            <v>Non-proportional</v>
          </cell>
          <cell r="S11541">
            <v>3.04</v>
          </cell>
          <cell r="X11541" t="str">
            <v>Commissions - gross</v>
          </cell>
          <cell r="Y11541" t="str">
            <v>ISRAEL</v>
          </cell>
        </row>
        <row r="11542">
          <cell r="L11542" t="str">
            <v>Proportional</v>
          </cell>
          <cell r="S11542">
            <v>5131.08</v>
          </cell>
          <cell r="X11542" t="str">
            <v>Commissions - gross</v>
          </cell>
          <cell r="Y11542" t="str">
            <v>UNITED STATES</v>
          </cell>
        </row>
        <row r="11543">
          <cell r="L11543" t="str">
            <v>Non-proportional</v>
          </cell>
          <cell r="S11543">
            <v>419.4</v>
          </cell>
          <cell r="X11543" t="str">
            <v>Commissions - gross</v>
          </cell>
          <cell r="Y11543" t="str">
            <v>COLOMBIA</v>
          </cell>
        </row>
        <row r="11544">
          <cell r="L11544" t="str">
            <v>Non-proportional</v>
          </cell>
          <cell r="S11544">
            <v>639.35</v>
          </cell>
          <cell r="X11544" t="str">
            <v>Commissions - gross</v>
          </cell>
          <cell r="Y11544" t="str">
            <v>NETHERLANDS</v>
          </cell>
        </row>
        <row r="11545">
          <cell r="L11545" t="str">
            <v>Non-proportional</v>
          </cell>
          <cell r="S11545">
            <v>454.54</v>
          </cell>
          <cell r="X11545" t="str">
            <v>Commissions - gross</v>
          </cell>
          <cell r="Y11545" t="str">
            <v>CHILE</v>
          </cell>
        </row>
        <row r="11546">
          <cell r="L11546" t="str">
            <v>Non-proportional</v>
          </cell>
          <cell r="S11546">
            <v>1307.3</v>
          </cell>
          <cell r="X11546" t="str">
            <v>Commissions - gross</v>
          </cell>
          <cell r="Y11546" t="str">
            <v>FRANCE</v>
          </cell>
        </row>
        <row r="11547">
          <cell r="L11547" t="str">
            <v>Non-proportional</v>
          </cell>
          <cell r="S11547">
            <v>9656.4500000000007</v>
          </cell>
          <cell r="X11547" t="str">
            <v>Commissions - gross</v>
          </cell>
          <cell r="Y11547" t="str">
            <v>UNITED KINGDOM</v>
          </cell>
        </row>
        <row r="11548">
          <cell r="L11548" t="str">
            <v>Non-proportional</v>
          </cell>
          <cell r="S11548">
            <v>289.38</v>
          </cell>
          <cell r="X11548" t="str">
            <v>Commissions - gross</v>
          </cell>
          <cell r="Y11548" t="str">
            <v>JAPAN</v>
          </cell>
        </row>
        <row r="11549">
          <cell r="L11549" t="str">
            <v>Non-proportional</v>
          </cell>
          <cell r="S11549">
            <v>194.65</v>
          </cell>
          <cell r="X11549" t="str">
            <v>Commissions - gross</v>
          </cell>
          <cell r="Y11549" t="str">
            <v>REPUBLIC OF IRELAND</v>
          </cell>
        </row>
        <row r="11550">
          <cell r="L11550" t="str">
            <v>Non-proportional</v>
          </cell>
          <cell r="S11550">
            <v>41.77</v>
          </cell>
          <cell r="X11550" t="str">
            <v>Commissions - gross</v>
          </cell>
          <cell r="Y11550" t="str">
            <v>NETHERLANDS</v>
          </cell>
        </row>
        <row r="11551">
          <cell r="L11551" t="str">
            <v>Proportional</v>
          </cell>
          <cell r="S11551">
            <v>10.99</v>
          </cell>
          <cell r="X11551" t="str">
            <v>Commissions - gross</v>
          </cell>
          <cell r="Y11551" t="str">
            <v>UNITED STATES</v>
          </cell>
        </row>
        <row r="11552">
          <cell r="L11552" t="str">
            <v>Non-proportional</v>
          </cell>
          <cell r="S11552">
            <v>96.42</v>
          </cell>
          <cell r="X11552" t="str">
            <v>Commissions - gross</v>
          </cell>
          <cell r="Y11552" t="str">
            <v>ISRAEL</v>
          </cell>
        </row>
        <row r="11553">
          <cell r="L11553" t="str">
            <v>Non-proportional</v>
          </cell>
          <cell r="S11553">
            <v>2259.16</v>
          </cell>
          <cell r="X11553" t="str">
            <v>Commissions - gross</v>
          </cell>
          <cell r="Y11553" t="str">
            <v>NEW ZEALAND</v>
          </cell>
        </row>
        <row r="11554">
          <cell r="L11554" t="str">
            <v>Non-proportional</v>
          </cell>
          <cell r="S11554">
            <v>104.58</v>
          </cell>
          <cell r="X11554" t="str">
            <v>Commissions - gross</v>
          </cell>
          <cell r="Y11554" t="str">
            <v>JAPAN</v>
          </cell>
        </row>
        <row r="11555">
          <cell r="L11555" t="str">
            <v>Non-proportional</v>
          </cell>
          <cell r="S11555">
            <v>0</v>
          </cell>
          <cell r="X11555" t="str">
            <v>Commissions - gross</v>
          </cell>
          <cell r="Y11555" t="str">
            <v>COLOMBIA</v>
          </cell>
        </row>
        <row r="11556">
          <cell r="L11556" t="str">
            <v>Non-proportional</v>
          </cell>
          <cell r="S11556">
            <v>39</v>
          </cell>
          <cell r="X11556" t="str">
            <v>Commissions - gross</v>
          </cell>
          <cell r="Y11556" t="str">
            <v>ITALY</v>
          </cell>
        </row>
        <row r="11557">
          <cell r="L11557" t="str">
            <v>Non-proportional</v>
          </cell>
          <cell r="S11557">
            <v>159.69999999999999</v>
          </cell>
          <cell r="X11557" t="str">
            <v>Commissions - gross</v>
          </cell>
          <cell r="Y11557" t="str">
            <v>COSTA RICA</v>
          </cell>
        </row>
        <row r="11558">
          <cell r="L11558" t="str">
            <v>Non-proportional</v>
          </cell>
          <cell r="S11558">
            <v>1682.5</v>
          </cell>
          <cell r="X11558" t="str">
            <v>Commissions - gross</v>
          </cell>
          <cell r="Y11558" t="str">
            <v>JAPAN</v>
          </cell>
        </row>
        <row r="11559">
          <cell r="L11559" t="str">
            <v>Non-proportional</v>
          </cell>
          <cell r="S11559">
            <v>1022.97</v>
          </cell>
          <cell r="X11559" t="str">
            <v>Commissions - gross</v>
          </cell>
          <cell r="Y11559" t="str">
            <v>UNITED KINGDOM</v>
          </cell>
        </row>
        <row r="11560">
          <cell r="L11560" t="str">
            <v>Non-proportional</v>
          </cell>
          <cell r="S11560">
            <v>85.17</v>
          </cell>
          <cell r="X11560" t="str">
            <v>Commissions - gross</v>
          </cell>
          <cell r="Y11560" t="str">
            <v>COSTA RICA</v>
          </cell>
        </row>
        <row r="11561">
          <cell r="L11561" t="str">
            <v>Non-proportional</v>
          </cell>
          <cell r="S11561">
            <v>562.88</v>
          </cell>
          <cell r="X11561" t="str">
            <v>Commissions - gross</v>
          </cell>
          <cell r="Y11561" t="str">
            <v>PUERTO RICO</v>
          </cell>
        </row>
        <row r="11562">
          <cell r="L11562" t="str">
            <v>Non-proportional</v>
          </cell>
          <cell r="S11562">
            <v>377.29</v>
          </cell>
          <cell r="X11562" t="str">
            <v>Commissions - gross</v>
          </cell>
          <cell r="Y11562" t="str">
            <v>ECUADOR</v>
          </cell>
        </row>
        <row r="11563">
          <cell r="L11563" t="str">
            <v>Non-proportional</v>
          </cell>
          <cell r="S11563">
            <v>210.76</v>
          </cell>
          <cell r="X11563" t="str">
            <v>Commissions - gross</v>
          </cell>
          <cell r="Y11563" t="str">
            <v>JAPAN</v>
          </cell>
        </row>
        <row r="11564">
          <cell r="L11564" t="str">
            <v>Non-proportional</v>
          </cell>
          <cell r="S11564">
            <v>489.5</v>
          </cell>
          <cell r="X11564" t="str">
            <v>Commissions - gross</v>
          </cell>
          <cell r="Y11564" t="str">
            <v>CHILE</v>
          </cell>
        </row>
        <row r="11565">
          <cell r="L11565" t="str">
            <v>Non-proportional</v>
          </cell>
          <cell r="S11565">
            <v>173.47</v>
          </cell>
          <cell r="X11565" t="str">
            <v>Commissions - gross</v>
          </cell>
          <cell r="Y11565" t="str">
            <v>NEW ZEALAND</v>
          </cell>
        </row>
        <row r="11566">
          <cell r="L11566" t="str">
            <v>Proportional</v>
          </cell>
          <cell r="S11566">
            <v>13.53</v>
          </cell>
          <cell r="X11566" t="str">
            <v>Commissions - gross</v>
          </cell>
          <cell r="Y11566" t="str">
            <v>UNITED STATES</v>
          </cell>
        </row>
        <row r="11567">
          <cell r="L11567" t="str">
            <v>Non-proportional</v>
          </cell>
          <cell r="S11567">
            <v>368.93</v>
          </cell>
          <cell r="X11567" t="str">
            <v>Commissions - gross</v>
          </cell>
          <cell r="Y11567" t="str">
            <v>THAILAND</v>
          </cell>
        </row>
        <row r="11568">
          <cell r="L11568" t="str">
            <v>Non-proportional</v>
          </cell>
          <cell r="S11568">
            <v>10933.04</v>
          </cell>
          <cell r="X11568" t="str">
            <v>Commissions - gross</v>
          </cell>
          <cell r="Y11568" t="str">
            <v>FRANCE</v>
          </cell>
        </row>
        <row r="11569">
          <cell r="L11569" t="str">
            <v>Non-proportional</v>
          </cell>
          <cell r="S11569">
            <v>-0.55000000000000004</v>
          </cell>
          <cell r="X11569" t="str">
            <v>Commissions - gross</v>
          </cell>
          <cell r="Y11569" t="str">
            <v>GUATEMALA</v>
          </cell>
        </row>
        <row r="11570">
          <cell r="L11570" t="str">
            <v>Non-proportional</v>
          </cell>
          <cell r="S11570">
            <v>133.03</v>
          </cell>
          <cell r="X11570" t="str">
            <v>Commissions - gross</v>
          </cell>
          <cell r="Y11570" t="str">
            <v>FRANCE</v>
          </cell>
        </row>
        <row r="11571">
          <cell r="L11571" t="str">
            <v>Non-proportional</v>
          </cell>
          <cell r="S11571">
            <v>884.39</v>
          </cell>
          <cell r="X11571" t="str">
            <v>Commissions - gross</v>
          </cell>
          <cell r="Y11571" t="str">
            <v>TURKEY</v>
          </cell>
        </row>
        <row r="11572">
          <cell r="L11572" t="str">
            <v>Non-proportional</v>
          </cell>
          <cell r="S11572">
            <v>69.510000000000005</v>
          </cell>
          <cell r="X11572" t="str">
            <v>Commissions - gross</v>
          </cell>
          <cell r="Y11572" t="str">
            <v>ECUADOR</v>
          </cell>
        </row>
        <row r="11573">
          <cell r="L11573" t="str">
            <v>Non-proportional</v>
          </cell>
          <cell r="S11573">
            <v>-20.43</v>
          </cell>
          <cell r="X11573" t="str">
            <v>Commissions - gross</v>
          </cell>
          <cell r="Y11573" t="str">
            <v>JAPAN</v>
          </cell>
        </row>
        <row r="11574">
          <cell r="L11574" t="str">
            <v>Non-proportional</v>
          </cell>
          <cell r="S11574">
            <v>171.8</v>
          </cell>
          <cell r="X11574" t="str">
            <v>Commissions - gross</v>
          </cell>
          <cell r="Y11574" t="str">
            <v>FRANCE</v>
          </cell>
        </row>
        <row r="11575">
          <cell r="L11575" t="str">
            <v>Non-proportional</v>
          </cell>
          <cell r="S11575">
            <v>-6.95</v>
          </cell>
          <cell r="X11575" t="str">
            <v>Commissions - gross</v>
          </cell>
          <cell r="Y11575" t="str">
            <v>NEW ZEALAND</v>
          </cell>
        </row>
        <row r="11576">
          <cell r="L11576" t="str">
            <v>Non-proportional</v>
          </cell>
          <cell r="S11576">
            <v>823.83</v>
          </cell>
          <cell r="X11576" t="str">
            <v>Commissions - gross</v>
          </cell>
          <cell r="Y11576" t="str">
            <v>ITALY</v>
          </cell>
        </row>
        <row r="11577">
          <cell r="L11577" t="str">
            <v>Non-proportional</v>
          </cell>
          <cell r="S11577">
            <v>1012.05</v>
          </cell>
          <cell r="X11577" t="str">
            <v>Commissions - gross</v>
          </cell>
          <cell r="Y11577" t="str">
            <v>ITALY</v>
          </cell>
        </row>
        <row r="11578">
          <cell r="L11578" t="str">
            <v>Non-proportional</v>
          </cell>
          <cell r="S11578">
            <v>853.13</v>
          </cell>
          <cell r="X11578" t="str">
            <v>Commissions - gross</v>
          </cell>
          <cell r="Y11578" t="str">
            <v>TURKEY</v>
          </cell>
        </row>
        <row r="11579">
          <cell r="L11579" t="str">
            <v>Non-proportional</v>
          </cell>
          <cell r="S11579">
            <v>1809.98</v>
          </cell>
          <cell r="X11579" t="str">
            <v>Commissions - gross</v>
          </cell>
          <cell r="Y11579" t="str">
            <v>PUERTO RICO</v>
          </cell>
        </row>
        <row r="11580">
          <cell r="L11580" t="str">
            <v>Non-proportional</v>
          </cell>
          <cell r="S11580">
            <v>-29.63</v>
          </cell>
          <cell r="X11580" t="str">
            <v>Commissions - gross</v>
          </cell>
          <cell r="Y11580" t="str">
            <v>INDIA</v>
          </cell>
        </row>
        <row r="11581">
          <cell r="L11581" t="str">
            <v>Non-proportional</v>
          </cell>
          <cell r="S11581">
            <v>686.21</v>
          </cell>
          <cell r="X11581" t="str">
            <v>Commissions - gross</v>
          </cell>
          <cell r="Y11581" t="str">
            <v>AUSTRALIA</v>
          </cell>
        </row>
        <row r="11582">
          <cell r="L11582" t="str">
            <v>Non-proportional</v>
          </cell>
          <cell r="S11582">
            <v>848.42</v>
          </cell>
          <cell r="X11582" t="str">
            <v>Commissions - gross</v>
          </cell>
          <cell r="Y11582" t="str">
            <v>ECUADOR</v>
          </cell>
        </row>
        <row r="11583">
          <cell r="L11583" t="str">
            <v>Non-proportional</v>
          </cell>
          <cell r="S11583">
            <v>809.46</v>
          </cell>
          <cell r="X11583" t="str">
            <v>Commissions - gross</v>
          </cell>
          <cell r="Y11583" t="str">
            <v>COLOMBIA</v>
          </cell>
        </row>
        <row r="11584">
          <cell r="L11584" t="str">
            <v>Non-proportional</v>
          </cell>
          <cell r="S11584">
            <v>188.02</v>
          </cell>
          <cell r="X11584" t="str">
            <v>Commissions - gross</v>
          </cell>
          <cell r="Y11584" t="str">
            <v>ISRAEL</v>
          </cell>
        </row>
        <row r="11585">
          <cell r="L11585" t="str">
            <v>Non-proportional</v>
          </cell>
          <cell r="S11585">
            <v>-25.37</v>
          </cell>
          <cell r="X11585" t="str">
            <v>Commissions - gross</v>
          </cell>
          <cell r="Y11585" t="str">
            <v>NEW ZEALAND</v>
          </cell>
        </row>
        <row r="11586">
          <cell r="L11586" t="str">
            <v>Non-proportional</v>
          </cell>
          <cell r="S11586">
            <v>950.01</v>
          </cell>
          <cell r="X11586" t="str">
            <v>Commissions - gross</v>
          </cell>
          <cell r="Y11586" t="str">
            <v>TURKEY</v>
          </cell>
        </row>
        <row r="11587">
          <cell r="L11587" t="str">
            <v>Non-proportional</v>
          </cell>
          <cell r="S11587">
            <v>2900.76</v>
          </cell>
          <cell r="X11587" t="str">
            <v>Commissions - gross</v>
          </cell>
          <cell r="Y11587" t="str">
            <v>UNITED KINGDOM</v>
          </cell>
        </row>
        <row r="11588">
          <cell r="L11588" t="str">
            <v>Non-proportional</v>
          </cell>
          <cell r="S11588">
            <v>-3.44</v>
          </cell>
          <cell r="X11588" t="str">
            <v>Commissions - gross</v>
          </cell>
          <cell r="Y11588" t="str">
            <v>JAPAN</v>
          </cell>
        </row>
        <row r="11589">
          <cell r="L11589" t="str">
            <v>Non-proportional</v>
          </cell>
          <cell r="S11589">
            <v>667.86</v>
          </cell>
          <cell r="X11589" t="str">
            <v>Commissions - gross</v>
          </cell>
          <cell r="Y11589" t="str">
            <v>UNITED KINGDOM</v>
          </cell>
        </row>
        <row r="11590">
          <cell r="L11590" t="str">
            <v>Proportional</v>
          </cell>
          <cell r="S11590">
            <v>2167.09</v>
          </cell>
          <cell r="X11590" t="str">
            <v>Commissions - gross</v>
          </cell>
          <cell r="Y11590" t="str">
            <v>SWITZERLAND</v>
          </cell>
        </row>
        <row r="11591">
          <cell r="L11591" t="str">
            <v>Non-proportional</v>
          </cell>
          <cell r="S11591">
            <v>425.02</v>
          </cell>
          <cell r="X11591" t="str">
            <v>Commissions - gross</v>
          </cell>
          <cell r="Y11591" t="str">
            <v>ITALY</v>
          </cell>
        </row>
        <row r="11592">
          <cell r="L11592" t="str">
            <v>Non-proportional</v>
          </cell>
          <cell r="S11592">
            <v>331.1</v>
          </cell>
          <cell r="X11592" t="str">
            <v>Commissions - gross</v>
          </cell>
          <cell r="Y11592" t="str">
            <v>UNITED KINGDOM</v>
          </cell>
        </row>
        <row r="11593">
          <cell r="L11593" t="str">
            <v>Non-proportional</v>
          </cell>
          <cell r="S11593">
            <v>500.11</v>
          </cell>
          <cell r="X11593" t="str">
            <v>Commissions - gross</v>
          </cell>
          <cell r="Y11593" t="str">
            <v>ITALY</v>
          </cell>
        </row>
        <row r="11594">
          <cell r="L11594" t="str">
            <v>Non-proportional</v>
          </cell>
          <cell r="S11594">
            <v>652.36</v>
          </cell>
          <cell r="X11594" t="str">
            <v>Commissions - gross</v>
          </cell>
          <cell r="Y11594" t="str">
            <v>MEXICO</v>
          </cell>
        </row>
        <row r="11595">
          <cell r="L11595" t="str">
            <v>Non-proportional</v>
          </cell>
          <cell r="S11595">
            <v>419.57</v>
          </cell>
          <cell r="X11595" t="str">
            <v>Commissions - gross</v>
          </cell>
          <cell r="Y11595" t="str">
            <v>CHILE</v>
          </cell>
        </row>
        <row r="11596">
          <cell r="L11596" t="str">
            <v>Non-proportional</v>
          </cell>
          <cell r="S11596">
            <v>938.69</v>
          </cell>
          <cell r="X11596" t="str">
            <v>Commissions - gross</v>
          </cell>
          <cell r="Y11596" t="str">
            <v>ISRAEL</v>
          </cell>
        </row>
        <row r="11597">
          <cell r="L11597" t="str">
            <v>Proportional</v>
          </cell>
          <cell r="S11597">
            <v>2080.5300000000002</v>
          </cell>
          <cell r="X11597" t="str">
            <v>Commissions - gross</v>
          </cell>
          <cell r="Y11597" t="str">
            <v>FRANCE</v>
          </cell>
        </row>
        <row r="11598">
          <cell r="L11598" t="str">
            <v>Non-proportional</v>
          </cell>
          <cell r="S11598">
            <v>820.23</v>
          </cell>
          <cell r="X11598" t="str">
            <v>Commissions - gross</v>
          </cell>
          <cell r="Y11598" t="str">
            <v>COLOMBIA</v>
          </cell>
        </row>
        <row r="11599">
          <cell r="L11599" t="str">
            <v>Non-proportional</v>
          </cell>
          <cell r="S11599">
            <v>282.94</v>
          </cell>
          <cell r="X11599" t="str">
            <v>Commissions - gross</v>
          </cell>
          <cell r="Y11599" t="str">
            <v>AUSTRALIA</v>
          </cell>
        </row>
        <row r="11600">
          <cell r="L11600" t="str">
            <v>Non-proportional</v>
          </cell>
          <cell r="S11600">
            <v>396.57</v>
          </cell>
          <cell r="X11600" t="str">
            <v>Commissions - gross</v>
          </cell>
          <cell r="Y11600" t="str">
            <v>UNITED KINGDOM</v>
          </cell>
        </row>
        <row r="11601">
          <cell r="L11601" t="str">
            <v>Non-proportional</v>
          </cell>
          <cell r="S11601">
            <v>591.84</v>
          </cell>
          <cell r="X11601" t="str">
            <v>Commissions - gross</v>
          </cell>
          <cell r="Y11601" t="str">
            <v>EUROPE</v>
          </cell>
        </row>
        <row r="11602">
          <cell r="L11602" t="str">
            <v>Non-proportional</v>
          </cell>
          <cell r="S11602">
            <v>3.54</v>
          </cell>
          <cell r="X11602" t="str">
            <v>Commissions - gross</v>
          </cell>
          <cell r="Y11602" t="str">
            <v>ISRAEL</v>
          </cell>
        </row>
        <row r="11603">
          <cell r="L11603" t="str">
            <v>Non-proportional</v>
          </cell>
          <cell r="S11603">
            <v>197.42</v>
          </cell>
          <cell r="X11603" t="str">
            <v>Commissions - gross</v>
          </cell>
          <cell r="Y11603" t="str">
            <v>GUATEMALA</v>
          </cell>
        </row>
        <row r="11604">
          <cell r="L11604" t="str">
            <v>Non-proportional</v>
          </cell>
          <cell r="S11604">
            <v>-10083.08</v>
          </cell>
          <cell r="X11604" t="str">
            <v>Commissions - gross</v>
          </cell>
          <cell r="Y11604" t="str">
            <v>ECUADOR</v>
          </cell>
        </row>
        <row r="11605">
          <cell r="L11605" t="str">
            <v>Non-proportional</v>
          </cell>
          <cell r="S11605">
            <v>515.12</v>
          </cell>
          <cell r="X11605" t="str">
            <v>Commissions - gross</v>
          </cell>
          <cell r="Y11605" t="str">
            <v>COLOMBIA</v>
          </cell>
        </row>
        <row r="11606">
          <cell r="L11606" t="str">
            <v>Non-proportional</v>
          </cell>
          <cell r="S11606">
            <v>418.51</v>
          </cell>
          <cell r="X11606" t="str">
            <v>Commissions - gross</v>
          </cell>
          <cell r="Y11606" t="str">
            <v>COLOMBIA</v>
          </cell>
        </row>
        <row r="11607">
          <cell r="L11607" t="str">
            <v>Non-proportional</v>
          </cell>
          <cell r="S11607">
            <v>-5.57</v>
          </cell>
          <cell r="X11607" t="str">
            <v>Commissions - gross</v>
          </cell>
          <cell r="Y11607" t="str">
            <v>JAPAN</v>
          </cell>
        </row>
        <row r="11608">
          <cell r="L11608" t="str">
            <v>Non-proportional</v>
          </cell>
          <cell r="S11608">
            <v>2499.98</v>
          </cell>
          <cell r="X11608" t="str">
            <v>Commissions - gross</v>
          </cell>
          <cell r="Y11608" t="str">
            <v>FRANCE</v>
          </cell>
        </row>
        <row r="11609">
          <cell r="L11609" t="str">
            <v>Non-proportional</v>
          </cell>
          <cell r="S11609">
            <v>205.19</v>
          </cell>
          <cell r="X11609" t="str">
            <v>Commissions - gross</v>
          </cell>
          <cell r="Y11609" t="str">
            <v>DOMINICAN REPUBLIC</v>
          </cell>
        </row>
        <row r="11610">
          <cell r="L11610" t="str">
            <v>Non-proportional</v>
          </cell>
          <cell r="S11610">
            <v>1133.2</v>
          </cell>
          <cell r="X11610" t="str">
            <v>Commissions - gross</v>
          </cell>
          <cell r="Y11610" t="str">
            <v>MEXICO</v>
          </cell>
        </row>
        <row r="11611">
          <cell r="L11611" t="str">
            <v>Proportional</v>
          </cell>
          <cell r="S11611">
            <v>117.82</v>
          </cell>
          <cell r="X11611" t="str">
            <v>Commissions - gross</v>
          </cell>
          <cell r="Y11611" t="str">
            <v>REPUBLIC OF IRELAND</v>
          </cell>
        </row>
        <row r="11612">
          <cell r="L11612" t="str">
            <v>Non-proportional</v>
          </cell>
          <cell r="S11612">
            <v>344.83</v>
          </cell>
          <cell r="X11612" t="str">
            <v>Commissions - gross</v>
          </cell>
          <cell r="Y11612" t="str">
            <v>AUSTRALIA</v>
          </cell>
        </row>
        <row r="11613">
          <cell r="L11613" t="str">
            <v>Non-proportional</v>
          </cell>
          <cell r="S11613">
            <v>233.37</v>
          </cell>
          <cell r="X11613" t="str">
            <v>Commissions - gross</v>
          </cell>
          <cell r="Y11613" t="str">
            <v>UNITED KINGDOM</v>
          </cell>
        </row>
        <row r="11614">
          <cell r="L11614" t="str">
            <v>Non-proportional</v>
          </cell>
          <cell r="S11614">
            <v>-27.77</v>
          </cell>
          <cell r="X11614" t="str">
            <v>Commissions - gross</v>
          </cell>
          <cell r="Y11614" t="str">
            <v>JAPAN</v>
          </cell>
        </row>
        <row r="11615">
          <cell r="L11615" t="str">
            <v>Non-proportional</v>
          </cell>
          <cell r="S11615">
            <v>118.76</v>
          </cell>
          <cell r="X11615" t="str">
            <v>Commissions - gross</v>
          </cell>
          <cell r="Y11615" t="str">
            <v>PERU</v>
          </cell>
        </row>
        <row r="11616">
          <cell r="L11616" t="str">
            <v>Proportional</v>
          </cell>
          <cell r="S11616">
            <v>15.01</v>
          </cell>
          <cell r="X11616" t="str">
            <v>Commissions - gross</v>
          </cell>
          <cell r="Y11616" t="str">
            <v>UNITED STATES</v>
          </cell>
        </row>
        <row r="11617">
          <cell r="L11617" t="str">
            <v>Non-proportional</v>
          </cell>
          <cell r="S11617">
            <v>2719</v>
          </cell>
          <cell r="X11617" t="str">
            <v>Commissions - gross</v>
          </cell>
          <cell r="Y11617" t="str">
            <v>AUSTRALIA</v>
          </cell>
        </row>
        <row r="11618">
          <cell r="L11618" t="str">
            <v>Non-proportional</v>
          </cell>
          <cell r="S11618">
            <v>528.83000000000004</v>
          </cell>
          <cell r="X11618" t="str">
            <v>Commissions - gross</v>
          </cell>
          <cell r="Y11618" t="str">
            <v>ISRAEL</v>
          </cell>
        </row>
        <row r="11619">
          <cell r="L11619" t="str">
            <v>Non-proportional</v>
          </cell>
          <cell r="S11619">
            <v>182.09</v>
          </cell>
          <cell r="X11619" t="str">
            <v>Commissions - gross</v>
          </cell>
          <cell r="Y11619" t="str">
            <v>CHILE</v>
          </cell>
        </row>
        <row r="11620">
          <cell r="L11620" t="str">
            <v>Non-proportional</v>
          </cell>
          <cell r="S11620">
            <v>15.64</v>
          </cell>
          <cell r="X11620" t="str">
            <v>Commissions - gross</v>
          </cell>
          <cell r="Y11620" t="str">
            <v>COLOMBIA</v>
          </cell>
        </row>
        <row r="11621">
          <cell r="L11621" t="str">
            <v>Non-proportional</v>
          </cell>
          <cell r="S11621">
            <v>743.75</v>
          </cell>
          <cell r="X11621" t="str">
            <v>Commissions - gross</v>
          </cell>
          <cell r="Y11621" t="str">
            <v>ITALY</v>
          </cell>
        </row>
        <row r="11622">
          <cell r="L11622" t="str">
            <v>Non-proportional</v>
          </cell>
          <cell r="S11622">
            <v>639.54999999999995</v>
          </cell>
          <cell r="X11622" t="str">
            <v>Commissions - gross</v>
          </cell>
          <cell r="Y11622" t="str">
            <v>JAPAN</v>
          </cell>
        </row>
        <row r="11623">
          <cell r="L11623" t="str">
            <v>Non-proportional</v>
          </cell>
          <cell r="S11623">
            <v>406.14</v>
          </cell>
          <cell r="X11623" t="str">
            <v>Commissions - gross</v>
          </cell>
          <cell r="Y11623" t="str">
            <v>FRANCE</v>
          </cell>
        </row>
        <row r="11624">
          <cell r="L11624" t="str">
            <v>Proportional</v>
          </cell>
          <cell r="S11624">
            <v>829.71</v>
          </cell>
          <cell r="X11624" t="str">
            <v>Commissions - gross</v>
          </cell>
          <cell r="Y11624" t="str">
            <v>MEXICO</v>
          </cell>
        </row>
        <row r="11625">
          <cell r="L11625" t="str">
            <v>Proportional</v>
          </cell>
          <cell r="S11625">
            <v>-32.49</v>
          </cell>
          <cell r="X11625" t="str">
            <v>Commissions - gross</v>
          </cell>
          <cell r="Y11625" t="str">
            <v>UNITED STATES</v>
          </cell>
        </row>
        <row r="11626">
          <cell r="L11626" t="str">
            <v>Non-proportional</v>
          </cell>
          <cell r="S11626">
            <v>542.72</v>
          </cell>
          <cell r="X11626" t="str">
            <v>Commissions - gross</v>
          </cell>
          <cell r="Y11626" t="str">
            <v>ISRAEL</v>
          </cell>
        </row>
        <row r="11627">
          <cell r="L11627" t="str">
            <v>Non-proportional</v>
          </cell>
          <cell r="S11627">
            <v>-53.04</v>
          </cell>
          <cell r="X11627" t="str">
            <v>Commissions - gross</v>
          </cell>
          <cell r="Y11627" t="str">
            <v>JAPAN</v>
          </cell>
        </row>
        <row r="11628">
          <cell r="L11628" t="str">
            <v>Non-proportional</v>
          </cell>
          <cell r="S11628">
            <v>298.60000000000002</v>
          </cell>
          <cell r="X11628" t="str">
            <v>Commissions - gross</v>
          </cell>
          <cell r="Y11628" t="str">
            <v>ISRAEL</v>
          </cell>
        </row>
        <row r="11629">
          <cell r="L11629" t="str">
            <v>Non-proportional</v>
          </cell>
          <cell r="S11629">
            <v>950.01</v>
          </cell>
          <cell r="X11629" t="str">
            <v>Commissions - gross</v>
          </cell>
          <cell r="Y11629" t="str">
            <v>TURKEY</v>
          </cell>
        </row>
        <row r="11630">
          <cell r="L11630" t="str">
            <v>Non-proportional</v>
          </cell>
          <cell r="S11630">
            <v>905.32</v>
          </cell>
          <cell r="X11630" t="str">
            <v>Commissions - gross</v>
          </cell>
          <cell r="Y11630" t="str">
            <v>ITALY</v>
          </cell>
        </row>
        <row r="11631">
          <cell r="L11631" t="str">
            <v>Non-proportional</v>
          </cell>
          <cell r="S11631">
            <v>582.25</v>
          </cell>
          <cell r="X11631" t="str">
            <v>Commissions - gross</v>
          </cell>
          <cell r="Y11631" t="str">
            <v>COSTA RICA</v>
          </cell>
        </row>
        <row r="11632">
          <cell r="L11632" t="str">
            <v>Non-proportional</v>
          </cell>
          <cell r="S11632">
            <v>-13.49</v>
          </cell>
          <cell r="X11632" t="str">
            <v>Commissions - gross</v>
          </cell>
          <cell r="Y11632" t="str">
            <v>TURKEY</v>
          </cell>
        </row>
        <row r="11633">
          <cell r="L11633" t="str">
            <v>Non-proportional</v>
          </cell>
          <cell r="S11633">
            <v>764.76</v>
          </cell>
          <cell r="X11633" t="str">
            <v>Commissions - gross</v>
          </cell>
          <cell r="Y11633" t="str">
            <v>CHILE</v>
          </cell>
        </row>
        <row r="11634">
          <cell r="L11634" t="str">
            <v>Non-proportional</v>
          </cell>
          <cell r="S11634">
            <v>94.18</v>
          </cell>
          <cell r="X11634" t="str">
            <v>Commissions - gross</v>
          </cell>
          <cell r="Y11634" t="str">
            <v>ECUADOR</v>
          </cell>
        </row>
        <row r="11635">
          <cell r="L11635" t="str">
            <v>Non-proportional</v>
          </cell>
          <cell r="S11635">
            <v>296.11</v>
          </cell>
          <cell r="X11635" t="str">
            <v>Commissions - gross</v>
          </cell>
          <cell r="Y11635" t="str">
            <v>ISRAEL</v>
          </cell>
        </row>
        <row r="11636">
          <cell r="L11636" t="str">
            <v>Non-proportional</v>
          </cell>
          <cell r="S11636">
            <v>10572.33</v>
          </cell>
          <cell r="X11636" t="str">
            <v>Commissions - gross</v>
          </cell>
          <cell r="Y11636" t="str">
            <v>FRANCE</v>
          </cell>
        </row>
        <row r="11637">
          <cell r="L11637" t="str">
            <v>Non-proportional</v>
          </cell>
          <cell r="S11637">
            <v>88.44</v>
          </cell>
          <cell r="X11637" t="str">
            <v>Commissions - gross</v>
          </cell>
          <cell r="Y11637" t="str">
            <v>FRANCE</v>
          </cell>
        </row>
        <row r="11638">
          <cell r="L11638" t="str">
            <v>Non-proportional</v>
          </cell>
          <cell r="S11638">
            <v>314.33</v>
          </cell>
          <cell r="X11638" t="str">
            <v>Commissions - gross</v>
          </cell>
          <cell r="Y11638" t="str">
            <v>GERMANY</v>
          </cell>
        </row>
        <row r="11639">
          <cell r="L11639" t="str">
            <v>Non-proportional</v>
          </cell>
          <cell r="S11639">
            <v>-21.05</v>
          </cell>
          <cell r="X11639" t="str">
            <v>Commissions - gross</v>
          </cell>
          <cell r="Y11639" t="str">
            <v>NEW ZEALAND</v>
          </cell>
        </row>
        <row r="11640">
          <cell r="L11640" t="str">
            <v>Non-proportional</v>
          </cell>
          <cell r="S11640">
            <v>639.35</v>
          </cell>
          <cell r="X11640" t="str">
            <v>Commissions - gross</v>
          </cell>
          <cell r="Y11640" t="str">
            <v>NETHERLANDS</v>
          </cell>
        </row>
        <row r="11641">
          <cell r="L11641" t="str">
            <v>Non-proportional</v>
          </cell>
          <cell r="S11641">
            <v>161.08000000000001</v>
          </cell>
          <cell r="X11641" t="str">
            <v>Commissions - gross</v>
          </cell>
          <cell r="Y11641" t="str">
            <v>JAPAN</v>
          </cell>
        </row>
        <row r="11642">
          <cell r="L11642" t="str">
            <v>Non-proportional</v>
          </cell>
          <cell r="S11642">
            <v>585.04</v>
          </cell>
          <cell r="X11642" t="str">
            <v>Commissions - gross</v>
          </cell>
          <cell r="Y11642" t="str">
            <v>SPAIN</v>
          </cell>
        </row>
        <row r="11643">
          <cell r="L11643" t="str">
            <v>Non-proportional</v>
          </cell>
          <cell r="S11643">
            <v>1009.31</v>
          </cell>
          <cell r="X11643" t="str">
            <v>Commissions - gross</v>
          </cell>
          <cell r="Y11643" t="str">
            <v>NEW ZEALAND</v>
          </cell>
        </row>
        <row r="11644">
          <cell r="L11644" t="str">
            <v>Non-proportional</v>
          </cell>
          <cell r="S11644">
            <v>0</v>
          </cell>
          <cell r="X11644" t="str">
            <v>Commissions - gross</v>
          </cell>
          <cell r="Y11644" t="str">
            <v>DOMINICAN REPUBLIC</v>
          </cell>
        </row>
        <row r="11645">
          <cell r="L11645" t="str">
            <v>Non-proportional</v>
          </cell>
          <cell r="S11645">
            <v>2264.19</v>
          </cell>
          <cell r="X11645" t="str">
            <v>Commissions - gross</v>
          </cell>
          <cell r="Y11645" t="str">
            <v>NEW ZEALAND</v>
          </cell>
        </row>
        <row r="11646">
          <cell r="L11646" t="str">
            <v>Non-proportional</v>
          </cell>
          <cell r="S11646">
            <v>284.08</v>
          </cell>
          <cell r="X11646" t="str">
            <v>Commissions - gross</v>
          </cell>
          <cell r="Y11646" t="str">
            <v>EUROPE</v>
          </cell>
        </row>
        <row r="11647">
          <cell r="L11647" t="str">
            <v>Non-proportional</v>
          </cell>
          <cell r="S11647">
            <v>558.97</v>
          </cell>
          <cell r="X11647" t="str">
            <v>Commissions - gross</v>
          </cell>
          <cell r="Y11647" t="str">
            <v>SINGAPORE</v>
          </cell>
        </row>
        <row r="11648">
          <cell r="L11648" t="str">
            <v>Non-proportional</v>
          </cell>
          <cell r="S11648">
            <v>924.46</v>
          </cell>
          <cell r="X11648" t="str">
            <v>Commissions - gross</v>
          </cell>
          <cell r="Y11648" t="str">
            <v>INDIA</v>
          </cell>
        </row>
        <row r="11649">
          <cell r="L11649" t="str">
            <v>Non-proportional</v>
          </cell>
          <cell r="S11649">
            <v>4864.59</v>
          </cell>
          <cell r="X11649" t="str">
            <v>Commissions - gross</v>
          </cell>
          <cell r="Y11649" t="str">
            <v>UNITED KINGDOM</v>
          </cell>
        </row>
        <row r="11650">
          <cell r="L11650" t="str">
            <v>Non-proportional</v>
          </cell>
          <cell r="S11650">
            <v>2611.56</v>
          </cell>
          <cell r="X11650" t="str">
            <v>Commissions - gross</v>
          </cell>
          <cell r="Y11650" t="str">
            <v>AUSTRALIA</v>
          </cell>
        </row>
        <row r="11651">
          <cell r="L11651" t="str">
            <v>Non-proportional</v>
          </cell>
          <cell r="S11651">
            <v>1097.48</v>
          </cell>
          <cell r="X11651" t="str">
            <v>Commissions - gross</v>
          </cell>
          <cell r="Y11651" t="str">
            <v>GERMANY</v>
          </cell>
        </row>
        <row r="11652">
          <cell r="L11652" t="str">
            <v>Non-proportional</v>
          </cell>
          <cell r="S11652">
            <v>10394.969999999999</v>
          </cell>
          <cell r="X11652" t="str">
            <v>Commissions - gross</v>
          </cell>
          <cell r="Y11652" t="str">
            <v>HONG KONG</v>
          </cell>
        </row>
        <row r="11653">
          <cell r="L11653" t="str">
            <v>Non-proportional</v>
          </cell>
          <cell r="S11653">
            <v>-5.13</v>
          </cell>
          <cell r="X11653" t="str">
            <v>Commissions - gross</v>
          </cell>
          <cell r="Y11653" t="str">
            <v>JAPAN</v>
          </cell>
        </row>
        <row r="11654">
          <cell r="L11654" t="str">
            <v>Non-proportional</v>
          </cell>
          <cell r="S11654">
            <v>1112.45</v>
          </cell>
          <cell r="X11654" t="str">
            <v>Commissions - gross</v>
          </cell>
          <cell r="Y11654" t="str">
            <v>PERU</v>
          </cell>
        </row>
        <row r="11655">
          <cell r="L11655" t="str">
            <v>Non-proportional</v>
          </cell>
          <cell r="S11655">
            <v>109.96</v>
          </cell>
          <cell r="X11655" t="str">
            <v>Commissions - gross</v>
          </cell>
          <cell r="Y11655" t="str">
            <v>COSTA RICA</v>
          </cell>
        </row>
        <row r="11656">
          <cell r="L11656" t="str">
            <v>Non-proportional</v>
          </cell>
          <cell r="S11656">
            <v>829.07</v>
          </cell>
          <cell r="X11656" t="str">
            <v>Commissions - gross</v>
          </cell>
          <cell r="Y11656" t="str">
            <v>AUSTRALIA</v>
          </cell>
        </row>
        <row r="11657">
          <cell r="L11657" t="str">
            <v>Non-proportional</v>
          </cell>
          <cell r="S11657">
            <v>5.52</v>
          </cell>
          <cell r="X11657" t="str">
            <v>Commissions - gross</v>
          </cell>
          <cell r="Y11657" t="str">
            <v>ISRAEL</v>
          </cell>
        </row>
        <row r="11658">
          <cell r="L11658" t="str">
            <v>Non-proportional</v>
          </cell>
          <cell r="S11658">
            <v>316.93</v>
          </cell>
          <cell r="X11658" t="str">
            <v>Commissions - gross</v>
          </cell>
          <cell r="Y11658" t="str">
            <v>GUATEMALA</v>
          </cell>
        </row>
        <row r="11659">
          <cell r="L11659" t="str">
            <v>Non-proportional</v>
          </cell>
          <cell r="S11659">
            <v>418.59</v>
          </cell>
          <cell r="X11659" t="str">
            <v>Commissions - gross</v>
          </cell>
          <cell r="Y11659" t="str">
            <v>FRANCE</v>
          </cell>
        </row>
        <row r="11660">
          <cell r="L11660" t="str">
            <v>Non-proportional</v>
          </cell>
          <cell r="S11660">
            <v>-3.93</v>
          </cell>
          <cell r="X11660" t="str">
            <v>Commissions - gross</v>
          </cell>
          <cell r="Y11660" t="str">
            <v>NEW ZEALAND</v>
          </cell>
        </row>
        <row r="11661">
          <cell r="L11661" t="str">
            <v>Non-proportional</v>
          </cell>
          <cell r="S11661">
            <v>773.48</v>
          </cell>
          <cell r="X11661" t="str">
            <v>Commissions - gross</v>
          </cell>
          <cell r="Y11661" t="str">
            <v>JAPAN</v>
          </cell>
        </row>
        <row r="11662">
          <cell r="L11662" t="str">
            <v>Non-proportional</v>
          </cell>
          <cell r="S11662">
            <v>322.52999999999997</v>
          </cell>
          <cell r="X11662" t="str">
            <v>Commissions - gross</v>
          </cell>
          <cell r="Y11662" t="str">
            <v>ECUADOR</v>
          </cell>
        </row>
        <row r="11663">
          <cell r="L11663" t="str">
            <v>Proportional</v>
          </cell>
          <cell r="S11663">
            <v>72.83</v>
          </cell>
          <cell r="X11663" t="str">
            <v>Commissions - gross</v>
          </cell>
          <cell r="Y11663" t="str">
            <v>CHILE</v>
          </cell>
        </row>
        <row r="11664">
          <cell r="L11664" t="str">
            <v>Non-proportional</v>
          </cell>
          <cell r="S11664">
            <v>853.13</v>
          </cell>
          <cell r="X11664" t="str">
            <v>Commissions - gross</v>
          </cell>
          <cell r="Y11664" t="str">
            <v>TURKEY</v>
          </cell>
        </row>
        <row r="11665">
          <cell r="L11665" t="str">
            <v>Non-proportional</v>
          </cell>
          <cell r="S11665">
            <v>-10.050000000000001</v>
          </cell>
          <cell r="X11665" t="str">
            <v>Commissions - gross</v>
          </cell>
          <cell r="Y11665" t="str">
            <v>INDIA</v>
          </cell>
        </row>
        <row r="11666">
          <cell r="L11666" t="str">
            <v>Non-proportional</v>
          </cell>
          <cell r="S11666">
            <v>359.24</v>
          </cell>
          <cell r="X11666" t="str">
            <v>Commissions - gross</v>
          </cell>
          <cell r="Y11666" t="str">
            <v>FRANCE</v>
          </cell>
        </row>
        <row r="11667">
          <cell r="L11667" t="str">
            <v>Non-proportional</v>
          </cell>
          <cell r="S11667">
            <v>650</v>
          </cell>
          <cell r="X11667" t="str">
            <v>Commissions - gross</v>
          </cell>
          <cell r="Y11667" t="str">
            <v>FRANCE</v>
          </cell>
        </row>
        <row r="11668">
          <cell r="L11668" t="str">
            <v>Non-proportional</v>
          </cell>
          <cell r="S11668">
            <v>1130.18</v>
          </cell>
          <cell r="X11668" t="str">
            <v>Commissions - gross</v>
          </cell>
          <cell r="Y11668" t="str">
            <v>AUSTRALIA</v>
          </cell>
        </row>
        <row r="11669">
          <cell r="L11669" t="str">
            <v>Non-proportional</v>
          </cell>
          <cell r="S11669">
            <v>69.86</v>
          </cell>
          <cell r="X11669" t="str">
            <v>Commissions - gross</v>
          </cell>
          <cell r="Y11669" t="str">
            <v>ITALY</v>
          </cell>
        </row>
        <row r="11670">
          <cell r="L11670" t="str">
            <v>Non-proportional</v>
          </cell>
          <cell r="S11670">
            <v>655.51</v>
          </cell>
          <cell r="X11670" t="str">
            <v>Commissions - gross</v>
          </cell>
          <cell r="Y11670" t="str">
            <v>CHILE</v>
          </cell>
        </row>
        <row r="11671">
          <cell r="L11671" t="str">
            <v>Proportional</v>
          </cell>
          <cell r="S11671">
            <v>472.8</v>
          </cell>
          <cell r="X11671" t="str">
            <v>Commissions - gross</v>
          </cell>
          <cell r="Y11671" t="str">
            <v>UNITED KINGDOM</v>
          </cell>
        </row>
        <row r="11672">
          <cell r="L11672" t="str">
            <v>Non-proportional</v>
          </cell>
          <cell r="S11672">
            <v>429.24</v>
          </cell>
          <cell r="X11672" t="str">
            <v>Commissions - gross</v>
          </cell>
          <cell r="Y11672" t="str">
            <v>THAILAND</v>
          </cell>
        </row>
        <row r="11673">
          <cell r="L11673" t="str">
            <v>Non-proportional</v>
          </cell>
          <cell r="S11673">
            <v>63.85</v>
          </cell>
          <cell r="X11673" t="str">
            <v>Commissions - gross</v>
          </cell>
          <cell r="Y11673" t="str">
            <v>MALTA</v>
          </cell>
        </row>
        <row r="11674">
          <cell r="L11674" t="str">
            <v>Non-proportional</v>
          </cell>
          <cell r="S11674">
            <v>577</v>
          </cell>
          <cell r="X11674" t="str">
            <v>Commissions - gross</v>
          </cell>
          <cell r="Y11674" t="str">
            <v>ISRAEL</v>
          </cell>
        </row>
        <row r="11675">
          <cell r="L11675" t="str">
            <v>Non-proportional</v>
          </cell>
          <cell r="S11675">
            <v>725.21</v>
          </cell>
          <cell r="X11675" t="str">
            <v>Commissions - gross</v>
          </cell>
          <cell r="Y11675" t="str">
            <v>MEXICO</v>
          </cell>
        </row>
        <row r="11676">
          <cell r="L11676" t="str">
            <v>Non-proportional</v>
          </cell>
          <cell r="S11676">
            <v>3.88</v>
          </cell>
          <cell r="X11676" t="str">
            <v>Commissions - gross</v>
          </cell>
          <cell r="Y11676" t="str">
            <v>ISRAEL</v>
          </cell>
        </row>
        <row r="11677">
          <cell r="L11677" t="str">
            <v>Proportional</v>
          </cell>
          <cell r="S11677">
            <v>2463.4299999999998</v>
          </cell>
          <cell r="X11677" t="str">
            <v>Commissions - gross</v>
          </cell>
          <cell r="Y11677" t="str">
            <v>SWITZERLAND</v>
          </cell>
        </row>
        <row r="11678">
          <cell r="L11678" t="str">
            <v>Non-proportional</v>
          </cell>
          <cell r="S11678">
            <v>-7.14</v>
          </cell>
          <cell r="X11678" t="str">
            <v>Commissions - gross</v>
          </cell>
          <cell r="Y11678" t="str">
            <v>DOMINICAN REPUBLIC</v>
          </cell>
        </row>
        <row r="11679">
          <cell r="L11679" t="str">
            <v>Non-proportional</v>
          </cell>
          <cell r="S11679">
            <v>-11.92</v>
          </cell>
          <cell r="X11679" t="str">
            <v>Commissions - gross</v>
          </cell>
          <cell r="Y11679" t="str">
            <v>DOMINICAN REPUBLIC</v>
          </cell>
        </row>
        <row r="11680">
          <cell r="L11680" t="str">
            <v>Non-proportional</v>
          </cell>
          <cell r="S11680">
            <v>1517.76</v>
          </cell>
          <cell r="X11680" t="str">
            <v>Commissions - gross</v>
          </cell>
          <cell r="Y11680" t="str">
            <v>SOUTH KOREA</v>
          </cell>
        </row>
        <row r="11681">
          <cell r="L11681" t="str">
            <v>Non-proportional</v>
          </cell>
          <cell r="S11681">
            <v>460.28</v>
          </cell>
          <cell r="X11681" t="str">
            <v>Commissions - gross</v>
          </cell>
          <cell r="Y11681" t="str">
            <v>UNITED KINGDOM</v>
          </cell>
        </row>
        <row r="11682">
          <cell r="L11682" t="str">
            <v>Non-proportional</v>
          </cell>
          <cell r="S11682">
            <v>4560.55</v>
          </cell>
          <cell r="X11682" t="str">
            <v>Commissions - gross</v>
          </cell>
          <cell r="Y11682" t="str">
            <v>UNITED KINGDOM</v>
          </cell>
        </row>
        <row r="11683">
          <cell r="L11683" t="str">
            <v>Non-proportional</v>
          </cell>
          <cell r="S11683">
            <v>1527.4</v>
          </cell>
          <cell r="X11683" t="str">
            <v>Commissions - gross</v>
          </cell>
          <cell r="Y11683" t="str">
            <v>UNITED KINGDOM</v>
          </cell>
        </row>
        <row r="11684">
          <cell r="L11684" t="str">
            <v>Non-proportional</v>
          </cell>
          <cell r="S11684">
            <v>1627.87</v>
          </cell>
          <cell r="X11684" t="str">
            <v>Commissions - gross</v>
          </cell>
          <cell r="Y11684" t="str">
            <v>ITALY</v>
          </cell>
        </row>
        <row r="11685">
          <cell r="L11685" t="str">
            <v>Non-proportional</v>
          </cell>
          <cell r="S11685">
            <v>1307.3</v>
          </cell>
          <cell r="X11685" t="str">
            <v>Commissions - gross</v>
          </cell>
          <cell r="Y11685" t="str">
            <v>FRANCE</v>
          </cell>
        </row>
        <row r="11686">
          <cell r="L11686" t="str">
            <v>Non-proportional</v>
          </cell>
          <cell r="S11686">
            <v>270.31</v>
          </cell>
          <cell r="X11686" t="str">
            <v>Commissions - gross</v>
          </cell>
          <cell r="Y11686" t="str">
            <v>ECUADOR</v>
          </cell>
        </row>
        <row r="11687">
          <cell r="L11687" t="str">
            <v>Non-proportional</v>
          </cell>
          <cell r="S11687">
            <v>1205.75</v>
          </cell>
          <cell r="X11687" t="str">
            <v>Commissions - gross</v>
          </cell>
          <cell r="Y11687" t="str">
            <v>COLOMBIA</v>
          </cell>
        </row>
        <row r="11688">
          <cell r="L11688" t="str">
            <v>Non-proportional</v>
          </cell>
          <cell r="S11688">
            <v>3034.6</v>
          </cell>
          <cell r="X11688" t="str">
            <v>Commissions - gross</v>
          </cell>
          <cell r="Y11688" t="str">
            <v>FRANCE</v>
          </cell>
        </row>
        <row r="11689">
          <cell r="L11689" t="str">
            <v>Non-proportional</v>
          </cell>
          <cell r="S11689">
            <v>93.09</v>
          </cell>
          <cell r="X11689" t="str">
            <v>Commissions - gross</v>
          </cell>
          <cell r="Y11689" t="str">
            <v>DOMINICAN REPUBLIC</v>
          </cell>
        </row>
        <row r="11690">
          <cell r="L11690" t="str">
            <v>Non-proportional</v>
          </cell>
          <cell r="S11690">
            <v>204.17</v>
          </cell>
          <cell r="X11690" t="str">
            <v>Commissions - gross</v>
          </cell>
          <cell r="Y11690" t="str">
            <v>ITALY</v>
          </cell>
        </row>
        <row r="11691">
          <cell r="L11691" t="str">
            <v>Non-proportional</v>
          </cell>
          <cell r="S11691">
            <v>7.18</v>
          </cell>
          <cell r="X11691" t="str">
            <v>Commissions - gross</v>
          </cell>
          <cell r="Y11691" t="str">
            <v>THAILAND</v>
          </cell>
        </row>
        <row r="11692">
          <cell r="L11692" t="str">
            <v>Non-proportional</v>
          </cell>
          <cell r="S11692">
            <v>194.65</v>
          </cell>
          <cell r="X11692" t="str">
            <v>Commissions - gross</v>
          </cell>
          <cell r="Y11692" t="str">
            <v>REPUBLIC OF IRELAND</v>
          </cell>
        </row>
        <row r="11693">
          <cell r="L11693" t="str">
            <v>Non-proportional</v>
          </cell>
          <cell r="S11693">
            <v>113.12</v>
          </cell>
          <cell r="X11693" t="str">
            <v>Commissions - gross</v>
          </cell>
          <cell r="Y11693" t="str">
            <v>CYPRUS</v>
          </cell>
        </row>
        <row r="11694">
          <cell r="L11694" t="str">
            <v>Non-proportional</v>
          </cell>
          <cell r="S11694">
            <v>450.98</v>
          </cell>
          <cell r="X11694" t="str">
            <v>Commissions - gross</v>
          </cell>
          <cell r="Y11694" t="str">
            <v>FRANCE</v>
          </cell>
        </row>
        <row r="11695">
          <cell r="L11695" t="str">
            <v>Non-proportional</v>
          </cell>
          <cell r="S11695">
            <v>-5.41</v>
          </cell>
          <cell r="X11695" t="str">
            <v>Commissions - gross</v>
          </cell>
          <cell r="Y11695" t="str">
            <v>JAPAN</v>
          </cell>
        </row>
        <row r="11696">
          <cell r="L11696" t="str">
            <v>Non-proportional</v>
          </cell>
          <cell r="S11696">
            <v>31.07</v>
          </cell>
          <cell r="X11696" t="str">
            <v>Commissions - gross</v>
          </cell>
          <cell r="Y11696" t="str">
            <v>ITALY</v>
          </cell>
        </row>
        <row r="11697">
          <cell r="L11697" t="str">
            <v>Non-proportional</v>
          </cell>
          <cell r="S11697">
            <v>-25</v>
          </cell>
          <cell r="X11697" t="str">
            <v>Commissions - gross</v>
          </cell>
          <cell r="Y11697" t="str">
            <v>JAPAN</v>
          </cell>
        </row>
        <row r="11698">
          <cell r="L11698" t="str">
            <v>Non-proportional</v>
          </cell>
          <cell r="S11698">
            <v>533.55999999999995</v>
          </cell>
          <cell r="X11698" t="str">
            <v>Commissions - gross</v>
          </cell>
          <cell r="Y11698" t="str">
            <v>PERU</v>
          </cell>
        </row>
        <row r="11699">
          <cell r="L11699" t="str">
            <v>Non-proportional</v>
          </cell>
          <cell r="S11699">
            <v>0</v>
          </cell>
          <cell r="X11699" t="str">
            <v>Commissions - gross</v>
          </cell>
          <cell r="Y11699" t="str">
            <v>DOMINICAN REPUBLIC</v>
          </cell>
        </row>
        <row r="11700">
          <cell r="L11700" t="str">
            <v>Non-proportional</v>
          </cell>
          <cell r="S11700">
            <v>-4489.63</v>
          </cell>
          <cell r="X11700" t="str">
            <v>Commissions - gross</v>
          </cell>
          <cell r="Y11700" t="str">
            <v>BRAZIL</v>
          </cell>
        </row>
        <row r="11701">
          <cell r="L11701" t="str">
            <v>Non-proportional</v>
          </cell>
          <cell r="S11701">
            <v>365.32</v>
          </cell>
          <cell r="X11701" t="str">
            <v>Commissions - gross</v>
          </cell>
          <cell r="Y11701" t="str">
            <v>NEW ZEALAND</v>
          </cell>
        </row>
        <row r="11702">
          <cell r="L11702" t="str">
            <v>Non-proportional</v>
          </cell>
          <cell r="S11702">
            <v>84.38</v>
          </cell>
          <cell r="X11702" t="str">
            <v>Commissions - gross</v>
          </cell>
          <cell r="Y11702" t="str">
            <v>GREECE</v>
          </cell>
        </row>
        <row r="11703">
          <cell r="L11703" t="str">
            <v>Non-proportional</v>
          </cell>
          <cell r="S11703">
            <v>424.97</v>
          </cell>
          <cell r="X11703" t="str">
            <v>Commissions - gross</v>
          </cell>
          <cell r="Y11703" t="str">
            <v>COLOMBIA</v>
          </cell>
        </row>
        <row r="11704">
          <cell r="L11704" t="str">
            <v>Non-proportional</v>
          </cell>
          <cell r="S11704">
            <v>28.63</v>
          </cell>
          <cell r="X11704" t="str">
            <v>Commissions - gross</v>
          </cell>
          <cell r="Y11704" t="str">
            <v>REPUBLIC OF IRELAND</v>
          </cell>
        </row>
        <row r="11705">
          <cell r="L11705" t="str">
            <v>Non-proportional</v>
          </cell>
          <cell r="S11705">
            <v>120.22</v>
          </cell>
          <cell r="X11705" t="str">
            <v>Commissions - gross</v>
          </cell>
          <cell r="Y11705" t="str">
            <v>REPUBLIC OF IRELAND</v>
          </cell>
        </row>
        <row r="11706">
          <cell r="L11706" t="str">
            <v>Non-proportional</v>
          </cell>
          <cell r="S11706">
            <v>3.57</v>
          </cell>
          <cell r="X11706" t="str">
            <v>Commissions - gross</v>
          </cell>
          <cell r="Y11706" t="str">
            <v>ISRAEL</v>
          </cell>
        </row>
        <row r="11707">
          <cell r="L11707" t="str">
            <v>Non-proportional</v>
          </cell>
          <cell r="S11707">
            <v>3131.61</v>
          </cell>
          <cell r="X11707" t="str">
            <v>Commissions - gross</v>
          </cell>
          <cell r="Y11707" t="str">
            <v>FRANCE</v>
          </cell>
        </row>
        <row r="11708">
          <cell r="L11708" t="str">
            <v>Non-proportional</v>
          </cell>
          <cell r="S11708">
            <v>475.13</v>
          </cell>
          <cell r="X11708" t="str">
            <v>Commissions - gross</v>
          </cell>
          <cell r="Y11708" t="str">
            <v>FRANCE</v>
          </cell>
        </row>
        <row r="11709">
          <cell r="L11709" t="str">
            <v>Non-proportional</v>
          </cell>
          <cell r="S11709">
            <v>145.66999999999999</v>
          </cell>
          <cell r="X11709" t="str">
            <v>Commissions - gross</v>
          </cell>
          <cell r="Y11709" t="str">
            <v>CHILE</v>
          </cell>
        </row>
        <row r="11710">
          <cell r="L11710" t="str">
            <v>Non-proportional</v>
          </cell>
          <cell r="S11710">
            <v>-3.3</v>
          </cell>
          <cell r="X11710" t="str">
            <v>Commissions - gross</v>
          </cell>
          <cell r="Y11710" t="str">
            <v>JAPAN</v>
          </cell>
        </row>
        <row r="11711">
          <cell r="L11711" t="str">
            <v>Non-proportional</v>
          </cell>
          <cell r="S11711">
            <v>72.84</v>
          </cell>
          <cell r="X11711" t="str">
            <v>Commissions - gross</v>
          </cell>
          <cell r="Y11711" t="str">
            <v>JAPAN</v>
          </cell>
        </row>
        <row r="11712">
          <cell r="L11712" t="str">
            <v>Non-proportional</v>
          </cell>
          <cell r="S11712">
            <v>102</v>
          </cell>
          <cell r="X11712" t="str">
            <v>Commissions - gross</v>
          </cell>
          <cell r="Y11712" t="str">
            <v>JAPAN</v>
          </cell>
        </row>
        <row r="11713">
          <cell r="L11713" t="str">
            <v>Non-proportional</v>
          </cell>
          <cell r="S11713">
            <v>-3.12</v>
          </cell>
          <cell r="X11713" t="str">
            <v>Commissions - gross</v>
          </cell>
          <cell r="Y11713" t="str">
            <v>JAPAN</v>
          </cell>
        </row>
        <row r="11714">
          <cell r="L11714" t="str">
            <v>Non-proportional</v>
          </cell>
          <cell r="S11714">
            <v>117.23</v>
          </cell>
          <cell r="X11714" t="str">
            <v>Commissions - gross</v>
          </cell>
          <cell r="Y11714" t="str">
            <v>FRANCE</v>
          </cell>
        </row>
        <row r="11715">
          <cell r="L11715" t="str">
            <v>Non-proportional</v>
          </cell>
          <cell r="S11715">
            <v>925</v>
          </cell>
          <cell r="X11715" t="str">
            <v>Commissions - gross</v>
          </cell>
          <cell r="Y11715" t="str">
            <v>PUERTO RICO</v>
          </cell>
        </row>
        <row r="11716">
          <cell r="L11716" t="str">
            <v>Non-proportional</v>
          </cell>
          <cell r="S11716">
            <v>169.94</v>
          </cell>
          <cell r="X11716" t="str">
            <v>Commissions - gross</v>
          </cell>
          <cell r="Y11716" t="str">
            <v>DOMINICAN REPUBLIC</v>
          </cell>
        </row>
        <row r="11717">
          <cell r="L11717" t="str">
            <v>Non-proportional</v>
          </cell>
          <cell r="S11717">
            <v>758.65</v>
          </cell>
          <cell r="X11717" t="str">
            <v>Commissions - gross</v>
          </cell>
          <cell r="Y11717" t="str">
            <v>FRANCE</v>
          </cell>
        </row>
        <row r="11718">
          <cell r="L11718" t="str">
            <v>Non-proportional</v>
          </cell>
          <cell r="S11718">
            <v>277.45</v>
          </cell>
          <cell r="X11718" t="str">
            <v>Commissions - gross</v>
          </cell>
          <cell r="Y11718" t="str">
            <v>ISRAEL</v>
          </cell>
        </row>
        <row r="11719">
          <cell r="L11719" t="str">
            <v>Non-proportional</v>
          </cell>
          <cell r="S11719">
            <v>61.25</v>
          </cell>
          <cell r="X11719" t="str">
            <v>Commissions - gross</v>
          </cell>
          <cell r="Y11719" t="str">
            <v>GREECE</v>
          </cell>
        </row>
        <row r="11720">
          <cell r="L11720" t="str">
            <v>Proportional</v>
          </cell>
          <cell r="S11720">
            <v>4.4800000000000004</v>
          </cell>
          <cell r="X11720" t="str">
            <v>Commissions - gross</v>
          </cell>
          <cell r="Y11720" t="str">
            <v>UNITED STATES</v>
          </cell>
        </row>
        <row r="11721">
          <cell r="L11721" t="str">
            <v>Non-proportional</v>
          </cell>
          <cell r="S11721">
            <v>884.39</v>
          </cell>
          <cell r="X11721" t="str">
            <v>Commissions - gross</v>
          </cell>
          <cell r="Y11721" t="str">
            <v>TURKEY</v>
          </cell>
        </row>
        <row r="11722">
          <cell r="L11722" t="str">
            <v>Non-proportional</v>
          </cell>
          <cell r="S11722">
            <v>497.15</v>
          </cell>
          <cell r="X11722" t="str">
            <v>Commissions - gross</v>
          </cell>
          <cell r="Y11722" t="str">
            <v>EUROPE</v>
          </cell>
        </row>
        <row r="11723">
          <cell r="L11723" t="str">
            <v>Non-proportional</v>
          </cell>
          <cell r="S11723">
            <v>0</v>
          </cell>
          <cell r="X11723" t="str">
            <v>Commissions - gross</v>
          </cell>
          <cell r="Y11723" t="str">
            <v>COLOMBIA</v>
          </cell>
        </row>
        <row r="11724">
          <cell r="L11724" t="str">
            <v>Non-proportional</v>
          </cell>
          <cell r="S11724">
            <v>184.69</v>
          </cell>
          <cell r="X11724" t="str">
            <v>Commissions - gross</v>
          </cell>
          <cell r="Y11724" t="str">
            <v>FRANCE</v>
          </cell>
        </row>
        <row r="11725">
          <cell r="L11725" t="str">
            <v>Non-proportional</v>
          </cell>
          <cell r="S11725">
            <v>202.09</v>
          </cell>
          <cell r="X11725" t="str">
            <v>Commissions - gross</v>
          </cell>
          <cell r="Y11725" t="str">
            <v>UNITED KINGDOM</v>
          </cell>
        </row>
        <row r="11726">
          <cell r="L11726" t="str">
            <v>Non-proportional</v>
          </cell>
          <cell r="S11726">
            <v>-20.67</v>
          </cell>
          <cell r="X11726" t="str">
            <v>Commissions - gross</v>
          </cell>
          <cell r="Y11726" t="str">
            <v>JAPAN</v>
          </cell>
        </row>
        <row r="11727">
          <cell r="L11727" t="str">
            <v>Non-proportional</v>
          </cell>
          <cell r="S11727">
            <v>4000</v>
          </cell>
          <cell r="X11727" t="str">
            <v>Commissions - gross</v>
          </cell>
          <cell r="Y11727" t="str">
            <v>ITALY</v>
          </cell>
        </row>
        <row r="11728">
          <cell r="L11728" t="str">
            <v>Non-proportional</v>
          </cell>
          <cell r="S11728">
            <v>161.08000000000001</v>
          </cell>
          <cell r="X11728" t="str">
            <v>Commissions - gross</v>
          </cell>
          <cell r="Y11728" t="str">
            <v>JAPAN</v>
          </cell>
        </row>
        <row r="11729">
          <cell r="L11729" t="str">
            <v>Non-proportional</v>
          </cell>
          <cell r="S11729">
            <v>958.04</v>
          </cell>
          <cell r="X11729" t="str">
            <v>Commissions - gross</v>
          </cell>
          <cell r="Y11729" t="str">
            <v>COSTA RICA</v>
          </cell>
        </row>
        <row r="11730">
          <cell r="L11730" t="str">
            <v>Non-proportional</v>
          </cell>
          <cell r="S11730">
            <v>6.48</v>
          </cell>
          <cell r="X11730" t="str">
            <v>Commissions - gross</v>
          </cell>
          <cell r="Y11730" t="str">
            <v>ISRAEL</v>
          </cell>
        </row>
        <row r="11731">
          <cell r="L11731" t="str">
            <v>Non-proportional</v>
          </cell>
          <cell r="S11731">
            <v>25608.3</v>
          </cell>
          <cell r="X11731" t="str">
            <v>Commissions - gross</v>
          </cell>
          <cell r="Y11731" t="str">
            <v>UNITED KINGDOM</v>
          </cell>
        </row>
        <row r="11732">
          <cell r="L11732" t="str">
            <v>Non-proportional</v>
          </cell>
          <cell r="S11732">
            <v>7324.94</v>
          </cell>
          <cell r="X11732" t="str">
            <v>Commissions - gross</v>
          </cell>
          <cell r="Y11732" t="str">
            <v>UNITED KINGDOM</v>
          </cell>
        </row>
        <row r="11733">
          <cell r="L11733" t="str">
            <v>Non-proportional</v>
          </cell>
          <cell r="S11733">
            <v>969.74</v>
          </cell>
          <cell r="X11733" t="str">
            <v>Commissions - gross</v>
          </cell>
          <cell r="Y11733" t="str">
            <v>ISRAEL</v>
          </cell>
        </row>
        <row r="11734">
          <cell r="L11734" t="str">
            <v>Non-proportional</v>
          </cell>
          <cell r="S11734">
            <v>130.71</v>
          </cell>
          <cell r="X11734" t="str">
            <v>Commissions - gross</v>
          </cell>
          <cell r="Y11734" t="str">
            <v>UNITED ARAB EMIRATES</v>
          </cell>
        </row>
        <row r="11735">
          <cell r="L11735" t="str">
            <v>Non-proportional</v>
          </cell>
          <cell r="S11735">
            <v>528.83000000000004</v>
          </cell>
          <cell r="X11735" t="str">
            <v>Commissions - gross</v>
          </cell>
          <cell r="Y11735" t="str">
            <v>ISRAEL</v>
          </cell>
        </row>
        <row r="11736">
          <cell r="L11736" t="str">
            <v>Non-proportional</v>
          </cell>
          <cell r="S11736">
            <v>289.41000000000003</v>
          </cell>
          <cell r="X11736" t="str">
            <v>Commissions - gross</v>
          </cell>
          <cell r="Y11736" t="str">
            <v>THAILAND</v>
          </cell>
        </row>
        <row r="11737">
          <cell r="L11737" t="str">
            <v>Proportional</v>
          </cell>
          <cell r="S11737">
            <v>67.42</v>
          </cell>
          <cell r="X11737" t="str">
            <v>Commissions - gross</v>
          </cell>
          <cell r="Y11737" t="str">
            <v>UNITED STATES</v>
          </cell>
        </row>
        <row r="11738">
          <cell r="L11738" t="str">
            <v>Non-proportional</v>
          </cell>
          <cell r="S11738">
            <v>3436.97</v>
          </cell>
          <cell r="X11738" t="str">
            <v>Commissions - gross</v>
          </cell>
          <cell r="Y11738" t="str">
            <v>UNITED STATES</v>
          </cell>
        </row>
        <row r="11739">
          <cell r="L11739" t="str">
            <v>Non-proportional</v>
          </cell>
          <cell r="S11739">
            <v>570.02</v>
          </cell>
          <cell r="X11739" t="str">
            <v>Commissions - gross</v>
          </cell>
          <cell r="Y11739" t="str">
            <v>ITALY</v>
          </cell>
        </row>
        <row r="11740">
          <cell r="L11740" t="str">
            <v>Non-proportional</v>
          </cell>
          <cell r="S11740">
            <v>526.1</v>
          </cell>
          <cell r="X11740" t="str">
            <v>Commissions - gross</v>
          </cell>
          <cell r="Y11740" t="str">
            <v>NEW ZEALAND</v>
          </cell>
        </row>
        <row r="11741">
          <cell r="L11741" t="str">
            <v>Non-proportional</v>
          </cell>
          <cell r="S11741">
            <v>382.72</v>
          </cell>
          <cell r="X11741" t="str">
            <v>Commissions - gross</v>
          </cell>
          <cell r="Y11741" t="str">
            <v>DOMINICAN REPUBLIC</v>
          </cell>
        </row>
        <row r="11742">
          <cell r="L11742" t="str">
            <v>Non-proportional</v>
          </cell>
          <cell r="S11742">
            <v>997.75</v>
          </cell>
          <cell r="X11742" t="str">
            <v>Commissions - gross</v>
          </cell>
          <cell r="Y11742" t="str">
            <v>ITALY</v>
          </cell>
        </row>
        <row r="11743">
          <cell r="L11743" t="str">
            <v>Non-proportional</v>
          </cell>
          <cell r="S11743">
            <v>36.42</v>
          </cell>
          <cell r="X11743" t="str">
            <v>Commissions - gross</v>
          </cell>
          <cell r="Y11743" t="str">
            <v>CHILE</v>
          </cell>
        </row>
        <row r="11744">
          <cell r="L11744" t="str">
            <v>Proportional</v>
          </cell>
          <cell r="S11744">
            <v>-3772.5</v>
          </cell>
          <cell r="X11744" t="str">
            <v>Commissions - gross</v>
          </cell>
          <cell r="Y11744" t="str">
            <v>CHILE</v>
          </cell>
        </row>
        <row r="11745">
          <cell r="L11745" t="str">
            <v>Non-proportional</v>
          </cell>
          <cell r="S11745">
            <v>328.13</v>
          </cell>
          <cell r="X11745" t="str">
            <v>Commissions - gross</v>
          </cell>
          <cell r="Y11745" t="str">
            <v>ITALY</v>
          </cell>
        </row>
        <row r="11746">
          <cell r="L11746" t="str">
            <v>Non-proportional</v>
          </cell>
          <cell r="S11746">
            <v>96.44</v>
          </cell>
          <cell r="X11746" t="str">
            <v>Commissions - gross</v>
          </cell>
          <cell r="Y11746" t="str">
            <v>JAPAN</v>
          </cell>
        </row>
        <row r="11747">
          <cell r="L11747" t="str">
            <v>Non-proportional</v>
          </cell>
          <cell r="S11747">
            <v>72.83</v>
          </cell>
          <cell r="X11747" t="str">
            <v>Commissions - gross</v>
          </cell>
          <cell r="Y11747" t="str">
            <v>CHILE</v>
          </cell>
        </row>
        <row r="11748">
          <cell r="L11748" t="str">
            <v>Non-proportional</v>
          </cell>
          <cell r="S11748">
            <v>385.42</v>
          </cell>
          <cell r="X11748" t="str">
            <v>Commissions - gross</v>
          </cell>
          <cell r="Y11748" t="str">
            <v>FRANCE</v>
          </cell>
        </row>
        <row r="11749">
          <cell r="L11749" t="str">
            <v>Non-proportional</v>
          </cell>
          <cell r="S11749">
            <v>327.75</v>
          </cell>
          <cell r="X11749" t="str">
            <v>Commissions - gross</v>
          </cell>
          <cell r="Y11749" t="str">
            <v>CHILE</v>
          </cell>
        </row>
        <row r="11750">
          <cell r="L11750" t="str">
            <v>Non-proportional</v>
          </cell>
          <cell r="S11750">
            <v>638.99</v>
          </cell>
          <cell r="X11750" t="str">
            <v>Commissions - gross</v>
          </cell>
          <cell r="Y11750" t="str">
            <v>NEW ZEALAND</v>
          </cell>
        </row>
        <row r="11751">
          <cell r="L11751" t="str">
            <v>Non-proportional</v>
          </cell>
          <cell r="S11751">
            <v>115.98</v>
          </cell>
          <cell r="X11751" t="str">
            <v>Commissions - gross</v>
          </cell>
          <cell r="Y11751" t="str">
            <v>ISRAEL</v>
          </cell>
        </row>
        <row r="11752">
          <cell r="L11752" t="str">
            <v>Non-proportional</v>
          </cell>
          <cell r="S11752">
            <v>36.42</v>
          </cell>
          <cell r="X11752" t="str">
            <v>Commissions - gross</v>
          </cell>
          <cell r="Y11752" t="str">
            <v>CHILE</v>
          </cell>
        </row>
        <row r="11753">
          <cell r="L11753" t="str">
            <v>Non-proportional</v>
          </cell>
          <cell r="S11753">
            <v>86.55</v>
          </cell>
          <cell r="X11753" t="str">
            <v>Commissions - gross</v>
          </cell>
          <cell r="Y11753" t="str">
            <v>COSTA RICA</v>
          </cell>
        </row>
        <row r="11754">
          <cell r="L11754" t="str">
            <v>Non-proportional</v>
          </cell>
          <cell r="S11754">
            <v>54.38</v>
          </cell>
          <cell r="X11754" t="str">
            <v>Commissions - gross</v>
          </cell>
          <cell r="Y11754" t="str">
            <v>GREECE</v>
          </cell>
        </row>
        <row r="11755">
          <cell r="L11755" t="str">
            <v>Non-proportional</v>
          </cell>
          <cell r="S11755">
            <v>802.05</v>
          </cell>
          <cell r="X11755" t="str">
            <v>Commissions - gross</v>
          </cell>
          <cell r="Y11755" t="str">
            <v>TURKEY</v>
          </cell>
        </row>
        <row r="11756">
          <cell r="L11756" t="str">
            <v>Non-proportional</v>
          </cell>
          <cell r="S11756">
            <v>689.63</v>
          </cell>
          <cell r="X11756" t="str">
            <v>Commissions - gross</v>
          </cell>
          <cell r="Y11756" t="str">
            <v>AUSTRALIA</v>
          </cell>
        </row>
        <row r="11757">
          <cell r="L11757" t="str">
            <v>Non-proportional</v>
          </cell>
          <cell r="S11757">
            <v>1509.38</v>
          </cell>
          <cell r="X11757" t="str">
            <v>Commissions - gross</v>
          </cell>
          <cell r="Y11757" t="str">
            <v>BELGIUM</v>
          </cell>
        </row>
        <row r="11758">
          <cell r="L11758" t="str">
            <v>Non-proportional</v>
          </cell>
          <cell r="S11758">
            <v>379.65</v>
          </cell>
          <cell r="X11758" t="str">
            <v>Commissions - gross</v>
          </cell>
          <cell r="Y11758" t="str">
            <v>ITALY</v>
          </cell>
        </row>
        <row r="11759">
          <cell r="L11759" t="str">
            <v>Non-proportional</v>
          </cell>
          <cell r="S11759">
            <v>467.89</v>
          </cell>
          <cell r="X11759" t="str">
            <v>Commissions - gross</v>
          </cell>
          <cell r="Y11759" t="str">
            <v>UNITED KINGDOM</v>
          </cell>
        </row>
        <row r="11760">
          <cell r="L11760" t="str">
            <v>Non-proportional</v>
          </cell>
          <cell r="S11760">
            <v>20.57</v>
          </cell>
          <cell r="X11760" t="str">
            <v>Commissions - gross</v>
          </cell>
          <cell r="Y11760" t="str">
            <v>FRANCE</v>
          </cell>
        </row>
        <row r="11761">
          <cell r="L11761" t="str">
            <v>Non-proportional</v>
          </cell>
          <cell r="S11761">
            <v>262.56</v>
          </cell>
          <cell r="X11761" t="str">
            <v>Commissions - gross</v>
          </cell>
          <cell r="Y11761" t="str">
            <v>DOMINICAN REPUBLIC</v>
          </cell>
        </row>
        <row r="11762">
          <cell r="L11762" t="str">
            <v>Non-proportional</v>
          </cell>
          <cell r="S11762">
            <v>472.58</v>
          </cell>
          <cell r="X11762" t="str">
            <v>Commissions - gross</v>
          </cell>
          <cell r="Y11762" t="str">
            <v>PERU</v>
          </cell>
        </row>
        <row r="11763">
          <cell r="L11763" t="str">
            <v>Non-proportional</v>
          </cell>
          <cell r="S11763">
            <v>-36.090000000000003</v>
          </cell>
          <cell r="X11763" t="str">
            <v>Commissions - gross</v>
          </cell>
          <cell r="Y11763" t="str">
            <v>NEW ZEALAND</v>
          </cell>
        </row>
        <row r="11764">
          <cell r="L11764" t="str">
            <v>Non-proportional</v>
          </cell>
          <cell r="S11764">
            <v>1641.13</v>
          </cell>
          <cell r="X11764" t="str">
            <v>Commissions - gross</v>
          </cell>
          <cell r="Y11764" t="str">
            <v>JAPAN</v>
          </cell>
        </row>
        <row r="11765">
          <cell r="L11765" t="str">
            <v>Non-proportional</v>
          </cell>
          <cell r="S11765">
            <v>4.67</v>
          </cell>
          <cell r="X11765" t="str">
            <v>Commissions - gross</v>
          </cell>
          <cell r="Y11765" t="str">
            <v>ISRAEL</v>
          </cell>
        </row>
        <row r="11766">
          <cell r="L11766" t="str">
            <v>Non-proportional</v>
          </cell>
          <cell r="S11766">
            <v>72.83</v>
          </cell>
          <cell r="X11766" t="str">
            <v>Commissions - gross</v>
          </cell>
          <cell r="Y11766" t="str">
            <v>CHILE</v>
          </cell>
        </row>
        <row r="11767">
          <cell r="L11767" t="str">
            <v>Non-proportional</v>
          </cell>
          <cell r="S11767">
            <v>13.29</v>
          </cell>
          <cell r="X11767" t="str">
            <v>Commissions - gross</v>
          </cell>
          <cell r="Y11767" t="str">
            <v>ITALY</v>
          </cell>
        </row>
        <row r="11768">
          <cell r="L11768" t="str">
            <v>Non-proportional</v>
          </cell>
          <cell r="S11768">
            <v>1186.32</v>
          </cell>
          <cell r="X11768" t="str">
            <v>Commissions - gross</v>
          </cell>
          <cell r="Y11768" t="str">
            <v>EUROPE</v>
          </cell>
        </row>
        <row r="11769">
          <cell r="L11769" t="str">
            <v>Non-proportional</v>
          </cell>
          <cell r="S11769">
            <v>333.5</v>
          </cell>
          <cell r="X11769" t="str">
            <v>Commissions - gross</v>
          </cell>
          <cell r="Y11769" t="str">
            <v>INDIA</v>
          </cell>
        </row>
        <row r="11770">
          <cell r="L11770" t="str">
            <v>Non-proportional</v>
          </cell>
          <cell r="S11770">
            <v>1.19</v>
          </cell>
          <cell r="X11770" t="str">
            <v>Commissions - gross</v>
          </cell>
          <cell r="Y11770" t="str">
            <v>ISRAEL</v>
          </cell>
        </row>
        <row r="11771">
          <cell r="L11771" t="str">
            <v>Non-proportional</v>
          </cell>
          <cell r="S11771">
            <v>608.63</v>
          </cell>
          <cell r="X11771" t="str">
            <v>Commissions - gross</v>
          </cell>
          <cell r="Y11771" t="str">
            <v>ITALY</v>
          </cell>
        </row>
        <row r="11772">
          <cell r="L11772" t="str">
            <v>Non-proportional</v>
          </cell>
          <cell r="S11772">
            <v>13467.26</v>
          </cell>
          <cell r="X11772" t="str">
            <v>Commissions - gross</v>
          </cell>
          <cell r="Y11772" t="str">
            <v>UNITED KINGDOM</v>
          </cell>
        </row>
        <row r="11773">
          <cell r="L11773" t="str">
            <v>Non-proportional</v>
          </cell>
          <cell r="S11773">
            <v>-0.11</v>
          </cell>
          <cell r="X11773" t="str">
            <v>Commissions - gross</v>
          </cell>
          <cell r="Y11773" t="str">
            <v>GUATEMALA</v>
          </cell>
        </row>
        <row r="11774">
          <cell r="L11774" t="str">
            <v>Non-proportional</v>
          </cell>
          <cell r="S11774">
            <v>223.51</v>
          </cell>
          <cell r="X11774" t="str">
            <v>Commissions - gross</v>
          </cell>
          <cell r="Y11774" t="str">
            <v>ECUADOR</v>
          </cell>
        </row>
        <row r="11775">
          <cell r="L11775" t="str">
            <v>Non-proportional</v>
          </cell>
          <cell r="S11775">
            <v>696.32</v>
          </cell>
          <cell r="X11775" t="str">
            <v>Commissions - gross</v>
          </cell>
          <cell r="Y11775" t="str">
            <v>FRANCE</v>
          </cell>
        </row>
        <row r="11776">
          <cell r="L11776" t="str">
            <v>Non-proportional</v>
          </cell>
          <cell r="S11776">
            <v>307.20999999999998</v>
          </cell>
          <cell r="X11776" t="str">
            <v>Commissions - gross</v>
          </cell>
          <cell r="Y11776" t="str">
            <v>UNITED KINGDOM</v>
          </cell>
        </row>
        <row r="11777">
          <cell r="L11777" t="str">
            <v>Proportional</v>
          </cell>
          <cell r="S11777">
            <v>727.17</v>
          </cell>
          <cell r="X11777" t="str">
            <v>Commissions - gross</v>
          </cell>
          <cell r="Y11777" t="str">
            <v>ITALY</v>
          </cell>
        </row>
        <row r="11778">
          <cell r="L11778" t="str">
            <v>Non-proportional</v>
          </cell>
          <cell r="S11778">
            <v>413.57</v>
          </cell>
          <cell r="X11778" t="str">
            <v>Commissions - gross</v>
          </cell>
          <cell r="Y11778" t="str">
            <v>UNITED KINGDOM</v>
          </cell>
        </row>
        <row r="11779">
          <cell r="L11779" t="str">
            <v>Proportional</v>
          </cell>
          <cell r="S11779">
            <v>249.88</v>
          </cell>
          <cell r="X11779" t="str">
            <v>Commissions - gross</v>
          </cell>
          <cell r="Y11779" t="str">
            <v>INDIA</v>
          </cell>
        </row>
        <row r="11780">
          <cell r="L11780" t="str">
            <v>Non-proportional</v>
          </cell>
          <cell r="S11780">
            <v>877.05</v>
          </cell>
          <cell r="X11780" t="str">
            <v>Commissions - gross</v>
          </cell>
          <cell r="Y11780" t="str">
            <v>PUERTO RICO</v>
          </cell>
        </row>
        <row r="11781">
          <cell r="L11781" t="str">
            <v>Non-proportional</v>
          </cell>
          <cell r="S11781">
            <v>146.88</v>
          </cell>
          <cell r="X11781" t="str">
            <v>Commissions - gross</v>
          </cell>
          <cell r="Y11781" t="str">
            <v>GREECE</v>
          </cell>
        </row>
        <row r="11782">
          <cell r="L11782" t="str">
            <v>Non-proportional</v>
          </cell>
          <cell r="S11782">
            <v>376.24</v>
          </cell>
          <cell r="X11782" t="str">
            <v>Commissions - gross</v>
          </cell>
          <cell r="Y11782" t="str">
            <v>THAILAND</v>
          </cell>
        </row>
        <row r="11783">
          <cell r="L11783" t="str">
            <v>Non-proportional</v>
          </cell>
          <cell r="S11783">
            <v>530.94000000000005</v>
          </cell>
          <cell r="X11783" t="str">
            <v>Commissions - gross</v>
          </cell>
          <cell r="Y11783" t="str">
            <v>COLOMBIA</v>
          </cell>
        </row>
        <row r="11784">
          <cell r="L11784" t="str">
            <v>Non-proportional</v>
          </cell>
          <cell r="S11784">
            <v>483.97</v>
          </cell>
          <cell r="X11784" t="str">
            <v>Commissions - gross</v>
          </cell>
          <cell r="Y11784" t="str">
            <v>ECUADOR</v>
          </cell>
        </row>
        <row r="11785">
          <cell r="L11785" t="str">
            <v>Non-proportional</v>
          </cell>
          <cell r="S11785">
            <v>2873.77</v>
          </cell>
          <cell r="X11785" t="str">
            <v>Commissions - gross</v>
          </cell>
          <cell r="Y11785" t="str">
            <v>UNITED KINGDOM</v>
          </cell>
        </row>
        <row r="11786">
          <cell r="L11786" t="str">
            <v>Non-proportional</v>
          </cell>
          <cell r="S11786">
            <v>771.88</v>
          </cell>
          <cell r="X11786" t="str">
            <v>Commissions - gross</v>
          </cell>
          <cell r="Y11786" t="str">
            <v>UNITED KINGDOM</v>
          </cell>
        </row>
        <row r="11787">
          <cell r="L11787" t="str">
            <v>Non-proportional</v>
          </cell>
          <cell r="S11787">
            <v>171.8</v>
          </cell>
          <cell r="X11787" t="str">
            <v>Commissions - gross</v>
          </cell>
          <cell r="Y11787" t="str">
            <v>FRANCE</v>
          </cell>
        </row>
        <row r="11788">
          <cell r="L11788" t="str">
            <v>Non-proportional</v>
          </cell>
          <cell r="S11788">
            <v>218.75</v>
          </cell>
          <cell r="X11788" t="str">
            <v>Commissions - gross</v>
          </cell>
          <cell r="Y11788" t="str">
            <v>GERMANY</v>
          </cell>
        </row>
        <row r="11789">
          <cell r="L11789" t="str">
            <v>Non-proportional</v>
          </cell>
          <cell r="S11789">
            <v>66.5</v>
          </cell>
          <cell r="X11789" t="str">
            <v>Commissions - gross</v>
          </cell>
          <cell r="Y11789" t="str">
            <v>FRANCE</v>
          </cell>
        </row>
        <row r="11790">
          <cell r="L11790" t="str">
            <v>Non-proportional</v>
          </cell>
          <cell r="S11790">
            <v>125.69</v>
          </cell>
          <cell r="X11790" t="str">
            <v>Commissions - gross</v>
          </cell>
          <cell r="Y11790" t="str">
            <v>JAPAN</v>
          </cell>
        </row>
        <row r="11791">
          <cell r="L11791" t="str">
            <v>Non-proportional</v>
          </cell>
          <cell r="S11791">
            <v>1049.99</v>
          </cell>
          <cell r="X11791" t="str">
            <v>Commissions - gross</v>
          </cell>
          <cell r="Y11791" t="str">
            <v>ITALY</v>
          </cell>
        </row>
        <row r="11792">
          <cell r="L11792" t="str">
            <v>Non-proportional</v>
          </cell>
          <cell r="S11792">
            <v>2698.67</v>
          </cell>
          <cell r="X11792" t="str">
            <v>Commissions - gross</v>
          </cell>
          <cell r="Y11792" t="str">
            <v>TURKEY</v>
          </cell>
        </row>
        <row r="11793">
          <cell r="L11793" t="str">
            <v>Non-proportional</v>
          </cell>
          <cell r="S11793">
            <v>2318.75</v>
          </cell>
          <cell r="X11793" t="str">
            <v>Commissions - gross</v>
          </cell>
          <cell r="Y11793" t="str">
            <v>ITALY</v>
          </cell>
        </row>
        <row r="11794">
          <cell r="L11794" t="str">
            <v>Proportional</v>
          </cell>
          <cell r="S11794">
            <v>36.42</v>
          </cell>
          <cell r="X11794" t="str">
            <v>Commissions - gross</v>
          </cell>
          <cell r="Y11794" t="str">
            <v>CHILE</v>
          </cell>
        </row>
        <row r="11795">
          <cell r="L11795" t="str">
            <v>Non-proportional</v>
          </cell>
          <cell r="S11795">
            <v>335.33</v>
          </cell>
          <cell r="X11795" t="str">
            <v>Commissions - gross</v>
          </cell>
          <cell r="Y11795" t="str">
            <v>DOMINICAN REPUBLIC</v>
          </cell>
        </row>
        <row r="11796">
          <cell r="L11796" t="str">
            <v>Non-proportional</v>
          </cell>
          <cell r="S11796">
            <v>11.77</v>
          </cell>
          <cell r="X11796" t="str">
            <v>Commissions - gross</v>
          </cell>
          <cell r="Y11796" t="str">
            <v>THAILAND</v>
          </cell>
        </row>
        <row r="11797">
          <cell r="L11797" t="str">
            <v>Non-proportional</v>
          </cell>
          <cell r="S11797">
            <v>19.239999999999998</v>
          </cell>
          <cell r="X11797" t="str">
            <v>Commissions - gross</v>
          </cell>
          <cell r="Y11797" t="str">
            <v>COLOMBIA</v>
          </cell>
        </row>
        <row r="11798">
          <cell r="L11798" t="str">
            <v>Non-proportional</v>
          </cell>
          <cell r="S11798">
            <v>-1.29</v>
          </cell>
          <cell r="X11798" t="str">
            <v>Commissions - gross</v>
          </cell>
          <cell r="Y11798" t="str">
            <v>DOMINICAN REPUBLIC</v>
          </cell>
        </row>
        <row r="11799">
          <cell r="L11799" t="str">
            <v>Non-proportional</v>
          </cell>
          <cell r="S11799">
            <v>875</v>
          </cell>
          <cell r="X11799" t="str">
            <v>Commissions - gross</v>
          </cell>
          <cell r="Y11799" t="str">
            <v>EUROPE</v>
          </cell>
        </row>
        <row r="11800">
          <cell r="L11800" t="str">
            <v>Non-proportional</v>
          </cell>
          <cell r="S11800">
            <v>3802.68</v>
          </cell>
          <cell r="X11800" t="str">
            <v>Commissions - gross</v>
          </cell>
          <cell r="Y11800" t="str">
            <v>FRANCE</v>
          </cell>
        </row>
        <row r="11801">
          <cell r="L11801" t="str">
            <v>Non-proportional</v>
          </cell>
          <cell r="S11801">
            <v>-1579.12</v>
          </cell>
          <cell r="X11801" t="str">
            <v>Commissions - gross</v>
          </cell>
          <cell r="Y11801" t="str">
            <v>UNITED KINGDOM</v>
          </cell>
        </row>
        <row r="11802">
          <cell r="L11802" t="str">
            <v>Proportional</v>
          </cell>
          <cell r="S11802">
            <v>23873.759999999998</v>
          </cell>
          <cell r="X11802" t="str">
            <v>Commissions - gross</v>
          </cell>
          <cell r="Y11802" t="str">
            <v>AUSTRALIA</v>
          </cell>
        </row>
        <row r="11803">
          <cell r="L11803" t="str">
            <v>Non-proportional</v>
          </cell>
          <cell r="S11803">
            <v>-14.14</v>
          </cell>
          <cell r="X11803" t="str">
            <v>Commissions - gross</v>
          </cell>
          <cell r="Y11803" t="str">
            <v>NEW ZEALAND</v>
          </cell>
        </row>
        <row r="11804">
          <cell r="L11804" t="str">
            <v>Non-proportional</v>
          </cell>
          <cell r="S11804">
            <v>325.14999999999998</v>
          </cell>
          <cell r="X11804" t="str">
            <v>Commissions - gross</v>
          </cell>
          <cell r="Y11804" t="str">
            <v>ISRAEL</v>
          </cell>
        </row>
        <row r="11805">
          <cell r="L11805" t="str">
            <v>Non-proportional</v>
          </cell>
          <cell r="S11805">
            <v>-40.39</v>
          </cell>
          <cell r="X11805" t="str">
            <v>Commissions - gross</v>
          </cell>
          <cell r="Y11805" t="str">
            <v>NEW ZEALAND</v>
          </cell>
        </row>
        <row r="11806">
          <cell r="L11806" t="str">
            <v>Non-proportional</v>
          </cell>
          <cell r="S11806">
            <v>261</v>
          </cell>
          <cell r="X11806" t="str">
            <v>Commissions - gross</v>
          </cell>
          <cell r="Y11806" t="str">
            <v>GREECE</v>
          </cell>
        </row>
        <row r="11807">
          <cell r="L11807" t="str">
            <v>Non-proportional</v>
          </cell>
          <cell r="S11807">
            <v>268.67</v>
          </cell>
          <cell r="X11807" t="str">
            <v>Commissions - gross</v>
          </cell>
          <cell r="Y11807" t="str">
            <v>MALTA</v>
          </cell>
        </row>
        <row r="11808">
          <cell r="L11808" t="str">
            <v>Non-proportional</v>
          </cell>
          <cell r="S11808">
            <v>6.99</v>
          </cell>
          <cell r="X11808" t="str">
            <v>Commissions - gross</v>
          </cell>
          <cell r="Y11808" t="str">
            <v>BRAZIL</v>
          </cell>
        </row>
        <row r="11809">
          <cell r="L11809" t="str">
            <v>Non-proportional</v>
          </cell>
          <cell r="S11809">
            <v>973.84</v>
          </cell>
          <cell r="X11809" t="str">
            <v>Commissions - gross</v>
          </cell>
          <cell r="Y11809" t="str">
            <v>MEXICO</v>
          </cell>
        </row>
        <row r="11810">
          <cell r="L11810" t="str">
            <v>Non-proportional</v>
          </cell>
          <cell r="S11810">
            <v>1168.33</v>
          </cell>
          <cell r="X11810" t="str">
            <v>Commissions - gross</v>
          </cell>
          <cell r="Y11810" t="str">
            <v>MEXICO</v>
          </cell>
        </row>
        <row r="11811">
          <cell r="L11811" t="str">
            <v>Non-proportional</v>
          </cell>
          <cell r="S11811">
            <v>314.37</v>
          </cell>
          <cell r="X11811" t="str">
            <v>Commissions - gross</v>
          </cell>
          <cell r="Y11811" t="str">
            <v>UNITED KINGDOM</v>
          </cell>
        </row>
        <row r="11812">
          <cell r="L11812" t="str">
            <v>Non-proportional</v>
          </cell>
          <cell r="S11812">
            <v>442.67</v>
          </cell>
          <cell r="X11812" t="str">
            <v>Commissions - gross</v>
          </cell>
          <cell r="Y11812" t="str">
            <v>UNITED KINGDOM</v>
          </cell>
        </row>
        <row r="11813">
          <cell r="L11813" t="str">
            <v>Non-proportional</v>
          </cell>
          <cell r="S11813">
            <v>668.31</v>
          </cell>
          <cell r="X11813" t="str">
            <v>Commissions - gross</v>
          </cell>
          <cell r="Y11813" t="str">
            <v>UNITED KINGDOM</v>
          </cell>
        </row>
        <row r="11814">
          <cell r="L11814" t="str">
            <v>Non-proportional</v>
          </cell>
          <cell r="S11814">
            <v>15663.33</v>
          </cell>
          <cell r="X11814" t="str">
            <v>Commissions - gross</v>
          </cell>
          <cell r="Y11814" t="str">
            <v>UNITED KINGDOM</v>
          </cell>
        </row>
        <row r="11815">
          <cell r="L11815" t="str">
            <v>Non-proportional</v>
          </cell>
          <cell r="S11815">
            <v>0</v>
          </cell>
          <cell r="X11815" t="str">
            <v>Commissions - gross</v>
          </cell>
          <cell r="Y11815" t="str">
            <v>COLOMBIA</v>
          </cell>
        </row>
        <row r="11816">
          <cell r="L11816" t="str">
            <v>Non-proportional</v>
          </cell>
          <cell r="S11816">
            <v>443.67</v>
          </cell>
          <cell r="X11816" t="str">
            <v>Commissions - gross</v>
          </cell>
          <cell r="Y11816" t="str">
            <v>UNITED KINGDOM</v>
          </cell>
        </row>
        <row r="11817">
          <cell r="L11817" t="str">
            <v>Non-proportional</v>
          </cell>
          <cell r="S11817">
            <v>-7987.84</v>
          </cell>
          <cell r="X11817" t="str">
            <v>Commissions - gross</v>
          </cell>
          <cell r="Y11817" t="str">
            <v>COLOMBIA</v>
          </cell>
        </row>
        <row r="11818">
          <cell r="L11818" t="str">
            <v>Non-proportional</v>
          </cell>
          <cell r="S11818">
            <v>1356.5</v>
          </cell>
          <cell r="X11818" t="str">
            <v>Commissions - gross</v>
          </cell>
          <cell r="Y11818" t="str">
            <v>UNITED KINGDOM</v>
          </cell>
        </row>
        <row r="11819">
          <cell r="L11819" t="str">
            <v>Non-proportional</v>
          </cell>
          <cell r="S11819">
            <v>7596.4</v>
          </cell>
          <cell r="X11819" t="str">
            <v>Commissions - gross</v>
          </cell>
          <cell r="Y11819" t="str">
            <v>UNITED KINGDOM</v>
          </cell>
        </row>
        <row r="11820">
          <cell r="L11820" t="str">
            <v>Non-proportional</v>
          </cell>
          <cell r="S11820">
            <v>289.49</v>
          </cell>
          <cell r="X11820" t="str">
            <v>Commissions - gross</v>
          </cell>
          <cell r="Y11820" t="str">
            <v>DOMINICAN REPUBLIC</v>
          </cell>
        </row>
        <row r="11821">
          <cell r="L11821" t="str">
            <v>Non-proportional</v>
          </cell>
          <cell r="S11821">
            <v>483.98</v>
          </cell>
          <cell r="X11821" t="str">
            <v>Commissions - gross</v>
          </cell>
          <cell r="Y11821" t="str">
            <v>UNITED KINGDOM</v>
          </cell>
        </row>
        <row r="11822">
          <cell r="L11822" t="str">
            <v>Non-proportional</v>
          </cell>
          <cell r="S11822">
            <v>233.25</v>
          </cell>
          <cell r="X11822" t="str">
            <v>Commissions - gross</v>
          </cell>
          <cell r="Y11822" t="str">
            <v>PERU</v>
          </cell>
        </row>
        <row r="11823">
          <cell r="L11823" t="str">
            <v>Non-proportional</v>
          </cell>
          <cell r="S11823">
            <v>536.63</v>
          </cell>
          <cell r="X11823" t="str">
            <v>Commissions - gross</v>
          </cell>
          <cell r="Y11823" t="str">
            <v>ECUADOR</v>
          </cell>
        </row>
        <row r="11824">
          <cell r="L11824" t="str">
            <v>Non-proportional</v>
          </cell>
          <cell r="S11824">
            <v>72.83</v>
          </cell>
          <cell r="X11824" t="str">
            <v>Commissions - gross</v>
          </cell>
          <cell r="Y11824" t="str">
            <v>CHILE</v>
          </cell>
        </row>
        <row r="11825">
          <cell r="L11825" t="str">
            <v>Non-proportional</v>
          </cell>
          <cell r="S11825">
            <v>-2.92</v>
          </cell>
          <cell r="X11825" t="str">
            <v>Commissions - gross</v>
          </cell>
          <cell r="Y11825" t="str">
            <v>JAPAN</v>
          </cell>
        </row>
        <row r="11826">
          <cell r="L11826" t="str">
            <v>Non-proportional</v>
          </cell>
          <cell r="S11826">
            <v>90.42</v>
          </cell>
          <cell r="X11826" t="str">
            <v>Commissions - gross</v>
          </cell>
          <cell r="Y11826" t="str">
            <v>SOUTH AFRICA</v>
          </cell>
        </row>
        <row r="11827">
          <cell r="L11827" t="str">
            <v>Non-proportional</v>
          </cell>
          <cell r="S11827">
            <v>3000</v>
          </cell>
          <cell r="X11827" t="str">
            <v>Commissions - gross</v>
          </cell>
          <cell r="Y11827" t="str">
            <v>FRANCE</v>
          </cell>
        </row>
        <row r="11828">
          <cell r="L11828" t="str">
            <v>Non-proportional</v>
          </cell>
          <cell r="S11828">
            <v>1923.15</v>
          </cell>
          <cell r="X11828" t="str">
            <v>Commissions - gross</v>
          </cell>
          <cell r="Y11828" t="str">
            <v>FRANCE</v>
          </cell>
        </row>
        <row r="11829">
          <cell r="L11829" t="str">
            <v>Proportional</v>
          </cell>
          <cell r="S11829">
            <v>321.39</v>
          </cell>
          <cell r="X11829" t="str">
            <v>Commissions - gross</v>
          </cell>
          <cell r="Y11829" t="str">
            <v>JAPAN</v>
          </cell>
        </row>
        <row r="11830">
          <cell r="L11830" t="str">
            <v>Non-proportional</v>
          </cell>
          <cell r="S11830">
            <v>662.31</v>
          </cell>
          <cell r="X11830" t="str">
            <v>Commissions - gross</v>
          </cell>
          <cell r="Y11830" t="str">
            <v>CYPRUS</v>
          </cell>
        </row>
        <row r="11831">
          <cell r="L11831" t="str">
            <v>Non-proportional</v>
          </cell>
          <cell r="S11831">
            <v>298.22000000000003</v>
          </cell>
          <cell r="X11831" t="str">
            <v>Commissions - gross</v>
          </cell>
          <cell r="Y11831" t="str">
            <v>ECUADOR</v>
          </cell>
        </row>
        <row r="11832">
          <cell r="L11832" t="str">
            <v>Non-proportional</v>
          </cell>
          <cell r="S11832">
            <v>531.28</v>
          </cell>
          <cell r="X11832" t="str">
            <v>Commissions - gross</v>
          </cell>
          <cell r="Y11832" t="str">
            <v>NETHERLANDS</v>
          </cell>
        </row>
        <row r="11833">
          <cell r="L11833" t="str">
            <v>Non-proportional</v>
          </cell>
          <cell r="S11833">
            <v>36.42</v>
          </cell>
          <cell r="X11833" t="str">
            <v>Commissions - gross</v>
          </cell>
          <cell r="Y11833" t="str">
            <v>CHILE</v>
          </cell>
        </row>
        <row r="11834">
          <cell r="L11834" t="str">
            <v>Non-proportional</v>
          </cell>
          <cell r="S11834">
            <v>-3335.56</v>
          </cell>
          <cell r="X11834" t="str">
            <v>Commissions - gross</v>
          </cell>
          <cell r="Y11834" t="str">
            <v>BRAZIL</v>
          </cell>
        </row>
        <row r="11835">
          <cell r="L11835" t="str">
            <v>Non-proportional</v>
          </cell>
          <cell r="S11835">
            <v>308.27</v>
          </cell>
          <cell r="X11835" t="str">
            <v>Commissions - gross</v>
          </cell>
          <cell r="Y11835" t="str">
            <v>INDIA</v>
          </cell>
        </row>
        <row r="11836">
          <cell r="L11836" t="str">
            <v>Non-proportional</v>
          </cell>
          <cell r="S11836">
            <v>3276.96</v>
          </cell>
          <cell r="X11836" t="str">
            <v>Commissions - gross</v>
          </cell>
          <cell r="Y11836" t="str">
            <v>NEW ZEALAND</v>
          </cell>
        </row>
        <row r="11837">
          <cell r="L11837" t="str">
            <v>Non-proportional</v>
          </cell>
          <cell r="S11837">
            <v>1262.51</v>
          </cell>
          <cell r="X11837" t="str">
            <v>Commissions - gross</v>
          </cell>
          <cell r="Y11837" t="str">
            <v>BELGIUM</v>
          </cell>
        </row>
        <row r="11838">
          <cell r="L11838" t="str">
            <v>Non-proportional</v>
          </cell>
          <cell r="S11838">
            <v>335.01</v>
          </cell>
          <cell r="X11838" t="str">
            <v>Commissions - gross</v>
          </cell>
          <cell r="Y11838" t="str">
            <v>JAPAN</v>
          </cell>
        </row>
        <row r="11839">
          <cell r="L11839" t="str">
            <v>Non-proportional</v>
          </cell>
          <cell r="S11839">
            <v>324.91000000000003</v>
          </cell>
          <cell r="X11839" t="str">
            <v>Commissions - gross</v>
          </cell>
          <cell r="Y11839" t="str">
            <v>FRANCE</v>
          </cell>
        </row>
        <row r="11840">
          <cell r="L11840" t="str">
            <v>Non-proportional</v>
          </cell>
          <cell r="S11840">
            <v>546.26</v>
          </cell>
          <cell r="X11840" t="str">
            <v>Commissions - gross</v>
          </cell>
          <cell r="Y11840" t="str">
            <v>CHILE</v>
          </cell>
        </row>
        <row r="11841">
          <cell r="L11841" t="str">
            <v>Non-proportional</v>
          </cell>
          <cell r="S11841">
            <v>97.5</v>
          </cell>
          <cell r="X11841" t="str">
            <v>Commissions - gross</v>
          </cell>
          <cell r="Y11841" t="str">
            <v>GREECE</v>
          </cell>
        </row>
        <row r="11842">
          <cell r="L11842" t="str">
            <v>Proportional</v>
          </cell>
          <cell r="S11842">
            <v>1619.73</v>
          </cell>
          <cell r="X11842" t="str">
            <v>Commissions - gross</v>
          </cell>
          <cell r="Y11842" t="str">
            <v>MEXICO</v>
          </cell>
        </row>
        <row r="11843">
          <cell r="L11843" t="str">
            <v>Non-proportional</v>
          </cell>
          <cell r="S11843">
            <v>2166.67</v>
          </cell>
          <cell r="X11843" t="str">
            <v>Commissions - gross</v>
          </cell>
          <cell r="Y11843" t="str">
            <v>FRANCE</v>
          </cell>
        </row>
        <row r="11844">
          <cell r="L11844" t="str">
            <v>Non-proportional</v>
          </cell>
          <cell r="S11844">
            <v>628.70000000000005</v>
          </cell>
          <cell r="X11844" t="str">
            <v>Commissions - gross</v>
          </cell>
          <cell r="Y11844" t="str">
            <v>INDIA</v>
          </cell>
        </row>
        <row r="11845">
          <cell r="L11845" t="str">
            <v>Non-proportional</v>
          </cell>
          <cell r="S11845">
            <v>2271.86</v>
          </cell>
          <cell r="X11845" t="str">
            <v>Commissions - gross</v>
          </cell>
          <cell r="Y11845" t="str">
            <v>PUERTO RICO</v>
          </cell>
        </row>
        <row r="11846">
          <cell r="L11846" t="str">
            <v>Non-proportional</v>
          </cell>
          <cell r="S11846">
            <v>555.48</v>
          </cell>
          <cell r="X11846" t="str">
            <v>Commissions - gross</v>
          </cell>
          <cell r="Y11846" t="str">
            <v>ISRAEL</v>
          </cell>
        </row>
        <row r="11847">
          <cell r="L11847" t="str">
            <v>Non-proportional</v>
          </cell>
          <cell r="S11847">
            <v>324.48</v>
          </cell>
          <cell r="X11847" t="str">
            <v>Commissions - gross</v>
          </cell>
          <cell r="Y11847" t="str">
            <v>FRANCE</v>
          </cell>
        </row>
        <row r="11848">
          <cell r="L11848" t="str">
            <v>Non-proportional</v>
          </cell>
          <cell r="S11848">
            <v>975.27</v>
          </cell>
          <cell r="X11848" t="str">
            <v>Commissions - gross</v>
          </cell>
          <cell r="Y11848" t="str">
            <v>ECUADOR</v>
          </cell>
        </row>
        <row r="11849">
          <cell r="L11849" t="str">
            <v>Non-proportional</v>
          </cell>
          <cell r="S11849">
            <v>90.4</v>
          </cell>
          <cell r="X11849" t="str">
            <v>Commissions - gross</v>
          </cell>
          <cell r="Y11849" t="str">
            <v>JAPAN</v>
          </cell>
        </row>
        <row r="11850">
          <cell r="L11850" t="str">
            <v>Non-proportional</v>
          </cell>
          <cell r="S11850">
            <v>121.33</v>
          </cell>
          <cell r="X11850" t="str">
            <v>Commissions - gross</v>
          </cell>
          <cell r="Y11850" t="str">
            <v>COSTA RICA</v>
          </cell>
        </row>
        <row r="11851">
          <cell r="L11851" t="str">
            <v>Non-proportional</v>
          </cell>
          <cell r="S11851">
            <v>36.42</v>
          </cell>
          <cell r="X11851" t="str">
            <v>Commissions - gross</v>
          </cell>
          <cell r="Y11851" t="str">
            <v>CHILE</v>
          </cell>
        </row>
        <row r="11852">
          <cell r="L11852" t="str">
            <v>Non-proportional</v>
          </cell>
          <cell r="S11852">
            <v>86.55</v>
          </cell>
          <cell r="X11852" t="str">
            <v>Commissions - gross</v>
          </cell>
          <cell r="Y11852" t="str">
            <v>COSTA RICA</v>
          </cell>
        </row>
        <row r="11853">
          <cell r="L11853" t="str">
            <v>Non-proportional</v>
          </cell>
          <cell r="S11853">
            <v>429.13</v>
          </cell>
          <cell r="X11853" t="str">
            <v>Commissions - gross</v>
          </cell>
          <cell r="Y11853" t="str">
            <v>UNITED KINGDOM</v>
          </cell>
        </row>
        <row r="11854">
          <cell r="L11854" t="str">
            <v>Non-proportional</v>
          </cell>
          <cell r="S11854">
            <v>34165.14</v>
          </cell>
          <cell r="X11854" t="str">
            <v>Commissions - gross</v>
          </cell>
          <cell r="Y11854" t="str">
            <v>UNITED KINGDOM</v>
          </cell>
        </row>
        <row r="11855">
          <cell r="L11855" t="str">
            <v>Non-proportional</v>
          </cell>
          <cell r="S11855">
            <v>605.04</v>
          </cell>
          <cell r="X11855" t="str">
            <v>Commissions - gross</v>
          </cell>
          <cell r="Y11855" t="str">
            <v>INDIA</v>
          </cell>
        </row>
        <row r="11856">
          <cell r="L11856" t="str">
            <v>Non-proportional</v>
          </cell>
          <cell r="S11856">
            <v>15.04</v>
          </cell>
          <cell r="X11856" t="str">
            <v>Commissions - gross</v>
          </cell>
          <cell r="Y11856" t="str">
            <v>ISRAEL</v>
          </cell>
        </row>
        <row r="11857">
          <cell r="L11857" t="str">
            <v>Non-proportional</v>
          </cell>
          <cell r="S11857">
            <v>244.25</v>
          </cell>
          <cell r="X11857" t="str">
            <v>Commissions - gross</v>
          </cell>
          <cell r="Y11857" t="str">
            <v>CYPRUS</v>
          </cell>
        </row>
        <row r="11858">
          <cell r="L11858" t="str">
            <v>Non-proportional</v>
          </cell>
          <cell r="S11858">
            <v>505.83</v>
          </cell>
          <cell r="X11858" t="str">
            <v>Commissions - gross</v>
          </cell>
          <cell r="Y11858" t="str">
            <v>ISRAEL</v>
          </cell>
        </row>
        <row r="11859">
          <cell r="L11859" t="str">
            <v>Non-proportional</v>
          </cell>
          <cell r="S11859">
            <v>-19.920000000000002</v>
          </cell>
          <cell r="X11859" t="str">
            <v>Commissions - gross</v>
          </cell>
          <cell r="Y11859" t="str">
            <v>JAPAN</v>
          </cell>
        </row>
        <row r="11860">
          <cell r="L11860" t="str">
            <v>Non-proportional</v>
          </cell>
          <cell r="S11860">
            <v>328.67</v>
          </cell>
          <cell r="X11860" t="str">
            <v>Commissions - gross</v>
          </cell>
          <cell r="Y11860" t="str">
            <v>ECUADOR</v>
          </cell>
        </row>
        <row r="11861">
          <cell r="L11861" t="str">
            <v>Non-proportional</v>
          </cell>
          <cell r="S11861">
            <v>-7158.88</v>
          </cell>
          <cell r="X11861" t="str">
            <v>Commissions - gross</v>
          </cell>
          <cell r="Y11861" t="str">
            <v>UNITED KINGDOM</v>
          </cell>
        </row>
        <row r="11862">
          <cell r="L11862" t="str">
            <v>Non-proportional</v>
          </cell>
          <cell r="S11862">
            <v>950.17</v>
          </cell>
          <cell r="X11862" t="str">
            <v>Commissions - gross</v>
          </cell>
          <cell r="Y11862" t="str">
            <v>CHINA</v>
          </cell>
        </row>
        <row r="11863">
          <cell r="L11863" t="str">
            <v>Non-proportional</v>
          </cell>
          <cell r="S11863">
            <v>467.51</v>
          </cell>
          <cell r="X11863" t="str">
            <v>Commissions - gross</v>
          </cell>
          <cell r="Y11863" t="str">
            <v>CYPRUS</v>
          </cell>
        </row>
        <row r="11864">
          <cell r="L11864" t="str">
            <v>Non-proportional</v>
          </cell>
          <cell r="S11864">
            <v>3915.52</v>
          </cell>
          <cell r="X11864" t="str">
            <v>Commissions - gross</v>
          </cell>
          <cell r="Y11864" t="str">
            <v>UNITED STATES</v>
          </cell>
        </row>
        <row r="11865">
          <cell r="L11865" t="str">
            <v>Non-proportional</v>
          </cell>
          <cell r="S11865">
            <v>-45.6</v>
          </cell>
          <cell r="X11865" t="str">
            <v>Commissions - gross</v>
          </cell>
          <cell r="Y11865" t="str">
            <v>AUSTRALIA</v>
          </cell>
        </row>
        <row r="11866">
          <cell r="L11866" t="str">
            <v>Non-proportional</v>
          </cell>
          <cell r="S11866">
            <v>-20.5</v>
          </cell>
          <cell r="X11866" t="str">
            <v>Commissions - gross</v>
          </cell>
          <cell r="Y11866" t="str">
            <v>INDIA</v>
          </cell>
        </row>
        <row r="11867">
          <cell r="L11867" t="str">
            <v>Non-proportional</v>
          </cell>
          <cell r="S11867">
            <v>252.16</v>
          </cell>
          <cell r="X11867" t="str">
            <v>Commissions - gross</v>
          </cell>
          <cell r="Y11867" t="str">
            <v>INDIA</v>
          </cell>
        </row>
        <row r="11868">
          <cell r="L11868" t="str">
            <v>Non-proportional</v>
          </cell>
          <cell r="S11868">
            <v>438.96</v>
          </cell>
          <cell r="X11868" t="str">
            <v>Commissions - gross</v>
          </cell>
          <cell r="Y11868" t="str">
            <v>ITALY</v>
          </cell>
        </row>
        <row r="11869">
          <cell r="L11869" t="str">
            <v>Non-proportional</v>
          </cell>
          <cell r="S11869">
            <v>340.78</v>
          </cell>
          <cell r="X11869" t="str">
            <v>Commissions - gross</v>
          </cell>
          <cell r="Y11869" t="str">
            <v>GUATEMALA</v>
          </cell>
        </row>
        <row r="11870">
          <cell r="L11870" t="str">
            <v>Non-proportional</v>
          </cell>
          <cell r="S11870">
            <v>3868.55</v>
          </cell>
          <cell r="X11870" t="str">
            <v>Commissions - gross</v>
          </cell>
          <cell r="Y11870" t="str">
            <v>UNITED KINGDOM</v>
          </cell>
        </row>
        <row r="11871">
          <cell r="L11871" t="str">
            <v>Non-proportional</v>
          </cell>
          <cell r="S11871">
            <v>974.45</v>
          </cell>
          <cell r="X11871" t="str">
            <v>Commissions - gross</v>
          </cell>
          <cell r="Y11871" t="str">
            <v>DOMINICAN REPUBLIC</v>
          </cell>
        </row>
        <row r="11872">
          <cell r="L11872" t="str">
            <v>Non-proportional</v>
          </cell>
          <cell r="S11872">
            <v>935.66</v>
          </cell>
          <cell r="X11872" t="str">
            <v>Commissions - gross</v>
          </cell>
          <cell r="Y11872" t="str">
            <v>ISRAEL</v>
          </cell>
        </row>
        <row r="11873">
          <cell r="L11873" t="str">
            <v>Non-proportional</v>
          </cell>
          <cell r="S11873">
            <v>616.36</v>
          </cell>
          <cell r="X11873" t="str">
            <v>Commissions - gross</v>
          </cell>
          <cell r="Y11873" t="str">
            <v>JAPAN</v>
          </cell>
        </row>
        <row r="11874">
          <cell r="L11874" t="str">
            <v>Non-proportional</v>
          </cell>
          <cell r="S11874">
            <v>383.4</v>
          </cell>
          <cell r="X11874" t="str">
            <v>Commissions - gross</v>
          </cell>
          <cell r="Y11874" t="str">
            <v>ECUADOR</v>
          </cell>
        </row>
        <row r="11875">
          <cell r="L11875" t="str">
            <v>Non-proportional</v>
          </cell>
          <cell r="S11875">
            <v>1097.48</v>
          </cell>
          <cell r="X11875" t="str">
            <v>Commissions - gross</v>
          </cell>
          <cell r="Y11875" t="str">
            <v>GERMANY</v>
          </cell>
        </row>
        <row r="11876">
          <cell r="L11876" t="str">
            <v>Non-proportional</v>
          </cell>
          <cell r="S11876">
            <v>734.24</v>
          </cell>
          <cell r="X11876" t="str">
            <v>Commissions - gross</v>
          </cell>
          <cell r="Y11876" t="str">
            <v>FRANCE</v>
          </cell>
        </row>
        <row r="11877">
          <cell r="L11877" t="str">
            <v>Proportional</v>
          </cell>
          <cell r="S11877">
            <v>-103.23</v>
          </cell>
          <cell r="X11877" t="str">
            <v>Commissions - gross</v>
          </cell>
          <cell r="Y11877" t="str">
            <v>CANADA</v>
          </cell>
        </row>
        <row r="11878">
          <cell r="L11878" t="str">
            <v>Non-proportional</v>
          </cell>
          <cell r="S11878">
            <v>-0.16</v>
          </cell>
          <cell r="X11878" t="str">
            <v>Commissions - gross</v>
          </cell>
          <cell r="Y11878" t="str">
            <v>GUATEMALA</v>
          </cell>
        </row>
        <row r="11879">
          <cell r="L11879" t="str">
            <v>Non-proportional</v>
          </cell>
          <cell r="S11879">
            <v>439.96</v>
          </cell>
          <cell r="X11879" t="str">
            <v>Commissions - gross</v>
          </cell>
          <cell r="Y11879" t="str">
            <v>GUATEMALA</v>
          </cell>
        </row>
        <row r="11880">
          <cell r="L11880" t="str">
            <v>Non-proportional</v>
          </cell>
          <cell r="S11880">
            <v>218.5</v>
          </cell>
          <cell r="X11880" t="str">
            <v>Commissions - gross</v>
          </cell>
          <cell r="Y11880" t="str">
            <v>CHILE</v>
          </cell>
        </row>
        <row r="11881">
          <cell r="L11881" t="str">
            <v>Non-proportional</v>
          </cell>
          <cell r="S11881">
            <v>417.79</v>
          </cell>
          <cell r="X11881" t="str">
            <v>Commissions - gross</v>
          </cell>
          <cell r="Y11881" t="str">
            <v>THAILAND</v>
          </cell>
        </row>
        <row r="11882">
          <cell r="L11882" t="str">
            <v>Non-proportional</v>
          </cell>
          <cell r="S11882">
            <v>-6.96</v>
          </cell>
          <cell r="X11882" t="str">
            <v>Commissions - gross</v>
          </cell>
          <cell r="Y11882" t="str">
            <v>NEW ZEALAND</v>
          </cell>
        </row>
        <row r="11883">
          <cell r="L11883" t="str">
            <v>Non-proportional</v>
          </cell>
          <cell r="S11883">
            <v>89.52</v>
          </cell>
          <cell r="X11883" t="str">
            <v>Commissions - gross</v>
          </cell>
          <cell r="Y11883" t="str">
            <v>PUERTO RICO</v>
          </cell>
        </row>
        <row r="11884">
          <cell r="L11884" t="str">
            <v>Non-proportional</v>
          </cell>
          <cell r="S11884">
            <v>946.84</v>
          </cell>
          <cell r="X11884" t="str">
            <v>Commissions - gross</v>
          </cell>
          <cell r="Y11884" t="str">
            <v>CHILE</v>
          </cell>
        </row>
        <row r="11885">
          <cell r="L11885" t="str">
            <v>Non-proportional</v>
          </cell>
          <cell r="S11885">
            <v>-22.85</v>
          </cell>
          <cell r="X11885" t="str">
            <v>Commissions - gross</v>
          </cell>
          <cell r="Y11885" t="str">
            <v>SOUTH KOREA</v>
          </cell>
        </row>
        <row r="11886">
          <cell r="L11886" t="str">
            <v>Non-proportional</v>
          </cell>
          <cell r="S11886">
            <v>2</v>
          </cell>
          <cell r="X11886" t="str">
            <v>Commissions - gross</v>
          </cell>
          <cell r="Y11886" t="str">
            <v>ISRAEL</v>
          </cell>
        </row>
        <row r="11887">
          <cell r="L11887" t="str">
            <v>Non-proportional</v>
          </cell>
          <cell r="S11887">
            <v>496.81</v>
          </cell>
          <cell r="X11887" t="str">
            <v>Commissions - gross</v>
          </cell>
          <cell r="Y11887" t="str">
            <v>SOUTH AFRICA</v>
          </cell>
        </row>
        <row r="11888">
          <cell r="L11888" t="str">
            <v>Non-proportional</v>
          </cell>
          <cell r="S11888">
            <v>635.19000000000005</v>
          </cell>
          <cell r="X11888" t="str">
            <v>Commissions - gross</v>
          </cell>
          <cell r="Y11888" t="str">
            <v>NEW ZEALAND</v>
          </cell>
        </row>
        <row r="11889">
          <cell r="L11889" t="str">
            <v>Proportional</v>
          </cell>
          <cell r="S11889">
            <v>-8.1199999999999992</v>
          </cell>
          <cell r="X11889" t="str">
            <v>Commissions - gross</v>
          </cell>
          <cell r="Y11889" t="str">
            <v>INDIA</v>
          </cell>
        </row>
        <row r="11890">
          <cell r="L11890" t="str">
            <v>Non-proportional</v>
          </cell>
          <cell r="S11890">
            <v>509.58</v>
          </cell>
          <cell r="X11890" t="str">
            <v>Commissions - gross</v>
          </cell>
          <cell r="Y11890" t="str">
            <v>UNITED KINGDOM</v>
          </cell>
        </row>
        <row r="11891">
          <cell r="L11891" t="str">
            <v>Non-proportional</v>
          </cell>
          <cell r="S11891">
            <v>-1298.9000000000001</v>
          </cell>
          <cell r="X11891" t="str">
            <v>Commissions - gross</v>
          </cell>
          <cell r="Y11891" t="str">
            <v>UNITED KINGDOM</v>
          </cell>
        </row>
        <row r="11892">
          <cell r="L11892" t="str">
            <v>Non-proportional</v>
          </cell>
          <cell r="S11892">
            <v>166.63</v>
          </cell>
          <cell r="X11892" t="str">
            <v>Commissions - gross</v>
          </cell>
          <cell r="Y11892" t="str">
            <v>PERU</v>
          </cell>
        </row>
        <row r="11893">
          <cell r="L11893" t="str">
            <v>Non-proportional</v>
          </cell>
          <cell r="S11893">
            <v>823.83</v>
          </cell>
          <cell r="X11893" t="str">
            <v>Commissions - gross</v>
          </cell>
          <cell r="Y11893" t="str">
            <v>ITALY</v>
          </cell>
        </row>
        <row r="11894">
          <cell r="L11894" t="str">
            <v>Non-proportional</v>
          </cell>
          <cell r="S11894">
            <v>-3.86</v>
          </cell>
          <cell r="X11894" t="str">
            <v>Commissions - gross</v>
          </cell>
          <cell r="Y11894" t="str">
            <v>COLOMBIA</v>
          </cell>
        </row>
        <row r="11895">
          <cell r="L11895" t="str">
            <v>Non-proportional</v>
          </cell>
          <cell r="S11895">
            <v>-3568.46</v>
          </cell>
          <cell r="X11895" t="str">
            <v>Commissions - gross</v>
          </cell>
          <cell r="Y11895" t="str">
            <v>BRAZIL</v>
          </cell>
        </row>
        <row r="11896">
          <cell r="L11896" t="str">
            <v>Non-proportional</v>
          </cell>
          <cell r="S11896">
            <v>109.25</v>
          </cell>
          <cell r="X11896" t="str">
            <v>Commissions - gross</v>
          </cell>
          <cell r="Y11896" t="str">
            <v>CHILE</v>
          </cell>
        </row>
        <row r="11897">
          <cell r="L11897" t="str">
            <v>Non-proportional</v>
          </cell>
          <cell r="S11897">
            <v>625</v>
          </cell>
          <cell r="X11897" t="str">
            <v>Commissions - gross</v>
          </cell>
          <cell r="Y11897" t="str">
            <v>SPAIN</v>
          </cell>
        </row>
        <row r="11898">
          <cell r="L11898" t="str">
            <v>Non-proportional</v>
          </cell>
          <cell r="S11898">
            <v>418.53</v>
          </cell>
          <cell r="X11898" t="str">
            <v>Commissions - gross</v>
          </cell>
          <cell r="Y11898" t="str">
            <v>COLOMBIA</v>
          </cell>
        </row>
        <row r="11899">
          <cell r="L11899" t="str">
            <v>Non-proportional</v>
          </cell>
          <cell r="S11899">
            <v>246.07</v>
          </cell>
          <cell r="X11899" t="str">
            <v>Commissions - gross</v>
          </cell>
          <cell r="Y11899" t="str">
            <v>DOMINICAN REPUBLIC</v>
          </cell>
        </row>
        <row r="11900">
          <cell r="L11900" t="str">
            <v>Non-proportional</v>
          </cell>
          <cell r="S11900">
            <v>189.83</v>
          </cell>
          <cell r="X11900" t="str">
            <v>Commissions - gross</v>
          </cell>
          <cell r="Y11900" t="str">
            <v>DOMINICAN REPUBLIC</v>
          </cell>
        </row>
        <row r="11901">
          <cell r="L11901" t="str">
            <v>Non-proportional</v>
          </cell>
          <cell r="S11901">
            <v>4686.47</v>
          </cell>
          <cell r="X11901" t="str">
            <v>Commissions - gross</v>
          </cell>
          <cell r="Y11901" t="str">
            <v>FRANCE</v>
          </cell>
        </row>
        <row r="11902">
          <cell r="L11902" t="str">
            <v>Non-proportional</v>
          </cell>
          <cell r="S11902">
            <v>176.83</v>
          </cell>
          <cell r="X11902" t="str">
            <v>Commissions - gross</v>
          </cell>
          <cell r="Y11902" t="str">
            <v>NEW ZEALAND</v>
          </cell>
        </row>
        <row r="11903">
          <cell r="L11903" t="str">
            <v>Non-proportional</v>
          </cell>
          <cell r="S11903">
            <v>1433.12</v>
          </cell>
          <cell r="X11903" t="str">
            <v>Commissions - gross</v>
          </cell>
          <cell r="Y11903" t="str">
            <v>FRANCE</v>
          </cell>
        </row>
        <row r="11904">
          <cell r="L11904" t="str">
            <v>Non-proportional</v>
          </cell>
          <cell r="S11904">
            <v>132.44999999999999</v>
          </cell>
          <cell r="X11904" t="str">
            <v>Commissions - gross</v>
          </cell>
          <cell r="Y11904" t="str">
            <v>PUERTO RICO</v>
          </cell>
        </row>
        <row r="11905">
          <cell r="L11905" t="str">
            <v>Proportional</v>
          </cell>
          <cell r="S11905">
            <v>105.23</v>
          </cell>
          <cell r="X11905" t="str">
            <v>Commissions - gross</v>
          </cell>
          <cell r="Y11905" t="str">
            <v>CHILE</v>
          </cell>
        </row>
        <row r="11906">
          <cell r="L11906" t="str">
            <v>Non-proportional</v>
          </cell>
          <cell r="S11906">
            <v>158.56</v>
          </cell>
          <cell r="X11906" t="str">
            <v>Commissions - gross</v>
          </cell>
          <cell r="Y11906" t="str">
            <v>JAPAN</v>
          </cell>
        </row>
        <row r="11907">
          <cell r="L11907" t="str">
            <v>Non-proportional</v>
          </cell>
          <cell r="S11907">
            <v>551.27</v>
          </cell>
          <cell r="X11907" t="str">
            <v>Commissions - gross</v>
          </cell>
          <cell r="Y11907" t="str">
            <v>NETHERLANDS</v>
          </cell>
        </row>
        <row r="11908">
          <cell r="L11908" t="str">
            <v>Non-proportional</v>
          </cell>
          <cell r="S11908">
            <v>-1.28</v>
          </cell>
          <cell r="X11908" t="str">
            <v>Commissions - gross</v>
          </cell>
          <cell r="Y11908" t="str">
            <v>GUATEMALA</v>
          </cell>
        </row>
        <row r="11909">
          <cell r="L11909" t="str">
            <v>Non-proportional</v>
          </cell>
          <cell r="S11909">
            <v>145.83000000000001</v>
          </cell>
          <cell r="X11909" t="str">
            <v>Commissions - gross</v>
          </cell>
          <cell r="Y11909" t="str">
            <v>GREECE</v>
          </cell>
        </row>
        <row r="11910">
          <cell r="L11910" t="str">
            <v>Non-proportional</v>
          </cell>
          <cell r="S11910">
            <v>1160.32</v>
          </cell>
          <cell r="X11910" t="str">
            <v>Commissions - gross</v>
          </cell>
          <cell r="Y11910" t="str">
            <v>MEXICO</v>
          </cell>
        </row>
        <row r="11911">
          <cell r="L11911" t="str">
            <v>Non-proportional</v>
          </cell>
          <cell r="S11911">
            <v>499.1</v>
          </cell>
          <cell r="X11911" t="str">
            <v>Commissions - gross</v>
          </cell>
          <cell r="Y11911" t="str">
            <v>UNITED KINGDOM</v>
          </cell>
        </row>
        <row r="11912">
          <cell r="L11912" t="str">
            <v>Non-proportional</v>
          </cell>
          <cell r="S11912">
            <v>54.69</v>
          </cell>
          <cell r="X11912" t="str">
            <v>Commissions - gross</v>
          </cell>
          <cell r="Y11912" t="str">
            <v>ITALY</v>
          </cell>
        </row>
        <row r="11913">
          <cell r="L11913" t="str">
            <v>Non-proportional</v>
          </cell>
          <cell r="S11913">
            <v>198.21</v>
          </cell>
          <cell r="X11913" t="str">
            <v>Commissions - gross</v>
          </cell>
          <cell r="Y11913" t="str">
            <v>JAPAN</v>
          </cell>
        </row>
        <row r="11914">
          <cell r="L11914" t="str">
            <v>Non-proportional</v>
          </cell>
          <cell r="S11914">
            <v>282.98</v>
          </cell>
          <cell r="X11914" t="str">
            <v>Commissions - gross</v>
          </cell>
          <cell r="Y11914" t="str">
            <v>AUSTRALIA</v>
          </cell>
        </row>
        <row r="11915">
          <cell r="L11915" t="str">
            <v>Non-proportional</v>
          </cell>
          <cell r="S11915">
            <v>2445.7399999999998</v>
          </cell>
          <cell r="X11915" t="str">
            <v>Commissions - gross</v>
          </cell>
          <cell r="Y11915" t="str">
            <v>TURKEY</v>
          </cell>
        </row>
        <row r="11916">
          <cell r="L11916" t="str">
            <v>Non-proportional</v>
          </cell>
          <cell r="S11916">
            <v>0.01</v>
          </cell>
          <cell r="X11916" t="str">
            <v>Commissions - gross</v>
          </cell>
          <cell r="Y11916" t="str">
            <v>COLOMBIA</v>
          </cell>
        </row>
        <row r="11917">
          <cell r="L11917" t="str">
            <v>Non-proportional</v>
          </cell>
          <cell r="S11917">
            <v>1203.46</v>
          </cell>
          <cell r="X11917" t="str">
            <v>Commissions - gross</v>
          </cell>
          <cell r="Y11917" t="str">
            <v>MEXICO</v>
          </cell>
        </row>
        <row r="11918">
          <cell r="L11918" t="str">
            <v>Non-proportional</v>
          </cell>
          <cell r="S11918">
            <v>1223.72</v>
          </cell>
          <cell r="X11918" t="str">
            <v>Commissions - gross</v>
          </cell>
          <cell r="Y11918" t="str">
            <v>COSTA RICA</v>
          </cell>
        </row>
        <row r="11919">
          <cell r="L11919" t="str">
            <v>Non-proportional</v>
          </cell>
          <cell r="S11919">
            <v>347.16</v>
          </cell>
          <cell r="X11919" t="str">
            <v>Commissions - gross</v>
          </cell>
          <cell r="Y11919" t="str">
            <v>UNITED KINGDOM</v>
          </cell>
        </row>
        <row r="11920">
          <cell r="L11920" t="str">
            <v>Non-proportional</v>
          </cell>
          <cell r="S11920">
            <v>-2.0499999999999998</v>
          </cell>
          <cell r="X11920" t="str">
            <v>Commissions - gross</v>
          </cell>
          <cell r="Y11920" t="str">
            <v>DOMINICAN REPUBLIC</v>
          </cell>
        </row>
        <row r="11921">
          <cell r="L11921" t="str">
            <v>Non-proportional</v>
          </cell>
          <cell r="S11921">
            <v>8932.74</v>
          </cell>
          <cell r="X11921" t="str">
            <v>Commissions - gross</v>
          </cell>
          <cell r="Y11921" t="str">
            <v>UNITED KINGDOM</v>
          </cell>
        </row>
        <row r="11922">
          <cell r="L11922" t="str">
            <v>Non-proportional</v>
          </cell>
          <cell r="S11922">
            <v>1438.94</v>
          </cell>
          <cell r="X11922" t="str">
            <v>Commissions - gross</v>
          </cell>
          <cell r="Y11922" t="str">
            <v>PUERTO RICO</v>
          </cell>
        </row>
        <row r="11923">
          <cell r="L11923" t="str">
            <v>Non-proportional</v>
          </cell>
          <cell r="S11923">
            <v>750.3</v>
          </cell>
          <cell r="X11923" t="str">
            <v>Commissions - gross</v>
          </cell>
          <cell r="Y11923" t="str">
            <v>CYPRUS</v>
          </cell>
        </row>
        <row r="11924">
          <cell r="L11924" t="str">
            <v>Non-proportional</v>
          </cell>
          <cell r="S11924">
            <v>238.58</v>
          </cell>
          <cell r="X11924" t="str">
            <v>Commissions - gross</v>
          </cell>
          <cell r="Y11924" t="str">
            <v>COLOMBIA</v>
          </cell>
        </row>
        <row r="11925">
          <cell r="L11925" t="str">
            <v>Non-proportional</v>
          </cell>
          <cell r="S11925">
            <v>-10.83</v>
          </cell>
          <cell r="X11925" t="str">
            <v>Commissions - gross</v>
          </cell>
          <cell r="Y11925" t="str">
            <v>JAPAN</v>
          </cell>
        </row>
        <row r="11926">
          <cell r="L11926" t="str">
            <v>Non-proportional</v>
          </cell>
          <cell r="S11926">
            <v>254.36</v>
          </cell>
          <cell r="X11926" t="str">
            <v>Commissions - gross</v>
          </cell>
          <cell r="Y11926" t="str">
            <v>THAILAND</v>
          </cell>
        </row>
        <row r="11927">
          <cell r="L11927" t="str">
            <v>Non-proportional</v>
          </cell>
          <cell r="S11927">
            <v>354.03</v>
          </cell>
          <cell r="X11927" t="str">
            <v>Commissions - gross</v>
          </cell>
          <cell r="Y11927" t="str">
            <v>THAILAND</v>
          </cell>
        </row>
        <row r="11928">
          <cell r="L11928" t="str">
            <v>Non-proportional</v>
          </cell>
          <cell r="S11928">
            <v>1015.72</v>
          </cell>
          <cell r="X11928" t="str">
            <v>Commissions - gross</v>
          </cell>
          <cell r="Y11928" t="str">
            <v>PERU</v>
          </cell>
        </row>
        <row r="11929">
          <cell r="L11929" t="str">
            <v>Proportional</v>
          </cell>
          <cell r="S11929">
            <v>1310.99</v>
          </cell>
          <cell r="X11929" t="str">
            <v>Commissions - gross</v>
          </cell>
          <cell r="Y11929" t="str">
            <v>CANADA</v>
          </cell>
        </row>
        <row r="11930">
          <cell r="L11930" t="str">
            <v>Non-proportional</v>
          </cell>
          <cell r="S11930">
            <v>1266.46</v>
          </cell>
          <cell r="X11930" t="str">
            <v>Commissions - gross</v>
          </cell>
          <cell r="Y11930" t="str">
            <v>FRANCE</v>
          </cell>
        </row>
        <row r="11931">
          <cell r="L11931" t="str">
            <v>Non-proportional</v>
          </cell>
          <cell r="S11931">
            <v>-29.22</v>
          </cell>
          <cell r="X11931" t="str">
            <v>Commissions - gross</v>
          </cell>
          <cell r="Y11931" t="str">
            <v>NEW ZEALAND</v>
          </cell>
        </row>
        <row r="11932">
          <cell r="L11932" t="str">
            <v>Non-proportional</v>
          </cell>
          <cell r="S11932">
            <v>-40.39</v>
          </cell>
          <cell r="X11932" t="str">
            <v>Commissions - gross</v>
          </cell>
          <cell r="Y11932" t="str">
            <v>NEW ZEALAND</v>
          </cell>
        </row>
        <row r="11933">
          <cell r="L11933" t="str">
            <v>Non-proportional</v>
          </cell>
          <cell r="S11933">
            <v>437.01</v>
          </cell>
          <cell r="X11933" t="str">
            <v>Commissions - gross</v>
          </cell>
          <cell r="Y11933" t="str">
            <v>CHILE</v>
          </cell>
        </row>
        <row r="11934">
          <cell r="L11934" t="str">
            <v>Non-proportional</v>
          </cell>
          <cell r="S11934">
            <v>323.01</v>
          </cell>
          <cell r="X11934" t="str">
            <v>Commissions - gross</v>
          </cell>
          <cell r="Y11934" t="str">
            <v>AUSTRALIA</v>
          </cell>
        </row>
        <row r="11935">
          <cell r="L11935" t="str">
            <v>Non-proportional</v>
          </cell>
          <cell r="S11935">
            <v>972.86</v>
          </cell>
          <cell r="X11935" t="str">
            <v>Commissions - gross</v>
          </cell>
          <cell r="Y11935" t="str">
            <v>PERU</v>
          </cell>
        </row>
        <row r="11936">
          <cell r="L11936" t="str">
            <v>Non-proportional</v>
          </cell>
          <cell r="S11936">
            <v>378</v>
          </cell>
          <cell r="X11936" t="str">
            <v>Commissions - gross</v>
          </cell>
          <cell r="Y11936" t="str">
            <v>GREECE</v>
          </cell>
        </row>
        <row r="11937">
          <cell r="L11937" t="str">
            <v>Proportional</v>
          </cell>
          <cell r="S11937">
            <v>20.79</v>
          </cell>
          <cell r="X11937" t="str">
            <v>Commissions - gross</v>
          </cell>
          <cell r="Y11937" t="str">
            <v>ITALY</v>
          </cell>
        </row>
        <row r="11938">
          <cell r="L11938" t="str">
            <v>Proportional</v>
          </cell>
          <cell r="S11938">
            <v>448.77</v>
          </cell>
          <cell r="X11938" t="str">
            <v>Commissions - gross</v>
          </cell>
          <cell r="Y11938" t="str">
            <v>EUROPE</v>
          </cell>
        </row>
        <row r="11939">
          <cell r="L11939" t="str">
            <v>Non-proportional</v>
          </cell>
          <cell r="S11939">
            <v>276.52</v>
          </cell>
          <cell r="X11939" t="str">
            <v>Commissions - gross</v>
          </cell>
          <cell r="Y11939" t="str">
            <v>JAPAN</v>
          </cell>
        </row>
        <row r="11940">
          <cell r="L11940" t="str">
            <v>Non-proportional</v>
          </cell>
          <cell r="S11940">
            <v>901.65</v>
          </cell>
          <cell r="X11940" t="str">
            <v>Commissions - gross</v>
          </cell>
          <cell r="Y11940" t="str">
            <v>NEW ZEALAND</v>
          </cell>
        </row>
        <row r="11941">
          <cell r="L11941" t="str">
            <v>Non-proportional</v>
          </cell>
          <cell r="S11941">
            <v>466.65</v>
          </cell>
          <cell r="X11941" t="str">
            <v>Commissions - gross</v>
          </cell>
          <cell r="Y11941" t="str">
            <v>TURKEY</v>
          </cell>
        </row>
        <row r="11942">
          <cell r="L11942" t="str">
            <v>Non-proportional</v>
          </cell>
          <cell r="S11942">
            <v>527.45000000000005</v>
          </cell>
          <cell r="X11942" t="str">
            <v>Commissions - gross</v>
          </cell>
          <cell r="Y11942" t="str">
            <v>CYPRUS</v>
          </cell>
        </row>
        <row r="11943">
          <cell r="L11943" t="str">
            <v>Non-proportional</v>
          </cell>
          <cell r="S11943">
            <v>204.38</v>
          </cell>
          <cell r="X11943" t="str">
            <v>Commissions - gross</v>
          </cell>
          <cell r="Y11943" t="str">
            <v>GREECE</v>
          </cell>
        </row>
        <row r="11944">
          <cell r="L11944" t="str">
            <v>Proportional</v>
          </cell>
          <cell r="S11944">
            <v>-691.92</v>
          </cell>
          <cell r="X11944" t="str">
            <v>Commissions - gross</v>
          </cell>
          <cell r="Y11944" t="str">
            <v>CHILE</v>
          </cell>
        </row>
        <row r="11945">
          <cell r="L11945" t="str">
            <v>Non-proportional</v>
          </cell>
          <cell r="S11945">
            <v>39</v>
          </cell>
          <cell r="X11945" t="str">
            <v>Commissions - gross</v>
          </cell>
          <cell r="Y11945" t="str">
            <v>ITALY</v>
          </cell>
        </row>
        <row r="11946">
          <cell r="L11946" t="str">
            <v>Non-proportional</v>
          </cell>
          <cell r="S11946">
            <v>-2916.01</v>
          </cell>
          <cell r="X11946" t="str">
            <v>Commissions - gross</v>
          </cell>
          <cell r="Y11946" t="str">
            <v>ECUADOR</v>
          </cell>
        </row>
        <row r="11947">
          <cell r="L11947" t="str">
            <v>Non-proportional</v>
          </cell>
          <cell r="S11947">
            <v>145.83000000000001</v>
          </cell>
          <cell r="X11947" t="str">
            <v>Commissions - gross</v>
          </cell>
          <cell r="Y11947" t="str">
            <v>ITALY</v>
          </cell>
        </row>
        <row r="11948">
          <cell r="L11948" t="str">
            <v>Non-proportional</v>
          </cell>
          <cell r="S11948">
            <v>946.84</v>
          </cell>
          <cell r="X11948" t="str">
            <v>Commissions - gross</v>
          </cell>
          <cell r="Y11948" t="str">
            <v>CHILE</v>
          </cell>
        </row>
        <row r="11949">
          <cell r="L11949" t="str">
            <v>Non-proportional</v>
          </cell>
          <cell r="S11949">
            <v>4079.99</v>
          </cell>
          <cell r="X11949" t="str">
            <v>Commissions - gross</v>
          </cell>
          <cell r="Y11949" t="str">
            <v>TURKEY</v>
          </cell>
        </row>
        <row r="11950">
          <cell r="L11950" t="str">
            <v>Non-proportional</v>
          </cell>
          <cell r="S11950">
            <v>158.56</v>
          </cell>
          <cell r="X11950" t="str">
            <v>Commissions - gross</v>
          </cell>
          <cell r="Y11950" t="str">
            <v>JAPAN</v>
          </cell>
        </row>
        <row r="11951">
          <cell r="L11951" t="str">
            <v>Non-proportional</v>
          </cell>
          <cell r="S11951">
            <v>382.81</v>
          </cell>
          <cell r="X11951" t="str">
            <v>Commissions - gross</v>
          </cell>
          <cell r="Y11951" t="str">
            <v>ITALY</v>
          </cell>
        </row>
        <row r="11952">
          <cell r="L11952" t="str">
            <v>Non-proportional</v>
          </cell>
          <cell r="S11952">
            <v>328.13</v>
          </cell>
          <cell r="X11952" t="str">
            <v>Commissions - gross</v>
          </cell>
          <cell r="Y11952" t="str">
            <v>ITALY</v>
          </cell>
        </row>
        <row r="11953">
          <cell r="L11953" t="str">
            <v>Non-proportional</v>
          </cell>
          <cell r="S11953">
            <v>359.38</v>
          </cell>
          <cell r="X11953" t="str">
            <v>Commissions - gross</v>
          </cell>
          <cell r="Y11953" t="str">
            <v>GREECE</v>
          </cell>
        </row>
        <row r="11954">
          <cell r="L11954" t="str">
            <v>Non-proportional</v>
          </cell>
          <cell r="S11954">
            <v>788.37</v>
          </cell>
          <cell r="X11954" t="str">
            <v>Commissions - gross</v>
          </cell>
          <cell r="Y11954" t="str">
            <v>COLOMBIA</v>
          </cell>
        </row>
        <row r="11955">
          <cell r="L11955" t="str">
            <v>Non-proportional</v>
          </cell>
          <cell r="S11955">
            <v>190.83</v>
          </cell>
          <cell r="X11955" t="str">
            <v>Commissions - gross</v>
          </cell>
          <cell r="Y11955" t="str">
            <v>DOMINICAN REPUBLIC</v>
          </cell>
        </row>
        <row r="11956">
          <cell r="L11956" t="str">
            <v>Non-proportional</v>
          </cell>
          <cell r="S11956">
            <v>-25.42</v>
          </cell>
          <cell r="X11956" t="str">
            <v>Commissions - gross</v>
          </cell>
          <cell r="Y11956" t="str">
            <v>NEW ZEALAND</v>
          </cell>
        </row>
        <row r="11957">
          <cell r="L11957" t="str">
            <v>Non-proportional</v>
          </cell>
          <cell r="S11957">
            <v>6352.78</v>
          </cell>
          <cell r="X11957" t="str">
            <v>Commissions - gross</v>
          </cell>
          <cell r="Y11957" t="str">
            <v>UNITED KINGDOM</v>
          </cell>
        </row>
        <row r="11958">
          <cell r="L11958" t="str">
            <v>Non-proportional</v>
          </cell>
          <cell r="S11958">
            <v>-1.05</v>
          </cell>
          <cell r="X11958" t="str">
            <v>Commissions - gross</v>
          </cell>
          <cell r="Y11958" t="str">
            <v>CHINA</v>
          </cell>
        </row>
        <row r="11959">
          <cell r="L11959" t="str">
            <v>Non-proportional</v>
          </cell>
          <cell r="S11959">
            <v>41.77</v>
          </cell>
          <cell r="X11959" t="str">
            <v>Commissions - gross</v>
          </cell>
          <cell r="Y11959" t="str">
            <v>NETHERLANDS</v>
          </cell>
        </row>
        <row r="11960">
          <cell r="L11960" t="str">
            <v>Non-proportional</v>
          </cell>
          <cell r="S11960">
            <v>77.290000000000006</v>
          </cell>
          <cell r="X11960" t="str">
            <v>Commissions - gross</v>
          </cell>
          <cell r="Y11960" t="str">
            <v>REPUBLIC OF IRELAND</v>
          </cell>
        </row>
        <row r="11961">
          <cell r="L11961" t="str">
            <v>Non-proportional</v>
          </cell>
          <cell r="S11961">
            <v>9566.6299999999992</v>
          </cell>
          <cell r="X11961" t="str">
            <v>Commissions - gross</v>
          </cell>
          <cell r="Y11961" t="str">
            <v>UNITED KINGDOM</v>
          </cell>
        </row>
        <row r="11962">
          <cell r="L11962" t="str">
            <v>Non-proportional</v>
          </cell>
          <cell r="S11962">
            <v>403.79</v>
          </cell>
          <cell r="X11962" t="str">
            <v>Commissions - gross</v>
          </cell>
          <cell r="Y11962" t="str">
            <v>ECUADOR</v>
          </cell>
        </row>
        <row r="11963">
          <cell r="L11963" t="str">
            <v>Non-proportional</v>
          </cell>
          <cell r="S11963">
            <v>-17.41</v>
          </cell>
          <cell r="X11963" t="str">
            <v>Commissions - gross</v>
          </cell>
          <cell r="Y11963" t="str">
            <v>JAPAN</v>
          </cell>
        </row>
        <row r="11964">
          <cell r="L11964" t="str">
            <v>Non-proportional</v>
          </cell>
          <cell r="S11964">
            <v>538.53</v>
          </cell>
          <cell r="X11964" t="str">
            <v>Commissions - gross</v>
          </cell>
          <cell r="Y11964" t="str">
            <v>JAPAN</v>
          </cell>
        </row>
        <row r="11965">
          <cell r="L11965" t="str">
            <v>Non-proportional</v>
          </cell>
          <cell r="S11965">
            <v>127.84</v>
          </cell>
          <cell r="X11965" t="str">
            <v>Commissions - gross</v>
          </cell>
          <cell r="Y11965" t="str">
            <v>COLOMBIA</v>
          </cell>
        </row>
        <row r="11966">
          <cell r="L11966" t="str">
            <v>Non-proportional</v>
          </cell>
          <cell r="S11966">
            <v>1074.8699999999999</v>
          </cell>
          <cell r="X11966" t="str">
            <v>Commissions - gross</v>
          </cell>
          <cell r="Y11966" t="str">
            <v>ITALY</v>
          </cell>
        </row>
        <row r="11967">
          <cell r="L11967" t="str">
            <v>Non-proportional</v>
          </cell>
          <cell r="S11967">
            <v>621.6</v>
          </cell>
          <cell r="X11967" t="str">
            <v>Commissions - gross</v>
          </cell>
          <cell r="Y11967" t="str">
            <v>PERU</v>
          </cell>
        </row>
        <row r="11968">
          <cell r="L11968" t="str">
            <v>Non-proportional</v>
          </cell>
          <cell r="S11968">
            <v>407.81</v>
          </cell>
          <cell r="X11968" t="str">
            <v>Commissions - gross</v>
          </cell>
          <cell r="Y11968" t="str">
            <v>GREECE</v>
          </cell>
        </row>
        <row r="11969">
          <cell r="L11969" t="str">
            <v>Non-proportional</v>
          </cell>
          <cell r="S11969">
            <v>494.91</v>
          </cell>
          <cell r="X11969" t="str">
            <v>Commissions - gross</v>
          </cell>
          <cell r="Y11969" t="str">
            <v>NETHERLANDS</v>
          </cell>
        </row>
        <row r="11970">
          <cell r="L11970" t="str">
            <v>Non-proportional</v>
          </cell>
          <cell r="S11970">
            <v>369.01</v>
          </cell>
          <cell r="X11970" t="str">
            <v>Commissions - gross</v>
          </cell>
          <cell r="Y11970" t="str">
            <v>ISRAEL</v>
          </cell>
        </row>
        <row r="11971">
          <cell r="L11971" t="str">
            <v>Non-proportional</v>
          </cell>
          <cell r="S11971">
            <v>36.42</v>
          </cell>
          <cell r="X11971" t="str">
            <v>Commissions - gross</v>
          </cell>
          <cell r="Y11971" t="str">
            <v>CHILE</v>
          </cell>
        </row>
        <row r="11972">
          <cell r="L11972" t="str">
            <v>Non-proportional</v>
          </cell>
          <cell r="S11972">
            <v>526.1</v>
          </cell>
          <cell r="X11972" t="str">
            <v>Commissions - gross</v>
          </cell>
          <cell r="Y11972" t="str">
            <v>NEW ZEALAND</v>
          </cell>
        </row>
        <row r="11973">
          <cell r="L11973" t="str">
            <v>Non-proportional</v>
          </cell>
          <cell r="S11973">
            <v>1942.63</v>
          </cell>
          <cell r="X11973" t="str">
            <v>Commissions - gross</v>
          </cell>
          <cell r="Y11973" t="str">
            <v>MEXICO</v>
          </cell>
        </row>
        <row r="11974">
          <cell r="L11974" t="str">
            <v>Non-proportional</v>
          </cell>
          <cell r="S11974">
            <v>162.28</v>
          </cell>
          <cell r="X11974" t="str">
            <v>Commissions - gross</v>
          </cell>
          <cell r="Y11974" t="str">
            <v>COSTA RICA</v>
          </cell>
        </row>
        <row r="11975">
          <cell r="L11975" t="str">
            <v>Non-proportional</v>
          </cell>
          <cell r="S11975">
            <v>441.41</v>
          </cell>
          <cell r="X11975" t="str">
            <v>Commissions - gross</v>
          </cell>
          <cell r="Y11975" t="str">
            <v>COSTA RICA</v>
          </cell>
        </row>
        <row r="11976">
          <cell r="L11976" t="str">
            <v>Non-proportional</v>
          </cell>
          <cell r="S11976">
            <v>42.2</v>
          </cell>
          <cell r="X11976" t="str">
            <v>Commissions - gross</v>
          </cell>
          <cell r="Y11976" t="str">
            <v>COLOMBIA</v>
          </cell>
        </row>
        <row r="11977">
          <cell r="L11977" t="str">
            <v>Non-proportional</v>
          </cell>
          <cell r="S11977">
            <v>359.58</v>
          </cell>
          <cell r="X11977" t="str">
            <v>Commissions - gross</v>
          </cell>
          <cell r="Y11977" t="str">
            <v>ISRAEL</v>
          </cell>
        </row>
        <row r="11978">
          <cell r="L11978" t="str">
            <v>Non-proportional</v>
          </cell>
          <cell r="S11978">
            <v>136.96</v>
          </cell>
          <cell r="X11978" t="str">
            <v>Commissions - gross</v>
          </cell>
          <cell r="Y11978" t="str">
            <v>ISRAEL</v>
          </cell>
        </row>
        <row r="11979">
          <cell r="L11979" t="str">
            <v>Non-proportional</v>
          </cell>
          <cell r="S11979">
            <v>35.32</v>
          </cell>
          <cell r="X11979" t="str">
            <v>Commissions - gross</v>
          </cell>
          <cell r="Y11979" t="str">
            <v>TURKEY</v>
          </cell>
        </row>
        <row r="11980">
          <cell r="L11980" t="str">
            <v>Non-proportional</v>
          </cell>
          <cell r="S11980">
            <v>983.28</v>
          </cell>
          <cell r="X11980" t="str">
            <v>Commissions - gross</v>
          </cell>
          <cell r="Y11980" t="str">
            <v>FRANCE</v>
          </cell>
        </row>
        <row r="11981">
          <cell r="L11981" t="str">
            <v>Proportional</v>
          </cell>
          <cell r="S11981">
            <v>348.3</v>
          </cell>
          <cell r="X11981" t="str">
            <v>Commissions - gross</v>
          </cell>
          <cell r="Y11981" t="str">
            <v>AUSTRALIA</v>
          </cell>
        </row>
        <row r="11982">
          <cell r="L11982" t="str">
            <v>Non-proportional</v>
          </cell>
          <cell r="S11982">
            <v>274.48</v>
          </cell>
          <cell r="X11982" t="str">
            <v>Commissions - gross</v>
          </cell>
          <cell r="Y11982" t="str">
            <v>JAPAN</v>
          </cell>
        </row>
        <row r="11983">
          <cell r="L11983" t="str">
            <v>Non-proportional</v>
          </cell>
          <cell r="S11983">
            <v>312.75</v>
          </cell>
          <cell r="X11983" t="str">
            <v>Commissions - gross</v>
          </cell>
          <cell r="Y11983" t="str">
            <v>PERU</v>
          </cell>
        </row>
        <row r="11984">
          <cell r="L11984" t="str">
            <v>Non-proportional</v>
          </cell>
          <cell r="S11984">
            <v>1837.68</v>
          </cell>
          <cell r="X11984" t="str">
            <v>Commissions - gross</v>
          </cell>
          <cell r="Y11984" t="str">
            <v>CHINA</v>
          </cell>
        </row>
        <row r="11985">
          <cell r="L11985" t="str">
            <v>Proportional</v>
          </cell>
          <cell r="S11985">
            <v>462.76</v>
          </cell>
          <cell r="X11985" t="str">
            <v>Commissions - gross</v>
          </cell>
          <cell r="Y11985" t="str">
            <v>CHILE</v>
          </cell>
        </row>
        <row r="11986">
          <cell r="L11986" t="str">
            <v>Proportional</v>
          </cell>
          <cell r="S11986">
            <v>1165.3499999999999</v>
          </cell>
          <cell r="X11986" t="str">
            <v>Commissions - gross</v>
          </cell>
          <cell r="Y11986" t="str">
            <v>CHILE</v>
          </cell>
        </row>
        <row r="11987">
          <cell r="L11987" t="str">
            <v>Non-proportional</v>
          </cell>
          <cell r="S11987">
            <v>241</v>
          </cell>
          <cell r="X11987" t="str">
            <v>Commissions - gross</v>
          </cell>
          <cell r="Y11987" t="str">
            <v>UNITED KINGDOM</v>
          </cell>
        </row>
        <row r="11988">
          <cell r="L11988" t="str">
            <v>Proportional</v>
          </cell>
          <cell r="S11988">
            <v>-43.54</v>
          </cell>
          <cell r="X11988" t="str">
            <v>Commissions - gross</v>
          </cell>
          <cell r="Y11988" t="str">
            <v>FRANCE</v>
          </cell>
        </row>
        <row r="11989">
          <cell r="L11989" t="str">
            <v>Non-proportional</v>
          </cell>
          <cell r="S11989">
            <v>282.26</v>
          </cell>
          <cell r="X11989" t="str">
            <v>Commissions - gross</v>
          </cell>
          <cell r="Y11989" t="str">
            <v>JAPAN</v>
          </cell>
        </row>
        <row r="11990">
          <cell r="L11990" t="str">
            <v>Non-proportional</v>
          </cell>
          <cell r="S11990">
            <v>180.99</v>
          </cell>
          <cell r="X11990" t="str">
            <v>Commissions - gross</v>
          </cell>
          <cell r="Y11990" t="str">
            <v>SOUTH AFRICA</v>
          </cell>
        </row>
        <row r="11991">
          <cell r="L11991" t="str">
            <v>Proportional</v>
          </cell>
          <cell r="S11991">
            <v>3.79</v>
          </cell>
          <cell r="X11991" t="str">
            <v>Commissions - gross</v>
          </cell>
          <cell r="Y11991" t="str">
            <v>UNITED STATES</v>
          </cell>
        </row>
        <row r="11992">
          <cell r="L11992" t="str">
            <v>Proportional</v>
          </cell>
          <cell r="S11992">
            <v>113.88</v>
          </cell>
          <cell r="X11992" t="str">
            <v>Commissions - gross</v>
          </cell>
          <cell r="Y11992" t="str">
            <v>ITALY</v>
          </cell>
        </row>
        <row r="11993">
          <cell r="L11993" t="str">
            <v>Non-proportional</v>
          </cell>
          <cell r="S11993">
            <v>173.8</v>
          </cell>
          <cell r="X11993" t="str">
            <v>Commissions - gross</v>
          </cell>
          <cell r="Y11993" t="str">
            <v>ECUADOR</v>
          </cell>
        </row>
        <row r="11994">
          <cell r="L11994" t="str">
            <v>Proportional</v>
          </cell>
          <cell r="S11994">
            <v>-1.76</v>
          </cell>
          <cell r="X11994" t="str">
            <v>Commissions - gross</v>
          </cell>
          <cell r="Y11994" t="str">
            <v>UNITED STATES</v>
          </cell>
        </row>
        <row r="11995">
          <cell r="L11995" t="str">
            <v>Non-proportional</v>
          </cell>
          <cell r="S11995">
            <v>194.24</v>
          </cell>
          <cell r="X11995" t="str">
            <v>Commissions - gross</v>
          </cell>
          <cell r="Y11995" t="str">
            <v>ISRAEL</v>
          </cell>
        </row>
        <row r="11996">
          <cell r="L11996" t="str">
            <v>Non-proportional</v>
          </cell>
          <cell r="S11996">
            <v>272.33</v>
          </cell>
          <cell r="X11996" t="str">
            <v>Commissions - gross</v>
          </cell>
          <cell r="Y11996" t="str">
            <v>JAPAN</v>
          </cell>
        </row>
        <row r="11997">
          <cell r="L11997" t="str">
            <v>Non-proportional</v>
          </cell>
          <cell r="S11997">
            <v>16.809999999999999</v>
          </cell>
          <cell r="X11997" t="str">
            <v>Commissions - gross</v>
          </cell>
          <cell r="Y11997" t="str">
            <v>FRANCE</v>
          </cell>
        </row>
        <row r="11998">
          <cell r="L11998" t="str">
            <v>Non-proportional</v>
          </cell>
          <cell r="S11998">
            <v>103.27</v>
          </cell>
          <cell r="X11998" t="str">
            <v>Commissions - gross</v>
          </cell>
          <cell r="Y11998" t="str">
            <v>FRANCE</v>
          </cell>
        </row>
        <row r="11999">
          <cell r="L11999" t="str">
            <v>Non-proportional</v>
          </cell>
          <cell r="S11999">
            <v>172.22</v>
          </cell>
          <cell r="X11999" t="str">
            <v>Commissions - gross</v>
          </cell>
          <cell r="Y11999" t="str">
            <v>JAPAN</v>
          </cell>
        </row>
        <row r="12000">
          <cell r="L12000" t="str">
            <v>Non-proportional</v>
          </cell>
          <cell r="S12000">
            <v>1097.47</v>
          </cell>
          <cell r="X12000" t="str">
            <v>Commissions - gross</v>
          </cell>
          <cell r="Y12000" t="str">
            <v>COLOMBIA</v>
          </cell>
        </row>
        <row r="12001">
          <cell r="L12001" t="str">
            <v>Non-proportional</v>
          </cell>
          <cell r="S12001">
            <v>1388.49</v>
          </cell>
          <cell r="X12001" t="str">
            <v>Commissions - gross</v>
          </cell>
          <cell r="Y12001" t="str">
            <v>TURKEY</v>
          </cell>
        </row>
        <row r="12002">
          <cell r="L12002" t="str">
            <v>Non-proportional</v>
          </cell>
          <cell r="S12002">
            <v>324.89999999999998</v>
          </cell>
          <cell r="X12002" t="str">
            <v>Commissions - gross</v>
          </cell>
          <cell r="Y12002" t="str">
            <v>DOMINICAN REPUBLIC</v>
          </cell>
        </row>
        <row r="12003">
          <cell r="L12003" t="str">
            <v>Proportional</v>
          </cell>
          <cell r="S12003">
            <v>1331.97</v>
          </cell>
          <cell r="X12003" t="str">
            <v>Commissions - gross</v>
          </cell>
          <cell r="Y12003" t="str">
            <v>JAPAN</v>
          </cell>
        </row>
        <row r="12004">
          <cell r="L12004" t="str">
            <v>Non-proportional</v>
          </cell>
          <cell r="S12004">
            <v>-1.41</v>
          </cell>
          <cell r="X12004" t="str">
            <v>Commissions - gross</v>
          </cell>
          <cell r="Y12004" t="str">
            <v>CHINA</v>
          </cell>
        </row>
        <row r="12005">
          <cell r="L12005" t="str">
            <v>Non-proportional</v>
          </cell>
          <cell r="S12005">
            <v>2287.65</v>
          </cell>
          <cell r="X12005" t="str">
            <v>Commissions - gross</v>
          </cell>
          <cell r="Y12005" t="str">
            <v>UNITED KINGDOM</v>
          </cell>
        </row>
        <row r="12006">
          <cell r="L12006" t="str">
            <v>Non-proportional</v>
          </cell>
          <cell r="S12006">
            <v>2423.3000000000002</v>
          </cell>
          <cell r="X12006" t="str">
            <v>Commissions - gross</v>
          </cell>
          <cell r="Y12006" t="str">
            <v>NEW ZEALAND</v>
          </cell>
        </row>
        <row r="12007">
          <cell r="L12007" t="str">
            <v>Non-proportional</v>
          </cell>
          <cell r="S12007">
            <v>21.83</v>
          </cell>
          <cell r="X12007" t="str">
            <v>Commissions - gross</v>
          </cell>
          <cell r="Y12007" t="str">
            <v>JAPAN</v>
          </cell>
        </row>
        <row r="12008">
          <cell r="L12008" t="str">
            <v>Non-proportional</v>
          </cell>
          <cell r="S12008">
            <v>119.79</v>
          </cell>
          <cell r="X12008" t="str">
            <v>Commissions - gross</v>
          </cell>
          <cell r="Y12008" t="str">
            <v>GERMANY</v>
          </cell>
        </row>
        <row r="12009">
          <cell r="L12009" t="str">
            <v>Non-proportional</v>
          </cell>
          <cell r="S12009">
            <v>-1.7</v>
          </cell>
          <cell r="X12009" t="str">
            <v>Commissions - gross</v>
          </cell>
          <cell r="Y12009" t="str">
            <v>JAPAN</v>
          </cell>
        </row>
        <row r="12010">
          <cell r="L12010" t="str">
            <v>Non-proportional</v>
          </cell>
          <cell r="S12010">
            <v>461.91</v>
          </cell>
          <cell r="X12010" t="str">
            <v>Commissions - gross</v>
          </cell>
          <cell r="Y12010" t="str">
            <v>BELIZE</v>
          </cell>
        </row>
        <row r="12011">
          <cell r="L12011" t="str">
            <v>Non-proportional</v>
          </cell>
          <cell r="S12011">
            <v>205.3</v>
          </cell>
          <cell r="X12011" t="str">
            <v>Commissions - gross</v>
          </cell>
          <cell r="Y12011" t="str">
            <v>BELIZE</v>
          </cell>
        </row>
        <row r="12012">
          <cell r="L12012" t="str">
            <v>Proportional</v>
          </cell>
          <cell r="S12012">
            <v>6.29</v>
          </cell>
          <cell r="X12012" t="str">
            <v>Commissions - gross</v>
          </cell>
          <cell r="Y12012" t="str">
            <v>UNITED STATES</v>
          </cell>
        </row>
        <row r="12013">
          <cell r="L12013" t="str">
            <v>Non-proportional</v>
          </cell>
          <cell r="S12013">
            <v>4575.8500000000004</v>
          </cell>
          <cell r="X12013" t="str">
            <v>Commissions - gross</v>
          </cell>
          <cell r="Y12013" t="str">
            <v>TURKEY</v>
          </cell>
        </row>
        <row r="12014">
          <cell r="L12014" t="str">
            <v>Proportional</v>
          </cell>
          <cell r="S12014">
            <v>14.71</v>
          </cell>
          <cell r="X12014" t="str">
            <v>Commissions - gross</v>
          </cell>
          <cell r="Y12014" t="str">
            <v>UNITED STATES</v>
          </cell>
        </row>
        <row r="12015">
          <cell r="L12015" t="str">
            <v>Non-proportional</v>
          </cell>
          <cell r="S12015">
            <v>742.7</v>
          </cell>
          <cell r="X12015" t="str">
            <v>Commissions - gross</v>
          </cell>
          <cell r="Y12015" t="str">
            <v>AUSTRALIA</v>
          </cell>
        </row>
        <row r="12016">
          <cell r="L12016" t="str">
            <v>Proportional</v>
          </cell>
          <cell r="S12016">
            <v>-619.09</v>
          </cell>
          <cell r="X12016" t="str">
            <v>Commissions - gross</v>
          </cell>
          <cell r="Y12016" t="str">
            <v>CHILE</v>
          </cell>
        </row>
        <row r="12017">
          <cell r="L12017" t="str">
            <v>Non-proportional</v>
          </cell>
          <cell r="S12017">
            <v>1737.81</v>
          </cell>
          <cell r="X12017" t="str">
            <v>Commissions - gross</v>
          </cell>
          <cell r="Y12017" t="str">
            <v>UNITED KINGDOM</v>
          </cell>
        </row>
        <row r="12018">
          <cell r="L12018" t="str">
            <v>Non-proportional</v>
          </cell>
          <cell r="S12018">
            <v>221.7</v>
          </cell>
          <cell r="X12018" t="str">
            <v>Commissions - gross</v>
          </cell>
          <cell r="Y12018" t="str">
            <v>UNITED KINGDOM</v>
          </cell>
        </row>
        <row r="12019">
          <cell r="L12019" t="str">
            <v>Proportional</v>
          </cell>
          <cell r="S12019">
            <v>-2810.59</v>
          </cell>
          <cell r="X12019" t="str">
            <v>Commissions - gross</v>
          </cell>
          <cell r="Y12019" t="str">
            <v>COLOMBIA</v>
          </cell>
        </row>
        <row r="12020">
          <cell r="L12020" t="str">
            <v>Proportional</v>
          </cell>
          <cell r="S12020">
            <v>5599.76</v>
          </cell>
          <cell r="X12020" t="str">
            <v>Commissions - gross</v>
          </cell>
          <cell r="Y12020" t="str">
            <v>UNITED STATES</v>
          </cell>
        </row>
        <row r="12021">
          <cell r="L12021" t="str">
            <v>Non-proportional</v>
          </cell>
          <cell r="S12021">
            <v>327.75</v>
          </cell>
          <cell r="X12021" t="str">
            <v>Commissions - gross</v>
          </cell>
          <cell r="Y12021" t="str">
            <v>CHILE</v>
          </cell>
        </row>
        <row r="12022">
          <cell r="L12022" t="str">
            <v>Non-proportional</v>
          </cell>
          <cell r="S12022">
            <v>137.62</v>
          </cell>
          <cell r="X12022" t="str">
            <v>Commissions - gross</v>
          </cell>
          <cell r="Y12022" t="str">
            <v>COLOMBIA</v>
          </cell>
        </row>
        <row r="12023">
          <cell r="L12023" t="str">
            <v>Non-proportional</v>
          </cell>
          <cell r="S12023">
            <v>235.75</v>
          </cell>
          <cell r="X12023" t="str">
            <v>Commissions - gross</v>
          </cell>
          <cell r="Y12023" t="str">
            <v>GERMANY</v>
          </cell>
        </row>
        <row r="12024">
          <cell r="L12024" t="str">
            <v>Non-proportional</v>
          </cell>
          <cell r="S12024">
            <v>732.77</v>
          </cell>
          <cell r="X12024" t="str">
            <v>Commissions - gross</v>
          </cell>
          <cell r="Y12024" t="str">
            <v>COSTA RICA</v>
          </cell>
        </row>
        <row r="12025">
          <cell r="L12025" t="str">
            <v>Non-proportional</v>
          </cell>
          <cell r="S12025">
            <v>99505.97</v>
          </cell>
          <cell r="X12025" t="str">
            <v>Commissions - gross</v>
          </cell>
          <cell r="Y12025" t="str">
            <v>UNITED KINGDOM</v>
          </cell>
        </row>
        <row r="12026">
          <cell r="L12026" t="str">
            <v>Non-proportional</v>
          </cell>
          <cell r="S12026">
            <v>25.73</v>
          </cell>
          <cell r="X12026" t="str">
            <v>Commissions - gross</v>
          </cell>
          <cell r="Y12026" t="str">
            <v>NEW ZEALAND</v>
          </cell>
        </row>
        <row r="12027">
          <cell r="L12027" t="str">
            <v>Non-proportional</v>
          </cell>
          <cell r="S12027">
            <v>375.03</v>
          </cell>
          <cell r="X12027" t="str">
            <v>Commissions - gross</v>
          </cell>
          <cell r="Y12027" t="str">
            <v>SINGAPORE</v>
          </cell>
        </row>
        <row r="12028">
          <cell r="L12028" t="str">
            <v>Non-proportional</v>
          </cell>
          <cell r="S12028">
            <v>70.63</v>
          </cell>
          <cell r="X12028" t="str">
            <v>Commissions - gross</v>
          </cell>
          <cell r="Y12028" t="str">
            <v>ECUADOR</v>
          </cell>
        </row>
        <row r="12029">
          <cell r="L12029" t="str">
            <v>Non-proportional</v>
          </cell>
          <cell r="S12029">
            <v>264.20999999999998</v>
          </cell>
          <cell r="X12029" t="str">
            <v>Commissions - gross</v>
          </cell>
          <cell r="Y12029" t="str">
            <v>UNITED ARAB EMIRATES</v>
          </cell>
        </row>
        <row r="12030">
          <cell r="L12030" t="str">
            <v>Non-proportional</v>
          </cell>
          <cell r="S12030">
            <v>726.77</v>
          </cell>
          <cell r="X12030" t="str">
            <v>Commissions - gross</v>
          </cell>
          <cell r="Y12030" t="str">
            <v>FRANCE</v>
          </cell>
        </row>
        <row r="12031">
          <cell r="L12031" t="str">
            <v>Non-proportional</v>
          </cell>
          <cell r="S12031">
            <v>117.23</v>
          </cell>
          <cell r="X12031" t="str">
            <v>Commissions - gross</v>
          </cell>
          <cell r="Y12031" t="str">
            <v>FRANCE</v>
          </cell>
        </row>
        <row r="12032">
          <cell r="L12032" t="str">
            <v>Non-proportional</v>
          </cell>
          <cell r="S12032">
            <v>765.97</v>
          </cell>
          <cell r="X12032" t="str">
            <v>Commissions - gross</v>
          </cell>
          <cell r="Y12032" t="str">
            <v>PUERTO RICO</v>
          </cell>
        </row>
        <row r="12033">
          <cell r="L12033" t="str">
            <v>Non-proportional</v>
          </cell>
          <cell r="S12033">
            <v>132.08000000000001</v>
          </cell>
          <cell r="X12033" t="str">
            <v>Commissions - gross</v>
          </cell>
          <cell r="Y12033" t="str">
            <v>ECUADOR</v>
          </cell>
        </row>
        <row r="12034">
          <cell r="L12034" t="str">
            <v>Non-proportional</v>
          </cell>
          <cell r="S12034">
            <v>357.06</v>
          </cell>
          <cell r="X12034" t="str">
            <v>Commissions - gross</v>
          </cell>
          <cell r="Y12034" t="str">
            <v>GREECE</v>
          </cell>
        </row>
        <row r="12035">
          <cell r="L12035" t="str">
            <v>Non-proportional</v>
          </cell>
          <cell r="S12035">
            <v>149.30000000000001</v>
          </cell>
          <cell r="X12035" t="str">
            <v>Commissions - gross</v>
          </cell>
          <cell r="Y12035" t="str">
            <v>ISRAEL</v>
          </cell>
        </row>
        <row r="12036">
          <cell r="L12036" t="str">
            <v>Non-proportional</v>
          </cell>
          <cell r="S12036">
            <v>489.02</v>
          </cell>
          <cell r="X12036" t="str">
            <v>Commissions - gross</v>
          </cell>
          <cell r="Y12036" t="str">
            <v>COLOMBIA</v>
          </cell>
        </row>
        <row r="12037">
          <cell r="L12037" t="str">
            <v>Non-proportional</v>
          </cell>
          <cell r="S12037">
            <v>1013.45</v>
          </cell>
          <cell r="X12037" t="str">
            <v>Commissions - gross</v>
          </cell>
          <cell r="Y12037" t="str">
            <v>UNITED KINGDOM</v>
          </cell>
        </row>
        <row r="12038">
          <cell r="L12038" t="str">
            <v>Non-proportional</v>
          </cell>
          <cell r="S12038">
            <v>223.32</v>
          </cell>
          <cell r="X12038" t="str">
            <v>Commissions - gross</v>
          </cell>
          <cell r="Y12038" t="str">
            <v>UNITED KINGDOM</v>
          </cell>
        </row>
        <row r="12039">
          <cell r="L12039" t="str">
            <v>Proportional</v>
          </cell>
          <cell r="S12039">
            <v>5683.82</v>
          </cell>
          <cell r="X12039" t="str">
            <v>Commissions - gross</v>
          </cell>
          <cell r="Y12039" t="str">
            <v>UNITED STATES</v>
          </cell>
        </row>
        <row r="12040">
          <cell r="L12040" t="str">
            <v>Proportional</v>
          </cell>
          <cell r="S12040">
            <v>14.08</v>
          </cell>
          <cell r="X12040" t="str">
            <v>Commissions - gross</v>
          </cell>
          <cell r="Y12040" t="str">
            <v>UNITED STATES</v>
          </cell>
        </row>
        <row r="12041">
          <cell r="L12041" t="str">
            <v>Non-proportional</v>
          </cell>
          <cell r="S12041">
            <v>-3.91</v>
          </cell>
          <cell r="X12041" t="str">
            <v>Commissions - gross</v>
          </cell>
          <cell r="Y12041" t="str">
            <v>JAPAN</v>
          </cell>
        </row>
        <row r="12042">
          <cell r="L12042" t="str">
            <v>Non-proportional</v>
          </cell>
          <cell r="S12042">
            <v>85.6</v>
          </cell>
          <cell r="X12042" t="str">
            <v>Commissions - gross</v>
          </cell>
          <cell r="Y12042" t="str">
            <v>FRANCE</v>
          </cell>
        </row>
        <row r="12043">
          <cell r="L12043" t="str">
            <v>Non-proportional</v>
          </cell>
          <cell r="S12043">
            <v>301.52999999999997</v>
          </cell>
          <cell r="X12043" t="str">
            <v>Commissions - gross</v>
          </cell>
          <cell r="Y12043" t="str">
            <v>ITALY</v>
          </cell>
        </row>
        <row r="12044">
          <cell r="L12044" t="str">
            <v>Non-proportional</v>
          </cell>
          <cell r="S12044">
            <v>1175.31</v>
          </cell>
          <cell r="X12044" t="str">
            <v>Commissions - gross</v>
          </cell>
          <cell r="Y12044" t="str">
            <v>AUSTRALIA</v>
          </cell>
        </row>
        <row r="12045">
          <cell r="L12045" t="str">
            <v>Non-proportional</v>
          </cell>
          <cell r="S12045">
            <v>494.53</v>
          </cell>
          <cell r="X12045" t="str">
            <v>Commissions - gross</v>
          </cell>
          <cell r="Y12045" t="str">
            <v>DOMINICAN REPUBLIC</v>
          </cell>
        </row>
        <row r="12046">
          <cell r="L12046" t="str">
            <v>Non-proportional</v>
          </cell>
          <cell r="S12046">
            <v>668.33</v>
          </cell>
          <cell r="X12046" t="str">
            <v>Commissions - gross</v>
          </cell>
          <cell r="Y12046" t="str">
            <v>FRANCE</v>
          </cell>
        </row>
        <row r="12047">
          <cell r="L12047" t="str">
            <v>Non-proportional</v>
          </cell>
          <cell r="S12047">
            <v>1201.19</v>
          </cell>
          <cell r="X12047" t="str">
            <v>Commissions - gross</v>
          </cell>
          <cell r="Y12047" t="str">
            <v>FRANCE</v>
          </cell>
        </row>
        <row r="12048">
          <cell r="L12048" t="str">
            <v>Non-proportional</v>
          </cell>
          <cell r="S12048">
            <v>-2.92</v>
          </cell>
          <cell r="X12048" t="str">
            <v>Commissions - gross</v>
          </cell>
          <cell r="Y12048" t="str">
            <v>JAPAN</v>
          </cell>
        </row>
        <row r="12049">
          <cell r="L12049" t="str">
            <v>Non-proportional</v>
          </cell>
          <cell r="S12049">
            <v>-5.2</v>
          </cell>
          <cell r="X12049" t="str">
            <v>Commissions - gross</v>
          </cell>
          <cell r="Y12049" t="str">
            <v>JAPAN</v>
          </cell>
        </row>
        <row r="12050">
          <cell r="L12050" t="str">
            <v>Non-proportional</v>
          </cell>
          <cell r="S12050">
            <v>991.57</v>
          </cell>
          <cell r="X12050" t="str">
            <v>Commissions - gross</v>
          </cell>
          <cell r="Y12050" t="str">
            <v>NETHERLANDS</v>
          </cell>
        </row>
        <row r="12051">
          <cell r="L12051" t="str">
            <v>Non-proportional</v>
          </cell>
          <cell r="S12051">
            <v>6.89</v>
          </cell>
          <cell r="X12051" t="str">
            <v>Commissions - gross</v>
          </cell>
          <cell r="Y12051" t="str">
            <v>ISRAEL</v>
          </cell>
        </row>
        <row r="12052">
          <cell r="L12052" t="str">
            <v>Non-proportional</v>
          </cell>
          <cell r="S12052">
            <v>5.94</v>
          </cell>
          <cell r="X12052" t="str">
            <v>Commissions - gross</v>
          </cell>
          <cell r="Y12052" t="str">
            <v>BRAZIL</v>
          </cell>
        </row>
        <row r="12053">
          <cell r="L12053" t="str">
            <v>Non-proportional</v>
          </cell>
          <cell r="S12053">
            <v>55.51</v>
          </cell>
          <cell r="X12053" t="str">
            <v>Commissions - gross</v>
          </cell>
          <cell r="Y12053" t="str">
            <v>BRAZIL</v>
          </cell>
        </row>
        <row r="12054">
          <cell r="L12054" t="str">
            <v>Proportional</v>
          </cell>
          <cell r="S12054">
            <v>72.83</v>
          </cell>
          <cell r="X12054" t="str">
            <v>Commissions - gross</v>
          </cell>
          <cell r="Y12054" t="str">
            <v>CHILE</v>
          </cell>
        </row>
        <row r="12055">
          <cell r="L12055" t="str">
            <v>Proportional</v>
          </cell>
          <cell r="S12055">
            <v>117.82</v>
          </cell>
          <cell r="X12055" t="str">
            <v>Commissions - gross</v>
          </cell>
          <cell r="Y12055" t="str">
            <v>REPUBLIC OF IRELAND</v>
          </cell>
        </row>
        <row r="12056">
          <cell r="L12056" t="str">
            <v>Non-proportional</v>
          </cell>
          <cell r="S12056">
            <v>-8.2200000000000006</v>
          </cell>
          <cell r="X12056" t="str">
            <v>Commissions - gross</v>
          </cell>
          <cell r="Y12056" t="str">
            <v>INDIA</v>
          </cell>
        </row>
        <row r="12057">
          <cell r="L12057" t="str">
            <v>Non-proportional</v>
          </cell>
          <cell r="S12057">
            <v>-9.23</v>
          </cell>
          <cell r="X12057" t="str">
            <v>Commissions - gross</v>
          </cell>
          <cell r="Y12057" t="str">
            <v>INDIA</v>
          </cell>
        </row>
        <row r="12058">
          <cell r="L12058" t="str">
            <v>Non-proportional</v>
          </cell>
          <cell r="S12058">
            <v>409.5</v>
          </cell>
          <cell r="X12058" t="str">
            <v>Commissions - gross</v>
          </cell>
          <cell r="Y12058" t="str">
            <v>FRANCE</v>
          </cell>
        </row>
        <row r="12059">
          <cell r="L12059" t="str">
            <v>Proportional</v>
          </cell>
          <cell r="S12059">
            <v>315.93</v>
          </cell>
          <cell r="X12059" t="str">
            <v>Commissions - gross</v>
          </cell>
          <cell r="Y12059" t="str">
            <v>MEXICO</v>
          </cell>
        </row>
        <row r="12060">
          <cell r="L12060" t="str">
            <v>Proportional</v>
          </cell>
          <cell r="S12060">
            <v>99.71</v>
          </cell>
          <cell r="X12060" t="str">
            <v>Commissions - gross</v>
          </cell>
          <cell r="Y12060" t="str">
            <v>ITALY</v>
          </cell>
        </row>
        <row r="12061">
          <cell r="L12061" t="str">
            <v>Non-proportional</v>
          </cell>
          <cell r="S12061">
            <v>420.72</v>
          </cell>
          <cell r="X12061" t="str">
            <v>Commissions - gross</v>
          </cell>
          <cell r="Y12061" t="str">
            <v>COLOMBIA</v>
          </cell>
        </row>
        <row r="12062">
          <cell r="L12062" t="str">
            <v>Non-proportional</v>
          </cell>
          <cell r="S12062">
            <v>885.5</v>
          </cell>
          <cell r="X12062" t="str">
            <v>Commissions - gross</v>
          </cell>
          <cell r="Y12062" t="str">
            <v>GERMANY</v>
          </cell>
        </row>
        <row r="12063">
          <cell r="L12063" t="str">
            <v>Non-proportional</v>
          </cell>
          <cell r="S12063">
            <v>2019.75</v>
          </cell>
          <cell r="X12063" t="str">
            <v>Commissions - gross</v>
          </cell>
          <cell r="Y12063" t="str">
            <v>ITALY</v>
          </cell>
        </row>
        <row r="12064">
          <cell r="L12064" t="str">
            <v>Non-proportional</v>
          </cell>
          <cell r="S12064">
            <v>-0.6</v>
          </cell>
          <cell r="X12064" t="str">
            <v>Commissions - gross</v>
          </cell>
          <cell r="Y12064" t="str">
            <v>JAPAN</v>
          </cell>
        </row>
        <row r="12065">
          <cell r="L12065" t="str">
            <v>Non-proportional</v>
          </cell>
          <cell r="S12065">
            <v>-2.2200000000000002</v>
          </cell>
          <cell r="X12065" t="str">
            <v>Commissions - gross</v>
          </cell>
          <cell r="Y12065" t="str">
            <v>JAPAN</v>
          </cell>
        </row>
        <row r="12066">
          <cell r="L12066" t="str">
            <v>Non-proportional</v>
          </cell>
          <cell r="S12066">
            <v>950.01</v>
          </cell>
          <cell r="X12066" t="str">
            <v>Commissions - gross</v>
          </cell>
          <cell r="Y12066" t="str">
            <v>TURKEY</v>
          </cell>
        </row>
        <row r="12067">
          <cell r="L12067" t="str">
            <v>Non-proportional</v>
          </cell>
          <cell r="S12067">
            <v>1448.39</v>
          </cell>
          <cell r="X12067" t="str">
            <v>Commissions - gross</v>
          </cell>
          <cell r="Y12067" t="str">
            <v>FRANCE</v>
          </cell>
        </row>
        <row r="12068">
          <cell r="L12068" t="str">
            <v>Non-proportional</v>
          </cell>
          <cell r="S12068">
            <v>-21.05</v>
          </cell>
          <cell r="X12068" t="str">
            <v>Commissions - gross</v>
          </cell>
          <cell r="Y12068" t="str">
            <v>NEW ZEALAND</v>
          </cell>
        </row>
        <row r="12069">
          <cell r="L12069" t="str">
            <v>Non-proportional</v>
          </cell>
          <cell r="S12069">
            <v>3.71</v>
          </cell>
          <cell r="X12069" t="str">
            <v>Commissions - gross</v>
          </cell>
          <cell r="Y12069" t="str">
            <v>COSTA RICA</v>
          </cell>
        </row>
        <row r="12070">
          <cell r="L12070" t="str">
            <v>Non-proportional</v>
          </cell>
          <cell r="S12070">
            <v>245.76</v>
          </cell>
          <cell r="X12070" t="str">
            <v>Commissions - gross</v>
          </cell>
          <cell r="Y12070" t="str">
            <v>UNITED KINGDOM</v>
          </cell>
        </row>
        <row r="12071">
          <cell r="L12071" t="str">
            <v>Non-proportional</v>
          </cell>
          <cell r="S12071">
            <v>756.36</v>
          </cell>
          <cell r="X12071" t="str">
            <v>Commissions - gross</v>
          </cell>
          <cell r="Y12071" t="str">
            <v>JAPAN</v>
          </cell>
        </row>
        <row r="12072">
          <cell r="L12072" t="str">
            <v>Non-proportional</v>
          </cell>
          <cell r="S12072">
            <v>228.56</v>
          </cell>
          <cell r="X12072" t="str">
            <v>Commissions - gross</v>
          </cell>
          <cell r="Y12072" t="str">
            <v>ECUADOR</v>
          </cell>
        </row>
        <row r="12073">
          <cell r="L12073" t="str">
            <v>Non-proportional</v>
          </cell>
          <cell r="S12073">
            <v>-2.35</v>
          </cell>
          <cell r="X12073" t="str">
            <v>Commissions - gross</v>
          </cell>
          <cell r="Y12073" t="str">
            <v>JAPAN</v>
          </cell>
        </row>
        <row r="12074">
          <cell r="L12074" t="str">
            <v>Non-proportional</v>
          </cell>
          <cell r="S12074">
            <v>572.42999999999995</v>
          </cell>
          <cell r="X12074" t="str">
            <v>Commissions - gross</v>
          </cell>
          <cell r="Y12074" t="str">
            <v>THAILAND</v>
          </cell>
        </row>
        <row r="12075">
          <cell r="L12075" t="str">
            <v>Non-proportional</v>
          </cell>
          <cell r="S12075">
            <v>168</v>
          </cell>
          <cell r="X12075" t="str">
            <v>Commissions - gross</v>
          </cell>
          <cell r="Y12075" t="str">
            <v>CHINA</v>
          </cell>
        </row>
        <row r="12076">
          <cell r="L12076" t="str">
            <v>Non-proportional</v>
          </cell>
          <cell r="S12076">
            <v>224.62</v>
          </cell>
          <cell r="X12076" t="str">
            <v>Commissions - gross</v>
          </cell>
          <cell r="Y12076" t="str">
            <v>CHINA</v>
          </cell>
        </row>
        <row r="12077">
          <cell r="L12077" t="str">
            <v>Non-proportional</v>
          </cell>
          <cell r="S12077">
            <v>210.72</v>
          </cell>
          <cell r="X12077" t="str">
            <v>Commissions - gross</v>
          </cell>
          <cell r="Y12077" t="str">
            <v>CHINA</v>
          </cell>
        </row>
        <row r="12078">
          <cell r="L12078" t="str">
            <v>Non-proportional</v>
          </cell>
          <cell r="S12078">
            <v>205.57</v>
          </cell>
          <cell r="X12078" t="str">
            <v>Commissions - gross</v>
          </cell>
          <cell r="Y12078" t="str">
            <v>JAPAN</v>
          </cell>
        </row>
        <row r="12079">
          <cell r="L12079" t="str">
            <v>Non-proportional</v>
          </cell>
          <cell r="S12079">
            <v>442.55</v>
          </cell>
          <cell r="X12079" t="str">
            <v>Commissions - gross</v>
          </cell>
          <cell r="Y12079" t="str">
            <v>FRANCE</v>
          </cell>
        </row>
        <row r="12080">
          <cell r="L12080" t="str">
            <v>Non-proportional</v>
          </cell>
          <cell r="S12080">
            <v>166.78</v>
          </cell>
          <cell r="X12080" t="str">
            <v>Commissions - gross</v>
          </cell>
          <cell r="Y12080" t="str">
            <v>JAPAN</v>
          </cell>
        </row>
        <row r="12081">
          <cell r="L12081" t="str">
            <v>Non-proportional</v>
          </cell>
          <cell r="S12081">
            <v>256.06</v>
          </cell>
          <cell r="X12081" t="str">
            <v>Commissions - gross</v>
          </cell>
          <cell r="Y12081" t="str">
            <v>ECUADOR</v>
          </cell>
        </row>
        <row r="12082">
          <cell r="L12082" t="str">
            <v>Non-proportional</v>
          </cell>
          <cell r="S12082">
            <v>333.65</v>
          </cell>
          <cell r="X12082" t="str">
            <v>Commissions - gross</v>
          </cell>
          <cell r="Y12082" t="str">
            <v>DOMINICAN REPUBLIC</v>
          </cell>
        </row>
        <row r="12083">
          <cell r="L12083" t="str">
            <v>Non-proportional</v>
          </cell>
          <cell r="S12083">
            <v>156.24</v>
          </cell>
          <cell r="X12083" t="str">
            <v>Commissions - gross</v>
          </cell>
          <cell r="Y12083" t="str">
            <v>FRANCE</v>
          </cell>
        </row>
        <row r="12084">
          <cell r="L12084" t="str">
            <v>Non-proportional</v>
          </cell>
          <cell r="S12084">
            <v>425.07</v>
          </cell>
          <cell r="X12084" t="str">
            <v>Commissions - gross</v>
          </cell>
          <cell r="Y12084" t="str">
            <v>ITALY</v>
          </cell>
        </row>
        <row r="12085">
          <cell r="L12085" t="str">
            <v>Proportional</v>
          </cell>
          <cell r="S12085">
            <v>1380.56</v>
          </cell>
          <cell r="X12085" t="str">
            <v>Commissions - gross</v>
          </cell>
          <cell r="Y12085" t="str">
            <v>MEXICO</v>
          </cell>
        </row>
        <row r="12086">
          <cell r="L12086" t="str">
            <v>Non-proportional</v>
          </cell>
          <cell r="S12086">
            <v>4.42</v>
          </cell>
          <cell r="X12086" t="str">
            <v>Commissions - gross</v>
          </cell>
          <cell r="Y12086" t="str">
            <v>ISRAEL</v>
          </cell>
        </row>
        <row r="12087">
          <cell r="L12087" t="str">
            <v>Non-proportional</v>
          </cell>
          <cell r="S12087">
            <v>1382.43</v>
          </cell>
          <cell r="X12087" t="str">
            <v>Commissions - gross</v>
          </cell>
          <cell r="Y12087" t="str">
            <v>UNITED KINGDOM</v>
          </cell>
        </row>
        <row r="12088">
          <cell r="L12088" t="str">
            <v>Non-proportional</v>
          </cell>
          <cell r="S12088">
            <v>25.5</v>
          </cell>
          <cell r="X12088" t="str">
            <v>Commissions - gross</v>
          </cell>
          <cell r="Y12088" t="str">
            <v>COLOMBIA</v>
          </cell>
        </row>
        <row r="12089">
          <cell r="L12089" t="str">
            <v>Non-proportional</v>
          </cell>
          <cell r="S12089">
            <v>-1352.08</v>
          </cell>
          <cell r="X12089" t="str">
            <v>Commissions - gross</v>
          </cell>
          <cell r="Y12089" t="str">
            <v>BRAZIL</v>
          </cell>
        </row>
        <row r="12090">
          <cell r="L12090" t="str">
            <v>Non-proportional</v>
          </cell>
          <cell r="S12090">
            <v>80.66</v>
          </cell>
          <cell r="X12090" t="str">
            <v>Commissions - gross</v>
          </cell>
          <cell r="Y12090" t="str">
            <v>PERU</v>
          </cell>
        </row>
        <row r="12091">
          <cell r="L12091" t="str">
            <v>Non-proportional</v>
          </cell>
          <cell r="S12091">
            <v>-4.0599999999999996</v>
          </cell>
          <cell r="X12091" t="str">
            <v>Commissions - gross</v>
          </cell>
          <cell r="Y12091" t="str">
            <v>JAPAN</v>
          </cell>
        </row>
        <row r="12092">
          <cell r="L12092" t="str">
            <v>Non-proportional</v>
          </cell>
          <cell r="S12092">
            <v>265.02999999999997</v>
          </cell>
          <cell r="X12092" t="str">
            <v>Commissions - gross</v>
          </cell>
          <cell r="Y12092" t="str">
            <v>SOUTH AFRICA</v>
          </cell>
        </row>
        <row r="12093">
          <cell r="L12093" t="str">
            <v>Non-proportional</v>
          </cell>
          <cell r="S12093">
            <v>654.79</v>
          </cell>
          <cell r="X12093" t="str">
            <v>Commissions - gross</v>
          </cell>
          <cell r="Y12093" t="str">
            <v>ISRAEL</v>
          </cell>
        </row>
        <row r="12094">
          <cell r="L12094" t="str">
            <v>Proportional</v>
          </cell>
          <cell r="S12094">
            <v>364.17</v>
          </cell>
          <cell r="X12094" t="str">
            <v>Commissions - gross</v>
          </cell>
          <cell r="Y12094" t="str">
            <v>CHILE</v>
          </cell>
        </row>
        <row r="12095">
          <cell r="L12095" t="str">
            <v>Proportional</v>
          </cell>
          <cell r="S12095">
            <v>1234.49</v>
          </cell>
          <cell r="X12095" t="str">
            <v>Commissions - gross</v>
          </cell>
          <cell r="Y12095" t="str">
            <v>UNITED ARAB EMIRATES</v>
          </cell>
        </row>
        <row r="12096">
          <cell r="L12096" t="str">
            <v>Proportional</v>
          </cell>
          <cell r="S12096">
            <v>1.94</v>
          </cell>
          <cell r="X12096" t="str">
            <v>Commissions - gross</v>
          </cell>
          <cell r="Y12096" t="str">
            <v>UNITED STATES</v>
          </cell>
        </row>
        <row r="12097">
          <cell r="L12097" t="str">
            <v>Non-proportional</v>
          </cell>
          <cell r="S12097">
            <v>-5.39</v>
          </cell>
          <cell r="X12097" t="str">
            <v>Commissions - gross</v>
          </cell>
          <cell r="Y12097" t="str">
            <v>JAPAN</v>
          </cell>
        </row>
        <row r="12098">
          <cell r="L12098" t="str">
            <v>Non-proportional</v>
          </cell>
          <cell r="S12098">
            <v>662.92</v>
          </cell>
          <cell r="X12098" t="str">
            <v>Commissions - gross</v>
          </cell>
          <cell r="Y12098" t="str">
            <v>MEXICO</v>
          </cell>
        </row>
        <row r="12099">
          <cell r="L12099" t="str">
            <v>Non-proportional</v>
          </cell>
          <cell r="S12099">
            <v>374.99</v>
          </cell>
          <cell r="X12099" t="str">
            <v>Commissions - gross</v>
          </cell>
          <cell r="Y12099" t="str">
            <v>EUROPE</v>
          </cell>
        </row>
        <row r="12100">
          <cell r="L12100" t="str">
            <v>Non-proportional</v>
          </cell>
          <cell r="S12100">
            <v>357.43</v>
          </cell>
          <cell r="X12100" t="str">
            <v>Commissions - gross</v>
          </cell>
          <cell r="Y12100" t="str">
            <v>BRAZIL</v>
          </cell>
        </row>
        <row r="12101">
          <cell r="L12101" t="str">
            <v>Non-proportional</v>
          </cell>
          <cell r="S12101">
            <v>24876.49</v>
          </cell>
          <cell r="X12101" t="str">
            <v>Commissions - gross</v>
          </cell>
          <cell r="Y12101" t="str">
            <v>UNITED KINGDOM</v>
          </cell>
        </row>
        <row r="12102">
          <cell r="L12102" t="str">
            <v>Non-proportional</v>
          </cell>
          <cell r="S12102">
            <v>5596.12</v>
          </cell>
          <cell r="X12102" t="str">
            <v>Commissions - gross</v>
          </cell>
          <cell r="Y12102" t="str">
            <v>UNITED KINGDOM</v>
          </cell>
        </row>
        <row r="12103">
          <cell r="L12103" t="str">
            <v>Non-proportional</v>
          </cell>
          <cell r="S12103">
            <v>-6956.27</v>
          </cell>
          <cell r="X12103" t="str">
            <v>Commissions - gross</v>
          </cell>
          <cell r="Y12103" t="str">
            <v>ECUADOR</v>
          </cell>
        </row>
        <row r="12104">
          <cell r="L12104" t="str">
            <v>Non-proportional</v>
          </cell>
          <cell r="S12104">
            <v>695.78</v>
          </cell>
          <cell r="X12104" t="str">
            <v>Commissions - gross</v>
          </cell>
          <cell r="Y12104" t="str">
            <v>ITALY</v>
          </cell>
        </row>
        <row r="12105">
          <cell r="L12105" t="str">
            <v>Non-proportional</v>
          </cell>
          <cell r="S12105">
            <v>262.26</v>
          </cell>
          <cell r="X12105" t="str">
            <v>Commissions - gross</v>
          </cell>
          <cell r="Y12105" t="str">
            <v>BELIZE</v>
          </cell>
        </row>
        <row r="12106">
          <cell r="L12106" t="str">
            <v>Proportional</v>
          </cell>
          <cell r="S12106">
            <v>366</v>
          </cell>
          <cell r="X12106" t="str">
            <v>Commissions - gross</v>
          </cell>
          <cell r="Y12106" t="str">
            <v>SPAIN</v>
          </cell>
        </row>
        <row r="12107">
          <cell r="L12107" t="str">
            <v>Non-proportional</v>
          </cell>
          <cell r="S12107">
            <v>-14.62</v>
          </cell>
          <cell r="X12107" t="str">
            <v>Commissions - gross</v>
          </cell>
          <cell r="Y12107" t="str">
            <v>NEW ZEALAND</v>
          </cell>
        </row>
        <row r="12108">
          <cell r="L12108" t="str">
            <v>Non-proportional</v>
          </cell>
          <cell r="S12108">
            <v>47.21</v>
          </cell>
          <cell r="X12108" t="str">
            <v>Commissions - gross</v>
          </cell>
          <cell r="Y12108" t="str">
            <v>BRAZIL</v>
          </cell>
        </row>
        <row r="12109">
          <cell r="L12109" t="str">
            <v>Non-proportional</v>
          </cell>
          <cell r="S12109">
            <v>310.75</v>
          </cell>
          <cell r="X12109" t="str">
            <v>Commissions - gross</v>
          </cell>
          <cell r="Y12109" t="str">
            <v>ISRAEL</v>
          </cell>
        </row>
        <row r="12110">
          <cell r="L12110" t="str">
            <v>Proportional</v>
          </cell>
          <cell r="S12110">
            <v>157.85</v>
          </cell>
          <cell r="X12110" t="str">
            <v>Commissions - gross</v>
          </cell>
          <cell r="Y12110" t="str">
            <v>SAUDI ARABIA</v>
          </cell>
        </row>
        <row r="12111">
          <cell r="L12111" t="str">
            <v>Non-proportional</v>
          </cell>
          <cell r="S12111">
            <v>22193.5</v>
          </cell>
          <cell r="X12111" t="str">
            <v>Commissions - gross</v>
          </cell>
          <cell r="Y12111" t="str">
            <v>BELGIUM</v>
          </cell>
        </row>
        <row r="12112">
          <cell r="L12112" t="str">
            <v>Non-proportional</v>
          </cell>
          <cell r="S12112">
            <v>1012.05</v>
          </cell>
          <cell r="X12112" t="str">
            <v>Commissions - gross</v>
          </cell>
          <cell r="Y12112" t="str">
            <v>ITALY</v>
          </cell>
        </row>
        <row r="12113">
          <cell r="L12113" t="str">
            <v>Non-proportional</v>
          </cell>
          <cell r="S12113">
            <v>-13.6</v>
          </cell>
          <cell r="X12113" t="str">
            <v>Commissions - gross</v>
          </cell>
          <cell r="Y12113" t="str">
            <v>DOMINICAN REPUBLIC</v>
          </cell>
        </row>
        <row r="12114">
          <cell r="L12114" t="str">
            <v>Proportional</v>
          </cell>
          <cell r="S12114">
            <v>42.38</v>
          </cell>
          <cell r="X12114" t="str">
            <v>Commissions - gross</v>
          </cell>
          <cell r="Y12114" t="str">
            <v>UNITED STATES</v>
          </cell>
        </row>
        <row r="12115">
          <cell r="L12115" t="str">
            <v>Non-proportional</v>
          </cell>
          <cell r="S12115">
            <v>877.51</v>
          </cell>
          <cell r="X12115" t="str">
            <v>Commissions - gross</v>
          </cell>
          <cell r="Y12115" t="str">
            <v>FRANCE</v>
          </cell>
        </row>
        <row r="12116">
          <cell r="L12116" t="str">
            <v>Non-proportional</v>
          </cell>
          <cell r="S12116">
            <v>-0.56000000000000005</v>
          </cell>
          <cell r="X12116" t="str">
            <v>Commissions - gross</v>
          </cell>
          <cell r="Y12116" t="str">
            <v>JAPAN</v>
          </cell>
        </row>
        <row r="12117">
          <cell r="L12117" t="str">
            <v>Non-proportional</v>
          </cell>
          <cell r="S12117">
            <v>904.39</v>
          </cell>
          <cell r="X12117" t="str">
            <v>Commissions - gross</v>
          </cell>
          <cell r="Y12117" t="str">
            <v>FRANCE</v>
          </cell>
        </row>
        <row r="12118">
          <cell r="L12118" t="str">
            <v>Non-proportional</v>
          </cell>
          <cell r="S12118">
            <v>0.01</v>
          </cell>
          <cell r="X12118" t="str">
            <v>Commissions - gross</v>
          </cell>
          <cell r="Y12118" t="str">
            <v>COLOMBIA</v>
          </cell>
        </row>
        <row r="12119">
          <cell r="L12119" t="str">
            <v>Non-proportional</v>
          </cell>
          <cell r="S12119">
            <v>125.69</v>
          </cell>
          <cell r="X12119" t="str">
            <v>Commissions - gross</v>
          </cell>
          <cell r="Y12119" t="str">
            <v>JAPAN</v>
          </cell>
        </row>
        <row r="12120">
          <cell r="L12120" t="str">
            <v>Proportional</v>
          </cell>
          <cell r="S12120">
            <v>472.37</v>
          </cell>
          <cell r="X12120" t="str">
            <v>Commissions - gross</v>
          </cell>
          <cell r="Y12120" t="str">
            <v>ITALY</v>
          </cell>
        </row>
        <row r="12121">
          <cell r="L12121" t="str">
            <v>Proportional</v>
          </cell>
          <cell r="S12121">
            <v>810.25</v>
          </cell>
          <cell r="X12121" t="str">
            <v>Commissions - gross</v>
          </cell>
          <cell r="Y12121" t="str">
            <v>ITALY</v>
          </cell>
        </row>
        <row r="12122">
          <cell r="L12122" t="str">
            <v>Non-proportional</v>
          </cell>
          <cell r="S12122">
            <v>24.04</v>
          </cell>
          <cell r="X12122" t="str">
            <v>Commissions - gross</v>
          </cell>
          <cell r="Y12122" t="str">
            <v>NEW ZEALAND</v>
          </cell>
        </row>
        <row r="12123">
          <cell r="L12123" t="str">
            <v>Non-proportional</v>
          </cell>
          <cell r="S12123">
            <v>698.56</v>
          </cell>
          <cell r="X12123" t="str">
            <v>Commissions - gross</v>
          </cell>
          <cell r="Y12123" t="str">
            <v>UNITED KINGDOM</v>
          </cell>
        </row>
        <row r="12124">
          <cell r="L12124" t="str">
            <v>Non-proportional</v>
          </cell>
          <cell r="S12124">
            <v>140.63</v>
          </cell>
          <cell r="X12124" t="str">
            <v>Commissions - gross</v>
          </cell>
          <cell r="Y12124" t="str">
            <v>GREECE</v>
          </cell>
        </row>
        <row r="12125">
          <cell r="L12125" t="str">
            <v>Non-proportional</v>
          </cell>
          <cell r="S12125">
            <v>343.35</v>
          </cell>
          <cell r="X12125" t="str">
            <v>Commissions - gross</v>
          </cell>
          <cell r="Y12125" t="str">
            <v>ISRAEL</v>
          </cell>
        </row>
        <row r="12126">
          <cell r="L12126" t="str">
            <v>Non-proportional</v>
          </cell>
          <cell r="S12126">
            <v>925.13</v>
          </cell>
          <cell r="X12126" t="str">
            <v>Commissions - gross</v>
          </cell>
          <cell r="Y12126" t="str">
            <v>ITALY</v>
          </cell>
        </row>
        <row r="12127">
          <cell r="L12127" t="str">
            <v>Non-proportional</v>
          </cell>
          <cell r="S12127">
            <v>1669.32</v>
          </cell>
          <cell r="X12127" t="str">
            <v>Commissions - gross</v>
          </cell>
          <cell r="Y12127" t="str">
            <v>UNITED KINGDOM</v>
          </cell>
        </row>
        <row r="12128">
          <cell r="L12128" t="str">
            <v>Non-proportional</v>
          </cell>
          <cell r="S12128">
            <v>36.42</v>
          </cell>
          <cell r="X12128" t="str">
            <v>Commissions - gross</v>
          </cell>
          <cell r="Y12128" t="str">
            <v>CHILE</v>
          </cell>
        </row>
        <row r="12129">
          <cell r="L12129" t="str">
            <v>Non-proportional</v>
          </cell>
          <cell r="S12129">
            <v>1488.03</v>
          </cell>
          <cell r="X12129" t="str">
            <v>Commissions - gross</v>
          </cell>
          <cell r="Y12129" t="str">
            <v>UNITED KINGDOM</v>
          </cell>
        </row>
        <row r="12130">
          <cell r="L12130" t="str">
            <v>Non-proportional</v>
          </cell>
          <cell r="S12130">
            <v>1081.8800000000001</v>
          </cell>
          <cell r="X12130" t="str">
            <v>Commissions - gross</v>
          </cell>
          <cell r="Y12130" t="str">
            <v>CHILE</v>
          </cell>
        </row>
        <row r="12131">
          <cell r="L12131" t="str">
            <v>Proportional</v>
          </cell>
          <cell r="S12131">
            <v>47.65</v>
          </cell>
          <cell r="X12131" t="str">
            <v>Commissions - gross</v>
          </cell>
          <cell r="Y12131" t="str">
            <v>UNITED STATES</v>
          </cell>
        </row>
        <row r="12132">
          <cell r="L12132" t="str">
            <v>Non-proportional</v>
          </cell>
          <cell r="S12132">
            <v>571.99</v>
          </cell>
          <cell r="X12132" t="str">
            <v>Commissions - gross</v>
          </cell>
          <cell r="Y12132" t="str">
            <v>PUERTO RICO</v>
          </cell>
        </row>
        <row r="12133">
          <cell r="L12133" t="str">
            <v>Non-proportional</v>
          </cell>
          <cell r="S12133">
            <v>214.15</v>
          </cell>
          <cell r="X12133" t="str">
            <v>Commissions - gross</v>
          </cell>
          <cell r="Y12133" t="str">
            <v>DOMINICAN REPUBLIC</v>
          </cell>
        </row>
        <row r="12134">
          <cell r="L12134" t="str">
            <v>Proportional</v>
          </cell>
          <cell r="S12134">
            <v>6.29</v>
          </cell>
          <cell r="X12134" t="str">
            <v>Commissions - gross</v>
          </cell>
          <cell r="Y12134" t="str">
            <v>UNITED STATES</v>
          </cell>
        </row>
        <row r="12135">
          <cell r="L12135" t="str">
            <v>Non-proportional</v>
          </cell>
          <cell r="S12135">
            <v>68.52</v>
          </cell>
          <cell r="X12135" t="str">
            <v>Commissions - gross</v>
          </cell>
          <cell r="Y12135" t="str">
            <v>JAPAN</v>
          </cell>
        </row>
        <row r="12136">
          <cell r="L12136" t="str">
            <v>Non-proportional</v>
          </cell>
          <cell r="S12136">
            <v>473.47</v>
          </cell>
          <cell r="X12136" t="str">
            <v>Commissions - gross</v>
          </cell>
          <cell r="Y12136" t="str">
            <v>SPAIN</v>
          </cell>
        </row>
        <row r="12137">
          <cell r="L12137" t="str">
            <v>Proportional</v>
          </cell>
          <cell r="S12137">
            <v>7.79</v>
          </cell>
          <cell r="X12137" t="str">
            <v>Commissions - gross</v>
          </cell>
          <cell r="Y12137" t="str">
            <v>UNITED STATES</v>
          </cell>
        </row>
        <row r="12138">
          <cell r="L12138" t="str">
            <v>Non-proportional</v>
          </cell>
          <cell r="S12138">
            <v>72.959999999999994</v>
          </cell>
          <cell r="X12138" t="str">
            <v>Commissions - gross</v>
          </cell>
          <cell r="Y12138" t="str">
            <v>ECUADOR</v>
          </cell>
        </row>
        <row r="12139">
          <cell r="L12139" t="str">
            <v>Non-proportional</v>
          </cell>
          <cell r="S12139">
            <v>690.77</v>
          </cell>
          <cell r="X12139" t="str">
            <v>Commissions - gross</v>
          </cell>
          <cell r="Y12139" t="str">
            <v>GREECE</v>
          </cell>
        </row>
        <row r="12140">
          <cell r="L12140" t="str">
            <v>Non-proportional</v>
          </cell>
          <cell r="S12140">
            <v>15.04</v>
          </cell>
          <cell r="X12140" t="str">
            <v>Commissions - gross</v>
          </cell>
          <cell r="Y12140" t="str">
            <v>ISRAEL</v>
          </cell>
        </row>
        <row r="12141">
          <cell r="L12141" t="str">
            <v>Non-proportional</v>
          </cell>
          <cell r="S12141">
            <v>1839.28</v>
          </cell>
          <cell r="X12141" t="str">
            <v>Commissions - gross</v>
          </cell>
          <cell r="Y12141" t="str">
            <v>PUERTO RICO</v>
          </cell>
        </row>
        <row r="12142">
          <cell r="L12142" t="str">
            <v>Non-proportional</v>
          </cell>
          <cell r="S12142">
            <v>0</v>
          </cell>
          <cell r="X12142" t="str">
            <v>Commissions - gross</v>
          </cell>
          <cell r="Y12142" t="str">
            <v>COLOMBIA</v>
          </cell>
        </row>
        <row r="12143">
          <cell r="L12143" t="str">
            <v>Non-proportional</v>
          </cell>
          <cell r="S12143">
            <v>423.85</v>
          </cell>
          <cell r="X12143" t="str">
            <v>Commissions - gross</v>
          </cell>
          <cell r="Y12143" t="str">
            <v>FRANCE</v>
          </cell>
        </row>
        <row r="12144">
          <cell r="L12144" t="str">
            <v>Proportional</v>
          </cell>
          <cell r="S12144">
            <v>110.66</v>
          </cell>
          <cell r="X12144" t="str">
            <v>Commissions - gross</v>
          </cell>
          <cell r="Y12144" t="str">
            <v>PERU</v>
          </cell>
        </row>
        <row r="12145">
          <cell r="L12145" t="str">
            <v>Non-proportional</v>
          </cell>
          <cell r="S12145">
            <v>-3.35</v>
          </cell>
          <cell r="X12145" t="str">
            <v>Commissions - gross</v>
          </cell>
          <cell r="Y12145" t="str">
            <v>JAPAN</v>
          </cell>
        </row>
        <row r="12146">
          <cell r="L12146" t="str">
            <v>Non-proportional</v>
          </cell>
          <cell r="S12146">
            <v>52.6</v>
          </cell>
          <cell r="X12146" t="str">
            <v>Commissions - gross</v>
          </cell>
          <cell r="Y12146" t="str">
            <v>JAPAN</v>
          </cell>
        </row>
        <row r="12147">
          <cell r="L12147" t="str">
            <v>Non-proportional</v>
          </cell>
          <cell r="S12147">
            <v>103.65</v>
          </cell>
          <cell r="X12147" t="str">
            <v>Commissions - gross</v>
          </cell>
          <cell r="Y12147" t="str">
            <v>JAPAN</v>
          </cell>
        </row>
        <row r="12148">
          <cell r="L12148" t="str">
            <v>Non-proportional</v>
          </cell>
          <cell r="S12148">
            <v>885.5</v>
          </cell>
          <cell r="X12148" t="str">
            <v>Commissions - gross</v>
          </cell>
          <cell r="Y12148" t="str">
            <v>GERMANY</v>
          </cell>
        </row>
        <row r="12149">
          <cell r="L12149" t="str">
            <v>Non-proportional</v>
          </cell>
          <cell r="S12149">
            <v>-5.2</v>
          </cell>
          <cell r="X12149" t="str">
            <v>Commissions - gross</v>
          </cell>
          <cell r="Y12149" t="str">
            <v>JAPAN</v>
          </cell>
        </row>
        <row r="12150">
          <cell r="L12150" t="str">
            <v>Non-proportional</v>
          </cell>
          <cell r="S12150">
            <v>321.83</v>
          </cell>
          <cell r="X12150" t="str">
            <v>Commissions - gross</v>
          </cell>
          <cell r="Y12150" t="str">
            <v>AUSTRALIA</v>
          </cell>
        </row>
        <row r="12151">
          <cell r="L12151" t="str">
            <v>Non-proportional</v>
          </cell>
          <cell r="S12151">
            <v>0.01</v>
          </cell>
          <cell r="X12151" t="str">
            <v>Commissions - gross</v>
          </cell>
          <cell r="Y12151" t="str">
            <v>DOMINICAN REPUBLIC</v>
          </cell>
        </row>
        <row r="12152">
          <cell r="L12152" t="str">
            <v>Non-proportional</v>
          </cell>
          <cell r="S12152">
            <v>425.02</v>
          </cell>
          <cell r="X12152" t="str">
            <v>Commissions - gross</v>
          </cell>
          <cell r="Y12152" t="str">
            <v>ITALY</v>
          </cell>
        </row>
        <row r="12153">
          <cell r="L12153" t="str">
            <v>Proportional</v>
          </cell>
          <cell r="S12153">
            <v>295.08</v>
          </cell>
          <cell r="X12153" t="str">
            <v>Commissions - gross</v>
          </cell>
          <cell r="Y12153" t="str">
            <v>JAPAN</v>
          </cell>
        </row>
        <row r="12154">
          <cell r="L12154" t="str">
            <v>Non-proportional</v>
          </cell>
          <cell r="S12154">
            <v>390.87</v>
          </cell>
          <cell r="X12154" t="str">
            <v>Commissions - gross</v>
          </cell>
          <cell r="Y12154" t="str">
            <v>ISRAEL</v>
          </cell>
        </row>
        <row r="12155">
          <cell r="L12155" t="str">
            <v>Non-proportional</v>
          </cell>
          <cell r="S12155">
            <v>934.81</v>
          </cell>
          <cell r="X12155" t="str">
            <v>Commissions - gross</v>
          </cell>
          <cell r="Y12155" t="str">
            <v>NETHERLANDS</v>
          </cell>
        </row>
        <row r="12156">
          <cell r="L12156" t="str">
            <v>Non-proportional</v>
          </cell>
          <cell r="S12156">
            <v>328.02</v>
          </cell>
          <cell r="X12156" t="str">
            <v>Commissions - gross</v>
          </cell>
          <cell r="Y12156" t="str">
            <v>UNITED KINGDOM</v>
          </cell>
        </row>
        <row r="12157">
          <cell r="L12157" t="str">
            <v>Non-proportional</v>
          </cell>
          <cell r="S12157">
            <v>921.09</v>
          </cell>
          <cell r="X12157" t="str">
            <v>Commissions - gross</v>
          </cell>
          <cell r="Y12157" t="str">
            <v>UNITED KINGDOM</v>
          </cell>
        </row>
        <row r="12158">
          <cell r="L12158" t="str">
            <v>Non-proportional</v>
          </cell>
          <cell r="S12158">
            <v>4629.45</v>
          </cell>
          <cell r="X12158" t="str">
            <v>Commissions - gross</v>
          </cell>
          <cell r="Y12158" t="str">
            <v>UNITED KINGDOM</v>
          </cell>
        </row>
        <row r="12159">
          <cell r="L12159" t="str">
            <v>Non-proportional</v>
          </cell>
          <cell r="S12159">
            <v>292.49</v>
          </cell>
          <cell r="X12159" t="str">
            <v>Commissions - gross</v>
          </cell>
          <cell r="Y12159" t="str">
            <v>UNITED KINGDOM</v>
          </cell>
        </row>
        <row r="12160">
          <cell r="L12160" t="str">
            <v>Non-proportional</v>
          </cell>
          <cell r="S12160">
            <v>291.33999999999997</v>
          </cell>
          <cell r="X12160" t="str">
            <v>Commissions - gross</v>
          </cell>
          <cell r="Y12160" t="str">
            <v>CHILE</v>
          </cell>
        </row>
        <row r="12161">
          <cell r="L12161" t="str">
            <v>Proportional</v>
          </cell>
          <cell r="S12161">
            <v>118.34</v>
          </cell>
          <cell r="X12161" t="str">
            <v>Commissions - gross</v>
          </cell>
          <cell r="Y12161" t="str">
            <v>PERU</v>
          </cell>
        </row>
        <row r="12162">
          <cell r="L12162" t="str">
            <v>Non-proportional</v>
          </cell>
          <cell r="S12162">
            <v>173.85</v>
          </cell>
          <cell r="X12162" t="str">
            <v>Commissions - gross</v>
          </cell>
          <cell r="Y12162" t="str">
            <v>NEW ZEALAND</v>
          </cell>
        </row>
        <row r="12163">
          <cell r="L12163" t="str">
            <v>Proportional</v>
          </cell>
          <cell r="S12163">
            <v>-96321.09</v>
          </cell>
          <cell r="X12163" t="str">
            <v>Commissions - gross</v>
          </cell>
          <cell r="Y12163" t="str">
            <v>ITALY</v>
          </cell>
        </row>
        <row r="12164">
          <cell r="L12164" t="str">
            <v>Non-proportional</v>
          </cell>
          <cell r="S12164">
            <v>218.76</v>
          </cell>
          <cell r="X12164" t="str">
            <v>Commissions - gross</v>
          </cell>
          <cell r="Y12164" t="str">
            <v>SPAIN</v>
          </cell>
        </row>
        <row r="12165">
          <cell r="L12165" t="str">
            <v>Non-proportional</v>
          </cell>
          <cell r="S12165">
            <v>17.260000000000002</v>
          </cell>
          <cell r="X12165" t="str">
            <v>Commissions - gross</v>
          </cell>
          <cell r="Y12165" t="str">
            <v>JAPAN</v>
          </cell>
        </row>
        <row r="12166">
          <cell r="L12166" t="str">
            <v>Proportional</v>
          </cell>
          <cell r="S12166">
            <v>-736.88</v>
          </cell>
          <cell r="X12166" t="str">
            <v>Commissions - gross</v>
          </cell>
          <cell r="Y12166" t="str">
            <v>AUSTRALIA</v>
          </cell>
        </row>
        <row r="12167">
          <cell r="L12167" t="str">
            <v>Non-proportional</v>
          </cell>
          <cell r="S12167">
            <v>1133.51</v>
          </cell>
          <cell r="X12167" t="str">
            <v>Commissions - gross</v>
          </cell>
          <cell r="Y12167" t="str">
            <v>MEXICO</v>
          </cell>
        </row>
        <row r="12168">
          <cell r="L12168" t="str">
            <v>Non-proportional</v>
          </cell>
          <cell r="S12168">
            <v>162.38999999999999</v>
          </cell>
          <cell r="X12168" t="str">
            <v>Commissions - gross</v>
          </cell>
          <cell r="Y12168" t="str">
            <v>ECUADOR</v>
          </cell>
        </row>
        <row r="12169">
          <cell r="L12169" t="str">
            <v>Non-proportional</v>
          </cell>
          <cell r="S12169">
            <v>42.89</v>
          </cell>
          <cell r="X12169" t="str">
            <v>Commissions - gross</v>
          </cell>
          <cell r="Y12169" t="str">
            <v>JAPAN</v>
          </cell>
        </row>
        <row r="12170">
          <cell r="L12170" t="str">
            <v>Non-proportional</v>
          </cell>
          <cell r="S12170">
            <v>348.99</v>
          </cell>
          <cell r="X12170" t="str">
            <v>Commissions - gross</v>
          </cell>
          <cell r="Y12170" t="str">
            <v>THAILAND</v>
          </cell>
        </row>
        <row r="12171">
          <cell r="L12171" t="str">
            <v>Non-proportional</v>
          </cell>
          <cell r="S12171">
            <v>-6.65</v>
          </cell>
          <cell r="X12171" t="str">
            <v>Commissions - gross</v>
          </cell>
          <cell r="Y12171" t="str">
            <v>JAPAN</v>
          </cell>
        </row>
        <row r="12172">
          <cell r="L12172" t="str">
            <v>Non-proportional</v>
          </cell>
          <cell r="S12172">
            <v>296.76</v>
          </cell>
          <cell r="X12172" t="str">
            <v>Commissions - gross</v>
          </cell>
          <cell r="Y12172" t="str">
            <v>THAILAND</v>
          </cell>
        </row>
        <row r="12173">
          <cell r="L12173" t="str">
            <v>Non-proportional</v>
          </cell>
          <cell r="S12173">
            <v>-4.0599999999999996</v>
          </cell>
          <cell r="X12173" t="str">
            <v>Commissions - gross</v>
          </cell>
          <cell r="Y12173" t="str">
            <v>JAPAN</v>
          </cell>
        </row>
        <row r="12174">
          <cell r="L12174" t="str">
            <v>Non-proportional</v>
          </cell>
          <cell r="S12174">
            <v>172.52</v>
          </cell>
          <cell r="X12174" t="str">
            <v>Commissions - gross</v>
          </cell>
          <cell r="Y12174" t="str">
            <v>COSTA RICA</v>
          </cell>
        </row>
        <row r="12175">
          <cell r="L12175" t="str">
            <v>Non-proportional</v>
          </cell>
          <cell r="S12175">
            <v>154.69999999999999</v>
          </cell>
          <cell r="X12175" t="str">
            <v>Commissions - gross</v>
          </cell>
          <cell r="Y12175" t="str">
            <v>JAPAN</v>
          </cell>
        </row>
        <row r="12176">
          <cell r="L12176" t="str">
            <v>Proportional</v>
          </cell>
          <cell r="S12176">
            <v>-443.4</v>
          </cell>
          <cell r="X12176" t="str">
            <v>Commissions - gross</v>
          </cell>
          <cell r="Y12176" t="str">
            <v>JAPAN</v>
          </cell>
        </row>
        <row r="12177">
          <cell r="L12177" t="str">
            <v>Proportional</v>
          </cell>
          <cell r="S12177">
            <v>1516.62</v>
          </cell>
          <cell r="X12177" t="str">
            <v>Commissions - gross</v>
          </cell>
          <cell r="Y12177" t="str">
            <v>SWITZERLAND</v>
          </cell>
        </row>
        <row r="12178">
          <cell r="L12178" t="str">
            <v>Non-proportional</v>
          </cell>
          <cell r="S12178">
            <v>291.77</v>
          </cell>
          <cell r="X12178" t="str">
            <v>Commissions - gross</v>
          </cell>
          <cell r="Y12178" t="str">
            <v>AUSTRALIA</v>
          </cell>
        </row>
        <row r="12179">
          <cell r="L12179" t="str">
            <v>Non-proportional</v>
          </cell>
          <cell r="S12179">
            <v>104.48</v>
          </cell>
          <cell r="X12179" t="str">
            <v>Commissions - gross</v>
          </cell>
          <cell r="Y12179" t="str">
            <v>CYPRUS</v>
          </cell>
        </row>
        <row r="12180">
          <cell r="L12180" t="str">
            <v>Proportional</v>
          </cell>
          <cell r="S12180">
            <v>437.01</v>
          </cell>
          <cell r="X12180" t="str">
            <v>Commissions - gross</v>
          </cell>
          <cell r="Y12180" t="str">
            <v>CHILE</v>
          </cell>
        </row>
        <row r="12181">
          <cell r="L12181" t="str">
            <v>Non-proportional</v>
          </cell>
          <cell r="S12181">
            <v>0</v>
          </cell>
          <cell r="X12181" t="str">
            <v>Commissions - gross</v>
          </cell>
          <cell r="Y12181" t="str">
            <v>COLOMBIA</v>
          </cell>
        </row>
        <row r="12182">
          <cell r="L12182" t="str">
            <v>Non-proportional</v>
          </cell>
          <cell r="S12182">
            <v>-0.1</v>
          </cell>
          <cell r="X12182" t="str">
            <v>Commissions - gross</v>
          </cell>
          <cell r="Y12182" t="str">
            <v>GUATEMALA</v>
          </cell>
        </row>
        <row r="12183">
          <cell r="L12183" t="str">
            <v>Non-proportional</v>
          </cell>
          <cell r="S12183">
            <v>2828.04</v>
          </cell>
          <cell r="X12183" t="str">
            <v>Commissions - gross</v>
          </cell>
          <cell r="Y12183" t="str">
            <v>JAPAN</v>
          </cell>
        </row>
        <row r="12184">
          <cell r="L12184" t="str">
            <v>Non-proportional</v>
          </cell>
          <cell r="S12184">
            <v>692.47</v>
          </cell>
          <cell r="X12184" t="str">
            <v>Commissions - gross</v>
          </cell>
          <cell r="Y12184" t="str">
            <v>COLOMBIA</v>
          </cell>
        </row>
        <row r="12185">
          <cell r="L12185" t="str">
            <v>Non-proportional</v>
          </cell>
          <cell r="S12185">
            <v>293.01</v>
          </cell>
          <cell r="X12185" t="str">
            <v>Commissions - gross</v>
          </cell>
          <cell r="Y12185" t="str">
            <v>JAPAN</v>
          </cell>
        </row>
        <row r="12186">
          <cell r="L12186" t="str">
            <v>Non-proportional</v>
          </cell>
          <cell r="S12186">
            <v>762.61</v>
          </cell>
          <cell r="X12186" t="str">
            <v>Commissions - gross</v>
          </cell>
          <cell r="Y12186" t="str">
            <v>NEW ZEALAND</v>
          </cell>
        </row>
        <row r="12187">
          <cell r="L12187" t="str">
            <v>Non-proportional</v>
          </cell>
          <cell r="S12187">
            <v>1070.71</v>
          </cell>
          <cell r="X12187" t="str">
            <v>Commissions - gross</v>
          </cell>
          <cell r="Y12187" t="str">
            <v>FRANCE</v>
          </cell>
        </row>
        <row r="12188">
          <cell r="L12188" t="str">
            <v>Non-proportional</v>
          </cell>
          <cell r="S12188">
            <v>116.61</v>
          </cell>
          <cell r="X12188" t="str">
            <v>Commissions - gross</v>
          </cell>
          <cell r="Y12188" t="str">
            <v>SOUTH AFRICA</v>
          </cell>
        </row>
        <row r="12189">
          <cell r="L12189" t="str">
            <v>Non-proportional</v>
          </cell>
          <cell r="S12189">
            <v>946.84</v>
          </cell>
          <cell r="X12189" t="str">
            <v>Commissions - gross</v>
          </cell>
          <cell r="Y12189" t="str">
            <v>CHILE</v>
          </cell>
        </row>
        <row r="12190">
          <cell r="L12190" t="str">
            <v>Proportional</v>
          </cell>
          <cell r="S12190">
            <v>210.6</v>
          </cell>
          <cell r="X12190" t="str">
            <v>Commissions - gross</v>
          </cell>
          <cell r="Y12190" t="str">
            <v>CHILE</v>
          </cell>
        </row>
        <row r="12191">
          <cell r="L12191" t="str">
            <v>Non-proportional</v>
          </cell>
          <cell r="S12191">
            <v>5.95</v>
          </cell>
          <cell r="X12191" t="str">
            <v>Commissions - gross</v>
          </cell>
          <cell r="Y12191" t="str">
            <v>THAILAND</v>
          </cell>
        </row>
        <row r="12192">
          <cell r="L12192" t="str">
            <v>Proportional</v>
          </cell>
          <cell r="S12192">
            <v>6.46</v>
          </cell>
          <cell r="X12192" t="str">
            <v>Commissions - gross</v>
          </cell>
          <cell r="Y12192" t="str">
            <v>UNITED STATES</v>
          </cell>
        </row>
        <row r="12193">
          <cell r="L12193" t="str">
            <v>Non-proportional</v>
          </cell>
          <cell r="S12193">
            <v>1184.3900000000001</v>
          </cell>
          <cell r="X12193" t="str">
            <v>Commissions - gross</v>
          </cell>
          <cell r="Y12193" t="str">
            <v>AUSTRALIA</v>
          </cell>
        </row>
        <row r="12194">
          <cell r="L12194" t="str">
            <v>Non-proportional</v>
          </cell>
          <cell r="S12194">
            <v>-4.78</v>
          </cell>
          <cell r="X12194" t="str">
            <v>Commissions - gross</v>
          </cell>
          <cell r="Y12194" t="str">
            <v>DOMINICAN REPUBLIC</v>
          </cell>
        </row>
        <row r="12195">
          <cell r="L12195" t="str">
            <v>Non-proportional</v>
          </cell>
          <cell r="S12195">
            <v>25.97</v>
          </cell>
          <cell r="X12195" t="str">
            <v>Commissions - gross</v>
          </cell>
          <cell r="Y12195" t="str">
            <v>ECUADOR</v>
          </cell>
        </row>
        <row r="12196">
          <cell r="L12196" t="str">
            <v>Non-proportional</v>
          </cell>
          <cell r="S12196">
            <v>665.89</v>
          </cell>
          <cell r="X12196" t="str">
            <v>Commissions - gross</v>
          </cell>
          <cell r="Y12196" t="str">
            <v>ISRAEL</v>
          </cell>
        </row>
        <row r="12197">
          <cell r="L12197" t="str">
            <v>Non-proportional</v>
          </cell>
          <cell r="S12197">
            <v>256.95</v>
          </cell>
          <cell r="X12197" t="str">
            <v>Commissions - gross</v>
          </cell>
          <cell r="Y12197" t="str">
            <v>MEXICO</v>
          </cell>
        </row>
        <row r="12198">
          <cell r="L12198" t="str">
            <v>Non-proportional</v>
          </cell>
          <cell r="S12198">
            <v>246.96</v>
          </cell>
          <cell r="X12198" t="str">
            <v>Commissions - gross</v>
          </cell>
          <cell r="Y12198" t="str">
            <v>FRANCE</v>
          </cell>
        </row>
        <row r="12199">
          <cell r="L12199" t="str">
            <v>Non-proportional</v>
          </cell>
          <cell r="S12199">
            <v>489.01</v>
          </cell>
          <cell r="X12199" t="str">
            <v>Commissions - gross</v>
          </cell>
          <cell r="Y12199" t="str">
            <v>FRANCE</v>
          </cell>
        </row>
        <row r="12200">
          <cell r="L12200" t="str">
            <v>Non-proportional</v>
          </cell>
          <cell r="S12200">
            <v>666.65</v>
          </cell>
          <cell r="X12200" t="str">
            <v>Commissions - gross</v>
          </cell>
          <cell r="Y12200" t="str">
            <v>ITALY</v>
          </cell>
        </row>
        <row r="12201">
          <cell r="L12201" t="str">
            <v>Non-proportional</v>
          </cell>
          <cell r="S12201">
            <v>837.59</v>
          </cell>
          <cell r="X12201" t="str">
            <v>Commissions - gross</v>
          </cell>
          <cell r="Y12201" t="str">
            <v>CHILE</v>
          </cell>
        </row>
        <row r="12202">
          <cell r="L12202" t="str">
            <v>Non-proportional</v>
          </cell>
          <cell r="S12202">
            <v>-10.63</v>
          </cell>
          <cell r="X12202" t="str">
            <v>Commissions - gross</v>
          </cell>
          <cell r="Y12202" t="str">
            <v>JAPAN</v>
          </cell>
        </row>
        <row r="12203">
          <cell r="L12203" t="str">
            <v>Non-proportional</v>
          </cell>
          <cell r="S12203">
            <v>1274.5999999999999</v>
          </cell>
          <cell r="X12203" t="str">
            <v>Commissions - gross</v>
          </cell>
          <cell r="Y12203" t="str">
            <v>CHILE</v>
          </cell>
        </row>
        <row r="12204">
          <cell r="L12204" t="str">
            <v>Non-proportional</v>
          </cell>
          <cell r="S12204">
            <v>1653.22</v>
          </cell>
          <cell r="X12204" t="str">
            <v>Commissions - gross</v>
          </cell>
          <cell r="Y12204" t="str">
            <v>HONG KONG</v>
          </cell>
        </row>
        <row r="12205">
          <cell r="L12205" t="str">
            <v>Non-proportional</v>
          </cell>
          <cell r="S12205">
            <v>0</v>
          </cell>
          <cell r="X12205" t="str">
            <v>Commissions - gross</v>
          </cell>
          <cell r="Y12205" t="str">
            <v>COLOMBIA</v>
          </cell>
        </row>
        <row r="12206">
          <cell r="L12206" t="str">
            <v>Non-proportional</v>
          </cell>
          <cell r="S12206">
            <v>-23.44</v>
          </cell>
          <cell r="X12206" t="str">
            <v>Commissions - gross</v>
          </cell>
          <cell r="Y12206" t="str">
            <v>NEW ZEALAND</v>
          </cell>
        </row>
        <row r="12207">
          <cell r="L12207" t="str">
            <v>Proportional</v>
          </cell>
          <cell r="S12207">
            <v>1.1000000000000001</v>
          </cell>
          <cell r="X12207" t="str">
            <v>Commissions - gross</v>
          </cell>
          <cell r="Y12207" t="str">
            <v>UNITED STATES</v>
          </cell>
        </row>
        <row r="12208">
          <cell r="L12208" t="str">
            <v>Non-proportional</v>
          </cell>
          <cell r="S12208">
            <v>9.51</v>
          </cell>
          <cell r="X12208" t="str">
            <v>Commissions - gross</v>
          </cell>
          <cell r="Y12208" t="str">
            <v>BRAZIL</v>
          </cell>
        </row>
        <row r="12209">
          <cell r="L12209" t="str">
            <v>Non-proportional</v>
          </cell>
          <cell r="S12209">
            <v>0.47</v>
          </cell>
          <cell r="X12209" t="str">
            <v>Commissions - gross</v>
          </cell>
          <cell r="Y12209" t="str">
            <v>COSTA RICA</v>
          </cell>
        </row>
        <row r="12210">
          <cell r="L12210" t="str">
            <v>Non-proportional</v>
          </cell>
          <cell r="S12210">
            <v>391.63</v>
          </cell>
          <cell r="X12210" t="str">
            <v>Commissions - gross</v>
          </cell>
          <cell r="Y12210" t="str">
            <v>SPAIN</v>
          </cell>
        </row>
        <row r="12211">
          <cell r="L12211" t="str">
            <v>Non-proportional</v>
          </cell>
          <cell r="S12211">
            <v>251.77</v>
          </cell>
          <cell r="X12211" t="str">
            <v>Commissions - gross</v>
          </cell>
          <cell r="Y12211" t="str">
            <v>ITALY</v>
          </cell>
        </row>
        <row r="12212">
          <cell r="L12212" t="str">
            <v>Non-proportional</v>
          </cell>
          <cell r="S12212">
            <v>1.64</v>
          </cell>
          <cell r="X12212" t="str">
            <v>Commissions - gross</v>
          </cell>
          <cell r="Y12212" t="str">
            <v>ISRAEL</v>
          </cell>
        </row>
        <row r="12213">
          <cell r="L12213" t="str">
            <v>Non-proportional</v>
          </cell>
          <cell r="S12213">
            <v>217.98</v>
          </cell>
          <cell r="X12213" t="str">
            <v>Commissions - gross</v>
          </cell>
          <cell r="Y12213" t="str">
            <v>FRANCE</v>
          </cell>
        </row>
        <row r="12214">
          <cell r="L12214" t="str">
            <v>Non-proportional</v>
          </cell>
          <cell r="S12214">
            <v>2113.9899999999998</v>
          </cell>
          <cell r="X12214" t="str">
            <v>Commissions - gross</v>
          </cell>
          <cell r="Y12214" t="str">
            <v>UNITED KINGDOM</v>
          </cell>
        </row>
        <row r="12215">
          <cell r="L12215" t="str">
            <v>Non-proportional</v>
          </cell>
          <cell r="S12215">
            <v>7.79</v>
          </cell>
          <cell r="X12215" t="str">
            <v>Commissions - gross</v>
          </cell>
          <cell r="Y12215" t="str">
            <v>COLOMBIA</v>
          </cell>
        </row>
        <row r="12216">
          <cell r="L12216" t="str">
            <v>Non-proportional</v>
          </cell>
          <cell r="S12216">
            <v>370.32</v>
          </cell>
          <cell r="X12216" t="str">
            <v>Commissions - gross</v>
          </cell>
          <cell r="Y12216" t="str">
            <v>ISRAEL</v>
          </cell>
        </row>
        <row r="12217">
          <cell r="L12217" t="str">
            <v>Non-proportional</v>
          </cell>
          <cell r="S12217">
            <v>61.7</v>
          </cell>
          <cell r="X12217" t="str">
            <v>Commissions - gross</v>
          </cell>
          <cell r="Y12217" t="str">
            <v>FRANCE</v>
          </cell>
        </row>
        <row r="12218">
          <cell r="L12218" t="str">
            <v>Non-proportional</v>
          </cell>
          <cell r="S12218">
            <v>125.78</v>
          </cell>
          <cell r="X12218" t="str">
            <v>Commissions - gross</v>
          </cell>
          <cell r="Y12218" t="str">
            <v>ITALY</v>
          </cell>
        </row>
        <row r="12219">
          <cell r="L12219" t="str">
            <v>Non-proportional</v>
          </cell>
          <cell r="S12219">
            <v>188.64</v>
          </cell>
          <cell r="X12219" t="str">
            <v>Commissions - gross</v>
          </cell>
          <cell r="Y12219" t="str">
            <v>SOUTH AFRICA</v>
          </cell>
        </row>
        <row r="12220">
          <cell r="L12220" t="str">
            <v>Non-proportional</v>
          </cell>
          <cell r="S12220">
            <v>217.38</v>
          </cell>
          <cell r="X12220" t="str">
            <v>Commissions - gross</v>
          </cell>
          <cell r="Y12220" t="str">
            <v>DOMINICAN REPUBLIC</v>
          </cell>
        </row>
        <row r="12221">
          <cell r="L12221" t="str">
            <v>Non-proportional</v>
          </cell>
          <cell r="S12221">
            <v>-3391.85</v>
          </cell>
          <cell r="X12221" t="str">
            <v>Commissions - gross</v>
          </cell>
          <cell r="Y12221" t="str">
            <v>BRAZIL</v>
          </cell>
        </row>
        <row r="12222">
          <cell r="L12222" t="str">
            <v>Non-proportional</v>
          </cell>
          <cell r="S12222">
            <v>280.52</v>
          </cell>
          <cell r="X12222" t="str">
            <v>Commissions - gross</v>
          </cell>
          <cell r="Y12222" t="str">
            <v>REPUBLIC OF IRELAND</v>
          </cell>
        </row>
        <row r="12223">
          <cell r="L12223" t="str">
            <v>Non-proportional</v>
          </cell>
          <cell r="S12223">
            <v>33311.01</v>
          </cell>
          <cell r="X12223" t="str">
            <v>Commissions - gross</v>
          </cell>
          <cell r="Y12223" t="str">
            <v>UNITED KINGDOM</v>
          </cell>
        </row>
        <row r="12224">
          <cell r="L12224" t="str">
            <v>Non-proportional</v>
          </cell>
          <cell r="S12224">
            <v>1137.76</v>
          </cell>
          <cell r="X12224" t="str">
            <v>Commissions - gross</v>
          </cell>
          <cell r="Y12224" t="str">
            <v>ECUADOR</v>
          </cell>
        </row>
        <row r="12225">
          <cell r="L12225" t="str">
            <v>Non-proportional</v>
          </cell>
          <cell r="S12225">
            <v>-8.8000000000000007</v>
          </cell>
          <cell r="X12225" t="str">
            <v>Commissions - gross</v>
          </cell>
          <cell r="Y12225" t="str">
            <v>JAPAN</v>
          </cell>
        </row>
        <row r="12226">
          <cell r="L12226" t="str">
            <v>Non-proportional</v>
          </cell>
          <cell r="S12226">
            <v>585.13</v>
          </cell>
          <cell r="X12226" t="str">
            <v>Commissions - gross</v>
          </cell>
          <cell r="Y12226" t="str">
            <v>ITALY</v>
          </cell>
        </row>
        <row r="12227">
          <cell r="L12227" t="str">
            <v>Non-proportional</v>
          </cell>
          <cell r="S12227">
            <v>293.70999999999998</v>
          </cell>
          <cell r="X12227" t="str">
            <v>Commissions - gross</v>
          </cell>
          <cell r="Y12227" t="str">
            <v>NETHERLANDS</v>
          </cell>
        </row>
        <row r="12228">
          <cell r="L12228" t="str">
            <v>Non-proportional</v>
          </cell>
          <cell r="S12228">
            <v>3219.42</v>
          </cell>
          <cell r="X12228" t="str">
            <v>Commissions - gross</v>
          </cell>
          <cell r="Y12228" t="str">
            <v>HONG KONG</v>
          </cell>
        </row>
        <row r="12229">
          <cell r="L12229" t="str">
            <v>Non-proportional</v>
          </cell>
          <cell r="S12229">
            <v>177.75</v>
          </cell>
          <cell r="X12229" t="str">
            <v>Commissions - gross</v>
          </cell>
          <cell r="Y12229" t="str">
            <v>GREECE</v>
          </cell>
        </row>
        <row r="12230">
          <cell r="L12230" t="str">
            <v>Non-proportional</v>
          </cell>
          <cell r="S12230">
            <v>202.99</v>
          </cell>
          <cell r="X12230" t="str">
            <v>Commissions - gross</v>
          </cell>
          <cell r="Y12230" t="str">
            <v>CYPRUS</v>
          </cell>
        </row>
        <row r="12231">
          <cell r="L12231" t="str">
            <v>Non-proportional</v>
          </cell>
          <cell r="S12231">
            <v>-6.96</v>
          </cell>
          <cell r="X12231" t="str">
            <v>Commissions - gross</v>
          </cell>
          <cell r="Y12231" t="str">
            <v>NEW ZEALAND</v>
          </cell>
        </row>
        <row r="12232">
          <cell r="L12232" t="str">
            <v>Non-proportional</v>
          </cell>
          <cell r="S12232">
            <v>137.26</v>
          </cell>
          <cell r="X12232" t="str">
            <v>Commissions - gross</v>
          </cell>
          <cell r="Y12232" t="str">
            <v>UNITED KINGDOM</v>
          </cell>
        </row>
        <row r="12233">
          <cell r="L12233" t="str">
            <v>Non-proportional</v>
          </cell>
          <cell r="S12233">
            <v>-19.73</v>
          </cell>
          <cell r="X12233" t="str">
            <v>Commissions - gross</v>
          </cell>
          <cell r="Y12233" t="str">
            <v>INDIA</v>
          </cell>
        </row>
        <row r="12234">
          <cell r="L12234" t="str">
            <v>Non-proportional</v>
          </cell>
          <cell r="S12234">
            <v>206.23</v>
          </cell>
          <cell r="X12234" t="str">
            <v>Commissions - gross</v>
          </cell>
          <cell r="Y12234" t="str">
            <v>PERU</v>
          </cell>
        </row>
        <row r="12235">
          <cell r="L12235" t="str">
            <v>Non-proportional</v>
          </cell>
          <cell r="S12235">
            <v>80</v>
          </cell>
          <cell r="X12235" t="str">
            <v>Commissions - gross</v>
          </cell>
          <cell r="Y12235" t="str">
            <v>ITALY</v>
          </cell>
        </row>
        <row r="12236">
          <cell r="L12236" t="str">
            <v>Non-proportional</v>
          </cell>
          <cell r="S12236">
            <v>4508.8500000000004</v>
          </cell>
          <cell r="X12236" t="str">
            <v>Commissions - gross</v>
          </cell>
          <cell r="Y12236" t="str">
            <v>UNITED KINGDOM</v>
          </cell>
        </row>
        <row r="12237">
          <cell r="L12237" t="str">
            <v>Non-proportional</v>
          </cell>
          <cell r="S12237">
            <v>536.99</v>
          </cell>
          <cell r="X12237" t="str">
            <v>Commissions - gross</v>
          </cell>
          <cell r="Y12237" t="str">
            <v>UNITED KINGDOM</v>
          </cell>
        </row>
        <row r="12238">
          <cell r="L12238" t="str">
            <v>Non-proportional</v>
          </cell>
          <cell r="S12238">
            <v>4272.9799999999996</v>
          </cell>
          <cell r="X12238" t="str">
            <v>Commissions - gross</v>
          </cell>
          <cell r="Y12238" t="str">
            <v>UNITED KINGDOM</v>
          </cell>
        </row>
        <row r="12239">
          <cell r="L12239" t="str">
            <v>Non-proportional</v>
          </cell>
          <cell r="S12239">
            <v>19.239999999999998</v>
          </cell>
          <cell r="X12239" t="str">
            <v>Commissions - gross</v>
          </cell>
          <cell r="Y12239" t="str">
            <v>FRANCE</v>
          </cell>
        </row>
        <row r="12240">
          <cell r="L12240" t="str">
            <v>Non-proportional</v>
          </cell>
          <cell r="S12240">
            <v>182.09</v>
          </cell>
          <cell r="X12240" t="str">
            <v>Commissions - gross</v>
          </cell>
          <cell r="Y12240" t="str">
            <v>CHILE</v>
          </cell>
        </row>
        <row r="12241">
          <cell r="L12241" t="str">
            <v>Non-proportional</v>
          </cell>
          <cell r="S12241">
            <v>174.97</v>
          </cell>
          <cell r="X12241" t="str">
            <v>Commissions - gross</v>
          </cell>
          <cell r="Y12241" t="str">
            <v>NETHERLANDS</v>
          </cell>
        </row>
        <row r="12242">
          <cell r="L12242" t="str">
            <v>Non-proportional</v>
          </cell>
          <cell r="S12242">
            <v>2438.4299999999998</v>
          </cell>
          <cell r="X12242" t="str">
            <v>Commissions - gross</v>
          </cell>
          <cell r="Y12242" t="str">
            <v>ISRAEL</v>
          </cell>
        </row>
        <row r="12243">
          <cell r="L12243" t="str">
            <v>Non-proportional</v>
          </cell>
          <cell r="S12243">
            <v>500.11</v>
          </cell>
          <cell r="X12243" t="str">
            <v>Commissions - gross</v>
          </cell>
          <cell r="Y12243" t="str">
            <v>ITALY</v>
          </cell>
        </row>
        <row r="12244">
          <cell r="L12244" t="str">
            <v>Non-proportional</v>
          </cell>
          <cell r="S12244">
            <v>515.19000000000005</v>
          </cell>
          <cell r="X12244" t="str">
            <v>Commissions - gross</v>
          </cell>
          <cell r="Y12244" t="str">
            <v>ITALY</v>
          </cell>
        </row>
        <row r="12245">
          <cell r="L12245" t="str">
            <v>Non-proportional</v>
          </cell>
          <cell r="S12245">
            <v>72.989999999999995</v>
          </cell>
          <cell r="X12245" t="str">
            <v>Commissions - gross</v>
          </cell>
          <cell r="Y12245" t="str">
            <v>ISRAEL</v>
          </cell>
        </row>
        <row r="12246">
          <cell r="L12246" t="str">
            <v>Non-proportional</v>
          </cell>
          <cell r="S12246">
            <v>320.33999999999997</v>
          </cell>
          <cell r="X12246" t="str">
            <v>Commissions - gross</v>
          </cell>
          <cell r="Y12246" t="str">
            <v>ECUADOR</v>
          </cell>
        </row>
        <row r="12247">
          <cell r="L12247" t="str">
            <v>Non-proportional</v>
          </cell>
          <cell r="S12247">
            <v>75.53</v>
          </cell>
          <cell r="X12247" t="str">
            <v>Commissions - gross</v>
          </cell>
          <cell r="Y12247" t="str">
            <v>BRAZIL</v>
          </cell>
        </row>
        <row r="12248">
          <cell r="L12248" t="str">
            <v>Non-proportional</v>
          </cell>
          <cell r="S12248">
            <v>581.42999999999995</v>
          </cell>
          <cell r="X12248" t="str">
            <v>Commissions - gross</v>
          </cell>
          <cell r="Y12248" t="str">
            <v>AUSTRALIA</v>
          </cell>
        </row>
        <row r="12249">
          <cell r="L12249" t="str">
            <v>Non-proportional</v>
          </cell>
          <cell r="S12249">
            <v>185.74</v>
          </cell>
          <cell r="X12249" t="str">
            <v>Commissions - gross</v>
          </cell>
          <cell r="Y12249" t="str">
            <v>PERU</v>
          </cell>
        </row>
        <row r="12250">
          <cell r="L12250" t="str">
            <v>Non-proportional</v>
          </cell>
          <cell r="S12250">
            <v>4217.5</v>
          </cell>
          <cell r="X12250" t="str">
            <v>Commissions - gross</v>
          </cell>
          <cell r="Y12250" t="str">
            <v>UNITED KINGDOM</v>
          </cell>
        </row>
        <row r="12251">
          <cell r="L12251" t="str">
            <v>Non-proportional</v>
          </cell>
          <cell r="S12251">
            <v>249.52</v>
          </cell>
          <cell r="X12251" t="str">
            <v>Commissions - gross</v>
          </cell>
          <cell r="Y12251" t="str">
            <v>ITALY</v>
          </cell>
        </row>
        <row r="12252">
          <cell r="L12252" t="str">
            <v>Proportional</v>
          </cell>
          <cell r="S12252">
            <v>89.76</v>
          </cell>
          <cell r="X12252" t="str">
            <v>Commissions - gross</v>
          </cell>
          <cell r="Y12252" t="str">
            <v>PERU</v>
          </cell>
        </row>
        <row r="12253">
          <cell r="L12253" t="str">
            <v>Non-proportional</v>
          </cell>
          <cell r="S12253">
            <v>298.83</v>
          </cell>
          <cell r="X12253" t="str">
            <v>Commissions - gross</v>
          </cell>
          <cell r="Y12253" t="str">
            <v>ISRAEL</v>
          </cell>
        </row>
        <row r="12254">
          <cell r="L12254" t="str">
            <v>Non-proportional</v>
          </cell>
          <cell r="S12254">
            <v>99.61</v>
          </cell>
          <cell r="X12254" t="str">
            <v>Commissions - gross</v>
          </cell>
          <cell r="Y12254" t="str">
            <v>ISRAEL</v>
          </cell>
        </row>
        <row r="12255">
          <cell r="L12255" t="str">
            <v>Non-proportional</v>
          </cell>
          <cell r="S12255">
            <v>1200.1300000000001</v>
          </cell>
          <cell r="X12255" t="str">
            <v>Commissions - gross</v>
          </cell>
          <cell r="Y12255" t="str">
            <v>ITALY</v>
          </cell>
        </row>
        <row r="12256">
          <cell r="L12256" t="str">
            <v>Non-proportional</v>
          </cell>
          <cell r="S12256">
            <v>-7.69</v>
          </cell>
          <cell r="X12256" t="str">
            <v>Commissions - gross</v>
          </cell>
          <cell r="Y12256" t="str">
            <v>JAPAN</v>
          </cell>
        </row>
        <row r="12257">
          <cell r="L12257" t="str">
            <v>Non-proportional</v>
          </cell>
          <cell r="S12257">
            <v>286.47000000000003</v>
          </cell>
          <cell r="X12257" t="str">
            <v>Commissions - gross</v>
          </cell>
          <cell r="Y12257" t="str">
            <v>ISRAEL</v>
          </cell>
        </row>
        <row r="12258">
          <cell r="L12258" t="str">
            <v>Non-proportional</v>
          </cell>
          <cell r="S12258">
            <v>1996.77</v>
          </cell>
          <cell r="X12258" t="str">
            <v>Commissions - gross</v>
          </cell>
          <cell r="Y12258" t="str">
            <v>FRANCE</v>
          </cell>
        </row>
        <row r="12259">
          <cell r="L12259" t="str">
            <v>Non-proportional</v>
          </cell>
          <cell r="S12259">
            <v>390.08</v>
          </cell>
          <cell r="X12259" t="str">
            <v>Commissions - gross</v>
          </cell>
          <cell r="Y12259" t="str">
            <v>EUROPE</v>
          </cell>
        </row>
        <row r="12260">
          <cell r="L12260" t="str">
            <v>Non-proportional</v>
          </cell>
          <cell r="S12260">
            <v>86</v>
          </cell>
          <cell r="X12260" t="str">
            <v>Commissions - gross</v>
          </cell>
          <cell r="Y12260" t="str">
            <v>GREECE</v>
          </cell>
        </row>
        <row r="12261">
          <cell r="L12261" t="str">
            <v>Non-proportional</v>
          </cell>
          <cell r="S12261">
            <v>1588.55</v>
          </cell>
          <cell r="X12261" t="str">
            <v>Commissions - gross</v>
          </cell>
          <cell r="Y12261" t="str">
            <v>EUROPE</v>
          </cell>
        </row>
        <row r="12262">
          <cell r="L12262" t="str">
            <v>Non-proportional</v>
          </cell>
          <cell r="S12262">
            <v>115.06</v>
          </cell>
          <cell r="X12262" t="str">
            <v>Commissions - gross</v>
          </cell>
          <cell r="Y12262" t="str">
            <v>UNITED KINGDOM</v>
          </cell>
        </row>
        <row r="12263">
          <cell r="L12263" t="str">
            <v>Non-proportional</v>
          </cell>
          <cell r="S12263">
            <v>-11.86</v>
          </cell>
          <cell r="X12263" t="str">
            <v>Commissions - gross</v>
          </cell>
          <cell r="Y12263" t="str">
            <v>DOMINICAN REPUBLIC</v>
          </cell>
        </row>
        <row r="12264">
          <cell r="L12264" t="str">
            <v>Non-proportional</v>
          </cell>
          <cell r="S12264">
            <v>42325.67</v>
          </cell>
          <cell r="X12264" t="str">
            <v>Commissions - gross</v>
          </cell>
          <cell r="Y12264" t="str">
            <v>UNITED KINGDOM</v>
          </cell>
        </row>
        <row r="12265">
          <cell r="L12265" t="str">
            <v>Non-proportional</v>
          </cell>
          <cell r="S12265">
            <v>148.03</v>
          </cell>
          <cell r="X12265" t="str">
            <v>Commissions - gross</v>
          </cell>
          <cell r="Y12265" t="str">
            <v>GUATEMALA</v>
          </cell>
        </row>
        <row r="12266">
          <cell r="L12266" t="str">
            <v>Non-proportional</v>
          </cell>
          <cell r="S12266">
            <v>90.84</v>
          </cell>
          <cell r="X12266" t="str">
            <v>Commissions - gross</v>
          </cell>
          <cell r="Y12266" t="str">
            <v>ECUADOR</v>
          </cell>
        </row>
        <row r="12267">
          <cell r="L12267" t="str">
            <v>Non-proportional</v>
          </cell>
          <cell r="S12267">
            <v>124.89</v>
          </cell>
          <cell r="X12267" t="str">
            <v>Commissions - gross</v>
          </cell>
          <cell r="Y12267" t="str">
            <v>PERU</v>
          </cell>
        </row>
        <row r="12268">
          <cell r="L12268" t="str">
            <v>Non-proportional</v>
          </cell>
          <cell r="S12268">
            <v>840.27</v>
          </cell>
          <cell r="X12268" t="str">
            <v>Commissions - gross</v>
          </cell>
          <cell r="Y12268" t="str">
            <v>CANADA</v>
          </cell>
        </row>
        <row r="12269">
          <cell r="L12269" t="str">
            <v>Proportional</v>
          </cell>
          <cell r="S12269">
            <v>407.22</v>
          </cell>
          <cell r="X12269" t="str">
            <v>Commissions - gross</v>
          </cell>
          <cell r="Y12269" t="str">
            <v>FRANCE</v>
          </cell>
        </row>
        <row r="12270">
          <cell r="L12270" t="str">
            <v>Non-proportional</v>
          </cell>
          <cell r="S12270">
            <v>584.4</v>
          </cell>
          <cell r="X12270" t="str">
            <v>Commissions - gross</v>
          </cell>
          <cell r="Y12270" t="str">
            <v>ISRAEL</v>
          </cell>
        </row>
        <row r="12271">
          <cell r="L12271" t="str">
            <v>Proportional</v>
          </cell>
          <cell r="S12271">
            <v>-13181.07</v>
          </cell>
          <cell r="X12271" t="str">
            <v>Commissions - gross</v>
          </cell>
          <cell r="Y12271" t="str">
            <v>ITALY</v>
          </cell>
        </row>
        <row r="12272">
          <cell r="L12272" t="str">
            <v>Non-proportional</v>
          </cell>
          <cell r="S12272">
            <v>254.92</v>
          </cell>
          <cell r="X12272" t="str">
            <v>Commissions - gross</v>
          </cell>
          <cell r="Y12272" t="str">
            <v>CHILE</v>
          </cell>
        </row>
        <row r="12273">
          <cell r="L12273" t="str">
            <v>Non-proportional</v>
          </cell>
          <cell r="S12273">
            <v>473.42</v>
          </cell>
          <cell r="X12273" t="str">
            <v>Commissions - gross</v>
          </cell>
          <cell r="Y12273" t="str">
            <v>CHILE</v>
          </cell>
        </row>
        <row r="12274">
          <cell r="L12274" t="str">
            <v>Non-proportional</v>
          </cell>
          <cell r="S12274">
            <v>254.92</v>
          </cell>
          <cell r="X12274" t="str">
            <v>Commissions - gross</v>
          </cell>
          <cell r="Y12274" t="str">
            <v>CHILE</v>
          </cell>
        </row>
        <row r="12275">
          <cell r="L12275" t="str">
            <v>Non-proportional</v>
          </cell>
          <cell r="S12275">
            <v>338.18</v>
          </cell>
          <cell r="X12275" t="str">
            <v>Commissions - gross</v>
          </cell>
          <cell r="Y12275" t="str">
            <v>ITALY</v>
          </cell>
        </row>
        <row r="12276">
          <cell r="L12276" t="str">
            <v>Non-proportional</v>
          </cell>
          <cell r="S12276">
            <v>2475</v>
          </cell>
          <cell r="X12276" t="str">
            <v>Commissions - gross</v>
          </cell>
          <cell r="Y12276" t="str">
            <v>GREECE</v>
          </cell>
        </row>
        <row r="12277">
          <cell r="L12277" t="str">
            <v>Non-proportional</v>
          </cell>
          <cell r="S12277">
            <v>3389.58</v>
          </cell>
          <cell r="X12277" t="str">
            <v>Commissions - gross</v>
          </cell>
          <cell r="Y12277" t="str">
            <v>UNITED KINGDOM</v>
          </cell>
        </row>
        <row r="12278">
          <cell r="L12278" t="str">
            <v>Non-proportional</v>
          </cell>
          <cell r="S12278">
            <v>1384.38</v>
          </cell>
          <cell r="X12278" t="str">
            <v>Commissions - gross</v>
          </cell>
          <cell r="Y12278" t="str">
            <v>ECUADOR</v>
          </cell>
        </row>
        <row r="12279">
          <cell r="L12279" t="str">
            <v>Non-proportional</v>
          </cell>
          <cell r="S12279">
            <v>882.53</v>
          </cell>
          <cell r="X12279" t="str">
            <v>Commissions - gross</v>
          </cell>
          <cell r="Y12279" t="str">
            <v>TURKEY</v>
          </cell>
        </row>
        <row r="12280">
          <cell r="L12280" t="str">
            <v>Non-proportional</v>
          </cell>
          <cell r="S12280">
            <v>280.79000000000002</v>
          </cell>
          <cell r="X12280" t="str">
            <v>Commissions - gross</v>
          </cell>
          <cell r="Y12280" t="str">
            <v>JAPAN</v>
          </cell>
        </row>
        <row r="12281">
          <cell r="L12281" t="str">
            <v>Non-proportional</v>
          </cell>
          <cell r="S12281">
            <v>90.4</v>
          </cell>
          <cell r="X12281" t="str">
            <v>Commissions - gross</v>
          </cell>
          <cell r="Y12281" t="str">
            <v>JAPAN</v>
          </cell>
        </row>
        <row r="12282">
          <cell r="L12282" t="str">
            <v>Non-proportional</v>
          </cell>
          <cell r="S12282">
            <v>3.14</v>
          </cell>
          <cell r="X12282" t="str">
            <v>Commissions - gross</v>
          </cell>
          <cell r="Y12282" t="str">
            <v>ISRAEL</v>
          </cell>
        </row>
        <row r="12283">
          <cell r="L12283" t="str">
            <v>Non-proportional</v>
          </cell>
          <cell r="S12283">
            <v>174.99</v>
          </cell>
          <cell r="X12283" t="str">
            <v>Commissions - gross</v>
          </cell>
          <cell r="Y12283" t="str">
            <v>EUROPE</v>
          </cell>
        </row>
        <row r="12284">
          <cell r="L12284" t="str">
            <v>Non-proportional</v>
          </cell>
          <cell r="S12284">
            <v>627.9</v>
          </cell>
          <cell r="X12284" t="str">
            <v>Commissions - gross</v>
          </cell>
          <cell r="Y12284" t="str">
            <v>FRANCE</v>
          </cell>
        </row>
        <row r="12285">
          <cell r="L12285" t="str">
            <v>Non-proportional</v>
          </cell>
          <cell r="S12285">
            <v>400.11</v>
          </cell>
          <cell r="X12285" t="str">
            <v>Commissions - gross</v>
          </cell>
          <cell r="Y12285" t="str">
            <v>COLOMBIA</v>
          </cell>
        </row>
        <row r="12286">
          <cell r="L12286" t="str">
            <v>Non-proportional</v>
          </cell>
          <cell r="S12286">
            <v>-6.59</v>
          </cell>
          <cell r="X12286" t="str">
            <v>Commissions - gross</v>
          </cell>
          <cell r="Y12286" t="str">
            <v>CANADA</v>
          </cell>
        </row>
        <row r="12287">
          <cell r="L12287" t="str">
            <v>Non-proportional</v>
          </cell>
          <cell r="S12287">
            <v>351.74</v>
          </cell>
          <cell r="X12287" t="str">
            <v>Commissions - gross</v>
          </cell>
          <cell r="Y12287" t="str">
            <v>UNITED KINGDOM</v>
          </cell>
        </row>
        <row r="12288">
          <cell r="L12288" t="str">
            <v>Proportional</v>
          </cell>
          <cell r="S12288">
            <v>-1873.73</v>
          </cell>
          <cell r="X12288" t="str">
            <v>Commissions - gross</v>
          </cell>
          <cell r="Y12288" t="str">
            <v>COLOMBIA</v>
          </cell>
        </row>
        <row r="12289">
          <cell r="L12289" t="str">
            <v>Non-proportional</v>
          </cell>
          <cell r="S12289">
            <v>509.84</v>
          </cell>
          <cell r="X12289" t="str">
            <v>Commissions - gross</v>
          </cell>
          <cell r="Y12289" t="str">
            <v>CHILE</v>
          </cell>
        </row>
        <row r="12290">
          <cell r="L12290" t="str">
            <v>Non-proportional</v>
          </cell>
          <cell r="S12290">
            <v>0.67</v>
          </cell>
          <cell r="X12290" t="str">
            <v>Commissions - gross</v>
          </cell>
          <cell r="Y12290" t="str">
            <v>COSTA RICA</v>
          </cell>
        </row>
        <row r="12291">
          <cell r="L12291" t="str">
            <v>Non-proportional</v>
          </cell>
          <cell r="S12291">
            <v>39.94</v>
          </cell>
          <cell r="X12291" t="str">
            <v>Commissions - gross</v>
          </cell>
          <cell r="Y12291" t="str">
            <v>UNITED KINGDOM</v>
          </cell>
        </row>
        <row r="12292">
          <cell r="L12292" t="str">
            <v>Non-proportional</v>
          </cell>
          <cell r="S12292">
            <v>-91.41</v>
          </cell>
          <cell r="X12292" t="str">
            <v>Commissions - gross</v>
          </cell>
          <cell r="Y12292" t="str">
            <v>JAPAN</v>
          </cell>
        </row>
        <row r="12293">
          <cell r="L12293" t="str">
            <v>Non-proportional</v>
          </cell>
          <cell r="S12293">
            <v>38.75</v>
          </cell>
          <cell r="X12293" t="str">
            <v>Commissions - gross</v>
          </cell>
          <cell r="Y12293" t="str">
            <v>ITALY</v>
          </cell>
        </row>
        <row r="12294">
          <cell r="L12294" t="str">
            <v>Non-proportional</v>
          </cell>
          <cell r="S12294">
            <v>-30.15</v>
          </cell>
          <cell r="X12294" t="str">
            <v>Commissions - gross</v>
          </cell>
          <cell r="Y12294" t="str">
            <v>INDIA</v>
          </cell>
        </row>
        <row r="12295">
          <cell r="L12295" t="str">
            <v>Non-proportional</v>
          </cell>
          <cell r="S12295">
            <v>656.25</v>
          </cell>
          <cell r="X12295" t="str">
            <v>Commissions - gross</v>
          </cell>
          <cell r="Y12295" t="str">
            <v>ITALY</v>
          </cell>
        </row>
        <row r="12296">
          <cell r="L12296" t="str">
            <v>Non-proportional</v>
          </cell>
          <cell r="S12296">
            <v>133.03</v>
          </cell>
          <cell r="X12296" t="str">
            <v>Commissions - gross</v>
          </cell>
          <cell r="Y12296" t="str">
            <v>FRANCE</v>
          </cell>
        </row>
        <row r="12297">
          <cell r="L12297" t="str">
            <v>Non-proportional</v>
          </cell>
          <cell r="S12297">
            <v>423.33</v>
          </cell>
          <cell r="X12297" t="str">
            <v>Commissions - gross</v>
          </cell>
          <cell r="Y12297" t="str">
            <v>FRANCE</v>
          </cell>
        </row>
        <row r="12298">
          <cell r="L12298" t="str">
            <v>Non-proportional</v>
          </cell>
          <cell r="S12298">
            <v>77.150000000000006</v>
          </cell>
          <cell r="X12298" t="str">
            <v>Commissions - gross</v>
          </cell>
          <cell r="Y12298" t="str">
            <v>GERMANY</v>
          </cell>
        </row>
        <row r="12299">
          <cell r="L12299" t="str">
            <v>Non-proportional</v>
          </cell>
          <cell r="S12299">
            <v>805.48</v>
          </cell>
          <cell r="X12299" t="str">
            <v>Commissions - gross</v>
          </cell>
          <cell r="Y12299" t="str">
            <v>PERU</v>
          </cell>
        </row>
        <row r="12300">
          <cell r="L12300" t="str">
            <v>Non-proportional</v>
          </cell>
          <cell r="S12300">
            <v>327.75</v>
          </cell>
          <cell r="X12300" t="str">
            <v>Commissions - gross</v>
          </cell>
          <cell r="Y12300" t="str">
            <v>CHILE</v>
          </cell>
        </row>
        <row r="12301">
          <cell r="L12301" t="str">
            <v>Non-proportional</v>
          </cell>
          <cell r="S12301">
            <v>364.17</v>
          </cell>
          <cell r="X12301" t="str">
            <v>Commissions - gross</v>
          </cell>
          <cell r="Y12301" t="str">
            <v>CHILE</v>
          </cell>
        </row>
        <row r="12302">
          <cell r="L12302" t="str">
            <v>Non-proportional</v>
          </cell>
          <cell r="S12302">
            <v>167.14</v>
          </cell>
          <cell r="X12302" t="str">
            <v>Commissions - gross</v>
          </cell>
          <cell r="Y12302" t="str">
            <v>ISRAEL</v>
          </cell>
        </row>
        <row r="12303">
          <cell r="L12303" t="str">
            <v>Non-proportional</v>
          </cell>
          <cell r="S12303">
            <v>182.06</v>
          </cell>
          <cell r="X12303" t="str">
            <v>Commissions - gross</v>
          </cell>
          <cell r="Y12303" t="str">
            <v>PERU</v>
          </cell>
        </row>
        <row r="12304">
          <cell r="L12304" t="str">
            <v>Non-proportional</v>
          </cell>
          <cell r="S12304">
            <v>173.85</v>
          </cell>
          <cell r="X12304" t="str">
            <v>Commissions - gross</v>
          </cell>
          <cell r="Y12304" t="str">
            <v>NEW ZEALAND</v>
          </cell>
        </row>
        <row r="12305">
          <cell r="L12305" t="str">
            <v>Non-proportional</v>
          </cell>
          <cell r="S12305">
            <v>-8.94</v>
          </cell>
          <cell r="X12305" t="str">
            <v>Commissions - gross</v>
          </cell>
          <cell r="Y12305" t="str">
            <v>JAPAN</v>
          </cell>
        </row>
        <row r="12306">
          <cell r="L12306" t="str">
            <v>Non-proportional</v>
          </cell>
          <cell r="S12306">
            <v>166.46</v>
          </cell>
          <cell r="X12306" t="str">
            <v>Commissions - gross</v>
          </cell>
          <cell r="Y12306" t="str">
            <v>FRANCE</v>
          </cell>
        </row>
        <row r="12307">
          <cell r="L12307" t="str">
            <v>Non-proportional</v>
          </cell>
          <cell r="S12307">
            <v>-10.87</v>
          </cell>
          <cell r="X12307" t="str">
            <v>Commissions - gross</v>
          </cell>
          <cell r="Y12307" t="str">
            <v>INDIA</v>
          </cell>
        </row>
        <row r="12308">
          <cell r="L12308" t="str">
            <v>Non-proportional</v>
          </cell>
          <cell r="S12308">
            <v>2884.86</v>
          </cell>
          <cell r="X12308" t="str">
            <v>Commissions - gross</v>
          </cell>
          <cell r="Y12308" t="str">
            <v>FRANCE</v>
          </cell>
        </row>
        <row r="12309">
          <cell r="L12309" t="str">
            <v>Non-proportional</v>
          </cell>
          <cell r="S12309">
            <v>605.5</v>
          </cell>
          <cell r="X12309" t="str">
            <v>Commissions - gross</v>
          </cell>
          <cell r="Y12309" t="str">
            <v>FRANCE</v>
          </cell>
        </row>
        <row r="12310">
          <cell r="L12310" t="str">
            <v>Non-proportional</v>
          </cell>
          <cell r="S12310">
            <v>5290.79</v>
          </cell>
          <cell r="X12310" t="str">
            <v>Commissions - gross</v>
          </cell>
          <cell r="Y12310" t="str">
            <v>UNITED KINGDOM</v>
          </cell>
        </row>
        <row r="12311">
          <cell r="L12311" t="str">
            <v>Non-proportional</v>
          </cell>
          <cell r="S12311">
            <v>-4386.57</v>
          </cell>
          <cell r="X12311" t="str">
            <v>Commissions - gross</v>
          </cell>
          <cell r="Y12311" t="str">
            <v>ECUADOR</v>
          </cell>
        </row>
        <row r="12312">
          <cell r="L12312" t="str">
            <v>Non-proportional</v>
          </cell>
          <cell r="S12312">
            <v>411.22</v>
          </cell>
          <cell r="X12312" t="str">
            <v>Commissions - gross</v>
          </cell>
          <cell r="Y12312" t="str">
            <v>UNITED KINGDOM</v>
          </cell>
        </row>
        <row r="12313">
          <cell r="L12313" t="str">
            <v>Non-proportional</v>
          </cell>
          <cell r="S12313">
            <v>299.97000000000003</v>
          </cell>
          <cell r="X12313" t="str">
            <v>Commissions - gross</v>
          </cell>
          <cell r="Y12313" t="str">
            <v>NETHERLANDS</v>
          </cell>
        </row>
        <row r="12314">
          <cell r="L12314" t="str">
            <v>Non-proportional</v>
          </cell>
          <cell r="S12314">
            <v>-10.88</v>
          </cell>
          <cell r="X12314" t="str">
            <v>Commissions - gross</v>
          </cell>
          <cell r="Y12314" t="str">
            <v>JAPAN</v>
          </cell>
        </row>
        <row r="12315">
          <cell r="L12315" t="str">
            <v>Non-proportional</v>
          </cell>
          <cell r="S12315">
            <v>108.19</v>
          </cell>
          <cell r="X12315" t="str">
            <v>Commissions - gross</v>
          </cell>
          <cell r="Y12315" t="str">
            <v>JAPAN</v>
          </cell>
        </row>
        <row r="12316">
          <cell r="L12316" t="str">
            <v>Non-proportional</v>
          </cell>
          <cell r="S12316">
            <v>749.23</v>
          </cell>
          <cell r="X12316" t="str">
            <v>Commissions - gross</v>
          </cell>
          <cell r="Y12316" t="str">
            <v>FRANCE</v>
          </cell>
        </row>
        <row r="12317">
          <cell r="L12317" t="str">
            <v>Non-proportional</v>
          </cell>
          <cell r="S12317">
            <v>1059.6099999999999</v>
          </cell>
          <cell r="X12317" t="str">
            <v>Commissions - gross</v>
          </cell>
          <cell r="Y12317" t="str">
            <v>FRANCE</v>
          </cell>
        </row>
        <row r="12318">
          <cell r="L12318" t="str">
            <v>Non-proportional</v>
          </cell>
          <cell r="S12318">
            <v>1442.4</v>
          </cell>
          <cell r="X12318" t="str">
            <v>Commissions - gross</v>
          </cell>
          <cell r="Y12318" t="str">
            <v>FRANCE</v>
          </cell>
        </row>
        <row r="12319">
          <cell r="L12319" t="str">
            <v>Non-proportional</v>
          </cell>
          <cell r="S12319">
            <v>7472.57</v>
          </cell>
          <cell r="X12319" t="str">
            <v>Commissions - gross</v>
          </cell>
          <cell r="Y12319" t="str">
            <v>UNITED KINGDOM</v>
          </cell>
        </row>
        <row r="12320">
          <cell r="L12320" t="str">
            <v>Non-proportional</v>
          </cell>
          <cell r="S12320">
            <v>34.799999999999997</v>
          </cell>
          <cell r="X12320" t="str">
            <v>Commissions - gross</v>
          </cell>
          <cell r="Y12320" t="str">
            <v>NEW ZEALAND</v>
          </cell>
        </row>
        <row r="12321">
          <cell r="L12321" t="str">
            <v>Non-proportional</v>
          </cell>
          <cell r="S12321">
            <v>0.01</v>
          </cell>
          <cell r="X12321" t="str">
            <v>Commissions - gross</v>
          </cell>
          <cell r="Y12321" t="str">
            <v>COLOMBIA</v>
          </cell>
        </row>
        <row r="12322">
          <cell r="L12322" t="str">
            <v>Non-proportional</v>
          </cell>
          <cell r="S12322">
            <v>212.65</v>
          </cell>
          <cell r="X12322" t="str">
            <v>Commissions - gross</v>
          </cell>
          <cell r="Y12322" t="str">
            <v>UNITED KINGDOM</v>
          </cell>
        </row>
        <row r="12323">
          <cell r="L12323" t="str">
            <v>Non-proportional</v>
          </cell>
          <cell r="S12323">
            <v>661.65</v>
          </cell>
          <cell r="X12323" t="str">
            <v>Commissions - gross</v>
          </cell>
          <cell r="Y12323" t="str">
            <v>UNITED KINGDOM</v>
          </cell>
        </row>
        <row r="12324">
          <cell r="L12324" t="str">
            <v>Non-proportional</v>
          </cell>
          <cell r="S12324">
            <v>918.75</v>
          </cell>
          <cell r="X12324" t="str">
            <v>Commissions - gross</v>
          </cell>
          <cell r="Y12324" t="str">
            <v>TURKEY</v>
          </cell>
        </row>
        <row r="12325">
          <cell r="L12325" t="str">
            <v>Non-proportional</v>
          </cell>
          <cell r="S12325">
            <v>870.83</v>
          </cell>
          <cell r="X12325" t="str">
            <v>Commissions - gross</v>
          </cell>
          <cell r="Y12325" t="str">
            <v>TURKEY</v>
          </cell>
        </row>
        <row r="12326">
          <cell r="L12326" t="str">
            <v>Non-proportional</v>
          </cell>
          <cell r="S12326">
            <v>120.85</v>
          </cell>
          <cell r="X12326" t="str">
            <v>Commissions - gross</v>
          </cell>
          <cell r="Y12326" t="str">
            <v>JAPAN</v>
          </cell>
        </row>
        <row r="12327">
          <cell r="L12327" t="str">
            <v>Non-proportional</v>
          </cell>
          <cell r="S12327">
            <v>-10.94</v>
          </cell>
          <cell r="X12327" t="str">
            <v>Commissions - gross</v>
          </cell>
          <cell r="Y12327" t="str">
            <v>JAPAN</v>
          </cell>
        </row>
        <row r="12328">
          <cell r="L12328" t="str">
            <v>Non-proportional</v>
          </cell>
          <cell r="S12328">
            <v>110.43</v>
          </cell>
          <cell r="X12328" t="str">
            <v>Commissions - gross</v>
          </cell>
          <cell r="Y12328" t="str">
            <v>SOUTH AFRICA</v>
          </cell>
        </row>
        <row r="12329">
          <cell r="L12329" t="str">
            <v>Non-proportional</v>
          </cell>
          <cell r="S12329">
            <v>1015.63</v>
          </cell>
          <cell r="X12329" t="str">
            <v>Commissions - gross</v>
          </cell>
          <cell r="Y12329" t="str">
            <v>EUROPE</v>
          </cell>
        </row>
        <row r="12330">
          <cell r="L12330" t="str">
            <v>Non-proportional</v>
          </cell>
          <cell r="S12330">
            <v>665.89</v>
          </cell>
          <cell r="X12330" t="str">
            <v>Commissions - gross</v>
          </cell>
          <cell r="Y12330" t="str">
            <v>CYPRUS</v>
          </cell>
        </row>
        <row r="12331">
          <cell r="L12331" t="str">
            <v>Non-proportional</v>
          </cell>
          <cell r="S12331">
            <v>158.74</v>
          </cell>
          <cell r="X12331" t="str">
            <v>Commissions - gross</v>
          </cell>
          <cell r="Y12331" t="str">
            <v>ITALY</v>
          </cell>
        </row>
        <row r="12332">
          <cell r="L12332" t="str">
            <v>Non-proportional</v>
          </cell>
          <cell r="S12332">
            <v>743.46</v>
          </cell>
          <cell r="X12332" t="str">
            <v>Commissions - gross</v>
          </cell>
          <cell r="Y12332" t="str">
            <v>UNITED KINGDOM</v>
          </cell>
        </row>
        <row r="12333">
          <cell r="L12333" t="str">
            <v>Non-proportional</v>
          </cell>
          <cell r="S12333">
            <v>-1.39</v>
          </cell>
          <cell r="X12333" t="str">
            <v>Commissions - gross</v>
          </cell>
          <cell r="Y12333" t="str">
            <v>JAPAN</v>
          </cell>
        </row>
        <row r="12334">
          <cell r="L12334" t="str">
            <v>Non-proportional</v>
          </cell>
          <cell r="S12334">
            <v>518.28</v>
          </cell>
          <cell r="X12334" t="str">
            <v>Commissions - gross</v>
          </cell>
          <cell r="Y12334" t="str">
            <v>BELIZE</v>
          </cell>
        </row>
        <row r="12335">
          <cell r="L12335" t="str">
            <v>Non-proportional</v>
          </cell>
          <cell r="S12335">
            <v>72.83</v>
          </cell>
          <cell r="X12335" t="str">
            <v>Commissions - gross</v>
          </cell>
          <cell r="Y12335" t="str">
            <v>CHILE</v>
          </cell>
        </row>
        <row r="12336">
          <cell r="L12336" t="str">
            <v>Non-proportional</v>
          </cell>
          <cell r="S12336">
            <v>155.59</v>
          </cell>
          <cell r="X12336" t="str">
            <v>Commissions - gross</v>
          </cell>
          <cell r="Y12336" t="str">
            <v>AUSTRALIA</v>
          </cell>
        </row>
        <row r="12337">
          <cell r="L12337" t="str">
            <v>Non-proportional</v>
          </cell>
          <cell r="S12337">
            <v>-0.71</v>
          </cell>
          <cell r="X12337" t="str">
            <v>Commissions - gross</v>
          </cell>
          <cell r="Y12337" t="str">
            <v>JAPAN</v>
          </cell>
        </row>
        <row r="12338">
          <cell r="L12338" t="str">
            <v>Non-proportional</v>
          </cell>
          <cell r="S12338">
            <v>632.41</v>
          </cell>
          <cell r="X12338" t="str">
            <v>Commissions - gross</v>
          </cell>
          <cell r="Y12338" t="str">
            <v>THAILAND</v>
          </cell>
        </row>
        <row r="12339">
          <cell r="L12339" t="str">
            <v>Non-proportional</v>
          </cell>
          <cell r="S12339">
            <v>-5.44</v>
          </cell>
          <cell r="X12339" t="str">
            <v>Commissions - gross</v>
          </cell>
          <cell r="Y12339" t="str">
            <v>NEW ZEALAND</v>
          </cell>
        </row>
        <row r="12340">
          <cell r="L12340" t="str">
            <v>Non-proportional</v>
          </cell>
          <cell r="S12340">
            <v>917.84</v>
          </cell>
          <cell r="X12340" t="str">
            <v>Commissions - gross</v>
          </cell>
          <cell r="Y12340" t="str">
            <v>FRANCE</v>
          </cell>
        </row>
        <row r="12341">
          <cell r="L12341" t="str">
            <v>Non-proportional</v>
          </cell>
          <cell r="S12341">
            <v>1151.06</v>
          </cell>
          <cell r="X12341" t="str">
            <v>Commissions - gross</v>
          </cell>
          <cell r="Y12341" t="str">
            <v>EUROPE</v>
          </cell>
        </row>
        <row r="12342">
          <cell r="L12342" t="str">
            <v>Non-proportional</v>
          </cell>
          <cell r="S12342">
            <v>-8.36</v>
          </cell>
          <cell r="X12342" t="str">
            <v>Commissions - gross</v>
          </cell>
          <cell r="Y12342" t="str">
            <v>BRAZIL</v>
          </cell>
        </row>
        <row r="12343">
          <cell r="L12343" t="str">
            <v>Non-proportional</v>
          </cell>
          <cell r="S12343">
            <v>141.59</v>
          </cell>
          <cell r="X12343" t="str">
            <v>Commissions - gross</v>
          </cell>
          <cell r="Y12343" t="str">
            <v>FRANCE</v>
          </cell>
        </row>
        <row r="12344">
          <cell r="L12344" t="str">
            <v>Non-proportional</v>
          </cell>
          <cell r="S12344">
            <v>0.43</v>
          </cell>
          <cell r="X12344" t="str">
            <v>Commissions - gross</v>
          </cell>
          <cell r="Y12344" t="str">
            <v>COSTA RICA</v>
          </cell>
        </row>
        <row r="12345">
          <cell r="L12345" t="str">
            <v>Non-proportional</v>
          </cell>
          <cell r="S12345">
            <v>312.69</v>
          </cell>
          <cell r="X12345" t="str">
            <v>Commissions - gross</v>
          </cell>
          <cell r="Y12345" t="str">
            <v>FRANCE</v>
          </cell>
        </row>
        <row r="12346">
          <cell r="L12346" t="str">
            <v>Non-proportional</v>
          </cell>
          <cell r="S12346">
            <v>789.75</v>
          </cell>
          <cell r="X12346" t="str">
            <v>Commissions - gross</v>
          </cell>
          <cell r="Y12346" t="str">
            <v>ITALY</v>
          </cell>
        </row>
        <row r="12347">
          <cell r="L12347" t="str">
            <v>Non-proportional</v>
          </cell>
          <cell r="S12347">
            <v>628.57000000000005</v>
          </cell>
          <cell r="X12347" t="str">
            <v>Commissions - gross</v>
          </cell>
          <cell r="Y12347" t="str">
            <v>MEXICO</v>
          </cell>
        </row>
        <row r="12348">
          <cell r="L12348" t="str">
            <v>Non-proportional</v>
          </cell>
          <cell r="S12348">
            <v>34.85</v>
          </cell>
          <cell r="X12348" t="str">
            <v>Commissions - gross</v>
          </cell>
          <cell r="Y12348" t="str">
            <v>COLOMBIA</v>
          </cell>
        </row>
        <row r="12349">
          <cell r="L12349" t="str">
            <v>Non-proportional</v>
          </cell>
          <cell r="S12349">
            <v>8.39</v>
          </cell>
          <cell r="X12349" t="str">
            <v>Commissions - gross</v>
          </cell>
          <cell r="Y12349" t="str">
            <v>COLOMBIA</v>
          </cell>
        </row>
        <row r="12350">
          <cell r="L12350" t="str">
            <v>Non-proportional</v>
          </cell>
          <cell r="S12350">
            <v>72.83</v>
          </cell>
          <cell r="X12350" t="str">
            <v>Commissions - gross</v>
          </cell>
          <cell r="Y12350" t="str">
            <v>CHILE</v>
          </cell>
        </row>
        <row r="12351">
          <cell r="L12351" t="str">
            <v>Non-proportional</v>
          </cell>
          <cell r="S12351">
            <v>-5485.72</v>
          </cell>
          <cell r="X12351" t="str">
            <v>Commissions - gross</v>
          </cell>
          <cell r="Y12351" t="str">
            <v>ECUADOR</v>
          </cell>
        </row>
        <row r="12352">
          <cell r="L12352" t="str">
            <v>Non-proportional</v>
          </cell>
          <cell r="S12352">
            <v>10933.04</v>
          </cell>
          <cell r="X12352" t="str">
            <v>Commissions - gross</v>
          </cell>
          <cell r="Y12352" t="str">
            <v>FRANCE</v>
          </cell>
        </row>
        <row r="12353">
          <cell r="L12353" t="str">
            <v>Proportional</v>
          </cell>
          <cell r="S12353">
            <v>48.7</v>
          </cell>
          <cell r="X12353" t="str">
            <v>Commissions - gross</v>
          </cell>
          <cell r="Y12353" t="str">
            <v>UNITED STATES</v>
          </cell>
        </row>
        <row r="12354">
          <cell r="L12354" t="str">
            <v>Proportional</v>
          </cell>
          <cell r="S12354">
            <v>-36.42</v>
          </cell>
          <cell r="X12354" t="str">
            <v>Commissions - gross</v>
          </cell>
          <cell r="Y12354" t="str">
            <v>CHILE</v>
          </cell>
        </row>
        <row r="12355">
          <cell r="L12355" t="str">
            <v>Proportional</v>
          </cell>
          <cell r="S12355">
            <v>609.29999999999995</v>
          </cell>
          <cell r="X12355" t="str">
            <v>Commissions - gross</v>
          </cell>
          <cell r="Y12355" t="str">
            <v>CHILE</v>
          </cell>
        </row>
        <row r="12356">
          <cell r="L12356" t="str">
            <v>Non-proportional</v>
          </cell>
          <cell r="S12356">
            <v>1000</v>
          </cell>
          <cell r="X12356" t="str">
            <v>Commissions - gross</v>
          </cell>
          <cell r="Y12356" t="str">
            <v>EUROPE</v>
          </cell>
        </row>
        <row r="12357">
          <cell r="L12357" t="str">
            <v>Non-proportional</v>
          </cell>
          <cell r="S12357">
            <v>283.02999999999997</v>
          </cell>
          <cell r="X12357" t="str">
            <v>Commissions - gross</v>
          </cell>
          <cell r="Y12357" t="str">
            <v>INDIA</v>
          </cell>
        </row>
        <row r="12358">
          <cell r="L12358" t="str">
            <v>Proportional</v>
          </cell>
          <cell r="S12358">
            <v>-1886.26</v>
          </cell>
          <cell r="X12358" t="str">
            <v>Commissions - gross</v>
          </cell>
          <cell r="Y12358" t="str">
            <v>CHILE</v>
          </cell>
        </row>
        <row r="12359">
          <cell r="L12359" t="str">
            <v>Non-proportional</v>
          </cell>
          <cell r="S12359">
            <v>-0.22</v>
          </cell>
          <cell r="X12359" t="str">
            <v>Commissions - gross</v>
          </cell>
          <cell r="Y12359" t="str">
            <v>GUATEMALA</v>
          </cell>
        </row>
        <row r="12360">
          <cell r="L12360" t="str">
            <v>Non-proportional</v>
          </cell>
          <cell r="S12360">
            <v>18.170000000000002</v>
          </cell>
          <cell r="X12360" t="str">
            <v>Commissions - gross</v>
          </cell>
          <cell r="Y12360" t="str">
            <v>TURKEY</v>
          </cell>
        </row>
        <row r="12361">
          <cell r="L12361" t="str">
            <v>Non-proportional</v>
          </cell>
          <cell r="S12361">
            <v>998.59</v>
          </cell>
          <cell r="X12361" t="str">
            <v>Commissions - gross</v>
          </cell>
          <cell r="Y12361" t="str">
            <v>FRANCE</v>
          </cell>
        </row>
        <row r="12362">
          <cell r="L12362" t="str">
            <v>Non-proportional</v>
          </cell>
          <cell r="S12362">
            <v>-6.41</v>
          </cell>
          <cell r="X12362" t="str">
            <v>Commissions - gross</v>
          </cell>
          <cell r="Y12362" t="str">
            <v>JAPAN</v>
          </cell>
        </row>
        <row r="12363">
          <cell r="L12363" t="str">
            <v>Non-proportional</v>
          </cell>
          <cell r="S12363">
            <v>509.84</v>
          </cell>
          <cell r="X12363" t="str">
            <v>Commissions - gross</v>
          </cell>
          <cell r="Y12363" t="str">
            <v>CHILE</v>
          </cell>
        </row>
        <row r="12364">
          <cell r="L12364" t="str">
            <v>Non-proportional</v>
          </cell>
          <cell r="S12364">
            <v>198.56</v>
          </cell>
          <cell r="X12364" t="str">
            <v>Commissions - gross</v>
          </cell>
          <cell r="Y12364" t="str">
            <v>JAPAN</v>
          </cell>
        </row>
        <row r="12365">
          <cell r="L12365" t="str">
            <v>Non-proportional</v>
          </cell>
          <cell r="S12365">
            <v>127.87</v>
          </cell>
          <cell r="X12365" t="str">
            <v>Commissions - gross</v>
          </cell>
          <cell r="Y12365" t="str">
            <v>NEW ZEALAND</v>
          </cell>
        </row>
        <row r="12366">
          <cell r="L12366" t="str">
            <v>Proportional</v>
          </cell>
          <cell r="S12366">
            <v>3895.14</v>
          </cell>
          <cell r="X12366" t="str">
            <v>Commissions - gross</v>
          </cell>
          <cell r="Y12366" t="str">
            <v>UNITED STATES</v>
          </cell>
        </row>
        <row r="12367">
          <cell r="L12367" t="str">
            <v>Non-proportional</v>
          </cell>
          <cell r="S12367">
            <v>0.01</v>
          </cell>
          <cell r="X12367" t="str">
            <v>Commissions - gross</v>
          </cell>
          <cell r="Y12367" t="str">
            <v>COLOMBIA</v>
          </cell>
        </row>
        <row r="12368">
          <cell r="L12368" t="str">
            <v>Non-proportional</v>
          </cell>
          <cell r="S12368">
            <v>949.67</v>
          </cell>
          <cell r="X12368" t="str">
            <v>Commissions - gross</v>
          </cell>
          <cell r="Y12368" t="str">
            <v>MEXICO</v>
          </cell>
        </row>
        <row r="12369">
          <cell r="L12369" t="str">
            <v>Non-proportional</v>
          </cell>
          <cell r="S12369">
            <v>-0.77</v>
          </cell>
          <cell r="X12369" t="str">
            <v>Commissions - gross</v>
          </cell>
          <cell r="Y12369" t="str">
            <v>DOMINICAN REPUBLIC</v>
          </cell>
        </row>
        <row r="12370">
          <cell r="L12370" t="str">
            <v>Non-proportional</v>
          </cell>
          <cell r="S12370">
            <v>-4.1900000000000004</v>
          </cell>
          <cell r="X12370" t="str">
            <v>Commissions - gross</v>
          </cell>
          <cell r="Y12370" t="str">
            <v>DOMINICAN REPUBLIC</v>
          </cell>
        </row>
        <row r="12371">
          <cell r="L12371" t="str">
            <v>Non-proportional</v>
          </cell>
          <cell r="S12371">
            <v>1182.1500000000001</v>
          </cell>
          <cell r="X12371" t="str">
            <v>Commissions - gross</v>
          </cell>
          <cell r="Y12371" t="str">
            <v>PERU</v>
          </cell>
        </row>
        <row r="12372">
          <cell r="L12372" t="str">
            <v>Non-proportional</v>
          </cell>
          <cell r="S12372">
            <v>18.52</v>
          </cell>
          <cell r="X12372" t="str">
            <v>Commissions - gross</v>
          </cell>
          <cell r="Y12372" t="str">
            <v>JAPAN</v>
          </cell>
        </row>
        <row r="12373">
          <cell r="L12373" t="str">
            <v>Non-proportional</v>
          </cell>
          <cell r="S12373">
            <v>721.88</v>
          </cell>
          <cell r="X12373" t="str">
            <v>Commissions - gross</v>
          </cell>
          <cell r="Y12373" t="str">
            <v>FRANCE</v>
          </cell>
        </row>
        <row r="12374">
          <cell r="L12374" t="str">
            <v>Non-proportional</v>
          </cell>
          <cell r="S12374">
            <v>35.020000000000003</v>
          </cell>
          <cell r="X12374" t="str">
            <v>Commissions - gross</v>
          </cell>
          <cell r="Y12374" t="str">
            <v>DOMINICAN REPUBLIC</v>
          </cell>
        </row>
        <row r="12375">
          <cell r="L12375" t="str">
            <v>Proportional</v>
          </cell>
          <cell r="S12375">
            <v>-218.5</v>
          </cell>
          <cell r="X12375" t="str">
            <v>Commissions - gross</v>
          </cell>
          <cell r="Y12375" t="str">
            <v>CHILE</v>
          </cell>
        </row>
        <row r="12376">
          <cell r="L12376" t="str">
            <v>Non-proportional</v>
          </cell>
          <cell r="S12376">
            <v>98.37</v>
          </cell>
          <cell r="X12376" t="str">
            <v>Commissions - gross</v>
          </cell>
          <cell r="Y12376" t="str">
            <v>UNITED KINGDOM</v>
          </cell>
        </row>
        <row r="12377">
          <cell r="L12377" t="str">
            <v>Non-proportional</v>
          </cell>
          <cell r="S12377">
            <v>6.63</v>
          </cell>
          <cell r="X12377" t="str">
            <v>Commissions - gross</v>
          </cell>
          <cell r="Y12377" t="str">
            <v>ISRAEL</v>
          </cell>
        </row>
        <row r="12378">
          <cell r="L12378" t="str">
            <v>Non-proportional</v>
          </cell>
          <cell r="S12378">
            <v>-1.32</v>
          </cell>
          <cell r="X12378" t="str">
            <v>Commissions - gross</v>
          </cell>
          <cell r="Y12378" t="str">
            <v>CHINA</v>
          </cell>
        </row>
        <row r="12379">
          <cell r="L12379" t="str">
            <v>Proportional</v>
          </cell>
          <cell r="S12379">
            <v>524.28</v>
          </cell>
          <cell r="X12379" t="str">
            <v>Commissions - gross</v>
          </cell>
          <cell r="Y12379" t="str">
            <v>CHILE</v>
          </cell>
        </row>
        <row r="12380">
          <cell r="L12380" t="str">
            <v>Non-proportional</v>
          </cell>
          <cell r="S12380">
            <v>130.38</v>
          </cell>
          <cell r="X12380" t="str">
            <v>Commissions - gross</v>
          </cell>
          <cell r="Y12380" t="str">
            <v>CYPRUS</v>
          </cell>
        </row>
        <row r="12381">
          <cell r="L12381" t="str">
            <v>Non-proportional</v>
          </cell>
          <cell r="S12381">
            <v>133244.03</v>
          </cell>
          <cell r="X12381" t="str">
            <v>Commissions - gross</v>
          </cell>
          <cell r="Y12381" t="str">
            <v>UNITED KINGDOM</v>
          </cell>
        </row>
        <row r="12382">
          <cell r="L12382" t="str">
            <v>Non-proportional</v>
          </cell>
          <cell r="S12382">
            <v>1131.72</v>
          </cell>
          <cell r="X12382" t="str">
            <v>Commissions - gross</v>
          </cell>
          <cell r="Y12382" t="str">
            <v>AUSTRALIA</v>
          </cell>
        </row>
        <row r="12383">
          <cell r="L12383" t="str">
            <v>Non-proportional</v>
          </cell>
          <cell r="S12383">
            <v>1428.8</v>
          </cell>
          <cell r="X12383" t="str">
            <v>Commissions - gross</v>
          </cell>
          <cell r="Y12383" t="str">
            <v>AUSTRALIA</v>
          </cell>
        </row>
        <row r="12384">
          <cell r="L12384" t="str">
            <v>Non-proportional</v>
          </cell>
          <cell r="S12384">
            <v>1927.79</v>
          </cell>
          <cell r="X12384" t="str">
            <v>Commissions - gross</v>
          </cell>
          <cell r="Y12384" t="str">
            <v>UNITED KINGDOM</v>
          </cell>
        </row>
        <row r="12385">
          <cell r="L12385" t="str">
            <v>Non-proportional</v>
          </cell>
          <cell r="S12385">
            <v>1000</v>
          </cell>
          <cell r="X12385" t="str">
            <v>Commissions - gross</v>
          </cell>
          <cell r="Y12385" t="str">
            <v>ITALY</v>
          </cell>
        </row>
        <row r="12386">
          <cell r="L12386" t="str">
            <v>Proportional</v>
          </cell>
          <cell r="S12386">
            <v>12364.53</v>
          </cell>
          <cell r="X12386" t="str">
            <v>Commissions - gross</v>
          </cell>
          <cell r="Y12386" t="str">
            <v>UNITED STATES</v>
          </cell>
        </row>
        <row r="12387">
          <cell r="L12387" t="str">
            <v>Non-proportional</v>
          </cell>
          <cell r="S12387">
            <v>7307.91</v>
          </cell>
          <cell r="X12387" t="str">
            <v>Commissions - gross</v>
          </cell>
          <cell r="Y12387" t="str">
            <v>UNITED KINGDOM</v>
          </cell>
        </row>
        <row r="12388">
          <cell r="L12388" t="str">
            <v>Non-proportional</v>
          </cell>
          <cell r="S12388">
            <v>625</v>
          </cell>
          <cell r="X12388" t="str">
            <v>Commissions - gross</v>
          </cell>
          <cell r="Y12388" t="str">
            <v>SPAIN</v>
          </cell>
        </row>
        <row r="12389">
          <cell r="L12389" t="str">
            <v>Non-proportional</v>
          </cell>
          <cell r="S12389">
            <v>148.08000000000001</v>
          </cell>
          <cell r="X12389" t="str">
            <v>Commissions - gross</v>
          </cell>
          <cell r="Y12389" t="str">
            <v>FRANCE</v>
          </cell>
        </row>
        <row r="12390">
          <cell r="L12390" t="str">
            <v>Non-proportional</v>
          </cell>
          <cell r="S12390">
            <v>459.8</v>
          </cell>
          <cell r="X12390" t="str">
            <v>Commissions - gross</v>
          </cell>
          <cell r="Y12390" t="str">
            <v>NEW ZEALAND</v>
          </cell>
        </row>
        <row r="12391">
          <cell r="L12391" t="str">
            <v>Non-proportional</v>
          </cell>
          <cell r="S12391">
            <v>1393.46</v>
          </cell>
          <cell r="X12391" t="str">
            <v>Commissions - gross</v>
          </cell>
          <cell r="Y12391" t="str">
            <v>ISRAEL</v>
          </cell>
        </row>
        <row r="12392">
          <cell r="L12392" t="str">
            <v>Proportional</v>
          </cell>
          <cell r="S12392">
            <v>3246.7</v>
          </cell>
          <cell r="X12392" t="str">
            <v>Commissions - gross</v>
          </cell>
          <cell r="Y12392" t="str">
            <v>UNITED STATES</v>
          </cell>
        </row>
        <row r="12393">
          <cell r="L12393" t="str">
            <v>Proportional</v>
          </cell>
          <cell r="S12393">
            <v>3.72</v>
          </cell>
          <cell r="X12393" t="str">
            <v>Commissions - gross</v>
          </cell>
          <cell r="Y12393" t="str">
            <v>UNITED STATES</v>
          </cell>
        </row>
        <row r="12394">
          <cell r="L12394" t="str">
            <v>Proportional</v>
          </cell>
          <cell r="S12394">
            <v>-109.25</v>
          </cell>
          <cell r="X12394" t="str">
            <v>Commissions - gross</v>
          </cell>
          <cell r="Y12394" t="str">
            <v>CHILE</v>
          </cell>
        </row>
        <row r="12395">
          <cell r="L12395" t="str">
            <v>Non-proportional</v>
          </cell>
          <cell r="S12395">
            <v>-0.55000000000000004</v>
          </cell>
          <cell r="X12395" t="str">
            <v>Commissions - gross</v>
          </cell>
          <cell r="Y12395" t="str">
            <v>GUATEMALA</v>
          </cell>
        </row>
        <row r="12396">
          <cell r="L12396" t="str">
            <v>Non-proportional</v>
          </cell>
          <cell r="S12396">
            <v>332.11</v>
          </cell>
          <cell r="X12396" t="str">
            <v>Commissions - gross</v>
          </cell>
          <cell r="Y12396" t="str">
            <v>ISRAEL</v>
          </cell>
        </row>
        <row r="12397">
          <cell r="L12397" t="str">
            <v>Non-proportional</v>
          </cell>
          <cell r="S12397">
            <v>171.91</v>
          </cell>
          <cell r="X12397" t="str">
            <v>Commissions - gross</v>
          </cell>
          <cell r="Y12397" t="str">
            <v>UNITED KINGDOM</v>
          </cell>
        </row>
        <row r="12398">
          <cell r="L12398" t="str">
            <v>Non-proportional</v>
          </cell>
          <cell r="S12398">
            <v>15.72</v>
          </cell>
          <cell r="X12398" t="str">
            <v>Commissions - gross</v>
          </cell>
          <cell r="Y12398" t="str">
            <v>COLOMBIA</v>
          </cell>
        </row>
        <row r="12399">
          <cell r="L12399" t="str">
            <v>Non-proportional</v>
          </cell>
          <cell r="S12399">
            <v>454.19</v>
          </cell>
          <cell r="X12399" t="str">
            <v>Commissions - gross</v>
          </cell>
          <cell r="Y12399" t="str">
            <v>TURKEY</v>
          </cell>
        </row>
        <row r="12400">
          <cell r="L12400" t="str">
            <v>Non-proportional</v>
          </cell>
          <cell r="S12400">
            <v>11093.85</v>
          </cell>
          <cell r="X12400" t="str">
            <v>Commissions - gross</v>
          </cell>
          <cell r="Y12400" t="str">
            <v>UNITED KINGDOM</v>
          </cell>
        </row>
        <row r="12401">
          <cell r="L12401" t="str">
            <v>Non-proportional</v>
          </cell>
          <cell r="S12401">
            <v>390.62</v>
          </cell>
          <cell r="X12401" t="str">
            <v>Commissions - gross</v>
          </cell>
          <cell r="Y12401" t="str">
            <v>EUROPE</v>
          </cell>
        </row>
        <row r="12402">
          <cell r="L12402" t="str">
            <v>Non-proportional</v>
          </cell>
          <cell r="S12402">
            <v>1265.96</v>
          </cell>
          <cell r="X12402" t="str">
            <v>Commissions - gross</v>
          </cell>
          <cell r="Y12402" t="str">
            <v>ITALY</v>
          </cell>
        </row>
        <row r="12403">
          <cell r="L12403" t="str">
            <v>Non-proportional</v>
          </cell>
          <cell r="S12403">
            <v>32.01</v>
          </cell>
          <cell r="X12403" t="str">
            <v>Commissions - gross</v>
          </cell>
          <cell r="Y12403" t="str">
            <v>TURKEY</v>
          </cell>
        </row>
        <row r="12404">
          <cell r="L12404" t="str">
            <v>Non-proportional</v>
          </cell>
          <cell r="S12404">
            <v>213.46</v>
          </cell>
          <cell r="X12404" t="str">
            <v>Commissions - gross</v>
          </cell>
          <cell r="Y12404" t="str">
            <v>GUATEMALA</v>
          </cell>
        </row>
        <row r="12405">
          <cell r="L12405" t="str">
            <v>Non-proportional</v>
          </cell>
          <cell r="S12405">
            <v>391.73</v>
          </cell>
          <cell r="X12405" t="str">
            <v>Commissions - gross</v>
          </cell>
          <cell r="Y12405" t="str">
            <v>ITALY</v>
          </cell>
        </row>
        <row r="12406">
          <cell r="L12406" t="str">
            <v>Non-proportional</v>
          </cell>
          <cell r="S12406">
            <v>571.85</v>
          </cell>
          <cell r="X12406" t="str">
            <v>Commissions - gross</v>
          </cell>
          <cell r="Y12406" t="str">
            <v>COLOMBIA</v>
          </cell>
        </row>
        <row r="12407">
          <cell r="L12407" t="str">
            <v>Non-proportional</v>
          </cell>
          <cell r="S12407">
            <v>167.51</v>
          </cell>
          <cell r="X12407" t="str">
            <v>Commissions - gross</v>
          </cell>
          <cell r="Y12407" t="str">
            <v>JAPAN</v>
          </cell>
        </row>
        <row r="12408">
          <cell r="L12408" t="str">
            <v>Non-proportional</v>
          </cell>
          <cell r="S12408">
            <v>74.040000000000006</v>
          </cell>
          <cell r="X12408" t="str">
            <v>Commissions - gross</v>
          </cell>
          <cell r="Y12408" t="str">
            <v>FRANCE</v>
          </cell>
        </row>
        <row r="12409">
          <cell r="L12409" t="str">
            <v>Non-proportional</v>
          </cell>
          <cell r="S12409">
            <v>530.52</v>
          </cell>
          <cell r="X12409" t="str">
            <v>Commissions - gross</v>
          </cell>
          <cell r="Y12409" t="str">
            <v>AUSTRALIA</v>
          </cell>
        </row>
        <row r="12410">
          <cell r="L12410" t="str">
            <v>Non-proportional</v>
          </cell>
          <cell r="S12410">
            <v>1504.3</v>
          </cell>
          <cell r="X12410" t="str">
            <v>Commissions - gross</v>
          </cell>
          <cell r="Y12410" t="str">
            <v>FRANCE</v>
          </cell>
        </row>
        <row r="12411">
          <cell r="L12411" t="str">
            <v>Non-proportional</v>
          </cell>
          <cell r="S12411">
            <v>156.94</v>
          </cell>
          <cell r="X12411" t="str">
            <v>Commissions - gross</v>
          </cell>
          <cell r="Y12411" t="str">
            <v>DOMINICAN REPUBLIC</v>
          </cell>
        </row>
        <row r="12412">
          <cell r="L12412" t="str">
            <v>Non-proportional</v>
          </cell>
          <cell r="S12412">
            <v>262.99</v>
          </cell>
          <cell r="X12412" t="str">
            <v>Commissions - gross</v>
          </cell>
          <cell r="Y12412" t="str">
            <v>ISRAEL</v>
          </cell>
        </row>
        <row r="12413">
          <cell r="L12413" t="str">
            <v>Non-proportional</v>
          </cell>
          <cell r="S12413">
            <v>-5.13</v>
          </cell>
          <cell r="X12413" t="str">
            <v>Commissions - gross</v>
          </cell>
          <cell r="Y12413" t="str">
            <v>JAPAN</v>
          </cell>
        </row>
        <row r="12414">
          <cell r="L12414" t="str">
            <v>Non-proportional</v>
          </cell>
          <cell r="S12414">
            <v>-5</v>
          </cell>
          <cell r="X12414" t="str">
            <v>Commissions - gross</v>
          </cell>
          <cell r="Y12414" t="str">
            <v>JAPAN</v>
          </cell>
        </row>
        <row r="12415">
          <cell r="L12415" t="str">
            <v>Non-proportional</v>
          </cell>
          <cell r="S12415">
            <v>58.83</v>
          </cell>
          <cell r="X12415" t="str">
            <v>Commissions - gross</v>
          </cell>
          <cell r="Y12415" t="str">
            <v>DOMINICAN REPUBLIC</v>
          </cell>
        </row>
        <row r="12416">
          <cell r="L12416" t="str">
            <v>Non-proportional</v>
          </cell>
          <cell r="S12416">
            <v>1009.31</v>
          </cell>
          <cell r="X12416" t="str">
            <v>Commissions - gross</v>
          </cell>
          <cell r="Y12416" t="str">
            <v>NEW ZEALAND</v>
          </cell>
        </row>
        <row r="12417">
          <cell r="L12417" t="str">
            <v>Non-proportional</v>
          </cell>
          <cell r="S12417">
            <v>1458.34</v>
          </cell>
          <cell r="X12417" t="str">
            <v>Commissions - gross</v>
          </cell>
          <cell r="Y12417" t="str">
            <v>EUROPE</v>
          </cell>
        </row>
        <row r="12418">
          <cell r="L12418" t="str">
            <v>Non-proportional</v>
          </cell>
          <cell r="S12418">
            <v>-23.41</v>
          </cell>
          <cell r="X12418" t="str">
            <v>Commissions - gross</v>
          </cell>
          <cell r="Y12418" t="str">
            <v>NEW ZEALAND</v>
          </cell>
        </row>
        <row r="12419">
          <cell r="L12419" t="str">
            <v>Non-proportional</v>
          </cell>
          <cell r="S12419">
            <v>202.99</v>
          </cell>
          <cell r="X12419" t="str">
            <v>Commissions - gross</v>
          </cell>
          <cell r="Y12419" t="str">
            <v>CYPRUS</v>
          </cell>
        </row>
        <row r="12420">
          <cell r="L12420" t="str">
            <v>Non-proportional</v>
          </cell>
          <cell r="S12420">
            <v>10572.33</v>
          </cell>
          <cell r="X12420" t="str">
            <v>Commissions - gross</v>
          </cell>
          <cell r="Y12420" t="str">
            <v>FRANCE</v>
          </cell>
        </row>
        <row r="12421">
          <cell r="L12421" t="str">
            <v>Non-proportional</v>
          </cell>
          <cell r="S12421">
            <v>25058.400000000001</v>
          </cell>
          <cell r="X12421" t="str">
            <v>Commissions - gross</v>
          </cell>
          <cell r="Y12421" t="str">
            <v>UNITED KINGDOM</v>
          </cell>
        </row>
        <row r="12422">
          <cell r="L12422" t="str">
            <v>Non-proportional</v>
          </cell>
          <cell r="S12422">
            <v>77.150000000000006</v>
          </cell>
          <cell r="X12422" t="str">
            <v>Commissions - gross</v>
          </cell>
          <cell r="Y12422" t="str">
            <v>GERMANY</v>
          </cell>
        </row>
        <row r="12423">
          <cell r="L12423" t="str">
            <v>Non-proportional</v>
          </cell>
          <cell r="S12423">
            <v>1070.71</v>
          </cell>
          <cell r="X12423" t="str">
            <v>Commissions - gross</v>
          </cell>
          <cell r="Y12423" t="str">
            <v>FRANCE</v>
          </cell>
        </row>
        <row r="12424">
          <cell r="L12424" t="str">
            <v>Non-proportional</v>
          </cell>
          <cell r="S12424">
            <v>826.78</v>
          </cell>
          <cell r="X12424" t="str">
            <v>Commissions - gross</v>
          </cell>
          <cell r="Y12424" t="str">
            <v>AUSTRALIA</v>
          </cell>
        </row>
        <row r="12425">
          <cell r="L12425" t="str">
            <v>Non-proportional</v>
          </cell>
          <cell r="S12425">
            <v>0</v>
          </cell>
          <cell r="X12425" t="str">
            <v>Commissions - gross</v>
          </cell>
          <cell r="Y12425" t="str">
            <v>COLOMBIA</v>
          </cell>
        </row>
        <row r="12426">
          <cell r="L12426" t="str">
            <v>Non-proportional</v>
          </cell>
          <cell r="S12426">
            <v>687.72</v>
          </cell>
          <cell r="X12426" t="str">
            <v>Commissions - gross</v>
          </cell>
          <cell r="Y12426" t="str">
            <v>AUSTRALIA</v>
          </cell>
        </row>
        <row r="12427">
          <cell r="L12427" t="str">
            <v>Non-proportional</v>
          </cell>
          <cell r="S12427">
            <v>2260.2800000000002</v>
          </cell>
          <cell r="X12427" t="str">
            <v>Commissions - gross</v>
          </cell>
          <cell r="Y12427" t="str">
            <v>NEW ZEALAND</v>
          </cell>
        </row>
        <row r="12428">
          <cell r="L12428" t="str">
            <v>Proportional</v>
          </cell>
          <cell r="S12428">
            <v>19.670000000000002</v>
          </cell>
          <cell r="X12428" t="str">
            <v>Commissions - gross</v>
          </cell>
          <cell r="Y12428" t="str">
            <v>CHILE</v>
          </cell>
        </row>
        <row r="12429">
          <cell r="L12429" t="str">
            <v>Non-proportional</v>
          </cell>
          <cell r="S12429">
            <v>620.96</v>
          </cell>
          <cell r="X12429" t="str">
            <v>Commissions - gross</v>
          </cell>
          <cell r="Y12429" t="str">
            <v>PERU</v>
          </cell>
        </row>
        <row r="12430">
          <cell r="L12430" t="str">
            <v>Non-proportional</v>
          </cell>
          <cell r="S12430">
            <v>1147.32</v>
          </cell>
          <cell r="X12430" t="str">
            <v>Commissions - gross</v>
          </cell>
          <cell r="Y12430" t="str">
            <v>COLOMBIA</v>
          </cell>
        </row>
        <row r="12431">
          <cell r="L12431" t="str">
            <v>Non-proportional</v>
          </cell>
          <cell r="S12431">
            <v>483.47</v>
          </cell>
          <cell r="X12431" t="str">
            <v>Commissions - gross</v>
          </cell>
          <cell r="Y12431" t="str">
            <v>ECUADOR</v>
          </cell>
        </row>
        <row r="12432">
          <cell r="L12432" t="str">
            <v>Non-proportional</v>
          </cell>
          <cell r="S12432">
            <v>463.64</v>
          </cell>
          <cell r="X12432" t="str">
            <v>Commissions - gross</v>
          </cell>
          <cell r="Y12432" t="str">
            <v>UNITED KINGDOM</v>
          </cell>
        </row>
        <row r="12433">
          <cell r="L12433" t="str">
            <v>Non-proportional</v>
          </cell>
          <cell r="S12433">
            <v>149.13999999999999</v>
          </cell>
          <cell r="X12433" t="str">
            <v>Commissions - gross</v>
          </cell>
          <cell r="Y12433" t="str">
            <v>ISRAEL</v>
          </cell>
        </row>
        <row r="12434">
          <cell r="L12434" t="str">
            <v>Non-proportional</v>
          </cell>
          <cell r="S12434">
            <v>663.04</v>
          </cell>
          <cell r="X12434" t="str">
            <v>Commissions - gross</v>
          </cell>
          <cell r="Y12434" t="str">
            <v>ISRAEL</v>
          </cell>
        </row>
        <row r="12435">
          <cell r="L12435" t="str">
            <v>Non-proportional</v>
          </cell>
          <cell r="S12435">
            <v>77.290000000000006</v>
          </cell>
          <cell r="X12435" t="str">
            <v>Commissions - gross</v>
          </cell>
          <cell r="Y12435" t="str">
            <v>REPUBLIC OF IRELAND</v>
          </cell>
        </row>
        <row r="12436">
          <cell r="L12436" t="str">
            <v>Non-proportional</v>
          </cell>
          <cell r="S12436">
            <v>758.65</v>
          </cell>
          <cell r="X12436" t="str">
            <v>Commissions - gross</v>
          </cell>
          <cell r="Y12436" t="str">
            <v>FRANCE</v>
          </cell>
        </row>
        <row r="12437">
          <cell r="L12437" t="str">
            <v>Non-proportional</v>
          </cell>
          <cell r="S12437">
            <v>750.3</v>
          </cell>
          <cell r="X12437" t="str">
            <v>Commissions - gross</v>
          </cell>
          <cell r="Y12437" t="str">
            <v>CYPRUS</v>
          </cell>
        </row>
        <row r="12438">
          <cell r="L12438" t="str">
            <v>Non-proportional</v>
          </cell>
          <cell r="S12438">
            <v>5.97</v>
          </cell>
          <cell r="X12438" t="str">
            <v>Commissions - gross</v>
          </cell>
          <cell r="Y12438" t="str">
            <v>THAILAND</v>
          </cell>
        </row>
        <row r="12439">
          <cell r="L12439" t="str">
            <v>Non-proportional</v>
          </cell>
          <cell r="S12439">
            <v>662.23</v>
          </cell>
          <cell r="X12439" t="str">
            <v>Commissions - gross</v>
          </cell>
          <cell r="Y12439" t="str">
            <v>MEXICO</v>
          </cell>
        </row>
        <row r="12440">
          <cell r="L12440" t="str">
            <v>Proportional</v>
          </cell>
          <cell r="S12440">
            <v>19.53</v>
          </cell>
          <cell r="X12440" t="str">
            <v>Commissions - gross</v>
          </cell>
          <cell r="Y12440" t="str">
            <v>COLOMBIA</v>
          </cell>
        </row>
        <row r="12441">
          <cell r="L12441" t="str">
            <v>Non-proportional</v>
          </cell>
          <cell r="S12441">
            <v>312.42</v>
          </cell>
          <cell r="X12441" t="str">
            <v>Commissions - gross</v>
          </cell>
          <cell r="Y12441" t="str">
            <v>PERU</v>
          </cell>
        </row>
        <row r="12442">
          <cell r="L12442" t="str">
            <v>Non-proportional</v>
          </cell>
          <cell r="S12442">
            <v>503.67</v>
          </cell>
          <cell r="X12442" t="str">
            <v>Commissions - gross</v>
          </cell>
          <cell r="Y12442" t="str">
            <v>ISRAEL</v>
          </cell>
        </row>
        <row r="12443">
          <cell r="L12443" t="str">
            <v>Non-proportional</v>
          </cell>
          <cell r="S12443">
            <v>257.91000000000003</v>
          </cell>
          <cell r="X12443" t="str">
            <v>Commissions - gross</v>
          </cell>
          <cell r="Y12443" t="str">
            <v>CHILE</v>
          </cell>
        </row>
        <row r="12444">
          <cell r="L12444" t="str">
            <v>Non-proportional</v>
          </cell>
          <cell r="S12444">
            <v>36.840000000000003</v>
          </cell>
          <cell r="X12444" t="str">
            <v>Commissions - gross</v>
          </cell>
          <cell r="Y12444" t="str">
            <v>CHILE</v>
          </cell>
        </row>
        <row r="12445">
          <cell r="L12445" t="str">
            <v>Proportional</v>
          </cell>
          <cell r="S12445">
            <v>-1.06</v>
          </cell>
          <cell r="X12445" t="str">
            <v>Commissions - gross</v>
          </cell>
          <cell r="Y12445" t="str">
            <v>UNITED STATES</v>
          </cell>
        </row>
        <row r="12446">
          <cell r="L12446" t="str">
            <v>Non-proportional</v>
          </cell>
          <cell r="S12446">
            <v>-17.18</v>
          </cell>
          <cell r="X12446" t="str">
            <v>Commissions - gross</v>
          </cell>
          <cell r="Y12446" t="str">
            <v>JAPAN</v>
          </cell>
        </row>
        <row r="12447">
          <cell r="L12447" t="str">
            <v>Non-proportional</v>
          </cell>
          <cell r="S12447">
            <v>320.94</v>
          </cell>
          <cell r="X12447" t="str">
            <v>Commissions - gross</v>
          </cell>
          <cell r="Y12447" t="str">
            <v>AUSTRALIA</v>
          </cell>
        </row>
        <row r="12448">
          <cell r="L12448" t="str">
            <v>Non-proportional</v>
          </cell>
          <cell r="S12448">
            <v>-5.49</v>
          </cell>
          <cell r="X12448" t="str">
            <v>Commissions - gross</v>
          </cell>
          <cell r="Y12448" t="str">
            <v>JAPAN</v>
          </cell>
        </row>
        <row r="12449">
          <cell r="L12449" t="str">
            <v>Non-proportional</v>
          </cell>
          <cell r="S12449">
            <v>4575.8500000000004</v>
          </cell>
          <cell r="X12449" t="str">
            <v>Commissions - gross</v>
          </cell>
          <cell r="Y12449" t="str">
            <v>TURKEY</v>
          </cell>
        </row>
        <row r="12450">
          <cell r="L12450" t="str">
            <v>Non-proportional</v>
          </cell>
          <cell r="S12450">
            <v>467.51</v>
          </cell>
          <cell r="X12450" t="str">
            <v>Commissions - gross</v>
          </cell>
          <cell r="Y12450" t="str">
            <v>CYPRUS</v>
          </cell>
        </row>
        <row r="12451">
          <cell r="L12451" t="str">
            <v>Proportional</v>
          </cell>
          <cell r="S12451">
            <v>110.14</v>
          </cell>
          <cell r="X12451" t="str">
            <v>Commissions - gross</v>
          </cell>
          <cell r="Y12451" t="str">
            <v>ITALY</v>
          </cell>
        </row>
        <row r="12452">
          <cell r="L12452" t="str">
            <v>Non-proportional</v>
          </cell>
          <cell r="S12452">
            <v>11.81</v>
          </cell>
          <cell r="X12452" t="str">
            <v>Commissions - gross</v>
          </cell>
          <cell r="Y12452" t="str">
            <v>THAILAND</v>
          </cell>
        </row>
        <row r="12453">
          <cell r="L12453" t="str">
            <v>Non-proportional</v>
          </cell>
          <cell r="S12453">
            <v>261.23</v>
          </cell>
          <cell r="X12453" t="str">
            <v>Commissions - gross</v>
          </cell>
          <cell r="Y12453" t="str">
            <v>UNITED KINGDOM</v>
          </cell>
        </row>
        <row r="12454">
          <cell r="L12454" t="str">
            <v>Non-proportional</v>
          </cell>
          <cell r="S12454">
            <v>16.350000000000001</v>
          </cell>
          <cell r="X12454" t="str">
            <v>Commissions - gross</v>
          </cell>
          <cell r="Y12454" t="str">
            <v>COLOMBIA</v>
          </cell>
        </row>
        <row r="12455">
          <cell r="L12455" t="str">
            <v>Proportional</v>
          </cell>
          <cell r="S12455">
            <v>6178.77</v>
          </cell>
          <cell r="X12455" t="str">
            <v>Commissions - gross</v>
          </cell>
          <cell r="Y12455" t="str">
            <v>UNITED STATES</v>
          </cell>
        </row>
        <row r="12456">
          <cell r="L12456" t="str">
            <v>Non-proportional</v>
          </cell>
          <cell r="S12456">
            <v>7527.22</v>
          </cell>
          <cell r="X12456" t="str">
            <v>Commissions - gross</v>
          </cell>
          <cell r="Y12456" t="str">
            <v>UNITED KINGDOM</v>
          </cell>
        </row>
        <row r="12457">
          <cell r="L12457" t="str">
            <v>Proportional</v>
          </cell>
          <cell r="S12457">
            <v>16.690000000000001</v>
          </cell>
          <cell r="X12457" t="str">
            <v>Commissions - gross</v>
          </cell>
          <cell r="Y12457" t="str">
            <v>UNITED STATES</v>
          </cell>
        </row>
        <row r="12458">
          <cell r="L12458" t="str">
            <v>Non-proportional</v>
          </cell>
          <cell r="S12458">
            <v>-9.9600000000000009</v>
          </cell>
          <cell r="X12458" t="str">
            <v>Commissions - gross</v>
          </cell>
          <cell r="Y12458" t="str">
            <v>INDIA</v>
          </cell>
        </row>
        <row r="12459">
          <cell r="L12459" t="str">
            <v>Non-proportional</v>
          </cell>
          <cell r="S12459">
            <v>0</v>
          </cell>
          <cell r="X12459" t="str">
            <v>Commissions - gross</v>
          </cell>
          <cell r="Y12459" t="str">
            <v>COLOMBIA</v>
          </cell>
        </row>
        <row r="12460">
          <cell r="L12460" t="str">
            <v>Non-proportional</v>
          </cell>
          <cell r="S12460">
            <v>631.73</v>
          </cell>
          <cell r="X12460" t="str">
            <v>Commissions - gross</v>
          </cell>
          <cell r="Y12460" t="str">
            <v>ECUADOR</v>
          </cell>
        </row>
        <row r="12461">
          <cell r="L12461" t="str">
            <v>Non-proportional</v>
          </cell>
          <cell r="S12461">
            <v>108.08</v>
          </cell>
          <cell r="X12461" t="str">
            <v>Commissions - gross</v>
          </cell>
          <cell r="Y12461" t="str">
            <v>JAPAN</v>
          </cell>
        </row>
        <row r="12462">
          <cell r="L12462" t="str">
            <v>Non-proportional</v>
          </cell>
          <cell r="S12462">
            <v>608.07000000000005</v>
          </cell>
          <cell r="X12462" t="str">
            <v>Commissions - gross</v>
          </cell>
          <cell r="Y12462" t="str">
            <v>JAPAN</v>
          </cell>
        </row>
        <row r="12463">
          <cell r="L12463" t="str">
            <v>Non-proportional</v>
          </cell>
          <cell r="S12463">
            <v>571.4</v>
          </cell>
          <cell r="X12463" t="str">
            <v>Commissions - gross</v>
          </cell>
          <cell r="Y12463" t="str">
            <v>PUERTO RICO</v>
          </cell>
        </row>
        <row r="12464">
          <cell r="L12464" t="str">
            <v>Non-proportional</v>
          </cell>
          <cell r="S12464">
            <v>407.81</v>
          </cell>
          <cell r="X12464" t="str">
            <v>Commissions - gross</v>
          </cell>
          <cell r="Y12464" t="str">
            <v>GREECE</v>
          </cell>
        </row>
        <row r="12465">
          <cell r="L12465" t="str">
            <v>Non-proportional</v>
          </cell>
          <cell r="S12465">
            <v>665.89</v>
          </cell>
          <cell r="X12465" t="str">
            <v>Commissions - gross</v>
          </cell>
          <cell r="Y12465" t="str">
            <v>CYPRUS</v>
          </cell>
        </row>
        <row r="12466">
          <cell r="L12466" t="str">
            <v>Non-proportional</v>
          </cell>
          <cell r="S12466">
            <v>721.88</v>
          </cell>
          <cell r="X12466" t="str">
            <v>Commissions - gross</v>
          </cell>
          <cell r="Y12466" t="str">
            <v>FRANCE</v>
          </cell>
        </row>
        <row r="12467">
          <cell r="L12467" t="str">
            <v>Non-proportional</v>
          </cell>
          <cell r="S12467">
            <v>246.96</v>
          </cell>
          <cell r="X12467" t="str">
            <v>Commissions - gross</v>
          </cell>
          <cell r="Y12467" t="str">
            <v>FRANCE</v>
          </cell>
        </row>
        <row r="12468">
          <cell r="L12468" t="str">
            <v>Non-proportional</v>
          </cell>
          <cell r="S12468">
            <v>297.91000000000003</v>
          </cell>
          <cell r="X12468" t="str">
            <v>Commissions - gross</v>
          </cell>
          <cell r="Y12468" t="str">
            <v>ECUADOR</v>
          </cell>
        </row>
        <row r="12469">
          <cell r="L12469" t="str">
            <v>Non-proportional</v>
          </cell>
          <cell r="S12469">
            <v>0</v>
          </cell>
          <cell r="X12469" t="str">
            <v>Commissions - gross</v>
          </cell>
          <cell r="Y12469" t="str">
            <v>DOMINICAN REPUBLIC</v>
          </cell>
        </row>
        <row r="12470">
          <cell r="L12470" t="str">
            <v>Non-proportional</v>
          </cell>
          <cell r="S12470">
            <v>204.23</v>
          </cell>
          <cell r="X12470" t="str">
            <v>Commissions - gross</v>
          </cell>
          <cell r="Y12470" t="str">
            <v>BELIZE</v>
          </cell>
        </row>
        <row r="12471">
          <cell r="L12471" t="str">
            <v>Non-proportional</v>
          </cell>
          <cell r="S12471">
            <v>213.34</v>
          </cell>
          <cell r="X12471" t="str">
            <v>Commissions - gross</v>
          </cell>
          <cell r="Y12471" t="str">
            <v>GUATEMALA</v>
          </cell>
        </row>
        <row r="12472">
          <cell r="L12472" t="str">
            <v>Non-proportional</v>
          </cell>
          <cell r="S12472">
            <v>73.69</v>
          </cell>
          <cell r="X12472" t="str">
            <v>Commissions - gross</v>
          </cell>
          <cell r="Y12472" t="str">
            <v>CHILE</v>
          </cell>
        </row>
        <row r="12473">
          <cell r="L12473" t="str">
            <v>Non-proportional</v>
          </cell>
          <cell r="S12473">
            <v>298.29000000000002</v>
          </cell>
          <cell r="X12473" t="str">
            <v>Commissions - gross</v>
          </cell>
          <cell r="Y12473" t="str">
            <v>ISRAEL</v>
          </cell>
        </row>
        <row r="12474">
          <cell r="L12474" t="str">
            <v>Non-proportional</v>
          </cell>
          <cell r="S12474">
            <v>104.48</v>
          </cell>
          <cell r="X12474" t="str">
            <v>Commissions - gross</v>
          </cell>
          <cell r="Y12474" t="str">
            <v>CYPRUS</v>
          </cell>
        </row>
        <row r="12475">
          <cell r="L12475" t="str">
            <v>Non-proportional</v>
          </cell>
          <cell r="S12475">
            <v>374.99</v>
          </cell>
          <cell r="X12475" t="str">
            <v>Commissions - gross</v>
          </cell>
          <cell r="Y12475" t="str">
            <v>EUROPE</v>
          </cell>
        </row>
        <row r="12476">
          <cell r="L12476" t="str">
            <v>Non-proportional</v>
          </cell>
          <cell r="S12476">
            <v>171.8</v>
          </cell>
          <cell r="X12476" t="str">
            <v>Commissions - gross</v>
          </cell>
          <cell r="Y12476" t="str">
            <v>FRANCE</v>
          </cell>
        </row>
        <row r="12477">
          <cell r="L12477" t="str">
            <v>Non-proportional</v>
          </cell>
          <cell r="S12477">
            <v>1940.61</v>
          </cell>
          <cell r="X12477" t="str">
            <v>Commissions - gross</v>
          </cell>
          <cell r="Y12477" t="str">
            <v>MEXICO</v>
          </cell>
        </row>
        <row r="12478">
          <cell r="L12478" t="str">
            <v>Non-proportional</v>
          </cell>
          <cell r="S12478">
            <v>138.27000000000001</v>
          </cell>
          <cell r="X12478" t="str">
            <v>Commissions - gross</v>
          </cell>
          <cell r="Y12478" t="str">
            <v>UNITED KINGDOM</v>
          </cell>
        </row>
        <row r="12479">
          <cell r="L12479" t="str">
            <v>Non-proportional</v>
          </cell>
          <cell r="S12479">
            <v>4.6399999999999997</v>
          </cell>
          <cell r="X12479" t="str">
            <v>Commissions - gross</v>
          </cell>
          <cell r="Y12479" t="str">
            <v>ISRAEL</v>
          </cell>
        </row>
        <row r="12480">
          <cell r="L12480" t="str">
            <v>Non-proportional</v>
          </cell>
          <cell r="S12480">
            <v>511.24</v>
          </cell>
          <cell r="X12480" t="str">
            <v>Commissions - gross</v>
          </cell>
          <cell r="Y12480" t="str">
            <v>COLOMBIA</v>
          </cell>
        </row>
        <row r="12481">
          <cell r="L12481" t="str">
            <v>Non-proportional</v>
          </cell>
          <cell r="S12481">
            <v>5.5</v>
          </cell>
          <cell r="X12481" t="str">
            <v>Commissions - gross</v>
          </cell>
          <cell r="Y12481" t="str">
            <v>ISRAEL</v>
          </cell>
        </row>
        <row r="12482">
          <cell r="L12482" t="str">
            <v>Non-proportional</v>
          </cell>
          <cell r="S12482">
            <v>260.89</v>
          </cell>
          <cell r="X12482" t="str">
            <v>Commissions - gross</v>
          </cell>
          <cell r="Y12482" t="str">
            <v>BELIZE</v>
          </cell>
        </row>
        <row r="12483">
          <cell r="L12483" t="str">
            <v>Non-proportional</v>
          </cell>
          <cell r="S12483">
            <v>277.01</v>
          </cell>
          <cell r="X12483" t="str">
            <v>Commissions - gross</v>
          </cell>
          <cell r="Y12483" t="str">
            <v>JAPAN</v>
          </cell>
        </row>
        <row r="12484">
          <cell r="L12484" t="str">
            <v>Non-proportional</v>
          </cell>
          <cell r="S12484">
            <v>25.94</v>
          </cell>
          <cell r="X12484" t="str">
            <v>Commissions - gross</v>
          </cell>
          <cell r="Y12484" t="str">
            <v>ECUADOR</v>
          </cell>
        </row>
        <row r="12485">
          <cell r="L12485" t="str">
            <v>Non-proportional</v>
          </cell>
          <cell r="S12485">
            <v>625</v>
          </cell>
          <cell r="X12485" t="str">
            <v>Commissions - gross</v>
          </cell>
          <cell r="Y12485" t="str">
            <v>SPAIN</v>
          </cell>
        </row>
        <row r="12486">
          <cell r="L12486" t="str">
            <v>Non-proportional</v>
          </cell>
          <cell r="S12486">
            <v>385.42</v>
          </cell>
          <cell r="X12486" t="str">
            <v>Commissions - gross</v>
          </cell>
          <cell r="Y12486" t="str">
            <v>FRANCE</v>
          </cell>
        </row>
        <row r="12487">
          <cell r="L12487" t="str">
            <v>Non-proportional</v>
          </cell>
          <cell r="S12487">
            <v>74.040000000000006</v>
          </cell>
          <cell r="X12487" t="str">
            <v>Commissions - gross</v>
          </cell>
          <cell r="Y12487" t="str">
            <v>FRANCE</v>
          </cell>
        </row>
        <row r="12488">
          <cell r="L12488" t="str">
            <v>Non-proportional</v>
          </cell>
          <cell r="S12488">
            <v>425.02</v>
          </cell>
          <cell r="X12488" t="str">
            <v>Commissions - gross</v>
          </cell>
          <cell r="Y12488" t="str">
            <v>ITALY</v>
          </cell>
        </row>
        <row r="12489">
          <cell r="L12489" t="str">
            <v>Non-proportional</v>
          </cell>
          <cell r="S12489">
            <v>-21.03</v>
          </cell>
          <cell r="X12489" t="str">
            <v>Commissions - gross</v>
          </cell>
          <cell r="Y12489" t="str">
            <v>NEW ZEALAND</v>
          </cell>
        </row>
        <row r="12490">
          <cell r="L12490" t="str">
            <v>Non-proportional</v>
          </cell>
          <cell r="S12490">
            <v>60.11</v>
          </cell>
          <cell r="X12490" t="str">
            <v>Commissions - gross</v>
          </cell>
          <cell r="Y12490" t="str">
            <v>DOMINICAN REPUBLIC</v>
          </cell>
        </row>
        <row r="12491">
          <cell r="L12491" t="str">
            <v>Non-proportional</v>
          </cell>
          <cell r="S12491">
            <v>20.13</v>
          </cell>
          <cell r="X12491" t="str">
            <v>Commissions - gross</v>
          </cell>
          <cell r="Y12491" t="str">
            <v>COLOMBIA</v>
          </cell>
        </row>
        <row r="12492">
          <cell r="L12492" t="str">
            <v>Non-proportional</v>
          </cell>
          <cell r="S12492">
            <v>15777.87</v>
          </cell>
          <cell r="X12492" t="str">
            <v>Commissions - gross</v>
          </cell>
          <cell r="Y12492" t="str">
            <v>UNITED KINGDOM</v>
          </cell>
        </row>
        <row r="12493">
          <cell r="L12493" t="str">
            <v>Non-proportional</v>
          </cell>
          <cell r="S12493">
            <v>0.02</v>
          </cell>
          <cell r="X12493" t="str">
            <v>Commissions - gross</v>
          </cell>
          <cell r="Y12493" t="str">
            <v>TURKEY</v>
          </cell>
        </row>
        <row r="12494">
          <cell r="L12494" t="str">
            <v>Non-proportional</v>
          </cell>
          <cell r="S12494">
            <v>1136.58</v>
          </cell>
          <cell r="X12494" t="str">
            <v>Commissions - gross</v>
          </cell>
          <cell r="Y12494" t="str">
            <v>ECUADOR</v>
          </cell>
        </row>
        <row r="12495">
          <cell r="L12495" t="str">
            <v>Non-proportional</v>
          </cell>
          <cell r="S12495">
            <v>403.37</v>
          </cell>
          <cell r="X12495" t="str">
            <v>Commissions - gross</v>
          </cell>
          <cell r="Y12495" t="str">
            <v>ECUADOR</v>
          </cell>
        </row>
        <row r="12496">
          <cell r="L12496" t="str">
            <v>Non-proportional</v>
          </cell>
          <cell r="S12496">
            <v>-5.0599999999999996</v>
          </cell>
          <cell r="X12496" t="str">
            <v>Commissions - gross</v>
          </cell>
          <cell r="Y12496" t="str">
            <v>JAPAN</v>
          </cell>
        </row>
        <row r="12497">
          <cell r="L12497" t="str">
            <v>Non-proportional</v>
          </cell>
          <cell r="S12497">
            <v>627.9</v>
          </cell>
          <cell r="X12497" t="str">
            <v>Commissions - gross</v>
          </cell>
          <cell r="Y12497" t="str">
            <v>FRANCE</v>
          </cell>
        </row>
        <row r="12498">
          <cell r="L12498" t="str">
            <v>Non-proportional</v>
          </cell>
          <cell r="S12498">
            <v>4686.47</v>
          </cell>
          <cell r="X12498" t="str">
            <v>Commissions - gross</v>
          </cell>
          <cell r="Y12498" t="str">
            <v>FRANCE</v>
          </cell>
        </row>
        <row r="12499">
          <cell r="L12499" t="str">
            <v>Non-proportional</v>
          </cell>
          <cell r="S12499">
            <v>1074.8699999999999</v>
          </cell>
          <cell r="X12499" t="str">
            <v>Commissions - gross</v>
          </cell>
          <cell r="Y12499" t="str">
            <v>ITALY</v>
          </cell>
        </row>
        <row r="12500">
          <cell r="L12500" t="str">
            <v>Non-proportional</v>
          </cell>
          <cell r="S12500">
            <v>627.91999999999996</v>
          </cell>
          <cell r="X12500" t="str">
            <v>Commissions - gross</v>
          </cell>
          <cell r="Y12500" t="str">
            <v>MEXICO</v>
          </cell>
        </row>
        <row r="12501">
          <cell r="L12501" t="str">
            <v>Non-proportional</v>
          </cell>
          <cell r="S12501">
            <v>-0.56000000000000005</v>
          </cell>
          <cell r="X12501" t="str">
            <v>Commissions - gross</v>
          </cell>
          <cell r="Y12501" t="str">
            <v>GUATEMALA</v>
          </cell>
        </row>
        <row r="12502">
          <cell r="L12502" t="str">
            <v>Non-proportional</v>
          </cell>
          <cell r="S12502">
            <v>272.8</v>
          </cell>
          <cell r="X12502" t="str">
            <v>Commissions - gross</v>
          </cell>
          <cell r="Y12502" t="str">
            <v>JAPAN</v>
          </cell>
        </row>
        <row r="12503">
          <cell r="L12503" t="str">
            <v>Proportional</v>
          </cell>
          <cell r="S12503">
            <v>-1076.58</v>
          </cell>
          <cell r="X12503" t="str">
            <v>Commissions - gross</v>
          </cell>
          <cell r="Y12503" t="str">
            <v>ITALY</v>
          </cell>
        </row>
        <row r="12504">
          <cell r="L12504" t="str">
            <v>Non-proportional</v>
          </cell>
          <cell r="S12504">
            <v>3414.36</v>
          </cell>
          <cell r="X12504" t="str">
            <v>Commissions - gross</v>
          </cell>
          <cell r="Y12504" t="str">
            <v>UNITED KINGDOM</v>
          </cell>
        </row>
        <row r="12505">
          <cell r="L12505" t="str">
            <v>Proportional</v>
          </cell>
          <cell r="S12505">
            <v>13915.04</v>
          </cell>
          <cell r="X12505" t="str">
            <v>Commissions - gross</v>
          </cell>
          <cell r="Y12505" t="str">
            <v>UNITED STATES</v>
          </cell>
        </row>
        <row r="12506">
          <cell r="L12506" t="str">
            <v>Non-proportional</v>
          </cell>
          <cell r="S12506">
            <v>256.68</v>
          </cell>
          <cell r="X12506" t="str">
            <v>Commissions - gross</v>
          </cell>
          <cell r="Y12506" t="str">
            <v>MEXICO</v>
          </cell>
        </row>
        <row r="12507">
          <cell r="L12507" t="str">
            <v>Non-proportional</v>
          </cell>
          <cell r="S12507">
            <v>1180.93</v>
          </cell>
          <cell r="X12507" t="str">
            <v>Commissions - gross</v>
          </cell>
          <cell r="Y12507" t="str">
            <v>PERU</v>
          </cell>
        </row>
        <row r="12508">
          <cell r="L12508" t="str">
            <v>Non-proportional</v>
          </cell>
          <cell r="S12508">
            <v>-9.14</v>
          </cell>
          <cell r="X12508" t="str">
            <v>Commissions - gross</v>
          </cell>
          <cell r="Y12508" t="str">
            <v>INDIA</v>
          </cell>
        </row>
        <row r="12509">
          <cell r="L12509" t="str">
            <v>Proportional</v>
          </cell>
          <cell r="S12509">
            <v>731.92</v>
          </cell>
          <cell r="X12509" t="str">
            <v>Commissions - gross</v>
          </cell>
          <cell r="Y12509" t="str">
            <v>MEXICO</v>
          </cell>
        </row>
        <row r="12510">
          <cell r="L12510" t="str">
            <v>Non-proportional</v>
          </cell>
          <cell r="S12510">
            <v>-19.66</v>
          </cell>
          <cell r="X12510" t="str">
            <v>Commissions - gross</v>
          </cell>
          <cell r="Y12510" t="str">
            <v>JAPAN</v>
          </cell>
        </row>
        <row r="12511">
          <cell r="L12511" t="str">
            <v>Non-proportional</v>
          </cell>
          <cell r="S12511">
            <v>1111.29</v>
          </cell>
          <cell r="X12511" t="str">
            <v>Commissions - gross</v>
          </cell>
          <cell r="Y12511" t="str">
            <v>PERU</v>
          </cell>
        </row>
        <row r="12512">
          <cell r="L12512" t="str">
            <v>Non-proportional</v>
          </cell>
          <cell r="S12512">
            <v>0</v>
          </cell>
          <cell r="X12512" t="str">
            <v>Commissions - gross</v>
          </cell>
          <cell r="Y12512" t="str">
            <v>BRAZIL</v>
          </cell>
        </row>
        <row r="12513">
          <cell r="L12513" t="str">
            <v>Non-proportional</v>
          </cell>
          <cell r="S12513">
            <v>442.55</v>
          </cell>
          <cell r="X12513" t="str">
            <v>Commissions - gross</v>
          </cell>
          <cell r="Y12513" t="str">
            <v>FRANCE</v>
          </cell>
        </row>
        <row r="12514">
          <cell r="L12514" t="str">
            <v>Non-proportional</v>
          </cell>
          <cell r="S12514">
            <v>419.04</v>
          </cell>
          <cell r="X12514" t="str">
            <v>Commissions - gross</v>
          </cell>
          <cell r="Y12514" t="str">
            <v>THAILAND</v>
          </cell>
        </row>
        <row r="12515">
          <cell r="L12515" t="str">
            <v>Non-proportional</v>
          </cell>
          <cell r="S12515">
            <v>1000</v>
          </cell>
          <cell r="X12515" t="str">
            <v>Commissions - gross</v>
          </cell>
          <cell r="Y12515" t="str">
            <v>ITALY</v>
          </cell>
        </row>
        <row r="12516">
          <cell r="L12516" t="str">
            <v>Non-proportional</v>
          </cell>
          <cell r="S12516">
            <v>605.5</v>
          </cell>
          <cell r="X12516" t="str">
            <v>Commissions - gross</v>
          </cell>
          <cell r="Y12516" t="str">
            <v>FRANCE</v>
          </cell>
        </row>
        <row r="12517">
          <cell r="L12517" t="str">
            <v>Non-proportional</v>
          </cell>
          <cell r="S12517">
            <v>1080.75</v>
          </cell>
          <cell r="X12517" t="str">
            <v>Commissions - gross</v>
          </cell>
          <cell r="Y12517" t="str">
            <v>CHILE</v>
          </cell>
        </row>
        <row r="12518">
          <cell r="L12518" t="str">
            <v>Non-proportional</v>
          </cell>
          <cell r="S12518">
            <v>445.91</v>
          </cell>
          <cell r="X12518" t="str">
            <v>Commissions - gross</v>
          </cell>
          <cell r="Y12518" t="str">
            <v>UNITED KINGDOM</v>
          </cell>
        </row>
        <row r="12519">
          <cell r="L12519" t="str">
            <v>Non-proportional</v>
          </cell>
          <cell r="S12519">
            <v>-5968.78</v>
          </cell>
          <cell r="X12519" t="str">
            <v>Commissions - gross</v>
          </cell>
          <cell r="Y12519" t="str">
            <v>CHILE</v>
          </cell>
        </row>
        <row r="12520">
          <cell r="L12520" t="str">
            <v>Non-proportional</v>
          </cell>
          <cell r="S12520">
            <v>513.30999999999995</v>
          </cell>
          <cell r="X12520" t="str">
            <v>Commissions - gross</v>
          </cell>
          <cell r="Y12520" t="str">
            <v>UNITED KINGDOM</v>
          </cell>
        </row>
        <row r="12521">
          <cell r="L12521" t="str">
            <v>Non-proportional</v>
          </cell>
          <cell r="S12521">
            <v>915.69</v>
          </cell>
          <cell r="X12521" t="str">
            <v>Commissions - gross</v>
          </cell>
          <cell r="Y12521" t="str">
            <v>ECUADOR</v>
          </cell>
        </row>
        <row r="12522">
          <cell r="L12522" t="str">
            <v>Non-proportional</v>
          </cell>
          <cell r="S12522">
            <v>136.38</v>
          </cell>
          <cell r="X12522" t="str">
            <v>Commissions - gross</v>
          </cell>
          <cell r="Y12522" t="str">
            <v>ISRAEL</v>
          </cell>
        </row>
        <row r="12523">
          <cell r="L12523" t="str">
            <v>Non-proportional</v>
          </cell>
          <cell r="S12523">
            <v>471.31</v>
          </cell>
          <cell r="X12523" t="str">
            <v>Commissions - gross</v>
          </cell>
          <cell r="Y12523" t="str">
            <v>UNITED KINGDOM</v>
          </cell>
        </row>
        <row r="12524">
          <cell r="L12524" t="str">
            <v>Non-proportional</v>
          </cell>
          <cell r="S12524">
            <v>-5.14</v>
          </cell>
          <cell r="X12524" t="str">
            <v>Commissions - gross</v>
          </cell>
          <cell r="Y12524" t="str">
            <v>JAPAN</v>
          </cell>
        </row>
        <row r="12525">
          <cell r="L12525" t="str">
            <v>Non-proportional</v>
          </cell>
          <cell r="S12525">
            <v>853.13</v>
          </cell>
          <cell r="X12525" t="str">
            <v>Commissions - gross</v>
          </cell>
          <cell r="Y12525" t="str">
            <v>TURKEY</v>
          </cell>
        </row>
        <row r="12526">
          <cell r="L12526" t="str">
            <v>Non-proportional</v>
          </cell>
          <cell r="S12526">
            <v>328.13</v>
          </cell>
          <cell r="X12526" t="str">
            <v>Commissions - gross</v>
          </cell>
          <cell r="Y12526" t="str">
            <v>ITALY</v>
          </cell>
        </row>
        <row r="12527">
          <cell r="L12527" t="str">
            <v>Non-proportional</v>
          </cell>
          <cell r="S12527">
            <v>877.51</v>
          </cell>
          <cell r="X12527" t="str">
            <v>Commissions - gross</v>
          </cell>
          <cell r="Y12527" t="str">
            <v>FRANCE</v>
          </cell>
        </row>
        <row r="12528">
          <cell r="L12528" t="str">
            <v>Non-proportional</v>
          </cell>
          <cell r="S12528">
            <v>211.71</v>
          </cell>
          <cell r="X12528" t="str">
            <v>Commissions - gross</v>
          </cell>
          <cell r="Y12528" t="str">
            <v>CHINA</v>
          </cell>
        </row>
        <row r="12529">
          <cell r="L12529" t="str">
            <v>Non-proportional</v>
          </cell>
          <cell r="S12529">
            <v>2129.44</v>
          </cell>
          <cell r="X12529" t="str">
            <v>Commissions - gross</v>
          </cell>
          <cell r="Y12529" t="str">
            <v>UNITED KINGDOM</v>
          </cell>
        </row>
        <row r="12530">
          <cell r="L12530" t="str">
            <v>Non-proportional</v>
          </cell>
          <cell r="S12530">
            <v>0</v>
          </cell>
          <cell r="X12530" t="str">
            <v>Commissions - gross</v>
          </cell>
          <cell r="Y12530" t="str">
            <v>DOMINICAN REPUBLIC</v>
          </cell>
        </row>
        <row r="12531">
          <cell r="L12531" t="str">
            <v>Non-proportional</v>
          </cell>
          <cell r="S12531">
            <v>3.86</v>
          </cell>
          <cell r="X12531" t="str">
            <v>Commissions - gross</v>
          </cell>
          <cell r="Y12531" t="str">
            <v>ISRAEL</v>
          </cell>
        </row>
        <row r="12532">
          <cell r="L12532" t="str">
            <v>Non-proportional</v>
          </cell>
          <cell r="S12532">
            <v>1132.3399999999999</v>
          </cell>
          <cell r="X12532" t="str">
            <v>Commissions - gross</v>
          </cell>
          <cell r="Y12532" t="str">
            <v>MEXICO</v>
          </cell>
        </row>
        <row r="12533">
          <cell r="L12533" t="str">
            <v>Non-proportional</v>
          </cell>
          <cell r="S12533">
            <v>555.05999999999995</v>
          </cell>
          <cell r="X12533" t="str">
            <v>Commissions - gross</v>
          </cell>
          <cell r="Y12533" t="str">
            <v>COLOMBIA</v>
          </cell>
        </row>
        <row r="12534">
          <cell r="L12534" t="str">
            <v>Non-proportional</v>
          </cell>
          <cell r="S12534">
            <v>0</v>
          </cell>
          <cell r="X12534" t="str">
            <v>Commissions - gross</v>
          </cell>
          <cell r="Y12534" t="str">
            <v>COLOMBIA</v>
          </cell>
        </row>
        <row r="12535">
          <cell r="L12535" t="str">
            <v>Non-proportional</v>
          </cell>
          <cell r="S12535">
            <v>-20.309999999999999</v>
          </cell>
          <cell r="X12535" t="str">
            <v>Commissions - gross</v>
          </cell>
          <cell r="Y12535" t="str">
            <v>INDIA</v>
          </cell>
        </row>
        <row r="12536">
          <cell r="L12536" t="str">
            <v>Non-proportional</v>
          </cell>
          <cell r="S12536">
            <v>94.08</v>
          </cell>
          <cell r="X12536" t="str">
            <v>Commissions - gross</v>
          </cell>
          <cell r="Y12536" t="str">
            <v>ECUADOR</v>
          </cell>
        </row>
        <row r="12537">
          <cell r="L12537" t="str">
            <v>Non-proportional</v>
          </cell>
          <cell r="S12537">
            <v>156.43</v>
          </cell>
          <cell r="X12537" t="str">
            <v>Commissions - gross</v>
          </cell>
          <cell r="Y12537" t="str">
            <v>JAPAN</v>
          </cell>
        </row>
        <row r="12538">
          <cell r="L12538" t="str">
            <v>Non-proportional</v>
          </cell>
          <cell r="S12538">
            <v>1392.01</v>
          </cell>
          <cell r="X12538" t="str">
            <v>Commissions - gross</v>
          </cell>
          <cell r="Y12538" t="str">
            <v>ISRAEL</v>
          </cell>
        </row>
        <row r="12539">
          <cell r="L12539" t="str">
            <v>Non-proportional</v>
          </cell>
          <cell r="S12539">
            <v>-5.34</v>
          </cell>
          <cell r="X12539" t="str">
            <v>Commissions - gross</v>
          </cell>
          <cell r="Y12539" t="str">
            <v>JAPAN</v>
          </cell>
        </row>
        <row r="12540">
          <cell r="L12540" t="str">
            <v>Non-proportional</v>
          </cell>
          <cell r="S12540">
            <v>876.14</v>
          </cell>
          <cell r="X12540" t="str">
            <v>Commissions - gross</v>
          </cell>
          <cell r="Y12540" t="str">
            <v>PUERTO RICO</v>
          </cell>
        </row>
        <row r="12541">
          <cell r="L12541" t="str">
            <v>Proportional</v>
          </cell>
          <cell r="S12541">
            <v>144.74</v>
          </cell>
          <cell r="X12541" t="str">
            <v>Commissions - gross</v>
          </cell>
          <cell r="Y12541" t="str">
            <v>PERU</v>
          </cell>
        </row>
        <row r="12542">
          <cell r="L12542" t="str">
            <v>Proportional</v>
          </cell>
          <cell r="S12542">
            <v>6.95</v>
          </cell>
          <cell r="X12542" t="str">
            <v>Commissions - gross</v>
          </cell>
          <cell r="Y12542" t="str">
            <v>UNITED STATES</v>
          </cell>
        </row>
        <row r="12543">
          <cell r="L12543" t="str">
            <v>Non-proportional</v>
          </cell>
          <cell r="S12543">
            <v>54.38</v>
          </cell>
          <cell r="X12543" t="str">
            <v>Commissions - gross</v>
          </cell>
          <cell r="Y12543" t="str">
            <v>GREECE</v>
          </cell>
        </row>
        <row r="12544">
          <cell r="L12544" t="str">
            <v>Proportional</v>
          </cell>
          <cell r="S12544">
            <v>468</v>
          </cell>
          <cell r="X12544" t="str">
            <v>Commissions - gross</v>
          </cell>
          <cell r="Y12544" t="str">
            <v>SPAIN</v>
          </cell>
        </row>
        <row r="12545">
          <cell r="L12545" t="str">
            <v>Non-proportional</v>
          </cell>
          <cell r="S12545">
            <v>991.57</v>
          </cell>
          <cell r="X12545" t="str">
            <v>Commissions - gross</v>
          </cell>
          <cell r="Y12545" t="str">
            <v>NETHERLANDS</v>
          </cell>
        </row>
        <row r="12546">
          <cell r="L12546" t="str">
            <v>Non-proportional</v>
          </cell>
          <cell r="S12546">
            <v>31.07</v>
          </cell>
          <cell r="X12546" t="str">
            <v>Commissions - gross</v>
          </cell>
          <cell r="Y12546" t="str">
            <v>ITALY</v>
          </cell>
        </row>
        <row r="12547">
          <cell r="L12547" t="str">
            <v>Non-proportional</v>
          </cell>
          <cell r="S12547">
            <v>-22.19</v>
          </cell>
          <cell r="X12547" t="str">
            <v>Commissions - gross</v>
          </cell>
          <cell r="Y12547" t="str">
            <v>SOUTH KOREA</v>
          </cell>
        </row>
        <row r="12548">
          <cell r="L12548" t="str">
            <v>Non-proportional</v>
          </cell>
          <cell r="S12548">
            <v>342.63</v>
          </cell>
          <cell r="X12548" t="str">
            <v>Commissions - gross</v>
          </cell>
          <cell r="Y12548" t="str">
            <v>DOMINICAN REPUBLIC</v>
          </cell>
        </row>
        <row r="12549">
          <cell r="L12549" t="str">
            <v>Proportional</v>
          </cell>
          <cell r="S12549">
            <v>74.45</v>
          </cell>
          <cell r="X12549" t="str">
            <v>Commissions - gross</v>
          </cell>
          <cell r="Y12549" t="str">
            <v>UNITED STATES</v>
          </cell>
        </row>
        <row r="12550">
          <cell r="L12550" t="str">
            <v>Non-proportional</v>
          </cell>
          <cell r="S12550">
            <v>-27.4</v>
          </cell>
          <cell r="X12550" t="str">
            <v>Commissions - gross</v>
          </cell>
          <cell r="Y12550" t="str">
            <v>JAPAN</v>
          </cell>
        </row>
        <row r="12551">
          <cell r="L12551" t="str">
            <v>Proportional</v>
          </cell>
          <cell r="S12551">
            <v>-655.57</v>
          </cell>
          <cell r="X12551" t="str">
            <v>Commissions - gross</v>
          </cell>
          <cell r="Y12551" t="str">
            <v>AUSTRALIA</v>
          </cell>
        </row>
        <row r="12552">
          <cell r="L12552" t="str">
            <v>Non-proportional</v>
          </cell>
          <cell r="S12552">
            <v>1007.57</v>
          </cell>
          <cell r="X12552" t="str">
            <v>Commissions - gross</v>
          </cell>
          <cell r="Y12552" t="str">
            <v>NEW ZEALAND</v>
          </cell>
        </row>
        <row r="12553">
          <cell r="L12553" t="str">
            <v>Proportional</v>
          </cell>
          <cell r="S12553">
            <v>346.76</v>
          </cell>
          <cell r="X12553" t="str">
            <v>Commissions - gross</v>
          </cell>
          <cell r="Y12553" t="str">
            <v>JAPAN</v>
          </cell>
        </row>
        <row r="12554">
          <cell r="L12554" t="str">
            <v>Non-proportional</v>
          </cell>
          <cell r="S12554">
            <v>173.64</v>
          </cell>
          <cell r="X12554" t="str">
            <v>Commissions - gross</v>
          </cell>
          <cell r="Y12554" t="str">
            <v>DOMINICAN REPUBLIC</v>
          </cell>
        </row>
        <row r="12555">
          <cell r="L12555" t="str">
            <v>Non-proportional</v>
          </cell>
          <cell r="S12555">
            <v>1007.57</v>
          </cell>
          <cell r="X12555" t="str">
            <v>Commissions - gross</v>
          </cell>
          <cell r="Y12555" t="str">
            <v>NEW ZEALAND</v>
          </cell>
        </row>
        <row r="12556">
          <cell r="L12556" t="str">
            <v>Non-proportional</v>
          </cell>
          <cell r="S12556">
            <v>1448.39</v>
          </cell>
          <cell r="X12556" t="str">
            <v>Commissions - gross</v>
          </cell>
          <cell r="Y12556" t="str">
            <v>FRANCE</v>
          </cell>
        </row>
        <row r="12557">
          <cell r="L12557" t="str">
            <v>Non-proportional</v>
          </cell>
          <cell r="S12557">
            <v>41.77</v>
          </cell>
          <cell r="X12557" t="str">
            <v>Commissions - gross</v>
          </cell>
          <cell r="Y12557" t="str">
            <v>NETHERLANDS</v>
          </cell>
        </row>
        <row r="12558">
          <cell r="L12558" t="str">
            <v>Non-proportional</v>
          </cell>
          <cell r="S12558">
            <v>13.54</v>
          </cell>
          <cell r="X12558" t="str">
            <v>Commissions - gross</v>
          </cell>
          <cell r="Y12558" t="str">
            <v>FRANCE</v>
          </cell>
        </row>
        <row r="12559">
          <cell r="L12559" t="str">
            <v>Non-proportional</v>
          </cell>
          <cell r="S12559">
            <v>2499.98</v>
          </cell>
          <cell r="X12559" t="str">
            <v>Commissions - gross</v>
          </cell>
          <cell r="Y12559" t="str">
            <v>FRANCE</v>
          </cell>
        </row>
        <row r="12560">
          <cell r="L12560" t="str">
            <v>Non-proportional</v>
          </cell>
          <cell r="S12560">
            <v>1151.06</v>
          </cell>
          <cell r="X12560" t="str">
            <v>Commissions - gross</v>
          </cell>
          <cell r="Y12560" t="str">
            <v>EUROPE</v>
          </cell>
        </row>
        <row r="12561">
          <cell r="L12561" t="str">
            <v>Proportional</v>
          </cell>
          <cell r="S12561">
            <v>495.68</v>
          </cell>
          <cell r="X12561" t="str">
            <v>Commissions - gross</v>
          </cell>
          <cell r="Y12561" t="str">
            <v>EUROPE</v>
          </cell>
        </row>
        <row r="12562">
          <cell r="L12562" t="str">
            <v>Non-proportional</v>
          </cell>
          <cell r="S12562">
            <v>904.39</v>
          </cell>
          <cell r="X12562" t="str">
            <v>Commissions - gross</v>
          </cell>
          <cell r="Y12562" t="str">
            <v>FRANCE</v>
          </cell>
        </row>
        <row r="12563">
          <cell r="L12563" t="str">
            <v>Non-proportional</v>
          </cell>
          <cell r="S12563">
            <v>872.34</v>
          </cell>
          <cell r="X12563" t="str">
            <v>Commissions - gross</v>
          </cell>
          <cell r="Y12563" t="str">
            <v>TURKEY</v>
          </cell>
        </row>
        <row r="12564">
          <cell r="L12564" t="str">
            <v>Non-proportional</v>
          </cell>
          <cell r="S12564">
            <v>223.32</v>
          </cell>
          <cell r="X12564" t="str">
            <v>Commissions - gross</v>
          </cell>
          <cell r="Y12564" t="str">
            <v>UNITED KINGDOM</v>
          </cell>
        </row>
        <row r="12565">
          <cell r="L12565" t="str">
            <v>Non-proportional</v>
          </cell>
          <cell r="S12565">
            <v>4.4000000000000004</v>
          </cell>
          <cell r="X12565" t="str">
            <v>Commissions - gross</v>
          </cell>
          <cell r="Y12565" t="str">
            <v>ISRAEL</v>
          </cell>
        </row>
        <row r="12566">
          <cell r="L12566" t="str">
            <v>Non-proportional</v>
          </cell>
          <cell r="S12566">
            <v>364.69</v>
          </cell>
          <cell r="X12566" t="str">
            <v>Commissions - gross</v>
          </cell>
          <cell r="Y12566" t="str">
            <v>NEW ZEALAND</v>
          </cell>
        </row>
        <row r="12567">
          <cell r="L12567" t="str">
            <v>Non-proportional</v>
          </cell>
          <cell r="S12567">
            <v>-8.41</v>
          </cell>
          <cell r="X12567" t="str">
            <v>Commissions - gross</v>
          </cell>
          <cell r="Y12567" t="str">
            <v>BRAZIL</v>
          </cell>
        </row>
        <row r="12568">
          <cell r="L12568" t="str">
            <v>Non-proportional</v>
          </cell>
          <cell r="S12568">
            <v>-4.93</v>
          </cell>
          <cell r="X12568" t="str">
            <v>Commissions - gross</v>
          </cell>
          <cell r="Y12568" t="str">
            <v>JAPAN</v>
          </cell>
        </row>
        <row r="12569">
          <cell r="L12569" t="str">
            <v>Non-proportional</v>
          </cell>
          <cell r="S12569">
            <v>-6.95</v>
          </cell>
          <cell r="X12569" t="str">
            <v>Commissions - gross</v>
          </cell>
          <cell r="Y12569" t="str">
            <v>NEW ZEALAND</v>
          </cell>
        </row>
        <row r="12570">
          <cell r="L12570" t="str">
            <v>Non-proportional</v>
          </cell>
          <cell r="S12570">
            <v>591.84</v>
          </cell>
          <cell r="X12570" t="str">
            <v>Commissions - gross</v>
          </cell>
          <cell r="Y12570" t="str">
            <v>EUROPE</v>
          </cell>
        </row>
        <row r="12571">
          <cell r="L12571" t="str">
            <v>Non-proportional</v>
          </cell>
          <cell r="S12571">
            <v>379.65</v>
          </cell>
          <cell r="X12571" t="str">
            <v>Commissions - gross</v>
          </cell>
          <cell r="Y12571" t="str">
            <v>ITALY</v>
          </cell>
        </row>
        <row r="12572">
          <cell r="L12572" t="str">
            <v>Proportional</v>
          </cell>
          <cell r="S12572">
            <v>-71411.38</v>
          </cell>
          <cell r="X12572" t="str">
            <v>Commissions - gross</v>
          </cell>
          <cell r="Y12572" t="str">
            <v>ITALY</v>
          </cell>
        </row>
        <row r="12573">
          <cell r="L12573" t="str">
            <v>Non-proportional</v>
          </cell>
          <cell r="S12573">
            <v>6399.23</v>
          </cell>
          <cell r="X12573" t="str">
            <v>Commissions - gross</v>
          </cell>
          <cell r="Y12573" t="str">
            <v>UNITED KINGDOM</v>
          </cell>
        </row>
        <row r="12574">
          <cell r="L12574" t="str">
            <v>Non-proportional</v>
          </cell>
          <cell r="S12574">
            <v>1458.34</v>
          </cell>
          <cell r="X12574" t="str">
            <v>Commissions - gross</v>
          </cell>
          <cell r="Y12574" t="str">
            <v>EUROPE</v>
          </cell>
        </row>
        <row r="12575">
          <cell r="L12575" t="str">
            <v>Non-proportional</v>
          </cell>
          <cell r="S12575">
            <v>181.87</v>
          </cell>
          <cell r="X12575" t="str">
            <v>Commissions - gross</v>
          </cell>
          <cell r="Y12575" t="str">
            <v>PERU</v>
          </cell>
        </row>
        <row r="12576">
          <cell r="L12576" t="str">
            <v>Non-proportional</v>
          </cell>
          <cell r="S12576">
            <v>4541.82</v>
          </cell>
          <cell r="X12576" t="str">
            <v>Commissions - gross</v>
          </cell>
          <cell r="Y12576" t="str">
            <v>UNITED KINGDOM</v>
          </cell>
        </row>
        <row r="12577">
          <cell r="L12577" t="str">
            <v>Non-proportional</v>
          </cell>
          <cell r="S12577">
            <v>1202.21</v>
          </cell>
          <cell r="X12577" t="str">
            <v>Commissions - gross</v>
          </cell>
          <cell r="Y12577" t="str">
            <v>MEXICO</v>
          </cell>
        </row>
        <row r="12578">
          <cell r="L12578" t="str">
            <v>Non-proportional</v>
          </cell>
          <cell r="S12578">
            <v>-8.14</v>
          </cell>
          <cell r="X12578" t="str">
            <v>Commissions - gross</v>
          </cell>
          <cell r="Y12578" t="str">
            <v>INDIA</v>
          </cell>
        </row>
        <row r="12579">
          <cell r="L12579" t="str">
            <v>Non-proportional</v>
          </cell>
          <cell r="S12579">
            <v>655.56</v>
          </cell>
          <cell r="X12579" t="str">
            <v>Commissions - gross</v>
          </cell>
          <cell r="Y12579" t="str">
            <v>UNITED KINGDOM</v>
          </cell>
        </row>
        <row r="12580">
          <cell r="L12580" t="str">
            <v>Non-proportional</v>
          </cell>
          <cell r="S12580">
            <v>36.840000000000003</v>
          </cell>
          <cell r="X12580" t="str">
            <v>Commissions - gross</v>
          </cell>
          <cell r="Y12580" t="str">
            <v>CHILE</v>
          </cell>
        </row>
        <row r="12581">
          <cell r="L12581" t="str">
            <v>Non-proportional</v>
          </cell>
          <cell r="S12581">
            <v>147.38</v>
          </cell>
          <cell r="X12581" t="str">
            <v>Commissions - gross</v>
          </cell>
          <cell r="Y12581" t="str">
            <v>CHILE</v>
          </cell>
        </row>
        <row r="12582">
          <cell r="L12582" t="str">
            <v>Non-proportional</v>
          </cell>
          <cell r="S12582">
            <v>-3.85</v>
          </cell>
          <cell r="X12582" t="str">
            <v>Commissions - gross</v>
          </cell>
          <cell r="Y12582" t="str">
            <v>JAPAN</v>
          </cell>
        </row>
        <row r="12583">
          <cell r="L12583" t="str">
            <v>Non-proportional</v>
          </cell>
          <cell r="S12583">
            <v>-3.31</v>
          </cell>
          <cell r="X12583" t="str">
            <v>Commissions - gross</v>
          </cell>
          <cell r="Y12583" t="str">
            <v>JAPAN</v>
          </cell>
        </row>
        <row r="12584">
          <cell r="L12584" t="str">
            <v>Non-proportional</v>
          </cell>
          <cell r="S12584">
            <v>1619.05</v>
          </cell>
          <cell r="X12584" t="str">
            <v>Commissions - gross</v>
          </cell>
          <cell r="Y12584" t="str">
            <v>JAPAN</v>
          </cell>
        </row>
        <row r="12585">
          <cell r="L12585" t="str">
            <v>Non-proportional</v>
          </cell>
          <cell r="S12585">
            <v>637.88</v>
          </cell>
          <cell r="X12585" t="str">
            <v>Commissions - gross</v>
          </cell>
          <cell r="Y12585" t="str">
            <v>NEW ZEALAND</v>
          </cell>
        </row>
        <row r="12586">
          <cell r="L12586" t="str">
            <v>Non-proportional</v>
          </cell>
          <cell r="S12586">
            <v>884.39</v>
          </cell>
          <cell r="X12586" t="str">
            <v>Commissions - gross</v>
          </cell>
          <cell r="Y12586" t="str">
            <v>TURKEY</v>
          </cell>
        </row>
        <row r="12587">
          <cell r="L12587" t="str">
            <v>Non-proportional</v>
          </cell>
          <cell r="S12587">
            <v>454.19</v>
          </cell>
          <cell r="X12587" t="str">
            <v>Commissions - gross</v>
          </cell>
          <cell r="Y12587" t="str">
            <v>TURKEY</v>
          </cell>
        </row>
        <row r="12588">
          <cell r="L12588" t="str">
            <v>Non-proportional</v>
          </cell>
          <cell r="S12588">
            <v>1049.99</v>
          </cell>
          <cell r="X12588" t="str">
            <v>Commissions - gross</v>
          </cell>
          <cell r="Y12588" t="str">
            <v>ITALY</v>
          </cell>
        </row>
        <row r="12589">
          <cell r="L12589" t="str">
            <v>Non-proportional</v>
          </cell>
          <cell r="S12589">
            <v>335.82</v>
          </cell>
          <cell r="X12589" t="str">
            <v>Commissions - gross</v>
          </cell>
          <cell r="Y12589" t="str">
            <v>BRAZIL</v>
          </cell>
        </row>
        <row r="12590">
          <cell r="L12590" t="str">
            <v>Non-proportional</v>
          </cell>
          <cell r="S12590">
            <v>673.19</v>
          </cell>
          <cell r="X12590" t="str">
            <v>Commissions - gross</v>
          </cell>
          <cell r="Y12590" t="str">
            <v>UNITED KINGDOM</v>
          </cell>
        </row>
        <row r="12591">
          <cell r="L12591" t="str">
            <v>Non-proportional</v>
          </cell>
          <cell r="S12591">
            <v>242.77</v>
          </cell>
          <cell r="X12591" t="str">
            <v>Commissions - gross</v>
          </cell>
          <cell r="Y12591" t="str">
            <v>UNITED KINGDOM</v>
          </cell>
        </row>
        <row r="12592">
          <cell r="L12592" t="str">
            <v>Proportional</v>
          </cell>
          <cell r="S12592">
            <v>476.26</v>
          </cell>
          <cell r="X12592" t="str">
            <v>Commissions - gross</v>
          </cell>
          <cell r="Y12592" t="str">
            <v>UNITED KINGDOM</v>
          </cell>
        </row>
        <row r="12593">
          <cell r="L12593" t="str">
            <v>Proportional</v>
          </cell>
          <cell r="S12593">
            <v>2.25</v>
          </cell>
          <cell r="X12593" t="str">
            <v>Commissions - gross</v>
          </cell>
          <cell r="Y12593" t="str">
            <v>UNITED STATES</v>
          </cell>
        </row>
        <row r="12594">
          <cell r="L12594" t="str">
            <v>Non-proportional</v>
          </cell>
          <cell r="S12594">
            <v>925.13</v>
          </cell>
          <cell r="X12594" t="str">
            <v>Commissions - gross</v>
          </cell>
          <cell r="Y12594" t="str">
            <v>ITALY</v>
          </cell>
        </row>
        <row r="12595">
          <cell r="L12595" t="str">
            <v>Non-proportional</v>
          </cell>
          <cell r="S12595">
            <v>38.75</v>
          </cell>
          <cell r="X12595" t="str">
            <v>Commissions - gross</v>
          </cell>
          <cell r="Y12595" t="str">
            <v>ITALY</v>
          </cell>
        </row>
        <row r="12596">
          <cell r="L12596" t="str">
            <v>Non-proportional</v>
          </cell>
          <cell r="S12596">
            <v>0</v>
          </cell>
          <cell r="X12596" t="str">
            <v>Commissions - gross</v>
          </cell>
          <cell r="Y12596" t="str">
            <v>DOMINICAN REPUBLIC</v>
          </cell>
        </row>
        <row r="12597">
          <cell r="L12597" t="str">
            <v>Non-proportional</v>
          </cell>
          <cell r="S12597">
            <v>3.55</v>
          </cell>
          <cell r="X12597" t="str">
            <v>Commissions - gross</v>
          </cell>
          <cell r="Y12597" t="str">
            <v>ISRAEL</v>
          </cell>
        </row>
        <row r="12598">
          <cell r="L12598" t="str">
            <v>Non-proportional</v>
          </cell>
          <cell r="S12598">
            <v>2711.48</v>
          </cell>
          <cell r="X12598" t="str">
            <v>Commissions - gross</v>
          </cell>
          <cell r="Y12598" t="str">
            <v>AUSTRALIA</v>
          </cell>
        </row>
        <row r="12599">
          <cell r="L12599" t="str">
            <v>Non-proportional</v>
          </cell>
          <cell r="S12599">
            <v>5329.48</v>
          </cell>
          <cell r="X12599" t="str">
            <v>Commissions - gross</v>
          </cell>
          <cell r="Y12599" t="str">
            <v>UNITED KINGDOM</v>
          </cell>
        </row>
        <row r="12600">
          <cell r="L12600" t="str">
            <v>Non-proportional</v>
          </cell>
          <cell r="S12600">
            <v>152.62</v>
          </cell>
          <cell r="X12600" t="str">
            <v>Commissions - gross</v>
          </cell>
          <cell r="Y12600" t="str">
            <v>JAPAN</v>
          </cell>
        </row>
        <row r="12601">
          <cell r="L12601" t="str">
            <v>Non-proportional</v>
          </cell>
          <cell r="S12601">
            <v>515.82000000000005</v>
          </cell>
          <cell r="X12601" t="str">
            <v>Commissions - gross</v>
          </cell>
          <cell r="Y12601" t="str">
            <v>CHILE</v>
          </cell>
        </row>
        <row r="12602">
          <cell r="L12602" t="str">
            <v>Non-proportional</v>
          </cell>
          <cell r="S12602">
            <v>42635.18</v>
          </cell>
          <cell r="X12602" t="str">
            <v>Commissions - gross</v>
          </cell>
          <cell r="Y12602" t="str">
            <v>UNITED KINGDOM</v>
          </cell>
        </row>
        <row r="12603">
          <cell r="L12603" t="str">
            <v>Non-proportional</v>
          </cell>
          <cell r="S12603">
            <v>634.09</v>
          </cell>
          <cell r="X12603" t="str">
            <v>Commissions - gross</v>
          </cell>
          <cell r="Y12603" t="str">
            <v>NEW ZEALAND</v>
          </cell>
        </row>
        <row r="12604">
          <cell r="L12604" t="str">
            <v>Non-proportional</v>
          </cell>
          <cell r="S12604">
            <v>331.97</v>
          </cell>
          <cell r="X12604" t="str">
            <v>Commissions - gross</v>
          </cell>
          <cell r="Y12604" t="str">
            <v>DOMINICAN REPUBLIC</v>
          </cell>
        </row>
        <row r="12605">
          <cell r="L12605" t="str">
            <v>Non-proportional</v>
          </cell>
          <cell r="S12605">
            <v>130.38</v>
          </cell>
          <cell r="X12605" t="str">
            <v>Commissions - gross</v>
          </cell>
          <cell r="Y12605" t="str">
            <v>CYPRUS</v>
          </cell>
        </row>
        <row r="12606">
          <cell r="L12606" t="str">
            <v>Non-proportional</v>
          </cell>
          <cell r="S12606">
            <v>83.2</v>
          </cell>
          <cell r="X12606" t="str">
            <v>Commissions - gross</v>
          </cell>
          <cell r="Y12606" t="str">
            <v>FRANCE</v>
          </cell>
        </row>
        <row r="12607">
          <cell r="L12607" t="str">
            <v>Non-proportional</v>
          </cell>
          <cell r="S12607">
            <v>726.77</v>
          </cell>
          <cell r="X12607" t="str">
            <v>Commissions - gross</v>
          </cell>
          <cell r="Y12607" t="str">
            <v>FRANCE</v>
          </cell>
        </row>
        <row r="12608">
          <cell r="L12608" t="str">
            <v>Non-proportional</v>
          </cell>
          <cell r="S12608">
            <v>-1.28</v>
          </cell>
          <cell r="X12608" t="str">
            <v>Commissions - gross</v>
          </cell>
          <cell r="Y12608" t="str">
            <v>GUATEMALA</v>
          </cell>
        </row>
        <row r="12609">
          <cell r="L12609" t="str">
            <v>Non-proportional</v>
          </cell>
          <cell r="S12609">
            <v>276.27</v>
          </cell>
          <cell r="X12609" t="str">
            <v>Commissions - gross</v>
          </cell>
          <cell r="Y12609" t="str">
            <v>ISRAEL</v>
          </cell>
        </row>
        <row r="12610">
          <cell r="L12610" t="str">
            <v>Non-proportional</v>
          </cell>
          <cell r="S12610">
            <v>330.42</v>
          </cell>
          <cell r="X12610" t="str">
            <v>Commissions - gross</v>
          </cell>
          <cell r="Y12610" t="str">
            <v>UNITED KINGDOM</v>
          </cell>
        </row>
        <row r="12611">
          <cell r="L12611" t="str">
            <v>Non-proportional</v>
          </cell>
          <cell r="S12611">
            <v>99.18</v>
          </cell>
          <cell r="X12611" t="str">
            <v>Commissions - gross</v>
          </cell>
          <cell r="Y12611" t="str">
            <v>ISRAEL</v>
          </cell>
        </row>
        <row r="12612">
          <cell r="L12612" t="str">
            <v>Non-proportional</v>
          </cell>
          <cell r="S12612">
            <v>1837.37</v>
          </cell>
          <cell r="X12612" t="str">
            <v>Commissions - gross</v>
          </cell>
          <cell r="Y12612" t="str">
            <v>PUERTO RICO</v>
          </cell>
        </row>
        <row r="12613">
          <cell r="L12613" t="str">
            <v>Non-proportional</v>
          </cell>
          <cell r="S12613">
            <v>14.97</v>
          </cell>
          <cell r="X12613" t="str">
            <v>Commissions - gross</v>
          </cell>
          <cell r="Y12613" t="str">
            <v>ISRAEL</v>
          </cell>
        </row>
        <row r="12614">
          <cell r="L12614" t="str">
            <v>Non-proportional</v>
          </cell>
          <cell r="S12614">
            <v>173.55</v>
          </cell>
          <cell r="X12614" t="str">
            <v>Commissions - gross</v>
          </cell>
          <cell r="Y12614" t="str">
            <v>NEW ZEALAND</v>
          </cell>
        </row>
        <row r="12615">
          <cell r="L12615" t="str">
            <v>Non-proportional</v>
          </cell>
          <cell r="S12615">
            <v>-8.82</v>
          </cell>
          <cell r="X12615" t="str">
            <v>Commissions - gross</v>
          </cell>
          <cell r="Y12615" t="str">
            <v>JAPAN</v>
          </cell>
        </row>
        <row r="12616">
          <cell r="L12616" t="str">
            <v>Non-proportional</v>
          </cell>
          <cell r="S12616">
            <v>51.89</v>
          </cell>
          <cell r="X12616" t="str">
            <v>Commissions - gross</v>
          </cell>
          <cell r="Y12616" t="str">
            <v>JAPAN</v>
          </cell>
        </row>
        <row r="12617">
          <cell r="L12617" t="str">
            <v>Non-proportional</v>
          </cell>
          <cell r="S12617">
            <v>183.27</v>
          </cell>
          <cell r="X12617" t="str">
            <v>Commissions - gross</v>
          </cell>
          <cell r="Y12617" t="str">
            <v>SOUTH AFRICA</v>
          </cell>
        </row>
        <row r="12618">
          <cell r="L12618" t="str">
            <v>Non-proportional</v>
          </cell>
          <cell r="S12618">
            <v>3905.38</v>
          </cell>
          <cell r="X12618" t="str">
            <v>Commissions - gross</v>
          </cell>
          <cell r="Y12618" t="str">
            <v>UNITED STATES</v>
          </cell>
        </row>
        <row r="12619">
          <cell r="L12619" t="str">
            <v>Proportional</v>
          </cell>
          <cell r="S12619">
            <v>367.42</v>
          </cell>
          <cell r="X12619" t="str">
            <v>Commissions - gross</v>
          </cell>
          <cell r="Y12619" t="str">
            <v>ITALY</v>
          </cell>
        </row>
        <row r="12620">
          <cell r="L12620" t="str">
            <v>Non-proportional</v>
          </cell>
          <cell r="S12620">
            <v>489.01</v>
          </cell>
          <cell r="X12620" t="str">
            <v>Commissions - gross</v>
          </cell>
          <cell r="Y12620" t="str">
            <v>FRANCE</v>
          </cell>
        </row>
        <row r="12621">
          <cell r="L12621" t="str">
            <v>Non-proportional</v>
          </cell>
          <cell r="S12621">
            <v>983.28</v>
          </cell>
          <cell r="X12621" t="str">
            <v>Commissions - gross</v>
          </cell>
          <cell r="Y12621" t="str">
            <v>FRANCE</v>
          </cell>
        </row>
        <row r="12622">
          <cell r="L12622" t="str">
            <v>Non-proportional</v>
          </cell>
          <cell r="S12622">
            <v>349.7</v>
          </cell>
          <cell r="X12622" t="str">
            <v>Commissions - gross</v>
          </cell>
          <cell r="Y12622" t="str">
            <v>UNITED KINGDOM</v>
          </cell>
        </row>
        <row r="12623">
          <cell r="L12623" t="str">
            <v>Non-proportional</v>
          </cell>
          <cell r="S12623">
            <v>263.94</v>
          </cell>
          <cell r="X12623" t="str">
            <v>Commissions - gross</v>
          </cell>
          <cell r="Y12623" t="str">
            <v>UNITED ARAB EMIRATES</v>
          </cell>
        </row>
        <row r="12624">
          <cell r="L12624" t="str">
            <v>Non-proportional</v>
          </cell>
          <cell r="S12624">
            <v>-0.11</v>
          </cell>
          <cell r="X12624" t="str">
            <v>Commissions - gross</v>
          </cell>
          <cell r="Y12624" t="str">
            <v>GUATEMALA</v>
          </cell>
        </row>
        <row r="12625">
          <cell r="L12625" t="str">
            <v>Non-proportional</v>
          </cell>
          <cell r="S12625">
            <v>1262.51</v>
          </cell>
          <cell r="X12625" t="str">
            <v>Commissions - gross</v>
          </cell>
          <cell r="Y12625" t="str">
            <v>BELGIUM</v>
          </cell>
        </row>
        <row r="12626">
          <cell r="L12626" t="str">
            <v>Non-proportional</v>
          </cell>
          <cell r="S12626">
            <v>146.88</v>
          </cell>
          <cell r="X12626" t="str">
            <v>Commissions - gross</v>
          </cell>
          <cell r="Y12626" t="str">
            <v>GREECE</v>
          </cell>
        </row>
        <row r="12627">
          <cell r="L12627" t="str">
            <v>Non-proportional</v>
          </cell>
          <cell r="S12627">
            <v>21.53</v>
          </cell>
          <cell r="X12627" t="str">
            <v>Commissions - gross</v>
          </cell>
          <cell r="Y12627" t="str">
            <v>JAPAN</v>
          </cell>
        </row>
        <row r="12628">
          <cell r="L12628" t="str">
            <v>Non-proportional</v>
          </cell>
          <cell r="S12628">
            <v>0</v>
          </cell>
          <cell r="X12628" t="str">
            <v>Commissions - gross</v>
          </cell>
          <cell r="Y12628" t="str">
            <v>COLOMBIA</v>
          </cell>
        </row>
        <row r="12629">
          <cell r="L12629" t="str">
            <v>Non-proportional</v>
          </cell>
          <cell r="S12629">
            <v>857.48</v>
          </cell>
          <cell r="X12629" t="str">
            <v>Commissions - gross</v>
          </cell>
          <cell r="Y12629" t="str">
            <v>COLOMBIA</v>
          </cell>
        </row>
        <row r="12630">
          <cell r="L12630" t="str">
            <v>Non-proportional</v>
          </cell>
          <cell r="S12630">
            <v>214.2</v>
          </cell>
          <cell r="X12630" t="str">
            <v>Commissions - gross</v>
          </cell>
          <cell r="Y12630" t="str">
            <v>UNITED KINGDOM</v>
          </cell>
        </row>
        <row r="12631">
          <cell r="L12631" t="str">
            <v>Non-proportional</v>
          </cell>
          <cell r="S12631">
            <v>-0.55000000000000004</v>
          </cell>
          <cell r="X12631" t="str">
            <v>Commissions - gross</v>
          </cell>
          <cell r="Y12631" t="str">
            <v>JAPAN</v>
          </cell>
        </row>
        <row r="12632">
          <cell r="L12632" t="str">
            <v>Non-proportional</v>
          </cell>
          <cell r="S12632">
            <v>777.53</v>
          </cell>
          <cell r="X12632" t="str">
            <v>Commissions - gross</v>
          </cell>
          <cell r="Y12632" t="str">
            <v>UNITED KINGDOM</v>
          </cell>
        </row>
        <row r="12633">
          <cell r="L12633" t="str">
            <v>Non-proportional</v>
          </cell>
          <cell r="S12633">
            <v>34.74</v>
          </cell>
          <cell r="X12633" t="str">
            <v>Commissions - gross</v>
          </cell>
          <cell r="Y12633" t="str">
            <v>NEW ZEALAND</v>
          </cell>
        </row>
        <row r="12634">
          <cell r="L12634" t="str">
            <v>Non-proportional</v>
          </cell>
          <cell r="S12634">
            <v>389.2</v>
          </cell>
          <cell r="X12634" t="str">
            <v>Commissions - gross</v>
          </cell>
          <cell r="Y12634" t="str">
            <v>ISRAEL</v>
          </cell>
        </row>
        <row r="12635">
          <cell r="L12635" t="str">
            <v>Proportional</v>
          </cell>
          <cell r="S12635">
            <v>0.91</v>
          </cell>
          <cell r="X12635" t="str">
            <v>Commissions - gross</v>
          </cell>
          <cell r="Y12635" t="str">
            <v>UNITED STATES</v>
          </cell>
        </row>
        <row r="12636">
          <cell r="L12636" t="str">
            <v>Non-proportional</v>
          </cell>
          <cell r="S12636">
            <v>284.08</v>
          </cell>
          <cell r="X12636" t="str">
            <v>Commissions - gross</v>
          </cell>
          <cell r="Y12636" t="str">
            <v>EUROPE</v>
          </cell>
        </row>
        <row r="12637">
          <cell r="L12637" t="str">
            <v>Non-proportional</v>
          </cell>
          <cell r="S12637">
            <v>1538.57</v>
          </cell>
          <cell r="X12637" t="str">
            <v>Commissions - gross</v>
          </cell>
          <cell r="Y12637" t="str">
            <v>UNITED KINGDOM</v>
          </cell>
        </row>
        <row r="12638">
          <cell r="L12638" t="str">
            <v>Non-proportional</v>
          </cell>
          <cell r="S12638">
            <v>6.86</v>
          </cell>
          <cell r="X12638" t="str">
            <v>Commissions - gross</v>
          </cell>
          <cell r="Y12638" t="str">
            <v>ISRAEL</v>
          </cell>
        </row>
        <row r="12639">
          <cell r="L12639" t="str">
            <v>Proportional</v>
          </cell>
          <cell r="S12639">
            <v>-59.96</v>
          </cell>
          <cell r="X12639" t="str">
            <v>Commissions - gross</v>
          </cell>
          <cell r="Y12639" t="str">
            <v>UNITED STATES</v>
          </cell>
        </row>
        <row r="12640">
          <cell r="L12640" t="str">
            <v>Non-proportional</v>
          </cell>
          <cell r="S12640">
            <v>1.18</v>
          </cell>
          <cell r="X12640" t="str">
            <v>Commissions - gross</v>
          </cell>
          <cell r="Y12640" t="str">
            <v>ISRAEL</v>
          </cell>
        </row>
        <row r="12641">
          <cell r="L12641" t="str">
            <v>Non-proportional</v>
          </cell>
          <cell r="S12641">
            <v>261.87</v>
          </cell>
          <cell r="X12641" t="str">
            <v>Commissions - gross</v>
          </cell>
          <cell r="Y12641" t="str">
            <v>ISRAEL</v>
          </cell>
        </row>
        <row r="12642">
          <cell r="L12642" t="str">
            <v>Proportional</v>
          </cell>
          <cell r="S12642">
            <v>-0.92</v>
          </cell>
          <cell r="X12642" t="str">
            <v>Commissions - gross</v>
          </cell>
          <cell r="Y12642" t="str">
            <v>UNITED STATES</v>
          </cell>
        </row>
        <row r="12643">
          <cell r="L12643" t="str">
            <v>Proportional</v>
          </cell>
          <cell r="S12643">
            <v>2587.2199999999998</v>
          </cell>
          <cell r="X12643" t="str">
            <v>Commissions - gross</v>
          </cell>
          <cell r="Y12643" t="str">
            <v>FRANCE</v>
          </cell>
        </row>
        <row r="12644">
          <cell r="L12644" t="str">
            <v>Non-proportional</v>
          </cell>
          <cell r="S12644">
            <v>-3.26</v>
          </cell>
          <cell r="X12644" t="str">
            <v>Commissions - gross</v>
          </cell>
          <cell r="Y12644" t="str">
            <v>JAPAN</v>
          </cell>
        </row>
        <row r="12645">
          <cell r="L12645" t="str">
            <v>Non-proportional</v>
          </cell>
          <cell r="S12645">
            <v>282.2</v>
          </cell>
          <cell r="X12645" t="str">
            <v>Commissions - gross</v>
          </cell>
          <cell r="Y12645" t="str">
            <v>AUSTRALIA</v>
          </cell>
        </row>
        <row r="12646">
          <cell r="L12646" t="str">
            <v>Proportional</v>
          </cell>
          <cell r="S12646">
            <v>29.27</v>
          </cell>
          <cell r="X12646" t="str">
            <v>Commissions - gross</v>
          </cell>
          <cell r="Y12646" t="str">
            <v>UNITED STATES</v>
          </cell>
        </row>
        <row r="12647">
          <cell r="L12647" t="str">
            <v>Non-proportional</v>
          </cell>
          <cell r="S12647">
            <v>330.69</v>
          </cell>
          <cell r="X12647" t="str">
            <v>Commissions - gross</v>
          </cell>
          <cell r="Y12647" t="str">
            <v>ISRAEL</v>
          </cell>
        </row>
        <row r="12648">
          <cell r="L12648" t="str">
            <v>Non-proportional</v>
          </cell>
          <cell r="S12648">
            <v>574.14</v>
          </cell>
          <cell r="X12648" t="str">
            <v>Commissions - gross</v>
          </cell>
          <cell r="Y12648" t="str">
            <v>THAILAND</v>
          </cell>
        </row>
        <row r="12649">
          <cell r="L12649" t="str">
            <v>Non-proportional</v>
          </cell>
          <cell r="S12649">
            <v>444.28</v>
          </cell>
          <cell r="X12649" t="str">
            <v>Commissions - gross</v>
          </cell>
          <cell r="Y12649" t="str">
            <v>COLOMBIA</v>
          </cell>
        </row>
        <row r="12650">
          <cell r="L12650" t="str">
            <v>Non-proportional</v>
          </cell>
          <cell r="S12650">
            <v>0.43</v>
          </cell>
          <cell r="X12650" t="str">
            <v>Commissions - gross</v>
          </cell>
          <cell r="Y12650" t="str">
            <v>COSTA RICA</v>
          </cell>
        </row>
        <row r="12651">
          <cell r="L12651" t="str">
            <v>Non-proportional</v>
          </cell>
          <cell r="S12651">
            <v>-12.12</v>
          </cell>
          <cell r="X12651" t="str">
            <v>Commissions - gross</v>
          </cell>
          <cell r="Y12651" t="str">
            <v>DOMINICAN REPUBLIC</v>
          </cell>
        </row>
        <row r="12652">
          <cell r="L12652" t="str">
            <v>Non-proportional</v>
          </cell>
          <cell r="S12652">
            <v>-29.86</v>
          </cell>
          <cell r="X12652" t="str">
            <v>Commissions - gross</v>
          </cell>
          <cell r="Y12652" t="str">
            <v>INDIA</v>
          </cell>
        </row>
        <row r="12653">
          <cell r="L12653" t="str">
            <v>Non-proportional</v>
          </cell>
          <cell r="S12653">
            <v>368.44</v>
          </cell>
          <cell r="X12653" t="str">
            <v>Commissions - gross</v>
          </cell>
          <cell r="Y12653" t="str">
            <v>CHILE</v>
          </cell>
        </row>
        <row r="12654">
          <cell r="L12654" t="str">
            <v>Non-proportional</v>
          </cell>
          <cell r="S12654">
            <v>0</v>
          </cell>
          <cell r="X12654" t="str">
            <v>Commissions - gross</v>
          </cell>
          <cell r="Y12654" t="str">
            <v>BRAZIL</v>
          </cell>
        </row>
        <row r="12655">
          <cell r="L12655" t="str">
            <v>Non-proportional</v>
          </cell>
          <cell r="S12655">
            <v>209.65</v>
          </cell>
          <cell r="X12655" t="str">
            <v>Commissions - gross</v>
          </cell>
          <cell r="Y12655" t="str">
            <v>DOMINICAN REPUBLIC</v>
          </cell>
        </row>
        <row r="12656">
          <cell r="L12656" t="str">
            <v>Proportional</v>
          </cell>
          <cell r="S12656">
            <v>73.69</v>
          </cell>
          <cell r="X12656" t="str">
            <v>Commissions - gross</v>
          </cell>
          <cell r="Y12656" t="str">
            <v>CHILE</v>
          </cell>
        </row>
        <row r="12657">
          <cell r="L12657" t="str">
            <v>Non-proportional</v>
          </cell>
          <cell r="S12657">
            <v>249.52</v>
          </cell>
          <cell r="X12657" t="str">
            <v>Commissions - gross</v>
          </cell>
          <cell r="Y12657" t="str">
            <v>ITALY</v>
          </cell>
        </row>
        <row r="12658">
          <cell r="L12658" t="str">
            <v>Non-proportional</v>
          </cell>
          <cell r="S12658">
            <v>3034.6</v>
          </cell>
          <cell r="X12658" t="str">
            <v>Commissions - gross</v>
          </cell>
          <cell r="Y12658" t="str">
            <v>FRANCE</v>
          </cell>
        </row>
        <row r="12659">
          <cell r="L12659" t="str">
            <v>Non-proportional</v>
          </cell>
          <cell r="S12659">
            <v>918.75</v>
          </cell>
          <cell r="X12659" t="str">
            <v>Commissions - gross</v>
          </cell>
          <cell r="Y12659" t="str">
            <v>TURKEY</v>
          </cell>
        </row>
        <row r="12660">
          <cell r="L12660" t="str">
            <v>Proportional</v>
          </cell>
          <cell r="S12660">
            <v>-340.91</v>
          </cell>
          <cell r="X12660" t="str">
            <v>Commissions - gross</v>
          </cell>
          <cell r="Y12660" t="str">
            <v>FRANCE</v>
          </cell>
        </row>
        <row r="12661">
          <cell r="L12661" t="str">
            <v>Non-proportional</v>
          </cell>
          <cell r="S12661">
            <v>22193.5</v>
          </cell>
          <cell r="X12661" t="str">
            <v>Commissions - gross</v>
          </cell>
          <cell r="Y12661" t="str">
            <v>BELGIUM</v>
          </cell>
        </row>
        <row r="12662">
          <cell r="L12662" t="str">
            <v>Non-proportional</v>
          </cell>
          <cell r="S12662">
            <v>330.33</v>
          </cell>
          <cell r="X12662" t="str">
            <v>Commissions - gross</v>
          </cell>
          <cell r="Y12662" t="str">
            <v>INDIA</v>
          </cell>
        </row>
        <row r="12663">
          <cell r="L12663" t="str">
            <v>Non-proportional</v>
          </cell>
          <cell r="S12663">
            <v>3271.3</v>
          </cell>
          <cell r="X12663" t="str">
            <v>Commissions - gross</v>
          </cell>
          <cell r="Y12663" t="str">
            <v>NEW ZEALAND</v>
          </cell>
        </row>
        <row r="12664">
          <cell r="L12664" t="str">
            <v>Non-proportional</v>
          </cell>
          <cell r="S12664">
            <v>122.79</v>
          </cell>
          <cell r="X12664" t="str">
            <v>Commissions - gross</v>
          </cell>
          <cell r="Y12664" t="str">
            <v>BRAZIL</v>
          </cell>
        </row>
        <row r="12665">
          <cell r="L12665" t="str">
            <v>Non-proportional</v>
          </cell>
          <cell r="S12665">
            <v>193.41</v>
          </cell>
          <cell r="X12665" t="str">
            <v>Commissions - gross</v>
          </cell>
          <cell r="Y12665" t="str">
            <v>ISRAEL</v>
          </cell>
        </row>
        <row r="12666">
          <cell r="L12666" t="str">
            <v>Non-proportional</v>
          </cell>
          <cell r="S12666">
            <v>439.83</v>
          </cell>
          <cell r="X12666" t="str">
            <v>Commissions - gross</v>
          </cell>
          <cell r="Y12666" t="str">
            <v>COLOMBIA</v>
          </cell>
        </row>
        <row r="12667">
          <cell r="L12667" t="str">
            <v>Non-proportional</v>
          </cell>
          <cell r="S12667">
            <v>257.91000000000003</v>
          </cell>
          <cell r="X12667" t="str">
            <v>Commissions - gross</v>
          </cell>
          <cell r="Y12667" t="str">
            <v>CHILE</v>
          </cell>
        </row>
        <row r="12668">
          <cell r="L12668" t="str">
            <v>Non-proportional</v>
          </cell>
          <cell r="S12668">
            <v>515.58000000000004</v>
          </cell>
          <cell r="X12668" t="str">
            <v>Commissions - gross</v>
          </cell>
          <cell r="Y12668" t="str">
            <v>BELIZE</v>
          </cell>
        </row>
        <row r="12669">
          <cell r="L12669" t="str">
            <v>Non-proportional</v>
          </cell>
          <cell r="S12669">
            <v>630.95000000000005</v>
          </cell>
          <cell r="X12669" t="str">
            <v>Commissions - gross</v>
          </cell>
          <cell r="Y12669" t="str">
            <v>JAPAN</v>
          </cell>
        </row>
        <row r="12670">
          <cell r="L12670" t="str">
            <v>Non-proportional</v>
          </cell>
          <cell r="S12670">
            <v>-7.59</v>
          </cell>
          <cell r="X12670" t="str">
            <v>Commissions - gross</v>
          </cell>
          <cell r="Y12670" t="str">
            <v>JAPAN</v>
          </cell>
        </row>
        <row r="12671">
          <cell r="L12671" t="str">
            <v>Non-proportional</v>
          </cell>
          <cell r="S12671">
            <v>9.57</v>
          </cell>
          <cell r="X12671" t="str">
            <v>Commissions - gross</v>
          </cell>
          <cell r="Y12671" t="str">
            <v>BRAZIL</v>
          </cell>
        </row>
        <row r="12672">
          <cell r="L12672" t="str">
            <v>Non-proportional</v>
          </cell>
          <cell r="S12672">
            <v>-24.67</v>
          </cell>
          <cell r="X12672" t="str">
            <v>Commissions - gross</v>
          </cell>
          <cell r="Y12672" t="str">
            <v>JAPAN</v>
          </cell>
        </row>
        <row r="12673">
          <cell r="L12673" t="str">
            <v>Non-proportional</v>
          </cell>
          <cell r="S12673">
            <v>-5.43</v>
          </cell>
          <cell r="X12673" t="str">
            <v>Commissions - gross</v>
          </cell>
          <cell r="Y12673" t="str">
            <v>NEW ZEALAND</v>
          </cell>
        </row>
        <row r="12674">
          <cell r="L12674" t="str">
            <v>Non-proportional</v>
          </cell>
          <cell r="S12674">
            <v>218.76</v>
          </cell>
          <cell r="X12674" t="str">
            <v>Commissions - gross</v>
          </cell>
          <cell r="Y12674" t="str">
            <v>SPAIN</v>
          </cell>
        </row>
        <row r="12675">
          <cell r="L12675" t="str">
            <v>Non-proportional</v>
          </cell>
          <cell r="S12675">
            <v>-9690.06</v>
          </cell>
          <cell r="X12675" t="str">
            <v>Commissions - gross</v>
          </cell>
          <cell r="Y12675" t="str">
            <v>CHILE</v>
          </cell>
        </row>
        <row r="12676">
          <cell r="L12676" t="str">
            <v>Non-proportional</v>
          </cell>
          <cell r="S12676">
            <v>972.83</v>
          </cell>
          <cell r="X12676" t="str">
            <v>Commissions - gross</v>
          </cell>
          <cell r="Y12676" t="str">
            <v>MEXICO</v>
          </cell>
        </row>
        <row r="12677">
          <cell r="L12677" t="str">
            <v>Non-proportional</v>
          </cell>
          <cell r="S12677">
            <v>948.69</v>
          </cell>
          <cell r="X12677" t="str">
            <v>Commissions - gross</v>
          </cell>
          <cell r="Y12677" t="str">
            <v>MEXICO</v>
          </cell>
        </row>
        <row r="12678">
          <cell r="L12678" t="str">
            <v>Non-proportional</v>
          </cell>
          <cell r="S12678">
            <v>-2726.48</v>
          </cell>
          <cell r="X12678" t="str">
            <v>Commissions - gross</v>
          </cell>
          <cell r="Y12678" t="str">
            <v>CHILE</v>
          </cell>
        </row>
        <row r="12679">
          <cell r="L12679" t="str">
            <v>Non-proportional</v>
          </cell>
          <cell r="S12679">
            <v>0.67</v>
          </cell>
          <cell r="X12679" t="str">
            <v>Commissions - gross</v>
          </cell>
          <cell r="Y12679" t="str">
            <v>COSTA RICA</v>
          </cell>
        </row>
        <row r="12680">
          <cell r="L12680" t="str">
            <v>Non-proportional</v>
          </cell>
          <cell r="S12680">
            <v>-13.9</v>
          </cell>
          <cell r="X12680" t="str">
            <v>Commissions - gross</v>
          </cell>
          <cell r="Y12680" t="str">
            <v>DOMINICAN REPUBLIC</v>
          </cell>
        </row>
        <row r="12681">
          <cell r="L12681" t="str">
            <v>Non-proportional</v>
          </cell>
          <cell r="S12681">
            <v>-19.54</v>
          </cell>
          <cell r="X12681" t="str">
            <v>Commissions - gross</v>
          </cell>
          <cell r="Y12681" t="str">
            <v>INDIA</v>
          </cell>
        </row>
        <row r="12682">
          <cell r="L12682" t="str">
            <v>Non-proportional</v>
          </cell>
          <cell r="S12682">
            <v>297.55</v>
          </cell>
          <cell r="X12682" t="str">
            <v>Commissions - gross</v>
          </cell>
          <cell r="Y12682" t="str">
            <v>ISRAEL</v>
          </cell>
        </row>
        <row r="12683">
          <cell r="L12683" t="str">
            <v>Non-proportional</v>
          </cell>
          <cell r="S12683">
            <v>1014.66</v>
          </cell>
          <cell r="X12683" t="str">
            <v>Commissions - gross</v>
          </cell>
          <cell r="Y12683" t="str">
            <v>PERU</v>
          </cell>
        </row>
        <row r="12684">
          <cell r="L12684" t="str">
            <v>Non-proportional</v>
          </cell>
          <cell r="S12684">
            <v>-25410.7</v>
          </cell>
          <cell r="X12684" t="str">
            <v>Commissions - gross</v>
          </cell>
          <cell r="Y12684" t="str">
            <v>TURKEY</v>
          </cell>
        </row>
        <row r="12685">
          <cell r="L12685" t="str">
            <v>Proportional</v>
          </cell>
          <cell r="S12685">
            <v>-0.01</v>
          </cell>
          <cell r="X12685" t="str">
            <v>Commissions - gross</v>
          </cell>
          <cell r="Y12685" t="str">
            <v>UNITED STATES</v>
          </cell>
        </row>
        <row r="12686">
          <cell r="L12686" t="str">
            <v>Non-proportional</v>
          </cell>
          <cell r="S12686">
            <v>423.85</v>
          </cell>
          <cell r="X12686" t="str">
            <v>Commissions - gross</v>
          </cell>
          <cell r="Y12686" t="str">
            <v>FRANCE</v>
          </cell>
        </row>
        <row r="12687">
          <cell r="L12687" t="str">
            <v>Proportional</v>
          </cell>
          <cell r="S12687">
            <v>410.08</v>
          </cell>
          <cell r="X12687" t="str">
            <v>Commissions - gross</v>
          </cell>
          <cell r="Y12687" t="str">
            <v>AUSTRALIA</v>
          </cell>
        </row>
        <row r="12688">
          <cell r="L12688" t="str">
            <v>Non-proportional</v>
          </cell>
          <cell r="S12688">
            <v>322.12</v>
          </cell>
          <cell r="X12688" t="str">
            <v>Commissions - gross</v>
          </cell>
          <cell r="Y12688" t="str">
            <v>AUSTRALIA</v>
          </cell>
        </row>
        <row r="12689">
          <cell r="L12689" t="str">
            <v>Non-proportional</v>
          </cell>
          <cell r="S12689">
            <v>1128.5899999999999</v>
          </cell>
          <cell r="X12689" t="str">
            <v>Commissions - gross</v>
          </cell>
          <cell r="Y12689" t="str">
            <v>AUSTRALIA</v>
          </cell>
        </row>
        <row r="12690">
          <cell r="L12690" t="str">
            <v>Non-proportional</v>
          </cell>
          <cell r="S12690">
            <v>503.06</v>
          </cell>
          <cell r="X12690" t="str">
            <v>Commissions - gross</v>
          </cell>
          <cell r="Y12690" t="str">
            <v>SOUTH AFRICA</v>
          </cell>
        </row>
        <row r="12691">
          <cell r="L12691" t="str">
            <v>Non-proportional</v>
          </cell>
          <cell r="S12691">
            <v>25.68</v>
          </cell>
          <cell r="X12691" t="str">
            <v>Commissions - gross</v>
          </cell>
          <cell r="Y12691" t="str">
            <v>NEW ZEALAND</v>
          </cell>
        </row>
        <row r="12692">
          <cell r="L12692" t="str">
            <v>Non-proportional</v>
          </cell>
          <cell r="S12692">
            <v>1.63</v>
          </cell>
          <cell r="X12692" t="str">
            <v>Commissions - gross</v>
          </cell>
          <cell r="Y12692" t="str">
            <v>ISRAEL</v>
          </cell>
        </row>
        <row r="12693">
          <cell r="L12693" t="str">
            <v>Non-proportional</v>
          </cell>
          <cell r="S12693">
            <v>264.82</v>
          </cell>
          <cell r="X12693" t="str">
            <v>Commissions - gross</v>
          </cell>
          <cell r="Y12693" t="str">
            <v>ECUADOR</v>
          </cell>
        </row>
        <row r="12694">
          <cell r="L12694" t="str">
            <v>Non-proportional</v>
          </cell>
          <cell r="S12694">
            <v>184.22</v>
          </cell>
          <cell r="X12694" t="str">
            <v>Commissions - gross</v>
          </cell>
          <cell r="Y12694" t="str">
            <v>CHILE</v>
          </cell>
        </row>
        <row r="12695">
          <cell r="L12695" t="str">
            <v>Non-proportional</v>
          </cell>
          <cell r="S12695">
            <v>72.91</v>
          </cell>
          <cell r="X12695" t="str">
            <v>Commissions - gross</v>
          </cell>
          <cell r="Y12695" t="str">
            <v>ISRAEL</v>
          </cell>
        </row>
        <row r="12696">
          <cell r="L12696" t="str">
            <v>Non-proportional</v>
          </cell>
          <cell r="S12696">
            <v>-2.19</v>
          </cell>
          <cell r="X12696" t="str">
            <v>Commissions - gross</v>
          </cell>
          <cell r="Y12696" t="str">
            <v>JAPAN</v>
          </cell>
        </row>
        <row r="12697">
          <cell r="L12697" t="str">
            <v>Non-proportional</v>
          </cell>
          <cell r="S12697">
            <v>367.44</v>
          </cell>
          <cell r="X12697" t="str">
            <v>Commissions - gross</v>
          </cell>
          <cell r="Y12697" t="str">
            <v>ISRAEL</v>
          </cell>
        </row>
        <row r="12698">
          <cell r="L12698" t="str">
            <v>Non-proportional</v>
          </cell>
          <cell r="S12698">
            <v>145.83000000000001</v>
          </cell>
          <cell r="X12698" t="str">
            <v>Commissions - gross</v>
          </cell>
          <cell r="Y12698" t="str">
            <v>GREECE</v>
          </cell>
        </row>
        <row r="12699">
          <cell r="L12699" t="str">
            <v>Non-proportional</v>
          </cell>
          <cell r="S12699">
            <v>251.77</v>
          </cell>
          <cell r="X12699" t="str">
            <v>Commissions - gross</v>
          </cell>
          <cell r="Y12699" t="str">
            <v>ITALY</v>
          </cell>
        </row>
        <row r="12700">
          <cell r="L12700" t="str">
            <v>Non-proportional</v>
          </cell>
          <cell r="S12700">
            <v>148.08000000000001</v>
          </cell>
          <cell r="X12700" t="str">
            <v>Commissions - gross</v>
          </cell>
          <cell r="Y12700" t="str">
            <v>FRANCE</v>
          </cell>
        </row>
        <row r="12701">
          <cell r="L12701" t="str">
            <v>Non-proportional</v>
          </cell>
          <cell r="S12701">
            <v>625</v>
          </cell>
          <cell r="X12701" t="str">
            <v>Commissions - gross</v>
          </cell>
          <cell r="Y12701" t="str">
            <v>SPAIN</v>
          </cell>
        </row>
        <row r="12702">
          <cell r="L12702" t="str">
            <v>Non-proportional</v>
          </cell>
          <cell r="S12702">
            <v>1996.77</v>
          </cell>
          <cell r="X12702" t="str">
            <v>Commissions - gross</v>
          </cell>
          <cell r="Y12702" t="str">
            <v>FRANCE</v>
          </cell>
        </row>
        <row r="12703">
          <cell r="L12703" t="str">
            <v>Non-proportional</v>
          </cell>
          <cell r="S12703">
            <v>54.69</v>
          </cell>
          <cell r="X12703" t="str">
            <v>Commissions - gross</v>
          </cell>
          <cell r="Y12703" t="str">
            <v>ITALY</v>
          </cell>
        </row>
        <row r="12704">
          <cell r="L12704" t="str">
            <v>Non-proportional</v>
          </cell>
          <cell r="S12704">
            <v>515.19000000000005</v>
          </cell>
          <cell r="X12704" t="str">
            <v>Commissions - gross</v>
          </cell>
          <cell r="Y12704" t="str">
            <v>ITALY</v>
          </cell>
        </row>
        <row r="12705">
          <cell r="L12705" t="str">
            <v>Non-proportional</v>
          </cell>
          <cell r="S12705">
            <v>570.02</v>
          </cell>
          <cell r="X12705" t="str">
            <v>Commissions - gross</v>
          </cell>
          <cell r="Y12705" t="str">
            <v>ITALY</v>
          </cell>
        </row>
        <row r="12706">
          <cell r="L12706" t="str">
            <v>Non-proportional</v>
          </cell>
          <cell r="S12706">
            <v>4248.34</v>
          </cell>
          <cell r="X12706" t="str">
            <v>Commissions - gross</v>
          </cell>
          <cell r="Y12706" t="str">
            <v>UNITED KINGDOM</v>
          </cell>
        </row>
        <row r="12707">
          <cell r="L12707" t="str">
            <v>Non-proportional</v>
          </cell>
          <cell r="S12707">
            <v>1260.51</v>
          </cell>
          <cell r="X12707" t="str">
            <v>Commissions - gross</v>
          </cell>
          <cell r="Y12707" t="str">
            <v>COLOMBIA</v>
          </cell>
        </row>
        <row r="12708">
          <cell r="L12708" t="str">
            <v>Non-proportional</v>
          </cell>
          <cell r="S12708">
            <v>407.62</v>
          </cell>
          <cell r="X12708" t="str">
            <v>Commissions - gross</v>
          </cell>
          <cell r="Y12708" t="str">
            <v>UNITED KINGDOM</v>
          </cell>
        </row>
        <row r="12709">
          <cell r="L12709" t="str">
            <v>Non-proportional</v>
          </cell>
          <cell r="S12709">
            <v>73.69</v>
          </cell>
          <cell r="X12709" t="str">
            <v>Commissions - gross</v>
          </cell>
          <cell r="Y12709" t="str">
            <v>CHILE</v>
          </cell>
        </row>
        <row r="12710">
          <cell r="L12710" t="str">
            <v>Non-proportional</v>
          </cell>
          <cell r="S12710">
            <v>552.66999999999996</v>
          </cell>
          <cell r="X12710" t="str">
            <v>Commissions - gross</v>
          </cell>
          <cell r="Y12710" t="str">
            <v>CHILE</v>
          </cell>
        </row>
        <row r="12711">
          <cell r="L12711" t="str">
            <v>Non-proportional</v>
          </cell>
          <cell r="S12711">
            <v>924.04</v>
          </cell>
          <cell r="X12711" t="str">
            <v>Commissions - gross</v>
          </cell>
          <cell r="Y12711" t="str">
            <v>PUERTO RICO</v>
          </cell>
        </row>
        <row r="12712">
          <cell r="L12712" t="str">
            <v>Non-proportional</v>
          </cell>
          <cell r="S12712">
            <v>131.94999999999999</v>
          </cell>
          <cell r="X12712" t="str">
            <v>Commissions - gross</v>
          </cell>
          <cell r="Y12712" t="str">
            <v>ECUADOR</v>
          </cell>
        </row>
        <row r="12713">
          <cell r="L12713" t="str">
            <v>Proportional</v>
          </cell>
          <cell r="S12713">
            <v>515.82000000000005</v>
          </cell>
          <cell r="X12713" t="str">
            <v>Commissions - gross</v>
          </cell>
          <cell r="Y12713" t="str">
            <v>CHILE</v>
          </cell>
        </row>
        <row r="12714">
          <cell r="L12714" t="str">
            <v>Proportional</v>
          </cell>
          <cell r="S12714">
            <v>174.03</v>
          </cell>
          <cell r="X12714" t="str">
            <v>Commissions - gross</v>
          </cell>
          <cell r="Y12714" t="str">
            <v>JAPAN</v>
          </cell>
        </row>
        <row r="12715">
          <cell r="L12715" t="str">
            <v>Proportional</v>
          </cell>
          <cell r="S12715">
            <v>285.92</v>
          </cell>
          <cell r="X12715" t="str">
            <v>Commissions - gross</v>
          </cell>
          <cell r="Y12715" t="str">
            <v>INDIA</v>
          </cell>
        </row>
        <row r="12716">
          <cell r="L12716" t="str">
            <v>Non-proportional</v>
          </cell>
          <cell r="S12716">
            <v>120.22</v>
          </cell>
          <cell r="X12716" t="str">
            <v>Commissions - gross</v>
          </cell>
          <cell r="Y12716" t="str">
            <v>REPUBLIC OF IRELAND</v>
          </cell>
        </row>
        <row r="12717">
          <cell r="L12717" t="str">
            <v>Non-proportional</v>
          </cell>
          <cell r="S12717">
            <v>870.83</v>
          </cell>
          <cell r="X12717" t="str">
            <v>Commissions - gross</v>
          </cell>
          <cell r="Y12717" t="str">
            <v>TURKEY</v>
          </cell>
        </row>
        <row r="12718">
          <cell r="L12718" t="str">
            <v>Non-proportional</v>
          </cell>
          <cell r="S12718">
            <v>217.98</v>
          </cell>
          <cell r="X12718" t="str">
            <v>Commissions - gross</v>
          </cell>
          <cell r="Y12718" t="str">
            <v>FRANCE</v>
          </cell>
        </row>
        <row r="12719">
          <cell r="L12719" t="str">
            <v>Non-proportional</v>
          </cell>
          <cell r="S12719">
            <v>1266.46</v>
          </cell>
          <cell r="X12719" t="str">
            <v>Commissions - gross</v>
          </cell>
          <cell r="Y12719" t="str">
            <v>FRANCE</v>
          </cell>
        </row>
        <row r="12720">
          <cell r="L12720" t="str">
            <v>Non-proportional</v>
          </cell>
          <cell r="S12720">
            <v>115.48</v>
          </cell>
          <cell r="X12720" t="str">
            <v>Commissions - gross</v>
          </cell>
          <cell r="Y12720" t="str">
            <v>ISRAEL</v>
          </cell>
        </row>
        <row r="12721">
          <cell r="L12721" t="str">
            <v>Non-proportional</v>
          </cell>
          <cell r="S12721">
            <v>526.57000000000005</v>
          </cell>
          <cell r="X12721" t="str">
            <v>Commissions - gross</v>
          </cell>
          <cell r="Y12721" t="str">
            <v>ISRAEL</v>
          </cell>
        </row>
        <row r="12722">
          <cell r="L12722" t="str">
            <v>Non-proportional</v>
          </cell>
          <cell r="S12722">
            <v>995.65</v>
          </cell>
          <cell r="X12722" t="str">
            <v>Commissions - gross</v>
          </cell>
          <cell r="Y12722" t="str">
            <v>DOMINICAN REPUBLIC</v>
          </cell>
        </row>
        <row r="12723">
          <cell r="L12723" t="str">
            <v>Non-proportional</v>
          </cell>
          <cell r="S12723">
            <v>1127.06</v>
          </cell>
          <cell r="X12723" t="str">
            <v>Commissions - gross</v>
          </cell>
          <cell r="Y12723" t="str">
            <v>AUSTRALIA</v>
          </cell>
        </row>
        <row r="12724">
          <cell r="L12724" t="str">
            <v>Non-proportional</v>
          </cell>
          <cell r="S12724">
            <v>1289.55</v>
          </cell>
          <cell r="X12724" t="str">
            <v>Commissions - gross</v>
          </cell>
          <cell r="Y12724" t="str">
            <v>CHILE</v>
          </cell>
        </row>
        <row r="12725">
          <cell r="L12725" t="str">
            <v>Non-proportional</v>
          </cell>
          <cell r="S12725">
            <v>193.96</v>
          </cell>
          <cell r="X12725" t="str">
            <v>Commissions - gross</v>
          </cell>
          <cell r="Y12725" t="str">
            <v>DOMINICAN REPUBLIC</v>
          </cell>
        </row>
        <row r="12726">
          <cell r="L12726" t="str">
            <v>Non-proportional</v>
          </cell>
          <cell r="S12726">
            <v>160.35</v>
          </cell>
          <cell r="X12726" t="str">
            <v>Commissions - gross</v>
          </cell>
          <cell r="Y12726" t="str">
            <v>DOMINICAN REPUBLIC</v>
          </cell>
        </row>
        <row r="12727">
          <cell r="L12727" t="str">
            <v>Non-proportional</v>
          </cell>
          <cell r="S12727">
            <v>2884.86</v>
          </cell>
          <cell r="X12727" t="str">
            <v>Commissions - gross</v>
          </cell>
          <cell r="Y12727" t="str">
            <v>FRANCE</v>
          </cell>
        </row>
        <row r="12728">
          <cell r="L12728" t="str">
            <v>Non-proportional</v>
          </cell>
          <cell r="S12728">
            <v>585.13</v>
          </cell>
          <cell r="X12728" t="str">
            <v>Commissions - gross</v>
          </cell>
          <cell r="Y12728" t="str">
            <v>ITALY</v>
          </cell>
        </row>
        <row r="12729">
          <cell r="L12729" t="str">
            <v>Non-proportional</v>
          </cell>
          <cell r="S12729">
            <v>235.75</v>
          </cell>
          <cell r="X12729" t="str">
            <v>Commissions - gross</v>
          </cell>
          <cell r="Y12729" t="str">
            <v>GERMANY</v>
          </cell>
        </row>
        <row r="12730">
          <cell r="L12730" t="str">
            <v>Non-proportional</v>
          </cell>
          <cell r="S12730">
            <v>314.33</v>
          </cell>
          <cell r="X12730" t="str">
            <v>Commissions - gross</v>
          </cell>
          <cell r="Y12730" t="str">
            <v>GERMANY</v>
          </cell>
        </row>
        <row r="12731">
          <cell r="L12731" t="str">
            <v>Non-proportional</v>
          </cell>
          <cell r="S12731">
            <v>309.42</v>
          </cell>
          <cell r="X12731" t="str">
            <v>Commissions - gross</v>
          </cell>
          <cell r="Y12731" t="str">
            <v>ISRAEL</v>
          </cell>
        </row>
        <row r="12732">
          <cell r="L12732" t="str">
            <v>Non-proportional</v>
          </cell>
          <cell r="S12732">
            <v>36.840000000000003</v>
          </cell>
          <cell r="X12732" t="str">
            <v>Commissions - gross</v>
          </cell>
          <cell r="Y12732" t="str">
            <v>CHILE</v>
          </cell>
        </row>
        <row r="12733">
          <cell r="L12733" t="str">
            <v>Non-proportional</v>
          </cell>
          <cell r="S12733">
            <v>340.59</v>
          </cell>
          <cell r="X12733" t="str">
            <v>Commissions - gross</v>
          </cell>
          <cell r="Y12733" t="str">
            <v>GUATEMALA</v>
          </cell>
        </row>
        <row r="12734">
          <cell r="L12734" t="str">
            <v>Non-proportional</v>
          </cell>
          <cell r="S12734">
            <v>368.74</v>
          </cell>
          <cell r="X12734" t="str">
            <v>Commissions - gross</v>
          </cell>
          <cell r="Y12734" t="str">
            <v>ISRAEL</v>
          </cell>
        </row>
        <row r="12735">
          <cell r="L12735" t="str">
            <v>Non-proportional</v>
          </cell>
          <cell r="S12735">
            <v>328.33</v>
          </cell>
          <cell r="X12735" t="str">
            <v>Commissions - gross</v>
          </cell>
          <cell r="Y12735" t="str">
            <v>ECUADOR</v>
          </cell>
        </row>
        <row r="12736">
          <cell r="L12736" t="str">
            <v>Non-proportional</v>
          </cell>
          <cell r="S12736">
            <v>-0.16</v>
          </cell>
          <cell r="X12736" t="str">
            <v>Commissions - gross</v>
          </cell>
          <cell r="Y12736" t="str">
            <v>GUATEMALA</v>
          </cell>
        </row>
        <row r="12737">
          <cell r="L12737" t="str">
            <v>Non-proportional</v>
          </cell>
          <cell r="S12737">
            <v>71.86</v>
          </cell>
          <cell r="X12737" t="str">
            <v>Commissions - gross</v>
          </cell>
          <cell r="Y12737" t="str">
            <v>JAPAN</v>
          </cell>
        </row>
        <row r="12738">
          <cell r="L12738" t="str">
            <v>Non-proportional</v>
          </cell>
          <cell r="S12738">
            <v>505.29</v>
          </cell>
          <cell r="X12738" t="str">
            <v>Commissions - gross</v>
          </cell>
          <cell r="Y12738" t="str">
            <v>DOMINICAN REPUBLIC</v>
          </cell>
        </row>
        <row r="12739">
          <cell r="L12739" t="str">
            <v>Non-proportional</v>
          </cell>
          <cell r="S12739">
            <v>997.75</v>
          </cell>
          <cell r="X12739" t="str">
            <v>Commissions - gross</v>
          </cell>
          <cell r="Y12739" t="str">
            <v>ITALY</v>
          </cell>
        </row>
        <row r="12740">
          <cell r="L12740" t="str">
            <v>Non-proportional</v>
          </cell>
          <cell r="S12740">
            <v>174.99</v>
          </cell>
          <cell r="X12740" t="str">
            <v>Commissions - gross</v>
          </cell>
          <cell r="Y12740" t="str">
            <v>EUROPE</v>
          </cell>
        </row>
        <row r="12741">
          <cell r="L12741" t="str">
            <v>Non-proportional</v>
          </cell>
          <cell r="S12741">
            <v>355.08</v>
          </cell>
          <cell r="X12741" t="str">
            <v>Commissions - gross</v>
          </cell>
          <cell r="Y12741" t="str">
            <v>THAILAND</v>
          </cell>
        </row>
        <row r="12742">
          <cell r="L12742" t="str">
            <v>Non-proportional</v>
          </cell>
          <cell r="S12742">
            <v>391.73</v>
          </cell>
          <cell r="X12742" t="str">
            <v>Commissions - gross</v>
          </cell>
          <cell r="Y12742" t="str">
            <v>ITALY</v>
          </cell>
        </row>
        <row r="12743">
          <cell r="L12743" t="str">
            <v>Non-proportional</v>
          </cell>
          <cell r="S12743">
            <v>90.75</v>
          </cell>
          <cell r="X12743" t="str">
            <v>Commissions - gross</v>
          </cell>
          <cell r="Y12743" t="str">
            <v>ECUADOR</v>
          </cell>
        </row>
        <row r="12744">
          <cell r="L12744" t="str">
            <v>Non-proportional</v>
          </cell>
          <cell r="S12744">
            <v>847.42</v>
          </cell>
          <cell r="X12744" t="str">
            <v>Commissions - gross</v>
          </cell>
          <cell r="Y12744" t="str">
            <v>CHILE</v>
          </cell>
        </row>
        <row r="12745">
          <cell r="L12745" t="str">
            <v>Non-proportional</v>
          </cell>
          <cell r="S12745">
            <v>173.62</v>
          </cell>
          <cell r="X12745" t="str">
            <v>Commissions - gross</v>
          </cell>
          <cell r="Y12745" t="str">
            <v>ECUADOR</v>
          </cell>
        </row>
        <row r="12746">
          <cell r="L12746" t="str">
            <v>Non-proportional</v>
          </cell>
          <cell r="S12746">
            <v>102.25</v>
          </cell>
          <cell r="X12746" t="str">
            <v>Commissions - gross</v>
          </cell>
          <cell r="Y12746" t="str">
            <v>JAPAN</v>
          </cell>
        </row>
        <row r="12747">
          <cell r="L12747" t="str">
            <v>Non-proportional</v>
          </cell>
          <cell r="S12747">
            <v>-10.74</v>
          </cell>
          <cell r="X12747" t="str">
            <v>Commissions - gross</v>
          </cell>
          <cell r="Y12747" t="str">
            <v>JAPAN</v>
          </cell>
        </row>
        <row r="12748">
          <cell r="L12748" t="str">
            <v>Non-proportional</v>
          </cell>
          <cell r="S12748">
            <v>-25.38</v>
          </cell>
          <cell r="X12748" t="str">
            <v>Commissions - gross</v>
          </cell>
          <cell r="Y12748" t="str">
            <v>NEW ZEALAND</v>
          </cell>
        </row>
        <row r="12749">
          <cell r="L12749" t="str">
            <v>Proportional</v>
          </cell>
          <cell r="S12749">
            <v>62.23</v>
          </cell>
          <cell r="X12749" t="str">
            <v>Commissions - gross</v>
          </cell>
          <cell r="Y12749" t="str">
            <v>UNITED STATES</v>
          </cell>
        </row>
        <row r="12750">
          <cell r="L12750" t="str">
            <v>Non-proportional</v>
          </cell>
          <cell r="S12750">
            <v>86</v>
          </cell>
          <cell r="X12750" t="str">
            <v>Commissions - gross</v>
          </cell>
          <cell r="Y12750" t="str">
            <v>GREECE</v>
          </cell>
        </row>
        <row r="12751">
          <cell r="L12751" t="str">
            <v>Non-proportional</v>
          </cell>
          <cell r="S12751">
            <v>293.70999999999998</v>
          </cell>
          <cell r="X12751" t="str">
            <v>Commissions - gross</v>
          </cell>
          <cell r="Y12751" t="str">
            <v>NETHERLANDS</v>
          </cell>
        </row>
        <row r="12752">
          <cell r="L12752" t="str">
            <v>Proportional</v>
          </cell>
          <cell r="S12752">
            <v>-441.68</v>
          </cell>
          <cell r="X12752" t="str">
            <v>Commissions - gross</v>
          </cell>
          <cell r="Y12752" t="str">
            <v>CHILE</v>
          </cell>
        </row>
        <row r="12753">
          <cell r="L12753" t="str">
            <v>Non-proportional</v>
          </cell>
          <cell r="S12753">
            <v>290.95999999999998</v>
          </cell>
          <cell r="X12753" t="str">
            <v>Commissions - gross</v>
          </cell>
          <cell r="Y12753" t="str">
            <v>AUSTRALIA</v>
          </cell>
        </row>
        <row r="12754">
          <cell r="L12754" t="str">
            <v>Non-proportional</v>
          </cell>
          <cell r="S12754">
            <v>-1.32</v>
          </cell>
          <cell r="X12754" t="str">
            <v>Commissions - gross</v>
          </cell>
          <cell r="Y12754" t="str">
            <v>DOMINICAN REPUBLIC</v>
          </cell>
        </row>
        <row r="12755">
          <cell r="L12755" t="str">
            <v>Non-proportional</v>
          </cell>
          <cell r="S12755">
            <v>73.69</v>
          </cell>
          <cell r="X12755" t="str">
            <v>Commissions - gross</v>
          </cell>
          <cell r="Y12755" t="str">
            <v>CHILE</v>
          </cell>
        </row>
        <row r="12756">
          <cell r="L12756" t="str">
            <v>Non-proportional</v>
          </cell>
          <cell r="S12756">
            <v>7.03</v>
          </cell>
          <cell r="X12756" t="str">
            <v>Commissions - gross</v>
          </cell>
          <cell r="Y12756" t="str">
            <v>BRAZIL</v>
          </cell>
        </row>
        <row r="12757">
          <cell r="L12757" t="str">
            <v>Non-proportional</v>
          </cell>
          <cell r="S12757">
            <v>95.14</v>
          </cell>
          <cell r="X12757" t="str">
            <v>Commissions - gross</v>
          </cell>
          <cell r="Y12757" t="str">
            <v>JAPAN</v>
          </cell>
        </row>
        <row r="12758">
          <cell r="L12758" t="str">
            <v>Proportional</v>
          </cell>
          <cell r="S12758">
            <v>240.76</v>
          </cell>
          <cell r="X12758" t="str">
            <v>Commissions - gross</v>
          </cell>
          <cell r="Y12758" t="str">
            <v>JAPAN</v>
          </cell>
        </row>
        <row r="12759">
          <cell r="L12759" t="str">
            <v>Non-proportional</v>
          </cell>
          <cell r="S12759">
            <v>124</v>
          </cell>
          <cell r="X12759" t="str">
            <v>Commissions - gross</v>
          </cell>
          <cell r="Y12759" t="str">
            <v>JAPAN</v>
          </cell>
        </row>
        <row r="12760">
          <cell r="L12760" t="str">
            <v>Non-proportional</v>
          </cell>
          <cell r="S12760">
            <v>17.02</v>
          </cell>
          <cell r="X12760" t="str">
            <v>Commissions - gross</v>
          </cell>
          <cell r="Y12760" t="str">
            <v>JAPAN</v>
          </cell>
        </row>
        <row r="12761">
          <cell r="L12761" t="str">
            <v>Non-proportional</v>
          </cell>
          <cell r="S12761">
            <v>971.85</v>
          </cell>
          <cell r="X12761" t="str">
            <v>Commissions - gross</v>
          </cell>
          <cell r="Y12761" t="str">
            <v>PERU</v>
          </cell>
        </row>
        <row r="12762">
          <cell r="L12762" t="str">
            <v>Non-proportional</v>
          </cell>
          <cell r="S12762">
            <v>341.88</v>
          </cell>
          <cell r="X12762" t="str">
            <v>Commissions - gross</v>
          </cell>
          <cell r="Y12762" t="str">
            <v>ISRAEL</v>
          </cell>
        </row>
        <row r="12763">
          <cell r="L12763" t="str">
            <v>Non-proportional</v>
          </cell>
          <cell r="S12763">
            <v>382.81</v>
          </cell>
          <cell r="X12763" t="str">
            <v>Commissions - gross</v>
          </cell>
          <cell r="Y12763" t="str">
            <v>ITALY</v>
          </cell>
        </row>
        <row r="12764">
          <cell r="L12764" t="str">
            <v>Non-proportional</v>
          </cell>
          <cell r="S12764">
            <v>1307.3</v>
          </cell>
          <cell r="X12764" t="str">
            <v>Commissions - gross</v>
          </cell>
          <cell r="Y12764" t="str">
            <v>FRANCE</v>
          </cell>
        </row>
        <row r="12765">
          <cell r="L12765" t="str">
            <v>Non-proportional</v>
          </cell>
          <cell r="S12765">
            <v>1504.3</v>
          </cell>
          <cell r="X12765" t="str">
            <v>Commissions - gross</v>
          </cell>
          <cell r="Y12765" t="str">
            <v>FRANCE</v>
          </cell>
        </row>
        <row r="12766">
          <cell r="L12766" t="str">
            <v>Non-proportional</v>
          </cell>
          <cell r="S12766">
            <v>88.44</v>
          </cell>
          <cell r="X12766" t="str">
            <v>Commissions - gross</v>
          </cell>
          <cell r="Y12766" t="str">
            <v>FRANCE</v>
          </cell>
        </row>
        <row r="12767">
          <cell r="L12767" t="str">
            <v>Non-proportional</v>
          </cell>
          <cell r="S12767">
            <v>804.64</v>
          </cell>
          <cell r="X12767" t="str">
            <v>Commissions - gross</v>
          </cell>
          <cell r="Y12767" t="str">
            <v>PERU</v>
          </cell>
        </row>
        <row r="12768">
          <cell r="L12768" t="str">
            <v>Non-proportional</v>
          </cell>
          <cell r="S12768">
            <v>9636.59</v>
          </cell>
          <cell r="X12768" t="str">
            <v>Commissions - gross</v>
          </cell>
          <cell r="Y12768" t="str">
            <v>UNITED KINGDOM</v>
          </cell>
        </row>
        <row r="12769">
          <cell r="L12769" t="str">
            <v>Non-proportional</v>
          </cell>
          <cell r="S12769">
            <v>130.57</v>
          </cell>
          <cell r="X12769" t="str">
            <v>Commissions - gross</v>
          </cell>
          <cell r="Y12769" t="str">
            <v>UNITED ARAB EMIRATES</v>
          </cell>
        </row>
        <row r="12770">
          <cell r="L12770" t="str">
            <v>Non-proportional</v>
          </cell>
          <cell r="S12770">
            <v>0</v>
          </cell>
          <cell r="X12770" t="str">
            <v>Commissions - gross</v>
          </cell>
          <cell r="Y12770" t="str">
            <v>BELIZE</v>
          </cell>
        </row>
        <row r="12771">
          <cell r="L12771" t="str">
            <v>Non-proportional</v>
          </cell>
          <cell r="S12771">
            <v>89.43</v>
          </cell>
          <cell r="X12771" t="str">
            <v>Commissions - gross</v>
          </cell>
          <cell r="Y12771" t="str">
            <v>PUERTO RICO</v>
          </cell>
        </row>
        <row r="12772">
          <cell r="L12772" t="str">
            <v>Non-proportional</v>
          </cell>
          <cell r="S12772">
            <v>316.74</v>
          </cell>
          <cell r="X12772" t="str">
            <v>Commissions - gross</v>
          </cell>
          <cell r="Y12772" t="str">
            <v>GUATEMALA</v>
          </cell>
        </row>
        <row r="12773">
          <cell r="L12773" t="str">
            <v>Non-proportional</v>
          </cell>
          <cell r="S12773">
            <v>166.43</v>
          </cell>
          <cell r="X12773" t="str">
            <v>Commissions - gross</v>
          </cell>
          <cell r="Y12773" t="str">
            <v>ISRAEL</v>
          </cell>
        </row>
        <row r="12774">
          <cell r="L12774" t="str">
            <v>Non-proportional</v>
          </cell>
          <cell r="S12774">
            <v>765.17</v>
          </cell>
          <cell r="X12774" t="str">
            <v>Commissions - gross</v>
          </cell>
          <cell r="Y12774" t="str">
            <v>PUERTO RICO</v>
          </cell>
        </row>
        <row r="12775">
          <cell r="L12775" t="str">
            <v>Non-proportional</v>
          </cell>
          <cell r="S12775">
            <v>440.95</v>
          </cell>
          <cell r="X12775" t="str">
            <v>Commissions - gross</v>
          </cell>
          <cell r="Y12775" t="str">
            <v>COSTA RICA</v>
          </cell>
        </row>
        <row r="12776">
          <cell r="L12776" t="str">
            <v>Proportional</v>
          </cell>
          <cell r="S12776">
            <v>9.1999999999999993</v>
          </cell>
          <cell r="X12776" t="str">
            <v>Commissions - gross</v>
          </cell>
          <cell r="Y12776" t="str">
            <v>UNITED STATES</v>
          </cell>
        </row>
        <row r="12777">
          <cell r="L12777" t="str">
            <v>Non-proportional</v>
          </cell>
          <cell r="S12777">
            <v>497.15</v>
          </cell>
          <cell r="X12777" t="str">
            <v>Commissions - gross</v>
          </cell>
          <cell r="Y12777" t="str">
            <v>EUROPE</v>
          </cell>
        </row>
        <row r="12778">
          <cell r="L12778" t="str">
            <v>Non-proportional</v>
          </cell>
          <cell r="S12778">
            <v>156.24</v>
          </cell>
          <cell r="X12778" t="str">
            <v>Commissions - gross</v>
          </cell>
          <cell r="Y12778" t="str">
            <v>FRANCE</v>
          </cell>
        </row>
        <row r="12779">
          <cell r="L12779" t="str">
            <v>Non-proportional</v>
          </cell>
          <cell r="S12779">
            <v>475.13</v>
          </cell>
          <cell r="X12779" t="str">
            <v>Commissions - gross</v>
          </cell>
          <cell r="Y12779" t="str">
            <v>FRANCE</v>
          </cell>
        </row>
        <row r="12780">
          <cell r="L12780" t="str">
            <v>Non-proportional</v>
          </cell>
          <cell r="S12780">
            <v>3211.09</v>
          </cell>
          <cell r="X12780" t="str">
            <v>Commissions - gross</v>
          </cell>
          <cell r="Y12780" t="str">
            <v>HONG KONG</v>
          </cell>
        </row>
        <row r="12781">
          <cell r="L12781" t="str">
            <v>Non-proportional</v>
          </cell>
          <cell r="S12781">
            <v>174.97</v>
          </cell>
          <cell r="X12781" t="str">
            <v>Commissions - gross</v>
          </cell>
          <cell r="Y12781" t="str">
            <v>NETHERLANDS</v>
          </cell>
        </row>
        <row r="12782">
          <cell r="L12782" t="str">
            <v>Non-proportional</v>
          </cell>
          <cell r="S12782">
            <v>1015.63</v>
          </cell>
          <cell r="X12782" t="str">
            <v>Commissions - gross</v>
          </cell>
          <cell r="Y12782" t="str">
            <v>EUROPE</v>
          </cell>
        </row>
        <row r="12783">
          <cell r="L12783" t="str">
            <v>Non-proportional</v>
          </cell>
          <cell r="S12783">
            <v>301.52999999999997</v>
          </cell>
          <cell r="X12783" t="str">
            <v>Commissions - gross</v>
          </cell>
          <cell r="Y12783" t="str">
            <v>ITALY</v>
          </cell>
        </row>
        <row r="12784">
          <cell r="L12784" t="str">
            <v>Proportional</v>
          </cell>
          <cell r="S12784">
            <v>36.840000000000003</v>
          </cell>
          <cell r="X12784" t="str">
            <v>Commissions - gross</v>
          </cell>
          <cell r="Y12784" t="str">
            <v>CHILE</v>
          </cell>
        </row>
        <row r="12785">
          <cell r="L12785" t="str">
            <v>Proportional</v>
          </cell>
          <cell r="S12785">
            <v>-4.83</v>
          </cell>
          <cell r="X12785" t="str">
            <v>Commissions - gross</v>
          </cell>
          <cell r="Y12785" t="str">
            <v>UNITED STATES</v>
          </cell>
        </row>
        <row r="12786">
          <cell r="L12786" t="str">
            <v>Non-proportional</v>
          </cell>
          <cell r="S12786">
            <v>354.31</v>
          </cell>
          <cell r="X12786" t="str">
            <v>Commissions - gross</v>
          </cell>
          <cell r="Y12786" t="str">
            <v>UNITED KINGDOM</v>
          </cell>
        </row>
        <row r="12787">
          <cell r="L12787" t="str">
            <v>Non-proportional</v>
          </cell>
          <cell r="S12787">
            <v>3.73</v>
          </cell>
          <cell r="X12787" t="str">
            <v>Commissions - gross</v>
          </cell>
          <cell r="Y12787" t="str">
            <v>COSTA RICA</v>
          </cell>
        </row>
        <row r="12788">
          <cell r="L12788" t="str">
            <v>Non-proportional</v>
          </cell>
          <cell r="S12788">
            <v>162.22999999999999</v>
          </cell>
          <cell r="X12788" t="str">
            <v>Commissions - gross</v>
          </cell>
          <cell r="Y12788" t="str">
            <v>ECUADOR</v>
          </cell>
        </row>
        <row r="12789">
          <cell r="L12789" t="str">
            <v>Non-proportional</v>
          </cell>
          <cell r="S12789">
            <v>7651.95</v>
          </cell>
          <cell r="X12789" t="str">
            <v>Commissions - gross</v>
          </cell>
          <cell r="Y12789" t="str">
            <v>UNITED KINGDOM</v>
          </cell>
        </row>
        <row r="12790">
          <cell r="L12790" t="str">
            <v>Proportional</v>
          </cell>
          <cell r="S12790">
            <v>5008.57</v>
          </cell>
          <cell r="X12790" t="str">
            <v>Commissions - gross</v>
          </cell>
          <cell r="Y12790" t="str">
            <v>AUSTRALIA</v>
          </cell>
        </row>
        <row r="12791">
          <cell r="L12791" t="str">
            <v>Non-proportional</v>
          </cell>
          <cell r="S12791">
            <v>173.64</v>
          </cell>
          <cell r="X12791" t="str">
            <v>Commissions - gross</v>
          </cell>
          <cell r="Y12791" t="str">
            <v>COSTA RICA</v>
          </cell>
        </row>
        <row r="12792">
          <cell r="L12792" t="str">
            <v>Non-proportional</v>
          </cell>
          <cell r="S12792">
            <v>357.06</v>
          </cell>
          <cell r="X12792" t="str">
            <v>Commissions - gross</v>
          </cell>
          <cell r="Y12792" t="str">
            <v>GREECE</v>
          </cell>
        </row>
        <row r="12793">
          <cell r="L12793" t="str">
            <v>Non-proportional</v>
          </cell>
          <cell r="S12793">
            <v>218.75</v>
          </cell>
          <cell r="X12793" t="str">
            <v>Commissions - gross</v>
          </cell>
          <cell r="Y12793" t="str">
            <v>GERMANY</v>
          </cell>
        </row>
        <row r="12794">
          <cell r="L12794" t="str">
            <v>Non-proportional</v>
          </cell>
          <cell r="S12794">
            <v>634.29</v>
          </cell>
          <cell r="X12794" t="str">
            <v>Commissions - gross</v>
          </cell>
          <cell r="Y12794" t="str">
            <v>THAILAND</v>
          </cell>
        </row>
        <row r="12795">
          <cell r="L12795" t="str">
            <v>Non-proportional</v>
          </cell>
          <cell r="S12795">
            <v>359.38</v>
          </cell>
          <cell r="X12795" t="str">
            <v>Commissions - gross</v>
          </cell>
          <cell r="Y12795" t="str">
            <v>GREECE</v>
          </cell>
        </row>
        <row r="12796">
          <cell r="L12796" t="str">
            <v>Non-proportional</v>
          </cell>
          <cell r="S12796">
            <v>500.11</v>
          </cell>
          <cell r="X12796" t="str">
            <v>Commissions - gross</v>
          </cell>
          <cell r="Y12796" t="str">
            <v>ITALY</v>
          </cell>
        </row>
        <row r="12797">
          <cell r="L12797" t="str">
            <v>Non-proportional</v>
          </cell>
          <cell r="S12797">
            <v>34414.980000000003</v>
          </cell>
          <cell r="X12797" t="str">
            <v>Commissions - gross</v>
          </cell>
          <cell r="Y12797" t="str">
            <v>UNITED KINGDOM</v>
          </cell>
        </row>
        <row r="12798">
          <cell r="L12798" t="str">
            <v>Non-proportional</v>
          </cell>
          <cell r="S12798">
            <v>432.27</v>
          </cell>
          <cell r="X12798" t="str">
            <v>Commissions - gross</v>
          </cell>
          <cell r="Y12798" t="str">
            <v>UNITED KINGDOM</v>
          </cell>
        </row>
        <row r="12799">
          <cell r="L12799" t="str">
            <v>Non-proportional</v>
          </cell>
          <cell r="S12799">
            <v>0</v>
          </cell>
          <cell r="X12799" t="str">
            <v>Commissions - gross</v>
          </cell>
          <cell r="Y12799" t="str">
            <v>DOMINICAN REPUBLIC</v>
          </cell>
        </row>
        <row r="12800">
          <cell r="L12800" t="str">
            <v>Non-proportional</v>
          </cell>
          <cell r="S12800">
            <v>0</v>
          </cell>
          <cell r="X12800" t="str">
            <v>Commissions - gross</v>
          </cell>
          <cell r="Y12800" t="str">
            <v>DOMINICAN REPUBLIC</v>
          </cell>
        </row>
        <row r="12801">
          <cell r="L12801" t="str">
            <v>Non-proportional</v>
          </cell>
          <cell r="S12801">
            <v>703.67</v>
          </cell>
          <cell r="X12801" t="str">
            <v>Commissions - gross</v>
          </cell>
          <cell r="Y12801" t="str">
            <v>UNITED KINGDOM</v>
          </cell>
        </row>
        <row r="12802">
          <cell r="L12802" t="str">
            <v>Non-proportional</v>
          </cell>
          <cell r="S12802">
            <v>540.4</v>
          </cell>
          <cell r="X12802" t="str">
            <v>Commissions - gross</v>
          </cell>
          <cell r="Y12802" t="str">
            <v>ISRAEL</v>
          </cell>
        </row>
        <row r="12803">
          <cell r="L12803" t="str">
            <v>Non-proportional</v>
          </cell>
          <cell r="S12803">
            <v>322.19</v>
          </cell>
          <cell r="X12803" t="str">
            <v>Commissions - gross</v>
          </cell>
          <cell r="Y12803" t="str">
            <v>ECUADOR</v>
          </cell>
        </row>
        <row r="12804">
          <cell r="L12804" t="str">
            <v>Non-proportional</v>
          </cell>
          <cell r="S12804">
            <v>4593.8999999999996</v>
          </cell>
          <cell r="X12804" t="str">
            <v>Commissions - gross</v>
          </cell>
          <cell r="Y12804" t="str">
            <v>UNITED KINGDOM</v>
          </cell>
        </row>
        <row r="12805">
          <cell r="L12805" t="str">
            <v>Non-proportional</v>
          </cell>
          <cell r="S12805">
            <v>218.81</v>
          </cell>
          <cell r="X12805" t="str">
            <v>Commissions - gross</v>
          </cell>
          <cell r="Y12805" t="str">
            <v>DOMINICAN REPUBLIC</v>
          </cell>
        </row>
        <row r="12806">
          <cell r="L12806" t="str">
            <v>Non-proportional</v>
          </cell>
          <cell r="S12806">
            <v>-29.17</v>
          </cell>
          <cell r="X12806" t="str">
            <v>Commissions - gross</v>
          </cell>
          <cell r="Y12806" t="str">
            <v>NEW ZEALAND</v>
          </cell>
        </row>
        <row r="12807">
          <cell r="L12807" t="str">
            <v>Non-proportional</v>
          </cell>
          <cell r="S12807">
            <v>668.33</v>
          </cell>
          <cell r="X12807" t="str">
            <v>Commissions - gross</v>
          </cell>
          <cell r="Y12807" t="str">
            <v>FRANCE</v>
          </cell>
        </row>
        <row r="12808">
          <cell r="L12808" t="str">
            <v>Non-proportional</v>
          </cell>
          <cell r="S12808">
            <v>1186.32</v>
          </cell>
          <cell r="X12808" t="str">
            <v>Commissions - gross</v>
          </cell>
          <cell r="Y12808" t="str">
            <v>EUROPE</v>
          </cell>
        </row>
        <row r="12809">
          <cell r="L12809" t="str">
            <v>Non-proportional</v>
          </cell>
          <cell r="S12809">
            <v>998.59</v>
          </cell>
          <cell r="X12809" t="str">
            <v>Commissions - gross</v>
          </cell>
          <cell r="Y12809" t="str">
            <v>FRANCE</v>
          </cell>
        </row>
        <row r="12810">
          <cell r="L12810" t="str">
            <v>Non-proportional</v>
          </cell>
          <cell r="S12810">
            <v>406.14</v>
          </cell>
          <cell r="X12810" t="str">
            <v>Commissions - gross</v>
          </cell>
          <cell r="Y12810" t="str">
            <v>FRANCE</v>
          </cell>
        </row>
        <row r="12811">
          <cell r="L12811" t="str">
            <v>Proportional</v>
          </cell>
          <cell r="S12811">
            <v>803.19</v>
          </cell>
          <cell r="X12811" t="str">
            <v>Commissions - gross</v>
          </cell>
          <cell r="Y12811" t="str">
            <v>ITALY</v>
          </cell>
        </row>
        <row r="12812">
          <cell r="L12812" t="str">
            <v>Non-proportional</v>
          </cell>
          <cell r="S12812">
            <v>5637.04</v>
          </cell>
          <cell r="X12812" t="str">
            <v>Commissions - gross</v>
          </cell>
          <cell r="Y12812" t="str">
            <v>UNITED KINGDOM</v>
          </cell>
        </row>
        <row r="12813">
          <cell r="L12813" t="str">
            <v>Non-proportional</v>
          </cell>
          <cell r="S12813">
            <v>-7.3</v>
          </cell>
          <cell r="X12813" t="str">
            <v>Commissions - gross</v>
          </cell>
          <cell r="Y12813" t="str">
            <v>DOMINICAN REPUBLIC</v>
          </cell>
        </row>
        <row r="12814">
          <cell r="L12814" t="str">
            <v>Non-proportional</v>
          </cell>
          <cell r="S12814">
            <v>0.47</v>
          </cell>
          <cell r="X12814" t="str">
            <v>Commissions - gross</v>
          </cell>
          <cell r="Y12814" t="str">
            <v>COSTA RICA</v>
          </cell>
        </row>
        <row r="12815">
          <cell r="L12815" t="str">
            <v>Non-proportional</v>
          </cell>
          <cell r="S12815">
            <v>965.6</v>
          </cell>
          <cell r="X12815" t="str">
            <v>Commissions - gross</v>
          </cell>
          <cell r="Y12815" t="str">
            <v>ISRAEL</v>
          </cell>
        </row>
        <row r="12816">
          <cell r="L12816" t="str">
            <v>Non-proportional</v>
          </cell>
          <cell r="S12816">
            <v>47.53</v>
          </cell>
          <cell r="X12816" t="str">
            <v>Commissions - gross</v>
          </cell>
          <cell r="Y12816" t="str">
            <v>BRAZIL</v>
          </cell>
        </row>
        <row r="12817">
          <cell r="L12817" t="str">
            <v>Non-proportional</v>
          </cell>
          <cell r="S12817">
            <v>320.01</v>
          </cell>
          <cell r="X12817" t="str">
            <v>Commissions - gross</v>
          </cell>
          <cell r="Y12817" t="str">
            <v>ECUADOR</v>
          </cell>
        </row>
        <row r="12818">
          <cell r="L12818" t="str">
            <v>Non-proportional</v>
          </cell>
          <cell r="S12818">
            <v>331.6</v>
          </cell>
          <cell r="X12818" t="str">
            <v>Commissions - gross</v>
          </cell>
          <cell r="Y12818" t="str">
            <v>CHILE</v>
          </cell>
        </row>
        <row r="12819">
          <cell r="L12819" t="str">
            <v>Non-proportional</v>
          </cell>
          <cell r="S12819">
            <v>73.69</v>
          </cell>
          <cell r="X12819" t="str">
            <v>Commissions - gross</v>
          </cell>
          <cell r="Y12819" t="str">
            <v>CHILE</v>
          </cell>
        </row>
        <row r="12820">
          <cell r="L12820" t="str">
            <v>Proportional</v>
          </cell>
          <cell r="S12820">
            <v>1939.91</v>
          </cell>
          <cell r="X12820" t="str">
            <v>Commissions - gross</v>
          </cell>
          <cell r="Y12820" t="str">
            <v>UNITED STATES</v>
          </cell>
        </row>
        <row r="12821">
          <cell r="L12821" t="str">
            <v>Non-proportional</v>
          </cell>
          <cell r="S12821">
            <v>35.78</v>
          </cell>
          <cell r="X12821" t="str">
            <v>Commissions - gross</v>
          </cell>
          <cell r="Y12821" t="str">
            <v>DOMINICAN REPUBLIC</v>
          </cell>
        </row>
        <row r="12822">
          <cell r="L12822" t="str">
            <v>Non-proportional</v>
          </cell>
          <cell r="S12822">
            <v>390.62</v>
          </cell>
          <cell r="X12822" t="str">
            <v>Commissions - gross</v>
          </cell>
          <cell r="Y12822" t="str">
            <v>EUROPE</v>
          </cell>
        </row>
        <row r="12823">
          <cell r="L12823" t="str">
            <v>Non-proportional</v>
          </cell>
          <cell r="S12823">
            <v>85.6</v>
          </cell>
          <cell r="X12823" t="str">
            <v>Commissions - gross</v>
          </cell>
          <cell r="Y12823" t="str">
            <v>FRANCE</v>
          </cell>
        </row>
        <row r="12824">
          <cell r="L12824" t="str">
            <v>Non-proportional</v>
          </cell>
          <cell r="S12824">
            <v>328.13</v>
          </cell>
          <cell r="X12824" t="str">
            <v>Commissions - gross</v>
          </cell>
          <cell r="Y12824" t="str">
            <v>ITALY</v>
          </cell>
        </row>
        <row r="12825">
          <cell r="L12825" t="str">
            <v>Non-proportional</v>
          </cell>
          <cell r="S12825">
            <v>125.78</v>
          </cell>
          <cell r="X12825" t="str">
            <v>Commissions - gross</v>
          </cell>
          <cell r="Y12825" t="str">
            <v>ITALY</v>
          </cell>
        </row>
        <row r="12826">
          <cell r="L12826" t="str">
            <v>Non-proportional</v>
          </cell>
          <cell r="S12826">
            <v>299.97000000000003</v>
          </cell>
          <cell r="X12826" t="str">
            <v>Commissions - gross</v>
          </cell>
          <cell r="Y12826" t="str">
            <v>NETHERLANDS</v>
          </cell>
        </row>
        <row r="12827">
          <cell r="L12827" t="str">
            <v>Non-proportional</v>
          </cell>
          <cell r="S12827">
            <v>100233.62</v>
          </cell>
          <cell r="X12827" t="str">
            <v>Commissions - gross</v>
          </cell>
          <cell r="Y12827" t="str">
            <v>UNITED KINGDOM</v>
          </cell>
        </row>
        <row r="12828">
          <cell r="L12828" t="str">
            <v>Non-proportional</v>
          </cell>
          <cell r="S12828">
            <v>341.49</v>
          </cell>
          <cell r="X12828" t="str">
            <v>Commissions - gross</v>
          </cell>
          <cell r="Y12828" t="str">
            <v>BRAZIL</v>
          </cell>
        </row>
        <row r="12829">
          <cell r="L12829" t="str">
            <v>Non-proportional</v>
          </cell>
          <cell r="S12829">
            <v>294.63</v>
          </cell>
          <cell r="X12829" t="str">
            <v>Commissions - gross</v>
          </cell>
          <cell r="Y12829" t="str">
            <v>UNITED KINGDOM</v>
          </cell>
        </row>
        <row r="12830">
          <cell r="L12830" t="str">
            <v>Non-proportional</v>
          </cell>
          <cell r="S12830">
            <v>-0.79</v>
          </cell>
          <cell r="X12830" t="str">
            <v>Commissions - gross</v>
          </cell>
          <cell r="Y12830" t="str">
            <v>DOMINICAN REPUBLIC</v>
          </cell>
        </row>
        <row r="12831">
          <cell r="L12831" t="str">
            <v>Non-proportional</v>
          </cell>
          <cell r="S12831">
            <v>498.18</v>
          </cell>
          <cell r="X12831" t="str">
            <v>Commissions - gross</v>
          </cell>
          <cell r="Y12831" t="str">
            <v>ECUADOR</v>
          </cell>
        </row>
        <row r="12832">
          <cell r="L12832" t="str">
            <v>Non-proportional</v>
          </cell>
          <cell r="S12832">
            <v>13565.74</v>
          </cell>
          <cell r="X12832" t="str">
            <v>Commissions - gross</v>
          </cell>
          <cell r="Y12832" t="str">
            <v>UNITED KINGDOM</v>
          </cell>
        </row>
        <row r="12833">
          <cell r="L12833" t="str">
            <v>Non-proportional</v>
          </cell>
          <cell r="S12833">
            <v>268.27</v>
          </cell>
          <cell r="X12833" t="str">
            <v>Commissions - gross</v>
          </cell>
          <cell r="Y12833" t="str">
            <v>DOMINICAN REPUBLIC</v>
          </cell>
        </row>
        <row r="12834">
          <cell r="L12834" t="str">
            <v>Non-proportional</v>
          </cell>
          <cell r="S12834">
            <v>-4.01</v>
          </cell>
          <cell r="X12834" t="str">
            <v>Commissions - gross</v>
          </cell>
          <cell r="Y12834" t="str">
            <v>JAPAN</v>
          </cell>
        </row>
        <row r="12835">
          <cell r="L12835" t="str">
            <v>Non-proportional</v>
          </cell>
          <cell r="S12835">
            <v>-5.14</v>
          </cell>
          <cell r="X12835" t="str">
            <v>Commissions - gross</v>
          </cell>
          <cell r="Y12835" t="str">
            <v>JAPAN</v>
          </cell>
        </row>
        <row r="12836">
          <cell r="L12836" t="str">
            <v>Non-proportional</v>
          </cell>
          <cell r="S12836">
            <v>2475</v>
          </cell>
          <cell r="X12836" t="str">
            <v>Commissions - gross</v>
          </cell>
          <cell r="Y12836" t="str">
            <v>GREECE</v>
          </cell>
        </row>
        <row r="12837">
          <cell r="L12837" t="str">
            <v>Non-proportional</v>
          </cell>
          <cell r="S12837">
            <v>145.83000000000001</v>
          </cell>
          <cell r="X12837" t="str">
            <v>Commissions - gross</v>
          </cell>
          <cell r="Y12837" t="str">
            <v>ITALY</v>
          </cell>
        </row>
        <row r="12838">
          <cell r="L12838" t="str">
            <v>Non-proportional</v>
          </cell>
          <cell r="S12838">
            <v>1167.1199999999999</v>
          </cell>
          <cell r="X12838" t="str">
            <v>Commissions - gross</v>
          </cell>
          <cell r="Y12838" t="str">
            <v>MEXICO</v>
          </cell>
        </row>
        <row r="12839">
          <cell r="L12839" t="str">
            <v>Non-proportional</v>
          </cell>
          <cell r="S12839">
            <v>147.94999999999999</v>
          </cell>
          <cell r="X12839" t="str">
            <v>Commissions - gross</v>
          </cell>
          <cell r="Y12839" t="str">
            <v>GUATEMALA</v>
          </cell>
        </row>
        <row r="12840">
          <cell r="L12840" t="str">
            <v>Non-proportional</v>
          </cell>
          <cell r="S12840">
            <v>418.28</v>
          </cell>
          <cell r="X12840" t="str">
            <v>Commissions - gross</v>
          </cell>
          <cell r="Y12840" t="str">
            <v>COLOMBIA</v>
          </cell>
        </row>
        <row r="12841">
          <cell r="L12841" t="str">
            <v>Non-proportional</v>
          </cell>
          <cell r="S12841">
            <v>-2.96</v>
          </cell>
          <cell r="X12841" t="str">
            <v>Commissions - gross</v>
          </cell>
          <cell r="Y12841" t="str">
            <v>COLOMBIA</v>
          </cell>
        </row>
        <row r="12842">
          <cell r="L12842" t="str">
            <v>Non-proportional</v>
          </cell>
          <cell r="S12842">
            <v>459.5</v>
          </cell>
          <cell r="X12842" t="str">
            <v>Commissions - gross</v>
          </cell>
          <cell r="Y12842" t="str">
            <v>BELIZE</v>
          </cell>
        </row>
        <row r="12843">
          <cell r="L12843" t="str">
            <v>Non-proportional</v>
          </cell>
          <cell r="S12843">
            <v>110.53</v>
          </cell>
          <cell r="X12843" t="str">
            <v>Commissions - gross</v>
          </cell>
          <cell r="Y12843" t="str">
            <v>CHILE</v>
          </cell>
        </row>
        <row r="12844">
          <cell r="L12844" t="str">
            <v>Non-proportional</v>
          </cell>
          <cell r="S12844">
            <v>-10.69</v>
          </cell>
          <cell r="X12844" t="str">
            <v>Commissions - gross</v>
          </cell>
          <cell r="Y12844" t="str">
            <v>JAPAN</v>
          </cell>
        </row>
        <row r="12845">
          <cell r="L12845" t="str">
            <v>Non-proportional</v>
          </cell>
          <cell r="S12845">
            <v>268.66000000000003</v>
          </cell>
          <cell r="X12845" t="str">
            <v>Commissions - gross</v>
          </cell>
          <cell r="Y12845" t="str">
            <v>JAPAN</v>
          </cell>
        </row>
        <row r="12846">
          <cell r="L12846" t="str">
            <v>Non-proportional</v>
          </cell>
          <cell r="S12846">
            <v>-1.68</v>
          </cell>
          <cell r="X12846" t="str">
            <v>Commissions - gross</v>
          </cell>
          <cell r="Y12846" t="str">
            <v>JAPAN</v>
          </cell>
        </row>
        <row r="12847">
          <cell r="L12847" t="str">
            <v>Non-proportional</v>
          </cell>
          <cell r="S12847">
            <v>278.45999999999998</v>
          </cell>
          <cell r="X12847" t="str">
            <v>Commissions - gross</v>
          </cell>
          <cell r="Y12847" t="str">
            <v>JAPAN</v>
          </cell>
        </row>
        <row r="12848">
          <cell r="L12848" t="str">
            <v>Non-proportional</v>
          </cell>
          <cell r="S12848">
            <v>338.18</v>
          </cell>
          <cell r="X12848" t="str">
            <v>Commissions - gross</v>
          </cell>
          <cell r="Y12848" t="str">
            <v>ITALY</v>
          </cell>
        </row>
        <row r="12849">
          <cell r="L12849" t="str">
            <v>Proportional</v>
          </cell>
          <cell r="S12849">
            <v>449.79</v>
          </cell>
          <cell r="X12849" t="str">
            <v>Commissions - gross</v>
          </cell>
          <cell r="Y12849" t="str">
            <v>FRANCE</v>
          </cell>
        </row>
        <row r="12850">
          <cell r="L12850" t="str">
            <v>Non-proportional</v>
          </cell>
          <cell r="S12850">
            <v>1832.93</v>
          </cell>
          <cell r="X12850" t="str">
            <v>Commissions - gross</v>
          </cell>
          <cell r="Y12850" t="str">
            <v>CHINA</v>
          </cell>
        </row>
        <row r="12851">
          <cell r="L12851" t="str">
            <v>Non-proportional</v>
          </cell>
          <cell r="S12851">
            <v>917.84</v>
          </cell>
          <cell r="X12851" t="str">
            <v>Commissions - gross</v>
          </cell>
          <cell r="Y12851" t="str">
            <v>FRANCE</v>
          </cell>
        </row>
        <row r="12852">
          <cell r="L12852" t="str">
            <v>Non-proportional</v>
          </cell>
          <cell r="S12852">
            <v>1433.12</v>
          </cell>
          <cell r="X12852" t="str">
            <v>Commissions - gross</v>
          </cell>
          <cell r="Y12852" t="str">
            <v>FRANCE</v>
          </cell>
        </row>
        <row r="12853">
          <cell r="L12853" t="str">
            <v>Non-proportional</v>
          </cell>
          <cell r="S12853">
            <v>3.12</v>
          </cell>
          <cell r="X12853" t="str">
            <v>Commissions - gross</v>
          </cell>
          <cell r="Y12853" t="str">
            <v>ISRAEL</v>
          </cell>
        </row>
        <row r="12854">
          <cell r="L12854" t="str">
            <v>Non-proportional</v>
          </cell>
          <cell r="S12854">
            <v>1159.1099999999999</v>
          </cell>
          <cell r="X12854" t="str">
            <v>Commissions - gross</v>
          </cell>
          <cell r="Y12854" t="str">
            <v>MEXICO</v>
          </cell>
        </row>
        <row r="12855">
          <cell r="L12855" t="str">
            <v>Non-proportional</v>
          </cell>
          <cell r="S12855">
            <v>359.85</v>
          </cell>
          <cell r="X12855" t="str">
            <v>Commissions - gross</v>
          </cell>
          <cell r="Y12855" t="str">
            <v>BRAZIL</v>
          </cell>
        </row>
        <row r="12856">
          <cell r="L12856" t="str">
            <v>Non-proportional</v>
          </cell>
          <cell r="S12856">
            <v>294.83999999999997</v>
          </cell>
          <cell r="X12856" t="str">
            <v>Commissions - gross</v>
          </cell>
          <cell r="Y12856" t="str">
            <v>ISRAEL</v>
          </cell>
        </row>
        <row r="12857">
          <cell r="L12857" t="str">
            <v>Non-proportional</v>
          </cell>
          <cell r="S12857">
            <v>3.52</v>
          </cell>
          <cell r="X12857" t="str">
            <v>Commissions - gross</v>
          </cell>
          <cell r="Y12857" t="str">
            <v>ISRAEL</v>
          </cell>
        </row>
        <row r="12858">
          <cell r="L12858" t="str">
            <v>Non-proportional</v>
          </cell>
          <cell r="S12858">
            <v>666.49</v>
          </cell>
          <cell r="X12858" t="str">
            <v>Commissions - gross</v>
          </cell>
          <cell r="Y12858" t="str">
            <v>UNITED KINGDOM</v>
          </cell>
        </row>
        <row r="12859">
          <cell r="L12859" t="str">
            <v>Non-proportional</v>
          </cell>
          <cell r="S12859">
            <v>1172.06</v>
          </cell>
          <cell r="X12859" t="str">
            <v>Commissions - gross</v>
          </cell>
          <cell r="Y12859" t="str">
            <v>AUSTRALIA</v>
          </cell>
        </row>
        <row r="12860">
          <cell r="L12860" t="str">
            <v>Non-proportional</v>
          </cell>
          <cell r="S12860">
            <v>-1.41</v>
          </cell>
          <cell r="X12860" t="str">
            <v>Commissions - gross</v>
          </cell>
          <cell r="Y12860" t="str">
            <v>CHINA</v>
          </cell>
        </row>
        <row r="12861">
          <cell r="L12861" t="str">
            <v>Non-proportional</v>
          </cell>
          <cell r="S12861">
            <v>2604.34</v>
          </cell>
          <cell r="X12861" t="str">
            <v>Commissions - gross</v>
          </cell>
          <cell r="Y12861" t="str">
            <v>AUSTRALIA</v>
          </cell>
        </row>
        <row r="12862">
          <cell r="L12862" t="str">
            <v>Non-proportional</v>
          </cell>
          <cell r="S12862">
            <v>409.5</v>
          </cell>
          <cell r="X12862" t="str">
            <v>Commissions - gross</v>
          </cell>
          <cell r="Y12862" t="str">
            <v>FRANCE</v>
          </cell>
        </row>
        <row r="12863">
          <cell r="L12863" t="str">
            <v>Proportional</v>
          </cell>
          <cell r="S12863">
            <v>4.08</v>
          </cell>
          <cell r="X12863" t="str">
            <v>Commissions - gross</v>
          </cell>
          <cell r="Y12863" t="str">
            <v>UNITED STATES</v>
          </cell>
        </row>
        <row r="12864">
          <cell r="L12864" t="str">
            <v>Proportional</v>
          </cell>
          <cell r="S12864">
            <v>46.72</v>
          </cell>
          <cell r="X12864" t="str">
            <v>Commissions - gross</v>
          </cell>
          <cell r="Y12864" t="str">
            <v>UNITED STATES</v>
          </cell>
        </row>
        <row r="12865">
          <cell r="L12865" t="str">
            <v>Proportional</v>
          </cell>
          <cell r="S12865">
            <v>136.11000000000001</v>
          </cell>
          <cell r="X12865" t="str">
            <v>Commissions - gross</v>
          </cell>
          <cell r="Y12865" t="str">
            <v>REPUBLIC OF IRELAND</v>
          </cell>
        </row>
        <row r="12866">
          <cell r="L12866" t="str">
            <v>Non-proportional</v>
          </cell>
          <cell r="S12866">
            <v>7378.51</v>
          </cell>
          <cell r="X12866" t="str">
            <v>Commissions - gross</v>
          </cell>
          <cell r="Y12866" t="str">
            <v>UNITED KINGDOM</v>
          </cell>
        </row>
        <row r="12867">
          <cell r="L12867" t="str">
            <v>Non-proportional</v>
          </cell>
          <cell r="S12867">
            <v>206.02</v>
          </cell>
          <cell r="X12867" t="str">
            <v>Commissions - gross</v>
          </cell>
          <cell r="Y12867" t="str">
            <v>PERU</v>
          </cell>
        </row>
        <row r="12868">
          <cell r="L12868" t="str">
            <v>Non-proportional</v>
          </cell>
          <cell r="S12868">
            <v>-0.1</v>
          </cell>
          <cell r="X12868" t="str">
            <v>Commissions - gross</v>
          </cell>
          <cell r="Y12868" t="str">
            <v>GUATEMALA</v>
          </cell>
        </row>
        <row r="12869">
          <cell r="L12869" t="str">
            <v>Non-proportional</v>
          </cell>
          <cell r="S12869">
            <v>957.95</v>
          </cell>
          <cell r="X12869" t="str">
            <v>Commissions - gross</v>
          </cell>
          <cell r="Y12869" t="str">
            <v>CHILE</v>
          </cell>
        </row>
        <row r="12870">
          <cell r="L12870" t="str">
            <v>Non-proportional</v>
          </cell>
          <cell r="S12870">
            <v>-8.68</v>
          </cell>
          <cell r="X12870" t="str">
            <v>Commissions - gross</v>
          </cell>
          <cell r="Y12870" t="str">
            <v>JAPAN</v>
          </cell>
        </row>
        <row r="12871">
          <cell r="L12871" t="str">
            <v>Non-proportional</v>
          </cell>
          <cell r="S12871">
            <v>202.81</v>
          </cell>
          <cell r="X12871" t="str">
            <v>Commissions - gross</v>
          </cell>
          <cell r="Y12871" t="str">
            <v>JAPAN</v>
          </cell>
        </row>
        <row r="12872">
          <cell r="L12872" t="str">
            <v>Non-proportional</v>
          </cell>
          <cell r="S12872">
            <v>5.98</v>
          </cell>
          <cell r="X12872" t="str">
            <v>Commissions - gross</v>
          </cell>
          <cell r="Y12872" t="str">
            <v>BRAZIL</v>
          </cell>
        </row>
        <row r="12873">
          <cell r="L12873" t="str">
            <v>Non-proportional</v>
          </cell>
          <cell r="S12873">
            <v>72.89</v>
          </cell>
          <cell r="X12873" t="str">
            <v>Commissions - gross</v>
          </cell>
          <cell r="Y12873" t="str">
            <v>ECUADOR</v>
          </cell>
        </row>
        <row r="12874">
          <cell r="L12874" t="str">
            <v>Non-proportional</v>
          </cell>
          <cell r="S12874">
            <v>950.01</v>
          </cell>
          <cell r="X12874" t="str">
            <v>Commissions - gross</v>
          </cell>
          <cell r="Y12874" t="str">
            <v>TURKEY</v>
          </cell>
        </row>
        <row r="12875">
          <cell r="L12875" t="str">
            <v>Non-proportional</v>
          </cell>
          <cell r="S12875">
            <v>39</v>
          </cell>
          <cell r="X12875" t="str">
            <v>Commissions - gross</v>
          </cell>
          <cell r="Y12875" t="str">
            <v>ITALY</v>
          </cell>
        </row>
        <row r="12876">
          <cell r="L12876" t="str">
            <v>Non-proportional</v>
          </cell>
          <cell r="S12876">
            <v>312.69</v>
          </cell>
          <cell r="X12876" t="str">
            <v>Commissions - gross</v>
          </cell>
          <cell r="Y12876" t="str">
            <v>FRANCE</v>
          </cell>
        </row>
        <row r="12877">
          <cell r="L12877" t="str">
            <v>Non-proportional</v>
          </cell>
          <cell r="S12877">
            <v>1424.85</v>
          </cell>
          <cell r="X12877" t="str">
            <v>Commissions - gross</v>
          </cell>
          <cell r="Y12877" t="str">
            <v>AUSTRALIA</v>
          </cell>
        </row>
        <row r="12878">
          <cell r="L12878" t="str">
            <v>Non-proportional</v>
          </cell>
          <cell r="S12878">
            <v>7361.35</v>
          </cell>
          <cell r="X12878" t="str">
            <v>Commissions - gross</v>
          </cell>
          <cell r="Y12878" t="str">
            <v>UNITED KINGDOM</v>
          </cell>
        </row>
        <row r="12879">
          <cell r="L12879" t="str">
            <v>Non-proportional</v>
          </cell>
          <cell r="S12879">
            <v>439.71</v>
          </cell>
          <cell r="X12879" t="str">
            <v>Commissions - gross</v>
          </cell>
          <cell r="Y12879" t="str">
            <v>GUATEMALA</v>
          </cell>
        </row>
        <row r="12880">
          <cell r="L12880" t="str">
            <v>Non-proportional</v>
          </cell>
          <cell r="S12880">
            <v>-5.32</v>
          </cell>
          <cell r="X12880" t="str">
            <v>Commissions - gross</v>
          </cell>
          <cell r="Y12880" t="str">
            <v>JAPAN</v>
          </cell>
        </row>
        <row r="12881">
          <cell r="L12881" t="str">
            <v>Non-proportional</v>
          </cell>
          <cell r="S12881">
            <v>1020.86</v>
          </cell>
          <cell r="X12881" t="str">
            <v>Commissions - gross</v>
          </cell>
          <cell r="Y12881" t="str">
            <v>UNITED KINGDOM</v>
          </cell>
        </row>
        <row r="12882">
          <cell r="L12882" t="str">
            <v>Non-proportional</v>
          </cell>
          <cell r="S12882">
            <v>195.54</v>
          </cell>
          <cell r="X12882" t="str">
            <v>Commissions - gross</v>
          </cell>
          <cell r="Y12882" t="str">
            <v>JAPAN</v>
          </cell>
        </row>
        <row r="12883">
          <cell r="L12883" t="str">
            <v>Proportional</v>
          </cell>
          <cell r="S12883">
            <v>1400.66</v>
          </cell>
          <cell r="X12883" t="str">
            <v>Commissions - gross</v>
          </cell>
          <cell r="Y12883" t="str">
            <v>MEXICO</v>
          </cell>
        </row>
        <row r="12884">
          <cell r="L12884" t="str">
            <v>Non-proportional</v>
          </cell>
          <cell r="S12884">
            <v>117.23</v>
          </cell>
          <cell r="X12884" t="str">
            <v>Commissions - gross</v>
          </cell>
          <cell r="Y12884" t="str">
            <v>FRANCE</v>
          </cell>
        </row>
        <row r="12885">
          <cell r="L12885" t="str">
            <v>Non-proportional</v>
          </cell>
          <cell r="S12885">
            <v>390.08</v>
          </cell>
          <cell r="X12885" t="str">
            <v>Commissions - gross</v>
          </cell>
          <cell r="Y12885" t="str">
            <v>EUROPE</v>
          </cell>
        </row>
        <row r="12886">
          <cell r="L12886" t="str">
            <v>Proportional</v>
          </cell>
          <cell r="S12886">
            <v>-442.83</v>
          </cell>
          <cell r="X12886" t="str">
            <v>Commissions - gross</v>
          </cell>
          <cell r="Y12886" t="str">
            <v>UNITED STATES</v>
          </cell>
        </row>
        <row r="12887">
          <cell r="L12887" t="str">
            <v>Non-proportional</v>
          </cell>
          <cell r="S12887">
            <v>235.08</v>
          </cell>
          <cell r="X12887" t="str">
            <v>Commissions - gross</v>
          </cell>
          <cell r="Y12887" t="str">
            <v>UNITED KINGDOM</v>
          </cell>
        </row>
        <row r="12888">
          <cell r="L12888" t="str">
            <v>Non-proportional</v>
          </cell>
          <cell r="S12888">
            <v>-4.29</v>
          </cell>
          <cell r="X12888" t="str">
            <v>Commissions - gross</v>
          </cell>
          <cell r="Y12888" t="str">
            <v>DOMINICAN REPUBLIC</v>
          </cell>
        </row>
        <row r="12889">
          <cell r="L12889" t="str">
            <v>Non-proportional</v>
          </cell>
          <cell r="S12889">
            <v>374.64</v>
          </cell>
          <cell r="X12889" t="str">
            <v>Commissions - gross</v>
          </cell>
          <cell r="Y12889" t="str">
            <v>SINGAPORE</v>
          </cell>
        </row>
        <row r="12890">
          <cell r="L12890" t="str">
            <v>Proportional</v>
          </cell>
          <cell r="S12890">
            <v>405.29</v>
          </cell>
          <cell r="X12890" t="str">
            <v>Commissions - gross</v>
          </cell>
          <cell r="Y12890" t="str">
            <v>CHILE</v>
          </cell>
        </row>
        <row r="12891">
          <cell r="L12891" t="str">
            <v>Non-proportional</v>
          </cell>
          <cell r="S12891">
            <v>-40.33</v>
          </cell>
          <cell r="X12891" t="str">
            <v>Commissions - gross</v>
          </cell>
          <cell r="Y12891" t="str">
            <v>NEW ZEALAND</v>
          </cell>
        </row>
        <row r="12892">
          <cell r="L12892" t="str">
            <v>Non-proportional</v>
          </cell>
          <cell r="S12892">
            <v>957.95</v>
          </cell>
          <cell r="X12892" t="str">
            <v>Commissions - gross</v>
          </cell>
          <cell r="Y12892" t="str">
            <v>CHILE</v>
          </cell>
        </row>
        <row r="12893">
          <cell r="L12893" t="str">
            <v>Non-proportional</v>
          </cell>
          <cell r="S12893">
            <v>168.79</v>
          </cell>
          <cell r="X12893" t="str">
            <v>Commissions - gross</v>
          </cell>
          <cell r="Y12893" t="str">
            <v>CHINA</v>
          </cell>
        </row>
        <row r="12894">
          <cell r="L12894" t="str">
            <v>Non-proportional</v>
          </cell>
          <cell r="S12894">
            <v>141.59</v>
          </cell>
          <cell r="X12894" t="str">
            <v>Commissions - gross</v>
          </cell>
          <cell r="Y12894" t="str">
            <v>FRANCE</v>
          </cell>
        </row>
        <row r="12895">
          <cell r="L12895" t="str">
            <v>Non-proportional</v>
          </cell>
          <cell r="S12895">
            <v>773.73</v>
          </cell>
          <cell r="X12895" t="str">
            <v>Commissions - gross</v>
          </cell>
          <cell r="Y12895" t="str">
            <v>CHILE</v>
          </cell>
        </row>
        <row r="12896">
          <cell r="L12896" t="str">
            <v>Non-proportional</v>
          </cell>
          <cell r="S12896">
            <v>340.91</v>
          </cell>
          <cell r="X12896" t="str">
            <v>Commissions - gross</v>
          </cell>
          <cell r="Y12896" t="str">
            <v>DOMINICAN REPUBLIC</v>
          </cell>
        </row>
        <row r="12897">
          <cell r="L12897" t="str">
            <v>Non-proportional</v>
          </cell>
          <cell r="S12897">
            <v>553.11</v>
          </cell>
          <cell r="X12897" t="str">
            <v>Commissions - gross</v>
          </cell>
          <cell r="Y12897" t="str">
            <v>ISRAEL</v>
          </cell>
        </row>
        <row r="12898">
          <cell r="L12898" t="str">
            <v>Non-proportional</v>
          </cell>
          <cell r="S12898">
            <v>70.56</v>
          </cell>
          <cell r="X12898" t="str">
            <v>Commissions - gross</v>
          </cell>
          <cell r="Y12898" t="str">
            <v>ECUADOR</v>
          </cell>
        </row>
        <row r="12899">
          <cell r="L12899" t="str">
            <v>Non-proportional</v>
          </cell>
          <cell r="S12899">
            <v>270.02999999999997</v>
          </cell>
          <cell r="X12899" t="str">
            <v>Commissions - gross</v>
          </cell>
          <cell r="Y12899" t="str">
            <v>ECUADOR</v>
          </cell>
        </row>
        <row r="12900">
          <cell r="L12900" t="str">
            <v>Non-proportional</v>
          </cell>
          <cell r="S12900">
            <v>-3.93</v>
          </cell>
          <cell r="X12900" t="str">
            <v>Commissions - gross</v>
          </cell>
          <cell r="Y12900" t="str">
            <v>NEW ZEALAND</v>
          </cell>
        </row>
        <row r="12901">
          <cell r="L12901" t="str">
            <v>Non-proportional</v>
          </cell>
          <cell r="S12901">
            <v>158.91</v>
          </cell>
          <cell r="X12901" t="str">
            <v>Commissions - gross</v>
          </cell>
          <cell r="Y12901" t="str">
            <v>JAPAN</v>
          </cell>
        </row>
        <row r="12902">
          <cell r="L12902" t="str">
            <v>Non-proportional</v>
          </cell>
          <cell r="S12902">
            <v>173.55</v>
          </cell>
          <cell r="X12902" t="str">
            <v>Commissions - gross</v>
          </cell>
          <cell r="Y12902" t="str">
            <v>NEW ZEALAND</v>
          </cell>
        </row>
        <row r="12903">
          <cell r="L12903" t="str">
            <v>Non-proportional</v>
          </cell>
          <cell r="S12903">
            <v>2166.67</v>
          </cell>
          <cell r="X12903" t="str">
            <v>Commissions - gross</v>
          </cell>
          <cell r="Y12903" t="str">
            <v>FRANCE</v>
          </cell>
        </row>
        <row r="12904">
          <cell r="L12904" t="str">
            <v>Non-proportional</v>
          </cell>
          <cell r="S12904">
            <v>639.35</v>
          </cell>
          <cell r="X12904" t="str">
            <v>Commissions - gross</v>
          </cell>
          <cell r="Y12904" t="str">
            <v>NETHERLANDS</v>
          </cell>
        </row>
        <row r="12905">
          <cell r="L12905" t="str">
            <v>Non-proportional</v>
          </cell>
          <cell r="S12905">
            <v>531.28</v>
          </cell>
          <cell r="X12905" t="str">
            <v>Commissions - gross</v>
          </cell>
          <cell r="Y12905" t="str">
            <v>NETHERLANDS</v>
          </cell>
        </row>
        <row r="12906">
          <cell r="L12906" t="str">
            <v>Non-proportional</v>
          </cell>
          <cell r="S12906">
            <v>1442.4</v>
          </cell>
          <cell r="X12906" t="str">
            <v>Commissions - gross</v>
          </cell>
          <cell r="Y12906" t="str">
            <v>FRANCE</v>
          </cell>
        </row>
        <row r="12907">
          <cell r="L12907" t="str">
            <v>Non-proportional</v>
          </cell>
          <cell r="S12907">
            <v>7.2</v>
          </cell>
          <cell r="X12907" t="str">
            <v>Commissions - gross</v>
          </cell>
          <cell r="Y12907" t="str">
            <v>THAILAND</v>
          </cell>
        </row>
        <row r="12908">
          <cell r="L12908" t="str">
            <v>Proportional</v>
          </cell>
          <cell r="S12908">
            <v>-1274.83</v>
          </cell>
          <cell r="X12908" t="str">
            <v>Commissions - gross</v>
          </cell>
          <cell r="Y12908" t="str">
            <v>ITALY</v>
          </cell>
        </row>
        <row r="12909">
          <cell r="L12909" t="str">
            <v>Non-proportional</v>
          </cell>
          <cell r="S12909">
            <v>24</v>
          </cell>
          <cell r="X12909" t="str">
            <v>Commissions - gross</v>
          </cell>
          <cell r="Y12909" t="str">
            <v>NEW ZEALAND</v>
          </cell>
        </row>
        <row r="12910">
          <cell r="L12910" t="str">
            <v>Non-proportional</v>
          </cell>
          <cell r="S12910">
            <v>583.79</v>
          </cell>
          <cell r="X12910" t="str">
            <v>Commissions - gross</v>
          </cell>
          <cell r="Y12910" t="str">
            <v>ISRAEL</v>
          </cell>
        </row>
        <row r="12911">
          <cell r="L12911" t="str">
            <v>Non-proportional</v>
          </cell>
          <cell r="S12911">
            <v>8998.06</v>
          </cell>
          <cell r="X12911" t="str">
            <v>Commissions - gross</v>
          </cell>
          <cell r="Y12911" t="str">
            <v>UNITED KINGDOM</v>
          </cell>
        </row>
        <row r="12912">
          <cell r="L12912" t="str">
            <v>Non-proportional</v>
          </cell>
          <cell r="S12912">
            <v>478.98</v>
          </cell>
          <cell r="X12912" t="str">
            <v>Commissions - gross</v>
          </cell>
          <cell r="Y12912" t="str">
            <v>CHILE</v>
          </cell>
        </row>
        <row r="12913">
          <cell r="L12913" t="str">
            <v>Proportional</v>
          </cell>
          <cell r="S12913">
            <v>-9.2899999999999991</v>
          </cell>
          <cell r="X12913" t="str">
            <v>Commissions - gross</v>
          </cell>
          <cell r="Y12913" t="str">
            <v>INDIA</v>
          </cell>
        </row>
        <row r="12914">
          <cell r="L12914" t="str">
            <v>Non-proportional</v>
          </cell>
          <cell r="S12914">
            <v>525.19000000000005</v>
          </cell>
          <cell r="X12914" t="str">
            <v>Commissions - gross</v>
          </cell>
          <cell r="Y12914" t="str">
            <v>NEW ZEALAND</v>
          </cell>
        </row>
        <row r="12915">
          <cell r="L12915" t="str">
            <v>Proportional</v>
          </cell>
          <cell r="S12915">
            <v>257.91000000000003</v>
          </cell>
          <cell r="X12915" t="str">
            <v>Commissions - gross</v>
          </cell>
          <cell r="Y12915" t="str">
            <v>CHILE</v>
          </cell>
        </row>
        <row r="12916">
          <cell r="L12916" t="str">
            <v>Non-proportional</v>
          </cell>
          <cell r="S12916">
            <v>292.7</v>
          </cell>
          <cell r="X12916" t="str">
            <v>Commissions - gross</v>
          </cell>
          <cell r="Y12916" t="str">
            <v>JAPAN</v>
          </cell>
        </row>
        <row r="12917">
          <cell r="L12917" t="str">
            <v>Non-proportional</v>
          </cell>
          <cell r="S12917">
            <v>140.63</v>
          </cell>
          <cell r="X12917" t="str">
            <v>Commissions - gross</v>
          </cell>
          <cell r="Y12917" t="str">
            <v>GREECE</v>
          </cell>
        </row>
        <row r="12918">
          <cell r="L12918" t="str">
            <v>Non-proportional</v>
          </cell>
          <cell r="S12918">
            <v>418.59</v>
          </cell>
          <cell r="X12918" t="str">
            <v>Commissions - gross</v>
          </cell>
          <cell r="Y12918" t="str">
            <v>FRANCE</v>
          </cell>
        </row>
        <row r="12919">
          <cell r="L12919" t="str">
            <v>Non-proportional</v>
          </cell>
          <cell r="S12919">
            <v>666.65</v>
          </cell>
          <cell r="X12919" t="str">
            <v>Commissions - gross</v>
          </cell>
          <cell r="Y12919" t="str">
            <v>ITALY</v>
          </cell>
        </row>
        <row r="12920">
          <cell r="L12920" t="str">
            <v>Non-proportional</v>
          </cell>
          <cell r="S12920">
            <v>584.42999999999995</v>
          </cell>
          <cell r="X12920" t="str">
            <v>Commissions - gross</v>
          </cell>
          <cell r="Y12920" t="str">
            <v>SPAIN</v>
          </cell>
        </row>
        <row r="12921">
          <cell r="L12921" t="str">
            <v>Non-proportional</v>
          </cell>
          <cell r="S12921">
            <v>316.67</v>
          </cell>
          <cell r="X12921" t="str">
            <v>Commissions - gross</v>
          </cell>
          <cell r="Y12921" t="str">
            <v>UNITED KINGDOM</v>
          </cell>
        </row>
        <row r="12922">
          <cell r="L12922" t="str">
            <v>Non-proportional</v>
          </cell>
          <cell r="S12922">
            <v>-10.77</v>
          </cell>
          <cell r="X12922" t="str">
            <v>Commissions - gross</v>
          </cell>
          <cell r="Y12922" t="str">
            <v>INDIA</v>
          </cell>
        </row>
        <row r="12923">
          <cell r="L12923" t="str">
            <v>Non-proportional</v>
          </cell>
          <cell r="S12923">
            <v>526.57000000000005</v>
          </cell>
          <cell r="X12923" t="str">
            <v>Commissions - gross</v>
          </cell>
          <cell r="Y12923" t="str">
            <v>ISRAEL</v>
          </cell>
        </row>
        <row r="12924">
          <cell r="L12924" t="str">
            <v>Non-proportional</v>
          </cell>
          <cell r="S12924">
            <v>251.42</v>
          </cell>
          <cell r="X12924" t="str">
            <v>Commissions - gross</v>
          </cell>
          <cell r="Y12924" t="str">
            <v>DOMINICAN REPUBLIC</v>
          </cell>
        </row>
        <row r="12925">
          <cell r="L12925" t="str">
            <v>Non-proportional</v>
          </cell>
          <cell r="S12925">
            <v>-10.79</v>
          </cell>
          <cell r="X12925" t="str">
            <v>Commissions - gross</v>
          </cell>
          <cell r="Y12925" t="str">
            <v>JAPAN</v>
          </cell>
        </row>
        <row r="12926">
          <cell r="L12926" t="str">
            <v>Non-proportional</v>
          </cell>
          <cell r="S12926">
            <v>195.89</v>
          </cell>
          <cell r="X12926" t="str">
            <v>Commissions - gross</v>
          </cell>
          <cell r="Y12926" t="str">
            <v>JAPAN</v>
          </cell>
        </row>
        <row r="12927">
          <cell r="L12927" t="str">
            <v>Non-proportional</v>
          </cell>
          <cell r="S12927">
            <v>268.36</v>
          </cell>
          <cell r="X12927" t="str">
            <v>Commissions - gross</v>
          </cell>
          <cell r="Y12927" t="str">
            <v>SOUTH AFRICA</v>
          </cell>
        </row>
        <row r="12928">
          <cell r="L12928" t="str">
            <v>Non-proportional</v>
          </cell>
          <cell r="S12928">
            <v>290.27</v>
          </cell>
          <cell r="X12928" t="str">
            <v>Commissions - gross</v>
          </cell>
          <cell r="Y12928" t="str">
            <v>THAILAND</v>
          </cell>
        </row>
        <row r="12929">
          <cell r="L12929" t="str">
            <v>Non-proportional</v>
          </cell>
          <cell r="S12929">
            <v>113.12</v>
          </cell>
          <cell r="X12929" t="str">
            <v>Commissions - gross</v>
          </cell>
          <cell r="Y12929" t="str">
            <v>CYPRUS</v>
          </cell>
        </row>
        <row r="12930">
          <cell r="L12930" t="str">
            <v>Non-proportional</v>
          </cell>
          <cell r="S12930">
            <v>425.07</v>
          </cell>
          <cell r="X12930" t="str">
            <v>Commissions - gross</v>
          </cell>
          <cell r="Y12930" t="str">
            <v>ITALY</v>
          </cell>
        </row>
        <row r="12931">
          <cell r="L12931" t="str">
            <v>Non-proportional</v>
          </cell>
          <cell r="S12931">
            <v>18.28</v>
          </cell>
          <cell r="X12931" t="str">
            <v>Commissions - gross</v>
          </cell>
          <cell r="Y12931" t="str">
            <v>JAPAN</v>
          </cell>
        </row>
        <row r="12932">
          <cell r="L12932" t="str">
            <v>Non-proportional</v>
          </cell>
          <cell r="S12932">
            <v>203.56</v>
          </cell>
          <cell r="X12932" t="str">
            <v>Commissions - gross</v>
          </cell>
          <cell r="Y12932" t="str">
            <v>UNITED KINGDOM</v>
          </cell>
        </row>
        <row r="12933">
          <cell r="L12933" t="str">
            <v>Non-proportional</v>
          </cell>
          <cell r="S12933">
            <v>931.66</v>
          </cell>
          <cell r="X12933" t="str">
            <v>Commissions - gross</v>
          </cell>
          <cell r="Y12933" t="str">
            <v>ISRAEL</v>
          </cell>
        </row>
        <row r="12934">
          <cell r="L12934" t="str">
            <v>Non-proportional</v>
          </cell>
          <cell r="S12934">
            <v>1382.94</v>
          </cell>
          <cell r="X12934" t="str">
            <v>Commissions - gross</v>
          </cell>
          <cell r="Y12934" t="str">
            <v>ECUADOR</v>
          </cell>
        </row>
        <row r="12935">
          <cell r="L12935" t="str">
            <v>Proportional</v>
          </cell>
          <cell r="S12935">
            <v>145.02000000000001</v>
          </cell>
          <cell r="X12935" t="str">
            <v>Commissions - gross</v>
          </cell>
          <cell r="Y12935" t="str">
            <v>CHILE</v>
          </cell>
        </row>
        <row r="12936">
          <cell r="L12936" t="str">
            <v>Non-proportional</v>
          </cell>
          <cell r="S12936">
            <v>0</v>
          </cell>
          <cell r="X12936" t="str">
            <v>Commissions - gross</v>
          </cell>
          <cell r="Y12936" t="str">
            <v>COLOMBIA</v>
          </cell>
        </row>
        <row r="12937">
          <cell r="L12937" t="str">
            <v>Non-proportional</v>
          </cell>
          <cell r="S12937">
            <v>228.32</v>
          </cell>
          <cell r="X12937" t="str">
            <v>Commissions - gross</v>
          </cell>
          <cell r="Y12937" t="str">
            <v>ECUADOR</v>
          </cell>
        </row>
        <row r="12938">
          <cell r="L12938" t="str">
            <v>Non-proportional</v>
          </cell>
          <cell r="S12938">
            <v>124</v>
          </cell>
          <cell r="X12938" t="str">
            <v>Commissions - gross</v>
          </cell>
          <cell r="Y12938" t="str">
            <v>JAPAN</v>
          </cell>
        </row>
        <row r="12939">
          <cell r="L12939" t="str">
            <v>Non-proportional</v>
          </cell>
          <cell r="S12939">
            <v>42.32</v>
          </cell>
          <cell r="X12939" t="str">
            <v>Commissions - gross</v>
          </cell>
          <cell r="Y12939" t="str">
            <v>JAPAN</v>
          </cell>
        </row>
        <row r="12940">
          <cell r="L12940" t="str">
            <v>Non-proportional</v>
          </cell>
          <cell r="S12940">
            <v>155.15</v>
          </cell>
          <cell r="X12940" t="str">
            <v>Commissions - gross</v>
          </cell>
          <cell r="Y12940" t="str">
            <v>AUSTRALIA</v>
          </cell>
        </row>
        <row r="12941">
          <cell r="L12941" t="str">
            <v>Non-proportional</v>
          </cell>
          <cell r="S12941">
            <v>-6.61</v>
          </cell>
          <cell r="X12941" t="str">
            <v>Commissions - gross</v>
          </cell>
          <cell r="Y12941" t="str">
            <v>CANADA</v>
          </cell>
        </row>
        <row r="12942">
          <cell r="L12942" t="str">
            <v>Non-proportional</v>
          </cell>
          <cell r="S12942">
            <v>194.98</v>
          </cell>
          <cell r="X12942" t="str">
            <v>Commissions - gross</v>
          </cell>
          <cell r="Y12942" t="str">
            <v>DOMINICAN REPUBLIC</v>
          </cell>
        </row>
        <row r="12943">
          <cell r="L12943" t="str">
            <v>Non-proportional</v>
          </cell>
          <cell r="S12943">
            <v>84.38</v>
          </cell>
          <cell r="X12943" t="str">
            <v>Commissions - gross</v>
          </cell>
          <cell r="Y12943" t="str">
            <v>GREECE</v>
          </cell>
        </row>
        <row r="12944">
          <cell r="L12944" t="str">
            <v>Non-proportional</v>
          </cell>
          <cell r="S12944">
            <v>1059.6099999999999</v>
          </cell>
          <cell r="X12944" t="str">
            <v>Commissions - gross</v>
          </cell>
          <cell r="Y12944" t="str">
            <v>FRANCE</v>
          </cell>
        </row>
        <row r="12945">
          <cell r="L12945" t="str">
            <v>Non-proportional</v>
          </cell>
          <cell r="S12945">
            <v>119.79</v>
          </cell>
          <cell r="X12945" t="str">
            <v>Commissions - gross</v>
          </cell>
          <cell r="Y12945" t="str">
            <v>GERMANY</v>
          </cell>
        </row>
        <row r="12946">
          <cell r="L12946" t="str">
            <v>Non-proportional</v>
          </cell>
          <cell r="S12946">
            <v>222.11</v>
          </cell>
          <cell r="X12946" t="str">
            <v>Commissions - gross</v>
          </cell>
          <cell r="Y12946" t="str">
            <v>DOMINICAN REPUBLIC</v>
          </cell>
        </row>
        <row r="12947">
          <cell r="L12947" t="str">
            <v>Non-proportional</v>
          </cell>
          <cell r="S12947">
            <v>416.59</v>
          </cell>
          <cell r="X12947" t="str">
            <v>Commissions - gross</v>
          </cell>
          <cell r="Y12947" t="str">
            <v>UNITED KINGDOM</v>
          </cell>
        </row>
        <row r="12948">
          <cell r="L12948" t="str">
            <v>Proportional</v>
          </cell>
          <cell r="S12948">
            <v>29.3</v>
          </cell>
          <cell r="X12948" t="str">
            <v>Commissions - gross</v>
          </cell>
          <cell r="Y12948" t="str">
            <v>COLOMBIA</v>
          </cell>
        </row>
        <row r="12949">
          <cell r="L12949" t="str">
            <v>Non-proportional</v>
          </cell>
          <cell r="S12949">
            <v>309.45999999999998</v>
          </cell>
          <cell r="X12949" t="str">
            <v>Commissions - gross</v>
          </cell>
          <cell r="Y12949" t="str">
            <v>UNITED KINGDOM</v>
          </cell>
        </row>
        <row r="12950">
          <cell r="L12950" t="str">
            <v>Non-proportional</v>
          </cell>
          <cell r="S12950">
            <v>558.39</v>
          </cell>
          <cell r="X12950" t="str">
            <v>Commissions - gross</v>
          </cell>
          <cell r="Y12950" t="str">
            <v>SINGAPORE</v>
          </cell>
        </row>
        <row r="12951">
          <cell r="L12951" t="str">
            <v>Non-proportional</v>
          </cell>
          <cell r="S12951">
            <v>974.26</v>
          </cell>
          <cell r="X12951" t="str">
            <v>Commissions - gross</v>
          </cell>
          <cell r="Y12951" t="str">
            <v>ECUADOR</v>
          </cell>
        </row>
        <row r="12952">
          <cell r="L12952" t="str">
            <v>Non-proportional</v>
          </cell>
          <cell r="S12952">
            <v>331.6</v>
          </cell>
          <cell r="X12952" t="str">
            <v>Commissions - gross</v>
          </cell>
          <cell r="Y12952" t="str">
            <v>CHILE</v>
          </cell>
        </row>
        <row r="12953">
          <cell r="L12953" t="str">
            <v>Non-proportional</v>
          </cell>
          <cell r="S12953">
            <v>223.28</v>
          </cell>
          <cell r="X12953" t="str">
            <v>Commissions - gross</v>
          </cell>
          <cell r="Y12953" t="str">
            <v>ECUADOR</v>
          </cell>
        </row>
        <row r="12954">
          <cell r="L12954" t="str">
            <v>Non-proportional</v>
          </cell>
          <cell r="S12954">
            <v>437.54</v>
          </cell>
          <cell r="X12954" t="str">
            <v>Commissions - gross</v>
          </cell>
          <cell r="Y12954" t="str">
            <v>COLOMBIA</v>
          </cell>
        </row>
        <row r="12955">
          <cell r="L12955" t="str">
            <v>Non-proportional</v>
          </cell>
          <cell r="S12955">
            <v>127.65</v>
          </cell>
          <cell r="X12955" t="str">
            <v>Commissions - gross</v>
          </cell>
          <cell r="Y12955" t="str">
            <v>NEW ZEALAND</v>
          </cell>
        </row>
        <row r="12956">
          <cell r="L12956" t="str">
            <v>Proportional</v>
          </cell>
          <cell r="S12956">
            <v>-539.99</v>
          </cell>
          <cell r="X12956" t="str">
            <v>Commissions - gross</v>
          </cell>
          <cell r="Y12956" t="str">
            <v>CHILE</v>
          </cell>
        </row>
        <row r="12957">
          <cell r="L12957" t="str">
            <v>Non-proportional</v>
          </cell>
          <cell r="S12957">
            <v>-36.03</v>
          </cell>
          <cell r="X12957" t="str">
            <v>Commissions - gross</v>
          </cell>
          <cell r="Y12957" t="str">
            <v>NEW ZEALAND</v>
          </cell>
        </row>
        <row r="12958">
          <cell r="L12958" t="str">
            <v>Non-proportional</v>
          </cell>
          <cell r="S12958">
            <v>-6.95</v>
          </cell>
          <cell r="X12958" t="str">
            <v>Commissions - gross</v>
          </cell>
          <cell r="Y12958" t="str">
            <v>NEW ZEALAND</v>
          </cell>
        </row>
        <row r="12959">
          <cell r="L12959" t="str">
            <v>Non-proportional</v>
          </cell>
          <cell r="S12959">
            <v>158.74</v>
          </cell>
          <cell r="X12959" t="str">
            <v>Commissions - gross</v>
          </cell>
          <cell r="Y12959" t="str">
            <v>ITALY</v>
          </cell>
        </row>
        <row r="12960">
          <cell r="L12960" t="str">
            <v>Non-proportional</v>
          </cell>
          <cell r="S12960">
            <v>28.63</v>
          </cell>
          <cell r="X12960" t="str">
            <v>Commissions - gross</v>
          </cell>
          <cell r="Y12960" t="str">
            <v>REPUBLIC OF IRELAND</v>
          </cell>
        </row>
        <row r="12961">
          <cell r="L12961" t="str">
            <v>Non-proportional</v>
          </cell>
          <cell r="S12961">
            <v>608.63</v>
          </cell>
          <cell r="X12961" t="str">
            <v>Commissions - gross</v>
          </cell>
          <cell r="Y12961" t="str">
            <v>ITALY</v>
          </cell>
        </row>
        <row r="12962">
          <cell r="L12962" t="str">
            <v>Non-proportional</v>
          </cell>
          <cell r="S12962">
            <v>324.48</v>
          </cell>
          <cell r="X12962" t="str">
            <v>Commissions - gross</v>
          </cell>
          <cell r="Y12962" t="str">
            <v>FRANCE</v>
          </cell>
        </row>
        <row r="12963">
          <cell r="L12963" t="str">
            <v>Non-proportional</v>
          </cell>
          <cell r="S12963">
            <v>324.91000000000003</v>
          </cell>
          <cell r="X12963" t="str">
            <v>Commissions - gross</v>
          </cell>
          <cell r="Y12963" t="str">
            <v>FRANCE</v>
          </cell>
        </row>
        <row r="12964">
          <cell r="L12964" t="str">
            <v>Non-proportional</v>
          </cell>
          <cell r="S12964">
            <v>934.81</v>
          </cell>
          <cell r="X12964" t="str">
            <v>Commissions - gross</v>
          </cell>
          <cell r="Y12964" t="str">
            <v>NETHERLANDS</v>
          </cell>
        </row>
        <row r="12965">
          <cell r="L12965" t="str">
            <v>Non-proportional</v>
          </cell>
          <cell r="S12965">
            <v>1097.48</v>
          </cell>
          <cell r="X12965" t="str">
            <v>Commissions - gross</v>
          </cell>
          <cell r="Y12965" t="str">
            <v>GERMANY</v>
          </cell>
        </row>
        <row r="12966">
          <cell r="L12966" t="str">
            <v>Proportional</v>
          </cell>
          <cell r="S12966">
            <v>1688.55</v>
          </cell>
          <cell r="X12966" t="str">
            <v>Commissions - gross</v>
          </cell>
          <cell r="Y12966" t="str">
            <v>MEXICO</v>
          </cell>
        </row>
        <row r="12967">
          <cell r="L12967" t="str">
            <v>Non-proportional</v>
          </cell>
          <cell r="S12967">
            <v>2428.0100000000002</v>
          </cell>
          <cell r="X12967" t="str">
            <v>Commissions - gross</v>
          </cell>
          <cell r="Y12967" t="str">
            <v>ISRAEL</v>
          </cell>
        </row>
        <row r="12968">
          <cell r="L12968" t="str">
            <v>Proportional</v>
          </cell>
          <cell r="S12968">
            <v>1673.43</v>
          </cell>
          <cell r="X12968" t="str">
            <v>Commissions - gross</v>
          </cell>
          <cell r="Y12968" t="str">
            <v>SWITZERLAND</v>
          </cell>
        </row>
        <row r="12969">
          <cell r="L12969" t="str">
            <v>Proportional</v>
          </cell>
          <cell r="S12969">
            <v>2718.15</v>
          </cell>
          <cell r="X12969" t="str">
            <v>Commissions - gross</v>
          </cell>
          <cell r="Y12969" t="str">
            <v>SWITZERLAND</v>
          </cell>
        </row>
        <row r="12970">
          <cell r="L12970" t="str">
            <v>Non-proportional</v>
          </cell>
          <cell r="S12970">
            <v>-4.04</v>
          </cell>
          <cell r="X12970" t="str">
            <v>Commissions - gross</v>
          </cell>
          <cell r="Y12970" t="str">
            <v>COLOMBIA</v>
          </cell>
        </row>
        <row r="12971">
          <cell r="L12971" t="str">
            <v>Non-proportional</v>
          </cell>
          <cell r="S12971">
            <v>-90.21</v>
          </cell>
          <cell r="X12971" t="str">
            <v>Commissions - gross</v>
          </cell>
          <cell r="Y12971" t="str">
            <v>JAPAN</v>
          </cell>
        </row>
        <row r="12972">
          <cell r="L12972" t="str">
            <v>Non-proportional</v>
          </cell>
          <cell r="S12972">
            <v>110.67</v>
          </cell>
          <cell r="X12972" t="str">
            <v>Commissions - gross</v>
          </cell>
          <cell r="Y12972" t="str">
            <v>COSTA RICA</v>
          </cell>
        </row>
        <row r="12973">
          <cell r="L12973" t="str">
            <v>Non-proportional</v>
          </cell>
          <cell r="S12973">
            <v>89.18</v>
          </cell>
          <cell r="X12973" t="str">
            <v>Commissions - gross</v>
          </cell>
          <cell r="Y12973" t="str">
            <v>JAPAN</v>
          </cell>
        </row>
        <row r="12974">
          <cell r="L12974" t="str">
            <v>Non-proportional</v>
          </cell>
          <cell r="S12974">
            <v>957.95</v>
          </cell>
          <cell r="X12974" t="str">
            <v>Commissions - gross</v>
          </cell>
          <cell r="Y12974" t="str">
            <v>CHILE</v>
          </cell>
        </row>
        <row r="12975">
          <cell r="L12975" t="str">
            <v>Non-proportional</v>
          </cell>
          <cell r="S12975">
            <v>255.12</v>
          </cell>
          <cell r="X12975" t="str">
            <v>Commissions - gross</v>
          </cell>
          <cell r="Y12975" t="str">
            <v>THAILAND</v>
          </cell>
        </row>
        <row r="12976">
          <cell r="L12976" t="str">
            <v>Proportional</v>
          </cell>
          <cell r="S12976">
            <v>591.52</v>
          </cell>
          <cell r="X12976" t="str">
            <v>Commissions - gross</v>
          </cell>
          <cell r="Y12976" t="str">
            <v>ITALY</v>
          </cell>
        </row>
        <row r="12977">
          <cell r="L12977" t="str">
            <v>Non-proportional</v>
          </cell>
          <cell r="S12977">
            <v>1265.96</v>
          </cell>
          <cell r="X12977" t="str">
            <v>Commissions - gross</v>
          </cell>
          <cell r="Y12977" t="str">
            <v>ITALY</v>
          </cell>
        </row>
        <row r="12978">
          <cell r="L12978" t="str">
            <v>Non-proportional</v>
          </cell>
          <cell r="S12978">
            <v>3131.61</v>
          </cell>
          <cell r="X12978" t="str">
            <v>Commissions - gross</v>
          </cell>
          <cell r="Y12978" t="str">
            <v>FRANCE</v>
          </cell>
        </row>
        <row r="12979">
          <cell r="L12979" t="str">
            <v>Non-proportional</v>
          </cell>
          <cell r="S12979">
            <v>450.98</v>
          </cell>
          <cell r="X12979" t="str">
            <v>Commissions - gross</v>
          </cell>
          <cell r="Y12979" t="str">
            <v>FRANCE</v>
          </cell>
        </row>
        <row r="12980">
          <cell r="L12980" t="str">
            <v>Non-proportional</v>
          </cell>
          <cell r="S12980">
            <v>494.91</v>
          </cell>
          <cell r="X12980" t="str">
            <v>Commissions - gross</v>
          </cell>
          <cell r="Y12980" t="str">
            <v>NETHERLANDS</v>
          </cell>
        </row>
        <row r="12981">
          <cell r="L12981" t="str">
            <v>Proportional</v>
          </cell>
          <cell r="S12981">
            <v>4.68</v>
          </cell>
          <cell r="X12981" t="str">
            <v>Commissions - gross</v>
          </cell>
          <cell r="Y12981" t="str">
            <v>UNITED STATES</v>
          </cell>
        </row>
        <row r="12982">
          <cell r="L12982" t="str">
            <v>Non-proportional</v>
          </cell>
          <cell r="S12982">
            <v>472.98</v>
          </cell>
          <cell r="X12982" t="str">
            <v>Commissions - gross</v>
          </cell>
          <cell r="Y12982" t="str">
            <v>SPAIN</v>
          </cell>
        </row>
        <row r="12983">
          <cell r="L12983" t="str">
            <v>Non-proportional</v>
          </cell>
          <cell r="S12983">
            <v>1366.42</v>
          </cell>
          <cell r="X12983" t="str">
            <v>Commissions - gross</v>
          </cell>
          <cell r="Y12983" t="str">
            <v>UNITED KINGDOM</v>
          </cell>
        </row>
        <row r="12984">
          <cell r="L12984" t="str">
            <v>Non-proportional</v>
          </cell>
          <cell r="S12984">
            <v>1046.8</v>
          </cell>
          <cell r="X12984" t="str">
            <v>Commissions - gross</v>
          </cell>
          <cell r="Y12984" t="str">
            <v>COLOMBIA</v>
          </cell>
        </row>
        <row r="12985">
          <cell r="L12985" t="str">
            <v>Non-proportional</v>
          </cell>
          <cell r="S12985">
            <v>224.95</v>
          </cell>
          <cell r="X12985" t="str">
            <v>Commissions - gross</v>
          </cell>
          <cell r="Y12985" t="str">
            <v>UNITED KINGDOM</v>
          </cell>
        </row>
        <row r="12986">
          <cell r="L12986" t="str">
            <v>Non-proportional</v>
          </cell>
          <cell r="S12986">
            <v>472.09</v>
          </cell>
          <cell r="X12986" t="str">
            <v>Commissions - gross</v>
          </cell>
          <cell r="Y12986" t="str">
            <v>PERU</v>
          </cell>
        </row>
        <row r="12987">
          <cell r="L12987" t="str">
            <v>Non-proportional</v>
          </cell>
          <cell r="S12987">
            <v>36.840000000000003</v>
          </cell>
          <cell r="X12987" t="str">
            <v>Commissions - gross</v>
          </cell>
          <cell r="Y12987" t="str">
            <v>CHILE</v>
          </cell>
        </row>
        <row r="12988">
          <cell r="L12988" t="str">
            <v>Non-proportional</v>
          </cell>
          <cell r="S12988">
            <v>964.23</v>
          </cell>
          <cell r="X12988" t="str">
            <v>Commissions - gross</v>
          </cell>
          <cell r="Y12988" t="str">
            <v>COSTA RICA</v>
          </cell>
        </row>
        <row r="12989">
          <cell r="L12989" t="str">
            <v>Non-proportional</v>
          </cell>
          <cell r="S12989">
            <v>761.29</v>
          </cell>
          <cell r="X12989" t="str">
            <v>Commissions - gross</v>
          </cell>
          <cell r="Y12989" t="str">
            <v>NEW ZEALAND</v>
          </cell>
        </row>
        <row r="12990">
          <cell r="L12990" t="str">
            <v>Non-proportional</v>
          </cell>
          <cell r="S12990">
            <v>244.25</v>
          </cell>
          <cell r="X12990" t="str">
            <v>Commissions - gross</v>
          </cell>
          <cell r="Y12990" t="str">
            <v>CYPRUS</v>
          </cell>
        </row>
        <row r="12991">
          <cell r="L12991" t="str">
            <v>Non-proportional</v>
          </cell>
          <cell r="S12991">
            <v>695.78</v>
          </cell>
          <cell r="X12991" t="str">
            <v>Commissions - gross</v>
          </cell>
          <cell r="Y12991" t="str">
            <v>ITALY</v>
          </cell>
        </row>
        <row r="12992">
          <cell r="L12992" t="str">
            <v>Non-proportional</v>
          </cell>
          <cell r="S12992">
            <v>1681.52</v>
          </cell>
          <cell r="X12992" t="str">
            <v>Commissions - gross</v>
          </cell>
          <cell r="Y12992" t="str">
            <v>UNITED KINGDOM</v>
          </cell>
        </row>
        <row r="12993">
          <cell r="L12993" t="str">
            <v>Non-proportional</v>
          </cell>
          <cell r="S12993">
            <v>-0.01</v>
          </cell>
          <cell r="X12993" t="str">
            <v>Commissions - gross</v>
          </cell>
          <cell r="Y12993" t="str">
            <v>COLOMBIA</v>
          </cell>
        </row>
        <row r="12994">
          <cell r="L12994" t="str">
            <v>Non-proportional</v>
          </cell>
          <cell r="S12994">
            <v>1498.91</v>
          </cell>
          <cell r="X12994" t="str">
            <v>Commissions - gross</v>
          </cell>
          <cell r="Y12994" t="str">
            <v>UNITED KINGDOM</v>
          </cell>
        </row>
        <row r="12995">
          <cell r="L12995" t="str">
            <v>Non-proportional</v>
          </cell>
          <cell r="S12995">
            <v>4663.3</v>
          </cell>
          <cell r="X12995" t="str">
            <v>Commissions - gross</v>
          </cell>
          <cell r="Y12995" t="str">
            <v>UNITED KINGDOM</v>
          </cell>
        </row>
        <row r="12996">
          <cell r="L12996" t="str">
            <v>Non-proportional</v>
          </cell>
          <cell r="S12996">
            <v>330.5</v>
          </cell>
          <cell r="X12996" t="str">
            <v>Commissions - gross</v>
          </cell>
          <cell r="Y12996" t="str">
            <v>JAPAN</v>
          </cell>
        </row>
        <row r="12997">
          <cell r="L12997" t="str">
            <v>Proportional</v>
          </cell>
          <cell r="S12997">
            <v>2058.7399999999998</v>
          </cell>
          <cell r="X12997" t="str">
            <v>Commissions - gross</v>
          </cell>
          <cell r="Y12997" t="str">
            <v>UNITED STATES</v>
          </cell>
        </row>
        <row r="12998">
          <cell r="L12998" t="str">
            <v>Non-proportional</v>
          </cell>
          <cell r="S12998">
            <v>-6.32</v>
          </cell>
          <cell r="X12998" t="str">
            <v>Commissions - gross</v>
          </cell>
          <cell r="Y12998" t="str">
            <v>JAPAN</v>
          </cell>
        </row>
        <row r="12999">
          <cell r="L12999" t="str">
            <v>Non-proportional</v>
          </cell>
          <cell r="S12999">
            <v>91.55</v>
          </cell>
          <cell r="X12999" t="str">
            <v>Commissions - gross</v>
          </cell>
          <cell r="Y12999" t="str">
            <v>SOUTH AFRICA</v>
          </cell>
        </row>
        <row r="13000">
          <cell r="L13000" t="str">
            <v>Non-proportional</v>
          </cell>
          <cell r="S13000">
            <v>-14.6</v>
          </cell>
          <cell r="X13000" t="str">
            <v>Commissions - gross</v>
          </cell>
          <cell r="Y13000" t="str">
            <v>NEW ZEALAND</v>
          </cell>
        </row>
        <row r="13001">
          <cell r="L13001" t="str">
            <v>Non-proportional</v>
          </cell>
          <cell r="S13001">
            <v>4900.16</v>
          </cell>
          <cell r="X13001" t="str">
            <v>Commissions - gross</v>
          </cell>
          <cell r="Y13001" t="str">
            <v>UNITED KINGDOM</v>
          </cell>
        </row>
        <row r="13002">
          <cell r="L13002" t="str">
            <v>Non-proportional</v>
          </cell>
          <cell r="S13002">
            <v>184.69</v>
          </cell>
          <cell r="X13002" t="str">
            <v>Commissions - gross</v>
          </cell>
          <cell r="Y13002" t="str">
            <v>FRANCE</v>
          </cell>
        </row>
        <row r="13003">
          <cell r="L13003" t="str">
            <v>Non-proportional</v>
          </cell>
          <cell r="S13003">
            <v>97.5</v>
          </cell>
          <cell r="X13003" t="str">
            <v>Commissions - gross</v>
          </cell>
          <cell r="Y13003" t="str">
            <v>GREECE</v>
          </cell>
        </row>
        <row r="13004">
          <cell r="L13004" t="str">
            <v>Non-proportional</v>
          </cell>
          <cell r="S13004">
            <v>2019.75</v>
          </cell>
          <cell r="X13004" t="str">
            <v>Commissions - gross</v>
          </cell>
          <cell r="Y13004" t="str">
            <v>ITALY</v>
          </cell>
        </row>
        <row r="13005">
          <cell r="L13005" t="str">
            <v>Proportional</v>
          </cell>
          <cell r="S13005">
            <v>941.51</v>
          </cell>
          <cell r="X13005" t="str">
            <v>Commissions - gross</v>
          </cell>
          <cell r="Y13005" t="str">
            <v>ITALY</v>
          </cell>
        </row>
        <row r="13006">
          <cell r="L13006" t="str">
            <v>Non-proportional</v>
          </cell>
          <cell r="S13006">
            <v>927.82</v>
          </cell>
          <cell r="X13006" t="str">
            <v>Commissions - gross</v>
          </cell>
          <cell r="Y13006" t="str">
            <v>UNITED KINGDOM</v>
          </cell>
        </row>
        <row r="13007">
          <cell r="L13007" t="str">
            <v>Non-proportional</v>
          </cell>
          <cell r="S13007">
            <v>16.440000000000001</v>
          </cell>
          <cell r="X13007" t="str">
            <v>Commissions - gross</v>
          </cell>
          <cell r="Y13007" t="str">
            <v>COLOMBIA</v>
          </cell>
        </row>
        <row r="13008">
          <cell r="L13008" t="str">
            <v>Proportional</v>
          </cell>
          <cell r="S13008">
            <v>1159.95</v>
          </cell>
          <cell r="X13008" t="str">
            <v>Commissions - gross</v>
          </cell>
          <cell r="Y13008" t="str">
            <v>CANADA</v>
          </cell>
        </row>
        <row r="13009">
          <cell r="L13009" t="str">
            <v>Non-proportional</v>
          </cell>
          <cell r="S13009">
            <v>6.45</v>
          </cell>
          <cell r="X13009" t="str">
            <v>Commissions - gross</v>
          </cell>
          <cell r="Y13009" t="str">
            <v>ISRAEL</v>
          </cell>
        </row>
        <row r="13010">
          <cell r="L13010" t="str">
            <v>Proportional</v>
          </cell>
          <cell r="S13010">
            <v>39.33</v>
          </cell>
          <cell r="X13010" t="str">
            <v>Commissions - gross</v>
          </cell>
          <cell r="Y13010" t="str">
            <v>CHILE</v>
          </cell>
        </row>
        <row r="13011">
          <cell r="L13011" t="str">
            <v>Non-proportional</v>
          </cell>
          <cell r="S13011">
            <v>0</v>
          </cell>
          <cell r="X13011" t="str">
            <v>Commissions - gross</v>
          </cell>
          <cell r="Y13011" t="str">
            <v>COLOMBIA</v>
          </cell>
        </row>
        <row r="13012">
          <cell r="L13012" t="str">
            <v>Non-proportional</v>
          </cell>
          <cell r="S13012">
            <v>0</v>
          </cell>
          <cell r="X13012" t="str">
            <v>Commissions - gross</v>
          </cell>
          <cell r="Y13012" t="str">
            <v>COLOMBIA</v>
          </cell>
        </row>
        <row r="13013">
          <cell r="L13013" t="str">
            <v>Non-proportional</v>
          </cell>
          <cell r="S13013">
            <v>398.37</v>
          </cell>
          <cell r="X13013" t="str">
            <v>Commissions - gross</v>
          </cell>
          <cell r="Y13013" t="str">
            <v>ECUADOR</v>
          </cell>
        </row>
        <row r="13014">
          <cell r="L13014" t="str">
            <v>Non-proportional</v>
          </cell>
          <cell r="S13014">
            <v>2789.98</v>
          </cell>
          <cell r="X13014" t="str">
            <v>Commissions - gross</v>
          </cell>
          <cell r="Y13014" t="str">
            <v>JAPAN</v>
          </cell>
        </row>
        <row r="13015">
          <cell r="L13015" t="str">
            <v>Non-proportional</v>
          </cell>
          <cell r="S13015">
            <v>538.52</v>
          </cell>
          <cell r="X13015" t="str">
            <v>Commissions - gross</v>
          </cell>
          <cell r="Y13015" t="str">
            <v>COLOMBIA</v>
          </cell>
        </row>
        <row r="13016">
          <cell r="L13016" t="str">
            <v>Non-proportional</v>
          </cell>
          <cell r="S13016">
            <v>-1.05</v>
          </cell>
          <cell r="X13016" t="str">
            <v>Commissions - gross</v>
          </cell>
          <cell r="Y13016" t="str">
            <v>CHINA</v>
          </cell>
        </row>
        <row r="13017">
          <cell r="L13017" t="str">
            <v>Non-proportional</v>
          </cell>
          <cell r="S13017">
            <v>86.46</v>
          </cell>
          <cell r="X13017" t="str">
            <v>Commissions - gross</v>
          </cell>
          <cell r="Y13017" t="str">
            <v>COSTA RICA</v>
          </cell>
        </row>
        <row r="13018">
          <cell r="L13018" t="str">
            <v>Non-proportional</v>
          </cell>
          <cell r="S13018">
            <v>459.01</v>
          </cell>
          <cell r="X13018" t="str">
            <v>Commissions - gross</v>
          </cell>
          <cell r="Y13018" t="str">
            <v>NEW ZEALAND</v>
          </cell>
        </row>
        <row r="13019">
          <cell r="L13019" t="str">
            <v>Non-proportional</v>
          </cell>
          <cell r="S13019">
            <v>656.25</v>
          </cell>
          <cell r="X13019" t="str">
            <v>Commissions - gross</v>
          </cell>
          <cell r="Y13019" t="str">
            <v>ITALY</v>
          </cell>
        </row>
        <row r="13020">
          <cell r="L13020" t="str">
            <v>Non-proportional</v>
          </cell>
          <cell r="S13020">
            <v>194.65</v>
          </cell>
          <cell r="X13020" t="str">
            <v>Commissions - gross</v>
          </cell>
          <cell r="Y13020" t="str">
            <v>REPUBLIC OF IRELAND</v>
          </cell>
        </row>
        <row r="13021">
          <cell r="L13021" t="str">
            <v>Non-proportional</v>
          </cell>
          <cell r="S13021">
            <v>690.77</v>
          </cell>
          <cell r="X13021" t="str">
            <v>Commissions - gross</v>
          </cell>
          <cell r="Y13021" t="str">
            <v>GREECE</v>
          </cell>
        </row>
        <row r="13022">
          <cell r="L13022" t="str">
            <v>Non-proportional</v>
          </cell>
          <cell r="S13022">
            <v>6.6</v>
          </cell>
          <cell r="X13022" t="str">
            <v>Commissions - gross</v>
          </cell>
          <cell r="Y13022" t="str">
            <v>ISRAEL</v>
          </cell>
        </row>
        <row r="13023">
          <cell r="L13023" t="str">
            <v>Non-proportional</v>
          </cell>
          <cell r="S13023">
            <v>2419.11</v>
          </cell>
          <cell r="X13023" t="str">
            <v>Commissions - gross</v>
          </cell>
          <cell r="Y13023" t="str">
            <v>NEW ZEALAND</v>
          </cell>
        </row>
        <row r="13024">
          <cell r="L13024" t="str">
            <v>Non-proportional</v>
          </cell>
          <cell r="S13024">
            <v>533</v>
          </cell>
          <cell r="X13024" t="str">
            <v>Commissions - gross</v>
          </cell>
          <cell r="Y13024" t="str">
            <v>PERU</v>
          </cell>
        </row>
        <row r="13025">
          <cell r="L13025" t="str">
            <v>Non-proportional</v>
          </cell>
          <cell r="S13025">
            <v>144.61000000000001</v>
          </cell>
          <cell r="X13025" t="str">
            <v>Commissions - gross</v>
          </cell>
          <cell r="Y13025" t="str">
            <v>UNITED KINGDOM</v>
          </cell>
        </row>
        <row r="13026">
          <cell r="L13026" t="str">
            <v>Proportional</v>
          </cell>
          <cell r="S13026">
            <v>-2123.1799999999998</v>
          </cell>
          <cell r="X13026" t="str">
            <v>Commissions - gross</v>
          </cell>
          <cell r="Y13026" t="str">
            <v>INDIA</v>
          </cell>
        </row>
        <row r="13027">
          <cell r="L13027" t="str">
            <v>Non-proportional</v>
          </cell>
          <cell r="S13027">
            <v>1648.94</v>
          </cell>
          <cell r="X13027" t="str">
            <v>Commissions - gross</v>
          </cell>
          <cell r="Y13027" t="str">
            <v>HONG KONG</v>
          </cell>
        </row>
        <row r="13028">
          <cell r="L13028" t="str">
            <v>Non-proportional</v>
          </cell>
          <cell r="S13028">
            <v>1588.55</v>
          </cell>
          <cell r="X13028" t="str">
            <v>Commissions - gross</v>
          </cell>
          <cell r="Y13028" t="str">
            <v>EUROPE</v>
          </cell>
        </row>
        <row r="13029">
          <cell r="L13029" t="str">
            <v>Non-proportional</v>
          </cell>
          <cell r="S13029">
            <v>11174.98</v>
          </cell>
          <cell r="X13029" t="str">
            <v>Commissions - gross</v>
          </cell>
          <cell r="Y13029" t="str">
            <v>UNITED KINGDOM</v>
          </cell>
        </row>
        <row r="13030">
          <cell r="L13030" t="str">
            <v>Non-proportional</v>
          </cell>
          <cell r="S13030">
            <v>1923.15</v>
          </cell>
          <cell r="X13030" t="str">
            <v>Commissions - gross</v>
          </cell>
          <cell r="Y13030" t="str">
            <v>FRANCE</v>
          </cell>
        </row>
        <row r="13031">
          <cell r="L13031" t="str">
            <v>Non-proportional</v>
          </cell>
          <cell r="S13031">
            <v>1392.54</v>
          </cell>
          <cell r="X13031" t="str">
            <v>Commissions - gross</v>
          </cell>
          <cell r="Y13031" t="str">
            <v>UNITED KINGDOM</v>
          </cell>
        </row>
        <row r="13032">
          <cell r="L13032" t="str">
            <v>Non-proportional</v>
          </cell>
          <cell r="S13032">
            <v>0</v>
          </cell>
          <cell r="X13032" t="str">
            <v>Commissions - gross</v>
          </cell>
          <cell r="Y13032" t="str">
            <v>DOMINICAN REPUBLIC</v>
          </cell>
        </row>
        <row r="13033">
          <cell r="L13033" t="str">
            <v>Non-proportional</v>
          </cell>
          <cell r="S13033">
            <v>414.23</v>
          </cell>
          <cell r="X13033" t="str">
            <v>Commissions - gross</v>
          </cell>
          <cell r="Y13033" t="str">
            <v>UNITED KINGDOM</v>
          </cell>
        </row>
        <row r="13034">
          <cell r="L13034" t="str">
            <v>Non-proportional</v>
          </cell>
          <cell r="S13034">
            <v>1.98</v>
          </cell>
          <cell r="X13034" t="str">
            <v>Commissions - gross</v>
          </cell>
          <cell r="Y13034" t="str">
            <v>ISRAEL</v>
          </cell>
        </row>
        <row r="13035">
          <cell r="L13035" t="str">
            <v>Proportional</v>
          </cell>
          <cell r="S13035">
            <v>114.66</v>
          </cell>
          <cell r="X13035" t="str">
            <v>Commissions - gross</v>
          </cell>
          <cell r="Y13035" t="str">
            <v>PERU</v>
          </cell>
        </row>
        <row r="13036">
          <cell r="L13036" t="str">
            <v>Non-proportional</v>
          </cell>
          <cell r="S13036">
            <v>540.91999999999996</v>
          </cell>
          <cell r="X13036" t="str">
            <v>Commissions - gross</v>
          </cell>
          <cell r="Y13036" t="str">
            <v>UNITED KINGDOM</v>
          </cell>
        </row>
        <row r="13037">
          <cell r="L13037" t="str">
            <v>Proportional</v>
          </cell>
          <cell r="S13037">
            <v>141.36000000000001</v>
          </cell>
          <cell r="X13037" t="str">
            <v>Commissions - gross</v>
          </cell>
          <cell r="Y13037" t="str">
            <v>PERU</v>
          </cell>
        </row>
        <row r="13038">
          <cell r="L13038" t="str">
            <v>Non-proportional</v>
          </cell>
          <cell r="S13038">
            <v>184.22</v>
          </cell>
          <cell r="X13038" t="str">
            <v>Commissions - gross</v>
          </cell>
          <cell r="Y13038" t="str">
            <v>CHILE</v>
          </cell>
        </row>
        <row r="13039">
          <cell r="L13039" t="str">
            <v>Non-proportional</v>
          </cell>
          <cell r="S13039">
            <v>487.52</v>
          </cell>
          <cell r="X13039" t="str">
            <v>Commissions - gross</v>
          </cell>
          <cell r="Y13039" t="str">
            <v>UNITED KINGDOM</v>
          </cell>
        </row>
        <row r="13040">
          <cell r="L13040" t="str">
            <v>Non-proportional</v>
          </cell>
          <cell r="S13040">
            <v>323.77</v>
          </cell>
          <cell r="X13040" t="str">
            <v>Commissions - gross</v>
          </cell>
          <cell r="Y13040" t="str">
            <v>ISRAEL</v>
          </cell>
        </row>
        <row r="13041">
          <cell r="L13041" t="str">
            <v>Proportional</v>
          </cell>
          <cell r="S13041">
            <v>-422.8</v>
          </cell>
          <cell r="X13041" t="str">
            <v>Commissions - gross</v>
          </cell>
          <cell r="Y13041" t="str">
            <v>CHILE</v>
          </cell>
        </row>
        <row r="13042">
          <cell r="L13042" t="str">
            <v>Proportional</v>
          </cell>
          <cell r="S13042">
            <v>-48.24</v>
          </cell>
          <cell r="X13042" t="str">
            <v>Commissions - gross</v>
          </cell>
          <cell r="Y13042" t="str">
            <v>CANADA</v>
          </cell>
        </row>
        <row r="13043">
          <cell r="L13043" t="str">
            <v>Non-proportional</v>
          </cell>
          <cell r="S13043">
            <v>122.12</v>
          </cell>
          <cell r="X13043" t="str">
            <v>Commissions - gross</v>
          </cell>
          <cell r="Y13043" t="str">
            <v>COSTA RICA</v>
          </cell>
        </row>
        <row r="13044">
          <cell r="L13044" t="str">
            <v>Non-proportional</v>
          </cell>
          <cell r="S13044">
            <v>-10.49</v>
          </cell>
          <cell r="X13044" t="str">
            <v>Commissions - gross</v>
          </cell>
          <cell r="Y13044" t="str">
            <v>JAPAN</v>
          </cell>
        </row>
        <row r="13045">
          <cell r="L13045" t="str">
            <v>Non-proportional</v>
          </cell>
          <cell r="S13045">
            <v>950.01</v>
          </cell>
          <cell r="X13045" t="str">
            <v>Commissions - gross</v>
          </cell>
          <cell r="Y13045" t="str">
            <v>TURKEY</v>
          </cell>
        </row>
        <row r="13046">
          <cell r="L13046" t="str">
            <v>Non-proportional</v>
          </cell>
          <cell r="S13046">
            <v>885.5</v>
          </cell>
          <cell r="X13046" t="str">
            <v>Commissions - gross</v>
          </cell>
          <cell r="Y13046" t="str">
            <v>GERMANY</v>
          </cell>
        </row>
        <row r="13047">
          <cell r="L13047" t="str">
            <v>Non-proportional</v>
          </cell>
          <cell r="S13047">
            <v>551.27</v>
          </cell>
          <cell r="X13047" t="str">
            <v>Commissions - gross</v>
          </cell>
          <cell r="Y13047" t="str">
            <v>NETHERLANDS</v>
          </cell>
        </row>
        <row r="13048">
          <cell r="L13048" t="str">
            <v>Non-proportional</v>
          </cell>
          <cell r="S13048">
            <v>734.24</v>
          </cell>
          <cell r="X13048" t="str">
            <v>Commissions - gross</v>
          </cell>
          <cell r="Y13048" t="str">
            <v>FRANCE</v>
          </cell>
        </row>
        <row r="13049">
          <cell r="L13049" t="str">
            <v>Non-proportional</v>
          </cell>
          <cell r="S13049">
            <v>-40.33</v>
          </cell>
          <cell r="X13049" t="str">
            <v>Commissions - gross</v>
          </cell>
          <cell r="Y13049" t="str">
            <v>NEW ZEALAND</v>
          </cell>
        </row>
        <row r="13050">
          <cell r="L13050" t="str">
            <v>Non-proportional</v>
          </cell>
          <cell r="S13050">
            <v>249.76</v>
          </cell>
          <cell r="X13050" t="str">
            <v>Commissions - gross</v>
          </cell>
          <cell r="Y13050" t="str">
            <v>INDIA</v>
          </cell>
        </row>
        <row r="13051">
          <cell r="L13051" t="str">
            <v>Non-proportional</v>
          </cell>
          <cell r="S13051">
            <v>599.29</v>
          </cell>
          <cell r="X13051" t="str">
            <v>Commissions - gross</v>
          </cell>
          <cell r="Y13051" t="str">
            <v>INDIA</v>
          </cell>
        </row>
        <row r="13052">
          <cell r="L13052" t="str">
            <v>Non-proportional</v>
          </cell>
          <cell r="S13052">
            <v>2304.38</v>
          </cell>
          <cell r="X13052" t="str">
            <v>Commissions - gross</v>
          </cell>
          <cell r="Y13052" t="str">
            <v>UNITED KINGDOM</v>
          </cell>
        </row>
        <row r="13053">
          <cell r="L13053" t="str">
            <v>Non-proportional</v>
          </cell>
          <cell r="S13053">
            <v>0</v>
          </cell>
          <cell r="X13053" t="str">
            <v>Commissions - gross</v>
          </cell>
          <cell r="Y13053" t="str">
            <v>DOMINICAN REPUBLIC</v>
          </cell>
        </row>
        <row r="13054">
          <cell r="L13054" t="str">
            <v>Non-proportional</v>
          </cell>
          <cell r="S13054">
            <v>383</v>
          </cell>
          <cell r="X13054" t="str">
            <v>Commissions - gross</v>
          </cell>
          <cell r="Y13054" t="str">
            <v>ECUADOR</v>
          </cell>
        </row>
        <row r="13055">
          <cell r="L13055" t="str">
            <v>Non-proportional</v>
          </cell>
          <cell r="S13055">
            <v>-4.88</v>
          </cell>
          <cell r="X13055" t="str">
            <v>Commissions - gross</v>
          </cell>
          <cell r="Y13055" t="str">
            <v>DOMINICAN REPUBLIC</v>
          </cell>
        </row>
        <row r="13056">
          <cell r="L13056" t="str">
            <v>Non-proportional</v>
          </cell>
          <cell r="S13056">
            <v>-12.18</v>
          </cell>
          <cell r="X13056" t="str">
            <v>Commissions - gross</v>
          </cell>
          <cell r="Y13056" t="str">
            <v>DOMINICAN REPUBLIC</v>
          </cell>
        </row>
        <row r="13057">
          <cell r="L13057" t="str">
            <v>Non-proportional</v>
          </cell>
          <cell r="S13057">
            <v>358.04</v>
          </cell>
          <cell r="X13057" t="str">
            <v>Commissions - gross</v>
          </cell>
          <cell r="Y13057" t="str">
            <v>ISRAEL</v>
          </cell>
        </row>
        <row r="13058">
          <cell r="L13058" t="str">
            <v>Non-proportional</v>
          </cell>
          <cell r="S13058">
            <v>2269.5100000000002</v>
          </cell>
          <cell r="X13058" t="str">
            <v>Commissions - gross</v>
          </cell>
          <cell r="Y13058" t="str">
            <v>PUERTO RICO</v>
          </cell>
        </row>
        <row r="13059">
          <cell r="L13059" t="str">
            <v>Non-proportional</v>
          </cell>
          <cell r="S13059">
            <v>14.97</v>
          </cell>
          <cell r="X13059" t="str">
            <v>Commissions - gross</v>
          </cell>
          <cell r="Y13059" t="str">
            <v>ISRAEL</v>
          </cell>
        </row>
        <row r="13060">
          <cell r="L13060" t="str">
            <v>Non-proportional</v>
          </cell>
          <cell r="S13060">
            <v>221.07</v>
          </cell>
          <cell r="X13060" t="str">
            <v>Commissions - gross</v>
          </cell>
          <cell r="Y13060" t="str">
            <v>CHILE</v>
          </cell>
        </row>
        <row r="13061">
          <cell r="L13061" t="str">
            <v>Non-proportional</v>
          </cell>
          <cell r="S13061">
            <v>-2.33</v>
          </cell>
          <cell r="X13061" t="str">
            <v>Commissions - gross</v>
          </cell>
          <cell r="Y13061" t="str">
            <v>JAPAN</v>
          </cell>
        </row>
        <row r="13062">
          <cell r="L13062" t="str">
            <v>Non-proportional</v>
          </cell>
          <cell r="S13062">
            <v>86.46</v>
          </cell>
          <cell r="X13062" t="str">
            <v>Commissions - gross</v>
          </cell>
          <cell r="Y13062" t="str">
            <v>COSTA RICA</v>
          </cell>
        </row>
        <row r="13063">
          <cell r="L13063" t="str">
            <v>Non-proportional</v>
          </cell>
          <cell r="S13063">
            <v>119.23</v>
          </cell>
          <cell r="X13063" t="str">
            <v>Commissions - gross</v>
          </cell>
          <cell r="Y13063" t="str">
            <v>JAPAN</v>
          </cell>
        </row>
        <row r="13064">
          <cell r="L13064" t="str">
            <v>Non-proportional</v>
          </cell>
          <cell r="S13064">
            <v>-4.01</v>
          </cell>
          <cell r="X13064" t="str">
            <v>Commissions - gross</v>
          </cell>
          <cell r="Y13064" t="str">
            <v>JAPAN</v>
          </cell>
        </row>
        <row r="13065">
          <cell r="L13065" t="str">
            <v>Proportional</v>
          </cell>
          <cell r="S13065">
            <v>-1353.29</v>
          </cell>
          <cell r="X13065" t="str">
            <v>Commissions - gross</v>
          </cell>
          <cell r="Y13065" t="str">
            <v>CHILE</v>
          </cell>
        </row>
        <row r="13066">
          <cell r="L13066" t="str">
            <v>Non-proportional</v>
          </cell>
          <cell r="S13066">
            <v>297.64</v>
          </cell>
          <cell r="X13066" t="str">
            <v>Commissions - gross</v>
          </cell>
          <cell r="Y13066" t="str">
            <v>THAILAND</v>
          </cell>
        </row>
        <row r="13067">
          <cell r="L13067" t="str">
            <v>Non-proportional</v>
          </cell>
          <cell r="S13067">
            <v>377.36</v>
          </cell>
          <cell r="X13067" t="str">
            <v>Commissions - gross</v>
          </cell>
          <cell r="Y13067" t="str">
            <v>THAILAND</v>
          </cell>
        </row>
        <row r="13068">
          <cell r="L13068" t="str">
            <v>Non-proportional</v>
          </cell>
          <cell r="S13068">
            <v>117.23</v>
          </cell>
          <cell r="X13068" t="str">
            <v>Commissions - gross</v>
          </cell>
          <cell r="Y13068" t="str">
            <v>FRANCE</v>
          </cell>
        </row>
        <row r="13069">
          <cell r="L13069" t="str">
            <v>Non-proportional</v>
          </cell>
          <cell r="S13069">
            <v>438.96</v>
          </cell>
          <cell r="X13069" t="str">
            <v>Commissions - gross</v>
          </cell>
          <cell r="Y13069" t="str">
            <v>ITALY</v>
          </cell>
        </row>
        <row r="13070">
          <cell r="L13070" t="str">
            <v>Non-proportional</v>
          </cell>
          <cell r="S13070">
            <v>650</v>
          </cell>
          <cell r="X13070" t="str">
            <v>Commissions - gross</v>
          </cell>
          <cell r="Y13070" t="str">
            <v>FRANCE</v>
          </cell>
        </row>
        <row r="13071">
          <cell r="L13071" t="str">
            <v>Non-proportional</v>
          </cell>
          <cell r="S13071">
            <v>33554.6</v>
          </cell>
          <cell r="X13071" t="str">
            <v>Commissions - gross</v>
          </cell>
          <cell r="Y13071" t="str">
            <v>UNITED KINGDOM</v>
          </cell>
        </row>
        <row r="13072">
          <cell r="L13072" t="str">
            <v>Non-proportional</v>
          </cell>
          <cell r="S13072">
            <v>69.86</v>
          </cell>
          <cell r="X13072" t="str">
            <v>Commissions - gross</v>
          </cell>
          <cell r="Y13072" t="str">
            <v>ITALY</v>
          </cell>
        </row>
        <row r="13073">
          <cell r="L13073" t="str">
            <v>Non-proportional</v>
          </cell>
          <cell r="S13073">
            <v>1181.1199999999999</v>
          </cell>
          <cell r="X13073" t="str">
            <v>Commissions - gross</v>
          </cell>
          <cell r="Y13073" t="str">
            <v>AUSTRALIA</v>
          </cell>
        </row>
        <row r="13074">
          <cell r="L13074" t="str">
            <v>Non-proportional</v>
          </cell>
          <cell r="S13074">
            <v>95.12</v>
          </cell>
          <cell r="X13074" t="str">
            <v>Commissions - gross</v>
          </cell>
          <cell r="Y13074" t="str">
            <v>DOMINICAN REPUBLIC</v>
          </cell>
        </row>
        <row r="13075">
          <cell r="L13075" t="str">
            <v>Non-proportional</v>
          </cell>
          <cell r="S13075">
            <v>452.01</v>
          </cell>
          <cell r="X13075" t="str">
            <v>Commissions - gross</v>
          </cell>
          <cell r="Y13075" t="str">
            <v>BRAZIL</v>
          </cell>
        </row>
        <row r="13076">
          <cell r="L13076" t="str">
            <v>Non-proportional</v>
          </cell>
          <cell r="S13076">
            <v>255.79</v>
          </cell>
          <cell r="X13076" t="str">
            <v>Commissions - gross</v>
          </cell>
          <cell r="Y13076" t="str">
            <v>ECUADOR</v>
          </cell>
        </row>
        <row r="13077">
          <cell r="L13077" t="str">
            <v>Non-proportional</v>
          </cell>
          <cell r="S13077">
            <v>391.05</v>
          </cell>
          <cell r="X13077" t="str">
            <v>Commissions - gross</v>
          </cell>
          <cell r="Y13077" t="str">
            <v>DOMINICAN REPUBLIC</v>
          </cell>
        </row>
        <row r="13078">
          <cell r="L13078" t="str">
            <v>Non-proportional</v>
          </cell>
          <cell r="S13078">
            <v>324.07</v>
          </cell>
          <cell r="X13078" t="str">
            <v>Commissions - gross</v>
          </cell>
          <cell r="Y13078" t="str">
            <v>BRAZIL</v>
          </cell>
        </row>
        <row r="13079">
          <cell r="L13079" t="str">
            <v>Non-proportional</v>
          </cell>
          <cell r="S13079">
            <v>36.840000000000003</v>
          </cell>
          <cell r="X13079" t="str">
            <v>Commissions - gross</v>
          </cell>
          <cell r="Y13079" t="str">
            <v>CHILE</v>
          </cell>
        </row>
        <row r="13080">
          <cell r="L13080" t="str">
            <v>Non-proportional</v>
          </cell>
          <cell r="S13080">
            <v>502.75</v>
          </cell>
          <cell r="X13080" t="str">
            <v>Commissions - gross</v>
          </cell>
          <cell r="Y13080" t="str">
            <v>UNITED KINGDOM</v>
          </cell>
        </row>
        <row r="13081">
          <cell r="L13081" t="str">
            <v>Non-proportional</v>
          </cell>
          <cell r="S13081">
            <v>574.53</v>
          </cell>
          <cell r="X13081" t="str">
            <v>Commissions - gross</v>
          </cell>
          <cell r="Y13081" t="str">
            <v>ISRAEL</v>
          </cell>
        </row>
        <row r="13082">
          <cell r="L13082" t="str">
            <v>Non-proportional</v>
          </cell>
          <cell r="S13082">
            <v>162.11000000000001</v>
          </cell>
          <cell r="X13082" t="str">
            <v>Commissions - gross</v>
          </cell>
          <cell r="Y13082" t="str">
            <v>COSTA RICA</v>
          </cell>
        </row>
        <row r="13083">
          <cell r="L13083" t="str">
            <v>Non-proportional</v>
          </cell>
          <cell r="S13083">
            <v>-5.0599999999999996</v>
          </cell>
          <cell r="X13083" t="str">
            <v>Commissions - gross</v>
          </cell>
          <cell r="Y13083" t="str">
            <v>JAPAN</v>
          </cell>
        </row>
        <row r="13084">
          <cell r="L13084" t="str">
            <v>Non-proportional</v>
          </cell>
          <cell r="S13084">
            <v>166.46</v>
          </cell>
          <cell r="X13084" t="str">
            <v>Commissions - gross</v>
          </cell>
          <cell r="Y13084" t="str">
            <v>FRANCE</v>
          </cell>
        </row>
        <row r="13085">
          <cell r="L13085" t="str">
            <v>Non-proportional</v>
          </cell>
          <cell r="S13085">
            <v>885.5</v>
          </cell>
          <cell r="X13085" t="str">
            <v>Commissions - gross</v>
          </cell>
          <cell r="Y13085" t="str">
            <v>GERMANY</v>
          </cell>
        </row>
        <row r="13086">
          <cell r="L13086" t="str">
            <v>Non-proportional</v>
          </cell>
          <cell r="S13086">
            <v>63.85</v>
          </cell>
          <cell r="X13086" t="str">
            <v>Commissions - gross</v>
          </cell>
          <cell r="Y13086" t="str">
            <v>MALTA</v>
          </cell>
        </row>
        <row r="13087">
          <cell r="L13087" t="str">
            <v>Proportional</v>
          </cell>
          <cell r="S13087">
            <v>73.69</v>
          </cell>
          <cell r="X13087" t="str">
            <v>Commissions - gross</v>
          </cell>
          <cell r="Y13087" t="str">
            <v>CHILE</v>
          </cell>
        </row>
        <row r="13088">
          <cell r="L13088" t="str">
            <v>Non-proportional</v>
          </cell>
          <cell r="S13088">
            <v>446.91</v>
          </cell>
          <cell r="X13088" t="str">
            <v>Commissions - gross</v>
          </cell>
          <cell r="Y13088" t="str">
            <v>UNITED KINGDOM</v>
          </cell>
        </row>
        <row r="13089">
          <cell r="L13089" t="str">
            <v>Non-proportional</v>
          </cell>
          <cell r="S13089">
            <v>99.09</v>
          </cell>
          <cell r="X13089" t="str">
            <v>Commissions - gross</v>
          </cell>
          <cell r="Y13089" t="str">
            <v>UNITED KINGDOM</v>
          </cell>
        </row>
        <row r="13090">
          <cell r="L13090" t="str">
            <v>Non-proportional</v>
          </cell>
          <cell r="S13090">
            <v>115.9</v>
          </cell>
          <cell r="X13090" t="str">
            <v>Commissions - gross</v>
          </cell>
          <cell r="Y13090" t="str">
            <v>UNITED KINGDOM</v>
          </cell>
        </row>
        <row r="13091">
          <cell r="L13091" t="str">
            <v>Non-proportional</v>
          </cell>
          <cell r="S13091">
            <v>732.01</v>
          </cell>
          <cell r="X13091" t="str">
            <v>Commissions - gross</v>
          </cell>
          <cell r="Y13091" t="str">
            <v>COSTA RICA</v>
          </cell>
        </row>
        <row r="13092">
          <cell r="L13092" t="str">
            <v>Non-proportional</v>
          </cell>
          <cell r="S13092">
            <v>169.9</v>
          </cell>
          <cell r="X13092" t="str">
            <v>Commissions - gross</v>
          </cell>
          <cell r="Y13092" t="str">
            <v>JAPAN</v>
          </cell>
        </row>
        <row r="13093">
          <cell r="L13093" t="str">
            <v>Non-proportional</v>
          </cell>
          <cell r="S13093">
            <v>442.13</v>
          </cell>
          <cell r="X13093" t="str">
            <v>Commissions - gross</v>
          </cell>
          <cell r="Y13093" t="str">
            <v>CHILE</v>
          </cell>
        </row>
        <row r="13094">
          <cell r="L13094" t="str">
            <v>Non-proportional</v>
          </cell>
          <cell r="S13094">
            <v>156.43</v>
          </cell>
          <cell r="X13094" t="str">
            <v>Commissions - gross</v>
          </cell>
          <cell r="Y13094" t="str">
            <v>JAPAN</v>
          </cell>
        </row>
        <row r="13095">
          <cell r="L13095" t="str">
            <v>Non-proportional</v>
          </cell>
          <cell r="S13095">
            <v>1012.05</v>
          </cell>
          <cell r="X13095" t="str">
            <v>Commissions - gross</v>
          </cell>
          <cell r="Y13095" t="str">
            <v>ITALY</v>
          </cell>
        </row>
        <row r="13096">
          <cell r="L13096" t="str">
            <v>Non-proportional</v>
          </cell>
          <cell r="S13096">
            <v>20.57</v>
          </cell>
          <cell r="X13096" t="str">
            <v>Commissions - gross</v>
          </cell>
          <cell r="Y13096" t="str">
            <v>FRANCE</v>
          </cell>
        </row>
        <row r="13097">
          <cell r="L13097" t="str">
            <v>Non-proportional</v>
          </cell>
          <cell r="S13097">
            <v>2318.75</v>
          </cell>
          <cell r="X13097" t="str">
            <v>Commissions - gross</v>
          </cell>
          <cell r="Y13097" t="str">
            <v>ITALY</v>
          </cell>
        </row>
        <row r="13098">
          <cell r="L13098" t="str">
            <v>Non-proportional</v>
          </cell>
          <cell r="S13098">
            <v>525.19000000000005</v>
          </cell>
          <cell r="X13098" t="str">
            <v>Commissions - gross</v>
          </cell>
          <cell r="Y13098" t="str">
            <v>NEW ZEALAND</v>
          </cell>
        </row>
        <row r="13099">
          <cell r="L13099" t="str">
            <v>Non-proportional</v>
          </cell>
          <cell r="S13099">
            <v>579.82000000000005</v>
          </cell>
          <cell r="X13099" t="str">
            <v>Commissions - gross</v>
          </cell>
          <cell r="Y13099" t="str">
            <v>AUSTRALIA</v>
          </cell>
        </row>
        <row r="13100">
          <cell r="L13100" t="str">
            <v>Non-proportional</v>
          </cell>
          <cell r="S13100">
            <v>36.840000000000003</v>
          </cell>
          <cell r="X13100" t="str">
            <v>Commissions - gross</v>
          </cell>
          <cell r="Y13100" t="str">
            <v>CHILE</v>
          </cell>
        </row>
        <row r="13101">
          <cell r="L13101" t="str">
            <v>Non-proportional</v>
          </cell>
          <cell r="S13101">
            <v>182.74</v>
          </cell>
          <cell r="X13101" t="str">
            <v>Commissions - gross</v>
          </cell>
          <cell r="Y13101" t="str">
            <v>UNITED KINGDOM</v>
          </cell>
        </row>
        <row r="13102">
          <cell r="L13102" t="str">
            <v>Non-proportional</v>
          </cell>
          <cell r="S13102">
            <v>840.12</v>
          </cell>
          <cell r="X13102" t="str">
            <v>Commissions - gross</v>
          </cell>
          <cell r="Y13102" t="str">
            <v>CANADA</v>
          </cell>
        </row>
        <row r="13103">
          <cell r="L13103" t="str">
            <v>Non-proportional</v>
          </cell>
          <cell r="S13103">
            <v>197.31</v>
          </cell>
          <cell r="X13103" t="str">
            <v>Commissions - gross</v>
          </cell>
          <cell r="Y13103" t="str">
            <v>GUATEMALA</v>
          </cell>
        </row>
        <row r="13104">
          <cell r="L13104" t="str">
            <v>Non-proportional</v>
          </cell>
          <cell r="S13104">
            <v>-30772.59</v>
          </cell>
          <cell r="X13104" t="str">
            <v>Commissions - gross</v>
          </cell>
          <cell r="Y13104" t="str">
            <v>TURKEY</v>
          </cell>
        </row>
        <row r="13105">
          <cell r="L13105" t="str">
            <v>Non-proportional</v>
          </cell>
          <cell r="S13105">
            <v>111.82</v>
          </cell>
          <cell r="X13105" t="str">
            <v>Commissions - gross</v>
          </cell>
          <cell r="Y13105" t="str">
            <v>SOUTH AFRICA</v>
          </cell>
        </row>
        <row r="13106">
          <cell r="L13106" t="str">
            <v>Non-proportional</v>
          </cell>
          <cell r="S13106">
            <v>80</v>
          </cell>
          <cell r="X13106" t="str">
            <v>Commissions - gross</v>
          </cell>
          <cell r="Y13106" t="str">
            <v>ITALY</v>
          </cell>
        </row>
        <row r="13107">
          <cell r="L13107" t="str">
            <v>Non-proportional</v>
          </cell>
          <cell r="S13107">
            <v>802.05</v>
          </cell>
          <cell r="X13107" t="str">
            <v>Commissions - gross</v>
          </cell>
          <cell r="Y13107" t="str">
            <v>TURKEY</v>
          </cell>
        </row>
        <row r="13108">
          <cell r="L13108" t="str">
            <v>Proportional</v>
          </cell>
          <cell r="S13108">
            <v>182.35</v>
          </cell>
          <cell r="X13108" t="str">
            <v>Commissions - gross</v>
          </cell>
          <cell r="Y13108" t="str">
            <v>SAUDI ARABIA</v>
          </cell>
        </row>
        <row r="13109">
          <cell r="L13109" t="str">
            <v>Proportional</v>
          </cell>
          <cell r="S13109">
            <v>257.91000000000003</v>
          </cell>
          <cell r="X13109" t="str">
            <v>Commissions - gross</v>
          </cell>
          <cell r="Y13109" t="str">
            <v>CHILE</v>
          </cell>
        </row>
        <row r="13110">
          <cell r="L13110" t="str">
            <v>Non-proportional</v>
          </cell>
          <cell r="S13110">
            <v>305.33999999999997</v>
          </cell>
          <cell r="X13110" t="str">
            <v>Commissions - gross</v>
          </cell>
          <cell r="Y13110" t="str">
            <v>INDIA</v>
          </cell>
        </row>
        <row r="13111">
          <cell r="L13111" t="str">
            <v>Non-proportional</v>
          </cell>
          <cell r="S13111">
            <v>536.07000000000005</v>
          </cell>
          <cell r="X13111" t="str">
            <v>Commissions - gross</v>
          </cell>
          <cell r="Y13111" t="str">
            <v>ECUADOR</v>
          </cell>
        </row>
        <row r="13112">
          <cell r="L13112" t="str">
            <v>Non-proportional</v>
          </cell>
          <cell r="S13112">
            <v>-13.34</v>
          </cell>
          <cell r="X13112" t="str">
            <v>Commissions - gross</v>
          </cell>
          <cell r="Y13112" t="str">
            <v>TURKEY</v>
          </cell>
        </row>
        <row r="13113">
          <cell r="L13113" t="str">
            <v>Non-proportional</v>
          </cell>
          <cell r="S13113">
            <v>900.09</v>
          </cell>
          <cell r="X13113" t="str">
            <v>Commissions - gross</v>
          </cell>
          <cell r="Y13113" t="str">
            <v>NEW ZEALAND</v>
          </cell>
        </row>
        <row r="13114">
          <cell r="L13114" t="str">
            <v>Non-proportional</v>
          </cell>
          <cell r="S13114">
            <v>789.75</v>
          </cell>
          <cell r="X13114" t="str">
            <v>Commissions - gross</v>
          </cell>
          <cell r="Y13114" t="str">
            <v>ITALY</v>
          </cell>
        </row>
        <row r="13115">
          <cell r="L13115" t="str">
            <v>Non-proportional</v>
          </cell>
          <cell r="S13115">
            <v>662.31</v>
          </cell>
          <cell r="X13115" t="str">
            <v>Commissions - gross</v>
          </cell>
          <cell r="Y13115" t="str">
            <v>CYPRUS</v>
          </cell>
        </row>
        <row r="13116">
          <cell r="L13116" t="str">
            <v>Non-proportional</v>
          </cell>
          <cell r="S13116">
            <v>359.24</v>
          </cell>
          <cell r="X13116" t="str">
            <v>Commissions - gross</v>
          </cell>
          <cell r="Y13116" t="str">
            <v>FRANCE</v>
          </cell>
        </row>
        <row r="13117">
          <cell r="L13117" t="str">
            <v>Non-proportional</v>
          </cell>
          <cell r="S13117">
            <v>282.16000000000003</v>
          </cell>
          <cell r="X13117" t="str">
            <v>Commissions - gross</v>
          </cell>
          <cell r="Y13117" t="str">
            <v>AUSTRALIA</v>
          </cell>
        </row>
        <row r="13118">
          <cell r="L13118" t="str">
            <v>Non-proportional</v>
          </cell>
          <cell r="S13118">
            <v>44.38</v>
          </cell>
          <cell r="X13118" t="str">
            <v>Commissions - gross</v>
          </cell>
          <cell r="Y13118" t="str">
            <v>UNITED KINGDOM</v>
          </cell>
        </row>
        <row r="13119">
          <cell r="L13119" t="str">
            <v>Non-proportional</v>
          </cell>
          <cell r="S13119">
            <v>1132.02</v>
          </cell>
          <cell r="X13119" t="str">
            <v>Commissions - gross</v>
          </cell>
          <cell r="Y13119" t="str">
            <v>MEXICO</v>
          </cell>
        </row>
        <row r="13120">
          <cell r="L13120" t="str">
            <v>Non-proportional</v>
          </cell>
          <cell r="S13120">
            <v>391.22</v>
          </cell>
          <cell r="X13120" t="str">
            <v>Commissions - gross</v>
          </cell>
          <cell r="Y13120" t="str">
            <v>SPAIN</v>
          </cell>
        </row>
        <row r="13121">
          <cell r="L13121" t="str">
            <v>Non-proportional</v>
          </cell>
          <cell r="S13121">
            <v>73.69</v>
          </cell>
          <cell r="X13121" t="str">
            <v>Commissions - gross</v>
          </cell>
          <cell r="Y13121" t="str">
            <v>CHILE</v>
          </cell>
        </row>
        <row r="13122">
          <cell r="L13122" t="str">
            <v>Non-proportional</v>
          </cell>
          <cell r="S13122">
            <v>-6.56</v>
          </cell>
          <cell r="X13122" t="str">
            <v>Commissions - gross</v>
          </cell>
          <cell r="Y13122" t="str">
            <v>JAPAN</v>
          </cell>
        </row>
        <row r="13123">
          <cell r="L13123" t="str">
            <v>Non-proportional</v>
          </cell>
          <cell r="S13123">
            <v>261</v>
          </cell>
          <cell r="X13123" t="str">
            <v>Commissions - gross</v>
          </cell>
          <cell r="Y13123" t="str">
            <v>GREECE</v>
          </cell>
        </row>
        <row r="13124">
          <cell r="L13124" t="str">
            <v>Non-proportional</v>
          </cell>
          <cell r="S13124">
            <v>905.32</v>
          </cell>
          <cell r="X13124" t="str">
            <v>Commissions - gross</v>
          </cell>
          <cell r="Y13124" t="str">
            <v>ITALY</v>
          </cell>
        </row>
        <row r="13125">
          <cell r="L13125" t="str">
            <v>Non-proportional</v>
          </cell>
          <cell r="S13125">
            <v>61.25</v>
          </cell>
          <cell r="X13125" t="str">
            <v>Commissions - gross</v>
          </cell>
          <cell r="Y13125" t="str">
            <v>GREECE</v>
          </cell>
        </row>
        <row r="13126">
          <cell r="L13126" t="str">
            <v>Non-proportional</v>
          </cell>
          <cell r="S13126">
            <v>124.76</v>
          </cell>
          <cell r="X13126" t="str">
            <v>Commissions - gross</v>
          </cell>
          <cell r="Y13126" t="str">
            <v>PERU</v>
          </cell>
        </row>
        <row r="13127">
          <cell r="L13127" t="str">
            <v>Non-proportional</v>
          </cell>
          <cell r="S13127">
            <v>1941.89</v>
          </cell>
          <cell r="X13127" t="str">
            <v>Commissions - gross</v>
          </cell>
          <cell r="Y13127" t="str">
            <v>UNITED KINGDOM</v>
          </cell>
        </row>
        <row r="13128">
          <cell r="L13128" t="str">
            <v>Non-proportional</v>
          </cell>
          <cell r="S13128">
            <v>824.18</v>
          </cell>
          <cell r="X13128" t="str">
            <v>Commissions - gross</v>
          </cell>
          <cell r="Y13128" t="str">
            <v>COLOMBIA</v>
          </cell>
        </row>
        <row r="13129">
          <cell r="L13129" t="str">
            <v>Non-proportional</v>
          </cell>
          <cell r="S13129">
            <v>-45.48</v>
          </cell>
          <cell r="X13129" t="str">
            <v>Commissions - gross</v>
          </cell>
          <cell r="Y13129" t="str">
            <v>AUSTRALIA</v>
          </cell>
        </row>
        <row r="13130">
          <cell r="L13130" t="str">
            <v>Non-proportional</v>
          </cell>
          <cell r="S13130">
            <v>132.31</v>
          </cell>
          <cell r="X13130" t="str">
            <v>Commissions - gross</v>
          </cell>
          <cell r="Y13130" t="str">
            <v>PUERTO RICO</v>
          </cell>
        </row>
        <row r="13131">
          <cell r="L13131" t="str">
            <v>Proportional</v>
          </cell>
          <cell r="S13131">
            <v>-2729.03</v>
          </cell>
          <cell r="X13131" t="str">
            <v>Commissions - gross</v>
          </cell>
          <cell r="Y13131" t="str">
            <v>CHILE</v>
          </cell>
        </row>
        <row r="13132">
          <cell r="L13132" t="str">
            <v>Proportional</v>
          </cell>
          <cell r="S13132">
            <v>1510.62</v>
          </cell>
          <cell r="X13132" t="str">
            <v>Commissions - gross</v>
          </cell>
          <cell r="Y13132" t="str">
            <v>CHILE</v>
          </cell>
        </row>
        <row r="13133">
          <cell r="L13133" t="str">
            <v>Non-proportional</v>
          </cell>
          <cell r="S13133">
            <v>204.17</v>
          </cell>
          <cell r="X13133" t="str">
            <v>Commissions - gross</v>
          </cell>
          <cell r="Y13133" t="str">
            <v>ITALY</v>
          </cell>
        </row>
        <row r="13134">
          <cell r="L13134" t="str">
            <v>Non-proportional</v>
          </cell>
          <cell r="S13134">
            <v>80.58</v>
          </cell>
          <cell r="X13134" t="str">
            <v>Commissions - gross</v>
          </cell>
          <cell r="Y13134" t="str">
            <v>PERU</v>
          </cell>
        </row>
        <row r="13135">
          <cell r="L13135" t="str">
            <v>Non-proportional</v>
          </cell>
          <cell r="S13135">
            <v>0</v>
          </cell>
          <cell r="X13135" t="str">
            <v>Commissions - gross</v>
          </cell>
          <cell r="Y13135" t="str">
            <v>BELIZE</v>
          </cell>
        </row>
        <row r="13136">
          <cell r="L13136" t="str">
            <v>Non-proportional</v>
          </cell>
          <cell r="S13136">
            <v>-1.32</v>
          </cell>
          <cell r="X13136" t="str">
            <v>Commissions - gross</v>
          </cell>
          <cell r="Y13136" t="str">
            <v>CHINA</v>
          </cell>
        </row>
        <row r="13137">
          <cell r="L13137" t="str">
            <v>Non-proportional</v>
          </cell>
          <cell r="S13137">
            <v>1222.45</v>
          </cell>
          <cell r="X13137" t="str">
            <v>Commissions - gross</v>
          </cell>
          <cell r="Y13137" t="str">
            <v>COSTA RICA</v>
          </cell>
        </row>
        <row r="13138">
          <cell r="L13138" t="str">
            <v>Proportional</v>
          </cell>
          <cell r="S13138">
            <v>73.69</v>
          </cell>
          <cell r="X13138" t="str">
            <v>Commissions - gross</v>
          </cell>
          <cell r="Y13138" t="str">
            <v>CHILE</v>
          </cell>
        </row>
        <row r="13139">
          <cell r="L13139" t="str">
            <v>Non-proportional</v>
          </cell>
          <cell r="S13139">
            <v>191.01</v>
          </cell>
          <cell r="X13139" t="str">
            <v>Commissions - gross</v>
          </cell>
          <cell r="Y13139" t="str">
            <v>SOUTH AFRICA</v>
          </cell>
        </row>
        <row r="13140">
          <cell r="L13140" t="str">
            <v>Proportional</v>
          </cell>
          <cell r="S13140">
            <v>773.73</v>
          </cell>
          <cell r="X13140" t="str">
            <v>Commissions - gross</v>
          </cell>
          <cell r="Y13140" t="str">
            <v>CHILE</v>
          </cell>
        </row>
        <row r="13141">
          <cell r="L13141" t="str">
            <v>Non-proportional</v>
          </cell>
          <cell r="S13141">
            <v>-21.03</v>
          </cell>
          <cell r="X13141" t="str">
            <v>Commissions - gross</v>
          </cell>
          <cell r="Y13141" t="str">
            <v>NEW ZEALAND</v>
          </cell>
        </row>
        <row r="13142">
          <cell r="L13142" t="str">
            <v>Non-proportional</v>
          </cell>
          <cell r="S13142">
            <v>527.45000000000005</v>
          </cell>
          <cell r="X13142" t="str">
            <v>Commissions - gross</v>
          </cell>
          <cell r="Y13142" t="str">
            <v>CYPRUS</v>
          </cell>
        </row>
        <row r="13143">
          <cell r="L13143" t="str">
            <v>Non-proportional</v>
          </cell>
          <cell r="S13143">
            <v>204.38</v>
          </cell>
          <cell r="X13143" t="str">
            <v>Commissions - gross</v>
          </cell>
          <cell r="Y13143" t="str">
            <v>GREECE</v>
          </cell>
        </row>
        <row r="13144">
          <cell r="L13144" t="str">
            <v>Non-proportional</v>
          </cell>
          <cell r="S13144">
            <v>823.83</v>
          </cell>
          <cell r="X13144" t="str">
            <v>Commissions - gross</v>
          </cell>
          <cell r="Y13144" t="str">
            <v>ITALY</v>
          </cell>
        </row>
        <row r="13145">
          <cell r="L13145" t="str">
            <v>Non-proportional</v>
          </cell>
          <cell r="S13145">
            <v>66.5</v>
          </cell>
          <cell r="X13145" t="str">
            <v>Commissions - gross</v>
          </cell>
          <cell r="Y13145" t="str">
            <v>FRANCE</v>
          </cell>
        </row>
        <row r="13146">
          <cell r="L13146" t="str">
            <v>Non-proportional</v>
          </cell>
          <cell r="S13146">
            <v>1200.1300000000001</v>
          </cell>
          <cell r="X13146" t="str">
            <v>Commissions - gross</v>
          </cell>
          <cell r="Y13146" t="str">
            <v>ITALY</v>
          </cell>
        </row>
        <row r="13147">
          <cell r="L13147" t="str">
            <v>Non-proportional</v>
          </cell>
          <cell r="S13147">
            <v>268.67</v>
          </cell>
          <cell r="X13147" t="str">
            <v>Commissions - gross</v>
          </cell>
          <cell r="Y13147" t="str">
            <v>MALTA</v>
          </cell>
        </row>
        <row r="13148">
          <cell r="L13148" t="str">
            <v>Proportional</v>
          </cell>
          <cell r="S13148">
            <v>136.11000000000001</v>
          </cell>
          <cell r="X13148" t="str">
            <v>Commissions - gross</v>
          </cell>
          <cell r="Y13148" t="str">
            <v>REPUBLIC OF IRELAND</v>
          </cell>
        </row>
        <row r="13149">
          <cell r="L13149" t="str">
            <v>Non-proportional</v>
          </cell>
          <cell r="S13149">
            <v>280.33999999999997</v>
          </cell>
          <cell r="X13149" t="str">
            <v>Commissions - gross</v>
          </cell>
          <cell r="Y13149" t="str">
            <v>INDIA</v>
          </cell>
        </row>
        <row r="13150">
          <cell r="L13150" t="str">
            <v>Non-proportional</v>
          </cell>
          <cell r="S13150">
            <v>1750.51</v>
          </cell>
          <cell r="X13150" t="str">
            <v>Commissions - gross</v>
          </cell>
          <cell r="Y13150" t="str">
            <v>UNITED KINGDOM</v>
          </cell>
        </row>
        <row r="13151">
          <cell r="L13151" t="str">
            <v>Non-proportional</v>
          </cell>
          <cell r="S13151">
            <v>185.54</v>
          </cell>
          <cell r="X13151" t="str">
            <v>Commissions - gross</v>
          </cell>
          <cell r="Y13151" t="str">
            <v>PERU</v>
          </cell>
        </row>
        <row r="13152">
          <cell r="L13152" t="str">
            <v>Non-proportional</v>
          </cell>
          <cell r="S13152">
            <v>-0.23</v>
          </cell>
          <cell r="X13152" t="str">
            <v>Commissions - gross</v>
          </cell>
          <cell r="Y13152" t="str">
            <v>GUATEMALA</v>
          </cell>
        </row>
        <row r="13153">
          <cell r="L13153" t="str">
            <v>Non-proportional</v>
          </cell>
          <cell r="S13153">
            <v>164.54</v>
          </cell>
          <cell r="X13153" t="str">
            <v>Commissions - gross</v>
          </cell>
          <cell r="Y13153" t="str">
            <v>JAPAN</v>
          </cell>
        </row>
        <row r="13154">
          <cell r="L13154" t="str">
            <v>Non-proportional</v>
          </cell>
          <cell r="S13154">
            <v>-20.399999999999999</v>
          </cell>
          <cell r="X13154" t="str">
            <v>Commissions - gross</v>
          </cell>
          <cell r="Y13154" t="str">
            <v>JAPAN</v>
          </cell>
        </row>
        <row r="13155">
          <cell r="L13155" t="str">
            <v>Non-proportional</v>
          </cell>
          <cell r="S13155">
            <v>743.75</v>
          </cell>
          <cell r="X13155" t="str">
            <v>Commissions - gross</v>
          </cell>
          <cell r="Y13155" t="str">
            <v>ITALY</v>
          </cell>
        </row>
        <row r="13156">
          <cell r="L13156" t="str">
            <v>Non-proportional</v>
          </cell>
          <cell r="S13156">
            <v>875</v>
          </cell>
          <cell r="X13156" t="str">
            <v>Commissions - gross</v>
          </cell>
          <cell r="Y13156" t="str">
            <v>EUROPE</v>
          </cell>
        </row>
        <row r="13157">
          <cell r="L13157" t="str">
            <v>Non-proportional</v>
          </cell>
          <cell r="S13157">
            <v>3802.68</v>
          </cell>
          <cell r="X13157" t="str">
            <v>Commissions - gross</v>
          </cell>
          <cell r="Y13157" t="str">
            <v>FRANCE</v>
          </cell>
        </row>
        <row r="13158">
          <cell r="L13158" t="str">
            <v>Non-proportional</v>
          </cell>
          <cell r="S13158">
            <v>749.23</v>
          </cell>
          <cell r="X13158" t="str">
            <v>Commissions - gross</v>
          </cell>
          <cell r="Y13158" t="str">
            <v>FRANCE</v>
          </cell>
        </row>
        <row r="13159">
          <cell r="L13159" t="str">
            <v>Non-proportional</v>
          </cell>
          <cell r="S13159">
            <v>1509.38</v>
          </cell>
          <cell r="X13159" t="str">
            <v>Commissions - gross</v>
          </cell>
          <cell r="Y13159" t="str">
            <v>BELGIUM</v>
          </cell>
        </row>
        <row r="13160">
          <cell r="L13160" t="str">
            <v>Non-proportional</v>
          </cell>
          <cell r="S13160">
            <v>76.040000000000006</v>
          </cell>
          <cell r="X13160" t="str">
            <v>Commissions - gross</v>
          </cell>
          <cell r="Y13160" t="str">
            <v>BRAZIL</v>
          </cell>
        </row>
        <row r="13161">
          <cell r="L13161" t="str">
            <v>Non-proportional</v>
          </cell>
          <cell r="S13161">
            <v>740.65</v>
          </cell>
          <cell r="X13161" t="str">
            <v>Commissions - gross</v>
          </cell>
          <cell r="Y13161" t="str">
            <v>AUSTRALIA</v>
          </cell>
        </row>
        <row r="13162">
          <cell r="L13162" t="str">
            <v>Non-proportional</v>
          </cell>
          <cell r="S13162">
            <v>3896.84</v>
          </cell>
          <cell r="X13162" t="str">
            <v>Commissions - gross</v>
          </cell>
          <cell r="Y13162" t="str">
            <v>UNITED KINGDOM</v>
          </cell>
        </row>
        <row r="13163">
          <cell r="L13163" t="str">
            <v>Non-proportional</v>
          </cell>
          <cell r="S13163">
            <v>-0.59</v>
          </cell>
          <cell r="X13163" t="str">
            <v>Commissions - gross</v>
          </cell>
          <cell r="Y13163" t="str">
            <v>JAPAN</v>
          </cell>
        </row>
        <row r="13164">
          <cell r="L13164" t="str">
            <v>Non-proportional</v>
          </cell>
          <cell r="S13164">
            <v>158.91</v>
          </cell>
          <cell r="X13164" t="str">
            <v>Commissions - gross</v>
          </cell>
          <cell r="Y13164" t="str">
            <v>JAPAN</v>
          </cell>
        </row>
        <row r="13165">
          <cell r="L13165" t="str">
            <v>Non-proportional</v>
          </cell>
          <cell r="S13165">
            <v>55.89</v>
          </cell>
          <cell r="X13165" t="str">
            <v>Commissions - gross</v>
          </cell>
          <cell r="Y13165" t="str">
            <v>BRAZIL</v>
          </cell>
        </row>
        <row r="13166">
          <cell r="L13166" t="str">
            <v>Non-proportional</v>
          </cell>
          <cell r="S13166">
            <v>15.5</v>
          </cell>
          <cell r="X13166" t="str">
            <v>Commissions - gross</v>
          </cell>
          <cell r="Y13166" t="str">
            <v>FRANCE</v>
          </cell>
        </row>
        <row r="13167">
          <cell r="L13167" t="str">
            <v>Non-proportional</v>
          </cell>
          <cell r="S13167">
            <v>4079.99</v>
          </cell>
          <cell r="X13167" t="str">
            <v>Commissions - gross</v>
          </cell>
          <cell r="Y13167" t="str">
            <v>TURKEY</v>
          </cell>
        </row>
        <row r="13168">
          <cell r="L13168" t="str">
            <v>Non-proportional</v>
          </cell>
          <cell r="S13168">
            <v>134218.4</v>
          </cell>
          <cell r="X13168" t="str">
            <v>Commissions - gross</v>
          </cell>
          <cell r="Y13168" t="str">
            <v>UNITED KINGDOM</v>
          </cell>
        </row>
        <row r="13169">
          <cell r="L13169" t="str">
            <v>Non-proportional</v>
          </cell>
          <cell r="S13169">
            <v>622.72</v>
          </cell>
          <cell r="X13169" t="str">
            <v>Commissions - gross</v>
          </cell>
          <cell r="Y13169" t="str">
            <v>INDIA</v>
          </cell>
        </row>
        <row r="13170">
          <cell r="L13170" t="str">
            <v>Non-proportional</v>
          </cell>
          <cell r="S13170">
            <v>166.45</v>
          </cell>
          <cell r="X13170" t="str">
            <v>Commissions - gross</v>
          </cell>
          <cell r="Y13170" t="str">
            <v>PERU</v>
          </cell>
        </row>
        <row r="13171">
          <cell r="L13171" t="str">
            <v>Non-proportional</v>
          </cell>
          <cell r="S13171">
            <v>748.89</v>
          </cell>
          <cell r="X13171" t="str">
            <v>Commissions - gross</v>
          </cell>
          <cell r="Y13171" t="str">
            <v>UNITED KINGDOM</v>
          </cell>
        </row>
        <row r="13172">
          <cell r="L13172" t="str">
            <v>Non-proportional</v>
          </cell>
          <cell r="S13172">
            <v>515.82000000000005</v>
          </cell>
          <cell r="X13172" t="str">
            <v>Commissions - gross</v>
          </cell>
          <cell r="Y13172" t="str">
            <v>CHILE</v>
          </cell>
        </row>
        <row r="13173">
          <cell r="L13173" t="str">
            <v>Non-proportional</v>
          </cell>
          <cell r="S13173">
            <v>-2.89</v>
          </cell>
          <cell r="X13173" t="str">
            <v>Commissions - gross</v>
          </cell>
          <cell r="Y13173" t="str">
            <v>JAPAN</v>
          </cell>
        </row>
        <row r="13174">
          <cell r="L13174" t="str">
            <v>Non-proportional</v>
          </cell>
          <cell r="S13174">
            <v>165.25</v>
          </cell>
          <cell r="X13174" t="str">
            <v>Commissions - gross</v>
          </cell>
          <cell r="Y13174" t="str">
            <v>JAPAN</v>
          </cell>
        </row>
        <row r="13175">
          <cell r="L13175" t="str">
            <v>Non-proportional</v>
          </cell>
          <cell r="S13175">
            <v>763.07</v>
          </cell>
          <cell r="X13175" t="str">
            <v>Commissions - gross</v>
          </cell>
          <cell r="Y13175" t="str">
            <v>JAPAN</v>
          </cell>
        </row>
        <row r="13176">
          <cell r="L13176" t="str">
            <v>Non-proportional</v>
          </cell>
          <cell r="S13176">
            <v>133.03</v>
          </cell>
          <cell r="X13176" t="str">
            <v>Commissions - gross</v>
          </cell>
          <cell r="Y13176" t="str">
            <v>FRANCE</v>
          </cell>
        </row>
        <row r="13177">
          <cell r="L13177" t="str">
            <v>Non-proportional</v>
          </cell>
          <cell r="S13177">
            <v>378</v>
          </cell>
          <cell r="X13177" t="str">
            <v>Commissions - gross</v>
          </cell>
          <cell r="Y13177" t="str">
            <v>GREECE</v>
          </cell>
        </row>
        <row r="13178">
          <cell r="L13178" t="str">
            <v>Non-proportional</v>
          </cell>
          <cell r="S13178">
            <v>696.32</v>
          </cell>
          <cell r="X13178" t="str">
            <v>Commissions - gross</v>
          </cell>
          <cell r="Y13178" t="str">
            <v>FRANCE</v>
          </cell>
        </row>
        <row r="13179">
          <cell r="L13179" t="str">
            <v>Non-proportional</v>
          </cell>
          <cell r="S13179">
            <v>2894.79</v>
          </cell>
          <cell r="X13179" t="str">
            <v>Commissions - gross</v>
          </cell>
          <cell r="Y13179" t="str">
            <v>UNITED KINGDOM</v>
          </cell>
        </row>
        <row r="13180">
          <cell r="L13180" t="str">
            <v>Non-proportional</v>
          </cell>
          <cell r="S13180">
            <v>25795.57</v>
          </cell>
          <cell r="X13180" t="str">
            <v>Commissions - gross</v>
          </cell>
          <cell r="Y13180" t="str">
            <v>UNITED KINGDOM</v>
          </cell>
        </row>
        <row r="13181">
          <cell r="L13181" t="str">
            <v>Non-proportional</v>
          </cell>
          <cell r="S13181">
            <v>-2.09</v>
          </cell>
          <cell r="X13181" t="str">
            <v>Commissions - gross</v>
          </cell>
          <cell r="Y13181" t="str">
            <v>DOMINICAN REPUBLIC</v>
          </cell>
        </row>
        <row r="13182">
          <cell r="L13182" t="str">
            <v>Non-proportional</v>
          </cell>
          <cell r="S13182">
            <v>-0.7</v>
          </cell>
          <cell r="X13182" t="str">
            <v>Commissions - gross</v>
          </cell>
          <cell r="Y13182" t="str">
            <v>JAPAN</v>
          </cell>
        </row>
        <row r="13183">
          <cell r="L13183" t="str">
            <v>Non-proportional</v>
          </cell>
          <cell r="S13183">
            <v>0</v>
          </cell>
          <cell r="X13183" t="str">
            <v>Commissions - gross</v>
          </cell>
          <cell r="Y13183" t="str">
            <v>DOMINICAN REPUBLIC</v>
          </cell>
        </row>
        <row r="13184">
          <cell r="L13184" t="str">
            <v>Non-proportional</v>
          </cell>
          <cell r="S13184">
            <v>233.01</v>
          </cell>
          <cell r="X13184" t="str">
            <v>Commissions - gross</v>
          </cell>
          <cell r="Y13184" t="str">
            <v>PERU</v>
          </cell>
        </row>
        <row r="13185">
          <cell r="L13185" t="str">
            <v>Non-proportional</v>
          </cell>
          <cell r="S13185">
            <v>663.2</v>
          </cell>
          <cell r="X13185" t="str">
            <v>Commissions - gross</v>
          </cell>
          <cell r="Y13185" t="str">
            <v>CHILE</v>
          </cell>
        </row>
        <row r="13186">
          <cell r="L13186" t="str">
            <v>Non-proportional</v>
          </cell>
          <cell r="S13186">
            <v>100.63</v>
          </cell>
          <cell r="X13186" t="str">
            <v>Commissions - gross</v>
          </cell>
          <cell r="Y13186" t="str">
            <v>JAPAN</v>
          </cell>
        </row>
        <row r="13187">
          <cell r="L13187" t="str">
            <v>Non-proportional</v>
          </cell>
          <cell r="S13187">
            <v>-2.89</v>
          </cell>
          <cell r="X13187" t="str">
            <v>Commissions - gross</v>
          </cell>
          <cell r="Y13187" t="str">
            <v>JAPAN</v>
          </cell>
        </row>
        <row r="13188">
          <cell r="L13188" t="str">
            <v>Non-proportional</v>
          </cell>
          <cell r="S13188">
            <v>423.33</v>
          </cell>
          <cell r="X13188" t="str">
            <v>Commissions - gross</v>
          </cell>
          <cell r="Y13188" t="str">
            <v>FRANCE</v>
          </cell>
        </row>
        <row r="13189">
          <cell r="L13189" t="str">
            <v>Non-proportional</v>
          </cell>
          <cell r="S13189">
            <v>1201.19</v>
          </cell>
          <cell r="X13189" t="str">
            <v>Commissions - gross</v>
          </cell>
          <cell r="Y13189" t="str">
            <v>FRANCE</v>
          </cell>
        </row>
        <row r="13190">
          <cell r="L13190" t="str">
            <v>Non-proportional</v>
          </cell>
          <cell r="S13190">
            <v>3428.08</v>
          </cell>
          <cell r="X13190" t="str">
            <v>Commissions - gross</v>
          </cell>
          <cell r="Y13190" t="str">
            <v>UNITED STATES</v>
          </cell>
        </row>
        <row r="13191">
          <cell r="L13191" t="str">
            <v>Non-proportional</v>
          </cell>
          <cell r="S13191">
            <v>350.03</v>
          </cell>
          <cell r="X13191" t="str">
            <v>Commissions - gross</v>
          </cell>
          <cell r="Y13191" t="str">
            <v>THAILAND</v>
          </cell>
        </row>
        <row r="13192">
          <cell r="L13192" t="str">
            <v>Non-proportional</v>
          </cell>
          <cell r="S13192">
            <v>1000</v>
          </cell>
          <cell r="X13192" t="str">
            <v>Commissions - gross</v>
          </cell>
          <cell r="Y13192" t="str">
            <v>EUROPE</v>
          </cell>
        </row>
        <row r="13193">
          <cell r="L13193" t="str">
            <v>Non-proportional</v>
          </cell>
          <cell r="S13193">
            <v>947.71</v>
          </cell>
          <cell r="X13193" t="str">
            <v>Commissions - gross</v>
          </cell>
          <cell r="Y13193" t="str">
            <v>CHINA</v>
          </cell>
        </row>
        <row r="13194">
          <cell r="L13194" t="str">
            <v>Non-proportional</v>
          </cell>
          <cell r="S13194">
            <v>3000</v>
          </cell>
          <cell r="X13194" t="str">
            <v>Commissions - gross</v>
          </cell>
          <cell r="Y13194" t="str">
            <v>FRANCE</v>
          </cell>
        </row>
        <row r="13195">
          <cell r="L13195" t="str">
            <v>Proportional</v>
          </cell>
          <cell r="S13195">
            <v>-35.89</v>
          </cell>
          <cell r="X13195" t="str">
            <v>Commissions - gross</v>
          </cell>
          <cell r="Y13195" t="str">
            <v>UNITED STATES</v>
          </cell>
        </row>
        <row r="13196">
          <cell r="L13196" t="str">
            <v>Non-proportional</v>
          </cell>
          <cell r="S13196">
            <v>61.7</v>
          </cell>
          <cell r="X13196" t="str">
            <v>Commissions - gross</v>
          </cell>
          <cell r="Y13196" t="str">
            <v>FRANCE</v>
          </cell>
        </row>
        <row r="13197">
          <cell r="L13197" t="str">
            <v>Non-proportional</v>
          </cell>
          <cell r="S13197">
            <v>1473.33</v>
          </cell>
          <cell r="X13197" t="str">
            <v>Commissions - gross</v>
          </cell>
          <cell r="Y13197" t="str">
            <v>SOUTH KOREA</v>
          </cell>
        </row>
        <row r="13198">
          <cell r="L13198" t="str">
            <v>Proportional</v>
          </cell>
          <cell r="S13198">
            <v>6734.29</v>
          </cell>
          <cell r="X13198" t="str">
            <v>Commissions - gross</v>
          </cell>
          <cell r="Y13198" t="str">
            <v>UNITED STATES</v>
          </cell>
        </row>
        <row r="13199">
          <cell r="L13199" t="str">
            <v>Non-proportional</v>
          </cell>
          <cell r="S13199">
            <v>724.46</v>
          </cell>
          <cell r="X13199" t="str">
            <v>Commissions - gross</v>
          </cell>
          <cell r="Y13199" t="str">
            <v>MEXICO</v>
          </cell>
        </row>
        <row r="13200">
          <cell r="L13200" t="str">
            <v>Non-proportional</v>
          </cell>
          <cell r="S13200">
            <v>0</v>
          </cell>
          <cell r="X13200" t="str">
            <v>Commissions - gross</v>
          </cell>
          <cell r="Y13200" t="str">
            <v>DOMINICAN REPUBLIC</v>
          </cell>
        </row>
        <row r="13201">
          <cell r="L13201" t="str">
            <v>Non-proportional</v>
          </cell>
          <cell r="S13201">
            <v>915.67</v>
          </cell>
          <cell r="X13201" t="str">
            <v>Commissions - gross</v>
          </cell>
          <cell r="Y13201" t="str">
            <v>INDIA</v>
          </cell>
        </row>
        <row r="13202">
          <cell r="L13202" t="str">
            <v>Non-proportional</v>
          </cell>
          <cell r="S13202">
            <v>89.18</v>
          </cell>
          <cell r="X13202" t="str">
            <v>Commissions - gross</v>
          </cell>
          <cell r="Y13202" t="str">
            <v>JAPAN</v>
          </cell>
        </row>
        <row r="13203">
          <cell r="L13203" t="str">
            <v>Non-proportional</v>
          </cell>
          <cell r="S13203">
            <v>249.41</v>
          </cell>
          <cell r="X13203" t="str">
            <v>Commissions - gross</v>
          </cell>
          <cell r="Y13203" t="str">
            <v>COLOMBIA</v>
          </cell>
        </row>
        <row r="13204">
          <cell r="L13204" t="str">
            <v>Non-proportional</v>
          </cell>
          <cell r="S13204">
            <v>0</v>
          </cell>
          <cell r="X13204" t="str">
            <v>Commissions - gross</v>
          </cell>
          <cell r="Y13204" t="str">
            <v>BELIZE</v>
          </cell>
        </row>
        <row r="13205">
          <cell r="L13205" t="str">
            <v>Non-proportional</v>
          </cell>
          <cell r="S13205">
            <v>581.64</v>
          </cell>
          <cell r="X13205" t="str">
            <v>Commissions - gross</v>
          </cell>
          <cell r="Y13205" t="str">
            <v>COSTA RICA</v>
          </cell>
        </row>
        <row r="13206">
          <cell r="L13206" t="str">
            <v>Non-proportional</v>
          </cell>
          <cell r="S13206">
            <v>529.04999999999995</v>
          </cell>
          <cell r="X13206" t="str">
            <v>Commissions - gross</v>
          </cell>
          <cell r="Y13206" t="str">
            <v>AUSTRALIA</v>
          </cell>
        </row>
        <row r="13207">
          <cell r="L13207" t="str">
            <v>Proportional</v>
          </cell>
          <cell r="S13207">
            <v>2.2799999999999998</v>
          </cell>
          <cell r="X13207" t="str">
            <v>Commissions - gross</v>
          </cell>
          <cell r="Y13207" t="str">
            <v>UNITED STATES</v>
          </cell>
        </row>
        <row r="13208">
          <cell r="L13208" t="str">
            <v>Non-proportional</v>
          </cell>
          <cell r="S13208">
            <v>225.67</v>
          </cell>
          <cell r="X13208" t="str">
            <v>Commissions - gross</v>
          </cell>
          <cell r="Y13208" t="str">
            <v>CHINA</v>
          </cell>
        </row>
        <row r="13209">
          <cell r="L13209" t="str">
            <v>Non-proportional</v>
          </cell>
          <cell r="S13209">
            <v>1097.48</v>
          </cell>
          <cell r="X13209" t="str">
            <v>Commissions - gross</v>
          </cell>
          <cell r="Y13209" t="str">
            <v>GERMANY</v>
          </cell>
        </row>
        <row r="13210">
          <cell r="L13210" t="str">
            <v>Non-proportional</v>
          </cell>
          <cell r="S13210">
            <v>13.29</v>
          </cell>
          <cell r="X13210" t="str">
            <v>Commissions - gross</v>
          </cell>
          <cell r="Y13210" t="str">
            <v>ITALY</v>
          </cell>
        </row>
        <row r="13211">
          <cell r="L13211" t="str">
            <v>Non-proportional</v>
          </cell>
          <cell r="S13211">
            <v>466.65</v>
          </cell>
          <cell r="X13211" t="str">
            <v>Commissions - gross</v>
          </cell>
          <cell r="Y13211" t="str">
            <v>TURKEY</v>
          </cell>
        </row>
        <row r="13212">
          <cell r="L13212" t="str">
            <v>Non-proportional</v>
          </cell>
          <cell r="S13212">
            <v>-2358.04</v>
          </cell>
          <cell r="X13212" t="str">
            <v>Commissions - gross</v>
          </cell>
          <cell r="Y13212" t="str">
            <v>CHILE</v>
          </cell>
        </row>
        <row r="13213">
          <cell r="L13213" t="str">
            <v>Non-proportional</v>
          </cell>
          <cell r="S13213">
            <v>399.47</v>
          </cell>
          <cell r="X13213" t="str">
            <v>Commissions - gross</v>
          </cell>
          <cell r="Y13213" t="str">
            <v>UNITED KINGDOM</v>
          </cell>
        </row>
        <row r="13214">
          <cell r="L13214" t="str">
            <v>Non-proportional</v>
          </cell>
          <cell r="S13214">
            <v>651.99</v>
          </cell>
          <cell r="X13214" t="str">
            <v>Commissions - gross</v>
          </cell>
          <cell r="Y13214" t="str">
            <v>ISRAEL</v>
          </cell>
        </row>
        <row r="13215">
          <cell r="L13215" t="str">
            <v>Non-proportional</v>
          </cell>
          <cell r="S13215">
            <v>286.17</v>
          </cell>
          <cell r="X13215" t="str">
            <v>Commissions - gross</v>
          </cell>
          <cell r="Y13215" t="str">
            <v>ISRAEL</v>
          </cell>
        </row>
        <row r="13216">
          <cell r="L13216" t="str">
            <v>Non-proportional</v>
          </cell>
          <cell r="S13216">
            <v>0</v>
          </cell>
          <cell r="X13216" t="str">
            <v>Commissions - gross</v>
          </cell>
          <cell r="Y13216" t="str">
            <v>DOMINICAN REPUBLIC</v>
          </cell>
        </row>
        <row r="13217">
          <cell r="L13217" t="str">
            <v>Non-proportional</v>
          </cell>
          <cell r="S13217">
            <v>531.28</v>
          </cell>
          <cell r="X13217" t="str">
            <v>Commissions - gross</v>
          </cell>
          <cell r="Y13217" t="str">
            <v>JAPAN</v>
          </cell>
        </row>
        <row r="13218">
          <cell r="L13218" t="str">
            <v>Non-proportional</v>
          </cell>
          <cell r="S13218">
            <v>-14.11</v>
          </cell>
          <cell r="X13218" t="str">
            <v>Commissions - gross</v>
          </cell>
          <cell r="Y13218" t="str">
            <v>NEW ZEALAND</v>
          </cell>
        </row>
        <row r="13219">
          <cell r="L13219" t="str">
            <v>Non-proportional</v>
          </cell>
          <cell r="S13219">
            <v>176.52</v>
          </cell>
          <cell r="X13219" t="str">
            <v>Commissions - gross</v>
          </cell>
          <cell r="Y13219" t="str">
            <v>NEW ZEALAND</v>
          </cell>
        </row>
        <row r="13220">
          <cell r="L13220" t="str">
            <v>Non-proportional</v>
          </cell>
          <cell r="S13220">
            <v>280.52</v>
          </cell>
          <cell r="X13220" t="str">
            <v>Commissions - gross</v>
          </cell>
          <cell r="Y13220" t="str">
            <v>REPUBLIC OF IRELAND</v>
          </cell>
        </row>
        <row r="13221">
          <cell r="L13221" t="str">
            <v>Non-proportional</v>
          </cell>
          <cell r="S13221">
            <v>1627.87</v>
          </cell>
          <cell r="X13221" t="str">
            <v>Commissions - gross</v>
          </cell>
          <cell r="Y13221" t="str">
            <v>ITALY</v>
          </cell>
        </row>
        <row r="13222">
          <cell r="L13222" t="str">
            <v>Non-proportional</v>
          </cell>
          <cell r="S13222">
            <v>177.75</v>
          </cell>
          <cell r="X13222" t="str">
            <v>Commissions - gross</v>
          </cell>
          <cell r="Y13222" t="str">
            <v>GREECE</v>
          </cell>
        </row>
        <row r="13223">
          <cell r="L13223" t="str">
            <v>Non-proportional</v>
          </cell>
          <cell r="S13223">
            <v>746.18</v>
          </cell>
          <cell r="X13223" t="str">
            <v>Commissions - gross</v>
          </cell>
          <cell r="Y13223" t="str">
            <v>JAPAN</v>
          </cell>
        </row>
        <row r="13224">
          <cell r="L13224" t="str">
            <v>Proportional</v>
          </cell>
          <cell r="S13224">
            <v>1362.13</v>
          </cell>
          <cell r="X13224" t="str">
            <v>Commissions - gross</v>
          </cell>
          <cell r="Y13224" t="str">
            <v>UNITED ARAB EMIRATES</v>
          </cell>
        </row>
        <row r="13225">
          <cell r="L13225" t="str">
            <v>Proportional</v>
          </cell>
          <cell r="S13225">
            <v>-160.03</v>
          </cell>
          <cell r="X13225" t="str">
            <v>Commissions - gross</v>
          </cell>
          <cell r="Y13225" t="str">
            <v>UNITED STATES</v>
          </cell>
        </row>
        <row r="13226">
          <cell r="L13226" t="str">
            <v>Non-proportional</v>
          </cell>
          <cell r="S13226">
            <v>1437.45</v>
          </cell>
          <cell r="X13226" t="str">
            <v>Commissions - gross</v>
          </cell>
          <cell r="Y13226" t="str">
            <v>PUERTO RICO</v>
          </cell>
        </row>
        <row r="13227">
          <cell r="L13227" t="str">
            <v>Proportional</v>
          </cell>
          <cell r="S13227">
            <v>403.55</v>
          </cell>
          <cell r="X13227" t="str">
            <v>Commissions - gross</v>
          </cell>
          <cell r="Y13227" t="str">
            <v>MEXICO</v>
          </cell>
        </row>
        <row r="13228">
          <cell r="L13228" t="str">
            <v>Non-proportional</v>
          </cell>
          <cell r="S13228">
            <v>294.75</v>
          </cell>
          <cell r="X13228" t="str">
            <v>Commissions - gross</v>
          </cell>
          <cell r="Y13228" t="str">
            <v>CHILE</v>
          </cell>
        </row>
        <row r="13229">
          <cell r="L13229" t="str">
            <v>Non-proportional</v>
          </cell>
          <cell r="S13229">
            <v>-3.08</v>
          </cell>
          <cell r="X13229" t="str">
            <v>Commissions - gross</v>
          </cell>
          <cell r="Y13229" t="str">
            <v>JAPAN</v>
          </cell>
        </row>
        <row r="13230">
          <cell r="L13230" t="str">
            <v>Non-proportional</v>
          </cell>
          <cell r="S13230">
            <v>270.77999999999997</v>
          </cell>
          <cell r="X13230" t="str">
            <v>Commissions - gross</v>
          </cell>
          <cell r="Y13230" t="str">
            <v>JAPAN</v>
          </cell>
        </row>
        <row r="13231">
          <cell r="L13231" t="str">
            <v>Non-proportional</v>
          </cell>
          <cell r="S13231">
            <v>-23312.560000000001</v>
          </cell>
          <cell r="X13231" t="str">
            <v>Commissions - gross</v>
          </cell>
          <cell r="Y13231" t="str">
            <v>TURKEY</v>
          </cell>
        </row>
        <row r="13232">
          <cell r="L13232" t="str">
            <v>Non-proportional</v>
          </cell>
          <cell r="S13232">
            <v>118.63</v>
          </cell>
          <cell r="X13232" t="str">
            <v>Commissions - gross</v>
          </cell>
          <cell r="Y13232" t="str">
            <v>PERU</v>
          </cell>
        </row>
        <row r="13233">
          <cell r="L13233" t="str">
            <v>Proportional</v>
          </cell>
          <cell r="S13233">
            <v>835.22</v>
          </cell>
          <cell r="X13233" t="str">
            <v>Commissions - gross</v>
          </cell>
          <cell r="Y13233" t="str">
            <v>JAPAN</v>
          </cell>
        </row>
        <row r="13234">
          <cell r="L13234" t="str">
            <v>Non-proportional</v>
          </cell>
          <cell r="S13234">
            <v>-52.35</v>
          </cell>
          <cell r="X13234" t="str">
            <v>Commissions - gross</v>
          </cell>
          <cell r="Y13234" t="str">
            <v>JAPAN</v>
          </cell>
        </row>
        <row r="13235">
          <cell r="L13235" t="str">
            <v>Non-proportional</v>
          </cell>
          <cell r="S13235">
            <v>430.52</v>
          </cell>
          <cell r="X13235" t="str">
            <v>Commissions - gross</v>
          </cell>
          <cell r="Y13235" t="str">
            <v>THAILAND</v>
          </cell>
        </row>
        <row r="13236">
          <cell r="L13236" t="str">
            <v>Non-proportional</v>
          </cell>
          <cell r="S13236">
            <v>10933.04</v>
          </cell>
          <cell r="X13236" t="str">
            <v>Commissions - gross</v>
          </cell>
          <cell r="Y13236" t="str">
            <v>FRANCE</v>
          </cell>
        </row>
        <row r="13237">
          <cell r="L13237" t="str">
            <v>Non-proportional</v>
          </cell>
          <cell r="S13237">
            <v>10368.07</v>
          </cell>
          <cell r="X13237" t="str">
            <v>Commissions - gross</v>
          </cell>
          <cell r="Y13237" t="str">
            <v>HONG KONG</v>
          </cell>
        </row>
        <row r="13238">
          <cell r="L13238" t="str">
            <v>Non-proportional</v>
          </cell>
          <cell r="S13238">
            <v>4000</v>
          </cell>
          <cell r="X13238" t="str">
            <v>Commissions - gross</v>
          </cell>
          <cell r="Y13238" t="str">
            <v>ITALY</v>
          </cell>
        </row>
        <row r="13239">
          <cell r="L13239" t="str">
            <v>Proportional</v>
          </cell>
          <cell r="S13239">
            <v>2.7</v>
          </cell>
          <cell r="X13239" t="str">
            <v>Commissions - gross</v>
          </cell>
          <cell r="Y13239" t="str">
            <v>UNITED STATES</v>
          </cell>
        </row>
        <row r="13240">
          <cell r="L13240" t="str">
            <v>Non-proportional</v>
          </cell>
          <cell r="S13240">
            <v>343.87</v>
          </cell>
          <cell r="X13240" t="str">
            <v>Commissions - gross</v>
          </cell>
          <cell r="Y13240" t="str">
            <v>AUSTRALIA</v>
          </cell>
        </row>
        <row r="13241">
          <cell r="L13241" t="str">
            <v>Non-proportional</v>
          </cell>
          <cell r="S13241">
            <v>4304.2299999999996</v>
          </cell>
          <cell r="X13241" t="str">
            <v>Commissions - gross</v>
          </cell>
          <cell r="Y13241" t="str">
            <v>UNITED KINGDOM</v>
          </cell>
        </row>
        <row r="13242">
          <cell r="L13242" t="str">
            <v>Non-proportional</v>
          </cell>
          <cell r="S13242">
            <v>295.79000000000002</v>
          </cell>
          <cell r="X13242" t="str">
            <v>Commissions - gross</v>
          </cell>
          <cell r="Y13242" t="str">
            <v>DOMINICAN REPUBLIC</v>
          </cell>
        </row>
        <row r="13243">
          <cell r="L13243" t="str">
            <v>Non-proportional</v>
          </cell>
          <cell r="S13243">
            <v>331.6</v>
          </cell>
          <cell r="X13243" t="str">
            <v>Commissions - gross</v>
          </cell>
          <cell r="Y13243" t="str">
            <v>CHILE</v>
          </cell>
        </row>
        <row r="13244">
          <cell r="L13244" t="str">
            <v>Non-proportional</v>
          </cell>
          <cell r="S13244">
            <v>-1.37</v>
          </cell>
          <cell r="X13244" t="str">
            <v>Commissions - gross</v>
          </cell>
          <cell r="Y13244" t="str">
            <v>JAPAN</v>
          </cell>
        </row>
        <row r="13245">
          <cell r="L13245" t="str">
            <v>Non-proportional</v>
          </cell>
          <cell r="S13245">
            <v>67.599999999999994</v>
          </cell>
          <cell r="X13245" t="str">
            <v>Commissions - gross</v>
          </cell>
          <cell r="Y13245" t="str">
            <v>JAPAN</v>
          </cell>
        </row>
        <row r="13246">
          <cell r="L13246" t="str">
            <v>Non-proportional</v>
          </cell>
          <cell r="S13246">
            <v>118.08</v>
          </cell>
          <cell r="X13246" t="str">
            <v>Commissions - gross</v>
          </cell>
          <cell r="Y13246" t="str">
            <v>SOUTH AFRICA</v>
          </cell>
        </row>
        <row r="13247">
          <cell r="L13247" t="str">
            <v>Non-proportional</v>
          </cell>
          <cell r="S13247">
            <v>-10.55</v>
          </cell>
          <cell r="X13247" t="str">
            <v>Commissions - gross</v>
          </cell>
          <cell r="Y13247" t="str">
            <v>INDIA</v>
          </cell>
        </row>
        <row r="13248">
          <cell r="L13248" t="str">
            <v>Proportional</v>
          </cell>
          <cell r="S13248">
            <v>573</v>
          </cell>
          <cell r="X13248" t="str">
            <v>Commissions - gross</v>
          </cell>
          <cell r="Y13248" t="str">
            <v>SPAIN</v>
          </cell>
        </row>
        <row r="13249">
          <cell r="L13249" t="str">
            <v>Non-proportional</v>
          </cell>
          <cell r="S13249">
            <v>378</v>
          </cell>
          <cell r="X13249" t="str">
            <v>Commissions - gross</v>
          </cell>
          <cell r="Y13249" t="str">
            <v>GREECE</v>
          </cell>
        </row>
        <row r="13250">
          <cell r="L13250" t="str">
            <v>Non-proportional</v>
          </cell>
          <cell r="S13250">
            <v>2063.37</v>
          </cell>
          <cell r="X13250" t="str">
            <v>Commissions - gross</v>
          </cell>
          <cell r="Y13250" t="str">
            <v>TURKEY</v>
          </cell>
        </row>
        <row r="13251">
          <cell r="L13251" t="str">
            <v>Non-proportional</v>
          </cell>
          <cell r="S13251">
            <v>1504.3</v>
          </cell>
          <cell r="X13251" t="str">
            <v>Commissions - gross</v>
          </cell>
          <cell r="Y13251" t="str">
            <v>FRANCE</v>
          </cell>
        </row>
        <row r="13252">
          <cell r="L13252" t="str">
            <v>Non-proportional</v>
          </cell>
          <cell r="S13252">
            <v>156.61000000000001</v>
          </cell>
          <cell r="X13252" t="str">
            <v>Commissions - gross</v>
          </cell>
          <cell r="Y13252" t="str">
            <v>DOMINICAN REPUBLIC</v>
          </cell>
        </row>
        <row r="13253">
          <cell r="L13253" t="str">
            <v>Non-proportional</v>
          </cell>
          <cell r="S13253">
            <v>466.65</v>
          </cell>
          <cell r="X13253" t="str">
            <v>Commissions - gross</v>
          </cell>
          <cell r="Y13253" t="str">
            <v>TURKEY</v>
          </cell>
        </row>
        <row r="13254">
          <cell r="L13254" t="str">
            <v>Non-proportional</v>
          </cell>
          <cell r="S13254">
            <v>382.81</v>
          </cell>
          <cell r="X13254" t="str">
            <v>Commissions - gross</v>
          </cell>
          <cell r="Y13254" t="str">
            <v>ITALY</v>
          </cell>
        </row>
        <row r="13255">
          <cell r="L13255" t="str">
            <v>Non-proportional</v>
          </cell>
          <cell r="S13255">
            <v>182.64</v>
          </cell>
          <cell r="X13255" t="str">
            <v>Commissions - gross</v>
          </cell>
          <cell r="Y13255" t="str">
            <v>PERU</v>
          </cell>
        </row>
        <row r="13256">
          <cell r="L13256" t="str">
            <v>Non-proportional</v>
          </cell>
          <cell r="S13256">
            <v>433.55</v>
          </cell>
          <cell r="X13256" t="str">
            <v>Commissions - gross</v>
          </cell>
          <cell r="Y13256" t="str">
            <v>UNITED KINGDOM</v>
          </cell>
        </row>
        <row r="13257">
          <cell r="L13257" t="str">
            <v>Non-proportional</v>
          </cell>
          <cell r="S13257">
            <v>377.56</v>
          </cell>
          <cell r="X13257" t="str">
            <v>Commissions - gross</v>
          </cell>
          <cell r="Y13257" t="str">
            <v>THAILAND</v>
          </cell>
        </row>
        <row r="13258">
          <cell r="L13258" t="str">
            <v>Non-proportional</v>
          </cell>
          <cell r="S13258">
            <v>3131.61</v>
          </cell>
          <cell r="X13258" t="str">
            <v>Commissions - gross</v>
          </cell>
          <cell r="Y13258" t="str">
            <v>FRANCE</v>
          </cell>
        </row>
        <row r="13259">
          <cell r="L13259" t="str">
            <v>Non-proportional</v>
          </cell>
          <cell r="S13259">
            <v>4317.05</v>
          </cell>
          <cell r="X13259" t="str">
            <v>Commissions - gross</v>
          </cell>
          <cell r="Y13259" t="str">
            <v>UNITED KINGDOM</v>
          </cell>
        </row>
        <row r="13260">
          <cell r="L13260" t="str">
            <v>Non-proportional</v>
          </cell>
          <cell r="S13260">
            <v>-0.16</v>
          </cell>
          <cell r="X13260" t="str">
            <v>Commissions - gross</v>
          </cell>
          <cell r="Y13260" t="str">
            <v>GUATEMALA</v>
          </cell>
        </row>
        <row r="13261">
          <cell r="L13261" t="str">
            <v>Non-proportional</v>
          </cell>
          <cell r="S13261">
            <v>-8.52</v>
          </cell>
          <cell r="X13261" t="str">
            <v>Commissions - gross</v>
          </cell>
          <cell r="Y13261" t="str">
            <v>JAPAN</v>
          </cell>
        </row>
        <row r="13262">
          <cell r="L13262" t="str">
            <v>Non-proportional</v>
          </cell>
          <cell r="S13262">
            <v>7.2</v>
          </cell>
          <cell r="X13262" t="str">
            <v>Commissions - gross</v>
          </cell>
          <cell r="Y13262" t="str">
            <v>THAILAND</v>
          </cell>
        </row>
        <row r="13263">
          <cell r="L13263" t="str">
            <v>Non-proportional</v>
          </cell>
          <cell r="S13263">
            <v>66.31</v>
          </cell>
          <cell r="X13263" t="str">
            <v>Commissions - gross</v>
          </cell>
          <cell r="Y13263" t="str">
            <v>JAPAN</v>
          </cell>
        </row>
        <row r="13264">
          <cell r="L13264" t="str">
            <v>Non-proportional</v>
          </cell>
          <cell r="S13264">
            <v>490.38</v>
          </cell>
          <cell r="X13264" t="str">
            <v>Commissions - gross</v>
          </cell>
          <cell r="Y13264" t="str">
            <v>ECUADOR</v>
          </cell>
        </row>
        <row r="13265">
          <cell r="L13265" t="str">
            <v>Non-proportional</v>
          </cell>
          <cell r="S13265">
            <v>100.3</v>
          </cell>
          <cell r="X13265" t="str">
            <v>Commissions - gross</v>
          </cell>
          <cell r="Y13265" t="str">
            <v>JAPAN</v>
          </cell>
        </row>
        <row r="13266">
          <cell r="L13266" t="str">
            <v>Non-proportional</v>
          </cell>
          <cell r="S13266">
            <v>1222.8599999999999</v>
          </cell>
          <cell r="X13266" t="str">
            <v>Commissions - gross</v>
          </cell>
          <cell r="Y13266" t="str">
            <v>COLOMBIA</v>
          </cell>
        </row>
        <row r="13267">
          <cell r="L13267" t="str">
            <v>Non-proportional</v>
          </cell>
          <cell r="S13267">
            <v>1070.71</v>
          </cell>
          <cell r="X13267" t="str">
            <v>Commissions - gross</v>
          </cell>
          <cell r="Y13267" t="str">
            <v>FRANCE</v>
          </cell>
        </row>
        <row r="13268">
          <cell r="L13268" t="str">
            <v>Non-proportional</v>
          </cell>
          <cell r="S13268">
            <v>997.75</v>
          </cell>
          <cell r="X13268" t="str">
            <v>Commissions - gross</v>
          </cell>
          <cell r="Y13268" t="str">
            <v>ITALY</v>
          </cell>
        </row>
        <row r="13269">
          <cell r="L13269" t="str">
            <v>Non-proportional</v>
          </cell>
          <cell r="S13269">
            <v>163.85</v>
          </cell>
          <cell r="X13269" t="str">
            <v>Commissions - gross</v>
          </cell>
          <cell r="Y13269" t="str">
            <v>PERU</v>
          </cell>
        </row>
        <row r="13270">
          <cell r="L13270" t="str">
            <v>Proportional</v>
          </cell>
          <cell r="S13270">
            <v>1.58</v>
          </cell>
          <cell r="X13270" t="str">
            <v>Commissions - gross</v>
          </cell>
          <cell r="Y13270" t="str">
            <v>UNITED STATES</v>
          </cell>
        </row>
        <row r="13271">
          <cell r="L13271" t="str">
            <v>Non-proportional</v>
          </cell>
          <cell r="S13271">
            <v>99.38</v>
          </cell>
          <cell r="X13271" t="str">
            <v>Commissions - gross</v>
          </cell>
          <cell r="Y13271" t="str">
            <v>UNITED KINGDOM</v>
          </cell>
        </row>
        <row r="13272">
          <cell r="L13272" t="str">
            <v>Non-proportional</v>
          </cell>
          <cell r="S13272">
            <v>634.62</v>
          </cell>
          <cell r="X13272" t="str">
            <v>Commissions - gross</v>
          </cell>
          <cell r="Y13272" t="str">
            <v>THAILAND</v>
          </cell>
        </row>
        <row r="13273">
          <cell r="L13273" t="str">
            <v>Non-proportional</v>
          </cell>
          <cell r="S13273">
            <v>39</v>
          </cell>
          <cell r="X13273" t="str">
            <v>Commissions - gross</v>
          </cell>
          <cell r="Y13273" t="str">
            <v>ITALY</v>
          </cell>
        </row>
        <row r="13274">
          <cell r="L13274" t="str">
            <v>Non-proportional</v>
          </cell>
          <cell r="S13274">
            <v>350.21</v>
          </cell>
          <cell r="X13274" t="str">
            <v>Commissions - gross</v>
          </cell>
          <cell r="Y13274" t="str">
            <v>THAILAND</v>
          </cell>
        </row>
        <row r="13275">
          <cell r="L13275" t="str">
            <v>Non-proportional</v>
          </cell>
          <cell r="S13275">
            <v>543.78</v>
          </cell>
          <cell r="X13275" t="str">
            <v>Commissions - gross</v>
          </cell>
          <cell r="Y13275" t="str">
            <v>ISRAEL</v>
          </cell>
        </row>
        <row r="13276">
          <cell r="L13276" t="str">
            <v>Non-proportional</v>
          </cell>
          <cell r="S13276">
            <v>202.99</v>
          </cell>
          <cell r="X13276" t="str">
            <v>Commissions - gross</v>
          </cell>
          <cell r="Y13276" t="str">
            <v>CYPRUS</v>
          </cell>
        </row>
        <row r="13277">
          <cell r="L13277" t="str">
            <v>Non-proportional</v>
          </cell>
          <cell r="S13277">
            <v>-1.32</v>
          </cell>
          <cell r="X13277" t="str">
            <v>Commissions - gross</v>
          </cell>
          <cell r="Y13277" t="str">
            <v>CHINA</v>
          </cell>
        </row>
        <row r="13278">
          <cell r="L13278" t="str">
            <v>Non-proportional</v>
          </cell>
          <cell r="S13278">
            <v>551.27</v>
          </cell>
          <cell r="X13278" t="str">
            <v>Commissions - gross</v>
          </cell>
          <cell r="Y13278" t="str">
            <v>NETHERLANDS</v>
          </cell>
        </row>
        <row r="13279">
          <cell r="L13279" t="str">
            <v>Non-proportional</v>
          </cell>
          <cell r="S13279">
            <v>489.01</v>
          </cell>
          <cell r="X13279" t="str">
            <v>Commissions - gross</v>
          </cell>
          <cell r="Y13279" t="str">
            <v>FRANCE</v>
          </cell>
        </row>
        <row r="13280">
          <cell r="L13280" t="str">
            <v>Non-proportional</v>
          </cell>
          <cell r="S13280">
            <v>1996.77</v>
          </cell>
          <cell r="X13280" t="str">
            <v>Commissions - gross</v>
          </cell>
          <cell r="Y13280" t="str">
            <v>FRANCE</v>
          </cell>
        </row>
        <row r="13281">
          <cell r="L13281" t="str">
            <v>Non-proportional</v>
          </cell>
          <cell r="S13281">
            <v>605.5</v>
          </cell>
          <cell r="X13281" t="str">
            <v>Commissions - gross</v>
          </cell>
          <cell r="Y13281" t="str">
            <v>FRANCE</v>
          </cell>
        </row>
        <row r="13282">
          <cell r="L13282" t="str">
            <v>Non-proportional</v>
          </cell>
          <cell r="S13282">
            <v>153.44</v>
          </cell>
          <cell r="X13282" t="str">
            <v>Commissions - gross</v>
          </cell>
          <cell r="Y13282" t="str">
            <v>JAPAN</v>
          </cell>
        </row>
        <row r="13283">
          <cell r="L13283" t="str">
            <v>Non-proportional</v>
          </cell>
          <cell r="S13283">
            <v>1049.99</v>
          </cell>
          <cell r="X13283" t="str">
            <v>Commissions - gross</v>
          </cell>
          <cell r="Y13283" t="str">
            <v>ITALY</v>
          </cell>
        </row>
        <row r="13284">
          <cell r="L13284" t="str">
            <v>Non-proportional</v>
          </cell>
          <cell r="S13284">
            <v>75.11</v>
          </cell>
          <cell r="X13284" t="str">
            <v>Commissions - gross</v>
          </cell>
          <cell r="Y13284" t="str">
            <v>CHILE</v>
          </cell>
        </row>
        <row r="13285">
          <cell r="L13285" t="str">
            <v>Non-proportional</v>
          </cell>
          <cell r="S13285">
            <v>92.9</v>
          </cell>
          <cell r="X13285" t="str">
            <v>Commissions - gross</v>
          </cell>
          <cell r="Y13285" t="str">
            <v>DOMINICAN REPUBLIC</v>
          </cell>
        </row>
        <row r="13286">
          <cell r="L13286" t="str">
            <v>Non-proportional</v>
          </cell>
          <cell r="S13286">
            <v>405.79</v>
          </cell>
          <cell r="X13286" t="str">
            <v>Commissions - gross</v>
          </cell>
          <cell r="Y13286" t="str">
            <v>COLOMBIA</v>
          </cell>
        </row>
        <row r="13287">
          <cell r="L13287" t="str">
            <v>Non-proportional</v>
          </cell>
          <cell r="S13287">
            <v>145.83000000000001</v>
          </cell>
          <cell r="X13287" t="str">
            <v>Commissions - gross</v>
          </cell>
          <cell r="Y13287" t="str">
            <v>GREECE</v>
          </cell>
        </row>
        <row r="13288">
          <cell r="L13288" t="str">
            <v>Non-proportional</v>
          </cell>
          <cell r="S13288">
            <v>1361.29</v>
          </cell>
          <cell r="X13288" t="str">
            <v>Commissions - gross</v>
          </cell>
          <cell r="Y13288" t="str">
            <v>ECUADOR</v>
          </cell>
        </row>
        <row r="13289">
          <cell r="L13289" t="str">
            <v>Non-proportional</v>
          </cell>
          <cell r="S13289">
            <v>87.48</v>
          </cell>
          <cell r="X13289" t="str">
            <v>Commissions - gross</v>
          </cell>
          <cell r="Y13289" t="str">
            <v>JAPAN</v>
          </cell>
        </row>
        <row r="13290">
          <cell r="L13290" t="str">
            <v>Non-proportional</v>
          </cell>
          <cell r="S13290">
            <v>1151.06</v>
          </cell>
          <cell r="X13290" t="str">
            <v>Commissions - gross</v>
          </cell>
          <cell r="Y13290" t="str">
            <v>EUROPE</v>
          </cell>
        </row>
        <row r="13291">
          <cell r="L13291" t="str">
            <v>Non-proportional</v>
          </cell>
          <cell r="S13291">
            <v>426.7</v>
          </cell>
          <cell r="X13291" t="str">
            <v>Commissions - gross</v>
          </cell>
          <cell r="Y13291" t="str">
            <v>COLOMBIA</v>
          </cell>
        </row>
        <row r="13292">
          <cell r="L13292" t="str">
            <v>Non-proportional</v>
          </cell>
          <cell r="S13292">
            <v>525.74</v>
          </cell>
          <cell r="X13292" t="str">
            <v>Commissions - gross</v>
          </cell>
          <cell r="Y13292" t="str">
            <v>CHILE</v>
          </cell>
        </row>
        <row r="13293">
          <cell r="L13293" t="str">
            <v>Proportional</v>
          </cell>
          <cell r="S13293">
            <v>170.37</v>
          </cell>
          <cell r="X13293" t="str">
            <v>Commissions - gross</v>
          </cell>
          <cell r="Y13293" t="str">
            <v>PERU</v>
          </cell>
        </row>
        <row r="13294">
          <cell r="L13294" t="str">
            <v>Non-proportional</v>
          </cell>
          <cell r="S13294">
            <v>186.59</v>
          </cell>
          <cell r="X13294" t="str">
            <v>Commissions - gross</v>
          </cell>
          <cell r="Y13294" t="str">
            <v>SOUTH AFRICA</v>
          </cell>
        </row>
        <row r="13295">
          <cell r="L13295" t="str">
            <v>Non-proportional</v>
          </cell>
          <cell r="S13295">
            <v>390.08</v>
          </cell>
          <cell r="X13295" t="str">
            <v>Commissions - gross</v>
          </cell>
          <cell r="Y13295" t="str">
            <v>EUROPE</v>
          </cell>
        </row>
        <row r="13296">
          <cell r="L13296" t="str">
            <v>Non-proportional</v>
          </cell>
          <cell r="S13296">
            <v>1059.6099999999999</v>
          </cell>
          <cell r="X13296" t="str">
            <v>Commissions - gross</v>
          </cell>
          <cell r="Y13296" t="str">
            <v>FRANCE</v>
          </cell>
        </row>
        <row r="13297">
          <cell r="L13297" t="str">
            <v>Non-proportional</v>
          </cell>
          <cell r="S13297">
            <v>25.55</v>
          </cell>
          <cell r="X13297" t="str">
            <v>Commissions - gross</v>
          </cell>
          <cell r="Y13297" t="str">
            <v>NEW ZEALAND</v>
          </cell>
        </row>
        <row r="13298">
          <cell r="L13298" t="str">
            <v>Proportional</v>
          </cell>
          <cell r="S13298">
            <v>931.02</v>
          </cell>
          <cell r="X13298" t="str">
            <v>Commissions - gross</v>
          </cell>
          <cell r="Y13298" t="str">
            <v>JAPAN</v>
          </cell>
        </row>
        <row r="13299">
          <cell r="L13299" t="str">
            <v>Non-proportional</v>
          </cell>
          <cell r="S13299">
            <v>0</v>
          </cell>
          <cell r="X13299" t="str">
            <v>Commissions - gross</v>
          </cell>
          <cell r="Y13299" t="str">
            <v>BRAZIL</v>
          </cell>
        </row>
        <row r="13300">
          <cell r="L13300" t="str">
            <v>Non-proportional</v>
          </cell>
          <cell r="S13300">
            <v>98.71</v>
          </cell>
          <cell r="X13300" t="str">
            <v>Commissions - gross</v>
          </cell>
          <cell r="Y13300" t="str">
            <v>JAPAN</v>
          </cell>
        </row>
        <row r="13301">
          <cell r="L13301" t="str">
            <v>Non-proportional</v>
          </cell>
          <cell r="S13301">
            <v>695.78</v>
          </cell>
          <cell r="X13301" t="str">
            <v>Commissions - gross</v>
          </cell>
          <cell r="Y13301" t="str">
            <v>ITALY</v>
          </cell>
        </row>
        <row r="13302">
          <cell r="L13302" t="str">
            <v>Non-proportional</v>
          </cell>
          <cell r="S13302">
            <v>423.85</v>
          </cell>
          <cell r="X13302" t="str">
            <v>Commissions - gross</v>
          </cell>
          <cell r="Y13302" t="str">
            <v>FRANCE</v>
          </cell>
        </row>
        <row r="13303">
          <cell r="L13303" t="str">
            <v>Non-proportional</v>
          </cell>
          <cell r="S13303">
            <v>515.19000000000005</v>
          </cell>
          <cell r="X13303" t="str">
            <v>Commissions - gross</v>
          </cell>
          <cell r="Y13303" t="str">
            <v>ITALY</v>
          </cell>
        </row>
        <row r="13304">
          <cell r="L13304" t="str">
            <v>Non-proportional</v>
          </cell>
          <cell r="S13304">
            <v>357.06</v>
          </cell>
          <cell r="X13304" t="str">
            <v>Commissions - gross</v>
          </cell>
          <cell r="Y13304" t="str">
            <v>GREECE</v>
          </cell>
        </row>
        <row r="13305">
          <cell r="L13305" t="str">
            <v>Non-proportional</v>
          </cell>
          <cell r="S13305">
            <v>512.17999999999995</v>
          </cell>
          <cell r="X13305" t="str">
            <v>Commissions - gross</v>
          </cell>
          <cell r="Y13305" t="str">
            <v>SOUTH AFRICA</v>
          </cell>
        </row>
        <row r="13306">
          <cell r="L13306" t="str">
            <v>Non-proportional</v>
          </cell>
          <cell r="S13306">
            <v>1162.43</v>
          </cell>
          <cell r="X13306" t="str">
            <v>Commissions - gross</v>
          </cell>
          <cell r="Y13306" t="str">
            <v>PERU</v>
          </cell>
        </row>
        <row r="13307">
          <cell r="L13307" t="str">
            <v>Non-proportional</v>
          </cell>
          <cell r="S13307">
            <v>1023.91</v>
          </cell>
          <cell r="X13307" t="str">
            <v>Commissions - gross</v>
          </cell>
          <cell r="Y13307" t="str">
            <v>UNITED KINGDOM</v>
          </cell>
        </row>
        <row r="13308">
          <cell r="L13308" t="str">
            <v>Non-proportional</v>
          </cell>
          <cell r="S13308">
            <v>930.59</v>
          </cell>
          <cell r="X13308" t="str">
            <v>Commissions - gross</v>
          </cell>
          <cell r="Y13308" t="str">
            <v>UNITED KINGDOM</v>
          </cell>
        </row>
        <row r="13309">
          <cell r="L13309" t="str">
            <v>Non-proportional</v>
          </cell>
          <cell r="S13309">
            <v>1201.19</v>
          </cell>
          <cell r="X13309" t="str">
            <v>Commissions - gross</v>
          </cell>
          <cell r="Y13309" t="str">
            <v>FRANCE</v>
          </cell>
        </row>
        <row r="13310">
          <cell r="L13310" t="str">
            <v>Non-proportional</v>
          </cell>
          <cell r="S13310">
            <v>1588.55</v>
          </cell>
          <cell r="X13310" t="str">
            <v>Commissions - gross</v>
          </cell>
          <cell r="Y13310" t="str">
            <v>EUROPE</v>
          </cell>
        </row>
        <row r="13311">
          <cell r="L13311" t="str">
            <v>Non-proportional</v>
          </cell>
          <cell r="S13311">
            <v>191.8</v>
          </cell>
          <cell r="X13311" t="str">
            <v>Commissions - gross</v>
          </cell>
          <cell r="Y13311" t="str">
            <v>JAPAN</v>
          </cell>
        </row>
        <row r="13312">
          <cell r="L13312" t="str">
            <v>Proportional</v>
          </cell>
          <cell r="S13312">
            <v>0.91</v>
          </cell>
          <cell r="X13312" t="str">
            <v>Commissions - gross</v>
          </cell>
          <cell r="Y13312" t="str">
            <v>UNITED STATES</v>
          </cell>
        </row>
        <row r="13313">
          <cell r="L13313" t="str">
            <v>Proportional</v>
          </cell>
          <cell r="S13313">
            <v>138.18</v>
          </cell>
          <cell r="X13313" t="str">
            <v>Commissions - gross</v>
          </cell>
          <cell r="Y13313" t="str">
            <v>PERU</v>
          </cell>
        </row>
        <row r="13314">
          <cell r="L13314" t="str">
            <v>Non-proportional</v>
          </cell>
          <cell r="S13314">
            <v>527.45000000000005</v>
          </cell>
          <cell r="X13314" t="str">
            <v>Commissions - gross</v>
          </cell>
          <cell r="Y13314" t="str">
            <v>CYPRUS</v>
          </cell>
        </row>
        <row r="13315">
          <cell r="L13315" t="str">
            <v>Non-proportional</v>
          </cell>
          <cell r="S13315">
            <v>789.75</v>
          </cell>
          <cell r="X13315" t="str">
            <v>Commissions - gross</v>
          </cell>
          <cell r="Y13315" t="str">
            <v>ITALY</v>
          </cell>
        </row>
        <row r="13316">
          <cell r="L13316" t="str">
            <v>Non-proportional</v>
          </cell>
          <cell r="S13316">
            <v>758.65</v>
          </cell>
          <cell r="X13316" t="str">
            <v>Commissions - gross</v>
          </cell>
          <cell r="Y13316" t="str">
            <v>FRANCE</v>
          </cell>
        </row>
        <row r="13317">
          <cell r="L13317" t="str">
            <v>Non-proportional</v>
          </cell>
          <cell r="S13317">
            <v>201.64</v>
          </cell>
          <cell r="X13317" t="str">
            <v>Commissions - gross</v>
          </cell>
          <cell r="Y13317" t="str">
            <v>BELIZE</v>
          </cell>
        </row>
        <row r="13318">
          <cell r="L13318" t="str">
            <v>Non-proportional</v>
          </cell>
          <cell r="S13318">
            <v>1803.99</v>
          </cell>
          <cell r="X13318" t="str">
            <v>Commissions - gross</v>
          </cell>
          <cell r="Y13318" t="str">
            <v>CHINA</v>
          </cell>
        </row>
        <row r="13319">
          <cell r="L13319" t="str">
            <v>Non-proportional</v>
          </cell>
          <cell r="S13319">
            <v>15.86</v>
          </cell>
          <cell r="X13319" t="str">
            <v>Commissions - gross</v>
          </cell>
          <cell r="Y13319" t="str">
            <v>COLOMBIA</v>
          </cell>
        </row>
        <row r="13320">
          <cell r="L13320" t="str">
            <v>Non-proportional</v>
          </cell>
          <cell r="S13320">
            <v>574.42999999999995</v>
          </cell>
          <cell r="X13320" t="str">
            <v>Commissions - gross</v>
          </cell>
          <cell r="Y13320" t="str">
            <v>THAILAND</v>
          </cell>
        </row>
        <row r="13321">
          <cell r="L13321" t="str">
            <v>Non-proportional</v>
          </cell>
          <cell r="S13321">
            <v>10933.04</v>
          </cell>
          <cell r="X13321" t="str">
            <v>Commissions - gross</v>
          </cell>
          <cell r="Y13321" t="str">
            <v>FRANCE</v>
          </cell>
        </row>
        <row r="13322">
          <cell r="L13322" t="str">
            <v>Proportional</v>
          </cell>
          <cell r="S13322">
            <v>-621.71</v>
          </cell>
          <cell r="X13322" t="str">
            <v>Commissions - gross</v>
          </cell>
          <cell r="Y13322" t="str">
            <v>AUSTRALIA</v>
          </cell>
        </row>
        <row r="13323">
          <cell r="L13323" t="str">
            <v>Non-proportional</v>
          </cell>
          <cell r="S13323">
            <v>667.18</v>
          </cell>
          <cell r="X13323" t="str">
            <v>Commissions - gross</v>
          </cell>
          <cell r="Y13323" t="str">
            <v>ISRAEL</v>
          </cell>
        </row>
        <row r="13324">
          <cell r="L13324" t="str">
            <v>Non-proportional</v>
          </cell>
          <cell r="S13324">
            <v>4686.47</v>
          </cell>
          <cell r="X13324" t="str">
            <v>Commissions - gross</v>
          </cell>
          <cell r="Y13324" t="str">
            <v>FRANCE</v>
          </cell>
        </row>
        <row r="13325">
          <cell r="L13325" t="str">
            <v>Non-proportional</v>
          </cell>
          <cell r="S13325">
            <v>216.93</v>
          </cell>
          <cell r="X13325" t="str">
            <v>Commissions - gross</v>
          </cell>
          <cell r="Y13325" t="str">
            <v>DOMINICAN REPUBLIC</v>
          </cell>
        </row>
        <row r="13326">
          <cell r="L13326" t="str">
            <v>Non-proportional</v>
          </cell>
          <cell r="S13326">
            <v>431.01</v>
          </cell>
          <cell r="X13326" t="str">
            <v>Commissions - gross</v>
          </cell>
          <cell r="Y13326" t="str">
            <v>COLOMBIA</v>
          </cell>
        </row>
        <row r="13327">
          <cell r="L13327" t="str">
            <v>Non-proportional</v>
          </cell>
          <cell r="S13327">
            <v>130.38</v>
          </cell>
          <cell r="X13327" t="str">
            <v>Commissions - gross</v>
          </cell>
          <cell r="Y13327" t="str">
            <v>CYPRUS</v>
          </cell>
        </row>
        <row r="13328">
          <cell r="L13328" t="str">
            <v>Non-proportional</v>
          </cell>
          <cell r="S13328">
            <v>1442.4</v>
          </cell>
          <cell r="X13328" t="str">
            <v>Commissions - gross</v>
          </cell>
          <cell r="Y13328" t="str">
            <v>FRANCE</v>
          </cell>
        </row>
        <row r="13329">
          <cell r="L13329" t="str">
            <v>Non-proportional</v>
          </cell>
          <cell r="S13329">
            <v>4261</v>
          </cell>
          <cell r="X13329" t="str">
            <v>Commissions - gross</v>
          </cell>
          <cell r="Y13329" t="str">
            <v>UNITED KINGDOM</v>
          </cell>
        </row>
        <row r="13330">
          <cell r="L13330" t="str">
            <v>Non-proportional</v>
          </cell>
          <cell r="S13330">
            <v>668.47</v>
          </cell>
          <cell r="X13330" t="str">
            <v>Commissions - gross</v>
          </cell>
          <cell r="Y13330" t="str">
            <v>UNITED KINGDOM</v>
          </cell>
        </row>
        <row r="13331">
          <cell r="L13331" t="str">
            <v>Non-proportional</v>
          </cell>
          <cell r="S13331">
            <v>7383.28</v>
          </cell>
          <cell r="X13331" t="str">
            <v>Commissions - gross</v>
          </cell>
          <cell r="Y13331" t="str">
            <v>UNITED KINGDOM</v>
          </cell>
        </row>
        <row r="13332">
          <cell r="L13332" t="str">
            <v>Non-proportional</v>
          </cell>
          <cell r="S13332">
            <v>629.95000000000005</v>
          </cell>
          <cell r="X13332" t="str">
            <v>Commissions - gross</v>
          </cell>
          <cell r="Y13332" t="str">
            <v>NEW ZEALAND</v>
          </cell>
        </row>
        <row r="13333">
          <cell r="L13333" t="str">
            <v>Non-proportional</v>
          </cell>
          <cell r="S13333">
            <v>423.33</v>
          </cell>
          <cell r="X13333" t="str">
            <v>Commissions - gross</v>
          </cell>
          <cell r="Y13333" t="str">
            <v>FRANCE</v>
          </cell>
        </row>
        <row r="13334">
          <cell r="L13334" t="str">
            <v>Non-proportional</v>
          </cell>
          <cell r="S13334">
            <v>885.5</v>
          </cell>
          <cell r="X13334" t="str">
            <v>Commissions - gross</v>
          </cell>
          <cell r="Y13334" t="str">
            <v>GERMANY</v>
          </cell>
        </row>
        <row r="13335">
          <cell r="L13335" t="str">
            <v>Non-proportional</v>
          </cell>
          <cell r="S13335">
            <v>117.23</v>
          </cell>
          <cell r="X13335" t="str">
            <v>Commissions - gross</v>
          </cell>
          <cell r="Y13335" t="str">
            <v>FRANCE</v>
          </cell>
        </row>
        <row r="13336">
          <cell r="L13336" t="str">
            <v>Non-proportional</v>
          </cell>
          <cell r="S13336">
            <v>192.14</v>
          </cell>
          <cell r="X13336" t="str">
            <v>Commissions - gross</v>
          </cell>
          <cell r="Y13336" t="str">
            <v>JAPAN</v>
          </cell>
        </row>
        <row r="13337">
          <cell r="L13337" t="str">
            <v>Non-proportional</v>
          </cell>
          <cell r="S13337">
            <v>87.48</v>
          </cell>
          <cell r="X13337" t="str">
            <v>Commissions - gross</v>
          </cell>
          <cell r="Y13337" t="str">
            <v>JAPAN</v>
          </cell>
        </row>
        <row r="13338">
          <cell r="L13338" t="str">
            <v>Non-proportional</v>
          </cell>
          <cell r="S13338">
            <v>324.48</v>
          </cell>
          <cell r="X13338" t="str">
            <v>Commissions - gross</v>
          </cell>
          <cell r="Y13338" t="str">
            <v>FRANCE</v>
          </cell>
        </row>
        <row r="13339">
          <cell r="L13339" t="str">
            <v>Non-proportional</v>
          </cell>
          <cell r="S13339">
            <v>324.91000000000003</v>
          </cell>
          <cell r="X13339" t="str">
            <v>Commissions - gross</v>
          </cell>
          <cell r="Y13339" t="str">
            <v>FRANCE</v>
          </cell>
        </row>
        <row r="13340">
          <cell r="L13340" t="str">
            <v>Non-proportional</v>
          </cell>
          <cell r="S13340">
            <v>743.75</v>
          </cell>
          <cell r="X13340" t="str">
            <v>Commissions - gross</v>
          </cell>
          <cell r="Y13340" t="str">
            <v>ITALY</v>
          </cell>
        </row>
        <row r="13341">
          <cell r="L13341" t="str">
            <v>Non-proportional</v>
          </cell>
          <cell r="S13341">
            <v>894.21</v>
          </cell>
          <cell r="X13341" t="str">
            <v>Commissions - gross</v>
          </cell>
          <cell r="Y13341" t="str">
            <v>NEW ZEALAND</v>
          </cell>
        </row>
        <row r="13342">
          <cell r="L13342" t="str">
            <v>Non-proportional</v>
          </cell>
          <cell r="S13342">
            <v>37.549999999999997</v>
          </cell>
          <cell r="X13342" t="str">
            <v>Commissions - gross</v>
          </cell>
          <cell r="Y13342" t="str">
            <v>CHILE</v>
          </cell>
        </row>
        <row r="13343">
          <cell r="L13343" t="str">
            <v>Non-proportional</v>
          </cell>
          <cell r="S13343">
            <v>224.51</v>
          </cell>
          <cell r="X13343" t="str">
            <v>Commissions - gross</v>
          </cell>
          <cell r="Y13343" t="str">
            <v>CHINA</v>
          </cell>
        </row>
        <row r="13344">
          <cell r="L13344" t="str">
            <v>Non-proportional</v>
          </cell>
          <cell r="S13344">
            <v>959</v>
          </cell>
          <cell r="X13344" t="str">
            <v>Commissions - gross</v>
          </cell>
          <cell r="Y13344" t="str">
            <v>ECUADOR</v>
          </cell>
        </row>
        <row r="13345">
          <cell r="L13345" t="str">
            <v>Non-proportional</v>
          </cell>
          <cell r="S13345">
            <v>350.74</v>
          </cell>
          <cell r="X13345" t="str">
            <v>Commissions - gross</v>
          </cell>
          <cell r="Y13345" t="str">
            <v>UNITED KINGDOM</v>
          </cell>
        </row>
        <row r="13346">
          <cell r="L13346" t="str">
            <v>Non-proportional</v>
          </cell>
          <cell r="S13346">
            <v>779.84</v>
          </cell>
          <cell r="X13346" t="str">
            <v>Commissions - gross</v>
          </cell>
          <cell r="Y13346" t="str">
            <v>UNITED KINGDOM</v>
          </cell>
        </row>
        <row r="13347">
          <cell r="L13347" t="str">
            <v>Non-proportional</v>
          </cell>
          <cell r="S13347">
            <v>4575.8500000000004</v>
          </cell>
          <cell r="X13347" t="str">
            <v>Commissions - gross</v>
          </cell>
          <cell r="Y13347" t="str">
            <v>TURKEY</v>
          </cell>
        </row>
        <row r="13348">
          <cell r="L13348" t="str">
            <v>Non-proportional</v>
          </cell>
          <cell r="S13348">
            <v>639.35</v>
          </cell>
          <cell r="X13348" t="str">
            <v>Commissions - gross</v>
          </cell>
          <cell r="Y13348" t="str">
            <v>NETHERLANDS</v>
          </cell>
        </row>
        <row r="13349">
          <cell r="L13349" t="str">
            <v>Non-proportional</v>
          </cell>
          <cell r="S13349">
            <v>991.57</v>
          </cell>
          <cell r="X13349" t="str">
            <v>Commissions - gross</v>
          </cell>
          <cell r="Y13349" t="str">
            <v>NETHERLANDS</v>
          </cell>
        </row>
        <row r="13350">
          <cell r="L13350" t="str">
            <v>Non-proportional</v>
          </cell>
          <cell r="S13350">
            <v>61.7</v>
          </cell>
          <cell r="X13350" t="str">
            <v>Commissions - gross</v>
          </cell>
          <cell r="Y13350" t="str">
            <v>FRANCE</v>
          </cell>
        </row>
        <row r="13351">
          <cell r="L13351" t="str">
            <v>Non-proportional</v>
          </cell>
          <cell r="S13351">
            <v>265.60000000000002</v>
          </cell>
          <cell r="X13351" t="str">
            <v>Commissions - gross</v>
          </cell>
          <cell r="Y13351" t="str">
            <v>JAPAN</v>
          </cell>
        </row>
        <row r="13352">
          <cell r="L13352" t="str">
            <v>Non-proportional</v>
          </cell>
          <cell r="S13352">
            <v>184.69</v>
          </cell>
          <cell r="X13352" t="str">
            <v>Commissions - gross</v>
          </cell>
          <cell r="Y13352" t="str">
            <v>FRANCE</v>
          </cell>
        </row>
        <row r="13353">
          <cell r="L13353" t="str">
            <v>Proportional</v>
          </cell>
          <cell r="S13353">
            <v>64.400000000000006</v>
          </cell>
          <cell r="X13353" t="str">
            <v>Commissions - gross</v>
          </cell>
          <cell r="Y13353" t="str">
            <v>CHILE</v>
          </cell>
        </row>
        <row r="13354">
          <cell r="L13354" t="str">
            <v>Non-proportional</v>
          </cell>
          <cell r="S13354">
            <v>1140.96</v>
          </cell>
          <cell r="X13354" t="str">
            <v>Commissions - gross</v>
          </cell>
          <cell r="Y13354" t="str">
            <v>MEXICO</v>
          </cell>
        </row>
        <row r="13355">
          <cell r="L13355" t="str">
            <v>Non-proportional</v>
          </cell>
          <cell r="S13355">
            <v>273.23</v>
          </cell>
          <cell r="X13355" t="str">
            <v>Commissions - gross</v>
          </cell>
          <cell r="Y13355" t="str">
            <v>SOUTH AFRICA</v>
          </cell>
        </row>
        <row r="13356">
          <cell r="L13356" t="str">
            <v>Proportional</v>
          </cell>
          <cell r="S13356">
            <v>2493.13</v>
          </cell>
          <cell r="X13356" t="str">
            <v>Commissions - gross</v>
          </cell>
          <cell r="Y13356" t="str">
            <v>ITALY</v>
          </cell>
        </row>
        <row r="13357">
          <cell r="L13357" t="str">
            <v>Non-proportional</v>
          </cell>
          <cell r="S13357">
            <v>3802.68</v>
          </cell>
          <cell r="X13357" t="str">
            <v>Commissions - gross</v>
          </cell>
          <cell r="Y13357" t="str">
            <v>FRANCE</v>
          </cell>
        </row>
        <row r="13358">
          <cell r="L13358" t="str">
            <v>Non-proportional</v>
          </cell>
          <cell r="S13358">
            <v>3908.45</v>
          </cell>
          <cell r="X13358" t="str">
            <v>Commissions - gross</v>
          </cell>
          <cell r="Y13358" t="str">
            <v>UNITED KINGDOM</v>
          </cell>
        </row>
        <row r="13359">
          <cell r="L13359" t="str">
            <v>Non-proportional</v>
          </cell>
          <cell r="S13359">
            <v>-0.23</v>
          </cell>
          <cell r="X13359" t="str">
            <v>Commissions - gross</v>
          </cell>
          <cell r="Y13359" t="str">
            <v>GUATEMALA</v>
          </cell>
        </row>
        <row r="13360">
          <cell r="L13360" t="str">
            <v>Non-proportional</v>
          </cell>
          <cell r="S13360">
            <v>-6.2</v>
          </cell>
          <cell r="X13360" t="str">
            <v>Commissions - gross</v>
          </cell>
          <cell r="Y13360" t="str">
            <v>JAPAN</v>
          </cell>
        </row>
        <row r="13361">
          <cell r="L13361" t="str">
            <v>Non-proportional</v>
          </cell>
          <cell r="S13361">
            <v>-5.39</v>
          </cell>
          <cell r="X13361" t="str">
            <v>Commissions - gross</v>
          </cell>
          <cell r="Y13361" t="str">
            <v>JAPAN</v>
          </cell>
        </row>
        <row r="13362">
          <cell r="L13362" t="str">
            <v>Non-proportional</v>
          </cell>
          <cell r="S13362">
            <v>2019.75</v>
          </cell>
          <cell r="X13362" t="str">
            <v>Commissions - gross</v>
          </cell>
          <cell r="Y13362" t="str">
            <v>ITALY</v>
          </cell>
        </row>
        <row r="13363">
          <cell r="L13363" t="str">
            <v>Non-proportional</v>
          </cell>
          <cell r="S13363">
            <v>113.12</v>
          </cell>
          <cell r="X13363" t="str">
            <v>Commissions - gross</v>
          </cell>
          <cell r="Y13363" t="str">
            <v>CYPRUS</v>
          </cell>
        </row>
        <row r="13364">
          <cell r="L13364" t="str">
            <v>Non-proportional</v>
          </cell>
          <cell r="S13364">
            <v>464.7</v>
          </cell>
          <cell r="X13364" t="str">
            <v>Commissions - gross</v>
          </cell>
          <cell r="Y13364" t="str">
            <v>PERU</v>
          </cell>
        </row>
        <row r="13365">
          <cell r="L13365" t="str">
            <v>Non-proportional</v>
          </cell>
          <cell r="S13365">
            <v>312.35000000000002</v>
          </cell>
          <cell r="X13365" t="str">
            <v>Commissions - gross</v>
          </cell>
          <cell r="Y13365" t="str">
            <v>GUATEMALA</v>
          </cell>
        </row>
        <row r="13366">
          <cell r="L13366" t="str">
            <v>Proportional</v>
          </cell>
          <cell r="S13366">
            <v>197.66</v>
          </cell>
          <cell r="X13366" t="str">
            <v>Commissions - gross</v>
          </cell>
          <cell r="Y13366" t="str">
            <v>JAPAN</v>
          </cell>
        </row>
        <row r="13367">
          <cell r="L13367" t="str">
            <v>Non-proportional</v>
          </cell>
          <cell r="S13367">
            <v>162.09</v>
          </cell>
          <cell r="X13367" t="str">
            <v>Commissions - gross</v>
          </cell>
          <cell r="Y13367" t="str">
            <v>JAPAN</v>
          </cell>
        </row>
        <row r="13368">
          <cell r="L13368" t="str">
            <v>Non-proportional</v>
          </cell>
          <cell r="S13368">
            <v>1910.22</v>
          </cell>
          <cell r="X13368" t="str">
            <v>Commissions - gross</v>
          </cell>
          <cell r="Y13368" t="str">
            <v>MEXICO</v>
          </cell>
        </row>
        <row r="13369">
          <cell r="L13369" t="str">
            <v>Proportional</v>
          </cell>
          <cell r="S13369">
            <v>6666.02</v>
          </cell>
          <cell r="X13369" t="str">
            <v>Commissions - gross</v>
          </cell>
          <cell r="Y13369" t="str">
            <v>UNITED STATES</v>
          </cell>
        </row>
        <row r="13370">
          <cell r="L13370" t="str">
            <v>Non-proportional</v>
          </cell>
          <cell r="S13370">
            <v>1114.3</v>
          </cell>
          <cell r="X13370" t="str">
            <v>Commissions - gross</v>
          </cell>
          <cell r="Y13370" t="str">
            <v>MEXICO</v>
          </cell>
        </row>
        <row r="13371">
          <cell r="L13371" t="str">
            <v>Non-proportional</v>
          </cell>
          <cell r="S13371">
            <v>130.24</v>
          </cell>
          <cell r="X13371" t="str">
            <v>Commissions - gross</v>
          </cell>
          <cell r="Y13371" t="str">
            <v>PUERTO RICO</v>
          </cell>
        </row>
        <row r="13372">
          <cell r="L13372" t="str">
            <v>Non-proportional</v>
          </cell>
          <cell r="S13372">
            <v>-11.9</v>
          </cell>
          <cell r="X13372" t="str">
            <v>Commissions - gross</v>
          </cell>
          <cell r="Y13372" t="str">
            <v>DOMINICAN REPUBLIC</v>
          </cell>
        </row>
        <row r="13373">
          <cell r="L13373" t="str">
            <v>Non-proportional</v>
          </cell>
          <cell r="S13373">
            <v>2903.42</v>
          </cell>
          <cell r="X13373" t="str">
            <v>Commissions - gross</v>
          </cell>
          <cell r="Y13373" t="str">
            <v>UNITED KINGDOM</v>
          </cell>
        </row>
        <row r="13374">
          <cell r="L13374" t="str">
            <v>Non-proportional</v>
          </cell>
          <cell r="S13374">
            <v>280.52</v>
          </cell>
          <cell r="X13374" t="str">
            <v>Commissions - gross</v>
          </cell>
          <cell r="Y13374" t="str">
            <v>REPUBLIC OF IRELAND</v>
          </cell>
        </row>
        <row r="13375">
          <cell r="L13375" t="str">
            <v>Non-proportional</v>
          </cell>
          <cell r="S13375">
            <v>153.44</v>
          </cell>
          <cell r="X13375" t="str">
            <v>Commissions - gross</v>
          </cell>
          <cell r="Y13375" t="str">
            <v>JAPAN</v>
          </cell>
        </row>
        <row r="13376">
          <cell r="L13376" t="str">
            <v>Non-proportional</v>
          </cell>
          <cell r="S13376">
            <v>578.12</v>
          </cell>
          <cell r="X13376" t="str">
            <v>Commissions - gross</v>
          </cell>
          <cell r="Y13376" t="str">
            <v>ISRAEL</v>
          </cell>
        </row>
        <row r="13377">
          <cell r="L13377" t="str">
            <v>Non-proportional</v>
          </cell>
          <cell r="S13377">
            <v>953.67</v>
          </cell>
          <cell r="X13377" t="str">
            <v>Commissions - gross</v>
          </cell>
          <cell r="Y13377" t="str">
            <v>COSTA RICA</v>
          </cell>
        </row>
        <row r="13378">
          <cell r="L13378" t="str">
            <v>Non-proportional</v>
          </cell>
          <cell r="S13378">
            <v>260.67</v>
          </cell>
          <cell r="X13378" t="str">
            <v>Commissions - gross</v>
          </cell>
          <cell r="Y13378" t="str">
            <v>ECUADOR</v>
          </cell>
        </row>
        <row r="13379">
          <cell r="L13379" t="str">
            <v>Non-proportional</v>
          </cell>
          <cell r="S13379">
            <v>288.12</v>
          </cell>
          <cell r="X13379" t="str">
            <v>Commissions - gross</v>
          </cell>
          <cell r="Y13379" t="str">
            <v>JAPAN</v>
          </cell>
        </row>
        <row r="13380">
          <cell r="L13380" t="str">
            <v>Non-proportional</v>
          </cell>
          <cell r="S13380">
            <v>608.63</v>
          </cell>
          <cell r="X13380" t="str">
            <v>Commissions - gross</v>
          </cell>
          <cell r="Y13380" t="str">
            <v>ITALY</v>
          </cell>
        </row>
        <row r="13381">
          <cell r="L13381" t="str">
            <v>Non-proportional</v>
          </cell>
          <cell r="S13381">
            <v>584.44000000000005</v>
          </cell>
          <cell r="X13381" t="str">
            <v>Commissions - gross</v>
          </cell>
          <cell r="Y13381" t="str">
            <v>AUSTRALIA</v>
          </cell>
        </row>
        <row r="13382">
          <cell r="L13382" t="str">
            <v>Non-proportional</v>
          </cell>
          <cell r="S13382">
            <v>675.95</v>
          </cell>
          <cell r="X13382" t="str">
            <v>Commissions - gross</v>
          </cell>
          <cell r="Y13382" t="str">
            <v>CHILE</v>
          </cell>
        </row>
        <row r="13383">
          <cell r="L13383" t="str">
            <v>Non-proportional</v>
          </cell>
          <cell r="S13383">
            <v>155.87</v>
          </cell>
          <cell r="X13383" t="str">
            <v>Commissions - gross</v>
          </cell>
          <cell r="Y13383" t="str">
            <v>JAPAN</v>
          </cell>
        </row>
        <row r="13384">
          <cell r="L13384" t="str">
            <v>Non-proportional</v>
          </cell>
          <cell r="S13384">
            <v>334.63</v>
          </cell>
          <cell r="X13384" t="str">
            <v>Commissions - gross</v>
          </cell>
          <cell r="Y13384" t="str">
            <v>DOMINICAN REPUBLIC</v>
          </cell>
        </row>
        <row r="13385">
          <cell r="L13385" t="str">
            <v>Non-proportional</v>
          </cell>
          <cell r="S13385">
            <v>37.549999999999997</v>
          </cell>
          <cell r="X13385" t="str">
            <v>Commissions - gross</v>
          </cell>
          <cell r="Y13385" t="str">
            <v>CHILE</v>
          </cell>
        </row>
        <row r="13386">
          <cell r="L13386" t="str">
            <v>Non-proportional</v>
          </cell>
          <cell r="S13386">
            <v>75.11</v>
          </cell>
          <cell r="X13386" t="str">
            <v>Commissions - gross</v>
          </cell>
          <cell r="Y13386" t="str">
            <v>CHILE</v>
          </cell>
        </row>
        <row r="13387">
          <cell r="L13387" t="str">
            <v>Non-proportional</v>
          </cell>
          <cell r="S13387">
            <v>75.11</v>
          </cell>
          <cell r="X13387" t="str">
            <v>Commissions - gross</v>
          </cell>
          <cell r="Y13387" t="str">
            <v>CHILE</v>
          </cell>
        </row>
        <row r="13388">
          <cell r="L13388" t="str">
            <v>Non-proportional</v>
          </cell>
          <cell r="S13388">
            <v>297.79000000000002</v>
          </cell>
          <cell r="X13388" t="str">
            <v>Commissions - gross</v>
          </cell>
          <cell r="Y13388" t="str">
            <v>THAILAND</v>
          </cell>
        </row>
        <row r="13389">
          <cell r="L13389" t="str">
            <v>Non-proportional</v>
          </cell>
          <cell r="S13389">
            <v>1000</v>
          </cell>
          <cell r="X13389" t="str">
            <v>Commissions - gross</v>
          </cell>
          <cell r="Y13389" t="str">
            <v>EUROPE</v>
          </cell>
        </row>
        <row r="13390">
          <cell r="L13390" t="str">
            <v>Non-proportional</v>
          </cell>
          <cell r="S13390">
            <v>-0.1</v>
          </cell>
          <cell r="X13390" t="str">
            <v>Commissions - gross</v>
          </cell>
          <cell r="Y13390" t="str">
            <v>GUATEMALA</v>
          </cell>
        </row>
        <row r="13391">
          <cell r="L13391" t="str">
            <v>Non-proportional</v>
          </cell>
          <cell r="S13391">
            <v>1114.5999999999999</v>
          </cell>
          <cell r="X13391" t="str">
            <v>Commissions - gross</v>
          </cell>
          <cell r="Y13391" t="str">
            <v>MEXICO</v>
          </cell>
        </row>
        <row r="13392">
          <cell r="L13392" t="str">
            <v>Non-proportional</v>
          </cell>
          <cell r="S13392">
            <v>235.75</v>
          </cell>
          <cell r="X13392" t="str">
            <v>Commissions - gross</v>
          </cell>
          <cell r="Y13392" t="str">
            <v>GERMANY</v>
          </cell>
        </row>
        <row r="13393">
          <cell r="L13393" t="str">
            <v>Non-proportional</v>
          </cell>
          <cell r="S13393">
            <v>369.73</v>
          </cell>
          <cell r="X13393" t="str">
            <v>Commissions - gross</v>
          </cell>
          <cell r="Y13393" t="str">
            <v>ISRAEL</v>
          </cell>
        </row>
        <row r="13394">
          <cell r="L13394" t="str">
            <v>Proportional</v>
          </cell>
          <cell r="S13394">
            <v>61.1</v>
          </cell>
          <cell r="X13394" t="str">
            <v>Commissions - gross</v>
          </cell>
          <cell r="Y13394" t="str">
            <v>FRANCE</v>
          </cell>
        </row>
        <row r="13395">
          <cell r="L13395" t="str">
            <v>Non-proportional</v>
          </cell>
          <cell r="S13395">
            <v>925.13</v>
          </cell>
          <cell r="X13395" t="str">
            <v>Commissions - gross</v>
          </cell>
          <cell r="Y13395" t="str">
            <v>ITALY</v>
          </cell>
        </row>
        <row r="13396">
          <cell r="L13396" t="str">
            <v>Non-proportional</v>
          </cell>
          <cell r="S13396">
            <v>870.83</v>
          </cell>
          <cell r="X13396" t="str">
            <v>Commissions - gross</v>
          </cell>
          <cell r="Y13396" t="str">
            <v>TURKEY</v>
          </cell>
        </row>
        <row r="13397">
          <cell r="L13397" t="str">
            <v>Non-proportional</v>
          </cell>
          <cell r="S13397">
            <v>650</v>
          </cell>
          <cell r="X13397" t="str">
            <v>Commissions - gross</v>
          </cell>
          <cell r="Y13397" t="str">
            <v>FRANCE</v>
          </cell>
        </row>
        <row r="13398">
          <cell r="L13398" t="str">
            <v>Non-proportional</v>
          </cell>
          <cell r="S13398">
            <v>611.23</v>
          </cell>
          <cell r="X13398" t="str">
            <v>Commissions - gross</v>
          </cell>
          <cell r="Y13398" t="str">
            <v>PERU</v>
          </cell>
        </row>
        <row r="13399">
          <cell r="L13399" t="str">
            <v>Non-proportional</v>
          </cell>
          <cell r="S13399">
            <v>933.83</v>
          </cell>
          <cell r="X13399" t="str">
            <v>Commissions - gross</v>
          </cell>
          <cell r="Y13399" t="str">
            <v>MEXICO</v>
          </cell>
        </row>
        <row r="13400">
          <cell r="L13400" t="str">
            <v>Non-proportional</v>
          </cell>
          <cell r="S13400">
            <v>875</v>
          </cell>
          <cell r="X13400" t="str">
            <v>Commissions - gross</v>
          </cell>
          <cell r="Y13400" t="str">
            <v>EUROPE</v>
          </cell>
        </row>
        <row r="13401">
          <cell r="L13401" t="str">
            <v>Non-proportional</v>
          </cell>
          <cell r="S13401">
            <v>-3.02</v>
          </cell>
          <cell r="X13401" t="str">
            <v>Commissions - gross</v>
          </cell>
          <cell r="Y13401" t="str">
            <v>JAPAN</v>
          </cell>
        </row>
        <row r="13402">
          <cell r="L13402" t="str">
            <v>Non-proportional</v>
          </cell>
          <cell r="S13402">
            <v>301.52999999999997</v>
          </cell>
          <cell r="X13402" t="str">
            <v>Commissions - gross</v>
          </cell>
          <cell r="Y13402" t="str">
            <v>ITALY</v>
          </cell>
        </row>
        <row r="13403">
          <cell r="L13403" t="str">
            <v>Non-proportional</v>
          </cell>
          <cell r="S13403">
            <v>656.25</v>
          </cell>
          <cell r="X13403" t="str">
            <v>Commissions - gross</v>
          </cell>
          <cell r="Y13403" t="str">
            <v>ITALY</v>
          </cell>
        </row>
        <row r="13404">
          <cell r="L13404" t="str">
            <v>Non-proportional</v>
          </cell>
          <cell r="S13404">
            <v>314.33</v>
          </cell>
          <cell r="X13404" t="str">
            <v>Commissions - gross</v>
          </cell>
          <cell r="Y13404" t="str">
            <v>GERMANY</v>
          </cell>
        </row>
        <row r="13405">
          <cell r="L13405" t="str">
            <v>Non-proportional</v>
          </cell>
          <cell r="S13405">
            <v>210.38</v>
          </cell>
          <cell r="X13405" t="str">
            <v>Commissions - gross</v>
          </cell>
          <cell r="Y13405" t="str">
            <v>GUATEMALA</v>
          </cell>
        </row>
        <row r="13406">
          <cell r="L13406" t="str">
            <v>Non-proportional</v>
          </cell>
          <cell r="S13406">
            <v>150.21</v>
          </cell>
          <cell r="X13406" t="str">
            <v>Commissions - gross</v>
          </cell>
          <cell r="Y13406" t="str">
            <v>CHILE</v>
          </cell>
        </row>
        <row r="13407">
          <cell r="L13407" t="str">
            <v>Non-proportional</v>
          </cell>
          <cell r="S13407">
            <v>585.13</v>
          </cell>
          <cell r="X13407" t="str">
            <v>Commissions - gross</v>
          </cell>
          <cell r="Y13407" t="str">
            <v>ITALY</v>
          </cell>
        </row>
        <row r="13408">
          <cell r="L13408" t="str">
            <v>Proportional</v>
          </cell>
          <cell r="S13408">
            <v>10.66</v>
          </cell>
          <cell r="X13408" t="str">
            <v>Commissions - gross</v>
          </cell>
          <cell r="Y13408" t="str">
            <v>CHILE</v>
          </cell>
        </row>
        <row r="13409">
          <cell r="L13409" t="str">
            <v>Non-proportional</v>
          </cell>
          <cell r="S13409">
            <v>359.38</v>
          </cell>
          <cell r="X13409" t="str">
            <v>Commissions - gross</v>
          </cell>
          <cell r="Y13409" t="str">
            <v>GREECE</v>
          </cell>
        </row>
        <row r="13410">
          <cell r="L13410" t="str">
            <v>Non-proportional</v>
          </cell>
          <cell r="S13410">
            <v>63.85</v>
          </cell>
          <cell r="X13410" t="str">
            <v>Commissions - gross</v>
          </cell>
          <cell r="Y13410" t="str">
            <v>MALTA</v>
          </cell>
        </row>
        <row r="13411">
          <cell r="L13411" t="str">
            <v>Non-proportional</v>
          </cell>
          <cell r="S13411">
            <v>374.99</v>
          </cell>
          <cell r="X13411" t="str">
            <v>Commissions - gross</v>
          </cell>
          <cell r="Y13411" t="str">
            <v>EUROPE</v>
          </cell>
        </row>
        <row r="13412">
          <cell r="L13412" t="str">
            <v>Non-proportional</v>
          </cell>
          <cell r="S13412">
            <v>229.36</v>
          </cell>
          <cell r="X13412" t="str">
            <v>Commissions - gross</v>
          </cell>
          <cell r="Y13412" t="str">
            <v>PERU</v>
          </cell>
        </row>
        <row r="13413">
          <cell r="L13413" t="str">
            <v>Non-proportional</v>
          </cell>
          <cell r="S13413">
            <v>1543.16</v>
          </cell>
          <cell r="X13413" t="str">
            <v>Commissions - gross</v>
          </cell>
          <cell r="Y13413" t="str">
            <v>UNITED KINGDOM</v>
          </cell>
        </row>
        <row r="13414">
          <cell r="L13414" t="str">
            <v>Non-proportional</v>
          </cell>
          <cell r="S13414">
            <v>-0.11</v>
          </cell>
          <cell r="X13414" t="str">
            <v>Commissions - gross</v>
          </cell>
          <cell r="Y13414" t="str">
            <v>GUATEMALA</v>
          </cell>
        </row>
        <row r="13415">
          <cell r="L13415" t="str">
            <v>Non-proportional</v>
          </cell>
          <cell r="S13415">
            <v>371.04</v>
          </cell>
          <cell r="X13415" t="str">
            <v>Commissions - gross</v>
          </cell>
          <cell r="Y13415" t="str">
            <v>ISRAEL</v>
          </cell>
        </row>
        <row r="13416">
          <cell r="L13416" t="str">
            <v>Non-proportional</v>
          </cell>
          <cell r="S13416">
            <v>89.33</v>
          </cell>
          <cell r="X13416" t="str">
            <v>Commissions - gross</v>
          </cell>
          <cell r="Y13416" t="str">
            <v>ECUADOR</v>
          </cell>
        </row>
        <row r="13417">
          <cell r="L13417" t="str">
            <v>Non-proportional</v>
          </cell>
          <cell r="S13417">
            <v>219.78</v>
          </cell>
          <cell r="X13417" t="str">
            <v>Commissions - gross</v>
          </cell>
          <cell r="Y13417" t="str">
            <v>ECUADOR</v>
          </cell>
        </row>
        <row r="13418">
          <cell r="L13418" t="str">
            <v>Non-proportional</v>
          </cell>
          <cell r="S13418">
            <v>25.53</v>
          </cell>
          <cell r="X13418" t="str">
            <v>Commissions - gross</v>
          </cell>
          <cell r="Y13418" t="str">
            <v>ECUADOR</v>
          </cell>
        </row>
        <row r="13419">
          <cell r="L13419" t="str">
            <v>Non-proportional</v>
          </cell>
          <cell r="S13419">
            <v>117.23</v>
          </cell>
          <cell r="X13419" t="str">
            <v>Commissions - gross</v>
          </cell>
          <cell r="Y13419" t="str">
            <v>FRANCE</v>
          </cell>
        </row>
        <row r="13420">
          <cell r="L13420" t="str">
            <v>Non-proportional</v>
          </cell>
          <cell r="S13420">
            <v>85.6</v>
          </cell>
          <cell r="X13420" t="str">
            <v>Commissions - gross</v>
          </cell>
          <cell r="Y13420" t="str">
            <v>FRANCE</v>
          </cell>
        </row>
        <row r="13421">
          <cell r="L13421" t="str">
            <v>Non-proportional</v>
          </cell>
          <cell r="S13421">
            <v>731.91</v>
          </cell>
          <cell r="X13421" t="str">
            <v>Commissions - gross</v>
          </cell>
          <cell r="Y13421" t="str">
            <v>JAPAN</v>
          </cell>
        </row>
        <row r="13422">
          <cell r="L13422" t="str">
            <v>Proportional</v>
          </cell>
          <cell r="S13422">
            <v>6703.31</v>
          </cell>
          <cell r="X13422" t="str">
            <v>Commissions - gross</v>
          </cell>
          <cell r="Y13422" t="str">
            <v>UNITED STATES</v>
          </cell>
        </row>
        <row r="13423">
          <cell r="L13423" t="str">
            <v>Non-proportional</v>
          </cell>
          <cell r="S13423">
            <v>338.18</v>
          </cell>
          <cell r="X13423" t="str">
            <v>Commissions - gross</v>
          </cell>
          <cell r="Y13423" t="str">
            <v>ITALY</v>
          </cell>
        </row>
        <row r="13424">
          <cell r="L13424" t="str">
            <v>Non-proportional</v>
          </cell>
          <cell r="S13424">
            <v>69.86</v>
          </cell>
          <cell r="X13424" t="str">
            <v>Commissions - gross</v>
          </cell>
          <cell r="Y13424" t="str">
            <v>ITALY</v>
          </cell>
        </row>
        <row r="13425">
          <cell r="L13425" t="str">
            <v>Non-proportional</v>
          </cell>
          <cell r="S13425">
            <v>802.05</v>
          </cell>
          <cell r="X13425" t="str">
            <v>Commissions - gross</v>
          </cell>
          <cell r="Y13425" t="str">
            <v>TURKEY</v>
          </cell>
        </row>
        <row r="13426">
          <cell r="L13426" t="str">
            <v>Non-proportional</v>
          </cell>
          <cell r="S13426">
            <v>77.150000000000006</v>
          </cell>
          <cell r="X13426" t="str">
            <v>Commissions - gross</v>
          </cell>
          <cell r="Y13426" t="str">
            <v>GERMANY</v>
          </cell>
        </row>
        <row r="13427">
          <cell r="L13427" t="str">
            <v>Proportional</v>
          </cell>
          <cell r="S13427">
            <v>-10.31</v>
          </cell>
          <cell r="X13427" t="str">
            <v>Commissions - gross</v>
          </cell>
          <cell r="Y13427" t="str">
            <v>INDIA</v>
          </cell>
        </row>
        <row r="13428">
          <cell r="L13428" t="str">
            <v>Proportional</v>
          </cell>
          <cell r="S13428">
            <v>1469.55</v>
          </cell>
          <cell r="X13428" t="str">
            <v>Commissions - gross</v>
          </cell>
          <cell r="Y13428" t="str">
            <v>UNITED ARAB EMIRATES</v>
          </cell>
        </row>
        <row r="13429">
          <cell r="L13429" t="str">
            <v>Non-proportional</v>
          </cell>
          <cell r="S13429">
            <v>690.77</v>
          </cell>
          <cell r="X13429" t="str">
            <v>Commissions - gross</v>
          </cell>
          <cell r="Y13429" t="str">
            <v>GREECE</v>
          </cell>
        </row>
        <row r="13430">
          <cell r="L13430" t="str">
            <v>Non-proportional</v>
          </cell>
          <cell r="S13430">
            <v>934.81</v>
          </cell>
          <cell r="X13430" t="str">
            <v>Commissions - gross</v>
          </cell>
          <cell r="Y13430" t="str">
            <v>NETHERLANDS</v>
          </cell>
        </row>
        <row r="13431">
          <cell r="L13431" t="str">
            <v>Non-proportional</v>
          </cell>
          <cell r="S13431">
            <v>0</v>
          </cell>
          <cell r="X13431" t="str">
            <v>Commissions - gross</v>
          </cell>
          <cell r="Y13431" t="str">
            <v>BRAZIL</v>
          </cell>
        </row>
        <row r="13432">
          <cell r="L13432" t="str">
            <v>Non-proportional</v>
          </cell>
          <cell r="S13432">
            <v>533.26</v>
          </cell>
          <cell r="X13432" t="str">
            <v>Commissions - gross</v>
          </cell>
          <cell r="Y13432" t="str">
            <v>AUSTRALIA</v>
          </cell>
        </row>
        <row r="13433">
          <cell r="L13433" t="str">
            <v>Proportional</v>
          </cell>
          <cell r="S13433">
            <v>31.98</v>
          </cell>
          <cell r="X13433" t="str">
            <v>Commissions - gross</v>
          </cell>
          <cell r="Y13433" t="str">
            <v>COLOMBIA</v>
          </cell>
        </row>
        <row r="13434">
          <cell r="L13434" t="str">
            <v>Non-proportional</v>
          </cell>
          <cell r="S13434">
            <v>53.62</v>
          </cell>
          <cell r="X13434" t="str">
            <v>Commissions - gross</v>
          </cell>
          <cell r="Y13434" t="str">
            <v>BRAZIL</v>
          </cell>
        </row>
        <row r="13435">
          <cell r="L13435" t="str">
            <v>Non-proportional</v>
          </cell>
          <cell r="S13435">
            <v>2733.07</v>
          </cell>
          <cell r="X13435" t="str">
            <v>Commissions - gross</v>
          </cell>
          <cell r="Y13435" t="str">
            <v>AUSTRALIA</v>
          </cell>
        </row>
        <row r="13436">
          <cell r="L13436" t="str">
            <v>Non-proportional</v>
          </cell>
          <cell r="S13436">
            <v>2311.2399999999998</v>
          </cell>
          <cell r="X13436" t="str">
            <v>Commissions - gross</v>
          </cell>
          <cell r="Y13436" t="str">
            <v>UNITED KINGDOM</v>
          </cell>
        </row>
        <row r="13437">
          <cell r="L13437" t="str">
            <v>Non-proportional</v>
          </cell>
          <cell r="S13437">
            <v>77.290000000000006</v>
          </cell>
          <cell r="X13437" t="str">
            <v>Commissions - gross</v>
          </cell>
          <cell r="Y13437" t="str">
            <v>REPUBLIC OF IRELAND</v>
          </cell>
        </row>
        <row r="13438">
          <cell r="L13438" t="str">
            <v>Proportional</v>
          </cell>
          <cell r="S13438">
            <v>-126.99</v>
          </cell>
          <cell r="X13438" t="str">
            <v>Commissions - gross</v>
          </cell>
          <cell r="Y13438" t="str">
            <v>CHILE</v>
          </cell>
        </row>
        <row r="13439">
          <cell r="L13439" t="str">
            <v>Non-proportional</v>
          </cell>
          <cell r="S13439">
            <v>1509.38</v>
          </cell>
          <cell r="X13439" t="str">
            <v>Commissions - gross</v>
          </cell>
          <cell r="Y13439" t="str">
            <v>BELGIUM</v>
          </cell>
        </row>
        <row r="13440">
          <cell r="L13440" t="str">
            <v>Non-proportional</v>
          </cell>
          <cell r="S13440">
            <v>0</v>
          </cell>
          <cell r="X13440" t="str">
            <v>Commissions - gross</v>
          </cell>
          <cell r="Y13440" t="str">
            <v>DOMINICAN REPUBLIC</v>
          </cell>
        </row>
        <row r="13441">
          <cell r="L13441" t="str">
            <v>Non-proportional</v>
          </cell>
          <cell r="S13441">
            <v>-8.65</v>
          </cell>
          <cell r="X13441" t="str">
            <v>Commissions - gross</v>
          </cell>
          <cell r="Y13441" t="str">
            <v>JAPAN</v>
          </cell>
        </row>
        <row r="13442">
          <cell r="L13442" t="str">
            <v>Non-proportional</v>
          </cell>
          <cell r="S13442">
            <v>335.86</v>
          </cell>
          <cell r="X13442" t="str">
            <v>Commissions - gross</v>
          </cell>
          <cell r="Y13442" t="str">
            <v>GUATEMALA</v>
          </cell>
        </row>
        <row r="13443">
          <cell r="L13443" t="str">
            <v>Non-proportional</v>
          </cell>
          <cell r="S13443">
            <v>137.22999999999999</v>
          </cell>
          <cell r="X13443" t="str">
            <v>Commissions - gross</v>
          </cell>
          <cell r="Y13443" t="str">
            <v>ISRAEL</v>
          </cell>
        </row>
        <row r="13444">
          <cell r="L13444" t="str">
            <v>Non-proportional</v>
          </cell>
          <cell r="S13444">
            <v>529.86</v>
          </cell>
          <cell r="X13444" t="str">
            <v>Commissions - gross</v>
          </cell>
          <cell r="Y13444" t="str">
            <v>ISRAEL</v>
          </cell>
        </row>
        <row r="13445">
          <cell r="L13445" t="str">
            <v>Non-proportional</v>
          </cell>
          <cell r="S13445">
            <v>3.54</v>
          </cell>
          <cell r="X13445" t="str">
            <v>Commissions - gross</v>
          </cell>
          <cell r="Y13445" t="str">
            <v>ISRAEL</v>
          </cell>
        </row>
        <row r="13446">
          <cell r="L13446" t="str">
            <v>Non-proportional</v>
          </cell>
          <cell r="S13446">
            <v>262.87</v>
          </cell>
          <cell r="X13446" t="str">
            <v>Commissions - gross</v>
          </cell>
          <cell r="Y13446" t="str">
            <v>CHILE</v>
          </cell>
        </row>
        <row r="13447">
          <cell r="L13447" t="str">
            <v>Proportional</v>
          </cell>
          <cell r="S13447">
            <v>4750.3900000000003</v>
          </cell>
          <cell r="X13447" t="str">
            <v>Commissions - gross</v>
          </cell>
          <cell r="Y13447" t="str">
            <v>AUSTRALIA</v>
          </cell>
        </row>
        <row r="13448">
          <cell r="L13448" t="str">
            <v>Non-proportional</v>
          </cell>
          <cell r="S13448">
            <v>950.01</v>
          </cell>
          <cell r="X13448" t="str">
            <v>Commissions - gross</v>
          </cell>
          <cell r="Y13448" t="str">
            <v>TURKEY</v>
          </cell>
        </row>
        <row r="13449">
          <cell r="L13449" t="str">
            <v>Non-proportional</v>
          </cell>
          <cell r="S13449">
            <v>174.99</v>
          </cell>
          <cell r="X13449" t="str">
            <v>Commissions - gross</v>
          </cell>
          <cell r="Y13449" t="str">
            <v>EUROPE</v>
          </cell>
        </row>
        <row r="13450">
          <cell r="L13450" t="str">
            <v>Non-proportional</v>
          </cell>
          <cell r="S13450">
            <v>187.76</v>
          </cell>
          <cell r="X13450" t="str">
            <v>Commissions - gross</v>
          </cell>
          <cell r="Y13450" t="str">
            <v>CHILE</v>
          </cell>
        </row>
        <row r="13451">
          <cell r="L13451" t="str">
            <v>Non-proportional</v>
          </cell>
          <cell r="S13451">
            <v>141.59</v>
          </cell>
          <cell r="X13451" t="str">
            <v>Commissions - gross</v>
          </cell>
          <cell r="Y13451" t="str">
            <v>FRANCE</v>
          </cell>
        </row>
        <row r="13452">
          <cell r="L13452" t="str">
            <v>Non-proportional</v>
          </cell>
          <cell r="S13452">
            <v>156.24</v>
          </cell>
          <cell r="X13452" t="str">
            <v>Commissions - gross</v>
          </cell>
          <cell r="Y13452" t="str">
            <v>FRANCE</v>
          </cell>
        </row>
        <row r="13453">
          <cell r="L13453" t="str">
            <v>Non-proportional</v>
          </cell>
          <cell r="S13453">
            <v>591.84</v>
          </cell>
          <cell r="X13453" t="str">
            <v>Commissions - gross</v>
          </cell>
          <cell r="Y13453" t="str">
            <v>EUROPE</v>
          </cell>
        </row>
        <row r="13454">
          <cell r="L13454" t="str">
            <v>Non-proportional</v>
          </cell>
          <cell r="S13454">
            <v>-2.83</v>
          </cell>
          <cell r="X13454" t="str">
            <v>Commissions - gross</v>
          </cell>
          <cell r="Y13454" t="str">
            <v>JAPAN</v>
          </cell>
        </row>
        <row r="13455">
          <cell r="L13455" t="str">
            <v>Non-proportional</v>
          </cell>
          <cell r="S13455">
            <v>7400.49</v>
          </cell>
          <cell r="X13455" t="str">
            <v>Commissions - gross</v>
          </cell>
          <cell r="Y13455" t="str">
            <v>UNITED KINGDOM</v>
          </cell>
        </row>
        <row r="13456">
          <cell r="L13456" t="str">
            <v>Non-proportional</v>
          </cell>
          <cell r="S13456">
            <v>-16.850000000000001</v>
          </cell>
          <cell r="X13456" t="str">
            <v>Commissions - gross</v>
          </cell>
          <cell r="Y13456" t="str">
            <v>JAPAN</v>
          </cell>
        </row>
        <row r="13457">
          <cell r="L13457" t="str">
            <v>Non-proportional</v>
          </cell>
          <cell r="S13457">
            <v>15.94</v>
          </cell>
          <cell r="X13457" t="str">
            <v>Commissions - gross</v>
          </cell>
          <cell r="Y13457" t="str">
            <v>COLOMBIA</v>
          </cell>
        </row>
        <row r="13458">
          <cell r="L13458" t="str">
            <v>Non-proportional</v>
          </cell>
          <cell r="S13458">
            <v>259.8</v>
          </cell>
          <cell r="X13458" t="str">
            <v>Commissions - gross</v>
          </cell>
          <cell r="Y13458" t="str">
            <v>UNITED ARAB EMIRATES</v>
          </cell>
        </row>
        <row r="13459">
          <cell r="L13459" t="str">
            <v>Non-proportional</v>
          </cell>
          <cell r="S13459">
            <v>120.78</v>
          </cell>
          <cell r="X13459" t="str">
            <v>Commissions - gross</v>
          </cell>
          <cell r="Y13459" t="str">
            <v>COSTA RICA</v>
          </cell>
        </row>
        <row r="13460">
          <cell r="L13460" t="str">
            <v>Non-proportional</v>
          </cell>
          <cell r="S13460">
            <v>792.04</v>
          </cell>
          <cell r="X13460" t="str">
            <v>Commissions - gross</v>
          </cell>
          <cell r="Y13460" t="str">
            <v>PERU</v>
          </cell>
        </row>
        <row r="13461">
          <cell r="L13461" t="str">
            <v>Non-proportional</v>
          </cell>
          <cell r="S13461">
            <v>488.19</v>
          </cell>
          <cell r="X13461" t="str">
            <v>Commissions - gross</v>
          </cell>
          <cell r="Y13461" t="str">
            <v>CHILE</v>
          </cell>
        </row>
        <row r="13462">
          <cell r="L13462" t="str">
            <v>Non-proportional</v>
          </cell>
          <cell r="S13462">
            <v>337.97</v>
          </cell>
          <cell r="X13462" t="str">
            <v>Commissions - gross</v>
          </cell>
          <cell r="Y13462" t="str">
            <v>CHILE</v>
          </cell>
        </row>
        <row r="13463">
          <cell r="L13463" t="str">
            <v>Non-proportional</v>
          </cell>
          <cell r="S13463">
            <v>125.78</v>
          </cell>
          <cell r="X13463" t="str">
            <v>Commissions - gross</v>
          </cell>
          <cell r="Y13463" t="str">
            <v>ITALY</v>
          </cell>
        </row>
        <row r="13464">
          <cell r="L13464" t="str">
            <v>Non-proportional</v>
          </cell>
          <cell r="S13464">
            <v>223.99</v>
          </cell>
          <cell r="X13464" t="str">
            <v>Commissions - gross</v>
          </cell>
          <cell r="Y13464" t="str">
            <v>UNITED KINGDOM</v>
          </cell>
        </row>
        <row r="13465">
          <cell r="L13465" t="str">
            <v>Non-proportional</v>
          </cell>
          <cell r="S13465">
            <v>4.67</v>
          </cell>
          <cell r="X13465" t="str">
            <v>Commissions - gross</v>
          </cell>
          <cell r="Y13465" t="str">
            <v>ISRAEL</v>
          </cell>
        </row>
        <row r="13466">
          <cell r="L13466" t="str">
            <v>Non-proportional</v>
          </cell>
          <cell r="S13466">
            <v>506.81</v>
          </cell>
          <cell r="X13466" t="str">
            <v>Commissions - gross</v>
          </cell>
          <cell r="Y13466" t="str">
            <v>ISRAEL</v>
          </cell>
        </row>
        <row r="13467">
          <cell r="L13467" t="str">
            <v>Non-proportional</v>
          </cell>
          <cell r="S13467">
            <v>323.19</v>
          </cell>
          <cell r="X13467" t="str">
            <v>Commissions - gross</v>
          </cell>
          <cell r="Y13467" t="str">
            <v>ECUADOR</v>
          </cell>
        </row>
        <row r="13468">
          <cell r="L13468" t="str">
            <v>Non-proportional</v>
          </cell>
          <cell r="S13468">
            <v>-6.9</v>
          </cell>
          <cell r="X13468" t="str">
            <v>Commissions - gross</v>
          </cell>
          <cell r="Y13468" t="str">
            <v>NEW ZEALAND</v>
          </cell>
        </row>
        <row r="13469">
          <cell r="L13469" t="str">
            <v>Non-proportional</v>
          </cell>
          <cell r="S13469">
            <v>362.31</v>
          </cell>
          <cell r="X13469" t="str">
            <v>Commissions - gross</v>
          </cell>
          <cell r="Y13469" t="str">
            <v>NEW ZEALAND</v>
          </cell>
        </row>
        <row r="13470">
          <cell r="L13470" t="str">
            <v>Non-proportional</v>
          </cell>
          <cell r="S13470">
            <v>332.76</v>
          </cell>
          <cell r="X13470" t="str">
            <v>Commissions - gross</v>
          </cell>
          <cell r="Y13470" t="str">
            <v>ISRAEL</v>
          </cell>
        </row>
        <row r="13471">
          <cell r="L13471" t="str">
            <v>Non-proportional</v>
          </cell>
          <cell r="S13471">
            <v>753.19</v>
          </cell>
          <cell r="X13471" t="str">
            <v>Commissions - gross</v>
          </cell>
          <cell r="Y13471" t="str">
            <v>PUERTO RICO</v>
          </cell>
        </row>
        <row r="13472">
          <cell r="L13472" t="str">
            <v>Non-proportional</v>
          </cell>
          <cell r="S13472">
            <v>50.9</v>
          </cell>
          <cell r="X13472" t="str">
            <v>Commissions - gross</v>
          </cell>
          <cell r="Y13472" t="str">
            <v>JAPAN</v>
          </cell>
        </row>
        <row r="13473">
          <cell r="L13473" t="str">
            <v>Non-proportional</v>
          </cell>
          <cell r="S13473">
            <v>788.61</v>
          </cell>
          <cell r="X13473" t="str">
            <v>Commissions - gross</v>
          </cell>
          <cell r="Y13473" t="str">
            <v>CHILE</v>
          </cell>
        </row>
        <row r="13474">
          <cell r="L13474" t="str">
            <v>Proportional</v>
          </cell>
          <cell r="S13474">
            <v>317.33</v>
          </cell>
          <cell r="X13474" t="str">
            <v>Commissions - gross</v>
          </cell>
          <cell r="Y13474" t="str">
            <v>INDIA</v>
          </cell>
        </row>
        <row r="13475">
          <cell r="L13475" t="str">
            <v>Proportional</v>
          </cell>
          <cell r="S13475">
            <v>14681.99</v>
          </cell>
          <cell r="X13475" t="str">
            <v>Commissions - gross</v>
          </cell>
          <cell r="Y13475" t="str">
            <v>UNITED STATES</v>
          </cell>
        </row>
        <row r="13476">
          <cell r="L13476" t="str">
            <v>Proportional</v>
          </cell>
          <cell r="S13476">
            <v>0.68</v>
          </cell>
          <cell r="X13476" t="str">
            <v>Commissions - gross</v>
          </cell>
          <cell r="Y13476" t="str">
            <v>CHILE</v>
          </cell>
        </row>
        <row r="13477">
          <cell r="L13477" t="str">
            <v>Non-proportional</v>
          </cell>
          <cell r="S13477">
            <v>447.24</v>
          </cell>
          <cell r="X13477" t="str">
            <v>Commissions - gross</v>
          </cell>
          <cell r="Y13477" t="str">
            <v>UNITED KINGDOM</v>
          </cell>
        </row>
        <row r="13478">
          <cell r="L13478" t="str">
            <v>Non-proportional</v>
          </cell>
          <cell r="S13478">
            <v>-40.07</v>
          </cell>
          <cell r="X13478" t="str">
            <v>Commissions - gross</v>
          </cell>
          <cell r="Y13478" t="str">
            <v>NEW ZEALAND</v>
          </cell>
        </row>
        <row r="13479">
          <cell r="L13479" t="str">
            <v>Non-proportional</v>
          </cell>
          <cell r="S13479">
            <v>-0.01</v>
          </cell>
          <cell r="X13479" t="str">
            <v>Commissions - gross</v>
          </cell>
          <cell r="Y13479" t="str">
            <v>COLOMBIA</v>
          </cell>
        </row>
        <row r="13480">
          <cell r="L13480" t="str">
            <v>Non-proportional</v>
          </cell>
          <cell r="S13480">
            <v>2135.79</v>
          </cell>
          <cell r="X13480" t="str">
            <v>Commissions - gross</v>
          </cell>
          <cell r="Y13480" t="str">
            <v>UNITED KINGDOM</v>
          </cell>
        </row>
        <row r="13481">
          <cell r="L13481" t="str">
            <v>Non-proportional</v>
          </cell>
          <cell r="S13481">
            <v>-0.57999999999999996</v>
          </cell>
          <cell r="X13481" t="str">
            <v>Commissions - gross</v>
          </cell>
          <cell r="Y13481" t="str">
            <v>JAPAN</v>
          </cell>
        </row>
        <row r="13482">
          <cell r="L13482" t="str">
            <v>Non-proportional</v>
          </cell>
          <cell r="S13482">
            <v>325.79000000000002</v>
          </cell>
          <cell r="X13482" t="str">
            <v>Commissions - gross</v>
          </cell>
          <cell r="Y13482" t="str">
            <v>ISRAEL</v>
          </cell>
        </row>
        <row r="13483">
          <cell r="L13483" t="str">
            <v>Non-proportional</v>
          </cell>
          <cell r="S13483">
            <v>1097.48</v>
          </cell>
          <cell r="X13483" t="str">
            <v>Commissions - gross</v>
          </cell>
          <cell r="Y13483" t="str">
            <v>GERMANY</v>
          </cell>
        </row>
        <row r="13484">
          <cell r="L13484" t="str">
            <v>Non-proportional</v>
          </cell>
          <cell r="S13484">
            <v>1.64</v>
          </cell>
          <cell r="X13484" t="str">
            <v>Commissions - gross</v>
          </cell>
          <cell r="Y13484" t="str">
            <v>ISRAEL</v>
          </cell>
        </row>
        <row r="13485">
          <cell r="L13485" t="str">
            <v>Non-proportional</v>
          </cell>
          <cell r="S13485">
            <v>346.61</v>
          </cell>
          <cell r="X13485" t="str">
            <v>Commissions - gross</v>
          </cell>
          <cell r="Y13485" t="str">
            <v>AUSTRALIA</v>
          </cell>
        </row>
        <row r="13486">
          <cell r="L13486" t="str">
            <v>Non-proportional</v>
          </cell>
          <cell r="S13486">
            <v>16.7</v>
          </cell>
          <cell r="X13486" t="str">
            <v>Commissions - gross</v>
          </cell>
          <cell r="Y13486" t="str">
            <v>JAPAN</v>
          </cell>
        </row>
        <row r="13487">
          <cell r="L13487" t="str">
            <v>Non-proportional</v>
          </cell>
          <cell r="S13487">
            <v>274.75</v>
          </cell>
          <cell r="X13487" t="str">
            <v>Commissions - gross</v>
          </cell>
          <cell r="Y13487" t="str">
            <v>INDIA</v>
          </cell>
        </row>
        <row r="13488">
          <cell r="L13488" t="str">
            <v>Non-proportional</v>
          </cell>
          <cell r="S13488">
            <v>521.77</v>
          </cell>
          <cell r="X13488" t="str">
            <v>Commissions - gross</v>
          </cell>
          <cell r="Y13488" t="str">
            <v>NEW ZEALAND</v>
          </cell>
        </row>
        <row r="13489">
          <cell r="L13489" t="str">
            <v>Non-proportional</v>
          </cell>
          <cell r="S13489">
            <v>167.92</v>
          </cell>
          <cell r="X13489" t="str">
            <v>Commissions - gross</v>
          </cell>
          <cell r="Y13489" t="str">
            <v>CHINA</v>
          </cell>
        </row>
        <row r="13490">
          <cell r="L13490" t="str">
            <v>Non-proportional</v>
          </cell>
          <cell r="S13490">
            <v>442.55</v>
          </cell>
          <cell r="X13490" t="str">
            <v>Commissions - gross</v>
          </cell>
          <cell r="Y13490" t="str">
            <v>FRANCE</v>
          </cell>
        </row>
        <row r="13491">
          <cell r="L13491" t="str">
            <v>Proportional</v>
          </cell>
          <cell r="S13491">
            <v>941.51</v>
          </cell>
          <cell r="X13491" t="str">
            <v>Commissions - gross</v>
          </cell>
          <cell r="Y13491" t="str">
            <v>ITALY</v>
          </cell>
        </row>
        <row r="13492">
          <cell r="L13492" t="str">
            <v>Non-proportional</v>
          </cell>
          <cell r="S13492">
            <v>-3.19</v>
          </cell>
          <cell r="X13492" t="str">
            <v>Commissions - gross</v>
          </cell>
          <cell r="Y13492" t="str">
            <v>JAPAN</v>
          </cell>
        </row>
        <row r="13493">
          <cell r="L13493" t="str">
            <v>Non-proportional</v>
          </cell>
          <cell r="S13493">
            <v>-19.89</v>
          </cell>
          <cell r="X13493" t="str">
            <v>Commissions - gross</v>
          </cell>
          <cell r="Y13493" t="str">
            <v>INDIA</v>
          </cell>
        </row>
        <row r="13494">
          <cell r="L13494" t="str">
            <v>Non-proportional</v>
          </cell>
          <cell r="S13494">
            <v>322.19</v>
          </cell>
          <cell r="X13494" t="str">
            <v>Commissions - gross</v>
          </cell>
          <cell r="Y13494" t="str">
            <v>BRAZIL</v>
          </cell>
        </row>
        <row r="13495">
          <cell r="L13495" t="str">
            <v>Proportional</v>
          </cell>
          <cell r="S13495">
            <v>450.63</v>
          </cell>
          <cell r="X13495" t="str">
            <v>Commissions - gross</v>
          </cell>
          <cell r="Y13495" t="str">
            <v>CHILE</v>
          </cell>
        </row>
        <row r="13496">
          <cell r="L13496" t="str">
            <v>Non-proportional</v>
          </cell>
          <cell r="S13496">
            <v>120.22</v>
          </cell>
          <cell r="X13496" t="str">
            <v>Commissions - gross</v>
          </cell>
          <cell r="Y13496" t="str">
            <v>SOUTH AFRICA</v>
          </cell>
        </row>
        <row r="13497">
          <cell r="L13497" t="str">
            <v>Non-proportional</v>
          </cell>
          <cell r="S13497">
            <v>385.1</v>
          </cell>
          <cell r="X13497" t="str">
            <v>Commissions - gross</v>
          </cell>
          <cell r="Y13497" t="str">
            <v>SPAIN</v>
          </cell>
        </row>
        <row r="13498">
          <cell r="L13498" t="str">
            <v>Non-proportional</v>
          </cell>
          <cell r="S13498">
            <v>204.76</v>
          </cell>
          <cell r="X13498" t="str">
            <v>Commissions - gross</v>
          </cell>
          <cell r="Y13498" t="str">
            <v>DOMINICAN REPUBLIC</v>
          </cell>
        </row>
        <row r="13499">
          <cell r="L13499" t="str">
            <v>Non-proportional</v>
          </cell>
          <cell r="S13499">
            <v>1012.05</v>
          </cell>
          <cell r="X13499" t="str">
            <v>Commissions - gross</v>
          </cell>
          <cell r="Y13499" t="str">
            <v>ITALY</v>
          </cell>
        </row>
        <row r="13500">
          <cell r="L13500" t="str">
            <v>Non-proportional</v>
          </cell>
          <cell r="S13500">
            <v>2166.67</v>
          </cell>
          <cell r="X13500" t="str">
            <v>Commissions - gross</v>
          </cell>
          <cell r="Y13500" t="str">
            <v>FRANCE</v>
          </cell>
        </row>
        <row r="13501">
          <cell r="L13501" t="str">
            <v>Non-proportional</v>
          </cell>
          <cell r="S13501">
            <v>38.75</v>
          </cell>
          <cell r="X13501" t="str">
            <v>Commissions - gross</v>
          </cell>
          <cell r="Y13501" t="str">
            <v>ITALY</v>
          </cell>
        </row>
        <row r="13502">
          <cell r="L13502" t="str">
            <v>Non-proportional</v>
          </cell>
          <cell r="S13502">
            <v>-1.34</v>
          </cell>
          <cell r="X13502" t="str">
            <v>Commissions - gross</v>
          </cell>
          <cell r="Y13502" t="str">
            <v>JAPAN</v>
          </cell>
        </row>
        <row r="13503">
          <cell r="L13503" t="str">
            <v>Non-proportional</v>
          </cell>
          <cell r="S13503">
            <v>-3.24</v>
          </cell>
          <cell r="X13503" t="str">
            <v>Commissions - gross</v>
          </cell>
          <cell r="Y13503" t="str">
            <v>JAPAN</v>
          </cell>
        </row>
        <row r="13504">
          <cell r="L13504" t="str">
            <v>Non-proportional</v>
          </cell>
          <cell r="S13504">
            <v>377</v>
          </cell>
          <cell r="X13504" t="str">
            <v>Commissions - gross</v>
          </cell>
          <cell r="Y13504" t="str">
            <v>ECUADOR</v>
          </cell>
        </row>
        <row r="13505">
          <cell r="L13505" t="str">
            <v>Non-proportional</v>
          </cell>
          <cell r="S13505">
            <v>85.11</v>
          </cell>
          <cell r="X13505" t="str">
            <v>Commissions - gross</v>
          </cell>
          <cell r="Y13505" t="str">
            <v>COSTA RICA</v>
          </cell>
        </row>
        <row r="13506">
          <cell r="L13506" t="str">
            <v>Non-proportional</v>
          </cell>
          <cell r="S13506">
            <v>751.12</v>
          </cell>
          <cell r="X13506" t="str">
            <v>Commissions - gross</v>
          </cell>
          <cell r="Y13506" t="str">
            <v>UNITED KINGDOM</v>
          </cell>
        </row>
        <row r="13507">
          <cell r="L13507" t="str">
            <v>Non-proportional</v>
          </cell>
          <cell r="S13507">
            <v>265.8</v>
          </cell>
          <cell r="X13507" t="str">
            <v>Commissions - gross</v>
          </cell>
          <cell r="Y13507" t="str">
            <v>ECUADOR</v>
          </cell>
        </row>
        <row r="13508">
          <cell r="L13508" t="str">
            <v>Non-proportional</v>
          </cell>
          <cell r="S13508">
            <v>409.5</v>
          </cell>
          <cell r="X13508" t="str">
            <v>Commissions - gross</v>
          </cell>
          <cell r="Y13508" t="str">
            <v>FRANCE</v>
          </cell>
        </row>
        <row r="13509">
          <cell r="L13509" t="str">
            <v>Non-proportional</v>
          </cell>
          <cell r="S13509">
            <v>633.72</v>
          </cell>
          <cell r="X13509" t="str">
            <v>Commissions - gross</v>
          </cell>
          <cell r="Y13509" t="str">
            <v>NEW ZEALAND</v>
          </cell>
        </row>
        <row r="13510">
          <cell r="L13510" t="str">
            <v>Proportional</v>
          </cell>
          <cell r="S13510">
            <v>58.5</v>
          </cell>
          <cell r="X13510" t="str">
            <v>Commissions - gross</v>
          </cell>
          <cell r="Y13510" t="str">
            <v>UNITED STATES</v>
          </cell>
        </row>
        <row r="13511">
          <cell r="L13511" t="str">
            <v>Non-proportional</v>
          </cell>
          <cell r="S13511">
            <v>625</v>
          </cell>
          <cell r="X13511" t="str">
            <v>Commissions - gross</v>
          </cell>
          <cell r="Y13511" t="str">
            <v>SPAIN</v>
          </cell>
        </row>
        <row r="13512">
          <cell r="L13512" t="str">
            <v>Non-proportional</v>
          </cell>
          <cell r="S13512">
            <v>243.49</v>
          </cell>
          <cell r="X13512" t="str">
            <v>Commissions - gross</v>
          </cell>
          <cell r="Y13512" t="str">
            <v>UNITED KINGDOM</v>
          </cell>
        </row>
        <row r="13513">
          <cell r="L13513" t="str">
            <v>Non-proportional</v>
          </cell>
          <cell r="S13513">
            <v>0</v>
          </cell>
          <cell r="X13513" t="str">
            <v>Commissions - gross</v>
          </cell>
          <cell r="Y13513" t="str">
            <v>COLOMBIA</v>
          </cell>
        </row>
        <row r="13514">
          <cell r="L13514" t="str">
            <v>Non-proportional</v>
          </cell>
          <cell r="S13514">
            <v>25133.06</v>
          </cell>
          <cell r="X13514" t="str">
            <v>Commissions - gross</v>
          </cell>
          <cell r="Y13514" t="str">
            <v>UNITED KINGDOM</v>
          </cell>
        </row>
        <row r="13515">
          <cell r="L13515" t="str">
            <v>Non-proportional</v>
          </cell>
          <cell r="S13515">
            <v>146.81</v>
          </cell>
          <cell r="X13515" t="str">
            <v>Commissions - gross</v>
          </cell>
          <cell r="Y13515" t="str">
            <v>ISRAEL</v>
          </cell>
        </row>
        <row r="13516">
          <cell r="L13516" t="str">
            <v>Non-proportional</v>
          </cell>
          <cell r="S13516">
            <v>905.32</v>
          </cell>
          <cell r="X13516" t="str">
            <v>Commissions - gross</v>
          </cell>
          <cell r="Y13516" t="str">
            <v>ITALY</v>
          </cell>
        </row>
        <row r="13517">
          <cell r="L13517" t="str">
            <v>Non-proportional</v>
          </cell>
          <cell r="S13517">
            <v>-1.05</v>
          </cell>
          <cell r="X13517" t="str">
            <v>Commissions - gross</v>
          </cell>
          <cell r="Y13517" t="str">
            <v>CHINA</v>
          </cell>
        </row>
        <row r="13518">
          <cell r="L13518" t="str">
            <v>Non-proportional</v>
          </cell>
          <cell r="S13518">
            <v>862.42</v>
          </cell>
          <cell r="X13518" t="str">
            <v>Commissions - gross</v>
          </cell>
          <cell r="Y13518" t="str">
            <v>PUERTO RICO</v>
          </cell>
        </row>
        <row r="13519">
          <cell r="L13519" t="str">
            <v>Non-proportional</v>
          </cell>
          <cell r="S13519">
            <v>434.04</v>
          </cell>
          <cell r="X13519" t="str">
            <v>Commissions - gross</v>
          </cell>
          <cell r="Y13519" t="str">
            <v>COSTA RICA</v>
          </cell>
        </row>
        <row r="13520">
          <cell r="L13520" t="str">
            <v>Proportional</v>
          </cell>
          <cell r="S13520">
            <v>1805.4</v>
          </cell>
          <cell r="X13520" t="str">
            <v>Commissions - gross</v>
          </cell>
          <cell r="Y13520" t="str">
            <v>SWITZERLAND</v>
          </cell>
        </row>
        <row r="13521">
          <cell r="L13521" t="str">
            <v>Proportional</v>
          </cell>
          <cell r="S13521">
            <v>32.200000000000003</v>
          </cell>
          <cell r="X13521" t="str">
            <v>Commissions - gross</v>
          </cell>
          <cell r="Y13521" t="str">
            <v>CHILE</v>
          </cell>
        </row>
        <row r="13522">
          <cell r="L13522" t="str">
            <v>Non-proportional</v>
          </cell>
          <cell r="S13522">
            <v>190.43</v>
          </cell>
          <cell r="X13522" t="str">
            <v>Commissions - gross</v>
          </cell>
          <cell r="Y13522" t="str">
            <v>DOMINICAN REPUBLIC</v>
          </cell>
        </row>
        <row r="13523">
          <cell r="L13523" t="str">
            <v>Non-proportional</v>
          </cell>
          <cell r="S13523">
            <v>323.75</v>
          </cell>
          <cell r="X13523" t="str">
            <v>Commissions - gross</v>
          </cell>
          <cell r="Y13523" t="str">
            <v>INDIA</v>
          </cell>
        </row>
        <row r="13524">
          <cell r="L13524" t="str">
            <v>Non-proportional</v>
          </cell>
          <cell r="S13524">
            <v>897.41</v>
          </cell>
          <cell r="X13524" t="str">
            <v>Commissions - gross</v>
          </cell>
          <cell r="Y13524" t="str">
            <v>INDIA</v>
          </cell>
        </row>
        <row r="13525">
          <cell r="L13525" t="str">
            <v>Non-proportional</v>
          </cell>
          <cell r="S13525">
            <v>971.63</v>
          </cell>
          <cell r="X13525" t="str">
            <v>Commissions - gross</v>
          </cell>
          <cell r="Y13525" t="str">
            <v>ISRAEL</v>
          </cell>
        </row>
        <row r="13526">
          <cell r="L13526" t="str">
            <v>Proportional</v>
          </cell>
          <cell r="S13526">
            <v>880.31</v>
          </cell>
          <cell r="X13526" t="str">
            <v>Commissions - gross</v>
          </cell>
          <cell r="Y13526" t="str">
            <v>ITALY</v>
          </cell>
        </row>
        <row r="13527">
          <cell r="L13527" t="str">
            <v>Non-proportional</v>
          </cell>
          <cell r="S13527">
            <v>210.61</v>
          </cell>
          <cell r="X13527" t="str">
            <v>Commissions - gross</v>
          </cell>
          <cell r="Y13527" t="str">
            <v>CHINA</v>
          </cell>
        </row>
        <row r="13528">
          <cell r="L13528" t="str">
            <v>Non-proportional</v>
          </cell>
          <cell r="S13528">
            <v>-20.89</v>
          </cell>
          <cell r="X13528" t="str">
            <v>Commissions - gross</v>
          </cell>
          <cell r="Y13528" t="str">
            <v>NEW ZEALAND</v>
          </cell>
        </row>
        <row r="13529">
          <cell r="L13529" t="str">
            <v>Proportional</v>
          </cell>
          <cell r="S13529">
            <v>-78176.89</v>
          </cell>
          <cell r="X13529" t="str">
            <v>Commissions - gross</v>
          </cell>
          <cell r="Y13529" t="str">
            <v>ITALY</v>
          </cell>
        </row>
        <row r="13530">
          <cell r="L13530" t="str">
            <v>Non-proportional</v>
          </cell>
          <cell r="S13530">
            <v>465.02</v>
          </cell>
          <cell r="X13530" t="str">
            <v>Commissions - gross</v>
          </cell>
          <cell r="Y13530" t="str">
            <v>UNITED KINGDOM</v>
          </cell>
        </row>
        <row r="13531">
          <cell r="L13531" t="str">
            <v>Non-proportional</v>
          </cell>
          <cell r="S13531">
            <v>11.81</v>
          </cell>
          <cell r="X13531" t="str">
            <v>Commissions - gross</v>
          </cell>
          <cell r="Y13531" t="str">
            <v>THAILAND</v>
          </cell>
        </row>
        <row r="13532">
          <cell r="L13532" t="str">
            <v>Non-proportional</v>
          </cell>
          <cell r="S13532">
            <v>0</v>
          </cell>
          <cell r="X13532" t="str">
            <v>Commissions - gross</v>
          </cell>
          <cell r="Y13532" t="str">
            <v>DOMINICAN REPUBLIC</v>
          </cell>
        </row>
        <row r="13533">
          <cell r="L13533" t="str">
            <v>Non-proportional</v>
          </cell>
          <cell r="S13533">
            <v>299.41000000000003</v>
          </cell>
          <cell r="X13533" t="str">
            <v>Commissions - gross</v>
          </cell>
          <cell r="Y13533" t="str">
            <v>ISRAEL</v>
          </cell>
        </row>
        <row r="13534">
          <cell r="L13534" t="str">
            <v>Non-proportional</v>
          </cell>
          <cell r="S13534">
            <v>-6.65</v>
          </cell>
          <cell r="X13534" t="str">
            <v>Commissions - gross</v>
          </cell>
          <cell r="Y13534" t="str">
            <v>CANADA</v>
          </cell>
        </row>
        <row r="13535">
          <cell r="L13535" t="str">
            <v>Non-proportional</v>
          </cell>
          <cell r="S13535">
            <v>93.32</v>
          </cell>
          <cell r="X13535" t="str">
            <v>Commissions - gross</v>
          </cell>
          <cell r="Y13535" t="str">
            <v>JAPAN</v>
          </cell>
        </row>
        <row r="13536">
          <cell r="L13536" t="str">
            <v>Non-proportional</v>
          </cell>
          <cell r="S13536">
            <v>833.37</v>
          </cell>
          <cell r="X13536" t="str">
            <v>Commissions - gross</v>
          </cell>
          <cell r="Y13536" t="str">
            <v>AUSTRALIA</v>
          </cell>
        </row>
        <row r="13537">
          <cell r="L13537" t="str">
            <v>Non-proportional</v>
          </cell>
          <cell r="S13537">
            <v>146.88</v>
          </cell>
          <cell r="X13537" t="str">
            <v>Commissions - gross</v>
          </cell>
          <cell r="Y13537" t="str">
            <v>GREECE</v>
          </cell>
        </row>
        <row r="13538">
          <cell r="L13538" t="str">
            <v>Non-proportional</v>
          </cell>
          <cell r="S13538">
            <v>54.69</v>
          </cell>
          <cell r="X13538" t="str">
            <v>Commissions - gross</v>
          </cell>
          <cell r="Y13538" t="str">
            <v>ITALY</v>
          </cell>
        </row>
        <row r="13539">
          <cell r="L13539" t="str">
            <v>Non-proportional</v>
          </cell>
          <cell r="S13539">
            <v>175.37</v>
          </cell>
          <cell r="X13539" t="str">
            <v>Commissions - gross</v>
          </cell>
          <cell r="Y13539" t="str">
            <v>NEW ZEALAND</v>
          </cell>
        </row>
        <row r="13540">
          <cell r="L13540" t="str">
            <v>Non-proportional</v>
          </cell>
          <cell r="S13540">
            <v>261</v>
          </cell>
          <cell r="X13540" t="str">
            <v>Commissions - gross</v>
          </cell>
          <cell r="Y13540" t="str">
            <v>GREECE</v>
          </cell>
        </row>
        <row r="13541">
          <cell r="L13541" t="str">
            <v>Non-proportional</v>
          </cell>
          <cell r="S13541">
            <v>438.96</v>
          </cell>
          <cell r="X13541" t="str">
            <v>Commissions - gross</v>
          </cell>
          <cell r="Y13541" t="str">
            <v>ITALY</v>
          </cell>
        </row>
        <row r="13542">
          <cell r="L13542" t="str">
            <v>Non-proportional</v>
          </cell>
          <cell r="S13542">
            <v>937.48</v>
          </cell>
          <cell r="X13542" t="str">
            <v>Commissions - gross</v>
          </cell>
          <cell r="Y13542" t="str">
            <v>ISRAEL</v>
          </cell>
        </row>
        <row r="13543">
          <cell r="L13543" t="str">
            <v>Non-proportional</v>
          </cell>
          <cell r="S13543">
            <v>44.51</v>
          </cell>
          <cell r="X13543" t="str">
            <v>Commissions - gross</v>
          </cell>
          <cell r="Y13543" t="str">
            <v>UNITED KINGDOM</v>
          </cell>
        </row>
        <row r="13544">
          <cell r="L13544" t="str">
            <v>Non-proportional</v>
          </cell>
          <cell r="S13544">
            <v>-5.04</v>
          </cell>
          <cell r="X13544" t="str">
            <v>Commissions - gross</v>
          </cell>
          <cell r="Y13544" t="str">
            <v>JAPAN</v>
          </cell>
        </row>
        <row r="13545">
          <cell r="L13545" t="str">
            <v>Non-proportional</v>
          </cell>
          <cell r="S13545">
            <v>419.25</v>
          </cell>
          <cell r="X13545" t="str">
            <v>Commissions - gross</v>
          </cell>
          <cell r="Y13545" t="str">
            <v>THAILAND</v>
          </cell>
        </row>
        <row r="13546">
          <cell r="L13546" t="str">
            <v>Non-proportional</v>
          </cell>
          <cell r="S13546">
            <v>4914.76</v>
          </cell>
          <cell r="X13546" t="str">
            <v>Commissions - gross</v>
          </cell>
          <cell r="Y13546" t="str">
            <v>UNITED KINGDOM</v>
          </cell>
        </row>
        <row r="13547">
          <cell r="L13547" t="str">
            <v>Proportional</v>
          </cell>
          <cell r="S13547">
            <v>154.13999999999999</v>
          </cell>
          <cell r="X13547" t="str">
            <v>Commissions - gross</v>
          </cell>
          <cell r="Y13547" t="str">
            <v>REPUBLIC OF IRELAND</v>
          </cell>
        </row>
        <row r="13548">
          <cell r="L13548" t="str">
            <v>Non-proportional</v>
          </cell>
          <cell r="S13548">
            <v>-10.53</v>
          </cell>
          <cell r="X13548" t="str">
            <v>Commissions - gross</v>
          </cell>
          <cell r="Y13548" t="str">
            <v>JAPAN</v>
          </cell>
        </row>
        <row r="13549">
          <cell r="L13549" t="str">
            <v>Non-proportional</v>
          </cell>
          <cell r="S13549">
            <v>-2.88</v>
          </cell>
          <cell r="X13549" t="str">
            <v>Commissions - gross</v>
          </cell>
          <cell r="Y13549" t="str">
            <v>COLOMBIA</v>
          </cell>
        </row>
        <row r="13550">
          <cell r="L13550" t="str">
            <v>Non-proportional</v>
          </cell>
          <cell r="S13550">
            <v>-3.9</v>
          </cell>
          <cell r="X13550" t="str">
            <v>Commissions - gross</v>
          </cell>
          <cell r="Y13550" t="str">
            <v>NEW ZEALAND</v>
          </cell>
        </row>
        <row r="13551">
          <cell r="L13551" t="str">
            <v>Non-proportional</v>
          </cell>
          <cell r="S13551">
            <v>1448.39</v>
          </cell>
          <cell r="X13551" t="str">
            <v>Commissions - gross</v>
          </cell>
          <cell r="Y13551" t="str">
            <v>FRANCE</v>
          </cell>
        </row>
        <row r="13552">
          <cell r="L13552" t="str">
            <v>Non-proportional</v>
          </cell>
          <cell r="S13552">
            <v>128.53</v>
          </cell>
          <cell r="X13552" t="str">
            <v>Commissions - gross</v>
          </cell>
          <cell r="Y13552" t="str">
            <v>UNITED ARAB EMIRATES</v>
          </cell>
        </row>
        <row r="13553">
          <cell r="L13553" t="str">
            <v>Non-proportional</v>
          </cell>
          <cell r="S13553">
            <v>2884.86</v>
          </cell>
          <cell r="X13553" t="str">
            <v>Commissions - gross</v>
          </cell>
          <cell r="Y13553" t="str">
            <v>FRANCE</v>
          </cell>
        </row>
        <row r="13554">
          <cell r="L13554" t="str">
            <v>Non-proportional</v>
          </cell>
          <cell r="S13554">
            <v>0</v>
          </cell>
          <cell r="X13554" t="str">
            <v>Commissions - gross</v>
          </cell>
          <cell r="Y13554" t="str">
            <v>BRAZIL</v>
          </cell>
        </row>
        <row r="13555">
          <cell r="L13555" t="str">
            <v>Non-proportional</v>
          </cell>
          <cell r="S13555">
            <v>522.44000000000005</v>
          </cell>
          <cell r="X13555" t="str">
            <v>Commissions - gross</v>
          </cell>
          <cell r="Y13555" t="str">
            <v>COLOMBIA</v>
          </cell>
        </row>
        <row r="13556">
          <cell r="L13556" t="str">
            <v>Non-proportional</v>
          </cell>
          <cell r="S13556">
            <v>273.14</v>
          </cell>
          <cell r="X13556" t="str">
            <v>Commissions - gross</v>
          </cell>
          <cell r="Y13556" t="str">
            <v>JAPAN</v>
          </cell>
        </row>
        <row r="13557">
          <cell r="L13557" t="str">
            <v>Non-proportional</v>
          </cell>
          <cell r="S13557">
            <v>1396.69</v>
          </cell>
          <cell r="X13557" t="str">
            <v>Commissions - gross</v>
          </cell>
          <cell r="Y13557" t="str">
            <v>UNITED KINGDOM</v>
          </cell>
        </row>
        <row r="13558">
          <cell r="L13558" t="str">
            <v>Non-proportional</v>
          </cell>
          <cell r="S13558">
            <v>252.66</v>
          </cell>
          <cell r="X13558" t="str">
            <v>Commissions - gross</v>
          </cell>
          <cell r="Y13558" t="str">
            <v>MEXICO</v>
          </cell>
        </row>
        <row r="13559">
          <cell r="L13559" t="str">
            <v>Non-proportional</v>
          </cell>
          <cell r="S13559">
            <v>88.03</v>
          </cell>
          <cell r="X13559" t="str">
            <v>Commissions - gross</v>
          </cell>
          <cell r="Y13559" t="str">
            <v>PUERTO RICO</v>
          </cell>
        </row>
        <row r="13560">
          <cell r="L13560" t="str">
            <v>Non-proportional</v>
          </cell>
          <cell r="S13560">
            <v>120.22</v>
          </cell>
          <cell r="X13560" t="str">
            <v>Commissions - gross</v>
          </cell>
          <cell r="Y13560" t="str">
            <v>REPUBLIC OF IRELAND</v>
          </cell>
        </row>
        <row r="13561">
          <cell r="L13561" t="str">
            <v>Non-proportional</v>
          </cell>
          <cell r="S13561">
            <v>0</v>
          </cell>
          <cell r="X13561" t="str">
            <v>Commissions - gross</v>
          </cell>
          <cell r="Y13561" t="str">
            <v>DOMINICAN REPUBLIC</v>
          </cell>
        </row>
        <row r="13562">
          <cell r="L13562" t="str">
            <v>Non-proportional</v>
          </cell>
          <cell r="S13562">
            <v>0</v>
          </cell>
          <cell r="X13562" t="str">
            <v>Commissions - gross</v>
          </cell>
          <cell r="Y13562" t="str">
            <v>DOMINICAN REPUBLIC</v>
          </cell>
        </row>
        <row r="13563">
          <cell r="L13563" t="str">
            <v>Non-proportional</v>
          </cell>
          <cell r="S13563">
            <v>-14.02</v>
          </cell>
          <cell r="X13563" t="str">
            <v>Commissions - gross</v>
          </cell>
          <cell r="Y13563" t="str">
            <v>NEW ZEALAND</v>
          </cell>
        </row>
        <row r="13564">
          <cell r="L13564" t="str">
            <v>Non-proportional</v>
          </cell>
          <cell r="S13564">
            <v>500.11</v>
          </cell>
          <cell r="X13564" t="str">
            <v>Commissions - gross</v>
          </cell>
          <cell r="Y13564" t="str">
            <v>ITALY</v>
          </cell>
        </row>
        <row r="13565">
          <cell r="L13565" t="str">
            <v>Non-proportional</v>
          </cell>
          <cell r="S13565">
            <v>225.32</v>
          </cell>
          <cell r="X13565" t="str">
            <v>Commissions - gross</v>
          </cell>
          <cell r="Y13565" t="str">
            <v>CHILE</v>
          </cell>
        </row>
        <row r="13566">
          <cell r="L13566" t="str">
            <v>Non-proportional</v>
          </cell>
          <cell r="S13566">
            <v>493.5</v>
          </cell>
          <cell r="X13566" t="str">
            <v>Commissions - gross</v>
          </cell>
          <cell r="Y13566" t="str">
            <v>DOMINICAN REPUBLIC</v>
          </cell>
        </row>
        <row r="13567">
          <cell r="L13567" t="str">
            <v>Non-proportional</v>
          </cell>
          <cell r="S13567">
            <v>456.01</v>
          </cell>
          <cell r="X13567" t="str">
            <v>Commissions - gross</v>
          </cell>
          <cell r="Y13567" t="str">
            <v>NEW ZEALAND</v>
          </cell>
        </row>
        <row r="13568">
          <cell r="L13568" t="str">
            <v>Non-proportional</v>
          </cell>
          <cell r="S13568">
            <v>563.29</v>
          </cell>
          <cell r="X13568" t="str">
            <v>Commissions - gross</v>
          </cell>
          <cell r="Y13568" t="str">
            <v>CHILE</v>
          </cell>
        </row>
        <row r="13569">
          <cell r="L13569" t="str">
            <v>Non-proportional</v>
          </cell>
          <cell r="S13569">
            <v>618.09</v>
          </cell>
          <cell r="X13569" t="str">
            <v>Commissions - gross</v>
          </cell>
          <cell r="Y13569" t="str">
            <v>MEXICO</v>
          </cell>
        </row>
        <row r="13570">
          <cell r="L13570" t="str">
            <v>Non-proportional</v>
          </cell>
          <cell r="S13570">
            <v>1063.83</v>
          </cell>
          <cell r="X13570" t="str">
            <v>Commissions - gross</v>
          </cell>
          <cell r="Y13570" t="str">
            <v>CHILE</v>
          </cell>
        </row>
        <row r="13571">
          <cell r="L13571" t="str">
            <v>Non-proportional</v>
          </cell>
          <cell r="S13571">
            <v>3.68</v>
          </cell>
          <cell r="X13571" t="str">
            <v>Commissions - gross</v>
          </cell>
          <cell r="Y13571" t="str">
            <v>COSTA RICA</v>
          </cell>
        </row>
        <row r="13572">
          <cell r="L13572" t="str">
            <v>Non-proportional</v>
          </cell>
          <cell r="S13572">
            <v>-7.13</v>
          </cell>
          <cell r="X13572" t="str">
            <v>Commissions - gross</v>
          </cell>
          <cell r="Y13572" t="str">
            <v>DOMINICAN REPUBLIC</v>
          </cell>
        </row>
        <row r="13573">
          <cell r="L13573" t="str">
            <v>Non-proportional</v>
          </cell>
          <cell r="S13573">
            <v>218.76</v>
          </cell>
          <cell r="X13573" t="str">
            <v>Commissions - gross</v>
          </cell>
          <cell r="Y13573" t="str">
            <v>SPAIN</v>
          </cell>
        </row>
        <row r="13574">
          <cell r="L13574" t="str">
            <v>Non-proportional</v>
          </cell>
          <cell r="S13574">
            <v>1755.73</v>
          </cell>
          <cell r="X13574" t="str">
            <v>Commissions - gross</v>
          </cell>
          <cell r="Y13574" t="str">
            <v>UNITED KINGDOM</v>
          </cell>
        </row>
        <row r="13575">
          <cell r="L13575" t="str">
            <v>Non-proportional</v>
          </cell>
          <cell r="S13575">
            <v>1097.48</v>
          </cell>
          <cell r="X13575" t="str">
            <v>Commissions - gross</v>
          </cell>
          <cell r="Y13575" t="str">
            <v>GERMANY</v>
          </cell>
        </row>
        <row r="13576">
          <cell r="L13576" t="str">
            <v>Non-proportional</v>
          </cell>
          <cell r="S13576">
            <v>1203.31</v>
          </cell>
          <cell r="X13576" t="str">
            <v>Commissions - gross</v>
          </cell>
          <cell r="Y13576" t="str">
            <v>COSTA RICA</v>
          </cell>
        </row>
        <row r="13577">
          <cell r="L13577" t="str">
            <v>Non-proportional</v>
          </cell>
          <cell r="S13577">
            <v>1458.34</v>
          </cell>
          <cell r="X13577" t="str">
            <v>Commissions - gross</v>
          </cell>
          <cell r="Y13577" t="str">
            <v>EUROPE</v>
          </cell>
        </row>
        <row r="13578">
          <cell r="L13578" t="str">
            <v>Non-proportional</v>
          </cell>
          <cell r="S13578">
            <v>863.71</v>
          </cell>
          <cell r="X13578" t="str">
            <v>Commissions - gross</v>
          </cell>
          <cell r="Y13578" t="str">
            <v>CHILE</v>
          </cell>
        </row>
        <row r="13579">
          <cell r="L13579" t="str">
            <v>Non-proportional</v>
          </cell>
          <cell r="S13579">
            <v>71.739999999999995</v>
          </cell>
          <cell r="X13579" t="str">
            <v>Commissions - gross</v>
          </cell>
          <cell r="Y13579" t="str">
            <v>ECUADOR</v>
          </cell>
        </row>
        <row r="13580">
          <cell r="L13580" t="str">
            <v>Non-proportional</v>
          </cell>
          <cell r="S13580">
            <v>17.93</v>
          </cell>
          <cell r="X13580" t="str">
            <v>Commissions - gross</v>
          </cell>
          <cell r="Y13580" t="str">
            <v>JAPAN</v>
          </cell>
        </row>
        <row r="13581">
          <cell r="L13581" t="str">
            <v>Non-proportional</v>
          </cell>
          <cell r="S13581">
            <v>13.54</v>
          </cell>
          <cell r="X13581" t="str">
            <v>Commissions - gross</v>
          </cell>
          <cell r="Y13581" t="str">
            <v>FRANCE</v>
          </cell>
        </row>
        <row r="13582">
          <cell r="L13582" t="str">
            <v>Non-proportional</v>
          </cell>
          <cell r="S13582">
            <v>2245.5300000000002</v>
          </cell>
          <cell r="X13582" t="str">
            <v>Commissions - gross</v>
          </cell>
          <cell r="Y13582" t="str">
            <v>NEW ZEALAND</v>
          </cell>
        </row>
        <row r="13583">
          <cell r="L13583" t="str">
            <v>Non-proportional</v>
          </cell>
          <cell r="S13583">
            <v>3249.95</v>
          </cell>
          <cell r="X13583" t="str">
            <v>Commissions - gross</v>
          </cell>
          <cell r="Y13583" t="str">
            <v>NEW ZEALAND</v>
          </cell>
        </row>
        <row r="13584">
          <cell r="L13584" t="str">
            <v>Non-proportional</v>
          </cell>
          <cell r="S13584">
            <v>1000.99</v>
          </cell>
          <cell r="X13584" t="str">
            <v>Commissions - gross</v>
          </cell>
          <cell r="Y13584" t="str">
            <v>NEW ZEALAND</v>
          </cell>
        </row>
        <row r="13585">
          <cell r="L13585" t="str">
            <v>Proportional</v>
          </cell>
          <cell r="S13585">
            <v>2932.5</v>
          </cell>
          <cell r="X13585" t="str">
            <v>Commissions - gross</v>
          </cell>
          <cell r="Y13585" t="str">
            <v>SWITZERLAND</v>
          </cell>
        </row>
        <row r="13586">
          <cell r="L13586" t="str">
            <v>Non-proportional</v>
          </cell>
          <cell r="S13586">
            <v>204.17</v>
          </cell>
          <cell r="X13586" t="str">
            <v>Commissions - gross</v>
          </cell>
          <cell r="Y13586" t="str">
            <v>UNITED KINGDOM</v>
          </cell>
        </row>
        <row r="13587">
          <cell r="L13587" t="str">
            <v>Non-proportional</v>
          </cell>
          <cell r="S13587">
            <v>514.84</v>
          </cell>
          <cell r="X13587" t="str">
            <v>Commissions - gross</v>
          </cell>
          <cell r="Y13587" t="str">
            <v>UNITED KINGDOM</v>
          </cell>
        </row>
        <row r="13588">
          <cell r="L13588" t="str">
            <v>Non-proportional</v>
          </cell>
          <cell r="S13588">
            <v>15824.88</v>
          </cell>
          <cell r="X13588" t="str">
            <v>Commissions - gross</v>
          </cell>
          <cell r="Y13588" t="str">
            <v>UNITED KINGDOM</v>
          </cell>
        </row>
        <row r="13589">
          <cell r="L13589" t="str">
            <v>Non-proportional</v>
          </cell>
          <cell r="S13589">
            <v>542.53</v>
          </cell>
          <cell r="X13589" t="str">
            <v>Commissions - gross</v>
          </cell>
          <cell r="Y13589" t="str">
            <v>UNITED KINGDOM</v>
          </cell>
        </row>
        <row r="13590">
          <cell r="L13590" t="str">
            <v>Non-proportional</v>
          </cell>
          <cell r="S13590">
            <v>6.64</v>
          </cell>
          <cell r="X13590" t="str">
            <v>Commissions - gross</v>
          </cell>
          <cell r="Y13590" t="str">
            <v>ISRAEL</v>
          </cell>
        </row>
        <row r="13591">
          <cell r="L13591" t="str">
            <v>Non-proportional</v>
          </cell>
          <cell r="S13591">
            <v>-19.149999999999999</v>
          </cell>
          <cell r="X13591" t="str">
            <v>Commissions - gross</v>
          </cell>
          <cell r="Y13591" t="str">
            <v>INDIA</v>
          </cell>
        </row>
        <row r="13592">
          <cell r="L13592" t="str">
            <v>Non-proportional</v>
          </cell>
          <cell r="S13592">
            <v>527.67999999999995</v>
          </cell>
          <cell r="X13592" t="str">
            <v>Commissions - gross</v>
          </cell>
          <cell r="Y13592" t="str">
            <v>ECUADOR</v>
          </cell>
        </row>
        <row r="13593">
          <cell r="L13593" t="str">
            <v>Non-proportional</v>
          </cell>
          <cell r="S13593">
            <v>268.67</v>
          </cell>
          <cell r="X13593" t="str">
            <v>Commissions - gross</v>
          </cell>
          <cell r="Y13593" t="str">
            <v>MALTA</v>
          </cell>
        </row>
        <row r="13594">
          <cell r="L13594" t="str">
            <v>Non-proportional</v>
          </cell>
          <cell r="S13594">
            <v>171.74</v>
          </cell>
          <cell r="X13594" t="str">
            <v>Commissions - gross</v>
          </cell>
          <cell r="Y13594" t="str">
            <v>COSTA RICA</v>
          </cell>
        </row>
        <row r="13595">
          <cell r="L13595" t="str">
            <v>Non-proportional</v>
          </cell>
          <cell r="S13595">
            <v>116.95</v>
          </cell>
          <cell r="X13595" t="str">
            <v>Commissions - gross</v>
          </cell>
          <cell r="Y13595" t="str">
            <v>JAPAN</v>
          </cell>
        </row>
        <row r="13596">
          <cell r="L13596" t="str">
            <v>Non-proportional</v>
          </cell>
          <cell r="S13596">
            <v>198.93</v>
          </cell>
          <cell r="X13596" t="str">
            <v>Commissions - gross</v>
          </cell>
          <cell r="Y13596" t="str">
            <v>JAPAN</v>
          </cell>
        </row>
        <row r="13597">
          <cell r="L13597" t="str">
            <v>Non-proportional</v>
          </cell>
          <cell r="S13597">
            <v>5653.84</v>
          </cell>
          <cell r="X13597" t="str">
            <v>Commissions - gross</v>
          </cell>
          <cell r="Y13597" t="str">
            <v>UNITED KINGDOM</v>
          </cell>
        </row>
        <row r="13598">
          <cell r="L13598" t="str">
            <v>Proportional</v>
          </cell>
          <cell r="S13598">
            <v>185.34</v>
          </cell>
          <cell r="X13598" t="str">
            <v>Commissions - gross</v>
          </cell>
          <cell r="Y13598" t="str">
            <v>JAPAN</v>
          </cell>
        </row>
        <row r="13599">
          <cell r="L13599" t="str">
            <v>Non-proportional</v>
          </cell>
          <cell r="S13599">
            <v>214.84</v>
          </cell>
          <cell r="X13599" t="str">
            <v>Commissions - gross</v>
          </cell>
          <cell r="Y13599" t="str">
            <v>UNITED KINGDOM</v>
          </cell>
        </row>
        <row r="13600">
          <cell r="L13600" t="str">
            <v>Non-proportional</v>
          </cell>
          <cell r="S13600">
            <v>204.38</v>
          </cell>
          <cell r="X13600" t="str">
            <v>Commissions - gross</v>
          </cell>
          <cell r="Y13600" t="str">
            <v>GREECE</v>
          </cell>
        </row>
        <row r="13601">
          <cell r="L13601" t="str">
            <v>Non-proportional</v>
          </cell>
          <cell r="S13601">
            <v>-5.22</v>
          </cell>
          <cell r="X13601" t="str">
            <v>Commissions - gross</v>
          </cell>
          <cell r="Y13601" t="str">
            <v>JAPAN</v>
          </cell>
        </row>
        <row r="13602">
          <cell r="L13602" t="str">
            <v>Non-proportional</v>
          </cell>
          <cell r="S13602">
            <v>0</v>
          </cell>
          <cell r="X13602" t="str">
            <v>Commissions - gross</v>
          </cell>
          <cell r="Y13602" t="str">
            <v>COLOMBIA</v>
          </cell>
        </row>
        <row r="13603">
          <cell r="L13603" t="str">
            <v>Non-proportional</v>
          </cell>
          <cell r="S13603">
            <v>3.89</v>
          </cell>
          <cell r="X13603" t="str">
            <v>Commissions - gross</v>
          </cell>
          <cell r="Y13603" t="str">
            <v>ISRAEL</v>
          </cell>
        </row>
        <row r="13604">
          <cell r="L13604" t="str">
            <v>Non-proportional</v>
          </cell>
          <cell r="S13604">
            <v>4677.1899999999996</v>
          </cell>
          <cell r="X13604" t="str">
            <v>Commissions - gross</v>
          </cell>
          <cell r="Y13604" t="str">
            <v>UNITED KINGDOM</v>
          </cell>
        </row>
        <row r="13605">
          <cell r="L13605" t="str">
            <v>Non-proportional</v>
          </cell>
          <cell r="S13605">
            <v>133.03</v>
          </cell>
          <cell r="X13605" t="str">
            <v>Commissions - gross</v>
          </cell>
          <cell r="Y13605" t="str">
            <v>FRANCE</v>
          </cell>
        </row>
        <row r="13606">
          <cell r="L13606" t="str">
            <v>Non-proportional</v>
          </cell>
          <cell r="S13606">
            <v>433.62</v>
          </cell>
          <cell r="X13606" t="str">
            <v>Commissions - gross</v>
          </cell>
          <cell r="Y13606" t="str">
            <v>GUATEMALA</v>
          </cell>
        </row>
        <row r="13607">
          <cell r="L13607" t="str">
            <v>Non-proportional</v>
          </cell>
          <cell r="S13607">
            <v>562.45000000000005</v>
          </cell>
          <cell r="X13607" t="str">
            <v>Commissions - gross</v>
          </cell>
          <cell r="Y13607" t="str">
            <v>PUERTO RICO</v>
          </cell>
        </row>
        <row r="13608">
          <cell r="L13608" t="str">
            <v>Non-proportional</v>
          </cell>
          <cell r="S13608">
            <v>189.44</v>
          </cell>
          <cell r="X13608" t="str">
            <v>Commissions - gross</v>
          </cell>
          <cell r="Y13608" t="str">
            <v>DOMINICAN REPUBLIC</v>
          </cell>
        </row>
        <row r="13609">
          <cell r="L13609" t="str">
            <v>Proportional</v>
          </cell>
          <cell r="S13609">
            <v>75.11</v>
          </cell>
          <cell r="X13609" t="str">
            <v>Commissions - gross</v>
          </cell>
          <cell r="Y13609" t="str">
            <v>CHILE</v>
          </cell>
        </row>
        <row r="13610">
          <cell r="L13610" t="str">
            <v>Non-proportional</v>
          </cell>
          <cell r="S13610">
            <v>3000</v>
          </cell>
          <cell r="X13610" t="str">
            <v>Commissions - gross</v>
          </cell>
          <cell r="Y13610" t="str">
            <v>FRANCE</v>
          </cell>
        </row>
        <row r="13611">
          <cell r="L13611" t="str">
            <v>Non-proportional</v>
          </cell>
          <cell r="S13611">
            <v>746.54</v>
          </cell>
          <cell r="X13611" t="str">
            <v>Commissions - gross</v>
          </cell>
          <cell r="Y13611" t="str">
            <v>AUSTRALIA</v>
          </cell>
        </row>
        <row r="13612">
          <cell r="L13612" t="str">
            <v>Non-proportional</v>
          </cell>
          <cell r="S13612">
            <v>104.48</v>
          </cell>
          <cell r="X13612" t="str">
            <v>Commissions - gross</v>
          </cell>
          <cell r="Y13612" t="str">
            <v>CYPRUS</v>
          </cell>
        </row>
        <row r="13613">
          <cell r="L13613" t="str">
            <v>Non-proportional</v>
          </cell>
          <cell r="S13613">
            <v>417.83</v>
          </cell>
          <cell r="X13613" t="str">
            <v>Commissions - gross</v>
          </cell>
          <cell r="Y13613" t="str">
            <v>UNITED KINGDOM</v>
          </cell>
        </row>
        <row r="13614">
          <cell r="L13614" t="str">
            <v>Proportional</v>
          </cell>
          <cell r="S13614">
            <v>640.23</v>
          </cell>
          <cell r="X13614" t="str">
            <v>Commissions - gross</v>
          </cell>
          <cell r="Y13614" t="str">
            <v>ITALY</v>
          </cell>
        </row>
        <row r="13615">
          <cell r="L13615" t="str">
            <v>Non-proportional</v>
          </cell>
          <cell r="S13615">
            <v>408.84</v>
          </cell>
          <cell r="X13615" t="str">
            <v>Commissions - gross</v>
          </cell>
          <cell r="Y13615" t="str">
            <v>UNITED KINGDOM</v>
          </cell>
        </row>
        <row r="13616">
          <cell r="L13616" t="str">
            <v>Non-proportional</v>
          </cell>
          <cell r="S13616">
            <v>-8.9600000000000009</v>
          </cell>
          <cell r="X13616" t="str">
            <v>Commissions - gross</v>
          </cell>
          <cell r="Y13616" t="str">
            <v>INDIA</v>
          </cell>
        </row>
        <row r="13617">
          <cell r="L13617" t="str">
            <v>Non-proportional</v>
          </cell>
          <cell r="S13617">
            <v>155.87</v>
          </cell>
          <cell r="X13617" t="str">
            <v>Commissions - gross</v>
          </cell>
          <cell r="Y13617" t="str">
            <v>JAPAN</v>
          </cell>
        </row>
        <row r="13618">
          <cell r="L13618" t="str">
            <v>Non-proportional</v>
          </cell>
          <cell r="S13618">
            <v>4000</v>
          </cell>
          <cell r="X13618" t="str">
            <v>Commissions - gross</v>
          </cell>
          <cell r="Y13618" t="str">
            <v>ITALY</v>
          </cell>
        </row>
        <row r="13619">
          <cell r="L13619" t="str">
            <v>Non-proportional</v>
          </cell>
          <cell r="S13619">
            <v>15.06</v>
          </cell>
          <cell r="X13619" t="str">
            <v>Commissions - gross</v>
          </cell>
          <cell r="Y13619" t="str">
            <v>ISRAEL</v>
          </cell>
        </row>
        <row r="13620">
          <cell r="L13620" t="str">
            <v>Non-proportional</v>
          </cell>
          <cell r="S13620">
            <v>187.76</v>
          </cell>
          <cell r="X13620" t="str">
            <v>Commissions - gross</v>
          </cell>
          <cell r="Y13620" t="str">
            <v>CHILE</v>
          </cell>
        </row>
        <row r="13621">
          <cell r="L13621" t="str">
            <v>Non-proportional</v>
          </cell>
          <cell r="S13621">
            <v>574.65</v>
          </cell>
          <cell r="X13621" t="str">
            <v>Commissions - gross</v>
          </cell>
          <cell r="Y13621" t="str">
            <v>ISRAEL</v>
          </cell>
        </row>
        <row r="13622">
          <cell r="L13622" t="str">
            <v>Non-proportional</v>
          </cell>
          <cell r="S13622">
            <v>66.5</v>
          </cell>
          <cell r="X13622" t="str">
            <v>Commissions - gross</v>
          </cell>
          <cell r="Y13622" t="str">
            <v>FRANCE</v>
          </cell>
        </row>
        <row r="13623">
          <cell r="L13623" t="str">
            <v>Non-proportional</v>
          </cell>
          <cell r="S13623">
            <v>666.65</v>
          </cell>
          <cell r="X13623" t="str">
            <v>Commissions - gross</v>
          </cell>
          <cell r="Y13623" t="str">
            <v>ITALY</v>
          </cell>
        </row>
        <row r="13624">
          <cell r="L13624" t="str">
            <v>Non-proportional</v>
          </cell>
          <cell r="S13624">
            <v>1200.1300000000001</v>
          </cell>
          <cell r="X13624" t="str">
            <v>Commissions - gross</v>
          </cell>
          <cell r="Y13624" t="str">
            <v>ITALY</v>
          </cell>
        </row>
        <row r="13625">
          <cell r="L13625" t="str">
            <v>Proportional</v>
          </cell>
          <cell r="S13625">
            <v>271.98</v>
          </cell>
          <cell r="X13625" t="str">
            <v>Commissions - gross</v>
          </cell>
          <cell r="Y13625" t="str">
            <v>JAPAN</v>
          </cell>
        </row>
        <row r="13626">
          <cell r="L13626" t="str">
            <v>Proportional</v>
          </cell>
          <cell r="S13626">
            <v>0.76</v>
          </cell>
          <cell r="X13626" t="str">
            <v>Commissions - gross</v>
          </cell>
          <cell r="Y13626" t="str">
            <v>UNITED STATES</v>
          </cell>
        </row>
        <row r="13627">
          <cell r="L13627" t="str">
            <v>Non-proportional</v>
          </cell>
          <cell r="S13627">
            <v>179.02</v>
          </cell>
          <cell r="X13627" t="str">
            <v>Commissions - gross</v>
          </cell>
          <cell r="Y13627" t="str">
            <v>PERU</v>
          </cell>
        </row>
        <row r="13628">
          <cell r="L13628" t="str">
            <v>Non-proportional</v>
          </cell>
          <cell r="S13628">
            <v>0.47</v>
          </cell>
          <cell r="X13628" t="str">
            <v>Commissions - gross</v>
          </cell>
          <cell r="Y13628" t="str">
            <v>COSTA RICA</v>
          </cell>
        </row>
        <row r="13629">
          <cell r="L13629" t="str">
            <v>Non-proportional</v>
          </cell>
          <cell r="S13629">
            <v>317.61</v>
          </cell>
          <cell r="X13629" t="str">
            <v>Commissions - gross</v>
          </cell>
          <cell r="Y13629" t="str">
            <v>UNITED KINGDOM</v>
          </cell>
        </row>
        <row r="13630">
          <cell r="L13630" t="str">
            <v>Non-proportional</v>
          </cell>
          <cell r="S13630">
            <v>-3.93</v>
          </cell>
          <cell r="X13630" t="str">
            <v>Commissions - gross</v>
          </cell>
          <cell r="Y13630" t="str">
            <v>JAPAN</v>
          </cell>
        </row>
        <row r="13631">
          <cell r="L13631" t="str">
            <v>Non-proportional</v>
          </cell>
          <cell r="S13631">
            <v>448.25</v>
          </cell>
          <cell r="X13631" t="str">
            <v>Commissions - gross</v>
          </cell>
          <cell r="Y13631" t="str">
            <v>UNITED KINGDOM</v>
          </cell>
        </row>
        <row r="13632">
          <cell r="L13632" t="str">
            <v>Non-proportional</v>
          </cell>
          <cell r="S13632">
            <v>1686.53</v>
          </cell>
          <cell r="X13632" t="str">
            <v>Commissions - gross</v>
          </cell>
          <cell r="Y13632" t="str">
            <v>UNITED KINGDOM</v>
          </cell>
        </row>
        <row r="13633">
          <cell r="L13633" t="str">
            <v>Proportional</v>
          </cell>
          <cell r="S13633">
            <v>0.77</v>
          </cell>
          <cell r="X13633" t="str">
            <v>Commissions - gross</v>
          </cell>
          <cell r="Y13633" t="str">
            <v>UNITED STATES</v>
          </cell>
        </row>
        <row r="13634">
          <cell r="L13634" t="str">
            <v>Non-proportional</v>
          </cell>
          <cell r="S13634">
            <v>-0.77</v>
          </cell>
          <cell r="X13634" t="str">
            <v>Commissions - gross</v>
          </cell>
          <cell r="Y13634" t="str">
            <v>DOMINICAN REPUBLIC</v>
          </cell>
        </row>
        <row r="13635">
          <cell r="L13635" t="str">
            <v>Non-proportional</v>
          </cell>
          <cell r="S13635">
            <v>0</v>
          </cell>
          <cell r="X13635" t="str">
            <v>Commissions - gross</v>
          </cell>
          <cell r="Y13635" t="str">
            <v>BELIZE</v>
          </cell>
        </row>
        <row r="13636">
          <cell r="L13636" t="str">
            <v>Non-proportional</v>
          </cell>
          <cell r="S13636">
            <v>2249.0700000000002</v>
          </cell>
          <cell r="X13636" t="str">
            <v>Commissions - gross</v>
          </cell>
          <cell r="Y13636" t="str">
            <v>TURKEY</v>
          </cell>
        </row>
        <row r="13637">
          <cell r="L13637" t="str">
            <v>Non-proportional</v>
          </cell>
          <cell r="S13637">
            <v>734.24</v>
          </cell>
          <cell r="X13637" t="str">
            <v>Commissions - gross</v>
          </cell>
          <cell r="Y13637" t="str">
            <v>FRANCE</v>
          </cell>
        </row>
        <row r="13638">
          <cell r="L13638" t="str">
            <v>Non-proportional</v>
          </cell>
          <cell r="S13638">
            <v>148.08000000000001</v>
          </cell>
          <cell r="X13638" t="str">
            <v>Commissions - gross</v>
          </cell>
          <cell r="Y13638" t="str">
            <v>FRANCE</v>
          </cell>
        </row>
        <row r="13639">
          <cell r="L13639" t="str">
            <v>Non-proportional</v>
          </cell>
          <cell r="S13639">
            <v>293.27999999999997</v>
          </cell>
          <cell r="X13639" t="str">
            <v>Commissions - gross</v>
          </cell>
          <cell r="Y13639" t="str">
            <v>AUSTRALIA</v>
          </cell>
        </row>
        <row r="13640">
          <cell r="L13640" t="str">
            <v>Non-proportional</v>
          </cell>
          <cell r="S13640">
            <v>83.2</v>
          </cell>
          <cell r="X13640" t="str">
            <v>Commissions - gross</v>
          </cell>
          <cell r="Y13640" t="str">
            <v>FRANCE</v>
          </cell>
        </row>
        <row r="13641">
          <cell r="L13641" t="str">
            <v>Non-proportional</v>
          </cell>
          <cell r="S13641">
            <v>225.62</v>
          </cell>
          <cell r="X13641" t="str">
            <v>Commissions - gross</v>
          </cell>
          <cell r="Y13641" t="str">
            <v>UNITED KINGDOM</v>
          </cell>
        </row>
        <row r="13642">
          <cell r="L13642" t="str">
            <v>Non-proportional</v>
          </cell>
          <cell r="S13642">
            <v>288.89</v>
          </cell>
          <cell r="X13642" t="str">
            <v>Commissions - gross</v>
          </cell>
          <cell r="Y13642" t="str">
            <v>DOMINICAN REPUBLIC</v>
          </cell>
        </row>
        <row r="13643">
          <cell r="L13643" t="str">
            <v>Non-proportional</v>
          </cell>
          <cell r="S13643">
            <v>1136.03</v>
          </cell>
          <cell r="X13643" t="str">
            <v>Commissions - gross</v>
          </cell>
          <cell r="Y13643" t="str">
            <v>AUSTRALIA</v>
          </cell>
        </row>
        <row r="13644">
          <cell r="L13644" t="str">
            <v>Non-proportional</v>
          </cell>
          <cell r="S13644">
            <v>1923.15</v>
          </cell>
          <cell r="X13644" t="str">
            <v>Commissions - gross</v>
          </cell>
          <cell r="Y13644" t="str">
            <v>FRANCE</v>
          </cell>
        </row>
        <row r="13645">
          <cell r="L13645" t="str">
            <v>Non-proportional</v>
          </cell>
          <cell r="S13645">
            <v>509.06</v>
          </cell>
          <cell r="X13645" t="str">
            <v>Commissions - gross</v>
          </cell>
          <cell r="Y13645" t="str">
            <v>BELIZE</v>
          </cell>
        </row>
        <row r="13646">
          <cell r="L13646" t="str">
            <v>Non-proportional</v>
          </cell>
          <cell r="S13646">
            <v>3160.4</v>
          </cell>
          <cell r="X13646" t="str">
            <v>Commissions - gross</v>
          </cell>
          <cell r="Y13646" t="str">
            <v>HONG KONG</v>
          </cell>
        </row>
        <row r="13647">
          <cell r="L13647" t="str">
            <v>Non-proportional</v>
          </cell>
          <cell r="S13647">
            <v>4607.59</v>
          </cell>
          <cell r="X13647" t="str">
            <v>Commissions - gross</v>
          </cell>
          <cell r="Y13647" t="str">
            <v>UNITED KINGDOM</v>
          </cell>
        </row>
        <row r="13648">
          <cell r="L13648" t="str">
            <v>Non-proportional</v>
          </cell>
          <cell r="S13648">
            <v>1000</v>
          </cell>
          <cell r="X13648" t="str">
            <v>Commissions - gross</v>
          </cell>
          <cell r="Y13648" t="str">
            <v>ITALY</v>
          </cell>
        </row>
        <row r="13649">
          <cell r="L13649" t="str">
            <v>Non-proportional</v>
          </cell>
          <cell r="S13649">
            <v>69.459999999999994</v>
          </cell>
          <cell r="X13649" t="str">
            <v>Commissions - gross</v>
          </cell>
          <cell r="Y13649" t="str">
            <v>ECUADOR</v>
          </cell>
        </row>
        <row r="13650">
          <cell r="L13650" t="str">
            <v>Non-proportional</v>
          </cell>
          <cell r="S13650">
            <v>1074.8699999999999</v>
          </cell>
          <cell r="X13650" t="str">
            <v>Commissions - gross</v>
          </cell>
          <cell r="Y13650" t="str">
            <v>ITALY</v>
          </cell>
        </row>
        <row r="13651">
          <cell r="L13651" t="str">
            <v>Non-proportional</v>
          </cell>
          <cell r="S13651">
            <v>194.57</v>
          </cell>
          <cell r="X13651" t="str">
            <v>Commissions - gross</v>
          </cell>
          <cell r="Y13651" t="str">
            <v>GUATEMALA</v>
          </cell>
        </row>
        <row r="13652">
          <cell r="L13652" t="str">
            <v>Non-proportional</v>
          </cell>
          <cell r="S13652">
            <v>37.549999999999997</v>
          </cell>
          <cell r="X13652" t="str">
            <v>Commissions - gross</v>
          </cell>
          <cell r="Y13652" t="str">
            <v>CHILE</v>
          </cell>
        </row>
        <row r="13653">
          <cell r="L13653" t="str">
            <v>Non-proportional</v>
          </cell>
          <cell r="S13653">
            <v>324.18</v>
          </cell>
          <cell r="X13653" t="str">
            <v>Commissions - gross</v>
          </cell>
          <cell r="Y13653" t="str">
            <v>JAPAN</v>
          </cell>
        </row>
        <row r="13654">
          <cell r="L13654" t="str">
            <v>Non-proportional</v>
          </cell>
          <cell r="S13654">
            <v>406.14</v>
          </cell>
          <cell r="X13654" t="str">
            <v>Commissions - gross</v>
          </cell>
          <cell r="Y13654" t="str">
            <v>FRANCE</v>
          </cell>
        </row>
        <row r="13655">
          <cell r="L13655" t="str">
            <v>Non-proportional</v>
          </cell>
          <cell r="S13655">
            <v>956.63</v>
          </cell>
          <cell r="X13655" t="str">
            <v>Commissions - gross</v>
          </cell>
          <cell r="Y13655" t="str">
            <v>PERU</v>
          </cell>
        </row>
        <row r="13656">
          <cell r="L13656" t="str">
            <v>Non-proportional</v>
          </cell>
          <cell r="S13656">
            <v>998.59</v>
          </cell>
          <cell r="X13656" t="str">
            <v>Commissions - gross</v>
          </cell>
          <cell r="Y13656" t="str">
            <v>FRANCE</v>
          </cell>
        </row>
        <row r="13657">
          <cell r="L13657" t="str">
            <v>Non-proportional</v>
          </cell>
          <cell r="S13657">
            <v>145.83000000000001</v>
          </cell>
          <cell r="X13657" t="str">
            <v>Commissions - gross</v>
          </cell>
          <cell r="Y13657" t="str">
            <v>ITALY</v>
          </cell>
        </row>
        <row r="13658">
          <cell r="L13658" t="str">
            <v>Non-proportional</v>
          </cell>
          <cell r="S13658">
            <v>375.53</v>
          </cell>
          <cell r="X13658" t="str">
            <v>Commissions - gross</v>
          </cell>
          <cell r="Y13658" t="str">
            <v>CHILE</v>
          </cell>
        </row>
        <row r="13659">
          <cell r="L13659" t="str">
            <v>Proportional</v>
          </cell>
          <cell r="S13659">
            <v>47.98</v>
          </cell>
          <cell r="X13659" t="str">
            <v>Commissions - gross</v>
          </cell>
          <cell r="Y13659" t="str">
            <v>COLOMBIA</v>
          </cell>
        </row>
        <row r="13660">
          <cell r="L13660" t="str">
            <v>Non-proportional</v>
          </cell>
          <cell r="S13660">
            <v>319</v>
          </cell>
          <cell r="X13660" t="str">
            <v>Commissions - gross</v>
          </cell>
          <cell r="Y13660" t="str">
            <v>BRAZIL</v>
          </cell>
        </row>
        <row r="13661">
          <cell r="L13661" t="str">
            <v>Non-proportional</v>
          </cell>
          <cell r="S13661">
            <v>140.63</v>
          </cell>
          <cell r="X13661" t="str">
            <v>Commissions - gross</v>
          </cell>
          <cell r="Y13661" t="str">
            <v>GREECE</v>
          </cell>
        </row>
        <row r="13662">
          <cell r="L13662" t="str">
            <v>Non-proportional</v>
          </cell>
          <cell r="S13662">
            <v>1370.49</v>
          </cell>
          <cell r="X13662" t="str">
            <v>Commissions - gross</v>
          </cell>
          <cell r="Y13662" t="str">
            <v>UNITED KINGDOM</v>
          </cell>
        </row>
        <row r="13663">
          <cell r="L13663" t="str">
            <v>Non-proportional</v>
          </cell>
          <cell r="S13663">
            <v>194.65</v>
          </cell>
          <cell r="X13663" t="str">
            <v>Commissions - gross</v>
          </cell>
          <cell r="Y13663" t="str">
            <v>REPUBLIC OF IRELAND</v>
          </cell>
        </row>
        <row r="13664">
          <cell r="L13664" t="str">
            <v>Non-proportional</v>
          </cell>
          <cell r="S13664">
            <v>2625.08</v>
          </cell>
          <cell r="X13664" t="str">
            <v>Commissions - gross</v>
          </cell>
          <cell r="Y13664" t="str">
            <v>AUSTRALIA</v>
          </cell>
        </row>
        <row r="13665">
          <cell r="L13665" t="str">
            <v>Non-proportional</v>
          </cell>
          <cell r="S13665">
            <v>3.57</v>
          </cell>
          <cell r="X13665" t="str">
            <v>Commissions - gross</v>
          </cell>
          <cell r="Y13665" t="str">
            <v>ISRAEL</v>
          </cell>
        </row>
        <row r="13666">
          <cell r="L13666" t="str">
            <v>Non-proportional</v>
          </cell>
          <cell r="S13666">
            <v>720.54</v>
          </cell>
          <cell r="X13666" t="str">
            <v>Commissions - gross</v>
          </cell>
          <cell r="Y13666" t="str">
            <v>COSTA RICA</v>
          </cell>
        </row>
        <row r="13667">
          <cell r="L13667" t="str">
            <v>Non-proportional</v>
          </cell>
          <cell r="S13667">
            <v>521.12</v>
          </cell>
          <cell r="X13667" t="str">
            <v>Commissions - gross</v>
          </cell>
          <cell r="Y13667" t="str">
            <v>JAPAN</v>
          </cell>
        </row>
        <row r="13668">
          <cell r="L13668" t="str">
            <v>Proportional</v>
          </cell>
          <cell r="S13668">
            <v>623.66</v>
          </cell>
          <cell r="X13668" t="str">
            <v>Commissions - gross</v>
          </cell>
          <cell r="Y13668" t="str">
            <v>MEXICO</v>
          </cell>
        </row>
        <row r="13669">
          <cell r="L13669" t="str">
            <v>Non-proportional</v>
          </cell>
          <cell r="S13669">
            <v>2403.3200000000002</v>
          </cell>
          <cell r="X13669" t="str">
            <v>Commissions - gross</v>
          </cell>
          <cell r="Y13669" t="str">
            <v>NEW ZEALAND</v>
          </cell>
        </row>
        <row r="13670">
          <cell r="L13670" t="str">
            <v>Non-proportional</v>
          </cell>
          <cell r="S13670">
            <v>158.74</v>
          </cell>
          <cell r="X13670" t="str">
            <v>Commissions - gross</v>
          </cell>
          <cell r="Y13670" t="str">
            <v>ITALY</v>
          </cell>
        </row>
        <row r="13671">
          <cell r="L13671" t="str">
            <v>Non-proportional</v>
          </cell>
          <cell r="S13671">
            <v>-25.22</v>
          </cell>
          <cell r="X13671" t="str">
            <v>Commissions - gross</v>
          </cell>
          <cell r="Y13671" t="str">
            <v>NEW ZEALAND</v>
          </cell>
        </row>
        <row r="13672">
          <cell r="L13672" t="str">
            <v>Non-proportional</v>
          </cell>
          <cell r="S13672">
            <v>3424.54</v>
          </cell>
          <cell r="X13672" t="str">
            <v>Commissions - gross</v>
          </cell>
          <cell r="Y13672" t="str">
            <v>UNITED KINGDOM</v>
          </cell>
        </row>
        <row r="13673">
          <cell r="L13673" t="str">
            <v>Non-proportional</v>
          </cell>
          <cell r="S13673">
            <v>315</v>
          </cell>
          <cell r="X13673" t="str">
            <v>Commissions - gross</v>
          </cell>
          <cell r="Y13673" t="str">
            <v>ECUADOR</v>
          </cell>
        </row>
        <row r="13674">
          <cell r="L13674" t="str">
            <v>Non-proportional</v>
          </cell>
          <cell r="S13674">
            <v>167.47</v>
          </cell>
          <cell r="X13674" t="str">
            <v>Commissions - gross</v>
          </cell>
          <cell r="Y13674" t="str">
            <v>ISRAEL</v>
          </cell>
        </row>
        <row r="13675">
          <cell r="L13675" t="str">
            <v>Non-proportional</v>
          </cell>
          <cell r="S13675">
            <v>149.69999999999999</v>
          </cell>
          <cell r="X13675" t="str">
            <v>Commissions - gross</v>
          </cell>
          <cell r="Y13675" t="str">
            <v>JAPAN</v>
          </cell>
        </row>
        <row r="13676">
          <cell r="L13676" t="str">
            <v>Non-proportional</v>
          </cell>
          <cell r="S13676">
            <v>70.489999999999995</v>
          </cell>
          <cell r="X13676" t="str">
            <v>Commissions - gross</v>
          </cell>
          <cell r="Y13676" t="str">
            <v>JAPAN</v>
          </cell>
        </row>
        <row r="13677">
          <cell r="L13677" t="str">
            <v>Non-proportional</v>
          </cell>
          <cell r="S13677">
            <v>37.549999999999997</v>
          </cell>
          <cell r="X13677" t="str">
            <v>Commissions - gross</v>
          </cell>
          <cell r="Y13677" t="str">
            <v>CHILE</v>
          </cell>
        </row>
        <row r="13678">
          <cell r="L13678" t="str">
            <v>Non-proportional</v>
          </cell>
          <cell r="S13678">
            <v>976.37</v>
          </cell>
          <cell r="X13678" t="str">
            <v>Commissions - gross</v>
          </cell>
          <cell r="Y13678" t="str">
            <v>CHILE</v>
          </cell>
        </row>
        <row r="13679">
          <cell r="L13679" t="str">
            <v>Non-proportional</v>
          </cell>
          <cell r="S13679">
            <v>475.13</v>
          </cell>
          <cell r="X13679" t="str">
            <v>Commissions - gross</v>
          </cell>
          <cell r="Y13679" t="str">
            <v>FRANCE</v>
          </cell>
        </row>
        <row r="13680">
          <cell r="L13680" t="str">
            <v>Non-proportional</v>
          </cell>
          <cell r="S13680">
            <v>122.81</v>
          </cell>
          <cell r="X13680" t="str">
            <v>Commissions - gross</v>
          </cell>
          <cell r="Y13680" t="str">
            <v>PERU</v>
          </cell>
        </row>
        <row r="13681">
          <cell r="L13681" t="str">
            <v>Non-proportional</v>
          </cell>
          <cell r="S13681">
            <v>84.38</v>
          </cell>
          <cell r="X13681" t="str">
            <v>Commissions - gross</v>
          </cell>
          <cell r="Y13681" t="str">
            <v>GREECE</v>
          </cell>
        </row>
        <row r="13682">
          <cell r="L13682" t="str">
            <v>Non-proportional</v>
          </cell>
          <cell r="S13682">
            <v>251.77</v>
          </cell>
          <cell r="X13682" t="str">
            <v>Commissions - gross</v>
          </cell>
          <cell r="Y13682" t="str">
            <v>ITALY</v>
          </cell>
        </row>
        <row r="13683">
          <cell r="L13683" t="str">
            <v>Non-proportional</v>
          </cell>
          <cell r="S13683">
            <v>42762.22</v>
          </cell>
          <cell r="X13683" t="str">
            <v>Commissions - gross</v>
          </cell>
          <cell r="Y13683" t="str">
            <v>UNITED KINGDOM</v>
          </cell>
        </row>
        <row r="13684">
          <cell r="L13684" t="str">
            <v>Non-proportional</v>
          </cell>
          <cell r="S13684">
            <v>-22.23</v>
          </cell>
          <cell r="X13684" t="str">
            <v>Commissions - gross</v>
          </cell>
          <cell r="Y13684" t="str">
            <v>SOUTH KOREA</v>
          </cell>
        </row>
        <row r="13685">
          <cell r="L13685" t="str">
            <v>Non-proportional</v>
          </cell>
          <cell r="S13685">
            <v>100532.27</v>
          </cell>
          <cell r="X13685" t="str">
            <v>Commissions - gross</v>
          </cell>
          <cell r="Y13685" t="str">
            <v>UNITED KINGDOM</v>
          </cell>
        </row>
        <row r="13686">
          <cell r="L13686" t="str">
            <v>Non-proportional</v>
          </cell>
          <cell r="S13686">
            <v>1181.3900000000001</v>
          </cell>
          <cell r="X13686" t="str">
            <v>Commissions - gross</v>
          </cell>
          <cell r="Y13686" t="str">
            <v>AUSTRALIA</v>
          </cell>
        </row>
        <row r="13687">
          <cell r="L13687" t="str">
            <v>Non-proportional</v>
          </cell>
          <cell r="S13687">
            <v>2723.65</v>
          </cell>
          <cell r="X13687" t="str">
            <v>Commissions - gross</v>
          </cell>
          <cell r="Y13687" t="str">
            <v>TURKEY</v>
          </cell>
        </row>
        <row r="13688">
          <cell r="L13688" t="str">
            <v>Non-proportional</v>
          </cell>
          <cell r="S13688">
            <v>524.66</v>
          </cell>
          <cell r="X13688" t="str">
            <v>Commissions - gross</v>
          </cell>
          <cell r="Y13688" t="str">
            <v>PERU</v>
          </cell>
        </row>
        <row r="13689">
          <cell r="L13689" t="str">
            <v>Non-proportional</v>
          </cell>
          <cell r="S13689">
            <v>918.75</v>
          </cell>
          <cell r="X13689" t="str">
            <v>Commissions - gross</v>
          </cell>
          <cell r="Y13689" t="str">
            <v>TURKEY</v>
          </cell>
        </row>
        <row r="13690">
          <cell r="L13690" t="str">
            <v>Non-proportional</v>
          </cell>
          <cell r="S13690">
            <v>21.12</v>
          </cell>
          <cell r="X13690" t="str">
            <v>Commissions - gross</v>
          </cell>
          <cell r="Y13690" t="str">
            <v>JAPAN</v>
          </cell>
        </row>
        <row r="13691">
          <cell r="L13691" t="str">
            <v>Non-proportional</v>
          </cell>
          <cell r="S13691">
            <v>1183.3900000000001</v>
          </cell>
          <cell r="X13691" t="str">
            <v>Commissions - gross</v>
          </cell>
          <cell r="Y13691" t="str">
            <v>MEXICO</v>
          </cell>
        </row>
        <row r="13692">
          <cell r="L13692" t="str">
            <v>Non-proportional</v>
          </cell>
          <cell r="S13692">
            <v>72.95</v>
          </cell>
          <cell r="X13692" t="str">
            <v>Commissions - gross</v>
          </cell>
          <cell r="Y13692" t="str">
            <v>BRAZIL</v>
          </cell>
        </row>
        <row r="13693">
          <cell r="L13693" t="str">
            <v>Non-proportional</v>
          </cell>
          <cell r="S13693">
            <v>0.66</v>
          </cell>
          <cell r="X13693" t="str">
            <v>Commissions - gross</v>
          </cell>
          <cell r="Y13693" t="str">
            <v>COSTA RICA</v>
          </cell>
        </row>
        <row r="13694">
          <cell r="L13694" t="str">
            <v>Non-proportional</v>
          </cell>
          <cell r="S13694">
            <v>467.51</v>
          </cell>
          <cell r="X13694" t="str">
            <v>Commissions - gross</v>
          </cell>
          <cell r="Y13694" t="str">
            <v>CYPRUS</v>
          </cell>
        </row>
        <row r="13695">
          <cell r="L13695" t="str">
            <v>Non-proportional</v>
          </cell>
          <cell r="S13695">
            <v>-6.9</v>
          </cell>
          <cell r="X13695" t="str">
            <v>Commissions - gross</v>
          </cell>
          <cell r="Y13695" t="str">
            <v>NEW ZEALAND</v>
          </cell>
        </row>
        <row r="13696">
          <cell r="L13696" t="str">
            <v>Non-proportional</v>
          </cell>
          <cell r="S13696">
            <v>823.83</v>
          </cell>
          <cell r="X13696" t="str">
            <v>Commissions - gross</v>
          </cell>
          <cell r="Y13696" t="str">
            <v>ITALY</v>
          </cell>
        </row>
        <row r="13697">
          <cell r="L13697" t="str">
            <v>Non-proportional</v>
          </cell>
          <cell r="S13697">
            <v>80</v>
          </cell>
          <cell r="X13697" t="str">
            <v>Commissions - gross</v>
          </cell>
          <cell r="Y13697" t="str">
            <v>ITALY</v>
          </cell>
        </row>
        <row r="13698">
          <cell r="L13698" t="str">
            <v>Non-proportional</v>
          </cell>
          <cell r="S13698">
            <v>5.97</v>
          </cell>
          <cell r="X13698" t="str">
            <v>Commissions - gross</v>
          </cell>
          <cell r="Y13698" t="str">
            <v>THAILAND</v>
          </cell>
        </row>
        <row r="13699">
          <cell r="L13699" t="str">
            <v>Non-proportional</v>
          </cell>
          <cell r="S13699">
            <v>19.52</v>
          </cell>
          <cell r="X13699" t="str">
            <v>Commissions - gross</v>
          </cell>
          <cell r="Y13699" t="str">
            <v>COLOMBIA</v>
          </cell>
        </row>
        <row r="13700">
          <cell r="L13700" t="str">
            <v>Non-proportional</v>
          </cell>
          <cell r="S13700">
            <v>-10.59</v>
          </cell>
          <cell r="X13700" t="str">
            <v>Commissions - gross</v>
          </cell>
          <cell r="Y13700" t="str">
            <v>JAPAN</v>
          </cell>
        </row>
        <row r="13701">
          <cell r="L13701" t="str">
            <v>Non-proportional</v>
          </cell>
          <cell r="S13701">
            <v>4079.99</v>
          </cell>
          <cell r="X13701" t="str">
            <v>Commissions - gross</v>
          </cell>
          <cell r="Y13701" t="str">
            <v>TURKEY</v>
          </cell>
        </row>
        <row r="13702">
          <cell r="L13702" t="str">
            <v>Non-proportional</v>
          </cell>
          <cell r="S13702">
            <v>-9.75</v>
          </cell>
          <cell r="X13702" t="str">
            <v>Commissions - gross</v>
          </cell>
          <cell r="Y13702" t="str">
            <v>INDIA</v>
          </cell>
        </row>
        <row r="13703">
          <cell r="L13703" t="str">
            <v>Non-proportional</v>
          </cell>
          <cell r="S13703">
            <v>-29.25</v>
          </cell>
          <cell r="X13703" t="str">
            <v>Commissions - gross</v>
          </cell>
          <cell r="Y13703" t="str">
            <v>INDIA</v>
          </cell>
        </row>
        <row r="13704">
          <cell r="L13704" t="str">
            <v>Non-proportional</v>
          </cell>
          <cell r="S13704">
            <v>172.42</v>
          </cell>
          <cell r="X13704" t="str">
            <v>Commissions - gross</v>
          </cell>
          <cell r="Y13704" t="str">
            <v>NEW ZEALAND</v>
          </cell>
        </row>
        <row r="13705">
          <cell r="L13705" t="str">
            <v>Proportional</v>
          </cell>
          <cell r="S13705">
            <v>5.46</v>
          </cell>
          <cell r="X13705" t="str">
            <v>Commissions - gross</v>
          </cell>
          <cell r="Y13705" t="str">
            <v>CHILE</v>
          </cell>
        </row>
        <row r="13706">
          <cell r="L13706" t="str">
            <v>Non-proportional</v>
          </cell>
          <cell r="S13706">
            <v>488.98</v>
          </cell>
          <cell r="X13706" t="str">
            <v>Commissions - gross</v>
          </cell>
          <cell r="Y13706" t="str">
            <v>UNITED KINGDOM</v>
          </cell>
        </row>
        <row r="13707">
          <cell r="L13707" t="str">
            <v>Non-proportional</v>
          </cell>
          <cell r="S13707">
            <v>245.55</v>
          </cell>
          <cell r="X13707" t="str">
            <v>Commissions - gross</v>
          </cell>
          <cell r="Y13707" t="str">
            <v>DOMINICAN REPUBLIC</v>
          </cell>
        </row>
        <row r="13708">
          <cell r="L13708" t="str">
            <v>Non-proportional</v>
          </cell>
          <cell r="S13708">
            <v>1265.96</v>
          </cell>
          <cell r="X13708" t="str">
            <v>Commissions - gross</v>
          </cell>
          <cell r="Y13708" t="str">
            <v>ITALY</v>
          </cell>
        </row>
        <row r="13709">
          <cell r="L13709" t="str">
            <v>Non-proportional</v>
          </cell>
          <cell r="S13709">
            <v>379.65</v>
          </cell>
          <cell r="X13709" t="str">
            <v>Commissions - gross</v>
          </cell>
          <cell r="Y13709" t="str">
            <v>ITALY</v>
          </cell>
        </row>
        <row r="13710">
          <cell r="L13710" t="str">
            <v>Non-proportional</v>
          </cell>
          <cell r="S13710">
            <v>696.32</v>
          </cell>
          <cell r="X13710" t="str">
            <v>Commissions - gross</v>
          </cell>
          <cell r="Y13710" t="str">
            <v>FRANCE</v>
          </cell>
        </row>
        <row r="13711">
          <cell r="L13711" t="str">
            <v>Non-proportional</v>
          </cell>
          <cell r="S13711">
            <v>610.30999999999995</v>
          </cell>
          <cell r="X13711" t="str">
            <v>Commissions - gross</v>
          </cell>
          <cell r="Y13711" t="str">
            <v>INDIA</v>
          </cell>
        </row>
        <row r="13712">
          <cell r="L13712" t="str">
            <v>Proportional</v>
          </cell>
          <cell r="S13712">
            <v>1167.79</v>
          </cell>
          <cell r="X13712" t="str">
            <v>Commissions - gross</v>
          </cell>
          <cell r="Y13712" t="str">
            <v>MEXICO</v>
          </cell>
        </row>
        <row r="13713">
          <cell r="L13713" t="str">
            <v>Non-proportional</v>
          </cell>
          <cell r="S13713">
            <v>651.86</v>
          </cell>
          <cell r="X13713" t="str">
            <v>Commissions - gross</v>
          </cell>
          <cell r="Y13713" t="str">
            <v>MEXICO</v>
          </cell>
        </row>
        <row r="13714">
          <cell r="L13714" t="str">
            <v>Non-proportional</v>
          </cell>
          <cell r="S13714">
            <v>430.74</v>
          </cell>
          <cell r="X13714" t="str">
            <v>Commissions - gross</v>
          </cell>
          <cell r="Y13714" t="str">
            <v>THAILAND</v>
          </cell>
        </row>
        <row r="13715">
          <cell r="L13715" t="str">
            <v>Proportional</v>
          </cell>
          <cell r="S13715">
            <v>112.66</v>
          </cell>
          <cell r="X13715" t="str">
            <v>Commissions - gross</v>
          </cell>
          <cell r="Y13715" t="str">
            <v>CHILE</v>
          </cell>
        </row>
        <row r="13716">
          <cell r="L13716" t="str">
            <v>Non-proportional</v>
          </cell>
          <cell r="S13716">
            <v>267.58</v>
          </cell>
          <cell r="X13716" t="str">
            <v>Commissions - gross</v>
          </cell>
          <cell r="Y13716" t="str">
            <v>JAPAN</v>
          </cell>
        </row>
        <row r="13717">
          <cell r="L13717" t="str">
            <v>Non-proportional</v>
          </cell>
          <cell r="S13717">
            <v>-2.83</v>
          </cell>
          <cell r="X13717" t="str">
            <v>Commissions - gross</v>
          </cell>
          <cell r="Y13717" t="str">
            <v>JAPAN</v>
          </cell>
        </row>
        <row r="13718">
          <cell r="L13718" t="str">
            <v>Non-proportional</v>
          </cell>
          <cell r="S13718">
            <v>549.64</v>
          </cell>
          <cell r="X13718" t="str">
            <v>Commissions - gross</v>
          </cell>
          <cell r="Y13718" t="str">
            <v>SINGAPORE</v>
          </cell>
        </row>
        <row r="13719">
          <cell r="L13719" t="str">
            <v>Non-proportional</v>
          </cell>
          <cell r="S13719">
            <v>433.67</v>
          </cell>
          <cell r="X13719" t="str">
            <v>Commissions - gross</v>
          </cell>
          <cell r="Y13719" t="str">
            <v>BRAZIL</v>
          </cell>
        </row>
        <row r="13720">
          <cell r="L13720" t="str">
            <v>Non-proportional</v>
          </cell>
          <cell r="S13720">
            <v>344.02</v>
          </cell>
          <cell r="X13720" t="str">
            <v>Commissions - gross</v>
          </cell>
          <cell r="Y13720" t="str">
            <v>ISRAEL</v>
          </cell>
        </row>
        <row r="13721">
          <cell r="L13721" t="str">
            <v>Non-proportional</v>
          </cell>
          <cell r="S13721">
            <v>323.5</v>
          </cell>
          <cell r="X13721" t="str">
            <v>Commissions - gross</v>
          </cell>
          <cell r="Y13721" t="str">
            <v>AUSTRALIA</v>
          </cell>
        </row>
        <row r="13722">
          <cell r="L13722" t="str">
            <v>Non-proportional</v>
          </cell>
          <cell r="S13722">
            <v>113.85</v>
          </cell>
          <cell r="X13722" t="str">
            <v>Commissions - gross</v>
          </cell>
          <cell r="Y13722" t="str">
            <v>SOUTH AFRICA</v>
          </cell>
        </row>
        <row r="13723">
          <cell r="L13723" t="str">
            <v>Non-proportional</v>
          </cell>
          <cell r="S13723">
            <v>917.84</v>
          </cell>
          <cell r="X13723" t="str">
            <v>Commissions - gross</v>
          </cell>
          <cell r="Y13723" t="str">
            <v>FRANCE</v>
          </cell>
        </row>
        <row r="13724">
          <cell r="L13724" t="str">
            <v>Non-proportional</v>
          </cell>
          <cell r="S13724">
            <v>262.87</v>
          </cell>
          <cell r="X13724" t="str">
            <v>Commissions - gross</v>
          </cell>
          <cell r="Y13724" t="str">
            <v>CHILE</v>
          </cell>
        </row>
        <row r="13725">
          <cell r="L13725" t="str">
            <v>Non-proportional</v>
          </cell>
          <cell r="S13725">
            <v>-35.799999999999997</v>
          </cell>
          <cell r="X13725" t="str">
            <v>Commissions - gross</v>
          </cell>
          <cell r="Y13725" t="str">
            <v>NEW ZEALAND</v>
          </cell>
        </row>
        <row r="13726">
          <cell r="L13726" t="str">
            <v>Non-proportional</v>
          </cell>
          <cell r="S13726">
            <v>2736.64</v>
          </cell>
          <cell r="X13726" t="str">
            <v>Commissions - gross</v>
          </cell>
          <cell r="Y13726" t="str">
            <v>JAPAN</v>
          </cell>
        </row>
        <row r="13727">
          <cell r="L13727" t="str">
            <v>Non-proportional</v>
          </cell>
          <cell r="S13727">
            <v>134618.31</v>
          </cell>
          <cell r="X13727" t="str">
            <v>Commissions - gross</v>
          </cell>
          <cell r="Y13727" t="str">
            <v>UNITED KINGDOM</v>
          </cell>
        </row>
        <row r="13728">
          <cell r="L13728" t="str">
            <v>Non-proportional</v>
          </cell>
          <cell r="S13728">
            <v>0</v>
          </cell>
          <cell r="X13728" t="str">
            <v>Commissions - gross</v>
          </cell>
          <cell r="Y13728" t="str">
            <v>DOMINICAN REPUBLIC</v>
          </cell>
        </row>
        <row r="13729">
          <cell r="L13729" t="str">
            <v>Non-proportional</v>
          </cell>
          <cell r="S13729">
            <v>293.70999999999998</v>
          </cell>
          <cell r="X13729" t="str">
            <v>Commissions - gross</v>
          </cell>
          <cell r="Y13729" t="str">
            <v>NETHERLANDS</v>
          </cell>
        </row>
        <row r="13730">
          <cell r="L13730" t="str">
            <v>Non-proportional</v>
          </cell>
          <cell r="S13730">
            <v>1808.6</v>
          </cell>
          <cell r="X13730" t="str">
            <v>Commissions - gross</v>
          </cell>
          <cell r="Y13730" t="str">
            <v>PUERTO RICO</v>
          </cell>
        </row>
        <row r="13731">
          <cell r="L13731" t="str">
            <v>Non-proportional</v>
          </cell>
          <cell r="S13731">
            <v>575.28</v>
          </cell>
          <cell r="X13731" t="str">
            <v>Commissions - gross</v>
          </cell>
          <cell r="Y13731" t="str">
            <v>SPAIN</v>
          </cell>
        </row>
        <row r="13732">
          <cell r="L13732" t="str">
            <v>Proportional</v>
          </cell>
          <cell r="S13732">
            <v>187.76</v>
          </cell>
          <cell r="X13732" t="str">
            <v>Commissions - gross</v>
          </cell>
          <cell r="Y13732" t="str">
            <v>CHILE</v>
          </cell>
        </row>
        <row r="13733">
          <cell r="L13733" t="str">
            <v>Non-proportional</v>
          </cell>
          <cell r="S13733">
            <v>116.77</v>
          </cell>
          <cell r="X13733" t="str">
            <v>Commissions - gross</v>
          </cell>
          <cell r="Y13733" t="str">
            <v>PERU</v>
          </cell>
        </row>
        <row r="13734">
          <cell r="L13734" t="str">
            <v>Proportional</v>
          </cell>
          <cell r="S13734">
            <v>1962.33</v>
          </cell>
          <cell r="X13734" t="str">
            <v>Commissions - gross</v>
          </cell>
          <cell r="Y13734" t="str">
            <v>MEXICO</v>
          </cell>
        </row>
        <row r="13735">
          <cell r="L13735" t="str">
            <v>Non-proportional</v>
          </cell>
          <cell r="S13735">
            <v>10572.33</v>
          </cell>
          <cell r="X13735" t="str">
            <v>Commissions - gross</v>
          </cell>
          <cell r="Y13735" t="str">
            <v>FRANCE</v>
          </cell>
        </row>
        <row r="13736">
          <cell r="L13736" t="str">
            <v>Non-proportional</v>
          </cell>
          <cell r="S13736">
            <v>713.11</v>
          </cell>
          <cell r="X13736" t="str">
            <v>Commissions - gross</v>
          </cell>
          <cell r="Y13736" t="str">
            <v>MEXICO</v>
          </cell>
        </row>
        <row r="13737">
          <cell r="L13737" t="str">
            <v>Non-proportional</v>
          </cell>
          <cell r="S13737">
            <v>172.42</v>
          </cell>
          <cell r="X13737" t="str">
            <v>Commissions - gross</v>
          </cell>
          <cell r="Y13737" t="str">
            <v>NEW ZEALAND</v>
          </cell>
        </row>
        <row r="13738">
          <cell r="L13738" t="str">
            <v>Proportional</v>
          </cell>
          <cell r="S13738">
            <v>8.2899999999999991</v>
          </cell>
          <cell r="X13738" t="str">
            <v>Commissions - gross</v>
          </cell>
          <cell r="Y13738" t="str">
            <v>UNITED STATES</v>
          </cell>
        </row>
        <row r="13739">
          <cell r="L13739" t="str">
            <v>Proportional</v>
          </cell>
          <cell r="S13739">
            <v>80.39</v>
          </cell>
          <cell r="X13739" t="str">
            <v>Commissions - gross</v>
          </cell>
          <cell r="Y13739" t="str">
            <v>UNITED STATES</v>
          </cell>
        </row>
        <row r="13740">
          <cell r="L13740" t="str">
            <v>Non-proportional</v>
          </cell>
          <cell r="S13740">
            <v>6.9</v>
          </cell>
          <cell r="X13740" t="str">
            <v>Commissions - gross</v>
          </cell>
          <cell r="Y13740" t="str">
            <v>ISRAEL</v>
          </cell>
        </row>
        <row r="13741">
          <cell r="L13741" t="str">
            <v>Non-proportional</v>
          </cell>
          <cell r="S13741">
            <v>257.58999999999997</v>
          </cell>
          <cell r="X13741" t="str">
            <v>Commissions - gross</v>
          </cell>
          <cell r="Y13741" t="str">
            <v>BELIZE</v>
          </cell>
        </row>
        <row r="13742">
          <cell r="L13742" t="str">
            <v>Non-proportional</v>
          </cell>
          <cell r="S13742">
            <v>-4.84</v>
          </cell>
          <cell r="X13742" t="str">
            <v>Commissions - gross</v>
          </cell>
          <cell r="Y13742" t="str">
            <v>JAPAN</v>
          </cell>
        </row>
        <row r="13743">
          <cell r="L13743" t="str">
            <v>Non-proportional</v>
          </cell>
          <cell r="S13743">
            <v>1186.32</v>
          </cell>
          <cell r="X13743" t="str">
            <v>Commissions - gross</v>
          </cell>
          <cell r="Y13743" t="str">
            <v>EUROPE</v>
          </cell>
        </row>
        <row r="13744">
          <cell r="L13744" t="str">
            <v>Non-proportional</v>
          </cell>
          <cell r="S13744">
            <v>563.29</v>
          </cell>
          <cell r="X13744" t="str">
            <v>Commissions - gross</v>
          </cell>
          <cell r="Y13744" t="str">
            <v>CHILE</v>
          </cell>
        </row>
        <row r="13745">
          <cell r="L13745" t="str">
            <v>Non-proportional</v>
          </cell>
          <cell r="S13745">
            <v>5.53</v>
          </cell>
          <cell r="X13745" t="str">
            <v>Commissions - gross</v>
          </cell>
          <cell r="Y13745" t="str">
            <v>ISRAEL</v>
          </cell>
        </row>
        <row r="13746">
          <cell r="L13746" t="str">
            <v>Non-proportional</v>
          </cell>
          <cell r="S13746">
            <v>1113.05</v>
          </cell>
          <cell r="X13746" t="str">
            <v>Commissions - gross</v>
          </cell>
          <cell r="Y13746" t="str">
            <v>COLOMBIA</v>
          </cell>
        </row>
        <row r="13747">
          <cell r="L13747" t="str">
            <v>Non-proportional</v>
          </cell>
          <cell r="S13747">
            <v>204.17</v>
          </cell>
          <cell r="X13747" t="str">
            <v>Commissions - gross</v>
          </cell>
          <cell r="Y13747" t="str">
            <v>ITALY</v>
          </cell>
        </row>
        <row r="13748">
          <cell r="L13748" t="str">
            <v>Non-proportional</v>
          </cell>
          <cell r="S13748">
            <v>13.29</v>
          </cell>
          <cell r="X13748" t="str">
            <v>Commissions - gross</v>
          </cell>
          <cell r="Y13748" t="str">
            <v>ITALY</v>
          </cell>
        </row>
        <row r="13749">
          <cell r="L13749" t="str">
            <v>Non-proportional</v>
          </cell>
          <cell r="S13749">
            <v>-10.29</v>
          </cell>
          <cell r="X13749" t="str">
            <v>Commissions - gross</v>
          </cell>
          <cell r="Y13749" t="str">
            <v>JAPAN</v>
          </cell>
        </row>
        <row r="13750">
          <cell r="L13750" t="str">
            <v>Proportional</v>
          </cell>
          <cell r="S13750">
            <v>3.15</v>
          </cell>
          <cell r="X13750" t="str">
            <v>Commissions - gross</v>
          </cell>
          <cell r="Y13750" t="str">
            <v>UNITED STATES</v>
          </cell>
        </row>
        <row r="13751">
          <cell r="L13751" t="str">
            <v>Non-proportional</v>
          </cell>
          <cell r="S13751">
            <v>310.38</v>
          </cell>
          <cell r="X13751" t="str">
            <v>Commissions - gross</v>
          </cell>
          <cell r="Y13751" t="str">
            <v>UNITED KINGDOM</v>
          </cell>
        </row>
        <row r="13752">
          <cell r="L13752" t="str">
            <v>Proportional</v>
          </cell>
          <cell r="S13752">
            <v>-0.06</v>
          </cell>
          <cell r="X13752" t="str">
            <v>Commissions - gross</v>
          </cell>
          <cell r="Y13752" t="str">
            <v>UNITED STATES</v>
          </cell>
        </row>
        <row r="13753">
          <cell r="L13753" t="str">
            <v>Non-proportional</v>
          </cell>
          <cell r="S13753">
            <v>6.75</v>
          </cell>
          <cell r="X13753" t="str">
            <v>Commissions - gross</v>
          </cell>
          <cell r="Y13753" t="str">
            <v>BRAZIL</v>
          </cell>
        </row>
        <row r="13754">
          <cell r="L13754" t="str">
            <v>Non-proportional</v>
          </cell>
          <cell r="S13754">
            <v>224.75</v>
          </cell>
          <cell r="X13754" t="str">
            <v>Commissions - gross</v>
          </cell>
          <cell r="Y13754" t="str">
            <v>ECUADOR</v>
          </cell>
        </row>
        <row r="13755">
          <cell r="L13755" t="str">
            <v>Non-proportional</v>
          </cell>
          <cell r="S13755">
            <v>218.75</v>
          </cell>
          <cell r="X13755" t="str">
            <v>Commissions - gross</v>
          </cell>
          <cell r="Y13755" t="str">
            <v>GERMANY</v>
          </cell>
        </row>
        <row r="13756">
          <cell r="L13756" t="str">
            <v>Non-proportional</v>
          </cell>
          <cell r="S13756">
            <v>504.25</v>
          </cell>
          <cell r="X13756" t="str">
            <v>Commissions - gross</v>
          </cell>
          <cell r="Y13756" t="str">
            <v>UNITED KINGDOM</v>
          </cell>
        </row>
        <row r="13757">
          <cell r="L13757" t="str">
            <v>Non-proportional</v>
          </cell>
          <cell r="S13757">
            <v>75.11</v>
          </cell>
          <cell r="X13757" t="str">
            <v>Commissions - gross</v>
          </cell>
          <cell r="Y13757" t="str">
            <v>CHILE</v>
          </cell>
        </row>
        <row r="13758">
          <cell r="L13758" t="str">
            <v>Non-proportional</v>
          </cell>
          <cell r="S13758">
            <v>983.28</v>
          </cell>
          <cell r="X13758" t="str">
            <v>Commissions - gross</v>
          </cell>
          <cell r="Y13758" t="str">
            <v>FRANCE</v>
          </cell>
        </row>
        <row r="13759">
          <cell r="L13759" t="str">
            <v>Non-proportional</v>
          </cell>
          <cell r="S13759">
            <v>1015.53</v>
          </cell>
          <cell r="X13759" t="str">
            <v>Commissions - gross</v>
          </cell>
          <cell r="Y13759" t="str">
            <v>COLOMBIA</v>
          </cell>
        </row>
        <row r="13760">
          <cell r="L13760" t="str">
            <v>Non-proportional</v>
          </cell>
          <cell r="S13760">
            <v>625</v>
          </cell>
          <cell r="X13760" t="str">
            <v>Commissions - gross</v>
          </cell>
          <cell r="Y13760" t="str">
            <v>SPAIN</v>
          </cell>
        </row>
        <row r="13761">
          <cell r="L13761" t="str">
            <v>Non-proportional</v>
          </cell>
          <cell r="S13761">
            <v>-4.1900000000000004</v>
          </cell>
          <cell r="X13761" t="str">
            <v>Commissions - gross</v>
          </cell>
          <cell r="Y13761" t="str">
            <v>DOMINICAN REPUBLIC</v>
          </cell>
        </row>
        <row r="13762">
          <cell r="L13762" t="str">
            <v>Non-proportional</v>
          </cell>
          <cell r="S13762">
            <v>355.26</v>
          </cell>
          <cell r="X13762" t="str">
            <v>Commissions - gross</v>
          </cell>
          <cell r="Y13762" t="str">
            <v>THAILAND</v>
          </cell>
        </row>
        <row r="13763">
          <cell r="L13763" t="str">
            <v>Non-proportional</v>
          </cell>
          <cell r="S13763">
            <v>328.13</v>
          </cell>
          <cell r="X13763" t="str">
            <v>Commissions - gross</v>
          </cell>
          <cell r="Y13763" t="str">
            <v>ITALY</v>
          </cell>
        </row>
        <row r="13764">
          <cell r="L13764" t="str">
            <v>Non-proportional</v>
          </cell>
          <cell r="S13764">
            <v>846.49</v>
          </cell>
          <cell r="X13764" t="str">
            <v>Commissions - gross</v>
          </cell>
          <cell r="Y13764" t="str">
            <v>CANADA</v>
          </cell>
        </row>
        <row r="13765">
          <cell r="L13765" t="str">
            <v>Non-proportional</v>
          </cell>
          <cell r="S13765">
            <v>5.74</v>
          </cell>
          <cell r="X13765" t="str">
            <v>Commissions - gross</v>
          </cell>
          <cell r="Y13765" t="str">
            <v>BRAZIL</v>
          </cell>
        </row>
        <row r="13766">
          <cell r="L13766" t="str">
            <v>Non-proportional</v>
          </cell>
          <cell r="S13766">
            <v>170.9</v>
          </cell>
          <cell r="X13766" t="str">
            <v>Commissions - gross</v>
          </cell>
          <cell r="Y13766" t="str">
            <v>ECUADOR</v>
          </cell>
        </row>
        <row r="13767">
          <cell r="L13767" t="str">
            <v>Non-proportional</v>
          </cell>
          <cell r="S13767">
            <v>217.98</v>
          </cell>
          <cell r="X13767" t="str">
            <v>Commissions - gross</v>
          </cell>
          <cell r="Y13767" t="str">
            <v>FRANCE</v>
          </cell>
        </row>
        <row r="13768">
          <cell r="L13768" t="str">
            <v>Non-proportional</v>
          </cell>
          <cell r="S13768">
            <v>972.42</v>
          </cell>
          <cell r="X13768" t="str">
            <v>Commissions - gross</v>
          </cell>
          <cell r="Y13768" t="str">
            <v>DOMINICAN REPUBLIC</v>
          </cell>
        </row>
        <row r="13769">
          <cell r="L13769" t="str">
            <v>Non-proportional</v>
          </cell>
          <cell r="S13769">
            <v>194.47</v>
          </cell>
          <cell r="X13769" t="str">
            <v>Commissions - gross</v>
          </cell>
          <cell r="Y13769" t="str">
            <v>SOUTH AFRICA</v>
          </cell>
        </row>
        <row r="13770">
          <cell r="L13770" t="str">
            <v>Non-proportional</v>
          </cell>
          <cell r="S13770">
            <v>705.76</v>
          </cell>
          <cell r="X13770" t="str">
            <v>Commissions - gross</v>
          </cell>
          <cell r="Y13770" t="str">
            <v>UNITED KINGDOM</v>
          </cell>
        </row>
        <row r="13771">
          <cell r="L13771" t="str">
            <v>Non-proportional</v>
          </cell>
          <cell r="S13771">
            <v>627.9</v>
          </cell>
          <cell r="X13771" t="str">
            <v>Commissions - gross</v>
          </cell>
          <cell r="Y13771" t="str">
            <v>FRANCE</v>
          </cell>
        </row>
        <row r="13772">
          <cell r="L13772" t="str">
            <v>Proportional</v>
          </cell>
          <cell r="S13772">
            <v>477.68</v>
          </cell>
          <cell r="X13772" t="str">
            <v>Commissions - gross</v>
          </cell>
          <cell r="Y13772" t="str">
            <v>UNITED KINGDOM</v>
          </cell>
        </row>
        <row r="13773">
          <cell r="L13773" t="str">
            <v>Non-proportional</v>
          </cell>
          <cell r="S13773">
            <v>290.42</v>
          </cell>
          <cell r="X13773" t="str">
            <v>Commissions - gross</v>
          </cell>
          <cell r="Y13773" t="str">
            <v>THAILAND</v>
          </cell>
        </row>
        <row r="13774">
          <cell r="L13774" t="str">
            <v>Non-proportional</v>
          </cell>
          <cell r="S13774">
            <v>-23.26</v>
          </cell>
          <cell r="X13774" t="str">
            <v>Commissions - gross</v>
          </cell>
          <cell r="Y13774" t="str">
            <v>NEW ZEALAND</v>
          </cell>
        </row>
        <row r="13775">
          <cell r="L13775" t="str">
            <v>Non-proportional</v>
          </cell>
          <cell r="S13775">
            <v>665.89</v>
          </cell>
          <cell r="X13775" t="str">
            <v>Commissions - gross</v>
          </cell>
          <cell r="Y13775" t="str">
            <v>CYPRUS</v>
          </cell>
        </row>
        <row r="13776">
          <cell r="L13776" t="str">
            <v>Non-proportional</v>
          </cell>
          <cell r="S13776">
            <v>531.28</v>
          </cell>
          <cell r="X13776" t="str">
            <v>Commissions - gross</v>
          </cell>
          <cell r="Y13776" t="str">
            <v>NETHERLANDS</v>
          </cell>
        </row>
        <row r="13777">
          <cell r="L13777" t="str">
            <v>Non-proportional</v>
          </cell>
          <cell r="S13777">
            <v>15.06</v>
          </cell>
          <cell r="X13777" t="str">
            <v>Commissions - gross</v>
          </cell>
          <cell r="Y13777" t="str">
            <v>ISRAEL</v>
          </cell>
        </row>
        <row r="13778">
          <cell r="L13778" t="str">
            <v>Non-proportional</v>
          </cell>
          <cell r="S13778">
            <v>177.75</v>
          </cell>
          <cell r="X13778" t="str">
            <v>Commissions - gross</v>
          </cell>
          <cell r="Y13778" t="str">
            <v>GREECE</v>
          </cell>
        </row>
        <row r="13779">
          <cell r="L13779" t="str">
            <v>Non-proportional</v>
          </cell>
          <cell r="S13779">
            <v>311.35000000000002</v>
          </cell>
          <cell r="X13779" t="str">
            <v>Commissions - gross</v>
          </cell>
          <cell r="Y13779" t="str">
            <v>ISRAEL</v>
          </cell>
        </row>
        <row r="13780">
          <cell r="L13780" t="str">
            <v>Non-proportional</v>
          </cell>
          <cell r="S13780">
            <v>2318.75</v>
          </cell>
          <cell r="X13780" t="str">
            <v>Commissions - gross</v>
          </cell>
          <cell r="Y13780" t="str">
            <v>ITALY</v>
          </cell>
        </row>
        <row r="13781">
          <cell r="L13781" t="str">
            <v>Non-proportional</v>
          </cell>
          <cell r="S13781">
            <v>126.82</v>
          </cell>
          <cell r="X13781" t="str">
            <v>Commissions - gross</v>
          </cell>
          <cell r="Y13781" t="str">
            <v>NEW ZEALAND</v>
          </cell>
        </row>
        <row r="13782">
          <cell r="L13782" t="str">
            <v>Non-proportional</v>
          </cell>
          <cell r="S13782">
            <v>799.56</v>
          </cell>
          <cell r="X13782" t="str">
            <v>Commissions - gross</v>
          </cell>
          <cell r="Y13782" t="str">
            <v>COLOMBIA</v>
          </cell>
        </row>
        <row r="13783">
          <cell r="L13783" t="str">
            <v>Proportional</v>
          </cell>
          <cell r="S13783">
            <v>173.86</v>
          </cell>
          <cell r="X13783" t="str">
            <v>Commissions - gross</v>
          </cell>
          <cell r="Y13783" t="str">
            <v>ITALY</v>
          </cell>
        </row>
        <row r="13784">
          <cell r="L13784" t="str">
            <v>Non-proportional</v>
          </cell>
          <cell r="S13784">
            <v>-1.29</v>
          </cell>
          <cell r="X13784" t="str">
            <v>Commissions - gross</v>
          </cell>
          <cell r="Y13784" t="str">
            <v>DOMINICAN REPUBLIC</v>
          </cell>
        </row>
        <row r="13785">
          <cell r="L13785" t="str">
            <v>Non-proportional</v>
          </cell>
          <cell r="S13785">
            <v>235.78</v>
          </cell>
          <cell r="X13785" t="str">
            <v>Commissions - gross</v>
          </cell>
          <cell r="Y13785" t="str">
            <v>UNITED KINGDOM</v>
          </cell>
        </row>
        <row r="13786">
          <cell r="L13786" t="str">
            <v>Non-proportional</v>
          </cell>
          <cell r="S13786">
            <v>-3.78</v>
          </cell>
          <cell r="X13786" t="str">
            <v>Commissions - gross</v>
          </cell>
          <cell r="Y13786" t="str">
            <v>JAPAN</v>
          </cell>
        </row>
        <row r="13787">
          <cell r="L13787" t="str">
            <v>Non-proportional</v>
          </cell>
          <cell r="S13787">
            <v>884.39</v>
          </cell>
          <cell r="X13787" t="str">
            <v>Commissions - gross</v>
          </cell>
          <cell r="Y13787" t="str">
            <v>TURKEY</v>
          </cell>
        </row>
        <row r="13788">
          <cell r="L13788" t="str">
            <v>Non-proportional</v>
          </cell>
          <cell r="S13788">
            <v>2475</v>
          </cell>
          <cell r="X13788" t="str">
            <v>Commissions - gross</v>
          </cell>
          <cell r="Y13788" t="str">
            <v>GREECE</v>
          </cell>
        </row>
        <row r="13789">
          <cell r="L13789" t="str">
            <v>Non-proportional</v>
          </cell>
          <cell r="S13789">
            <v>74.040000000000006</v>
          </cell>
          <cell r="X13789" t="str">
            <v>Commissions - gross</v>
          </cell>
          <cell r="Y13789" t="str">
            <v>FRANCE</v>
          </cell>
        </row>
        <row r="13790">
          <cell r="L13790" t="str">
            <v>Non-proportional</v>
          </cell>
          <cell r="S13790">
            <v>750.3</v>
          </cell>
          <cell r="X13790" t="str">
            <v>Commissions - gross</v>
          </cell>
          <cell r="Y13790" t="str">
            <v>CYPRUS</v>
          </cell>
        </row>
        <row r="13791">
          <cell r="L13791" t="str">
            <v>Non-proportional</v>
          </cell>
          <cell r="S13791">
            <v>450.63</v>
          </cell>
          <cell r="X13791" t="str">
            <v>Commissions - gross</v>
          </cell>
          <cell r="Y13791" t="str">
            <v>CHILE</v>
          </cell>
        </row>
        <row r="13792">
          <cell r="L13792" t="str">
            <v>Proportional</v>
          </cell>
          <cell r="S13792">
            <v>492.98</v>
          </cell>
          <cell r="X13792" t="str">
            <v>Commissions - gross</v>
          </cell>
          <cell r="Y13792" t="str">
            <v>FRANCE</v>
          </cell>
        </row>
        <row r="13793">
          <cell r="L13793" t="str">
            <v>Non-proportional</v>
          </cell>
          <cell r="S13793">
            <v>618.88</v>
          </cell>
          <cell r="X13793" t="str">
            <v>Commissions - gross</v>
          </cell>
          <cell r="Y13793" t="str">
            <v>JAPAN</v>
          </cell>
        </row>
        <row r="13794">
          <cell r="L13794" t="str">
            <v>Non-proportional</v>
          </cell>
          <cell r="S13794">
            <v>34.950000000000003</v>
          </cell>
          <cell r="X13794" t="str">
            <v>Commissions - gross</v>
          </cell>
          <cell r="Y13794" t="str">
            <v>DOMINICAN REPUBLIC</v>
          </cell>
        </row>
        <row r="13795">
          <cell r="L13795" t="str">
            <v>Non-proportional</v>
          </cell>
          <cell r="S13795">
            <v>345.25</v>
          </cell>
          <cell r="X13795" t="str">
            <v>Commissions - gross</v>
          </cell>
          <cell r="Y13795" t="str">
            <v>BRAZIL</v>
          </cell>
        </row>
        <row r="13796">
          <cell r="L13796" t="str">
            <v>Non-proportional</v>
          </cell>
          <cell r="S13796">
            <v>721.88</v>
          </cell>
          <cell r="X13796" t="str">
            <v>Commissions - gross</v>
          </cell>
          <cell r="Y13796" t="str">
            <v>FRANCE</v>
          </cell>
        </row>
        <row r="13797">
          <cell r="L13797" t="str">
            <v>Proportional</v>
          </cell>
          <cell r="S13797">
            <v>18.350000000000001</v>
          </cell>
          <cell r="X13797" t="str">
            <v>Commissions - gross</v>
          </cell>
          <cell r="Y13797" t="str">
            <v>UNITED STATES</v>
          </cell>
        </row>
        <row r="13798">
          <cell r="L13798" t="str">
            <v>Non-proportional</v>
          </cell>
          <cell r="S13798">
            <v>1266.46</v>
          </cell>
          <cell r="X13798" t="str">
            <v>Commissions - gross</v>
          </cell>
          <cell r="Y13798" t="str">
            <v>FRANCE</v>
          </cell>
        </row>
        <row r="13799">
          <cell r="L13799" t="str">
            <v>Non-proportional</v>
          </cell>
          <cell r="S13799">
            <v>7549.64</v>
          </cell>
          <cell r="X13799" t="str">
            <v>Commissions - gross</v>
          </cell>
          <cell r="Y13799" t="str">
            <v>UNITED KINGDOM</v>
          </cell>
        </row>
        <row r="13800">
          <cell r="L13800" t="str">
            <v>Non-proportional</v>
          </cell>
          <cell r="S13800">
            <v>-19.28</v>
          </cell>
          <cell r="X13800" t="str">
            <v>Commissions - gross</v>
          </cell>
          <cell r="Y13800" t="str">
            <v>JAPAN</v>
          </cell>
        </row>
        <row r="13801">
          <cell r="L13801" t="str">
            <v>Non-proportional</v>
          </cell>
          <cell r="S13801">
            <v>-3.93</v>
          </cell>
          <cell r="X13801" t="str">
            <v>Commissions - gross</v>
          </cell>
          <cell r="Y13801" t="str">
            <v>JAPAN</v>
          </cell>
        </row>
        <row r="13802">
          <cell r="L13802" t="str">
            <v>Non-proportional</v>
          </cell>
          <cell r="S13802">
            <v>119.79</v>
          </cell>
          <cell r="X13802" t="str">
            <v>Commissions - gross</v>
          </cell>
          <cell r="Y13802" t="str">
            <v>GERMANY</v>
          </cell>
        </row>
        <row r="13803">
          <cell r="L13803" t="str">
            <v>Non-proportional</v>
          </cell>
          <cell r="S13803">
            <v>901.35</v>
          </cell>
          <cell r="X13803" t="str">
            <v>Commissions - gross</v>
          </cell>
          <cell r="Y13803" t="str">
            <v>ECUADOR</v>
          </cell>
        </row>
        <row r="13804">
          <cell r="L13804" t="str">
            <v>Non-proportional</v>
          </cell>
          <cell r="S13804">
            <v>572.54</v>
          </cell>
          <cell r="X13804" t="str">
            <v>Commissions - gross</v>
          </cell>
          <cell r="Y13804" t="str">
            <v>COSTA RICA</v>
          </cell>
        </row>
        <row r="13805">
          <cell r="L13805" t="str">
            <v>Non-proportional</v>
          </cell>
          <cell r="S13805">
            <v>2499.98</v>
          </cell>
          <cell r="X13805" t="str">
            <v>Commissions - gross</v>
          </cell>
          <cell r="Y13805" t="str">
            <v>FRANCE</v>
          </cell>
        </row>
        <row r="13806">
          <cell r="L13806" t="str">
            <v>Non-proportional</v>
          </cell>
          <cell r="S13806">
            <v>79.319999999999993</v>
          </cell>
          <cell r="X13806" t="str">
            <v>Commissions - gross</v>
          </cell>
          <cell r="Y13806" t="str">
            <v>PERU</v>
          </cell>
        </row>
        <row r="13807">
          <cell r="L13807" t="str">
            <v>Proportional</v>
          </cell>
          <cell r="S13807">
            <v>7.62</v>
          </cell>
          <cell r="X13807" t="str">
            <v>Commissions - gross</v>
          </cell>
          <cell r="Y13807" t="str">
            <v>UNITED STATES</v>
          </cell>
        </row>
        <row r="13808">
          <cell r="L13808" t="str">
            <v>Non-proportional</v>
          </cell>
          <cell r="S13808">
            <v>415.46</v>
          </cell>
          <cell r="X13808" t="str">
            <v>Commissions - gross</v>
          </cell>
          <cell r="Y13808" t="str">
            <v>UNITED KINGDOM</v>
          </cell>
        </row>
        <row r="13809">
          <cell r="L13809" t="str">
            <v>Non-proportional</v>
          </cell>
          <cell r="S13809">
            <v>337.97</v>
          </cell>
          <cell r="X13809" t="str">
            <v>Commissions - gross</v>
          </cell>
          <cell r="Y13809" t="str">
            <v>CHILE</v>
          </cell>
        </row>
        <row r="13810">
          <cell r="L13810" t="str">
            <v>Non-proportional</v>
          </cell>
          <cell r="S13810">
            <v>-20.89</v>
          </cell>
          <cell r="X13810" t="str">
            <v>Commissions - gross</v>
          </cell>
          <cell r="Y13810" t="str">
            <v>NEW ZEALAND</v>
          </cell>
        </row>
        <row r="13811">
          <cell r="L13811" t="str">
            <v>Non-proportional</v>
          </cell>
          <cell r="S13811">
            <v>0</v>
          </cell>
          <cell r="X13811" t="str">
            <v>Commissions - gross</v>
          </cell>
          <cell r="Y13811" t="str">
            <v>COLOMBIA</v>
          </cell>
        </row>
        <row r="13812">
          <cell r="L13812" t="str">
            <v>Non-proportional</v>
          </cell>
          <cell r="S13812">
            <v>13606.17</v>
          </cell>
          <cell r="X13812" t="str">
            <v>Commissions - gross</v>
          </cell>
          <cell r="Y13812" t="str">
            <v>UNITED KINGDOM</v>
          </cell>
        </row>
        <row r="13813">
          <cell r="L13813" t="str">
            <v>Non-proportional</v>
          </cell>
          <cell r="S13813">
            <v>-0.55000000000000004</v>
          </cell>
          <cell r="X13813" t="str">
            <v>Commissions - gross</v>
          </cell>
          <cell r="Y13813" t="str">
            <v>GUATEMALA</v>
          </cell>
        </row>
        <row r="13814">
          <cell r="L13814" t="str">
            <v>Non-proportional</v>
          </cell>
          <cell r="S13814">
            <v>-1.65</v>
          </cell>
          <cell r="X13814" t="str">
            <v>Commissions - gross</v>
          </cell>
          <cell r="Y13814" t="str">
            <v>JAPAN</v>
          </cell>
        </row>
        <row r="13815">
          <cell r="L13815" t="str">
            <v>Non-proportional</v>
          </cell>
          <cell r="S13815">
            <v>0</v>
          </cell>
          <cell r="X13815" t="str">
            <v>Commissions - gross</v>
          </cell>
          <cell r="Y13815" t="str">
            <v>DOMINICAN REPUBLIC</v>
          </cell>
        </row>
        <row r="13816">
          <cell r="L13816" t="str">
            <v>Non-proportional</v>
          </cell>
          <cell r="S13816">
            <v>299.97000000000003</v>
          </cell>
          <cell r="X13816" t="str">
            <v>Commissions - gross</v>
          </cell>
          <cell r="Y13816" t="str">
            <v>NETHERLANDS</v>
          </cell>
        </row>
        <row r="13817">
          <cell r="L13817" t="str">
            <v>Proportional</v>
          </cell>
          <cell r="S13817">
            <v>-51.51</v>
          </cell>
          <cell r="X13817" t="str">
            <v>Commissions - gross</v>
          </cell>
          <cell r="Y13817" t="str">
            <v>CANADA</v>
          </cell>
        </row>
        <row r="13818">
          <cell r="L13818" t="str">
            <v>Non-proportional</v>
          </cell>
          <cell r="S13818">
            <v>556.55999999999995</v>
          </cell>
          <cell r="X13818" t="str">
            <v>Commissions - gross</v>
          </cell>
          <cell r="Y13818" t="str">
            <v>ISRAEL</v>
          </cell>
        </row>
        <row r="13819">
          <cell r="L13819" t="str">
            <v>Non-proportional</v>
          </cell>
          <cell r="S13819">
            <v>41.77</v>
          </cell>
          <cell r="X13819" t="str">
            <v>Commissions - gross</v>
          </cell>
          <cell r="Y13819" t="str">
            <v>NETHERLANDS</v>
          </cell>
        </row>
        <row r="13820">
          <cell r="L13820" t="str">
            <v>Non-proportional</v>
          </cell>
          <cell r="S13820">
            <v>99.8</v>
          </cell>
          <cell r="X13820" t="str">
            <v>Commissions - gross</v>
          </cell>
          <cell r="Y13820" t="str">
            <v>ISRAEL</v>
          </cell>
        </row>
        <row r="13821">
          <cell r="L13821" t="str">
            <v>Non-proportional</v>
          </cell>
          <cell r="S13821">
            <v>465.57</v>
          </cell>
          <cell r="X13821" t="str">
            <v>Commissions - gross</v>
          </cell>
          <cell r="Y13821" t="str">
            <v>SPAIN</v>
          </cell>
        </row>
        <row r="13822">
          <cell r="L13822" t="str">
            <v>Non-proportional</v>
          </cell>
          <cell r="S13822">
            <v>277.99</v>
          </cell>
          <cell r="X13822" t="str">
            <v>Commissions - gross</v>
          </cell>
          <cell r="Y13822" t="str">
            <v>ISRAEL</v>
          </cell>
        </row>
        <row r="13823">
          <cell r="L13823" t="str">
            <v>Non-proportional</v>
          </cell>
          <cell r="S13823">
            <v>668.33</v>
          </cell>
          <cell r="X13823" t="str">
            <v>Commissions - gross</v>
          </cell>
          <cell r="Y13823" t="str">
            <v>FRANCE</v>
          </cell>
        </row>
        <row r="13824">
          <cell r="L13824" t="str">
            <v>Non-proportional</v>
          </cell>
          <cell r="S13824">
            <v>853.13</v>
          </cell>
          <cell r="X13824" t="str">
            <v>Commissions - gross</v>
          </cell>
          <cell r="Y13824" t="str">
            <v>TURKEY</v>
          </cell>
        </row>
        <row r="13825">
          <cell r="L13825" t="str">
            <v>Non-proportional</v>
          </cell>
          <cell r="S13825">
            <v>-11.84</v>
          </cell>
          <cell r="X13825" t="str">
            <v>Commissions - gross</v>
          </cell>
          <cell r="Y13825" t="str">
            <v>DOMINICAN REPUBLIC</v>
          </cell>
        </row>
        <row r="13826">
          <cell r="L13826" t="str">
            <v>Non-proportional</v>
          </cell>
          <cell r="S13826">
            <v>355.36</v>
          </cell>
          <cell r="X13826" t="str">
            <v>Commissions - gross</v>
          </cell>
          <cell r="Y13826" t="str">
            <v>UNITED KINGDOM</v>
          </cell>
        </row>
        <row r="13827">
          <cell r="L13827" t="str">
            <v>Non-proportional</v>
          </cell>
          <cell r="S13827">
            <v>-1.26</v>
          </cell>
          <cell r="X13827" t="str">
            <v>Commissions - gross</v>
          </cell>
          <cell r="Y13827" t="str">
            <v>GUATEMALA</v>
          </cell>
        </row>
        <row r="13828">
          <cell r="L13828" t="str">
            <v>Non-proportional</v>
          </cell>
          <cell r="S13828">
            <v>391.63</v>
          </cell>
          <cell r="X13828" t="str">
            <v>Commissions - gross</v>
          </cell>
          <cell r="Y13828" t="str">
            <v>ISRAEL</v>
          </cell>
        </row>
        <row r="13829">
          <cell r="L13829" t="str">
            <v>Non-proportional</v>
          </cell>
          <cell r="S13829">
            <v>1093.8900000000001</v>
          </cell>
          <cell r="X13829" t="str">
            <v>Commissions - gross</v>
          </cell>
          <cell r="Y13829" t="str">
            <v>PERU</v>
          </cell>
        </row>
        <row r="13830">
          <cell r="L13830" t="str">
            <v>Non-proportional</v>
          </cell>
          <cell r="S13830">
            <v>109.46</v>
          </cell>
          <cell r="X13830" t="str">
            <v>Commissions - gross</v>
          </cell>
          <cell r="Y13830" t="str">
            <v>COSTA RICA</v>
          </cell>
        </row>
        <row r="13831">
          <cell r="L13831" t="str">
            <v>Non-proportional</v>
          </cell>
          <cell r="S13831">
            <v>621.84</v>
          </cell>
          <cell r="X13831" t="str">
            <v>Commissions - gross</v>
          </cell>
          <cell r="Y13831" t="str">
            <v>ECUADOR</v>
          </cell>
        </row>
        <row r="13832">
          <cell r="L13832" t="str">
            <v>Non-proportional</v>
          </cell>
          <cell r="S13832">
            <v>1015.63</v>
          </cell>
          <cell r="X13832" t="str">
            <v>Commissions - gross</v>
          </cell>
          <cell r="Y13832" t="str">
            <v>EUROPE</v>
          </cell>
        </row>
        <row r="13833">
          <cell r="L13833" t="str">
            <v>Non-proportional</v>
          </cell>
          <cell r="S13833">
            <v>909.57</v>
          </cell>
          <cell r="X13833" t="str">
            <v>Commissions - gross</v>
          </cell>
          <cell r="Y13833" t="str">
            <v>PUERTO RICO</v>
          </cell>
        </row>
        <row r="13834">
          <cell r="L13834" t="str">
            <v>Non-proportional</v>
          </cell>
          <cell r="S13834">
            <v>596.44000000000005</v>
          </cell>
          <cell r="X13834" t="str">
            <v>Commissions - gross</v>
          </cell>
          <cell r="Y13834" t="str">
            <v>JAPAN</v>
          </cell>
        </row>
        <row r="13835">
          <cell r="L13835" t="str">
            <v>Non-proportional</v>
          </cell>
          <cell r="S13835">
            <v>93.21</v>
          </cell>
          <cell r="X13835" t="str">
            <v>Commissions - gross</v>
          </cell>
          <cell r="Y13835" t="str">
            <v>SOUTH AFRICA</v>
          </cell>
        </row>
        <row r="13836">
          <cell r="L13836" t="str">
            <v>Non-proportional</v>
          </cell>
          <cell r="S13836">
            <v>756.32</v>
          </cell>
          <cell r="X13836" t="str">
            <v>Commissions - gross</v>
          </cell>
          <cell r="Y13836" t="str">
            <v>NEW ZEALAND</v>
          </cell>
        </row>
        <row r="13837">
          <cell r="L13837" t="str">
            <v>Proportional</v>
          </cell>
          <cell r="S13837">
            <v>120.71</v>
          </cell>
          <cell r="X13837" t="str">
            <v>Commissions - gross</v>
          </cell>
          <cell r="Y13837" t="str">
            <v>ITALY</v>
          </cell>
        </row>
        <row r="13838">
          <cell r="L13838" t="str">
            <v>Non-proportional</v>
          </cell>
          <cell r="S13838">
            <v>295.51</v>
          </cell>
          <cell r="X13838" t="str">
            <v>Commissions - gross</v>
          </cell>
          <cell r="Y13838" t="str">
            <v>UNITED KINGDOM</v>
          </cell>
        </row>
        <row r="13839">
          <cell r="L13839" t="str">
            <v>Non-proportional</v>
          </cell>
          <cell r="S13839">
            <v>262.01</v>
          </cell>
          <cell r="X13839" t="str">
            <v>Commissions - gross</v>
          </cell>
          <cell r="Y13839" t="str">
            <v>UNITED KINGDOM</v>
          </cell>
        </row>
        <row r="13840">
          <cell r="L13840" t="str">
            <v>Non-proportional</v>
          </cell>
          <cell r="S13840">
            <v>0</v>
          </cell>
          <cell r="X13840" t="str">
            <v>Commissions - gross</v>
          </cell>
          <cell r="Y13840" t="str">
            <v>COLOMBIA</v>
          </cell>
        </row>
        <row r="13841">
          <cell r="L13841" t="str">
            <v>Non-proportional</v>
          </cell>
          <cell r="S13841">
            <v>-20.010000000000002</v>
          </cell>
          <cell r="X13841" t="str">
            <v>Commissions - gross</v>
          </cell>
          <cell r="Y13841" t="str">
            <v>JAPAN</v>
          </cell>
        </row>
        <row r="13842">
          <cell r="L13842" t="str">
            <v>Non-proportional</v>
          </cell>
          <cell r="S13842">
            <v>-24.2</v>
          </cell>
          <cell r="X13842" t="str">
            <v>Commissions - gross</v>
          </cell>
          <cell r="Y13842" t="str">
            <v>JAPAN</v>
          </cell>
        </row>
        <row r="13843">
          <cell r="L13843" t="str">
            <v>Non-proportional</v>
          </cell>
          <cell r="S13843">
            <v>-5.04</v>
          </cell>
          <cell r="X13843" t="str">
            <v>Commissions - gross</v>
          </cell>
          <cell r="Y13843" t="str">
            <v>JAPAN</v>
          </cell>
        </row>
        <row r="13844">
          <cell r="L13844" t="str">
            <v>Non-proportional</v>
          </cell>
          <cell r="S13844">
            <v>-45.83</v>
          </cell>
          <cell r="X13844" t="str">
            <v>Commissions - gross</v>
          </cell>
          <cell r="Y13844" t="str">
            <v>AUSTRALIA</v>
          </cell>
        </row>
        <row r="13845">
          <cell r="L13845" t="str">
            <v>Non-proportional</v>
          </cell>
          <cell r="S13845">
            <v>0</v>
          </cell>
          <cell r="X13845" t="str">
            <v>Commissions - gross</v>
          </cell>
          <cell r="Y13845" t="str">
            <v>DOMINICAN REPUBLIC</v>
          </cell>
        </row>
        <row r="13846">
          <cell r="L13846" t="str">
            <v>Proportional</v>
          </cell>
          <cell r="S13846">
            <v>37.549999999999997</v>
          </cell>
          <cell r="X13846" t="str">
            <v>Commissions - gross</v>
          </cell>
          <cell r="Y13846" t="str">
            <v>CHILE</v>
          </cell>
        </row>
        <row r="13847">
          <cell r="L13847" t="str">
            <v>Non-proportional</v>
          </cell>
          <cell r="S13847">
            <v>494.91</v>
          </cell>
          <cell r="X13847" t="str">
            <v>Commissions - gross</v>
          </cell>
          <cell r="Y13847" t="str">
            <v>NETHERLANDS</v>
          </cell>
        </row>
        <row r="13848">
          <cell r="L13848" t="str">
            <v>Non-proportional</v>
          </cell>
          <cell r="S13848">
            <v>88.44</v>
          </cell>
          <cell r="X13848" t="str">
            <v>Commissions - gross</v>
          </cell>
          <cell r="Y13848" t="str">
            <v>FRANCE</v>
          </cell>
        </row>
        <row r="13849">
          <cell r="L13849" t="str">
            <v>Non-proportional</v>
          </cell>
          <cell r="S13849">
            <v>262.01</v>
          </cell>
          <cell r="X13849" t="str">
            <v>Commissions - gross</v>
          </cell>
          <cell r="Y13849" t="str">
            <v>DOMINICAN REPUBLIC</v>
          </cell>
        </row>
        <row r="13850">
          <cell r="L13850" t="str">
            <v>Non-proportional</v>
          </cell>
          <cell r="S13850">
            <v>293.24</v>
          </cell>
          <cell r="X13850" t="str">
            <v>Commissions - gross</v>
          </cell>
          <cell r="Y13850" t="str">
            <v>ECUADOR</v>
          </cell>
        </row>
        <row r="13851">
          <cell r="L13851" t="str">
            <v>Proportional</v>
          </cell>
          <cell r="S13851">
            <v>80.81</v>
          </cell>
          <cell r="X13851" t="str">
            <v>Commissions - gross</v>
          </cell>
          <cell r="Y13851" t="str">
            <v>UNITED STATES</v>
          </cell>
        </row>
        <row r="13852">
          <cell r="L13852" t="str">
            <v>Non-proportional</v>
          </cell>
          <cell r="S13852">
            <v>0.42</v>
          </cell>
          <cell r="X13852" t="str">
            <v>Commissions - gross</v>
          </cell>
          <cell r="Y13852" t="str">
            <v>COSTA RICA</v>
          </cell>
        </row>
        <row r="13853">
          <cell r="L13853" t="str">
            <v>Non-proportional</v>
          </cell>
          <cell r="S13853">
            <v>1433.12</v>
          </cell>
          <cell r="X13853" t="str">
            <v>Commissions - gross</v>
          </cell>
          <cell r="Y13853" t="str">
            <v>FRANCE</v>
          </cell>
        </row>
        <row r="13854">
          <cell r="L13854" t="str">
            <v>Non-proportional</v>
          </cell>
          <cell r="S13854">
            <v>0</v>
          </cell>
          <cell r="X13854" t="str">
            <v>Commissions - gross</v>
          </cell>
          <cell r="Y13854" t="str">
            <v>COLOMBIA</v>
          </cell>
        </row>
        <row r="13855">
          <cell r="L13855" t="str">
            <v>Non-proportional</v>
          </cell>
          <cell r="S13855">
            <v>3.14</v>
          </cell>
          <cell r="X13855" t="str">
            <v>Commissions - gross</v>
          </cell>
          <cell r="Y13855" t="str">
            <v>ISRAEL</v>
          </cell>
        </row>
        <row r="13856">
          <cell r="L13856" t="str">
            <v>Non-proportional</v>
          </cell>
          <cell r="S13856">
            <v>-5.24</v>
          </cell>
          <cell r="X13856" t="str">
            <v>Commissions - gross</v>
          </cell>
          <cell r="Y13856" t="str">
            <v>JAPAN</v>
          </cell>
        </row>
        <row r="13857">
          <cell r="L13857" t="str">
            <v>Non-proportional</v>
          </cell>
          <cell r="S13857">
            <v>-6.43</v>
          </cell>
          <cell r="X13857" t="str">
            <v>Commissions - gross</v>
          </cell>
          <cell r="Y13857" t="str">
            <v>JAPAN</v>
          </cell>
        </row>
        <row r="13858">
          <cell r="L13858" t="str">
            <v>Non-proportional</v>
          </cell>
          <cell r="S13858">
            <v>-7.45</v>
          </cell>
          <cell r="X13858" t="str">
            <v>Commissions - gross</v>
          </cell>
          <cell r="Y13858" t="str">
            <v>JAPAN</v>
          </cell>
        </row>
        <row r="13859">
          <cell r="L13859" t="str">
            <v>Non-proportional</v>
          </cell>
          <cell r="S13859">
            <v>0</v>
          </cell>
          <cell r="X13859" t="str">
            <v>Commissions - gross</v>
          </cell>
          <cell r="Y13859" t="str">
            <v>DOMINICAN REPUBLIC</v>
          </cell>
        </row>
        <row r="13860">
          <cell r="L13860" t="str">
            <v>Non-proportional</v>
          </cell>
          <cell r="S13860">
            <v>-88.48</v>
          </cell>
          <cell r="X13860" t="str">
            <v>Commissions - gross</v>
          </cell>
          <cell r="Y13860" t="str">
            <v>JAPAN</v>
          </cell>
        </row>
        <row r="13861">
          <cell r="L13861" t="str">
            <v>Non-proportional</v>
          </cell>
          <cell r="S13861">
            <v>145.9</v>
          </cell>
          <cell r="X13861" t="str">
            <v>Commissions - gross</v>
          </cell>
          <cell r="Y13861" t="str">
            <v>GUATEMALA</v>
          </cell>
        </row>
        <row r="13862">
          <cell r="L13862" t="str">
            <v>Non-proportional</v>
          </cell>
          <cell r="S13862">
            <v>34.54</v>
          </cell>
          <cell r="X13862" t="str">
            <v>Commissions - gross</v>
          </cell>
          <cell r="Y13862" t="str">
            <v>NEW ZEALAND</v>
          </cell>
        </row>
        <row r="13863">
          <cell r="L13863" t="str">
            <v>Non-proportional</v>
          </cell>
          <cell r="S13863">
            <v>194.62</v>
          </cell>
          <cell r="X13863" t="str">
            <v>Commissions - gross</v>
          </cell>
          <cell r="Y13863" t="str">
            <v>ISRAEL</v>
          </cell>
        </row>
        <row r="13864">
          <cell r="L13864" t="str">
            <v>Non-proportional</v>
          </cell>
          <cell r="S13864">
            <v>885.5</v>
          </cell>
          <cell r="X13864" t="str">
            <v>Commissions - gross</v>
          </cell>
          <cell r="Y13864" t="str">
            <v>GERMANY</v>
          </cell>
        </row>
        <row r="13865">
          <cell r="L13865" t="str">
            <v>Non-proportional</v>
          </cell>
          <cell r="S13865">
            <v>1.19</v>
          </cell>
          <cell r="X13865" t="str">
            <v>Commissions - gross</v>
          </cell>
          <cell r="Y13865" t="str">
            <v>ISRAEL</v>
          </cell>
        </row>
        <row r="13866">
          <cell r="L13866" t="str">
            <v>Non-proportional</v>
          </cell>
          <cell r="S13866">
            <v>976.37</v>
          </cell>
          <cell r="X13866" t="str">
            <v>Commissions - gross</v>
          </cell>
          <cell r="Y13866" t="str">
            <v>CHILE</v>
          </cell>
        </row>
        <row r="13867">
          <cell r="L13867" t="str">
            <v>Non-proportional</v>
          </cell>
          <cell r="S13867">
            <v>271.72000000000003</v>
          </cell>
          <cell r="X13867" t="str">
            <v>Commissions - gross</v>
          </cell>
          <cell r="Y13867" t="str">
            <v>JAPAN</v>
          </cell>
        </row>
        <row r="13868">
          <cell r="L13868" t="str">
            <v>Non-proportional</v>
          </cell>
          <cell r="S13868">
            <v>171.8</v>
          </cell>
          <cell r="X13868" t="str">
            <v>Commissions - gross</v>
          </cell>
          <cell r="Y13868" t="str">
            <v>FRANCE</v>
          </cell>
        </row>
        <row r="13869">
          <cell r="L13869" t="str">
            <v>Non-proportional</v>
          </cell>
          <cell r="S13869">
            <v>262.87</v>
          </cell>
          <cell r="X13869" t="str">
            <v>Commissions - gross</v>
          </cell>
          <cell r="Y13869" t="str">
            <v>CHILE</v>
          </cell>
        </row>
        <row r="13870">
          <cell r="L13870" t="str">
            <v>Non-proportional</v>
          </cell>
          <cell r="S13870">
            <v>-28.99</v>
          </cell>
          <cell r="X13870" t="str">
            <v>Commissions - gross</v>
          </cell>
          <cell r="Y13870" t="str">
            <v>NEW ZEALAND</v>
          </cell>
        </row>
        <row r="13871">
          <cell r="L13871" t="str">
            <v>Non-proportional</v>
          </cell>
          <cell r="S13871">
            <v>138.68</v>
          </cell>
          <cell r="X13871" t="str">
            <v>Commissions - gross</v>
          </cell>
          <cell r="Y13871" t="str">
            <v>UNITED KINGDOM</v>
          </cell>
        </row>
        <row r="13872">
          <cell r="L13872" t="str">
            <v>Non-proportional</v>
          </cell>
          <cell r="S13872">
            <v>0</v>
          </cell>
          <cell r="X13872" t="str">
            <v>Commissions - gross</v>
          </cell>
          <cell r="Y13872" t="str">
            <v>COLOMBIA</v>
          </cell>
        </row>
        <row r="13873">
          <cell r="L13873" t="str">
            <v>Non-proportional</v>
          </cell>
          <cell r="S13873">
            <v>6418.3</v>
          </cell>
          <cell r="X13873" t="str">
            <v>Commissions - gross</v>
          </cell>
          <cell r="Y13873" t="str">
            <v>UNITED KINGDOM</v>
          </cell>
        </row>
        <row r="13874">
          <cell r="L13874" t="str">
            <v>Non-proportional</v>
          </cell>
          <cell r="S13874">
            <v>-3.92</v>
          </cell>
          <cell r="X13874" t="str">
            <v>Commissions - gross</v>
          </cell>
          <cell r="Y13874" t="str">
            <v>COLOMBIA</v>
          </cell>
        </row>
        <row r="13875">
          <cell r="L13875" t="str">
            <v>Non-proportional</v>
          </cell>
          <cell r="S13875">
            <v>1000.99</v>
          </cell>
          <cell r="X13875" t="str">
            <v>Commissions - gross</v>
          </cell>
          <cell r="Y13875" t="str">
            <v>NEW ZEALAND</v>
          </cell>
        </row>
        <row r="13876">
          <cell r="L13876" t="str">
            <v>Non-proportional</v>
          </cell>
          <cell r="S13876">
            <v>85.11</v>
          </cell>
          <cell r="X13876" t="str">
            <v>Commissions - gross</v>
          </cell>
          <cell r="Y13876" t="str">
            <v>COSTA RICA</v>
          </cell>
        </row>
        <row r="13877">
          <cell r="L13877" t="str">
            <v>Proportional</v>
          </cell>
          <cell r="S13877">
            <v>75.11</v>
          </cell>
          <cell r="X13877" t="str">
            <v>Commissions - gross</v>
          </cell>
          <cell r="Y13877" t="str">
            <v>CHILE</v>
          </cell>
        </row>
        <row r="13878">
          <cell r="L13878" t="str">
            <v>Non-proportional</v>
          </cell>
          <cell r="S13878">
            <v>424.47</v>
          </cell>
          <cell r="X13878" t="str">
            <v>Commissions - gross</v>
          </cell>
          <cell r="Y13878" t="str">
            <v>COLOMBIA</v>
          </cell>
        </row>
        <row r="13879">
          <cell r="L13879" t="str">
            <v>Non-proportional</v>
          </cell>
          <cell r="S13879">
            <v>41.51</v>
          </cell>
          <cell r="X13879" t="str">
            <v>Commissions - gross</v>
          </cell>
          <cell r="Y13879" t="str">
            <v>JAPAN</v>
          </cell>
        </row>
        <row r="13880">
          <cell r="L13880" t="str">
            <v>Non-proportional</v>
          </cell>
          <cell r="S13880">
            <v>324.23</v>
          </cell>
          <cell r="X13880" t="str">
            <v>Commissions - gross</v>
          </cell>
          <cell r="Y13880" t="str">
            <v>DOMINICAN REPUBLIC</v>
          </cell>
        </row>
        <row r="13881">
          <cell r="L13881" t="str">
            <v>Non-proportional</v>
          </cell>
          <cell r="S13881">
            <v>244.78</v>
          </cell>
          <cell r="X13881" t="str">
            <v>Commissions - gross</v>
          </cell>
          <cell r="Y13881" t="str">
            <v>INDIA</v>
          </cell>
        </row>
        <row r="13882">
          <cell r="L13882" t="str">
            <v>Non-proportional</v>
          </cell>
          <cell r="S13882">
            <v>950.01</v>
          </cell>
          <cell r="X13882" t="str">
            <v>Commissions - gross</v>
          </cell>
          <cell r="Y13882" t="str">
            <v>TURKEY</v>
          </cell>
        </row>
        <row r="13883">
          <cell r="L13883" t="str">
            <v>Proportional</v>
          </cell>
          <cell r="S13883">
            <v>1675.19</v>
          </cell>
          <cell r="X13883" t="str">
            <v>Commissions - gross</v>
          </cell>
          <cell r="Y13883" t="str">
            <v>ITALY</v>
          </cell>
        </row>
        <row r="13884">
          <cell r="L13884" t="str">
            <v>Non-proportional</v>
          </cell>
          <cell r="S13884">
            <v>166.46</v>
          </cell>
          <cell r="X13884" t="str">
            <v>Commissions - gross</v>
          </cell>
          <cell r="Y13884" t="str">
            <v>FRANCE</v>
          </cell>
        </row>
        <row r="13885">
          <cell r="L13885" t="str">
            <v>Non-proportional</v>
          </cell>
          <cell r="S13885">
            <v>0</v>
          </cell>
          <cell r="X13885" t="str">
            <v>Commissions - gross</v>
          </cell>
          <cell r="Y13885" t="str">
            <v>COLOMBIA</v>
          </cell>
        </row>
        <row r="13886">
          <cell r="L13886" t="str">
            <v>Non-proportional</v>
          </cell>
          <cell r="S13886">
            <v>2233.9699999999998</v>
          </cell>
          <cell r="X13886" t="str">
            <v>Commissions - gross</v>
          </cell>
          <cell r="Y13886" t="str">
            <v>PUERTO RICO</v>
          </cell>
        </row>
        <row r="13887">
          <cell r="L13887" t="str">
            <v>Non-proportional</v>
          </cell>
          <cell r="S13887">
            <v>1370.21</v>
          </cell>
          <cell r="X13887" t="str">
            <v>Commissions - gross</v>
          </cell>
          <cell r="Y13887" t="str">
            <v>ISRAEL</v>
          </cell>
        </row>
        <row r="13888">
          <cell r="L13888" t="str">
            <v>Non-proportional</v>
          </cell>
          <cell r="S13888">
            <v>392.13</v>
          </cell>
          <cell r="X13888" t="str">
            <v>Commissions - gross</v>
          </cell>
          <cell r="Y13888" t="str">
            <v>ECUADOR</v>
          </cell>
        </row>
        <row r="13889">
          <cell r="L13889" t="str">
            <v>Non-proportional</v>
          </cell>
          <cell r="S13889">
            <v>106.38</v>
          </cell>
          <cell r="X13889" t="str">
            <v>Commissions - gross</v>
          </cell>
          <cell r="Y13889" t="str">
            <v>JAPAN</v>
          </cell>
        </row>
        <row r="13890">
          <cell r="L13890" t="str">
            <v>Non-proportional</v>
          </cell>
          <cell r="S13890">
            <v>145.04</v>
          </cell>
          <cell r="X13890" t="str">
            <v>Commissions - gross</v>
          </cell>
          <cell r="Y13890" t="str">
            <v>UNITED KINGDOM</v>
          </cell>
        </row>
        <row r="13891">
          <cell r="L13891" t="str">
            <v>Non-proportional</v>
          </cell>
          <cell r="S13891">
            <v>657.52</v>
          </cell>
          <cell r="X13891" t="str">
            <v>Commissions - gross</v>
          </cell>
          <cell r="Y13891" t="str">
            <v>UNITED KINGDOM</v>
          </cell>
        </row>
        <row r="13892">
          <cell r="L13892" t="str">
            <v>Non-proportional</v>
          </cell>
          <cell r="S13892">
            <v>174.97</v>
          </cell>
          <cell r="X13892" t="str">
            <v>Commissions - gross</v>
          </cell>
          <cell r="Y13892" t="str">
            <v>NETHERLANDS</v>
          </cell>
        </row>
        <row r="13893">
          <cell r="L13893" t="str">
            <v>Proportional</v>
          </cell>
          <cell r="S13893">
            <v>157.84</v>
          </cell>
          <cell r="X13893" t="str">
            <v>Commissions - gross</v>
          </cell>
          <cell r="Y13893" t="str">
            <v>INDIA</v>
          </cell>
        </row>
        <row r="13894">
          <cell r="L13894" t="str">
            <v>Non-proportional</v>
          </cell>
          <cell r="S13894">
            <v>58.71</v>
          </cell>
          <cell r="X13894" t="str">
            <v>Commissions - gross</v>
          </cell>
          <cell r="Y13894" t="str">
            <v>DOMINICAN REPUBLIC</v>
          </cell>
        </row>
        <row r="13895">
          <cell r="L13895" t="str">
            <v>Non-proportional</v>
          </cell>
          <cell r="S13895">
            <v>381.92</v>
          </cell>
          <cell r="X13895" t="str">
            <v>Commissions - gross</v>
          </cell>
          <cell r="Y13895" t="str">
            <v>DOMINICAN REPUBLIC</v>
          </cell>
        </row>
        <row r="13896">
          <cell r="L13896" t="str">
            <v>Non-proportional</v>
          </cell>
          <cell r="S13896">
            <v>202.79</v>
          </cell>
          <cell r="X13896" t="str">
            <v>Commissions - gross</v>
          </cell>
          <cell r="Y13896" t="str">
            <v>PERU</v>
          </cell>
        </row>
        <row r="13897">
          <cell r="L13897" t="str">
            <v>Non-proportional</v>
          </cell>
          <cell r="S13897">
            <v>-4.7699999999999996</v>
          </cell>
          <cell r="X13897" t="str">
            <v>Commissions - gross</v>
          </cell>
          <cell r="Y13897" t="str">
            <v>DOMINICAN REPUBLIC</v>
          </cell>
        </row>
        <row r="13898">
          <cell r="L13898" t="str">
            <v>Non-proportional</v>
          </cell>
          <cell r="S13898">
            <v>-14.5</v>
          </cell>
          <cell r="X13898" t="str">
            <v>Commissions - gross</v>
          </cell>
          <cell r="Y13898" t="str">
            <v>NEW ZEALAND</v>
          </cell>
        </row>
        <row r="13899">
          <cell r="L13899" t="str">
            <v>Non-proportional</v>
          </cell>
          <cell r="S13899">
            <v>1503.38</v>
          </cell>
          <cell r="X13899" t="str">
            <v>Commissions - gross</v>
          </cell>
          <cell r="Y13899" t="str">
            <v>UNITED KINGDOM</v>
          </cell>
        </row>
        <row r="13900">
          <cell r="L13900" t="str">
            <v>Non-proportional</v>
          </cell>
          <cell r="S13900">
            <v>263.51</v>
          </cell>
          <cell r="X13900" t="str">
            <v>Commissions - gross</v>
          </cell>
          <cell r="Y13900" t="str">
            <v>ISRAEL</v>
          </cell>
        </row>
        <row r="13901">
          <cell r="L13901" t="str">
            <v>Non-proportional</v>
          </cell>
          <cell r="S13901">
            <v>-26.86</v>
          </cell>
          <cell r="X13901" t="str">
            <v>Commissions - gross</v>
          </cell>
          <cell r="Y13901" t="str">
            <v>JAPAN</v>
          </cell>
        </row>
        <row r="13902">
          <cell r="L13902" t="str">
            <v>Proportional</v>
          </cell>
          <cell r="S13902">
            <v>486.36</v>
          </cell>
          <cell r="X13902" t="str">
            <v>Commissions - gross</v>
          </cell>
          <cell r="Y13902" t="str">
            <v>MEXICO</v>
          </cell>
        </row>
        <row r="13903">
          <cell r="L13903" t="str">
            <v>Non-proportional</v>
          </cell>
          <cell r="S13903">
            <v>521.77</v>
          </cell>
          <cell r="X13903" t="str">
            <v>Commissions - gross</v>
          </cell>
          <cell r="Y13903" t="str">
            <v>NEW ZEALAND</v>
          </cell>
        </row>
        <row r="13904">
          <cell r="L13904" t="str">
            <v>Non-proportional</v>
          </cell>
          <cell r="S13904">
            <v>159.69</v>
          </cell>
          <cell r="X13904" t="str">
            <v>Commissions - gross</v>
          </cell>
          <cell r="Y13904" t="str">
            <v>ECUADOR</v>
          </cell>
        </row>
        <row r="13905">
          <cell r="L13905" t="str">
            <v>Non-proportional</v>
          </cell>
          <cell r="S13905">
            <v>112.66</v>
          </cell>
          <cell r="X13905" t="str">
            <v>Commissions - gross</v>
          </cell>
          <cell r="Y13905" t="str">
            <v>CHILE</v>
          </cell>
        </row>
        <row r="13906">
          <cell r="L13906" t="str">
            <v>Non-proportional</v>
          </cell>
          <cell r="S13906">
            <v>391.73</v>
          </cell>
          <cell r="X13906" t="str">
            <v>Commissions - gross</v>
          </cell>
          <cell r="Y13906" t="str">
            <v>ITALY</v>
          </cell>
        </row>
        <row r="13907">
          <cell r="L13907" t="str">
            <v>Non-proportional</v>
          </cell>
          <cell r="S13907">
            <v>726.77</v>
          </cell>
          <cell r="X13907" t="str">
            <v>Commissions - gross</v>
          </cell>
          <cell r="Y13907" t="str">
            <v>FRANCE</v>
          </cell>
        </row>
        <row r="13908">
          <cell r="L13908" t="str">
            <v>Non-proportional</v>
          </cell>
          <cell r="S13908">
            <v>4555.3500000000004</v>
          </cell>
          <cell r="X13908" t="str">
            <v>Commissions - gross</v>
          </cell>
          <cell r="Y13908" t="str">
            <v>UNITED KINGDOM</v>
          </cell>
        </row>
        <row r="13909">
          <cell r="L13909" t="str">
            <v>Non-proportional</v>
          </cell>
          <cell r="S13909">
            <v>425.02</v>
          </cell>
          <cell r="X13909" t="str">
            <v>Commissions - gross</v>
          </cell>
          <cell r="Y13909" t="str">
            <v>ITALY</v>
          </cell>
        </row>
        <row r="13910">
          <cell r="L13910" t="str">
            <v>Non-proportional</v>
          </cell>
          <cell r="S13910">
            <v>831.87</v>
          </cell>
          <cell r="X13910" t="str">
            <v>Commissions - gross</v>
          </cell>
          <cell r="Y13910" t="str">
            <v>COLOMBIA</v>
          </cell>
        </row>
        <row r="13911">
          <cell r="L13911" t="str">
            <v>Proportional</v>
          </cell>
          <cell r="S13911">
            <v>82.22</v>
          </cell>
          <cell r="X13911" t="str">
            <v>Commissions - gross</v>
          </cell>
          <cell r="Y13911" t="str">
            <v>UNITED STATES</v>
          </cell>
        </row>
        <row r="13912">
          <cell r="L13912" t="str">
            <v>Non-proportional</v>
          </cell>
          <cell r="S13912">
            <v>54.38</v>
          </cell>
          <cell r="X13912" t="str">
            <v>Commissions - gross</v>
          </cell>
          <cell r="Y13912" t="str">
            <v>GREECE</v>
          </cell>
        </row>
        <row r="13913">
          <cell r="L13913" t="str">
            <v>Proportional</v>
          </cell>
          <cell r="S13913">
            <v>1.1100000000000001</v>
          </cell>
          <cell r="X13913" t="str">
            <v>Commissions - gross</v>
          </cell>
          <cell r="Y13913" t="str">
            <v>UNITED STATES</v>
          </cell>
        </row>
        <row r="13914">
          <cell r="L13914" t="str">
            <v>Non-proportional</v>
          </cell>
          <cell r="S13914">
            <v>3034.6</v>
          </cell>
          <cell r="X13914" t="str">
            <v>Commissions - gross</v>
          </cell>
          <cell r="Y13914" t="str">
            <v>FRANCE</v>
          </cell>
        </row>
        <row r="13915">
          <cell r="L13915" t="str">
            <v>Non-proportional</v>
          </cell>
          <cell r="S13915">
            <v>-13.01</v>
          </cell>
          <cell r="X13915" t="str">
            <v>Commissions - gross</v>
          </cell>
          <cell r="Y13915" t="str">
            <v>TURKEY</v>
          </cell>
        </row>
        <row r="13916">
          <cell r="L13916" t="str">
            <v>Non-proportional</v>
          </cell>
          <cell r="S13916">
            <v>397.06</v>
          </cell>
          <cell r="X13916" t="str">
            <v>Commissions - gross</v>
          </cell>
          <cell r="Y13916" t="str">
            <v>ECUADOR</v>
          </cell>
        </row>
        <row r="13917">
          <cell r="L13917" t="str">
            <v>Non-proportional</v>
          </cell>
          <cell r="S13917">
            <v>472.71</v>
          </cell>
          <cell r="X13917" t="str">
            <v>Commissions - gross</v>
          </cell>
          <cell r="Y13917" t="str">
            <v>UNITED KINGDOM</v>
          </cell>
        </row>
        <row r="13918">
          <cell r="L13918" t="str">
            <v>Non-proportional</v>
          </cell>
          <cell r="S13918">
            <v>156.38999999999999</v>
          </cell>
          <cell r="X13918" t="str">
            <v>Commissions - gross</v>
          </cell>
          <cell r="Y13918" t="str">
            <v>AUSTRALIA</v>
          </cell>
        </row>
        <row r="13919">
          <cell r="L13919" t="str">
            <v>Non-proportional</v>
          </cell>
          <cell r="S13919">
            <v>1314.35</v>
          </cell>
          <cell r="X13919" t="str">
            <v>Commissions - gross</v>
          </cell>
          <cell r="Y13919" t="str">
            <v>CHILE</v>
          </cell>
        </row>
        <row r="13920">
          <cell r="L13920" t="str">
            <v>Non-proportional</v>
          </cell>
          <cell r="S13920">
            <v>407.81</v>
          </cell>
          <cell r="X13920" t="str">
            <v>Commissions - gross</v>
          </cell>
          <cell r="Y13920" t="str">
            <v>GREECE</v>
          </cell>
        </row>
        <row r="13921">
          <cell r="L13921" t="str">
            <v>Non-proportional</v>
          </cell>
          <cell r="S13921">
            <v>328.13</v>
          </cell>
          <cell r="X13921" t="str">
            <v>Commissions - gross</v>
          </cell>
          <cell r="Y13921" t="str">
            <v>ITALY</v>
          </cell>
        </row>
        <row r="13922">
          <cell r="L13922" t="str">
            <v>Non-proportional</v>
          </cell>
          <cell r="S13922">
            <v>332.96</v>
          </cell>
          <cell r="X13922" t="str">
            <v>Commissions - gross</v>
          </cell>
          <cell r="Y13922" t="str">
            <v>DOMINICAN REPUBLIC</v>
          </cell>
        </row>
        <row r="13923">
          <cell r="L13923" t="str">
            <v>Non-proportional</v>
          </cell>
          <cell r="S13923">
            <v>-40.07</v>
          </cell>
          <cell r="X13923" t="str">
            <v>Commissions - gross</v>
          </cell>
          <cell r="Y13923" t="str">
            <v>NEW ZEALAND</v>
          </cell>
        </row>
        <row r="13924">
          <cell r="L13924" t="str">
            <v>Non-proportional</v>
          </cell>
          <cell r="S13924">
            <v>37.549999999999997</v>
          </cell>
          <cell r="X13924" t="str">
            <v>Commissions - gross</v>
          </cell>
          <cell r="Y13924" t="str">
            <v>CHILE</v>
          </cell>
        </row>
        <row r="13925">
          <cell r="L13925" t="str">
            <v>Proportional</v>
          </cell>
          <cell r="S13925">
            <v>1233.45</v>
          </cell>
          <cell r="X13925" t="str">
            <v>Commissions - gross</v>
          </cell>
          <cell r="Y13925" t="str">
            <v>CANADA</v>
          </cell>
        </row>
        <row r="13926">
          <cell r="L13926" t="str">
            <v>Proportional</v>
          </cell>
          <cell r="S13926">
            <v>154.13999999999999</v>
          </cell>
          <cell r="X13926" t="str">
            <v>Commissions - gross</v>
          </cell>
          <cell r="Y13926" t="str">
            <v>REPUBLIC OF IRELAND</v>
          </cell>
        </row>
        <row r="13927">
          <cell r="L13927" t="str">
            <v>Proportional</v>
          </cell>
          <cell r="S13927">
            <v>206.5</v>
          </cell>
          <cell r="X13927" t="str">
            <v>Commissions - gross</v>
          </cell>
          <cell r="Y13927" t="str">
            <v>SAUDI ARABIA</v>
          </cell>
        </row>
        <row r="13928">
          <cell r="L13928" t="str">
            <v>Non-proportional</v>
          </cell>
          <cell r="S13928">
            <v>0</v>
          </cell>
          <cell r="X13928" t="str">
            <v>Commissions - gross</v>
          </cell>
          <cell r="Y13928" t="str">
            <v>DOMINICAN REPUBLIC</v>
          </cell>
        </row>
        <row r="13929">
          <cell r="L13929" t="str">
            <v>Proportional</v>
          </cell>
          <cell r="S13929">
            <v>37.549999999999997</v>
          </cell>
          <cell r="X13929" t="str">
            <v>Commissions - gross</v>
          </cell>
          <cell r="Y13929" t="str">
            <v>CHILE</v>
          </cell>
        </row>
        <row r="13930">
          <cell r="L13930" t="str">
            <v>Non-proportional</v>
          </cell>
          <cell r="S13930">
            <v>327.63</v>
          </cell>
          <cell r="X13930" t="str">
            <v>Commissions - gross</v>
          </cell>
          <cell r="Y13930" t="str">
            <v>BRAZIL</v>
          </cell>
        </row>
        <row r="13931">
          <cell r="L13931" t="str">
            <v>Non-proportional</v>
          </cell>
          <cell r="S13931">
            <v>9.18</v>
          </cell>
          <cell r="X13931" t="str">
            <v>Commissions - gross</v>
          </cell>
          <cell r="Y13931" t="str">
            <v>BRAZIL</v>
          </cell>
        </row>
        <row r="13932">
          <cell r="L13932" t="str">
            <v>Non-proportional</v>
          </cell>
          <cell r="S13932">
            <v>244.25</v>
          </cell>
          <cell r="X13932" t="str">
            <v>Commissions - gross</v>
          </cell>
          <cell r="Y13932" t="str">
            <v>CYPRUS</v>
          </cell>
        </row>
        <row r="13933">
          <cell r="L13933" t="str">
            <v>Non-proportional</v>
          </cell>
          <cell r="S13933">
            <v>390.62</v>
          </cell>
          <cell r="X13933" t="str">
            <v>Commissions - gross</v>
          </cell>
          <cell r="Y13933" t="str">
            <v>EUROPE</v>
          </cell>
        </row>
        <row r="13934">
          <cell r="L13934" t="str">
            <v>Non-proportional</v>
          </cell>
          <cell r="S13934">
            <v>159.57</v>
          </cell>
          <cell r="X13934" t="str">
            <v>Commissions - gross</v>
          </cell>
          <cell r="Y13934" t="str">
            <v>COSTA RICA</v>
          </cell>
        </row>
        <row r="13935">
          <cell r="L13935" t="str">
            <v>Non-proportional</v>
          </cell>
          <cell r="S13935">
            <v>45.6</v>
          </cell>
          <cell r="X13935" t="str">
            <v>Commissions - gross</v>
          </cell>
          <cell r="Y13935" t="str">
            <v>BRAZIL</v>
          </cell>
        </row>
        <row r="13936">
          <cell r="L13936" t="str">
            <v>Non-proportional</v>
          </cell>
          <cell r="S13936">
            <v>1627.87</v>
          </cell>
          <cell r="X13936" t="str">
            <v>Commissions - gross</v>
          </cell>
          <cell r="Y13936" t="str">
            <v>ITALY</v>
          </cell>
        </row>
        <row r="13937">
          <cell r="L13937" t="str">
            <v>Proportional</v>
          </cell>
          <cell r="S13937">
            <v>168.2</v>
          </cell>
          <cell r="X13937" t="str">
            <v>Commissions - gross</v>
          </cell>
          <cell r="Y13937" t="str">
            <v>PERU</v>
          </cell>
        </row>
        <row r="13938">
          <cell r="L13938" t="str">
            <v>Non-proportional</v>
          </cell>
          <cell r="S13938">
            <v>359.24</v>
          </cell>
          <cell r="X13938" t="str">
            <v>Commissions - gross</v>
          </cell>
          <cell r="Y13938" t="str">
            <v>FRANCE</v>
          </cell>
        </row>
        <row r="13939">
          <cell r="L13939" t="str">
            <v>Non-proportional</v>
          </cell>
          <cell r="S13939">
            <v>121.63</v>
          </cell>
          <cell r="X13939" t="str">
            <v>Commissions - gross</v>
          </cell>
          <cell r="Y13939" t="str">
            <v>JAPAN</v>
          </cell>
        </row>
        <row r="13940">
          <cell r="L13940" t="str">
            <v>Non-proportional</v>
          </cell>
          <cell r="S13940">
            <v>331.4</v>
          </cell>
          <cell r="X13940" t="str">
            <v>Commissions - gross</v>
          </cell>
          <cell r="Y13940" t="str">
            <v>UNITED KINGDOM</v>
          </cell>
        </row>
        <row r="13941">
          <cell r="L13941" t="str">
            <v>Proportional</v>
          </cell>
          <cell r="S13941">
            <v>-39.340000000000003</v>
          </cell>
          <cell r="X13941" t="str">
            <v>Commissions - gross</v>
          </cell>
          <cell r="Y13941" t="str">
            <v>UNITED STATES</v>
          </cell>
        </row>
        <row r="13942">
          <cell r="L13942" t="str">
            <v>Non-proportional</v>
          </cell>
          <cell r="S13942">
            <v>904.39</v>
          </cell>
          <cell r="X13942" t="str">
            <v>Commissions - gross</v>
          </cell>
          <cell r="Y13942" t="str">
            <v>FRANCE</v>
          </cell>
        </row>
        <row r="13943">
          <cell r="L13943" t="str">
            <v>Non-proportional</v>
          </cell>
          <cell r="S13943">
            <v>183.28</v>
          </cell>
          <cell r="X13943" t="str">
            <v>Commissions - gross</v>
          </cell>
          <cell r="Y13943" t="str">
            <v>UNITED KINGDOM</v>
          </cell>
        </row>
        <row r="13944">
          <cell r="L13944" t="str">
            <v>Non-proportional</v>
          </cell>
          <cell r="S13944">
            <v>116.25</v>
          </cell>
          <cell r="X13944" t="str">
            <v>Commissions - gross</v>
          </cell>
          <cell r="Y13944" t="str">
            <v>UNITED KINGDOM</v>
          </cell>
        </row>
        <row r="13945">
          <cell r="L13945" t="str">
            <v>Non-proportional</v>
          </cell>
          <cell r="S13945">
            <v>28.63</v>
          </cell>
          <cell r="X13945" t="str">
            <v>Commissions - gross</v>
          </cell>
          <cell r="Y13945" t="str">
            <v>REPUBLIC OF IRELAND</v>
          </cell>
        </row>
        <row r="13946">
          <cell r="L13946" t="str">
            <v>Non-proportional</v>
          </cell>
          <cell r="S13946">
            <v>-10.48</v>
          </cell>
          <cell r="X13946" t="str">
            <v>Commissions - gross</v>
          </cell>
          <cell r="Y13946" t="str">
            <v>JAPAN</v>
          </cell>
        </row>
        <row r="13947">
          <cell r="L13947" t="str">
            <v>Proportional</v>
          </cell>
          <cell r="S13947">
            <v>477.5</v>
          </cell>
          <cell r="X13947" t="str">
            <v>Commissions - gross</v>
          </cell>
          <cell r="Y13947" t="str">
            <v>AUSTRALIA</v>
          </cell>
        </row>
        <row r="13948">
          <cell r="L13948" t="str">
            <v>Non-proportional</v>
          </cell>
          <cell r="S13948">
            <v>71.77</v>
          </cell>
          <cell r="X13948" t="str">
            <v>Commissions - gross</v>
          </cell>
          <cell r="Y13948" t="str">
            <v>ISRAEL</v>
          </cell>
        </row>
        <row r="13949">
          <cell r="L13949" t="str">
            <v>Non-proportional</v>
          </cell>
          <cell r="S13949">
            <v>293.62</v>
          </cell>
          <cell r="X13949" t="str">
            <v>Commissions - gross</v>
          </cell>
          <cell r="Y13949" t="str">
            <v>ISRAEL</v>
          </cell>
        </row>
        <row r="13950">
          <cell r="L13950" t="str">
            <v>Non-proportional</v>
          </cell>
          <cell r="S13950">
            <v>4.43</v>
          </cell>
          <cell r="X13950" t="str">
            <v>Commissions - gross</v>
          </cell>
          <cell r="Y13950" t="str">
            <v>ISRAEL</v>
          </cell>
        </row>
        <row r="13951">
          <cell r="L13951" t="str">
            <v>Non-proportional</v>
          </cell>
          <cell r="S13951">
            <v>129.88</v>
          </cell>
          <cell r="X13951" t="str">
            <v>Commissions - gross</v>
          </cell>
          <cell r="Y13951" t="str">
            <v>ECUADOR</v>
          </cell>
        </row>
        <row r="13952">
          <cell r="L13952" t="str">
            <v>Non-proportional</v>
          </cell>
          <cell r="S13952">
            <v>693.2</v>
          </cell>
          <cell r="X13952" t="str">
            <v>Commissions - gross</v>
          </cell>
          <cell r="Y13952" t="str">
            <v>AUSTRALIA</v>
          </cell>
        </row>
        <row r="13953">
          <cell r="L13953" t="str">
            <v>Non-proportional</v>
          </cell>
          <cell r="S13953">
            <v>656.06</v>
          </cell>
          <cell r="X13953" t="str">
            <v>Commissions - gross</v>
          </cell>
          <cell r="Y13953" t="str">
            <v>ISRAEL</v>
          </cell>
        </row>
        <row r="13954">
          <cell r="L13954" t="str">
            <v>Non-proportional</v>
          </cell>
          <cell r="S13954">
            <v>453.69</v>
          </cell>
          <cell r="X13954" t="str">
            <v>Commissions - gross</v>
          </cell>
          <cell r="Y13954" t="str">
            <v>BELIZE</v>
          </cell>
        </row>
        <row r="13955">
          <cell r="L13955" t="str">
            <v>Non-proportional</v>
          </cell>
          <cell r="S13955">
            <v>932.74</v>
          </cell>
          <cell r="X13955" t="str">
            <v>Commissions - gross</v>
          </cell>
          <cell r="Y13955" t="str">
            <v>CHINA</v>
          </cell>
        </row>
        <row r="13956">
          <cell r="L13956" t="str">
            <v>Non-proportional</v>
          </cell>
          <cell r="S13956">
            <v>6.49</v>
          </cell>
          <cell r="X13956" t="str">
            <v>Commissions - gross</v>
          </cell>
          <cell r="Y13956" t="str">
            <v>ISRAEL</v>
          </cell>
        </row>
        <row r="13957">
          <cell r="L13957" t="str">
            <v>Non-proportional</v>
          </cell>
          <cell r="S13957">
            <v>11208.27</v>
          </cell>
          <cell r="X13957" t="str">
            <v>Commissions - gross</v>
          </cell>
          <cell r="Y13957" t="str">
            <v>UNITED KINGDOM</v>
          </cell>
        </row>
        <row r="13958">
          <cell r="L13958" t="str">
            <v>Non-proportional</v>
          </cell>
          <cell r="S13958">
            <v>-0.68</v>
          </cell>
          <cell r="X13958" t="str">
            <v>Commissions - gross</v>
          </cell>
          <cell r="Y13958" t="str">
            <v>JAPAN</v>
          </cell>
        </row>
        <row r="13959">
          <cell r="L13959" t="str">
            <v>Non-proportional</v>
          </cell>
          <cell r="S13959">
            <v>20.57</v>
          </cell>
          <cell r="X13959" t="str">
            <v>Commissions - gross</v>
          </cell>
          <cell r="Y13959" t="str">
            <v>FRANCE</v>
          </cell>
        </row>
        <row r="13960">
          <cell r="L13960" t="str">
            <v>Non-proportional</v>
          </cell>
          <cell r="S13960">
            <v>475.9</v>
          </cell>
          <cell r="X13960" t="str">
            <v>Commissions - gross</v>
          </cell>
          <cell r="Y13960" t="str">
            <v>ECUADOR</v>
          </cell>
        </row>
        <row r="13961">
          <cell r="L13961" t="str">
            <v>Non-proportional</v>
          </cell>
          <cell r="S13961">
            <v>1190.52</v>
          </cell>
          <cell r="X13961" t="str">
            <v>Commissions - gross</v>
          </cell>
          <cell r="Y13961" t="str">
            <v>AUSTRALIA</v>
          </cell>
        </row>
        <row r="13962">
          <cell r="L13962" t="str">
            <v>Non-proportional</v>
          </cell>
          <cell r="S13962">
            <v>525.74</v>
          </cell>
          <cell r="X13962" t="str">
            <v>Commissions - gross</v>
          </cell>
          <cell r="Y13962" t="str">
            <v>CHILE</v>
          </cell>
        </row>
        <row r="13963">
          <cell r="L13963" t="str">
            <v>Non-proportional</v>
          </cell>
          <cell r="S13963">
            <v>299.25</v>
          </cell>
          <cell r="X13963" t="str">
            <v>Commissions - gross</v>
          </cell>
          <cell r="Y13963" t="str">
            <v>INDIA</v>
          </cell>
        </row>
        <row r="13964">
          <cell r="L13964" t="str">
            <v>Non-proportional</v>
          </cell>
          <cell r="S13964">
            <v>538.48</v>
          </cell>
          <cell r="X13964" t="str">
            <v>Commissions - gross</v>
          </cell>
          <cell r="Y13964" t="str">
            <v>COLOMBIA</v>
          </cell>
        </row>
        <row r="13965">
          <cell r="L13965" t="str">
            <v>Proportional</v>
          </cell>
          <cell r="S13965">
            <v>543.28</v>
          </cell>
          <cell r="X13965" t="str">
            <v>Commissions - gross</v>
          </cell>
          <cell r="Y13965" t="str">
            <v>EUROPE</v>
          </cell>
        </row>
        <row r="13966">
          <cell r="L13966" t="str">
            <v>Non-proportional</v>
          </cell>
          <cell r="S13966">
            <v>31.07</v>
          </cell>
          <cell r="X13966" t="str">
            <v>Commissions - gross</v>
          </cell>
          <cell r="Y13966" t="str">
            <v>ITALY</v>
          </cell>
        </row>
        <row r="13967">
          <cell r="L13967" t="str">
            <v>Non-proportional</v>
          </cell>
          <cell r="S13967">
            <v>-2.2799999999999998</v>
          </cell>
          <cell r="X13967" t="str">
            <v>Commissions - gross</v>
          </cell>
          <cell r="Y13967" t="str">
            <v>JAPAN</v>
          </cell>
        </row>
        <row r="13968">
          <cell r="L13968" t="str">
            <v>Non-proportional</v>
          </cell>
          <cell r="S13968">
            <v>877.51</v>
          </cell>
          <cell r="X13968" t="str">
            <v>Commissions - gross</v>
          </cell>
          <cell r="Y13968" t="str">
            <v>FRANCE</v>
          </cell>
        </row>
        <row r="13969">
          <cell r="L13969" t="str">
            <v>Non-proportional</v>
          </cell>
          <cell r="S13969">
            <v>976.37</v>
          </cell>
          <cell r="X13969" t="str">
            <v>Commissions - gross</v>
          </cell>
          <cell r="Y13969" t="str">
            <v>CHILE</v>
          </cell>
        </row>
        <row r="13970">
          <cell r="L13970" t="str">
            <v>Non-proportional</v>
          </cell>
          <cell r="S13970">
            <v>86</v>
          </cell>
          <cell r="X13970" t="str">
            <v>Commissions - gross</v>
          </cell>
          <cell r="Y13970" t="str">
            <v>GREECE</v>
          </cell>
        </row>
        <row r="13971">
          <cell r="L13971" t="str">
            <v>Non-proportional</v>
          </cell>
          <cell r="S13971">
            <v>-7.98</v>
          </cell>
          <cell r="X13971" t="str">
            <v>Commissions - gross</v>
          </cell>
          <cell r="Y13971" t="str">
            <v>INDIA</v>
          </cell>
        </row>
        <row r="13972">
          <cell r="L13972" t="str">
            <v>Non-proportional</v>
          </cell>
          <cell r="S13972">
            <v>2443.1799999999998</v>
          </cell>
          <cell r="X13972" t="str">
            <v>Commissions - gross</v>
          </cell>
          <cell r="Y13972" t="str">
            <v>ISRAEL</v>
          </cell>
        </row>
        <row r="13973">
          <cell r="L13973" t="str">
            <v>Non-proportional</v>
          </cell>
          <cell r="S13973">
            <v>10204.379999999999</v>
          </cell>
          <cell r="X13973" t="str">
            <v>Commissions - gross</v>
          </cell>
          <cell r="Y13973" t="str">
            <v>HONG KONG</v>
          </cell>
        </row>
        <row r="13974">
          <cell r="L13974" t="str">
            <v>Non-proportional</v>
          </cell>
          <cell r="S13974">
            <v>-2.15</v>
          </cell>
          <cell r="X13974" t="str">
            <v>Commissions - gross</v>
          </cell>
          <cell r="Y13974" t="str">
            <v>JAPAN</v>
          </cell>
        </row>
        <row r="13975">
          <cell r="L13975" t="str">
            <v>Non-proportional</v>
          </cell>
          <cell r="S13975">
            <v>7674.75</v>
          </cell>
          <cell r="X13975" t="str">
            <v>Commissions - gross</v>
          </cell>
          <cell r="Y13975" t="str">
            <v>UNITED KINGDOM</v>
          </cell>
        </row>
        <row r="13976">
          <cell r="L13976" t="str">
            <v>Proportional</v>
          </cell>
          <cell r="S13976">
            <v>0.01</v>
          </cell>
          <cell r="X13976" t="str">
            <v>Commissions - gross</v>
          </cell>
          <cell r="Y13976" t="str">
            <v>CHILE</v>
          </cell>
        </row>
        <row r="13977">
          <cell r="L13977" t="str">
            <v>Non-proportional</v>
          </cell>
          <cell r="S13977">
            <v>1307.3</v>
          </cell>
          <cell r="X13977" t="str">
            <v>Commissions - gross</v>
          </cell>
          <cell r="Y13977" t="str">
            <v>FRANCE</v>
          </cell>
        </row>
        <row r="13978">
          <cell r="L13978" t="str">
            <v>Non-proportional</v>
          </cell>
          <cell r="S13978">
            <v>97.5</v>
          </cell>
          <cell r="X13978" t="str">
            <v>Commissions - gross</v>
          </cell>
          <cell r="Y13978" t="str">
            <v>GREECE</v>
          </cell>
        </row>
        <row r="13979">
          <cell r="L13979" t="str">
            <v>Non-proportional</v>
          </cell>
          <cell r="S13979">
            <v>748.48</v>
          </cell>
          <cell r="X13979" t="str">
            <v>Commissions - gross</v>
          </cell>
          <cell r="Y13979" t="str">
            <v>JAPAN</v>
          </cell>
        </row>
        <row r="13980">
          <cell r="L13980" t="str">
            <v>Non-proportional</v>
          </cell>
          <cell r="S13980">
            <v>957.6</v>
          </cell>
          <cell r="X13980" t="str">
            <v>Commissions - gross</v>
          </cell>
          <cell r="Y13980" t="str">
            <v>MEXICO</v>
          </cell>
        </row>
        <row r="13981">
          <cell r="L13981" t="str">
            <v>Non-proportional</v>
          </cell>
          <cell r="S13981">
            <v>495.97</v>
          </cell>
          <cell r="X13981" t="str">
            <v>Commissions - gross</v>
          </cell>
          <cell r="Y13981" t="str">
            <v>COLOMBIA</v>
          </cell>
        </row>
        <row r="13982">
          <cell r="L13982" t="str">
            <v>Non-proportional</v>
          </cell>
          <cell r="S13982">
            <v>497.15</v>
          </cell>
          <cell r="X13982" t="str">
            <v>Commissions - gross</v>
          </cell>
          <cell r="Y13982" t="str">
            <v>EUROPE</v>
          </cell>
        </row>
        <row r="13983">
          <cell r="L13983" t="str">
            <v>Non-proportional</v>
          </cell>
          <cell r="S13983">
            <v>5345.36</v>
          </cell>
          <cell r="X13983" t="str">
            <v>Commissions - gross</v>
          </cell>
          <cell r="Y13983" t="str">
            <v>UNITED KINGDOM</v>
          </cell>
        </row>
        <row r="13984">
          <cell r="L13984" t="str">
            <v>Non-proportional</v>
          </cell>
          <cell r="S13984">
            <v>34517.519999999997</v>
          </cell>
          <cell r="X13984" t="str">
            <v>Commissions - gross</v>
          </cell>
          <cell r="Y13984" t="str">
            <v>UNITED KINGDOM</v>
          </cell>
        </row>
        <row r="13985">
          <cell r="L13985" t="str">
            <v>Non-proportional</v>
          </cell>
          <cell r="S13985">
            <v>1262.51</v>
          </cell>
          <cell r="X13985" t="str">
            <v>Commissions - gross</v>
          </cell>
          <cell r="Y13985" t="str">
            <v>BELGIUM</v>
          </cell>
        </row>
        <row r="13986">
          <cell r="L13986" t="str">
            <v>Non-proportional</v>
          </cell>
          <cell r="S13986">
            <v>-4.96</v>
          </cell>
          <cell r="X13986" t="str">
            <v>Commissions - gross</v>
          </cell>
          <cell r="Y13986" t="str">
            <v>JAPAN</v>
          </cell>
        </row>
        <row r="13987">
          <cell r="L13987" t="str">
            <v>Non-proportional</v>
          </cell>
          <cell r="S13987">
            <v>-5.39</v>
          </cell>
          <cell r="X13987" t="str">
            <v>Commissions - gross</v>
          </cell>
          <cell r="Y13987" t="str">
            <v>NEW ZEALAND</v>
          </cell>
        </row>
        <row r="13988">
          <cell r="L13988" t="str">
            <v>Non-proportional</v>
          </cell>
          <cell r="S13988">
            <v>121.63</v>
          </cell>
          <cell r="X13988" t="str">
            <v>Commissions - gross</v>
          </cell>
          <cell r="Y13988" t="str">
            <v>JAPAN</v>
          </cell>
        </row>
        <row r="13989">
          <cell r="L13989" t="str">
            <v>Non-proportional</v>
          </cell>
          <cell r="S13989">
            <v>263.52</v>
          </cell>
          <cell r="X13989" t="str">
            <v>Commissions - gross</v>
          </cell>
          <cell r="Y13989" t="str">
            <v>JAPAN</v>
          </cell>
        </row>
        <row r="13990">
          <cell r="L13990" t="str">
            <v>Non-proportional</v>
          </cell>
          <cell r="S13990">
            <v>307.52999999999997</v>
          </cell>
          <cell r="X13990" t="str">
            <v>Commissions - gross</v>
          </cell>
          <cell r="Y13990" t="str">
            <v>PERU</v>
          </cell>
        </row>
        <row r="13991">
          <cell r="L13991" t="str">
            <v>Non-proportional</v>
          </cell>
          <cell r="S13991">
            <v>300.42</v>
          </cell>
          <cell r="X13991" t="str">
            <v>Commissions - gross</v>
          </cell>
          <cell r="Y13991" t="str">
            <v>CHILE</v>
          </cell>
        </row>
        <row r="13992">
          <cell r="L13992" t="str">
            <v>Non-proportional</v>
          </cell>
          <cell r="S13992">
            <v>116.2</v>
          </cell>
          <cell r="X13992" t="str">
            <v>Commissions - gross</v>
          </cell>
          <cell r="Y13992" t="str">
            <v>ISRAEL</v>
          </cell>
        </row>
        <row r="13993">
          <cell r="L13993" t="str">
            <v>Non-proportional</v>
          </cell>
          <cell r="S13993">
            <v>450.98</v>
          </cell>
          <cell r="X13993" t="str">
            <v>Commissions - gross</v>
          </cell>
          <cell r="Y13993" t="str">
            <v>FRANCE</v>
          </cell>
        </row>
        <row r="13994">
          <cell r="L13994" t="str">
            <v>Non-proportional</v>
          </cell>
          <cell r="S13994">
            <v>1137.58</v>
          </cell>
          <cell r="X13994" t="str">
            <v>Commissions - gross</v>
          </cell>
          <cell r="Y13994" t="str">
            <v>AUSTRALIA</v>
          </cell>
        </row>
        <row r="13995">
          <cell r="L13995" t="str">
            <v>Non-proportional</v>
          </cell>
          <cell r="S13995">
            <v>1436.2</v>
          </cell>
          <cell r="X13995" t="str">
            <v>Commissions - gross</v>
          </cell>
          <cell r="Y13995" t="str">
            <v>AUSTRALIA</v>
          </cell>
        </row>
        <row r="13996">
          <cell r="L13996" t="str">
            <v>Non-proportional</v>
          </cell>
          <cell r="S13996">
            <v>901.27</v>
          </cell>
          <cell r="X13996" t="str">
            <v>Commissions - gross</v>
          </cell>
          <cell r="Y13996" t="str">
            <v>CHILE</v>
          </cell>
        </row>
        <row r="13997">
          <cell r="L13997" t="str">
            <v>Non-proportional</v>
          </cell>
          <cell r="S13997">
            <v>385.42</v>
          </cell>
          <cell r="X13997" t="str">
            <v>Commissions - gross</v>
          </cell>
          <cell r="Y13997" t="str">
            <v>FRANCE</v>
          </cell>
        </row>
        <row r="13998">
          <cell r="L13998" t="str">
            <v>Non-proportional</v>
          </cell>
          <cell r="S13998">
            <v>-51.35</v>
          </cell>
          <cell r="X13998" t="str">
            <v>Commissions - gross</v>
          </cell>
          <cell r="Y13998" t="str">
            <v>JAPAN</v>
          </cell>
        </row>
        <row r="13999">
          <cell r="L13999" t="str">
            <v>Non-proportional</v>
          </cell>
          <cell r="S13999">
            <v>675.2</v>
          </cell>
          <cell r="X13999" t="str">
            <v>Commissions - gross</v>
          </cell>
          <cell r="Y13999" t="str">
            <v>UNITED KINGDOM</v>
          </cell>
        </row>
        <row r="14000">
          <cell r="L14000" t="str">
            <v>Non-proportional</v>
          </cell>
          <cell r="S14000">
            <v>9665.2999999999993</v>
          </cell>
          <cell r="X14000" t="str">
            <v>Commissions - gross</v>
          </cell>
          <cell r="Y14000" t="str">
            <v>UNITED KINGDOM</v>
          </cell>
        </row>
        <row r="14001">
          <cell r="L14001" t="str">
            <v>Non-proportional</v>
          </cell>
          <cell r="S14001">
            <v>37.549999999999997</v>
          </cell>
          <cell r="X14001" t="str">
            <v>Commissions - gross</v>
          </cell>
          <cell r="Y14001" t="str">
            <v>CHILE</v>
          </cell>
        </row>
        <row r="14002">
          <cell r="L14002" t="str">
            <v>Non-proportional</v>
          </cell>
          <cell r="S14002">
            <v>33654.58</v>
          </cell>
          <cell r="X14002" t="str">
            <v>Commissions - gross</v>
          </cell>
          <cell r="Y14002" t="str">
            <v>UNITED KINGDOM</v>
          </cell>
        </row>
        <row r="14003">
          <cell r="L14003" t="str">
            <v>Non-proportional</v>
          </cell>
          <cell r="S14003">
            <v>-1.4</v>
          </cell>
          <cell r="X14003" t="str">
            <v>Commissions - gross</v>
          </cell>
          <cell r="Y14003" t="str">
            <v>CHINA</v>
          </cell>
        </row>
        <row r="14004">
          <cell r="L14004" t="str">
            <v>Proportional</v>
          </cell>
          <cell r="S14004">
            <v>2363.7399999999998</v>
          </cell>
          <cell r="X14004" t="str">
            <v>Commissions - gross</v>
          </cell>
          <cell r="Y14004" t="str">
            <v>FRANCE</v>
          </cell>
        </row>
        <row r="14005">
          <cell r="L14005" t="str">
            <v>Non-proportional</v>
          </cell>
          <cell r="S14005">
            <v>-8.08</v>
          </cell>
          <cell r="X14005" t="str">
            <v>Commissions - gross</v>
          </cell>
          <cell r="Y14005" t="str">
            <v>BRAZIL</v>
          </cell>
        </row>
        <row r="14006">
          <cell r="L14006" t="str">
            <v>Proportional</v>
          </cell>
          <cell r="S14006">
            <v>563.29</v>
          </cell>
          <cell r="X14006" t="str">
            <v>Commissions - gross</v>
          </cell>
          <cell r="Y14006" t="str">
            <v>CHILE</v>
          </cell>
        </row>
        <row r="14007">
          <cell r="L14007" t="str">
            <v>Non-proportional</v>
          </cell>
          <cell r="S14007">
            <v>1588.09</v>
          </cell>
          <cell r="X14007" t="str">
            <v>Commissions - gross</v>
          </cell>
          <cell r="Y14007" t="str">
            <v>JAPAN</v>
          </cell>
        </row>
        <row r="14008">
          <cell r="L14008" t="str">
            <v>Proportional</v>
          </cell>
          <cell r="S14008">
            <v>655.57</v>
          </cell>
          <cell r="X14008" t="str">
            <v>Commissions - gross</v>
          </cell>
          <cell r="Y14008" t="str">
            <v>UNITED STATES</v>
          </cell>
        </row>
        <row r="14009">
          <cell r="L14009" t="str">
            <v>Non-proportional</v>
          </cell>
          <cell r="S14009">
            <v>-2.04</v>
          </cell>
          <cell r="X14009" t="str">
            <v>Commissions - gross</v>
          </cell>
          <cell r="Y14009" t="str">
            <v>DOMINICAN REPUBLIC</v>
          </cell>
        </row>
        <row r="14010">
          <cell r="L14010" t="str">
            <v>Non-proportional</v>
          </cell>
          <cell r="S14010">
            <v>-13.58</v>
          </cell>
          <cell r="X14010" t="str">
            <v>Commissions - gross</v>
          </cell>
          <cell r="Y14010" t="str">
            <v>DOMINICAN REPUBLIC</v>
          </cell>
        </row>
        <row r="14011">
          <cell r="L14011" t="str">
            <v>Non-proportional</v>
          </cell>
          <cell r="S14011">
            <v>849.31</v>
          </cell>
          <cell r="X14011" t="str">
            <v>Commissions - gross</v>
          </cell>
          <cell r="Y14011" t="str">
            <v>TURKEY</v>
          </cell>
        </row>
        <row r="14012">
          <cell r="L14012" t="str">
            <v>Non-proportional</v>
          </cell>
          <cell r="S14012">
            <v>281.69</v>
          </cell>
          <cell r="X14012" t="str">
            <v>Commissions - gross</v>
          </cell>
          <cell r="Y14012" t="str">
            <v>ISRAEL</v>
          </cell>
        </row>
        <row r="14013">
          <cell r="L14013" t="str">
            <v>Proportional</v>
          </cell>
          <cell r="S14013">
            <v>9.93</v>
          </cell>
          <cell r="X14013" t="str">
            <v>Commissions - gross</v>
          </cell>
          <cell r="Y14013" t="str">
            <v>UNITED STATES</v>
          </cell>
        </row>
        <row r="14014">
          <cell r="L14014" t="str">
            <v>Non-proportional</v>
          </cell>
          <cell r="S14014">
            <v>1475.83</v>
          </cell>
          <cell r="X14014" t="str">
            <v>Commissions - gross</v>
          </cell>
          <cell r="Y14014" t="str">
            <v>SOUTH KOREA</v>
          </cell>
        </row>
        <row r="14015">
          <cell r="L14015" t="str">
            <v>Non-proportional</v>
          </cell>
          <cell r="S14015">
            <v>213.71</v>
          </cell>
          <cell r="X14015" t="str">
            <v>Commissions - gross</v>
          </cell>
          <cell r="Y14015" t="str">
            <v>DOMINICAN REPUBLIC</v>
          </cell>
        </row>
        <row r="14016">
          <cell r="L14016" t="str">
            <v>Non-proportional</v>
          </cell>
          <cell r="S14016">
            <v>418.59</v>
          </cell>
          <cell r="X14016" t="str">
            <v>Commissions - gross</v>
          </cell>
          <cell r="Y14016" t="str">
            <v>FRANCE</v>
          </cell>
        </row>
        <row r="14017">
          <cell r="L14017" t="str">
            <v>Non-proportional</v>
          </cell>
          <cell r="S14017">
            <v>249.52</v>
          </cell>
          <cell r="X14017" t="str">
            <v>Commissions - gross</v>
          </cell>
          <cell r="Y14017" t="str">
            <v>ITALY</v>
          </cell>
        </row>
        <row r="14018">
          <cell r="L14018" t="str">
            <v>Non-proportional</v>
          </cell>
          <cell r="S14018">
            <v>317.14999999999998</v>
          </cell>
          <cell r="X14018" t="str">
            <v>Commissions - gross</v>
          </cell>
          <cell r="Y14018" t="str">
            <v>ECUADOR</v>
          </cell>
        </row>
        <row r="14019">
          <cell r="L14019" t="str">
            <v>Non-proportional</v>
          </cell>
          <cell r="S14019">
            <v>166.65</v>
          </cell>
          <cell r="X14019" t="str">
            <v>Commissions - gross</v>
          </cell>
          <cell r="Y14019" t="str">
            <v>JAPAN</v>
          </cell>
        </row>
        <row r="14020">
          <cell r="L14020" t="str">
            <v>Proportional</v>
          </cell>
          <cell r="S14020">
            <v>0.66</v>
          </cell>
          <cell r="X14020" t="str">
            <v>Commissions - gross</v>
          </cell>
          <cell r="Y14020" t="str">
            <v>UNITED STATES</v>
          </cell>
        </row>
        <row r="14021">
          <cell r="L14021" t="str">
            <v>Non-proportional</v>
          </cell>
          <cell r="S14021">
            <v>587.34</v>
          </cell>
          <cell r="X14021" t="str">
            <v>Commissions - gross</v>
          </cell>
          <cell r="Y14021" t="str">
            <v>INDIA</v>
          </cell>
        </row>
        <row r="14022">
          <cell r="L14022" t="str">
            <v>Non-proportional</v>
          </cell>
          <cell r="S14022">
            <v>120.87</v>
          </cell>
          <cell r="X14022" t="str">
            <v>Commissions - gross</v>
          </cell>
          <cell r="Y14022" t="str">
            <v>BRAZIL</v>
          </cell>
        </row>
        <row r="14023">
          <cell r="L14023" t="str">
            <v>Non-proportional</v>
          </cell>
          <cell r="S14023">
            <v>1148.8399999999999</v>
          </cell>
          <cell r="X14023" t="str">
            <v>Commissions - gross</v>
          </cell>
          <cell r="Y14023" t="str">
            <v>MEXICO</v>
          </cell>
        </row>
        <row r="14024">
          <cell r="L14024" t="str">
            <v>Non-proportional</v>
          </cell>
          <cell r="S14024">
            <v>749.23</v>
          </cell>
          <cell r="X14024" t="str">
            <v>Commissions - gross</v>
          </cell>
          <cell r="Y14024" t="str">
            <v>FRANCE</v>
          </cell>
        </row>
        <row r="14025">
          <cell r="L14025" t="str">
            <v>Non-proportional</v>
          </cell>
          <cell r="S14025">
            <v>61.25</v>
          </cell>
          <cell r="X14025" t="str">
            <v>Commissions - gross</v>
          </cell>
          <cell r="Y14025" t="str">
            <v>GREECE</v>
          </cell>
        </row>
        <row r="14026">
          <cell r="L14026" t="str">
            <v>Non-proportional</v>
          </cell>
          <cell r="S14026">
            <v>22193.5</v>
          </cell>
          <cell r="X14026" t="str">
            <v>Commissions - gross</v>
          </cell>
          <cell r="Y14026" t="str">
            <v>BELGIUM</v>
          </cell>
        </row>
        <row r="14027">
          <cell r="L14027" t="str">
            <v>Non-proportional</v>
          </cell>
          <cell r="S14027">
            <v>255.25</v>
          </cell>
          <cell r="X14027" t="str">
            <v>Commissions - gross</v>
          </cell>
          <cell r="Y14027" t="str">
            <v>THAILAND</v>
          </cell>
        </row>
        <row r="14028">
          <cell r="L14028" t="str">
            <v>Non-proportional</v>
          </cell>
          <cell r="S14028">
            <v>284.08</v>
          </cell>
          <cell r="X14028" t="str">
            <v>Commissions - gross</v>
          </cell>
          <cell r="Y14028" t="str">
            <v>EUROPE</v>
          </cell>
        </row>
        <row r="14029">
          <cell r="L14029" t="str">
            <v>Non-proportional</v>
          </cell>
          <cell r="S14029">
            <v>0</v>
          </cell>
          <cell r="X14029" t="str">
            <v>Commissions - gross</v>
          </cell>
          <cell r="Y14029" t="str">
            <v>DOMINICAN REPUBLIC</v>
          </cell>
        </row>
        <row r="14030">
          <cell r="L14030" t="str">
            <v>Non-proportional</v>
          </cell>
          <cell r="S14030">
            <v>75.11</v>
          </cell>
          <cell r="X14030" t="str">
            <v>Commissions - gross</v>
          </cell>
          <cell r="Y14030" t="str">
            <v>CHILE</v>
          </cell>
        </row>
        <row r="14031">
          <cell r="L14031" t="str">
            <v>Non-proportional</v>
          </cell>
          <cell r="S14031">
            <v>296.68</v>
          </cell>
          <cell r="X14031" t="str">
            <v>Commissions - gross</v>
          </cell>
          <cell r="Y14031" t="str">
            <v>ISRAEL</v>
          </cell>
        </row>
        <row r="14032">
          <cell r="L14032" t="str">
            <v>Non-proportional</v>
          </cell>
          <cell r="S14032">
            <v>15.5</v>
          </cell>
          <cell r="X14032" t="str">
            <v>Commissions - gross</v>
          </cell>
          <cell r="Y14032" t="str">
            <v>FRANCE</v>
          </cell>
        </row>
        <row r="14033">
          <cell r="L14033" t="str">
            <v>Non-proportional</v>
          </cell>
          <cell r="S14033">
            <v>23.87</v>
          </cell>
          <cell r="X14033" t="str">
            <v>Commissions - gross</v>
          </cell>
          <cell r="Y14033" t="str">
            <v>NEW ZEALAND</v>
          </cell>
        </row>
        <row r="14034">
          <cell r="L14034" t="str">
            <v>Non-proportional</v>
          </cell>
          <cell r="S14034">
            <v>161.38999999999999</v>
          </cell>
          <cell r="X14034" t="str">
            <v>Commissions - gross</v>
          </cell>
          <cell r="Y14034" t="str">
            <v>JAPAN</v>
          </cell>
        </row>
        <row r="14035">
          <cell r="L14035" t="str">
            <v>Non-proportional</v>
          </cell>
          <cell r="S14035">
            <v>312.69</v>
          </cell>
          <cell r="X14035" t="str">
            <v>Commissions - gross</v>
          </cell>
          <cell r="Y14035" t="str">
            <v>FRANCE</v>
          </cell>
        </row>
        <row r="14036">
          <cell r="L14036" t="str">
            <v>Non-proportional</v>
          </cell>
          <cell r="S14036">
            <v>25872.43</v>
          </cell>
          <cell r="X14036" t="str">
            <v>Commissions - gross</v>
          </cell>
          <cell r="Y14036" t="str">
            <v>UNITED KINGDOM</v>
          </cell>
        </row>
        <row r="14037">
          <cell r="L14037" t="str">
            <v>Non-proportional</v>
          </cell>
          <cell r="S14037">
            <v>662.31</v>
          </cell>
          <cell r="X14037" t="str">
            <v>Commissions - gross</v>
          </cell>
          <cell r="Y14037" t="str">
            <v>CYPRUS</v>
          </cell>
        </row>
        <row r="14038">
          <cell r="L14038" t="str">
            <v>Non-proportional</v>
          </cell>
          <cell r="S14038">
            <v>529.86</v>
          </cell>
          <cell r="X14038" t="str">
            <v>Commissions - gross</v>
          </cell>
          <cell r="Y14038" t="str">
            <v>ISRAEL</v>
          </cell>
        </row>
        <row r="14039">
          <cell r="L14039" t="str">
            <v>Non-proportional</v>
          </cell>
          <cell r="S14039">
            <v>1118.78</v>
          </cell>
          <cell r="X14039" t="str">
            <v>Commissions - gross</v>
          </cell>
          <cell r="Y14039" t="str">
            <v>ECUADOR</v>
          </cell>
        </row>
        <row r="14040">
          <cell r="L14040" t="str">
            <v>Proportional</v>
          </cell>
          <cell r="S14040">
            <v>699.37</v>
          </cell>
          <cell r="X14040" t="str">
            <v>Commissions - gross</v>
          </cell>
          <cell r="Y14040" t="str">
            <v>UNITED STATES</v>
          </cell>
        </row>
        <row r="14041">
          <cell r="L14041" t="str">
            <v>Non-proportional</v>
          </cell>
          <cell r="S14041">
            <v>251.79</v>
          </cell>
          <cell r="X14041" t="str">
            <v>Commissions - gross</v>
          </cell>
          <cell r="Y14041" t="str">
            <v>ECUADOR</v>
          </cell>
        </row>
        <row r="14042">
          <cell r="L14042" t="str">
            <v>Non-proportional</v>
          </cell>
          <cell r="S14042">
            <v>3373.95</v>
          </cell>
          <cell r="X14042" t="str">
            <v>Commissions - gross</v>
          </cell>
          <cell r="Y14042" t="str">
            <v>UNITED STATES</v>
          </cell>
        </row>
        <row r="14043">
          <cell r="L14043" t="str">
            <v>Non-proportional</v>
          </cell>
          <cell r="S14043">
            <v>454.19</v>
          </cell>
          <cell r="X14043" t="str">
            <v>Commissions - gross</v>
          </cell>
          <cell r="Y14043" t="str">
            <v>TURKEY</v>
          </cell>
        </row>
        <row r="14044">
          <cell r="L14044" t="str">
            <v>Non-proportional</v>
          </cell>
          <cell r="S14044">
            <v>368.77</v>
          </cell>
          <cell r="X14044" t="str">
            <v>Commissions - gross</v>
          </cell>
          <cell r="Y14044" t="str">
            <v>SINGAPORE</v>
          </cell>
        </row>
        <row r="14045">
          <cell r="L14045" t="str">
            <v>Non-proportional</v>
          </cell>
          <cell r="S14045">
            <v>1414.94</v>
          </cell>
          <cell r="X14045" t="str">
            <v>Commissions - gross</v>
          </cell>
          <cell r="Y14045" t="str">
            <v>PUERTO RICO</v>
          </cell>
        </row>
        <row r="14046">
          <cell r="L14046" t="str">
            <v>Non-proportional</v>
          </cell>
          <cell r="S14046">
            <v>284.45</v>
          </cell>
          <cell r="X14046" t="str">
            <v>Commissions - gross</v>
          </cell>
          <cell r="Y14046" t="str">
            <v>AUSTRALIA</v>
          </cell>
        </row>
        <row r="14047">
          <cell r="L14047" t="str">
            <v>Non-proportional</v>
          </cell>
          <cell r="S14047">
            <v>324.69</v>
          </cell>
          <cell r="X14047" t="str">
            <v>Commissions - gross</v>
          </cell>
          <cell r="Y14047" t="str">
            <v>AUSTRALIA</v>
          </cell>
        </row>
        <row r="14048">
          <cell r="L14048" t="str">
            <v>Non-proportional</v>
          </cell>
          <cell r="S14048">
            <v>169.59</v>
          </cell>
          <cell r="X14048" t="str">
            <v>Commissions - gross</v>
          </cell>
          <cell r="Y14048" t="str">
            <v>DOMINICAN REPUBLIC</v>
          </cell>
        </row>
        <row r="14049">
          <cell r="L14049" t="str">
            <v>Non-proportional</v>
          </cell>
          <cell r="S14049">
            <v>2</v>
          </cell>
          <cell r="X14049" t="str">
            <v>Commissions - gross</v>
          </cell>
          <cell r="Y14049" t="str">
            <v>ISRAEL</v>
          </cell>
        </row>
        <row r="14050">
          <cell r="L14050" t="str">
            <v>Proportional</v>
          </cell>
          <cell r="S14050">
            <v>0.66</v>
          </cell>
          <cell r="X14050" t="str">
            <v>Commissions - gross</v>
          </cell>
          <cell r="Y14050" t="str">
            <v>UNITED STATES</v>
          </cell>
        </row>
        <row r="14051">
          <cell r="L14051" t="str">
            <v>Non-proportional</v>
          </cell>
          <cell r="S14051">
            <v>400.66</v>
          </cell>
          <cell r="X14051" t="str">
            <v>Commissions - gross</v>
          </cell>
          <cell r="Y14051" t="str">
            <v>UNITED KINGDOM</v>
          </cell>
        </row>
        <row r="14052">
          <cell r="L14052" t="str">
            <v>Non-proportional</v>
          </cell>
          <cell r="S14052">
            <v>1622.91</v>
          </cell>
          <cell r="X14052" t="str">
            <v>Commissions - gross</v>
          </cell>
          <cell r="Y14052" t="str">
            <v>HONG KONG</v>
          </cell>
        </row>
        <row r="14053">
          <cell r="L14053" t="str">
            <v>Non-proportional</v>
          </cell>
          <cell r="S14053">
            <v>3843.73</v>
          </cell>
          <cell r="X14053" t="str">
            <v>Commissions - gross</v>
          </cell>
          <cell r="Y14053" t="str">
            <v>UNITED STATES</v>
          </cell>
        </row>
        <row r="14054">
          <cell r="L14054" t="str">
            <v>Non-proportional</v>
          </cell>
          <cell r="S14054">
            <v>998.77</v>
          </cell>
          <cell r="X14054" t="str">
            <v>Commissions - gross</v>
          </cell>
          <cell r="Y14054" t="str">
            <v>PERU</v>
          </cell>
        </row>
        <row r="14055">
          <cell r="L14055" t="str">
            <v>Non-proportional</v>
          </cell>
          <cell r="S14055">
            <v>92.6</v>
          </cell>
          <cell r="X14055" t="str">
            <v>Commissions - gross</v>
          </cell>
          <cell r="Y14055" t="str">
            <v>ECUADOR</v>
          </cell>
        </row>
        <row r="14056">
          <cell r="L14056" t="str">
            <v>Non-proportional</v>
          </cell>
          <cell r="S14056">
            <v>241.96</v>
          </cell>
          <cell r="X14056" t="str">
            <v>Commissions - gross</v>
          </cell>
          <cell r="Y14056" t="str">
            <v>COLOMBIA</v>
          </cell>
        </row>
        <row r="14057">
          <cell r="L14057" t="str">
            <v>Non-proportional</v>
          </cell>
          <cell r="S14057">
            <v>425.07</v>
          </cell>
          <cell r="X14057" t="str">
            <v>Commissions - gross</v>
          </cell>
          <cell r="Y14057" t="str">
            <v>ITALY</v>
          </cell>
        </row>
        <row r="14058">
          <cell r="L14058" t="str">
            <v>Non-proportional</v>
          </cell>
          <cell r="S14058">
            <v>337.97</v>
          </cell>
          <cell r="X14058" t="str">
            <v>Commissions - gross</v>
          </cell>
          <cell r="Y14058" t="str">
            <v>CHILE</v>
          </cell>
        </row>
        <row r="14059">
          <cell r="L14059" t="str">
            <v>Non-proportional</v>
          </cell>
          <cell r="S14059">
            <v>284.39999999999998</v>
          </cell>
          <cell r="X14059" t="str">
            <v>Commissions - gross</v>
          </cell>
          <cell r="Y14059" t="str">
            <v>AUSTRALIA</v>
          </cell>
        </row>
        <row r="14060">
          <cell r="L14060" t="str">
            <v>Non-proportional</v>
          </cell>
          <cell r="S14060">
            <v>246.96</v>
          </cell>
          <cell r="X14060" t="str">
            <v>Commissions - gross</v>
          </cell>
          <cell r="Y14060" t="str">
            <v>FRANCE</v>
          </cell>
        </row>
        <row r="14061">
          <cell r="L14061" t="str">
            <v>Non-proportional</v>
          </cell>
          <cell r="S14061">
            <v>570.02</v>
          </cell>
          <cell r="X14061" t="str">
            <v>Commissions - gross</v>
          </cell>
          <cell r="Y14061" t="str">
            <v>ITALY</v>
          </cell>
        </row>
        <row r="14062">
          <cell r="L14062" t="str">
            <v>Non-proportional</v>
          </cell>
          <cell r="S14062">
            <v>225.32</v>
          </cell>
          <cell r="X14062" t="str">
            <v>Commissions - gross</v>
          </cell>
          <cell r="Y14062" t="str">
            <v>CHILE</v>
          </cell>
        </row>
        <row r="14063">
          <cell r="L14063" t="str">
            <v>Non-proportional</v>
          </cell>
          <cell r="S14063">
            <v>360.28</v>
          </cell>
          <cell r="X14063" t="str">
            <v>Commissions - gross</v>
          </cell>
          <cell r="Y14063" t="str">
            <v>ISRAEL</v>
          </cell>
        </row>
        <row r="14064">
          <cell r="L14064" t="str">
            <v>Proportional</v>
          </cell>
          <cell r="S14064">
            <v>325.51</v>
          </cell>
          <cell r="X14064" t="str">
            <v>Commissions - gross</v>
          </cell>
          <cell r="Y14064" t="str">
            <v>ITALY</v>
          </cell>
        </row>
        <row r="14065">
          <cell r="L14065" t="str">
            <v>Non-proportional</v>
          </cell>
          <cell r="S14065">
            <v>-4.96</v>
          </cell>
          <cell r="X14065" t="str">
            <v>Commissions - gross</v>
          </cell>
          <cell r="Y14065" t="str">
            <v>JAPAN</v>
          </cell>
        </row>
        <row r="14066">
          <cell r="L14066" t="str">
            <v>Non-proportional</v>
          </cell>
          <cell r="S14066">
            <v>1947.67</v>
          </cell>
          <cell r="X14066" t="str">
            <v>Commissions - gross</v>
          </cell>
          <cell r="Y14066" t="str">
            <v>UNITED KINGDOM</v>
          </cell>
        </row>
        <row r="14067">
          <cell r="L14067" t="str">
            <v>Non-proportional</v>
          </cell>
          <cell r="S14067">
            <v>9024.8700000000008</v>
          </cell>
          <cell r="X14067" t="str">
            <v>Commissions - gross</v>
          </cell>
          <cell r="Y14067" t="str">
            <v>UNITED KINGDOM</v>
          </cell>
        </row>
        <row r="14068">
          <cell r="L14068" t="str">
            <v>Non-proportional</v>
          </cell>
          <cell r="S14068">
            <v>-0.54</v>
          </cell>
          <cell r="X14068" t="str">
            <v>Commissions - gross</v>
          </cell>
          <cell r="Y14068" t="str">
            <v>JAPAN</v>
          </cell>
        </row>
        <row r="14069">
          <cell r="L14069" t="str">
            <v>Proportional</v>
          </cell>
          <cell r="S14069">
            <v>542.64</v>
          </cell>
          <cell r="X14069" t="str">
            <v>Commissions - gross</v>
          </cell>
          <cell r="Y14069" t="str">
            <v>HONG KONG</v>
          </cell>
        </row>
        <row r="14070">
          <cell r="L14070" t="str">
            <v>Proportional</v>
          </cell>
          <cell r="S14070">
            <v>187300.71</v>
          </cell>
          <cell r="X14070" t="str">
            <v>Commissions - gross</v>
          </cell>
          <cell r="Y14070" t="str">
            <v>ITALY</v>
          </cell>
        </row>
        <row r="14071">
          <cell r="L14071" t="str">
            <v>Proportional</v>
          </cell>
          <cell r="S14071">
            <v>227511.44</v>
          </cell>
          <cell r="X14071" t="str">
            <v>Commissions - gross</v>
          </cell>
          <cell r="Y14071" t="str">
            <v>UNITED ARAB EMIRATES</v>
          </cell>
        </row>
        <row r="14072">
          <cell r="L14072" t="str">
            <v>Proportional</v>
          </cell>
          <cell r="S14072">
            <v>-3.16</v>
          </cell>
          <cell r="X14072" t="str">
            <v>Commissions - gross</v>
          </cell>
          <cell r="Y14072" t="str">
            <v>HONG KONG</v>
          </cell>
        </row>
        <row r="14073">
          <cell r="L14073" t="str">
            <v>Proportional</v>
          </cell>
          <cell r="S14073">
            <v>1177210.69</v>
          </cell>
          <cell r="X14073" t="str">
            <v>Commissions - gross</v>
          </cell>
          <cell r="Y14073" t="str">
            <v>HONG KONG</v>
          </cell>
        </row>
        <row r="14074">
          <cell r="L14074" t="str">
            <v>Proportional</v>
          </cell>
          <cell r="S14074">
            <v>51495.19</v>
          </cell>
          <cell r="X14074" t="str">
            <v>Commissions - gross</v>
          </cell>
          <cell r="Y14074" t="str">
            <v>CHILE</v>
          </cell>
        </row>
        <row r="14075">
          <cell r="L14075" t="str">
            <v>Proportional</v>
          </cell>
          <cell r="S14075">
            <v>262338.17</v>
          </cell>
          <cell r="X14075" t="str">
            <v>Commissions - gross</v>
          </cell>
          <cell r="Y14075" t="str">
            <v>HONG KONG</v>
          </cell>
        </row>
        <row r="14076">
          <cell r="L14076" t="str">
            <v>Proportional</v>
          </cell>
          <cell r="S14076">
            <v>16774.66</v>
          </cell>
          <cell r="X14076" t="str">
            <v>Commissions - gross</v>
          </cell>
          <cell r="Y14076" t="str">
            <v>CHILE</v>
          </cell>
        </row>
        <row r="14077">
          <cell r="L14077" t="str">
            <v>Proportional</v>
          </cell>
          <cell r="S14077">
            <v>2.04</v>
          </cell>
          <cell r="X14077" t="str">
            <v>Commissions - gross</v>
          </cell>
          <cell r="Y14077" t="str">
            <v>Hong Kong</v>
          </cell>
        </row>
        <row r="14078">
          <cell r="L14078" t="str">
            <v>Proportional</v>
          </cell>
          <cell r="S14078">
            <v>8160.65</v>
          </cell>
          <cell r="X14078" t="str">
            <v>Commissions - gross</v>
          </cell>
          <cell r="Y14078" t="str">
            <v>CHILE</v>
          </cell>
        </row>
        <row r="14079">
          <cell r="L14079" t="str">
            <v>Proportional</v>
          </cell>
          <cell r="S14079">
            <v>3.16</v>
          </cell>
          <cell r="X14079" t="str">
            <v>Commissions - gross</v>
          </cell>
          <cell r="Y14079" t="str">
            <v>HONG KONG</v>
          </cell>
        </row>
        <row r="14080">
          <cell r="L14080" t="str">
            <v>Proportional</v>
          </cell>
          <cell r="S14080">
            <v>3.16</v>
          </cell>
          <cell r="X14080" t="str">
            <v>Commissions - gross</v>
          </cell>
          <cell r="Y14080" t="str">
            <v>HONG KONG</v>
          </cell>
        </row>
        <row r="14081">
          <cell r="L14081" t="str">
            <v>Proportional</v>
          </cell>
          <cell r="S14081">
            <v>4.84</v>
          </cell>
          <cell r="X14081" t="str">
            <v>Commissions - gross</v>
          </cell>
          <cell r="Y14081" t="str">
            <v>Malaysia</v>
          </cell>
        </row>
        <row r="14082">
          <cell r="L14082" t="str">
            <v>Proportional</v>
          </cell>
          <cell r="S14082">
            <v>3663.76</v>
          </cell>
          <cell r="X14082" t="str">
            <v>Commissions - gross</v>
          </cell>
          <cell r="Y14082" t="str">
            <v>HONG KONG</v>
          </cell>
        </row>
        <row r="14083">
          <cell r="L14083" t="str">
            <v>Proportional</v>
          </cell>
          <cell r="S14083">
            <v>27198</v>
          </cell>
          <cell r="X14083" t="str">
            <v>Commissions - gross</v>
          </cell>
          <cell r="Y14083" t="str">
            <v>EUROPE</v>
          </cell>
        </row>
        <row r="14084">
          <cell r="L14084" t="str">
            <v>Proportional</v>
          </cell>
          <cell r="S14084">
            <v>1130.3</v>
          </cell>
          <cell r="X14084" t="str">
            <v>Commissions - gross</v>
          </cell>
          <cell r="Y14084" t="str">
            <v>Hong Kong</v>
          </cell>
        </row>
        <row r="14085">
          <cell r="L14085" t="str">
            <v>Proportional</v>
          </cell>
          <cell r="S14085">
            <v>145.71</v>
          </cell>
          <cell r="X14085" t="str">
            <v>Commissions - gross</v>
          </cell>
          <cell r="Y14085" t="str">
            <v>Hong Kong</v>
          </cell>
        </row>
        <row r="14086">
          <cell r="L14086" t="str">
            <v>Proportional</v>
          </cell>
          <cell r="S14086">
            <v>46117.760000000002</v>
          </cell>
          <cell r="X14086" t="str">
            <v>Commissions - gross</v>
          </cell>
          <cell r="Y14086" t="str">
            <v>JAPAN</v>
          </cell>
        </row>
        <row r="14087">
          <cell r="L14087" t="str">
            <v>Proportional</v>
          </cell>
          <cell r="S14087">
            <v>3141.01</v>
          </cell>
          <cell r="X14087" t="str">
            <v>Commissions - gross</v>
          </cell>
          <cell r="Y14087" t="str">
            <v>HONG KONG</v>
          </cell>
        </row>
        <row r="14088">
          <cell r="L14088" t="str">
            <v>Proportional</v>
          </cell>
          <cell r="S14088">
            <v>8575000</v>
          </cell>
          <cell r="X14088" t="str">
            <v>Commissions - gross</v>
          </cell>
          <cell r="Y14088" t="str">
            <v>PORTUGAL</v>
          </cell>
        </row>
        <row r="14089">
          <cell r="L14089" t="str">
            <v>Proportional</v>
          </cell>
          <cell r="S14089">
            <v>289120</v>
          </cell>
          <cell r="X14089" t="str">
            <v>Commissions - gross</v>
          </cell>
          <cell r="Y14089" t="str">
            <v>FRANCE</v>
          </cell>
        </row>
        <row r="14090">
          <cell r="L14090" t="str">
            <v>Proportional</v>
          </cell>
          <cell r="S14090">
            <v>65096.27</v>
          </cell>
          <cell r="X14090" t="str">
            <v>Commissions - gross</v>
          </cell>
          <cell r="Y14090" t="str">
            <v>CHILE</v>
          </cell>
        </row>
        <row r="14091">
          <cell r="L14091" t="str">
            <v>Proportional</v>
          </cell>
          <cell r="S14091">
            <v>18750</v>
          </cell>
          <cell r="X14091" t="str">
            <v>Commissions - gross</v>
          </cell>
          <cell r="Y14091" t="str">
            <v>ITALY</v>
          </cell>
        </row>
        <row r="14092">
          <cell r="L14092" t="str">
            <v>Proportional</v>
          </cell>
          <cell r="S14092">
            <v>703.24</v>
          </cell>
          <cell r="X14092" t="str">
            <v>Commissions - gross</v>
          </cell>
          <cell r="Y14092" t="str">
            <v>Hong Kong</v>
          </cell>
        </row>
        <row r="14093">
          <cell r="L14093" t="str">
            <v>Proportional</v>
          </cell>
          <cell r="S14093">
            <v>1216600</v>
          </cell>
          <cell r="X14093" t="str">
            <v>Commissions - gross</v>
          </cell>
          <cell r="Y14093" t="str">
            <v>PORTUGAL</v>
          </cell>
        </row>
        <row r="14094">
          <cell r="L14094" t="str">
            <v>Proportional</v>
          </cell>
          <cell r="S14094">
            <v>9.89</v>
          </cell>
          <cell r="X14094" t="str">
            <v>Commissions - gross</v>
          </cell>
          <cell r="Y14094" t="str">
            <v>Malaysia</v>
          </cell>
        </row>
        <row r="14095">
          <cell r="L14095" t="str">
            <v>Proportional</v>
          </cell>
          <cell r="S14095">
            <v>38523.14</v>
          </cell>
          <cell r="X14095" t="str">
            <v>Commissions - gross</v>
          </cell>
          <cell r="Y14095" t="str">
            <v>THAILAND</v>
          </cell>
        </row>
        <row r="14096">
          <cell r="L14096" t="str">
            <v>Proportional</v>
          </cell>
          <cell r="S14096">
            <v>82953.899999999994</v>
          </cell>
          <cell r="X14096" t="str">
            <v>Commissions - gross</v>
          </cell>
          <cell r="Y14096" t="str">
            <v>EUROPE</v>
          </cell>
        </row>
        <row r="14097">
          <cell r="L14097" t="str">
            <v>Proportional</v>
          </cell>
          <cell r="S14097">
            <v>1040625.04</v>
          </cell>
          <cell r="X14097" t="str">
            <v>Commissions - gross</v>
          </cell>
          <cell r="Y14097" t="str">
            <v>THAILAND</v>
          </cell>
        </row>
        <row r="14098">
          <cell r="L14098" t="str">
            <v>Proportional</v>
          </cell>
          <cell r="S14098">
            <v>350000</v>
          </cell>
          <cell r="X14098" t="str">
            <v>Commissions - gross</v>
          </cell>
          <cell r="Y14098" t="str">
            <v>ITALY</v>
          </cell>
        </row>
        <row r="14099">
          <cell r="L14099" t="str">
            <v>Proportional</v>
          </cell>
          <cell r="S14099">
            <v>806734.56</v>
          </cell>
          <cell r="X14099" t="str">
            <v>Commissions - gross</v>
          </cell>
          <cell r="Y14099" t="str">
            <v>THAILAND</v>
          </cell>
        </row>
        <row r="14100">
          <cell r="L14100" t="str">
            <v>Proportional</v>
          </cell>
          <cell r="S14100">
            <v>41860</v>
          </cell>
          <cell r="X14100" t="str">
            <v>Commissions - gross</v>
          </cell>
          <cell r="Y14100" t="str">
            <v>ITALY</v>
          </cell>
        </row>
        <row r="14101">
          <cell r="L14101" t="str">
            <v>Proportional</v>
          </cell>
          <cell r="S14101">
            <v>305961.45</v>
          </cell>
          <cell r="X14101" t="str">
            <v>Commissions - gross</v>
          </cell>
          <cell r="Y14101" t="str">
            <v>PORTUGAL</v>
          </cell>
        </row>
        <row r="14102">
          <cell r="L14102" t="str">
            <v>Proportional</v>
          </cell>
          <cell r="S14102">
            <v>108940.43</v>
          </cell>
          <cell r="X14102" t="str">
            <v>Commissions - gross</v>
          </cell>
          <cell r="Y14102" t="str">
            <v>THAILAND</v>
          </cell>
        </row>
        <row r="14103">
          <cell r="L14103" t="str">
            <v>Proportional</v>
          </cell>
          <cell r="S14103">
            <v>228708.8</v>
          </cell>
          <cell r="X14103" t="str">
            <v>Commissions - gross</v>
          </cell>
          <cell r="Y14103" t="str">
            <v>THAILAND</v>
          </cell>
        </row>
        <row r="14104">
          <cell r="L14104" t="str">
            <v>Proportional</v>
          </cell>
          <cell r="S14104">
            <v>5</v>
          </cell>
          <cell r="X14104" t="str">
            <v>Commissions - gross</v>
          </cell>
          <cell r="Y14104" t="str">
            <v>HONG KONG</v>
          </cell>
        </row>
        <row r="14105">
          <cell r="L14105" t="str">
            <v>Proportional</v>
          </cell>
          <cell r="S14105">
            <v>2.16</v>
          </cell>
          <cell r="X14105" t="str">
            <v>Commissions - gross</v>
          </cell>
          <cell r="Y14105" t="str">
            <v>Hong Kong</v>
          </cell>
        </row>
        <row r="14106">
          <cell r="L14106" t="str">
            <v>Proportional</v>
          </cell>
          <cell r="S14106">
            <v>33770.28</v>
          </cell>
          <cell r="X14106" t="str">
            <v>Commissions - gross</v>
          </cell>
          <cell r="Y14106" t="str">
            <v>THAILAND</v>
          </cell>
        </row>
        <row r="14107">
          <cell r="L14107" t="str">
            <v>Proportional</v>
          </cell>
          <cell r="S14107">
            <v>172800</v>
          </cell>
          <cell r="X14107" t="str">
            <v>Commissions - gross</v>
          </cell>
          <cell r="Y14107" t="str">
            <v>FRANCE</v>
          </cell>
        </row>
        <row r="14108">
          <cell r="L14108" t="str">
            <v>Proportional</v>
          </cell>
          <cell r="S14108">
            <v>45703.47</v>
          </cell>
          <cell r="X14108" t="str">
            <v>Commissions - gross</v>
          </cell>
          <cell r="Y14108" t="str">
            <v>HONG KONG</v>
          </cell>
        </row>
        <row r="14109">
          <cell r="L14109" t="str">
            <v>Proportional</v>
          </cell>
          <cell r="S14109">
            <v>9995.35</v>
          </cell>
          <cell r="X14109" t="str">
            <v>Commissions - gross</v>
          </cell>
          <cell r="Y14109" t="str">
            <v>HONG KONG</v>
          </cell>
        </row>
        <row r="14110">
          <cell r="L14110" t="str">
            <v>Proportional</v>
          </cell>
          <cell r="S14110">
            <v>975.68</v>
          </cell>
          <cell r="X14110" t="str">
            <v>Commissions - gross</v>
          </cell>
          <cell r="Y14110" t="str">
            <v>Hong Kong</v>
          </cell>
        </row>
        <row r="14111">
          <cell r="L14111" t="str">
            <v>Proportional</v>
          </cell>
          <cell r="S14111">
            <v>-350000</v>
          </cell>
          <cell r="X14111" t="str">
            <v>Commissions - gross</v>
          </cell>
          <cell r="Y14111" t="str">
            <v>ITALY</v>
          </cell>
        </row>
        <row r="14112">
          <cell r="L14112" t="str">
            <v>Proportional</v>
          </cell>
          <cell r="S14112">
            <v>186750</v>
          </cell>
          <cell r="X14112" t="str">
            <v>Commissions - gross</v>
          </cell>
          <cell r="Y14112" t="str">
            <v>PORTUGAL</v>
          </cell>
        </row>
        <row r="14113">
          <cell r="L14113" t="str">
            <v>Proportional</v>
          </cell>
          <cell r="S14113">
            <v>465178.23</v>
          </cell>
          <cell r="X14113" t="str">
            <v>Commissions - gross</v>
          </cell>
          <cell r="Y14113" t="str">
            <v>UNITED STATES</v>
          </cell>
        </row>
        <row r="14114">
          <cell r="L14114" t="str">
            <v>Proportional</v>
          </cell>
          <cell r="S14114">
            <v>571772</v>
          </cell>
          <cell r="X14114" t="str">
            <v>Commissions - gross</v>
          </cell>
          <cell r="Y14114" t="str">
            <v>THAILAND</v>
          </cell>
        </row>
        <row r="14115">
          <cell r="L14115" t="str">
            <v>Proportional</v>
          </cell>
          <cell r="S14115">
            <v>300180.3</v>
          </cell>
          <cell r="X14115" t="str">
            <v>Commissions - gross</v>
          </cell>
          <cell r="Y14115" t="str">
            <v>THAILAND</v>
          </cell>
        </row>
        <row r="14116">
          <cell r="L14116" t="str">
            <v>Proportional</v>
          </cell>
          <cell r="S14116">
            <v>1320.46</v>
          </cell>
          <cell r="X14116" t="str">
            <v>Commissions - gross</v>
          </cell>
          <cell r="Y14116" t="str">
            <v>Hong Kong</v>
          </cell>
        </row>
        <row r="14117">
          <cell r="L14117" t="str">
            <v>Proportional</v>
          </cell>
          <cell r="S14117">
            <v>-9995.35</v>
          </cell>
          <cell r="X14117" t="str">
            <v>Commissions - gross</v>
          </cell>
          <cell r="Y14117" t="str">
            <v>HONG KONG</v>
          </cell>
        </row>
        <row r="14118">
          <cell r="L14118" t="str">
            <v>Proportional</v>
          </cell>
          <cell r="S14118">
            <v>4308745</v>
          </cell>
          <cell r="X14118" t="str">
            <v>Commissions - gross</v>
          </cell>
          <cell r="Y14118" t="str">
            <v>HONG KONG</v>
          </cell>
        </row>
        <row r="14119">
          <cell r="L14119" t="str">
            <v>Proportional</v>
          </cell>
          <cell r="S14119">
            <v>350000</v>
          </cell>
          <cell r="X14119" t="str">
            <v>Commissions - gross</v>
          </cell>
          <cell r="Y14119" t="str">
            <v>ITALY</v>
          </cell>
        </row>
        <row r="14120">
          <cell r="L14120" t="str">
            <v>Proportional</v>
          </cell>
          <cell r="S14120">
            <v>943.95</v>
          </cell>
          <cell r="X14120" t="str">
            <v>Commissions - gross</v>
          </cell>
          <cell r="Y14120" t="str">
            <v>MALAYSIA</v>
          </cell>
        </row>
        <row r="14121">
          <cell r="L14121" t="str">
            <v>Proportional</v>
          </cell>
          <cell r="S14121">
            <v>19338.400000000001</v>
          </cell>
          <cell r="X14121" t="str">
            <v>Commissions - gross</v>
          </cell>
          <cell r="Y14121" t="str">
            <v>ITALY</v>
          </cell>
        </row>
        <row r="14122">
          <cell r="L14122" t="str">
            <v>Proportional</v>
          </cell>
          <cell r="S14122">
            <v>123420</v>
          </cell>
          <cell r="X14122" t="str">
            <v>Commissions - gross</v>
          </cell>
          <cell r="Y14122" t="str">
            <v>ITALY</v>
          </cell>
        </row>
        <row r="14123">
          <cell r="L14123" t="str">
            <v>Proportional</v>
          </cell>
          <cell r="S14123">
            <v>27117.63</v>
          </cell>
          <cell r="X14123" t="str">
            <v>Commissions - gross</v>
          </cell>
          <cell r="Y14123" t="str">
            <v>JAPAN</v>
          </cell>
        </row>
        <row r="14124">
          <cell r="L14124" t="str">
            <v>Proportional</v>
          </cell>
          <cell r="S14124">
            <v>477966.31</v>
          </cell>
          <cell r="X14124" t="str">
            <v>Commissions - gross</v>
          </cell>
          <cell r="Y14124" t="str">
            <v>UNITED STATES</v>
          </cell>
        </row>
        <row r="14125">
          <cell r="L14125" t="str">
            <v>Proportional</v>
          </cell>
          <cell r="S14125">
            <v>62537.56</v>
          </cell>
          <cell r="X14125" t="str">
            <v>Commissions - gross</v>
          </cell>
          <cell r="Y14125" t="str">
            <v>THAILAND</v>
          </cell>
        </row>
        <row r="14126">
          <cell r="L14126" t="str">
            <v>Proportional</v>
          </cell>
          <cell r="S14126">
            <v>41600.22</v>
          </cell>
          <cell r="X14126" t="str">
            <v>Commissions - gross</v>
          </cell>
          <cell r="Y14126" t="str">
            <v>BELGIUM</v>
          </cell>
        </row>
        <row r="14127">
          <cell r="L14127" t="str">
            <v>Proportional</v>
          </cell>
          <cell r="S14127">
            <v>11242466.949999999</v>
          </cell>
          <cell r="X14127" t="str">
            <v>Commissions - gross</v>
          </cell>
          <cell r="Y14127" t="str">
            <v>THAILAND</v>
          </cell>
        </row>
        <row r="14128">
          <cell r="L14128" t="str">
            <v>Proportional</v>
          </cell>
          <cell r="S14128">
            <v>-3663.76</v>
          </cell>
          <cell r="X14128" t="str">
            <v>Commissions - gross</v>
          </cell>
          <cell r="Y14128" t="str">
            <v>HONG KONG</v>
          </cell>
        </row>
        <row r="14129">
          <cell r="L14129" t="str">
            <v>Proportional</v>
          </cell>
          <cell r="S14129">
            <v>-5</v>
          </cell>
          <cell r="X14129" t="str">
            <v>Commissions - gross</v>
          </cell>
          <cell r="Y14129" t="str">
            <v>HONG KONG</v>
          </cell>
        </row>
        <row r="14130">
          <cell r="L14130" t="str">
            <v>Proportional</v>
          </cell>
          <cell r="S14130">
            <v>10843.08</v>
          </cell>
          <cell r="X14130" t="str">
            <v>Commissions - gross</v>
          </cell>
          <cell r="Y14130" t="str">
            <v>CHILE</v>
          </cell>
        </row>
        <row r="14131">
          <cell r="L14131" t="str">
            <v>Proportional</v>
          </cell>
          <cell r="S14131">
            <v>107358</v>
          </cell>
          <cell r="X14131" t="str">
            <v>Commissions - gross</v>
          </cell>
          <cell r="Y14131" t="str">
            <v>FRANCE</v>
          </cell>
        </row>
        <row r="14132">
          <cell r="L14132" t="str">
            <v>Proportional</v>
          </cell>
          <cell r="S14132">
            <v>4502.7</v>
          </cell>
          <cell r="X14132" t="str">
            <v>Commissions - gross</v>
          </cell>
          <cell r="Y14132" t="str">
            <v>THAILAND</v>
          </cell>
        </row>
        <row r="14133">
          <cell r="L14133" t="str">
            <v>Proportional</v>
          </cell>
          <cell r="S14133">
            <v>19255.919999999998</v>
          </cell>
          <cell r="X14133" t="str">
            <v>Commissions - gross</v>
          </cell>
          <cell r="Y14133" t="str">
            <v>MEXICO</v>
          </cell>
        </row>
        <row r="14134">
          <cell r="L14134" t="str">
            <v>Proportional</v>
          </cell>
          <cell r="S14134">
            <v>195.62</v>
          </cell>
          <cell r="X14134" t="str">
            <v>Commissions - gross</v>
          </cell>
          <cell r="Y14134" t="str">
            <v>Turkey</v>
          </cell>
        </row>
        <row r="14135">
          <cell r="L14135" t="str">
            <v>Proportional</v>
          </cell>
          <cell r="S14135">
            <v>-19255.919999999998</v>
          </cell>
          <cell r="X14135" t="str">
            <v>Commissions - gross</v>
          </cell>
          <cell r="Y14135" t="str">
            <v>MEXICO</v>
          </cell>
        </row>
        <row r="14136">
          <cell r="L14136" t="str">
            <v>Proportional</v>
          </cell>
          <cell r="S14136">
            <v>-289343.59999999998</v>
          </cell>
          <cell r="X14136" t="str">
            <v>Commissions - gross</v>
          </cell>
          <cell r="Y14136" t="str">
            <v>AUSTRIA</v>
          </cell>
        </row>
        <row r="14137">
          <cell r="L14137" t="str">
            <v>Proportional</v>
          </cell>
          <cell r="S14137">
            <v>-5.92</v>
          </cell>
          <cell r="X14137" t="str">
            <v>Commissions - gross</v>
          </cell>
          <cell r="Y14137" t="str">
            <v>Turkey</v>
          </cell>
        </row>
        <row r="14138">
          <cell r="L14138" t="str">
            <v>Proportional</v>
          </cell>
          <cell r="S14138">
            <v>31.72</v>
          </cell>
          <cell r="X14138" t="str">
            <v>Commissions - gross</v>
          </cell>
          <cell r="Y14138" t="str">
            <v>Portugal</v>
          </cell>
        </row>
        <row r="14139">
          <cell r="L14139" t="str">
            <v>Proportional</v>
          </cell>
          <cell r="S14139">
            <v>82.27</v>
          </cell>
          <cell r="X14139" t="str">
            <v>Commissions - gross</v>
          </cell>
          <cell r="Y14139" t="str">
            <v>Turkey</v>
          </cell>
        </row>
        <row r="14140">
          <cell r="L14140" t="str">
            <v>Proportional</v>
          </cell>
          <cell r="S14140">
            <v>-174.03</v>
          </cell>
          <cell r="X14140" t="str">
            <v>Commissions - gross</v>
          </cell>
          <cell r="Y14140" t="str">
            <v>TURKEY</v>
          </cell>
        </row>
        <row r="14141">
          <cell r="L14141" t="str">
            <v>Proportional</v>
          </cell>
          <cell r="S14141">
            <v>13.16</v>
          </cell>
          <cell r="X14141" t="str">
            <v>Commissions - gross</v>
          </cell>
          <cell r="Y14141" t="str">
            <v>Turkey</v>
          </cell>
        </row>
        <row r="14142">
          <cell r="L14142" t="str">
            <v>Proportional</v>
          </cell>
          <cell r="S14142">
            <v>-19255.919999999998</v>
          </cell>
          <cell r="X14142" t="str">
            <v>Commissions - gross</v>
          </cell>
          <cell r="Y14142" t="str">
            <v>MEXICO</v>
          </cell>
        </row>
        <row r="14143">
          <cell r="L14143" t="str">
            <v>Proportional</v>
          </cell>
          <cell r="S14143">
            <v>-10084.07</v>
          </cell>
          <cell r="X14143" t="str">
            <v>Commissions - gross</v>
          </cell>
          <cell r="Y14143" t="str">
            <v>PORTUGAL</v>
          </cell>
        </row>
        <row r="14144">
          <cell r="L14144" t="str">
            <v>Proportional</v>
          </cell>
          <cell r="S14144">
            <v>-19255.919999999998</v>
          </cell>
          <cell r="X14144" t="str">
            <v>Commissions - gross</v>
          </cell>
          <cell r="Y14144" t="str">
            <v>MEXICO</v>
          </cell>
        </row>
        <row r="14145">
          <cell r="L14145" t="str">
            <v>Proportional</v>
          </cell>
          <cell r="S14145">
            <v>1341102.3400000001</v>
          </cell>
          <cell r="X14145" t="str">
            <v>Commissions - gross</v>
          </cell>
          <cell r="Y14145" t="str">
            <v>HONG KONG</v>
          </cell>
        </row>
        <row r="14146">
          <cell r="L14146" t="str">
            <v>Proportional</v>
          </cell>
          <cell r="S14146">
            <v>82683.25</v>
          </cell>
          <cell r="X14146" t="str">
            <v>Commissions - gross</v>
          </cell>
          <cell r="Y14146" t="str">
            <v>Hong Kong</v>
          </cell>
        </row>
        <row r="14147">
          <cell r="L14147" t="str">
            <v>Proportional</v>
          </cell>
          <cell r="S14147">
            <v>-10760.06</v>
          </cell>
          <cell r="X14147" t="str">
            <v>Commissions - gross</v>
          </cell>
          <cell r="Y14147" t="str">
            <v>MEXICO</v>
          </cell>
        </row>
        <row r="14148">
          <cell r="L14148" t="str">
            <v>Proportional</v>
          </cell>
          <cell r="S14148">
            <v>460.16</v>
          </cell>
          <cell r="X14148" t="str">
            <v>Commissions - gross</v>
          </cell>
          <cell r="Y14148" t="str">
            <v>TURKEY</v>
          </cell>
        </row>
        <row r="14149">
          <cell r="L14149" t="str">
            <v>Proportional</v>
          </cell>
          <cell r="S14149">
            <v>-19255.919999999998</v>
          </cell>
          <cell r="X14149" t="str">
            <v>Commissions - gross</v>
          </cell>
          <cell r="Y14149" t="str">
            <v>MEXICO</v>
          </cell>
        </row>
        <row r="14150">
          <cell r="L14150" t="str">
            <v>Proportional</v>
          </cell>
          <cell r="S14150">
            <v>3.92</v>
          </cell>
          <cell r="X14150" t="str">
            <v>Commissions - gross</v>
          </cell>
          <cell r="Y14150" t="str">
            <v>Turkey</v>
          </cell>
        </row>
        <row r="14151">
          <cell r="L14151" t="str">
            <v>Proportional</v>
          </cell>
          <cell r="S14151">
            <v>50629.3</v>
          </cell>
          <cell r="X14151" t="str">
            <v>Commissions - gross</v>
          </cell>
          <cell r="Y14151" t="str">
            <v>HONG KONG</v>
          </cell>
        </row>
        <row r="14152">
          <cell r="L14152" t="str">
            <v>Proportional</v>
          </cell>
          <cell r="S14152">
            <v>-25585.599999999999</v>
          </cell>
          <cell r="X14152" t="str">
            <v>Commissions - gross</v>
          </cell>
          <cell r="Y14152" t="str">
            <v>MEXICO</v>
          </cell>
        </row>
        <row r="14153">
          <cell r="L14153" t="str">
            <v>Proportional</v>
          </cell>
          <cell r="S14153">
            <v>-104861.38</v>
          </cell>
          <cell r="X14153" t="str">
            <v>Commissions - gross</v>
          </cell>
          <cell r="Y14153" t="str">
            <v>PORTUGAL</v>
          </cell>
        </row>
        <row r="14154">
          <cell r="L14154" t="str">
            <v>Proportional</v>
          </cell>
          <cell r="S14154">
            <v>1717.41</v>
          </cell>
          <cell r="X14154" t="str">
            <v>Commissions - gross</v>
          </cell>
          <cell r="Y14154" t="str">
            <v>Portugal</v>
          </cell>
        </row>
        <row r="14155">
          <cell r="L14155" t="str">
            <v>Proportional</v>
          </cell>
          <cell r="S14155">
            <v>245002.85</v>
          </cell>
          <cell r="X14155" t="str">
            <v>Commissions - gross</v>
          </cell>
          <cell r="Y14155" t="str">
            <v>HONG KONG</v>
          </cell>
        </row>
        <row r="14156">
          <cell r="L14156" t="str">
            <v>Proportional</v>
          </cell>
          <cell r="S14156">
            <v>-3816.55</v>
          </cell>
          <cell r="X14156" t="str">
            <v>Commissions - gross</v>
          </cell>
          <cell r="Y14156" t="str">
            <v>PORTUGAL</v>
          </cell>
        </row>
        <row r="14157">
          <cell r="L14157" t="str">
            <v>Proportional</v>
          </cell>
          <cell r="S14157">
            <v>-155.01</v>
          </cell>
          <cell r="X14157" t="str">
            <v>Commissions - gross</v>
          </cell>
          <cell r="Y14157" t="str">
            <v>Turkey</v>
          </cell>
        </row>
        <row r="14158">
          <cell r="L14158" t="str">
            <v>Proportional</v>
          </cell>
          <cell r="S14158">
            <v>19255.919999999998</v>
          </cell>
          <cell r="X14158" t="str">
            <v>Commissions - gross</v>
          </cell>
          <cell r="Y14158" t="str">
            <v>MEXICO</v>
          </cell>
        </row>
        <row r="14159">
          <cell r="L14159" t="str">
            <v>Proportional</v>
          </cell>
          <cell r="S14159">
            <v>-25591</v>
          </cell>
          <cell r="X14159" t="str">
            <v>Commissions - gross</v>
          </cell>
          <cell r="Y14159" t="str">
            <v>FRANCE</v>
          </cell>
        </row>
        <row r="14160">
          <cell r="L14160" t="str">
            <v>Proportional</v>
          </cell>
          <cell r="S14160">
            <v>-642344.29</v>
          </cell>
          <cell r="X14160" t="str">
            <v>Commissions - gross</v>
          </cell>
          <cell r="Y14160" t="str">
            <v>PORTUGAL</v>
          </cell>
        </row>
        <row r="14161">
          <cell r="L14161" t="str">
            <v>Non-proportional</v>
          </cell>
          <cell r="S14161">
            <v>42392.33</v>
          </cell>
          <cell r="X14161" t="str">
            <v>Commissions - gross</v>
          </cell>
          <cell r="Y14161" t="str">
            <v>TURKEY</v>
          </cell>
        </row>
        <row r="14162">
          <cell r="L14162" t="str">
            <v>Proportional</v>
          </cell>
          <cell r="S14162">
            <v>22919.63</v>
          </cell>
          <cell r="X14162" t="str">
            <v>Commissions - gross</v>
          </cell>
          <cell r="Y14162" t="str">
            <v>MEXICO</v>
          </cell>
        </row>
        <row r="14163">
          <cell r="L14163" t="str">
            <v>Proportional</v>
          </cell>
          <cell r="S14163">
            <v>17990.32</v>
          </cell>
          <cell r="X14163" t="str">
            <v>Commissions - gross</v>
          </cell>
          <cell r="Y14163" t="str">
            <v>PORTUGAL</v>
          </cell>
        </row>
        <row r="14164">
          <cell r="L14164" t="str">
            <v>Proportional</v>
          </cell>
          <cell r="S14164">
            <v>314.06</v>
          </cell>
          <cell r="X14164" t="str">
            <v>Commissions - gross</v>
          </cell>
          <cell r="Y14164" t="str">
            <v>TURKEY</v>
          </cell>
        </row>
        <row r="14165">
          <cell r="L14165" t="str">
            <v>Proportional</v>
          </cell>
          <cell r="S14165">
            <v>16715.849999999999</v>
          </cell>
          <cell r="X14165" t="str">
            <v>Commissions - gross</v>
          </cell>
          <cell r="Y14165" t="str">
            <v>PORTUGAL</v>
          </cell>
        </row>
        <row r="14166">
          <cell r="L14166" t="str">
            <v>Proportional</v>
          </cell>
          <cell r="S14166">
            <v>25591</v>
          </cell>
          <cell r="X14166" t="str">
            <v>Commissions - gross</v>
          </cell>
          <cell r="Y14166" t="str">
            <v>FRANCE</v>
          </cell>
        </row>
        <row r="14167">
          <cell r="L14167" t="str">
            <v>Proportional</v>
          </cell>
          <cell r="S14167">
            <v>875.51</v>
          </cell>
          <cell r="X14167" t="str">
            <v>Commissions - gross</v>
          </cell>
          <cell r="Y14167" t="str">
            <v>Turkey</v>
          </cell>
        </row>
        <row r="14168">
          <cell r="L14168" t="str">
            <v>Proportional</v>
          </cell>
          <cell r="S14168">
            <v>8811.86</v>
          </cell>
          <cell r="X14168" t="str">
            <v>Commissions - gross</v>
          </cell>
          <cell r="Y14168" t="str">
            <v>TURKEY</v>
          </cell>
        </row>
        <row r="14169">
          <cell r="L14169" t="str">
            <v>Proportional</v>
          </cell>
          <cell r="S14169">
            <v>5746.23</v>
          </cell>
          <cell r="X14169" t="str">
            <v>Commissions - gross</v>
          </cell>
          <cell r="Y14169" t="str">
            <v>Portugal</v>
          </cell>
        </row>
        <row r="14170">
          <cell r="L14170" t="str">
            <v>Non-proportional</v>
          </cell>
          <cell r="S14170">
            <v>-38154.379999999997</v>
          </cell>
          <cell r="X14170" t="str">
            <v>Commissions - gross</v>
          </cell>
          <cell r="Y14170" t="str">
            <v>TURKEY</v>
          </cell>
        </row>
        <row r="14171">
          <cell r="L14171" t="str">
            <v>Proportional</v>
          </cell>
          <cell r="S14171">
            <v>32681.95</v>
          </cell>
          <cell r="X14171" t="str">
            <v>Commissions - gross</v>
          </cell>
          <cell r="Y14171" t="str">
            <v>MEXICO</v>
          </cell>
        </row>
        <row r="14172">
          <cell r="L14172" t="str">
            <v>Proportional</v>
          </cell>
          <cell r="S14172">
            <v>-890833.98</v>
          </cell>
          <cell r="X14172" t="str">
            <v>Commissions - gross</v>
          </cell>
          <cell r="Y14172" t="str">
            <v>PORTUGAL</v>
          </cell>
        </row>
        <row r="14173">
          <cell r="L14173" t="str">
            <v>Non-proportional</v>
          </cell>
          <cell r="S14173">
            <v>45393.85</v>
          </cell>
          <cell r="X14173" t="str">
            <v>Commissions - gross</v>
          </cell>
          <cell r="Y14173" t="str">
            <v>TURKEY</v>
          </cell>
        </row>
        <row r="14174">
          <cell r="L14174" t="str">
            <v>Proportional</v>
          </cell>
          <cell r="S14174">
            <v>675.65</v>
          </cell>
          <cell r="X14174" t="str">
            <v>Commissions - gross</v>
          </cell>
          <cell r="Y14174" t="str">
            <v>TURKEY</v>
          </cell>
        </row>
        <row r="14175">
          <cell r="L14175" t="str">
            <v>Proportional</v>
          </cell>
          <cell r="S14175">
            <v>-1341102.3400000001</v>
          </cell>
          <cell r="X14175" t="str">
            <v>Commissions - gross</v>
          </cell>
          <cell r="Y14175" t="str">
            <v>HONG KONG</v>
          </cell>
        </row>
        <row r="14176">
          <cell r="L14176" t="str">
            <v>Proportional</v>
          </cell>
          <cell r="S14176">
            <v>261187.3</v>
          </cell>
          <cell r="X14176" t="str">
            <v>Commissions - gross</v>
          </cell>
          <cell r="Y14176" t="str">
            <v>PORTUGAL</v>
          </cell>
        </row>
        <row r="14177">
          <cell r="L14177" t="str">
            <v>Proportional</v>
          </cell>
          <cell r="S14177">
            <v>37.1</v>
          </cell>
          <cell r="X14177" t="str">
            <v>Commissions - gross</v>
          </cell>
          <cell r="Y14177" t="str">
            <v>SINGAPORE</v>
          </cell>
        </row>
        <row r="14178">
          <cell r="L14178" t="str">
            <v>Proportional</v>
          </cell>
          <cell r="S14178">
            <v>-18055.13</v>
          </cell>
          <cell r="X14178" t="str">
            <v>Commissions - gross</v>
          </cell>
          <cell r="Y14178" t="str">
            <v>AUSTRIA</v>
          </cell>
        </row>
        <row r="14179">
          <cell r="L14179" t="str">
            <v>Proportional</v>
          </cell>
          <cell r="S14179">
            <v>1745.84</v>
          </cell>
          <cell r="X14179" t="str">
            <v>Commissions - gross</v>
          </cell>
          <cell r="Y14179" t="str">
            <v>Turkey</v>
          </cell>
        </row>
        <row r="14180">
          <cell r="L14180" t="str">
            <v>Non-proportional</v>
          </cell>
          <cell r="S14180">
            <v>40847.629999999997</v>
          </cell>
          <cell r="X14180" t="str">
            <v>Commissions - gross</v>
          </cell>
          <cell r="Y14180" t="str">
            <v>TURKEY</v>
          </cell>
        </row>
        <row r="14181">
          <cell r="L14181" t="str">
            <v>Proportional</v>
          </cell>
          <cell r="S14181">
            <v>19255.919999999998</v>
          </cell>
          <cell r="X14181" t="str">
            <v>Commissions - gross</v>
          </cell>
          <cell r="Y14181" t="str">
            <v>MEXICO</v>
          </cell>
        </row>
        <row r="14182">
          <cell r="L14182" t="str">
            <v>Proportional</v>
          </cell>
          <cell r="S14182">
            <v>36110.26</v>
          </cell>
          <cell r="X14182" t="str">
            <v>Commissions - gross</v>
          </cell>
          <cell r="Y14182" t="str">
            <v>AUSTRIA</v>
          </cell>
        </row>
        <row r="14183">
          <cell r="L14183" t="str">
            <v>Proportional</v>
          </cell>
          <cell r="S14183">
            <v>1271.45</v>
          </cell>
          <cell r="X14183" t="str">
            <v>Commissions - gross</v>
          </cell>
          <cell r="Y14183" t="str">
            <v>TURKEY</v>
          </cell>
        </row>
        <row r="14184">
          <cell r="L14184" t="str">
            <v>Proportional</v>
          </cell>
          <cell r="S14184">
            <v>989301.66</v>
          </cell>
          <cell r="X14184" t="str">
            <v>Commissions - gross</v>
          </cell>
          <cell r="Y14184" t="str">
            <v>PORTUGAL</v>
          </cell>
        </row>
        <row r="14185">
          <cell r="L14185" t="str">
            <v>Proportional</v>
          </cell>
          <cell r="S14185">
            <v>10760.06</v>
          </cell>
          <cell r="X14185" t="str">
            <v>Commissions - gross</v>
          </cell>
          <cell r="Y14185" t="str">
            <v>MEXICO</v>
          </cell>
        </row>
        <row r="14186">
          <cell r="L14186" t="str">
            <v>Non-proportional</v>
          </cell>
          <cell r="S14186">
            <v>-40847.629999999997</v>
          </cell>
          <cell r="X14186" t="str">
            <v>Commissions - gross</v>
          </cell>
          <cell r="Y14186" t="str">
            <v>TURKEY</v>
          </cell>
        </row>
        <row r="14187">
          <cell r="L14187" t="str">
            <v>Proportional</v>
          </cell>
          <cell r="S14187">
            <v>19255.919999999998</v>
          </cell>
          <cell r="X14187" t="str">
            <v>Commissions - gross</v>
          </cell>
          <cell r="Y14187" t="str">
            <v>MEXICO</v>
          </cell>
        </row>
        <row r="14188">
          <cell r="L14188" t="str">
            <v>Proportional</v>
          </cell>
          <cell r="S14188">
            <v>106139.99</v>
          </cell>
          <cell r="X14188" t="str">
            <v>Commissions - gross</v>
          </cell>
          <cell r="Y14188" t="str">
            <v>PORTUGAL</v>
          </cell>
        </row>
        <row r="14189">
          <cell r="L14189" t="str">
            <v>Proportional</v>
          </cell>
          <cell r="S14189">
            <v>25585.599999999999</v>
          </cell>
          <cell r="X14189" t="str">
            <v>Commissions - gross</v>
          </cell>
          <cell r="Y14189" t="str">
            <v>MEXICO</v>
          </cell>
        </row>
        <row r="14190">
          <cell r="L14190" t="str">
            <v>Proportional</v>
          </cell>
          <cell r="S14190">
            <v>234147.07</v>
          </cell>
          <cell r="X14190" t="str">
            <v>Commissions - gross</v>
          </cell>
          <cell r="Y14190" t="str">
            <v>HONG KONG</v>
          </cell>
        </row>
        <row r="14191">
          <cell r="L14191" t="str">
            <v>Proportional</v>
          </cell>
          <cell r="S14191">
            <v>5985.51</v>
          </cell>
          <cell r="X14191" t="str">
            <v>Commissions - gross</v>
          </cell>
          <cell r="Y14191" t="str">
            <v>Hong Kong</v>
          </cell>
        </row>
        <row r="14192">
          <cell r="L14192" t="str">
            <v>Proportional</v>
          </cell>
          <cell r="S14192">
            <v>289343.59999999998</v>
          </cell>
          <cell r="X14192" t="str">
            <v>Commissions - gross</v>
          </cell>
          <cell r="Y14192" t="str">
            <v>AUSTRIA</v>
          </cell>
        </row>
        <row r="14193">
          <cell r="L14193" t="str">
            <v>Proportional</v>
          </cell>
          <cell r="S14193">
            <v>-245002.85</v>
          </cell>
          <cell r="X14193" t="str">
            <v>Commissions - gross</v>
          </cell>
          <cell r="Y14193" t="str">
            <v>HONG KONG</v>
          </cell>
        </row>
        <row r="14194">
          <cell r="L14194" t="str">
            <v>Non-proportional</v>
          </cell>
          <cell r="S14194">
            <v>38154.379999999997</v>
          </cell>
          <cell r="X14194" t="str">
            <v>Commissions - gross</v>
          </cell>
          <cell r="Y14194" t="str">
            <v>TURKEY</v>
          </cell>
        </row>
        <row r="14195">
          <cell r="L14195" t="str">
            <v>Proportional</v>
          </cell>
          <cell r="S14195">
            <v>143.68</v>
          </cell>
          <cell r="X14195" t="str">
            <v>Commissions - gross</v>
          </cell>
          <cell r="Y14195" t="str">
            <v>Turkey</v>
          </cell>
        </row>
        <row r="14196">
          <cell r="L14196" t="str">
            <v>Proportional</v>
          </cell>
          <cell r="S14196">
            <v>-4.28</v>
          </cell>
          <cell r="X14196" t="str">
            <v>Commissions - gross</v>
          </cell>
          <cell r="Y14196" t="str">
            <v>Turkey</v>
          </cell>
        </row>
        <row r="14197">
          <cell r="L14197" t="str">
            <v>Proportional</v>
          </cell>
          <cell r="S14197">
            <v>2183113.25</v>
          </cell>
          <cell r="X14197" t="str">
            <v>Commissions - gross</v>
          </cell>
          <cell r="Y14197" t="str">
            <v>THAILAND</v>
          </cell>
        </row>
        <row r="14198">
          <cell r="L14198" t="str">
            <v>Proportional</v>
          </cell>
          <cell r="S14198">
            <v>-4352.33</v>
          </cell>
          <cell r="X14198" t="str">
            <v>Commissions - gross</v>
          </cell>
          <cell r="Y14198" t="str">
            <v>INDIA</v>
          </cell>
        </row>
        <row r="14199">
          <cell r="L14199" t="str">
            <v>Proportional</v>
          </cell>
          <cell r="S14199">
            <v>-28533.13</v>
          </cell>
          <cell r="X14199" t="str">
            <v>Commissions - gross</v>
          </cell>
          <cell r="Y14199" t="str">
            <v>THAILAND</v>
          </cell>
        </row>
        <row r="14200">
          <cell r="L14200" t="str">
            <v>Proportional</v>
          </cell>
          <cell r="S14200">
            <v>4816.84</v>
          </cell>
          <cell r="X14200" t="str">
            <v>Commissions - gross</v>
          </cell>
          <cell r="Y14200" t="str">
            <v>THAILAND</v>
          </cell>
        </row>
        <row r="14201">
          <cell r="L14201" t="str">
            <v>Proportional</v>
          </cell>
          <cell r="S14201">
            <v>-393.24</v>
          </cell>
          <cell r="X14201" t="str">
            <v>Commissions - gross</v>
          </cell>
          <cell r="Y14201" t="str">
            <v>Thailand</v>
          </cell>
        </row>
        <row r="14202">
          <cell r="L14202" t="str">
            <v>Proportional</v>
          </cell>
          <cell r="S14202">
            <v>-2594.33</v>
          </cell>
          <cell r="X14202" t="str">
            <v>Commissions - gross</v>
          </cell>
          <cell r="Y14202" t="str">
            <v>THAILAND</v>
          </cell>
        </row>
        <row r="14203">
          <cell r="L14203" t="str">
            <v>Proportional</v>
          </cell>
          <cell r="S14203">
            <v>4680.78</v>
          </cell>
          <cell r="X14203" t="str">
            <v>Commissions - gross</v>
          </cell>
          <cell r="Y14203" t="str">
            <v>India</v>
          </cell>
        </row>
        <row r="14204">
          <cell r="L14204" t="str">
            <v>Proportional</v>
          </cell>
          <cell r="S14204">
            <v>19.88</v>
          </cell>
          <cell r="X14204" t="str">
            <v>Commissions - gross</v>
          </cell>
          <cell r="Y14204" t="str">
            <v>THAILAND</v>
          </cell>
        </row>
        <row r="14205">
          <cell r="L14205" t="str">
            <v>Proportional</v>
          </cell>
          <cell r="S14205">
            <v>-3389.73</v>
          </cell>
          <cell r="X14205" t="str">
            <v>Commissions - gross</v>
          </cell>
          <cell r="Y14205" t="str">
            <v>HONG KONG</v>
          </cell>
        </row>
        <row r="14206">
          <cell r="L14206" t="str">
            <v>Proportional</v>
          </cell>
          <cell r="S14206">
            <v>444.94</v>
          </cell>
          <cell r="X14206" t="str">
            <v>Commissions - gross</v>
          </cell>
          <cell r="Y14206" t="str">
            <v>Hong Kong</v>
          </cell>
        </row>
        <row r="14207">
          <cell r="L14207" t="str">
            <v>Proportional</v>
          </cell>
          <cell r="S14207">
            <v>-50650.44</v>
          </cell>
          <cell r="X14207" t="str">
            <v>Commissions - gross</v>
          </cell>
          <cell r="Y14207" t="str">
            <v>THAILAND</v>
          </cell>
        </row>
        <row r="14208">
          <cell r="L14208" t="str">
            <v>Proportional</v>
          </cell>
          <cell r="S14208">
            <v>803.61</v>
          </cell>
          <cell r="X14208" t="str">
            <v>Commissions - gross</v>
          </cell>
          <cell r="Y14208" t="str">
            <v>THAILAND</v>
          </cell>
        </row>
        <row r="14209">
          <cell r="L14209" t="str">
            <v>Proportional</v>
          </cell>
          <cell r="S14209">
            <v>-12251.94</v>
          </cell>
          <cell r="X14209" t="str">
            <v>Commissions - gross</v>
          </cell>
          <cell r="Y14209" t="str">
            <v>THAILAND</v>
          </cell>
        </row>
        <row r="14210">
          <cell r="L14210" t="str">
            <v>Proportional</v>
          </cell>
          <cell r="S14210">
            <v>-149.97999999999999</v>
          </cell>
          <cell r="X14210" t="str">
            <v>Commissions - gross</v>
          </cell>
          <cell r="Y14210" t="str">
            <v>THAILAND</v>
          </cell>
        </row>
        <row r="14211">
          <cell r="L14211" t="str">
            <v>Proportional</v>
          </cell>
          <cell r="S14211">
            <v>-445.16</v>
          </cell>
          <cell r="X14211" t="str">
            <v>Commissions - gross</v>
          </cell>
          <cell r="Y14211" t="str">
            <v>INDIA</v>
          </cell>
        </row>
        <row r="14212">
          <cell r="L14212" t="str">
            <v>Proportional</v>
          </cell>
          <cell r="S14212">
            <v>-16708.78</v>
          </cell>
          <cell r="X14212" t="str">
            <v>Commissions - gross</v>
          </cell>
          <cell r="Y14212" t="str">
            <v>INDIA</v>
          </cell>
        </row>
        <row r="14213">
          <cell r="L14213" t="str">
            <v>Proportional</v>
          </cell>
          <cell r="S14213">
            <v>-19.87</v>
          </cell>
          <cell r="X14213" t="str">
            <v>Commissions - gross</v>
          </cell>
          <cell r="Y14213" t="str">
            <v>THAILAND</v>
          </cell>
        </row>
        <row r="14214">
          <cell r="L14214" t="str">
            <v>Proportional</v>
          </cell>
          <cell r="S14214">
            <v>398.57</v>
          </cell>
          <cell r="X14214" t="str">
            <v>Commissions - gross</v>
          </cell>
          <cell r="Y14214" t="str">
            <v>Thailand</v>
          </cell>
        </row>
        <row r="14215">
          <cell r="L14215" t="str">
            <v>Proportional</v>
          </cell>
          <cell r="S14215">
            <v>1080.22</v>
          </cell>
          <cell r="X14215" t="str">
            <v>Commissions - gross</v>
          </cell>
          <cell r="Y14215" t="str">
            <v>THAILAND</v>
          </cell>
        </row>
        <row r="14216">
          <cell r="L14216" t="str">
            <v>Proportional</v>
          </cell>
          <cell r="S14216">
            <v>152.28</v>
          </cell>
          <cell r="X14216" t="str">
            <v>Commissions - gross</v>
          </cell>
          <cell r="Y14216" t="str">
            <v>India</v>
          </cell>
        </row>
        <row r="14217">
          <cell r="L14217" t="str">
            <v>Proportional</v>
          </cell>
          <cell r="S14217">
            <v>0.01</v>
          </cell>
          <cell r="X14217" t="str">
            <v>Commissions - gross</v>
          </cell>
          <cell r="Y14217" t="str">
            <v>Thailand</v>
          </cell>
        </row>
        <row r="14218">
          <cell r="L14218" t="str">
            <v>Proportional</v>
          </cell>
          <cell r="S14218">
            <v>-787.51</v>
          </cell>
          <cell r="X14218" t="str">
            <v>Commissions - gross</v>
          </cell>
          <cell r="Y14218" t="str">
            <v>INDIA</v>
          </cell>
        </row>
        <row r="14219">
          <cell r="L14219" t="str">
            <v>Proportional</v>
          </cell>
          <cell r="S14219">
            <v>2.71</v>
          </cell>
          <cell r="X14219" t="str">
            <v>Commissions - gross</v>
          </cell>
          <cell r="Y14219" t="str">
            <v>Hong Kong</v>
          </cell>
        </row>
        <row r="14220">
          <cell r="L14220" t="str">
            <v>Proportional</v>
          </cell>
          <cell r="S14220">
            <v>-966.28</v>
          </cell>
          <cell r="X14220" t="str">
            <v>Commissions - gross</v>
          </cell>
          <cell r="Y14220" t="str">
            <v>India</v>
          </cell>
        </row>
        <row r="14221">
          <cell r="L14221" t="str">
            <v>Proportional</v>
          </cell>
          <cell r="S14221">
            <v>-20539.66</v>
          </cell>
          <cell r="X14221" t="str">
            <v>Commissions - gross</v>
          </cell>
          <cell r="Y14221" t="str">
            <v>THAILAND</v>
          </cell>
        </row>
        <row r="14222">
          <cell r="L14222" t="str">
            <v>Proportional</v>
          </cell>
          <cell r="S14222">
            <v>-15041.93</v>
          </cell>
          <cell r="X14222" t="str">
            <v>Commissions - gross</v>
          </cell>
          <cell r="Y14222" t="str">
            <v>THAILAND</v>
          </cell>
        </row>
        <row r="14223">
          <cell r="L14223" t="str">
            <v>Proportional</v>
          </cell>
          <cell r="S14223">
            <v>787.51</v>
          </cell>
          <cell r="X14223" t="str">
            <v>Commissions - gross</v>
          </cell>
          <cell r="Y14223" t="str">
            <v>INDIA</v>
          </cell>
        </row>
        <row r="14224">
          <cell r="L14224" t="str">
            <v>Proportional</v>
          </cell>
          <cell r="S14224">
            <v>3389.73</v>
          </cell>
          <cell r="X14224" t="str">
            <v>Commissions - gross</v>
          </cell>
          <cell r="Y14224" t="str">
            <v>HONG KONG</v>
          </cell>
        </row>
        <row r="14225">
          <cell r="L14225" t="str">
            <v>Proportional</v>
          </cell>
          <cell r="S14225">
            <v>-64.27</v>
          </cell>
          <cell r="X14225" t="str">
            <v>Commissions - gross</v>
          </cell>
          <cell r="Y14225" t="str">
            <v>Thailand</v>
          </cell>
        </row>
        <row r="14226">
          <cell r="L14226" t="str">
            <v>Proportional</v>
          </cell>
          <cell r="S14226">
            <v>-62781.56</v>
          </cell>
          <cell r="X14226" t="str">
            <v>Commissions - gross</v>
          </cell>
          <cell r="Y14226" t="str">
            <v>THAILAND</v>
          </cell>
        </row>
        <row r="14227">
          <cell r="L14227" t="str">
            <v>Proportional</v>
          </cell>
          <cell r="S14227">
            <v>39821.019999999997</v>
          </cell>
          <cell r="X14227" t="str">
            <v>Commissions - gross</v>
          </cell>
          <cell r="Y14227" t="str">
            <v>THAILAND</v>
          </cell>
        </row>
        <row r="14228">
          <cell r="L14228" t="str">
            <v>Proportional</v>
          </cell>
          <cell r="S14228">
            <v>1683.98</v>
          </cell>
          <cell r="X14228" t="str">
            <v>Commissions - gross</v>
          </cell>
          <cell r="Y14228" t="str">
            <v>THAILAND</v>
          </cell>
        </row>
        <row r="14229">
          <cell r="L14229" t="str">
            <v>Proportional</v>
          </cell>
          <cell r="S14229">
            <v>6988.58</v>
          </cell>
          <cell r="X14229" t="str">
            <v>Commissions - gross</v>
          </cell>
          <cell r="Y14229" t="str">
            <v>HONG KONG</v>
          </cell>
        </row>
        <row r="14230">
          <cell r="L14230" t="str">
            <v>Proportional</v>
          </cell>
          <cell r="S14230">
            <v>-9194.58</v>
          </cell>
          <cell r="X14230" t="str">
            <v>Commissions - gross</v>
          </cell>
          <cell r="Y14230" t="str">
            <v>THAILAND</v>
          </cell>
        </row>
        <row r="14231">
          <cell r="L14231" t="str">
            <v>Proportional</v>
          </cell>
          <cell r="S14231">
            <v>0.37</v>
          </cell>
          <cell r="X14231" t="str">
            <v>Commissions - gross</v>
          </cell>
          <cell r="Y14231" t="str">
            <v>HONG KONG</v>
          </cell>
        </row>
        <row r="14232">
          <cell r="L14232" t="str">
            <v>Proportional</v>
          </cell>
          <cell r="S14232">
            <v>-41600.22</v>
          </cell>
          <cell r="X14232" t="str">
            <v>Commissions - gross</v>
          </cell>
          <cell r="Y14232" t="str">
            <v>BELGIUM</v>
          </cell>
        </row>
        <row r="14233">
          <cell r="L14233" t="str">
            <v>Proportional</v>
          </cell>
          <cell r="S14233">
            <v>4352.33</v>
          </cell>
          <cell r="X14233" t="str">
            <v>Commissions - gross</v>
          </cell>
          <cell r="Y14233" t="str">
            <v>INDIA</v>
          </cell>
        </row>
        <row r="14234">
          <cell r="L14234" t="str">
            <v>Proportional</v>
          </cell>
          <cell r="S14234">
            <v>-1.39</v>
          </cell>
          <cell r="X14234" t="str">
            <v>Commissions - gross</v>
          </cell>
          <cell r="Y14234" t="str">
            <v>India</v>
          </cell>
        </row>
        <row r="14235">
          <cell r="L14235" t="str">
            <v>Proportional</v>
          </cell>
          <cell r="S14235">
            <v>17.010000000000002</v>
          </cell>
          <cell r="X14235" t="str">
            <v>Commissions - gross</v>
          </cell>
          <cell r="Y14235" t="str">
            <v>Thailand</v>
          </cell>
        </row>
        <row r="14236">
          <cell r="L14236" t="str">
            <v>Proportional</v>
          </cell>
          <cell r="S14236">
            <v>764.69</v>
          </cell>
          <cell r="X14236" t="str">
            <v>Commissions - gross</v>
          </cell>
          <cell r="Y14236" t="str">
            <v>Hong Kong</v>
          </cell>
        </row>
        <row r="14237">
          <cell r="L14237" t="str">
            <v>Proportional</v>
          </cell>
          <cell r="S14237">
            <v>-4857.5600000000004</v>
          </cell>
          <cell r="X14237" t="str">
            <v>Commissions - gross</v>
          </cell>
          <cell r="Y14237" t="str">
            <v>THAILAND</v>
          </cell>
        </row>
        <row r="14238">
          <cell r="L14238" t="str">
            <v>Proportional</v>
          </cell>
          <cell r="S14238">
            <v>-191472.44</v>
          </cell>
          <cell r="X14238" t="str">
            <v>Commissions - gross</v>
          </cell>
          <cell r="Y14238" t="str">
            <v>THAILAND</v>
          </cell>
        </row>
        <row r="14239">
          <cell r="L14239" t="str">
            <v>Proportional</v>
          </cell>
          <cell r="S14239">
            <v>-21835.06</v>
          </cell>
          <cell r="X14239" t="str">
            <v>Commissions - gross</v>
          </cell>
          <cell r="Y14239" t="str">
            <v>THAILAND</v>
          </cell>
        </row>
        <row r="14240">
          <cell r="L14240" t="str">
            <v>Proportional</v>
          </cell>
          <cell r="S14240">
            <v>-14.01</v>
          </cell>
          <cell r="X14240" t="str">
            <v>Commissions - gross</v>
          </cell>
          <cell r="Y14240" t="str">
            <v>India</v>
          </cell>
        </row>
        <row r="14241">
          <cell r="L14241" t="str">
            <v>Proportional</v>
          </cell>
          <cell r="S14241">
            <v>-4816.84</v>
          </cell>
          <cell r="X14241" t="str">
            <v>Commissions - gross</v>
          </cell>
          <cell r="Y14241" t="str">
            <v>THAILAND</v>
          </cell>
        </row>
        <row r="14242">
          <cell r="L14242" t="str">
            <v>Proportional</v>
          </cell>
          <cell r="S14242">
            <v>-4197.09</v>
          </cell>
          <cell r="X14242" t="str">
            <v>Commissions - gross</v>
          </cell>
          <cell r="Y14242" t="str">
            <v>Thailand</v>
          </cell>
        </row>
        <row r="14243">
          <cell r="L14243" t="str">
            <v>Proportional</v>
          </cell>
          <cell r="S14243">
            <v>62781.56</v>
          </cell>
          <cell r="X14243" t="str">
            <v>Commissions - gross</v>
          </cell>
          <cell r="Y14243" t="str">
            <v>THAILAND</v>
          </cell>
        </row>
        <row r="14244">
          <cell r="L14244" t="str">
            <v>Proportional</v>
          </cell>
          <cell r="S14244">
            <v>185.83</v>
          </cell>
          <cell r="X14244" t="str">
            <v>Commissions - gross</v>
          </cell>
          <cell r="Y14244" t="str">
            <v>Hong Kong</v>
          </cell>
        </row>
        <row r="14245">
          <cell r="L14245" t="str">
            <v>Proportional</v>
          </cell>
          <cell r="S14245">
            <v>16708.78</v>
          </cell>
          <cell r="X14245" t="str">
            <v>Commissions - gross</v>
          </cell>
          <cell r="Y14245" t="str">
            <v>INDIA</v>
          </cell>
        </row>
        <row r="14246">
          <cell r="L14246" t="str">
            <v>Proportional</v>
          </cell>
          <cell r="S14246">
            <v>-88471.66</v>
          </cell>
          <cell r="X14246" t="str">
            <v>Commissions - gross</v>
          </cell>
          <cell r="Y14246" t="str">
            <v>THAILAND</v>
          </cell>
        </row>
        <row r="14247">
          <cell r="L14247" t="str">
            <v>Proportional</v>
          </cell>
          <cell r="S14247">
            <v>9194.58</v>
          </cell>
          <cell r="X14247" t="str">
            <v>Commissions - gross</v>
          </cell>
          <cell r="Y14247" t="str">
            <v>THAILAND</v>
          </cell>
        </row>
        <row r="14248">
          <cell r="L14248" t="str">
            <v>Proportional</v>
          </cell>
          <cell r="S14248">
            <v>2594.33</v>
          </cell>
          <cell r="X14248" t="str">
            <v>Commissions - gross</v>
          </cell>
          <cell r="Y14248" t="str">
            <v>THAILAND</v>
          </cell>
        </row>
        <row r="14249">
          <cell r="L14249" t="str">
            <v>Proportional</v>
          </cell>
          <cell r="S14249">
            <v>41600.22</v>
          </cell>
          <cell r="X14249" t="str">
            <v>Commissions - gross</v>
          </cell>
          <cell r="Y14249" t="str">
            <v>BELGIUM</v>
          </cell>
        </row>
        <row r="14250">
          <cell r="L14250" t="str">
            <v>Proportional</v>
          </cell>
          <cell r="S14250">
            <v>11203.14</v>
          </cell>
          <cell r="X14250" t="str">
            <v>Commissions - gross</v>
          </cell>
          <cell r="Y14250" t="str">
            <v>India</v>
          </cell>
        </row>
        <row r="14251">
          <cell r="L14251" t="str">
            <v>Proportional</v>
          </cell>
          <cell r="S14251">
            <v>-14.29</v>
          </cell>
          <cell r="X14251" t="str">
            <v>Commissions - gross</v>
          </cell>
          <cell r="Y14251" t="str">
            <v>Thailand</v>
          </cell>
        </row>
        <row r="14252">
          <cell r="L14252" t="str">
            <v>Proportional</v>
          </cell>
          <cell r="S14252">
            <v>-9948.98</v>
          </cell>
          <cell r="X14252" t="str">
            <v>Commissions - gross</v>
          </cell>
          <cell r="Y14252" t="str">
            <v>THAILAND</v>
          </cell>
        </row>
        <row r="14253">
          <cell r="L14253" t="str">
            <v>Proportional</v>
          </cell>
          <cell r="S14253">
            <v>-77.81</v>
          </cell>
          <cell r="X14253" t="str">
            <v>Commissions - gross</v>
          </cell>
          <cell r="Y14253" t="str">
            <v>Thailand</v>
          </cell>
        </row>
        <row r="14254">
          <cell r="L14254" t="str">
            <v>Proportional</v>
          </cell>
          <cell r="S14254">
            <v>-16054.9</v>
          </cell>
          <cell r="X14254" t="str">
            <v>Commissions - gross</v>
          </cell>
          <cell r="Y14254" t="str">
            <v>THAILAND</v>
          </cell>
        </row>
        <row r="14255">
          <cell r="L14255" t="str">
            <v>Proportional</v>
          </cell>
          <cell r="S14255">
            <v>384.76</v>
          </cell>
          <cell r="X14255" t="str">
            <v>Commissions - gross</v>
          </cell>
          <cell r="Y14255" t="str">
            <v>HONG KONG</v>
          </cell>
        </row>
        <row r="14256">
          <cell r="L14256" t="str">
            <v>Proportional</v>
          </cell>
          <cell r="S14256">
            <v>-33.32</v>
          </cell>
          <cell r="X14256" t="str">
            <v>Commissions - gross</v>
          </cell>
          <cell r="Y14256" t="str">
            <v>India</v>
          </cell>
        </row>
        <row r="14257">
          <cell r="L14257" t="str">
            <v>Proportional</v>
          </cell>
          <cell r="S14257">
            <v>-25.75</v>
          </cell>
          <cell r="X14257" t="str">
            <v>Commissions - gross</v>
          </cell>
          <cell r="Y14257" t="str">
            <v>THAILAND</v>
          </cell>
        </row>
        <row r="14258">
          <cell r="L14258" t="str">
            <v>Proportional</v>
          </cell>
          <cell r="S14258">
            <v>-2183113.25</v>
          </cell>
          <cell r="X14258" t="str">
            <v>Commissions - gross</v>
          </cell>
          <cell r="Y14258" t="str">
            <v>THAILAND</v>
          </cell>
        </row>
        <row r="14259">
          <cell r="L14259" t="str">
            <v>Proportional</v>
          </cell>
          <cell r="S14259">
            <v>21835.06</v>
          </cell>
          <cell r="X14259" t="str">
            <v>Commissions - gross</v>
          </cell>
          <cell r="Y14259" t="str">
            <v>THAILAND</v>
          </cell>
        </row>
        <row r="14260">
          <cell r="L14260" t="str">
            <v>Proportional</v>
          </cell>
          <cell r="S14260">
            <v>-787.51</v>
          </cell>
          <cell r="X14260" t="str">
            <v>Commissions - gross</v>
          </cell>
          <cell r="Y14260" t="str">
            <v>INDIA</v>
          </cell>
        </row>
        <row r="14261">
          <cell r="L14261" t="str">
            <v>Proportional</v>
          </cell>
          <cell r="S14261">
            <v>0.01</v>
          </cell>
          <cell r="X14261" t="str">
            <v>Commissions - gross</v>
          </cell>
          <cell r="Y14261" t="str">
            <v>Hong Kong</v>
          </cell>
        </row>
        <row r="14262">
          <cell r="L14262" t="str">
            <v>Proportional</v>
          </cell>
          <cell r="S14262">
            <v>787.51</v>
          </cell>
          <cell r="X14262" t="str">
            <v>Commissions - gross</v>
          </cell>
          <cell r="Y14262" t="str">
            <v>INDIA</v>
          </cell>
        </row>
        <row r="14263">
          <cell r="L14263" t="str">
            <v>Proportional</v>
          </cell>
          <cell r="S14263">
            <v>11.72</v>
          </cell>
          <cell r="X14263" t="str">
            <v>Commissions - gross</v>
          </cell>
          <cell r="Y14263" t="str">
            <v>THAILAND</v>
          </cell>
        </row>
        <row r="14264">
          <cell r="L14264" t="str">
            <v>Proportional</v>
          </cell>
          <cell r="S14264">
            <v>-11.21</v>
          </cell>
          <cell r="X14264" t="str">
            <v>Commissions - gross</v>
          </cell>
          <cell r="Y14264" t="str">
            <v>Thailand</v>
          </cell>
        </row>
        <row r="14265">
          <cell r="L14265" t="str">
            <v>Proportional</v>
          </cell>
          <cell r="S14265">
            <v>367500</v>
          </cell>
          <cell r="X14265" t="str">
            <v>Commissions - gross</v>
          </cell>
          <cell r="Y14265" t="str">
            <v>ITALY</v>
          </cell>
        </row>
        <row r="14266">
          <cell r="L14266" t="str">
            <v>Proportional</v>
          </cell>
          <cell r="S14266">
            <v>-142996.31</v>
          </cell>
          <cell r="X14266" t="str">
            <v>Commissions - gross</v>
          </cell>
          <cell r="Y14266" t="str">
            <v>THAILAND</v>
          </cell>
        </row>
        <row r="14267">
          <cell r="L14267" t="str">
            <v>Proportional</v>
          </cell>
          <cell r="S14267">
            <v>-1.83</v>
          </cell>
          <cell r="X14267" t="str">
            <v>Commissions - gross</v>
          </cell>
          <cell r="Y14267" t="str">
            <v>Thailand</v>
          </cell>
        </row>
        <row r="14268">
          <cell r="L14268" t="str">
            <v>Proportional</v>
          </cell>
          <cell r="S14268">
            <v>3557.19</v>
          </cell>
          <cell r="X14268" t="str">
            <v>Commissions - gross</v>
          </cell>
          <cell r="Y14268" t="str">
            <v>INDIA</v>
          </cell>
        </row>
        <row r="14269">
          <cell r="L14269" t="str">
            <v>Proportional</v>
          </cell>
          <cell r="S14269">
            <v>550.71</v>
          </cell>
          <cell r="X14269" t="str">
            <v>Commissions - gross</v>
          </cell>
          <cell r="Y14269" t="str">
            <v>India</v>
          </cell>
        </row>
        <row r="14270">
          <cell r="L14270" t="str">
            <v>Proportional</v>
          </cell>
          <cell r="S14270">
            <v>86.22</v>
          </cell>
          <cell r="X14270" t="str">
            <v>Commissions - gross</v>
          </cell>
          <cell r="Y14270" t="str">
            <v>HONG KONG</v>
          </cell>
        </row>
        <row r="14271">
          <cell r="L14271" t="str">
            <v>Proportional</v>
          </cell>
          <cell r="S14271">
            <v>-0.37</v>
          </cell>
          <cell r="X14271" t="str">
            <v>Commissions - gross</v>
          </cell>
          <cell r="Y14271" t="str">
            <v>HONG KONG</v>
          </cell>
        </row>
        <row r="14272">
          <cell r="L14272" t="str">
            <v>Proportional</v>
          </cell>
          <cell r="S14272">
            <v>-4.8499999999999996</v>
          </cell>
          <cell r="X14272" t="str">
            <v>Commissions - gross</v>
          </cell>
          <cell r="Y14272" t="str">
            <v>Thailand</v>
          </cell>
        </row>
        <row r="14273">
          <cell r="L14273" t="str">
            <v>Proportional</v>
          </cell>
          <cell r="S14273">
            <v>42565.62</v>
          </cell>
          <cell r="X14273" t="str">
            <v>Commissions - gross</v>
          </cell>
          <cell r="Y14273" t="str">
            <v>THAILAND</v>
          </cell>
        </row>
        <row r="14274">
          <cell r="L14274" t="str">
            <v>Proportional</v>
          </cell>
          <cell r="S14274">
            <v>-39821.019999999997</v>
          </cell>
          <cell r="X14274" t="str">
            <v>Commissions - gross</v>
          </cell>
          <cell r="Y14274" t="str">
            <v>THAILAND</v>
          </cell>
        </row>
        <row r="14275">
          <cell r="L14275" t="str">
            <v>Proportional</v>
          </cell>
          <cell r="S14275">
            <v>-539.75</v>
          </cell>
          <cell r="X14275" t="str">
            <v>Commissions - gross</v>
          </cell>
          <cell r="Y14275" t="str">
            <v>INDIA</v>
          </cell>
        </row>
        <row r="14276">
          <cell r="L14276" t="str">
            <v>Proportional</v>
          </cell>
          <cell r="S14276">
            <v>3520.23</v>
          </cell>
          <cell r="X14276" t="str">
            <v>Commissions - gross</v>
          </cell>
          <cell r="Y14276" t="str">
            <v>India</v>
          </cell>
        </row>
        <row r="14277">
          <cell r="L14277" t="str">
            <v>Proportional</v>
          </cell>
          <cell r="S14277">
            <v>-1286624.71</v>
          </cell>
          <cell r="X14277" t="str">
            <v>Commissions - gross</v>
          </cell>
          <cell r="Y14277" t="str">
            <v>THAILAND</v>
          </cell>
        </row>
        <row r="14278">
          <cell r="L14278" t="str">
            <v>Proportional</v>
          </cell>
          <cell r="S14278">
            <v>787.51</v>
          </cell>
          <cell r="X14278" t="str">
            <v>Commissions - gross</v>
          </cell>
          <cell r="Y14278" t="str">
            <v>INDIA</v>
          </cell>
        </row>
        <row r="14279">
          <cell r="L14279" t="str">
            <v>Proportional</v>
          </cell>
          <cell r="S14279">
            <v>284679.44</v>
          </cell>
          <cell r="X14279" t="str">
            <v>Commissions - gross</v>
          </cell>
          <cell r="Y14279" t="str">
            <v>HONG KONG</v>
          </cell>
        </row>
        <row r="14280">
          <cell r="L14280" t="str">
            <v>Proportional</v>
          </cell>
          <cell r="S14280">
            <v>472.44</v>
          </cell>
          <cell r="X14280" t="str">
            <v>Commissions - gross</v>
          </cell>
          <cell r="Y14280" t="str">
            <v>India</v>
          </cell>
        </row>
        <row r="14281">
          <cell r="L14281" t="str">
            <v>Proportional</v>
          </cell>
          <cell r="S14281">
            <v>79796.149999999994</v>
          </cell>
          <cell r="X14281" t="str">
            <v>Commissions - gross</v>
          </cell>
          <cell r="Y14281" t="str">
            <v>THAILAND</v>
          </cell>
        </row>
        <row r="14282">
          <cell r="L14282" t="str">
            <v>Proportional</v>
          </cell>
          <cell r="S14282">
            <v>-167904.77</v>
          </cell>
          <cell r="X14282" t="str">
            <v>Commissions - gross</v>
          </cell>
          <cell r="Y14282" t="str">
            <v>THAILAND</v>
          </cell>
        </row>
        <row r="14283">
          <cell r="L14283" t="str">
            <v>Proportional</v>
          </cell>
          <cell r="S14283">
            <v>421.46</v>
          </cell>
          <cell r="X14283" t="str">
            <v>Commissions - gross</v>
          </cell>
          <cell r="Y14283" t="str">
            <v>Thailand</v>
          </cell>
        </row>
        <row r="14284">
          <cell r="L14284" t="str">
            <v>Proportional</v>
          </cell>
          <cell r="S14284">
            <v>167904.77</v>
          </cell>
          <cell r="X14284" t="str">
            <v>Commissions - gross</v>
          </cell>
          <cell r="Y14284" t="str">
            <v>THAILAND</v>
          </cell>
        </row>
        <row r="14285">
          <cell r="L14285" t="str">
            <v>Proportional</v>
          </cell>
          <cell r="S14285">
            <v>82.66</v>
          </cell>
          <cell r="X14285" t="str">
            <v>Commissions - gross</v>
          </cell>
          <cell r="Y14285" t="str">
            <v>Thailand</v>
          </cell>
        </row>
        <row r="14286">
          <cell r="L14286" t="str">
            <v>Proportional</v>
          </cell>
          <cell r="S14286">
            <v>-79796.149999999994</v>
          </cell>
          <cell r="X14286" t="str">
            <v>Commissions - gross</v>
          </cell>
          <cell r="Y14286" t="str">
            <v>THAILAND</v>
          </cell>
        </row>
        <row r="14287">
          <cell r="L14287" t="str">
            <v>Proportional</v>
          </cell>
          <cell r="S14287">
            <v>1501.5</v>
          </cell>
          <cell r="X14287" t="str">
            <v>Commissions - gross</v>
          </cell>
          <cell r="Y14287" t="str">
            <v>Hong Kong</v>
          </cell>
        </row>
        <row r="14288">
          <cell r="L14288" t="str">
            <v>Proportional</v>
          </cell>
          <cell r="S14288">
            <v>50650.44</v>
          </cell>
          <cell r="X14288" t="str">
            <v>Commissions - gross</v>
          </cell>
          <cell r="Y14288" t="str">
            <v>THAILAND</v>
          </cell>
        </row>
        <row r="14289">
          <cell r="L14289" t="str">
            <v>Proportional</v>
          </cell>
          <cell r="S14289">
            <v>-787.51</v>
          </cell>
          <cell r="X14289" t="str">
            <v>Commissions - gross</v>
          </cell>
          <cell r="Y14289" t="str">
            <v>INDIA</v>
          </cell>
        </row>
        <row r="14290">
          <cell r="L14290" t="str">
            <v>Proportional</v>
          </cell>
          <cell r="S14290">
            <v>1.57</v>
          </cell>
          <cell r="X14290" t="str">
            <v>Commissions - gross</v>
          </cell>
          <cell r="Y14290" t="str">
            <v>HONG KONG</v>
          </cell>
        </row>
        <row r="14291">
          <cell r="L14291" t="str">
            <v>Proportional</v>
          </cell>
          <cell r="S14291">
            <v>168.45</v>
          </cell>
          <cell r="X14291" t="str">
            <v>Commissions - gross</v>
          </cell>
          <cell r="Y14291" t="str">
            <v>THAILAND</v>
          </cell>
        </row>
        <row r="14292">
          <cell r="L14292" t="str">
            <v>Proportional</v>
          </cell>
          <cell r="S14292">
            <v>-735</v>
          </cell>
          <cell r="X14292" t="str">
            <v>Commissions - gross</v>
          </cell>
          <cell r="Y14292" t="str">
            <v>Thailand</v>
          </cell>
        </row>
        <row r="14293">
          <cell r="L14293" t="str">
            <v>Proportional</v>
          </cell>
          <cell r="S14293">
            <v>-803.61</v>
          </cell>
          <cell r="X14293" t="str">
            <v>Commissions - gross</v>
          </cell>
          <cell r="Y14293" t="str">
            <v>THAILAND</v>
          </cell>
        </row>
        <row r="14294">
          <cell r="L14294" t="str">
            <v>Proportional</v>
          </cell>
          <cell r="S14294">
            <v>-14.65</v>
          </cell>
          <cell r="X14294" t="str">
            <v>Commissions - gross</v>
          </cell>
          <cell r="Y14294" t="str">
            <v>Thailand</v>
          </cell>
        </row>
        <row r="14295">
          <cell r="L14295" t="str">
            <v>Proportional</v>
          </cell>
          <cell r="S14295">
            <v>-24155.75</v>
          </cell>
          <cell r="X14295" t="str">
            <v>Commissions - gross</v>
          </cell>
          <cell r="Y14295" t="str">
            <v>THAILAND</v>
          </cell>
        </row>
        <row r="14296">
          <cell r="L14296" t="str">
            <v>Proportional</v>
          </cell>
          <cell r="S14296">
            <v>539.75</v>
          </cell>
          <cell r="X14296" t="str">
            <v>Commissions - gross</v>
          </cell>
          <cell r="Y14296" t="str">
            <v>INDIA</v>
          </cell>
        </row>
        <row r="14297">
          <cell r="L14297" t="str">
            <v>Proportional</v>
          </cell>
          <cell r="S14297">
            <v>-6988.58</v>
          </cell>
          <cell r="X14297" t="str">
            <v>Commissions - gross</v>
          </cell>
          <cell r="Y14297" t="str">
            <v>HONG KONG</v>
          </cell>
        </row>
        <row r="14298">
          <cell r="L14298" t="str">
            <v>Proportional</v>
          </cell>
          <cell r="S14298">
            <v>-4.76</v>
          </cell>
          <cell r="X14298" t="str">
            <v>Commissions - gross</v>
          </cell>
          <cell r="Y14298" t="str">
            <v>Malaysia</v>
          </cell>
        </row>
        <row r="14299">
          <cell r="L14299" t="str">
            <v>Proportional</v>
          </cell>
          <cell r="S14299">
            <v>-4.6399999999999997</v>
          </cell>
          <cell r="X14299" t="str">
            <v>Commissions - gross</v>
          </cell>
          <cell r="Y14299" t="str">
            <v>Malaysia</v>
          </cell>
        </row>
        <row r="14300">
          <cell r="L14300" t="str">
            <v>Proportional</v>
          </cell>
          <cell r="S14300">
            <v>-836831.66</v>
          </cell>
          <cell r="X14300" t="str">
            <v>Commissions - gross</v>
          </cell>
          <cell r="Y14300" t="str">
            <v>UNITED STATES</v>
          </cell>
        </row>
        <row r="14301">
          <cell r="L14301" t="str">
            <v>Proportional</v>
          </cell>
          <cell r="S14301">
            <v>353868.75</v>
          </cell>
          <cell r="X14301" t="str">
            <v>Commissions - gross</v>
          </cell>
          <cell r="Y14301" t="str">
            <v>JAPAN</v>
          </cell>
        </row>
        <row r="14302">
          <cell r="L14302" t="str">
            <v>Proportional</v>
          </cell>
          <cell r="S14302">
            <v>6657.82</v>
          </cell>
          <cell r="X14302" t="str">
            <v>Commissions - gross</v>
          </cell>
          <cell r="Y14302" t="str">
            <v>HONG KONG</v>
          </cell>
        </row>
        <row r="14303">
          <cell r="L14303" t="str">
            <v>Proportional</v>
          </cell>
          <cell r="S14303">
            <v>16625</v>
          </cell>
          <cell r="X14303" t="str">
            <v>Commissions - gross</v>
          </cell>
          <cell r="Y14303" t="str">
            <v>SAUDI ARABIA</v>
          </cell>
        </row>
        <row r="14304">
          <cell r="L14304" t="str">
            <v>Proportional</v>
          </cell>
          <cell r="S14304">
            <v>82449.61</v>
          </cell>
          <cell r="X14304" t="str">
            <v>Commissions - gross</v>
          </cell>
          <cell r="Y14304" t="str">
            <v>UNITED KINGDOM</v>
          </cell>
        </row>
        <row r="14305">
          <cell r="L14305" t="str">
            <v>Proportional</v>
          </cell>
          <cell r="S14305">
            <v>-16625</v>
          </cell>
          <cell r="X14305" t="str">
            <v>Commissions - gross</v>
          </cell>
          <cell r="Y14305" t="str">
            <v>SAUDI ARABIA</v>
          </cell>
        </row>
        <row r="14306">
          <cell r="L14306" t="str">
            <v>Proportional</v>
          </cell>
          <cell r="S14306">
            <v>182092.24</v>
          </cell>
          <cell r="X14306" t="str">
            <v>Commissions - gross</v>
          </cell>
          <cell r="Y14306" t="str">
            <v>CANADA</v>
          </cell>
        </row>
        <row r="14307">
          <cell r="L14307" t="str">
            <v>Proportional</v>
          </cell>
          <cell r="S14307">
            <v>-6657.82</v>
          </cell>
          <cell r="X14307" t="str">
            <v>Commissions - gross</v>
          </cell>
          <cell r="Y14307" t="str">
            <v>HONG KONG</v>
          </cell>
        </row>
        <row r="14308">
          <cell r="L14308" t="str">
            <v>Proportional</v>
          </cell>
          <cell r="S14308">
            <v>6.4</v>
          </cell>
          <cell r="X14308" t="str">
            <v>Commissions - gross</v>
          </cell>
          <cell r="Y14308" t="str">
            <v>SINGAPORE</v>
          </cell>
        </row>
        <row r="14309">
          <cell r="L14309" t="str">
            <v>Proportional</v>
          </cell>
          <cell r="S14309">
            <v>13062.5</v>
          </cell>
          <cell r="X14309" t="str">
            <v>Commissions - gross</v>
          </cell>
          <cell r="Y14309" t="str">
            <v>REPUBLIC OF IRELAND</v>
          </cell>
        </row>
        <row r="14310">
          <cell r="L14310" t="str">
            <v>Proportional</v>
          </cell>
          <cell r="S14310">
            <v>789.76</v>
          </cell>
          <cell r="X14310" t="str">
            <v>Commissions - gross</v>
          </cell>
          <cell r="Y14310" t="str">
            <v>UNITED STATES</v>
          </cell>
        </row>
        <row r="14311">
          <cell r="L14311" t="str">
            <v>Proportional</v>
          </cell>
          <cell r="S14311">
            <v>13062.5</v>
          </cell>
          <cell r="X14311" t="str">
            <v>Commissions - gross</v>
          </cell>
          <cell r="Y14311" t="str">
            <v>REPUBLIC OF IRELAND</v>
          </cell>
        </row>
        <row r="14312">
          <cell r="L14312" t="str">
            <v>Proportional</v>
          </cell>
          <cell r="S14312">
            <v>17500</v>
          </cell>
          <cell r="X14312" t="str">
            <v>Commissions - gross</v>
          </cell>
          <cell r="Y14312" t="str">
            <v>SAUDI ARABIA</v>
          </cell>
        </row>
        <row r="14313">
          <cell r="L14313" t="str">
            <v>Proportional</v>
          </cell>
          <cell r="S14313">
            <v>10325000</v>
          </cell>
          <cell r="X14313" t="str">
            <v>Commissions - gross</v>
          </cell>
          <cell r="Y14313" t="str">
            <v>PORTUGAL</v>
          </cell>
        </row>
        <row r="14314">
          <cell r="L14314" t="str">
            <v>Proportional</v>
          </cell>
          <cell r="S14314">
            <v>-6657.82</v>
          </cell>
          <cell r="X14314" t="str">
            <v>Commissions - gross</v>
          </cell>
          <cell r="Y14314" t="str">
            <v>HONG KONG</v>
          </cell>
        </row>
        <row r="14315">
          <cell r="L14315" t="str">
            <v>Proportional</v>
          </cell>
          <cell r="S14315">
            <v>6657.82</v>
          </cell>
          <cell r="X14315" t="str">
            <v>Commissions - gross</v>
          </cell>
          <cell r="Y14315" t="str">
            <v>HONG KONG</v>
          </cell>
        </row>
        <row r="14316">
          <cell r="L14316" t="str">
            <v>Proportional</v>
          </cell>
          <cell r="S14316">
            <v>115763.56</v>
          </cell>
          <cell r="X14316" t="str">
            <v>Commissions - gross</v>
          </cell>
          <cell r="Y14316" t="str">
            <v>UNITED STATES</v>
          </cell>
        </row>
        <row r="14317">
          <cell r="L14317" t="str">
            <v>Proportional</v>
          </cell>
          <cell r="S14317">
            <v>-8575000</v>
          </cell>
          <cell r="X14317" t="str">
            <v>Commissions - gross</v>
          </cell>
          <cell r="Y14317" t="str">
            <v>PORTUGAL</v>
          </cell>
        </row>
        <row r="14318">
          <cell r="L14318" t="str">
            <v>Proportional</v>
          </cell>
          <cell r="S14318">
            <v>-112070.47</v>
          </cell>
          <cell r="X14318" t="str">
            <v>Commissions - gross</v>
          </cell>
          <cell r="Y14318" t="str">
            <v>THAILAND</v>
          </cell>
        </row>
        <row r="14319">
          <cell r="L14319" t="str">
            <v>Proportional</v>
          </cell>
          <cell r="S14319">
            <v>2562.33</v>
          </cell>
          <cell r="X14319" t="str">
            <v>Commissions - gross</v>
          </cell>
          <cell r="Y14319" t="str">
            <v>THAILAND</v>
          </cell>
        </row>
        <row r="14320">
          <cell r="L14320" t="str">
            <v>Proportional</v>
          </cell>
          <cell r="S14320">
            <v>-443.6</v>
          </cell>
          <cell r="X14320" t="str">
            <v>Commissions - gross</v>
          </cell>
          <cell r="Y14320" t="str">
            <v>India</v>
          </cell>
        </row>
        <row r="14321">
          <cell r="L14321" t="str">
            <v>Proportional</v>
          </cell>
          <cell r="S14321">
            <v>-3797.71</v>
          </cell>
          <cell r="X14321" t="str">
            <v>Commissions - gross</v>
          </cell>
          <cell r="Y14321" t="str">
            <v>THAILAND</v>
          </cell>
        </row>
        <row r="14322">
          <cell r="L14322" t="str">
            <v>Proportional</v>
          </cell>
          <cell r="S14322">
            <v>-1237043.75</v>
          </cell>
          <cell r="X14322" t="str">
            <v>Commissions - gross</v>
          </cell>
          <cell r="Y14322" t="str">
            <v>HONG KONG</v>
          </cell>
        </row>
        <row r="14323">
          <cell r="L14323" t="str">
            <v>Proportional</v>
          </cell>
          <cell r="S14323">
            <v>29.2</v>
          </cell>
          <cell r="X14323" t="str">
            <v>Commissions - gross</v>
          </cell>
          <cell r="Y14323" t="str">
            <v>THAILAND</v>
          </cell>
        </row>
        <row r="14324">
          <cell r="L14324" t="str">
            <v>Proportional</v>
          </cell>
          <cell r="S14324">
            <v>-45504.63</v>
          </cell>
          <cell r="X14324" t="str">
            <v>Commissions - gross</v>
          </cell>
          <cell r="Y14324" t="str">
            <v>THAILAND</v>
          </cell>
        </row>
        <row r="14325">
          <cell r="L14325" t="str">
            <v>Proportional</v>
          </cell>
          <cell r="S14325">
            <v>-5429.59</v>
          </cell>
          <cell r="X14325" t="str">
            <v>Commissions - gross</v>
          </cell>
          <cell r="Y14325" t="str">
            <v>INDIA</v>
          </cell>
        </row>
        <row r="14326">
          <cell r="L14326" t="str">
            <v>Proportional</v>
          </cell>
          <cell r="S14326">
            <v>36.31</v>
          </cell>
          <cell r="X14326" t="str">
            <v>Commissions - gross</v>
          </cell>
          <cell r="Y14326" t="str">
            <v>THAILAND</v>
          </cell>
        </row>
        <row r="14327">
          <cell r="L14327" t="str">
            <v>Proportional</v>
          </cell>
          <cell r="S14327">
            <v>3517.78</v>
          </cell>
          <cell r="X14327" t="str">
            <v>Commissions - gross</v>
          </cell>
          <cell r="Y14327" t="str">
            <v>THAILAND</v>
          </cell>
        </row>
        <row r="14328">
          <cell r="L14328" t="str">
            <v>Proportional</v>
          </cell>
          <cell r="S14328">
            <v>0.28000000000000003</v>
          </cell>
          <cell r="X14328" t="str">
            <v>Commissions - gross</v>
          </cell>
          <cell r="Y14328" t="str">
            <v>Thailand</v>
          </cell>
        </row>
        <row r="14329">
          <cell r="L14329" t="str">
            <v>Proportional</v>
          </cell>
          <cell r="S14329">
            <v>-10.029999999999999</v>
          </cell>
          <cell r="X14329" t="str">
            <v>Commissions - gross</v>
          </cell>
          <cell r="Y14329" t="str">
            <v>INDIA</v>
          </cell>
        </row>
        <row r="14330">
          <cell r="L14330" t="str">
            <v>Proportional</v>
          </cell>
          <cell r="S14330">
            <v>40863.1</v>
          </cell>
          <cell r="X14330" t="str">
            <v>Commissions - gross</v>
          </cell>
          <cell r="Y14330" t="str">
            <v>AUSTRALIA</v>
          </cell>
        </row>
        <row r="14331">
          <cell r="L14331" t="str">
            <v>Proportional</v>
          </cell>
          <cell r="S14331">
            <v>156938.56</v>
          </cell>
          <cell r="X14331" t="str">
            <v>Commissions - gross</v>
          </cell>
          <cell r="Y14331" t="str">
            <v>AUSTRALIA</v>
          </cell>
        </row>
        <row r="14332">
          <cell r="L14332" t="str">
            <v>Proportional</v>
          </cell>
          <cell r="S14332">
            <v>112070.47</v>
          </cell>
          <cell r="X14332" t="str">
            <v>Commissions - gross</v>
          </cell>
          <cell r="Y14332" t="str">
            <v>THAILAND</v>
          </cell>
        </row>
        <row r="14333">
          <cell r="L14333" t="str">
            <v>Proportional</v>
          </cell>
          <cell r="S14333">
            <v>274.18</v>
          </cell>
          <cell r="X14333" t="str">
            <v>Commissions - gross</v>
          </cell>
          <cell r="Y14333" t="str">
            <v>Thailand</v>
          </cell>
        </row>
        <row r="14334">
          <cell r="L14334" t="str">
            <v>Proportional</v>
          </cell>
          <cell r="S14334">
            <v>272882.36</v>
          </cell>
          <cell r="X14334" t="str">
            <v>Commissions - gross</v>
          </cell>
          <cell r="Y14334" t="str">
            <v>THAILAND</v>
          </cell>
        </row>
        <row r="14335">
          <cell r="L14335" t="str">
            <v>Proportional</v>
          </cell>
          <cell r="S14335">
            <v>370.78</v>
          </cell>
          <cell r="X14335" t="str">
            <v>Commissions - gross</v>
          </cell>
          <cell r="Y14335" t="str">
            <v>Hong Kong</v>
          </cell>
        </row>
        <row r="14336">
          <cell r="L14336" t="str">
            <v>Proportional</v>
          </cell>
          <cell r="S14336">
            <v>-3416.43</v>
          </cell>
          <cell r="X14336" t="str">
            <v>Commissions - gross</v>
          </cell>
          <cell r="Y14336" t="str">
            <v>AUSTRALIA</v>
          </cell>
        </row>
        <row r="14337">
          <cell r="L14337" t="str">
            <v>Proportional</v>
          </cell>
          <cell r="S14337">
            <v>45504.63</v>
          </cell>
          <cell r="X14337" t="str">
            <v>Commissions - gross</v>
          </cell>
          <cell r="Y14337" t="str">
            <v>THAILAND</v>
          </cell>
        </row>
        <row r="14338">
          <cell r="L14338" t="str">
            <v>Proportional</v>
          </cell>
          <cell r="S14338">
            <v>-272882.36</v>
          </cell>
          <cell r="X14338" t="str">
            <v>Commissions - gross</v>
          </cell>
          <cell r="Y14338" t="str">
            <v>THAILAND</v>
          </cell>
        </row>
        <row r="14339">
          <cell r="L14339" t="str">
            <v>Proportional</v>
          </cell>
          <cell r="S14339">
            <v>-694113.81</v>
          </cell>
          <cell r="X14339" t="str">
            <v>Commissions - gross</v>
          </cell>
          <cell r="Y14339" t="str">
            <v>HONG KONG</v>
          </cell>
        </row>
        <row r="14340">
          <cell r="L14340" t="str">
            <v>Proportional</v>
          </cell>
          <cell r="S14340">
            <v>67299.27</v>
          </cell>
          <cell r="X14340" t="str">
            <v>Commissions - gross</v>
          </cell>
          <cell r="Y14340" t="str">
            <v>UNITED STATES</v>
          </cell>
        </row>
        <row r="14341">
          <cell r="L14341" t="str">
            <v>Proportional</v>
          </cell>
          <cell r="S14341">
            <v>10.029999999999999</v>
          </cell>
          <cell r="X14341" t="str">
            <v>Commissions - gross</v>
          </cell>
          <cell r="Y14341" t="str">
            <v>INDIA</v>
          </cell>
        </row>
        <row r="14342">
          <cell r="L14342" t="str">
            <v>Proportional</v>
          </cell>
          <cell r="S14342">
            <v>2348061.63</v>
          </cell>
          <cell r="X14342" t="str">
            <v>Commissions - gross</v>
          </cell>
          <cell r="Y14342" t="str">
            <v>THAILAND</v>
          </cell>
        </row>
        <row r="14343">
          <cell r="L14343" t="str">
            <v>Proportional</v>
          </cell>
          <cell r="S14343">
            <v>-2096.96</v>
          </cell>
          <cell r="X14343" t="str">
            <v>Commissions - gross</v>
          </cell>
          <cell r="Y14343" t="str">
            <v>AUSTRALIA</v>
          </cell>
        </row>
        <row r="14344">
          <cell r="L14344" t="str">
            <v>Proportional</v>
          </cell>
          <cell r="S14344">
            <v>2.02</v>
          </cell>
          <cell r="X14344" t="str">
            <v>Commissions - gross</v>
          </cell>
          <cell r="Y14344" t="str">
            <v>Thailand</v>
          </cell>
        </row>
        <row r="14345">
          <cell r="L14345" t="str">
            <v>Proportional</v>
          </cell>
          <cell r="S14345">
            <v>-20704.57</v>
          </cell>
          <cell r="X14345" t="str">
            <v>Commissions - gross</v>
          </cell>
          <cell r="Y14345" t="str">
            <v>AUSTRALIA</v>
          </cell>
        </row>
        <row r="14346">
          <cell r="L14346" t="str">
            <v>Proportional</v>
          </cell>
          <cell r="S14346">
            <v>20704.57</v>
          </cell>
          <cell r="X14346" t="str">
            <v>Commissions - gross</v>
          </cell>
          <cell r="Y14346" t="str">
            <v>AUSTRALIA</v>
          </cell>
        </row>
        <row r="14347">
          <cell r="L14347" t="str">
            <v>Proportional</v>
          </cell>
          <cell r="S14347">
            <v>74600.69</v>
          </cell>
          <cell r="X14347" t="str">
            <v>Commissions - gross</v>
          </cell>
          <cell r="Y14347" t="str">
            <v>JAPAN</v>
          </cell>
        </row>
        <row r="14348">
          <cell r="L14348" t="str">
            <v>Proportional</v>
          </cell>
          <cell r="S14348">
            <v>7940.86</v>
          </cell>
          <cell r="X14348" t="str">
            <v>Commissions - gross</v>
          </cell>
          <cell r="Y14348" t="str">
            <v>THAILAND</v>
          </cell>
        </row>
        <row r="14349">
          <cell r="L14349" t="str">
            <v>Proportional</v>
          </cell>
          <cell r="S14349">
            <v>-9618.7800000000007</v>
          </cell>
          <cell r="X14349" t="str">
            <v>Commissions - gross</v>
          </cell>
          <cell r="Y14349" t="str">
            <v>THAILAND</v>
          </cell>
        </row>
        <row r="14350">
          <cell r="L14350" t="str">
            <v>Proportional</v>
          </cell>
          <cell r="S14350">
            <v>17.88</v>
          </cell>
          <cell r="X14350" t="str">
            <v>Commissions - gross</v>
          </cell>
          <cell r="Y14350" t="str">
            <v>India</v>
          </cell>
        </row>
        <row r="14351">
          <cell r="L14351" t="str">
            <v>Proportional</v>
          </cell>
          <cell r="S14351">
            <v>247.51</v>
          </cell>
          <cell r="X14351" t="str">
            <v>Commissions - gross</v>
          </cell>
          <cell r="Y14351" t="str">
            <v>THAILAND</v>
          </cell>
        </row>
        <row r="14352">
          <cell r="L14352" t="str">
            <v>Proportional</v>
          </cell>
          <cell r="S14352">
            <v>12.1</v>
          </cell>
          <cell r="X14352" t="str">
            <v>Commissions - gross</v>
          </cell>
          <cell r="Y14352" t="str">
            <v>India</v>
          </cell>
        </row>
        <row r="14353">
          <cell r="L14353" t="str">
            <v>Proportional</v>
          </cell>
          <cell r="S14353">
            <v>2826.53</v>
          </cell>
          <cell r="X14353" t="str">
            <v>Commissions - gross</v>
          </cell>
          <cell r="Y14353" t="str">
            <v>THAILAND</v>
          </cell>
        </row>
        <row r="14354">
          <cell r="L14354" t="str">
            <v>Proportional</v>
          </cell>
          <cell r="S14354">
            <v>-15.38</v>
          </cell>
          <cell r="X14354" t="str">
            <v>Commissions - gross</v>
          </cell>
          <cell r="Y14354" t="str">
            <v>THAILAND</v>
          </cell>
        </row>
        <row r="14355">
          <cell r="L14355" t="str">
            <v>Proportional</v>
          </cell>
          <cell r="S14355">
            <v>-7983.85</v>
          </cell>
          <cell r="X14355" t="str">
            <v>Commissions - gross</v>
          </cell>
          <cell r="Y14355" t="str">
            <v>AUSTRALIA</v>
          </cell>
        </row>
        <row r="14356">
          <cell r="L14356" t="str">
            <v>Proportional</v>
          </cell>
          <cell r="S14356">
            <v>7733.9</v>
          </cell>
          <cell r="X14356" t="str">
            <v>Commissions - gross</v>
          </cell>
          <cell r="Y14356" t="str">
            <v>JAPAN</v>
          </cell>
        </row>
        <row r="14357">
          <cell r="L14357" t="str">
            <v>Proportional</v>
          </cell>
          <cell r="S14357">
            <v>31618.53</v>
          </cell>
          <cell r="X14357" t="str">
            <v>Commissions - gross</v>
          </cell>
          <cell r="Y14357" t="str">
            <v>UNITED STATES</v>
          </cell>
        </row>
        <row r="14358">
          <cell r="L14358" t="str">
            <v>Proportional</v>
          </cell>
          <cell r="S14358">
            <v>658565.32999999996</v>
          </cell>
          <cell r="X14358" t="str">
            <v>Commissions - gross</v>
          </cell>
          <cell r="Y14358" t="str">
            <v>UNITED STATES</v>
          </cell>
        </row>
        <row r="14359">
          <cell r="L14359" t="str">
            <v>Proportional</v>
          </cell>
          <cell r="S14359">
            <v>188.79</v>
          </cell>
          <cell r="X14359" t="str">
            <v>Commissions - gross</v>
          </cell>
          <cell r="Y14359" t="str">
            <v>INDIA</v>
          </cell>
        </row>
        <row r="14360">
          <cell r="L14360" t="str">
            <v>Proportional</v>
          </cell>
          <cell r="S14360">
            <v>67381.8</v>
          </cell>
          <cell r="X14360" t="str">
            <v>Commissions - gross</v>
          </cell>
          <cell r="Y14360" t="str">
            <v>THAILAND</v>
          </cell>
        </row>
        <row r="14361">
          <cell r="L14361" t="str">
            <v>Proportional</v>
          </cell>
          <cell r="S14361">
            <v>1253.1500000000001</v>
          </cell>
          <cell r="X14361" t="str">
            <v>Commissions - gross</v>
          </cell>
          <cell r="Y14361" t="str">
            <v>INDIA</v>
          </cell>
        </row>
        <row r="14362">
          <cell r="L14362" t="str">
            <v>Proportional</v>
          </cell>
          <cell r="S14362">
            <v>-95480.73</v>
          </cell>
          <cell r="X14362" t="str">
            <v>Commissions - gross</v>
          </cell>
          <cell r="Y14362" t="str">
            <v>THAILAND</v>
          </cell>
        </row>
        <row r="14363">
          <cell r="L14363" t="str">
            <v>Proportional</v>
          </cell>
          <cell r="S14363">
            <v>666.07</v>
          </cell>
          <cell r="X14363" t="str">
            <v>Commissions - gross</v>
          </cell>
          <cell r="Y14363" t="str">
            <v>Thailand</v>
          </cell>
        </row>
        <row r="14364">
          <cell r="L14364" t="str">
            <v>Proportional</v>
          </cell>
          <cell r="S14364">
            <v>26.72</v>
          </cell>
          <cell r="X14364" t="str">
            <v>Commissions - gross</v>
          </cell>
          <cell r="Y14364" t="str">
            <v>MALAYSIA</v>
          </cell>
        </row>
        <row r="14365">
          <cell r="L14365" t="str">
            <v>Proportional</v>
          </cell>
          <cell r="S14365">
            <v>71.5</v>
          </cell>
          <cell r="X14365" t="str">
            <v>Commissions - gross</v>
          </cell>
          <cell r="Y14365" t="str">
            <v>THAILAND</v>
          </cell>
        </row>
        <row r="14366">
          <cell r="L14366" t="str">
            <v>Proportional</v>
          </cell>
          <cell r="S14366">
            <v>-31618.53</v>
          </cell>
          <cell r="X14366" t="str">
            <v>Commissions - gross</v>
          </cell>
          <cell r="Y14366" t="str">
            <v>UNITED STATES</v>
          </cell>
        </row>
        <row r="14367">
          <cell r="L14367" t="str">
            <v>Proportional</v>
          </cell>
          <cell r="S14367">
            <v>1820.01</v>
          </cell>
          <cell r="X14367" t="str">
            <v>Commissions - gross</v>
          </cell>
          <cell r="Y14367" t="str">
            <v>India</v>
          </cell>
        </row>
        <row r="14368">
          <cell r="L14368" t="str">
            <v>Proportional</v>
          </cell>
          <cell r="S14368">
            <v>9618.7800000000007</v>
          </cell>
          <cell r="X14368" t="str">
            <v>Commissions - gross</v>
          </cell>
          <cell r="Y14368" t="str">
            <v>THAILAND</v>
          </cell>
        </row>
        <row r="14369">
          <cell r="L14369" t="str">
            <v>Proportional</v>
          </cell>
          <cell r="S14369">
            <v>10841.17</v>
          </cell>
          <cell r="X14369" t="str">
            <v>Commissions - gross</v>
          </cell>
          <cell r="Y14369" t="str">
            <v>AUSTRALIA</v>
          </cell>
        </row>
        <row r="14370">
          <cell r="L14370" t="str">
            <v>Proportional</v>
          </cell>
          <cell r="S14370">
            <v>24951.06</v>
          </cell>
          <cell r="X14370" t="str">
            <v>Commissions - gross</v>
          </cell>
          <cell r="Y14370" t="str">
            <v>INDIA</v>
          </cell>
        </row>
        <row r="14371">
          <cell r="L14371" t="str">
            <v>Proportional</v>
          </cell>
          <cell r="S14371">
            <v>28268.080000000002</v>
          </cell>
          <cell r="X14371" t="str">
            <v>Commissions - gross</v>
          </cell>
          <cell r="Y14371" t="str">
            <v>AUSTRALIA</v>
          </cell>
        </row>
        <row r="14372">
          <cell r="L14372" t="str">
            <v>Proportional</v>
          </cell>
          <cell r="S14372">
            <v>-17114.400000000001</v>
          </cell>
          <cell r="X14372" t="str">
            <v>Commissions - gross</v>
          </cell>
          <cell r="Y14372" t="str">
            <v>INDIA</v>
          </cell>
        </row>
        <row r="14373">
          <cell r="L14373" t="str">
            <v>Proportional</v>
          </cell>
          <cell r="S14373">
            <v>47.29</v>
          </cell>
          <cell r="X14373" t="str">
            <v>Commissions - gross</v>
          </cell>
          <cell r="Y14373" t="str">
            <v>THAILAND</v>
          </cell>
        </row>
        <row r="14374">
          <cell r="L14374" t="str">
            <v>Proportional</v>
          </cell>
          <cell r="S14374">
            <v>-17467.28</v>
          </cell>
          <cell r="X14374" t="str">
            <v>Commissions - gross</v>
          </cell>
          <cell r="Y14374" t="str">
            <v>THAILAND</v>
          </cell>
        </row>
        <row r="14375">
          <cell r="L14375" t="str">
            <v>Proportional</v>
          </cell>
          <cell r="S14375">
            <v>-25.11</v>
          </cell>
          <cell r="X14375" t="str">
            <v>Commissions - gross</v>
          </cell>
          <cell r="Y14375" t="str">
            <v>THAILAND</v>
          </cell>
        </row>
        <row r="14376">
          <cell r="L14376" t="str">
            <v>Proportional</v>
          </cell>
          <cell r="S14376">
            <v>4035.12</v>
          </cell>
          <cell r="X14376" t="str">
            <v>Commissions - gross</v>
          </cell>
          <cell r="Y14376" t="str">
            <v>India</v>
          </cell>
        </row>
        <row r="14377">
          <cell r="L14377" t="str">
            <v>Proportional</v>
          </cell>
          <cell r="S14377">
            <v>2853.71</v>
          </cell>
          <cell r="X14377" t="str">
            <v>Commissions - gross</v>
          </cell>
          <cell r="Y14377" t="str">
            <v>THAILAND</v>
          </cell>
        </row>
        <row r="14378">
          <cell r="L14378" t="str">
            <v>Proportional</v>
          </cell>
          <cell r="S14378">
            <v>-368.03</v>
          </cell>
          <cell r="X14378" t="str">
            <v>Commissions - gross</v>
          </cell>
          <cell r="Y14378" t="str">
            <v>Thailand</v>
          </cell>
        </row>
        <row r="14379">
          <cell r="L14379" t="str">
            <v>Proportional</v>
          </cell>
          <cell r="S14379">
            <v>-112.12</v>
          </cell>
          <cell r="X14379" t="str">
            <v>Commissions - gross</v>
          </cell>
          <cell r="Y14379" t="str">
            <v>India</v>
          </cell>
        </row>
        <row r="14380">
          <cell r="L14380" t="str">
            <v>Proportional</v>
          </cell>
          <cell r="S14380">
            <v>-1253.1500000000001</v>
          </cell>
          <cell r="X14380" t="str">
            <v>Commissions - gross</v>
          </cell>
          <cell r="Y14380" t="str">
            <v>INDIA</v>
          </cell>
        </row>
        <row r="14381">
          <cell r="L14381" t="str">
            <v>Proportional</v>
          </cell>
          <cell r="S14381">
            <v>1.39</v>
          </cell>
          <cell r="X14381" t="str">
            <v>Commissions - gross</v>
          </cell>
          <cell r="Y14381" t="str">
            <v>India</v>
          </cell>
        </row>
        <row r="14382">
          <cell r="L14382" t="str">
            <v>Proportional</v>
          </cell>
          <cell r="S14382">
            <v>-40863.1</v>
          </cell>
          <cell r="X14382" t="str">
            <v>Commissions - gross</v>
          </cell>
          <cell r="Y14382" t="str">
            <v>AUSTRALIA</v>
          </cell>
        </row>
        <row r="14383">
          <cell r="L14383" t="str">
            <v>Proportional</v>
          </cell>
          <cell r="S14383">
            <v>-24951.06</v>
          </cell>
          <cell r="X14383" t="str">
            <v>Commissions - gross</v>
          </cell>
          <cell r="Y14383" t="str">
            <v>INDIA</v>
          </cell>
        </row>
        <row r="14384">
          <cell r="L14384" t="str">
            <v>Proportional</v>
          </cell>
          <cell r="S14384">
            <v>5.04</v>
          </cell>
          <cell r="X14384" t="str">
            <v>Commissions - gross</v>
          </cell>
          <cell r="Y14384" t="str">
            <v>Thailand</v>
          </cell>
        </row>
        <row r="14385">
          <cell r="L14385" t="str">
            <v>Proportional</v>
          </cell>
          <cell r="S14385">
            <v>685.76</v>
          </cell>
          <cell r="X14385" t="str">
            <v>Commissions - gross</v>
          </cell>
          <cell r="Y14385" t="str">
            <v>THAILAND</v>
          </cell>
        </row>
        <row r="14386">
          <cell r="L14386" t="str">
            <v>Proportional</v>
          </cell>
          <cell r="S14386">
            <v>11488.16</v>
          </cell>
          <cell r="X14386" t="str">
            <v>Commissions - gross</v>
          </cell>
          <cell r="Y14386" t="str">
            <v>THAILAND</v>
          </cell>
        </row>
        <row r="14387">
          <cell r="L14387" t="str">
            <v>Proportional</v>
          </cell>
          <cell r="S14387">
            <v>-1369906.62</v>
          </cell>
          <cell r="X14387" t="str">
            <v>Commissions - gross</v>
          </cell>
          <cell r="Y14387" t="str">
            <v>HONG KONG</v>
          </cell>
        </row>
        <row r="14388">
          <cell r="L14388" t="str">
            <v>Proportional</v>
          </cell>
          <cell r="S14388">
            <v>7983.85</v>
          </cell>
          <cell r="X14388" t="str">
            <v>Commissions - gross</v>
          </cell>
          <cell r="Y14388" t="str">
            <v>AUSTRALIA</v>
          </cell>
        </row>
        <row r="14389">
          <cell r="L14389" t="str">
            <v>Proportional</v>
          </cell>
          <cell r="S14389">
            <v>95480.73</v>
          </cell>
          <cell r="X14389" t="str">
            <v>Commissions - gross</v>
          </cell>
          <cell r="Y14389" t="str">
            <v>THAILAND</v>
          </cell>
        </row>
        <row r="14390">
          <cell r="L14390" t="str">
            <v>Proportional</v>
          </cell>
          <cell r="S14390">
            <v>-670.47</v>
          </cell>
          <cell r="X14390" t="str">
            <v>Commissions - gross</v>
          </cell>
          <cell r="Y14390" t="str">
            <v>Thailand</v>
          </cell>
        </row>
        <row r="14391">
          <cell r="L14391" t="str">
            <v>Proportional</v>
          </cell>
          <cell r="S14391">
            <v>13227.41</v>
          </cell>
          <cell r="X14391" t="str">
            <v>Commissions - gross</v>
          </cell>
          <cell r="Y14391" t="str">
            <v>India</v>
          </cell>
        </row>
        <row r="14392">
          <cell r="L14392" t="str">
            <v>Proportional</v>
          </cell>
          <cell r="S14392">
            <v>490.41</v>
          </cell>
          <cell r="X14392" t="str">
            <v>Commissions - gross</v>
          </cell>
          <cell r="Y14392" t="str">
            <v>THAILAND</v>
          </cell>
        </row>
        <row r="14393">
          <cell r="L14393" t="str">
            <v>Proportional</v>
          </cell>
          <cell r="S14393">
            <v>48467.62</v>
          </cell>
          <cell r="X14393" t="str">
            <v>Commissions - gross</v>
          </cell>
          <cell r="Y14393" t="str">
            <v>THAILAND</v>
          </cell>
        </row>
        <row r="14394">
          <cell r="L14394" t="str">
            <v>Proportional</v>
          </cell>
          <cell r="S14394">
            <v>5429.59</v>
          </cell>
          <cell r="X14394" t="str">
            <v>Commissions - gross</v>
          </cell>
          <cell r="Y14394" t="str">
            <v>INDIA</v>
          </cell>
        </row>
        <row r="14395">
          <cell r="L14395" t="str">
            <v>Proportional</v>
          </cell>
          <cell r="S14395">
            <v>62.72</v>
          </cell>
          <cell r="X14395" t="str">
            <v>Commissions - gross</v>
          </cell>
          <cell r="Y14395" t="str">
            <v>Thailand</v>
          </cell>
        </row>
        <row r="14396">
          <cell r="L14396" t="str">
            <v>Proportional</v>
          </cell>
          <cell r="S14396">
            <v>3797.71</v>
          </cell>
          <cell r="X14396" t="str">
            <v>Commissions - gross</v>
          </cell>
          <cell r="Y14396" t="str">
            <v>THAILAND</v>
          </cell>
        </row>
        <row r="14397">
          <cell r="L14397" t="str">
            <v>Proportional</v>
          </cell>
          <cell r="S14397">
            <v>-7940.86</v>
          </cell>
          <cell r="X14397" t="str">
            <v>Commissions - gross</v>
          </cell>
          <cell r="Y14397" t="str">
            <v>THAILAND</v>
          </cell>
        </row>
        <row r="14398">
          <cell r="L14398" t="str">
            <v>Proportional</v>
          </cell>
          <cell r="S14398">
            <v>23.8</v>
          </cell>
          <cell r="X14398" t="str">
            <v>Commissions - gross</v>
          </cell>
          <cell r="Y14398" t="str">
            <v>UNITED STATES</v>
          </cell>
        </row>
        <row r="14399">
          <cell r="L14399" t="str">
            <v>Proportional</v>
          </cell>
          <cell r="S14399">
            <v>-28268.080000000002</v>
          </cell>
          <cell r="X14399" t="str">
            <v>Commissions - gross</v>
          </cell>
          <cell r="Y14399" t="str">
            <v>AUSTRALIA</v>
          </cell>
        </row>
        <row r="14400">
          <cell r="L14400" t="str">
            <v>Proportional</v>
          </cell>
          <cell r="S14400">
            <v>70109.460000000006</v>
          </cell>
          <cell r="X14400" t="str">
            <v>Commissions - gross</v>
          </cell>
          <cell r="Y14400" t="str">
            <v>THAILAND</v>
          </cell>
        </row>
        <row r="14401">
          <cell r="L14401" t="str">
            <v>Proportional</v>
          </cell>
          <cell r="S14401">
            <v>17467.28</v>
          </cell>
          <cell r="X14401" t="str">
            <v>Commissions - gross</v>
          </cell>
          <cell r="Y14401" t="str">
            <v>THAILAND</v>
          </cell>
        </row>
        <row r="14402">
          <cell r="L14402" t="str">
            <v>Proportional</v>
          </cell>
          <cell r="S14402">
            <v>3416.43</v>
          </cell>
          <cell r="X14402" t="str">
            <v>Commissions - gross</v>
          </cell>
          <cell r="Y14402" t="str">
            <v>AUSTRALIA</v>
          </cell>
        </row>
        <row r="14403">
          <cell r="L14403" t="str">
            <v>Proportional</v>
          </cell>
          <cell r="S14403">
            <v>830.56</v>
          </cell>
          <cell r="X14403" t="str">
            <v>Commissions - gross</v>
          </cell>
          <cell r="Y14403" t="str">
            <v>India</v>
          </cell>
        </row>
        <row r="14404">
          <cell r="L14404" t="str">
            <v>Proportional</v>
          </cell>
          <cell r="S14404">
            <v>2095.21</v>
          </cell>
          <cell r="X14404" t="str">
            <v>Commissions - gross</v>
          </cell>
          <cell r="Y14404" t="str">
            <v>INDIA</v>
          </cell>
        </row>
        <row r="14405">
          <cell r="L14405" t="str">
            <v>Proportional</v>
          </cell>
          <cell r="S14405">
            <v>2081.9499999999998</v>
          </cell>
          <cell r="X14405" t="str">
            <v>Commissions - gross</v>
          </cell>
          <cell r="Y14405" t="str">
            <v>THAILAND</v>
          </cell>
        </row>
        <row r="14406">
          <cell r="L14406" t="str">
            <v>Proportional</v>
          </cell>
          <cell r="S14406">
            <v>-685.76</v>
          </cell>
          <cell r="X14406" t="str">
            <v>Commissions - gross</v>
          </cell>
          <cell r="Y14406" t="str">
            <v>THAILAND</v>
          </cell>
        </row>
        <row r="14407">
          <cell r="L14407" t="str">
            <v>Proportional</v>
          </cell>
          <cell r="S14407">
            <v>-18143.939999999999</v>
          </cell>
          <cell r="X14407" t="str">
            <v>Commissions - gross</v>
          </cell>
          <cell r="Y14407" t="str">
            <v>INDIA</v>
          </cell>
        </row>
        <row r="14408">
          <cell r="L14408" t="str">
            <v>Proportional</v>
          </cell>
          <cell r="S14408">
            <v>27.27</v>
          </cell>
          <cell r="X14408" t="str">
            <v>Commissions - gross</v>
          </cell>
          <cell r="Y14408" t="str">
            <v>Thailand</v>
          </cell>
        </row>
        <row r="14409">
          <cell r="L14409" t="str">
            <v>Proportional</v>
          </cell>
          <cell r="S14409">
            <v>-67381.8</v>
          </cell>
          <cell r="X14409" t="str">
            <v>Commissions - gross</v>
          </cell>
          <cell r="Y14409" t="str">
            <v>THAILAND</v>
          </cell>
        </row>
        <row r="14410">
          <cell r="L14410" t="str">
            <v>Proportional</v>
          </cell>
          <cell r="S14410">
            <v>-646.59</v>
          </cell>
          <cell r="X14410" t="str">
            <v>Commissions - gross</v>
          </cell>
          <cell r="Y14410" t="str">
            <v>Thailand</v>
          </cell>
        </row>
        <row r="14411">
          <cell r="L14411" t="str">
            <v>Proportional</v>
          </cell>
          <cell r="S14411">
            <v>-2348061.63</v>
          </cell>
          <cell r="X14411" t="str">
            <v>Commissions - gross</v>
          </cell>
          <cell r="Y14411" t="str">
            <v>THAILAND</v>
          </cell>
        </row>
        <row r="14412">
          <cell r="L14412" t="str">
            <v>Proportional</v>
          </cell>
          <cell r="S14412">
            <v>-10841.17</v>
          </cell>
          <cell r="X14412" t="str">
            <v>Commissions - gross</v>
          </cell>
          <cell r="Y14412" t="str">
            <v>AUSTRALIA</v>
          </cell>
        </row>
        <row r="14413">
          <cell r="L14413" t="str">
            <v>Proportional</v>
          </cell>
          <cell r="S14413">
            <v>-1108.3900000000001</v>
          </cell>
          <cell r="X14413" t="str">
            <v>Commissions - gross</v>
          </cell>
          <cell r="Y14413" t="str">
            <v>THAILAND</v>
          </cell>
        </row>
        <row r="14414">
          <cell r="L14414" t="str">
            <v>Proportional</v>
          </cell>
          <cell r="S14414">
            <v>51.13</v>
          </cell>
          <cell r="X14414" t="str">
            <v>Commissions - gross</v>
          </cell>
          <cell r="Y14414" t="str">
            <v>THAILAND</v>
          </cell>
        </row>
        <row r="14415">
          <cell r="L14415" t="str">
            <v>Proportional</v>
          </cell>
          <cell r="S14415">
            <v>9302.27</v>
          </cell>
          <cell r="X14415" t="str">
            <v>Commissions - gross</v>
          </cell>
          <cell r="Y14415" t="str">
            <v>India</v>
          </cell>
        </row>
        <row r="14416">
          <cell r="L14416" t="str">
            <v>Proportional</v>
          </cell>
          <cell r="S14416">
            <v>-5.97</v>
          </cell>
          <cell r="X14416" t="str">
            <v>Commissions - gross</v>
          </cell>
          <cell r="Y14416" t="str">
            <v>India</v>
          </cell>
        </row>
        <row r="14417">
          <cell r="L14417" t="str">
            <v>Proportional</v>
          </cell>
          <cell r="S14417">
            <v>2096.96</v>
          </cell>
          <cell r="X14417" t="str">
            <v>Commissions - gross</v>
          </cell>
          <cell r="Y14417" t="str">
            <v>AUSTRALIA</v>
          </cell>
        </row>
        <row r="14418">
          <cell r="L14418" t="str">
            <v>Proportional</v>
          </cell>
          <cell r="S14418">
            <v>-124.08</v>
          </cell>
          <cell r="X14418" t="str">
            <v>Commissions - gross</v>
          </cell>
          <cell r="Y14418" t="str">
            <v>India</v>
          </cell>
        </row>
        <row r="14419">
          <cell r="L14419" t="str">
            <v>Proportional</v>
          </cell>
          <cell r="S14419">
            <v>-2937.83</v>
          </cell>
          <cell r="X14419" t="str">
            <v>Commissions - gross</v>
          </cell>
          <cell r="Y14419" t="str">
            <v>INDIA</v>
          </cell>
        </row>
        <row r="14420">
          <cell r="L14420" t="str">
            <v>Proportional</v>
          </cell>
          <cell r="S14420">
            <v>1239322.3400000001</v>
          </cell>
          <cell r="X14420" t="str">
            <v>Commissions - gross</v>
          </cell>
          <cell r="Y14420" t="str">
            <v>HONG KONG</v>
          </cell>
        </row>
        <row r="14421">
          <cell r="L14421" t="str">
            <v>Proportional</v>
          </cell>
          <cell r="S14421">
            <v>-4233.16</v>
          </cell>
          <cell r="X14421" t="str">
            <v>Commissions - gross</v>
          </cell>
          <cell r="Y14421" t="str">
            <v>THAILAND</v>
          </cell>
        </row>
        <row r="14422">
          <cell r="L14422" t="str">
            <v>Proportional</v>
          </cell>
          <cell r="S14422">
            <v>1131.18</v>
          </cell>
          <cell r="X14422" t="str">
            <v>Commissions - gross</v>
          </cell>
          <cell r="Y14422" t="str">
            <v>Turkey</v>
          </cell>
        </row>
        <row r="14423">
          <cell r="L14423" t="str">
            <v>Proportional</v>
          </cell>
          <cell r="S14423">
            <v>4047.61</v>
          </cell>
          <cell r="X14423" t="str">
            <v>Commissions - gross</v>
          </cell>
          <cell r="Y14423" t="str">
            <v>HONG KONG</v>
          </cell>
        </row>
        <row r="14424">
          <cell r="L14424" t="str">
            <v>Proportional</v>
          </cell>
          <cell r="S14424">
            <v>16623.43</v>
          </cell>
          <cell r="X14424" t="str">
            <v>Commissions - gross</v>
          </cell>
          <cell r="Y14424" t="str">
            <v>PORTUGAL</v>
          </cell>
        </row>
        <row r="14425">
          <cell r="L14425" t="str">
            <v>Proportional</v>
          </cell>
          <cell r="S14425">
            <v>-4271.12</v>
          </cell>
          <cell r="X14425" t="str">
            <v>Commissions - gross</v>
          </cell>
          <cell r="Y14425" t="str">
            <v>ITALY</v>
          </cell>
        </row>
        <row r="14426">
          <cell r="L14426" t="str">
            <v>Proportional</v>
          </cell>
          <cell r="S14426">
            <v>50.5</v>
          </cell>
          <cell r="X14426" t="str">
            <v>Commissions - gross</v>
          </cell>
          <cell r="Y14426" t="str">
            <v>HONG KONG</v>
          </cell>
        </row>
        <row r="14427">
          <cell r="L14427" t="str">
            <v>Proportional</v>
          </cell>
          <cell r="S14427">
            <v>-244960.08</v>
          </cell>
          <cell r="X14427" t="str">
            <v>Commissions - gross</v>
          </cell>
          <cell r="Y14427" t="str">
            <v>PORTUGAL</v>
          </cell>
        </row>
        <row r="14428">
          <cell r="L14428" t="str">
            <v>Proportional</v>
          </cell>
          <cell r="S14428">
            <v>4.68</v>
          </cell>
          <cell r="X14428" t="str">
            <v>Commissions - gross</v>
          </cell>
          <cell r="Y14428" t="str">
            <v>TURKEY</v>
          </cell>
        </row>
        <row r="14429">
          <cell r="L14429" t="str">
            <v>Proportional</v>
          </cell>
          <cell r="S14429">
            <v>15174.71</v>
          </cell>
          <cell r="X14429" t="str">
            <v>Commissions - gross</v>
          </cell>
          <cell r="Y14429" t="str">
            <v>HONG KONG</v>
          </cell>
        </row>
        <row r="14430">
          <cell r="L14430" t="str">
            <v>Proportional</v>
          </cell>
          <cell r="S14430">
            <v>-2599132.9300000002</v>
          </cell>
          <cell r="X14430" t="str">
            <v>Commissions - gross</v>
          </cell>
          <cell r="Y14430" t="str">
            <v>PORTUGAL</v>
          </cell>
        </row>
        <row r="14431">
          <cell r="L14431" t="str">
            <v>Proportional</v>
          </cell>
          <cell r="S14431">
            <v>-11441.14</v>
          </cell>
          <cell r="X14431" t="str">
            <v>Commissions - gross</v>
          </cell>
          <cell r="Y14431" t="str">
            <v>AUSTRALIA</v>
          </cell>
        </row>
        <row r="14432">
          <cell r="L14432" t="str">
            <v>Proportional</v>
          </cell>
          <cell r="S14432">
            <v>544.86</v>
          </cell>
          <cell r="X14432" t="str">
            <v>Commissions - gross</v>
          </cell>
          <cell r="Y14432" t="str">
            <v>HONG KONG</v>
          </cell>
        </row>
        <row r="14433">
          <cell r="L14433" t="str">
            <v>Proportional</v>
          </cell>
          <cell r="S14433">
            <v>47801.62</v>
          </cell>
          <cell r="X14433" t="str">
            <v>Commissions - gross</v>
          </cell>
          <cell r="Y14433" t="str">
            <v>UNITED STATES</v>
          </cell>
        </row>
        <row r="14434">
          <cell r="L14434" t="str">
            <v>Proportional</v>
          </cell>
          <cell r="S14434">
            <v>1970.55</v>
          </cell>
          <cell r="X14434" t="str">
            <v>Commissions - gross</v>
          </cell>
          <cell r="Y14434" t="str">
            <v>HONG KONG</v>
          </cell>
        </row>
        <row r="14435">
          <cell r="L14435" t="str">
            <v>Proportional</v>
          </cell>
          <cell r="S14435">
            <v>6004.26</v>
          </cell>
          <cell r="X14435" t="str">
            <v>Commissions - gross</v>
          </cell>
          <cell r="Y14435" t="str">
            <v>ITALY</v>
          </cell>
        </row>
        <row r="14436">
          <cell r="L14436" t="str">
            <v>Proportional</v>
          </cell>
          <cell r="S14436">
            <v>15360000</v>
          </cell>
          <cell r="X14436" t="str">
            <v>Commissions - gross</v>
          </cell>
          <cell r="Y14436" t="str">
            <v>ITALY</v>
          </cell>
        </row>
        <row r="14437">
          <cell r="L14437" t="str">
            <v>Proportional</v>
          </cell>
          <cell r="S14437">
            <v>-16.29</v>
          </cell>
          <cell r="X14437" t="str">
            <v>Commissions - gross</v>
          </cell>
          <cell r="Y14437" t="str">
            <v>UNITED STATES</v>
          </cell>
        </row>
        <row r="14438">
          <cell r="L14438" t="str">
            <v>Proportional</v>
          </cell>
          <cell r="S14438">
            <v>-1056.74</v>
          </cell>
          <cell r="X14438" t="str">
            <v>Commissions - gross</v>
          </cell>
          <cell r="Y14438" t="str">
            <v>AUSTRALIA</v>
          </cell>
        </row>
        <row r="14439">
          <cell r="L14439" t="str">
            <v>Proportional</v>
          </cell>
          <cell r="S14439">
            <v>0.04</v>
          </cell>
          <cell r="X14439" t="str">
            <v>Commissions - gross</v>
          </cell>
          <cell r="Y14439" t="str">
            <v>Turkey</v>
          </cell>
        </row>
        <row r="14440">
          <cell r="L14440" t="str">
            <v>Proportional</v>
          </cell>
          <cell r="S14440">
            <v>1635.35</v>
          </cell>
          <cell r="X14440" t="str">
            <v>Commissions - gross</v>
          </cell>
          <cell r="Y14440" t="str">
            <v>JAPAN</v>
          </cell>
        </row>
        <row r="14441">
          <cell r="L14441" t="str">
            <v>Proportional</v>
          </cell>
          <cell r="S14441">
            <v>-1324.26</v>
          </cell>
          <cell r="X14441" t="str">
            <v>Commissions - gross</v>
          </cell>
          <cell r="Y14441" t="str">
            <v>HONG KONG</v>
          </cell>
        </row>
        <row r="14442">
          <cell r="L14442" t="str">
            <v>Proportional</v>
          </cell>
          <cell r="S14442">
            <v>4.74</v>
          </cell>
          <cell r="X14442" t="str">
            <v>Commissions - gross</v>
          </cell>
          <cell r="Y14442" t="str">
            <v>Turkey</v>
          </cell>
        </row>
        <row r="14443">
          <cell r="L14443" t="str">
            <v>Proportional</v>
          </cell>
          <cell r="S14443">
            <v>3577.78</v>
          </cell>
          <cell r="X14443" t="str">
            <v>Commissions - gross</v>
          </cell>
          <cell r="Y14443" t="str">
            <v>TURKEY</v>
          </cell>
        </row>
        <row r="14444">
          <cell r="L14444" t="str">
            <v>Proportional</v>
          </cell>
          <cell r="S14444">
            <v>-6206.01</v>
          </cell>
          <cell r="X14444" t="str">
            <v>Commissions - gross</v>
          </cell>
          <cell r="Y14444" t="str">
            <v>ITALY</v>
          </cell>
        </row>
        <row r="14445">
          <cell r="L14445" t="str">
            <v>Proportional</v>
          </cell>
          <cell r="S14445">
            <v>40339.79</v>
          </cell>
          <cell r="X14445" t="str">
            <v>Commissions - gross</v>
          </cell>
          <cell r="Y14445" t="str">
            <v>PORTUGAL</v>
          </cell>
        </row>
        <row r="14446">
          <cell r="L14446" t="str">
            <v>Proportional</v>
          </cell>
          <cell r="S14446">
            <v>1326136.6299999999</v>
          </cell>
          <cell r="X14446" t="str">
            <v>Commissions - gross</v>
          </cell>
          <cell r="Y14446" t="str">
            <v>HONG KONG</v>
          </cell>
        </row>
        <row r="14447">
          <cell r="L14447" t="str">
            <v>Proportional</v>
          </cell>
          <cell r="S14447">
            <v>11441.14</v>
          </cell>
          <cell r="X14447" t="str">
            <v>Commissions - gross</v>
          </cell>
          <cell r="Y14447" t="str">
            <v>AUSTRALIA</v>
          </cell>
        </row>
        <row r="14448">
          <cell r="L14448" t="str">
            <v>Proportional</v>
          </cell>
          <cell r="S14448">
            <v>136.99</v>
          </cell>
          <cell r="X14448" t="str">
            <v>Commissions - gross</v>
          </cell>
          <cell r="Y14448" t="str">
            <v>Hong Kong</v>
          </cell>
        </row>
        <row r="14449">
          <cell r="L14449" t="str">
            <v>Proportional</v>
          </cell>
          <cell r="S14449">
            <v>-544.86</v>
          </cell>
          <cell r="X14449" t="str">
            <v>Commissions - gross</v>
          </cell>
          <cell r="Y14449" t="str">
            <v>HONG KONG</v>
          </cell>
        </row>
        <row r="14450">
          <cell r="L14450" t="str">
            <v>Proportional</v>
          </cell>
          <cell r="S14450">
            <v>-36426.9</v>
          </cell>
          <cell r="X14450" t="str">
            <v>Commissions - gross</v>
          </cell>
          <cell r="Y14450" t="str">
            <v>UNITED STATES</v>
          </cell>
        </row>
        <row r="14451">
          <cell r="L14451" t="str">
            <v>Proportional</v>
          </cell>
          <cell r="S14451">
            <v>-1324.26</v>
          </cell>
          <cell r="X14451" t="str">
            <v>Commissions - gross</v>
          </cell>
          <cell r="Y14451" t="str">
            <v>HONG KONG</v>
          </cell>
        </row>
        <row r="14452">
          <cell r="L14452" t="str">
            <v>Proportional</v>
          </cell>
          <cell r="S14452">
            <v>-2507.06</v>
          </cell>
          <cell r="X14452" t="str">
            <v>Commissions - gross</v>
          </cell>
          <cell r="Y14452" t="str">
            <v>ITALY</v>
          </cell>
        </row>
        <row r="14453">
          <cell r="L14453" t="str">
            <v>Proportional</v>
          </cell>
          <cell r="S14453">
            <v>-1.33</v>
          </cell>
          <cell r="X14453" t="str">
            <v>Commissions - gross</v>
          </cell>
          <cell r="Y14453" t="str">
            <v>Turkey</v>
          </cell>
        </row>
        <row r="14454">
          <cell r="L14454" t="str">
            <v>Proportional</v>
          </cell>
          <cell r="S14454">
            <v>-12.17</v>
          </cell>
          <cell r="X14454" t="str">
            <v>Commissions - gross</v>
          </cell>
          <cell r="Y14454" t="str">
            <v>Turkey</v>
          </cell>
        </row>
        <row r="14455">
          <cell r="L14455" t="str">
            <v>Proportional</v>
          </cell>
          <cell r="S14455">
            <v>35.380000000000003</v>
          </cell>
          <cell r="X14455" t="str">
            <v>Commissions - gross</v>
          </cell>
          <cell r="Y14455" t="str">
            <v>TURKEY</v>
          </cell>
        </row>
        <row r="14456">
          <cell r="L14456" t="str">
            <v>Proportional</v>
          </cell>
          <cell r="S14456">
            <v>-182998.42</v>
          </cell>
          <cell r="X14456" t="str">
            <v>Commissions - gross</v>
          </cell>
          <cell r="Y14456" t="str">
            <v>JAPAN</v>
          </cell>
        </row>
        <row r="14457">
          <cell r="L14457" t="str">
            <v>Proportional</v>
          </cell>
          <cell r="S14457">
            <v>28.83</v>
          </cell>
          <cell r="X14457" t="str">
            <v>Commissions - gross</v>
          </cell>
          <cell r="Y14457" t="str">
            <v>Turkey</v>
          </cell>
        </row>
        <row r="14458">
          <cell r="L14458" t="str">
            <v>Proportional</v>
          </cell>
          <cell r="S14458">
            <v>85.97</v>
          </cell>
          <cell r="X14458" t="str">
            <v>Commissions - gross</v>
          </cell>
          <cell r="Y14458" t="str">
            <v>Turkey</v>
          </cell>
        </row>
        <row r="14459">
          <cell r="L14459" t="str">
            <v>Proportional</v>
          </cell>
          <cell r="S14459">
            <v>36426.9</v>
          </cell>
          <cell r="X14459" t="str">
            <v>Commissions - gross</v>
          </cell>
          <cell r="Y14459" t="str">
            <v>UNITED STATES</v>
          </cell>
        </row>
        <row r="14460">
          <cell r="L14460" t="str">
            <v>Proportional</v>
          </cell>
          <cell r="S14460">
            <v>249.15</v>
          </cell>
          <cell r="X14460" t="str">
            <v>Commissions - gross</v>
          </cell>
          <cell r="Y14460" t="str">
            <v>Hong Kong</v>
          </cell>
        </row>
        <row r="14461">
          <cell r="L14461" t="str">
            <v>Proportional</v>
          </cell>
          <cell r="S14461">
            <v>-7036.99</v>
          </cell>
          <cell r="X14461" t="str">
            <v>Commissions - gross</v>
          </cell>
          <cell r="Y14461" t="str">
            <v>ITALY</v>
          </cell>
        </row>
        <row r="14462">
          <cell r="L14462" t="str">
            <v>Proportional</v>
          </cell>
          <cell r="S14462">
            <v>319.33</v>
          </cell>
          <cell r="X14462" t="str">
            <v>Commissions - gross</v>
          </cell>
          <cell r="Y14462" t="str">
            <v>MEXICO</v>
          </cell>
        </row>
        <row r="14463">
          <cell r="L14463" t="str">
            <v>Proportional</v>
          </cell>
          <cell r="S14463">
            <v>733.51</v>
          </cell>
          <cell r="X14463" t="str">
            <v>Commissions - gross</v>
          </cell>
          <cell r="Y14463" t="str">
            <v>UNITED STATES</v>
          </cell>
        </row>
        <row r="14464">
          <cell r="L14464" t="str">
            <v>Proportional</v>
          </cell>
          <cell r="S14464">
            <v>-16.29</v>
          </cell>
          <cell r="X14464" t="str">
            <v>Commissions - gross</v>
          </cell>
          <cell r="Y14464" t="str">
            <v>UNITED STATES</v>
          </cell>
        </row>
        <row r="14465">
          <cell r="L14465" t="str">
            <v>Proportional</v>
          </cell>
          <cell r="S14465">
            <v>1056.74</v>
          </cell>
          <cell r="X14465" t="str">
            <v>Commissions - gross</v>
          </cell>
          <cell r="Y14465" t="str">
            <v>AUSTRALIA</v>
          </cell>
        </row>
        <row r="14466">
          <cell r="L14466" t="str">
            <v>Proportional</v>
          </cell>
          <cell r="S14466">
            <v>386.05</v>
          </cell>
          <cell r="X14466" t="str">
            <v>Commissions - gross</v>
          </cell>
          <cell r="Y14466" t="str">
            <v>UNITED STATES</v>
          </cell>
        </row>
        <row r="14467">
          <cell r="L14467" t="str">
            <v>Proportional</v>
          </cell>
          <cell r="S14467">
            <v>-48465.7</v>
          </cell>
          <cell r="X14467" t="str">
            <v>Commissions - gross</v>
          </cell>
          <cell r="Y14467" t="str">
            <v>PORTUGAL</v>
          </cell>
        </row>
        <row r="14468">
          <cell r="L14468" t="str">
            <v>Proportional</v>
          </cell>
          <cell r="S14468">
            <v>-15174.71</v>
          </cell>
          <cell r="X14468" t="str">
            <v>Commissions - gross</v>
          </cell>
          <cell r="Y14468" t="str">
            <v>HONG KONG</v>
          </cell>
        </row>
        <row r="14469">
          <cell r="L14469" t="str">
            <v>Proportional</v>
          </cell>
          <cell r="S14469">
            <v>284882.62</v>
          </cell>
          <cell r="X14469" t="str">
            <v>Commissions - gross</v>
          </cell>
          <cell r="Y14469" t="str">
            <v>HONG KONG</v>
          </cell>
        </row>
        <row r="14470">
          <cell r="L14470" t="str">
            <v>Proportional</v>
          </cell>
          <cell r="S14470">
            <v>7036.99</v>
          </cell>
          <cell r="X14470" t="str">
            <v>Commissions - gross</v>
          </cell>
          <cell r="Y14470" t="str">
            <v>ITALY</v>
          </cell>
        </row>
        <row r="14471">
          <cell r="L14471" t="str">
            <v>Proportional</v>
          </cell>
          <cell r="S14471">
            <v>-2194285.7200000002</v>
          </cell>
          <cell r="X14471" t="str">
            <v>Commissions - gross</v>
          </cell>
          <cell r="Y14471" t="str">
            <v>ITALY</v>
          </cell>
        </row>
        <row r="14472">
          <cell r="L14472" t="str">
            <v>Proportional</v>
          </cell>
          <cell r="S14472">
            <v>37.94</v>
          </cell>
          <cell r="X14472" t="str">
            <v>Commissions - gross</v>
          </cell>
          <cell r="Y14472" t="str">
            <v>Turkey</v>
          </cell>
        </row>
        <row r="14473">
          <cell r="L14473" t="str">
            <v>Proportional</v>
          </cell>
          <cell r="S14473">
            <v>7.0000000000000007E-2</v>
          </cell>
          <cell r="X14473" t="str">
            <v>Commissions - gross</v>
          </cell>
          <cell r="Y14473" t="str">
            <v>Hong Kong</v>
          </cell>
        </row>
        <row r="14474">
          <cell r="L14474" t="str">
            <v>Proportional</v>
          </cell>
          <cell r="S14474">
            <v>6203.8</v>
          </cell>
          <cell r="X14474" t="str">
            <v>Commissions - gross</v>
          </cell>
          <cell r="Y14474" t="str">
            <v>Portugal</v>
          </cell>
        </row>
        <row r="14475">
          <cell r="L14475" t="str">
            <v>Proportional</v>
          </cell>
          <cell r="S14475">
            <v>-386.99</v>
          </cell>
          <cell r="X14475" t="str">
            <v>Commissions - gross</v>
          </cell>
          <cell r="Y14475" t="str">
            <v>UNITED STATES</v>
          </cell>
        </row>
        <row r="14476">
          <cell r="L14476" t="str">
            <v>Proportional</v>
          </cell>
          <cell r="S14476">
            <v>45463.09</v>
          </cell>
          <cell r="X14476" t="str">
            <v>Commissions - gross</v>
          </cell>
          <cell r="Y14476" t="str">
            <v>JAPAN</v>
          </cell>
        </row>
        <row r="14477">
          <cell r="L14477" t="str">
            <v>Proportional</v>
          </cell>
          <cell r="S14477">
            <v>1324.26</v>
          </cell>
          <cell r="X14477" t="str">
            <v>Commissions - gross</v>
          </cell>
          <cell r="Y14477" t="str">
            <v>HONG KONG</v>
          </cell>
        </row>
        <row r="14478">
          <cell r="L14478" t="str">
            <v>Proportional</v>
          </cell>
          <cell r="S14478">
            <v>16.29</v>
          </cell>
          <cell r="X14478" t="str">
            <v>Commissions - gross</v>
          </cell>
          <cell r="Y14478" t="str">
            <v>UNITED STATES</v>
          </cell>
        </row>
        <row r="14479">
          <cell r="L14479" t="str">
            <v>Proportional</v>
          </cell>
          <cell r="S14479">
            <v>222.86</v>
          </cell>
          <cell r="X14479" t="str">
            <v>Commissions - gross</v>
          </cell>
          <cell r="Y14479" t="str">
            <v>TURKEY</v>
          </cell>
        </row>
        <row r="14480">
          <cell r="L14480" t="str">
            <v>Proportional</v>
          </cell>
          <cell r="S14480">
            <v>53.06</v>
          </cell>
          <cell r="X14480" t="str">
            <v>Commissions - gross</v>
          </cell>
          <cell r="Y14480" t="str">
            <v>TURKEY</v>
          </cell>
        </row>
        <row r="14481">
          <cell r="L14481" t="str">
            <v>Proportional</v>
          </cell>
          <cell r="S14481">
            <v>225.47</v>
          </cell>
          <cell r="X14481" t="str">
            <v>Commissions - gross</v>
          </cell>
          <cell r="Y14481" t="str">
            <v>Turkey</v>
          </cell>
        </row>
        <row r="14482">
          <cell r="L14482" t="str">
            <v>Proportional</v>
          </cell>
          <cell r="S14482">
            <v>0.01</v>
          </cell>
          <cell r="X14482" t="str">
            <v>Commissions - gross</v>
          </cell>
          <cell r="Y14482" t="str">
            <v>Turkey</v>
          </cell>
        </row>
        <row r="14483">
          <cell r="L14483" t="str">
            <v>Proportional</v>
          </cell>
          <cell r="S14483">
            <v>-735.3</v>
          </cell>
          <cell r="X14483" t="str">
            <v>Commissions - gross</v>
          </cell>
          <cell r="Y14483" t="str">
            <v>UNITED STATES</v>
          </cell>
        </row>
        <row r="14484">
          <cell r="L14484" t="str">
            <v>Proportional</v>
          </cell>
          <cell r="S14484">
            <v>1324.26</v>
          </cell>
          <cell r="X14484" t="str">
            <v>Commissions - gross</v>
          </cell>
          <cell r="Y14484" t="str">
            <v>HONG KONG</v>
          </cell>
        </row>
        <row r="14485">
          <cell r="L14485" t="str">
            <v>Proportional</v>
          </cell>
          <cell r="S14485">
            <v>4271.12</v>
          </cell>
          <cell r="X14485" t="str">
            <v>Commissions - gross</v>
          </cell>
          <cell r="Y14485" t="str">
            <v>ITALY</v>
          </cell>
        </row>
        <row r="14486">
          <cell r="L14486" t="str">
            <v>Proportional</v>
          </cell>
          <cell r="S14486">
            <v>2599132.9300000002</v>
          </cell>
          <cell r="X14486" t="str">
            <v>Commissions - gross</v>
          </cell>
          <cell r="Y14486" t="str">
            <v>PORTUGAL</v>
          </cell>
        </row>
        <row r="14487">
          <cell r="L14487" t="str">
            <v>Proportional</v>
          </cell>
          <cell r="S14487">
            <v>182998.42</v>
          </cell>
          <cell r="X14487" t="str">
            <v>Commissions - gross</v>
          </cell>
          <cell r="Y14487" t="str">
            <v>JAPAN</v>
          </cell>
        </row>
        <row r="14488">
          <cell r="L14488" t="str">
            <v>Proportional</v>
          </cell>
          <cell r="S14488">
            <v>-199.79</v>
          </cell>
          <cell r="X14488" t="str">
            <v>Commissions - gross</v>
          </cell>
          <cell r="Y14488" t="str">
            <v>Hong Kong</v>
          </cell>
        </row>
        <row r="14489">
          <cell r="L14489" t="str">
            <v>Proportional</v>
          </cell>
          <cell r="S14489">
            <v>17.68</v>
          </cell>
          <cell r="X14489" t="str">
            <v>Commissions - gross</v>
          </cell>
          <cell r="Y14489" t="str">
            <v>Turkey</v>
          </cell>
        </row>
        <row r="14490">
          <cell r="L14490" t="str">
            <v>Proportional</v>
          </cell>
          <cell r="S14490">
            <v>182998.42</v>
          </cell>
          <cell r="X14490" t="str">
            <v>Commissions - gross</v>
          </cell>
          <cell r="Y14490" t="str">
            <v>JAPAN</v>
          </cell>
        </row>
        <row r="14491">
          <cell r="L14491" t="str">
            <v>Proportional</v>
          </cell>
          <cell r="S14491">
            <v>-13165714.289999999</v>
          </cell>
          <cell r="X14491" t="str">
            <v>Commissions - gross</v>
          </cell>
          <cell r="Y14491" t="str">
            <v>ITALY</v>
          </cell>
        </row>
        <row r="14492">
          <cell r="L14492" t="str">
            <v>Proportional</v>
          </cell>
          <cell r="S14492">
            <v>91.68</v>
          </cell>
          <cell r="X14492" t="str">
            <v>Commissions - gross</v>
          </cell>
          <cell r="Y14492" t="str">
            <v>HONG KONG</v>
          </cell>
        </row>
        <row r="14493">
          <cell r="L14493" t="str">
            <v>Proportional</v>
          </cell>
          <cell r="S14493">
            <v>401.32</v>
          </cell>
          <cell r="X14493" t="str">
            <v>Commissions - gross</v>
          </cell>
          <cell r="Y14493" t="str">
            <v>Portugal</v>
          </cell>
        </row>
        <row r="14494">
          <cell r="L14494" t="str">
            <v>Proportional</v>
          </cell>
          <cell r="S14494">
            <v>244960.08</v>
          </cell>
          <cell r="X14494" t="str">
            <v>Commissions - gross</v>
          </cell>
          <cell r="Y14494" t="str">
            <v>PORTUGAL</v>
          </cell>
        </row>
        <row r="14495">
          <cell r="L14495" t="str">
            <v>Proportional</v>
          </cell>
          <cell r="S14495">
            <v>-1.1100000000000001</v>
          </cell>
          <cell r="X14495" t="str">
            <v>Commissions - gross</v>
          </cell>
          <cell r="Y14495" t="str">
            <v>Turkey</v>
          </cell>
        </row>
        <row r="14496">
          <cell r="L14496" t="str">
            <v>Proportional</v>
          </cell>
          <cell r="S14496">
            <v>48465.7</v>
          </cell>
          <cell r="X14496" t="str">
            <v>Commissions - gross</v>
          </cell>
          <cell r="Y14496" t="str">
            <v>PORTUGAL</v>
          </cell>
        </row>
        <row r="14497">
          <cell r="L14497" t="str">
            <v>Proportional</v>
          </cell>
          <cell r="S14497">
            <v>22435.200000000001</v>
          </cell>
          <cell r="X14497" t="str">
            <v>Commissions - gross</v>
          </cell>
          <cell r="Y14497" t="str">
            <v>PERU</v>
          </cell>
        </row>
        <row r="14498">
          <cell r="L14498" t="str">
            <v>Proportional</v>
          </cell>
          <cell r="S14498">
            <v>484.24</v>
          </cell>
          <cell r="X14498" t="str">
            <v>Commissions - gross</v>
          </cell>
          <cell r="Y14498" t="str">
            <v>TURKEY</v>
          </cell>
        </row>
        <row r="14499">
          <cell r="L14499" t="str">
            <v>Proportional</v>
          </cell>
          <cell r="S14499">
            <v>7186.72</v>
          </cell>
          <cell r="X14499" t="str">
            <v>Commissions - gross</v>
          </cell>
          <cell r="Y14499" t="str">
            <v>INDIA</v>
          </cell>
        </row>
        <row r="14500">
          <cell r="L14500" t="str">
            <v>Proportional</v>
          </cell>
          <cell r="S14500">
            <v>2507.06</v>
          </cell>
          <cell r="X14500" t="str">
            <v>Commissions - gross</v>
          </cell>
          <cell r="Y14500" t="str">
            <v>ITALY</v>
          </cell>
        </row>
        <row r="14501">
          <cell r="L14501" t="str">
            <v>Proportional</v>
          </cell>
          <cell r="S14501">
            <v>27.93</v>
          </cell>
          <cell r="X14501" t="str">
            <v>Commissions - gross</v>
          </cell>
          <cell r="Y14501" t="str">
            <v>Hong Kong</v>
          </cell>
        </row>
        <row r="14502">
          <cell r="L14502" t="str">
            <v>Proportional</v>
          </cell>
          <cell r="S14502">
            <v>81.84</v>
          </cell>
          <cell r="X14502" t="str">
            <v>Commissions - gross</v>
          </cell>
          <cell r="Y14502" t="str">
            <v>UNITED STATES</v>
          </cell>
        </row>
        <row r="14503">
          <cell r="L14503" t="str">
            <v>Proportional</v>
          </cell>
          <cell r="S14503">
            <v>0.04</v>
          </cell>
          <cell r="X14503" t="str">
            <v>Commissions - gross</v>
          </cell>
          <cell r="Y14503" t="str">
            <v>Hong Kong</v>
          </cell>
        </row>
        <row r="14504">
          <cell r="L14504" t="str">
            <v>Proportional</v>
          </cell>
          <cell r="S14504">
            <v>-182998.42</v>
          </cell>
          <cell r="X14504" t="str">
            <v>Commissions - gross</v>
          </cell>
          <cell r="Y14504" t="str">
            <v>JAPAN</v>
          </cell>
        </row>
        <row r="14505">
          <cell r="L14505" t="str">
            <v>Proportional</v>
          </cell>
          <cell r="S14505">
            <v>-1097142.8600000001</v>
          </cell>
          <cell r="X14505" t="str">
            <v>Commissions - gross</v>
          </cell>
          <cell r="Y14505" t="str">
            <v>ITALY</v>
          </cell>
        </row>
        <row r="14506">
          <cell r="L14506" t="str">
            <v>Proportional</v>
          </cell>
          <cell r="S14506">
            <v>13165714.289999999</v>
          </cell>
          <cell r="X14506" t="str">
            <v>Commissions - gross</v>
          </cell>
          <cell r="Y14506" t="str">
            <v>ITALY</v>
          </cell>
        </row>
        <row r="14507">
          <cell r="L14507" t="str">
            <v>Proportional</v>
          </cell>
          <cell r="S14507">
            <v>2194285.7200000002</v>
          </cell>
          <cell r="X14507" t="str">
            <v>Commissions - gross</v>
          </cell>
          <cell r="Y14507" t="str">
            <v>ITALY</v>
          </cell>
        </row>
        <row r="14508">
          <cell r="L14508" t="str">
            <v>Proportional</v>
          </cell>
          <cell r="S14508">
            <v>2039.28</v>
          </cell>
          <cell r="X14508" t="str">
            <v>Commissions - gross</v>
          </cell>
          <cell r="Y14508" t="str">
            <v>CHILE</v>
          </cell>
        </row>
        <row r="14509">
          <cell r="L14509" t="str">
            <v>Proportional</v>
          </cell>
          <cell r="S14509">
            <v>-2096.52</v>
          </cell>
          <cell r="X14509" t="str">
            <v>Commissions - gross</v>
          </cell>
          <cell r="Y14509" t="str">
            <v>CHILE</v>
          </cell>
        </row>
        <row r="14510">
          <cell r="L14510" t="str">
            <v>Proportional</v>
          </cell>
          <cell r="S14510">
            <v>-569.42999999999995</v>
          </cell>
          <cell r="X14510" t="str">
            <v>Commissions - gross</v>
          </cell>
          <cell r="Y14510" t="str">
            <v>Portugal</v>
          </cell>
        </row>
        <row r="14511">
          <cell r="L14511" t="str">
            <v>Proportional</v>
          </cell>
          <cell r="S14511">
            <v>2611.6999999999998</v>
          </cell>
          <cell r="X14511" t="str">
            <v>Commissions - gross</v>
          </cell>
          <cell r="Y14511" t="str">
            <v>CHILE</v>
          </cell>
        </row>
        <row r="14512">
          <cell r="L14512" t="str">
            <v>Proportional</v>
          </cell>
          <cell r="S14512">
            <v>55.85</v>
          </cell>
          <cell r="X14512" t="str">
            <v>Commissions - gross</v>
          </cell>
          <cell r="Y14512" t="str">
            <v>CHILE</v>
          </cell>
        </row>
        <row r="14513">
          <cell r="L14513" t="str">
            <v>Proportional</v>
          </cell>
          <cell r="S14513">
            <v>40104.17</v>
          </cell>
          <cell r="X14513" t="str">
            <v>Commissions - gross</v>
          </cell>
          <cell r="Y14513" t="str">
            <v>PERU</v>
          </cell>
        </row>
        <row r="14514">
          <cell r="L14514" t="str">
            <v>Proportional</v>
          </cell>
          <cell r="S14514">
            <v>-1.63</v>
          </cell>
          <cell r="X14514" t="str">
            <v>Commissions - gross</v>
          </cell>
          <cell r="Y14514" t="str">
            <v>Malaysia</v>
          </cell>
        </row>
        <row r="14515">
          <cell r="L14515" t="str">
            <v>Proportional</v>
          </cell>
          <cell r="S14515">
            <v>-938.18</v>
          </cell>
          <cell r="X14515" t="str">
            <v>Commissions - gross</v>
          </cell>
          <cell r="Y14515" t="str">
            <v>CHILE</v>
          </cell>
        </row>
        <row r="14516">
          <cell r="L14516" t="str">
            <v>Proportional</v>
          </cell>
          <cell r="S14516">
            <v>8033.44</v>
          </cell>
          <cell r="X14516" t="str">
            <v>Commissions - gross</v>
          </cell>
          <cell r="Y14516" t="str">
            <v>PORTUGAL</v>
          </cell>
        </row>
        <row r="14517">
          <cell r="L14517" t="str">
            <v>Proportional</v>
          </cell>
          <cell r="S14517">
            <v>63.91</v>
          </cell>
          <cell r="X14517" t="str">
            <v>Commissions - gross</v>
          </cell>
          <cell r="Y14517" t="str">
            <v>CHILE</v>
          </cell>
        </row>
        <row r="14518">
          <cell r="L14518" t="str">
            <v>Proportional</v>
          </cell>
          <cell r="S14518">
            <v>5803.77</v>
          </cell>
          <cell r="X14518" t="str">
            <v>Commissions - gross</v>
          </cell>
          <cell r="Y14518" t="str">
            <v>Portugal</v>
          </cell>
        </row>
        <row r="14519">
          <cell r="L14519" t="str">
            <v>Proportional</v>
          </cell>
          <cell r="S14519">
            <v>-1485.48</v>
          </cell>
          <cell r="X14519" t="str">
            <v>Commissions - gross</v>
          </cell>
          <cell r="Y14519" t="str">
            <v>CHILE</v>
          </cell>
        </row>
        <row r="14520">
          <cell r="L14520" t="str">
            <v>Proportional</v>
          </cell>
          <cell r="S14520">
            <v>-2.33</v>
          </cell>
          <cell r="X14520" t="str">
            <v>Commissions - gross</v>
          </cell>
          <cell r="Y14520" t="str">
            <v>Malaysia</v>
          </cell>
        </row>
        <row r="14521">
          <cell r="L14521" t="str">
            <v>Proportional</v>
          </cell>
          <cell r="S14521">
            <v>787.51</v>
          </cell>
          <cell r="X14521" t="str">
            <v>Commissions - gross</v>
          </cell>
          <cell r="Y14521" t="str">
            <v>SWITZERLAND</v>
          </cell>
        </row>
        <row r="14522">
          <cell r="L14522" t="str">
            <v>Proportional</v>
          </cell>
          <cell r="S14522">
            <v>-58037</v>
          </cell>
          <cell r="X14522" t="str">
            <v>Commissions - gross</v>
          </cell>
          <cell r="Y14522" t="str">
            <v>FRANCE</v>
          </cell>
        </row>
        <row r="14523">
          <cell r="L14523" t="str">
            <v>Proportional</v>
          </cell>
          <cell r="S14523">
            <v>17911.02</v>
          </cell>
          <cell r="X14523" t="str">
            <v>Commissions - gross</v>
          </cell>
          <cell r="Y14523" t="str">
            <v>PORTUGAL</v>
          </cell>
        </row>
        <row r="14524">
          <cell r="L14524" t="str">
            <v>Proportional</v>
          </cell>
          <cell r="S14524">
            <v>-120365.72</v>
          </cell>
          <cell r="X14524" t="str">
            <v>Commissions - gross</v>
          </cell>
          <cell r="Y14524" t="str">
            <v>PORTUGAL</v>
          </cell>
        </row>
        <row r="14525">
          <cell r="L14525" t="str">
            <v>Proportional</v>
          </cell>
          <cell r="S14525">
            <v>-37825.230000000003</v>
          </cell>
          <cell r="X14525" t="str">
            <v>Commissions - gross</v>
          </cell>
          <cell r="Y14525" t="str">
            <v>PORTUGAL</v>
          </cell>
        </row>
        <row r="14526">
          <cell r="L14526" t="str">
            <v>Proportional</v>
          </cell>
          <cell r="S14526">
            <v>930.2</v>
          </cell>
          <cell r="X14526" t="str">
            <v>Commissions - gross</v>
          </cell>
          <cell r="Y14526" t="str">
            <v>CHILE</v>
          </cell>
        </row>
        <row r="14527">
          <cell r="L14527" t="str">
            <v>Proportional</v>
          </cell>
          <cell r="S14527">
            <v>-9497</v>
          </cell>
          <cell r="X14527" t="str">
            <v>Commissions - gross</v>
          </cell>
          <cell r="Y14527" t="str">
            <v>FRANCE</v>
          </cell>
        </row>
        <row r="14528">
          <cell r="L14528" t="str">
            <v>Proportional</v>
          </cell>
          <cell r="S14528">
            <v>340.52</v>
          </cell>
          <cell r="X14528" t="str">
            <v>Commissions - gross</v>
          </cell>
          <cell r="Y14528" t="str">
            <v>FRANCE</v>
          </cell>
        </row>
        <row r="14529">
          <cell r="L14529" t="str">
            <v>Proportional</v>
          </cell>
          <cell r="S14529">
            <v>80.67</v>
          </cell>
          <cell r="X14529" t="str">
            <v>Commissions - gross</v>
          </cell>
          <cell r="Y14529" t="str">
            <v>FRANCE</v>
          </cell>
        </row>
        <row r="14530">
          <cell r="L14530" t="str">
            <v>Proportional</v>
          </cell>
          <cell r="S14530">
            <v>-26.02</v>
          </cell>
          <cell r="X14530" t="str">
            <v>Commissions - gross</v>
          </cell>
          <cell r="Y14530" t="str">
            <v>CHILE</v>
          </cell>
        </row>
        <row r="14531">
          <cell r="L14531" t="str">
            <v>Proportional</v>
          </cell>
          <cell r="S14531">
            <v>9497</v>
          </cell>
          <cell r="X14531" t="str">
            <v>Commissions - gross</v>
          </cell>
          <cell r="Y14531" t="str">
            <v>FRANCE</v>
          </cell>
        </row>
        <row r="14532">
          <cell r="L14532" t="str">
            <v>Proportional</v>
          </cell>
          <cell r="S14532">
            <v>4293.21</v>
          </cell>
          <cell r="X14532" t="str">
            <v>Commissions - gross</v>
          </cell>
          <cell r="Y14532" t="str">
            <v>CHILE</v>
          </cell>
        </row>
        <row r="14533">
          <cell r="L14533" t="str">
            <v>Proportional</v>
          </cell>
          <cell r="S14533">
            <v>-7347.15</v>
          </cell>
          <cell r="X14533" t="str">
            <v>Commissions - gross</v>
          </cell>
          <cell r="Y14533" t="str">
            <v>AUSTRALIA</v>
          </cell>
        </row>
        <row r="14534">
          <cell r="L14534" t="str">
            <v>Proportional</v>
          </cell>
          <cell r="S14534">
            <v>149.33000000000001</v>
          </cell>
          <cell r="X14534" t="str">
            <v>Commissions - gross</v>
          </cell>
          <cell r="Y14534" t="str">
            <v>FRANCE</v>
          </cell>
        </row>
        <row r="14535">
          <cell r="L14535" t="str">
            <v>Proportional</v>
          </cell>
          <cell r="S14535">
            <v>-5055</v>
          </cell>
          <cell r="X14535" t="str">
            <v>Commissions - gross</v>
          </cell>
          <cell r="Y14535" t="str">
            <v>FRANCE</v>
          </cell>
        </row>
        <row r="14536">
          <cell r="L14536" t="str">
            <v>Proportional</v>
          </cell>
          <cell r="S14536">
            <v>1466.85</v>
          </cell>
          <cell r="X14536" t="str">
            <v>Commissions - gross</v>
          </cell>
          <cell r="Y14536" t="str">
            <v>CHILE</v>
          </cell>
        </row>
        <row r="14537">
          <cell r="L14537" t="str">
            <v>Proportional</v>
          </cell>
          <cell r="S14537">
            <v>21355.57</v>
          </cell>
          <cell r="X14537" t="str">
            <v>Commissions - gross</v>
          </cell>
          <cell r="Y14537" t="str">
            <v>MEXICO</v>
          </cell>
        </row>
        <row r="14538">
          <cell r="L14538" t="str">
            <v>Proportional</v>
          </cell>
          <cell r="S14538">
            <v>250.44</v>
          </cell>
          <cell r="X14538" t="str">
            <v>Commissions - gross</v>
          </cell>
          <cell r="Y14538" t="str">
            <v>CHILE</v>
          </cell>
        </row>
        <row r="14539">
          <cell r="L14539" t="str">
            <v>Proportional</v>
          </cell>
          <cell r="S14539">
            <v>9051.52</v>
          </cell>
          <cell r="X14539" t="str">
            <v>Commissions - gross</v>
          </cell>
          <cell r="Y14539" t="str">
            <v>CHILE</v>
          </cell>
        </row>
        <row r="14540">
          <cell r="L14540" t="str">
            <v>Proportional</v>
          </cell>
          <cell r="S14540">
            <v>19599.48</v>
          </cell>
          <cell r="X14540" t="str">
            <v>Commissions - gross</v>
          </cell>
          <cell r="Y14540" t="str">
            <v>PORTUGAL</v>
          </cell>
        </row>
        <row r="14541">
          <cell r="L14541" t="str">
            <v>Proportional</v>
          </cell>
          <cell r="S14541">
            <v>-55.85</v>
          </cell>
          <cell r="X14541" t="str">
            <v>Commissions - gross</v>
          </cell>
          <cell r="Y14541" t="str">
            <v>CHILE</v>
          </cell>
        </row>
        <row r="14542">
          <cell r="L14542" t="str">
            <v>Proportional</v>
          </cell>
          <cell r="S14542">
            <v>37825.230000000003</v>
          </cell>
          <cell r="X14542" t="str">
            <v>Commissions - gross</v>
          </cell>
          <cell r="Y14542" t="str">
            <v>PORTUGAL</v>
          </cell>
        </row>
        <row r="14543">
          <cell r="L14543" t="str">
            <v>Proportional</v>
          </cell>
          <cell r="S14543">
            <v>-15.2</v>
          </cell>
          <cell r="X14543" t="str">
            <v>Commissions - gross</v>
          </cell>
          <cell r="Y14543" t="str">
            <v>CHILE</v>
          </cell>
        </row>
        <row r="14544">
          <cell r="L14544" t="str">
            <v>Proportional</v>
          </cell>
          <cell r="S14544">
            <v>-13.95</v>
          </cell>
          <cell r="X14544" t="str">
            <v>Commissions - gross</v>
          </cell>
          <cell r="Y14544" t="str">
            <v>SINGAPORE</v>
          </cell>
        </row>
        <row r="14545">
          <cell r="L14545" t="str">
            <v>Proportional</v>
          </cell>
          <cell r="S14545">
            <v>-4394.53</v>
          </cell>
          <cell r="X14545" t="str">
            <v>Commissions - gross</v>
          </cell>
          <cell r="Y14545" t="str">
            <v>CHILE</v>
          </cell>
        </row>
        <row r="14546">
          <cell r="L14546" t="str">
            <v>Proportional</v>
          </cell>
          <cell r="S14546">
            <v>-33.65</v>
          </cell>
          <cell r="X14546" t="str">
            <v>Commissions - gross</v>
          </cell>
          <cell r="Y14546" t="str">
            <v>CHILE</v>
          </cell>
        </row>
        <row r="14547">
          <cell r="L14547" t="str">
            <v>Proportional</v>
          </cell>
          <cell r="S14547">
            <v>-2403.87</v>
          </cell>
          <cell r="X14547" t="str">
            <v>Commissions - gross</v>
          </cell>
          <cell r="Y14547" t="str">
            <v>CHILE</v>
          </cell>
        </row>
        <row r="14548">
          <cell r="L14548" t="str">
            <v>Proportional</v>
          </cell>
          <cell r="S14548">
            <v>27469.65</v>
          </cell>
          <cell r="X14548" t="str">
            <v>Commissions - gross</v>
          </cell>
          <cell r="Y14548" t="str">
            <v>PERU</v>
          </cell>
        </row>
        <row r="14549">
          <cell r="L14549" t="str">
            <v>Proportional</v>
          </cell>
          <cell r="S14549">
            <v>-2082722.45</v>
          </cell>
          <cell r="X14549" t="str">
            <v>Commissions - gross</v>
          </cell>
          <cell r="Y14549" t="str">
            <v>PORTUGAL</v>
          </cell>
        </row>
        <row r="14550">
          <cell r="L14550" t="str">
            <v>Proportional</v>
          </cell>
          <cell r="S14550">
            <v>120365.72</v>
          </cell>
          <cell r="X14550" t="str">
            <v>Commissions - gross</v>
          </cell>
          <cell r="Y14550" t="str">
            <v>PORTUGAL</v>
          </cell>
        </row>
        <row r="14551">
          <cell r="L14551" t="str">
            <v>Proportional</v>
          </cell>
          <cell r="S14551">
            <v>-532818.21</v>
          </cell>
          <cell r="X14551" t="str">
            <v>Commissions - gross</v>
          </cell>
          <cell r="Y14551" t="str">
            <v>ITALY</v>
          </cell>
        </row>
        <row r="14552">
          <cell r="L14552" t="str">
            <v>Proportional</v>
          </cell>
          <cell r="S14552">
            <v>-561.41999999999996</v>
          </cell>
          <cell r="X14552" t="str">
            <v>Commissions - gross</v>
          </cell>
          <cell r="Y14552" t="str">
            <v>CHILE</v>
          </cell>
        </row>
        <row r="14553">
          <cell r="L14553" t="str">
            <v>Proportional</v>
          </cell>
          <cell r="S14553">
            <v>-152.91</v>
          </cell>
          <cell r="X14553" t="str">
            <v>Commissions - gross</v>
          </cell>
          <cell r="Y14553" t="str">
            <v>FRANCE</v>
          </cell>
        </row>
        <row r="14554">
          <cell r="L14554" t="str">
            <v>Proportional</v>
          </cell>
          <cell r="S14554">
            <v>944.56</v>
          </cell>
          <cell r="X14554" t="str">
            <v>Commissions - gross</v>
          </cell>
          <cell r="Y14554" t="str">
            <v>Portugal</v>
          </cell>
        </row>
        <row r="14555">
          <cell r="L14555" t="str">
            <v>Proportional</v>
          </cell>
          <cell r="S14555">
            <v>2082722.45</v>
          </cell>
          <cell r="X14555" t="str">
            <v>Commissions - gross</v>
          </cell>
          <cell r="Y14555" t="str">
            <v>PORTUGAL</v>
          </cell>
        </row>
        <row r="14556">
          <cell r="L14556" t="str">
            <v>Proportional</v>
          </cell>
          <cell r="S14556">
            <v>-63.91</v>
          </cell>
          <cell r="X14556" t="str">
            <v>Commissions - gross</v>
          </cell>
          <cell r="Y14556" t="str">
            <v>CHILE</v>
          </cell>
        </row>
        <row r="14557">
          <cell r="L14557" t="str">
            <v>Proportional</v>
          </cell>
          <cell r="S14557">
            <v>-21355.57</v>
          </cell>
          <cell r="X14557" t="str">
            <v>Commissions - gross</v>
          </cell>
          <cell r="Y14557" t="str">
            <v>MEXICO</v>
          </cell>
        </row>
        <row r="14558">
          <cell r="L14558" t="str">
            <v>Proportional</v>
          </cell>
          <cell r="S14558">
            <v>-2668</v>
          </cell>
          <cell r="X14558" t="str">
            <v>Commissions - gross</v>
          </cell>
          <cell r="Y14558" t="str">
            <v>CHILE</v>
          </cell>
        </row>
        <row r="14559">
          <cell r="L14559" t="str">
            <v>Proportional</v>
          </cell>
          <cell r="S14559">
            <v>7347.15</v>
          </cell>
          <cell r="X14559" t="str">
            <v>Commissions - gross</v>
          </cell>
          <cell r="Y14559" t="str">
            <v>AUSTRALIA</v>
          </cell>
        </row>
        <row r="14560">
          <cell r="L14560" t="str">
            <v>Proportional</v>
          </cell>
          <cell r="S14560">
            <v>532818.21</v>
          </cell>
          <cell r="X14560" t="str">
            <v>Commissions - gross</v>
          </cell>
          <cell r="Y14560" t="str">
            <v>ITALY</v>
          </cell>
        </row>
        <row r="14561">
          <cell r="L14561" t="str">
            <v>Proportional</v>
          </cell>
          <cell r="S14561">
            <v>247883.8</v>
          </cell>
          <cell r="X14561" t="str">
            <v>Commissions - gross</v>
          </cell>
          <cell r="Y14561" t="str">
            <v>PORTUGAL</v>
          </cell>
        </row>
        <row r="14562">
          <cell r="L14562" t="str">
            <v>Proportional</v>
          </cell>
          <cell r="S14562">
            <v>61.87</v>
          </cell>
          <cell r="X14562" t="str">
            <v>Commissions - gross</v>
          </cell>
          <cell r="Y14562" t="str">
            <v>CHILE</v>
          </cell>
        </row>
        <row r="14563">
          <cell r="L14563" t="str">
            <v>Proportional</v>
          </cell>
          <cell r="S14563">
            <v>-101.95</v>
          </cell>
          <cell r="X14563" t="str">
            <v>Commissions - gross</v>
          </cell>
          <cell r="Y14563" t="str">
            <v>PORTUGAL</v>
          </cell>
        </row>
        <row r="14564">
          <cell r="L14564" t="str">
            <v>Proportional</v>
          </cell>
          <cell r="S14564">
            <v>2361.27</v>
          </cell>
          <cell r="X14564" t="str">
            <v>Commissions - gross</v>
          </cell>
          <cell r="Y14564" t="str">
            <v>CHILE</v>
          </cell>
        </row>
        <row r="14565">
          <cell r="L14565" t="str">
            <v>Proportional</v>
          </cell>
          <cell r="S14565">
            <v>21355.57</v>
          </cell>
          <cell r="X14565" t="str">
            <v>Commissions - gross</v>
          </cell>
          <cell r="Y14565" t="str">
            <v>MEXICO</v>
          </cell>
        </row>
        <row r="14566">
          <cell r="L14566" t="str">
            <v>Proportional</v>
          </cell>
          <cell r="S14566">
            <v>466.43</v>
          </cell>
          <cell r="X14566" t="str">
            <v>Commissions - gross</v>
          </cell>
          <cell r="Y14566" t="str">
            <v>UNITED ARAB EMIRATES</v>
          </cell>
        </row>
        <row r="14567">
          <cell r="L14567" t="str">
            <v>Proportional</v>
          </cell>
          <cell r="S14567">
            <v>-262.29000000000002</v>
          </cell>
          <cell r="X14567" t="str">
            <v>Commissions - gross</v>
          </cell>
          <cell r="Y14567" t="str">
            <v>CHILE</v>
          </cell>
        </row>
        <row r="14568">
          <cell r="L14568" t="str">
            <v>Proportional</v>
          </cell>
          <cell r="S14568">
            <v>150000</v>
          </cell>
          <cell r="X14568" t="str">
            <v>Commissions - gross</v>
          </cell>
          <cell r="Y14568" t="str">
            <v>SPAIN</v>
          </cell>
        </row>
        <row r="14569">
          <cell r="L14569" t="str">
            <v>Proportional</v>
          </cell>
          <cell r="S14569">
            <v>5055</v>
          </cell>
          <cell r="X14569" t="str">
            <v>Commissions - gross</v>
          </cell>
          <cell r="Y14569" t="str">
            <v>FRANCE</v>
          </cell>
        </row>
        <row r="14570">
          <cell r="L14570" t="str">
            <v>Proportional</v>
          </cell>
          <cell r="S14570">
            <v>-247883.8</v>
          </cell>
          <cell r="X14570" t="str">
            <v>Commissions - gross</v>
          </cell>
          <cell r="Y14570" t="str">
            <v>PORTUGAL</v>
          </cell>
        </row>
        <row r="14571">
          <cell r="L14571" t="str">
            <v>Proportional</v>
          </cell>
          <cell r="S14571">
            <v>15491.8</v>
          </cell>
          <cell r="X14571" t="str">
            <v>Commissions - gross</v>
          </cell>
          <cell r="Y14571" t="str">
            <v>INDIA</v>
          </cell>
        </row>
        <row r="14572">
          <cell r="L14572" t="str">
            <v>Proportional</v>
          </cell>
          <cell r="S14572">
            <v>26.02</v>
          </cell>
          <cell r="X14572" t="str">
            <v>Commissions - gross</v>
          </cell>
          <cell r="Y14572" t="str">
            <v>CHILE</v>
          </cell>
        </row>
        <row r="14573">
          <cell r="L14573" t="str">
            <v>Proportional</v>
          </cell>
          <cell r="S14573">
            <v>-17.22</v>
          </cell>
          <cell r="X14573" t="str">
            <v>Commissions - gross</v>
          </cell>
          <cell r="Y14573" t="str">
            <v>CHILE</v>
          </cell>
        </row>
        <row r="14574">
          <cell r="L14574" t="str">
            <v>Proportional</v>
          </cell>
          <cell r="S14574">
            <v>561.41999999999996</v>
          </cell>
          <cell r="X14574" t="str">
            <v>Commissions - gross</v>
          </cell>
          <cell r="Y14574" t="str">
            <v>CHILE</v>
          </cell>
        </row>
        <row r="14575">
          <cell r="L14575" t="str">
            <v>Proportional</v>
          </cell>
          <cell r="S14575">
            <v>6293.88</v>
          </cell>
          <cell r="X14575" t="str">
            <v>Commissions - gross</v>
          </cell>
          <cell r="Y14575" t="str">
            <v>SWITZERLAND</v>
          </cell>
        </row>
        <row r="14576">
          <cell r="L14576" t="str">
            <v>Proportional</v>
          </cell>
          <cell r="S14576">
            <v>-61.87</v>
          </cell>
          <cell r="X14576" t="str">
            <v>Commissions - gross</v>
          </cell>
          <cell r="Y14576" t="str">
            <v>CHILE</v>
          </cell>
        </row>
        <row r="14577">
          <cell r="L14577" t="str">
            <v>Proportional</v>
          </cell>
          <cell r="S14577">
            <v>-9282.8799999999992</v>
          </cell>
          <cell r="X14577" t="str">
            <v>Commissions - gross</v>
          </cell>
          <cell r="Y14577" t="str">
            <v>CHILE</v>
          </cell>
        </row>
        <row r="14578">
          <cell r="L14578" t="str">
            <v>Proportional</v>
          </cell>
          <cell r="S14578">
            <v>33.65</v>
          </cell>
          <cell r="X14578" t="str">
            <v>Commissions - gross</v>
          </cell>
          <cell r="Y14578" t="str">
            <v>CHILE</v>
          </cell>
        </row>
        <row r="14579">
          <cell r="L14579" t="str">
            <v>Proportional</v>
          </cell>
          <cell r="S14579">
            <v>15.2</v>
          </cell>
          <cell r="X14579" t="str">
            <v>Commissions - gross</v>
          </cell>
          <cell r="Y14579" t="str">
            <v>CHILE</v>
          </cell>
        </row>
        <row r="14580">
          <cell r="L14580" t="str">
            <v>Proportional</v>
          </cell>
          <cell r="S14580">
            <v>-90.4</v>
          </cell>
          <cell r="X14580" t="str">
            <v>Commissions - gross</v>
          </cell>
          <cell r="Y14580" t="str">
            <v>TURKEY</v>
          </cell>
        </row>
        <row r="14581">
          <cell r="L14581" t="str">
            <v>Proportional</v>
          </cell>
          <cell r="S14581">
            <v>1.46</v>
          </cell>
          <cell r="X14581" t="str">
            <v>Commissions - gross</v>
          </cell>
          <cell r="Y14581" t="str">
            <v>INDIA</v>
          </cell>
        </row>
        <row r="14582">
          <cell r="L14582" t="str">
            <v>Proportional</v>
          </cell>
          <cell r="S14582">
            <v>54.36</v>
          </cell>
          <cell r="X14582" t="str">
            <v>Commissions - gross</v>
          </cell>
          <cell r="Y14582" t="str">
            <v>Turkey</v>
          </cell>
        </row>
        <row r="14583">
          <cell r="L14583" t="str">
            <v>Proportional</v>
          </cell>
          <cell r="S14583">
            <v>-36559.68</v>
          </cell>
          <cell r="X14583" t="str">
            <v>Commissions - gross</v>
          </cell>
          <cell r="Y14583" t="str">
            <v>UNITED KINGDOM</v>
          </cell>
        </row>
        <row r="14584">
          <cell r="L14584" t="str">
            <v>Proportional</v>
          </cell>
          <cell r="S14584">
            <v>-34.74</v>
          </cell>
          <cell r="X14584" t="str">
            <v>Commissions - gross</v>
          </cell>
          <cell r="Y14584" t="str">
            <v>HONG KONG</v>
          </cell>
        </row>
        <row r="14585">
          <cell r="L14585" t="str">
            <v>Proportional</v>
          </cell>
          <cell r="S14585">
            <v>665.36</v>
          </cell>
          <cell r="X14585" t="str">
            <v>Commissions - gross</v>
          </cell>
          <cell r="Y14585" t="str">
            <v>TURKEY</v>
          </cell>
        </row>
        <row r="14586">
          <cell r="L14586" t="str">
            <v>Proportional</v>
          </cell>
          <cell r="S14586">
            <v>2541.09</v>
          </cell>
          <cell r="X14586" t="str">
            <v>Commissions - gross</v>
          </cell>
          <cell r="Y14586" t="str">
            <v>India</v>
          </cell>
        </row>
        <row r="14587">
          <cell r="L14587" t="str">
            <v>Proportional</v>
          </cell>
          <cell r="S14587">
            <v>2448</v>
          </cell>
          <cell r="X14587" t="str">
            <v>Commissions - gross</v>
          </cell>
          <cell r="Y14587" t="str">
            <v>FRANCE</v>
          </cell>
        </row>
        <row r="14588">
          <cell r="L14588" t="str">
            <v>Proportional</v>
          </cell>
          <cell r="S14588">
            <v>-8174.75</v>
          </cell>
          <cell r="X14588" t="str">
            <v>Commissions - gross</v>
          </cell>
          <cell r="Y14588" t="str">
            <v>AUSTRALIA</v>
          </cell>
        </row>
        <row r="14589">
          <cell r="L14589" t="str">
            <v>Proportional</v>
          </cell>
          <cell r="S14589">
            <v>180.38</v>
          </cell>
          <cell r="X14589" t="str">
            <v>Commissions - gross</v>
          </cell>
          <cell r="Y14589" t="str">
            <v>MALAYSIA</v>
          </cell>
        </row>
        <row r="14590">
          <cell r="L14590" t="str">
            <v>Proportional</v>
          </cell>
          <cell r="S14590">
            <v>3.39</v>
          </cell>
          <cell r="X14590" t="str">
            <v>Commissions - gross</v>
          </cell>
          <cell r="Y14590" t="str">
            <v>TURKEY</v>
          </cell>
        </row>
        <row r="14591">
          <cell r="L14591" t="str">
            <v>Proportional</v>
          </cell>
          <cell r="S14591">
            <v>122.9</v>
          </cell>
          <cell r="X14591" t="str">
            <v>Commissions - gross</v>
          </cell>
          <cell r="Y14591" t="str">
            <v>HONG KONG</v>
          </cell>
        </row>
        <row r="14592">
          <cell r="L14592" t="str">
            <v>Proportional</v>
          </cell>
          <cell r="S14592">
            <v>-6.36</v>
          </cell>
          <cell r="X14592" t="str">
            <v>Commissions - gross</v>
          </cell>
          <cell r="Y14592" t="str">
            <v>Turkey</v>
          </cell>
        </row>
        <row r="14593">
          <cell r="L14593" t="str">
            <v>Proportional</v>
          </cell>
          <cell r="S14593">
            <v>0.94</v>
          </cell>
          <cell r="X14593" t="str">
            <v>Commissions - gross</v>
          </cell>
          <cell r="Y14593" t="str">
            <v>HONG KONG</v>
          </cell>
        </row>
        <row r="14594">
          <cell r="L14594" t="str">
            <v>Proportional</v>
          </cell>
          <cell r="S14594">
            <v>1594.16</v>
          </cell>
          <cell r="X14594" t="str">
            <v>Commissions - gross</v>
          </cell>
          <cell r="Y14594" t="str">
            <v>Turkey</v>
          </cell>
        </row>
        <row r="14595">
          <cell r="L14595" t="str">
            <v>Proportional</v>
          </cell>
          <cell r="S14595">
            <v>8174.75</v>
          </cell>
          <cell r="X14595" t="str">
            <v>Commissions - gross</v>
          </cell>
          <cell r="Y14595" t="str">
            <v>AUSTRALIA</v>
          </cell>
        </row>
        <row r="14596">
          <cell r="L14596" t="str">
            <v>Proportional</v>
          </cell>
          <cell r="S14596">
            <v>36559.68</v>
          </cell>
          <cell r="X14596" t="str">
            <v>Commissions - gross</v>
          </cell>
          <cell r="Y14596" t="str">
            <v>UNITED KINGDOM</v>
          </cell>
        </row>
        <row r="14597">
          <cell r="L14597" t="str">
            <v>Proportional</v>
          </cell>
          <cell r="S14597">
            <v>4773600</v>
          </cell>
          <cell r="X14597" t="str">
            <v>Commissions - gross</v>
          </cell>
          <cell r="Y14597" t="str">
            <v>ITALY</v>
          </cell>
        </row>
        <row r="14598">
          <cell r="L14598" t="str">
            <v>Proportional</v>
          </cell>
          <cell r="S14598">
            <v>25.62</v>
          </cell>
          <cell r="X14598" t="str">
            <v>Commissions - gross</v>
          </cell>
          <cell r="Y14598" t="str">
            <v>INDIA</v>
          </cell>
        </row>
        <row r="14599">
          <cell r="L14599" t="str">
            <v>Proportional</v>
          </cell>
          <cell r="S14599">
            <v>3.99</v>
          </cell>
          <cell r="X14599" t="str">
            <v>Commissions - gross</v>
          </cell>
          <cell r="Y14599" t="str">
            <v>Hong Kong</v>
          </cell>
        </row>
        <row r="14600">
          <cell r="L14600" t="str">
            <v>Proportional</v>
          </cell>
          <cell r="S14600">
            <v>141.91</v>
          </cell>
          <cell r="X14600" t="str">
            <v>Commissions - gross</v>
          </cell>
          <cell r="Y14600" t="str">
            <v>Turkey</v>
          </cell>
        </row>
        <row r="14601">
          <cell r="L14601" t="str">
            <v>Proportional</v>
          </cell>
          <cell r="S14601">
            <v>-11798.39</v>
          </cell>
          <cell r="X14601" t="str">
            <v>Commissions - gross</v>
          </cell>
          <cell r="Y14601" t="str">
            <v>SWITZERLAND</v>
          </cell>
        </row>
        <row r="14602">
          <cell r="L14602" t="str">
            <v>Proportional</v>
          </cell>
          <cell r="S14602">
            <v>103039.31</v>
          </cell>
          <cell r="X14602" t="str">
            <v>Commissions - gross</v>
          </cell>
          <cell r="Y14602" t="str">
            <v>PORTUGAL</v>
          </cell>
        </row>
        <row r="14603">
          <cell r="L14603" t="str">
            <v>Proportional</v>
          </cell>
          <cell r="S14603">
            <v>-373.49</v>
          </cell>
          <cell r="X14603" t="str">
            <v>Commissions - gross</v>
          </cell>
          <cell r="Y14603" t="str">
            <v>UNITED STATES</v>
          </cell>
        </row>
        <row r="14604">
          <cell r="L14604" t="str">
            <v>Proportional</v>
          </cell>
          <cell r="S14604">
            <v>61.3</v>
          </cell>
          <cell r="X14604" t="str">
            <v>Commissions - gross</v>
          </cell>
          <cell r="Y14604" t="str">
            <v>INDIA</v>
          </cell>
        </row>
        <row r="14605">
          <cell r="L14605" t="str">
            <v>Proportional</v>
          </cell>
          <cell r="S14605">
            <v>7177.92</v>
          </cell>
          <cell r="X14605" t="str">
            <v>Commissions - gross</v>
          </cell>
          <cell r="Y14605" t="str">
            <v>India</v>
          </cell>
        </row>
        <row r="14606">
          <cell r="L14606" t="str">
            <v>Proportional</v>
          </cell>
          <cell r="S14606">
            <v>-81.28</v>
          </cell>
          <cell r="X14606" t="str">
            <v>Commissions - gross</v>
          </cell>
          <cell r="Y14606" t="str">
            <v>INDIA</v>
          </cell>
        </row>
        <row r="14607">
          <cell r="L14607" t="str">
            <v>Proportional</v>
          </cell>
          <cell r="S14607">
            <v>1682900.19</v>
          </cell>
          <cell r="X14607" t="str">
            <v>Commissions - gross</v>
          </cell>
          <cell r="Y14607" t="str">
            <v>SWITZERLAND</v>
          </cell>
        </row>
        <row r="14608">
          <cell r="L14608" t="str">
            <v>Proportional</v>
          </cell>
          <cell r="S14608">
            <v>641.26</v>
          </cell>
          <cell r="X14608" t="str">
            <v>Commissions - gross</v>
          </cell>
          <cell r="Y14608" t="str">
            <v>TURKEY</v>
          </cell>
        </row>
        <row r="14609">
          <cell r="L14609" t="str">
            <v>Proportional</v>
          </cell>
          <cell r="S14609">
            <v>11147.5</v>
          </cell>
          <cell r="X14609" t="str">
            <v>Commissions - gross</v>
          </cell>
          <cell r="Y14609" t="str">
            <v>India</v>
          </cell>
        </row>
        <row r="14610">
          <cell r="L14610" t="str">
            <v>Proportional</v>
          </cell>
          <cell r="S14610">
            <v>52.7</v>
          </cell>
          <cell r="X14610" t="str">
            <v>Commissions - gross</v>
          </cell>
          <cell r="Y14610" t="str">
            <v>TURKEY</v>
          </cell>
        </row>
        <row r="14611">
          <cell r="L14611" t="str">
            <v>Proportional</v>
          </cell>
          <cell r="S14611">
            <v>61.3</v>
          </cell>
          <cell r="X14611" t="str">
            <v>Commissions - gross</v>
          </cell>
          <cell r="Y14611" t="str">
            <v>INDIA</v>
          </cell>
        </row>
        <row r="14612">
          <cell r="L14612" t="str">
            <v>Proportional</v>
          </cell>
          <cell r="S14612">
            <v>1906.51</v>
          </cell>
          <cell r="X14612" t="str">
            <v>Commissions - gross</v>
          </cell>
          <cell r="Y14612" t="str">
            <v>India</v>
          </cell>
        </row>
        <row r="14613">
          <cell r="L14613" t="str">
            <v>Proportional</v>
          </cell>
          <cell r="S14613">
            <v>-15360000</v>
          </cell>
          <cell r="X14613" t="str">
            <v>Commissions - gross</v>
          </cell>
          <cell r="Y14613" t="str">
            <v>ITALY</v>
          </cell>
        </row>
        <row r="14614">
          <cell r="L14614" t="str">
            <v>Proportional</v>
          </cell>
          <cell r="S14614">
            <v>52991</v>
          </cell>
          <cell r="X14614" t="str">
            <v>Commissions - gross</v>
          </cell>
          <cell r="Y14614" t="str">
            <v>FRANCE</v>
          </cell>
        </row>
        <row r="14615">
          <cell r="L14615" t="str">
            <v>Proportional</v>
          </cell>
          <cell r="S14615">
            <v>-771.34</v>
          </cell>
          <cell r="X14615" t="str">
            <v>Commissions - gross</v>
          </cell>
          <cell r="Y14615" t="str">
            <v>SWITZERLAND</v>
          </cell>
        </row>
        <row r="14616">
          <cell r="L14616" t="str">
            <v>Proportional</v>
          </cell>
          <cell r="S14616">
            <v>1308.78</v>
          </cell>
          <cell r="X14616" t="str">
            <v>Commissions - gross</v>
          </cell>
          <cell r="Y14616" t="str">
            <v>INDIA</v>
          </cell>
        </row>
        <row r="14617">
          <cell r="L14617" t="str">
            <v>Proportional</v>
          </cell>
          <cell r="S14617">
            <v>39.119999999999997</v>
          </cell>
          <cell r="X14617" t="str">
            <v>Commissions - gross</v>
          </cell>
          <cell r="Y14617" t="str">
            <v>India</v>
          </cell>
        </row>
        <row r="14618">
          <cell r="L14618" t="str">
            <v>Proportional</v>
          </cell>
          <cell r="S14618">
            <v>166.85</v>
          </cell>
          <cell r="X14618" t="str">
            <v>Commissions - gross</v>
          </cell>
          <cell r="Y14618" t="str">
            <v>UNITED STATES</v>
          </cell>
        </row>
        <row r="14619">
          <cell r="L14619" t="str">
            <v>Proportional</v>
          </cell>
          <cell r="S14619">
            <v>-61.3</v>
          </cell>
          <cell r="X14619" t="str">
            <v>Commissions - gross</v>
          </cell>
          <cell r="Y14619" t="str">
            <v>INDIA</v>
          </cell>
        </row>
        <row r="14620">
          <cell r="L14620" t="str">
            <v>Proportional</v>
          </cell>
          <cell r="S14620">
            <v>-63951.27</v>
          </cell>
          <cell r="X14620" t="str">
            <v>Commissions - gross</v>
          </cell>
          <cell r="Y14620" t="str">
            <v>UNITED STATES</v>
          </cell>
        </row>
        <row r="14621">
          <cell r="L14621" t="str">
            <v>Proportional</v>
          </cell>
          <cell r="S14621">
            <v>51.15</v>
          </cell>
          <cell r="X14621" t="str">
            <v>Commissions - gross</v>
          </cell>
          <cell r="Y14621" t="str">
            <v>Turkey</v>
          </cell>
        </row>
        <row r="14622">
          <cell r="L14622" t="str">
            <v>Proportional</v>
          </cell>
          <cell r="S14622">
            <v>567.91999999999996</v>
          </cell>
          <cell r="X14622" t="str">
            <v>Commissions - gross</v>
          </cell>
          <cell r="Y14622" t="str">
            <v>Hong Kong</v>
          </cell>
        </row>
        <row r="14623">
          <cell r="L14623" t="str">
            <v>Proportional</v>
          </cell>
          <cell r="S14623">
            <v>2508.5</v>
          </cell>
          <cell r="X14623" t="str">
            <v>Commissions - gross</v>
          </cell>
          <cell r="Y14623" t="str">
            <v>HONG KONG</v>
          </cell>
        </row>
        <row r="14624">
          <cell r="L14624" t="str">
            <v>Proportional</v>
          </cell>
          <cell r="S14624">
            <v>16074.25</v>
          </cell>
          <cell r="X14624" t="str">
            <v>Commissions - gross</v>
          </cell>
          <cell r="Y14624" t="str">
            <v>SWITZERLAND</v>
          </cell>
        </row>
        <row r="14625">
          <cell r="L14625" t="str">
            <v>Proportional</v>
          </cell>
          <cell r="S14625">
            <v>4189.1499999999996</v>
          </cell>
          <cell r="X14625" t="str">
            <v>Commissions - gross</v>
          </cell>
          <cell r="Y14625" t="str">
            <v>HONG KONG</v>
          </cell>
        </row>
        <row r="14626">
          <cell r="L14626" t="str">
            <v>Proportional</v>
          </cell>
          <cell r="S14626">
            <v>7.14</v>
          </cell>
          <cell r="X14626" t="str">
            <v>Commissions - gross</v>
          </cell>
          <cell r="Y14626" t="str">
            <v>Turkey</v>
          </cell>
        </row>
        <row r="14627">
          <cell r="L14627" t="str">
            <v>Proportional</v>
          </cell>
          <cell r="S14627">
            <v>-1928133.54</v>
          </cell>
          <cell r="X14627" t="str">
            <v>Commissions - gross</v>
          </cell>
          <cell r="Y14627" t="str">
            <v>ITALY</v>
          </cell>
        </row>
        <row r="14628">
          <cell r="L14628" t="str">
            <v>Proportional</v>
          </cell>
          <cell r="S14628">
            <v>381.32</v>
          </cell>
          <cell r="X14628" t="str">
            <v>Commissions - gross</v>
          </cell>
          <cell r="Y14628" t="str">
            <v>UNITED STATES</v>
          </cell>
        </row>
        <row r="14629">
          <cell r="L14629" t="str">
            <v>Proportional</v>
          </cell>
          <cell r="S14629">
            <v>-44.1</v>
          </cell>
          <cell r="X14629" t="str">
            <v>Commissions - gross</v>
          </cell>
          <cell r="Y14629" t="str">
            <v>India</v>
          </cell>
        </row>
        <row r="14630">
          <cell r="L14630" t="str">
            <v>Proportional</v>
          </cell>
          <cell r="S14630">
            <v>-0.04</v>
          </cell>
          <cell r="X14630" t="str">
            <v>Commissions - gross</v>
          </cell>
          <cell r="Y14630" t="str">
            <v>India</v>
          </cell>
        </row>
        <row r="14631">
          <cell r="L14631" t="str">
            <v>Proportional</v>
          </cell>
          <cell r="S14631">
            <v>-2508.5</v>
          </cell>
          <cell r="X14631" t="str">
            <v>Commissions - gross</v>
          </cell>
          <cell r="Y14631" t="str">
            <v>HONG KONG</v>
          </cell>
        </row>
        <row r="14632">
          <cell r="L14632" t="str">
            <v>Proportional</v>
          </cell>
          <cell r="S14632">
            <v>3620.83</v>
          </cell>
          <cell r="X14632" t="str">
            <v>Commissions - gross</v>
          </cell>
          <cell r="Y14632" t="str">
            <v>HONG KONG</v>
          </cell>
        </row>
        <row r="14633">
          <cell r="L14633" t="str">
            <v>Proportional</v>
          </cell>
          <cell r="S14633">
            <v>-7614.64</v>
          </cell>
          <cell r="X14633" t="str">
            <v>Commissions - gross</v>
          </cell>
          <cell r="Y14633" t="str">
            <v>PORTUGAL</v>
          </cell>
        </row>
        <row r="14634">
          <cell r="L14634" t="str">
            <v>Proportional</v>
          </cell>
          <cell r="S14634">
            <v>-103039.31</v>
          </cell>
          <cell r="X14634" t="str">
            <v>Commissions - gross</v>
          </cell>
          <cell r="Y14634" t="str">
            <v>PORTUGAL</v>
          </cell>
        </row>
        <row r="14635">
          <cell r="L14635" t="str">
            <v>Proportional</v>
          </cell>
          <cell r="S14635">
            <v>1928133.54</v>
          </cell>
          <cell r="X14635" t="str">
            <v>Commissions - gross</v>
          </cell>
          <cell r="Y14635" t="str">
            <v>ITALY</v>
          </cell>
        </row>
        <row r="14636">
          <cell r="L14636" t="str">
            <v>Proportional</v>
          </cell>
          <cell r="S14636">
            <v>2245.11</v>
          </cell>
          <cell r="X14636" t="str">
            <v>Commissions - gross</v>
          </cell>
          <cell r="Y14636" t="str">
            <v>INDIA</v>
          </cell>
        </row>
        <row r="14637">
          <cell r="L14637" t="str">
            <v>Proportional</v>
          </cell>
          <cell r="S14637">
            <v>1.46</v>
          </cell>
          <cell r="X14637" t="str">
            <v>Commissions - gross</v>
          </cell>
          <cell r="Y14637" t="str">
            <v>INDIA</v>
          </cell>
        </row>
        <row r="14638">
          <cell r="L14638" t="str">
            <v>Proportional</v>
          </cell>
          <cell r="S14638">
            <v>-1.46</v>
          </cell>
          <cell r="X14638" t="str">
            <v>Commissions - gross</v>
          </cell>
          <cell r="Y14638" t="str">
            <v>INDIA</v>
          </cell>
        </row>
        <row r="14639">
          <cell r="L14639" t="str">
            <v>Proportional</v>
          </cell>
          <cell r="S14639">
            <v>108.44</v>
          </cell>
          <cell r="X14639" t="str">
            <v>Commissions - gross</v>
          </cell>
          <cell r="Y14639" t="str">
            <v>Hong Kong</v>
          </cell>
        </row>
        <row r="14640">
          <cell r="L14640" t="str">
            <v>Proportional</v>
          </cell>
          <cell r="S14640">
            <v>34.74</v>
          </cell>
          <cell r="X14640" t="str">
            <v>Commissions - gross</v>
          </cell>
          <cell r="Y14640" t="str">
            <v>HONG KONG</v>
          </cell>
        </row>
        <row r="14641">
          <cell r="L14641" t="str">
            <v>Proportional</v>
          </cell>
          <cell r="S14641">
            <v>4.63</v>
          </cell>
          <cell r="X14641" t="str">
            <v>Commissions - gross</v>
          </cell>
          <cell r="Y14641" t="str">
            <v>Turkey</v>
          </cell>
        </row>
        <row r="14642">
          <cell r="L14642" t="str">
            <v>Proportional</v>
          </cell>
          <cell r="S14642">
            <v>-15979.57</v>
          </cell>
          <cell r="X14642" t="str">
            <v>Commissions - gross</v>
          </cell>
          <cell r="Y14642" t="str">
            <v>AUSTRALIA</v>
          </cell>
        </row>
        <row r="14643">
          <cell r="L14643" t="str">
            <v>Proportional</v>
          </cell>
          <cell r="S14643">
            <v>90.38</v>
          </cell>
          <cell r="X14643" t="str">
            <v>Commissions - gross</v>
          </cell>
          <cell r="Y14643" t="str">
            <v>Hong Kong</v>
          </cell>
        </row>
        <row r="14644">
          <cell r="L14644" t="str">
            <v>Proportional</v>
          </cell>
          <cell r="S14644">
            <v>15979.57</v>
          </cell>
          <cell r="X14644" t="str">
            <v>Commissions - gross</v>
          </cell>
          <cell r="Y14644" t="str">
            <v>AUSTRALIA</v>
          </cell>
        </row>
        <row r="14645">
          <cell r="L14645" t="str">
            <v>Proportional</v>
          </cell>
          <cell r="S14645">
            <v>2508.5</v>
          </cell>
          <cell r="X14645" t="str">
            <v>Commissions - gross</v>
          </cell>
          <cell r="Y14645" t="str">
            <v>HONG KONG</v>
          </cell>
        </row>
        <row r="14646">
          <cell r="L14646" t="str">
            <v>Proportional</v>
          </cell>
          <cell r="S14646">
            <v>-54758.93</v>
          </cell>
          <cell r="X14646" t="str">
            <v>Commissions - gross</v>
          </cell>
          <cell r="Y14646" t="str">
            <v>UNITED STATES</v>
          </cell>
        </row>
        <row r="14647">
          <cell r="L14647" t="str">
            <v>Proportional</v>
          </cell>
          <cell r="S14647">
            <v>425.53</v>
          </cell>
          <cell r="X14647" t="str">
            <v>Commissions - gross</v>
          </cell>
          <cell r="Y14647" t="str">
            <v>India</v>
          </cell>
        </row>
        <row r="14648">
          <cell r="L14648" t="str">
            <v>Proportional</v>
          </cell>
          <cell r="S14648">
            <v>1571.97</v>
          </cell>
          <cell r="X14648" t="str">
            <v>Commissions - gross</v>
          </cell>
          <cell r="Y14648" t="str">
            <v>INDIA</v>
          </cell>
        </row>
        <row r="14649">
          <cell r="L14649" t="str">
            <v>Proportional</v>
          </cell>
          <cell r="S14649">
            <v>-24489.74</v>
          </cell>
          <cell r="X14649" t="str">
            <v>Commissions - gross</v>
          </cell>
          <cell r="Y14649" t="str">
            <v>SWITZERLAND</v>
          </cell>
        </row>
        <row r="14650">
          <cell r="L14650" t="str">
            <v>Proportional</v>
          </cell>
          <cell r="S14650">
            <v>41.45</v>
          </cell>
          <cell r="X14650" t="str">
            <v>Commissions - gross</v>
          </cell>
          <cell r="Y14650" t="str">
            <v>HONG KONG</v>
          </cell>
        </row>
        <row r="14651">
          <cell r="L14651" t="str">
            <v>Proportional</v>
          </cell>
          <cell r="S14651">
            <v>63951.27</v>
          </cell>
          <cell r="X14651" t="str">
            <v>Commissions - gross</v>
          </cell>
          <cell r="Y14651" t="str">
            <v>UNITED STATES</v>
          </cell>
        </row>
        <row r="14652">
          <cell r="L14652" t="str">
            <v>Proportional</v>
          </cell>
          <cell r="S14652">
            <v>-15744.33</v>
          </cell>
          <cell r="X14652" t="str">
            <v>Commissions - gross</v>
          </cell>
          <cell r="Y14652" t="str">
            <v>SWITZERLAND</v>
          </cell>
        </row>
        <row r="14653">
          <cell r="L14653" t="str">
            <v>Proportional</v>
          </cell>
          <cell r="S14653">
            <v>-0.63</v>
          </cell>
          <cell r="X14653" t="str">
            <v>Commissions - gross</v>
          </cell>
          <cell r="Y14653" t="str">
            <v>Turkey</v>
          </cell>
        </row>
        <row r="14654">
          <cell r="L14654" t="str">
            <v>Proportional</v>
          </cell>
          <cell r="S14654">
            <v>362.01</v>
          </cell>
          <cell r="X14654" t="str">
            <v>Commissions - gross</v>
          </cell>
          <cell r="Y14654" t="str">
            <v>India</v>
          </cell>
        </row>
        <row r="14655">
          <cell r="L14655" t="str">
            <v>Proportional</v>
          </cell>
          <cell r="S14655">
            <v>25002.91</v>
          </cell>
          <cell r="X14655" t="str">
            <v>Commissions - gross</v>
          </cell>
          <cell r="Y14655" t="str">
            <v>SWITZERLAND</v>
          </cell>
        </row>
        <row r="14656">
          <cell r="L14656" t="str">
            <v>Proportional</v>
          </cell>
          <cell r="S14656">
            <v>11798.39</v>
          </cell>
          <cell r="X14656" t="str">
            <v>Commissions - gross</v>
          </cell>
          <cell r="Y14656" t="str">
            <v>SWITZERLAND</v>
          </cell>
        </row>
        <row r="14657">
          <cell r="L14657" t="str">
            <v>Proportional</v>
          </cell>
          <cell r="S14657">
            <v>-2508.5</v>
          </cell>
          <cell r="X14657" t="str">
            <v>Commissions - gross</v>
          </cell>
          <cell r="Y14657" t="str">
            <v>HONG KONG</v>
          </cell>
        </row>
        <row r="14658">
          <cell r="L14658" t="str">
            <v>Proportional</v>
          </cell>
          <cell r="S14658">
            <v>766.95</v>
          </cell>
          <cell r="X14658" t="str">
            <v>Commissions - gross</v>
          </cell>
          <cell r="Y14658" t="str">
            <v>Hong Kong</v>
          </cell>
        </row>
        <row r="14659">
          <cell r="L14659" t="str">
            <v>Proportional</v>
          </cell>
          <cell r="S14659">
            <v>1.35</v>
          </cell>
          <cell r="X14659" t="str">
            <v>Commissions - gross</v>
          </cell>
          <cell r="Y14659" t="str">
            <v>Hong Kong</v>
          </cell>
        </row>
        <row r="14660">
          <cell r="L14660" t="str">
            <v>Proportional</v>
          </cell>
          <cell r="S14660">
            <v>54758.93</v>
          </cell>
          <cell r="X14660" t="str">
            <v>Commissions - gross</v>
          </cell>
          <cell r="Y14660" t="str">
            <v>UNITED STATES</v>
          </cell>
        </row>
        <row r="14661">
          <cell r="L14661" t="str">
            <v>Proportional</v>
          </cell>
          <cell r="S14661">
            <v>3.99</v>
          </cell>
          <cell r="X14661" t="str">
            <v>Commissions - gross</v>
          </cell>
          <cell r="Y14661" t="str">
            <v>TURKEY</v>
          </cell>
        </row>
        <row r="14662">
          <cell r="L14662" t="str">
            <v>Proportional</v>
          </cell>
          <cell r="S14662">
            <v>-52991</v>
          </cell>
          <cell r="X14662" t="str">
            <v>Commissions - gross</v>
          </cell>
          <cell r="Y14662" t="str">
            <v>FRANCE</v>
          </cell>
        </row>
        <row r="14663">
          <cell r="L14663" t="str">
            <v>Proportional</v>
          </cell>
          <cell r="S14663">
            <v>-48.75</v>
          </cell>
          <cell r="X14663" t="str">
            <v>Commissions - gross</v>
          </cell>
          <cell r="Y14663" t="str">
            <v>THAILAND</v>
          </cell>
        </row>
        <row r="14664">
          <cell r="L14664" t="str">
            <v>Proportional</v>
          </cell>
          <cell r="S14664">
            <v>18370</v>
          </cell>
          <cell r="X14664" t="str">
            <v>Commissions - gross</v>
          </cell>
          <cell r="Y14664" t="str">
            <v>THAILAND</v>
          </cell>
        </row>
        <row r="14665">
          <cell r="L14665" t="str">
            <v>Proportional</v>
          </cell>
          <cell r="S14665">
            <v>667.66</v>
          </cell>
          <cell r="X14665" t="str">
            <v>Commissions - gross</v>
          </cell>
          <cell r="Y14665" t="str">
            <v>AUSTRALIA</v>
          </cell>
        </row>
        <row r="14666">
          <cell r="L14666" t="str">
            <v>Proportional</v>
          </cell>
          <cell r="S14666">
            <v>318.99</v>
          </cell>
          <cell r="X14666" t="str">
            <v>Commissions - gross</v>
          </cell>
          <cell r="Y14666" t="str">
            <v>THAILAND</v>
          </cell>
        </row>
        <row r="14667">
          <cell r="L14667" t="str">
            <v>Proportional</v>
          </cell>
          <cell r="S14667">
            <v>860353.08</v>
          </cell>
          <cell r="X14667" t="str">
            <v>Commissions - gross</v>
          </cell>
          <cell r="Y14667" t="str">
            <v>HONG KONG</v>
          </cell>
        </row>
        <row r="14668">
          <cell r="L14668" t="str">
            <v>Proportional</v>
          </cell>
          <cell r="S14668">
            <v>-1780.24</v>
          </cell>
          <cell r="X14668" t="str">
            <v>Commissions - gross</v>
          </cell>
          <cell r="Y14668" t="str">
            <v>ITALY</v>
          </cell>
        </row>
        <row r="14669">
          <cell r="L14669" t="str">
            <v>Proportional</v>
          </cell>
          <cell r="S14669">
            <v>-67.41</v>
          </cell>
          <cell r="X14669" t="str">
            <v>Commissions - gross</v>
          </cell>
          <cell r="Y14669" t="str">
            <v>Thailand</v>
          </cell>
        </row>
        <row r="14670">
          <cell r="L14670" t="str">
            <v>Proportional</v>
          </cell>
          <cell r="S14670">
            <v>-6135.75</v>
          </cell>
          <cell r="X14670" t="str">
            <v>Commissions - gross</v>
          </cell>
          <cell r="Y14670" t="str">
            <v>SWITZERLAND</v>
          </cell>
        </row>
        <row r="14671">
          <cell r="L14671" t="str">
            <v>Proportional</v>
          </cell>
          <cell r="S14671">
            <v>-145889.19</v>
          </cell>
          <cell r="X14671" t="str">
            <v>Commissions - gross</v>
          </cell>
          <cell r="Y14671" t="str">
            <v>HONG KONG</v>
          </cell>
        </row>
        <row r="14672">
          <cell r="L14672" t="str">
            <v>Proportional</v>
          </cell>
          <cell r="S14672">
            <v>9709.7099999999991</v>
          </cell>
          <cell r="X14672" t="str">
            <v>Commissions - gross</v>
          </cell>
          <cell r="Y14672" t="str">
            <v>MEXICO</v>
          </cell>
        </row>
        <row r="14673">
          <cell r="L14673" t="str">
            <v>Proportional</v>
          </cell>
          <cell r="S14673">
            <v>-667.66</v>
          </cell>
          <cell r="X14673" t="str">
            <v>Commissions - gross</v>
          </cell>
          <cell r="Y14673" t="str">
            <v>AUSTRALIA</v>
          </cell>
        </row>
        <row r="14674">
          <cell r="L14674" t="str">
            <v>Proportional</v>
          </cell>
          <cell r="S14674">
            <v>40422</v>
          </cell>
          <cell r="X14674" t="str">
            <v>Commissions - gross</v>
          </cell>
          <cell r="Y14674" t="str">
            <v>FRANCE</v>
          </cell>
        </row>
        <row r="14675">
          <cell r="L14675" t="str">
            <v>Proportional</v>
          </cell>
          <cell r="S14675">
            <v>43.66</v>
          </cell>
          <cell r="X14675" t="str">
            <v>Commissions - gross</v>
          </cell>
          <cell r="Y14675" t="str">
            <v>Thailand</v>
          </cell>
        </row>
        <row r="14676">
          <cell r="L14676" t="str">
            <v>Proportional</v>
          </cell>
          <cell r="S14676">
            <v>24317.53</v>
          </cell>
          <cell r="X14676" t="str">
            <v>Commissions - gross</v>
          </cell>
          <cell r="Y14676" t="str">
            <v>AUSTRALIA</v>
          </cell>
        </row>
        <row r="14677">
          <cell r="L14677" t="str">
            <v>Proportional</v>
          </cell>
          <cell r="S14677">
            <v>-2506.92</v>
          </cell>
          <cell r="X14677" t="str">
            <v>Commissions - gross</v>
          </cell>
          <cell r="Y14677" t="str">
            <v>THAILAND</v>
          </cell>
        </row>
        <row r="14678">
          <cell r="L14678" t="str">
            <v>Proportional</v>
          </cell>
          <cell r="S14678">
            <v>-40422</v>
          </cell>
          <cell r="X14678" t="str">
            <v>Commissions - gross</v>
          </cell>
          <cell r="Y14678" t="str">
            <v>FRANCE</v>
          </cell>
        </row>
        <row r="14679">
          <cell r="L14679" t="str">
            <v>Proportional</v>
          </cell>
          <cell r="S14679">
            <v>-96.53</v>
          </cell>
          <cell r="X14679" t="str">
            <v>Commissions - gross</v>
          </cell>
          <cell r="Y14679" t="str">
            <v>THAILAND</v>
          </cell>
        </row>
        <row r="14680">
          <cell r="L14680" t="str">
            <v>Proportional</v>
          </cell>
          <cell r="S14680">
            <v>1.31</v>
          </cell>
          <cell r="X14680" t="str">
            <v>Commissions - gross</v>
          </cell>
          <cell r="Y14680" t="str">
            <v>Malaysia</v>
          </cell>
        </row>
        <row r="14681">
          <cell r="L14681" t="str">
            <v>Proportional</v>
          </cell>
          <cell r="S14681">
            <v>-154647.04999999999</v>
          </cell>
          <cell r="X14681" t="str">
            <v>Commissions - gross</v>
          </cell>
          <cell r="Y14681" t="str">
            <v>THAILAND</v>
          </cell>
        </row>
        <row r="14682">
          <cell r="L14682" t="str">
            <v>Proportional</v>
          </cell>
          <cell r="S14682">
            <v>840.14</v>
          </cell>
          <cell r="X14682" t="str">
            <v>Commissions - gross</v>
          </cell>
          <cell r="Y14682" t="str">
            <v>THAILAND</v>
          </cell>
        </row>
        <row r="14683">
          <cell r="L14683" t="str">
            <v>Proportional</v>
          </cell>
          <cell r="S14683">
            <v>-9.26</v>
          </cell>
          <cell r="X14683" t="str">
            <v>Commissions - gross</v>
          </cell>
          <cell r="Y14683" t="str">
            <v>THAILAND</v>
          </cell>
        </row>
        <row r="14684">
          <cell r="L14684" t="str">
            <v>Proportional</v>
          </cell>
          <cell r="S14684">
            <v>204458.83</v>
          </cell>
          <cell r="X14684" t="str">
            <v>Commissions - gross</v>
          </cell>
          <cell r="Y14684" t="str">
            <v>HONG KONG</v>
          </cell>
        </row>
        <row r="14685">
          <cell r="L14685" t="str">
            <v>Proportional</v>
          </cell>
          <cell r="S14685">
            <v>-4674.01</v>
          </cell>
          <cell r="X14685" t="str">
            <v>Commissions - gross</v>
          </cell>
          <cell r="Y14685" t="str">
            <v>THAILAND</v>
          </cell>
        </row>
        <row r="14686">
          <cell r="L14686" t="str">
            <v>Proportional</v>
          </cell>
          <cell r="S14686">
            <v>-140834.5</v>
          </cell>
          <cell r="X14686" t="str">
            <v>Commissions - gross</v>
          </cell>
          <cell r="Y14686" t="str">
            <v>HONG KONG</v>
          </cell>
        </row>
        <row r="14687">
          <cell r="L14687" t="str">
            <v>Proportional</v>
          </cell>
          <cell r="S14687">
            <v>106.95</v>
          </cell>
          <cell r="X14687" t="str">
            <v>Commissions - gross</v>
          </cell>
          <cell r="Y14687" t="str">
            <v>Thailand</v>
          </cell>
        </row>
        <row r="14688">
          <cell r="L14688" t="str">
            <v>Proportional</v>
          </cell>
          <cell r="S14688">
            <v>18234.66</v>
          </cell>
          <cell r="X14688" t="str">
            <v>Commissions - gross</v>
          </cell>
          <cell r="Y14688" t="str">
            <v>Hong Kong</v>
          </cell>
        </row>
        <row r="14689">
          <cell r="L14689" t="str">
            <v>Proportional</v>
          </cell>
          <cell r="S14689">
            <v>92836.08</v>
          </cell>
          <cell r="X14689" t="str">
            <v>Commissions - gross</v>
          </cell>
          <cell r="Y14689" t="str">
            <v>ITALY</v>
          </cell>
        </row>
        <row r="14690">
          <cell r="L14690" t="str">
            <v>Proportional</v>
          </cell>
          <cell r="S14690">
            <v>1735.51</v>
          </cell>
          <cell r="X14690" t="str">
            <v>Commissions - gross</v>
          </cell>
          <cell r="Y14690" t="str">
            <v>ITALY</v>
          </cell>
        </row>
        <row r="14691">
          <cell r="L14691" t="str">
            <v>Proportional</v>
          </cell>
          <cell r="S14691">
            <v>1005.8</v>
          </cell>
          <cell r="X14691" t="str">
            <v>Commissions - gross</v>
          </cell>
          <cell r="Y14691" t="str">
            <v>MEXICO</v>
          </cell>
        </row>
        <row r="14692">
          <cell r="L14692" t="str">
            <v>Proportional</v>
          </cell>
          <cell r="S14692">
            <v>-258.14</v>
          </cell>
          <cell r="X14692" t="str">
            <v>Commissions - gross</v>
          </cell>
          <cell r="Y14692" t="str">
            <v>THAILAND</v>
          </cell>
        </row>
        <row r="14693">
          <cell r="L14693" t="str">
            <v>Proportional</v>
          </cell>
          <cell r="S14693">
            <v>-232.9</v>
          </cell>
          <cell r="X14693" t="str">
            <v>Commissions - gross</v>
          </cell>
          <cell r="Y14693" t="str">
            <v>THAILAND</v>
          </cell>
        </row>
        <row r="14694">
          <cell r="L14694" t="str">
            <v>Proportional</v>
          </cell>
          <cell r="S14694">
            <v>3.02</v>
          </cell>
          <cell r="X14694" t="str">
            <v>Commissions - gross</v>
          </cell>
          <cell r="Y14694" t="str">
            <v>Thailand</v>
          </cell>
        </row>
        <row r="14695">
          <cell r="L14695" t="str">
            <v>Proportional</v>
          </cell>
          <cell r="S14695">
            <v>-78044.62</v>
          </cell>
          <cell r="X14695" t="str">
            <v>Commissions - gross</v>
          </cell>
          <cell r="Y14695" t="str">
            <v>HONG KONG</v>
          </cell>
        </row>
        <row r="14696">
          <cell r="L14696" t="str">
            <v>Proportional</v>
          </cell>
          <cell r="S14696">
            <v>727.95</v>
          </cell>
          <cell r="X14696" t="str">
            <v>Commissions - gross</v>
          </cell>
          <cell r="Y14696" t="str">
            <v>JAPAN</v>
          </cell>
        </row>
        <row r="14697">
          <cell r="L14697" t="str">
            <v>Proportional</v>
          </cell>
          <cell r="S14697">
            <v>-378.62</v>
          </cell>
          <cell r="X14697" t="str">
            <v>Commissions - gross</v>
          </cell>
          <cell r="Y14697" t="str">
            <v>UNITED STATES</v>
          </cell>
        </row>
        <row r="14698">
          <cell r="L14698" t="str">
            <v>Proportional</v>
          </cell>
          <cell r="S14698">
            <v>-9262.08</v>
          </cell>
          <cell r="X14698" t="str">
            <v>Commissions - gross</v>
          </cell>
          <cell r="Y14698" t="str">
            <v>THAILAND</v>
          </cell>
        </row>
        <row r="14699">
          <cell r="L14699" t="str">
            <v>Non-proportional</v>
          </cell>
          <cell r="S14699">
            <v>-683.16</v>
          </cell>
          <cell r="X14699" t="str">
            <v>Commissions - gross</v>
          </cell>
          <cell r="Y14699" t="str">
            <v>TURKEY</v>
          </cell>
        </row>
        <row r="14700">
          <cell r="L14700" t="str">
            <v>Proportional</v>
          </cell>
          <cell r="S14700">
            <v>-635573.49</v>
          </cell>
          <cell r="X14700" t="str">
            <v>Commissions - gross</v>
          </cell>
          <cell r="Y14700" t="str">
            <v>HONG KONG</v>
          </cell>
        </row>
        <row r="14701">
          <cell r="L14701" t="str">
            <v>Proportional</v>
          </cell>
          <cell r="S14701">
            <v>381.32</v>
          </cell>
          <cell r="X14701" t="str">
            <v>Commissions - gross</v>
          </cell>
          <cell r="Y14701" t="str">
            <v>UNITED STATES</v>
          </cell>
        </row>
        <row r="14702">
          <cell r="L14702" t="str">
            <v>Proportional</v>
          </cell>
          <cell r="S14702">
            <v>-13840.98</v>
          </cell>
          <cell r="X14702" t="str">
            <v>Commissions - gross</v>
          </cell>
          <cell r="Y14702" t="str">
            <v>THAILAND</v>
          </cell>
        </row>
        <row r="14703">
          <cell r="L14703" t="str">
            <v>Proportional</v>
          </cell>
          <cell r="S14703">
            <v>-1927427.25</v>
          </cell>
          <cell r="X14703" t="str">
            <v>Commissions - gross</v>
          </cell>
          <cell r="Y14703" t="str">
            <v>ITALY</v>
          </cell>
        </row>
        <row r="14704">
          <cell r="L14704" t="str">
            <v>Proportional</v>
          </cell>
          <cell r="S14704">
            <v>242.14</v>
          </cell>
          <cell r="X14704" t="str">
            <v>Commissions - gross</v>
          </cell>
          <cell r="Y14704" t="str">
            <v>Hong Kong</v>
          </cell>
        </row>
        <row r="14705">
          <cell r="L14705" t="str">
            <v>Proportional</v>
          </cell>
          <cell r="S14705">
            <v>51.5</v>
          </cell>
          <cell r="X14705" t="str">
            <v>Commissions - gross</v>
          </cell>
          <cell r="Y14705" t="str">
            <v>THAILAND</v>
          </cell>
        </row>
        <row r="14706">
          <cell r="L14706" t="str">
            <v>Proportional</v>
          </cell>
          <cell r="S14706">
            <v>62778.27</v>
          </cell>
          <cell r="X14706" t="str">
            <v>Commissions - gross</v>
          </cell>
          <cell r="Y14706" t="str">
            <v>JAPAN</v>
          </cell>
        </row>
        <row r="14707">
          <cell r="L14707" t="str">
            <v>Non-proportional</v>
          </cell>
          <cell r="S14707">
            <v>-931.22</v>
          </cell>
          <cell r="X14707" t="str">
            <v>Commissions - gross</v>
          </cell>
          <cell r="Y14707" t="str">
            <v>TURKEY</v>
          </cell>
        </row>
        <row r="14708">
          <cell r="L14708" t="str">
            <v>Proportional</v>
          </cell>
          <cell r="S14708">
            <v>-840.14</v>
          </cell>
          <cell r="X14708" t="str">
            <v>Commissions - gross</v>
          </cell>
          <cell r="Y14708" t="str">
            <v>THAILAND</v>
          </cell>
        </row>
        <row r="14709">
          <cell r="L14709" t="str">
            <v>Proportional</v>
          </cell>
          <cell r="S14709">
            <v>-74216.710000000006</v>
          </cell>
          <cell r="X14709" t="str">
            <v>Commissions - gross</v>
          </cell>
          <cell r="Y14709" t="str">
            <v>THAILAND</v>
          </cell>
        </row>
        <row r="14710">
          <cell r="L14710" t="str">
            <v>Proportional</v>
          </cell>
          <cell r="S14710">
            <v>102756.03</v>
          </cell>
          <cell r="X14710" t="str">
            <v>Commissions - gross</v>
          </cell>
          <cell r="Y14710" t="str">
            <v>JAPAN</v>
          </cell>
        </row>
        <row r="14711">
          <cell r="L14711" t="str">
            <v>Non-proportional</v>
          </cell>
          <cell r="S14711">
            <v>-778.72</v>
          </cell>
          <cell r="X14711" t="str">
            <v>Commissions - gross</v>
          </cell>
          <cell r="Y14711" t="str">
            <v>TURKEY</v>
          </cell>
        </row>
        <row r="14712">
          <cell r="L14712" t="str">
            <v>Proportional</v>
          </cell>
          <cell r="S14712">
            <v>6772.81</v>
          </cell>
          <cell r="X14712" t="str">
            <v>Commissions - gross</v>
          </cell>
          <cell r="Y14712" t="str">
            <v>THAILAND</v>
          </cell>
        </row>
        <row r="14713">
          <cell r="L14713" t="str">
            <v>Proportional</v>
          </cell>
          <cell r="S14713">
            <v>4308.75</v>
          </cell>
          <cell r="X14713" t="str">
            <v>Commissions - gross</v>
          </cell>
          <cell r="Y14713" t="str">
            <v>Hong Kong</v>
          </cell>
        </row>
        <row r="14714">
          <cell r="L14714" t="str">
            <v>Proportional</v>
          </cell>
          <cell r="S14714">
            <v>4674.01</v>
          </cell>
          <cell r="X14714" t="str">
            <v>Commissions - gross</v>
          </cell>
          <cell r="Y14714" t="str">
            <v>THAILAND</v>
          </cell>
        </row>
        <row r="14715">
          <cell r="L14715" t="str">
            <v>Proportional</v>
          </cell>
          <cell r="S14715">
            <v>-9709.7099999999991</v>
          </cell>
          <cell r="X14715" t="str">
            <v>Commissions - gross</v>
          </cell>
          <cell r="Y14715" t="str">
            <v>MEXICO</v>
          </cell>
        </row>
        <row r="14716">
          <cell r="L14716" t="str">
            <v>Proportional</v>
          </cell>
          <cell r="S14716">
            <v>-1053.48</v>
          </cell>
          <cell r="X14716" t="str">
            <v>Commissions - gross</v>
          </cell>
          <cell r="Y14716" t="str">
            <v>Thailand</v>
          </cell>
        </row>
        <row r="14717">
          <cell r="L14717" t="str">
            <v>Proportional</v>
          </cell>
          <cell r="S14717">
            <v>92836.08</v>
          </cell>
          <cell r="X14717" t="str">
            <v>Commissions - gross</v>
          </cell>
          <cell r="Y14717" t="str">
            <v>ITALY</v>
          </cell>
        </row>
        <row r="14718">
          <cell r="L14718" t="str">
            <v>Non-proportional</v>
          </cell>
          <cell r="S14718">
            <v>931.22</v>
          </cell>
          <cell r="X14718" t="str">
            <v>Commissions - gross</v>
          </cell>
          <cell r="Y14718" t="str">
            <v>TURKEY</v>
          </cell>
        </row>
        <row r="14719">
          <cell r="L14719" t="str">
            <v>Proportional</v>
          </cell>
          <cell r="S14719">
            <v>1900.76</v>
          </cell>
          <cell r="X14719" t="str">
            <v>Commissions - gross</v>
          </cell>
          <cell r="Y14719" t="str">
            <v>THAILAND</v>
          </cell>
        </row>
        <row r="14720">
          <cell r="L14720" t="str">
            <v>Proportional</v>
          </cell>
          <cell r="S14720">
            <v>102728.2</v>
          </cell>
          <cell r="X14720" t="str">
            <v>Commissions - gross</v>
          </cell>
          <cell r="Y14720" t="str">
            <v>THAILAND</v>
          </cell>
        </row>
        <row r="14721">
          <cell r="L14721" t="str">
            <v>Proportional</v>
          </cell>
          <cell r="S14721">
            <v>149.07</v>
          </cell>
          <cell r="X14721" t="str">
            <v>Commissions - gross</v>
          </cell>
          <cell r="Y14721" t="str">
            <v>FRANCE</v>
          </cell>
        </row>
        <row r="14722">
          <cell r="L14722" t="str">
            <v>Proportional</v>
          </cell>
          <cell r="S14722">
            <v>78044.62</v>
          </cell>
          <cell r="X14722" t="str">
            <v>Commissions - gross</v>
          </cell>
          <cell r="Y14722" t="str">
            <v>HONG KONG</v>
          </cell>
        </row>
        <row r="14723">
          <cell r="L14723" t="str">
            <v>Proportional</v>
          </cell>
          <cell r="S14723">
            <v>3436890</v>
          </cell>
          <cell r="X14723" t="str">
            <v>Commissions - gross</v>
          </cell>
          <cell r="Y14723" t="str">
            <v>ITALY</v>
          </cell>
        </row>
        <row r="14724">
          <cell r="L14724" t="str">
            <v>Proportional</v>
          </cell>
          <cell r="S14724">
            <v>-102756.03</v>
          </cell>
          <cell r="X14724" t="str">
            <v>Commissions - gross</v>
          </cell>
          <cell r="Y14724" t="str">
            <v>JAPAN</v>
          </cell>
        </row>
        <row r="14725">
          <cell r="L14725" t="str">
            <v>Proportional</v>
          </cell>
          <cell r="S14725">
            <v>635611.81000000006</v>
          </cell>
          <cell r="X14725" t="str">
            <v>Commissions - gross</v>
          </cell>
          <cell r="Y14725" t="str">
            <v>HONG KONG</v>
          </cell>
        </row>
        <row r="14726">
          <cell r="L14726" t="str">
            <v>Proportional</v>
          </cell>
          <cell r="S14726">
            <v>-149.33000000000001</v>
          </cell>
          <cell r="X14726" t="str">
            <v>Commissions - gross</v>
          </cell>
          <cell r="Y14726" t="str">
            <v>FRANCE</v>
          </cell>
        </row>
        <row r="14727">
          <cell r="L14727" t="str">
            <v>Proportional</v>
          </cell>
          <cell r="S14727">
            <v>9709.7099999999991</v>
          </cell>
          <cell r="X14727" t="str">
            <v>Commissions - gross</v>
          </cell>
          <cell r="Y14727" t="str">
            <v>MEXICO</v>
          </cell>
        </row>
        <row r="14728">
          <cell r="L14728" t="str">
            <v>Proportional</v>
          </cell>
          <cell r="S14728">
            <v>3627.26</v>
          </cell>
          <cell r="X14728" t="str">
            <v>Commissions - gross</v>
          </cell>
          <cell r="Y14728" t="str">
            <v>HONG KONG</v>
          </cell>
        </row>
        <row r="14729">
          <cell r="L14729" t="str">
            <v>Proportional</v>
          </cell>
          <cell r="S14729">
            <v>75307.759999999995</v>
          </cell>
          <cell r="X14729" t="str">
            <v>Commissions - gross</v>
          </cell>
          <cell r="Y14729" t="str">
            <v>HONG KONG</v>
          </cell>
        </row>
        <row r="14730">
          <cell r="L14730" t="str">
            <v>Proportional</v>
          </cell>
          <cell r="S14730">
            <v>207297.43</v>
          </cell>
          <cell r="X14730" t="str">
            <v>Commissions - gross</v>
          </cell>
          <cell r="Y14730" t="str">
            <v>THAILAND</v>
          </cell>
        </row>
        <row r="14731">
          <cell r="L14731" t="str">
            <v>Proportional</v>
          </cell>
          <cell r="S14731">
            <v>-37.35</v>
          </cell>
          <cell r="X14731" t="str">
            <v>Commissions - gross</v>
          </cell>
          <cell r="Y14731" t="str">
            <v>THAILAND</v>
          </cell>
        </row>
        <row r="14732">
          <cell r="L14732" t="str">
            <v>Proportional</v>
          </cell>
          <cell r="S14732">
            <v>-207297.43</v>
          </cell>
          <cell r="X14732" t="str">
            <v>Commissions - gross</v>
          </cell>
          <cell r="Y14732" t="str">
            <v>THAILAND</v>
          </cell>
        </row>
        <row r="14733">
          <cell r="L14733" t="str">
            <v>Proportional</v>
          </cell>
          <cell r="S14733">
            <v>1927427.25</v>
          </cell>
          <cell r="X14733" t="str">
            <v>Commissions - gross</v>
          </cell>
          <cell r="Y14733" t="str">
            <v>ITALY</v>
          </cell>
        </row>
        <row r="14734">
          <cell r="L14734" t="str">
            <v>Proportional</v>
          </cell>
          <cell r="S14734">
            <v>-357.83</v>
          </cell>
          <cell r="X14734" t="str">
            <v>Commissions - gross</v>
          </cell>
          <cell r="Y14734" t="str">
            <v>Thailand</v>
          </cell>
        </row>
        <row r="14735">
          <cell r="L14735" t="str">
            <v>Proportional</v>
          </cell>
          <cell r="S14735">
            <v>-4034.88</v>
          </cell>
          <cell r="X14735" t="str">
            <v>Commissions - gross</v>
          </cell>
          <cell r="Y14735" t="str">
            <v>ITALY</v>
          </cell>
        </row>
        <row r="14736">
          <cell r="L14736" t="str">
            <v>Proportional</v>
          </cell>
          <cell r="S14736">
            <v>-860301.22</v>
          </cell>
          <cell r="X14736" t="str">
            <v>Commissions - gross</v>
          </cell>
          <cell r="Y14736" t="str">
            <v>HONG KONG</v>
          </cell>
        </row>
        <row r="14737">
          <cell r="L14737" t="str">
            <v>Proportional</v>
          </cell>
          <cell r="S14737">
            <v>140834.5</v>
          </cell>
          <cell r="X14737" t="str">
            <v>Commissions - gross</v>
          </cell>
          <cell r="Y14737" t="str">
            <v>HONG KONG</v>
          </cell>
        </row>
        <row r="14738">
          <cell r="L14738" t="str">
            <v>Proportional</v>
          </cell>
          <cell r="S14738">
            <v>-9180.0499999999993</v>
          </cell>
          <cell r="X14738" t="str">
            <v>Commissions - gross</v>
          </cell>
          <cell r="Y14738" t="str">
            <v>ITALY</v>
          </cell>
        </row>
        <row r="14739">
          <cell r="L14739" t="str">
            <v>Proportional</v>
          </cell>
          <cell r="S14739">
            <v>-13.52</v>
          </cell>
          <cell r="X14739" t="str">
            <v>Commissions - gross</v>
          </cell>
          <cell r="Y14739" t="str">
            <v>Thailand</v>
          </cell>
        </row>
        <row r="14740">
          <cell r="L14740" t="str">
            <v>Non-proportional</v>
          </cell>
          <cell r="S14740">
            <v>-399.8</v>
          </cell>
          <cell r="X14740" t="str">
            <v>Commissions - gross</v>
          </cell>
          <cell r="Y14740" t="str">
            <v>TURKEY</v>
          </cell>
        </row>
        <row r="14741">
          <cell r="L14741" t="str">
            <v>Proportional</v>
          </cell>
          <cell r="S14741">
            <v>8949.39</v>
          </cell>
          <cell r="X14741" t="str">
            <v>Commissions - gross</v>
          </cell>
          <cell r="Y14741" t="str">
            <v>ITALY</v>
          </cell>
        </row>
        <row r="14742">
          <cell r="L14742" t="str">
            <v>Proportional</v>
          </cell>
          <cell r="S14742">
            <v>-29.02</v>
          </cell>
          <cell r="X14742" t="str">
            <v>Commissions - gross</v>
          </cell>
          <cell r="Y14742" t="str">
            <v>Thailand</v>
          </cell>
        </row>
        <row r="14743">
          <cell r="L14743" t="str">
            <v>Proportional</v>
          </cell>
          <cell r="S14743">
            <v>-184284.39</v>
          </cell>
          <cell r="X14743" t="str">
            <v>Commissions - gross</v>
          </cell>
          <cell r="Y14743" t="str">
            <v>JAPAN</v>
          </cell>
        </row>
        <row r="14744">
          <cell r="L14744" t="str">
            <v>Proportional</v>
          </cell>
          <cell r="S14744">
            <v>-28.91</v>
          </cell>
          <cell r="X14744" t="str">
            <v>Commissions - gross</v>
          </cell>
          <cell r="Y14744" t="str">
            <v>Thailand</v>
          </cell>
        </row>
        <row r="14745">
          <cell r="L14745" t="str">
            <v>Proportional</v>
          </cell>
          <cell r="S14745">
            <v>4034.88</v>
          </cell>
          <cell r="X14745" t="str">
            <v>Commissions - gross</v>
          </cell>
          <cell r="Y14745" t="str">
            <v>ITALY</v>
          </cell>
        </row>
        <row r="14746">
          <cell r="L14746" t="str">
            <v>Proportional</v>
          </cell>
          <cell r="S14746">
            <v>74216.710000000006</v>
          </cell>
          <cell r="X14746" t="str">
            <v>Commissions - gross</v>
          </cell>
          <cell r="Y14746" t="str">
            <v>THAILAND</v>
          </cell>
        </row>
        <row r="14747">
          <cell r="L14747" t="str">
            <v>Proportional</v>
          </cell>
          <cell r="S14747">
            <v>-47716.12</v>
          </cell>
          <cell r="X14747" t="str">
            <v>Commissions - gross</v>
          </cell>
          <cell r="Y14747" t="str">
            <v>UNITED STATES</v>
          </cell>
        </row>
        <row r="14748">
          <cell r="L14748" t="str">
            <v>Proportional</v>
          </cell>
          <cell r="S14748">
            <v>-40422</v>
          </cell>
          <cell r="X14748" t="str">
            <v>Commissions - gross</v>
          </cell>
          <cell r="Y14748" t="str">
            <v>FRANCE</v>
          </cell>
        </row>
        <row r="14749">
          <cell r="L14749" t="str">
            <v>Proportional</v>
          </cell>
          <cell r="S14749">
            <v>48087.85</v>
          </cell>
          <cell r="X14749" t="str">
            <v>Commissions - gross</v>
          </cell>
          <cell r="Y14749" t="str">
            <v>THAILAND</v>
          </cell>
        </row>
        <row r="14750">
          <cell r="L14750" t="str">
            <v>Non-proportional</v>
          </cell>
          <cell r="S14750">
            <v>-571.28</v>
          </cell>
          <cell r="X14750" t="str">
            <v>Commissions - gross</v>
          </cell>
          <cell r="Y14750" t="str">
            <v>TURKEY</v>
          </cell>
        </row>
        <row r="14751">
          <cell r="L14751" t="str">
            <v>Proportional</v>
          </cell>
          <cell r="S14751">
            <v>9262.08</v>
          </cell>
          <cell r="X14751" t="str">
            <v>Commissions - gross</v>
          </cell>
          <cell r="Y14751" t="str">
            <v>THAILAND</v>
          </cell>
        </row>
        <row r="14752">
          <cell r="L14752" t="str">
            <v>Proportional</v>
          </cell>
          <cell r="S14752">
            <v>2006705.37</v>
          </cell>
          <cell r="X14752" t="str">
            <v>Commissions - gross</v>
          </cell>
          <cell r="Y14752" t="str">
            <v>THAILAND</v>
          </cell>
        </row>
        <row r="14753">
          <cell r="L14753" t="str">
            <v>Proportional</v>
          </cell>
          <cell r="S14753">
            <v>-48087.85</v>
          </cell>
          <cell r="X14753" t="str">
            <v>Commissions - gross</v>
          </cell>
          <cell r="Y14753" t="str">
            <v>THAILAND</v>
          </cell>
        </row>
        <row r="14754">
          <cell r="L14754" t="str">
            <v>Proportional</v>
          </cell>
          <cell r="S14754">
            <v>92836.08</v>
          </cell>
          <cell r="X14754" t="str">
            <v>Commissions - gross</v>
          </cell>
          <cell r="Y14754" t="str">
            <v>ITALY</v>
          </cell>
        </row>
        <row r="14755">
          <cell r="L14755" t="str">
            <v>Non-proportional</v>
          </cell>
          <cell r="S14755">
            <v>-545.1</v>
          </cell>
          <cell r="X14755" t="str">
            <v>Commissions - gross</v>
          </cell>
          <cell r="Y14755" t="str">
            <v>TURKEY</v>
          </cell>
        </row>
        <row r="14756">
          <cell r="L14756" t="str">
            <v>Proportional</v>
          </cell>
          <cell r="S14756">
            <v>10.45</v>
          </cell>
          <cell r="X14756" t="str">
            <v>Commissions - gross</v>
          </cell>
          <cell r="Y14756" t="str">
            <v>THAILAND</v>
          </cell>
        </row>
        <row r="14757">
          <cell r="L14757" t="str">
            <v>Proportional</v>
          </cell>
          <cell r="S14757">
            <v>8.81</v>
          </cell>
          <cell r="X14757" t="str">
            <v>Commissions - gross</v>
          </cell>
          <cell r="Y14757" t="str">
            <v>SINGAPORE</v>
          </cell>
        </row>
        <row r="14758">
          <cell r="L14758" t="str">
            <v>Proportional</v>
          </cell>
          <cell r="S14758">
            <v>-2006705.37</v>
          </cell>
          <cell r="X14758" t="str">
            <v>Commissions - gross</v>
          </cell>
          <cell r="Y14758" t="str">
            <v>THAILAND</v>
          </cell>
        </row>
        <row r="14759">
          <cell r="L14759" t="str">
            <v>Proportional</v>
          </cell>
          <cell r="S14759">
            <v>-92836.08</v>
          </cell>
          <cell r="X14759" t="str">
            <v>Commissions - gross</v>
          </cell>
          <cell r="Y14759" t="str">
            <v>ITALY</v>
          </cell>
        </row>
        <row r="14760">
          <cell r="L14760" t="str">
            <v>Non-proportional</v>
          </cell>
          <cell r="S14760">
            <v>545.1</v>
          </cell>
          <cell r="X14760" t="str">
            <v>Commissions - gross</v>
          </cell>
          <cell r="Y14760" t="str">
            <v>TURKEY</v>
          </cell>
        </row>
        <row r="14761">
          <cell r="L14761" t="str">
            <v>Proportional</v>
          </cell>
          <cell r="S14761">
            <v>40422</v>
          </cell>
          <cell r="X14761" t="str">
            <v>Commissions - gross</v>
          </cell>
          <cell r="Y14761" t="str">
            <v>FRANCE</v>
          </cell>
        </row>
        <row r="14762">
          <cell r="L14762" t="str">
            <v>Proportional</v>
          </cell>
          <cell r="S14762">
            <v>-102728.2</v>
          </cell>
          <cell r="X14762" t="str">
            <v>Commissions - gross</v>
          </cell>
          <cell r="Y14762" t="str">
            <v>THAILAND</v>
          </cell>
        </row>
        <row r="14763">
          <cell r="L14763" t="str">
            <v>Proportional</v>
          </cell>
          <cell r="S14763">
            <v>-6772.81</v>
          </cell>
          <cell r="X14763" t="str">
            <v>Commissions - gross</v>
          </cell>
          <cell r="Y14763" t="str">
            <v>THAILAND</v>
          </cell>
        </row>
        <row r="14764">
          <cell r="L14764" t="str">
            <v>Proportional</v>
          </cell>
          <cell r="S14764">
            <v>-4.9800000000000004</v>
          </cell>
          <cell r="X14764" t="str">
            <v>Commissions - gross</v>
          </cell>
          <cell r="Y14764" t="str">
            <v>THAILAND</v>
          </cell>
        </row>
        <row r="14765">
          <cell r="L14765" t="str">
            <v>Non-proportional</v>
          </cell>
          <cell r="S14765">
            <v>778.72</v>
          </cell>
          <cell r="X14765" t="str">
            <v>Commissions - gross</v>
          </cell>
          <cell r="Y14765" t="str">
            <v>TURKEY</v>
          </cell>
        </row>
        <row r="14766">
          <cell r="L14766" t="str">
            <v>Proportional</v>
          </cell>
          <cell r="S14766">
            <v>-391.01</v>
          </cell>
          <cell r="X14766" t="str">
            <v>Commissions - gross</v>
          </cell>
          <cell r="Y14766" t="str">
            <v>THAILAND</v>
          </cell>
        </row>
        <row r="14767">
          <cell r="L14767" t="str">
            <v>Proportional</v>
          </cell>
          <cell r="S14767">
            <v>-92836.08</v>
          </cell>
          <cell r="X14767" t="str">
            <v>Commissions - gross</v>
          </cell>
          <cell r="Y14767" t="str">
            <v>ITALY</v>
          </cell>
        </row>
        <row r="14768">
          <cell r="L14768" t="str">
            <v>Proportional</v>
          </cell>
          <cell r="S14768">
            <v>-311.17</v>
          </cell>
          <cell r="X14768" t="str">
            <v>Commissions - gross</v>
          </cell>
          <cell r="Y14768" t="str">
            <v>PORTUGAL</v>
          </cell>
        </row>
        <row r="14769">
          <cell r="L14769" t="str">
            <v>Proportional</v>
          </cell>
          <cell r="S14769">
            <v>145889.19</v>
          </cell>
          <cell r="X14769" t="str">
            <v>Commissions - gross</v>
          </cell>
          <cell r="Y14769" t="str">
            <v>HONG KONG</v>
          </cell>
        </row>
        <row r="14770">
          <cell r="L14770" t="str">
            <v>Proportional</v>
          </cell>
          <cell r="S14770">
            <v>199.89</v>
          </cell>
          <cell r="X14770" t="str">
            <v>Commissions - gross</v>
          </cell>
          <cell r="Y14770" t="str">
            <v>THAILAND</v>
          </cell>
        </row>
        <row r="14771">
          <cell r="L14771" t="str">
            <v>Proportional</v>
          </cell>
          <cell r="S14771">
            <v>-92836.08</v>
          </cell>
          <cell r="X14771" t="str">
            <v>Commissions - gross</v>
          </cell>
          <cell r="Y14771" t="str">
            <v>ITALY</v>
          </cell>
        </row>
        <row r="14772">
          <cell r="L14772" t="str">
            <v>Proportional</v>
          </cell>
          <cell r="S14772">
            <v>-2277.81</v>
          </cell>
          <cell r="X14772" t="str">
            <v>Commissions - gross</v>
          </cell>
          <cell r="Y14772" t="str">
            <v>THAILAND</v>
          </cell>
        </row>
        <row r="14773">
          <cell r="L14773" t="str">
            <v>Proportional</v>
          </cell>
          <cell r="S14773">
            <v>98.01</v>
          </cell>
          <cell r="X14773" t="str">
            <v>Commissions - gross</v>
          </cell>
          <cell r="Y14773" t="str">
            <v>THAILAND</v>
          </cell>
        </row>
        <row r="14774">
          <cell r="L14774" t="str">
            <v>Proportional</v>
          </cell>
          <cell r="S14774">
            <v>311.8</v>
          </cell>
          <cell r="X14774" t="str">
            <v>Commissions - gross</v>
          </cell>
          <cell r="Y14774" t="str">
            <v>Thailand</v>
          </cell>
        </row>
        <row r="14775">
          <cell r="L14775" t="str">
            <v>Proportional</v>
          </cell>
          <cell r="S14775">
            <v>-24317.53</v>
          </cell>
          <cell r="X14775" t="str">
            <v>Commissions - gross</v>
          </cell>
          <cell r="Y14775" t="str">
            <v>AUSTRALIA</v>
          </cell>
        </row>
        <row r="14776">
          <cell r="L14776" t="str">
            <v>Proportional</v>
          </cell>
          <cell r="S14776">
            <v>-18370</v>
          </cell>
          <cell r="X14776" t="str">
            <v>Commissions - gross</v>
          </cell>
          <cell r="Y14776" t="str">
            <v>THAILAND</v>
          </cell>
        </row>
        <row r="14777">
          <cell r="L14777" t="str">
            <v>Proportional</v>
          </cell>
          <cell r="S14777">
            <v>0.92</v>
          </cell>
          <cell r="X14777" t="str">
            <v>Commissions - gross</v>
          </cell>
          <cell r="Y14777" t="str">
            <v>Malaysia</v>
          </cell>
        </row>
        <row r="14778">
          <cell r="L14778" t="str">
            <v>Proportional</v>
          </cell>
          <cell r="S14778">
            <v>154647.04999999999</v>
          </cell>
          <cell r="X14778" t="str">
            <v>Commissions - gross</v>
          </cell>
          <cell r="Y14778" t="str">
            <v>THAILAND</v>
          </cell>
        </row>
        <row r="14779">
          <cell r="L14779" t="str">
            <v>Proportional</v>
          </cell>
          <cell r="S14779">
            <v>-797.4</v>
          </cell>
          <cell r="X14779" t="str">
            <v>Commissions - gross</v>
          </cell>
          <cell r="Y14779" t="str">
            <v>THAILAND</v>
          </cell>
        </row>
        <row r="14780">
          <cell r="L14780" t="str">
            <v>Proportional</v>
          </cell>
          <cell r="S14780">
            <v>-192.94</v>
          </cell>
          <cell r="X14780" t="str">
            <v>Commissions - gross</v>
          </cell>
          <cell r="Y14780" t="str">
            <v>THAILAND</v>
          </cell>
        </row>
        <row r="14781">
          <cell r="L14781" t="str">
            <v>Proportional</v>
          </cell>
          <cell r="S14781">
            <v>-7.0000000000000007E-2</v>
          </cell>
          <cell r="X14781" t="str">
            <v>Commissions - gross</v>
          </cell>
          <cell r="Y14781" t="str">
            <v>Thailand</v>
          </cell>
        </row>
        <row r="14782">
          <cell r="L14782" t="str">
            <v>Proportional</v>
          </cell>
          <cell r="S14782">
            <v>-410.61</v>
          </cell>
          <cell r="X14782" t="str">
            <v>Commissions - gross</v>
          </cell>
          <cell r="Y14782" t="str">
            <v>FRANCE</v>
          </cell>
        </row>
        <row r="14783">
          <cell r="L14783" t="str">
            <v>Proportional</v>
          </cell>
          <cell r="S14783">
            <v>-1311.73</v>
          </cell>
          <cell r="X14783" t="str">
            <v>Commissions - gross</v>
          </cell>
          <cell r="Y14783" t="str">
            <v>CHILE</v>
          </cell>
        </row>
        <row r="14784">
          <cell r="L14784" t="str">
            <v>Proportional</v>
          </cell>
          <cell r="S14784">
            <v>-2432.81</v>
          </cell>
          <cell r="X14784" t="str">
            <v>Commissions - gross</v>
          </cell>
          <cell r="Y14784" t="str">
            <v>AUSTRALIA</v>
          </cell>
        </row>
        <row r="14785">
          <cell r="L14785" t="str">
            <v>Proportional</v>
          </cell>
          <cell r="S14785">
            <v>121.1</v>
          </cell>
          <cell r="X14785" t="str">
            <v>Commissions - gross</v>
          </cell>
          <cell r="Y14785" t="str">
            <v>ITALY</v>
          </cell>
        </row>
        <row r="14786">
          <cell r="L14786" t="str">
            <v>Proportional</v>
          </cell>
          <cell r="S14786">
            <v>448.73</v>
          </cell>
          <cell r="X14786" t="str">
            <v>Commissions - gross</v>
          </cell>
          <cell r="Y14786" t="str">
            <v>CHILE</v>
          </cell>
        </row>
        <row r="14787">
          <cell r="L14787" t="str">
            <v>Proportional</v>
          </cell>
          <cell r="S14787">
            <v>-305568.13</v>
          </cell>
          <cell r="X14787" t="str">
            <v>Commissions - gross</v>
          </cell>
          <cell r="Y14787" t="str">
            <v>AUSTRALIA</v>
          </cell>
        </row>
        <row r="14788">
          <cell r="L14788" t="str">
            <v>Proportional</v>
          </cell>
          <cell r="S14788">
            <v>-2930.06</v>
          </cell>
          <cell r="X14788" t="str">
            <v>Commissions - gross</v>
          </cell>
          <cell r="Y14788" t="str">
            <v>CHILE</v>
          </cell>
        </row>
        <row r="14789">
          <cell r="L14789" t="str">
            <v>Proportional</v>
          </cell>
          <cell r="S14789">
            <v>-7650.78</v>
          </cell>
          <cell r="X14789" t="str">
            <v>Commissions - gross</v>
          </cell>
          <cell r="Y14789" t="str">
            <v>CHILE</v>
          </cell>
        </row>
        <row r="14790">
          <cell r="L14790" t="str">
            <v>Proportional</v>
          </cell>
          <cell r="S14790">
            <v>-2172.41</v>
          </cell>
          <cell r="X14790" t="str">
            <v>Commissions - gross</v>
          </cell>
          <cell r="Y14790" t="str">
            <v>ITALY</v>
          </cell>
        </row>
        <row r="14791">
          <cell r="L14791" t="str">
            <v>Proportional</v>
          </cell>
          <cell r="S14791">
            <v>13976.42</v>
          </cell>
          <cell r="X14791" t="str">
            <v>Commissions - gross</v>
          </cell>
          <cell r="Y14791" t="str">
            <v>MEXICO</v>
          </cell>
        </row>
        <row r="14792">
          <cell r="L14792" t="str">
            <v>Proportional</v>
          </cell>
          <cell r="S14792">
            <v>-3601.56</v>
          </cell>
          <cell r="X14792" t="str">
            <v>Commissions - gross</v>
          </cell>
          <cell r="Y14792" t="str">
            <v>CHILE</v>
          </cell>
        </row>
        <row r="14793">
          <cell r="L14793" t="str">
            <v>Proportional</v>
          </cell>
          <cell r="S14793">
            <v>3720480</v>
          </cell>
          <cell r="X14793" t="str">
            <v>Commissions - gross</v>
          </cell>
          <cell r="Y14793" t="str">
            <v>ITALY</v>
          </cell>
        </row>
        <row r="14794">
          <cell r="L14794" t="str">
            <v>Proportional</v>
          </cell>
          <cell r="S14794">
            <v>56641.59</v>
          </cell>
          <cell r="X14794" t="str">
            <v>Commissions - gross</v>
          </cell>
          <cell r="Y14794" t="str">
            <v>ITALY</v>
          </cell>
        </row>
        <row r="14795">
          <cell r="L14795" t="str">
            <v>Proportional</v>
          </cell>
          <cell r="S14795">
            <v>104413.78</v>
          </cell>
          <cell r="X14795" t="str">
            <v>Commissions - gross</v>
          </cell>
          <cell r="Y14795" t="str">
            <v>JAPAN</v>
          </cell>
        </row>
        <row r="14796">
          <cell r="L14796" t="str">
            <v>Proportional</v>
          </cell>
          <cell r="S14796">
            <v>3014199.45</v>
          </cell>
          <cell r="X14796" t="str">
            <v>Commissions - gross</v>
          </cell>
          <cell r="Y14796" t="str">
            <v>ITALY</v>
          </cell>
        </row>
        <row r="14797">
          <cell r="L14797" t="str">
            <v>Proportional</v>
          </cell>
          <cell r="S14797">
            <v>2986.2</v>
          </cell>
          <cell r="X14797" t="str">
            <v>Commissions - gross</v>
          </cell>
          <cell r="Y14797" t="str">
            <v>CHILE</v>
          </cell>
        </row>
        <row r="14798">
          <cell r="L14798" t="str">
            <v>Proportional</v>
          </cell>
          <cell r="S14798">
            <v>4.7</v>
          </cell>
          <cell r="X14798" t="str">
            <v>Commissions - gross</v>
          </cell>
          <cell r="Y14798" t="str">
            <v>CHILE</v>
          </cell>
        </row>
        <row r="14799">
          <cell r="L14799" t="str">
            <v>Proportional</v>
          </cell>
          <cell r="S14799">
            <v>45127.41</v>
          </cell>
          <cell r="X14799" t="str">
            <v>Commissions - gross</v>
          </cell>
          <cell r="Y14799" t="str">
            <v>COLOMBIA</v>
          </cell>
        </row>
        <row r="14800">
          <cell r="L14800" t="str">
            <v>Proportional</v>
          </cell>
          <cell r="S14800">
            <v>3714.54</v>
          </cell>
          <cell r="X14800" t="str">
            <v>Commissions - gross</v>
          </cell>
          <cell r="Y14800" t="str">
            <v>CHILE</v>
          </cell>
        </row>
        <row r="14801">
          <cell r="L14801" t="str">
            <v>Proportional</v>
          </cell>
          <cell r="S14801">
            <v>-56641.59</v>
          </cell>
          <cell r="X14801" t="str">
            <v>Commissions - gross</v>
          </cell>
          <cell r="Y14801" t="str">
            <v>ITALY</v>
          </cell>
        </row>
        <row r="14802">
          <cell r="L14802" t="str">
            <v>Proportional</v>
          </cell>
          <cell r="S14802">
            <v>12176.8</v>
          </cell>
          <cell r="X14802" t="str">
            <v>Commissions - gross</v>
          </cell>
          <cell r="Y14802" t="str">
            <v>UNITED KINGDOM</v>
          </cell>
        </row>
        <row r="14803">
          <cell r="L14803" t="str">
            <v>Proportional</v>
          </cell>
          <cell r="S14803">
            <v>2913.37</v>
          </cell>
          <cell r="X14803" t="str">
            <v>Commissions - gross</v>
          </cell>
          <cell r="Y14803" t="str">
            <v>CHILE</v>
          </cell>
        </row>
        <row r="14804">
          <cell r="L14804" t="str">
            <v>Proportional</v>
          </cell>
          <cell r="S14804">
            <v>1347.43</v>
          </cell>
          <cell r="X14804" t="str">
            <v>Commissions - gross</v>
          </cell>
          <cell r="Y14804" t="str">
            <v>CHILE</v>
          </cell>
        </row>
        <row r="14805">
          <cell r="L14805" t="str">
            <v>Proportional</v>
          </cell>
          <cell r="S14805">
            <v>36.42</v>
          </cell>
          <cell r="X14805" t="str">
            <v>Commissions - gross</v>
          </cell>
          <cell r="Y14805" t="str">
            <v>CHILE</v>
          </cell>
        </row>
        <row r="14806">
          <cell r="L14806" t="str">
            <v>Proportional</v>
          </cell>
          <cell r="S14806">
            <v>15.55</v>
          </cell>
          <cell r="X14806" t="str">
            <v>Commissions - gross</v>
          </cell>
          <cell r="Y14806" t="str">
            <v>CHILE</v>
          </cell>
        </row>
        <row r="14807">
          <cell r="L14807" t="str">
            <v>Proportional</v>
          </cell>
          <cell r="S14807">
            <v>52138.39</v>
          </cell>
          <cell r="X14807" t="str">
            <v>Commissions - gross</v>
          </cell>
          <cell r="Y14807" t="str">
            <v>ITALY</v>
          </cell>
        </row>
        <row r="14808">
          <cell r="L14808" t="str">
            <v>Proportional</v>
          </cell>
          <cell r="S14808">
            <v>874699.31</v>
          </cell>
          <cell r="X14808" t="str">
            <v>Commissions - gross</v>
          </cell>
          <cell r="Y14808" t="str">
            <v>HONG KONG</v>
          </cell>
        </row>
        <row r="14809">
          <cell r="L14809" t="str">
            <v>Proportional</v>
          </cell>
          <cell r="S14809">
            <v>42506.559999999998</v>
          </cell>
          <cell r="X14809" t="str">
            <v>Commissions - gross</v>
          </cell>
          <cell r="Y14809" t="str">
            <v>AUSTRALIA</v>
          </cell>
        </row>
        <row r="14810">
          <cell r="L14810" t="str">
            <v>Proportional</v>
          </cell>
          <cell r="S14810">
            <v>-5893.87</v>
          </cell>
          <cell r="X14810" t="str">
            <v>Commissions - gross</v>
          </cell>
          <cell r="Y14810" t="str">
            <v>CHILE</v>
          </cell>
        </row>
        <row r="14811">
          <cell r="L14811" t="str">
            <v>Proportional</v>
          </cell>
          <cell r="S14811">
            <v>-104413.78</v>
          </cell>
          <cell r="X14811" t="str">
            <v>Commissions - gross</v>
          </cell>
          <cell r="Y14811" t="str">
            <v>JAPAN</v>
          </cell>
        </row>
        <row r="14812">
          <cell r="L14812" t="str">
            <v>Proportional</v>
          </cell>
          <cell r="S14812">
            <v>13976.42</v>
          </cell>
          <cell r="X14812" t="str">
            <v>Commissions - gross</v>
          </cell>
          <cell r="Y14812" t="str">
            <v>MEXICO</v>
          </cell>
        </row>
        <row r="14813">
          <cell r="L14813" t="str">
            <v>Proportional</v>
          </cell>
          <cell r="S14813">
            <v>-41.92</v>
          </cell>
          <cell r="X14813" t="str">
            <v>Commissions - gross</v>
          </cell>
          <cell r="Y14813" t="str">
            <v>CHILE</v>
          </cell>
        </row>
        <row r="14814">
          <cell r="L14814" t="str">
            <v>Proportional</v>
          </cell>
          <cell r="S14814">
            <v>-121.1</v>
          </cell>
          <cell r="X14814" t="str">
            <v>Commissions - gross</v>
          </cell>
          <cell r="Y14814" t="str">
            <v>ITALY</v>
          </cell>
        </row>
        <row r="14815">
          <cell r="L14815" t="str">
            <v>Proportional</v>
          </cell>
          <cell r="S14815">
            <v>2432.81</v>
          </cell>
          <cell r="X14815" t="str">
            <v>Commissions - gross</v>
          </cell>
          <cell r="Y14815" t="str">
            <v>AUSTRALIA</v>
          </cell>
        </row>
        <row r="14816">
          <cell r="L14816" t="str">
            <v>Proportional</v>
          </cell>
          <cell r="S14816">
            <v>-3014199.45</v>
          </cell>
          <cell r="X14816" t="str">
            <v>Commissions - gross</v>
          </cell>
          <cell r="Y14816" t="str">
            <v>ITALY</v>
          </cell>
        </row>
        <row r="14817">
          <cell r="L14817" t="str">
            <v>Proportional</v>
          </cell>
          <cell r="S14817">
            <v>404.15</v>
          </cell>
          <cell r="X14817" t="str">
            <v>Commissions - gross</v>
          </cell>
          <cell r="Y14817" t="str">
            <v>CHILE</v>
          </cell>
        </row>
        <row r="14818">
          <cell r="L14818" t="str">
            <v>Proportional</v>
          </cell>
          <cell r="S14818">
            <v>256.67</v>
          </cell>
          <cell r="X14818" t="str">
            <v>Commissions - gross</v>
          </cell>
          <cell r="Y14818" t="str">
            <v>CHILE</v>
          </cell>
        </row>
        <row r="14819">
          <cell r="L14819" t="str">
            <v>Proportional</v>
          </cell>
          <cell r="S14819">
            <v>197716.05</v>
          </cell>
          <cell r="X14819" t="str">
            <v>Commissions - gross</v>
          </cell>
          <cell r="Y14819" t="str">
            <v>ITALY</v>
          </cell>
        </row>
        <row r="14820">
          <cell r="L14820" t="str">
            <v>Proportional</v>
          </cell>
          <cell r="S14820">
            <v>13538.22</v>
          </cell>
          <cell r="X14820" t="str">
            <v>Commissions - gross</v>
          </cell>
          <cell r="Y14820" t="str">
            <v>COLOMBIA</v>
          </cell>
        </row>
        <row r="14821">
          <cell r="L14821" t="str">
            <v>Proportional</v>
          </cell>
          <cell r="S14821">
            <v>23471.68</v>
          </cell>
          <cell r="X14821" t="str">
            <v>Commissions - gross</v>
          </cell>
          <cell r="Y14821" t="str">
            <v>CHILE</v>
          </cell>
        </row>
        <row r="14822">
          <cell r="L14822" t="str">
            <v>Proportional</v>
          </cell>
          <cell r="S14822">
            <v>-874699.31</v>
          </cell>
          <cell r="X14822" t="str">
            <v>Commissions - gross</v>
          </cell>
          <cell r="Y14822" t="str">
            <v>HONG KONG</v>
          </cell>
        </row>
        <row r="14823">
          <cell r="L14823" t="str">
            <v>Proportional</v>
          </cell>
          <cell r="S14823">
            <v>-104413.78</v>
          </cell>
          <cell r="X14823" t="str">
            <v>Commissions - gross</v>
          </cell>
          <cell r="Y14823" t="str">
            <v>JAPAN</v>
          </cell>
        </row>
        <row r="14824">
          <cell r="L14824" t="str">
            <v>Proportional</v>
          </cell>
          <cell r="S14824">
            <v>6045.24</v>
          </cell>
          <cell r="X14824" t="str">
            <v>Commissions - gross</v>
          </cell>
          <cell r="Y14824" t="str">
            <v>CHILE</v>
          </cell>
        </row>
        <row r="14825">
          <cell r="L14825" t="str">
            <v>Proportional</v>
          </cell>
          <cell r="S14825">
            <v>-2837.33</v>
          </cell>
          <cell r="X14825" t="str">
            <v>Commissions - gross</v>
          </cell>
          <cell r="Y14825" t="str">
            <v>CHILE</v>
          </cell>
        </row>
        <row r="14826">
          <cell r="L14826" t="str">
            <v>Proportional</v>
          </cell>
          <cell r="S14826">
            <v>104413.78</v>
          </cell>
          <cell r="X14826" t="str">
            <v>Commissions - gross</v>
          </cell>
          <cell r="Y14826" t="str">
            <v>JAPAN</v>
          </cell>
        </row>
        <row r="14827">
          <cell r="L14827" t="str">
            <v>Proportional</v>
          </cell>
          <cell r="S14827">
            <v>13901.46</v>
          </cell>
          <cell r="X14827" t="str">
            <v>Commissions - gross</v>
          </cell>
          <cell r="Y14827" t="str">
            <v>MEXICO</v>
          </cell>
        </row>
        <row r="14828">
          <cell r="L14828" t="str">
            <v>Proportional</v>
          </cell>
          <cell r="S14828">
            <v>5988.81</v>
          </cell>
          <cell r="X14828" t="str">
            <v>Commissions - gross</v>
          </cell>
          <cell r="Y14828" t="str">
            <v>MEXICO</v>
          </cell>
        </row>
        <row r="14829">
          <cell r="L14829" t="str">
            <v>Proportional</v>
          </cell>
          <cell r="S14829">
            <v>3678.13</v>
          </cell>
          <cell r="X14829" t="str">
            <v>Commissions - gross</v>
          </cell>
          <cell r="Y14829" t="str">
            <v>CHILE</v>
          </cell>
        </row>
        <row r="14830">
          <cell r="L14830" t="str">
            <v>Proportional</v>
          </cell>
          <cell r="S14830">
            <v>40422</v>
          </cell>
          <cell r="X14830" t="str">
            <v>Commissions - gross</v>
          </cell>
          <cell r="Y14830" t="str">
            <v>FRANCE</v>
          </cell>
        </row>
        <row r="14831">
          <cell r="L14831" t="str">
            <v>Proportional</v>
          </cell>
          <cell r="S14831">
            <v>-40422</v>
          </cell>
          <cell r="X14831" t="str">
            <v>Commissions - gross</v>
          </cell>
          <cell r="Y14831" t="str">
            <v>FRANCE</v>
          </cell>
        </row>
        <row r="14832">
          <cell r="L14832" t="str">
            <v>Proportional</v>
          </cell>
          <cell r="S14832">
            <v>728.34</v>
          </cell>
          <cell r="X14832" t="str">
            <v>Commissions - gross</v>
          </cell>
          <cell r="Y14832" t="str">
            <v>CHILE</v>
          </cell>
        </row>
        <row r="14833">
          <cell r="L14833" t="str">
            <v>Proportional</v>
          </cell>
          <cell r="S14833">
            <v>24003.32</v>
          </cell>
          <cell r="X14833" t="str">
            <v>Commissions - gross</v>
          </cell>
          <cell r="Y14833" t="str">
            <v>MEXICO</v>
          </cell>
        </row>
        <row r="14834">
          <cell r="L14834" t="str">
            <v>Proportional</v>
          </cell>
          <cell r="S14834">
            <v>19296.8</v>
          </cell>
          <cell r="X14834" t="str">
            <v>Commissions - gross</v>
          </cell>
          <cell r="Y14834" t="str">
            <v>TURKEY</v>
          </cell>
        </row>
        <row r="14835">
          <cell r="L14835" t="str">
            <v>Proportional</v>
          </cell>
          <cell r="S14835">
            <v>104413.78</v>
          </cell>
          <cell r="X14835" t="str">
            <v>Commissions - gross</v>
          </cell>
          <cell r="Y14835" t="str">
            <v>JAPAN</v>
          </cell>
        </row>
        <row r="14836">
          <cell r="L14836" t="str">
            <v>Proportional</v>
          </cell>
          <cell r="S14836">
            <v>-42506.559999999998</v>
          </cell>
          <cell r="X14836" t="str">
            <v>Commissions - gross</v>
          </cell>
          <cell r="Y14836" t="str">
            <v>AUSTRALIA</v>
          </cell>
        </row>
        <row r="14837">
          <cell r="L14837" t="str">
            <v>Proportional</v>
          </cell>
          <cell r="S14837">
            <v>11.19</v>
          </cell>
          <cell r="X14837" t="str">
            <v>Commissions - gross</v>
          </cell>
          <cell r="Y14837" t="str">
            <v>CHILE</v>
          </cell>
        </row>
        <row r="14838">
          <cell r="L14838" t="str">
            <v>Proportional</v>
          </cell>
          <cell r="S14838">
            <v>-12176.8</v>
          </cell>
          <cell r="X14838" t="str">
            <v>Commissions - gross</v>
          </cell>
          <cell r="Y14838" t="str">
            <v>UNITED KINGDOM</v>
          </cell>
        </row>
        <row r="14839">
          <cell r="L14839" t="str">
            <v>Proportional</v>
          </cell>
          <cell r="S14839">
            <v>27257.43</v>
          </cell>
          <cell r="X14839" t="str">
            <v>Commissions - gross</v>
          </cell>
          <cell r="Y14839" t="str">
            <v>CHILE</v>
          </cell>
        </row>
        <row r="14840">
          <cell r="L14840" t="str">
            <v>Proportional</v>
          </cell>
          <cell r="S14840">
            <v>-52138.39</v>
          </cell>
          <cell r="X14840" t="str">
            <v>Commissions - gross</v>
          </cell>
          <cell r="Y14840" t="str">
            <v>ITALY</v>
          </cell>
        </row>
        <row r="14841">
          <cell r="L14841" t="str">
            <v>Proportional</v>
          </cell>
          <cell r="S14841">
            <v>2172.41</v>
          </cell>
          <cell r="X14841" t="str">
            <v>Commissions - gross</v>
          </cell>
          <cell r="Y14841" t="str">
            <v>ITALY</v>
          </cell>
        </row>
        <row r="14842">
          <cell r="L14842" t="str">
            <v>Proportional</v>
          </cell>
          <cell r="S14842">
            <v>692.8</v>
          </cell>
          <cell r="X14842" t="str">
            <v>Commissions - gross</v>
          </cell>
          <cell r="Y14842" t="str">
            <v>CHILE</v>
          </cell>
        </row>
        <row r="14843">
          <cell r="L14843" t="str">
            <v>Proportional</v>
          </cell>
          <cell r="S14843">
            <v>7829.68</v>
          </cell>
          <cell r="X14843" t="str">
            <v>Commissions - gross</v>
          </cell>
          <cell r="Y14843" t="str">
            <v>CHILE</v>
          </cell>
        </row>
        <row r="14844">
          <cell r="L14844" t="str">
            <v>Proportional</v>
          </cell>
          <cell r="S14844">
            <v>254.44</v>
          </cell>
          <cell r="X14844" t="str">
            <v>Commissions - gross</v>
          </cell>
          <cell r="Y14844" t="str">
            <v>CHILE</v>
          </cell>
        </row>
        <row r="14845">
          <cell r="L14845" t="str">
            <v>Proportional</v>
          </cell>
          <cell r="S14845">
            <v>-3626.78</v>
          </cell>
          <cell r="X14845" t="str">
            <v>Commissions - gross</v>
          </cell>
          <cell r="Y14845" t="str">
            <v>CHILE</v>
          </cell>
        </row>
        <row r="14846">
          <cell r="L14846" t="str">
            <v>Proportional</v>
          </cell>
          <cell r="S14846">
            <v>-24943.62</v>
          </cell>
          <cell r="X14846" t="str">
            <v>Commissions - gross</v>
          </cell>
          <cell r="Y14846" t="str">
            <v>CHILE</v>
          </cell>
        </row>
        <row r="14847">
          <cell r="L14847" t="str">
            <v>Proportional</v>
          </cell>
          <cell r="S14847">
            <v>98.74</v>
          </cell>
          <cell r="X14847" t="str">
            <v>Commissions - gross</v>
          </cell>
          <cell r="Y14847" t="str">
            <v>THAILAND</v>
          </cell>
        </row>
        <row r="14848">
          <cell r="L14848" t="str">
            <v>Proportional</v>
          </cell>
          <cell r="S14848">
            <v>3452305.84</v>
          </cell>
          <cell r="X14848" t="str">
            <v>Commissions - gross</v>
          </cell>
          <cell r="Y14848" t="str">
            <v>ITALY</v>
          </cell>
        </row>
        <row r="14849">
          <cell r="L14849" t="str">
            <v>Proportional</v>
          </cell>
          <cell r="S14849">
            <v>773.73</v>
          </cell>
          <cell r="X14849" t="str">
            <v>Commissions - gross</v>
          </cell>
          <cell r="Y14849" t="str">
            <v>CHILE</v>
          </cell>
        </row>
        <row r="14850">
          <cell r="L14850" t="str">
            <v>Proportional</v>
          </cell>
          <cell r="S14850">
            <v>11306.65</v>
          </cell>
          <cell r="X14850" t="str">
            <v>Commissions - gross</v>
          </cell>
          <cell r="Y14850" t="str">
            <v>CHILE</v>
          </cell>
        </row>
        <row r="14851">
          <cell r="L14851" t="str">
            <v>Proportional</v>
          </cell>
          <cell r="S14851">
            <v>14241.86</v>
          </cell>
          <cell r="X14851" t="str">
            <v>Commissions - gross</v>
          </cell>
          <cell r="Y14851" t="str">
            <v>TURKEY</v>
          </cell>
        </row>
        <row r="14852">
          <cell r="L14852" t="str">
            <v>Proportional</v>
          </cell>
          <cell r="S14852">
            <v>-1.91</v>
          </cell>
          <cell r="X14852" t="str">
            <v>Commissions - gross</v>
          </cell>
          <cell r="Y14852" t="str">
            <v>Thailand</v>
          </cell>
        </row>
        <row r="14853">
          <cell r="L14853" t="str">
            <v>Proportional</v>
          </cell>
          <cell r="S14853">
            <v>7071.65</v>
          </cell>
          <cell r="X14853" t="str">
            <v>Commissions - gross</v>
          </cell>
          <cell r="Y14853" t="str">
            <v>India</v>
          </cell>
        </row>
        <row r="14854">
          <cell r="L14854" t="str">
            <v>Proportional</v>
          </cell>
          <cell r="S14854">
            <v>9.85</v>
          </cell>
          <cell r="X14854" t="str">
            <v>Commissions - gross</v>
          </cell>
          <cell r="Y14854" t="str">
            <v>CHILE</v>
          </cell>
        </row>
        <row r="14855">
          <cell r="L14855" t="str">
            <v>Proportional</v>
          </cell>
          <cell r="S14855">
            <v>51592.959999999999</v>
          </cell>
          <cell r="X14855" t="str">
            <v>Commissions - gross</v>
          </cell>
          <cell r="Y14855" t="str">
            <v>THAILAND</v>
          </cell>
        </row>
        <row r="14856">
          <cell r="L14856" t="str">
            <v>Proportional</v>
          </cell>
          <cell r="S14856">
            <v>18691.54</v>
          </cell>
          <cell r="X14856" t="str">
            <v>Commissions - gross</v>
          </cell>
          <cell r="Y14856" t="str">
            <v>THAILAND</v>
          </cell>
        </row>
        <row r="14857">
          <cell r="L14857" t="str">
            <v>Proportional</v>
          </cell>
          <cell r="S14857">
            <v>189.44</v>
          </cell>
          <cell r="X14857" t="str">
            <v>Commissions - gross</v>
          </cell>
          <cell r="Y14857" t="str">
            <v>CHILE</v>
          </cell>
        </row>
        <row r="14858">
          <cell r="L14858" t="str">
            <v>Proportional</v>
          </cell>
          <cell r="S14858">
            <v>3573.9</v>
          </cell>
          <cell r="X14858" t="str">
            <v>Commissions - gross</v>
          </cell>
          <cell r="Y14858" t="str">
            <v>CHILE</v>
          </cell>
        </row>
        <row r="14859">
          <cell r="L14859" t="str">
            <v>Proportional</v>
          </cell>
          <cell r="S14859">
            <v>-36.840000000000003</v>
          </cell>
          <cell r="X14859" t="str">
            <v>Commissions - gross</v>
          </cell>
          <cell r="Y14859" t="str">
            <v>CHILE</v>
          </cell>
        </row>
        <row r="14860">
          <cell r="L14860" t="str">
            <v>Proportional</v>
          </cell>
          <cell r="S14860">
            <v>-2018470.69</v>
          </cell>
          <cell r="X14860" t="str">
            <v>Commissions - gross</v>
          </cell>
          <cell r="Y14860" t="str">
            <v>THAILAND</v>
          </cell>
        </row>
        <row r="14861">
          <cell r="L14861" t="str">
            <v>Proportional</v>
          </cell>
          <cell r="S14861">
            <v>-6226.69</v>
          </cell>
          <cell r="X14861" t="str">
            <v>Commissions - gross</v>
          </cell>
          <cell r="Y14861" t="str">
            <v>CHILE</v>
          </cell>
        </row>
        <row r="14862">
          <cell r="L14862" t="str">
            <v>Proportional</v>
          </cell>
          <cell r="S14862">
            <v>304723.21000000002</v>
          </cell>
          <cell r="X14862" t="str">
            <v>Commissions - gross</v>
          </cell>
          <cell r="Y14862" t="str">
            <v>AUSTRALIA</v>
          </cell>
        </row>
        <row r="14863">
          <cell r="L14863" t="str">
            <v>Proportional</v>
          </cell>
          <cell r="S14863">
            <v>13196.35</v>
          </cell>
          <cell r="X14863" t="str">
            <v>Commissions - gross</v>
          </cell>
          <cell r="Y14863" t="str">
            <v>THAILAND</v>
          </cell>
        </row>
        <row r="14864">
          <cell r="L14864" t="str">
            <v>Proportional</v>
          </cell>
          <cell r="S14864">
            <v>10031.620000000001</v>
          </cell>
          <cell r="X14864" t="str">
            <v>Commissions - gross</v>
          </cell>
          <cell r="Y14864" t="str">
            <v>THAILAND</v>
          </cell>
        </row>
        <row r="14865">
          <cell r="L14865" t="str">
            <v>Proportional</v>
          </cell>
          <cell r="S14865">
            <v>-17132.62</v>
          </cell>
          <cell r="X14865" t="str">
            <v>Commissions - gross</v>
          </cell>
          <cell r="Y14865" t="str">
            <v>CHILE</v>
          </cell>
        </row>
        <row r="14866">
          <cell r="L14866" t="str">
            <v>Proportional</v>
          </cell>
          <cell r="S14866">
            <v>267.99</v>
          </cell>
          <cell r="X14866" t="str">
            <v>Commissions - gross</v>
          </cell>
          <cell r="Y14866" t="str">
            <v>CHILE</v>
          </cell>
        </row>
        <row r="14867">
          <cell r="L14867" t="str">
            <v>Proportional</v>
          </cell>
          <cell r="S14867">
            <v>7479.4</v>
          </cell>
          <cell r="X14867" t="str">
            <v>Commissions - gross</v>
          </cell>
          <cell r="Y14867" t="str">
            <v>CHILE</v>
          </cell>
        </row>
        <row r="14868">
          <cell r="L14868" t="str">
            <v>Proportional</v>
          </cell>
          <cell r="S14868">
            <v>-257.91000000000003</v>
          </cell>
          <cell r="X14868" t="str">
            <v>Commissions - gross</v>
          </cell>
          <cell r="Y14868" t="str">
            <v>CHILE</v>
          </cell>
        </row>
        <row r="14869">
          <cell r="L14869" t="str">
            <v>Proportional</v>
          </cell>
          <cell r="S14869">
            <v>-0.81</v>
          </cell>
          <cell r="X14869" t="str">
            <v>Commissions - gross</v>
          </cell>
          <cell r="Y14869" t="str">
            <v>Thailand</v>
          </cell>
        </row>
        <row r="14870">
          <cell r="L14870" t="str">
            <v>Proportional</v>
          </cell>
          <cell r="S14870">
            <v>265.10000000000002</v>
          </cell>
          <cell r="X14870" t="str">
            <v>Commissions - gross</v>
          </cell>
          <cell r="Y14870" t="str">
            <v>India</v>
          </cell>
        </row>
        <row r="14871">
          <cell r="L14871" t="str">
            <v>Proportional</v>
          </cell>
          <cell r="S14871">
            <v>-25.25</v>
          </cell>
          <cell r="X14871" t="str">
            <v>Commissions - gross</v>
          </cell>
          <cell r="Y14871" t="str">
            <v>CHILE</v>
          </cell>
        </row>
        <row r="14872">
          <cell r="L14872" t="str">
            <v>Proportional</v>
          </cell>
          <cell r="S14872">
            <v>-33.299999999999997</v>
          </cell>
          <cell r="X14872" t="str">
            <v>Commissions - gross</v>
          </cell>
          <cell r="Y14872" t="str">
            <v>CHILE</v>
          </cell>
        </row>
        <row r="14873">
          <cell r="L14873" t="str">
            <v>Proportional</v>
          </cell>
          <cell r="S14873">
            <v>-1251.8800000000001</v>
          </cell>
          <cell r="X14873" t="str">
            <v>Commissions - gross</v>
          </cell>
          <cell r="Y14873" t="str">
            <v>THAILAND</v>
          </cell>
        </row>
        <row r="14874">
          <cell r="L14874" t="str">
            <v>Proportional</v>
          </cell>
          <cell r="S14874">
            <v>143.19</v>
          </cell>
          <cell r="X14874" t="str">
            <v>Commissions - gross</v>
          </cell>
          <cell r="Y14874" t="str">
            <v>THAILAND</v>
          </cell>
        </row>
        <row r="14875">
          <cell r="L14875" t="str">
            <v>Proportional</v>
          </cell>
          <cell r="S14875">
            <v>1.95</v>
          </cell>
          <cell r="X14875" t="str">
            <v>Commissions - gross</v>
          </cell>
          <cell r="Y14875" t="str">
            <v>India</v>
          </cell>
        </row>
        <row r="14876">
          <cell r="L14876" t="str">
            <v>Proportional</v>
          </cell>
          <cell r="S14876">
            <v>-10031.620000000001</v>
          </cell>
          <cell r="X14876" t="str">
            <v>Commissions - gross</v>
          </cell>
          <cell r="Y14876" t="str">
            <v>THAILAND</v>
          </cell>
        </row>
        <row r="14877">
          <cell r="L14877" t="str">
            <v>Proportional</v>
          </cell>
          <cell r="S14877">
            <v>15.81</v>
          </cell>
          <cell r="X14877" t="str">
            <v>Commissions - gross</v>
          </cell>
          <cell r="Y14877" t="str">
            <v>THAILAND</v>
          </cell>
        </row>
        <row r="14878">
          <cell r="L14878" t="str">
            <v>Proportional</v>
          </cell>
          <cell r="S14878">
            <v>892.54</v>
          </cell>
          <cell r="X14878" t="str">
            <v>Commissions - gross</v>
          </cell>
          <cell r="Y14878" t="str">
            <v>INDIA</v>
          </cell>
        </row>
        <row r="14879">
          <cell r="L14879" t="str">
            <v>Proportional</v>
          </cell>
          <cell r="S14879">
            <v>220.8</v>
          </cell>
          <cell r="X14879" t="str">
            <v>Commissions - gross</v>
          </cell>
          <cell r="Y14879" t="str">
            <v>Thailand</v>
          </cell>
        </row>
        <row r="14880">
          <cell r="L14880" t="str">
            <v>Proportional</v>
          </cell>
          <cell r="S14880">
            <v>1725.84</v>
          </cell>
          <cell r="X14880" t="str">
            <v>Commissions - gross</v>
          </cell>
          <cell r="Y14880" t="str">
            <v>CHILE</v>
          </cell>
        </row>
        <row r="14881">
          <cell r="L14881" t="str">
            <v>Proportional</v>
          </cell>
          <cell r="S14881">
            <v>156.97999999999999</v>
          </cell>
          <cell r="X14881" t="str">
            <v>Commissions - gross</v>
          </cell>
          <cell r="Y14881" t="str">
            <v>Thailand</v>
          </cell>
        </row>
        <row r="14882">
          <cell r="L14882" t="str">
            <v>Proportional</v>
          </cell>
          <cell r="S14882">
            <v>-28161.41</v>
          </cell>
          <cell r="X14882" t="str">
            <v>Commissions - gross</v>
          </cell>
          <cell r="Y14882" t="str">
            <v>AUSTRALIA</v>
          </cell>
        </row>
        <row r="14883">
          <cell r="L14883" t="str">
            <v>Proportional</v>
          </cell>
          <cell r="S14883">
            <v>106677.9</v>
          </cell>
          <cell r="X14883" t="str">
            <v>Commissions - gross</v>
          </cell>
          <cell r="Y14883" t="str">
            <v>THAILAND</v>
          </cell>
        </row>
        <row r="14884">
          <cell r="L14884" t="str">
            <v>Proportional</v>
          </cell>
          <cell r="S14884">
            <v>-3.4</v>
          </cell>
          <cell r="X14884" t="str">
            <v>Commissions - gross</v>
          </cell>
          <cell r="Y14884" t="str">
            <v>India</v>
          </cell>
        </row>
        <row r="14885">
          <cell r="L14885" t="str">
            <v>Proportional</v>
          </cell>
          <cell r="S14885">
            <v>-160.25</v>
          </cell>
          <cell r="X14885" t="str">
            <v>Commissions - gross</v>
          </cell>
          <cell r="Y14885" t="str">
            <v>THAILAND</v>
          </cell>
        </row>
        <row r="14886">
          <cell r="L14886" t="str">
            <v>Proportional</v>
          </cell>
          <cell r="S14886">
            <v>19676.16</v>
          </cell>
          <cell r="X14886" t="str">
            <v>Commissions - gross</v>
          </cell>
          <cell r="Y14886" t="str">
            <v>UNITED STATES</v>
          </cell>
        </row>
        <row r="14887">
          <cell r="L14887" t="str">
            <v>Proportional</v>
          </cell>
          <cell r="S14887">
            <v>1490.4</v>
          </cell>
          <cell r="X14887" t="str">
            <v>Commissions - gross</v>
          </cell>
          <cell r="Y14887" t="str">
            <v>ITALY</v>
          </cell>
        </row>
        <row r="14888">
          <cell r="L14888" t="str">
            <v>Proportional</v>
          </cell>
          <cell r="S14888">
            <v>-4.41</v>
          </cell>
          <cell r="X14888" t="str">
            <v>Commissions - gross</v>
          </cell>
          <cell r="Y14888" t="str">
            <v>India</v>
          </cell>
        </row>
        <row r="14889">
          <cell r="L14889" t="str">
            <v>Proportional</v>
          </cell>
          <cell r="S14889">
            <v>66.17</v>
          </cell>
          <cell r="X14889" t="str">
            <v>Commissions - gross</v>
          </cell>
          <cell r="Y14889" t="str">
            <v>THAILAND</v>
          </cell>
        </row>
        <row r="14890">
          <cell r="L14890" t="str">
            <v>Proportional</v>
          </cell>
          <cell r="S14890">
            <v>-657.96</v>
          </cell>
          <cell r="X14890" t="str">
            <v>Commissions - gross</v>
          </cell>
          <cell r="Y14890" t="str">
            <v>THAILAND</v>
          </cell>
        </row>
        <row r="14891">
          <cell r="L14891" t="str">
            <v>Proportional</v>
          </cell>
          <cell r="S14891">
            <v>-184.22</v>
          </cell>
          <cell r="X14891" t="str">
            <v>Commissions - gross</v>
          </cell>
          <cell r="Y14891" t="str">
            <v>CHILE</v>
          </cell>
        </row>
        <row r="14892">
          <cell r="L14892" t="str">
            <v>Proportional</v>
          </cell>
          <cell r="S14892">
            <v>-113517.53</v>
          </cell>
          <cell r="X14892" t="str">
            <v>Commissions - gross</v>
          </cell>
          <cell r="Y14892" t="str">
            <v>UNITED STATES</v>
          </cell>
        </row>
        <row r="14893">
          <cell r="L14893" t="str">
            <v>Proportional</v>
          </cell>
          <cell r="S14893">
            <v>-19676.16</v>
          </cell>
          <cell r="X14893" t="str">
            <v>Commissions - gross</v>
          </cell>
          <cell r="Y14893" t="str">
            <v>UNITED STATES</v>
          </cell>
        </row>
        <row r="14894">
          <cell r="L14894" t="str">
            <v>Proportional</v>
          </cell>
          <cell r="S14894">
            <v>-892.54</v>
          </cell>
          <cell r="X14894" t="str">
            <v>Commissions - gross</v>
          </cell>
          <cell r="Y14894" t="str">
            <v>INDIA</v>
          </cell>
        </row>
        <row r="14895">
          <cell r="L14895" t="str">
            <v>Proportional</v>
          </cell>
          <cell r="S14895">
            <v>-19.75</v>
          </cell>
          <cell r="X14895" t="str">
            <v>Commissions - gross</v>
          </cell>
          <cell r="Y14895" t="str">
            <v>THAILAND</v>
          </cell>
        </row>
        <row r="14896">
          <cell r="L14896" t="str">
            <v>Proportional</v>
          </cell>
          <cell r="S14896">
            <v>-101.25</v>
          </cell>
          <cell r="X14896" t="str">
            <v>Commissions - gross</v>
          </cell>
          <cell r="Y14896" t="str">
            <v>India</v>
          </cell>
        </row>
        <row r="14897">
          <cell r="L14897" t="str">
            <v>Proportional</v>
          </cell>
          <cell r="S14897">
            <v>736.89</v>
          </cell>
          <cell r="X14897" t="str">
            <v>Commissions - gross</v>
          </cell>
          <cell r="Y14897" t="str">
            <v>CHILE</v>
          </cell>
        </row>
        <row r="14898">
          <cell r="L14898" t="str">
            <v>Proportional</v>
          </cell>
          <cell r="S14898">
            <v>25.25</v>
          </cell>
          <cell r="X14898" t="str">
            <v>Commissions - gross</v>
          </cell>
          <cell r="Y14898" t="str">
            <v>CHILE</v>
          </cell>
        </row>
        <row r="14899">
          <cell r="L14899" t="str">
            <v>Proportional</v>
          </cell>
          <cell r="S14899">
            <v>4527.55</v>
          </cell>
          <cell r="X14899" t="str">
            <v>Commissions - gross</v>
          </cell>
          <cell r="Y14899" t="str">
            <v>India</v>
          </cell>
        </row>
        <row r="14900">
          <cell r="L14900" t="str">
            <v>Proportional</v>
          </cell>
          <cell r="S14900">
            <v>1725.84</v>
          </cell>
          <cell r="X14900" t="str">
            <v>Commissions - gross</v>
          </cell>
          <cell r="Y14900" t="str">
            <v>CHILE</v>
          </cell>
        </row>
        <row r="14901">
          <cell r="L14901" t="str">
            <v>Proportional</v>
          </cell>
          <cell r="S14901">
            <v>25.25</v>
          </cell>
          <cell r="X14901" t="str">
            <v>Commissions - gross</v>
          </cell>
          <cell r="Y14901" t="str">
            <v>CHILE</v>
          </cell>
        </row>
        <row r="14902">
          <cell r="L14902" t="str">
            <v>Proportional</v>
          </cell>
          <cell r="S14902">
            <v>-322.07</v>
          </cell>
          <cell r="X14902" t="str">
            <v>Commissions - gross</v>
          </cell>
          <cell r="Y14902" t="str">
            <v>THAILAND</v>
          </cell>
        </row>
        <row r="14903">
          <cell r="L14903" t="str">
            <v>Proportional</v>
          </cell>
          <cell r="S14903">
            <v>-6337.23</v>
          </cell>
          <cell r="X14903" t="str">
            <v>Commissions - gross</v>
          </cell>
          <cell r="Y14903" t="str">
            <v>CHILE</v>
          </cell>
        </row>
        <row r="14904">
          <cell r="L14904" t="str">
            <v>Proportional</v>
          </cell>
          <cell r="S14904">
            <v>-106677.9</v>
          </cell>
          <cell r="X14904" t="str">
            <v>Commissions - gross</v>
          </cell>
          <cell r="Y14904" t="str">
            <v>THAILAND</v>
          </cell>
        </row>
        <row r="14905">
          <cell r="L14905" t="str">
            <v>Proportional</v>
          </cell>
          <cell r="S14905">
            <v>33.090000000000003</v>
          </cell>
          <cell r="X14905" t="str">
            <v>Commissions - gross</v>
          </cell>
          <cell r="Y14905" t="str">
            <v>Thailand</v>
          </cell>
        </row>
        <row r="14906">
          <cell r="L14906" t="str">
            <v>Proportional</v>
          </cell>
          <cell r="S14906">
            <v>1507.48</v>
          </cell>
          <cell r="X14906" t="str">
            <v>Commissions - gross</v>
          </cell>
          <cell r="Y14906" t="str">
            <v>India</v>
          </cell>
        </row>
        <row r="14907">
          <cell r="L14907" t="str">
            <v>Proportional</v>
          </cell>
          <cell r="S14907">
            <v>28161.41</v>
          </cell>
          <cell r="X14907" t="str">
            <v>Commissions - gross</v>
          </cell>
          <cell r="Y14907" t="str">
            <v>AUSTRALIA</v>
          </cell>
        </row>
        <row r="14908">
          <cell r="L14908" t="str">
            <v>Proportional</v>
          </cell>
          <cell r="S14908">
            <v>19.989999999999998</v>
          </cell>
          <cell r="X14908" t="str">
            <v>Commissions - gross</v>
          </cell>
          <cell r="Y14908" t="str">
            <v>India</v>
          </cell>
        </row>
        <row r="14909">
          <cell r="L14909" t="str">
            <v>Proportional</v>
          </cell>
          <cell r="S14909">
            <v>-188189.87</v>
          </cell>
          <cell r="X14909" t="str">
            <v>Commissions - gross</v>
          </cell>
          <cell r="Y14909" t="str">
            <v>THAILAND</v>
          </cell>
        </row>
        <row r="14910">
          <cell r="L14910" t="str">
            <v>Proportional</v>
          </cell>
          <cell r="S14910">
            <v>113517.53</v>
          </cell>
          <cell r="X14910" t="str">
            <v>Commissions - gross</v>
          </cell>
          <cell r="Y14910" t="str">
            <v>UNITED STATES</v>
          </cell>
        </row>
        <row r="14911">
          <cell r="L14911" t="str">
            <v>Proportional</v>
          </cell>
          <cell r="S14911">
            <v>18559.72</v>
          </cell>
          <cell r="X14911" t="str">
            <v>Commissions - gross</v>
          </cell>
          <cell r="Y14911" t="str">
            <v>THAILAND</v>
          </cell>
        </row>
        <row r="14912">
          <cell r="L14912" t="str">
            <v>Proportional</v>
          </cell>
          <cell r="S14912">
            <v>4</v>
          </cell>
          <cell r="X14912" t="str">
            <v>Commissions - gross</v>
          </cell>
          <cell r="Y14912" t="str">
            <v>India</v>
          </cell>
        </row>
        <row r="14913">
          <cell r="L14913" t="str">
            <v>Proportional</v>
          </cell>
          <cell r="S14913">
            <v>-381.32</v>
          </cell>
          <cell r="X14913" t="str">
            <v>Commissions - gross</v>
          </cell>
          <cell r="Y14913" t="str">
            <v>UNITED STATES</v>
          </cell>
        </row>
        <row r="14914">
          <cell r="L14914" t="str">
            <v>Proportional</v>
          </cell>
          <cell r="S14914">
            <v>464.4</v>
          </cell>
          <cell r="X14914" t="str">
            <v>Commissions - gross</v>
          </cell>
          <cell r="Y14914" t="str">
            <v>THAILAND</v>
          </cell>
        </row>
        <row r="14915">
          <cell r="L14915" t="str">
            <v>Proportional</v>
          </cell>
          <cell r="S14915">
            <v>25131.67</v>
          </cell>
          <cell r="X14915" t="str">
            <v>Commissions - gross</v>
          </cell>
          <cell r="Y14915" t="str">
            <v>THAILAND</v>
          </cell>
        </row>
        <row r="14916">
          <cell r="L14916" t="str">
            <v>Proportional</v>
          </cell>
          <cell r="S14916">
            <v>989.42</v>
          </cell>
          <cell r="X14916" t="str">
            <v>Commissions - gross</v>
          </cell>
          <cell r="Y14916" t="str">
            <v>PORTUGAL</v>
          </cell>
        </row>
        <row r="14917">
          <cell r="L14917" t="str">
            <v>Proportional</v>
          </cell>
          <cell r="S14917">
            <v>-188206.4</v>
          </cell>
          <cell r="X14917" t="str">
            <v>Commissions - gross</v>
          </cell>
          <cell r="Y14917" t="str">
            <v>THAILAND</v>
          </cell>
        </row>
        <row r="14918">
          <cell r="L14918" t="str">
            <v>Proportional</v>
          </cell>
          <cell r="S14918">
            <v>20.25</v>
          </cell>
          <cell r="X14918" t="str">
            <v>Commissions - gross</v>
          </cell>
          <cell r="Y14918" t="str">
            <v>India</v>
          </cell>
        </row>
        <row r="14919">
          <cell r="L14919" t="str">
            <v>Proportional</v>
          </cell>
          <cell r="S14919">
            <v>2.95</v>
          </cell>
          <cell r="X14919" t="str">
            <v>Commissions - gross</v>
          </cell>
          <cell r="Y14919" t="str">
            <v>Thailand</v>
          </cell>
        </row>
        <row r="14920">
          <cell r="L14920" t="str">
            <v>Proportional</v>
          </cell>
          <cell r="S14920">
            <v>-2358.06</v>
          </cell>
          <cell r="X14920" t="str">
            <v>Commissions - gross</v>
          </cell>
          <cell r="Y14920" t="str">
            <v>INDIA</v>
          </cell>
        </row>
        <row r="14921">
          <cell r="L14921" t="str">
            <v>Proportional</v>
          </cell>
          <cell r="S14921">
            <v>-3503.56</v>
          </cell>
          <cell r="X14921" t="str">
            <v>Commissions - gross</v>
          </cell>
          <cell r="Y14921" t="str">
            <v>THAILAND</v>
          </cell>
        </row>
        <row r="14922">
          <cell r="L14922" t="str">
            <v>Proportional</v>
          </cell>
          <cell r="S14922">
            <v>-73.69</v>
          </cell>
          <cell r="X14922" t="str">
            <v>Commissions - gross</v>
          </cell>
          <cell r="Y14922" t="str">
            <v>CHILE</v>
          </cell>
        </row>
        <row r="14923">
          <cell r="L14923" t="str">
            <v>Proportional</v>
          </cell>
          <cell r="S14923">
            <v>-12.69</v>
          </cell>
          <cell r="X14923" t="str">
            <v>Commissions - gross</v>
          </cell>
          <cell r="Y14923" t="str">
            <v>SINGAPORE</v>
          </cell>
        </row>
        <row r="14924">
          <cell r="L14924" t="str">
            <v>Proportional</v>
          </cell>
          <cell r="S14924">
            <v>-1725.84</v>
          </cell>
          <cell r="X14924" t="str">
            <v>Commissions - gross</v>
          </cell>
          <cell r="Y14924" t="str">
            <v>CHILE</v>
          </cell>
        </row>
        <row r="14925">
          <cell r="L14925" t="str">
            <v>Proportional</v>
          </cell>
          <cell r="S14925">
            <v>39.82</v>
          </cell>
          <cell r="X14925" t="str">
            <v>Commissions - gross</v>
          </cell>
          <cell r="Y14925" t="str">
            <v>CHILE</v>
          </cell>
        </row>
        <row r="14926">
          <cell r="L14926" t="str">
            <v>Proportional</v>
          </cell>
          <cell r="S14926">
            <v>76144</v>
          </cell>
          <cell r="X14926" t="str">
            <v>Commissions - gross</v>
          </cell>
          <cell r="Y14926" t="str">
            <v>SWITZERLAND</v>
          </cell>
        </row>
        <row r="14927">
          <cell r="L14927" t="str">
            <v>Proportional</v>
          </cell>
          <cell r="S14927">
            <v>1.56</v>
          </cell>
          <cell r="X14927" t="str">
            <v>Commissions - gross</v>
          </cell>
          <cell r="Y14927" t="str">
            <v>CHILE</v>
          </cell>
        </row>
        <row r="14928">
          <cell r="L14928" t="str">
            <v>Proportional</v>
          </cell>
          <cell r="S14928">
            <v>-12267.23</v>
          </cell>
          <cell r="X14928" t="str">
            <v>Commissions - gross</v>
          </cell>
          <cell r="Y14928" t="str">
            <v>THAILAND</v>
          </cell>
        </row>
        <row r="14929">
          <cell r="L14929" t="str">
            <v>Proportional</v>
          </cell>
          <cell r="S14929">
            <v>-1563.33</v>
          </cell>
          <cell r="X14929" t="str">
            <v>Commissions - gross</v>
          </cell>
          <cell r="Y14929" t="str">
            <v>THAILAND</v>
          </cell>
        </row>
        <row r="14930">
          <cell r="L14930" t="str">
            <v>Proportional</v>
          </cell>
          <cell r="S14930">
            <v>-6007.58</v>
          </cell>
          <cell r="X14930" t="str">
            <v>Commissions - gross</v>
          </cell>
          <cell r="Y14930" t="str">
            <v>CHILE</v>
          </cell>
        </row>
        <row r="14931">
          <cell r="L14931" t="str">
            <v>Proportional</v>
          </cell>
          <cell r="S14931">
            <v>-76065</v>
          </cell>
          <cell r="X14931" t="str">
            <v>Commissions - gross</v>
          </cell>
          <cell r="Y14931" t="str">
            <v>SWITZERLAND</v>
          </cell>
        </row>
        <row r="14932">
          <cell r="L14932" t="str">
            <v>Proportional</v>
          </cell>
          <cell r="S14932">
            <v>-240.47</v>
          </cell>
          <cell r="X14932" t="str">
            <v>Commissions - gross</v>
          </cell>
          <cell r="Y14932" t="str">
            <v>THAILAND</v>
          </cell>
        </row>
        <row r="14933">
          <cell r="L14933" t="str">
            <v>Proportional</v>
          </cell>
          <cell r="S14933">
            <v>131170.29999999999</v>
          </cell>
          <cell r="X14933" t="str">
            <v>Commissions - gross</v>
          </cell>
          <cell r="Y14933" t="str">
            <v>THAILAND</v>
          </cell>
        </row>
        <row r="14934">
          <cell r="L14934" t="str">
            <v>Proportional</v>
          </cell>
          <cell r="S14934">
            <v>-3573.9</v>
          </cell>
          <cell r="X14934" t="str">
            <v>Commissions - gross</v>
          </cell>
          <cell r="Y14934" t="str">
            <v>CHILE</v>
          </cell>
        </row>
        <row r="14935">
          <cell r="L14935" t="str">
            <v>Proportional</v>
          </cell>
          <cell r="S14935">
            <v>5379.27</v>
          </cell>
          <cell r="X14935" t="str">
            <v>Commissions - gross</v>
          </cell>
          <cell r="Y14935" t="str">
            <v>CHILE</v>
          </cell>
        </row>
        <row r="14936">
          <cell r="L14936" t="str">
            <v>Proportional</v>
          </cell>
          <cell r="S14936">
            <v>-19073.919999999998</v>
          </cell>
          <cell r="X14936" t="str">
            <v>Commissions - gross</v>
          </cell>
          <cell r="Y14936" t="str">
            <v>TURKEY</v>
          </cell>
        </row>
        <row r="14937">
          <cell r="L14937" t="str">
            <v>Proportional</v>
          </cell>
          <cell r="S14937">
            <v>-13961.92</v>
          </cell>
          <cell r="X14937" t="str">
            <v>Commissions - gross</v>
          </cell>
          <cell r="Y14937" t="str">
            <v>MEXICO</v>
          </cell>
        </row>
        <row r="14938">
          <cell r="L14938" t="str">
            <v>Proportional</v>
          </cell>
          <cell r="S14938">
            <v>-27.57</v>
          </cell>
          <cell r="X14938" t="str">
            <v>Commissions - gross</v>
          </cell>
          <cell r="Y14938" t="str">
            <v>THAILAND</v>
          </cell>
        </row>
        <row r="14939">
          <cell r="L14939" t="str">
            <v>Proportional</v>
          </cell>
          <cell r="S14939">
            <v>735.15</v>
          </cell>
          <cell r="X14939" t="str">
            <v>Commissions - gross</v>
          </cell>
          <cell r="Y14939" t="str">
            <v>INDIA</v>
          </cell>
        </row>
        <row r="14940">
          <cell r="L14940" t="str">
            <v>Proportional</v>
          </cell>
          <cell r="S14940">
            <v>3255990</v>
          </cell>
          <cell r="X14940" t="str">
            <v>Commissions - gross</v>
          </cell>
          <cell r="Y14940" t="str">
            <v>ITALY</v>
          </cell>
        </row>
        <row r="14941">
          <cell r="L14941" t="str">
            <v>Proportional</v>
          </cell>
          <cell r="S14941">
            <v>304723.21000000002</v>
          </cell>
          <cell r="X14941" t="str">
            <v>Commissions - gross</v>
          </cell>
          <cell r="Y14941" t="str">
            <v>AUSTRALIA</v>
          </cell>
        </row>
        <row r="14942">
          <cell r="L14942" t="str">
            <v>Proportional</v>
          </cell>
          <cell r="S14942">
            <v>-4</v>
          </cell>
          <cell r="X14942" t="str">
            <v>Commissions - gross</v>
          </cell>
          <cell r="Y14942" t="str">
            <v>India</v>
          </cell>
        </row>
        <row r="14943">
          <cell r="L14943" t="str">
            <v>Proportional</v>
          </cell>
          <cell r="S14943">
            <v>-20.25</v>
          </cell>
          <cell r="X14943" t="str">
            <v>Commissions - gross</v>
          </cell>
          <cell r="Y14943" t="str">
            <v>India</v>
          </cell>
        </row>
        <row r="14944">
          <cell r="L14944" t="str">
            <v>Proportional</v>
          </cell>
          <cell r="S14944">
            <v>6007.58</v>
          </cell>
          <cell r="X14944" t="str">
            <v>Commissions - gross</v>
          </cell>
          <cell r="Y14944" t="str">
            <v>CHILE</v>
          </cell>
        </row>
        <row r="14945">
          <cell r="L14945" t="str">
            <v>Proportional</v>
          </cell>
          <cell r="S14945">
            <v>-73.69</v>
          </cell>
          <cell r="X14945" t="str">
            <v>Commissions - gross</v>
          </cell>
          <cell r="Y14945" t="str">
            <v>CHILE</v>
          </cell>
        </row>
        <row r="14946">
          <cell r="L14946" t="str">
            <v>Proportional</v>
          </cell>
          <cell r="S14946">
            <v>124.05</v>
          </cell>
          <cell r="X14946" t="str">
            <v>Commissions - gross</v>
          </cell>
          <cell r="Y14946" t="str">
            <v>UNITED STATES</v>
          </cell>
        </row>
        <row r="14947">
          <cell r="L14947" t="str">
            <v>Proportional</v>
          </cell>
          <cell r="S14947">
            <v>6263.58</v>
          </cell>
          <cell r="X14947" t="str">
            <v>Commissions - gross</v>
          </cell>
          <cell r="Y14947" t="str">
            <v>PORTUGAL</v>
          </cell>
        </row>
        <row r="14948">
          <cell r="L14948" t="str">
            <v>Proportional</v>
          </cell>
          <cell r="S14948">
            <v>-36.840000000000003</v>
          </cell>
          <cell r="X14948" t="str">
            <v>Commissions - gross</v>
          </cell>
          <cell r="Y14948" t="str">
            <v>CHILE</v>
          </cell>
        </row>
        <row r="14949">
          <cell r="L14949" t="str">
            <v>Proportional</v>
          </cell>
          <cell r="S14949">
            <v>25.25</v>
          </cell>
          <cell r="X14949" t="str">
            <v>Commissions - gross</v>
          </cell>
          <cell r="Y14949" t="str">
            <v>CHILE</v>
          </cell>
        </row>
        <row r="14950">
          <cell r="L14950" t="str">
            <v>Proportional</v>
          </cell>
          <cell r="S14950">
            <v>-18559.72</v>
          </cell>
          <cell r="X14950" t="str">
            <v>Commissions - gross</v>
          </cell>
          <cell r="Y14950" t="str">
            <v>THAILAND</v>
          </cell>
        </row>
        <row r="14951">
          <cell r="L14951" t="str">
            <v>Proportional</v>
          </cell>
          <cell r="S14951">
            <v>4604.75</v>
          </cell>
          <cell r="X14951" t="str">
            <v>Commissions - gross</v>
          </cell>
          <cell r="Y14951" t="str">
            <v>ITALY</v>
          </cell>
        </row>
        <row r="14952">
          <cell r="L14952" t="str">
            <v>Proportional</v>
          </cell>
          <cell r="S14952">
            <v>52783.37</v>
          </cell>
          <cell r="X14952" t="str">
            <v>Commissions - gross</v>
          </cell>
          <cell r="Y14952" t="str">
            <v>PORTUGAL</v>
          </cell>
        </row>
        <row r="14953">
          <cell r="L14953" t="str">
            <v>Proportional</v>
          </cell>
          <cell r="S14953">
            <v>5960.19</v>
          </cell>
          <cell r="X14953" t="str">
            <v>Commissions - gross</v>
          </cell>
          <cell r="Y14953" t="str">
            <v>SWITZERLAND</v>
          </cell>
        </row>
        <row r="14954">
          <cell r="L14954" t="str">
            <v>Proportional</v>
          </cell>
          <cell r="S14954">
            <v>-117.9</v>
          </cell>
          <cell r="X14954" t="str">
            <v>Commissions - gross</v>
          </cell>
          <cell r="Y14954" t="str">
            <v>INDIA</v>
          </cell>
        </row>
        <row r="14955">
          <cell r="L14955" t="str">
            <v>Proportional</v>
          </cell>
          <cell r="S14955">
            <v>830.08</v>
          </cell>
          <cell r="X14955" t="str">
            <v>Commissions - gross</v>
          </cell>
          <cell r="Y14955" t="str">
            <v>Thailand</v>
          </cell>
        </row>
        <row r="14956">
          <cell r="L14956" t="str">
            <v>Proportional</v>
          </cell>
          <cell r="S14956">
            <v>3573.9</v>
          </cell>
          <cell r="X14956" t="str">
            <v>Commissions - gross</v>
          </cell>
          <cell r="Y14956" t="str">
            <v>CHILE</v>
          </cell>
        </row>
        <row r="14957">
          <cell r="L14957" t="str">
            <v>Proportional</v>
          </cell>
          <cell r="S14957">
            <v>-304723.21000000002</v>
          </cell>
          <cell r="X14957" t="str">
            <v>Commissions - gross</v>
          </cell>
          <cell r="Y14957" t="str">
            <v>AUSTRALIA</v>
          </cell>
        </row>
        <row r="14958">
          <cell r="L14958" t="str">
            <v>Proportional</v>
          </cell>
          <cell r="S14958">
            <v>77.97</v>
          </cell>
          <cell r="X14958" t="str">
            <v>Commissions - gross</v>
          </cell>
          <cell r="Y14958" t="str">
            <v>CHILE</v>
          </cell>
        </row>
        <row r="14959">
          <cell r="L14959" t="str">
            <v>Proportional</v>
          </cell>
          <cell r="S14959">
            <v>-892.54</v>
          </cell>
          <cell r="X14959" t="str">
            <v>Commissions - gross</v>
          </cell>
          <cell r="Y14959" t="str">
            <v>INDIA</v>
          </cell>
        </row>
        <row r="14960">
          <cell r="L14960" t="str">
            <v>Proportional</v>
          </cell>
          <cell r="S14960">
            <v>35701.730000000003</v>
          </cell>
          <cell r="X14960" t="str">
            <v>Commissions - gross</v>
          </cell>
          <cell r="Y14960" t="str">
            <v>INDIA</v>
          </cell>
        </row>
        <row r="14961">
          <cell r="L14961" t="str">
            <v>Proportional</v>
          </cell>
          <cell r="S14961">
            <v>1137.58</v>
          </cell>
          <cell r="X14961" t="str">
            <v>Commissions - gross</v>
          </cell>
          <cell r="Y14961" t="str">
            <v>Thailand</v>
          </cell>
        </row>
        <row r="14962">
          <cell r="L14962" t="str">
            <v>Proportional</v>
          </cell>
          <cell r="S14962">
            <v>10617.81</v>
          </cell>
          <cell r="X14962" t="str">
            <v>Commissions - gross</v>
          </cell>
          <cell r="Y14962" t="str">
            <v>ITALY</v>
          </cell>
        </row>
        <row r="14963">
          <cell r="L14963" t="str">
            <v>Proportional</v>
          </cell>
          <cell r="S14963">
            <v>146579.64000000001</v>
          </cell>
          <cell r="X14963" t="str">
            <v>Commissions - gross</v>
          </cell>
          <cell r="Y14963" t="str">
            <v>THAILAND</v>
          </cell>
        </row>
        <row r="14964">
          <cell r="L14964" t="str">
            <v>Proportional</v>
          </cell>
          <cell r="S14964">
            <v>4421.32</v>
          </cell>
          <cell r="X14964" t="str">
            <v>Commissions - gross</v>
          </cell>
          <cell r="Y14964" t="str">
            <v>CHILE</v>
          </cell>
        </row>
        <row r="14965">
          <cell r="L14965" t="str">
            <v>Proportional</v>
          </cell>
          <cell r="S14965">
            <v>-4873.3599999999997</v>
          </cell>
          <cell r="X14965" t="str">
            <v>Commissions - gross</v>
          </cell>
          <cell r="Y14965" t="str">
            <v>THAILAND</v>
          </cell>
        </row>
        <row r="14966">
          <cell r="L14966" t="str">
            <v>Proportional</v>
          </cell>
          <cell r="S14966">
            <v>-1725.84</v>
          </cell>
          <cell r="X14966" t="str">
            <v>Commissions - gross</v>
          </cell>
          <cell r="Y14966" t="str">
            <v>CHILE</v>
          </cell>
        </row>
        <row r="14967">
          <cell r="L14967" t="str">
            <v>Proportional</v>
          </cell>
          <cell r="S14967">
            <v>76678.600000000006</v>
          </cell>
          <cell r="X14967" t="str">
            <v>Commissions - gross</v>
          </cell>
          <cell r="Y14967" t="str">
            <v>THAILAND</v>
          </cell>
        </row>
        <row r="14968">
          <cell r="L14968" t="str">
            <v>Proportional</v>
          </cell>
          <cell r="S14968">
            <v>99.2</v>
          </cell>
          <cell r="X14968" t="str">
            <v>Commissions - gross</v>
          </cell>
          <cell r="Y14968" t="str">
            <v>MALAYSIA</v>
          </cell>
        </row>
        <row r="14969">
          <cell r="L14969" t="str">
            <v>Proportional</v>
          </cell>
          <cell r="S14969">
            <v>-51352.07</v>
          </cell>
          <cell r="X14969" t="str">
            <v>Commissions - gross</v>
          </cell>
          <cell r="Y14969" t="str">
            <v>PORTUGAL</v>
          </cell>
        </row>
        <row r="14970">
          <cell r="L14970" t="str">
            <v>Proportional</v>
          </cell>
          <cell r="S14970">
            <v>5967.02</v>
          </cell>
          <cell r="X14970" t="str">
            <v>Commissions - gross</v>
          </cell>
          <cell r="Y14970" t="str">
            <v>CHILE</v>
          </cell>
        </row>
        <row r="14971">
          <cell r="L14971" t="str">
            <v>Proportional</v>
          </cell>
          <cell r="S14971">
            <v>21252.57</v>
          </cell>
          <cell r="X14971" t="str">
            <v>Commissions - gross</v>
          </cell>
          <cell r="Y14971" t="str">
            <v>ITALY</v>
          </cell>
        </row>
        <row r="14972">
          <cell r="L14972" t="str">
            <v>Proportional</v>
          </cell>
          <cell r="S14972">
            <v>4</v>
          </cell>
          <cell r="X14972" t="str">
            <v>Commissions - gross</v>
          </cell>
          <cell r="Y14972" t="str">
            <v>India</v>
          </cell>
        </row>
        <row r="14973">
          <cell r="L14973" t="str">
            <v>Proportional</v>
          </cell>
          <cell r="S14973">
            <v>-57.47</v>
          </cell>
          <cell r="X14973" t="str">
            <v>Commissions - gross</v>
          </cell>
          <cell r="Y14973" t="str">
            <v>THAILAND</v>
          </cell>
        </row>
        <row r="14974">
          <cell r="L14974" t="str">
            <v>Proportional</v>
          </cell>
          <cell r="S14974">
            <v>-35701.730000000003</v>
          </cell>
          <cell r="X14974" t="str">
            <v>Commissions - gross</v>
          </cell>
          <cell r="Y14974" t="str">
            <v>INDIA</v>
          </cell>
        </row>
        <row r="14975">
          <cell r="L14975" t="str">
            <v>Proportional</v>
          </cell>
          <cell r="S14975">
            <v>3573.9</v>
          </cell>
          <cell r="X14975" t="str">
            <v>Commissions - gross</v>
          </cell>
          <cell r="Y14975" t="str">
            <v>CHILE</v>
          </cell>
        </row>
        <row r="14976">
          <cell r="L14976" t="str">
            <v>Proportional</v>
          </cell>
          <cell r="S14976">
            <v>38157.410000000003</v>
          </cell>
          <cell r="X14976" t="str">
            <v>Commissions - gross</v>
          </cell>
          <cell r="Y14976" t="str">
            <v>PORTUGAL</v>
          </cell>
        </row>
        <row r="14977">
          <cell r="L14977" t="str">
            <v>Proportional</v>
          </cell>
          <cell r="S14977">
            <v>-3.52</v>
          </cell>
          <cell r="X14977" t="str">
            <v>Commissions - gross</v>
          </cell>
          <cell r="Y14977" t="str">
            <v>India</v>
          </cell>
        </row>
        <row r="14978">
          <cell r="L14978" t="str">
            <v>Proportional</v>
          </cell>
          <cell r="S14978">
            <v>2018470.69</v>
          </cell>
          <cell r="X14978" t="str">
            <v>Commissions - gross</v>
          </cell>
          <cell r="Y14978" t="str">
            <v>THAILAND</v>
          </cell>
        </row>
        <row r="14979">
          <cell r="L14979" t="str">
            <v>Proportional</v>
          </cell>
          <cell r="S14979">
            <v>-51592.959999999999</v>
          </cell>
          <cell r="X14979" t="str">
            <v>Commissions - gross</v>
          </cell>
          <cell r="Y14979" t="str">
            <v>THAILAND</v>
          </cell>
        </row>
        <row r="14980">
          <cell r="L14980" t="str">
            <v>Proportional</v>
          </cell>
          <cell r="S14980">
            <v>188.35</v>
          </cell>
          <cell r="X14980" t="str">
            <v>Commissions - gross</v>
          </cell>
          <cell r="Y14980" t="str">
            <v>THAILAND</v>
          </cell>
        </row>
        <row r="14981">
          <cell r="L14981" t="str">
            <v>Proportional</v>
          </cell>
          <cell r="S14981">
            <v>1731.68</v>
          </cell>
          <cell r="X14981" t="str">
            <v>Commissions - gross</v>
          </cell>
          <cell r="Y14981" t="str">
            <v>CHILE</v>
          </cell>
        </row>
        <row r="14982">
          <cell r="L14982" t="str">
            <v>Proportional</v>
          </cell>
          <cell r="S14982">
            <v>295.08</v>
          </cell>
          <cell r="X14982" t="str">
            <v>Commissions - gross</v>
          </cell>
          <cell r="Y14982" t="str">
            <v>Thailand</v>
          </cell>
        </row>
        <row r="14983">
          <cell r="L14983" t="str">
            <v>Proportional</v>
          </cell>
          <cell r="S14983">
            <v>2409.8200000000002</v>
          </cell>
          <cell r="X14983" t="str">
            <v>Commissions - gross</v>
          </cell>
          <cell r="Y14983" t="str">
            <v>Portugal</v>
          </cell>
        </row>
        <row r="14984">
          <cell r="L14984" t="str">
            <v>Proportional</v>
          </cell>
          <cell r="S14984">
            <v>1258.67</v>
          </cell>
          <cell r="X14984" t="str">
            <v>Commissions - gross</v>
          </cell>
          <cell r="Y14984" t="str">
            <v>THAILAND</v>
          </cell>
        </row>
        <row r="14985">
          <cell r="L14985" t="str">
            <v>Proportional</v>
          </cell>
          <cell r="S14985">
            <v>-3452305.84</v>
          </cell>
          <cell r="X14985" t="str">
            <v>Commissions - gross</v>
          </cell>
          <cell r="Y14985" t="str">
            <v>ITALY</v>
          </cell>
        </row>
        <row r="14986">
          <cell r="L14986" t="str">
            <v>Proportional</v>
          </cell>
          <cell r="S14986">
            <v>51352.07</v>
          </cell>
          <cell r="X14986" t="str">
            <v>Commissions - gross</v>
          </cell>
          <cell r="Y14986" t="str">
            <v>PORTUGAL</v>
          </cell>
        </row>
        <row r="14987">
          <cell r="L14987" t="str">
            <v>Proportional</v>
          </cell>
          <cell r="S14987">
            <v>-76678.600000000006</v>
          </cell>
          <cell r="X14987" t="str">
            <v>Commissions - gross</v>
          </cell>
          <cell r="Y14987" t="str">
            <v>THAILAND</v>
          </cell>
        </row>
        <row r="14988">
          <cell r="L14988" t="str">
            <v>Proportional</v>
          </cell>
          <cell r="S14988">
            <v>-19.989999999999998</v>
          </cell>
          <cell r="X14988" t="str">
            <v>Commissions - gross</v>
          </cell>
          <cell r="Y14988" t="str">
            <v>India</v>
          </cell>
        </row>
        <row r="14989">
          <cell r="L14989" t="str">
            <v>Proportional</v>
          </cell>
          <cell r="S14989">
            <v>-1694.84</v>
          </cell>
          <cell r="X14989" t="str">
            <v>Commissions - gross</v>
          </cell>
          <cell r="Y14989" t="str">
            <v>CHILE</v>
          </cell>
        </row>
        <row r="14990">
          <cell r="L14990" t="str">
            <v>Proportional</v>
          </cell>
          <cell r="S14990">
            <v>12012.63</v>
          </cell>
          <cell r="X14990" t="str">
            <v>Commissions - gross</v>
          </cell>
          <cell r="Y14990" t="str">
            <v>AUSTRALIA</v>
          </cell>
        </row>
        <row r="14991">
          <cell r="L14991" t="str">
            <v>Proportional</v>
          </cell>
          <cell r="S14991">
            <v>82.28</v>
          </cell>
          <cell r="X14991" t="str">
            <v>Commissions - gross</v>
          </cell>
          <cell r="Y14991" t="str">
            <v>CHILE</v>
          </cell>
        </row>
        <row r="14992">
          <cell r="L14992" t="str">
            <v>Proportional</v>
          </cell>
          <cell r="S14992">
            <v>-88.5</v>
          </cell>
          <cell r="X14992" t="str">
            <v>Commissions - gross</v>
          </cell>
          <cell r="Y14992" t="str">
            <v>THAILAND</v>
          </cell>
        </row>
        <row r="14993">
          <cell r="L14993" t="str">
            <v>Proportional</v>
          </cell>
          <cell r="S14993">
            <v>978.18</v>
          </cell>
          <cell r="X14993" t="str">
            <v>Commissions - gross</v>
          </cell>
          <cell r="Y14993" t="str">
            <v>INDIA</v>
          </cell>
        </row>
        <row r="14994">
          <cell r="L14994" t="str">
            <v>Proportional</v>
          </cell>
          <cell r="S14994">
            <v>2358.06</v>
          </cell>
          <cell r="X14994" t="str">
            <v>Commissions - gross</v>
          </cell>
          <cell r="Y14994" t="str">
            <v>INDIA</v>
          </cell>
        </row>
        <row r="14995">
          <cell r="L14995" t="str">
            <v>Proportional</v>
          </cell>
          <cell r="S14995">
            <v>27736.18</v>
          </cell>
          <cell r="X14995" t="str">
            <v>Commissions - gross</v>
          </cell>
          <cell r="Y14995" t="str">
            <v>CHILE</v>
          </cell>
        </row>
        <row r="14996">
          <cell r="L14996" t="str">
            <v>Proportional</v>
          </cell>
          <cell r="S14996">
            <v>117.9</v>
          </cell>
          <cell r="X14996" t="str">
            <v>Commissions - gross</v>
          </cell>
          <cell r="Y14996" t="str">
            <v>INDIA</v>
          </cell>
        </row>
        <row r="14997">
          <cell r="L14997" t="str">
            <v>Proportional</v>
          </cell>
          <cell r="S14997">
            <v>3503.56</v>
          </cell>
          <cell r="X14997" t="str">
            <v>Commissions - gross</v>
          </cell>
          <cell r="Y14997" t="str">
            <v>THAILAND</v>
          </cell>
        </row>
        <row r="14998">
          <cell r="L14998" t="str">
            <v>Proportional</v>
          </cell>
          <cell r="S14998">
            <v>-73.69</v>
          </cell>
          <cell r="X14998" t="str">
            <v>Commissions - gross</v>
          </cell>
          <cell r="Y14998" t="str">
            <v>CHILE</v>
          </cell>
        </row>
        <row r="14999">
          <cell r="L14999" t="str">
            <v>Proportional</v>
          </cell>
          <cell r="S14999">
            <v>-1725.84</v>
          </cell>
          <cell r="X14999" t="str">
            <v>Commissions - gross</v>
          </cell>
          <cell r="Y14999" t="str">
            <v>CHILE</v>
          </cell>
        </row>
        <row r="15000">
          <cell r="L15000" t="str">
            <v>Proportional</v>
          </cell>
          <cell r="S15000">
            <v>5379.27</v>
          </cell>
          <cell r="X15000" t="str">
            <v>Commissions - gross</v>
          </cell>
          <cell r="Y15000" t="str">
            <v>CHILE</v>
          </cell>
        </row>
        <row r="15001">
          <cell r="L15001" t="str">
            <v>Proportional</v>
          </cell>
          <cell r="S15001">
            <v>1865818.18</v>
          </cell>
          <cell r="X15001" t="str">
            <v>Commissions - gross</v>
          </cell>
          <cell r="Y15001" t="str">
            <v>PORTUGAL</v>
          </cell>
        </row>
        <row r="15002">
          <cell r="L15002" t="str">
            <v>Proportional</v>
          </cell>
          <cell r="S15002">
            <v>-276341</v>
          </cell>
          <cell r="X15002" t="str">
            <v>Commissions - gross</v>
          </cell>
          <cell r="Y15002" t="str">
            <v>PORTUGAL</v>
          </cell>
        </row>
        <row r="15003">
          <cell r="L15003" t="str">
            <v>Proportional</v>
          </cell>
          <cell r="S15003">
            <v>-1865818.18</v>
          </cell>
          <cell r="X15003" t="str">
            <v>Commissions - gross</v>
          </cell>
          <cell r="Y15003" t="str">
            <v>PORTUGAL</v>
          </cell>
        </row>
        <row r="15004">
          <cell r="L15004" t="str">
            <v>Proportional</v>
          </cell>
          <cell r="S15004">
            <v>20.25</v>
          </cell>
          <cell r="X15004" t="str">
            <v>Commissions - gross</v>
          </cell>
          <cell r="Y15004" t="str">
            <v>India</v>
          </cell>
        </row>
        <row r="15005">
          <cell r="L15005" t="str">
            <v>Proportional</v>
          </cell>
          <cell r="S15005">
            <v>-25.25</v>
          </cell>
          <cell r="X15005" t="str">
            <v>Commissions - gross</v>
          </cell>
          <cell r="Y15005" t="str">
            <v>CHILE</v>
          </cell>
        </row>
        <row r="15006">
          <cell r="L15006" t="str">
            <v>Proportional</v>
          </cell>
          <cell r="S15006">
            <v>41626.76</v>
          </cell>
          <cell r="X15006" t="str">
            <v>Commissions - gross</v>
          </cell>
          <cell r="Y15006" t="str">
            <v>THAILAND</v>
          </cell>
        </row>
        <row r="15007">
          <cell r="L15007" t="str">
            <v>Proportional</v>
          </cell>
          <cell r="S15007">
            <v>-257.91000000000003</v>
          </cell>
          <cell r="X15007" t="str">
            <v>Commissions - gross</v>
          </cell>
          <cell r="Y15007" t="str">
            <v>CHILE</v>
          </cell>
        </row>
        <row r="15008">
          <cell r="L15008" t="str">
            <v>Proportional</v>
          </cell>
          <cell r="S15008">
            <v>2652.79</v>
          </cell>
          <cell r="X15008" t="str">
            <v>Commissions - gross</v>
          </cell>
          <cell r="Y15008" t="str">
            <v>CHILE</v>
          </cell>
        </row>
        <row r="15009">
          <cell r="L15009" t="str">
            <v>Proportional</v>
          </cell>
          <cell r="S15009">
            <v>33.299999999999997</v>
          </cell>
          <cell r="X15009" t="str">
            <v>Commissions - gross</v>
          </cell>
          <cell r="Y15009" t="str">
            <v>CHILE</v>
          </cell>
        </row>
        <row r="15010">
          <cell r="L15010" t="str">
            <v>Proportional</v>
          </cell>
          <cell r="S15010">
            <v>1251.8800000000001</v>
          </cell>
          <cell r="X15010" t="str">
            <v>Commissions - gross</v>
          </cell>
          <cell r="Y15010" t="str">
            <v>THAILAND</v>
          </cell>
        </row>
        <row r="15011">
          <cell r="L15011" t="str">
            <v>Proportional</v>
          </cell>
          <cell r="S15011">
            <v>928.45</v>
          </cell>
          <cell r="X15011" t="str">
            <v>Commissions - gross</v>
          </cell>
          <cell r="Y15011" t="str">
            <v>CHILE</v>
          </cell>
        </row>
        <row r="15012">
          <cell r="L15012" t="str">
            <v>Proportional</v>
          </cell>
          <cell r="S15012">
            <v>-5960.19</v>
          </cell>
          <cell r="X15012" t="str">
            <v>Commissions - gross</v>
          </cell>
          <cell r="Y15012" t="str">
            <v>SWITZERLAND</v>
          </cell>
        </row>
        <row r="15013">
          <cell r="L15013" t="str">
            <v>Proportional</v>
          </cell>
          <cell r="S15013">
            <v>-149.27000000000001</v>
          </cell>
          <cell r="X15013" t="str">
            <v>Commissions - gross</v>
          </cell>
          <cell r="Y15013" t="str">
            <v>Portugal</v>
          </cell>
        </row>
        <row r="15014">
          <cell r="L15014" t="str">
            <v>Proportional</v>
          </cell>
          <cell r="S15014">
            <v>-38157.410000000003</v>
          </cell>
          <cell r="X15014" t="str">
            <v>Commissions - gross</v>
          </cell>
          <cell r="Y15014" t="str">
            <v>PORTUGAL</v>
          </cell>
        </row>
        <row r="15015">
          <cell r="L15015" t="str">
            <v>Proportional</v>
          </cell>
          <cell r="S15015">
            <v>-80.150000000000006</v>
          </cell>
          <cell r="X15015" t="str">
            <v>Commissions - gross</v>
          </cell>
          <cell r="Y15015" t="str">
            <v>THAILAND</v>
          </cell>
        </row>
        <row r="15016">
          <cell r="L15016" t="str">
            <v>Proportional</v>
          </cell>
          <cell r="S15016">
            <v>5379.27</v>
          </cell>
          <cell r="X15016" t="str">
            <v>Commissions - gross</v>
          </cell>
          <cell r="Y15016" t="str">
            <v>CHILE</v>
          </cell>
        </row>
        <row r="15017">
          <cell r="L15017" t="str">
            <v>Proportional</v>
          </cell>
          <cell r="S15017">
            <v>136.38999999999999</v>
          </cell>
          <cell r="X15017" t="str">
            <v>Commissions - gross</v>
          </cell>
          <cell r="Y15017" t="str">
            <v>Thailand</v>
          </cell>
        </row>
        <row r="15018">
          <cell r="L15018" t="str">
            <v>Proportional</v>
          </cell>
          <cell r="S15018">
            <v>-36.840000000000003</v>
          </cell>
          <cell r="X15018" t="str">
            <v>Commissions - gross</v>
          </cell>
          <cell r="Y15018" t="str">
            <v>CHILE</v>
          </cell>
        </row>
        <row r="15019">
          <cell r="L15019" t="str">
            <v>Proportional</v>
          </cell>
          <cell r="S15019">
            <v>6007.58</v>
          </cell>
          <cell r="X15019" t="str">
            <v>Commissions - gross</v>
          </cell>
          <cell r="Y15019" t="str">
            <v>CHILE</v>
          </cell>
        </row>
        <row r="15020">
          <cell r="L15020" t="str">
            <v>Proportional</v>
          </cell>
          <cell r="S15020">
            <v>-12012.63</v>
          </cell>
          <cell r="X15020" t="str">
            <v>Commissions - gross</v>
          </cell>
          <cell r="Y15020" t="str">
            <v>AUSTRALIA</v>
          </cell>
        </row>
        <row r="15021">
          <cell r="L15021" t="str">
            <v>Proportional</v>
          </cell>
          <cell r="S15021">
            <v>-5379.27</v>
          </cell>
          <cell r="X15021" t="str">
            <v>Commissions - gross</v>
          </cell>
          <cell r="Y15021" t="str">
            <v>CHILE</v>
          </cell>
        </row>
        <row r="15022">
          <cell r="L15022" t="str">
            <v>Proportional</v>
          </cell>
          <cell r="S15022">
            <v>276341</v>
          </cell>
          <cell r="X15022" t="str">
            <v>Commissions - gross</v>
          </cell>
          <cell r="Y15022" t="str">
            <v>PORTUGAL</v>
          </cell>
        </row>
        <row r="15023">
          <cell r="L15023" t="str">
            <v>Proportional</v>
          </cell>
          <cell r="S15023">
            <v>2681.5</v>
          </cell>
          <cell r="X15023" t="str">
            <v>Commissions - gross</v>
          </cell>
          <cell r="Y15023" t="str">
            <v>INDIA</v>
          </cell>
        </row>
        <row r="15024">
          <cell r="L15024" t="str">
            <v>Proportional</v>
          </cell>
          <cell r="S15024">
            <v>-304723.21000000002</v>
          </cell>
          <cell r="X15024" t="str">
            <v>Commissions - gross</v>
          </cell>
          <cell r="Y15024" t="str">
            <v>AUSTRALIA</v>
          </cell>
        </row>
        <row r="15025">
          <cell r="L15025" t="str">
            <v>Proportional</v>
          </cell>
          <cell r="S15025">
            <v>101.25</v>
          </cell>
          <cell r="X15025" t="str">
            <v>Commissions - gross</v>
          </cell>
          <cell r="Y15025" t="str">
            <v>India</v>
          </cell>
        </row>
        <row r="15026">
          <cell r="L15026" t="str">
            <v>Proportional</v>
          </cell>
          <cell r="S15026">
            <v>12267.23</v>
          </cell>
          <cell r="X15026" t="str">
            <v>Commissions - gross</v>
          </cell>
          <cell r="Y15026" t="str">
            <v>THAILAND</v>
          </cell>
        </row>
        <row r="15027">
          <cell r="L15027" t="str">
            <v>Proportional</v>
          </cell>
          <cell r="S15027">
            <v>1805.37</v>
          </cell>
          <cell r="X15027" t="str">
            <v>Commissions - gross</v>
          </cell>
          <cell r="Y15027" t="str">
            <v>CHILE</v>
          </cell>
        </row>
        <row r="15028">
          <cell r="L15028" t="str">
            <v>Proportional</v>
          </cell>
          <cell r="S15028">
            <v>1074.3399999999999</v>
          </cell>
          <cell r="X15028" t="str">
            <v>Commissions - gross</v>
          </cell>
          <cell r="Y15028" t="str">
            <v>India</v>
          </cell>
        </row>
        <row r="15029">
          <cell r="L15029" t="str">
            <v>Proportional</v>
          </cell>
          <cell r="S15029">
            <v>36.840000000000003</v>
          </cell>
          <cell r="X15029" t="str">
            <v>Commissions - gross</v>
          </cell>
          <cell r="Y15029" t="str">
            <v>CHILE</v>
          </cell>
        </row>
        <row r="15030">
          <cell r="L15030" t="str">
            <v>Proportional</v>
          </cell>
          <cell r="S15030">
            <v>-117.9</v>
          </cell>
          <cell r="X15030" t="str">
            <v>Commissions - gross</v>
          </cell>
          <cell r="Y15030" t="str">
            <v>INDIA</v>
          </cell>
        </row>
        <row r="15031">
          <cell r="L15031" t="str">
            <v>Proportional</v>
          </cell>
          <cell r="S15031">
            <v>315.37</v>
          </cell>
          <cell r="X15031" t="str">
            <v>Commissions - gross</v>
          </cell>
          <cell r="Y15031" t="str">
            <v>REPUBLIC OF IRELAND</v>
          </cell>
        </row>
        <row r="15032">
          <cell r="L15032" t="str">
            <v>Proportional</v>
          </cell>
          <cell r="S15032">
            <v>1490.4</v>
          </cell>
          <cell r="X15032" t="str">
            <v>Commissions - gross</v>
          </cell>
          <cell r="Y15032" t="str">
            <v>ITALY</v>
          </cell>
        </row>
        <row r="15033">
          <cell r="L15033" t="str">
            <v>Proportional</v>
          </cell>
          <cell r="S15033">
            <v>51482.48</v>
          </cell>
          <cell r="X15033" t="str">
            <v>Commissions - gross</v>
          </cell>
          <cell r="Y15033" t="str">
            <v>EUROPE</v>
          </cell>
        </row>
        <row r="15034">
          <cell r="L15034" t="str">
            <v>Proportional</v>
          </cell>
          <cell r="S15034">
            <v>105</v>
          </cell>
          <cell r="X15034" t="str">
            <v>Commissions - gross</v>
          </cell>
          <cell r="Y15034" t="str">
            <v>TURKEY</v>
          </cell>
        </row>
        <row r="15035">
          <cell r="L15035" t="str">
            <v>Proportional</v>
          </cell>
          <cell r="S15035">
            <v>-976.37</v>
          </cell>
          <cell r="X15035" t="str">
            <v>Commissions - gross</v>
          </cell>
          <cell r="Y15035" t="str">
            <v>CHILE</v>
          </cell>
        </row>
        <row r="15036">
          <cell r="L15036" t="str">
            <v>Proportional</v>
          </cell>
          <cell r="S15036">
            <v>849.68</v>
          </cell>
          <cell r="X15036" t="str">
            <v>Commissions - gross</v>
          </cell>
          <cell r="Y15036" t="str">
            <v>Turkey</v>
          </cell>
        </row>
        <row r="15037">
          <cell r="L15037" t="str">
            <v>Proportional</v>
          </cell>
          <cell r="S15037">
            <v>-0.82</v>
          </cell>
          <cell r="X15037" t="str">
            <v>Commissions - gross</v>
          </cell>
          <cell r="Y15037" t="str">
            <v>Hong Kong</v>
          </cell>
        </row>
        <row r="15038">
          <cell r="L15038" t="str">
            <v>Proportional</v>
          </cell>
          <cell r="S15038">
            <v>4632.6400000000003</v>
          </cell>
          <cell r="X15038" t="str">
            <v>Commissions - gross</v>
          </cell>
          <cell r="Y15038" t="str">
            <v>HONG KONG</v>
          </cell>
        </row>
        <row r="15039">
          <cell r="L15039" t="str">
            <v>Proportional</v>
          </cell>
          <cell r="S15039">
            <v>-5734.02</v>
          </cell>
          <cell r="X15039" t="str">
            <v>Commissions - gross</v>
          </cell>
          <cell r="Y15039" t="str">
            <v>REPUBLIC OF IRELAND</v>
          </cell>
        </row>
        <row r="15040">
          <cell r="L15040" t="str">
            <v>Proportional</v>
          </cell>
          <cell r="S15040">
            <v>-4710.9799999999996</v>
          </cell>
          <cell r="X15040" t="str">
            <v>Commissions - gross</v>
          </cell>
          <cell r="Y15040" t="str">
            <v>HONG KONG</v>
          </cell>
        </row>
        <row r="15041">
          <cell r="L15041" t="str">
            <v>Proportional</v>
          </cell>
          <cell r="S15041">
            <v>-20919.759999999998</v>
          </cell>
          <cell r="X15041" t="str">
            <v>Commissions - gross</v>
          </cell>
          <cell r="Y15041" t="str">
            <v>ITALY</v>
          </cell>
        </row>
        <row r="15042">
          <cell r="L15042" t="str">
            <v>Proportional</v>
          </cell>
          <cell r="S15042">
            <v>3713040</v>
          </cell>
          <cell r="X15042" t="str">
            <v>Commissions - gross</v>
          </cell>
          <cell r="Y15042" t="str">
            <v>ITALY</v>
          </cell>
        </row>
        <row r="15043">
          <cell r="L15043" t="str">
            <v>Proportional</v>
          </cell>
          <cell r="S15043">
            <v>335.32</v>
          </cell>
          <cell r="X15043" t="str">
            <v>Commissions - gross</v>
          </cell>
          <cell r="Y15043" t="str">
            <v>HONG KONG</v>
          </cell>
        </row>
        <row r="15044">
          <cell r="L15044" t="str">
            <v>Proportional</v>
          </cell>
          <cell r="S15044">
            <v>-7022.37</v>
          </cell>
          <cell r="X15044" t="str">
            <v>Commissions - gross</v>
          </cell>
          <cell r="Y15044" t="str">
            <v>CHILE</v>
          </cell>
        </row>
        <row r="15045">
          <cell r="L15045" t="str">
            <v>Proportional</v>
          </cell>
          <cell r="S15045">
            <v>-315.37</v>
          </cell>
          <cell r="X15045" t="str">
            <v>Commissions - gross</v>
          </cell>
          <cell r="Y15045" t="str">
            <v>REPUBLIC OF IRELAND</v>
          </cell>
        </row>
        <row r="15046">
          <cell r="L15046" t="str">
            <v>Proportional</v>
          </cell>
          <cell r="S15046">
            <v>-12.52</v>
          </cell>
          <cell r="X15046" t="str">
            <v>Commissions - gross</v>
          </cell>
          <cell r="Y15046" t="str">
            <v>INDIA</v>
          </cell>
        </row>
        <row r="15047">
          <cell r="L15047" t="str">
            <v>Proportional</v>
          </cell>
          <cell r="S15047">
            <v>-8.35</v>
          </cell>
          <cell r="X15047" t="str">
            <v>Commissions - gross</v>
          </cell>
          <cell r="Y15047" t="str">
            <v>Turkey</v>
          </cell>
        </row>
        <row r="15048">
          <cell r="L15048" t="str">
            <v>Proportional</v>
          </cell>
          <cell r="S15048">
            <v>-20316.05</v>
          </cell>
          <cell r="X15048" t="str">
            <v>Commissions - gross</v>
          </cell>
          <cell r="Y15048" t="str">
            <v>CHILE</v>
          </cell>
        </row>
        <row r="15049">
          <cell r="L15049" t="str">
            <v>Proportional</v>
          </cell>
          <cell r="S15049">
            <v>-51482.48</v>
          </cell>
          <cell r="X15049" t="str">
            <v>Commissions - gross</v>
          </cell>
          <cell r="Y15049" t="str">
            <v>EUROPE</v>
          </cell>
        </row>
        <row r="15050">
          <cell r="L15050" t="str">
            <v>Proportional</v>
          </cell>
          <cell r="S15050">
            <v>-42904.4</v>
          </cell>
          <cell r="X15050" t="str">
            <v>Commissions - gross</v>
          </cell>
          <cell r="Y15050" t="str">
            <v>AUSTRALIA</v>
          </cell>
        </row>
        <row r="15051">
          <cell r="L15051" t="str">
            <v>Proportional</v>
          </cell>
          <cell r="S15051">
            <v>732.39</v>
          </cell>
          <cell r="X15051" t="str">
            <v>Commissions - gross</v>
          </cell>
          <cell r="Y15051" t="str">
            <v>TURKEY</v>
          </cell>
        </row>
        <row r="15052">
          <cell r="L15052" t="str">
            <v>Proportional</v>
          </cell>
          <cell r="S15052">
            <v>54.41</v>
          </cell>
          <cell r="X15052" t="str">
            <v>Commissions - gross</v>
          </cell>
          <cell r="Y15052" t="str">
            <v>CHILE</v>
          </cell>
        </row>
        <row r="15053">
          <cell r="L15053" t="str">
            <v>Proportional</v>
          </cell>
          <cell r="S15053">
            <v>0.82</v>
          </cell>
          <cell r="X15053" t="str">
            <v>Commissions - gross</v>
          </cell>
          <cell r="Y15053" t="str">
            <v>Hong Kong</v>
          </cell>
        </row>
        <row r="15054">
          <cell r="L15054" t="str">
            <v>Proportional</v>
          </cell>
          <cell r="S15054">
            <v>-61793.29</v>
          </cell>
          <cell r="X15054" t="str">
            <v>Commissions - gross</v>
          </cell>
          <cell r="Y15054" t="str">
            <v>INDIA</v>
          </cell>
        </row>
        <row r="15055">
          <cell r="L15055" t="str">
            <v>Proportional</v>
          </cell>
          <cell r="S15055">
            <v>49.31</v>
          </cell>
          <cell r="X15055" t="str">
            <v>Commissions - gross</v>
          </cell>
          <cell r="Y15055" t="str">
            <v>Hong Kong</v>
          </cell>
        </row>
        <row r="15056">
          <cell r="L15056" t="str">
            <v>Proportional</v>
          </cell>
          <cell r="S15056">
            <v>4.37</v>
          </cell>
          <cell r="X15056" t="str">
            <v>Commissions - gross</v>
          </cell>
          <cell r="Y15056" t="str">
            <v>Turkey</v>
          </cell>
        </row>
        <row r="15057">
          <cell r="L15057" t="str">
            <v>Proportional</v>
          </cell>
          <cell r="S15057">
            <v>-18446.8</v>
          </cell>
          <cell r="X15057" t="str">
            <v>Commissions - gross</v>
          </cell>
          <cell r="Y15057" t="str">
            <v>AUSTRALIA</v>
          </cell>
        </row>
        <row r="15058">
          <cell r="L15058" t="str">
            <v>Proportional</v>
          </cell>
          <cell r="S15058">
            <v>5734.02</v>
          </cell>
          <cell r="X15058" t="str">
            <v>Commissions - gross</v>
          </cell>
          <cell r="Y15058" t="str">
            <v>REPUBLIC OF IRELAND</v>
          </cell>
        </row>
        <row r="15059">
          <cell r="L15059" t="str">
            <v>Proportional</v>
          </cell>
          <cell r="S15059">
            <v>18446.8</v>
          </cell>
          <cell r="X15059" t="str">
            <v>Commissions - gross</v>
          </cell>
          <cell r="Y15059" t="str">
            <v>AUSTRALIA</v>
          </cell>
        </row>
        <row r="15060">
          <cell r="L15060" t="str">
            <v>Proportional</v>
          </cell>
          <cell r="S15060">
            <v>12.52</v>
          </cell>
          <cell r="X15060" t="str">
            <v>Commissions - gross</v>
          </cell>
          <cell r="Y15060" t="str">
            <v>INDIA</v>
          </cell>
        </row>
        <row r="15061">
          <cell r="L15061" t="str">
            <v>Proportional</v>
          </cell>
          <cell r="S15061">
            <v>0.59</v>
          </cell>
          <cell r="X15061" t="str">
            <v>Commissions - gross</v>
          </cell>
          <cell r="Y15061" t="str">
            <v>Hong Kong</v>
          </cell>
        </row>
        <row r="15062">
          <cell r="L15062" t="str">
            <v>Proportional</v>
          </cell>
          <cell r="S15062">
            <v>4710.9799999999996</v>
          </cell>
          <cell r="X15062" t="str">
            <v>Commissions - gross</v>
          </cell>
          <cell r="Y15062" t="str">
            <v>HONG KONG</v>
          </cell>
        </row>
        <row r="15063">
          <cell r="L15063" t="str">
            <v>Proportional</v>
          </cell>
          <cell r="S15063">
            <v>5734.02</v>
          </cell>
          <cell r="X15063" t="str">
            <v>Commissions - gross</v>
          </cell>
          <cell r="Y15063" t="str">
            <v>REPUBLIC OF IRELAND</v>
          </cell>
        </row>
        <row r="15064">
          <cell r="L15064" t="str">
            <v>Proportional</v>
          </cell>
          <cell r="S15064">
            <v>146.33000000000001</v>
          </cell>
          <cell r="X15064" t="str">
            <v>Commissions - gross</v>
          </cell>
          <cell r="Y15064" t="str">
            <v>Hong Kong</v>
          </cell>
        </row>
        <row r="15065">
          <cell r="L15065" t="str">
            <v>Proportional</v>
          </cell>
          <cell r="S15065">
            <v>0.83</v>
          </cell>
          <cell r="X15065" t="str">
            <v>Commissions - gross</v>
          </cell>
          <cell r="Y15065" t="str">
            <v>Turkey</v>
          </cell>
        </row>
        <row r="15066">
          <cell r="L15066" t="str">
            <v>Proportional</v>
          </cell>
          <cell r="S15066">
            <v>54.41</v>
          </cell>
          <cell r="X15066" t="str">
            <v>Commissions - gross</v>
          </cell>
          <cell r="Y15066" t="str">
            <v>CHILE</v>
          </cell>
        </row>
        <row r="15067">
          <cell r="L15067" t="str">
            <v>Proportional</v>
          </cell>
          <cell r="S15067">
            <v>0.31</v>
          </cell>
          <cell r="X15067" t="str">
            <v>Commissions - gross</v>
          </cell>
          <cell r="Y15067" t="str">
            <v>HONG KONG</v>
          </cell>
        </row>
        <row r="15068">
          <cell r="L15068" t="str">
            <v>Proportional</v>
          </cell>
          <cell r="S15068">
            <v>166.57</v>
          </cell>
          <cell r="X15068" t="str">
            <v>Commissions - gross</v>
          </cell>
          <cell r="Y15068" t="str">
            <v>Turkey</v>
          </cell>
        </row>
        <row r="15069">
          <cell r="L15069" t="str">
            <v>Proportional</v>
          </cell>
          <cell r="S15069">
            <v>54615.77</v>
          </cell>
          <cell r="X15069" t="str">
            <v>Commissions - gross</v>
          </cell>
          <cell r="Y15069" t="str">
            <v>ITALY</v>
          </cell>
        </row>
        <row r="15070">
          <cell r="L15070" t="str">
            <v>Proportional</v>
          </cell>
          <cell r="S15070">
            <v>42904.4</v>
          </cell>
          <cell r="X15070" t="str">
            <v>Commissions - gross</v>
          </cell>
          <cell r="Y15070" t="str">
            <v>AUSTRALIA</v>
          </cell>
        </row>
        <row r="15071">
          <cell r="L15071" t="str">
            <v>Proportional</v>
          </cell>
          <cell r="S15071">
            <v>20919.759999999998</v>
          </cell>
          <cell r="X15071" t="str">
            <v>Commissions - gross</v>
          </cell>
          <cell r="Y15071" t="str">
            <v>ITALY</v>
          </cell>
        </row>
        <row r="15072">
          <cell r="L15072" t="str">
            <v>Proportional</v>
          </cell>
          <cell r="S15072">
            <v>422.09</v>
          </cell>
          <cell r="X15072" t="str">
            <v>Commissions - gross</v>
          </cell>
          <cell r="Y15072" t="str">
            <v>Hong Kong</v>
          </cell>
        </row>
        <row r="15073">
          <cell r="L15073" t="str">
            <v>Proportional</v>
          </cell>
          <cell r="S15073">
            <v>61793.29</v>
          </cell>
          <cell r="X15073" t="str">
            <v>Commissions - gross</v>
          </cell>
          <cell r="Y15073" t="str">
            <v>INDIA</v>
          </cell>
        </row>
        <row r="15074">
          <cell r="L15074" t="str">
            <v>Proportional</v>
          </cell>
          <cell r="S15074">
            <v>-10628.84</v>
          </cell>
          <cell r="X15074" t="str">
            <v>Commissions - gross</v>
          </cell>
          <cell r="Y15074" t="str">
            <v>ITALY</v>
          </cell>
        </row>
        <row r="15075">
          <cell r="L15075" t="str">
            <v>Proportional</v>
          </cell>
          <cell r="S15075">
            <v>0.85</v>
          </cell>
          <cell r="X15075" t="str">
            <v>Commissions - gross</v>
          </cell>
          <cell r="Y15075" t="str">
            <v>HONG KONG</v>
          </cell>
        </row>
        <row r="15076">
          <cell r="L15076" t="str">
            <v>Proportional</v>
          </cell>
          <cell r="S15076">
            <v>37.21</v>
          </cell>
          <cell r="X15076" t="str">
            <v>Commissions - gross</v>
          </cell>
          <cell r="Y15076" t="str">
            <v>Turkey</v>
          </cell>
        </row>
        <row r="15077">
          <cell r="L15077" t="str">
            <v>Proportional</v>
          </cell>
          <cell r="S15077">
            <v>-21274.639999999999</v>
          </cell>
          <cell r="X15077" t="str">
            <v>Commissions - gross</v>
          </cell>
          <cell r="Y15077" t="str">
            <v>ITALY</v>
          </cell>
        </row>
        <row r="15078">
          <cell r="L15078" t="str">
            <v>Proportional</v>
          </cell>
          <cell r="S15078">
            <v>-54.41</v>
          </cell>
          <cell r="X15078" t="str">
            <v>Commissions - gross</v>
          </cell>
          <cell r="Y15078" t="str">
            <v>CHILE</v>
          </cell>
        </row>
        <row r="15079">
          <cell r="L15079" t="str">
            <v>Proportional</v>
          </cell>
          <cell r="S15079">
            <v>-1490.4</v>
          </cell>
          <cell r="X15079" t="str">
            <v>Commissions - gross</v>
          </cell>
          <cell r="Y15079" t="str">
            <v>ITALY</v>
          </cell>
        </row>
        <row r="15080">
          <cell r="L15080" t="str">
            <v>Proportional</v>
          </cell>
          <cell r="S15080">
            <v>-54615.77</v>
          </cell>
          <cell r="X15080" t="str">
            <v>Commissions - gross</v>
          </cell>
          <cell r="Y15080" t="str">
            <v>ITALY</v>
          </cell>
        </row>
        <row r="15081">
          <cell r="L15081" t="str">
            <v>Proportional</v>
          </cell>
          <cell r="S15081">
            <v>-1490.4</v>
          </cell>
          <cell r="X15081" t="str">
            <v>Commissions - gross</v>
          </cell>
          <cell r="Y15081" t="str">
            <v>ITALY</v>
          </cell>
        </row>
        <row r="15082">
          <cell r="L15082" t="str">
            <v>Proportional</v>
          </cell>
          <cell r="S15082">
            <v>-3080969.57</v>
          </cell>
          <cell r="X15082" t="str">
            <v>Commissions - gross</v>
          </cell>
          <cell r="Y15082" t="str">
            <v>ITALY</v>
          </cell>
        </row>
        <row r="15083">
          <cell r="L15083" t="str">
            <v>Proportional</v>
          </cell>
          <cell r="S15083">
            <v>1896.53</v>
          </cell>
          <cell r="X15083" t="str">
            <v>Commissions - gross</v>
          </cell>
          <cell r="Y15083" t="str">
            <v>HONG KONG</v>
          </cell>
        </row>
        <row r="15084">
          <cell r="L15084" t="str">
            <v>Proportional</v>
          </cell>
          <cell r="S15084">
            <v>0.82</v>
          </cell>
          <cell r="X15084" t="str">
            <v>Commissions - gross</v>
          </cell>
          <cell r="Y15084" t="str">
            <v>Hong Kong</v>
          </cell>
        </row>
        <row r="15085">
          <cell r="L15085" t="str">
            <v>Proportional</v>
          </cell>
          <cell r="S15085">
            <v>60.27</v>
          </cell>
          <cell r="X15085" t="str">
            <v>Commissions - gross</v>
          </cell>
          <cell r="Y15085" t="str">
            <v>CHILE</v>
          </cell>
        </row>
        <row r="15086">
          <cell r="L15086" t="str">
            <v>Proportional</v>
          </cell>
          <cell r="S15086">
            <v>0.47</v>
          </cell>
          <cell r="X15086" t="str">
            <v>Commissions - gross</v>
          </cell>
          <cell r="Y15086" t="str">
            <v>TURKEY</v>
          </cell>
        </row>
        <row r="15087">
          <cell r="L15087" t="str">
            <v>Proportional</v>
          </cell>
          <cell r="S15087">
            <v>60.27</v>
          </cell>
          <cell r="X15087" t="str">
            <v>Commissions - gross</v>
          </cell>
          <cell r="Y15087" t="str">
            <v>CHILE</v>
          </cell>
        </row>
        <row r="15088">
          <cell r="L15088" t="str">
            <v>Proportional</v>
          </cell>
          <cell r="S15088">
            <v>13.94</v>
          </cell>
          <cell r="X15088" t="str">
            <v>Commissions - gross</v>
          </cell>
          <cell r="Y15088" t="str">
            <v>TURKEY</v>
          </cell>
        </row>
        <row r="15089">
          <cell r="L15089" t="str">
            <v>Proportional</v>
          </cell>
          <cell r="S15089">
            <v>-4632.6400000000003</v>
          </cell>
          <cell r="X15089" t="str">
            <v>Commissions - gross</v>
          </cell>
          <cell r="Y15089" t="str">
            <v>HONG KONG</v>
          </cell>
        </row>
        <row r="15090">
          <cell r="L15090" t="str">
            <v>Proportional</v>
          </cell>
          <cell r="S15090">
            <v>4710.9799999999996</v>
          </cell>
          <cell r="X15090" t="str">
            <v>Commissions - gross</v>
          </cell>
          <cell r="Y15090" t="str">
            <v>HONG KONG</v>
          </cell>
        </row>
        <row r="15091">
          <cell r="L15091" t="str">
            <v>Proportional</v>
          </cell>
          <cell r="S15091">
            <v>2100.92</v>
          </cell>
          <cell r="X15091" t="str">
            <v>Commissions - gross</v>
          </cell>
          <cell r="Y15091" t="str">
            <v>HONG KONG</v>
          </cell>
        </row>
        <row r="15092">
          <cell r="L15092" t="str">
            <v>Proportional</v>
          </cell>
          <cell r="S15092">
            <v>1059.4000000000001</v>
          </cell>
          <cell r="X15092" t="str">
            <v>Commissions - gross</v>
          </cell>
          <cell r="Y15092" t="str">
            <v>HONG KONG</v>
          </cell>
        </row>
        <row r="15093">
          <cell r="L15093" t="str">
            <v>Proportional</v>
          </cell>
          <cell r="S15093">
            <v>85.3</v>
          </cell>
          <cell r="X15093" t="str">
            <v>Commissions - gross</v>
          </cell>
          <cell r="Y15093" t="str">
            <v>TURKEY</v>
          </cell>
        </row>
        <row r="15094">
          <cell r="L15094" t="str">
            <v>Proportional</v>
          </cell>
          <cell r="S15094">
            <v>-12728.52</v>
          </cell>
          <cell r="X15094" t="str">
            <v>Commissions - gross</v>
          </cell>
          <cell r="Y15094" t="str">
            <v>ITALY</v>
          </cell>
        </row>
        <row r="15095">
          <cell r="L15095" t="str">
            <v>Proportional</v>
          </cell>
          <cell r="S15095">
            <v>586.94000000000005</v>
          </cell>
          <cell r="X15095" t="str">
            <v>Commissions - gross</v>
          </cell>
          <cell r="Y15095" t="str">
            <v>TURKEY</v>
          </cell>
        </row>
        <row r="15096">
          <cell r="L15096" t="str">
            <v>Proportional</v>
          </cell>
          <cell r="S15096">
            <v>-5734.02</v>
          </cell>
          <cell r="X15096" t="str">
            <v>Commissions - gross</v>
          </cell>
          <cell r="Y15096" t="str">
            <v>REPUBLIC OF IRELAND</v>
          </cell>
        </row>
        <row r="15097">
          <cell r="L15097" t="str">
            <v>Proportional</v>
          </cell>
          <cell r="S15097">
            <v>10.09</v>
          </cell>
          <cell r="X15097" t="str">
            <v>Commissions - gross</v>
          </cell>
          <cell r="Y15097" t="str">
            <v>Turkey</v>
          </cell>
        </row>
        <row r="15098">
          <cell r="L15098" t="str">
            <v>Proportional</v>
          </cell>
          <cell r="S15098">
            <v>-4710.9799999999996</v>
          </cell>
          <cell r="X15098" t="str">
            <v>Commissions - gross</v>
          </cell>
          <cell r="Y15098" t="str">
            <v>HONG KONG</v>
          </cell>
        </row>
        <row r="15099">
          <cell r="L15099" t="str">
            <v>Proportional</v>
          </cell>
          <cell r="S15099">
            <v>3080969.57</v>
          </cell>
          <cell r="X15099" t="str">
            <v>Commissions - gross</v>
          </cell>
          <cell r="Y15099" t="str">
            <v>ITALY</v>
          </cell>
        </row>
        <row r="15100">
          <cell r="L15100" t="str">
            <v>Proportional</v>
          </cell>
          <cell r="S15100">
            <v>-60.27</v>
          </cell>
          <cell r="X15100" t="str">
            <v>Commissions - gross</v>
          </cell>
          <cell r="Y15100" t="str">
            <v>CHILE</v>
          </cell>
        </row>
        <row r="15101">
          <cell r="L15101" t="str">
            <v>Proportional</v>
          </cell>
          <cell r="S15101">
            <v>80.430000000000007</v>
          </cell>
          <cell r="X15101" t="str">
            <v>Commissions - gross</v>
          </cell>
          <cell r="Y15101" t="str">
            <v>Turkey</v>
          </cell>
        </row>
        <row r="15102">
          <cell r="L15102" t="str">
            <v>Proportional</v>
          </cell>
          <cell r="S15102">
            <v>-1577.22</v>
          </cell>
          <cell r="X15102" t="str">
            <v>Commissions - gross</v>
          </cell>
          <cell r="Y15102" t="str">
            <v>CHILE</v>
          </cell>
        </row>
        <row r="15103">
          <cell r="L15103" t="str">
            <v>Proportional</v>
          </cell>
          <cell r="S15103">
            <v>12728.52</v>
          </cell>
          <cell r="X15103" t="str">
            <v>Commissions - gross</v>
          </cell>
          <cell r="Y15103" t="str">
            <v>ITALY</v>
          </cell>
        </row>
        <row r="15104">
          <cell r="L15104" t="str">
            <v>Proportional</v>
          </cell>
          <cell r="S15104">
            <v>241.64</v>
          </cell>
          <cell r="X15104" t="str">
            <v>Commissions - gross</v>
          </cell>
          <cell r="Y15104" t="str">
            <v>Hong Kong</v>
          </cell>
        </row>
        <row r="15105">
          <cell r="L15105" t="str">
            <v>Proportional</v>
          </cell>
          <cell r="S15105">
            <v>-4604.75</v>
          </cell>
          <cell r="X15105" t="str">
            <v>Commissions - gross</v>
          </cell>
          <cell r="Y15105" t="str">
            <v>ITALY</v>
          </cell>
        </row>
        <row r="15106">
          <cell r="L15106" t="str">
            <v>Non-proportional</v>
          </cell>
          <cell r="S15106">
            <v>-16678.66</v>
          </cell>
          <cell r="X15106" t="str">
            <v>Commissions - gross</v>
          </cell>
          <cell r="Y15106" t="str">
            <v>ISRAEL</v>
          </cell>
        </row>
        <row r="15107">
          <cell r="L15107" t="str">
            <v>Non-proportional</v>
          </cell>
          <cell r="S15107">
            <v>5965.78</v>
          </cell>
          <cell r="X15107" t="str">
            <v>Commissions - gross</v>
          </cell>
          <cell r="Y15107" t="str">
            <v>EUROPE</v>
          </cell>
        </row>
        <row r="15108">
          <cell r="L15108" t="str">
            <v>Non-proportional</v>
          </cell>
          <cell r="S15108">
            <v>468</v>
          </cell>
          <cell r="X15108" t="str">
            <v>Commissions - gross</v>
          </cell>
          <cell r="Y15108" t="str">
            <v>ITALY</v>
          </cell>
        </row>
        <row r="15109">
          <cell r="L15109" t="str">
            <v>Proportional</v>
          </cell>
          <cell r="S15109">
            <v>191117.53</v>
          </cell>
          <cell r="X15109" t="str">
            <v>Commissions - gross</v>
          </cell>
          <cell r="Y15109" t="str">
            <v>UNITED STATES</v>
          </cell>
        </row>
        <row r="15110">
          <cell r="L15110" t="str">
            <v>Non-proportional</v>
          </cell>
          <cell r="S15110">
            <v>3211.59</v>
          </cell>
          <cell r="X15110" t="str">
            <v>Commissions - gross</v>
          </cell>
          <cell r="Y15110" t="str">
            <v>ISRAEL</v>
          </cell>
        </row>
        <row r="15111">
          <cell r="L15111" t="str">
            <v>Non-proportional</v>
          </cell>
          <cell r="S15111">
            <v>2369</v>
          </cell>
          <cell r="X15111" t="str">
            <v>Commissions - gross</v>
          </cell>
          <cell r="Y15111" t="str">
            <v>PERU</v>
          </cell>
        </row>
        <row r="15112">
          <cell r="L15112" t="str">
            <v>Non-proportional</v>
          </cell>
          <cell r="S15112">
            <v>4620</v>
          </cell>
          <cell r="X15112" t="str">
            <v>Commissions - gross</v>
          </cell>
          <cell r="Y15112" t="str">
            <v>BELGIUM</v>
          </cell>
        </row>
        <row r="15113">
          <cell r="L15113" t="str">
            <v>Non-proportional</v>
          </cell>
          <cell r="S15113">
            <v>-5696.45</v>
          </cell>
          <cell r="X15113" t="str">
            <v>Commissions - gross</v>
          </cell>
          <cell r="Y15113" t="str">
            <v>CYPRUS</v>
          </cell>
        </row>
        <row r="15114">
          <cell r="L15114" t="str">
            <v>Non-proportional</v>
          </cell>
          <cell r="S15114">
            <v>-4097.6400000000003</v>
          </cell>
          <cell r="X15114" t="str">
            <v>Commissions - gross</v>
          </cell>
          <cell r="Y15114" t="str">
            <v>THAILAND</v>
          </cell>
        </row>
        <row r="15115">
          <cell r="L15115" t="str">
            <v>Proportional</v>
          </cell>
          <cell r="S15115">
            <v>11017.69</v>
          </cell>
          <cell r="X15115" t="str">
            <v>Commissions - gross</v>
          </cell>
          <cell r="Y15115" t="str">
            <v>ITALY</v>
          </cell>
        </row>
        <row r="15116">
          <cell r="L15116" t="str">
            <v>Proportional</v>
          </cell>
          <cell r="S15116">
            <v>491.15</v>
          </cell>
          <cell r="X15116" t="str">
            <v>Commissions - gross</v>
          </cell>
          <cell r="Y15116" t="str">
            <v>CHILE</v>
          </cell>
        </row>
        <row r="15117">
          <cell r="L15117" t="str">
            <v>Non-proportional</v>
          </cell>
          <cell r="S15117">
            <v>131196.46</v>
          </cell>
          <cell r="X15117" t="str">
            <v>Commissions - gross</v>
          </cell>
          <cell r="Y15117" t="str">
            <v>FRANCE</v>
          </cell>
        </row>
        <row r="15118">
          <cell r="L15118" t="str">
            <v>Non-proportional</v>
          </cell>
          <cell r="S15118">
            <v>10852.72</v>
          </cell>
          <cell r="X15118" t="str">
            <v>Commissions - gross</v>
          </cell>
          <cell r="Y15118" t="str">
            <v>FRANCE</v>
          </cell>
        </row>
        <row r="15119">
          <cell r="L15119" t="str">
            <v>Non-proportional</v>
          </cell>
          <cell r="S15119">
            <v>-5281.29</v>
          </cell>
          <cell r="X15119" t="str">
            <v>Commissions - gross</v>
          </cell>
          <cell r="Y15119" t="str">
            <v>FRANCE</v>
          </cell>
        </row>
        <row r="15120">
          <cell r="L15120" t="str">
            <v>Non-proportional</v>
          </cell>
          <cell r="S15120">
            <v>-4500</v>
          </cell>
          <cell r="X15120" t="str">
            <v>Commissions - gross</v>
          </cell>
          <cell r="Y15120" t="str">
            <v>FRANCE</v>
          </cell>
        </row>
        <row r="15121">
          <cell r="L15121" t="str">
            <v>Non-proportional</v>
          </cell>
          <cell r="S15121">
            <v>4674.7700000000004</v>
          </cell>
          <cell r="X15121" t="str">
            <v>Commissions - gross</v>
          </cell>
          <cell r="Y15121" t="str">
            <v>THAILAND</v>
          </cell>
        </row>
        <row r="15122">
          <cell r="L15122" t="str">
            <v>Non-proportional</v>
          </cell>
          <cell r="S15122">
            <v>12848.49</v>
          </cell>
          <cell r="X15122" t="str">
            <v>Commissions - gross</v>
          </cell>
          <cell r="Y15122" t="str">
            <v>FRANCE</v>
          </cell>
        </row>
        <row r="15123">
          <cell r="L15123" t="str">
            <v>Non-proportional</v>
          </cell>
          <cell r="S15123">
            <v>4312.5</v>
          </cell>
          <cell r="X15123" t="str">
            <v>Commissions - gross</v>
          </cell>
          <cell r="Y15123" t="str">
            <v>GREECE</v>
          </cell>
        </row>
        <row r="15124">
          <cell r="L15124" t="str">
            <v>Non-proportional</v>
          </cell>
          <cell r="S15124">
            <v>4687.3900000000003</v>
          </cell>
          <cell r="X15124" t="str">
            <v>Commissions - gross</v>
          </cell>
          <cell r="Y15124" t="str">
            <v>EUROPE</v>
          </cell>
        </row>
        <row r="15125">
          <cell r="L15125" t="str">
            <v>Proportional</v>
          </cell>
          <cell r="S15125">
            <v>-134.4</v>
          </cell>
          <cell r="X15125" t="str">
            <v>Commissions - gross</v>
          </cell>
          <cell r="Y15125" t="str">
            <v>JAPAN</v>
          </cell>
        </row>
        <row r="15126">
          <cell r="L15126" t="str">
            <v>Non-proportional</v>
          </cell>
          <cell r="S15126">
            <v>12877.2</v>
          </cell>
          <cell r="X15126" t="str">
            <v>Commissions - gross</v>
          </cell>
          <cell r="Y15126" t="str">
            <v>BELGIUM</v>
          </cell>
        </row>
        <row r="15127">
          <cell r="L15127" t="str">
            <v>Non-proportional</v>
          </cell>
          <cell r="S15127">
            <v>4058.21</v>
          </cell>
          <cell r="X15127" t="str">
            <v>Commissions - gross</v>
          </cell>
          <cell r="Y15127" t="str">
            <v>ITALY</v>
          </cell>
        </row>
        <row r="15128">
          <cell r="L15128" t="str">
            <v>Non-proportional</v>
          </cell>
          <cell r="S15128">
            <v>-6606.21</v>
          </cell>
          <cell r="X15128" t="str">
            <v>Commissions - gross</v>
          </cell>
          <cell r="Y15128" t="str">
            <v>ISRAEL</v>
          </cell>
        </row>
        <row r="15129">
          <cell r="L15129" t="str">
            <v>Non-proportional</v>
          </cell>
          <cell r="S15129">
            <v>6150</v>
          </cell>
          <cell r="X15129" t="str">
            <v>Commissions - gross</v>
          </cell>
          <cell r="Y15129" t="str">
            <v>ITALY</v>
          </cell>
        </row>
        <row r="15130">
          <cell r="L15130" t="str">
            <v>Non-proportional</v>
          </cell>
          <cell r="S15130">
            <v>16678.66</v>
          </cell>
          <cell r="X15130" t="str">
            <v>Commissions - gross</v>
          </cell>
          <cell r="Y15130" t="str">
            <v>ISRAEL</v>
          </cell>
        </row>
        <row r="15131">
          <cell r="L15131" t="str">
            <v>Non-proportional</v>
          </cell>
          <cell r="S15131">
            <v>5842</v>
          </cell>
          <cell r="X15131" t="str">
            <v>Commissions - gross</v>
          </cell>
          <cell r="Y15131" t="str">
            <v>ITALY</v>
          </cell>
        </row>
        <row r="15132">
          <cell r="L15132" t="str">
            <v>Non-proportional</v>
          </cell>
          <cell r="S15132">
            <v>2207.25</v>
          </cell>
          <cell r="X15132" t="str">
            <v>Commissions - gross</v>
          </cell>
          <cell r="Y15132" t="str">
            <v>GREECE</v>
          </cell>
        </row>
        <row r="15133">
          <cell r="L15133" t="str">
            <v>Non-proportional</v>
          </cell>
          <cell r="S15133">
            <v>-19757.080000000002</v>
          </cell>
          <cell r="X15133" t="str">
            <v>Commissions - gross</v>
          </cell>
          <cell r="Y15133" t="str">
            <v>TURKEY</v>
          </cell>
        </row>
        <row r="15134">
          <cell r="L15134" t="str">
            <v>Non-proportional</v>
          </cell>
          <cell r="S15134">
            <v>2491.41</v>
          </cell>
          <cell r="X15134" t="str">
            <v>Commissions - gross</v>
          </cell>
          <cell r="Y15134" t="str">
            <v>PERU</v>
          </cell>
        </row>
        <row r="15135">
          <cell r="L15135" t="str">
            <v>Non-proportional</v>
          </cell>
          <cell r="S15135">
            <v>2075.6999999999998</v>
          </cell>
          <cell r="X15135" t="str">
            <v>Commissions - gross</v>
          </cell>
          <cell r="Y15135" t="str">
            <v>BRAZIL</v>
          </cell>
        </row>
        <row r="15136">
          <cell r="L15136" t="str">
            <v>Non-proportional</v>
          </cell>
          <cell r="S15136">
            <v>418.5</v>
          </cell>
          <cell r="X15136" t="str">
            <v>Commissions - gross</v>
          </cell>
          <cell r="Y15136" t="str">
            <v>ITALY</v>
          </cell>
        </row>
        <row r="15137">
          <cell r="L15137" t="str">
            <v>Non-proportional</v>
          </cell>
          <cell r="S15137">
            <v>11799.34</v>
          </cell>
          <cell r="X15137" t="str">
            <v>Commissions - gross</v>
          </cell>
          <cell r="Y15137" t="str">
            <v>FRANCE</v>
          </cell>
        </row>
        <row r="15138">
          <cell r="L15138" t="str">
            <v>Non-proportional</v>
          </cell>
          <cell r="S15138">
            <v>-928.8</v>
          </cell>
          <cell r="X15138" t="str">
            <v>Commissions - gross</v>
          </cell>
          <cell r="Y15138" t="str">
            <v>GREECE</v>
          </cell>
        </row>
        <row r="15139">
          <cell r="L15139" t="str">
            <v>Non-proportional</v>
          </cell>
          <cell r="S15139">
            <v>-34801</v>
          </cell>
          <cell r="X15139" t="str">
            <v>Commissions - gross</v>
          </cell>
          <cell r="Y15139" t="str">
            <v>TURKEY</v>
          </cell>
        </row>
        <row r="15140">
          <cell r="L15140" t="str">
            <v>Non-proportional</v>
          </cell>
          <cell r="S15140">
            <v>2122.48</v>
          </cell>
          <cell r="X15140" t="str">
            <v>Commissions - gross</v>
          </cell>
          <cell r="Y15140" t="str">
            <v>FRANCE</v>
          </cell>
        </row>
        <row r="15141">
          <cell r="L15141" t="str">
            <v>Non-proportional</v>
          </cell>
          <cell r="S15141">
            <v>8925</v>
          </cell>
          <cell r="X15141" t="str">
            <v>Commissions - gross</v>
          </cell>
          <cell r="Y15141" t="str">
            <v>ITALY</v>
          </cell>
        </row>
        <row r="15142">
          <cell r="L15142" t="str">
            <v>Non-proportional</v>
          </cell>
          <cell r="S15142">
            <v>-19785.310000000001</v>
          </cell>
          <cell r="X15142" t="str">
            <v>Commissions - gross</v>
          </cell>
          <cell r="Y15142" t="str">
            <v>UNITED KINGDOM</v>
          </cell>
        </row>
        <row r="15143">
          <cell r="L15143" t="str">
            <v>Non-proportional</v>
          </cell>
          <cell r="S15143">
            <v>5098.95</v>
          </cell>
          <cell r="X15143" t="str">
            <v>Commissions - gross</v>
          </cell>
          <cell r="Y15143" t="str">
            <v>ECUADOR</v>
          </cell>
        </row>
        <row r="15144">
          <cell r="L15144" t="str">
            <v>Non-proportional</v>
          </cell>
          <cell r="S15144">
            <v>-587.25</v>
          </cell>
          <cell r="X15144" t="str">
            <v>Commissions - gross</v>
          </cell>
          <cell r="Y15144" t="str">
            <v>GREECE</v>
          </cell>
        </row>
        <row r="15145">
          <cell r="L15145" t="str">
            <v>Non-proportional</v>
          </cell>
          <cell r="S15145">
            <v>-124091.23</v>
          </cell>
          <cell r="X15145" t="str">
            <v>Commissions - gross</v>
          </cell>
          <cell r="Y15145" t="str">
            <v>UNITED KINGDOM</v>
          </cell>
        </row>
        <row r="15146">
          <cell r="L15146" t="str">
            <v>Non-proportional</v>
          </cell>
          <cell r="S15146">
            <v>4801.2</v>
          </cell>
          <cell r="X15146" t="str">
            <v>Commissions - gross</v>
          </cell>
          <cell r="Y15146" t="str">
            <v>ITALY</v>
          </cell>
        </row>
        <row r="15147">
          <cell r="L15147" t="str">
            <v>Non-proportional</v>
          </cell>
          <cell r="S15147">
            <v>4339.26</v>
          </cell>
          <cell r="X15147" t="str">
            <v>Commissions - gross</v>
          </cell>
          <cell r="Y15147" t="str">
            <v>ISRAEL</v>
          </cell>
        </row>
        <row r="15148">
          <cell r="L15148" t="str">
            <v>Non-proportional</v>
          </cell>
          <cell r="S15148">
            <v>-80288.539999999994</v>
          </cell>
          <cell r="X15148" t="str">
            <v>Commissions - gross</v>
          </cell>
          <cell r="Y15148" t="str">
            <v>UNITED KINGDOM</v>
          </cell>
        </row>
        <row r="15149">
          <cell r="L15149" t="str">
            <v>Non-proportional</v>
          </cell>
          <cell r="S15149">
            <v>5696.45</v>
          </cell>
          <cell r="X15149" t="str">
            <v>Commissions - gross</v>
          </cell>
          <cell r="Y15149" t="str">
            <v>CYPRUS</v>
          </cell>
        </row>
        <row r="15150">
          <cell r="L15150" t="str">
            <v>Non-proportional</v>
          </cell>
          <cell r="S15150">
            <v>4097.6400000000003</v>
          </cell>
          <cell r="X15150" t="str">
            <v>Commissions - gross</v>
          </cell>
          <cell r="Y15150" t="str">
            <v>THAILAND</v>
          </cell>
        </row>
        <row r="15151">
          <cell r="L15151" t="str">
            <v>Non-proportional</v>
          </cell>
          <cell r="S15151">
            <v>7772.01</v>
          </cell>
          <cell r="X15151" t="str">
            <v>Commissions - gross</v>
          </cell>
          <cell r="Y15151" t="str">
            <v>ISRAEL</v>
          </cell>
        </row>
        <row r="15152">
          <cell r="L15152" t="str">
            <v>Non-proportional</v>
          </cell>
          <cell r="S15152">
            <v>1399.55</v>
          </cell>
          <cell r="X15152" t="str">
            <v>Commissions - gross</v>
          </cell>
          <cell r="Y15152" t="str">
            <v>ISRAEL</v>
          </cell>
        </row>
        <row r="15153">
          <cell r="L15153" t="str">
            <v>Proportional</v>
          </cell>
          <cell r="S15153">
            <v>-37.97</v>
          </cell>
          <cell r="X15153" t="str">
            <v>Commissions - gross</v>
          </cell>
          <cell r="Y15153" t="str">
            <v>UNITED STATES</v>
          </cell>
        </row>
        <row r="15154">
          <cell r="L15154" t="str">
            <v>Non-proportional</v>
          </cell>
          <cell r="S15154">
            <v>3883.1</v>
          </cell>
          <cell r="X15154" t="str">
            <v>Commissions - gross</v>
          </cell>
          <cell r="Y15154" t="str">
            <v>UNITED KINGDOM</v>
          </cell>
        </row>
        <row r="15155">
          <cell r="L15155" t="str">
            <v>Non-proportional</v>
          </cell>
          <cell r="S15155">
            <v>19757.080000000002</v>
          </cell>
          <cell r="X15155" t="str">
            <v>Commissions - gross</v>
          </cell>
          <cell r="Y15155" t="str">
            <v>TURKEY</v>
          </cell>
        </row>
        <row r="15156">
          <cell r="L15156" t="str">
            <v>Non-proportional</v>
          </cell>
          <cell r="S15156">
            <v>5080</v>
          </cell>
          <cell r="X15156" t="str">
            <v>Commissions - gross</v>
          </cell>
          <cell r="Y15156" t="str">
            <v>FRANCE</v>
          </cell>
        </row>
        <row r="15157">
          <cell r="L15157" t="str">
            <v>Non-proportional</v>
          </cell>
          <cell r="S15157">
            <v>444.24</v>
          </cell>
          <cell r="X15157" t="str">
            <v>Commissions - gross</v>
          </cell>
          <cell r="Y15157" t="str">
            <v>FRANCE</v>
          </cell>
        </row>
        <row r="15158">
          <cell r="L15158" t="str">
            <v>Non-proportional</v>
          </cell>
          <cell r="S15158">
            <v>8990.75</v>
          </cell>
          <cell r="X15158" t="str">
            <v>Commissions - gross</v>
          </cell>
          <cell r="Y15158" t="str">
            <v>FRANCE</v>
          </cell>
        </row>
        <row r="15159">
          <cell r="L15159" t="str">
            <v>Non-proportional</v>
          </cell>
          <cell r="S15159">
            <v>9167.35</v>
          </cell>
          <cell r="X15159" t="str">
            <v>Commissions - gross</v>
          </cell>
          <cell r="Y15159" t="str">
            <v>UNITED KINGDOM</v>
          </cell>
        </row>
        <row r="15160">
          <cell r="L15160" t="str">
            <v>Non-proportional</v>
          </cell>
          <cell r="S15160">
            <v>-496364.89</v>
          </cell>
          <cell r="X15160" t="str">
            <v>Commissions - gross</v>
          </cell>
          <cell r="Y15160" t="str">
            <v>UNITED KINGDOM</v>
          </cell>
        </row>
        <row r="15161">
          <cell r="L15161" t="str">
            <v>Non-proportional</v>
          </cell>
          <cell r="S15161">
            <v>4893.75</v>
          </cell>
          <cell r="X15161" t="str">
            <v>Commissions - gross</v>
          </cell>
          <cell r="Y15161" t="str">
            <v>GREECE</v>
          </cell>
        </row>
        <row r="15162">
          <cell r="L15162" t="str">
            <v>Non-proportional</v>
          </cell>
          <cell r="S15162">
            <v>1518.75</v>
          </cell>
          <cell r="X15162" t="str">
            <v>Commissions - gross</v>
          </cell>
          <cell r="Y15162" t="str">
            <v>GREECE</v>
          </cell>
        </row>
        <row r="15163">
          <cell r="L15163" t="str">
            <v>Non-proportional</v>
          </cell>
          <cell r="S15163">
            <v>1435.67</v>
          </cell>
          <cell r="X15163" t="str">
            <v>Commissions - gross</v>
          </cell>
          <cell r="Y15163" t="str">
            <v>CHILE</v>
          </cell>
        </row>
        <row r="15164">
          <cell r="L15164" t="str">
            <v>Non-proportional</v>
          </cell>
          <cell r="S15164">
            <v>1437.5</v>
          </cell>
          <cell r="X15164" t="str">
            <v>Commissions - gross</v>
          </cell>
          <cell r="Y15164" t="str">
            <v>GERMANY</v>
          </cell>
        </row>
        <row r="15165">
          <cell r="L15165" t="str">
            <v>Non-proportional</v>
          </cell>
          <cell r="S15165">
            <v>15197.57</v>
          </cell>
          <cell r="X15165" t="str">
            <v>Commissions - gross</v>
          </cell>
          <cell r="Y15165" t="str">
            <v>FRANCE</v>
          </cell>
        </row>
        <row r="15166">
          <cell r="L15166" t="str">
            <v>Non-proportional</v>
          </cell>
          <cell r="S15166">
            <v>-3937.5</v>
          </cell>
          <cell r="X15166" t="str">
            <v>Commissions - gross</v>
          </cell>
          <cell r="Y15166" t="str">
            <v>ITALY</v>
          </cell>
        </row>
        <row r="15167">
          <cell r="L15167" t="str">
            <v>Non-proportional</v>
          </cell>
          <cell r="S15167">
            <v>-38400.03</v>
          </cell>
          <cell r="X15167" t="str">
            <v>Commissions - gross</v>
          </cell>
          <cell r="Y15167" t="str">
            <v>TURKEY</v>
          </cell>
        </row>
        <row r="15168">
          <cell r="L15168" t="str">
            <v>Non-proportional</v>
          </cell>
          <cell r="S15168">
            <v>6000</v>
          </cell>
          <cell r="X15168" t="str">
            <v>Commissions - gross</v>
          </cell>
          <cell r="Y15168" t="str">
            <v>FRANCE</v>
          </cell>
        </row>
        <row r="15169">
          <cell r="L15169" t="str">
            <v>Non-proportional</v>
          </cell>
          <cell r="S15169">
            <v>-10096</v>
          </cell>
          <cell r="X15169" t="str">
            <v>Commissions - gross</v>
          </cell>
          <cell r="Y15169" t="str">
            <v>NETHERLANDS</v>
          </cell>
        </row>
        <row r="15170">
          <cell r="L15170" t="str">
            <v>Non-proportional</v>
          </cell>
          <cell r="S15170">
            <v>-1910.23</v>
          </cell>
          <cell r="X15170" t="str">
            <v>Commissions - gross</v>
          </cell>
          <cell r="Y15170" t="str">
            <v>FRANCE</v>
          </cell>
        </row>
        <row r="15171">
          <cell r="L15171" t="str">
            <v>Non-proportional</v>
          </cell>
          <cell r="S15171">
            <v>925.8</v>
          </cell>
          <cell r="X15171" t="str">
            <v>Commissions - gross</v>
          </cell>
          <cell r="Y15171" t="str">
            <v>GERMANY</v>
          </cell>
        </row>
        <row r="15172">
          <cell r="L15172" t="str">
            <v>Non-proportional</v>
          </cell>
          <cell r="S15172">
            <v>12187.55</v>
          </cell>
          <cell r="X15172" t="str">
            <v>Commissions - gross</v>
          </cell>
          <cell r="Y15172" t="str">
            <v>EUROPE</v>
          </cell>
        </row>
        <row r="15173">
          <cell r="L15173" t="str">
            <v>Non-proportional</v>
          </cell>
          <cell r="S15173">
            <v>-3856.28</v>
          </cell>
          <cell r="X15173" t="str">
            <v>Commissions - gross</v>
          </cell>
          <cell r="Y15173" t="str">
            <v>GREECE</v>
          </cell>
        </row>
        <row r="15174">
          <cell r="L15174" t="str">
            <v>Non-proportional</v>
          </cell>
          <cell r="S15174">
            <v>3521.89</v>
          </cell>
          <cell r="X15174" t="str">
            <v>Commissions - gross</v>
          </cell>
          <cell r="Y15174" t="str">
            <v>ISRAEL</v>
          </cell>
        </row>
        <row r="15175">
          <cell r="L15175" t="str">
            <v>Non-proportional</v>
          </cell>
          <cell r="S15175">
            <v>-415.59</v>
          </cell>
          <cell r="X15175" t="str">
            <v>Commissions - gross</v>
          </cell>
          <cell r="Y15175" t="str">
            <v>CHILE</v>
          </cell>
        </row>
        <row r="15176">
          <cell r="L15176" t="str">
            <v>Non-proportional</v>
          </cell>
          <cell r="S15176">
            <v>-15579</v>
          </cell>
          <cell r="X15176" t="str">
            <v>Commissions - gross</v>
          </cell>
          <cell r="Y15176" t="str">
            <v>FRANCE</v>
          </cell>
        </row>
        <row r="15177">
          <cell r="L15177" t="str">
            <v>Non-proportional</v>
          </cell>
          <cell r="S15177">
            <v>15191.54</v>
          </cell>
          <cell r="X15177" t="str">
            <v>Commissions - gross</v>
          </cell>
          <cell r="Y15177" t="str">
            <v>ITALY</v>
          </cell>
        </row>
        <row r="15178">
          <cell r="L15178" t="str">
            <v>Non-proportional</v>
          </cell>
          <cell r="S15178">
            <v>10171.83</v>
          </cell>
          <cell r="X15178" t="str">
            <v>Commissions - gross</v>
          </cell>
          <cell r="Y15178" t="str">
            <v>ISRAEL</v>
          </cell>
        </row>
        <row r="15179">
          <cell r="L15179" t="str">
            <v>Non-proportional</v>
          </cell>
          <cell r="S15179">
            <v>51935.78</v>
          </cell>
          <cell r="X15179" t="str">
            <v>Commissions - gross</v>
          </cell>
          <cell r="Y15179" t="str">
            <v>UNITED STATES</v>
          </cell>
        </row>
        <row r="15180">
          <cell r="L15180" t="str">
            <v>Non-proportional</v>
          </cell>
          <cell r="S15180">
            <v>4007.8</v>
          </cell>
          <cell r="X15180" t="str">
            <v>Commissions - gross</v>
          </cell>
          <cell r="Y15180" t="str">
            <v>ISRAEL</v>
          </cell>
        </row>
        <row r="15181">
          <cell r="L15181" t="str">
            <v>Non-proportional</v>
          </cell>
          <cell r="S15181">
            <v>-1599.26</v>
          </cell>
          <cell r="X15181" t="str">
            <v>Commissions - gross</v>
          </cell>
          <cell r="Y15181" t="str">
            <v>FRANCE</v>
          </cell>
        </row>
        <row r="15182">
          <cell r="L15182" t="str">
            <v>Non-proportional</v>
          </cell>
          <cell r="S15182">
            <v>970.72</v>
          </cell>
          <cell r="X15182" t="str">
            <v>Commissions - gross</v>
          </cell>
          <cell r="Y15182" t="str">
            <v>ISRAEL</v>
          </cell>
        </row>
        <row r="15183">
          <cell r="L15183" t="str">
            <v>Non-proportional</v>
          </cell>
          <cell r="S15183">
            <v>159.5</v>
          </cell>
          <cell r="X15183" t="str">
            <v>Commissions - gross</v>
          </cell>
          <cell r="Y15183" t="str">
            <v>ITALY</v>
          </cell>
        </row>
        <row r="15184">
          <cell r="L15184" t="str">
            <v>Non-proportional</v>
          </cell>
          <cell r="S15184">
            <v>4680.96</v>
          </cell>
          <cell r="X15184" t="str">
            <v>Commissions - gross</v>
          </cell>
          <cell r="Y15184" t="str">
            <v>EUROPE</v>
          </cell>
        </row>
        <row r="15185">
          <cell r="L15185" t="str">
            <v>Proportional</v>
          </cell>
          <cell r="S15185">
            <v>4005.45</v>
          </cell>
          <cell r="X15185" t="str">
            <v>Commissions - gross</v>
          </cell>
          <cell r="Y15185" t="str">
            <v>JAPAN</v>
          </cell>
        </row>
        <row r="15186">
          <cell r="L15186" t="str">
            <v>Non-proportional</v>
          </cell>
          <cell r="S15186">
            <v>491.15</v>
          </cell>
          <cell r="X15186" t="str">
            <v>Commissions - gross</v>
          </cell>
          <cell r="Y15186" t="str">
            <v>CHILE</v>
          </cell>
        </row>
        <row r="15187">
          <cell r="L15187" t="str">
            <v>Non-proportional</v>
          </cell>
          <cell r="S15187">
            <v>10930.14</v>
          </cell>
          <cell r="X15187" t="str">
            <v>Commissions - gross</v>
          </cell>
          <cell r="Y15187" t="str">
            <v>ITALY</v>
          </cell>
        </row>
        <row r="15188">
          <cell r="L15188" t="str">
            <v>Non-proportional</v>
          </cell>
          <cell r="S15188">
            <v>-864</v>
          </cell>
          <cell r="X15188" t="str">
            <v>Commissions - gross</v>
          </cell>
          <cell r="Y15188" t="str">
            <v>ITALY</v>
          </cell>
        </row>
        <row r="15189">
          <cell r="L15189" t="str">
            <v>Non-proportional</v>
          </cell>
          <cell r="S15189">
            <v>7046.14</v>
          </cell>
          <cell r="X15189" t="str">
            <v>Commissions - gross</v>
          </cell>
          <cell r="Y15189" t="str">
            <v>ISRAEL</v>
          </cell>
        </row>
        <row r="15190">
          <cell r="L15190" t="str">
            <v>Non-proportional</v>
          </cell>
          <cell r="S15190">
            <v>-4080</v>
          </cell>
          <cell r="X15190" t="str">
            <v>Commissions - gross</v>
          </cell>
          <cell r="Y15190" t="str">
            <v>ITALY</v>
          </cell>
        </row>
        <row r="15191">
          <cell r="L15191" t="str">
            <v>Non-proportional</v>
          </cell>
          <cell r="S15191">
            <v>3311.3</v>
          </cell>
          <cell r="X15191" t="str">
            <v>Commissions - gross</v>
          </cell>
          <cell r="Y15191" t="str">
            <v>COLOMBIA</v>
          </cell>
        </row>
        <row r="15192">
          <cell r="L15192" t="str">
            <v>Non-proportional</v>
          </cell>
          <cell r="S15192">
            <v>3696.32</v>
          </cell>
          <cell r="X15192" t="str">
            <v>Commissions - gross</v>
          </cell>
          <cell r="Y15192" t="str">
            <v>UNITED KINGDOM</v>
          </cell>
        </row>
        <row r="15193">
          <cell r="L15193" t="str">
            <v>Non-proportional</v>
          </cell>
          <cell r="S15193">
            <v>421.99</v>
          </cell>
          <cell r="X15193" t="str">
            <v>Commissions - gross</v>
          </cell>
          <cell r="Y15193" t="str">
            <v>BELGIUM</v>
          </cell>
        </row>
        <row r="15194">
          <cell r="L15194" t="str">
            <v>Non-proportional</v>
          </cell>
          <cell r="S15194">
            <v>-26000</v>
          </cell>
          <cell r="X15194" t="str">
            <v>Commissions - gross</v>
          </cell>
          <cell r="Y15194" t="str">
            <v>FRANCE</v>
          </cell>
        </row>
        <row r="15195">
          <cell r="L15195" t="str">
            <v>Non-proportional</v>
          </cell>
          <cell r="S15195">
            <v>4550.1099999999997</v>
          </cell>
          <cell r="X15195" t="str">
            <v>Commissions - gross</v>
          </cell>
          <cell r="Y15195" t="str">
            <v>THAILAND</v>
          </cell>
        </row>
        <row r="15196">
          <cell r="L15196" t="str">
            <v>Non-proportional</v>
          </cell>
          <cell r="S15196">
            <v>3809.81</v>
          </cell>
          <cell r="X15196" t="str">
            <v>Commissions - gross</v>
          </cell>
          <cell r="Y15196" t="str">
            <v>ISRAEL</v>
          </cell>
        </row>
        <row r="15197">
          <cell r="L15197" t="str">
            <v>Non-proportional</v>
          </cell>
          <cell r="S15197">
            <v>8289.2199999999993</v>
          </cell>
          <cell r="X15197" t="str">
            <v>Commissions - gross</v>
          </cell>
          <cell r="Y15197" t="str">
            <v>GREECE</v>
          </cell>
        </row>
        <row r="15198">
          <cell r="L15198" t="str">
            <v>Non-proportional</v>
          </cell>
          <cell r="S15198">
            <v>18051.54</v>
          </cell>
          <cell r="X15198" t="str">
            <v>Commissions - gross</v>
          </cell>
          <cell r="Y15198" t="str">
            <v>FRANCE</v>
          </cell>
        </row>
        <row r="15199">
          <cell r="L15199" t="str">
            <v>Non-proportional</v>
          </cell>
          <cell r="S15199">
            <v>-3246.6</v>
          </cell>
          <cell r="X15199" t="str">
            <v>Commissions - gross</v>
          </cell>
          <cell r="Y15199" t="str">
            <v>ITALY</v>
          </cell>
        </row>
        <row r="15200">
          <cell r="L15200" t="str">
            <v>Non-proportional</v>
          </cell>
          <cell r="S15200">
            <v>8020.01</v>
          </cell>
          <cell r="X15200" t="str">
            <v>Commissions - gross</v>
          </cell>
          <cell r="Y15200" t="str">
            <v>FRANCE</v>
          </cell>
        </row>
        <row r="15201">
          <cell r="L15201" t="str">
            <v>Non-proportional</v>
          </cell>
          <cell r="S15201">
            <v>1424.99</v>
          </cell>
          <cell r="X15201" t="str">
            <v>Commissions - gross</v>
          </cell>
          <cell r="Y15201" t="str">
            <v>ISRAEL</v>
          </cell>
        </row>
        <row r="15202">
          <cell r="L15202" t="str">
            <v>Non-proportional</v>
          </cell>
          <cell r="S15202">
            <v>2216.2199999999998</v>
          </cell>
          <cell r="X15202" t="str">
            <v>Commissions - gross</v>
          </cell>
          <cell r="Y15202" t="str">
            <v>FRANCE</v>
          </cell>
        </row>
        <row r="15203">
          <cell r="L15203" t="str">
            <v>Non-proportional</v>
          </cell>
          <cell r="S15203">
            <v>652.5</v>
          </cell>
          <cell r="X15203" t="str">
            <v>Commissions - gross</v>
          </cell>
          <cell r="Y15203" t="str">
            <v>GREECE</v>
          </cell>
        </row>
        <row r="15204">
          <cell r="L15204" t="str">
            <v>Non-proportional</v>
          </cell>
          <cell r="S15204">
            <v>159.5</v>
          </cell>
          <cell r="X15204" t="str">
            <v>Commissions - gross</v>
          </cell>
          <cell r="Y15204" t="str">
            <v>ITALY</v>
          </cell>
        </row>
        <row r="15205">
          <cell r="L15205" t="str">
            <v>Non-proportional</v>
          </cell>
          <cell r="S15205">
            <v>-2569.27</v>
          </cell>
          <cell r="X15205" t="str">
            <v>Commissions - gross</v>
          </cell>
          <cell r="Y15205" t="str">
            <v>ISRAEL</v>
          </cell>
        </row>
        <row r="15206">
          <cell r="L15206" t="str">
            <v>Non-proportional</v>
          </cell>
          <cell r="S15206">
            <v>-13090.89</v>
          </cell>
          <cell r="X15206" t="str">
            <v>Commissions - gross</v>
          </cell>
          <cell r="Y15206" t="str">
            <v>ITALY</v>
          </cell>
        </row>
        <row r="15207">
          <cell r="L15207" t="str">
            <v>Non-proportional</v>
          </cell>
          <cell r="S15207">
            <v>6238.89</v>
          </cell>
          <cell r="X15207" t="str">
            <v>Commissions - gross</v>
          </cell>
          <cell r="Y15207" t="str">
            <v>PERU</v>
          </cell>
        </row>
        <row r="15208">
          <cell r="L15208" t="str">
            <v>Non-proportional</v>
          </cell>
          <cell r="S15208">
            <v>124091.23</v>
          </cell>
          <cell r="X15208" t="str">
            <v>Commissions - gross</v>
          </cell>
          <cell r="Y15208" t="str">
            <v>UNITED KINGDOM</v>
          </cell>
        </row>
        <row r="15209">
          <cell r="L15209" t="str">
            <v>Non-proportional</v>
          </cell>
          <cell r="S15209">
            <v>3525</v>
          </cell>
          <cell r="X15209" t="str">
            <v>Commissions - gross</v>
          </cell>
          <cell r="Y15209" t="str">
            <v>FRANCE</v>
          </cell>
        </row>
        <row r="15210">
          <cell r="L15210" t="str">
            <v>Non-proportional</v>
          </cell>
          <cell r="S15210">
            <v>361415.67999999999</v>
          </cell>
          <cell r="X15210" t="str">
            <v>Commissions - gross</v>
          </cell>
          <cell r="Y15210" t="str">
            <v>UNITED KINGDOM</v>
          </cell>
        </row>
        <row r="15211">
          <cell r="L15211" t="str">
            <v>Non-proportional</v>
          </cell>
          <cell r="S15211">
            <v>-1266.08</v>
          </cell>
          <cell r="X15211" t="str">
            <v>Commissions - gross</v>
          </cell>
          <cell r="Y15211" t="str">
            <v>FRANCE</v>
          </cell>
        </row>
        <row r="15212">
          <cell r="L15212" t="str">
            <v>Non-proportional</v>
          </cell>
          <cell r="S15212">
            <v>56237.599999999999</v>
          </cell>
          <cell r="X15212" t="str">
            <v>Commissions - gross</v>
          </cell>
          <cell r="Y15212" t="str">
            <v>FRANCE</v>
          </cell>
        </row>
        <row r="15213">
          <cell r="L15213" t="str">
            <v>Non-proportional</v>
          </cell>
          <cell r="S15213">
            <v>361415.67999999999</v>
          </cell>
          <cell r="X15213" t="str">
            <v>Commissions - gross</v>
          </cell>
          <cell r="Y15213" t="str">
            <v>UNITED KINGDOM</v>
          </cell>
        </row>
        <row r="15214">
          <cell r="L15214" t="str">
            <v>Non-proportional</v>
          </cell>
          <cell r="S15214">
            <v>8035.68</v>
          </cell>
          <cell r="X15214" t="str">
            <v>Commissions - gross</v>
          </cell>
          <cell r="Y15214" t="str">
            <v>ISRAEL</v>
          </cell>
        </row>
        <row r="15215">
          <cell r="L15215" t="str">
            <v>Non-proportional</v>
          </cell>
          <cell r="S15215">
            <v>10553.53</v>
          </cell>
          <cell r="X15215" t="str">
            <v>Commissions - gross</v>
          </cell>
          <cell r="Y15215" t="str">
            <v>ISRAEL</v>
          </cell>
        </row>
        <row r="15216">
          <cell r="L15216" t="str">
            <v>Non-proportional</v>
          </cell>
          <cell r="S15216">
            <v>7700</v>
          </cell>
          <cell r="X15216" t="str">
            <v>Commissions - gross</v>
          </cell>
          <cell r="Y15216" t="str">
            <v>BELGIUM</v>
          </cell>
        </row>
        <row r="15217">
          <cell r="L15217" t="str">
            <v>Non-proportional</v>
          </cell>
          <cell r="S15217">
            <v>5322.7</v>
          </cell>
          <cell r="X15217" t="str">
            <v>Commissions - gross</v>
          </cell>
          <cell r="Y15217" t="str">
            <v>UNITED KINGDOM</v>
          </cell>
        </row>
        <row r="15218">
          <cell r="L15218" t="str">
            <v>Non-proportional</v>
          </cell>
          <cell r="S15218">
            <v>-4674.7700000000004</v>
          </cell>
          <cell r="X15218" t="str">
            <v>Commissions - gross</v>
          </cell>
          <cell r="Y15218" t="str">
            <v>THAILAND</v>
          </cell>
        </row>
        <row r="15219">
          <cell r="L15219" t="str">
            <v>Non-proportional</v>
          </cell>
          <cell r="S15219">
            <v>-10775.7</v>
          </cell>
          <cell r="X15219" t="str">
            <v>Commissions - gross</v>
          </cell>
          <cell r="Y15219" t="str">
            <v>ITALY</v>
          </cell>
        </row>
        <row r="15220">
          <cell r="L15220" t="str">
            <v>Non-proportional</v>
          </cell>
          <cell r="S15220">
            <v>26531.14</v>
          </cell>
          <cell r="X15220" t="str">
            <v>Commissions - gross</v>
          </cell>
          <cell r="Y15220" t="str">
            <v>ISRAEL</v>
          </cell>
        </row>
        <row r="15221">
          <cell r="L15221" t="str">
            <v>Non-proportional</v>
          </cell>
          <cell r="S15221">
            <v>3553.92</v>
          </cell>
          <cell r="X15221" t="str">
            <v>Commissions - gross</v>
          </cell>
          <cell r="Y15221" t="str">
            <v>FRANCE</v>
          </cell>
        </row>
        <row r="15222">
          <cell r="L15222" t="str">
            <v>Non-proportional</v>
          </cell>
          <cell r="S15222">
            <v>54910.17</v>
          </cell>
          <cell r="X15222" t="str">
            <v>Commissions - gross</v>
          </cell>
          <cell r="Y15222" t="str">
            <v>TURKEY</v>
          </cell>
        </row>
        <row r="15223">
          <cell r="L15223" t="str">
            <v>Non-proportional</v>
          </cell>
          <cell r="S15223">
            <v>-2678.56</v>
          </cell>
          <cell r="X15223" t="str">
            <v>Commissions - gross</v>
          </cell>
          <cell r="Y15223" t="str">
            <v>ISRAEL</v>
          </cell>
        </row>
        <row r="15224">
          <cell r="L15224" t="str">
            <v>Non-proportional</v>
          </cell>
          <cell r="S15224">
            <v>11101.51</v>
          </cell>
          <cell r="X15224" t="str">
            <v>Commissions - gross</v>
          </cell>
          <cell r="Y15224" t="str">
            <v>ITALY</v>
          </cell>
        </row>
        <row r="15225">
          <cell r="L15225" t="str">
            <v>Non-proportional</v>
          </cell>
          <cell r="S15225">
            <v>6001.35</v>
          </cell>
          <cell r="X15225" t="str">
            <v>Commissions - gross</v>
          </cell>
          <cell r="Y15225" t="str">
            <v>ITALY</v>
          </cell>
        </row>
        <row r="15226">
          <cell r="L15226" t="str">
            <v>Non-proportional</v>
          </cell>
          <cell r="S15226">
            <v>2450</v>
          </cell>
          <cell r="X15226" t="str">
            <v>Commissions - gross</v>
          </cell>
          <cell r="Y15226" t="str">
            <v>ITALY</v>
          </cell>
        </row>
        <row r="15227">
          <cell r="L15227" t="str">
            <v>Non-proportional</v>
          </cell>
          <cell r="S15227">
            <v>11445</v>
          </cell>
          <cell r="X15227" t="str">
            <v>Commissions - gross</v>
          </cell>
          <cell r="Y15227" t="str">
            <v>FRANCE</v>
          </cell>
        </row>
        <row r="15228">
          <cell r="L15228" t="str">
            <v>Non-proportional</v>
          </cell>
          <cell r="S15228">
            <v>-866250</v>
          </cell>
          <cell r="X15228" t="str">
            <v>Commissions - gross</v>
          </cell>
          <cell r="Y15228" t="str">
            <v>BELGIUM</v>
          </cell>
        </row>
        <row r="15229">
          <cell r="L15229" t="str">
            <v>Non-proportional</v>
          </cell>
          <cell r="S15229">
            <v>11025</v>
          </cell>
          <cell r="X15229" t="str">
            <v>Commissions - gross</v>
          </cell>
          <cell r="Y15229" t="str">
            <v>TURKEY</v>
          </cell>
        </row>
        <row r="15230">
          <cell r="L15230" t="str">
            <v>Non-proportional</v>
          </cell>
          <cell r="S15230">
            <v>11898.84</v>
          </cell>
          <cell r="X15230" t="str">
            <v>Commissions - gross</v>
          </cell>
          <cell r="Y15230" t="str">
            <v>NETHERLANDS</v>
          </cell>
        </row>
        <row r="15231">
          <cell r="L15231" t="str">
            <v>Non-proportional</v>
          </cell>
          <cell r="S15231">
            <v>1445662.72</v>
          </cell>
          <cell r="X15231" t="str">
            <v>Commissions - gross</v>
          </cell>
          <cell r="Y15231" t="str">
            <v>UNITED KINGDOM</v>
          </cell>
        </row>
        <row r="15232">
          <cell r="L15232" t="str">
            <v>Non-proportional</v>
          </cell>
          <cell r="S15232">
            <v>-7500</v>
          </cell>
          <cell r="X15232" t="str">
            <v>Commissions - gross</v>
          </cell>
          <cell r="Y15232" t="str">
            <v>FRANCE</v>
          </cell>
        </row>
        <row r="15233">
          <cell r="L15233" t="str">
            <v>Non-proportional</v>
          </cell>
          <cell r="S15233">
            <v>19062.560000000001</v>
          </cell>
          <cell r="X15233" t="str">
            <v>Commissions - gross</v>
          </cell>
          <cell r="Y15233" t="str">
            <v>EUROPE</v>
          </cell>
        </row>
        <row r="15234">
          <cell r="L15234" t="str">
            <v>Non-proportional</v>
          </cell>
          <cell r="S15234">
            <v>936</v>
          </cell>
          <cell r="X15234" t="str">
            <v>Commissions - gross</v>
          </cell>
          <cell r="Y15234" t="str">
            <v>GREECE</v>
          </cell>
        </row>
        <row r="15235">
          <cell r="L15235" t="str">
            <v>Proportional</v>
          </cell>
          <cell r="S15235">
            <v>37.67</v>
          </cell>
          <cell r="X15235" t="str">
            <v>Commissions - gross</v>
          </cell>
          <cell r="Y15235" t="str">
            <v>UNITED STATES</v>
          </cell>
        </row>
        <row r="15236">
          <cell r="L15236" t="str">
            <v>Non-proportional</v>
          </cell>
          <cell r="S15236">
            <v>19407.27</v>
          </cell>
          <cell r="X15236" t="str">
            <v>Commissions - gross</v>
          </cell>
          <cell r="Y15236" t="str">
            <v>PERU</v>
          </cell>
        </row>
        <row r="15237">
          <cell r="L15237" t="str">
            <v>Non-proportional</v>
          </cell>
          <cell r="S15237">
            <v>1564.54</v>
          </cell>
          <cell r="X15237" t="str">
            <v>Commissions - gross</v>
          </cell>
          <cell r="Y15237" t="str">
            <v>CYPRUS</v>
          </cell>
        </row>
        <row r="15238">
          <cell r="L15238" t="str">
            <v>Non-proportional</v>
          </cell>
          <cell r="S15238">
            <v>496364.89</v>
          </cell>
          <cell r="X15238" t="str">
            <v>Commissions - gross</v>
          </cell>
          <cell r="Y15238" t="str">
            <v>UNITED KINGDOM</v>
          </cell>
        </row>
        <row r="15239">
          <cell r="L15239" t="str">
            <v>Non-proportional</v>
          </cell>
          <cell r="S15239">
            <v>-1218.67</v>
          </cell>
          <cell r="X15239" t="str">
            <v>Commissions - gross</v>
          </cell>
          <cell r="Y15239" t="str">
            <v>UNITED KINGDOM</v>
          </cell>
        </row>
        <row r="15240">
          <cell r="L15240" t="str">
            <v>Non-proportional</v>
          </cell>
          <cell r="S15240">
            <v>5701.52</v>
          </cell>
          <cell r="X15240" t="str">
            <v>Commissions - gross</v>
          </cell>
          <cell r="Y15240" t="str">
            <v>FRANCE</v>
          </cell>
        </row>
        <row r="15241">
          <cell r="L15241" t="str">
            <v>Non-proportional</v>
          </cell>
          <cell r="S15241">
            <v>12588.33</v>
          </cell>
          <cell r="X15241" t="str">
            <v>Commissions - gross</v>
          </cell>
          <cell r="Y15241" t="str">
            <v>COLOMBIA</v>
          </cell>
        </row>
        <row r="15242">
          <cell r="L15242" t="str">
            <v>Proportional</v>
          </cell>
          <cell r="S15242">
            <v>7140.57</v>
          </cell>
          <cell r="X15242" t="str">
            <v>Commissions - gross</v>
          </cell>
          <cell r="Y15242" t="str">
            <v>CHILE</v>
          </cell>
        </row>
        <row r="15243">
          <cell r="L15243" t="str">
            <v>Non-proportional</v>
          </cell>
          <cell r="S15243">
            <v>19693.32</v>
          </cell>
          <cell r="X15243" t="str">
            <v>Commissions - gross</v>
          </cell>
          <cell r="Y15243" t="str">
            <v>SOUTH KOREA</v>
          </cell>
        </row>
        <row r="15244">
          <cell r="L15244" t="str">
            <v>Non-proportional</v>
          </cell>
          <cell r="S15244">
            <v>-1546.34</v>
          </cell>
          <cell r="X15244" t="str">
            <v>Commissions - gross</v>
          </cell>
          <cell r="Y15244" t="str">
            <v>ISRAEL</v>
          </cell>
        </row>
        <row r="15245">
          <cell r="L15245" t="str">
            <v>Non-proportional</v>
          </cell>
          <cell r="S15245">
            <v>2813.52</v>
          </cell>
          <cell r="X15245" t="str">
            <v>Commissions - gross</v>
          </cell>
          <cell r="Y15245" t="str">
            <v>FRANCE</v>
          </cell>
        </row>
        <row r="15246">
          <cell r="L15246" t="str">
            <v>Non-proportional</v>
          </cell>
          <cell r="S15246">
            <v>924.44</v>
          </cell>
          <cell r="X15246" t="str">
            <v>Commissions - gross</v>
          </cell>
          <cell r="Y15246" t="str">
            <v>FRANCE</v>
          </cell>
        </row>
        <row r="15247">
          <cell r="L15247" t="str">
            <v>Non-proportional</v>
          </cell>
          <cell r="S15247">
            <v>131196.46</v>
          </cell>
          <cell r="X15247" t="str">
            <v>Commissions - gross</v>
          </cell>
          <cell r="Y15247" t="str">
            <v>FRANCE</v>
          </cell>
        </row>
        <row r="15248">
          <cell r="L15248" t="str">
            <v>Proportional</v>
          </cell>
          <cell r="S15248">
            <v>7475</v>
          </cell>
          <cell r="X15248" t="str">
            <v>Commissions - gross</v>
          </cell>
          <cell r="Y15248" t="str">
            <v>ITALY</v>
          </cell>
        </row>
        <row r="15249">
          <cell r="L15249" t="str">
            <v>Non-proportional</v>
          </cell>
          <cell r="S15249">
            <v>27124.02</v>
          </cell>
          <cell r="X15249" t="str">
            <v>Commissions - gross</v>
          </cell>
          <cell r="Y15249" t="str">
            <v>TURKEY</v>
          </cell>
        </row>
        <row r="15250">
          <cell r="L15250" t="str">
            <v>Non-proportional</v>
          </cell>
          <cell r="S15250">
            <v>4404.38</v>
          </cell>
          <cell r="X15250" t="str">
            <v>Commissions - gross</v>
          </cell>
          <cell r="Y15250" t="str">
            <v>GREECE</v>
          </cell>
        </row>
        <row r="15251">
          <cell r="L15251" t="str">
            <v>Non-proportional</v>
          </cell>
          <cell r="S15251">
            <v>14414.34</v>
          </cell>
          <cell r="X15251" t="str">
            <v>Commissions - gross</v>
          </cell>
          <cell r="Y15251" t="str">
            <v>FRANCE</v>
          </cell>
        </row>
        <row r="15252">
          <cell r="L15252" t="str">
            <v>Non-proportional</v>
          </cell>
          <cell r="S15252">
            <v>3802.25</v>
          </cell>
          <cell r="X15252" t="str">
            <v>Commissions - gross</v>
          </cell>
          <cell r="Y15252" t="str">
            <v>THAILAND</v>
          </cell>
        </row>
        <row r="15253">
          <cell r="L15253" t="str">
            <v>Non-proportional</v>
          </cell>
          <cell r="S15253">
            <v>80297.23</v>
          </cell>
          <cell r="X15253" t="str">
            <v>Commissions - gross</v>
          </cell>
          <cell r="Y15253" t="str">
            <v>UNITED KINGDOM</v>
          </cell>
        </row>
        <row r="15254">
          <cell r="L15254" t="str">
            <v>Non-proportional</v>
          </cell>
          <cell r="S15254">
            <v>-1575</v>
          </cell>
          <cell r="X15254" t="str">
            <v>Commissions - gross</v>
          </cell>
          <cell r="Y15254" t="str">
            <v>GREECE</v>
          </cell>
        </row>
        <row r="15255">
          <cell r="L15255" t="str">
            <v>Non-proportional</v>
          </cell>
          <cell r="S15255">
            <v>-4801.2</v>
          </cell>
          <cell r="X15255" t="str">
            <v>Commissions - gross</v>
          </cell>
          <cell r="Y15255" t="str">
            <v>ITALY</v>
          </cell>
        </row>
        <row r="15256">
          <cell r="L15256" t="str">
            <v>Non-proportional</v>
          </cell>
          <cell r="S15256">
            <v>7901.75</v>
          </cell>
          <cell r="X15256" t="str">
            <v>Commissions - gross</v>
          </cell>
          <cell r="Y15256" t="str">
            <v>ISRAEL</v>
          </cell>
        </row>
        <row r="15257">
          <cell r="L15257" t="str">
            <v>Non-proportional</v>
          </cell>
          <cell r="S15257">
            <v>10800</v>
          </cell>
          <cell r="X15257" t="str">
            <v>Commissions - gross</v>
          </cell>
          <cell r="Y15257" t="str">
            <v>ITALY</v>
          </cell>
        </row>
        <row r="15258">
          <cell r="L15258" t="str">
            <v>Non-proportional</v>
          </cell>
          <cell r="S15258">
            <v>5227.42</v>
          </cell>
          <cell r="X15258" t="str">
            <v>Commissions - gross</v>
          </cell>
          <cell r="Y15258" t="str">
            <v>UNITED KINGDOM</v>
          </cell>
        </row>
        <row r="15259">
          <cell r="L15259" t="str">
            <v>Non-proportional</v>
          </cell>
          <cell r="S15259">
            <v>3524.51</v>
          </cell>
          <cell r="X15259" t="str">
            <v>Commissions - gross</v>
          </cell>
          <cell r="Y15259" t="str">
            <v>NETHERLANDS</v>
          </cell>
        </row>
        <row r="15260">
          <cell r="L15260" t="str">
            <v>Non-proportional</v>
          </cell>
          <cell r="S15260">
            <v>9823</v>
          </cell>
          <cell r="X15260" t="str">
            <v>Commissions - gross</v>
          </cell>
          <cell r="Y15260" t="str">
            <v>CHILE</v>
          </cell>
        </row>
        <row r="15261">
          <cell r="L15261" t="str">
            <v>Proportional</v>
          </cell>
          <cell r="S15261">
            <v>25466.89</v>
          </cell>
          <cell r="X15261" t="str">
            <v>Commissions - gross</v>
          </cell>
          <cell r="Y15261" t="str">
            <v>SWITZERLAND</v>
          </cell>
        </row>
        <row r="15262">
          <cell r="L15262" t="str">
            <v>Non-proportional</v>
          </cell>
          <cell r="S15262">
            <v>-661.5</v>
          </cell>
          <cell r="X15262" t="str">
            <v>Commissions - gross</v>
          </cell>
          <cell r="Y15262" t="str">
            <v>GREECE</v>
          </cell>
        </row>
        <row r="15263">
          <cell r="L15263" t="str">
            <v>Non-proportional</v>
          </cell>
          <cell r="S15263">
            <v>-1706.4</v>
          </cell>
          <cell r="X15263" t="str">
            <v>Commissions - gross</v>
          </cell>
          <cell r="Y15263" t="str">
            <v>GREECE</v>
          </cell>
        </row>
        <row r="15264">
          <cell r="L15264" t="str">
            <v>Non-proportional</v>
          </cell>
          <cell r="S15264">
            <v>-1632.85</v>
          </cell>
          <cell r="X15264" t="str">
            <v>Commissions - gross</v>
          </cell>
          <cell r="Y15264" t="str">
            <v>ISRAEL</v>
          </cell>
        </row>
        <row r="15265">
          <cell r="L15265" t="str">
            <v>Non-proportional</v>
          </cell>
          <cell r="S15265">
            <v>-2999.99</v>
          </cell>
          <cell r="X15265" t="str">
            <v>Commissions - gross</v>
          </cell>
          <cell r="Y15265" t="str">
            <v>ISRAEL</v>
          </cell>
        </row>
        <row r="15266">
          <cell r="L15266" t="str">
            <v>Non-proportional</v>
          </cell>
          <cell r="S15266">
            <v>4820.6899999999996</v>
          </cell>
          <cell r="X15266" t="str">
            <v>Commissions - gross</v>
          </cell>
          <cell r="Y15266" t="str">
            <v>THAILAND</v>
          </cell>
        </row>
        <row r="15267">
          <cell r="L15267" t="str">
            <v>Non-proportional</v>
          </cell>
          <cell r="S15267">
            <v>3970.7</v>
          </cell>
          <cell r="X15267" t="str">
            <v>Commissions - gross</v>
          </cell>
          <cell r="Y15267" t="str">
            <v>ISRAEL</v>
          </cell>
        </row>
        <row r="15268">
          <cell r="L15268" t="str">
            <v>Non-proportional</v>
          </cell>
          <cell r="S15268">
            <v>10863.86</v>
          </cell>
          <cell r="X15268" t="str">
            <v>Commissions - gross</v>
          </cell>
          <cell r="Y15268" t="str">
            <v>ITALY</v>
          </cell>
        </row>
        <row r="15269">
          <cell r="L15269" t="str">
            <v>Non-proportional</v>
          </cell>
          <cell r="S15269">
            <v>6150</v>
          </cell>
          <cell r="X15269" t="str">
            <v>Commissions - gross</v>
          </cell>
          <cell r="Y15269" t="str">
            <v>ITALY</v>
          </cell>
        </row>
        <row r="15270">
          <cell r="L15270" t="str">
            <v>Non-proportional</v>
          </cell>
          <cell r="S15270">
            <v>2061.6</v>
          </cell>
          <cell r="X15270" t="str">
            <v>Commissions - gross</v>
          </cell>
          <cell r="Y15270" t="str">
            <v>FRANCE</v>
          </cell>
        </row>
        <row r="15271">
          <cell r="L15271" t="str">
            <v>Non-proportional</v>
          </cell>
          <cell r="S15271">
            <v>-35173.89</v>
          </cell>
          <cell r="X15271" t="str">
            <v>Commissions - gross</v>
          </cell>
          <cell r="Y15271" t="str">
            <v>UNITED KINGDOM</v>
          </cell>
        </row>
        <row r="15272">
          <cell r="L15272" t="str">
            <v>Non-proportional</v>
          </cell>
          <cell r="S15272">
            <v>-4404.38</v>
          </cell>
          <cell r="X15272" t="str">
            <v>Commissions - gross</v>
          </cell>
          <cell r="Y15272" t="str">
            <v>GREECE</v>
          </cell>
        </row>
        <row r="15273">
          <cell r="L15273" t="str">
            <v>Non-proportional</v>
          </cell>
          <cell r="S15273">
            <v>-421.99</v>
          </cell>
          <cell r="X15273" t="str">
            <v>Commissions - gross</v>
          </cell>
          <cell r="Y15273" t="str">
            <v>BELGIUM</v>
          </cell>
        </row>
        <row r="15274">
          <cell r="L15274" t="str">
            <v>Non-proportional</v>
          </cell>
          <cell r="S15274">
            <v>1266.08</v>
          </cell>
          <cell r="X15274" t="str">
            <v>Commissions - gross</v>
          </cell>
          <cell r="Y15274" t="str">
            <v>FRANCE</v>
          </cell>
        </row>
        <row r="15275">
          <cell r="L15275" t="str">
            <v>Non-proportional</v>
          </cell>
          <cell r="S15275">
            <v>17380.73</v>
          </cell>
          <cell r="X15275" t="str">
            <v>Commissions - gross</v>
          </cell>
          <cell r="Y15275" t="str">
            <v>FRANCE</v>
          </cell>
        </row>
        <row r="15276">
          <cell r="L15276" t="str">
            <v>Non-proportional</v>
          </cell>
          <cell r="S15276">
            <v>15687.65</v>
          </cell>
          <cell r="X15276" t="str">
            <v>Commissions - gross</v>
          </cell>
          <cell r="Y15276" t="str">
            <v>FRANCE</v>
          </cell>
        </row>
        <row r="15277">
          <cell r="L15277" t="str">
            <v>Non-proportional</v>
          </cell>
          <cell r="S15277">
            <v>10530.07</v>
          </cell>
          <cell r="X15277" t="str">
            <v>Commissions - gross</v>
          </cell>
          <cell r="Y15277" t="str">
            <v>FRANCE</v>
          </cell>
        </row>
        <row r="15278">
          <cell r="L15278" t="str">
            <v>Non-proportional</v>
          </cell>
          <cell r="S15278">
            <v>-4489.08</v>
          </cell>
          <cell r="X15278" t="str">
            <v>Commissions - gross</v>
          </cell>
          <cell r="Y15278" t="str">
            <v>SINGAPORE</v>
          </cell>
        </row>
        <row r="15279">
          <cell r="L15279" t="str">
            <v>Non-proportional</v>
          </cell>
          <cell r="S15279">
            <v>5677.55</v>
          </cell>
          <cell r="X15279" t="str">
            <v>Commissions - gross</v>
          </cell>
          <cell r="Y15279" t="str">
            <v>UNITED KINGDOM</v>
          </cell>
        </row>
        <row r="15280">
          <cell r="L15280" t="str">
            <v>Non-proportional</v>
          </cell>
          <cell r="S15280">
            <v>-8103.24</v>
          </cell>
          <cell r="X15280" t="str">
            <v>Commissions - gross</v>
          </cell>
          <cell r="Y15280" t="str">
            <v>CYPRUS</v>
          </cell>
        </row>
        <row r="15281">
          <cell r="L15281" t="str">
            <v>Non-proportional</v>
          </cell>
          <cell r="S15281">
            <v>-5517.83</v>
          </cell>
          <cell r="X15281" t="str">
            <v>Commissions - gross</v>
          </cell>
          <cell r="Y15281" t="str">
            <v>ISRAEL</v>
          </cell>
        </row>
        <row r="15282">
          <cell r="L15282" t="str">
            <v>Non-proportional</v>
          </cell>
          <cell r="S15282">
            <v>635</v>
          </cell>
          <cell r="X15282" t="str">
            <v>Commissions - gross</v>
          </cell>
          <cell r="Y15282" t="str">
            <v>ITALY</v>
          </cell>
        </row>
        <row r="15283">
          <cell r="L15283" t="str">
            <v>Non-proportional</v>
          </cell>
          <cell r="S15283">
            <v>-1128.42</v>
          </cell>
          <cell r="X15283" t="str">
            <v>Commissions - gross</v>
          </cell>
          <cell r="Y15283" t="str">
            <v>CYPRUS</v>
          </cell>
        </row>
        <row r="15284">
          <cell r="L15284" t="str">
            <v>Non-proportional</v>
          </cell>
          <cell r="S15284">
            <v>1985.55</v>
          </cell>
          <cell r="X15284" t="str">
            <v>Commissions - gross</v>
          </cell>
          <cell r="Y15284" t="str">
            <v>ISRAEL</v>
          </cell>
        </row>
        <row r="15285">
          <cell r="L15285" t="str">
            <v>Non-proportional</v>
          </cell>
          <cell r="S15285">
            <v>-3644</v>
          </cell>
          <cell r="X15285" t="str">
            <v>Commissions - gross</v>
          </cell>
          <cell r="Y15285" t="str">
            <v>ITALY</v>
          </cell>
        </row>
        <row r="15286">
          <cell r="L15286" t="str">
            <v>Non-proportional</v>
          </cell>
          <cell r="S15286">
            <v>2469.17</v>
          </cell>
          <cell r="X15286" t="str">
            <v>Commissions - gross</v>
          </cell>
          <cell r="Y15286" t="str">
            <v>TURKEY</v>
          </cell>
        </row>
        <row r="15287">
          <cell r="L15287" t="str">
            <v>Non-proportional</v>
          </cell>
          <cell r="S15287">
            <v>5281.29</v>
          </cell>
          <cell r="X15287" t="str">
            <v>Commissions - gross</v>
          </cell>
          <cell r="Y15287" t="str">
            <v>FRANCE</v>
          </cell>
        </row>
        <row r="15288">
          <cell r="L15288" t="str">
            <v>Non-proportional</v>
          </cell>
          <cell r="S15288">
            <v>-483955.77</v>
          </cell>
          <cell r="X15288" t="str">
            <v>Commissions - gross</v>
          </cell>
          <cell r="Y15288" t="str">
            <v>UNITED KINGDOM</v>
          </cell>
        </row>
        <row r="15289">
          <cell r="L15289" t="str">
            <v>Non-proportional</v>
          </cell>
          <cell r="S15289">
            <v>3211.37</v>
          </cell>
          <cell r="X15289" t="str">
            <v>Commissions - gross</v>
          </cell>
          <cell r="Y15289" t="str">
            <v>CHILE</v>
          </cell>
        </row>
        <row r="15290">
          <cell r="L15290" t="str">
            <v>Proportional</v>
          </cell>
          <cell r="S15290">
            <v>226.56</v>
          </cell>
          <cell r="X15290" t="str">
            <v>Commissions - gross</v>
          </cell>
          <cell r="Y15290" t="str">
            <v>UNITED STATES</v>
          </cell>
        </row>
        <row r="15291">
          <cell r="L15291" t="str">
            <v>Non-proportional</v>
          </cell>
          <cell r="S15291">
            <v>1445662.74</v>
          </cell>
          <cell r="X15291" t="str">
            <v>Commissions - gross</v>
          </cell>
          <cell r="Y15291" t="str">
            <v>UNITED KINGDOM</v>
          </cell>
        </row>
        <row r="15292">
          <cell r="L15292" t="str">
            <v>Non-proportional</v>
          </cell>
          <cell r="S15292">
            <v>-413.39</v>
          </cell>
          <cell r="X15292" t="str">
            <v>Commissions - gross</v>
          </cell>
          <cell r="Y15292" t="str">
            <v>UNITED KINGDOM</v>
          </cell>
        </row>
        <row r="15293">
          <cell r="L15293" t="str">
            <v>Non-proportional</v>
          </cell>
          <cell r="S15293">
            <v>-5932.98</v>
          </cell>
          <cell r="X15293" t="str">
            <v>Commissions - gross</v>
          </cell>
          <cell r="Y15293" t="str">
            <v>CYPRUS</v>
          </cell>
        </row>
        <row r="15294">
          <cell r="L15294" t="str">
            <v>Proportional</v>
          </cell>
          <cell r="S15294">
            <v>-226.56</v>
          </cell>
          <cell r="X15294" t="str">
            <v>Commissions - gross</v>
          </cell>
          <cell r="Y15294" t="str">
            <v>UNITED STATES</v>
          </cell>
        </row>
        <row r="15295">
          <cell r="L15295" t="str">
            <v>Non-proportional</v>
          </cell>
          <cell r="S15295">
            <v>-2150.54</v>
          </cell>
          <cell r="X15295" t="str">
            <v>Commissions - gross</v>
          </cell>
          <cell r="Y15295" t="str">
            <v>BELGIUM</v>
          </cell>
        </row>
        <row r="15296">
          <cell r="L15296" t="str">
            <v>Non-proportional</v>
          </cell>
          <cell r="S15296">
            <v>2553.8200000000002</v>
          </cell>
          <cell r="X15296" t="str">
            <v>Commissions - gross</v>
          </cell>
          <cell r="Y15296" t="str">
            <v>UNITED KINGDOM</v>
          </cell>
        </row>
        <row r="15297">
          <cell r="L15297" t="str">
            <v>Non-proportional</v>
          </cell>
          <cell r="S15297">
            <v>7999.8</v>
          </cell>
          <cell r="X15297" t="str">
            <v>Commissions - gross</v>
          </cell>
          <cell r="Y15297" t="str">
            <v>ITALY</v>
          </cell>
        </row>
        <row r="15298">
          <cell r="L15298" t="str">
            <v>Non-proportional</v>
          </cell>
          <cell r="S15298">
            <v>3246.6</v>
          </cell>
          <cell r="X15298" t="str">
            <v>Commissions - gross</v>
          </cell>
          <cell r="Y15298" t="str">
            <v>ITALY</v>
          </cell>
        </row>
        <row r="15299">
          <cell r="L15299" t="str">
            <v>Non-proportional</v>
          </cell>
          <cell r="S15299">
            <v>1410</v>
          </cell>
          <cell r="X15299" t="str">
            <v>Commissions - gross</v>
          </cell>
          <cell r="Y15299" t="str">
            <v>GREECE</v>
          </cell>
        </row>
        <row r="15300">
          <cell r="L15300" t="str">
            <v>Non-proportional</v>
          </cell>
          <cell r="S15300">
            <v>-1632.85</v>
          </cell>
          <cell r="X15300" t="str">
            <v>Commissions - gross</v>
          </cell>
          <cell r="Y15300" t="str">
            <v>ISRAEL</v>
          </cell>
        </row>
        <row r="15301">
          <cell r="L15301" t="str">
            <v>Non-proportional</v>
          </cell>
          <cell r="S15301">
            <v>2813.52</v>
          </cell>
          <cell r="X15301" t="str">
            <v>Commissions - gross</v>
          </cell>
          <cell r="Y15301" t="str">
            <v>FRANCE</v>
          </cell>
        </row>
        <row r="15302">
          <cell r="L15302" t="str">
            <v>Non-proportional</v>
          </cell>
          <cell r="S15302">
            <v>3500</v>
          </cell>
          <cell r="X15302" t="str">
            <v>Commissions - gross</v>
          </cell>
          <cell r="Y15302" t="str">
            <v>ITALY</v>
          </cell>
        </row>
        <row r="15303">
          <cell r="L15303" t="str">
            <v>Non-proportional</v>
          </cell>
          <cell r="S15303">
            <v>11973</v>
          </cell>
          <cell r="X15303" t="str">
            <v>Commissions - gross</v>
          </cell>
          <cell r="Y15303" t="str">
            <v>ITALY</v>
          </cell>
        </row>
        <row r="15304">
          <cell r="L15304" t="str">
            <v>Non-proportional</v>
          </cell>
          <cell r="S15304">
            <v>7236.7</v>
          </cell>
          <cell r="X15304" t="str">
            <v>Commissions - gross</v>
          </cell>
          <cell r="Y15304" t="str">
            <v>ITALY</v>
          </cell>
        </row>
        <row r="15305">
          <cell r="L15305" t="str">
            <v>Non-proportional</v>
          </cell>
          <cell r="S15305">
            <v>6905</v>
          </cell>
          <cell r="X15305" t="str">
            <v>Commissions - gross</v>
          </cell>
          <cell r="Y15305" t="str">
            <v>NETHERLANDS</v>
          </cell>
        </row>
        <row r="15306">
          <cell r="L15306" t="str">
            <v>Non-proportional</v>
          </cell>
          <cell r="S15306">
            <v>-718.25</v>
          </cell>
          <cell r="X15306" t="str">
            <v>Commissions - gross</v>
          </cell>
          <cell r="Y15306" t="str">
            <v>FRANCE</v>
          </cell>
        </row>
        <row r="15307">
          <cell r="L15307" t="str">
            <v>Non-proportional</v>
          </cell>
          <cell r="S15307">
            <v>-3818.56</v>
          </cell>
          <cell r="X15307" t="str">
            <v>Commissions - gross</v>
          </cell>
          <cell r="Y15307" t="str">
            <v>ISRAEL</v>
          </cell>
        </row>
        <row r="15308">
          <cell r="L15308" t="str">
            <v>Non-proportional</v>
          </cell>
          <cell r="S15308">
            <v>21928.43</v>
          </cell>
          <cell r="X15308" t="str">
            <v>Commissions - gross</v>
          </cell>
          <cell r="Y15308" t="str">
            <v>HONG KONG</v>
          </cell>
        </row>
        <row r="15309">
          <cell r="L15309" t="str">
            <v>Proportional</v>
          </cell>
          <cell r="S15309">
            <v>3898.9</v>
          </cell>
          <cell r="X15309" t="str">
            <v>Commissions - gross</v>
          </cell>
          <cell r="Y15309" t="str">
            <v>JAPAN</v>
          </cell>
        </row>
        <row r="15310">
          <cell r="L15310" t="str">
            <v>Non-proportional</v>
          </cell>
          <cell r="S15310">
            <v>-361415.67999999999</v>
          </cell>
          <cell r="X15310" t="str">
            <v>Commissions - gross</v>
          </cell>
          <cell r="Y15310" t="str">
            <v>UNITED KINGDOM</v>
          </cell>
        </row>
        <row r="15311">
          <cell r="L15311" t="str">
            <v>Non-proportional</v>
          </cell>
          <cell r="S15311">
            <v>2099.67</v>
          </cell>
          <cell r="X15311" t="str">
            <v>Commissions - gross</v>
          </cell>
          <cell r="Y15311" t="str">
            <v>NETHERLANDS</v>
          </cell>
        </row>
        <row r="15312">
          <cell r="L15312" t="str">
            <v>Non-proportional</v>
          </cell>
          <cell r="S15312">
            <v>10612.65</v>
          </cell>
          <cell r="X15312" t="str">
            <v>Commissions - gross</v>
          </cell>
          <cell r="Y15312" t="str">
            <v>TURKEY</v>
          </cell>
        </row>
        <row r="15313">
          <cell r="L15313" t="str">
            <v>Non-proportional</v>
          </cell>
          <cell r="S15313">
            <v>45588.29</v>
          </cell>
          <cell r="X15313" t="str">
            <v>Commissions - gross</v>
          </cell>
          <cell r="Y15313" t="str">
            <v>UNITED STATES</v>
          </cell>
        </row>
        <row r="15314">
          <cell r="L15314" t="str">
            <v>Non-proportional</v>
          </cell>
          <cell r="S15314">
            <v>16068.37</v>
          </cell>
          <cell r="X15314" t="str">
            <v>Commissions - gross</v>
          </cell>
          <cell r="Y15314" t="str">
            <v>PERU</v>
          </cell>
        </row>
        <row r="15315">
          <cell r="L15315" t="str">
            <v>Non-proportional</v>
          </cell>
          <cell r="S15315">
            <v>1297.31</v>
          </cell>
          <cell r="X15315" t="str">
            <v>Commissions - gross</v>
          </cell>
          <cell r="Y15315" t="str">
            <v>BRAZIL</v>
          </cell>
        </row>
        <row r="15316">
          <cell r="L15316" t="str">
            <v>Non-proportional</v>
          </cell>
          <cell r="S15316">
            <v>2452.5</v>
          </cell>
          <cell r="X15316" t="str">
            <v>Commissions - gross</v>
          </cell>
          <cell r="Y15316" t="str">
            <v>GREECE</v>
          </cell>
        </row>
        <row r="15317">
          <cell r="L15317" t="str">
            <v>Non-proportional</v>
          </cell>
          <cell r="S15317">
            <v>159.5</v>
          </cell>
          <cell r="X15317" t="str">
            <v>Commissions - gross</v>
          </cell>
          <cell r="Y15317" t="str">
            <v>ITALY</v>
          </cell>
        </row>
        <row r="15318">
          <cell r="L15318" t="str">
            <v>Non-proportional</v>
          </cell>
          <cell r="S15318">
            <v>159.5</v>
          </cell>
          <cell r="X15318" t="str">
            <v>Commissions - gross</v>
          </cell>
          <cell r="Y15318" t="str">
            <v>ITALY</v>
          </cell>
        </row>
        <row r="15319">
          <cell r="L15319" t="str">
            <v>Non-proportional</v>
          </cell>
          <cell r="S15319">
            <v>1357.49</v>
          </cell>
          <cell r="X15319" t="str">
            <v>Commissions - gross</v>
          </cell>
          <cell r="Y15319" t="str">
            <v>CYPRUS</v>
          </cell>
        </row>
        <row r="15320">
          <cell r="L15320" t="str">
            <v>Non-proportional</v>
          </cell>
          <cell r="S15320">
            <v>1170</v>
          </cell>
          <cell r="X15320" t="str">
            <v>Commissions - gross</v>
          </cell>
          <cell r="Y15320" t="str">
            <v>GREECE</v>
          </cell>
        </row>
        <row r="15321">
          <cell r="L15321" t="str">
            <v>Non-proportional</v>
          </cell>
          <cell r="S15321">
            <v>3696.93</v>
          </cell>
          <cell r="X15321" t="str">
            <v>Commissions - gross</v>
          </cell>
          <cell r="Y15321" t="str">
            <v>UNITED KINGDOM</v>
          </cell>
        </row>
        <row r="15322">
          <cell r="L15322" t="str">
            <v>Non-proportional</v>
          </cell>
          <cell r="S15322">
            <v>36000</v>
          </cell>
          <cell r="X15322" t="str">
            <v>Commissions - gross</v>
          </cell>
          <cell r="Y15322" t="str">
            <v>FRANCE</v>
          </cell>
        </row>
        <row r="15323">
          <cell r="L15323" t="str">
            <v>Non-proportional</v>
          </cell>
          <cell r="S15323">
            <v>23961.279999999999</v>
          </cell>
          <cell r="X15323" t="str">
            <v>Commissions - gross</v>
          </cell>
          <cell r="Y15323" t="str">
            <v>FRANCE</v>
          </cell>
        </row>
        <row r="15324">
          <cell r="L15324" t="str">
            <v>Proportional</v>
          </cell>
          <cell r="S15324">
            <v>41365.72</v>
          </cell>
          <cell r="X15324" t="str">
            <v>Commissions - gross</v>
          </cell>
          <cell r="Y15324" t="str">
            <v>SWITZERLAND</v>
          </cell>
        </row>
        <row r="15325">
          <cell r="L15325" t="str">
            <v>Non-proportional</v>
          </cell>
          <cell r="S15325">
            <v>3176.56</v>
          </cell>
          <cell r="X15325" t="str">
            <v>Commissions - gross</v>
          </cell>
          <cell r="Y15325" t="str">
            <v>ISRAEL</v>
          </cell>
        </row>
        <row r="15326">
          <cell r="L15326" t="str">
            <v>Non-proportional</v>
          </cell>
          <cell r="S15326">
            <v>493.6</v>
          </cell>
          <cell r="X15326" t="str">
            <v>Commissions - gross</v>
          </cell>
          <cell r="Y15326" t="str">
            <v>FRANCE</v>
          </cell>
        </row>
        <row r="15327">
          <cell r="L15327" t="str">
            <v>Non-proportional</v>
          </cell>
          <cell r="S15327">
            <v>1018.08</v>
          </cell>
          <cell r="X15327" t="str">
            <v>Commissions - gross</v>
          </cell>
          <cell r="Y15327" t="str">
            <v>CYPRUS</v>
          </cell>
        </row>
        <row r="15328">
          <cell r="L15328" t="str">
            <v>Non-proportional</v>
          </cell>
          <cell r="S15328">
            <v>3348.2</v>
          </cell>
          <cell r="X15328" t="str">
            <v>Commissions - gross</v>
          </cell>
          <cell r="Y15328" t="str">
            <v>ISRAEL</v>
          </cell>
        </row>
        <row r="15329">
          <cell r="L15329" t="str">
            <v>Non-proportional</v>
          </cell>
          <cell r="S15329">
            <v>4118.1000000000004</v>
          </cell>
          <cell r="X15329" t="str">
            <v>Commissions - gross</v>
          </cell>
          <cell r="Y15329" t="str">
            <v>CHILE</v>
          </cell>
        </row>
        <row r="15330">
          <cell r="L15330" t="str">
            <v>Non-proportional</v>
          </cell>
          <cell r="S15330">
            <v>-1424.99</v>
          </cell>
          <cell r="X15330" t="str">
            <v>Commissions - gross</v>
          </cell>
          <cell r="Y15330" t="str">
            <v>ISRAEL</v>
          </cell>
        </row>
        <row r="15331">
          <cell r="L15331" t="str">
            <v>Non-proportional</v>
          </cell>
          <cell r="S15331">
            <v>1525.64</v>
          </cell>
          <cell r="X15331" t="str">
            <v>Commissions - gross</v>
          </cell>
          <cell r="Y15331" t="str">
            <v>BRAZIL</v>
          </cell>
        </row>
        <row r="15332">
          <cell r="L15332" t="str">
            <v>Non-proportional</v>
          </cell>
          <cell r="S15332">
            <v>11014.05</v>
          </cell>
          <cell r="X15332" t="str">
            <v>Commissions - gross</v>
          </cell>
          <cell r="Y15332" t="str">
            <v>FRANCE</v>
          </cell>
        </row>
        <row r="15333">
          <cell r="L15333" t="str">
            <v>Non-proportional</v>
          </cell>
          <cell r="S15333">
            <v>-4080</v>
          </cell>
          <cell r="X15333" t="str">
            <v>Commissions - gross</v>
          </cell>
          <cell r="Y15333" t="str">
            <v>ITALY</v>
          </cell>
        </row>
        <row r="15334">
          <cell r="L15334" t="str">
            <v>Non-proportional</v>
          </cell>
          <cell r="S15334">
            <v>468</v>
          </cell>
          <cell r="X15334" t="str">
            <v>Commissions - gross</v>
          </cell>
          <cell r="Y15334" t="str">
            <v>ITALY</v>
          </cell>
        </row>
        <row r="15335">
          <cell r="L15335" t="str">
            <v>Proportional</v>
          </cell>
          <cell r="S15335">
            <v>-4037.34</v>
          </cell>
          <cell r="X15335" t="str">
            <v>Commissions - gross</v>
          </cell>
          <cell r="Y15335" t="str">
            <v>JAPAN</v>
          </cell>
        </row>
        <row r="15336">
          <cell r="L15336" t="str">
            <v>Non-proportional</v>
          </cell>
          <cell r="S15336">
            <v>2410.6999999999998</v>
          </cell>
          <cell r="X15336" t="str">
            <v>Commissions - gross</v>
          </cell>
          <cell r="Y15336" t="str">
            <v>ISRAEL</v>
          </cell>
        </row>
        <row r="15337">
          <cell r="L15337" t="str">
            <v>Non-proportional</v>
          </cell>
          <cell r="S15337">
            <v>-2489.31</v>
          </cell>
          <cell r="X15337" t="str">
            <v>Commissions - gross</v>
          </cell>
          <cell r="Y15337" t="str">
            <v>TURKEY</v>
          </cell>
        </row>
        <row r="15338">
          <cell r="L15338" t="str">
            <v>Proportional</v>
          </cell>
          <cell r="S15338">
            <v>96832.72</v>
          </cell>
          <cell r="X15338" t="str">
            <v>Commissions - gross</v>
          </cell>
          <cell r="Y15338" t="str">
            <v>UNITED STATES</v>
          </cell>
        </row>
        <row r="15339">
          <cell r="L15339" t="str">
            <v>Non-proportional</v>
          </cell>
          <cell r="S15339">
            <v>2930.94</v>
          </cell>
          <cell r="X15339" t="str">
            <v>Commissions - gross</v>
          </cell>
          <cell r="Y15339" t="str">
            <v>CYPRUS</v>
          </cell>
        </row>
        <row r="15340">
          <cell r="L15340" t="str">
            <v>Non-proportional</v>
          </cell>
          <cell r="S15340">
            <v>-1867.43</v>
          </cell>
          <cell r="X15340" t="str">
            <v>Commissions - gross</v>
          </cell>
          <cell r="Y15340" t="str">
            <v>NEW ZEALAND</v>
          </cell>
        </row>
        <row r="15341">
          <cell r="L15341" t="str">
            <v>Non-proportional</v>
          </cell>
          <cell r="S15341">
            <v>1130.45</v>
          </cell>
          <cell r="X15341" t="str">
            <v>Commissions - gross</v>
          </cell>
          <cell r="Y15341" t="str">
            <v>CYPRUS</v>
          </cell>
        </row>
        <row r="15342">
          <cell r="L15342" t="str">
            <v>Non-proportional</v>
          </cell>
          <cell r="S15342">
            <v>7433.47</v>
          </cell>
          <cell r="X15342" t="str">
            <v>Commissions - gross</v>
          </cell>
          <cell r="Y15342" t="str">
            <v>SINGAPORE</v>
          </cell>
        </row>
        <row r="15343">
          <cell r="L15343" t="str">
            <v>Non-proportional</v>
          </cell>
          <cell r="S15343">
            <v>735</v>
          </cell>
          <cell r="X15343" t="str">
            <v>Commissions - gross</v>
          </cell>
          <cell r="Y15343" t="str">
            <v>GREECE</v>
          </cell>
        </row>
        <row r="15344">
          <cell r="L15344" t="str">
            <v>Proportional</v>
          </cell>
          <cell r="S15344">
            <v>202742.36</v>
          </cell>
          <cell r="X15344" t="str">
            <v>Commissions - gross</v>
          </cell>
          <cell r="Y15344" t="str">
            <v>UNITED STATES</v>
          </cell>
        </row>
        <row r="15345">
          <cell r="L15345" t="str">
            <v>Non-proportional</v>
          </cell>
          <cell r="S15345">
            <v>1946.44</v>
          </cell>
          <cell r="X15345" t="str">
            <v>Commissions - gross</v>
          </cell>
          <cell r="Y15345" t="str">
            <v>GUATEMALA</v>
          </cell>
        </row>
        <row r="15346">
          <cell r="L15346" t="str">
            <v>Non-proportional</v>
          </cell>
          <cell r="S15346">
            <v>-12877.2</v>
          </cell>
          <cell r="X15346" t="str">
            <v>Commissions - gross</v>
          </cell>
          <cell r="Y15346" t="str">
            <v>BELGIUM</v>
          </cell>
        </row>
        <row r="15347">
          <cell r="L15347" t="str">
            <v>Non-proportional</v>
          </cell>
          <cell r="S15347">
            <v>-1130.45</v>
          </cell>
          <cell r="X15347" t="str">
            <v>Commissions - gross</v>
          </cell>
          <cell r="Y15347" t="str">
            <v>CYPRUS</v>
          </cell>
        </row>
        <row r="15348">
          <cell r="L15348" t="str">
            <v>Non-proportional</v>
          </cell>
          <cell r="S15348">
            <v>1128.42</v>
          </cell>
          <cell r="X15348" t="str">
            <v>Commissions - gross</v>
          </cell>
          <cell r="Y15348" t="str">
            <v>CYPRUS</v>
          </cell>
        </row>
        <row r="15349">
          <cell r="L15349" t="str">
            <v>Proportional</v>
          </cell>
          <cell r="S15349">
            <v>53221.5</v>
          </cell>
          <cell r="X15349" t="str">
            <v>Commissions - gross</v>
          </cell>
          <cell r="Y15349" t="str">
            <v>UNITED STATES</v>
          </cell>
        </row>
        <row r="15350">
          <cell r="L15350" t="str">
            <v>Non-proportional</v>
          </cell>
          <cell r="S15350">
            <v>11400.17</v>
          </cell>
          <cell r="X15350" t="str">
            <v>Commissions - gross</v>
          </cell>
          <cell r="Y15350" t="str">
            <v>TURKEY</v>
          </cell>
        </row>
        <row r="15351">
          <cell r="L15351" t="str">
            <v>Non-proportional</v>
          </cell>
          <cell r="S15351">
            <v>4489.08</v>
          </cell>
          <cell r="X15351" t="str">
            <v>Commissions - gross</v>
          </cell>
          <cell r="Y15351" t="str">
            <v>SINGAPORE</v>
          </cell>
        </row>
        <row r="15352">
          <cell r="L15352" t="str">
            <v>Non-proportional</v>
          </cell>
          <cell r="S15352">
            <v>-49419</v>
          </cell>
          <cell r="X15352" t="str">
            <v>Commissions - gross</v>
          </cell>
          <cell r="Y15352" t="str">
            <v>TURKEY</v>
          </cell>
        </row>
        <row r="15353">
          <cell r="L15353" t="str">
            <v>Non-proportional</v>
          </cell>
          <cell r="S15353">
            <v>9687.4</v>
          </cell>
          <cell r="X15353" t="str">
            <v>Commissions - gross</v>
          </cell>
          <cell r="Y15353" t="str">
            <v>BELGIUM</v>
          </cell>
        </row>
        <row r="15354">
          <cell r="L15354" t="str">
            <v>Non-proportional</v>
          </cell>
          <cell r="S15354">
            <v>28125</v>
          </cell>
          <cell r="X15354" t="str">
            <v>Commissions - gross</v>
          </cell>
          <cell r="Y15354" t="str">
            <v>FRANCE</v>
          </cell>
        </row>
        <row r="15355">
          <cell r="L15355" t="str">
            <v>Non-proportional</v>
          </cell>
          <cell r="S15355">
            <v>12599.85</v>
          </cell>
          <cell r="X15355" t="str">
            <v>Commissions - gross</v>
          </cell>
          <cell r="Y15355" t="str">
            <v>ITALY</v>
          </cell>
        </row>
        <row r="15356">
          <cell r="L15356" t="str">
            <v>Non-proportional</v>
          </cell>
          <cell r="S15356">
            <v>-6105.02</v>
          </cell>
          <cell r="X15356" t="str">
            <v>Commissions - gross</v>
          </cell>
          <cell r="Y15356" t="str">
            <v>ISRAEL</v>
          </cell>
        </row>
        <row r="15357">
          <cell r="L15357" t="str">
            <v>Non-proportional</v>
          </cell>
          <cell r="S15357">
            <v>1599.26</v>
          </cell>
          <cell r="X15357" t="str">
            <v>Commissions - gross</v>
          </cell>
          <cell r="Y15357" t="str">
            <v>FRANCE</v>
          </cell>
        </row>
        <row r="15358">
          <cell r="L15358" t="str">
            <v>Non-proportional</v>
          </cell>
          <cell r="S15358">
            <v>-3311.3</v>
          </cell>
          <cell r="X15358" t="str">
            <v>Commissions - gross</v>
          </cell>
          <cell r="Y15358" t="str">
            <v>COLOMBIA</v>
          </cell>
        </row>
        <row r="15359">
          <cell r="L15359" t="str">
            <v>Non-proportional</v>
          </cell>
          <cell r="S15359">
            <v>587.25</v>
          </cell>
          <cell r="X15359" t="str">
            <v>Commissions - gross</v>
          </cell>
          <cell r="Y15359" t="str">
            <v>GREECE</v>
          </cell>
        </row>
        <row r="15360">
          <cell r="L15360" t="str">
            <v>Non-proportional</v>
          </cell>
          <cell r="S15360">
            <v>9885.92</v>
          </cell>
          <cell r="X15360" t="str">
            <v>Commissions - gross</v>
          </cell>
          <cell r="Y15360" t="str">
            <v>ITALY</v>
          </cell>
        </row>
        <row r="15361">
          <cell r="L15361" t="str">
            <v>Non-proportional</v>
          </cell>
          <cell r="S15361">
            <v>798.06</v>
          </cell>
          <cell r="X15361" t="str">
            <v>Commissions - gross</v>
          </cell>
          <cell r="Y15361" t="str">
            <v>FRANCE</v>
          </cell>
        </row>
        <row r="15362">
          <cell r="L15362" t="str">
            <v>Non-proportional</v>
          </cell>
          <cell r="S15362">
            <v>-6887.5</v>
          </cell>
          <cell r="X15362" t="str">
            <v>Commissions - gross</v>
          </cell>
          <cell r="Y15362" t="str">
            <v>THAILAND</v>
          </cell>
        </row>
        <row r="15363">
          <cell r="L15363" t="str">
            <v>Non-proportional</v>
          </cell>
          <cell r="S15363">
            <v>6887.5</v>
          </cell>
          <cell r="X15363" t="str">
            <v>Commissions - gross</v>
          </cell>
          <cell r="Y15363" t="str">
            <v>THAILAND</v>
          </cell>
        </row>
        <row r="15364">
          <cell r="L15364" t="str">
            <v>Non-proportional</v>
          </cell>
          <cell r="S15364">
            <v>492.13</v>
          </cell>
          <cell r="X15364" t="str">
            <v>Commissions - gross</v>
          </cell>
          <cell r="Y15364" t="str">
            <v>UNITED KINGDOM</v>
          </cell>
        </row>
        <row r="15365">
          <cell r="L15365" t="str">
            <v>Non-proportional</v>
          </cell>
          <cell r="S15365">
            <v>94.94</v>
          </cell>
          <cell r="X15365" t="str">
            <v>Commissions - gross</v>
          </cell>
          <cell r="Y15365" t="str">
            <v>UNITED KINGDOM</v>
          </cell>
        </row>
        <row r="15366">
          <cell r="L15366" t="str">
            <v>Proportional</v>
          </cell>
          <cell r="S15366">
            <v>34192.97</v>
          </cell>
          <cell r="X15366" t="str">
            <v>Commissions - gross</v>
          </cell>
          <cell r="Y15366" t="str">
            <v>FRANCE</v>
          </cell>
        </row>
        <row r="15367">
          <cell r="L15367" t="str">
            <v>Non-proportional</v>
          </cell>
          <cell r="S15367">
            <v>-7433.47</v>
          </cell>
          <cell r="X15367" t="str">
            <v>Commissions - gross</v>
          </cell>
          <cell r="Y15367" t="str">
            <v>SINGAPORE</v>
          </cell>
        </row>
        <row r="15368">
          <cell r="L15368" t="str">
            <v>Non-proportional</v>
          </cell>
          <cell r="S15368">
            <v>19389.599999999999</v>
          </cell>
          <cell r="X15368" t="str">
            <v>Commissions - gross</v>
          </cell>
          <cell r="Y15368" t="str">
            <v>ITALY</v>
          </cell>
        </row>
        <row r="15369">
          <cell r="L15369" t="str">
            <v>Non-proportional</v>
          </cell>
          <cell r="S15369">
            <v>126868</v>
          </cell>
          <cell r="X15369" t="str">
            <v>Commissions - gross</v>
          </cell>
          <cell r="Y15369" t="str">
            <v>FRANCE</v>
          </cell>
        </row>
        <row r="15370">
          <cell r="L15370" t="str">
            <v>Non-proportional</v>
          </cell>
          <cell r="S15370">
            <v>8102.86</v>
          </cell>
          <cell r="X15370" t="str">
            <v>Commissions - gross</v>
          </cell>
          <cell r="Y15370" t="str">
            <v>THAILAND</v>
          </cell>
        </row>
        <row r="15371">
          <cell r="L15371" t="str">
            <v>Non-proportional</v>
          </cell>
          <cell r="S15371">
            <v>1787</v>
          </cell>
          <cell r="X15371" t="str">
            <v>Commissions - gross</v>
          </cell>
          <cell r="Y15371" t="str">
            <v>ISRAEL</v>
          </cell>
        </row>
        <row r="15372">
          <cell r="L15372" t="str">
            <v>Non-proportional</v>
          </cell>
          <cell r="S15372">
            <v>5938.95</v>
          </cell>
          <cell r="X15372" t="str">
            <v>Commissions - gross</v>
          </cell>
          <cell r="Y15372" t="str">
            <v>NETHERLANDS</v>
          </cell>
        </row>
        <row r="15373">
          <cell r="L15373" t="str">
            <v>Non-proportional</v>
          </cell>
          <cell r="S15373">
            <v>-5197.25</v>
          </cell>
          <cell r="X15373" t="str">
            <v>Commissions - gross</v>
          </cell>
          <cell r="Y15373" t="str">
            <v>UNITED KINGDOM</v>
          </cell>
        </row>
        <row r="15374">
          <cell r="L15374" t="str">
            <v>Non-proportional</v>
          </cell>
          <cell r="S15374">
            <v>-10500</v>
          </cell>
          <cell r="X15374" t="str">
            <v>Commissions - gross</v>
          </cell>
          <cell r="Y15374" t="str">
            <v>FRANCE</v>
          </cell>
        </row>
        <row r="15375">
          <cell r="L15375" t="str">
            <v>Non-proportional</v>
          </cell>
          <cell r="S15375">
            <v>3818.56</v>
          </cell>
          <cell r="X15375" t="str">
            <v>Commissions - gross</v>
          </cell>
          <cell r="Y15375" t="str">
            <v>ISRAEL</v>
          </cell>
        </row>
        <row r="15376">
          <cell r="L15376" t="str">
            <v>Non-proportional</v>
          </cell>
          <cell r="S15376">
            <v>-3574</v>
          </cell>
          <cell r="X15376" t="str">
            <v>Commissions - gross</v>
          </cell>
          <cell r="Y15376" t="str">
            <v>ISRAEL</v>
          </cell>
        </row>
        <row r="15377">
          <cell r="L15377" t="str">
            <v>Non-proportional</v>
          </cell>
          <cell r="S15377">
            <v>126.72</v>
          </cell>
          <cell r="X15377" t="str">
            <v>Commissions - gross</v>
          </cell>
          <cell r="Y15377" t="str">
            <v>UNITED KINGDOM</v>
          </cell>
        </row>
        <row r="15378">
          <cell r="L15378" t="str">
            <v>Non-proportional</v>
          </cell>
          <cell r="S15378">
            <v>745.64</v>
          </cell>
          <cell r="X15378" t="str">
            <v>Commissions - gross</v>
          </cell>
          <cell r="Y15378" t="str">
            <v>ITALY</v>
          </cell>
        </row>
        <row r="15379">
          <cell r="L15379" t="str">
            <v>Non-proportional</v>
          </cell>
          <cell r="S15379">
            <v>10709</v>
          </cell>
          <cell r="X15379" t="str">
            <v>Commissions - gross</v>
          </cell>
          <cell r="Y15379" t="str">
            <v>NETHERLANDS</v>
          </cell>
        </row>
        <row r="15380">
          <cell r="L15380" t="str">
            <v>Non-proportional</v>
          </cell>
          <cell r="S15380">
            <v>3254.36</v>
          </cell>
          <cell r="X15380" t="str">
            <v>Commissions - gross</v>
          </cell>
          <cell r="Y15380" t="str">
            <v>ISRAEL</v>
          </cell>
        </row>
        <row r="15381">
          <cell r="L15381" t="str">
            <v>Non-proportional</v>
          </cell>
          <cell r="S15381">
            <v>1632.85</v>
          </cell>
          <cell r="X15381" t="str">
            <v>Commissions - gross</v>
          </cell>
          <cell r="Y15381" t="str">
            <v>ISRAEL</v>
          </cell>
        </row>
        <row r="15382">
          <cell r="L15382" t="str">
            <v>Non-proportional</v>
          </cell>
          <cell r="S15382">
            <v>6615.21</v>
          </cell>
          <cell r="X15382" t="str">
            <v>Commissions - gross</v>
          </cell>
          <cell r="Y15382" t="str">
            <v>NETHERLANDS</v>
          </cell>
        </row>
        <row r="15383">
          <cell r="L15383" t="str">
            <v>Non-proportional</v>
          </cell>
          <cell r="S15383">
            <v>-3365.19</v>
          </cell>
          <cell r="X15383" t="str">
            <v>Commissions - gross</v>
          </cell>
          <cell r="Y15383" t="str">
            <v>COLOMBIA</v>
          </cell>
        </row>
        <row r="15384">
          <cell r="L15384" t="str">
            <v>Non-proportional</v>
          </cell>
          <cell r="S15384">
            <v>4533.6899999999996</v>
          </cell>
          <cell r="X15384" t="str">
            <v>Commissions - gross</v>
          </cell>
          <cell r="Y15384" t="str">
            <v>CHILE</v>
          </cell>
        </row>
        <row r="15385">
          <cell r="L15385" t="str">
            <v>Non-proportional</v>
          </cell>
          <cell r="S15385">
            <v>6563.14</v>
          </cell>
          <cell r="X15385" t="str">
            <v>Commissions - gross</v>
          </cell>
          <cell r="Y15385" t="str">
            <v>ISRAEL</v>
          </cell>
        </row>
        <row r="15386">
          <cell r="L15386" t="str">
            <v>Non-proportional</v>
          </cell>
          <cell r="S15386">
            <v>-6281.05</v>
          </cell>
          <cell r="X15386" t="str">
            <v>Commissions - gross</v>
          </cell>
          <cell r="Y15386" t="str">
            <v>UNITED KINGDOM</v>
          </cell>
        </row>
        <row r="15387">
          <cell r="L15387" t="str">
            <v>Non-proportional</v>
          </cell>
          <cell r="S15387">
            <v>661.5</v>
          </cell>
          <cell r="X15387" t="str">
            <v>Commissions - gross</v>
          </cell>
          <cell r="Y15387" t="str">
            <v>GREECE</v>
          </cell>
        </row>
        <row r="15388">
          <cell r="L15388" t="str">
            <v>Non-proportional</v>
          </cell>
          <cell r="S15388">
            <v>14401.59</v>
          </cell>
          <cell r="X15388" t="str">
            <v>Commissions - gross</v>
          </cell>
          <cell r="Y15388" t="str">
            <v>ITALY</v>
          </cell>
        </row>
        <row r="15389">
          <cell r="L15389" t="str">
            <v>Non-proportional</v>
          </cell>
          <cell r="S15389">
            <v>-3231.94</v>
          </cell>
          <cell r="X15389" t="str">
            <v>Commissions - gross</v>
          </cell>
          <cell r="Y15389" t="str">
            <v>THAILAND</v>
          </cell>
        </row>
        <row r="15390">
          <cell r="L15390" t="str">
            <v>Non-proportional</v>
          </cell>
          <cell r="S15390">
            <v>2721.5</v>
          </cell>
          <cell r="X15390" t="str">
            <v>Commissions - gross</v>
          </cell>
          <cell r="Y15390" t="str">
            <v>TURKEY</v>
          </cell>
        </row>
        <row r="15391">
          <cell r="L15391" t="str">
            <v>Non-proportional</v>
          </cell>
          <cell r="S15391">
            <v>6329.39</v>
          </cell>
          <cell r="X15391" t="str">
            <v>Commissions - gross</v>
          </cell>
          <cell r="Y15391" t="str">
            <v>CYPRUS</v>
          </cell>
        </row>
        <row r="15392">
          <cell r="L15392" t="str">
            <v>Non-proportional</v>
          </cell>
          <cell r="S15392">
            <v>1607.03</v>
          </cell>
          <cell r="X15392" t="str">
            <v>Commissions - gross</v>
          </cell>
          <cell r="Y15392" t="str">
            <v>COSTA RICA</v>
          </cell>
        </row>
        <row r="15393">
          <cell r="L15393" t="str">
            <v>Non-proportional</v>
          </cell>
          <cell r="S15393">
            <v>1408.08</v>
          </cell>
          <cell r="X15393" t="str">
            <v>Commissions - gross</v>
          </cell>
          <cell r="Y15393" t="str">
            <v>CYPRUS</v>
          </cell>
        </row>
        <row r="15394">
          <cell r="L15394" t="str">
            <v>Non-proportional</v>
          </cell>
          <cell r="S15394">
            <v>4284.75</v>
          </cell>
          <cell r="X15394" t="str">
            <v>Commissions - gross</v>
          </cell>
          <cell r="Y15394" t="str">
            <v>GREECE</v>
          </cell>
        </row>
        <row r="15395">
          <cell r="L15395" t="str">
            <v>Non-proportional</v>
          </cell>
          <cell r="S15395">
            <v>2284.9899999999998</v>
          </cell>
          <cell r="X15395" t="str">
            <v>Commissions - gross</v>
          </cell>
          <cell r="Y15395" t="str">
            <v>COSTA RICA</v>
          </cell>
        </row>
        <row r="15396">
          <cell r="L15396" t="str">
            <v>Non-proportional</v>
          </cell>
          <cell r="S15396">
            <v>-1424.99</v>
          </cell>
          <cell r="X15396" t="str">
            <v>Commissions - gross</v>
          </cell>
          <cell r="Y15396" t="str">
            <v>ISRAEL</v>
          </cell>
        </row>
        <row r="15397">
          <cell r="L15397" t="str">
            <v>Non-proportional</v>
          </cell>
          <cell r="S15397">
            <v>8882</v>
          </cell>
          <cell r="X15397" t="str">
            <v>Commissions - gross</v>
          </cell>
          <cell r="Y15397" t="str">
            <v>ITALY</v>
          </cell>
        </row>
        <row r="15398">
          <cell r="L15398" t="str">
            <v>Non-proportional</v>
          </cell>
          <cell r="S15398">
            <v>1066.74</v>
          </cell>
          <cell r="X15398" t="str">
            <v>Commissions - gross</v>
          </cell>
          <cell r="Y15398" t="str">
            <v>UNITED KINGDOM</v>
          </cell>
        </row>
        <row r="15399">
          <cell r="L15399" t="str">
            <v>Non-proportional</v>
          </cell>
          <cell r="S15399">
            <v>-5677.55</v>
          </cell>
          <cell r="X15399" t="str">
            <v>Commissions - gross</v>
          </cell>
          <cell r="Y15399" t="str">
            <v>UNITED KINGDOM</v>
          </cell>
        </row>
        <row r="15400">
          <cell r="L15400" t="str">
            <v>Non-proportional</v>
          </cell>
          <cell r="S15400">
            <v>10318.799999999999</v>
          </cell>
          <cell r="X15400" t="str">
            <v>Commissions - gross</v>
          </cell>
          <cell r="Y15400" t="str">
            <v>ITALY</v>
          </cell>
        </row>
        <row r="15401">
          <cell r="L15401" t="str">
            <v>Non-proportional</v>
          </cell>
          <cell r="S15401">
            <v>1425</v>
          </cell>
          <cell r="X15401" t="str">
            <v>Commissions - gross</v>
          </cell>
          <cell r="Y15401" t="str">
            <v>ITALY</v>
          </cell>
        </row>
        <row r="15402">
          <cell r="L15402" t="str">
            <v>Non-proportional</v>
          </cell>
          <cell r="S15402">
            <v>36415.19</v>
          </cell>
          <cell r="X15402" t="str">
            <v>Commissions - gross</v>
          </cell>
          <cell r="Y15402" t="str">
            <v>FRANCE</v>
          </cell>
        </row>
        <row r="15403">
          <cell r="L15403" t="str">
            <v>Non-proportional</v>
          </cell>
          <cell r="S15403">
            <v>-4070.02</v>
          </cell>
          <cell r="X15403" t="str">
            <v>Commissions - gross</v>
          </cell>
          <cell r="Y15403" t="str">
            <v>ISRAEL</v>
          </cell>
        </row>
        <row r="15404">
          <cell r="L15404" t="str">
            <v>Non-proportional</v>
          </cell>
          <cell r="S15404">
            <v>1672.54</v>
          </cell>
          <cell r="X15404" t="str">
            <v>Commissions - gross</v>
          </cell>
          <cell r="Y15404" t="str">
            <v>ISRAEL</v>
          </cell>
        </row>
        <row r="15405">
          <cell r="L15405" t="str">
            <v>Non-proportional</v>
          </cell>
          <cell r="S15405">
            <v>11291.2</v>
          </cell>
          <cell r="X15405" t="str">
            <v>Commissions - gross</v>
          </cell>
          <cell r="Y15405" t="str">
            <v>ISRAEL</v>
          </cell>
        </row>
        <row r="15406">
          <cell r="L15406" t="str">
            <v>Non-proportional</v>
          </cell>
          <cell r="S15406">
            <v>-911.25</v>
          </cell>
          <cell r="X15406" t="str">
            <v>Commissions - gross</v>
          </cell>
          <cell r="Y15406" t="str">
            <v>GREECE</v>
          </cell>
        </row>
        <row r="15407">
          <cell r="L15407" t="str">
            <v>Non-proportional</v>
          </cell>
          <cell r="S15407">
            <v>3910.7</v>
          </cell>
          <cell r="X15407" t="str">
            <v>Commissions - gross</v>
          </cell>
          <cell r="Y15407" t="str">
            <v>ISRAEL</v>
          </cell>
        </row>
        <row r="15408">
          <cell r="L15408" t="str">
            <v>Proportional</v>
          </cell>
          <cell r="S15408">
            <v>-37.97</v>
          </cell>
          <cell r="X15408" t="str">
            <v>Commissions - gross</v>
          </cell>
          <cell r="Y15408" t="str">
            <v>UNITED STATES</v>
          </cell>
        </row>
        <row r="15409">
          <cell r="L15409" t="str">
            <v>Non-proportional</v>
          </cell>
          <cell r="S15409">
            <v>2963.55</v>
          </cell>
          <cell r="X15409" t="str">
            <v>Commissions - gross</v>
          </cell>
          <cell r="Y15409" t="str">
            <v>FRANCE</v>
          </cell>
        </row>
        <row r="15410">
          <cell r="L15410" t="str">
            <v>Non-proportional</v>
          </cell>
          <cell r="S15410">
            <v>501.2</v>
          </cell>
          <cell r="X15410" t="str">
            <v>Commissions - gross</v>
          </cell>
          <cell r="Y15410" t="str">
            <v>NETHERLANDS</v>
          </cell>
        </row>
        <row r="15411">
          <cell r="L15411" t="str">
            <v>Non-proportional</v>
          </cell>
          <cell r="S15411">
            <v>8349.4</v>
          </cell>
          <cell r="X15411" t="str">
            <v>Commissions - gross</v>
          </cell>
          <cell r="Y15411" t="str">
            <v>ITALY</v>
          </cell>
        </row>
        <row r="15412">
          <cell r="L15412" t="str">
            <v>Non-proportional</v>
          </cell>
          <cell r="S15412">
            <v>-1632.85</v>
          </cell>
          <cell r="X15412" t="str">
            <v>Commissions - gross</v>
          </cell>
          <cell r="Y15412" t="str">
            <v>ISRAEL</v>
          </cell>
        </row>
        <row r="15413">
          <cell r="L15413" t="str">
            <v>Non-proportional</v>
          </cell>
          <cell r="S15413">
            <v>131351.76999999999</v>
          </cell>
          <cell r="X15413" t="str">
            <v>Commissions - gross</v>
          </cell>
          <cell r="Y15413" t="str">
            <v>FRANCE</v>
          </cell>
        </row>
        <row r="15414">
          <cell r="L15414" t="str">
            <v>Proportional</v>
          </cell>
          <cell r="S15414">
            <v>906.74</v>
          </cell>
          <cell r="X15414" t="str">
            <v>Commissions - gross</v>
          </cell>
          <cell r="Y15414" t="str">
            <v>CHILE</v>
          </cell>
        </row>
        <row r="15415">
          <cell r="L15415" t="str">
            <v>Non-proportional</v>
          </cell>
          <cell r="S15415">
            <v>1762.5</v>
          </cell>
          <cell r="X15415" t="str">
            <v>Commissions - gross</v>
          </cell>
          <cell r="Y15415" t="str">
            <v>GREECE</v>
          </cell>
        </row>
        <row r="15416">
          <cell r="L15416" t="str">
            <v>Non-proportional</v>
          </cell>
          <cell r="S15416">
            <v>-8882</v>
          </cell>
          <cell r="X15416" t="str">
            <v>Commissions - gross</v>
          </cell>
          <cell r="Y15416" t="str">
            <v>ITALY</v>
          </cell>
        </row>
        <row r="15417">
          <cell r="L15417" t="str">
            <v>Non-proportional</v>
          </cell>
          <cell r="S15417">
            <v>12154</v>
          </cell>
          <cell r="X15417" t="str">
            <v>Commissions - gross</v>
          </cell>
          <cell r="Y15417" t="str">
            <v>ITALY</v>
          </cell>
        </row>
        <row r="15418">
          <cell r="L15418" t="str">
            <v>Non-proportional</v>
          </cell>
          <cell r="S15418">
            <v>2824.14</v>
          </cell>
          <cell r="X15418" t="str">
            <v>Commissions - gross</v>
          </cell>
          <cell r="Y15418" t="str">
            <v>COLOMBIA</v>
          </cell>
        </row>
        <row r="15419">
          <cell r="L15419" t="str">
            <v>Non-proportional</v>
          </cell>
          <cell r="S15419">
            <v>-7152.99</v>
          </cell>
          <cell r="X15419" t="str">
            <v>Commissions - gross</v>
          </cell>
          <cell r="Y15419" t="str">
            <v>CYPRUS</v>
          </cell>
        </row>
        <row r="15420">
          <cell r="L15420" t="str">
            <v>Non-proportional</v>
          </cell>
          <cell r="S15420">
            <v>8662.5</v>
          </cell>
          <cell r="X15420" t="str">
            <v>Commissions - gross</v>
          </cell>
          <cell r="Y15420" t="str">
            <v>BELGIUM</v>
          </cell>
        </row>
        <row r="15421">
          <cell r="L15421" t="str">
            <v>Non-proportional</v>
          </cell>
          <cell r="S15421">
            <v>2057.7800000000002</v>
          </cell>
          <cell r="X15421" t="str">
            <v>Commissions - gross</v>
          </cell>
          <cell r="Y15421" t="str">
            <v>TURKEY</v>
          </cell>
        </row>
        <row r="15422">
          <cell r="L15422" t="str">
            <v>Non-proportional</v>
          </cell>
          <cell r="S15422">
            <v>766.22</v>
          </cell>
          <cell r="X15422" t="str">
            <v>Commissions - gross</v>
          </cell>
          <cell r="Y15422" t="str">
            <v>MALTA</v>
          </cell>
        </row>
        <row r="15423">
          <cell r="L15423" t="str">
            <v>Non-proportional</v>
          </cell>
          <cell r="S15423">
            <v>483955.77</v>
          </cell>
          <cell r="X15423" t="str">
            <v>Commissions - gross</v>
          </cell>
          <cell r="Y15423" t="str">
            <v>UNITED KINGDOM</v>
          </cell>
        </row>
        <row r="15424">
          <cell r="L15424" t="str">
            <v>Non-proportional</v>
          </cell>
          <cell r="S15424">
            <v>8810.8700000000008</v>
          </cell>
          <cell r="X15424" t="str">
            <v>Commissions - gross</v>
          </cell>
          <cell r="Y15424" t="str">
            <v>FRANCE</v>
          </cell>
        </row>
        <row r="15425">
          <cell r="L15425" t="str">
            <v>Non-proportional</v>
          </cell>
          <cell r="S15425">
            <v>-3696.32</v>
          </cell>
          <cell r="X15425" t="str">
            <v>Commissions - gross</v>
          </cell>
          <cell r="Y15425" t="str">
            <v>UNITED KINGDOM</v>
          </cell>
        </row>
        <row r="15426">
          <cell r="L15426" t="str">
            <v>Non-proportional</v>
          </cell>
          <cell r="S15426">
            <v>8691</v>
          </cell>
          <cell r="X15426" t="str">
            <v>Commissions - gross</v>
          </cell>
          <cell r="Y15426" t="str">
            <v>ITALY</v>
          </cell>
        </row>
        <row r="15427">
          <cell r="L15427" t="str">
            <v>Non-proportional</v>
          </cell>
          <cell r="S15427">
            <v>4143.3999999999996</v>
          </cell>
          <cell r="X15427" t="str">
            <v>Commissions - gross</v>
          </cell>
          <cell r="Y15427" t="str">
            <v>ISRAEL</v>
          </cell>
        </row>
        <row r="15428">
          <cell r="L15428" t="str">
            <v>Non-proportional</v>
          </cell>
          <cell r="S15428">
            <v>27825</v>
          </cell>
          <cell r="X15428" t="str">
            <v>Commissions - gross</v>
          </cell>
          <cell r="Y15428" t="str">
            <v>ITALY</v>
          </cell>
        </row>
        <row r="15429">
          <cell r="L15429" t="str">
            <v>Non-proportional</v>
          </cell>
          <cell r="S15429">
            <v>7500</v>
          </cell>
          <cell r="X15429" t="str">
            <v>Commissions - gross</v>
          </cell>
          <cell r="Y15429" t="str">
            <v>FRANCE</v>
          </cell>
        </row>
        <row r="15430">
          <cell r="L15430" t="str">
            <v>Non-proportional</v>
          </cell>
          <cell r="S15430">
            <v>2133</v>
          </cell>
          <cell r="X15430" t="str">
            <v>Commissions - gross</v>
          </cell>
          <cell r="Y15430" t="str">
            <v>GREECE</v>
          </cell>
        </row>
        <row r="15431">
          <cell r="L15431" t="str">
            <v>Non-proportional</v>
          </cell>
          <cell r="S15431">
            <v>9134.41</v>
          </cell>
          <cell r="X15431" t="str">
            <v>Commissions - gross</v>
          </cell>
          <cell r="Y15431" t="str">
            <v>COLOMBIA</v>
          </cell>
        </row>
        <row r="15432">
          <cell r="L15432" t="str">
            <v>Non-proportional</v>
          </cell>
          <cell r="S15432">
            <v>-5227.12</v>
          </cell>
          <cell r="X15432" t="str">
            <v>Commissions - gross</v>
          </cell>
          <cell r="Y15432" t="str">
            <v>UNITED KINGDOM</v>
          </cell>
        </row>
        <row r="15433">
          <cell r="L15433" t="str">
            <v>Non-proportional</v>
          </cell>
          <cell r="S15433">
            <v>1509.36</v>
          </cell>
          <cell r="X15433" t="str">
            <v>Commissions - gross</v>
          </cell>
          <cell r="Y15433" t="str">
            <v>ITALY</v>
          </cell>
        </row>
        <row r="15434">
          <cell r="L15434" t="str">
            <v>Non-proportional</v>
          </cell>
          <cell r="S15434">
            <v>1975.45</v>
          </cell>
          <cell r="X15434" t="str">
            <v>Commissions - gross</v>
          </cell>
          <cell r="Y15434" t="str">
            <v>TURKEY</v>
          </cell>
        </row>
        <row r="15435">
          <cell r="L15435" t="str">
            <v>Non-proportional</v>
          </cell>
          <cell r="S15435">
            <v>-3176.56</v>
          </cell>
          <cell r="X15435" t="str">
            <v>Commissions - gross</v>
          </cell>
          <cell r="Y15435" t="str">
            <v>ISRAEL</v>
          </cell>
        </row>
        <row r="15436">
          <cell r="L15436" t="str">
            <v>Non-proportional</v>
          </cell>
          <cell r="S15436">
            <v>3284.27</v>
          </cell>
          <cell r="X15436" t="str">
            <v>Commissions - gross</v>
          </cell>
          <cell r="Y15436" t="str">
            <v>ISRAEL</v>
          </cell>
        </row>
        <row r="15437">
          <cell r="L15437" t="str">
            <v>Non-proportional</v>
          </cell>
          <cell r="S15437">
            <v>-6150</v>
          </cell>
          <cell r="X15437" t="str">
            <v>Commissions - gross</v>
          </cell>
          <cell r="Y15437" t="str">
            <v>ITALY</v>
          </cell>
        </row>
        <row r="15438">
          <cell r="L15438" t="str">
            <v>Non-proportional</v>
          </cell>
          <cell r="S15438">
            <v>718.25</v>
          </cell>
          <cell r="X15438" t="str">
            <v>Commissions - gross</v>
          </cell>
          <cell r="Y15438" t="str">
            <v>FRANCE</v>
          </cell>
        </row>
        <row r="15439">
          <cell r="L15439" t="str">
            <v>Non-proportional</v>
          </cell>
          <cell r="S15439">
            <v>4625</v>
          </cell>
          <cell r="X15439" t="str">
            <v>Commissions - gross</v>
          </cell>
          <cell r="Y15439" t="str">
            <v>FRANCE</v>
          </cell>
        </row>
        <row r="15440">
          <cell r="L15440" t="str">
            <v>Non-proportional</v>
          </cell>
          <cell r="S15440">
            <v>7523.52</v>
          </cell>
          <cell r="X15440" t="str">
            <v>Commissions - gross</v>
          </cell>
          <cell r="Y15440" t="str">
            <v>MEXICO</v>
          </cell>
        </row>
        <row r="15441">
          <cell r="L15441" t="str">
            <v>Non-proportional</v>
          </cell>
          <cell r="S15441">
            <v>4520.78</v>
          </cell>
          <cell r="X15441" t="str">
            <v>Commissions - gross</v>
          </cell>
          <cell r="Y15441" t="str">
            <v>FRANCE</v>
          </cell>
        </row>
        <row r="15442">
          <cell r="L15442" t="str">
            <v>Non-proportional</v>
          </cell>
          <cell r="S15442">
            <v>2569.09</v>
          </cell>
          <cell r="X15442" t="str">
            <v>Commissions - gross</v>
          </cell>
          <cell r="Y15442" t="str">
            <v>CHILE</v>
          </cell>
        </row>
        <row r="15443">
          <cell r="L15443" t="str">
            <v>Non-proportional</v>
          </cell>
          <cell r="S15443">
            <v>-131196.46</v>
          </cell>
          <cell r="X15443" t="str">
            <v>Commissions - gross</v>
          </cell>
          <cell r="Y15443" t="str">
            <v>FRANCE</v>
          </cell>
        </row>
        <row r="15444">
          <cell r="L15444" t="str">
            <v>Non-proportional</v>
          </cell>
          <cell r="S15444">
            <v>6783.36</v>
          </cell>
          <cell r="X15444" t="str">
            <v>Commissions - gross</v>
          </cell>
          <cell r="Y15444" t="str">
            <v>ISRAEL</v>
          </cell>
        </row>
        <row r="15445">
          <cell r="L15445" t="str">
            <v>Non-proportional</v>
          </cell>
          <cell r="S15445">
            <v>4522.24</v>
          </cell>
          <cell r="X15445" t="str">
            <v>Commissions - gross</v>
          </cell>
          <cell r="Y15445" t="str">
            <v>ISRAEL</v>
          </cell>
        </row>
        <row r="15446">
          <cell r="L15446" t="str">
            <v>Non-proportional</v>
          </cell>
          <cell r="S15446">
            <v>1687.5</v>
          </cell>
          <cell r="X15446" t="str">
            <v>Commissions - gross</v>
          </cell>
          <cell r="Y15446" t="str">
            <v>GREECE</v>
          </cell>
        </row>
        <row r="15447">
          <cell r="L15447" t="str">
            <v>Non-proportional</v>
          </cell>
          <cell r="S15447">
            <v>5227.12</v>
          </cell>
          <cell r="X15447" t="str">
            <v>Commissions - gross</v>
          </cell>
          <cell r="Y15447" t="str">
            <v>UNITED KINGDOM</v>
          </cell>
        </row>
        <row r="15448">
          <cell r="L15448" t="str">
            <v>Non-proportional</v>
          </cell>
          <cell r="S15448">
            <v>5499.79</v>
          </cell>
          <cell r="X15448" t="str">
            <v>Commissions - gross</v>
          </cell>
          <cell r="Y15448" t="str">
            <v>THAILAND</v>
          </cell>
        </row>
        <row r="15449">
          <cell r="L15449" t="str">
            <v>Non-proportional</v>
          </cell>
          <cell r="S15449">
            <v>-896.08</v>
          </cell>
          <cell r="X15449" t="str">
            <v>Commissions - gross</v>
          </cell>
          <cell r="Y15449" t="str">
            <v>UNITED KINGDOM</v>
          </cell>
        </row>
        <row r="15450">
          <cell r="L15450" t="str">
            <v>Non-proportional</v>
          </cell>
          <cell r="S15450">
            <v>468</v>
          </cell>
          <cell r="X15450" t="str">
            <v>Commissions - gross</v>
          </cell>
          <cell r="Y15450" t="str">
            <v>ITALY</v>
          </cell>
        </row>
        <row r="15451">
          <cell r="L15451" t="str">
            <v>Non-proportional</v>
          </cell>
          <cell r="S15451">
            <v>15579</v>
          </cell>
          <cell r="X15451" t="str">
            <v>Commissions - gross</v>
          </cell>
          <cell r="Y15451" t="str">
            <v>FRANCE</v>
          </cell>
        </row>
        <row r="15452">
          <cell r="L15452" t="str">
            <v>Non-proportional</v>
          </cell>
          <cell r="S15452">
            <v>4873.6400000000003</v>
          </cell>
          <cell r="X15452" t="str">
            <v>Commissions - gross</v>
          </cell>
          <cell r="Y15452" t="str">
            <v>FRANCE</v>
          </cell>
        </row>
        <row r="15453">
          <cell r="L15453" t="str">
            <v>Non-proportional</v>
          </cell>
          <cell r="S15453">
            <v>1012.5</v>
          </cell>
          <cell r="X15453" t="str">
            <v>Commissions - gross</v>
          </cell>
          <cell r="Y15453" t="str">
            <v>GREECE</v>
          </cell>
        </row>
        <row r="15454">
          <cell r="L15454" t="str">
            <v>Non-proportional</v>
          </cell>
          <cell r="S15454">
            <v>1032</v>
          </cell>
          <cell r="X15454" t="str">
            <v>Commissions - gross</v>
          </cell>
          <cell r="Y15454" t="str">
            <v>GREECE</v>
          </cell>
        </row>
        <row r="15455">
          <cell r="L15455" t="str">
            <v>Non-proportional</v>
          </cell>
          <cell r="S15455">
            <v>1676.59</v>
          </cell>
          <cell r="X15455" t="str">
            <v>Commissions - gross</v>
          </cell>
          <cell r="Y15455" t="str">
            <v>ITALY</v>
          </cell>
        </row>
        <row r="15456">
          <cell r="L15456" t="str">
            <v>Non-proportional</v>
          </cell>
          <cell r="S15456">
            <v>-10318.799999999999</v>
          </cell>
          <cell r="X15456" t="str">
            <v>Commissions - gross</v>
          </cell>
          <cell r="Y15456" t="str">
            <v>ITALY</v>
          </cell>
        </row>
        <row r="15457">
          <cell r="L15457" t="str">
            <v>Non-proportional</v>
          </cell>
          <cell r="S15457">
            <v>9427.42</v>
          </cell>
          <cell r="X15457" t="str">
            <v>Commissions - gross</v>
          </cell>
          <cell r="Y15457" t="str">
            <v>PERU</v>
          </cell>
        </row>
        <row r="15458">
          <cell r="L15458" t="str">
            <v>Non-proportional</v>
          </cell>
          <cell r="S15458">
            <v>38400.03</v>
          </cell>
          <cell r="X15458" t="str">
            <v>Commissions - gross</v>
          </cell>
          <cell r="Y15458" t="str">
            <v>TURKEY</v>
          </cell>
        </row>
        <row r="15459">
          <cell r="L15459" t="str">
            <v>Non-proportional</v>
          </cell>
          <cell r="S15459">
            <v>-1018.08</v>
          </cell>
          <cell r="X15459" t="str">
            <v>Commissions - gross</v>
          </cell>
          <cell r="Y15459" t="str">
            <v>CYPRUS</v>
          </cell>
        </row>
        <row r="15460">
          <cell r="L15460" t="str">
            <v>Proportional</v>
          </cell>
          <cell r="S15460">
            <v>37.97</v>
          </cell>
          <cell r="X15460" t="str">
            <v>Commissions - gross</v>
          </cell>
          <cell r="Y15460" t="str">
            <v>UNITED STATES</v>
          </cell>
        </row>
        <row r="15461">
          <cell r="L15461" t="str">
            <v>Non-proportional</v>
          </cell>
          <cell r="S15461">
            <v>-1425</v>
          </cell>
          <cell r="X15461" t="str">
            <v>Commissions - gross</v>
          </cell>
          <cell r="Y15461" t="str">
            <v>ITALY</v>
          </cell>
        </row>
        <row r="15462">
          <cell r="L15462" t="str">
            <v>Non-proportional</v>
          </cell>
          <cell r="S15462">
            <v>6563.14</v>
          </cell>
          <cell r="X15462" t="str">
            <v>Commissions - gross</v>
          </cell>
          <cell r="Y15462" t="str">
            <v>ISRAEL</v>
          </cell>
        </row>
        <row r="15463">
          <cell r="L15463" t="str">
            <v>Non-proportional</v>
          </cell>
          <cell r="S15463">
            <v>3971.11</v>
          </cell>
          <cell r="X15463" t="str">
            <v>Commissions - gross</v>
          </cell>
          <cell r="Y15463" t="str">
            <v>ISRAEL</v>
          </cell>
        </row>
        <row r="15464">
          <cell r="L15464" t="str">
            <v>Non-proportional</v>
          </cell>
          <cell r="S15464">
            <v>5100.8500000000004</v>
          </cell>
          <cell r="X15464" t="str">
            <v>Commissions - gross</v>
          </cell>
          <cell r="Y15464" t="str">
            <v>ITALY</v>
          </cell>
        </row>
        <row r="15465">
          <cell r="L15465" t="str">
            <v>Non-proportional</v>
          </cell>
          <cell r="S15465">
            <v>-5505.5</v>
          </cell>
          <cell r="X15465" t="str">
            <v>Commissions - gross</v>
          </cell>
          <cell r="Y15465" t="str">
            <v>UNITED KINGDOM</v>
          </cell>
        </row>
        <row r="15466">
          <cell r="L15466" t="str">
            <v>Non-proportional</v>
          </cell>
          <cell r="S15466">
            <v>48959.87</v>
          </cell>
          <cell r="X15466" t="str">
            <v>Commissions - gross</v>
          </cell>
          <cell r="Y15466" t="str">
            <v>TURKEY</v>
          </cell>
        </row>
        <row r="15467">
          <cell r="L15467" t="str">
            <v>Non-proportional</v>
          </cell>
          <cell r="S15467">
            <v>-8529.2999999999993</v>
          </cell>
          <cell r="X15467" t="str">
            <v>Commissions - gross</v>
          </cell>
          <cell r="Y15467" t="str">
            <v>ITALY</v>
          </cell>
        </row>
        <row r="15468">
          <cell r="L15468" t="str">
            <v>Non-proportional</v>
          </cell>
          <cell r="S15468">
            <v>124091.23</v>
          </cell>
          <cell r="X15468" t="str">
            <v>Commissions - gross</v>
          </cell>
          <cell r="Y15468" t="str">
            <v>UNITED KINGDOM</v>
          </cell>
        </row>
        <row r="15469">
          <cell r="L15469" t="str">
            <v>Non-proportional</v>
          </cell>
          <cell r="S15469">
            <v>4310.8999999999996</v>
          </cell>
          <cell r="X15469" t="str">
            <v>Commissions - gross</v>
          </cell>
          <cell r="Y15469" t="str">
            <v>FRANCE</v>
          </cell>
        </row>
        <row r="15470">
          <cell r="L15470" t="str">
            <v>Non-proportional</v>
          </cell>
          <cell r="S15470">
            <v>267</v>
          </cell>
          <cell r="X15470" t="str">
            <v>Commissions - gross</v>
          </cell>
          <cell r="Y15470" t="str">
            <v>UNITED KINGDOM</v>
          </cell>
        </row>
        <row r="15471">
          <cell r="L15471" t="str">
            <v>Non-proportional</v>
          </cell>
          <cell r="S15471">
            <v>2099.91</v>
          </cell>
          <cell r="X15471" t="str">
            <v>Commissions - gross</v>
          </cell>
          <cell r="Y15471" t="str">
            <v>EUROPE</v>
          </cell>
        </row>
        <row r="15472">
          <cell r="L15472" t="str">
            <v>Non-proportional</v>
          </cell>
          <cell r="S15472">
            <v>29999.95</v>
          </cell>
          <cell r="X15472" t="str">
            <v>Commissions - gross</v>
          </cell>
          <cell r="Y15472" t="str">
            <v>FRANCE</v>
          </cell>
        </row>
        <row r="15473">
          <cell r="L15473" t="str">
            <v>Non-proportional</v>
          </cell>
          <cell r="S15473">
            <v>12144.6</v>
          </cell>
          <cell r="X15473" t="str">
            <v>Commissions - gross</v>
          </cell>
          <cell r="Y15473" t="str">
            <v>ITALY</v>
          </cell>
        </row>
        <row r="15474">
          <cell r="L15474" t="str">
            <v>Non-proportional</v>
          </cell>
          <cell r="S15474">
            <v>11702.54</v>
          </cell>
          <cell r="X15474" t="str">
            <v>Commissions - gross</v>
          </cell>
          <cell r="Y15474" t="str">
            <v>ISRAEL</v>
          </cell>
        </row>
        <row r="15475">
          <cell r="L15475" t="str">
            <v>Non-proportional</v>
          </cell>
          <cell r="S15475">
            <v>49419</v>
          </cell>
          <cell r="X15475" t="str">
            <v>Commissions - gross</v>
          </cell>
          <cell r="Y15475" t="str">
            <v>TURKEY</v>
          </cell>
        </row>
        <row r="15476">
          <cell r="L15476" t="str">
            <v>Non-proportional</v>
          </cell>
          <cell r="S15476">
            <v>-1445662.72</v>
          </cell>
          <cell r="X15476" t="str">
            <v>Commissions - gross</v>
          </cell>
          <cell r="Y15476" t="str">
            <v>UNITED KINGDOM</v>
          </cell>
        </row>
        <row r="15477">
          <cell r="L15477" t="str">
            <v>Proportional</v>
          </cell>
          <cell r="S15477">
            <v>-202742.36</v>
          </cell>
          <cell r="X15477" t="str">
            <v>Commissions - gross</v>
          </cell>
          <cell r="Y15477" t="str">
            <v>UNITED STATES</v>
          </cell>
        </row>
        <row r="15478">
          <cell r="L15478" t="str">
            <v>Non-proportional</v>
          </cell>
          <cell r="S15478">
            <v>-10930.14</v>
          </cell>
          <cell r="X15478" t="str">
            <v>Commissions - gross</v>
          </cell>
          <cell r="Y15478" t="str">
            <v>ITALY</v>
          </cell>
        </row>
        <row r="15479">
          <cell r="L15479" t="str">
            <v>Non-proportional</v>
          </cell>
          <cell r="S15479">
            <v>6375.34</v>
          </cell>
          <cell r="X15479" t="str">
            <v>Commissions - gross</v>
          </cell>
          <cell r="Y15479" t="str">
            <v>NETHERLANDS</v>
          </cell>
        </row>
        <row r="15480">
          <cell r="L15480" t="str">
            <v>Non-proportional</v>
          </cell>
          <cell r="S15480">
            <v>13812.77</v>
          </cell>
          <cell r="X15480" t="str">
            <v>Commissions - gross</v>
          </cell>
          <cell r="Y15480" t="str">
            <v>EUROPE</v>
          </cell>
        </row>
        <row r="15481">
          <cell r="L15481" t="str">
            <v>Non-proportional</v>
          </cell>
          <cell r="S15481">
            <v>-468</v>
          </cell>
          <cell r="X15481" t="str">
            <v>Commissions - gross</v>
          </cell>
          <cell r="Y15481" t="str">
            <v>ITALY</v>
          </cell>
        </row>
        <row r="15482">
          <cell r="L15482" t="str">
            <v>Non-proportional</v>
          </cell>
          <cell r="S15482">
            <v>2569.27</v>
          </cell>
          <cell r="X15482" t="str">
            <v>Commissions - gross</v>
          </cell>
          <cell r="Y15482" t="str">
            <v>ISRAEL</v>
          </cell>
        </row>
        <row r="15483">
          <cell r="L15483" t="str">
            <v>Non-proportional</v>
          </cell>
          <cell r="S15483">
            <v>5450.31</v>
          </cell>
          <cell r="X15483" t="str">
            <v>Commissions - gross</v>
          </cell>
          <cell r="Y15483" t="str">
            <v>TURKEY</v>
          </cell>
        </row>
        <row r="15484">
          <cell r="L15484" t="str">
            <v>Non-proportional</v>
          </cell>
          <cell r="S15484">
            <v>2818.8</v>
          </cell>
          <cell r="X15484" t="str">
            <v>Commissions - gross</v>
          </cell>
          <cell r="Y15484" t="str">
            <v>GREECE</v>
          </cell>
        </row>
        <row r="15485">
          <cell r="L15485" t="str">
            <v>Non-proportional</v>
          </cell>
          <cell r="S15485">
            <v>-10553.53</v>
          </cell>
          <cell r="X15485" t="str">
            <v>Commissions - gross</v>
          </cell>
          <cell r="Y15485" t="str">
            <v>ISRAEL</v>
          </cell>
        </row>
        <row r="15486">
          <cell r="L15486" t="str">
            <v>Non-proportional</v>
          </cell>
          <cell r="S15486">
            <v>-3494.7</v>
          </cell>
          <cell r="X15486" t="str">
            <v>Commissions - gross</v>
          </cell>
          <cell r="Y15486" t="str">
            <v>UNITED KINGDOM</v>
          </cell>
        </row>
        <row r="15487">
          <cell r="L15487" t="str">
            <v>Non-proportional</v>
          </cell>
          <cell r="S15487">
            <v>-29999.95</v>
          </cell>
          <cell r="X15487" t="str">
            <v>Commissions - gross</v>
          </cell>
          <cell r="Y15487" t="str">
            <v>FRANCE</v>
          </cell>
        </row>
        <row r="15488">
          <cell r="L15488" t="str">
            <v>Non-proportional</v>
          </cell>
          <cell r="S15488">
            <v>2719.08</v>
          </cell>
          <cell r="X15488" t="str">
            <v>Commissions - gross</v>
          </cell>
          <cell r="Y15488" t="str">
            <v>ITALY</v>
          </cell>
        </row>
        <row r="15489">
          <cell r="L15489" t="str">
            <v>Non-proportional</v>
          </cell>
          <cell r="S15489">
            <v>-26531.14</v>
          </cell>
          <cell r="X15489" t="str">
            <v>Commissions - gross</v>
          </cell>
          <cell r="Y15489" t="str">
            <v>ISRAEL</v>
          </cell>
        </row>
        <row r="15490">
          <cell r="L15490" t="str">
            <v>Non-proportional</v>
          </cell>
          <cell r="S15490">
            <v>-2198.2199999999998</v>
          </cell>
          <cell r="X15490" t="str">
            <v>Commissions - gross</v>
          </cell>
          <cell r="Y15490" t="str">
            <v>CYPRUS</v>
          </cell>
        </row>
        <row r="15491">
          <cell r="L15491" t="str">
            <v>Non-proportional</v>
          </cell>
          <cell r="S15491">
            <v>415.59</v>
          </cell>
          <cell r="X15491" t="str">
            <v>Commissions - gross</v>
          </cell>
          <cell r="Y15491" t="str">
            <v>CHILE</v>
          </cell>
        </row>
        <row r="15492">
          <cell r="L15492" t="str">
            <v>Non-proportional</v>
          </cell>
          <cell r="S15492">
            <v>5023.09</v>
          </cell>
          <cell r="X15492" t="str">
            <v>Commissions - gross</v>
          </cell>
          <cell r="Y15492" t="str">
            <v>FRANCE</v>
          </cell>
        </row>
        <row r="15493">
          <cell r="L15493" t="str">
            <v>Non-proportional</v>
          </cell>
          <cell r="S15493">
            <v>2450</v>
          </cell>
          <cell r="X15493" t="str">
            <v>Commissions - gross</v>
          </cell>
          <cell r="Y15493" t="str">
            <v>ITALY</v>
          </cell>
        </row>
        <row r="15494">
          <cell r="L15494" t="str">
            <v>Non-proportional</v>
          </cell>
          <cell r="S15494">
            <v>-2532.17</v>
          </cell>
          <cell r="X15494" t="str">
            <v>Commissions - gross</v>
          </cell>
          <cell r="Y15494" t="str">
            <v>FRANCE</v>
          </cell>
        </row>
        <row r="15495">
          <cell r="L15495" t="str">
            <v>Non-proportional</v>
          </cell>
          <cell r="S15495">
            <v>8529.2999999999993</v>
          </cell>
          <cell r="X15495" t="str">
            <v>Commissions - gross</v>
          </cell>
          <cell r="Y15495" t="str">
            <v>ITALY</v>
          </cell>
        </row>
        <row r="15496">
          <cell r="L15496" t="str">
            <v>Non-proportional</v>
          </cell>
          <cell r="S15496">
            <v>29700</v>
          </cell>
          <cell r="X15496" t="str">
            <v>Commissions - gross</v>
          </cell>
          <cell r="Y15496" t="str">
            <v>GREECE</v>
          </cell>
        </row>
        <row r="15497">
          <cell r="L15497" t="str">
            <v>Non-proportional</v>
          </cell>
          <cell r="S15497">
            <v>2129.4899999999998</v>
          </cell>
          <cell r="X15497" t="str">
            <v>Commissions - gross</v>
          </cell>
          <cell r="Y15497" t="str">
            <v>BELGIUM</v>
          </cell>
        </row>
        <row r="15498">
          <cell r="L15498" t="str">
            <v>Non-proportional</v>
          </cell>
          <cell r="S15498">
            <v>-11565</v>
          </cell>
          <cell r="X15498" t="str">
            <v>Commissions - gross</v>
          </cell>
          <cell r="Y15498" t="str">
            <v>FRANCE</v>
          </cell>
        </row>
        <row r="15499">
          <cell r="L15499" t="str">
            <v>Non-proportional</v>
          </cell>
          <cell r="S15499">
            <v>1867.43</v>
          </cell>
          <cell r="X15499" t="str">
            <v>Commissions - gross</v>
          </cell>
          <cell r="Y15499" t="str">
            <v>NEW ZEALAND</v>
          </cell>
        </row>
        <row r="15500">
          <cell r="L15500" t="str">
            <v>Non-proportional</v>
          </cell>
          <cell r="S15500">
            <v>-159.5</v>
          </cell>
          <cell r="X15500" t="str">
            <v>Commissions - gross</v>
          </cell>
          <cell r="Y15500" t="str">
            <v>ITALY</v>
          </cell>
        </row>
        <row r="15501">
          <cell r="L15501" t="str">
            <v>Non-proportional</v>
          </cell>
          <cell r="S15501">
            <v>-8691</v>
          </cell>
          <cell r="X15501" t="str">
            <v>Commissions - gross</v>
          </cell>
          <cell r="Y15501" t="str">
            <v>ITALY</v>
          </cell>
        </row>
        <row r="15502">
          <cell r="L15502" t="str">
            <v>Non-proportional</v>
          </cell>
          <cell r="S15502">
            <v>6082.7</v>
          </cell>
          <cell r="X15502" t="str">
            <v>Commissions - gross</v>
          </cell>
          <cell r="Y15502" t="str">
            <v>CHILE</v>
          </cell>
        </row>
        <row r="15503">
          <cell r="L15503" t="str">
            <v>Non-proportional</v>
          </cell>
          <cell r="S15503">
            <v>1266.08</v>
          </cell>
          <cell r="X15503" t="str">
            <v>Commissions - gross</v>
          </cell>
          <cell r="Y15503" t="str">
            <v>FRANCE</v>
          </cell>
        </row>
        <row r="15504">
          <cell r="L15504" t="str">
            <v>Non-proportional</v>
          </cell>
          <cell r="S15504">
            <v>6627.56</v>
          </cell>
          <cell r="X15504" t="str">
            <v>Commissions - gross</v>
          </cell>
          <cell r="Y15504" t="str">
            <v>ISRAEL</v>
          </cell>
        </row>
        <row r="15505">
          <cell r="L15505" t="str">
            <v>Proportional</v>
          </cell>
          <cell r="S15505">
            <v>-53221.5</v>
          </cell>
          <cell r="X15505" t="str">
            <v>Commissions - gross</v>
          </cell>
          <cell r="Y15505" t="str">
            <v>UNITED STATES</v>
          </cell>
        </row>
        <row r="15506">
          <cell r="L15506" t="str">
            <v>Non-proportional</v>
          </cell>
          <cell r="S15506">
            <v>1171.2</v>
          </cell>
          <cell r="X15506" t="str">
            <v>Commissions - gross</v>
          </cell>
          <cell r="Y15506" t="str">
            <v>CHILE</v>
          </cell>
        </row>
        <row r="15507">
          <cell r="L15507" t="str">
            <v>Non-proportional</v>
          </cell>
          <cell r="S15507">
            <v>928.8</v>
          </cell>
          <cell r="X15507" t="str">
            <v>Commissions - gross</v>
          </cell>
          <cell r="Y15507" t="str">
            <v>GREECE</v>
          </cell>
        </row>
        <row r="15508">
          <cell r="L15508" t="str">
            <v>Proportional</v>
          </cell>
          <cell r="S15508">
            <v>-37.67</v>
          </cell>
          <cell r="X15508" t="str">
            <v>Commissions - gross</v>
          </cell>
          <cell r="Y15508" t="str">
            <v>UNITED STATES</v>
          </cell>
        </row>
        <row r="15509">
          <cell r="L15509" t="str">
            <v>Non-proportional</v>
          </cell>
          <cell r="S15509">
            <v>1935823.08</v>
          </cell>
          <cell r="X15509" t="str">
            <v>Commissions - gross</v>
          </cell>
          <cell r="Y15509" t="str">
            <v>UNITED KINGDOM</v>
          </cell>
        </row>
        <row r="15510">
          <cell r="L15510" t="str">
            <v>Non-proportional</v>
          </cell>
          <cell r="S15510">
            <v>5868.1</v>
          </cell>
          <cell r="X15510" t="str">
            <v>Commissions - gross</v>
          </cell>
          <cell r="Y15510" t="str">
            <v>FRANCE</v>
          </cell>
        </row>
        <row r="15511">
          <cell r="L15511" t="str">
            <v>Non-proportional</v>
          </cell>
          <cell r="S15511">
            <v>12000</v>
          </cell>
          <cell r="X15511" t="str">
            <v>Commissions - gross</v>
          </cell>
          <cell r="Y15511" t="str">
            <v>ITALY</v>
          </cell>
        </row>
        <row r="15512">
          <cell r="L15512" t="str">
            <v>Non-proportional</v>
          </cell>
          <cell r="S15512">
            <v>3513.77</v>
          </cell>
          <cell r="X15512" t="str">
            <v>Commissions - gross</v>
          </cell>
          <cell r="Y15512" t="str">
            <v>UNITED ARAB EMIRATES</v>
          </cell>
        </row>
        <row r="15513">
          <cell r="L15513" t="str">
            <v>Non-proportional</v>
          </cell>
          <cell r="S15513">
            <v>465</v>
          </cell>
          <cell r="X15513" t="str">
            <v>Commissions - gross</v>
          </cell>
          <cell r="Y15513" t="str">
            <v>ITALY</v>
          </cell>
        </row>
        <row r="15514">
          <cell r="L15514" t="str">
            <v>Non-proportional</v>
          </cell>
          <cell r="S15514">
            <v>3450</v>
          </cell>
          <cell r="X15514" t="str">
            <v>Commissions - gross</v>
          </cell>
          <cell r="Y15514" t="str">
            <v>GREECE</v>
          </cell>
        </row>
        <row r="15515">
          <cell r="L15515" t="str">
            <v>Non-proportional</v>
          </cell>
          <cell r="S15515">
            <v>24375.19</v>
          </cell>
          <cell r="X15515" t="str">
            <v>Commissions - gross</v>
          </cell>
          <cell r="Y15515" t="str">
            <v>CHINA</v>
          </cell>
        </row>
        <row r="15516">
          <cell r="L15516" t="str">
            <v>Non-proportional</v>
          </cell>
          <cell r="S15516">
            <v>3475.83</v>
          </cell>
          <cell r="X15516" t="str">
            <v>Commissions - gross</v>
          </cell>
          <cell r="Y15516" t="str">
            <v>CHILE</v>
          </cell>
        </row>
        <row r="15517">
          <cell r="L15517" t="str">
            <v>Non-proportional</v>
          </cell>
          <cell r="S15517">
            <v>10643.81</v>
          </cell>
          <cell r="X15517" t="str">
            <v>Commissions - gross</v>
          </cell>
          <cell r="Y15517" t="str">
            <v>PERU</v>
          </cell>
        </row>
        <row r="15518">
          <cell r="L15518" t="str">
            <v>Non-proportional</v>
          </cell>
          <cell r="S15518">
            <v>9756.2800000000007</v>
          </cell>
          <cell r="X15518" t="str">
            <v>Commissions - gross</v>
          </cell>
          <cell r="Y15518" t="str">
            <v>UNITED KINGDOM</v>
          </cell>
        </row>
        <row r="15519">
          <cell r="L15519" t="str">
            <v>Non-proportional</v>
          </cell>
          <cell r="S15519">
            <v>7102.12</v>
          </cell>
          <cell r="X15519" t="str">
            <v>Commissions - gross</v>
          </cell>
          <cell r="Y15519" t="str">
            <v>EUROPE</v>
          </cell>
        </row>
        <row r="15520">
          <cell r="L15520" t="str">
            <v>Non-proportional</v>
          </cell>
          <cell r="S15520">
            <v>3856.28</v>
          </cell>
          <cell r="X15520" t="str">
            <v>Commissions - gross</v>
          </cell>
          <cell r="Y15520" t="str">
            <v>GREECE</v>
          </cell>
        </row>
        <row r="15521">
          <cell r="L15521" t="str">
            <v>Non-proportional</v>
          </cell>
          <cell r="S15521">
            <v>3937.5</v>
          </cell>
          <cell r="X15521" t="str">
            <v>Commissions - gross</v>
          </cell>
          <cell r="Y15521" t="str">
            <v>ITALY</v>
          </cell>
        </row>
        <row r="15522">
          <cell r="L15522" t="str">
            <v>Non-proportional</v>
          </cell>
          <cell r="S15522">
            <v>873.64</v>
          </cell>
          <cell r="X15522" t="str">
            <v>Commissions - gross</v>
          </cell>
          <cell r="Y15522" t="str">
            <v>ISRAEL</v>
          </cell>
        </row>
        <row r="15523">
          <cell r="L15523" t="str">
            <v>Non-proportional</v>
          </cell>
          <cell r="S15523">
            <v>1997.48</v>
          </cell>
          <cell r="X15523" t="str">
            <v>Commissions - gross</v>
          </cell>
          <cell r="Y15523" t="str">
            <v>FRANCE</v>
          </cell>
        </row>
        <row r="15524">
          <cell r="L15524" t="str">
            <v>Non-proportional</v>
          </cell>
          <cell r="S15524">
            <v>1706.4</v>
          </cell>
          <cell r="X15524" t="str">
            <v>Commissions - gross</v>
          </cell>
          <cell r="Y15524" t="str">
            <v>GREECE</v>
          </cell>
        </row>
        <row r="15525">
          <cell r="L15525" t="str">
            <v>Proportional</v>
          </cell>
          <cell r="S15525">
            <v>-3898.9</v>
          </cell>
          <cell r="X15525" t="str">
            <v>Commissions - gross</v>
          </cell>
          <cell r="Y15525" t="str">
            <v>JAPAN</v>
          </cell>
        </row>
        <row r="15526">
          <cell r="L15526" t="str">
            <v>Non-proportional</v>
          </cell>
          <cell r="S15526">
            <v>-1867.43</v>
          </cell>
          <cell r="X15526" t="str">
            <v>Commissions - gross</v>
          </cell>
          <cell r="Y15526" t="str">
            <v>NEW ZEALAND</v>
          </cell>
        </row>
        <row r="15527">
          <cell r="L15527" t="str">
            <v>Non-proportional</v>
          </cell>
          <cell r="S15527">
            <v>-5842</v>
          </cell>
          <cell r="X15527" t="str">
            <v>Commissions - gross</v>
          </cell>
          <cell r="Y15527" t="str">
            <v>ITALY</v>
          </cell>
        </row>
        <row r="15528">
          <cell r="L15528" t="str">
            <v>Non-proportional</v>
          </cell>
          <cell r="S15528">
            <v>3238.33</v>
          </cell>
          <cell r="X15528" t="str">
            <v>Commissions - gross</v>
          </cell>
          <cell r="Y15528" t="str">
            <v>ISRAEL</v>
          </cell>
        </row>
        <row r="15529">
          <cell r="L15529" t="str">
            <v>Non-proportional</v>
          </cell>
          <cell r="S15529">
            <v>-3521.89</v>
          </cell>
          <cell r="X15529" t="str">
            <v>Commissions - gross</v>
          </cell>
          <cell r="Y15529" t="str">
            <v>ISRAEL</v>
          </cell>
        </row>
        <row r="15530">
          <cell r="L15530" t="str">
            <v>Non-proportional</v>
          </cell>
          <cell r="S15530">
            <v>-1122.1199999999999</v>
          </cell>
          <cell r="X15530" t="str">
            <v>Commissions - gross</v>
          </cell>
          <cell r="Y15530" t="str">
            <v>ISRAEL</v>
          </cell>
        </row>
        <row r="15531">
          <cell r="L15531" t="str">
            <v>Non-proportional</v>
          </cell>
          <cell r="S15531">
            <v>-6341.53</v>
          </cell>
          <cell r="X15531" t="str">
            <v>Commissions - gross</v>
          </cell>
          <cell r="Y15531" t="str">
            <v>ISRAEL</v>
          </cell>
        </row>
        <row r="15532">
          <cell r="L15532" t="str">
            <v>Non-proportional</v>
          </cell>
          <cell r="S15532">
            <v>6341.53</v>
          </cell>
          <cell r="X15532" t="str">
            <v>Commissions - gross</v>
          </cell>
          <cell r="Y15532" t="str">
            <v>ISRAEL</v>
          </cell>
        </row>
        <row r="15533">
          <cell r="L15533" t="str">
            <v>Non-proportional</v>
          </cell>
          <cell r="S15533">
            <v>4914</v>
          </cell>
          <cell r="X15533" t="str">
            <v>Commissions - gross</v>
          </cell>
          <cell r="Y15533" t="str">
            <v>FRANCE</v>
          </cell>
        </row>
        <row r="15534">
          <cell r="L15534" t="str">
            <v>Non-proportional</v>
          </cell>
          <cell r="S15534">
            <v>864</v>
          </cell>
          <cell r="X15534" t="str">
            <v>Commissions - gross</v>
          </cell>
          <cell r="Y15534" t="str">
            <v>ITALY</v>
          </cell>
        </row>
        <row r="15535">
          <cell r="L15535" t="str">
            <v>Proportional</v>
          </cell>
          <cell r="S15535">
            <v>122.59</v>
          </cell>
          <cell r="X15535" t="str">
            <v>Commissions - gross</v>
          </cell>
          <cell r="Y15535" t="str">
            <v>MALAYSIA</v>
          </cell>
        </row>
        <row r="15536">
          <cell r="L15536" t="str">
            <v>Non-proportional</v>
          </cell>
          <cell r="S15536">
            <v>6117.39</v>
          </cell>
          <cell r="X15536" t="str">
            <v>Commissions - gross</v>
          </cell>
          <cell r="Y15536" t="str">
            <v>UNITED KINGDOM</v>
          </cell>
        </row>
        <row r="15537">
          <cell r="L15537" t="str">
            <v>Non-proportional</v>
          </cell>
          <cell r="S15537">
            <v>-3284.27</v>
          </cell>
          <cell r="X15537" t="str">
            <v>Commissions - gross</v>
          </cell>
          <cell r="Y15537" t="str">
            <v>ISRAEL</v>
          </cell>
        </row>
        <row r="15538">
          <cell r="L15538" t="str">
            <v>Non-proportional</v>
          </cell>
          <cell r="S15538">
            <v>7152.99</v>
          </cell>
          <cell r="X15538" t="str">
            <v>Commissions - gross</v>
          </cell>
          <cell r="Y15538" t="str">
            <v>CYPRUS</v>
          </cell>
        </row>
        <row r="15539">
          <cell r="L15539" t="str">
            <v>Non-proportional</v>
          </cell>
          <cell r="S15539">
            <v>36000</v>
          </cell>
          <cell r="X15539" t="str">
            <v>Commissions - gross</v>
          </cell>
          <cell r="Y15539" t="str">
            <v>FRANCE</v>
          </cell>
        </row>
        <row r="15540">
          <cell r="L15540" t="str">
            <v>Non-proportional</v>
          </cell>
          <cell r="S15540">
            <v>17500.09</v>
          </cell>
          <cell r="X15540" t="str">
            <v>Commissions - gross</v>
          </cell>
          <cell r="Y15540" t="str">
            <v>EUROPE</v>
          </cell>
        </row>
        <row r="15541">
          <cell r="L15541" t="str">
            <v>Non-proportional</v>
          </cell>
          <cell r="S15541">
            <v>8882</v>
          </cell>
          <cell r="X15541" t="str">
            <v>Commissions - gross</v>
          </cell>
          <cell r="Y15541" t="str">
            <v>ITALY</v>
          </cell>
        </row>
        <row r="15542">
          <cell r="L15542" t="str">
            <v>Non-proportional</v>
          </cell>
          <cell r="S15542">
            <v>15150.11</v>
          </cell>
          <cell r="X15542" t="str">
            <v>Commissions - gross</v>
          </cell>
          <cell r="Y15542" t="str">
            <v>BELGIUM</v>
          </cell>
        </row>
        <row r="15543">
          <cell r="L15543" t="str">
            <v>Non-proportional</v>
          </cell>
          <cell r="S15543">
            <v>5310.55</v>
          </cell>
          <cell r="X15543" t="str">
            <v>Commissions - gross</v>
          </cell>
          <cell r="Y15543" t="str">
            <v>FRANCE</v>
          </cell>
        </row>
        <row r="15544">
          <cell r="L15544" t="str">
            <v>Non-proportional</v>
          </cell>
          <cell r="S15544">
            <v>496364.9</v>
          </cell>
          <cell r="X15544" t="str">
            <v>Commissions - gross</v>
          </cell>
          <cell r="Y15544" t="str">
            <v>UNITED KINGDOM</v>
          </cell>
        </row>
        <row r="15545">
          <cell r="L15545" t="str">
            <v>Non-proportional</v>
          </cell>
          <cell r="S15545">
            <v>10500</v>
          </cell>
          <cell r="X15545" t="str">
            <v>Commissions - gross</v>
          </cell>
          <cell r="Y15545" t="str">
            <v>FRANCE</v>
          </cell>
        </row>
        <row r="15546">
          <cell r="L15546" t="str">
            <v>Non-proportional</v>
          </cell>
          <cell r="S15546">
            <v>-2719.08</v>
          </cell>
          <cell r="X15546" t="str">
            <v>Commissions - gross</v>
          </cell>
          <cell r="Y15546" t="str">
            <v>ITALY</v>
          </cell>
        </row>
        <row r="15547">
          <cell r="L15547" t="str">
            <v>Non-proportional</v>
          </cell>
          <cell r="S15547">
            <v>3224.02</v>
          </cell>
          <cell r="X15547" t="str">
            <v>Commissions - gross</v>
          </cell>
          <cell r="Y15547" t="str">
            <v>MALTA</v>
          </cell>
        </row>
        <row r="15548">
          <cell r="L15548" t="str">
            <v>Proportional</v>
          </cell>
          <cell r="S15548">
            <v>5818.24</v>
          </cell>
          <cell r="X15548" t="str">
            <v>Commissions - gross</v>
          </cell>
          <cell r="Y15548" t="str">
            <v>CHILE</v>
          </cell>
        </row>
        <row r="15549">
          <cell r="L15549" t="str">
            <v>Non-proportional</v>
          </cell>
          <cell r="S15549">
            <v>-994.33</v>
          </cell>
          <cell r="X15549" t="str">
            <v>Commissions - gross</v>
          </cell>
          <cell r="Y15549" t="str">
            <v>COLOMBIA</v>
          </cell>
        </row>
        <row r="15550">
          <cell r="L15550" t="str">
            <v>Non-proportional</v>
          </cell>
          <cell r="S15550">
            <v>3021.2</v>
          </cell>
          <cell r="X15550" t="str">
            <v>Commissions - gross</v>
          </cell>
          <cell r="Y15550" t="str">
            <v>ITALY</v>
          </cell>
        </row>
        <row r="15551">
          <cell r="L15551" t="str">
            <v>Non-proportional</v>
          </cell>
          <cell r="S15551">
            <v>3494.7</v>
          </cell>
          <cell r="X15551" t="str">
            <v>Commissions - gross</v>
          </cell>
          <cell r="Y15551" t="str">
            <v>UNITED KINGDOM</v>
          </cell>
        </row>
        <row r="15552">
          <cell r="L15552" t="str">
            <v>Non-proportional</v>
          </cell>
          <cell r="S15552">
            <v>7800</v>
          </cell>
          <cell r="X15552" t="str">
            <v>Commissions - gross</v>
          </cell>
          <cell r="Y15552" t="str">
            <v>FRANCE</v>
          </cell>
        </row>
        <row r="15553">
          <cell r="L15553" t="str">
            <v>Non-proportional</v>
          </cell>
          <cell r="S15553">
            <v>9397.0499999999993</v>
          </cell>
          <cell r="X15553" t="str">
            <v>Commissions - gross</v>
          </cell>
          <cell r="Y15553" t="str">
            <v>UNITED KINGDOM</v>
          </cell>
        </row>
        <row r="15554">
          <cell r="L15554" t="str">
            <v>Non-proportional</v>
          </cell>
          <cell r="S15554">
            <v>1575</v>
          </cell>
          <cell r="X15554" t="str">
            <v>Commissions - gross</v>
          </cell>
          <cell r="Y15554" t="str">
            <v>GREECE</v>
          </cell>
        </row>
        <row r="15555">
          <cell r="L15555" t="str">
            <v>Non-proportional</v>
          </cell>
          <cell r="S15555">
            <v>-2192.3000000000002</v>
          </cell>
          <cell r="X15555" t="str">
            <v>Commissions - gross</v>
          </cell>
          <cell r="Y15555" t="str">
            <v>CYPRUS</v>
          </cell>
        </row>
        <row r="15556">
          <cell r="L15556" t="str">
            <v>Non-proportional</v>
          </cell>
          <cell r="S15556">
            <v>-4620</v>
          </cell>
          <cell r="X15556" t="str">
            <v>Commissions - gross</v>
          </cell>
          <cell r="Y15556" t="str">
            <v>BELGIUM</v>
          </cell>
        </row>
        <row r="15557">
          <cell r="L15557" t="str">
            <v>Proportional</v>
          </cell>
          <cell r="S15557">
            <v>1246.77</v>
          </cell>
          <cell r="X15557" t="str">
            <v>Commissions - gross</v>
          </cell>
          <cell r="Y15557" t="str">
            <v>CHILE</v>
          </cell>
        </row>
        <row r="15558">
          <cell r="L15558" t="str">
            <v>Non-proportional</v>
          </cell>
          <cell r="S15558">
            <v>2198.2199999999998</v>
          </cell>
          <cell r="X15558" t="str">
            <v>Commissions - gross</v>
          </cell>
          <cell r="Y15558" t="str">
            <v>CYPRUS</v>
          </cell>
        </row>
        <row r="15559">
          <cell r="L15559" t="str">
            <v>Non-proportional</v>
          </cell>
          <cell r="S15559">
            <v>15754.66</v>
          </cell>
          <cell r="X15559" t="str">
            <v>Commissions - gross</v>
          </cell>
          <cell r="Y15559" t="str">
            <v>SOUTH KOREA</v>
          </cell>
        </row>
        <row r="15560">
          <cell r="L15560" t="str">
            <v>Non-proportional</v>
          </cell>
          <cell r="S15560">
            <v>26000</v>
          </cell>
          <cell r="X15560" t="str">
            <v>Commissions - gross</v>
          </cell>
          <cell r="Y15560" t="str">
            <v>FRANCE</v>
          </cell>
        </row>
        <row r="15561">
          <cell r="L15561" t="str">
            <v>Non-proportional</v>
          </cell>
          <cell r="S15561">
            <v>5599.8</v>
          </cell>
          <cell r="X15561" t="str">
            <v>Commissions - gross</v>
          </cell>
          <cell r="Y15561" t="str">
            <v>TURKEY</v>
          </cell>
        </row>
        <row r="15562">
          <cell r="L15562" t="str">
            <v>Non-proportional</v>
          </cell>
          <cell r="S15562">
            <v>3893.72</v>
          </cell>
          <cell r="X15562" t="str">
            <v>Commissions - gross</v>
          </cell>
          <cell r="Y15562" t="str">
            <v>FRANCE</v>
          </cell>
        </row>
        <row r="15563">
          <cell r="L15563" t="str">
            <v>Non-proportional</v>
          </cell>
          <cell r="S15563">
            <v>-7909.5</v>
          </cell>
          <cell r="X15563" t="str">
            <v>Commissions - gross</v>
          </cell>
          <cell r="Y15563" t="str">
            <v>ITALY</v>
          </cell>
        </row>
        <row r="15564">
          <cell r="L15564" t="str">
            <v>Non-proportional</v>
          </cell>
          <cell r="S15564">
            <v>8103.24</v>
          </cell>
          <cell r="X15564" t="str">
            <v>Commissions - gross</v>
          </cell>
          <cell r="Y15564" t="str">
            <v>CYPRUS</v>
          </cell>
        </row>
        <row r="15565">
          <cell r="L15565" t="str">
            <v>Non-proportional</v>
          </cell>
          <cell r="S15565">
            <v>-240000</v>
          </cell>
          <cell r="X15565" t="str">
            <v>Commissions - gross</v>
          </cell>
          <cell r="Y15565" t="str">
            <v>BELGIUM</v>
          </cell>
        </row>
        <row r="15566">
          <cell r="L15566" t="str">
            <v>Non-proportional</v>
          </cell>
          <cell r="S15566">
            <v>17308.849999999999</v>
          </cell>
          <cell r="X15566" t="str">
            <v>Commissions - gross</v>
          </cell>
          <cell r="Y15566" t="str">
            <v>FRANCE</v>
          </cell>
        </row>
        <row r="15567">
          <cell r="L15567" t="str">
            <v>Non-proportional</v>
          </cell>
          <cell r="S15567">
            <v>1450.76</v>
          </cell>
          <cell r="X15567" t="str">
            <v>Commissions - gross</v>
          </cell>
          <cell r="Y15567" t="str">
            <v>UNITED KINGDOM</v>
          </cell>
        </row>
        <row r="15568">
          <cell r="L15568" t="str">
            <v>Non-proportional</v>
          </cell>
          <cell r="S15568">
            <v>3599.69</v>
          </cell>
          <cell r="X15568" t="str">
            <v>Commissions - gross</v>
          </cell>
          <cell r="Y15568" t="str">
            <v>NETHERLANDS</v>
          </cell>
        </row>
        <row r="15569">
          <cell r="L15569" t="str">
            <v>Non-proportional</v>
          </cell>
          <cell r="S15569">
            <v>-444.24</v>
          </cell>
          <cell r="X15569" t="str">
            <v>Commissions - gross</v>
          </cell>
          <cell r="Y15569" t="str">
            <v>FRANCE</v>
          </cell>
        </row>
        <row r="15570">
          <cell r="L15570" t="str">
            <v>Non-proportional</v>
          </cell>
          <cell r="S15570">
            <v>-1806.91</v>
          </cell>
          <cell r="X15570" t="str">
            <v>Commissions - gross</v>
          </cell>
          <cell r="Y15570" t="str">
            <v>TURKEY</v>
          </cell>
        </row>
        <row r="15571">
          <cell r="L15571" t="str">
            <v>Non-proportional</v>
          </cell>
          <cell r="S15571">
            <v>-1882.22</v>
          </cell>
          <cell r="X15571" t="str">
            <v>Commissions - gross</v>
          </cell>
          <cell r="Y15571" t="str">
            <v>TURKEY</v>
          </cell>
        </row>
        <row r="15572">
          <cell r="L15572" t="str">
            <v>Non-proportional</v>
          </cell>
          <cell r="S15572">
            <v>7947.77</v>
          </cell>
          <cell r="X15572" t="str">
            <v>Commissions - gross</v>
          </cell>
          <cell r="Y15572" t="str">
            <v>CYPRUS</v>
          </cell>
        </row>
        <row r="15573">
          <cell r="L15573" t="str">
            <v>Non-proportional</v>
          </cell>
          <cell r="S15573">
            <v>1216.4000000000001</v>
          </cell>
          <cell r="X15573" t="str">
            <v>Commissions - gross</v>
          </cell>
          <cell r="Y15573" t="str">
            <v>ISRAEL</v>
          </cell>
        </row>
        <row r="15574">
          <cell r="L15574" t="str">
            <v>Non-proportional</v>
          </cell>
          <cell r="S15574">
            <v>4080</v>
          </cell>
          <cell r="X15574" t="str">
            <v>Commissions - gross</v>
          </cell>
          <cell r="Y15574" t="str">
            <v>ITALY</v>
          </cell>
        </row>
        <row r="15575">
          <cell r="L15575" t="str">
            <v>Non-proportional</v>
          </cell>
          <cell r="S15575">
            <v>-4550.1099999999997</v>
          </cell>
          <cell r="X15575" t="str">
            <v>Commissions - gross</v>
          </cell>
          <cell r="Y15575" t="str">
            <v>THAILAND</v>
          </cell>
        </row>
        <row r="15576">
          <cell r="L15576" t="str">
            <v>Non-proportional</v>
          </cell>
          <cell r="S15576">
            <v>-19389.599999999999</v>
          </cell>
          <cell r="X15576" t="str">
            <v>Commissions - gross</v>
          </cell>
          <cell r="Y15576" t="str">
            <v>ITALY</v>
          </cell>
        </row>
        <row r="15577">
          <cell r="L15577" t="str">
            <v>Non-proportional</v>
          </cell>
          <cell r="S15577">
            <v>-2450</v>
          </cell>
          <cell r="X15577" t="str">
            <v>Commissions - gross</v>
          </cell>
          <cell r="Y15577" t="str">
            <v>ITALY</v>
          </cell>
        </row>
        <row r="15578">
          <cell r="L15578" t="str">
            <v>Non-proportional</v>
          </cell>
          <cell r="S15578">
            <v>7909.5</v>
          </cell>
          <cell r="X15578" t="str">
            <v>Commissions - gross</v>
          </cell>
          <cell r="Y15578" t="str">
            <v>ITALY</v>
          </cell>
        </row>
        <row r="15579">
          <cell r="L15579" t="str">
            <v>Non-proportional</v>
          </cell>
          <cell r="S15579">
            <v>7672.15</v>
          </cell>
          <cell r="X15579" t="str">
            <v>Commissions - gross</v>
          </cell>
          <cell r="Y15579" t="str">
            <v>NETHERLANDS</v>
          </cell>
        </row>
        <row r="15580">
          <cell r="L15580" t="str">
            <v>Proportional</v>
          </cell>
          <cell r="S15580">
            <v>14025</v>
          </cell>
          <cell r="X15580" t="str">
            <v>Commissions - gross</v>
          </cell>
          <cell r="Y15580" t="str">
            <v>ITALY</v>
          </cell>
        </row>
        <row r="15581">
          <cell r="L15581" t="str">
            <v>Non-proportional</v>
          </cell>
          <cell r="S15581">
            <v>-12154</v>
          </cell>
          <cell r="X15581" t="str">
            <v>Commissions - gross</v>
          </cell>
          <cell r="Y15581" t="str">
            <v>ITALY</v>
          </cell>
        </row>
        <row r="15582">
          <cell r="L15582" t="str">
            <v>Non-proportional</v>
          </cell>
          <cell r="S15582">
            <v>12000</v>
          </cell>
          <cell r="X15582" t="str">
            <v>Commissions - gross</v>
          </cell>
          <cell r="Y15582" t="str">
            <v>EUROPE</v>
          </cell>
        </row>
        <row r="15583">
          <cell r="L15583" t="str">
            <v>Non-proportional</v>
          </cell>
          <cell r="S15583">
            <v>17197.39</v>
          </cell>
          <cell r="X15583" t="str">
            <v>Commissions - gross</v>
          </cell>
          <cell r="Y15583" t="str">
            <v>FRANCE</v>
          </cell>
        </row>
        <row r="15584">
          <cell r="L15584" t="str">
            <v>Non-proportional</v>
          </cell>
          <cell r="S15584">
            <v>1424.99</v>
          </cell>
          <cell r="X15584" t="str">
            <v>Commissions - gross</v>
          </cell>
          <cell r="Y15584" t="str">
            <v>ISRAEL</v>
          </cell>
        </row>
        <row r="15585">
          <cell r="L15585" t="str">
            <v>Non-proportional</v>
          </cell>
          <cell r="S15585">
            <v>-28118.799999999999</v>
          </cell>
          <cell r="X15585" t="str">
            <v>Commissions - gross</v>
          </cell>
          <cell r="Y15585" t="str">
            <v>FRANCE</v>
          </cell>
        </row>
        <row r="15586">
          <cell r="L15586" t="str">
            <v>Non-proportional</v>
          </cell>
          <cell r="S15586">
            <v>3644</v>
          </cell>
          <cell r="X15586" t="str">
            <v>Commissions - gross</v>
          </cell>
          <cell r="Y15586" t="str">
            <v>ITALY</v>
          </cell>
        </row>
        <row r="15587">
          <cell r="L15587" t="str">
            <v>Non-proportional</v>
          </cell>
          <cell r="S15587">
            <v>-3644</v>
          </cell>
          <cell r="X15587" t="str">
            <v>Commissions - gross</v>
          </cell>
          <cell r="Y15587" t="str">
            <v>ITALY</v>
          </cell>
        </row>
        <row r="15588">
          <cell r="L15588" t="str">
            <v>Non-proportional</v>
          </cell>
          <cell r="S15588">
            <v>-1518.75</v>
          </cell>
          <cell r="X15588" t="str">
            <v>Commissions - gross</v>
          </cell>
          <cell r="Y15588" t="str">
            <v>GREECE</v>
          </cell>
        </row>
        <row r="15589">
          <cell r="L15589" t="str">
            <v>Non-proportional</v>
          </cell>
          <cell r="S15589">
            <v>-4520.78</v>
          </cell>
          <cell r="X15589" t="str">
            <v>Commissions - gross</v>
          </cell>
          <cell r="Y15589" t="str">
            <v>FRANCE</v>
          </cell>
        </row>
        <row r="15590">
          <cell r="L15590" t="str">
            <v>Non-proportional</v>
          </cell>
          <cell r="S15590">
            <v>30358.09</v>
          </cell>
          <cell r="X15590" t="str">
            <v>Commissions - gross</v>
          </cell>
          <cell r="Y15590" t="str">
            <v>FRANCE</v>
          </cell>
        </row>
        <row r="15591">
          <cell r="L15591" t="str">
            <v>Non-proportional</v>
          </cell>
          <cell r="S15591">
            <v>3198.53</v>
          </cell>
          <cell r="X15591" t="str">
            <v>Commissions - gross</v>
          </cell>
          <cell r="Y15591" t="str">
            <v>FRANCE</v>
          </cell>
        </row>
        <row r="15592">
          <cell r="L15592" t="str">
            <v>Non-proportional</v>
          </cell>
          <cell r="S15592">
            <v>1699.12</v>
          </cell>
          <cell r="X15592" t="str">
            <v>Commissions - gross</v>
          </cell>
          <cell r="Y15592" t="str">
            <v>FRANCE</v>
          </cell>
        </row>
        <row r="15593">
          <cell r="L15593" t="str">
            <v>Non-proportional</v>
          </cell>
          <cell r="S15593">
            <v>210.21</v>
          </cell>
          <cell r="X15593" t="str">
            <v>Commissions - gross</v>
          </cell>
          <cell r="Y15593" t="str">
            <v>UNITED KINGDOM</v>
          </cell>
        </row>
        <row r="15594">
          <cell r="L15594" t="str">
            <v>Non-proportional</v>
          </cell>
          <cell r="S15594">
            <v>-936</v>
          </cell>
          <cell r="X15594" t="str">
            <v>Commissions - gross</v>
          </cell>
          <cell r="Y15594" t="str">
            <v>GREECE</v>
          </cell>
        </row>
        <row r="15595">
          <cell r="L15595" t="str">
            <v>Non-proportional</v>
          </cell>
          <cell r="S15595">
            <v>483955.77</v>
          </cell>
          <cell r="X15595" t="str">
            <v>Commissions - gross</v>
          </cell>
          <cell r="Y15595" t="str">
            <v>UNITED KINGDOM</v>
          </cell>
        </row>
        <row r="15596">
          <cell r="L15596" t="str">
            <v>Non-proportional</v>
          </cell>
          <cell r="S15596">
            <v>23077.79</v>
          </cell>
          <cell r="X15596" t="str">
            <v>Commissions - gross</v>
          </cell>
          <cell r="Y15596" t="str">
            <v>FRANCE</v>
          </cell>
        </row>
        <row r="15597">
          <cell r="L15597" t="str">
            <v>Non-proportional</v>
          </cell>
          <cell r="S15597">
            <v>5197.6899999999996</v>
          </cell>
          <cell r="X15597" t="str">
            <v>Commissions - gross</v>
          </cell>
          <cell r="Y15597" t="str">
            <v>UNITED KINGDOM</v>
          </cell>
        </row>
        <row r="15598">
          <cell r="L15598" t="str">
            <v>Non-proportional</v>
          </cell>
          <cell r="S15598">
            <v>5914</v>
          </cell>
          <cell r="X15598" t="str">
            <v>Commissions - gross</v>
          </cell>
          <cell r="Y15598" t="str">
            <v>UNITED KINGDOM</v>
          </cell>
        </row>
        <row r="15599">
          <cell r="L15599" t="str">
            <v>Non-proportional</v>
          </cell>
          <cell r="S15599">
            <v>5197.25</v>
          </cell>
          <cell r="X15599" t="str">
            <v>Commissions - gross</v>
          </cell>
          <cell r="Y15599" t="str">
            <v>UNITED KINGDOM</v>
          </cell>
        </row>
        <row r="15600">
          <cell r="L15600" t="str">
            <v>Non-proportional</v>
          </cell>
          <cell r="S15600">
            <v>-7590</v>
          </cell>
          <cell r="X15600" t="str">
            <v>Commissions - gross</v>
          </cell>
          <cell r="Y15600" t="str">
            <v>ITALY</v>
          </cell>
        </row>
        <row r="15601">
          <cell r="L15601" t="str">
            <v>Non-proportional</v>
          </cell>
          <cell r="S15601">
            <v>-6321.4</v>
          </cell>
          <cell r="X15601" t="str">
            <v>Commissions - gross</v>
          </cell>
          <cell r="Y15601" t="str">
            <v>ISRAEL</v>
          </cell>
        </row>
        <row r="15602">
          <cell r="L15602" t="str">
            <v>Non-proportional</v>
          </cell>
          <cell r="S15602">
            <v>5100.22</v>
          </cell>
          <cell r="X15602" t="str">
            <v>Commissions - gross</v>
          </cell>
          <cell r="Y15602" t="str">
            <v>ITALY</v>
          </cell>
        </row>
        <row r="15603">
          <cell r="L15603" t="str">
            <v>Non-proportional</v>
          </cell>
          <cell r="S15603">
            <v>-2258.52</v>
          </cell>
          <cell r="X15603" t="str">
            <v>Commissions - gross</v>
          </cell>
          <cell r="Y15603" t="str">
            <v>TURKEY</v>
          </cell>
        </row>
        <row r="15604">
          <cell r="L15604" t="str">
            <v>Non-proportional</v>
          </cell>
          <cell r="S15604">
            <v>-159.5</v>
          </cell>
          <cell r="X15604" t="str">
            <v>Commissions - gross</v>
          </cell>
          <cell r="Y15604" t="str">
            <v>ITALY</v>
          </cell>
        </row>
        <row r="15605">
          <cell r="L15605" t="str">
            <v>Non-proportional</v>
          </cell>
          <cell r="S15605">
            <v>-5842</v>
          </cell>
          <cell r="X15605" t="str">
            <v>Commissions - gross</v>
          </cell>
          <cell r="Y15605" t="str">
            <v>ITALY</v>
          </cell>
        </row>
        <row r="15606">
          <cell r="L15606" t="str">
            <v>Proportional</v>
          </cell>
          <cell r="S15606">
            <v>1510.81</v>
          </cell>
          <cell r="X15606" t="str">
            <v>Commissions - gross</v>
          </cell>
          <cell r="Y15606" t="str">
            <v>ITALY</v>
          </cell>
        </row>
        <row r="15607">
          <cell r="L15607" t="str">
            <v>Proportional</v>
          </cell>
          <cell r="S15607">
            <v>-227.36</v>
          </cell>
          <cell r="X15607" t="str">
            <v>Commissions - gross</v>
          </cell>
          <cell r="Y15607" t="str">
            <v>UNITED STATES</v>
          </cell>
        </row>
        <row r="15608">
          <cell r="L15608" t="str">
            <v>Non-proportional</v>
          </cell>
          <cell r="S15608">
            <v>4070.02</v>
          </cell>
          <cell r="X15608" t="str">
            <v>Commissions - gross</v>
          </cell>
          <cell r="Y15608" t="str">
            <v>ISRAEL</v>
          </cell>
        </row>
        <row r="15609">
          <cell r="L15609" t="str">
            <v>Non-proportional</v>
          </cell>
          <cell r="S15609">
            <v>1632.85</v>
          </cell>
          <cell r="X15609" t="str">
            <v>Commissions - gross</v>
          </cell>
          <cell r="Y15609" t="str">
            <v>ISRAEL</v>
          </cell>
        </row>
        <row r="15610">
          <cell r="L15610" t="str">
            <v>Non-proportional</v>
          </cell>
          <cell r="S15610">
            <v>11565</v>
          </cell>
          <cell r="X15610" t="str">
            <v>Commissions - gross</v>
          </cell>
          <cell r="Y15610" t="str">
            <v>FRANCE</v>
          </cell>
        </row>
        <row r="15611">
          <cell r="L15611" t="str">
            <v>Non-proportional</v>
          </cell>
          <cell r="S15611">
            <v>1738.36</v>
          </cell>
          <cell r="X15611" t="str">
            <v>Commissions - gross</v>
          </cell>
          <cell r="Y15611" t="str">
            <v>UNITED ARAB EMIRATES</v>
          </cell>
        </row>
        <row r="15612">
          <cell r="L15612" t="str">
            <v>Non-proportional</v>
          </cell>
          <cell r="S15612">
            <v>3649.18</v>
          </cell>
          <cell r="X15612" t="str">
            <v>Commissions - gross</v>
          </cell>
          <cell r="Y15612" t="str">
            <v>ISRAEL</v>
          </cell>
        </row>
        <row r="15613">
          <cell r="L15613" t="str">
            <v>Non-proportional</v>
          </cell>
          <cell r="S15613">
            <v>2040.16</v>
          </cell>
          <cell r="X15613" t="str">
            <v>Commissions - gross</v>
          </cell>
          <cell r="Y15613" t="str">
            <v>CHILE</v>
          </cell>
        </row>
        <row r="15614">
          <cell r="L15614" t="str">
            <v>Non-proportional</v>
          </cell>
          <cell r="S15614">
            <v>5932.98</v>
          </cell>
          <cell r="X15614" t="str">
            <v>Commissions - gross</v>
          </cell>
          <cell r="Y15614" t="str">
            <v>CYPRUS</v>
          </cell>
        </row>
        <row r="15615">
          <cell r="L15615" t="str">
            <v>Non-proportional</v>
          </cell>
          <cell r="S15615">
            <v>866250</v>
          </cell>
          <cell r="X15615" t="str">
            <v>Commissions - gross</v>
          </cell>
          <cell r="Y15615" t="str">
            <v>BELGIUM</v>
          </cell>
        </row>
        <row r="15616">
          <cell r="L15616" t="str">
            <v>Non-proportional</v>
          </cell>
          <cell r="S15616">
            <v>-447.86</v>
          </cell>
          <cell r="X15616" t="str">
            <v>Commissions - gross</v>
          </cell>
          <cell r="Y15616" t="str">
            <v>ISRAEL</v>
          </cell>
        </row>
        <row r="15617">
          <cell r="L15617" t="str">
            <v>Non-proportional</v>
          </cell>
          <cell r="S15617">
            <v>-3910.7</v>
          </cell>
          <cell r="X15617" t="str">
            <v>Commissions - gross</v>
          </cell>
          <cell r="Y15617" t="str">
            <v>ISRAEL</v>
          </cell>
        </row>
        <row r="15618">
          <cell r="L15618" t="str">
            <v>Non-proportional</v>
          </cell>
          <cell r="S15618">
            <v>-44064</v>
          </cell>
          <cell r="X15618" t="str">
            <v>Commissions - gross</v>
          </cell>
          <cell r="Y15618" t="str">
            <v>TURKEY</v>
          </cell>
        </row>
        <row r="15619">
          <cell r="L15619" t="str">
            <v>Non-proportional</v>
          </cell>
          <cell r="S15619">
            <v>12458</v>
          </cell>
          <cell r="X15619" t="str">
            <v>Commissions - gross</v>
          </cell>
          <cell r="Y15619" t="str">
            <v>COLOMBIA</v>
          </cell>
        </row>
        <row r="15620">
          <cell r="L15620" t="str">
            <v>Non-proportional</v>
          </cell>
          <cell r="S15620">
            <v>-2553.8200000000002</v>
          </cell>
          <cell r="X15620" t="str">
            <v>Commissions - gross</v>
          </cell>
          <cell r="Y15620" t="str">
            <v>UNITED KINGDOM</v>
          </cell>
        </row>
        <row r="15621">
          <cell r="L15621" t="str">
            <v>Non-proportional</v>
          </cell>
          <cell r="S15621">
            <v>7590</v>
          </cell>
          <cell r="X15621" t="str">
            <v>Commissions - gross</v>
          </cell>
          <cell r="Y15621" t="str">
            <v>ITALY</v>
          </cell>
        </row>
        <row r="15622">
          <cell r="L15622" t="str">
            <v>Non-proportional</v>
          </cell>
          <cell r="S15622">
            <v>12400.15</v>
          </cell>
          <cell r="X15622" t="str">
            <v>Commissions - gross</v>
          </cell>
          <cell r="Y15622" t="str">
            <v>PERU</v>
          </cell>
        </row>
        <row r="15623">
          <cell r="L15623" t="str">
            <v>Non-proportional</v>
          </cell>
          <cell r="S15623">
            <v>-3525</v>
          </cell>
          <cell r="X15623" t="str">
            <v>Commissions - gross</v>
          </cell>
          <cell r="Y15623" t="str">
            <v>FRANCE</v>
          </cell>
        </row>
        <row r="15624">
          <cell r="L15624" t="str">
            <v>Non-proportional</v>
          </cell>
          <cell r="S15624">
            <v>1632.85</v>
          </cell>
          <cell r="X15624" t="str">
            <v>Commissions - gross</v>
          </cell>
          <cell r="Y15624" t="str">
            <v>ISRAEL</v>
          </cell>
        </row>
        <row r="15625">
          <cell r="L15625" t="str">
            <v>Non-proportional</v>
          </cell>
          <cell r="S15625">
            <v>2678.56</v>
          </cell>
          <cell r="X15625" t="str">
            <v>Commissions - gross</v>
          </cell>
          <cell r="Y15625" t="str">
            <v>ISRAEL</v>
          </cell>
        </row>
        <row r="15626">
          <cell r="L15626" t="str">
            <v>Non-proportional</v>
          </cell>
          <cell r="S15626">
            <v>34618.300000000003</v>
          </cell>
          <cell r="X15626" t="str">
            <v>Commissions - gross</v>
          </cell>
          <cell r="Y15626" t="str">
            <v>FRANCE</v>
          </cell>
        </row>
        <row r="15627">
          <cell r="L15627" t="str">
            <v>Non-proportional</v>
          </cell>
          <cell r="S15627">
            <v>6104.15</v>
          </cell>
          <cell r="X15627" t="str">
            <v>Commissions - gross</v>
          </cell>
          <cell r="Y15627" t="str">
            <v>ISRAEL</v>
          </cell>
        </row>
        <row r="15628">
          <cell r="L15628" t="str">
            <v>Non-proportional</v>
          </cell>
          <cell r="S15628">
            <v>1596.4</v>
          </cell>
          <cell r="X15628" t="str">
            <v>Commissions - gross</v>
          </cell>
          <cell r="Y15628" t="str">
            <v>FRANCE</v>
          </cell>
        </row>
        <row r="15629">
          <cell r="L15629" t="str">
            <v>Non-proportional</v>
          </cell>
          <cell r="S15629">
            <v>3231.94</v>
          </cell>
          <cell r="X15629" t="str">
            <v>Commissions - gross</v>
          </cell>
          <cell r="Y15629" t="str">
            <v>THAILAND</v>
          </cell>
        </row>
        <row r="15630">
          <cell r="L15630" t="str">
            <v>Non-proportional</v>
          </cell>
          <cell r="S15630">
            <v>-123.35</v>
          </cell>
          <cell r="X15630" t="str">
            <v>Commissions - gross</v>
          </cell>
          <cell r="Y15630" t="str">
            <v>CYPRUS</v>
          </cell>
        </row>
        <row r="15631">
          <cell r="L15631" t="str">
            <v>Non-proportional</v>
          </cell>
          <cell r="S15631">
            <v>3644</v>
          </cell>
          <cell r="X15631" t="str">
            <v>Commissions - gross</v>
          </cell>
          <cell r="Y15631" t="str">
            <v>ITALY</v>
          </cell>
        </row>
        <row r="15632">
          <cell r="L15632" t="str">
            <v>Non-proportional</v>
          </cell>
          <cell r="S15632">
            <v>4555.75</v>
          </cell>
          <cell r="X15632" t="str">
            <v>Commissions - gross</v>
          </cell>
          <cell r="Y15632" t="str">
            <v>ITALY</v>
          </cell>
        </row>
        <row r="15633">
          <cell r="L15633" t="str">
            <v>Non-proportional</v>
          </cell>
          <cell r="S15633">
            <v>-6905</v>
          </cell>
          <cell r="X15633" t="str">
            <v>Commissions - gross</v>
          </cell>
          <cell r="Y15633" t="str">
            <v>NETHERLANDS</v>
          </cell>
        </row>
        <row r="15634">
          <cell r="L15634" t="str">
            <v>Non-proportional</v>
          </cell>
          <cell r="S15634">
            <v>-28125</v>
          </cell>
          <cell r="X15634" t="str">
            <v>Commissions - gross</v>
          </cell>
          <cell r="Y15634" t="str">
            <v>FRANCE</v>
          </cell>
        </row>
        <row r="15635">
          <cell r="L15635" t="str">
            <v>Non-proportional</v>
          </cell>
          <cell r="S15635">
            <v>28877.16</v>
          </cell>
          <cell r="X15635" t="str">
            <v>Commissions - gross</v>
          </cell>
          <cell r="Y15635" t="str">
            <v>UNITED KINGDOM</v>
          </cell>
        </row>
        <row r="15636">
          <cell r="L15636" t="str">
            <v>Non-proportional</v>
          </cell>
          <cell r="S15636">
            <v>51337.16</v>
          </cell>
          <cell r="X15636" t="str">
            <v>Commissions - gross</v>
          </cell>
          <cell r="Y15636" t="str">
            <v>UNITED KINGDOM</v>
          </cell>
        </row>
        <row r="15637">
          <cell r="L15637" t="str">
            <v>Non-proportional</v>
          </cell>
          <cell r="S15637">
            <v>-525.70000000000005</v>
          </cell>
          <cell r="X15637" t="str">
            <v>Commissions - gross</v>
          </cell>
          <cell r="Y15637" t="str">
            <v>UNITED KINGDOM</v>
          </cell>
        </row>
        <row r="15638">
          <cell r="L15638" t="str">
            <v>Non-proportional</v>
          </cell>
          <cell r="S15638">
            <v>-8457.18</v>
          </cell>
          <cell r="X15638" t="str">
            <v>Commissions - gross</v>
          </cell>
          <cell r="Y15638" t="str">
            <v>UNITED KINGDOM</v>
          </cell>
        </row>
        <row r="15639">
          <cell r="L15639" t="str">
            <v>Non-proportional</v>
          </cell>
          <cell r="S15639">
            <v>7303.62</v>
          </cell>
          <cell r="X15639" t="str">
            <v>Commissions - gross</v>
          </cell>
          <cell r="Y15639" t="str">
            <v>ITALY</v>
          </cell>
        </row>
        <row r="15640">
          <cell r="L15640" t="str">
            <v>Non-proportional</v>
          </cell>
          <cell r="S15640">
            <v>-2824.14</v>
          </cell>
          <cell r="X15640" t="str">
            <v>Commissions - gross</v>
          </cell>
          <cell r="Y15640" t="str">
            <v>COLOMBIA</v>
          </cell>
        </row>
        <row r="15641">
          <cell r="L15641" t="str">
            <v>Non-proportional</v>
          </cell>
          <cell r="S15641">
            <v>5505.5</v>
          </cell>
          <cell r="X15641" t="str">
            <v>Commissions - gross</v>
          </cell>
          <cell r="Y15641" t="str">
            <v>UNITED KINGDOM</v>
          </cell>
        </row>
        <row r="15642">
          <cell r="L15642" t="str">
            <v>Non-proportional</v>
          </cell>
          <cell r="S15642">
            <v>1776.96</v>
          </cell>
          <cell r="X15642" t="str">
            <v>Commissions - gross</v>
          </cell>
          <cell r="Y15642" t="str">
            <v>FRANCE</v>
          </cell>
        </row>
        <row r="15643">
          <cell r="L15643" t="str">
            <v>Non-proportional</v>
          </cell>
          <cell r="S15643">
            <v>1027.1500000000001</v>
          </cell>
          <cell r="X15643" t="str">
            <v>Commissions - gross</v>
          </cell>
          <cell r="Y15643" t="str">
            <v>FRANCE</v>
          </cell>
        </row>
        <row r="15644">
          <cell r="L15644" t="str">
            <v>Non-proportional</v>
          </cell>
          <cell r="S15644">
            <v>-1787</v>
          </cell>
          <cell r="X15644" t="str">
            <v>Commissions - gross</v>
          </cell>
          <cell r="Y15644" t="str">
            <v>ISRAEL</v>
          </cell>
        </row>
        <row r="15645">
          <cell r="L15645" t="str">
            <v>Non-proportional</v>
          </cell>
          <cell r="S15645">
            <v>123.35</v>
          </cell>
          <cell r="X15645" t="str">
            <v>Commissions - gross</v>
          </cell>
          <cell r="Y15645" t="str">
            <v>CYPRUS</v>
          </cell>
        </row>
        <row r="15646">
          <cell r="L15646" t="str">
            <v>Non-proportional</v>
          </cell>
          <cell r="S15646">
            <v>1935823.07</v>
          </cell>
          <cell r="X15646" t="str">
            <v>Commissions - gross</v>
          </cell>
          <cell r="Y15646" t="str">
            <v>UNITED KINGDOM</v>
          </cell>
        </row>
        <row r="15647">
          <cell r="L15647" t="str">
            <v>Non-proportional</v>
          </cell>
          <cell r="S15647">
            <v>1874.85</v>
          </cell>
          <cell r="X15647" t="str">
            <v>Commissions - gross</v>
          </cell>
          <cell r="Y15647" t="str">
            <v>FRANCE</v>
          </cell>
        </row>
        <row r="15648">
          <cell r="L15648" t="str">
            <v>Non-proportional</v>
          </cell>
          <cell r="S15648">
            <v>7433.84</v>
          </cell>
          <cell r="X15648" t="str">
            <v>Commissions - gross</v>
          </cell>
          <cell r="Y15648" t="str">
            <v>SINGAPORE</v>
          </cell>
        </row>
        <row r="15649">
          <cell r="L15649" t="str">
            <v>Non-proportional</v>
          </cell>
          <cell r="S15649">
            <v>11217.76</v>
          </cell>
          <cell r="X15649" t="str">
            <v>Commissions - gross</v>
          </cell>
          <cell r="Y15649" t="str">
            <v>NETHERLANDS</v>
          </cell>
        </row>
        <row r="15650">
          <cell r="L15650" t="str">
            <v>Non-proportional</v>
          </cell>
          <cell r="S15650">
            <v>159.5</v>
          </cell>
          <cell r="X15650" t="str">
            <v>Commissions - gross</v>
          </cell>
          <cell r="Y15650" t="str">
            <v>ITALY</v>
          </cell>
        </row>
        <row r="15651">
          <cell r="L15651" t="str">
            <v>Non-proportional</v>
          </cell>
          <cell r="S15651">
            <v>847.24</v>
          </cell>
          <cell r="X15651" t="str">
            <v>Commissions - gross</v>
          </cell>
          <cell r="Y15651" t="str">
            <v>COLOMBIA</v>
          </cell>
        </row>
        <row r="15652">
          <cell r="L15652" t="str">
            <v>Non-proportional</v>
          </cell>
          <cell r="S15652">
            <v>-3238.33</v>
          </cell>
          <cell r="X15652" t="str">
            <v>Commissions - gross</v>
          </cell>
          <cell r="Y15652" t="str">
            <v>ISRAEL</v>
          </cell>
        </row>
        <row r="15653">
          <cell r="L15653" t="str">
            <v>Non-proportional</v>
          </cell>
          <cell r="S15653">
            <v>5411.7</v>
          </cell>
          <cell r="X15653" t="str">
            <v>Commissions - gross</v>
          </cell>
          <cell r="Y15653" t="str">
            <v>FRANCE</v>
          </cell>
        </row>
        <row r="15654">
          <cell r="L15654" t="str">
            <v>Non-proportional</v>
          </cell>
          <cell r="S15654">
            <v>10450</v>
          </cell>
          <cell r="X15654" t="str">
            <v>Commissions - gross</v>
          </cell>
          <cell r="Y15654" t="str">
            <v>TURKEY</v>
          </cell>
        </row>
        <row r="15655">
          <cell r="L15655" t="str">
            <v>Non-proportional</v>
          </cell>
          <cell r="S15655">
            <v>-159.5</v>
          </cell>
          <cell r="X15655" t="str">
            <v>Commissions - gross</v>
          </cell>
          <cell r="Y15655" t="str">
            <v>ITALY</v>
          </cell>
        </row>
        <row r="15656">
          <cell r="L15656" t="str">
            <v>Non-proportional</v>
          </cell>
          <cell r="S15656">
            <v>10500</v>
          </cell>
          <cell r="X15656" t="str">
            <v>Commissions - gross</v>
          </cell>
          <cell r="Y15656" t="str">
            <v>EUROPE</v>
          </cell>
        </row>
        <row r="15657">
          <cell r="L15657" t="str">
            <v>Non-proportional</v>
          </cell>
          <cell r="S15657">
            <v>8457.18</v>
          </cell>
          <cell r="X15657" t="str">
            <v>Commissions - gross</v>
          </cell>
          <cell r="Y15657" t="str">
            <v>UNITED KINGDOM</v>
          </cell>
        </row>
        <row r="15658">
          <cell r="L15658" t="str">
            <v>Non-proportional</v>
          </cell>
          <cell r="S15658">
            <v>4480.8599999999997</v>
          </cell>
          <cell r="X15658" t="str">
            <v>Commissions - gross</v>
          </cell>
          <cell r="Y15658" t="str">
            <v>GUATEMALA</v>
          </cell>
        </row>
        <row r="15659">
          <cell r="L15659" t="str">
            <v>Non-proportional</v>
          </cell>
          <cell r="S15659">
            <v>10775.7</v>
          </cell>
          <cell r="X15659" t="str">
            <v>Commissions - gross</v>
          </cell>
          <cell r="Y15659" t="str">
            <v>ITALY</v>
          </cell>
        </row>
        <row r="15660">
          <cell r="L15660" t="str">
            <v>Non-proportional</v>
          </cell>
          <cell r="S15660">
            <v>1750</v>
          </cell>
          <cell r="X15660" t="str">
            <v>Commissions - gross</v>
          </cell>
          <cell r="Y15660" t="str">
            <v>GREECE</v>
          </cell>
        </row>
        <row r="15661">
          <cell r="L15661" t="str">
            <v>Non-proportional</v>
          </cell>
          <cell r="S15661">
            <v>-1282.49</v>
          </cell>
          <cell r="X15661" t="str">
            <v>Commissions - gross</v>
          </cell>
          <cell r="Y15661" t="str">
            <v>ISRAEL</v>
          </cell>
        </row>
        <row r="15662">
          <cell r="L15662" t="str">
            <v>Non-proportional</v>
          </cell>
          <cell r="S15662">
            <v>1609.19</v>
          </cell>
          <cell r="X15662" t="str">
            <v>Commissions - gross</v>
          </cell>
          <cell r="Y15662" t="str">
            <v>PERU</v>
          </cell>
        </row>
        <row r="15663">
          <cell r="L15663" t="str">
            <v>Non-proportional</v>
          </cell>
          <cell r="S15663">
            <v>-5322.7</v>
          </cell>
          <cell r="X15663" t="str">
            <v>Commissions - gross</v>
          </cell>
          <cell r="Y15663" t="str">
            <v>UNITED KINGDOM</v>
          </cell>
        </row>
        <row r="15664">
          <cell r="L15664" t="str">
            <v>Non-proportional</v>
          </cell>
          <cell r="S15664">
            <v>28118.799999999999</v>
          </cell>
          <cell r="X15664" t="str">
            <v>Commissions - gross</v>
          </cell>
          <cell r="Y15664" t="str">
            <v>FRANCE</v>
          </cell>
        </row>
        <row r="15665">
          <cell r="L15665" t="str">
            <v>Non-proportional</v>
          </cell>
          <cell r="S15665">
            <v>2999.99</v>
          </cell>
          <cell r="X15665" t="str">
            <v>Commissions - gross</v>
          </cell>
          <cell r="Y15665" t="str">
            <v>ISRAEL</v>
          </cell>
        </row>
        <row r="15666">
          <cell r="L15666" t="str">
            <v>Non-proportional</v>
          </cell>
          <cell r="S15666">
            <v>2532.17</v>
          </cell>
          <cell r="X15666" t="str">
            <v>Commissions - gross</v>
          </cell>
          <cell r="Y15666" t="str">
            <v>FRANCE</v>
          </cell>
        </row>
        <row r="15667">
          <cell r="L15667" t="str">
            <v>Non-proportional</v>
          </cell>
          <cell r="S15667">
            <v>6840.23</v>
          </cell>
          <cell r="X15667" t="str">
            <v>Commissions - gross</v>
          </cell>
          <cell r="Y15667" t="str">
            <v>ITALY</v>
          </cell>
        </row>
        <row r="15668">
          <cell r="L15668" t="str">
            <v>Non-proportional</v>
          </cell>
          <cell r="S15668">
            <v>7534.78</v>
          </cell>
          <cell r="X15668" t="str">
            <v>Commissions - gross</v>
          </cell>
          <cell r="Y15668" t="str">
            <v>FRANCE</v>
          </cell>
        </row>
        <row r="15669">
          <cell r="L15669" t="str">
            <v>Non-proportional</v>
          </cell>
          <cell r="S15669">
            <v>2554.27</v>
          </cell>
          <cell r="X15669" t="str">
            <v>Commissions - gross</v>
          </cell>
          <cell r="Y15669" t="str">
            <v>UNITED KINGDOM</v>
          </cell>
        </row>
        <row r="15670">
          <cell r="L15670" t="str">
            <v>Non-proportional</v>
          </cell>
          <cell r="S15670">
            <v>-12154</v>
          </cell>
          <cell r="X15670" t="str">
            <v>Commissions - gross</v>
          </cell>
          <cell r="Y15670" t="str">
            <v>ITALY</v>
          </cell>
        </row>
        <row r="15671">
          <cell r="L15671" t="str">
            <v>Non-proportional</v>
          </cell>
          <cell r="S15671">
            <v>-7700</v>
          </cell>
          <cell r="X15671" t="str">
            <v>Commissions - gross</v>
          </cell>
          <cell r="Y15671" t="str">
            <v>BELGIUM</v>
          </cell>
        </row>
        <row r="15672">
          <cell r="L15672" t="str">
            <v>Non-proportional</v>
          </cell>
          <cell r="S15672">
            <v>-1935823.07</v>
          </cell>
          <cell r="X15672" t="str">
            <v>Commissions - gross</v>
          </cell>
          <cell r="Y15672" t="str">
            <v>UNITED KINGDOM</v>
          </cell>
        </row>
        <row r="15673">
          <cell r="L15673" t="str">
            <v>Non-proportional</v>
          </cell>
          <cell r="S15673">
            <v>1910.23</v>
          </cell>
          <cell r="X15673" t="str">
            <v>Commissions - gross</v>
          </cell>
          <cell r="Y15673" t="str">
            <v>FRANCE</v>
          </cell>
        </row>
        <row r="15674">
          <cell r="L15674" t="str">
            <v>Non-proportional</v>
          </cell>
          <cell r="S15674">
            <v>11400.17</v>
          </cell>
          <cell r="X15674" t="str">
            <v>Commissions - gross</v>
          </cell>
          <cell r="Y15674" t="str">
            <v>TURKEY</v>
          </cell>
        </row>
        <row r="15675">
          <cell r="L15675" t="str">
            <v>Non-proportional</v>
          </cell>
          <cell r="S15675">
            <v>7265.95</v>
          </cell>
          <cell r="X15675" t="str">
            <v>Commissions - gross</v>
          </cell>
          <cell r="Y15675" t="str">
            <v>FRANCE</v>
          </cell>
        </row>
        <row r="15676">
          <cell r="L15676" t="str">
            <v>Non-proportional</v>
          </cell>
          <cell r="S15676">
            <v>-2207.25</v>
          </cell>
          <cell r="X15676" t="str">
            <v>Commissions - gross</v>
          </cell>
          <cell r="Y15676" t="str">
            <v>GREECE</v>
          </cell>
        </row>
        <row r="15677">
          <cell r="L15677" t="str">
            <v>Non-proportional</v>
          </cell>
          <cell r="S15677">
            <v>9624.57</v>
          </cell>
          <cell r="X15677" t="str">
            <v>Commissions - gross</v>
          </cell>
          <cell r="Y15677" t="str">
            <v>TURKEY</v>
          </cell>
        </row>
        <row r="15678">
          <cell r="L15678" t="str">
            <v>Non-proportional</v>
          </cell>
          <cell r="S15678">
            <v>12688.83</v>
          </cell>
          <cell r="X15678" t="str">
            <v>Commissions - gross</v>
          </cell>
          <cell r="Y15678" t="str">
            <v>COSTA RICA</v>
          </cell>
        </row>
        <row r="15679">
          <cell r="L15679" t="str">
            <v>Non-proportional</v>
          </cell>
          <cell r="S15679">
            <v>-7523.52</v>
          </cell>
          <cell r="X15679" t="str">
            <v>Commissions - gross</v>
          </cell>
          <cell r="Y15679" t="str">
            <v>MEXICO</v>
          </cell>
        </row>
        <row r="15680">
          <cell r="L15680" t="str">
            <v>Non-proportional</v>
          </cell>
          <cell r="S15680">
            <v>9103.7999999999993</v>
          </cell>
          <cell r="X15680" t="str">
            <v>Commissions - gross</v>
          </cell>
          <cell r="Y15680" t="str">
            <v>FRANCE</v>
          </cell>
        </row>
        <row r="15681">
          <cell r="L15681" t="str">
            <v>Non-proportional</v>
          </cell>
          <cell r="S15681">
            <v>6182.28</v>
          </cell>
          <cell r="X15681" t="str">
            <v>Commissions - gross</v>
          </cell>
          <cell r="Y15681" t="str">
            <v>ITALY</v>
          </cell>
        </row>
        <row r="15682">
          <cell r="L15682" t="str">
            <v>Non-proportional</v>
          </cell>
          <cell r="S15682">
            <v>6321.4</v>
          </cell>
          <cell r="X15682" t="str">
            <v>Commissions - gross</v>
          </cell>
          <cell r="Y15682" t="str">
            <v>ISRAEL</v>
          </cell>
        </row>
        <row r="15683">
          <cell r="L15683" t="str">
            <v>Non-proportional</v>
          </cell>
          <cell r="S15683">
            <v>-418.5</v>
          </cell>
          <cell r="X15683" t="str">
            <v>Commissions - gross</v>
          </cell>
          <cell r="Y15683" t="str">
            <v>ITALY</v>
          </cell>
        </row>
        <row r="15684">
          <cell r="L15684" t="str">
            <v>Non-proportional</v>
          </cell>
          <cell r="S15684">
            <v>5086.17</v>
          </cell>
          <cell r="X15684" t="str">
            <v>Commissions - gross</v>
          </cell>
          <cell r="Y15684" t="str">
            <v>FRANCE</v>
          </cell>
        </row>
        <row r="15685">
          <cell r="L15685" t="str">
            <v>Non-proportional</v>
          </cell>
          <cell r="S15685">
            <v>-3450</v>
          </cell>
          <cell r="X15685" t="str">
            <v>Commissions - gross</v>
          </cell>
          <cell r="Y15685" t="str">
            <v>GREECE</v>
          </cell>
        </row>
        <row r="15686">
          <cell r="L15686" t="str">
            <v>Non-proportional</v>
          </cell>
          <cell r="S15686">
            <v>5517.83</v>
          </cell>
          <cell r="X15686" t="str">
            <v>Commissions - gross</v>
          </cell>
          <cell r="Y15686" t="str">
            <v>ISRAEL</v>
          </cell>
        </row>
        <row r="15687">
          <cell r="L15687" t="str">
            <v>Non-proportional</v>
          </cell>
          <cell r="S15687">
            <v>4453.1099999999997</v>
          </cell>
          <cell r="X15687" t="str">
            <v>Commissions - gross</v>
          </cell>
          <cell r="Y15687" t="str">
            <v>ISRAEL</v>
          </cell>
        </row>
        <row r="15688">
          <cell r="L15688" t="str">
            <v>Non-proportional</v>
          </cell>
          <cell r="S15688">
            <v>-10800</v>
          </cell>
          <cell r="X15688" t="str">
            <v>Commissions - gross</v>
          </cell>
          <cell r="Y15688" t="str">
            <v>ITALY</v>
          </cell>
        </row>
        <row r="15689">
          <cell r="L15689" t="str">
            <v>Non-proportional</v>
          </cell>
          <cell r="S15689">
            <v>11983.04</v>
          </cell>
          <cell r="X15689" t="str">
            <v>Commissions - gross</v>
          </cell>
          <cell r="Y15689" t="str">
            <v>FRANCE</v>
          </cell>
        </row>
        <row r="15690">
          <cell r="L15690" t="str">
            <v>Non-proportional</v>
          </cell>
          <cell r="S15690">
            <v>26000</v>
          </cell>
          <cell r="X15690" t="str">
            <v>Commissions - gross</v>
          </cell>
          <cell r="Y15690" t="str">
            <v>FRANCE</v>
          </cell>
        </row>
        <row r="15691">
          <cell r="L15691" t="str">
            <v>Non-proportional</v>
          </cell>
          <cell r="S15691">
            <v>8355.84</v>
          </cell>
          <cell r="X15691" t="str">
            <v>Commissions - gross</v>
          </cell>
          <cell r="Y15691" t="str">
            <v>FRANCE</v>
          </cell>
        </row>
        <row r="15692">
          <cell r="L15692" t="str">
            <v>Non-proportional</v>
          </cell>
          <cell r="S15692">
            <v>24237.02</v>
          </cell>
          <cell r="X15692" t="str">
            <v>Commissions - gross</v>
          </cell>
          <cell r="Y15692" t="str">
            <v>ITALY</v>
          </cell>
        </row>
        <row r="15693">
          <cell r="L15693" t="str">
            <v>Non-proportional</v>
          </cell>
          <cell r="S15693">
            <v>1546.34</v>
          </cell>
          <cell r="X15693" t="str">
            <v>Commissions - gross</v>
          </cell>
          <cell r="Y15693" t="str">
            <v>ISRAEL</v>
          </cell>
        </row>
        <row r="15694">
          <cell r="L15694" t="str">
            <v>Non-proportional</v>
          </cell>
          <cell r="S15694">
            <v>9477</v>
          </cell>
          <cell r="X15694" t="str">
            <v>Commissions - gross</v>
          </cell>
          <cell r="Y15694" t="str">
            <v>ITALY</v>
          </cell>
        </row>
        <row r="15695">
          <cell r="L15695" t="str">
            <v>Non-proportional</v>
          </cell>
          <cell r="S15695">
            <v>8780.44</v>
          </cell>
          <cell r="X15695" t="str">
            <v>Commissions - gross</v>
          </cell>
          <cell r="Y15695" t="str">
            <v>UNITED KINGDOM</v>
          </cell>
        </row>
        <row r="15696">
          <cell r="L15696" t="str">
            <v>Non-proportional</v>
          </cell>
          <cell r="S15696">
            <v>6105.02</v>
          </cell>
          <cell r="X15696" t="str">
            <v>Commissions - gross</v>
          </cell>
          <cell r="Y15696" t="str">
            <v>ISRAEL</v>
          </cell>
        </row>
        <row r="15697">
          <cell r="L15697" t="str">
            <v>Non-proportional</v>
          </cell>
          <cell r="S15697">
            <v>266322</v>
          </cell>
          <cell r="X15697" t="str">
            <v>Commissions - gross</v>
          </cell>
          <cell r="Y15697" t="str">
            <v>BELGIUM</v>
          </cell>
        </row>
        <row r="15698">
          <cell r="L15698" t="str">
            <v>Non-proportional</v>
          </cell>
          <cell r="S15698">
            <v>-159.5</v>
          </cell>
          <cell r="X15698" t="str">
            <v>Commissions - gross</v>
          </cell>
          <cell r="Y15698" t="str">
            <v>ITALY</v>
          </cell>
        </row>
        <row r="15699">
          <cell r="L15699" t="str">
            <v>Non-proportional</v>
          </cell>
          <cell r="S15699">
            <v>7021.6</v>
          </cell>
          <cell r="X15699" t="str">
            <v>Commissions - gross</v>
          </cell>
          <cell r="Y15699" t="str">
            <v>ITALY</v>
          </cell>
        </row>
        <row r="15700">
          <cell r="L15700" t="str">
            <v>Non-proportional</v>
          </cell>
          <cell r="S15700">
            <v>911.25</v>
          </cell>
          <cell r="X15700" t="str">
            <v>Commissions - gross</v>
          </cell>
          <cell r="Y15700" t="str">
            <v>GREECE</v>
          </cell>
        </row>
        <row r="15701">
          <cell r="L15701" t="str">
            <v>Non-proportional</v>
          </cell>
          <cell r="S15701">
            <v>34801</v>
          </cell>
          <cell r="X15701" t="str">
            <v>Commissions - gross</v>
          </cell>
          <cell r="Y15701" t="str">
            <v>TURKEY</v>
          </cell>
        </row>
        <row r="15702">
          <cell r="L15702" t="str">
            <v>Non-proportional</v>
          </cell>
          <cell r="S15702">
            <v>13090.89</v>
          </cell>
          <cell r="X15702" t="str">
            <v>Commissions - gross</v>
          </cell>
          <cell r="Y15702" t="str">
            <v>ITALY</v>
          </cell>
        </row>
        <row r="15703">
          <cell r="L15703" t="str">
            <v>Non-proportional</v>
          </cell>
          <cell r="S15703">
            <v>-131196.46</v>
          </cell>
          <cell r="X15703" t="str">
            <v>Commissions - gross</v>
          </cell>
          <cell r="Y15703" t="str">
            <v>FRANCE</v>
          </cell>
        </row>
        <row r="15704">
          <cell r="L15704" t="str">
            <v>Non-proportional</v>
          </cell>
          <cell r="S15704">
            <v>4987.6499999999996</v>
          </cell>
          <cell r="X15704" t="str">
            <v>Commissions - gross</v>
          </cell>
          <cell r="Y15704" t="str">
            <v>SINGAPORE</v>
          </cell>
        </row>
        <row r="15705">
          <cell r="L15705" t="str">
            <v>Non-proportional</v>
          </cell>
          <cell r="S15705">
            <v>5842</v>
          </cell>
          <cell r="X15705" t="str">
            <v>Commissions - gross</v>
          </cell>
          <cell r="Y15705" t="str">
            <v>ITALY</v>
          </cell>
        </row>
        <row r="15706">
          <cell r="L15706" t="str">
            <v>Non-proportional</v>
          </cell>
          <cell r="S15706">
            <v>12154</v>
          </cell>
          <cell r="X15706" t="str">
            <v>Commissions - gross</v>
          </cell>
          <cell r="Y15706" t="str">
            <v>ITALY</v>
          </cell>
        </row>
        <row r="15707">
          <cell r="L15707" t="str">
            <v>Non-proportional</v>
          </cell>
          <cell r="S15707">
            <v>-468</v>
          </cell>
          <cell r="X15707" t="str">
            <v>Commissions - gross</v>
          </cell>
          <cell r="Y15707" t="str">
            <v>ITALY</v>
          </cell>
        </row>
        <row r="15708">
          <cell r="L15708" t="str">
            <v>Non-proportional</v>
          </cell>
          <cell r="S15708">
            <v>6830.33</v>
          </cell>
          <cell r="X15708" t="str">
            <v>Commissions - gross</v>
          </cell>
          <cell r="Y15708" t="str">
            <v>ISRAEL</v>
          </cell>
        </row>
        <row r="15709">
          <cell r="L15709" t="str">
            <v>Non-proportional</v>
          </cell>
          <cell r="S15709">
            <v>-491.15</v>
          </cell>
          <cell r="X15709" t="str">
            <v>Commissions - gross</v>
          </cell>
          <cell r="Y15709" t="str">
            <v>CHILE</v>
          </cell>
        </row>
        <row r="15710">
          <cell r="L15710" t="str">
            <v>Non-proportional</v>
          </cell>
          <cell r="S15710">
            <v>2435.89</v>
          </cell>
          <cell r="X15710" t="str">
            <v>Commissions - gross</v>
          </cell>
          <cell r="Y15710" t="str">
            <v>CYPRUS</v>
          </cell>
        </row>
        <row r="15711">
          <cell r="L15711" t="str">
            <v>Non-proportional</v>
          </cell>
          <cell r="S15711">
            <v>4080</v>
          </cell>
          <cell r="X15711" t="str">
            <v>Commissions - gross</v>
          </cell>
          <cell r="Y15711" t="str">
            <v>ITALY</v>
          </cell>
        </row>
        <row r="15712">
          <cell r="L15712" t="str">
            <v>Proportional</v>
          </cell>
          <cell r="S15712">
            <v>6170</v>
          </cell>
          <cell r="X15712" t="str">
            <v>Commissions - gross</v>
          </cell>
          <cell r="Y15712" t="str">
            <v>FRANCE</v>
          </cell>
        </row>
        <row r="15713">
          <cell r="L15713" t="str">
            <v>Non-proportional</v>
          </cell>
          <cell r="S15713">
            <v>4499.93</v>
          </cell>
          <cell r="X15713" t="str">
            <v>Commissions - gross</v>
          </cell>
          <cell r="Y15713" t="str">
            <v>EUROPE</v>
          </cell>
        </row>
        <row r="15714">
          <cell r="L15714" t="str">
            <v>Non-proportional</v>
          </cell>
          <cell r="S15714">
            <v>7990.67</v>
          </cell>
          <cell r="X15714" t="str">
            <v>Commissions - gross</v>
          </cell>
          <cell r="Y15714" t="str">
            <v>CYPRUS</v>
          </cell>
        </row>
        <row r="15715">
          <cell r="L15715" t="str">
            <v>Non-proportional</v>
          </cell>
          <cell r="S15715">
            <v>5302.05</v>
          </cell>
          <cell r="X15715" t="str">
            <v>Commissions - gross</v>
          </cell>
          <cell r="Y15715" t="str">
            <v>ISRAEL</v>
          </cell>
        </row>
        <row r="15716">
          <cell r="L15716" t="str">
            <v>Non-proportional</v>
          </cell>
          <cell r="S15716">
            <v>-9687.4</v>
          </cell>
          <cell r="X15716" t="str">
            <v>Commissions - gross</v>
          </cell>
          <cell r="Y15716" t="str">
            <v>BELGIUM</v>
          </cell>
        </row>
        <row r="15717">
          <cell r="L15717" t="str">
            <v>Non-proportional</v>
          </cell>
          <cell r="S15717">
            <v>447.86</v>
          </cell>
          <cell r="X15717" t="str">
            <v>Commissions - gross</v>
          </cell>
          <cell r="Y15717" t="str">
            <v>ISRAEL</v>
          </cell>
        </row>
        <row r="15718">
          <cell r="L15718" t="str">
            <v>Non-proportional</v>
          </cell>
          <cell r="S15718">
            <v>2625</v>
          </cell>
          <cell r="X15718" t="str">
            <v>Commissions - gross</v>
          </cell>
          <cell r="Y15718" t="str">
            <v>GERMANY</v>
          </cell>
        </row>
        <row r="15719">
          <cell r="L15719" t="str">
            <v>Non-proportional</v>
          </cell>
          <cell r="S15719">
            <v>-36000</v>
          </cell>
          <cell r="X15719" t="str">
            <v>Commissions - gross</v>
          </cell>
          <cell r="Y15719" t="str">
            <v>FRANCE</v>
          </cell>
        </row>
        <row r="15720">
          <cell r="L15720" t="str">
            <v>Proportional</v>
          </cell>
          <cell r="S15720">
            <v>94241.95</v>
          </cell>
          <cell r="X15720" t="str">
            <v>Commissions - gross</v>
          </cell>
          <cell r="Y15720" t="str">
            <v>UNITED STATES</v>
          </cell>
        </row>
        <row r="15721">
          <cell r="L15721" t="str">
            <v>Non-proportional</v>
          </cell>
          <cell r="S15721">
            <v>8359.44</v>
          </cell>
          <cell r="X15721" t="str">
            <v>Commissions - gross</v>
          </cell>
          <cell r="Y15721" t="str">
            <v>MEXICO</v>
          </cell>
        </row>
        <row r="15722">
          <cell r="L15722" t="str">
            <v>Non-proportional</v>
          </cell>
          <cell r="S15722">
            <v>1122.1199999999999</v>
          </cell>
          <cell r="X15722" t="str">
            <v>Commissions - gross</v>
          </cell>
          <cell r="Y15722" t="str">
            <v>ISRAEL</v>
          </cell>
        </row>
        <row r="15723">
          <cell r="L15723" t="str">
            <v>Non-proportional</v>
          </cell>
          <cell r="S15723">
            <v>1456.37</v>
          </cell>
          <cell r="X15723" t="str">
            <v>Commissions - gross</v>
          </cell>
          <cell r="Y15723" t="str">
            <v>COSTA RICA</v>
          </cell>
        </row>
        <row r="15724">
          <cell r="L15724" t="str">
            <v>Non-proportional</v>
          </cell>
          <cell r="S15724">
            <v>19534.41</v>
          </cell>
          <cell r="X15724" t="str">
            <v>Commissions - gross</v>
          </cell>
          <cell r="Y15724" t="str">
            <v>ITALY</v>
          </cell>
        </row>
        <row r="15725">
          <cell r="L15725" t="str">
            <v>Proportional</v>
          </cell>
          <cell r="S15725">
            <v>37.67</v>
          </cell>
          <cell r="X15725" t="str">
            <v>Commissions - gross</v>
          </cell>
          <cell r="Y15725" t="str">
            <v>UNITED STATES</v>
          </cell>
        </row>
        <row r="15726">
          <cell r="L15726" t="str">
            <v>Non-proportional</v>
          </cell>
          <cell r="S15726">
            <v>3749.98</v>
          </cell>
          <cell r="X15726" t="str">
            <v>Commissions - gross</v>
          </cell>
          <cell r="Y15726" t="str">
            <v>ISRAEL</v>
          </cell>
        </row>
        <row r="15727">
          <cell r="L15727" t="str">
            <v>Non-proportional</v>
          </cell>
          <cell r="S15727">
            <v>12898.43</v>
          </cell>
          <cell r="X15727" t="str">
            <v>Commissions - gross</v>
          </cell>
          <cell r="Y15727" t="str">
            <v>ITALY</v>
          </cell>
        </row>
        <row r="15728">
          <cell r="L15728" t="str">
            <v>Non-proportional</v>
          </cell>
          <cell r="S15728">
            <v>4700.72</v>
          </cell>
          <cell r="X15728" t="str">
            <v>Commissions - gross</v>
          </cell>
          <cell r="Y15728" t="str">
            <v>ITALY</v>
          </cell>
        </row>
        <row r="15729">
          <cell r="L15729" t="str">
            <v>Non-proportional</v>
          </cell>
          <cell r="S15729">
            <v>1867.43</v>
          </cell>
          <cell r="X15729" t="str">
            <v>Commissions - gross</v>
          </cell>
          <cell r="Y15729" t="str">
            <v>NEW ZEALAND</v>
          </cell>
        </row>
        <row r="15730">
          <cell r="L15730" t="str">
            <v>Non-proportional</v>
          </cell>
          <cell r="S15730">
            <v>2192.3000000000002</v>
          </cell>
          <cell r="X15730" t="str">
            <v>Commissions - gross</v>
          </cell>
          <cell r="Y15730" t="str">
            <v>CYPRUS</v>
          </cell>
        </row>
        <row r="15731">
          <cell r="L15731" t="str">
            <v>Non-proportional</v>
          </cell>
          <cell r="S15731">
            <v>-6830.33</v>
          </cell>
          <cell r="X15731" t="str">
            <v>Commissions - gross</v>
          </cell>
          <cell r="Y15731" t="str">
            <v>ISRAEL</v>
          </cell>
        </row>
        <row r="15732">
          <cell r="L15732" t="str">
            <v>Proportional</v>
          </cell>
          <cell r="S15732">
            <v>6799.5</v>
          </cell>
          <cell r="X15732" t="str">
            <v>Commissions - gross</v>
          </cell>
          <cell r="Y15732" t="str">
            <v>EUROPE</v>
          </cell>
        </row>
        <row r="15733">
          <cell r="L15733" t="str">
            <v>Non-proportional</v>
          </cell>
          <cell r="S15733">
            <v>1253.8</v>
          </cell>
          <cell r="X15733" t="str">
            <v>Commissions - gross</v>
          </cell>
          <cell r="Y15733" t="str">
            <v>CYPRUS</v>
          </cell>
        </row>
        <row r="15734">
          <cell r="L15734" t="str">
            <v>Non-proportional</v>
          </cell>
          <cell r="S15734">
            <v>9003.6</v>
          </cell>
          <cell r="X15734" t="str">
            <v>Commissions - gross</v>
          </cell>
          <cell r="Y15734" t="str">
            <v>CYPRUS</v>
          </cell>
        </row>
        <row r="15735">
          <cell r="L15735" t="str">
            <v>Non-proportional</v>
          </cell>
          <cell r="S15735">
            <v>4500</v>
          </cell>
          <cell r="X15735" t="str">
            <v>Commissions - gross</v>
          </cell>
          <cell r="Y15735" t="str">
            <v>FRANCE</v>
          </cell>
        </row>
        <row r="15736">
          <cell r="L15736" t="str">
            <v>Non-proportional</v>
          </cell>
          <cell r="S15736">
            <v>3365.19</v>
          </cell>
          <cell r="X15736" t="str">
            <v>Commissions - gross</v>
          </cell>
          <cell r="Y15736" t="str">
            <v>COLOMBIA</v>
          </cell>
        </row>
        <row r="15737">
          <cell r="L15737" t="str">
            <v>Non-proportional</v>
          </cell>
          <cell r="S15737">
            <v>-635</v>
          </cell>
          <cell r="X15737" t="str">
            <v>Commissions - gross</v>
          </cell>
          <cell r="Y15737" t="str">
            <v>ITALY</v>
          </cell>
        </row>
        <row r="15738">
          <cell r="L15738" t="str">
            <v>Non-proportional</v>
          </cell>
          <cell r="S15738">
            <v>-924.44</v>
          </cell>
          <cell r="X15738" t="str">
            <v>Commissions - gross</v>
          </cell>
          <cell r="Y15738" t="str">
            <v>FRANCE</v>
          </cell>
        </row>
        <row r="15739">
          <cell r="L15739" t="str">
            <v>Non-proportional</v>
          </cell>
          <cell r="S15739">
            <v>960</v>
          </cell>
          <cell r="X15739" t="str">
            <v>Commissions - gross</v>
          </cell>
          <cell r="Y15739" t="str">
            <v>ITALY</v>
          </cell>
        </row>
        <row r="15740">
          <cell r="L15740" t="str">
            <v>Non-proportional</v>
          </cell>
          <cell r="S15740">
            <v>3898.91</v>
          </cell>
          <cell r="X15740" t="str">
            <v>Commissions - gross</v>
          </cell>
          <cell r="Y15740" t="str">
            <v>FRANCE</v>
          </cell>
        </row>
        <row r="15741">
          <cell r="L15741" t="str">
            <v>Non-proportional</v>
          </cell>
          <cell r="S15741">
            <v>6308.48</v>
          </cell>
          <cell r="X15741" t="str">
            <v>Commissions - gross</v>
          </cell>
          <cell r="Y15741" t="str">
            <v>UNITED KINGDOM</v>
          </cell>
        </row>
        <row r="15742">
          <cell r="L15742" t="str">
            <v>Non-proportional</v>
          </cell>
          <cell r="S15742">
            <v>-10709</v>
          </cell>
          <cell r="X15742" t="str">
            <v>Commissions - gross</v>
          </cell>
          <cell r="Y15742" t="str">
            <v>NETHERLANDS</v>
          </cell>
        </row>
        <row r="15743">
          <cell r="L15743" t="str">
            <v>Non-proportional</v>
          </cell>
          <cell r="S15743">
            <v>80288.539999999994</v>
          </cell>
          <cell r="X15743" t="str">
            <v>Commissions - gross</v>
          </cell>
          <cell r="Y15743" t="str">
            <v>UNITED KINGDOM</v>
          </cell>
        </row>
        <row r="15744">
          <cell r="L15744" t="str">
            <v>Non-proportional</v>
          </cell>
          <cell r="S15744">
            <v>-3254.36</v>
          </cell>
          <cell r="X15744" t="str">
            <v>Commissions - gross</v>
          </cell>
          <cell r="Y15744" t="str">
            <v>ISRAEL</v>
          </cell>
        </row>
        <row r="15745">
          <cell r="L15745" t="str">
            <v>Non-proportional</v>
          </cell>
          <cell r="S15745">
            <v>12603.08</v>
          </cell>
          <cell r="X15745" t="str">
            <v>Commissions - gross</v>
          </cell>
          <cell r="Y15745" t="str">
            <v>CHINA</v>
          </cell>
        </row>
        <row r="15746">
          <cell r="L15746" t="str">
            <v>Non-proportional</v>
          </cell>
          <cell r="S15746">
            <v>2615.7399999999998</v>
          </cell>
          <cell r="X15746" t="str">
            <v>Commissions - gross</v>
          </cell>
          <cell r="Y15746" t="str">
            <v>FRANCE</v>
          </cell>
        </row>
        <row r="15747">
          <cell r="L15747" t="str">
            <v>Non-proportional</v>
          </cell>
          <cell r="S15747">
            <v>29426.12</v>
          </cell>
          <cell r="X15747" t="str">
            <v>Commissions - gross</v>
          </cell>
          <cell r="Y15747" t="str">
            <v>ISRAEL</v>
          </cell>
        </row>
        <row r="15748">
          <cell r="L15748" t="str">
            <v>Non-proportional</v>
          </cell>
          <cell r="S15748">
            <v>10791.06</v>
          </cell>
          <cell r="X15748" t="str">
            <v>Commissions - gross</v>
          </cell>
          <cell r="Y15748" t="str">
            <v>CHILE</v>
          </cell>
        </row>
        <row r="15749">
          <cell r="L15749" t="str">
            <v>Non-proportional</v>
          </cell>
          <cell r="S15749">
            <v>45632.1</v>
          </cell>
          <cell r="X15749" t="str">
            <v>Commissions - gross</v>
          </cell>
          <cell r="Y15749" t="str">
            <v>FRANCE</v>
          </cell>
        </row>
        <row r="15750">
          <cell r="L15750" t="str">
            <v>Non-proportional</v>
          </cell>
          <cell r="S15750">
            <v>3574</v>
          </cell>
          <cell r="X15750" t="str">
            <v>Commissions - gross</v>
          </cell>
          <cell r="Y15750" t="str">
            <v>ISRAEL</v>
          </cell>
        </row>
        <row r="15751">
          <cell r="L15751" t="str">
            <v>Proportional</v>
          </cell>
          <cell r="S15751">
            <v>20682.86</v>
          </cell>
          <cell r="X15751" t="str">
            <v>Commissions - gross</v>
          </cell>
          <cell r="Y15751" t="str">
            <v>UNITED ARAB EMIRATES</v>
          </cell>
        </row>
        <row r="15752">
          <cell r="L15752" t="str">
            <v>Non-proportional</v>
          </cell>
          <cell r="S15752">
            <v>3752.22</v>
          </cell>
          <cell r="X15752" t="str">
            <v>Commissions - gross</v>
          </cell>
          <cell r="Y15752" t="str">
            <v>FRANCE</v>
          </cell>
        </row>
        <row r="15753">
          <cell r="L15753" t="str">
            <v>Non-proportional</v>
          </cell>
          <cell r="S15753">
            <v>10237.5</v>
          </cell>
          <cell r="X15753" t="str">
            <v>Commissions - gross</v>
          </cell>
          <cell r="Y15753" t="str">
            <v>TURKEY</v>
          </cell>
        </row>
        <row r="15754">
          <cell r="L15754" t="str">
            <v>Non-proportional</v>
          </cell>
          <cell r="S15754">
            <v>-6150</v>
          </cell>
          <cell r="X15754" t="str">
            <v>Commissions - gross</v>
          </cell>
          <cell r="Y15754" t="str">
            <v>ITALY</v>
          </cell>
        </row>
        <row r="15755">
          <cell r="L15755" t="str">
            <v>Non-proportional</v>
          </cell>
          <cell r="S15755">
            <v>-3198.53</v>
          </cell>
          <cell r="X15755" t="str">
            <v>Commissions - gross</v>
          </cell>
          <cell r="Y15755" t="str">
            <v>FRANCE</v>
          </cell>
        </row>
        <row r="15756">
          <cell r="L15756" t="str">
            <v>Non-proportional</v>
          </cell>
          <cell r="S15756">
            <v>-1266.08</v>
          </cell>
          <cell r="X15756" t="str">
            <v>Commissions - gross</v>
          </cell>
          <cell r="Y15756" t="str">
            <v>FRANCE</v>
          </cell>
        </row>
        <row r="15757">
          <cell r="L15757" t="str">
            <v>Non-proportional</v>
          </cell>
          <cell r="S15757">
            <v>5353.07</v>
          </cell>
          <cell r="X15757" t="str">
            <v>Commissions - gross</v>
          </cell>
          <cell r="Y15757" t="str">
            <v>THAILAND</v>
          </cell>
        </row>
        <row r="15758">
          <cell r="L15758" t="str">
            <v>Non-proportional</v>
          </cell>
          <cell r="S15758">
            <v>240000</v>
          </cell>
          <cell r="X15758" t="str">
            <v>Commissions - gross</v>
          </cell>
          <cell r="Y15758" t="str">
            <v>BELGIUM</v>
          </cell>
        </row>
        <row r="15759">
          <cell r="L15759" t="str">
            <v>Proportional</v>
          </cell>
          <cell r="S15759">
            <v>2232.1</v>
          </cell>
          <cell r="X15759" t="str">
            <v>Commissions - gross</v>
          </cell>
          <cell r="Y15759" t="str">
            <v>UNITED STATES</v>
          </cell>
        </row>
        <row r="15760">
          <cell r="L15760" t="str">
            <v>Non-proportional</v>
          </cell>
          <cell r="S15760">
            <v>3132</v>
          </cell>
          <cell r="X15760" t="str">
            <v>Commissions - gross</v>
          </cell>
          <cell r="Y15760" t="str">
            <v>GREECE</v>
          </cell>
        </row>
        <row r="15761">
          <cell r="L15761" t="str">
            <v>Non-proportional</v>
          </cell>
          <cell r="S15761">
            <v>-10171.83</v>
          </cell>
          <cell r="X15761" t="str">
            <v>Commissions - gross</v>
          </cell>
          <cell r="Y15761" t="str">
            <v>ISRAEL</v>
          </cell>
        </row>
        <row r="15762">
          <cell r="L15762" t="str">
            <v>Non-proportional</v>
          </cell>
          <cell r="S15762">
            <v>994.33</v>
          </cell>
          <cell r="X15762" t="str">
            <v>Commissions - gross</v>
          </cell>
          <cell r="Y15762" t="str">
            <v>COLOMBIA</v>
          </cell>
        </row>
        <row r="15763">
          <cell r="L15763" t="str">
            <v>Non-proportional</v>
          </cell>
          <cell r="S15763">
            <v>-1410</v>
          </cell>
          <cell r="X15763" t="str">
            <v>Commissions - gross</v>
          </cell>
          <cell r="Y15763" t="str">
            <v>GREECE</v>
          </cell>
        </row>
        <row r="15764">
          <cell r="L15764" t="str">
            <v>Non-proportional</v>
          </cell>
          <cell r="S15764">
            <v>-8780.44</v>
          </cell>
          <cell r="X15764" t="str">
            <v>Commissions - gross</v>
          </cell>
          <cell r="Y15764" t="str">
            <v>UNITED KINGDOM</v>
          </cell>
        </row>
        <row r="15765">
          <cell r="L15765" t="str">
            <v>Non-proportional</v>
          </cell>
          <cell r="S15765">
            <v>2041.06</v>
          </cell>
          <cell r="X15765" t="str">
            <v>Commissions - gross</v>
          </cell>
          <cell r="Y15765" t="str">
            <v>ISRAEL</v>
          </cell>
        </row>
        <row r="15766">
          <cell r="L15766" t="str">
            <v>Non-proportional</v>
          </cell>
          <cell r="S15766">
            <v>18531.84</v>
          </cell>
          <cell r="X15766" t="str">
            <v>Commissions - gross</v>
          </cell>
          <cell r="Y15766" t="str">
            <v>ISRAEL</v>
          </cell>
        </row>
        <row r="15767">
          <cell r="L15767" t="str">
            <v>Non-proportional</v>
          </cell>
          <cell r="S15767">
            <v>8721.25</v>
          </cell>
          <cell r="X15767" t="str">
            <v>Commissions - gross</v>
          </cell>
          <cell r="Y15767" t="str">
            <v>FRANCE</v>
          </cell>
        </row>
        <row r="15768">
          <cell r="L15768" t="str">
            <v>Non-proportional</v>
          </cell>
          <cell r="S15768">
            <v>6606.21</v>
          </cell>
          <cell r="X15768" t="str">
            <v>Commissions - gross</v>
          </cell>
          <cell r="Y15768" t="str">
            <v>ISRAEL</v>
          </cell>
        </row>
        <row r="15769">
          <cell r="L15769" t="str">
            <v>Non-proportional</v>
          </cell>
          <cell r="S15769">
            <v>4773.1899999999996</v>
          </cell>
          <cell r="X15769" t="str">
            <v>Commissions - gross</v>
          </cell>
          <cell r="Y15769" t="str">
            <v>ISRAEL</v>
          </cell>
        </row>
        <row r="15770">
          <cell r="L15770" t="str">
            <v>Non-proportional</v>
          </cell>
          <cell r="S15770">
            <v>3631.84</v>
          </cell>
          <cell r="X15770" t="str">
            <v>Commissions - gross</v>
          </cell>
          <cell r="Y15770" t="str">
            <v>PERU</v>
          </cell>
        </row>
        <row r="15771">
          <cell r="L15771" t="str">
            <v>Non-proportional</v>
          </cell>
          <cell r="S15771">
            <v>44064</v>
          </cell>
          <cell r="X15771" t="str">
            <v>Commissions - gross</v>
          </cell>
          <cell r="Y15771" t="str">
            <v>TURKEY</v>
          </cell>
        </row>
        <row r="15772">
          <cell r="L15772" t="str">
            <v>Non-proportional</v>
          </cell>
          <cell r="S15772">
            <v>137872.92000000001</v>
          </cell>
          <cell r="X15772" t="str">
            <v>Commissions - gross</v>
          </cell>
          <cell r="Y15772" t="str">
            <v>HONG KONG</v>
          </cell>
        </row>
        <row r="15773">
          <cell r="L15773" t="str">
            <v>Non-proportional</v>
          </cell>
          <cell r="S15773">
            <v>-1408.08</v>
          </cell>
          <cell r="X15773" t="str">
            <v>Commissions - gross</v>
          </cell>
          <cell r="Y15773" t="str">
            <v>CYPRUS</v>
          </cell>
        </row>
        <row r="15774">
          <cell r="L15774" t="str">
            <v>Non-proportional</v>
          </cell>
          <cell r="S15774">
            <v>37579.379999999997</v>
          </cell>
          <cell r="X15774" t="str">
            <v>Commissions - gross</v>
          </cell>
          <cell r="Y15774" t="str">
            <v>FRANCE</v>
          </cell>
        </row>
        <row r="15775">
          <cell r="L15775" t="str">
            <v>Non-proportional</v>
          </cell>
          <cell r="S15775">
            <v>3615.96</v>
          </cell>
          <cell r="X15775" t="str">
            <v>Commissions - gross</v>
          </cell>
          <cell r="Y15775" t="str">
            <v>ISRAEL</v>
          </cell>
        </row>
        <row r="15776">
          <cell r="L15776" t="str">
            <v>Non-proportional</v>
          </cell>
          <cell r="S15776">
            <v>3409.01</v>
          </cell>
          <cell r="X15776" t="str">
            <v>Commissions - gross</v>
          </cell>
          <cell r="Y15776" t="str">
            <v>EUROPE</v>
          </cell>
        </row>
        <row r="15777">
          <cell r="L15777" t="str">
            <v>Non-proportional</v>
          </cell>
          <cell r="S15777">
            <v>42701.51</v>
          </cell>
          <cell r="X15777" t="str">
            <v>Commissions - gross</v>
          </cell>
          <cell r="Y15777" t="str">
            <v>HONG KONG</v>
          </cell>
        </row>
        <row r="15778">
          <cell r="L15778" t="str">
            <v>Non-proportional</v>
          </cell>
          <cell r="S15778">
            <v>4536</v>
          </cell>
          <cell r="X15778" t="str">
            <v>Commissions - gross</v>
          </cell>
          <cell r="Y15778" t="str">
            <v>GREECE</v>
          </cell>
        </row>
        <row r="15779">
          <cell r="L15779" t="str">
            <v>Non-proportional</v>
          </cell>
          <cell r="S15779">
            <v>-8882</v>
          </cell>
          <cell r="X15779" t="str">
            <v>Commissions - gross</v>
          </cell>
          <cell r="Y15779" t="str">
            <v>ITALY</v>
          </cell>
        </row>
        <row r="15780">
          <cell r="L15780" t="str">
            <v>Non-proportional</v>
          </cell>
          <cell r="S15780">
            <v>1282.49</v>
          </cell>
          <cell r="X15780" t="str">
            <v>Commissions - gross</v>
          </cell>
          <cell r="Y15780" t="str">
            <v>ISRAEL</v>
          </cell>
        </row>
        <row r="15781">
          <cell r="L15781" t="str">
            <v>Non-proportional</v>
          </cell>
          <cell r="S15781">
            <v>625.82000000000005</v>
          </cell>
          <cell r="X15781" t="str">
            <v>Commissions - gross</v>
          </cell>
          <cell r="Y15781" t="str">
            <v>UNITED KINGDOM</v>
          </cell>
        </row>
        <row r="15782">
          <cell r="L15782" t="str">
            <v>Non-proportional</v>
          </cell>
          <cell r="S15782">
            <v>-847.24</v>
          </cell>
          <cell r="X15782" t="str">
            <v>Commissions - gross</v>
          </cell>
          <cell r="Y15782" t="str">
            <v>COLOMBIA</v>
          </cell>
        </row>
        <row r="15783">
          <cell r="L15783" t="str">
            <v>Non-proportional</v>
          </cell>
          <cell r="S15783">
            <v>7136.73</v>
          </cell>
          <cell r="X15783" t="str">
            <v>Commissions - gross</v>
          </cell>
          <cell r="Y15783" t="str">
            <v>ECUADOR</v>
          </cell>
        </row>
        <row r="15784">
          <cell r="L15784" t="str">
            <v>Non-proportional</v>
          </cell>
          <cell r="S15784">
            <v>3937.5</v>
          </cell>
          <cell r="X15784" t="str">
            <v>Commissions - gross</v>
          </cell>
          <cell r="Y15784" t="str">
            <v>ITALY</v>
          </cell>
        </row>
        <row r="15785">
          <cell r="L15785" t="str">
            <v>Non-proportional</v>
          </cell>
          <cell r="S15785">
            <v>-2818.8</v>
          </cell>
          <cell r="X15785" t="str">
            <v>Commissions - gross</v>
          </cell>
          <cell r="Y15785" t="str">
            <v>GREECE</v>
          </cell>
        </row>
        <row r="15786">
          <cell r="L15786" t="str">
            <v>Non-proportional</v>
          </cell>
          <cell r="S15786">
            <v>-15754.66</v>
          </cell>
          <cell r="X15786" t="str">
            <v>Commissions - gross</v>
          </cell>
          <cell r="Y15786" t="str">
            <v>SOUTH KOREA</v>
          </cell>
        </row>
        <row r="15787">
          <cell r="L15787" t="str">
            <v>Proportional</v>
          </cell>
          <cell r="S15787">
            <v>226.56</v>
          </cell>
          <cell r="X15787" t="str">
            <v>Commissions - gross</v>
          </cell>
          <cell r="Y15787" t="str">
            <v>UNITED STATES</v>
          </cell>
        </row>
        <row r="15788">
          <cell r="L15788" t="str">
            <v>Non-proportional</v>
          </cell>
          <cell r="S15788">
            <v>10096</v>
          </cell>
          <cell r="X15788" t="str">
            <v>Commissions - gross</v>
          </cell>
          <cell r="Y15788" t="str">
            <v>NETHERLANDS</v>
          </cell>
        </row>
        <row r="15789">
          <cell r="L15789" t="str">
            <v>Non-proportional</v>
          </cell>
          <cell r="S15789">
            <v>1312.5</v>
          </cell>
          <cell r="X15789" t="str">
            <v>Commissions - gross</v>
          </cell>
          <cell r="Y15789" t="str">
            <v>ITALY</v>
          </cell>
        </row>
        <row r="15790">
          <cell r="L15790" t="str">
            <v>Non-proportional</v>
          </cell>
          <cell r="S15790">
            <v>-11445</v>
          </cell>
          <cell r="X15790" t="str">
            <v>Commissions - gross</v>
          </cell>
          <cell r="Y15790" t="str">
            <v>FRANCE</v>
          </cell>
        </row>
        <row r="15791">
          <cell r="L15791" t="str">
            <v>Non-proportional</v>
          </cell>
          <cell r="S15791">
            <v>-873.64</v>
          </cell>
          <cell r="X15791" t="str">
            <v>Commissions - gross</v>
          </cell>
          <cell r="Y15791" t="str">
            <v>ISRAEL</v>
          </cell>
        </row>
        <row r="15792">
          <cell r="L15792" t="str">
            <v>Non-proportional</v>
          </cell>
          <cell r="S15792">
            <v>12715.35</v>
          </cell>
          <cell r="X15792" t="str">
            <v>Commissions - gross</v>
          </cell>
          <cell r="Y15792" t="str">
            <v>FRANCE</v>
          </cell>
        </row>
        <row r="15793">
          <cell r="L15793" t="str">
            <v>Non-proportional</v>
          </cell>
          <cell r="S15793">
            <v>18411.060000000001</v>
          </cell>
          <cell r="X15793" t="str">
            <v>Commissions - gross</v>
          </cell>
          <cell r="Y15793" t="str">
            <v>ECUADOR</v>
          </cell>
        </row>
        <row r="15794">
          <cell r="L15794" t="str">
            <v>Non-proportional</v>
          </cell>
          <cell r="S15794">
            <v>-5302.05</v>
          </cell>
          <cell r="X15794" t="str">
            <v>Commissions - gross</v>
          </cell>
          <cell r="Y15794" t="str">
            <v>ISRAEL</v>
          </cell>
        </row>
        <row r="15795">
          <cell r="L15795" t="str">
            <v>Non-proportional</v>
          </cell>
          <cell r="S15795">
            <v>37.22</v>
          </cell>
          <cell r="X15795" t="str">
            <v>Commissions - gross</v>
          </cell>
          <cell r="Y15795" t="str">
            <v>ITALY</v>
          </cell>
        </row>
        <row r="15796">
          <cell r="L15796" t="str">
            <v>Non-proportional</v>
          </cell>
          <cell r="S15796">
            <v>258.14</v>
          </cell>
          <cell r="X15796" t="str">
            <v>Commissions - gross</v>
          </cell>
          <cell r="Y15796" t="str">
            <v>ICELAND</v>
          </cell>
        </row>
        <row r="15797">
          <cell r="L15797" t="str">
            <v>Non-proportional</v>
          </cell>
          <cell r="S15797">
            <v>-503631.08</v>
          </cell>
          <cell r="X15797" t="str">
            <v>Commissions - gross</v>
          </cell>
          <cell r="Y15797" t="str">
            <v>UNITED KINGDOM</v>
          </cell>
        </row>
        <row r="15798">
          <cell r="L15798" t="str">
            <v>Proportional</v>
          </cell>
          <cell r="S15798">
            <v>4.82</v>
          </cell>
          <cell r="X15798" t="str">
            <v>Commissions - gross</v>
          </cell>
          <cell r="Y15798" t="str">
            <v>SINGAPORE</v>
          </cell>
        </row>
        <row r="15799">
          <cell r="L15799" t="str">
            <v>Non-proportional</v>
          </cell>
          <cell r="S15799">
            <v>26.9</v>
          </cell>
          <cell r="X15799" t="str">
            <v>Commissions - gross</v>
          </cell>
          <cell r="Y15799" t="str">
            <v>ITALY</v>
          </cell>
        </row>
        <row r="15800">
          <cell r="L15800" t="str">
            <v>Non-proportional</v>
          </cell>
          <cell r="S15800">
            <v>-171.36</v>
          </cell>
          <cell r="X15800" t="str">
            <v>Commissions - gross</v>
          </cell>
          <cell r="Y15800" t="str">
            <v>GREECE</v>
          </cell>
        </row>
        <row r="15801">
          <cell r="L15801" t="str">
            <v>Non-proportional</v>
          </cell>
          <cell r="S15801">
            <v>10800</v>
          </cell>
          <cell r="X15801" t="str">
            <v>Commissions - gross</v>
          </cell>
          <cell r="Y15801" t="str">
            <v>EUROPE</v>
          </cell>
        </row>
        <row r="15802">
          <cell r="L15802" t="str">
            <v>Non-proportional</v>
          </cell>
          <cell r="S15802">
            <v>-5592.41</v>
          </cell>
          <cell r="X15802" t="str">
            <v>Commissions - gross</v>
          </cell>
          <cell r="Y15802" t="str">
            <v>ISRAEL</v>
          </cell>
        </row>
        <row r="15803">
          <cell r="L15803" t="str">
            <v>Non-proportional</v>
          </cell>
          <cell r="S15803">
            <v>10054.35</v>
          </cell>
          <cell r="X15803" t="str">
            <v>Commissions - gross</v>
          </cell>
          <cell r="Y15803" t="str">
            <v>AUSTRIA</v>
          </cell>
        </row>
        <row r="15804">
          <cell r="L15804" t="str">
            <v>Non-proportional</v>
          </cell>
          <cell r="S15804">
            <v>-450</v>
          </cell>
          <cell r="X15804" t="str">
            <v>Commissions - gross</v>
          </cell>
          <cell r="Y15804" t="str">
            <v>NETHERLANDS</v>
          </cell>
        </row>
        <row r="15805">
          <cell r="L15805" t="str">
            <v>Non-proportional</v>
          </cell>
          <cell r="S15805">
            <v>-1368.72</v>
          </cell>
          <cell r="X15805" t="str">
            <v>Commissions - gross</v>
          </cell>
          <cell r="Y15805" t="str">
            <v>FRANCE</v>
          </cell>
        </row>
        <row r="15806">
          <cell r="L15806" t="str">
            <v>Non-proportional</v>
          </cell>
          <cell r="S15806">
            <v>9500</v>
          </cell>
          <cell r="X15806" t="str">
            <v>Commissions - gross</v>
          </cell>
          <cell r="Y15806" t="str">
            <v>FRANCE</v>
          </cell>
        </row>
        <row r="15807">
          <cell r="L15807" t="str">
            <v>Non-proportional</v>
          </cell>
          <cell r="S15807">
            <v>898.01</v>
          </cell>
          <cell r="X15807" t="str">
            <v>Commissions - gross</v>
          </cell>
          <cell r="Y15807" t="str">
            <v>ISRAEL</v>
          </cell>
        </row>
        <row r="15808">
          <cell r="L15808" t="str">
            <v>Proportional</v>
          </cell>
          <cell r="S15808">
            <v>-6396.4</v>
          </cell>
          <cell r="X15808" t="str">
            <v>Commissions - gross</v>
          </cell>
          <cell r="Y15808" t="str">
            <v>MEXICO</v>
          </cell>
        </row>
        <row r="15809">
          <cell r="L15809" t="str">
            <v>Non-proportional</v>
          </cell>
          <cell r="S15809">
            <v>2463.98</v>
          </cell>
          <cell r="X15809" t="str">
            <v>Commissions - gross</v>
          </cell>
          <cell r="Y15809" t="str">
            <v>NETHERLANDS</v>
          </cell>
        </row>
        <row r="15810">
          <cell r="L15810" t="str">
            <v>Non-proportional</v>
          </cell>
          <cell r="S15810">
            <v>2076.09</v>
          </cell>
          <cell r="X15810" t="str">
            <v>Commissions - gross</v>
          </cell>
          <cell r="Y15810" t="str">
            <v>AUSTRIA</v>
          </cell>
        </row>
        <row r="15811">
          <cell r="L15811" t="str">
            <v>Non-proportional</v>
          </cell>
          <cell r="S15811">
            <v>-27306</v>
          </cell>
          <cell r="X15811" t="str">
            <v>Commissions - gross</v>
          </cell>
          <cell r="Y15811" t="str">
            <v>BELGIUM</v>
          </cell>
        </row>
        <row r="15812">
          <cell r="L15812" t="str">
            <v>Non-proportional</v>
          </cell>
          <cell r="S15812">
            <v>5040</v>
          </cell>
          <cell r="X15812" t="str">
            <v>Commissions - gross</v>
          </cell>
          <cell r="Y15812" t="str">
            <v>TURKEY</v>
          </cell>
        </row>
        <row r="15813">
          <cell r="L15813" t="str">
            <v>Non-proportional</v>
          </cell>
          <cell r="S15813">
            <v>-10.95</v>
          </cell>
          <cell r="X15813" t="str">
            <v>Commissions - gross</v>
          </cell>
          <cell r="Y15813" t="str">
            <v>FRANCE</v>
          </cell>
        </row>
        <row r="15814">
          <cell r="L15814" t="str">
            <v>Proportional</v>
          </cell>
          <cell r="S15814">
            <v>2690.02</v>
          </cell>
          <cell r="X15814" t="str">
            <v>Commissions - gross</v>
          </cell>
          <cell r="Y15814" t="str">
            <v>MEXICO</v>
          </cell>
        </row>
        <row r="15815">
          <cell r="L15815" t="str">
            <v>Non-proportional</v>
          </cell>
          <cell r="S15815">
            <v>450</v>
          </cell>
          <cell r="X15815" t="str">
            <v>Commissions - gross</v>
          </cell>
          <cell r="Y15815" t="str">
            <v>NETHERLANDS</v>
          </cell>
        </row>
        <row r="15816">
          <cell r="L15816" t="str">
            <v>Non-proportional</v>
          </cell>
          <cell r="S15816">
            <v>390.51</v>
          </cell>
          <cell r="X15816" t="str">
            <v>Commissions - gross</v>
          </cell>
          <cell r="Y15816" t="str">
            <v>ITALY</v>
          </cell>
        </row>
        <row r="15817">
          <cell r="L15817" t="str">
            <v>Non-proportional</v>
          </cell>
          <cell r="S15817">
            <v>-887.5</v>
          </cell>
          <cell r="X15817" t="str">
            <v>Commissions - gross</v>
          </cell>
          <cell r="Y15817" t="str">
            <v>ITALY</v>
          </cell>
        </row>
        <row r="15818">
          <cell r="L15818" t="str">
            <v>Non-proportional</v>
          </cell>
          <cell r="S15818">
            <v>8077.91</v>
          </cell>
          <cell r="X15818" t="str">
            <v>Commissions - gross</v>
          </cell>
          <cell r="Y15818" t="str">
            <v>PUERTO RICO</v>
          </cell>
        </row>
        <row r="15819">
          <cell r="L15819" t="str">
            <v>Non-proportional</v>
          </cell>
          <cell r="S15819">
            <v>-6540</v>
          </cell>
          <cell r="X15819" t="str">
            <v>Commissions - gross</v>
          </cell>
          <cell r="Y15819" t="str">
            <v>FRANCE</v>
          </cell>
        </row>
        <row r="15820">
          <cell r="L15820" t="str">
            <v>Non-proportional</v>
          </cell>
          <cell r="S15820">
            <v>329.7</v>
          </cell>
          <cell r="X15820" t="str">
            <v>Commissions - gross</v>
          </cell>
          <cell r="Y15820" t="str">
            <v>AUSTRIA</v>
          </cell>
        </row>
        <row r="15821">
          <cell r="L15821" t="str">
            <v>Non-proportional</v>
          </cell>
          <cell r="S15821">
            <v>-9500</v>
          </cell>
          <cell r="X15821" t="str">
            <v>Commissions - gross</v>
          </cell>
          <cell r="Y15821" t="str">
            <v>FRANCE</v>
          </cell>
        </row>
        <row r="15822">
          <cell r="L15822" t="str">
            <v>Non-proportional</v>
          </cell>
          <cell r="S15822">
            <v>1122.51</v>
          </cell>
          <cell r="X15822" t="str">
            <v>Commissions - gross</v>
          </cell>
          <cell r="Y15822" t="str">
            <v>ISRAEL</v>
          </cell>
        </row>
        <row r="15823">
          <cell r="L15823" t="str">
            <v>Non-proportional</v>
          </cell>
          <cell r="S15823">
            <v>898.01</v>
          </cell>
          <cell r="X15823" t="str">
            <v>Commissions - gross</v>
          </cell>
          <cell r="Y15823" t="str">
            <v>ISRAEL</v>
          </cell>
        </row>
        <row r="15824">
          <cell r="L15824" t="str">
            <v>Proportional</v>
          </cell>
          <cell r="S15824">
            <v>-4494.46</v>
          </cell>
          <cell r="X15824" t="str">
            <v>Commissions - gross</v>
          </cell>
          <cell r="Y15824" t="str">
            <v>GERMANY</v>
          </cell>
        </row>
        <row r="15825">
          <cell r="L15825" t="str">
            <v>Non-proportional</v>
          </cell>
          <cell r="S15825">
            <v>-21565</v>
          </cell>
          <cell r="X15825" t="str">
            <v>Commissions - gross</v>
          </cell>
          <cell r="Y15825" t="str">
            <v>FRANCE</v>
          </cell>
        </row>
        <row r="15826">
          <cell r="L15826" t="str">
            <v>Non-proportional</v>
          </cell>
          <cell r="S15826">
            <v>604.78</v>
          </cell>
          <cell r="X15826" t="str">
            <v>Commissions - gross</v>
          </cell>
          <cell r="Y15826" t="str">
            <v>ICELAND</v>
          </cell>
        </row>
        <row r="15827">
          <cell r="L15827" t="str">
            <v>Non-proportional</v>
          </cell>
          <cell r="S15827">
            <v>-4050</v>
          </cell>
          <cell r="X15827" t="str">
            <v>Commissions - gross</v>
          </cell>
          <cell r="Y15827" t="str">
            <v>EUROPE</v>
          </cell>
        </row>
        <row r="15828">
          <cell r="L15828" t="str">
            <v>Non-proportional</v>
          </cell>
          <cell r="S15828">
            <v>-749.33</v>
          </cell>
          <cell r="X15828" t="str">
            <v>Commissions - gross</v>
          </cell>
          <cell r="Y15828" t="str">
            <v>ITALY</v>
          </cell>
        </row>
        <row r="15829">
          <cell r="L15829" t="str">
            <v>Non-proportional</v>
          </cell>
          <cell r="S15829">
            <v>-21303.95</v>
          </cell>
          <cell r="X15829" t="str">
            <v>Commissions - gross</v>
          </cell>
          <cell r="Y15829" t="str">
            <v>TURKEY</v>
          </cell>
        </row>
        <row r="15830">
          <cell r="L15830" t="str">
            <v>Non-proportional</v>
          </cell>
          <cell r="S15830">
            <v>8193</v>
          </cell>
          <cell r="X15830" t="str">
            <v>Commissions - gross</v>
          </cell>
          <cell r="Y15830" t="str">
            <v>FRANCE</v>
          </cell>
        </row>
        <row r="15831">
          <cell r="L15831" t="str">
            <v>Non-proportional</v>
          </cell>
          <cell r="S15831">
            <v>-32773.5</v>
          </cell>
          <cell r="X15831" t="str">
            <v>Commissions - gross</v>
          </cell>
          <cell r="Y15831" t="str">
            <v>FRANCE</v>
          </cell>
        </row>
        <row r="15832">
          <cell r="L15832" t="str">
            <v>Non-proportional</v>
          </cell>
          <cell r="S15832">
            <v>3782.44</v>
          </cell>
          <cell r="X15832" t="str">
            <v>Commissions - gross</v>
          </cell>
          <cell r="Y15832" t="str">
            <v>FRANCE</v>
          </cell>
        </row>
        <row r="15833">
          <cell r="L15833" t="str">
            <v>Non-proportional</v>
          </cell>
          <cell r="S15833">
            <v>1028.06</v>
          </cell>
          <cell r="X15833" t="str">
            <v>Commissions - gross</v>
          </cell>
          <cell r="Y15833" t="str">
            <v>NETHERLANDS</v>
          </cell>
        </row>
        <row r="15834">
          <cell r="L15834" t="str">
            <v>Non-proportional</v>
          </cell>
          <cell r="S15834">
            <v>930.57</v>
          </cell>
          <cell r="X15834" t="str">
            <v>Commissions - gross</v>
          </cell>
          <cell r="Y15834" t="str">
            <v>ITALY</v>
          </cell>
        </row>
        <row r="15835">
          <cell r="L15835" t="str">
            <v>Non-proportional</v>
          </cell>
          <cell r="S15835">
            <v>-8077.91</v>
          </cell>
          <cell r="X15835" t="str">
            <v>Commissions - gross</v>
          </cell>
          <cell r="Y15835" t="str">
            <v>PUERTO RICO</v>
          </cell>
        </row>
        <row r="15836">
          <cell r="L15836" t="str">
            <v>Non-proportional</v>
          </cell>
          <cell r="S15836">
            <v>924.43</v>
          </cell>
          <cell r="X15836" t="str">
            <v>Commissions - gross</v>
          </cell>
          <cell r="Y15836" t="str">
            <v>ITALY</v>
          </cell>
        </row>
        <row r="15837">
          <cell r="L15837" t="str">
            <v>Non-proportional</v>
          </cell>
          <cell r="S15837">
            <v>3597.95</v>
          </cell>
          <cell r="X15837" t="str">
            <v>Commissions - gross</v>
          </cell>
          <cell r="Y15837" t="str">
            <v>GUATEMALA</v>
          </cell>
        </row>
        <row r="15838">
          <cell r="L15838" t="str">
            <v>Non-proportional</v>
          </cell>
          <cell r="S15838">
            <v>-5040</v>
          </cell>
          <cell r="X15838" t="str">
            <v>Commissions - gross</v>
          </cell>
          <cell r="Y15838" t="str">
            <v>TURKEY</v>
          </cell>
        </row>
        <row r="15839">
          <cell r="L15839" t="str">
            <v>Non-proportional</v>
          </cell>
          <cell r="S15839">
            <v>3628.8</v>
          </cell>
          <cell r="X15839" t="str">
            <v>Commissions - gross</v>
          </cell>
          <cell r="Y15839" t="str">
            <v>GREECE</v>
          </cell>
        </row>
        <row r="15840">
          <cell r="L15840" t="str">
            <v>Non-proportional</v>
          </cell>
          <cell r="S15840">
            <v>9450</v>
          </cell>
          <cell r="X15840" t="str">
            <v>Commissions - gross</v>
          </cell>
          <cell r="Y15840" t="str">
            <v>EUROPE</v>
          </cell>
        </row>
        <row r="15841">
          <cell r="L15841" t="str">
            <v>Non-proportional</v>
          </cell>
          <cell r="S15841">
            <v>1593.5</v>
          </cell>
          <cell r="X15841" t="str">
            <v>Commissions - gross</v>
          </cell>
          <cell r="Y15841" t="str">
            <v>FRANCE</v>
          </cell>
        </row>
        <row r="15842">
          <cell r="L15842" t="str">
            <v>Non-proportional</v>
          </cell>
          <cell r="S15842">
            <v>-924.43</v>
          </cell>
          <cell r="X15842" t="str">
            <v>Commissions - gross</v>
          </cell>
          <cell r="Y15842" t="str">
            <v>ITALY</v>
          </cell>
        </row>
        <row r="15843">
          <cell r="L15843" t="str">
            <v>Non-proportional</v>
          </cell>
          <cell r="S15843">
            <v>-1314.66</v>
          </cell>
          <cell r="X15843" t="str">
            <v>Commissions - gross</v>
          </cell>
          <cell r="Y15843" t="str">
            <v>COSTA RICA</v>
          </cell>
        </row>
        <row r="15844">
          <cell r="L15844" t="str">
            <v>Non-proportional</v>
          </cell>
          <cell r="S15844">
            <v>-449</v>
          </cell>
          <cell r="X15844" t="str">
            <v>Commissions - gross</v>
          </cell>
          <cell r="Y15844" t="str">
            <v>ISRAEL</v>
          </cell>
        </row>
        <row r="15845">
          <cell r="L15845" t="str">
            <v>Non-proportional</v>
          </cell>
          <cell r="S15845">
            <v>-1285.78</v>
          </cell>
          <cell r="X15845" t="str">
            <v>Commissions - gross</v>
          </cell>
          <cell r="Y15845" t="str">
            <v>ISRAEL</v>
          </cell>
        </row>
        <row r="15846">
          <cell r="L15846" t="str">
            <v>Non-proportional</v>
          </cell>
          <cell r="S15846">
            <v>-3571.62</v>
          </cell>
          <cell r="X15846" t="str">
            <v>Commissions - gross</v>
          </cell>
          <cell r="Y15846" t="str">
            <v>ISRAEL</v>
          </cell>
        </row>
        <row r="15847">
          <cell r="L15847" t="str">
            <v>Non-proportional</v>
          </cell>
          <cell r="S15847">
            <v>6391.88</v>
          </cell>
          <cell r="X15847" t="str">
            <v>Commissions - gross</v>
          </cell>
          <cell r="Y15847" t="str">
            <v>EUROPE</v>
          </cell>
        </row>
        <row r="15848">
          <cell r="L15848" t="str">
            <v>Non-proportional</v>
          </cell>
          <cell r="S15848">
            <v>492.17</v>
          </cell>
          <cell r="X15848" t="str">
            <v>Commissions - gross</v>
          </cell>
          <cell r="Y15848" t="str">
            <v>SWEDEN</v>
          </cell>
        </row>
        <row r="15849">
          <cell r="L15849" t="str">
            <v>Non-proportional</v>
          </cell>
          <cell r="S15849">
            <v>1890</v>
          </cell>
          <cell r="X15849" t="str">
            <v>Commissions - gross</v>
          </cell>
          <cell r="Y15849" t="str">
            <v>EUROPE</v>
          </cell>
        </row>
        <row r="15850">
          <cell r="L15850" t="str">
            <v>Non-proportional</v>
          </cell>
          <cell r="S15850">
            <v>-21303.95</v>
          </cell>
          <cell r="X15850" t="str">
            <v>Commissions - gross</v>
          </cell>
          <cell r="Y15850" t="str">
            <v>TURKEY</v>
          </cell>
        </row>
        <row r="15851">
          <cell r="L15851" t="str">
            <v>Non-proportional</v>
          </cell>
          <cell r="S15851">
            <v>10.95</v>
          </cell>
          <cell r="X15851" t="str">
            <v>Commissions - gross</v>
          </cell>
          <cell r="Y15851" t="str">
            <v>FRANCE</v>
          </cell>
        </row>
        <row r="15852">
          <cell r="L15852" t="str">
            <v>Non-proportional</v>
          </cell>
          <cell r="S15852">
            <v>1562.91</v>
          </cell>
          <cell r="X15852" t="str">
            <v>Commissions - gross</v>
          </cell>
          <cell r="Y15852" t="str">
            <v>GUATEMALA</v>
          </cell>
        </row>
        <row r="15853">
          <cell r="L15853" t="str">
            <v>Non-proportional</v>
          </cell>
          <cell r="S15853">
            <v>449</v>
          </cell>
          <cell r="X15853" t="str">
            <v>Commissions - gross</v>
          </cell>
          <cell r="Y15853" t="str">
            <v>ISRAEL</v>
          </cell>
        </row>
        <row r="15854">
          <cell r="L15854" t="str">
            <v>Non-proportional</v>
          </cell>
          <cell r="S15854">
            <v>8193</v>
          </cell>
          <cell r="X15854" t="str">
            <v>Commissions - gross</v>
          </cell>
          <cell r="Y15854" t="str">
            <v>FRANCE</v>
          </cell>
        </row>
        <row r="15855">
          <cell r="L15855" t="str">
            <v>Non-proportional</v>
          </cell>
          <cell r="S15855">
            <v>4050</v>
          </cell>
          <cell r="X15855" t="str">
            <v>Commissions - gross</v>
          </cell>
          <cell r="Y15855" t="str">
            <v>EUROPE</v>
          </cell>
        </row>
        <row r="15856">
          <cell r="L15856" t="str">
            <v>Non-proportional</v>
          </cell>
          <cell r="S15856">
            <v>1900</v>
          </cell>
          <cell r="X15856" t="str">
            <v>Commissions - gross</v>
          </cell>
          <cell r="Y15856" t="str">
            <v>NETHERLANDS</v>
          </cell>
        </row>
        <row r="15857">
          <cell r="L15857" t="str">
            <v>Non-proportional</v>
          </cell>
          <cell r="S15857">
            <v>449</v>
          </cell>
          <cell r="X15857" t="str">
            <v>Commissions - gross</v>
          </cell>
          <cell r="Y15857" t="str">
            <v>ISRAEL</v>
          </cell>
        </row>
        <row r="15858">
          <cell r="L15858" t="str">
            <v>Non-proportional</v>
          </cell>
          <cell r="S15858">
            <v>10260</v>
          </cell>
          <cell r="X15858" t="str">
            <v>Commissions - gross</v>
          </cell>
          <cell r="Y15858" t="str">
            <v>TURKEY</v>
          </cell>
        </row>
        <row r="15859">
          <cell r="L15859" t="str">
            <v>Non-proportional</v>
          </cell>
          <cell r="S15859">
            <v>-4580</v>
          </cell>
          <cell r="X15859" t="str">
            <v>Commissions - gross</v>
          </cell>
          <cell r="Y15859" t="str">
            <v>FRANCE</v>
          </cell>
        </row>
        <row r="15860">
          <cell r="L15860" t="str">
            <v>Non-proportional</v>
          </cell>
          <cell r="S15860">
            <v>-14262.83</v>
          </cell>
          <cell r="X15860" t="str">
            <v>Commissions - gross</v>
          </cell>
          <cell r="Y15860" t="str">
            <v>FRANCE</v>
          </cell>
        </row>
        <row r="15861">
          <cell r="L15861" t="str">
            <v>Non-proportional</v>
          </cell>
          <cell r="S15861">
            <v>-12431.25</v>
          </cell>
          <cell r="X15861" t="str">
            <v>Commissions - gross</v>
          </cell>
          <cell r="Y15861" t="str">
            <v>EUROPE</v>
          </cell>
        </row>
        <row r="15862">
          <cell r="L15862" t="str">
            <v>Non-proportional</v>
          </cell>
          <cell r="S15862">
            <v>2355</v>
          </cell>
          <cell r="X15862" t="str">
            <v>Commissions - gross</v>
          </cell>
          <cell r="Y15862" t="str">
            <v>FRANCE</v>
          </cell>
        </row>
        <row r="15863">
          <cell r="L15863" t="str">
            <v>Non-proportional</v>
          </cell>
          <cell r="S15863">
            <v>1151.92</v>
          </cell>
          <cell r="X15863" t="str">
            <v>Commissions - gross</v>
          </cell>
          <cell r="Y15863" t="str">
            <v>COSTA RICA</v>
          </cell>
        </row>
        <row r="15864">
          <cell r="L15864" t="str">
            <v>Non-proportional</v>
          </cell>
          <cell r="S15864">
            <v>298.27999999999997</v>
          </cell>
          <cell r="X15864" t="str">
            <v>Commissions - gross</v>
          </cell>
          <cell r="Y15864" t="str">
            <v>GREECE</v>
          </cell>
        </row>
        <row r="15865">
          <cell r="L15865" t="str">
            <v>Non-proportional</v>
          </cell>
          <cell r="S15865">
            <v>866250</v>
          </cell>
          <cell r="X15865" t="str">
            <v>Commissions - gross</v>
          </cell>
          <cell r="Y15865" t="str">
            <v>FRANCE</v>
          </cell>
        </row>
        <row r="15866">
          <cell r="L15866" t="str">
            <v>Non-proportional</v>
          </cell>
          <cell r="S15866">
            <v>2800</v>
          </cell>
          <cell r="X15866" t="str">
            <v>Commissions - gross</v>
          </cell>
          <cell r="Y15866" t="str">
            <v>ITALY</v>
          </cell>
        </row>
        <row r="15867">
          <cell r="L15867" t="str">
            <v>Non-proportional</v>
          </cell>
          <cell r="S15867">
            <v>-5966.64</v>
          </cell>
          <cell r="X15867" t="str">
            <v>Commissions - gross</v>
          </cell>
          <cell r="Y15867" t="str">
            <v>PUERTO RICO</v>
          </cell>
        </row>
        <row r="15868">
          <cell r="L15868" t="str">
            <v>Non-proportional</v>
          </cell>
          <cell r="S15868">
            <v>4779</v>
          </cell>
          <cell r="X15868" t="str">
            <v>Commissions - gross</v>
          </cell>
          <cell r="Y15868" t="str">
            <v>FRANCE</v>
          </cell>
        </row>
        <row r="15869">
          <cell r="L15869" t="str">
            <v>Non-proportional</v>
          </cell>
          <cell r="S15869">
            <v>-1900</v>
          </cell>
          <cell r="X15869" t="str">
            <v>Commissions - gross</v>
          </cell>
          <cell r="Y15869" t="str">
            <v>NETHERLANDS</v>
          </cell>
        </row>
        <row r="15870">
          <cell r="L15870" t="str">
            <v>Non-proportional</v>
          </cell>
          <cell r="S15870">
            <v>4218.75</v>
          </cell>
          <cell r="X15870" t="str">
            <v>Commissions - gross</v>
          </cell>
          <cell r="Y15870" t="str">
            <v>EUROPE</v>
          </cell>
        </row>
        <row r="15871">
          <cell r="L15871" t="str">
            <v>Non-proportional</v>
          </cell>
          <cell r="S15871">
            <v>-3795.65</v>
          </cell>
          <cell r="X15871" t="str">
            <v>Commissions - gross</v>
          </cell>
          <cell r="Y15871" t="str">
            <v>FRANCE</v>
          </cell>
        </row>
        <row r="15872">
          <cell r="L15872" t="str">
            <v>Non-proportional</v>
          </cell>
          <cell r="S15872">
            <v>-50.2</v>
          </cell>
          <cell r="X15872" t="str">
            <v>Commissions - gross</v>
          </cell>
          <cell r="Y15872" t="str">
            <v>UNITED KINGDOM</v>
          </cell>
        </row>
        <row r="15873">
          <cell r="L15873" t="str">
            <v>Non-proportional</v>
          </cell>
          <cell r="S15873">
            <v>1314.66</v>
          </cell>
          <cell r="X15873" t="str">
            <v>Commissions - gross</v>
          </cell>
          <cell r="Y15873" t="str">
            <v>COSTA RICA</v>
          </cell>
        </row>
        <row r="15874">
          <cell r="L15874" t="str">
            <v>Non-proportional</v>
          </cell>
          <cell r="S15874">
            <v>-8077.91</v>
          </cell>
          <cell r="X15874" t="str">
            <v>Commissions - gross</v>
          </cell>
          <cell r="Y15874" t="str">
            <v>PUERTO RICO</v>
          </cell>
        </row>
        <row r="15875">
          <cell r="L15875" t="str">
            <v>Non-proportional</v>
          </cell>
          <cell r="S15875">
            <v>-1562.91</v>
          </cell>
          <cell r="X15875" t="str">
            <v>Commissions - gross</v>
          </cell>
          <cell r="Y15875" t="str">
            <v>GUATEMALA</v>
          </cell>
        </row>
        <row r="15876">
          <cell r="L15876" t="str">
            <v>Non-proportional</v>
          </cell>
          <cell r="S15876">
            <v>1005.76</v>
          </cell>
          <cell r="X15876" t="str">
            <v>Commissions - gross</v>
          </cell>
          <cell r="Y15876" t="str">
            <v>ITALY</v>
          </cell>
        </row>
        <row r="15877">
          <cell r="L15877" t="str">
            <v>Non-proportional</v>
          </cell>
          <cell r="S15877">
            <v>-6405</v>
          </cell>
          <cell r="X15877" t="str">
            <v>Commissions - gross</v>
          </cell>
          <cell r="Y15877" t="str">
            <v>FRANCE</v>
          </cell>
        </row>
        <row r="15878">
          <cell r="L15878" t="str">
            <v>Non-proportional</v>
          </cell>
          <cell r="S15878">
            <v>-12.55</v>
          </cell>
          <cell r="X15878" t="str">
            <v>Commissions - gross</v>
          </cell>
          <cell r="Y15878" t="str">
            <v>UNITED KINGDOM</v>
          </cell>
        </row>
        <row r="15879">
          <cell r="L15879" t="str">
            <v>Non-proportional</v>
          </cell>
          <cell r="S15879">
            <v>1428.65</v>
          </cell>
          <cell r="X15879" t="str">
            <v>Commissions - gross</v>
          </cell>
          <cell r="Y15879" t="str">
            <v>ISRAEL</v>
          </cell>
        </row>
        <row r="15880">
          <cell r="L15880" t="str">
            <v>Proportional</v>
          </cell>
          <cell r="S15880">
            <v>4813.97</v>
          </cell>
          <cell r="X15880" t="str">
            <v>Commissions - gross</v>
          </cell>
          <cell r="Y15880" t="str">
            <v>MEXICO</v>
          </cell>
        </row>
        <row r="15881">
          <cell r="L15881" t="str">
            <v>Non-proportional</v>
          </cell>
          <cell r="S15881">
            <v>-1466825.48</v>
          </cell>
          <cell r="X15881" t="str">
            <v>Commissions - gross</v>
          </cell>
          <cell r="Y15881" t="str">
            <v>UNITED KINGDOM</v>
          </cell>
        </row>
        <row r="15882">
          <cell r="L15882" t="str">
            <v>Non-proportional</v>
          </cell>
          <cell r="S15882">
            <v>294.16000000000003</v>
          </cell>
          <cell r="X15882" t="str">
            <v>Commissions - gross</v>
          </cell>
          <cell r="Y15882" t="str">
            <v>ITALY</v>
          </cell>
        </row>
        <row r="15883">
          <cell r="L15883" t="str">
            <v>Non-proportional</v>
          </cell>
          <cell r="S15883">
            <v>-8193</v>
          </cell>
          <cell r="X15883" t="str">
            <v>Commissions - gross</v>
          </cell>
          <cell r="Y15883" t="str">
            <v>FRANCE</v>
          </cell>
        </row>
        <row r="15884">
          <cell r="L15884" t="str">
            <v>Non-proportional</v>
          </cell>
          <cell r="S15884">
            <v>-5950</v>
          </cell>
          <cell r="X15884" t="str">
            <v>Commissions - gross</v>
          </cell>
          <cell r="Y15884" t="str">
            <v>NETHERLANDS</v>
          </cell>
        </row>
        <row r="15885">
          <cell r="L15885" t="str">
            <v>Proportional</v>
          </cell>
          <cell r="S15885">
            <v>-51.74</v>
          </cell>
          <cell r="X15885" t="str">
            <v>Commissions - gross</v>
          </cell>
          <cell r="Y15885" t="str">
            <v>UNITED STATES</v>
          </cell>
        </row>
        <row r="15886">
          <cell r="L15886" t="str">
            <v>Non-proportional</v>
          </cell>
          <cell r="S15886">
            <v>-2054.35</v>
          </cell>
          <cell r="X15886" t="str">
            <v>Commissions - gross</v>
          </cell>
          <cell r="Y15886" t="str">
            <v>ISRAEL</v>
          </cell>
        </row>
        <row r="15887">
          <cell r="L15887" t="str">
            <v>Non-proportional</v>
          </cell>
          <cell r="S15887">
            <v>-3240</v>
          </cell>
          <cell r="X15887" t="str">
            <v>Commissions - gross</v>
          </cell>
          <cell r="Y15887" t="str">
            <v>NETHERLANDS</v>
          </cell>
        </row>
        <row r="15888">
          <cell r="L15888" t="str">
            <v>Non-proportional</v>
          </cell>
          <cell r="S15888">
            <v>-125907.77</v>
          </cell>
          <cell r="X15888" t="str">
            <v>Commissions - gross</v>
          </cell>
          <cell r="Y15888" t="str">
            <v>UNITED KINGDOM</v>
          </cell>
        </row>
        <row r="15889">
          <cell r="L15889" t="str">
            <v>Non-proportional</v>
          </cell>
          <cell r="S15889">
            <v>2062.14</v>
          </cell>
          <cell r="X15889" t="str">
            <v>Commissions - gross</v>
          </cell>
          <cell r="Y15889" t="str">
            <v>COSTA RICA</v>
          </cell>
        </row>
        <row r="15890">
          <cell r="L15890" t="str">
            <v>Non-proportional</v>
          </cell>
          <cell r="S15890">
            <v>-8662.5</v>
          </cell>
          <cell r="X15890" t="str">
            <v>Commissions - gross</v>
          </cell>
          <cell r="Y15890" t="str">
            <v>BELGIUM</v>
          </cell>
        </row>
        <row r="15891">
          <cell r="L15891" t="str">
            <v>Proportional</v>
          </cell>
          <cell r="S15891">
            <v>-4813.97</v>
          </cell>
          <cell r="X15891" t="str">
            <v>Commissions - gross</v>
          </cell>
          <cell r="Y15891" t="str">
            <v>MEXICO</v>
          </cell>
        </row>
        <row r="15892">
          <cell r="L15892" t="str">
            <v>Non-proportional</v>
          </cell>
          <cell r="S15892">
            <v>491.89</v>
          </cell>
          <cell r="X15892" t="str">
            <v>Commissions - gross</v>
          </cell>
          <cell r="Y15892" t="str">
            <v>UNITED KINGDOM</v>
          </cell>
        </row>
        <row r="15893">
          <cell r="L15893" t="str">
            <v>Non-proportional</v>
          </cell>
          <cell r="S15893">
            <v>503631.08</v>
          </cell>
          <cell r="X15893" t="str">
            <v>Commissions - gross</v>
          </cell>
          <cell r="Y15893" t="str">
            <v>UNITED KINGDOM</v>
          </cell>
        </row>
        <row r="15894">
          <cell r="L15894" t="str">
            <v>Non-proportional</v>
          </cell>
          <cell r="S15894">
            <v>8662.5</v>
          </cell>
          <cell r="X15894" t="str">
            <v>Commissions - gross</v>
          </cell>
          <cell r="Y15894" t="str">
            <v>BELGIUM</v>
          </cell>
        </row>
        <row r="15895">
          <cell r="L15895" t="str">
            <v>Non-proportional</v>
          </cell>
          <cell r="S15895">
            <v>-2613.08</v>
          </cell>
          <cell r="X15895" t="str">
            <v>Commissions - gross</v>
          </cell>
          <cell r="Y15895" t="str">
            <v>FRANCE</v>
          </cell>
        </row>
        <row r="15896">
          <cell r="L15896" t="str">
            <v>Non-proportional</v>
          </cell>
          <cell r="S15896">
            <v>-5551.5</v>
          </cell>
          <cell r="X15896" t="str">
            <v>Commissions - gross</v>
          </cell>
          <cell r="Y15896" t="str">
            <v>GERMANY</v>
          </cell>
        </row>
        <row r="15897">
          <cell r="L15897" t="str">
            <v>Non-proportional</v>
          </cell>
          <cell r="S15897">
            <v>815.26</v>
          </cell>
          <cell r="X15897" t="str">
            <v>Commissions - gross</v>
          </cell>
          <cell r="Y15897" t="str">
            <v>ITALY</v>
          </cell>
        </row>
        <row r="15898">
          <cell r="L15898" t="str">
            <v>Non-proportional</v>
          </cell>
          <cell r="S15898">
            <v>-762.2</v>
          </cell>
          <cell r="X15898" t="str">
            <v>Commissions - gross</v>
          </cell>
          <cell r="Y15898" t="str">
            <v>ITALY</v>
          </cell>
        </row>
        <row r="15899">
          <cell r="L15899" t="str">
            <v>Non-proportional</v>
          </cell>
          <cell r="S15899">
            <v>125907.77</v>
          </cell>
          <cell r="X15899" t="str">
            <v>Commissions - gross</v>
          </cell>
          <cell r="Y15899" t="str">
            <v>UNITED KINGDOM</v>
          </cell>
        </row>
        <row r="15900">
          <cell r="L15900" t="str">
            <v>Non-proportional</v>
          </cell>
          <cell r="S15900">
            <v>5966.64</v>
          </cell>
          <cell r="X15900" t="str">
            <v>Commissions - gross</v>
          </cell>
          <cell r="Y15900" t="str">
            <v>PUERTO RICO</v>
          </cell>
        </row>
        <row r="15901">
          <cell r="L15901" t="str">
            <v>Non-proportional</v>
          </cell>
          <cell r="S15901">
            <v>-449</v>
          </cell>
          <cell r="X15901" t="str">
            <v>Commissions - gross</v>
          </cell>
          <cell r="Y15901" t="str">
            <v>ISRAEL</v>
          </cell>
        </row>
        <row r="15902">
          <cell r="L15902" t="str">
            <v>Non-proportional</v>
          </cell>
          <cell r="S15902">
            <v>-10968.75</v>
          </cell>
          <cell r="X15902" t="str">
            <v>Commissions - gross</v>
          </cell>
          <cell r="Y15902" t="str">
            <v>EUROPE</v>
          </cell>
        </row>
        <row r="15903">
          <cell r="L15903" t="str">
            <v>Proportional</v>
          </cell>
          <cell r="S15903">
            <v>6396.4</v>
          </cell>
          <cell r="X15903" t="str">
            <v>Commissions - gross</v>
          </cell>
          <cell r="Y15903" t="str">
            <v>MEXICO</v>
          </cell>
        </row>
        <row r="15904">
          <cell r="L15904" t="str">
            <v>Non-proportional</v>
          </cell>
          <cell r="S15904">
            <v>6014.75</v>
          </cell>
          <cell r="X15904" t="str">
            <v>Commissions - gross</v>
          </cell>
          <cell r="Y15904" t="str">
            <v>FRANCE</v>
          </cell>
        </row>
        <row r="15905">
          <cell r="L15905" t="str">
            <v>Non-proportional</v>
          </cell>
          <cell r="S15905">
            <v>9922.5</v>
          </cell>
          <cell r="X15905" t="str">
            <v>Commissions - gross</v>
          </cell>
          <cell r="Y15905" t="str">
            <v>TURKEY</v>
          </cell>
        </row>
        <row r="15906">
          <cell r="L15906" t="str">
            <v>Non-proportional</v>
          </cell>
          <cell r="S15906">
            <v>7520</v>
          </cell>
          <cell r="X15906" t="str">
            <v>Commissions - gross</v>
          </cell>
          <cell r="Y15906" t="str">
            <v>FRANCE</v>
          </cell>
        </row>
        <row r="15907">
          <cell r="L15907" t="str">
            <v>Non-proportional</v>
          </cell>
          <cell r="S15907">
            <v>-23.36</v>
          </cell>
          <cell r="X15907" t="str">
            <v>Commissions - gross</v>
          </cell>
          <cell r="Y15907" t="str">
            <v>ITALY</v>
          </cell>
        </row>
        <row r="15908">
          <cell r="L15908" t="str">
            <v>Non-proportional</v>
          </cell>
          <cell r="S15908">
            <v>-1122.51</v>
          </cell>
          <cell r="X15908" t="str">
            <v>Commissions - gross</v>
          </cell>
          <cell r="Y15908" t="str">
            <v>ISRAEL</v>
          </cell>
        </row>
        <row r="15909">
          <cell r="L15909" t="str">
            <v>Non-proportional</v>
          </cell>
          <cell r="S15909">
            <v>-8193</v>
          </cell>
          <cell r="X15909" t="str">
            <v>Commissions - gross</v>
          </cell>
          <cell r="Y15909" t="str">
            <v>FRANCE</v>
          </cell>
        </row>
        <row r="15910">
          <cell r="L15910" t="str">
            <v>Proportional</v>
          </cell>
          <cell r="S15910">
            <v>4813.97</v>
          </cell>
          <cell r="X15910" t="str">
            <v>Commissions - gross</v>
          </cell>
          <cell r="Y15910" t="str">
            <v>MEXICO</v>
          </cell>
        </row>
        <row r="15911">
          <cell r="L15911" t="str">
            <v>Non-proportional</v>
          </cell>
          <cell r="S15911">
            <v>2.4900000000000002</v>
          </cell>
          <cell r="X15911" t="str">
            <v>Commissions - gross</v>
          </cell>
          <cell r="Y15911" t="str">
            <v>FRANCE</v>
          </cell>
        </row>
        <row r="15912">
          <cell r="L15912" t="str">
            <v>Non-proportional</v>
          </cell>
          <cell r="S15912">
            <v>-12636.35</v>
          </cell>
          <cell r="X15912" t="str">
            <v>Commissions - gross</v>
          </cell>
          <cell r="Y15912" t="str">
            <v>CHINA</v>
          </cell>
        </row>
        <row r="15913">
          <cell r="L15913" t="str">
            <v>Non-proportional</v>
          </cell>
          <cell r="S15913">
            <v>-3189</v>
          </cell>
          <cell r="X15913" t="str">
            <v>Commissions - gross</v>
          </cell>
          <cell r="Y15913" t="str">
            <v>FRANCE</v>
          </cell>
        </row>
        <row r="15914">
          <cell r="L15914" t="str">
            <v>Non-proportional</v>
          </cell>
          <cell r="S15914">
            <v>6540</v>
          </cell>
          <cell r="X15914" t="str">
            <v>Commissions - gross</v>
          </cell>
          <cell r="Y15914" t="str">
            <v>FRANCE</v>
          </cell>
        </row>
        <row r="15915">
          <cell r="L15915" t="str">
            <v>Non-proportional</v>
          </cell>
          <cell r="S15915">
            <v>-6631.38</v>
          </cell>
          <cell r="X15915" t="str">
            <v>Commissions - gross</v>
          </cell>
          <cell r="Y15915" t="str">
            <v>GREECE</v>
          </cell>
        </row>
        <row r="15916">
          <cell r="L15916" t="str">
            <v>Non-proportional</v>
          </cell>
          <cell r="S15916">
            <v>503631.09</v>
          </cell>
          <cell r="X15916" t="str">
            <v>Commissions - gross</v>
          </cell>
          <cell r="Y15916" t="str">
            <v>UNITED KINGDOM</v>
          </cell>
        </row>
        <row r="15917">
          <cell r="L15917" t="str">
            <v>Non-proportional</v>
          </cell>
          <cell r="S15917">
            <v>23.36</v>
          </cell>
          <cell r="X15917" t="str">
            <v>Commissions - gross</v>
          </cell>
          <cell r="Y15917" t="str">
            <v>ITALY</v>
          </cell>
        </row>
        <row r="15918">
          <cell r="L15918" t="str">
            <v>Non-proportional</v>
          </cell>
          <cell r="S15918">
            <v>40676.86</v>
          </cell>
          <cell r="X15918" t="str">
            <v>Commissions - gross</v>
          </cell>
          <cell r="Y15918" t="str">
            <v>UNITED KINGDOM</v>
          </cell>
        </row>
        <row r="15919">
          <cell r="L15919" t="str">
            <v>Non-proportional</v>
          </cell>
          <cell r="S15919">
            <v>-15.1</v>
          </cell>
          <cell r="X15919" t="str">
            <v>Commissions - gross</v>
          </cell>
          <cell r="Y15919" t="str">
            <v>ITALY</v>
          </cell>
        </row>
        <row r="15920">
          <cell r="L15920" t="str">
            <v>Non-proportional</v>
          </cell>
          <cell r="S15920">
            <v>1010.44</v>
          </cell>
          <cell r="X15920" t="str">
            <v>Commissions - gross</v>
          </cell>
          <cell r="Y15920" t="str">
            <v>GERMANY</v>
          </cell>
        </row>
        <row r="15921">
          <cell r="L15921" t="str">
            <v>Non-proportional</v>
          </cell>
          <cell r="S15921">
            <v>-11450.51</v>
          </cell>
          <cell r="X15921" t="str">
            <v>Commissions - gross</v>
          </cell>
          <cell r="Y15921" t="str">
            <v>COSTA RICA</v>
          </cell>
        </row>
        <row r="15922">
          <cell r="L15922" t="str">
            <v>Non-proportional</v>
          </cell>
          <cell r="S15922">
            <v>-5592.41</v>
          </cell>
          <cell r="X15922" t="str">
            <v>Commissions - gross</v>
          </cell>
          <cell r="Y15922" t="str">
            <v>ISRAEL</v>
          </cell>
        </row>
        <row r="15923">
          <cell r="L15923" t="str">
            <v>Non-proportional</v>
          </cell>
          <cell r="S15923">
            <v>32773.5</v>
          </cell>
          <cell r="X15923" t="str">
            <v>Commissions - gross</v>
          </cell>
          <cell r="Y15923" t="str">
            <v>FRANCE</v>
          </cell>
        </row>
        <row r="15924">
          <cell r="L15924" t="str">
            <v>Non-proportional</v>
          </cell>
          <cell r="S15924">
            <v>793.16</v>
          </cell>
          <cell r="X15924" t="str">
            <v>Commissions - gross</v>
          </cell>
          <cell r="Y15924" t="str">
            <v>NETHERLANDS</v>
          </cell>
        </row>
        <row r="15925">
          <cell r="L15925" t="str">
            <v>Non-proportional</v>
          </cell>
          <cell r="S15925">
            <v>-13790.02</v>
          </cell>
          <cell r="X15925" t="str">
            <v>Commissions - gross</v>
          </cell>
          <cell r="Y15925" t="str">
            <v>UNITED KINGDOM</v>
          </cell>
        </row>
        <row r="15926">
          <cell r="L15926" t="str">
            <v>Non-proportional</v>
          </cell>
          <cell r="S15926">
            <v>204</v>
          </cell>
          <cell r="X15926" t="str">
            <v>Commissions - gross</v>
          </cell>
          <cell r="Y15926" t="str">
            <v>ITALY</v>
          </cell>
        </row>
        <row r="15927">
          <cell r="L15927" t="str">
            <v>Non-proportional</v>
          </cell>
          <cell r="S15927">
            <v>-35.14</v>
          </cell>
          <cell r="X15927" t="str">
            <v>Commissions - gross</v>
          </cell>
          <cell r="Y15927" t="str">
            <v>UNITED KINGDOM</v>
          </cell>
        </row>
        <row r="15928">
          <cell r="L15928" t="str">
            <v>Non-proportional</v>
          </cell>
          <cell r="S15928">
            <v>-2355</v>
          </cell>
          <cell r="X15928" t="str">
            <v>Commissions - gross</v>
          </cell>
          <cell r="Y15928" t="str">
            <v>FRANCE</v>
          </cell>
        </row>
        <row r="15929">
          <cell r="L15929" t="str">
            <v>Non-proportional</v>
          </cell>
          <cell r="S15929">
            <v>3240</v>
          </cell>
          <cell r="X15929" t="str">
            <v>Commissions - gross</v>
          </cell>
          <cell r="Y15929" t="str">
            <v>NETHERLANDS</v>
          </cell>
        </row>
        <row r="15930">
          <cell r="L15930" t="str">
            <v>Non-proportional</v>
          </cell>
          <cell r="S15930">
            <v>1368.72</v>
          </cell>
          <cell r="X15930" t="str">
            <v>Commissions - gross</v>
          </cell>
          <cell r="Y15930" t="str">
            <v>FRANCE</v>
          </cell>
        </row>
        <row r="15931">
          <cell r="L15931" t="str">
            <v>Non-proportional</v>
          </cell>
          <cell r="S15931">
            <v>3214.46</v>
          </cell>
          <cell r="X15931" t="str">
            <v>Commissions - gross</v>
          </cell>
          <cell r="Y15931" t="str">
            <v>ISRAEL</v>
          </cell>
        </row>
        <row r="15932">
          <cell r="L15932" t="str">
            <v>Non-proportional</v>
          </cell>
          <cell r="S15932">
            <v>-33823.440000000002</v>
          </cell>
          <cell r="X15932" t="str">
            <v>Commissions - gross</v>
          </cell>
          <cell r="Y15932" t="str">
            <v>FRANCE</v>
          </cell>
        </row>
        <row r="15933">
          <cell r="L15933" t="str">
            <v>Non-proportional</v>
          </cell>
          <cell r="S15933">
            <v>-8662.5</v>
          </cell>
          <cell r="X15933" t="str">
            <v>Commissions - gross</v>
          </cell>
          <cell r="Y15933" t="str">
            <v>BELGIUM</v>
          </cell>
        </row>
        <row r="15934">
          <cell r="L15934" t="str">
            <v>Non-proportional</v>
          </cell>
          <cell r="S15934">
            <v>1823.4</v>
          </cell>
          <cell r="X15934" t="str">
            <v>Commissions - gross</v>
          </cell>
          <cell r="Y15934" t="str">
            <v>NETHERLANDS</v>
          </cell>
        </row>
        <row r="15935">
          <cell r="L15935" t="str">
            <v>Non-proportional</v>
          </cell>
          <cell r="S15935">
            <v>17156.25</v>
          </cell>
          <cell r="X15935" t="str">
            <v>Commissions - gross</v>
          </cell>
          <cell r="Y15935" t="str">
            <v>EUROPE</v>
          </cell>
        </row>
        <row r="15936">
          <cell r="L15936" t="str">
            <v>Non-proportional</v>
          </cell>
          <cell r="S15936">
            <v>-6391.88</v>
          </cell>
          <cell r="X15936" t="str">
            <v>Commissions - gross</v>
          </cell>
          <cell r="Y15936" t="str">
            <v>EUROPE</v>
          </cell>
        </row>
        <row r="15937">
          <cell r="L15937" t="str">
            <v>Non-proportional</v>
          </cell>
          <cell r="S15937">
            <v>4213.1499999999996</v>
          </cell>
          <cell r="X15937" t="str">
            <v>Commissions - gross</v>
          </cell>
          <cell r="Y15937" t="str">
            <v>EUROPE</v>
          </cell>
        </row>
        <row r="15938">
          <cell r="L15938" t="str">
            <v>Non-proportional</v>
          </cell>
          <cell r="S15938">
            <v>-1444</v>
          </cell>
          <cell r="X15938" t="str">
            <v>Commissions - gross</v>
          </cell>
          <cell r="Y15938" t="str">
            <v>FRANCE</v>
          </cell>
        </row>
        <row r="15939">
          <cell r="L15939" t="str">
            <v>Non-proportional</v>
          </cell>
          <cell r="S15939">
            <v>5345</v>
          </cell>
          <cell r="X15939" t="str">
            <v>Commissions - gross</v>
          </cell>
          <cell r="Y15939" t="str">
            <v>NETHERLANDS</v>
          </cell>
        </row>
        <row r="15940">
          <cell r="L15940" t="str">
            <v>Non-proportional</v>
          </cell>
          <cell r="S15940">
            <v>-1050</v>
          </cell>
          <cell r="X15940" t="str">
            <v>Commissions - gross</v>
          </cell>
          <cell r="Y15940" t="str">
            <v>ITALY</v>
          </cell>
        </row>
        <row r="15941">
          <cell r="L15941" t="str">
            <v>Non-proportional</v>
          </cell>
          <cell r="S15941">
            <v>5950</v>
          </cell>
          <cell r="X15941" t="str">
            <v>Commissions - gross</v>
          </cell>
          <cell r="Y15941" t="str">
            <v>NETHERLANDS</v>
          </cell>
        </row>
        <row r="15942">
          <cell r="L15942" t="str">
            <v>Non-proportional</v>
          </cell>
          <cell r="S15942">
            <v>3571.62</v>
          </cell>
          <cell r="X15942" t="str">
            <v>Commissions - gross</v>
          </cell>
          <cell r="Y15942" t="str">
            <v>ISRAEL</v>
          </cell>
        </row>
        <row r="15943">
          <cell r="L15943" t="str">
            <v>Non-proportional</v>
          </cell>
          <cell r="S15943">
            <v>-3068.1</v>
          </cell>
          <cell r="X15943" t="str">
            <v>Commissions - gross</v>
          </cell>
          <cell r="Y15943" t="str">
            <v>EUROPE</v>
          </cell>
        </row>
        <row r="15944">
          <cell r="L15944" t="str">
            <v>Non-proportional</v>
          </cell>
          <cell r="S15944">
            <v>6405</v>
          </cell>
          <cell r="X15944" t="str">
            <v>Commissions - gross</v>
          </cell>
          <cell r="Y15944" t="str">
            <v>FRANCE</v>
          </cell>
        </row>
        <row r="15945">
          <cell r="L15945" t="str">
            <v>Non-proportional</v>
          </cell>
          <cell r="S15945">
            <v>-1999.24</v>
          </cell>
          <cell r="X15945" t="str">
            <v>Commissions - gross</v>
          </cell>
          <cell r="Y15945" t="str">
            <v>SWEDEN</v>
          </cell>
        </row>
        <row r="15946">
          <cell r="L15946" t="str">
            <v>Non-proportional</v>
          </cell>
          <cell r="S15946">
            <v>367.49</v>
          </cell>
          <cell r="X15946" t="str">
            <v>Commissions - gross</v>
          </cell>
          <cell r="Y15946" t="str">
            <v>FRANCE</v>
          </cell>
        </row>
        <row r="15947">
          <cell r="L15947" t="str">
            <v>Non-proportional</v>
          </cell>
          <cell r="S15947">
            <v>3175</v>
          </cell>
          <cell r="X15947" t="str">
            <v>Commissions - gross</v>
          </cell>
          <cell r="Y15947" t="str">
            <v>NETHERLANDS</v>
          </cell>
        </row>
        <row r="15948">
          <cell r="L15948" t="str">
            <v>Proportional</v>
          </cell>
          <cell r="S15948">
            <v>-51.74</v>
          </cell>
          <cell r="X15948" t="str">
            <v>Commissions - gross</v>
          </cell>
          <cell r="Y15948" t="str">
            <v>UNITED STATES</v>
          </cell>
        </row>
        <row r="15949">
          <cell r="L15949" t="str">
            <v>Non-proportional</v>
          </cell>
          <cell r="S15949">
            <v>-3597.95</v>
          </cell>
          <cell r="X15949" t="str">
            <v>Commissions - gross</v>
          </cell>
          <cell r="Y15949" t="str">
            <v>GUATEMALA</v>
          </cell>
        </row>
        <row r="15950">
          <cell r="L15950" t="str">
            <v>Non-proportional</v>
          </cell>
          <cell r="S15950">
            <v>3068.1</v>
          </cell>
          <cell r="X15950" t="str">
            <v>Commissions - gross</v>
          </cell>
          <cell r="Y15950" t="str">
            <v>EUROPE</v>
          </cell>
        </row>
        <row r="15951">
          <cell r="L15951" t="str">
            <v>Non-proportional</v>
          </cell>
          <cell r="S15951">
            <v>1444</v>
          </cell>
          <cell r="X15951" t="str">
            <v>Commissions - gross</v>
          </cell>
          <cell r="Y15951" t="str">
            <v>FRANCE</v>
          </cell>
        </row>
        <row r="15952">
          <cell r="L15952" t="str">
            <v>Non-proportional</v>
          </cell>
          <cell r="S15952">
            <v>-609.17999999999995</v>
          </cell>
          <cell r="X15952" t="str">
            <v>Commissions - gross</v>
          </cell>
          <cell r="Y15952" t="str">
            <v>FRANCE</v>
          </cell>
        </row>
        <row r="15953">
          <cell r="L15953" t="str">
            <v>Non-proportional</v>
          </cell>
          <cell r="S15953">
            <v>-241.57</v>
          </cell>
          <cell r="X15953" t="str">
            <v>Commissions - gross</v>
          </cell>
          <cell r="Y15953" t="str">
            <v>AUSTRIA</v>
          </cell>
        </row>
        <row r="15954">
          <cell r="L15954" t="str">
            <v>Non-proportional</v>
          </cell>
          <cell r="S15954">
            <v>-366706.37</v>
          </cell>
          <cell r="X15954" t="str">
            <v>Commissions - gross</v>
          </cell>
          <cell r="Y15954" t="str">
            <v>UNITED KINGDOM</v>
          </cell>
        </row>
        <row r="15955">
          <cell r="L15955" t="str">
            <v>Non-proportional</v>
          </cell>
          <cell r="S15955">
            <v>-26.14</v>
          </cell>
          <cell r="X15955" t="str">
            <v>Commissions - gross</v>
          </cell>
          <cell r="Y15955" t="str">
            <v>ITALY</v>
          </cell>
        </row>
        <row r="15956">
          <cell r="L15956" t="str">
            <v>Non-proportional</v>
          </cell>
          <cell r="S15956">
            <v>3795.65</v>
          </cell>
          <cell r="X15956" t="str">
            <v>Commissions - gross</v>
          </cell>
          <cell r="Y15956" t="str">
            <v>FRANCE</v>
          </cell>
        </row>
        <row r="15957">
          <cell r="L15957" t="str">
            <v>Non-proportional</v>
          </cell>
          <cell r="S15957">
            <v>-21925.94</v>
          </cell>
          <cell r="X15957" t="str">
            <v>Commissions - gross</v>
          </cell>
          <cell r="Y15957" t="str">
            <v>UNITED KINGDOM</v>
          </cell>
        </row>
        <row r="15958">
          <cell r="L15958" t="str">
            <v>Non-proportional</v>
          </cell>
          <cell r="S15958">
            <v>32085.37</v>
          </cell>
          <cell r="X15958" t="str">
            <v>Commissions - gross</v>
          </cell>
          <cell r="Y15958" t="str">
            <v>UNITED KINGDOM</v>
          </cell>
        </row>
        <row r="15959">
          <cell r="L15959" t="str">
            <v>Non-proportional</v>
          </cell>
          <cell r="S15959">
            <v>8077.91</v>
          </cell>
          <cell r="X15959" t="str">
            <v>Commissions - gross</v>
          </cell>
          <cell r="Y15959" t="str">
            <v>PUERTO RICO</v>
          </cell>
        </row>
        <row r="15960">
          <cell r="L15960" t="str">
            <v>Non-proportional</v>
          </cell>
          <cell r="S15960">
            <v>-131351.76999999999</v>
          </cell>
          <cell r="X15960" t="str">
            <v>Commissions - gross</v>
          </cell>
          <cell r="Y15960" t="str">
            <v>FRANCE</v>
          </cell>
        </row>
        <row r="15961">
          <cell r="L15961" t="str">
            <v>Non-proportional</v>
          </cell>
          <cell r="S15961">
            <v>-1698</v>
          </cell>
          <cell r="X15961" t="str">
            <v>Commissions - gross</v>
          </cell>
          <cell r="Y15961" t="str">
            <v>FRANCE</v>
          </cell>
        </row>
        <row r="15962">
          <cell r="L15962" t="str">
            <v>Non-proportional</v>
          </cell>
          <cell r="S15962">
            <v>-400.03</v>
          </cell>
          <cell r="X15962" t="str">
            <v>Commissions - gross</v>
          </cell>
          <cell r="Y15962" t="str">
            <v>ICELAND</v>
          </cell>
        </row>
        <row r="15963">
          <cell r="L15963" t="str">
            <v>Non-proportional</v>
          </cell>
          <cell r="S15963">
            <v>-417.91</v>
          </cell>
          <cell r="X15963" t="str">
            <v>Commissions - gross</v>
          </cell>
          <cell r="Y15963" t="str">
            <v>GERMANY</v>
          </cell>
        </row>
        <row r="15964">
          <cell r="L15964" t="str">
            <v>Non-proportional</v>
          </cell>
          <cell r="S15964">
            <v>1285.78</v>
          </cell>
          <cell r="X15964" t="str">
            <v>Commissions - gross</v>
          </cell>
          <cell r="Y15964" t="str">
            <v>ISRAEL</v>
          </cell>
        </row>
        <row r="15965">
          <cell r="L15965" t="str">
            <v>Non-proportional</v>
          </cell>
          <cell r="S15965">
            <v>1050</v>
          </cell>
          <cell r="X15965" t="str">
            <v>Commissions - gross</v>
          </cell>
          <cell r="Y15965" t="str">
            <v>ITALY</v>
          </cell>
        </row>
        <row r="15966">
          <cell r="L15966" t="str">
            <v>Proportional</v>
          </cell>
          <cell r="S15966">
            <v>-2690.02</v>
          </cell>
          <cell r="X15966" t="str">
            <v>Commissions - gross</v>
          </cell>
          <cell r="Y15966" t="str">
            <v>MEXICO</v>
          </cell>
        </row>
        <row r="15967">
          <cell r="L15967" t="str">
            <v>Non-proportional</v>
          </cell>
          <cell r="S15967">
            <v>91.91</v>
          </cell>
          <cell r="X15967" t="str">
            <v>Commissions - gross</v>
          </cell>
          <cell r="Y15967" t="str">
            <v>ITALY</v>
          </cell>
        </row>
        <row r="15968">
          <cell r="L15968" t="str">
            <v>Non-proportional</v>
          </cell>
          <cell r="S15968">
            <v>-1005.76</v>
          </cell>
          <cell r="X15968" t="str">
            <v>Commissions - gross</v>
          </cell>
          <cell r="Y15968" t="str">
            <v>ITALY</v>
          </cell>
        </row>
        <row r="15969">
          <cell r="L15969" t="str">
            <v>Non-proportional</v>
          </cell>
          <cell r="S15969">
            <v>13152.81</v>
          </cell>
          <cell r="X15969" t="str">
            <v>Commissions - gross</v>
          </cell>
          <cell r="Y15969" t="str">
            <v>UNITED KINGDOM</v>
          </cell>
        </row>
        <row r="15970">
          <cell r="L15970" t="str">
            <v>Non-proportional</v>
          </cell>
          <cell r="S15970">
            <v>5822.36</v>
          </cell>
          <cell r="X15970" t="str">
            <v>Commissions - gross</v>
          </cell>
          <cell r="Y15970" t="str">
            <v>GERMANY</v>
          </cell>
        </row>
        <row r="15971">
          <cell r="L15971" t="str">
            <v>Non-proportional</v>
          </cell>
          <cell r="S15971">
            <v>5966.64</v>
          </cell>
          <cell r="X15971" t="str">
            <v>Commissions - gross</v>
          </cell>
          <cell r="Y15971" t="str">
            <v>PUERTO RICO</v>
          </cell>
        </row>
        <row r="15972">
          <cell r="L15972" t="str">
            <v>Non-proportional</v>
          </cell>
          <cell r="S15972">
            <v>-6795.94</v>
          </cell>
          <cell r="X15972" t="str">
            <v>Commissions - gross</v>
          </cell>
          <cell r="Y15972" t="str">
            <v>AUSTRIA</v>
          </cell>
        </row>
        <row r="15973">
          <cell r="L15973" t="str">
            <v>Proportional</v>
          </cell>
          <cell r="S15973">
            <v>-4813.97</v>
          </cell>
          <cell r="X15973" t="str">
            <v>Commissions - gross</v>
          </cell>
          <cell r="Y15973" t="str">
            <v>MEXICO</v>
          </cell>
        </row>
        <row r="15974">
          <cell r="L15974" t="str">
            <v>Non-proportional</v>
          </cell>
          <cell r="S15974">
            <v>-3175</v>
          </cell>
          <cell r="X15974" t="str">
            <v>Commissions - gross</v>
          </cell>
          <cell r="Y15974" t="str">
            <v>NETHERLANDS</v>
          </cell>
        </row>
        <row r="15975">
          <cell r="L15975" t="str">
            <v>Non-proportional</v>
          </cell>
          <cell r="S15975">
            <v>452.52</v>
          </cell>
          <cell r="X15975" t="str">
            <v>Commissions - gross</v>
          </cell>
          <cell r="Y15975" t="str">
            <v>GERMANY</v>
          </cell>
        </row>
        <row r="15976">
          <cell r="L15976" t="str">
            <v>Non-proportional</v>
          </cell>
          <cell r="S15976">
            <v>-5966.64</v>
          </cell>
          <cell r="X15976" t="str">
            <v>Commissions - gross</v>
          </cell>
          <cell r="Y15976" t="str">
            <v>PUERTO RICO</v>
          </cell>
        </row>
        <row r="15977">
          <cell r="L15977" t="str">
            <v>Non-proportional</v>
          </cell>
          <cell r="S15977">
            <v>-4218.75</v>
          </cell>
          <cell r="X15977" t="str">
            <v>Commissions - gross</v>
          </cell>
          <cell r="Y15977" t="str">
            <v>EUROPE</v>
          </cell>
        </row>
        <row r="15978">
          <cell r="L15978" t="str">
            <v>Non-proportional</v>
          </cell>
          <cell r="S15978">
            <v>5735</v>
          </cell>
          <cell r="X15978" t="str">
            <v>Commissions - gross</v>
          </cell>
          <cell r="Y15978" t="str">
            <v>NETHERLANDS</v>
          </cell>
        </row>
        <row r="15979">
          <cell r="L15979" t="str">
            <v>Non-proportional</v>
          </cell>
          <cell r="S15979">
            <v>-91.91</v>
          </cell>
          <cell r="X15979" t="str">
            <v>Commissions - gross</v>
          </cell>
          <cell r="Y15979" t="str">
            <v>ITALY</v>
          </cell>
        </row>
        <row r="15980">
          <cell r="L15980" t="str">
            <v>Non-proportional</v>
          </cell>
          <cell r="S15980">
            <v>-3214.46</v>
          </cell>
          <cell r="X15980" t="str">
            <v>Commissions - gross</v>
          </cell>
          <cell r="Y15980" t="str">
            <v>ISRAEL</v>
          </cell>
        </row>
        <row r="15981">
          <cell r="L15981" t="str">
            <v>Proportional</v>
          </cell>
          <cell r="S15981">
            <v>-4813.97</v>
          </cell>
          <cell r="X15981" t="str">
            <v>Commissions - gross</v>
          </cell>
          <cell r="Y15981" t="str">
            <v>MEXICO</v>
          </cell>
        </row>
        <row r="15982">
          <cell r="L15982" t="str">
            <v>Non-proportional</v>
          </cell>
          <cell r="S15982">
            <v>-337.33</v>
          </cell>
          <cell r="X15982" t="str">
            <v>Commissions - gross</v>
          </cell>
          <cell r="Y15982" t="str">
            <v>ITALY</v>
          </cell>
        </row>
        <row r="15983">
          <cell r="L15983" t="str">
            <v>Non-proportional</v>
          </cell>
          <cell r="S15983">
            <v>-2800</v>
          </cell>
          <cell r="X15983" t="str">
            <v>Commissions - gross</v>
          </cell>
          <cell r="Y15983" t="str">
            <v>ITALY</v>
          </cell>
        </row>
        <row r="15984">
          <cell r="L15984" t="str">
            <v>Non-proportional</v>
          </cell>
          <cell r="S15984">
            <v>-7520</v>
          </cell>
          <cell r="X15984" t="str">
            <v>Commissions - gross</v>
          </cell>
          <cell r="Y15984" t="str">
            <v>FRANCE</v>
          </cell>
        </row>
        <row r="15985">
          <cell r="L15985" t="str">
            <v>Non-proportional</v>
          </cell>
          <cell r="S15985">
            <v>-886.64</v>
          </cell>
          <cell r="X15985" t="str">
            <v>Commissions - gross</v>
          </cell>
          <cell r="Y15985" t="str">
            <v>SWEDEN</v>
          </cell>
        </row>
        <row r="15986">
          <cell r="L15986" t="str">
            <v>Non-proportional</v>
          </cell>
          <cell r="S15986">
            <v>125907.77</v>
          </cell>
          <cell r="X15986" t="str">
            <v>Commissions - gross</v>
          </cell>
          <cell r="Y15986" t="str">
            <v>UNITED KINGDOM</v>
          </cell>
        </row>
        <row r="15987">
          <cell r="L15987" t="str">
            <v>Non-proportional</v>
          </cell>
          <cell r="S15987">
            <v>6631.38</v>
          </cell>
          <cell r="X15987" t="str">
            <v>Commissions - gross</v>
          </cell>
          <cell r="Y15987" t="str">
            <v>GREECE</v>
          </cell>
        </row>
        <row r="15988">
          <cell r="L15988" t="str">
            <v>Non-proportional</v>
          </cell>
          <cell r="S15988">
            <v>55.83</v>
          </cell>
          <cell r="X15988" t="str">
            <v>Commissions - gross</v>
          </cell>
          <cell r="Y15988" t="str">
            <v>ITALY</v>
          </cell>
        </row>
        <row r="15989">
          <cell r="L15989" t="str">
            <v>Non-proportional</v>
          </cell>
          <cell r="S15989">
            <v>693.44</v>
          </cell>
          <cell r="X15989" t="str">
            <v>Commissions - gross</v>
          </cell>
          <cell r="Y15989" t="str">
            <v>NETHERLANDS</v>
          </cell>
        </row>
        <row r="15990">
          <cell r="L15990" t="str">
            <v>Non-proportional</v>
          </cell>
          <cell r="S15990">
            <v>10054.35</v>
          </cell>
          <cell r="X15990" t="str">
            <v>Commissions - gross</v>
          </cell>
          <cell r="Y15990" t="str">
            <v>AUSTRIA</v>
          </cell>
        </row>
        <row r="15991">
          <cell r="L15991" t="str">
            <v>Non-proportional</v>
          </cell>
          <cell r="S15991">
            <v>8077.91</v>
          </cell>
          <cell r="X15991" t="str">
            <v>Commissions - gross</v>
          </cell>
          <cell r="Y15991" t="str">
            <v>PUERTO RICO</v>
          </cell>
        </row>
        <row r="15992">
          <cell r="L15992" t="str">
            <v>Non-proportional</v>
          </cell>
          <cell r="S15992">
            <v>21303.95</v>
          </cell>
          <cell r="X15992" t="str">
            <v>Commissions - gross</v>
          </cell>
          <cell r="Y15992" t="str">
            <v>TURKEY</v>
          </cell>
        </row>
        <row r="15993">
          <cell r="L15993" t="str">
            <v>Non-proportional</v>
          </cell>
          <cell r="S15993">
            <v>-14120</v>
          </cell>
          <cell r="X15993" t="str">
            <v>Commissions - gross</v>
          </cell>
          <cell r="Y15993" t="str">
            <v>FRANCE</v>
          </cell>
        </row>
        <row r="15994">
          <cell r="L15994" t="str">
            <v>Non-proportional</v>
          </cell>
          <cell r="S15994">
            <v>-27739.26</v>
          </cell>
          <cell r="X15994" t="str">
            <v>Commissions - gross</v>
          </cell>
          <cell r="Y15994" t="str">
            <v>UNITED KINGDOM</v>
          </cell>
        </row>
        <row r="15995">
          <cell r="L15995" t="str">
            <v>Non-proportional</v>
          </cell>
          <cell r="S15995">
            <v>5592.41</v>
          </cell>
          <cell r="X15995" t="str">
            <v>Commissions - gross</v>
          </cell>
          <cell r="Y15995" t="str">
            <v>ISRAEL</v>
          </cell>
        </row>
        <row r="15996">
          <cell r="L15996" t="str">
            <v>Non-proportional</v>
          </cell>
          <cell r="S15996">
            <v>14120</v>
          </cell>
          <cell r="X15996" t="str">
            <v>Commissions - gross</v>
          </cell>
          <cell r="Y15996" t="str">
            <v>FRANCE</v>
          </cell>
        </row>
        <row r="15997">
          <cell r="L15997" t="str">
            <v>Non-proportional</v>
          </cell>
          <cell r="S15997">
            <v>-982.59</v>
          </cell>
          <cell r="X15997" t="str">
            <v>Commissions - gross</v>
          </cell>
          <cell r="Y15997" t="str">
            <v>UNITED KINGDOM</v>
          </cell>
        </row>
        <row r="15998">
          <cell r="L15998" t="str">
            <v>Non-proportional</v>
          </cell>
          <cell r="S15998">
            <v>609.17999999999995</v>
          </cell>
          <cell r="X15998" t="str">
            <v>Commissions - gross</v>
          </cell>
          <cell r="Y15998" t="str">
            <v>FRANCE</v>
          </cell>
        </row>
        <row r="15999">
          <cell r="L15999" t="str">
            <v>Non-proportional</v>
          </cell>
          <cell r="S15999">
            <v>-280.8</v>
          </cell>
          <cell r="X15999" t="str">
            <v>Commissions - gross</v>
          </cell>
          <cell r="Y15999" t="str">
            <v>GREECE</v>
          </cell>
        </row>
        <row r="16000">
          <cell r="L16000" t="str">
            <v>Proportional</v>
          </cell>
          <cell r="S16000">
            <v>4813.97</v>
          </cell>
          <cell r="X16000" t="str">
            <v>Commissions - gross</v>
          </cell>
          <cell r="Y16000" t="str">
            <v>MEXICO</v>
          </cell>
        </row>
        <row r="16001">
          <cell r="L16001" t="str">
            <v>Non-proportional</v>
          </cell>
          <cell r="S16001">
            <v>-204</v>
          </cell>
          <cell r="X16001" t="str">
            <v>Commissions - gross</v>
          </cell>
          <cell r="Y16001" t="str">
            <v>ITALY</v>
          </cell>
        </row>
        <row r="16002">
          <cell r="L16002" t="str">
            <v>Non-proportional</v>
          </cell>
          <cell r="S16002">
            <v>-7.06</v>
          </cell>
          <cell r="X16002" t="str">
            <v>Commissions - gross</v>
          </cell>
          <cell r="Y16002" t="str">
            <v>NETHERLANDS</v>
          </cell>
        </row>
        <row r="16003">
          <cell r="L16003" t="str">
            <v>Non-proportional</v>
          </cell>
          <cell r="S16003">
            <v>-1519.52</v>
          </cell>
          <cell r="X16003" t="str">
            <v>Commissions - gross</v>
          </cell>
          <cell r="Y16003" t="str">
            <v>AUSTRIA</v>
          </cell>
        </row>
        <row r="16004">
          <cell r="L16004" t="str">
            <v>Non-proportional</v>
          </cell>
          <cell r="S16004">
            <v>-593.6</v>
          </cell>
          <cell r="X16004" t="str">
            <v>Commissions - gross</v>
          </cell>
          <cell r="Y16004" t="str">
            <v>ICELAND</v>
          </cell>
        </row>
        <row r="16005">
          <cell r="L16005" t="str">
            <v>Non-proportional</v>
          </cell>
          <cell r="S16005">
            <v>-712.95</v>
          </cell>
          <cell r="X16005" t="str">
            <v>Commissions - gross</v>
          </cell>
          <cell r="Y16005" t="str">
            <v>GERMANY</v>
          </cell>
        </row>
        <row r="16006">
          <cell r="L16006" t="str">
            <v>Non-proportional</v>
          </cell>
          <cell r="S16006">
            <v>-26.9</v>
          </cell>
          <cell r="X16006" t="str">
            <v>Commissions - gross</v>
          </cell>
          <cell r="Y16006" t="str">
            <v>ITALY</v>
          </cell>
        </row>
        <row r="16007">
          <cell r="L16007" t="str">
            <v>Non-proportional</v>
          </cell>
          <cell r="S16007">
            <v>41071.32</v>
          </cell>
          <cell r="X16007" t="str">
            <v>Commissions - gross</v>
          </cell>
          <cell r="Y16007" t="str">
            <v>FRANCE</v>
          </cell>
        </row>
        <row r="16008">
          <cell r="L16008" t="str">
            <v>Non-proportional</v>
          </cell>
          <cell r="S16008">
            <v>2159.87</v>
          </cell>
          <cell r="X16008" t="str">
            <v>Commissions - gross</v>
          </cell>
          <cell r="Y16008" t="str">
            <v>COSTA RICA</v>
          </cell>
        </row>
        <row r="16009">
          <cell r="L16009" t="str">
            <v>Non-proportional</v>
          </cell>
          <cell r="S16009">
            <v>-1466825.48</v>
          </cell>
          <cell r="X16009" t="str">
            <v>Commissions - gross</v>
          </cell>
          <cell r="Y16009" t="str">
            <v>UNITED KINGDOM</v>
          </cell>
        </row>
        <row r="16010">
          <cell r="L16010" t="str">
            <v>Non-proportional</v>
          </cell>
          <cell r="S16010">
            <v>-503631.09</v>
          </cell>
          <cell r="X16010" t="str">
            <v>Commissions - gross</v>
          </cell>
          <cell r="Y16010" t="str">
            <v>UNITED KINGDOM</v>
          </cell>
        </row>
        <row r="16011">
          <cell r="L16011" t="str">
            <v>Non-proportional</v>
          </cell>
          <cell r="S16011">
            <v>-9450</v>
          </cell>
          <cell r="X16011" t="str">
            <v>Commissions - gross</v>
          </cell>
          <cell r="Y16011" t="str">
            <v>EUROPE</v>
          </cell>
        </row>
        <row r="16012">
          <cell r="L16012" t="str">
            <v>Non-proportional</v>
          </cell>
          <cell r="S16012">
            <v>-1593.5</v>
          </cell>
          <cell r="X16012" t="str">
            <v>Commissions - gross</v>
          </cell>
          <cell r="Y16012" t="str">
            <v>FRANCE</v>
          </cell>
        </row>
        <row r="16013">
          <cell r="L16013" t="str">
            <v>Non-proportional</v>
          </cell>
          <cell r="S16013">
            <v>390.9</v>
          </cell>
          <cell r="X16013" t="str">
            <v>Commissions - gross</v>
          </cell>
          <cell r="Y16013" t="str">
            <v>ICELAND</v>
          </cell>
        </row>
        <row r="16014">
          <cell r="L16014" t="str">
            <v>Non-proportional</v>
          </cell>
          <cell r="S16014">
            <v>-9405</v>
          </cell>
          <cell r="X16014" t="str">
            <v>Commissions - gross</v>
          </cell>
          <cell r="Y16014" t="str">
            <v>TURKEY</v>
          </cell>
        </row>
        <row r="16015">
          <cell r="L16015" t="str">
            <v>Non-proportional</v>
          </cell>
          <cell r="S16015">
            <v>366706.37</v>
          </cell>
          <cell r="X16015" t="str">
            <v>Commissions - gross</v>
          </cell>
          <cell r="Y16015" t="str">
            <v>UNITED KINGDOM</v>
          </cell>
        </row>
        <row r="16016">
          <cell r="L16016" t="str">
            <v>Non-proportional</v>
          </cell>
          <cell r="S16016">
            <v>-530</v>
          </cell>
          <cell r="X16016" t="str">
            <v>Commissions - gross</v>
          </cell>
          <cell r="Y16016" t="str">
            <v>NETHERLANDS</v>
          </cell>
        </row>
        <row r="16017">
          <cell r="L16017" t="str">
            <v>Non-proportional</v>
          </cell>
          <cell r="S16017">
            <v>717.81</v>
          </cell>
          <cell r="X16017" t="str">
            <v>Commissions - gross</v>
          </cell>
          <cell r="Y16017" t="str">
            <v>GREECE</v>
          </cell>
        </row>
        <row r="16018">
          <cell r="L16018" t="str">
            <v>Non-proportional</v>
          </cell>
          <cell r="S16018">
            <v>16250</v>
          </cell>
          <cell r="X16018" t="str">
            <v>Commissions - gross</v>
          </cell>
          <cell r="Y16018" t="str">
            <v>FRANCE</v>
          </cell>
        </row>
        <row r="16019">
          <cell r="L16019" t="str">
            <v>Non-proportional</v>
          </cell>
          <cell r="S16019">
            <v>-41071.32</v>
          </cell>
          <cell r="X16019" t="str">
            <v>Commissions - gross</v>
          </cell>
          <cell r="Y16019" t="str">
            <v>FRANCE</v>
          </cell>
        </row>
        <row r="16020">
          <cell r="L16020" t="str">
            <v>Non-proportional</v>
          </cell>
          <cell r="S16020">
            <v>6795.94</v>
          </cell>
          <cell r="X16020" t="str">
            <v>Commissions - gross</v>
          </cell>
          <cell r="Y16020" t="str">
            <v>AUSTRIA</v>
          </cell>
        </row>
        <row r="16021">
          <cell r="L16021" t="str">
            <v>Non-proportional</v>
          </cell>
          <cell r="S16021">
            <v>-5971.85</v>
          </cell>
          <cell r="X16021" t="str">
            <v>Commissions - gross</v>
          </cell>
          <cell r="Y16021" t="str">
            <v>FRANCE</v>
          </cell>
        </row>
        <row r="16022">
          <cell r="L16022" t="str">
            <v>Non-proportional</v>
          </cell>
          <cell r="S16022">
            <v>-114.5</v>
          </cell>
          <cell r="X16022" t="str">
            <v>Commissions - gross</v>
          </cell>
          <cell r="Y16022" t="str">
            <v>ITALY</v>
          </cell>
        </row>
        <row r="16023">
          <cell r="L16023" t="str">
            <v>Non-proportional</v>
          </cell>
          <cell r="S16023">
            <v>-1448.72</v>
          </cell>
          <cell r="X16023" t="str">
            <v>Commissions - gross</v>
          </cell>
          <cell r="Y16023" t="str">
            <v>COSTA RICA</v>
          </cell>
        </row>
        <row r="16024">
          <cell r="L16024" t="str">
            <v>Non-proportional</v>
          </cell>
          <cell r="S16024">
            <v>-890.13</v>
          </cell>
          <cell r="X16024" t="str">
            <v>Commissions - gross</v>
          </cell>
          <cell r="Y16024" t="str">
            <v>AUSTRIA</v>
          </cell>
        </row>
        <row r="16025">
          <cell r="L16025" t="str">
            <v>Non-proportional</v>
          </cell>
          <cell r="S16025">
            <v>367.01</v>
          </cell>
          <cell r="X16025" t="str">
            <v>Commissions - gross</v>
          </cell>
          <cell r="Y16025" t="str">
            <v>ITALY</v>
          </cell>
        </row>
        <row r="16026">
          <cell r="L16026" t="str">
            <v>Proportional</v>
          </cell>
          <cell r="S16026">
            <v>51.74</v>
          </cell>
          <cell r="X16026" t="str">
            <v>Commissions - gross</v>
          </cell>
          <cell r="Y16026" t="str">
            <v>UNITED STATES</v>
          </cell>
        </row>
        <row r="16027">
          <cell r="L16027" t="str">
            <v>Non-proportional</v>
          </cell>
          <cell r="S16027">
            <v>1384.54</v>
          </cell>
          <cell r="X16027" t="str">
            <v>Commissions - gross</v>
          </cell>
          <cell r="Y16027" t="str">
            <v>ITALY</v>
          </cell>
        </row>
        <row r="16028">
          <cell r="L16028" t="str">
            <v>Non-proportional</v>
          </cell>
          <cell r="S16028">
            <v>47.81</v>
          </cell>
          <cell r="X16028" t="str">
            <v>Commissions - gross</v>
          </cell>
          <cell r="Y16028" t="str">
            <v>BELGIUM</v>
          </cell>
        </row>
        <row r="16029">
          <cell r="L16029" t="str">
            <v>Proportional</v>
          </cell>
          <cell r="S16029">
            <v>-403.05</v>
          </cell>
          <cell r="X16029" t="str">
            <v>Commissions - gross</v>
          </cell>
          <cell r="Y16029" t="str">
            <v>MEXICO</v>
          </cell>
        </row>
        <row r="16030">
          <cell r="L16030" t="str">
            <v>Non-proportional</v>
          </cell>
          <cell r="S16030">
            <v>10260</v>
          </cell>
          <cell r="X16030" t="str">
            <v>Commissions - gross</v>
          </cell>
          <cell r="Y16030" t="str">
            <v>TURKEY</v>
          </cell>
        </row>
        <row r="16031">
          <cell r="L16031" t="str">
            <v>Non-proportional</v>
          </cell>
          <cell r="S16031">
            <v>-42.68</v>
          </cell>
          <cell r="X16031" t="str">
            <v>Commissions - gross</v>
          </cell>
          <cell r="Y16031" t="str">
            <v>UNITED KINGDOM</v>
          </cell>
        </row>
        <row r="16032">
          <cell r="L16032" t="str">
            <v>Non-proportional</v>
          </cell>
          <cell r="S16032">
            <v>-924.43</v>
          </cell>
          <cell r="X16032" t="str">
            <v>Commissions - gross</v>
          </cell>
          <cell r="Y16032" t="str">
            <v>ITALY</v>
          </cell>
        </row>
        <row r="16033">
          <cell r="L16033" t="str">
            <v>Proportional</v>
          </cell>
          <cell r="S16033">
            <v>-5029.6899999999996</v>
          </cell>
          <cell r="X16033" t="str">
            <v>Commissions - gross</v>
          </cell>
          <cell r="Y16033" t="str">
            <v>GERMANY</v>
          </cell>
        </row>
        <row r="16034">
          <cell r="L16034" t="str">
            <v>Non-proportional</v>
          </cell>
          <cell r="S16034">
            <v>-10260</v>
          </cell>
          <cell r="X16034" t="str">
            <v>Commissions - gross</v>
          </cell>
          <cell r="Y16034" t="str">
            <v>TURKEY</v>
          </cell>
        </row>
        <row r="16035">
          <cell r="L16035" t="str">
            <v>Non-proportional</v>
          </cell>
          <cell r="S16035">
            <v>2619.06</v>
          </cell>
          <cell r="X16035" t="str">
            <v>Commissions - gross</v>
          </cell>
          <cell r="Y16035" t="str">
            <v>SWEDEN</v>
          </cell>
        </row>
        <row r="16036">
          <cell r="L16036" t="str">
            <v>Non-proportional</v>
          </cell>
          <cell r="S16036">
            <v>-8939.0499999999993</v>
          </cell>
          <cell r="X16036" t="str">
            <v>Commissions - gross</v>
          </cell>
          <cell r="Y16036" t="str">
            <v>UNITED KINGDOM</v>
          </cell>
        </row>
        <row r="16037">
          <cell r="L16037" t="str">
            <v>Non-proportional</v>
          </cell>
          <cell r="S16037">
            <v>3189</v>
          </cell>
          <cell r="X16037" t="str">
            <v>Commissions - gross</v>
          </cell>
          <cell r="Y16037" t="str">
            <v>FRANCE</v>
          </cell>
        </row>
        <row r="16038">
          <cell r="L16038" t="str">
            <v>Non-proportional</v>
          </cell>
          <cell r="S16038">
            <v>-366706.37</v>
          </cell>
          <cell r="X16038" t="str">
            <v>Commissions - gross</v>
          </cell>
          <cell r="Y16038" t="str">
            <v>UNITED KINGDOM</v>
          </cell>
        </row>
        <row r="16039">
          <cell r="L16039" t="str">
            <v>Non-proportional</v>
          </cell>
          <cell r="S16039">
            <v>-940</v>
          </cell>
          <cell r="X16039" t="str">
            <v>Commissions - gross</v>
          </cell>
          <cell r="Y16039" t="str">
            <v>NETHERLANDS</v>
          </cell>
        </row>
        <row r="16040">
          <cell r="L16040" t="str">
            <v>Non-proportional</v>
          </cell>
          <cell r="S16040">
            <v>-1571.99</v>
          </cell>
          <cell r="X16040" t="str">
            <v>Commissions - gross</v>
          </cell>
          <cell r="Y16040" t="str">
            <v>GERMANY</v>
          </cell>
        </row>
        <row r="16041">
          <cell r="L16041" t="str">
            <v>Non-proportional</v>
          </cell>
          <cell r="S16041">
            <v>-1028.02</v>
          </cell>
          <cell r="X16041" t="str">
            <v>Commissions - gross</v>
          </cell>
          <cell r="Y16041" t="str">
            <v>FRANCE</v>
          </cell>
        </row>
        <row r="16042">
          <cell r="L16042" t="str">
            <v>Non-proportional</v>
          </cell>
          <cell r="S16042">
            <v>11450.51</v>
          </cell>
          <cell r="X16042" t="str">
            <v>Commissions - gross</v>
          </cell>
          <cell r="Y16042" t="str">
            <v>COSTA RICA</v>
          </cell>
        </row>
        <row r="16043">
          <cell r="L16043" t="str">
            <v>Non-proportional</v>
          </cell>
          <cell r="S16043">
            <v>-4779</v>
          </cell>
          <cell r="X16043" t="str">
            <v>Commissions - gross</v>
          </cell>
          <cell r="Y16043" t="str">
            <v>FRANCE</v>
          </cell>
        </row>
        <row r="16044">
          <cell r="L16044" t="str">
            <v>Non-proportional</v>
          </cell>
          <cell r="S16044">
            <v>9752.7199999999993</v>
          </cell>
          <cell r="X16044" t="str">
            <v>Commissions - gross</v>
          </cell>
          <cell r="Y16044" t="str">
            <v>COSTA RICA</v>
          </cell>
        </row>
        <row r="16045">
          <cell r="L16045" t="str">
            <v>Non-proportional</v>
          </cell>
          <cell r="S16045">
            <v>910.8</v>
          </cell>
          <cell r="X16045" t="str">
            <v>Commissions - gross</v>
          </cell>
          <cell r="Y16045" t="str">
            <v>FRANCE</v>
          </cell>
        </row>
        <row r="16046">
          <cell r="L16046" t="str">
            <v>Non-proportional</v>
          </cell>
          <cell r="S16046">
            <v>4580</v>
          </cell>
          <cell r="X16046" t="str">
            <v>Commissions - gross</v>
          </cell>
          <cell r="Y16046" t="str">
            <v>FRANCE</v>
          </cell>
        </row>
        <row r="16047">
          <cell r="L16047" t="str">
            <v>Non-proportional</v>
          </cell>
          <cell r="S16047">
            <v>-2023.9</v>
          </cell>
          <cell r="X16047" t="str">
            <v>Commissions - gross</v>
          </cell>
          <cell r="Y16047" t="str">
            <v>AUSTRIA</v>
          </cell>
        </row>
        <row r="16048">
          <cell r="L16048" t="str">
            <v>Non-proportional</v>
          </cell>
          <cell r="S16048">
            <v>1028.02</v>
          </cell>
          <cell r="X16048" t="str">
            <v>Commissions - gross</v>
          </cell>
          <cell r="Y16048" t="str">
            <v>FRANCE</v>
          </cell>
        </row>
        <row r="16049">
          <cell r="L16049" t="str">
            <v>Non-proportional</v>
          </cell>
          <cell r="S16049">
            <v>-858</v>
          </cell>
          <cell r="X16049" t="str">
            <v>Commissions - gross</v>
          </cell>
          <cell r="Y16049" t="str">
            <v>ITALY</v>
          </cell>
        </row>
        <row r="16050">
          <cell r="L16050" t="str">
            <v>Non-proportional</v>
          </cell>
          <cell r="S16050">
            <v>-53.25</v>
          </cell>
          <cell r="X16050" t="str">
            <v>Commissions - gross</v>
          </cell>
          <cell r="Y16050" t="str">
            <v>ITALY</v>
          </cell>
        </row>
        <row r="16051">
          <cell r="L16051" t="str">
            <v>Non-proportional</v>
          </cell>
          <cell r="S16051">
            <v>7218</v>
          </cell>
          <cell r="X16051" t="str">
            <v>Commissions - gross</v>
          </cell>
          <cell r="Y16051" t="str">
            <v>FRANCE</v>
          </cell>
        </row>
        <row r="16052">
          <cell r="L16052" t="str">
            <v>Non-proportional</v>
          </cell>
          <cell r="S16052">
            <v>-910.8</v>
          </cell>
          <cell r="X16052" t="str">
            <v>Commissions - gross</v>
          </cell>
          <cell r="Y16052" t="str">
            <v>FRANCE</v>
          </cell>
        </row>
        <row r="16053">
          <cell r="L16053" t="str">
            <v>Non-proportional</v>
          </cell>
          <cell r="S16053">
            <v>15750</v>
          </cell>
          <cell r="X16053" t="str">
            <v>Commissions - gross</v>
          </cell>
          <cell r="Y16053" t="str">
            <v>EUROPE</v>
          </cell>
        </row>
        <row r="16054">
          <cell r="L16054" t="str">
            <v>Non-proportional</v>
          </cell>
          <cell r="S16054">
            <v>-5345</v>
          </cell>
          <cell r="X16054" t="str">
            <v>Commissions - gross</v>
          </cell>
          <cell r="Y16054" t="str">
            <v>NETHERLANDS</v>
          </cell>
        </row>
        <row r="16055">
          <cell r="L16055" t="str">
            <v>Non-proportional</v>
          </cell>
          <cell r="S16055">
            <v>131196.45000000001</v>
          </cell>
          <cell r="X16055" t="str">
            <v>Commissions - gross</v>
          </cell>
          <cell r="Y16055" t="str">
            <v>FRANCE</v>
          </cell>
        </row>
        <row r="16056">
          <cell r="L16056" t="str">
            <v>Non-proportional</v>
          </cell>
          <cell r="S16056">
            <v>5971.85</v>
          </cell>
          <cell r="X16056" t="str">
            <v>Commissions - gross</v>
          </cell>
          <cell r="Y16056" t="str">
            <v>FRANCE</v>
          </cell>
        </row>
        <row r="16057">
          <cell r="L16057" t="str">
            <v>Non-proportional</v>
          </cell>
          <cell r="S16057">
            <v>10.95</v>
          </cell>
          <cell r="X16057" t="str">
            <v>Commissions - gross</v>
          </cell>
          <cell r="Y16057" t="str">
            <v>FRANCE</v>
          </cell>
        </row>
        <row r="16058">
          <cell r="L16058" t="str">
            <v>Non-proportional</v>
          </cell>
          <cell r="S16058">
            <v>-643</v>
          </cell>
          <cell r="X16058" t="str">
            <v>Commissions - gross</v>
          </cell>
          <cell r="Y16058" t="str">
            <v>NETHERLANDS</v>
          </cell>
        </row>
        <row r="16059">
          <cell r="L16059" t="str">
            <v>Non-proportional</v>
          </cell>
          <cell r="S16059">
            <v>8077.91</v>
          </cell>
          <cell r="X16059" t="str">
            <v>Commissions - gross</v>
          </cell>
          <cell r="Y16059" t="str">
            <v>PUERTO RICO</v>
          </cell>
        </row>
        <row r="16060">
          <cell r="L16060" t="str">
            <v>Non-proportional</v>
          </cell>
          <cell r="S16060">
            <v>-2062.14</v>
          </cell>
          <cell r="X16060" t="str">
            <v>Commissions - gross</v>
          </cell>
          <cell r="Y16060" t="str">
            <v>COSTA RICA</v>
          </cell>
        </row>
        <row r="16061">
          <cell r="L16061" t="str">
            <v>Non-proportional</v>
          </cell>
          <cell r="S16061">
            <v>21565</v>
          </cell>
          <cell r="X16061" t="str">
            <v>Commissions - gross</v>
          </cell>
          <cell r="Y16061" t="str">
            <v>FRANCE</v>
          </cell>
        </row>
        <row r="16062">
          <cell r="L16062" t="str">
            <v>Non-proportional</v>
          </cell>
          <cell r="S16062">
            <v>-12972.5</v>
          </cell>
          <cell r="X16062" t="str">
            <v>Commissions - gross</v>
          </cell>
          <cell r="Y16062" t="str">
            <v>FRANCE</v>
          </cell>
        </row>
        <row r="16063">
          <cell r="L16063" t="str">
            <v>Non-proportional</v>
          </cell>
          <cell r="S16063">
            <v>5874.87</v>
          </cell>
          <cell r="X16063" t="str">
            <v>Commissions - gross</v>
          </cell>
          <cell r="Y16063" t="str">
            <v>COSTA RICA</v>
          </cell>
        </row>
        <row r="16064">
          <cell r="L16064" t="str">
            <v>Non-proportional</v>
          </cell>
          <cell r="S16064">
            <v>-449</v>
          </cell>
          <cell r="X16064" t="str">
            <v>Commissions - gross</v>
          </cell>
          <cell r="Y16064" t="str">
            <v>ISRAEL</v>
          </cell>
        </row>
        <row r="16065">
          <cell r="L16065" t="str">
            <v>Non-proportional</v>
          </cell>
          <cell r="S16065">
            <v>-16250</v>
          </cell>
          <cell r="X16065" t="str">
            <v>Commissions - gross</v>
          </cell>
          <cell r="Y16065" t="str">
            <v>FRANCE</v>
          </cell>
        </row>
        <row r="16066">
          <cell r="L16066" t="str">
            <v>Non-proportional</v>
          </cell>
          <cell r="S16066">
            <v>713.38</v>
          </cell>
          <cell r="X16066" t="str">
            <v>Commissions - gross</v>
          </cell>
          <cell r="Y16066" t="str">
            <v>NETHERLANDS</v>
          </cell>
        </row>
        <row r="16067">
          <cell r="L16067" t="str">
            <v>Non-proportional</v>
          </cell>
          <cell r="S16067">
            <v>9463.25</v>
          </cell>
          <cell r="X16067" t="str">
            <v>Commissions - gross</v>
          </cell>
          <cell r="Y16067" t="str">
            <v>FRANCE</v>
          </cell>
        </row>
        <row r="16068">
          <cell r="L16068" t="str">
            <v>Non-proportional</v>
          </cell>
          <cell r="S16068">
            <v>-23760</v>
          </cell>
          <cell r="X16068" t="str">
            <v>Commissions - gross</v>
          </cell>
          <cell r="Y16068" t="str">
            <v>GREECE</v>
          </cell>
        </row>
        <row r="16069">
          <cell r="L16069" t="str">
            <v>Non-proportional</v>
          </cell>
          <cell r="S16069">
            <v>-7930</v>
          </cell>
          <cell r="X16069" t="str">
            <v>Commissions - gross</v>
          </cell>
          <cell r="Y16069" t="str">
            <v>FRANCE</v>
          </cell>
        </row>
        <row r="16070">
          <cell r="L16070" t="str">
            <v>Non-proportional</v>
          </cell>
          <cell r="S16070">
            <v>-270.38</v>
          </cell>
          <cell r="X16070" t="str">
            <v>Commissions - gross</v>
          </cell>
          <cell r="Y16070" t="str">
            <v>ITALY</v>
          </cell>
        </row>
        <row r="16071">
          <cell r="L16071" t="str">
            <v>Non-proportional</v>
          </cell>
          <cell r="S16071">
            <v>-10054.35</v>
          </cell>
          <cell r="X16071" t="str">
            <v>Commissions - gross</v>
          </cell>
          <cell r="Y16071" t="str">
            <v>AUSTRIA</v>
          </cell>
        </row>
        <row r="16072">
          <cell r="L16072" t="str">
            <v>Non-proportional</v>
          </cell>
          <cell r="S16072">
            <v>1151.92</v>
          </cell>
          <cell r="X16072" t="str">
            <v>Commissions - gross</v>
          </cell>
          <cell r="Y16072" t="str">
            <v>COSTA RICA</v>
          </cell>
        </row>
        <row r="16073">
          <cell r="L16073" t="str">
            <v>Non-proportional</v>
          </cell>
          <cell r="S16073">
            <v>1072.9100000000001</v>
          </cell>
          <cell r="X16073" t="str">
            <v>Commissions - gross</v>
          </cell>
          <cell r="Y16073" t="str">
            <v>AUSTRIA</v>
          </cell>
        </row>
        <row r="16074">
          <cell r="L16074" t="str">
            <v>Non-proportional</v>
          </cell>
          <cell r="S16074">
            <v>1466825.48</v>
          </cell>
          <cell r="X16074" t="str">
            <v>Commissions - gross</v>
          </cell>
          <cell r="Y16074" t="str">
            <v>UNITED KINGDOM</v>
          </cell>
        </row>
        <row r="16075">
          <cell r="L16075" t="str">
            <v>Non-proportional</v>
          </cell>
          <cell r="S16075">
            <v>-375.7</v>
          </cell>
          <cell r="X16075" t="str">
            <v>Commissions - gross</v>
          </cell>
          <cell r="Y16075" t="str">
            <v>SWEDEN</v>
          </cell>
        </row>
        <row r="16076">
          <cell r="L16076" t="str">
            <v>Non-proportional</v>
          </cell>
          <cell r="S16076">
            <v>-929.11</v>
          </cell>
          <cell r="X16076" t="str">
            <v>Commissions - gross</v>
          </cell>
          <cell r="Y16076" t="str">
            <v>ICELAND</v>
          </cell>
        </row>
        <row r="16077">
          <cell r="L16077" t="str">
            <v>Non-proportional</v>
          </cell>
          <cell r="S16077">
            <v>-242</v>
          </cell>
          <cell r="X16077" t="str">
            <v>Commissions - gross</v>
          </cell>
          <cell r="Y16077" t="str">
            <v>ITALY</v>
          </cell>
        </row>
        <row r="16078">
          <cell r="L16078" t="str">
            <v>Non-proportional</v>
          </cell>
          <cell r="S16078">
            <v>5369.18</v>
          </cell>
          <cell r="X16078" t="str">
            <v>Commissions - gross</v>
          </cell>
          <cell r="Y16078" t="str">
            <v>EUROPE</v>
          </cell>
        </row>
        <row r="16079">
          <cell r="L16079" t="str">
            <v>Proportional</v>
          </cell>
          <cell r="S16079">
            <v>5729.9</v>
          </cell>
          <cell r="X16079" t="str">
            <v>Commissions - gross</v>
          </cell>
          <cell r="Y16079" t="str">
            <v>MEXICO</v>
          </cell>
        </row>
        <row r="16080">
          <cell r="L16080" t="str">
            <v>Non-proportional</v>
          </cell>
          <cell r="S16080">
            <v>-1203.98</v>
          </cell>
          <cell r="X16080" t="str">
            <v>Commissions - gross</v>
          </cell>
          <cell r="Y16080" t="str">
            <v>UNITED KINGDOM</v>
          </cell>
        </row>
        <row r="16081">
          <cell r="L16081" t="str">
            <v>Proportional</v>
          </cell>
          <cell r="S16081">
            <v>5029.6899999999996</v>
          </cell>
          <cell r="X16081" t="str">
            <v>Commissions - gross</v>
          </cell>
          <cell r="Y16081" t="str">
            <v>GERMANY</v>
          </cell>
        </row>
        <row r="16082">
          <cell r="L16082" t="str">
            <v>Non-proportional</v>
          </cell>
          <cell r="S16082">
            <v>438.04</v>
          </cell>
          <cell r="X16082" t="str">
            <v>Commissions - gross</v>
          </cell>
          <cell r="Y16082" t="str">
            <v>GREECE</v>
          </cell>
        </row>
        <row r="16083">
          <cell r="L16083" t="str">
            <v>Non-proportional</v>
          </cell>
          <cell r="S16083">
            <v>12431.25</v>
          </cell>
          <cell r="X16083" t="str">
            <v>Commissions - gross</v>
          </cell>
          <cell r="Y16083" t="str">
            <v>EUROPE</v>
          </cell>
        </row>
        <row r="16084">
          <cell r="L16084" t="str">
            <v>Non-proportional</v>
          </cell>
          <cell r="S16084">
            <v>-11721.51</v>
          </cell>
          <cell r="X16084" t="str">
            <v>Commissions - gross</v>
          </cell>
          <cell r="Y16084" t="str">
            <v>UNITED KINGDOM</v>
          </cell>
        </row>
        <row r="16085">
          <cell r="L16085" t="str">
            <v>Non-proportional</v>
          </cell>
          <cell r="S16085">
            <v>-8077.91</v>
          </cell>
          <cell r="X16085" t="str">
            <v>Commissions - gross</v>
          </cell>
          <cell r="Y16085" t="str">
            <v>PUERTO RICO</v>
          </cell>
        </row>
        <row r="16086">
          <cell r="L16086" t="str">
            <v>Non-proportional</v>
          </cell>
          <cell r="S16086">
            <v>-898.01</v>
          </cell>
          <cell r="X16086" t="str">
            <v>Commissions - gross</v>
          </cell>
          <cell r="Y16086" t="str">
            <v>ISRAEL</v>
          </cell>
        </row>
        <row r="16087">
          <cell r="L16087" t="str">
            <v>Non-proportional</v>
          </cell>
          <cell r="S16087">
            <v>-10054.35</v>
          </cell>
          <cell r="X16087" t="str">
            <v>Commissions - gross</v>
          </cell>
          <cell r="Y16087" t="str">
            <v>AUSTRIA</v>
          </cell>
        </row>
        <row r="16088">
          <cell r="L16088" t="str">
            <v>Non-proportional</v>
          </cell>
          <cell r="S16088">
            <v>9405</v>
          </cell>
          <cell r="X16088" t="str">
            <v>Commissions - gross</v>
          </cell>
          <cell r="Y16088" t="str">
            <v>TURKEY</v>
          </cell>
        </row>
        <row r="16089">
          <cell r="L16089" t="str">
            <v>Non-proportional</v>
          </cell>
          <cell r="S16089">
            <v>10.95</v>
          </cell>
          <cell r="X16089" t="str">
            <v>Commissions - gross</v>
          </cell>
          <cell r="Y16089" t="str">
            <v>FRANCE</v>
          </cell>
        </row>
        <row r="16090">
          <cell r="L16090" t="str">
            <v>Non-proportional</v>
          </cell>
          <cell r="S16090">
            <v>-1270</v>
          </cell>
          <cell r="X16090" t="str">
            <v>Commissions - gross</v>
          </cell>
          <cell r="Y16090" t="str">
            <v>NETHERLANDS</v>
          </cell>
        </row>
        <row r="16091">
          <cell r="L16091" t="str">
            <v>Non-proportional</v>
          </cell>
          <cell r="S16091">
            <v>7930</v>
          </cell>
          <cell r="X16091" t="str">
            <v>Commissions - gross</v>
          </cell>
          <cell r="Y16091" t="str">
            <v>FRANCE</v>
          </cell>
        </row>
        <row r="16092">
          <cell r="L16092" t="str">
            <v>Non-proportional</v>
          </cell>
          <cell r="S16092">
            <v>-10260</v>
          </cell>
          <cell r="X16092" t="str">
            <v>Commissions - gross</v>
          </cell>
          <cell r="Y16092" t="str">
            <v>TURKEY</v>
          </cell>
        </row>
        <row r="16093">
          <cell r="L16093" t="str">
            <v>Non-proportional</v>
          </cell>
          <cell r="S16093">
            <v>-6014.75</v>
          </cell>
          <cell r="X16093" t="str">
            <v>Commissions - gross</v>
          </cell>
          <cell r="Y16093" t="str">
            <v>FRANCE</v>
          </cell>
        </row>
        <row r="16094">
          <cell r="L16094" t="str">
            <v>Non-proportional</v>
          </cell>
          <cell r="S16094">
            <v>-5735</v>
          </cell>
          <cell r="X16094" t="str">
            <v>Commissions - gross</v>
          </cell>
          <cell r="Y16094" t="str">
            <v>NETHERLANDS</v>
          </cell>
        </row>
        <row r="16095">
          <cell r="L16095" t="str">
            <v>Non-proportional</v>
          </cell>
          <cell r="S16095">
            <v>21303.95</v>
          </cell>
          <cell r="X16095" t="str">
            <v>Commissions - gross</v>
          </cell>
          <cell r="Y16095" t="str">
            <v>TURKEY</v>
          </cell>
        </row>
        <row r="16096">
          <cell r="L16096" t="str">
            <v>Non-proportional</v>
          </cell>
          <cell r="S16096">
            <v>3599.78</v>
          </cell>
          <cell r="X16096" t="str">
            <v>Commissions - gross</v>
          </cell>
          <cell r="Y16096" t="str">
            <v>CHILE</v>
          </cell>
        </row>
        <row r="16097">
          <cell r="L16097" t="str">
            <v>Non-proportional</v>
          </cell>
          <cell r="S16097">
            <v>-449</v>
          </cell>
          <cell r="X16097" t="str">
            <v>Commissions - gross</v>
          </cell>
          <cell r="Y16097" t="str">
            <v>ISRAEL</v>
          </cell>
        </row>
        <row r="16098">
          <cell r="L16098" t="str">
            <v>Non-proportional</v>
          </cell>
          <cell r="S16098">
            <v>-5369.18</v>
          </cell>
          <cell r="X16098" t="str">
            <v>Commissions - gross</v>
          </cell>
          <cell r="Y16098" t="str">
            <v>EUROPE</v>
          </cell>
        </row>
        <row r="16099">
          <cell r="L16099" t="str">
            <v>Proportional</v>
          </cell>
          <cell r="S16099">
            <v>8170.49</v>
          </cell>
          <cell r="X16099" t="str">
            <v>Commissions - gross</v>
          </cell>
          <cell r="Y16099" t="str">
            <v>MEXICO</v>
          </cell>
        </row>
        <row r="16100">
          <cell r="L16100" t="str">
            <v>Non-proportional</v>
          </cell>
          <cell r="S16100">
            <v>-17156.25</v>
          </cell>
          <cell r="X16100" t="str">
            <v>Commissions - gross</v>
          </cell>
          <cell r="Y16100" t="str">
            <v>EUROPE</v>
          </cell>
        </row>
        <row r="16101">
          <cell r="L16101" t="str">
            <v>Proportional</v>
          </cell>
          <cell r="S16101">
            <v>4813.97</v>
          </cell>
          <cell r="X16101" t="str">
            <v>Commissions - gross</v>
          </cell>
          <cell r="Y16101" t="str">
            <v>MEXICO</v>
          </cell>
        </row>
        <row r="16102">
          <cell r="L16102" t="str">
            <v>Non-proportional</v>
          </cell>
          <cell r="S16102">
            <v>-1890</v>
          </cell>
          <cell r="X16102" t="str">
            <v>Commissions - gross</v>
          </cell>
          <cell r="Y16102" t="str">
            <v>EUROPE</v>
          </cell>
        </row>
        <row r="16103">
          <cell r="L16103" t="str">
            <v>Non-proportional</v>
          </cell>
          <cell r="S16103">
            <v>-125907.77</v>
          </cell>
          <cell r="X16103" t="str">
            <v>Commissions - gross</v>
          </cell>
          <cell r="Y16103" t="str">
            <v>UNITED KINGDOM</v>
          </cell>
        </row>
        <row r="16104">
          <cell r="L16104" t="str">
            <v>Non-proportional</v>
          </cell>
          <cell r="S16104">
            <v>1466825.48</v>
          </cell>
          <cell r="X16104" t="str">
            <v>Commissions - gross</v>
          </cell>
          <cell r="Y16104" t="str">
            <v>UNITED KINGDOM</v>
          </cell>
        </row>
        <row r="16105">
          <cell r="L16105" t="str">
            <v>Non-proportional</v>
          </cell>
          <cell r="S16105">
            <v>602.87</v>
          </cell>
          <cell r="X16105" t="str">
            <v>Commissions - gross</v>
          </cell>
          <cell r="Y16105" t="str">
            <v>UNITED KINGDOM</v>
          </cell>
        </row>
        <row r="16106">
          <cell r="L16106" t="str">
            <v>Non-proportional</v>
          </cell>
          <cell r="S16106">
            <v>-10800</v>
          </cell>
          <cell r="X16106" t="str">
            <v>Commissions - gross</v>
          </cell>
          <cell r="Y16106" t="str">
            <v>EUROPE</v>
          </cell>
        </row>
        <row r="16107">
          <cell r="L16107" t="str">
            <v>Non-proportional</v>
          </cell>
          <cell r="S16107">
            <v>10968.75</v>
          </cell>
          <cell r="X16107" t="str">
            <v>Commissions - gross</v>
          </cell>
          <cell r="Y16107" t="str">
            <v>EUROPE</v>
          </cell>
        </row>
        <row r="16108">
          <cell r="L16108" t="str">
            <v>Non-proportional</v>
          </cell>
          <cell r="S16108">
            <v>-1428.65</v>
          </cell>
          <cell r="X16108" t="str">
            <v>Commissions - gross</v>
          </cell>
          <cell r="Y16108" t="str">
            <v>ISRAEL</v>
          </cell>
        </row>
        <row r="16109">
          <cell r="L16109" t="str">
            <v>Non-proportional</v>
          </cell>
          <cell r="S16109">
            <v>-9653.01</v>
          </cell>
          <cell r="X16109" t="str">
            <v>Commissions - gross</v>
          </cell>
          <cell r="Y16109" t="str">
            <v>UNITED KINGDOM</v>
          </cell>
        </row>
        <row r="16110">
          <cell r="L16110" t="str">
            <v>Non-proportional</v>
          </cell>
          <cell r="S16110">
            <v>5592.41</v>
          </cell>
          <cell r="X16110" t="str">
            <v>Commissions - gross</v>
          </cell>
          <cell r="Y16110" t="str">
            <v>ISRAEL</v>
          </cell>
        </row>
        <row r="16111">
          <cell r="L16111" t="str">
            <v>Non-proportional</v>
          </cell>
          <cell r="S16111">
            <v>7749.43</v>
          </cell>
          <cell r="X16111" t="str">
            <v>Commissions - gross</v>
          </cell>
          <cell r="Y16111" t="str">
            <v>COSTA RICA</v>
          </cell>
        </row>
        <row r="16112">
          <cell r="L16112" t="str">
            <v>Non-proportional</v>
          </cell>
          <cell r="S16112">
            <v>2439.59</v>
          </cell>
          <cell r="X16112" t="str">
            <v>Commissions - gross</v>
          </cell>
          <cell r="Y16112" t="str">
            <v>AUSTRIA</v>
          </cell>
        </row>
        <row r="16113">
          <cell r="L16113" t="str">
            <v>Non-proportional</v>
          </cell>
          <cell r="S16113">
            <v>-10.95</v>
          </cell>
          <cell r="X16113" t="str">
            <v>Commissions - gross</v>
          </cell>
          <cell r="Y16113" t="str">
            <v>FRANCE</v>
          </cell>
        </row>
        <row r="16114">
          <cell r="L16114" t="str">
            <v>Non-proportional</v>
          </cell>
          <cell r="S16114">
            <v>-116.68</v>
          </cell>
          <cell r="X16114" t="str">
            <v>Commissions - gross</v>
          </cell>
          <cell r="Y16114" t="str">
            <v>GREECE</v>
          </cell>
        </row>
        <row r="16115">
          <cell r="L16115" t="str">
            <v>Non-proportional</v>
          </cell>
          <cell r="S16115">
            <v>1448.72</v>
          </cell>
          <cell r="X16115" t="str">
            <v>Commissions - gross</v>
          </cell>
          <cell r="Y16115" t="str">
            <v>COSTA RICA</v>
          </cell>
        </row>
        <row r="16116">
          <cell r="L16116" t="str">
            <v>Non-proportional</v>
          </cell>
          <cell r="S16116">
            <v>-3447.49</v>
          </cell>
          <cell r="X16116" t="str">
            <v>Commissions - gross</v>
          </cell>
          <cell r="Y16116" t="str">
            <v>UNITED KINGDOM</v>
          </cell>
        </row>
        <row r="16117">
          <cell r="L16117" t="str">
            <v>Non-proportional</v>
          </cell>
          <cell r="S16117">
            <v>-6.5</v>
          </cell>
          <cell r="X16117" t="str">
            <v>Commissions - gross</v>
          </cell>
          <cell r="Y16117" t="str">
            <v>NETHERLANDS</v>
          </cell>
        </row>
        <row r="16118">
          <cell r="L16118" t="str">
            <v>Non-proportional</v>
          </cell>
          <cell r="S16118">
            <v>1161.51</v>
          </cell>
          <cell r="X16118" t="str">
            <v>Commissions - gross</v>
          </cell>
          <cell r="Y16118" t="str">
            <v>SWEDEN</v>
          </cell>
        </row>
        <row r="16119">
          <cell r="L16119" t="str">
            <v>Non-proportional</v>
          </cell>
          <cell r="S16119">
            <v>271.42</v>
          </cell>
          <cell r="X16119" t="str">
            <v>Commissions - gross</v>
          </cell>
          <cell r="Y16119" t="str">
            <v>GERMANY</v>
          </cell>
        </row>
        <row r="16120">
          <cell r="L16120" t="str">
            <v>Non-proportional</v>
          </cell>
          <cell r="S16120">
            <v>-7218</v>
          </cell>
          <cell r="X16120" t="str">
            <v>Commissions - gross</v>
          </cell>
          <cell r="Y16120" t="str">
            <v>FRANCE</v>
          </cell>
        </row>
        <row r="16121">
          <cell r="L16121" t="str">
            <v>Non-proportional</v>
          </cell>
          <cell r="S16121">
            <v>-51.59</v>
          </cell>
          <cell r="X16121" t="str">
            <v>Commissions - gross</v>
          </cell>
          <cell r="Y16121" t="str">
            <v>ITALY</v>
          </cell>
        </row>
        <row r="16122">
          <cell r="L16122" t="str">
            <v>Non-proportional</v>
          </cell>
          <cell r="S16122">
            <v>14262.83</v>
          </cell>
          <cell r="X16122" t="str">
            <v>Commissions - gross</v>
          </cell>
          <cell r="Y16122" t="str">
            <v>FRANCE</v>
          </cell>
        </row>
        <row r="16123">
          <cell r="L16123" t="str">
            <v>Non-proportional</v>
          </cell>
          <cell r="S16123">
            <v>34493.35</v>
          </cell>
          <cell r="X16123" t="str">
            <v>Commissions - gross</v>
          </cell>
          <cell r="Y16123" t="str">
            <v>BELGIUM</v>
          </cell>
        </row>
        <row r="16124">
          <cell r="L16124" t="str">
            <v>Non-proportional</v>
          </cell>
          <cell r="S16124">
            <v>2054.35</v>
          </cell>
          <cell r="X16124" t="str">
            <v>Commissions - gross</v>
          </cell>
          <cell r="Y16124" t="str">
            <v>ISRAEL</v>
          </cell>
        </row>
        <row r="16125">
          <cell r="L16125" t="str">
            <v>Non-proportional</v>
          </cell>
          <cell r="S16125">
            <v>12636.35</v>
          </cell>
          <cell r="X16125" t="str">
            <v>Commissions - gross</v>
          </cell>
          <cell r="Y16125" t="str">
            <v>CHINA</v>
          </cell>
        </row>
        <row r="16126">
          <cell r="L16126" t="str">
            <v>Proportional</v>
          </cell>
          <cell r="S16126">
            <v>-4813.97</v>
          </cell>
          <cell r="X16126" t="str">
            <v>Commissions - gross</v>
          </cell>
          <cell r="Y16126" t="str">
            <v>MEXICO</v>
          </cell>
        </row>
        <row r="16127">
          <cell r="L16127" t="str">
            <v>Non-proportional</v>
          </cell>
          <cell r="S16127">
            <v>366706.37</v>
          </cell>
          <cell r="X16127" t="str">
            <v>Commissions - gross</v>
          </cell>
          <cell r="Y16127" t="str">
            <v>UNITED KINGDOM</v>
          </cell>
        </row>
        <row r="16128">
          <cell r="L16128" t="str">
            <v>Non-proportional</v>
          </cell>
          <cell r="S16128">
            <v>16286.98</v>
          </cell>
          <cell r="X16128" t="str">
            <v>Commissions - gross</v>
          </cell>
          <cell r="Y16128" t="str">
            <v>COSTA RICA</v>
          </cell>
        </row>
        <row r="16129">
          <cell r="L16129" t="str">
            <v>Non-proportional</v>
          </cell>
          <cell r="S16129">
            <v>-10.95</v>
          </cell>
          <cell r="X16129" t="str">
            <v>Commissions - gross</v>
          </cell>
          <cell r="Y16129" t="str">
            <v>FRANCE</v>
          </cell>
        </row>
        <row r="16130">
          <cell r="L16130" t="str">
            <v>Non-proportional</v>
          </cell>
          <cell r="S16130">
            <v>1698</v>
          </cell>
          <cell r="X16130" t="str">
            <v>Commissions - gross</v>
          </cell>
          <cell r="Y16130" t="str">
            <v>FRANCE</v>
          </cell>
        </row>
        <row r="16131">
          <cell r="L16131" t="str">
            <v>Non-proportional</v>
          </cell>
          <cell r="S16131">
            <v>10054.35</v>
          </cell>
          <cell r="X16131" t="str">
            <v>Commissions - gross</v>
          </cell>
          <cell r="Y16131" t="str">
            <v>AUSTRIA</v>
          </cell>
        </row>
        <row r="16132">
          <cell r="L16132" t="str">
            <v>Non-proportional</v>
          </cell>
          <cell r="S16132">
            <v>-15750</v>
          </cell>
          <cell r="X16132" t="str">
            <v>Commissions - gross</v>
          </cell>
          <cell r="Y16132" t="str">
            <v>EUROPE</v>
          </cell>
        </row>
        <row r="16133">
          <cell r="L16133" t="str">
            <v>Non-proportional</v>
          </cell>
          <cell r="S16133">
            <v>33823.440000000002</v>
          </cell>
          <cell r="X16133" t="str">
            <v>Commissions - gross</v>
          </cell>
          <cell r="Y16133" t="str">
            <v>FRANCE</v>
          </cell>
        </row>
        <row r="16134">
          <cell r="L16134" t="str">
            <v>Non-proportional</v>
          </cell>
          <cell r="S16134">
            <v>-8077.91</v>
          </cell>
          <cell r="X16134" t="str">
            <v>Commissions - gross</v>
          </cell>
          <cell r="Y16134" t="str">
            <v>PUERTO RICO</v>
          </cell>
        </row>
        <row r="16135">
          <cell r="L16135" t="str">
            <v>Non-proportional</v>
          </cell>
          <cell r="S16135">
            <v>-4213.1499999999996</v>
          </cell>
          <cell r="X16135" t="str">
            <v>Commissions - gross</v>
          </cell>
          <cell r="Y16135" t="str">
            <v>EUROPE</v>
          </cell>
        </row>
        <row r="16136">
          <cell r="L16136" t="str">
            <v>Non-proportional</v>
          </cell>
          <cell r="S16136">
            <v>830.79</v>
          </cell>
          <cell r="X16136" t="str">
            <v>Commissions - gross</v>
          </cell>
          <cell r="Y16136" t="str">
            <v>ITALY</v>
          </cell>
        </row>
        <row r="16137">
          <cell r="L16137" t="str">
            <v>Non-proportional</v>
          </cell>
          <cell r="S16137">
            <v>-9922.5</v>
          </cell>
          <cell r="X16137" t="str">
            <v>Commissions - gross</v>
          </cell>
          <cell r="Y16137" t="str">
            <v>TURKEY</v>
          </cell>
        </row>
        <row r="16138">
          <cell r="L16138" t="str">
            <v>Non-proportional</v>
          </cell>
          <cell r="S16138">
            <v>1005.76</v>
          </cell>
          <cell r="X16138" t="str">
            <v>Commissions - gross</v>
          </cell>
          <cell r="Y16138" t="str">
            <v>ITALY</v>
          </cell>
        </row>
        <row r="16139">
          <cell r="L16139" t="str">
            <v>Non-proportional</v>
          </cell>
          <cell r="S16139">
            <v>-35.5</v>
          </cell>
          <cell r="X16139" t="str">
            <v>Commissions - gross</v>
          </cell>
          <cell r="Y16139" t="str">
            <v>ITALY</v>
          </cell>
        </row>
        <row r="16140">
          <cell r="L16140" t="str">
            <v>Non-proportional</v>
          </cell>
          <cell r="S16140">
            <v>-9463.25</v>
          </cell>
          <cell r="X16140" t="str">
            <v>Commissions - gross</v>
          </cell>
          <cell r="Y16140" t="str">
            <v>FRANCE</v>
          </cell>
        </row>
        <row r="16141">
          <cell r="L16141" t="str">
            <v>Non-proportional</v>
          </cell>
          <cell r="S16141">
            <v>-3628.8</v>
          </cell>
          <cell r="X16141" t="str">
            <v>Commissions - gross</v>
          </cell>
          <cell r="Y16141" t="str">
            <v>GREECE</v>
          </cell>
        </row>
        <row r="16142">
          <cell r="L16142" t="str">
            <v>Proportional</v>
          </cell>
          <cell r="S16142">
            <v>403.05</v>
          </cell>
          <cell r="X16142" t="str">
            <v>Commissions - gross</v>
          </cell>
          <cell r="Y16142" t="str">
            <v>MEXICO</v>
          </cell>
        </row>
        <row r="16143">
          <cell r="L16143" t="str">
            <v>Non-proportional</v>
          </cell>
          <cell r="S16143">
            <v>12972.5</v>
          </cell>
          <cell r="X16143" t="str">
            <v>Commissions - gross</v>
          </cell>
          <cell r="Y16143" t="str">
            <v>FRANCE</v>
          </cell>
        </row>
        <row r="16144">
          <cell r="L16144" t="str">
            <v>Non-proportional</v>
          </cell>
          <cell r="S16144">
            <v>23760</v>
          </cell>
          <cell r="X16144" t="str">
            <v>Commissions - gross</v>
          </cell>
          <cell r="Y16144" t="str">
            <v>GREECE</v>
          </cell>
        </row>
        <row r="16145">
          <cell r="L16145" t="str">
            <v>Non-proportional</v>
          </cell>
          <cell r="S16145">
            <v>189.85</v>
          </cell>
          <cell r="X16145" t="str">
            <v>Commissions - gross</v>
          </cell>
          <cell r="Y16145" t="str">
            <v>SWITZERLAND</v>
          </cell>
        </row>
        <row r="16146">
          <cell r="L16146" t="str">
            <v>Non-proportional</v>
          </cell>
          <cell r="S16146">
            <v>3126.19</v>
          </cell>
          <cell r="X16146" t="str">
            <v>Commissions - gross</v>
          </cell>
          <cell r="Y16146" t="str">
            <v>ITALY</v>
          </cell>
        </row>
        <row r="16147">
          <cell r="L16147" t="str">
            <v>Non-proportional</v>
          </cell>
          <cell r="S16147">
            <v>-5130</v>
          </cell>
          <cell r="X16147" t="str">
            <v>Commissions - gross</v>
          </cell>
          <cell r="Y16147" t="str">
            <v>FRANCE</v>
          </cell>
        </row>
        <row r="16148">
          <cell r="L16148" t="str">
            <v>Non-proportional</v>
          </cell>
          <cell r="S16148">
            <v>-1160.44</v>
          </cell>
          <cell r="X16148" t="str">
            <v>Commissions - gross</v>
          </cell>
          <cell r="Y16148" t="str">
            <v>CHILE</v>
          </cell>
        </row>
        <row r="16149">
          <cell r="L16149" t="str">
            <v>Non-proportional</v>
          </cell>
          <cell r="S16149">
            <v>-814.19</v>
          </cell>
          <cell r="X16149" t="str">
            <v>Commissions - gross</v>
          </cell>
          <cell r="Y16149" t="str">
            <v>SWITZERLAND</v>
          </cell>
        </row>
        <row r="16150">
          <cell r="L16150" t="str">
            <v>Non-proportional</v>
          </cell>
          <cell r="S16150">
            <v>-10784.7</v>
          </cell>
          <cell r="X16150" t="str">
            <v>Commissions - gross</v>
          </cell>
          <cell r="Y16150" t="str">
            <v>FRANCE</v>
          </cell>
        </row>
        <row r="16151">
          <cell r="L16151" t="str">
            <v>Proportional</v>
          </cell>
          <cell r="S16151">
            <v>201345.29</v>
          </cell>
          <cell r="X16151" t="str">
            <v>Commissions - gross</v>
          </cell>
          <cell r="Y16151" t="str">
            <v>UNITED STATES</v>
          </cell>
        </row>
        <row r="16152">
          <cell r="L16152" t="str">
            <v>Non-proportional</v>
          </cell>
          <cell r="S16152">
            <v>122.13</v>
          </cell>
          <cell r="X16152" t="str">
            <v>Commissions - gross</v>
          </cell>
          <cell r="Y16152" t="str">
            <v>SWITZERLAND</v>
          </cell>
        </row>
        <row r="16153">
          <cell r="L16153" t="str">
            <v>Non-proportional</v>
          </cell>
          <cell r="S16153">
            <v>-1326.64</v>
          </cell>
          <cell r="X16153" t="str">
            <v>Commissions - gross</v>
          </cell>
          <cell r="Y16153" t="str">
            <v>ITALY</v>
          </cell>
        </row>
        <row r="16154">
          <cell r="L16154" t="str">
            <v>Non-proportional</v>
          </cell>
          <cell r="S16154">
            <v>-287.55</v>
          </cell>
          <cell r="X16154" t="str">
            <v>Commissions - gross</v>
          </cell>
          <cell r="Y16154" t="str">
            <v>ISRAEL</v>
          </cell>
        </row>
        <row r="16155">
          <cell r="L16155" t="str">
            <v>Non-proportional</v>
          </cell>
          <cell r="S16155">
            <v>4590</v>
          </cell>
          <cell r="X16155" t="str">
            <v>Commissions - gross</v>
          </cell>
          <cell r="Y16155" t="str">
            <v>ITALY</v>
          </cell>
        </row>
        <row r="16156">
          <cell r="L16156" t="str">
            <v>Non-proportional</v>
          </cell>
          <cell r="S16156">
            <v>1397.02</v>
          </cell>
          <cell r="X16156" t="str">
            <v>Commissions - gross</v>
          </cell>
          <cell r="Y16156" t="str">
            <v>COLOMBIA</v>
          </cell>
        </row>
        <row r="16157">
          <cell r="L16157" t="str">
            <v>Non-proportional</v>
          </cell>
          <cell r="S16157">
            <v>1259.8499999999999</v>
          </cell>
          <cell r="X16157" t="str">
            <v>Commissions - gross</v>
          </cell>
          <cell r="Y16157" t="str">
            <v>ITALY</v>
          </cell>
        </row>
        <row r="16158">
          <cell r="L16158" t="str">
            <v>Non-proportional</v>
          </cell>
          <cell r="S16158">
            <v>-12158</v>
          </cell>
          <cell r="X16158" t="str">
            <v>Commissions - gross</v>
          </cell>
          <cell r="Y16158" t="str">
            <v>FRANCE</v>
          </cell>
        </row>
        <row r="16159">
          <cell r="L16159" t="str">
            <v>Non-proportional</v>
          </cell>
          <cell r="S16159">
            <v>-332.74</v>
          </cell>
          <cell r="X16159" t="str">
            <v>Commissions - gross</v>
          </cell>
          <cell r="Y16159" t="str">
            <v>ITALY</v>
          </cell>
        </row>
        <row r="16160">
          <cell r="L16160" t="str">
            <v>Non-proportional</v>
          </cell>
          <cell r="S16160">
            <v>2719.65</v>
          </cell>
          <cell r="X16160" t="str">
            <v>Commissions - gross</v>
          </cell>
          <cell r="Y16160" t="str">
            <v>ITALY</v>
          </cell>
        </row>
        <row r="16161">
          <cell r="L16161" t="str">
            <v>Non-proportional</v>
          </cell>
          <cell r="S16161">
            <v>-13728.22</v>
          </cell>
          <cell r="X16161" t="str">
            <v>Commissions - gross</v>
          </cell>
          <cell r="Y16161" t="str">
            <v>COSTA RICA</v>
          </cell>
        </row>
        <row r="16162">
          <cell r="L16162" t="str">
            <v>Non-proportional</v>
          </cell>
          <cell r="S16162">
            <v>2401.63</v>
          </cell>
          <cell r="X16162" t="str">
            <v>Commissions - gross</v>
          </cell>
          <cell r="Y16162" t="str">
            <v>PERU</v>
          </cell>
        </row>
        <row r="16163">
          <cell r="L16163" t="str">
            <v>Non-proportional</v>
          </cell>
          <cell r="S16163">
            <v>-2773.5</v>
          </cell>
          <cell r="X16163" t="str">
            <v>Commissions - gross</v>
          </cell>
          <cell r="Y16163" t="str">
            <v>ISRAEL</v>
          </cell>
        </row>
        <row r="16164">
          <cell r="L16164" t="str">
            <v>Non-proportional</v>
          </cell>
          <cell r="S16164">
            <v>-3642.04</v>
          </cell>
          <cell r="X16164" t="str">
            <v>Commissions - gross</v>
          </cell>
          <cell r="Y16164" t="str">
            <v>GREECE</v>
          </cell>
        </row>
        <row r="16165">
          <cell r="L16165" t="str">
            <v>Non-proportional</v>
          </cell>
          <cell r="S16165">
            <v>-1663.29</v>
          </cell>
          <cell r="X16165" t="str">
            <v>Commissions - gross</v>
          </cell>
          <cell r="Y16165" t="str">
            <v>CHILE</v>
          </cell>
        </row>
        <row r="16166">
          <cell r="L16166" t="str">
            <v>Non-proportional</v>
          </cell>
          <cell r="S16166">
            <v>16838.43</v>
          </cell>
          <cell r="X16166" t="str">
            <v>Commissions - gross</v>
          </cell>
          <cell r="Y16166" t="str">
            <v>PERU</v>
          </cell>
        </row>
        <row r="16167">
          <cell r="L16167" t="str">
            <v>Non-proportional</v>
          </cell>
          <cell r="S16167">
            <v>-1063.2</v>
          </cell>
          <cell r="X16167" t="str">
            <v>Commissions - gross</v>
          </cell>
          <cell r="Y16167" t="str">
            <v>GERMANY</v>
          </cell>
        </row>
        <row r="16168">
          <cell r="L16168" t="str">
            <v>Non-proportional</v>
          </cell>
          <cell r="S16168">
            <v>757</v>
          </cell>
          <cell r="X16168" t="str">
            <v>Commissions - gross</v>
          </cell>
          <cell r="Y16168" t="str">
            <v>GERMANY</v>
          </cell>
        </row>
        <row r="16169">
          <cell r="L16169" t="str">
            <v>Non-proportional</v>
          </cell>
          <cell r="S16169">
            <v>1851.08</v>
          </cell>
          <cell r="X16169" t="str">
            <v>Commissions - gross</v>
          </cell>
          <cell r="Y16169" t="str">
            <v>GERMANY</v>
          </cell>
        </row>
        <row r="16170">
          <cell r="L16170" t="str">
            <v>Non-proportional</v>
          </cell>
          <cell r="S16170">
            <v>-331.73</v>
          </cell>
          <cell r="X16170" t="str">
            <v>Commissions - gross</v>
          </cell>
          <cell r="Y16170" t="str">
            <v>GERMANY</v>
          </cell>
        </row>
        <row r="16171">
          <cell r="L16171" t="str">
            <v>Non-proportional</v>
          </cell>
          <cell r="S16171">
            <v>4950.29</v>
          </cell>
          <cell r="X16171" t="str">
            <v>Commissions - gross</v>
          </cell>
          <cell r="Y16171" t="str">
            <v>COSTA RICA</v>
          </cell>
        </row>
        <row r="16172">
          <cell r="L16172" t="str">
            <v>Non-proportional</v>
          </cell>
          <cell r="S16172">
            <v>-4404.38</v>
          </cell>
          <cell r="X16172" t="str">
            <v>Commissions - gross</v>
          </cell>
          <cell r="Y16172" t="str">
            <v>GREECE</v>
          </cell>
        </row>
        <row r="16173">
          <cell r="L16173" t="str">
            <v>Non-proportional</v>
          </cell>
          <cell r="S16173">
            <v>-3856.28</v>
          </cell>
          <cell r="X16173" t="str">
            <v>Commissions - gross</v>
          </cell>
          <cell r="Y16173" t="str">
            <v>GREECE</v>
          </cell>
        </row>
        <row r="16174">
          <cell r="L16174" t="str">
            <v>Non-proportional</v>
          </cell>
          <cell r="S16174">
            <v>4573.6400000000003</v>
          </cell>
          <cell r="X16174" t="str">
            <v>Commissions - gross</v>
          </cell>
          <cell r="Y16174" t="str">
            <v>COLOMBIA</v>
          </cell>
        </row>
        <row r="16175">
          <cell r="L16175" t="str">
            <v>Non-proportional</v>
          </cell>
          <cell r="S16175">
            <v>-122.13</v>
          </cell>
          <cell r="X16175" t="str">
            <v>Commissions - gross</v>
          </cell>
          <cell r="Y16175" t="str">
            <v>SWITZERLAND</v>
          </cell>
        </row>
        <row r="16176">
          <cell r="L16176" t="str">
            <v>Non-proportional</v>
          </cell>
          <cell r="S16176">
            <v>-64.569999999999993</v>
          </cell>
          <cell r="X16176" t="str">
            <v>Commissions - gross</v>
          </cell>
          <cell r="Y16176" t="str">
            <v>GERMANY</v>
          </cell>
        </row>
        <row r="16177">
          <cell r="L16177" t="str">
            <v>Non-proportional</v>
          </cell>
          <cell r="S16177">
            <v>-2364.58</v>
          </cell>
          <cell r="X16177" t="str">
            <v>Commissions - gross</v>
          </cell>
          <cell r="Y16177" t="str">
            <v>ITALY</v>
          </cell>
        </row>
        <row r="16178">
          <cell r="L16178" t="str">
            <v>Non-proportional</v>
          </cell>
          <cell r="S16178">
            <v>-131.25</v>
          </cell>
          <cell r="X16178" t="str">
            <v>Commissions - gross</v>
          </cell>
          <cell r="Y16178" t="str">
            <v>NETHERLANDS</v>
          </cell>
        </row>
        <row r="16179">
          <cell r="L16179" t="str">
            <v>Non-proportional</v>
          </cell>
          <cell r="S16179">
            <v>166.2</v>
          </cell>
          <cell r="X16179" t="str">
            <v>Commissions - gross</v>
          </cell>
          <cell r="Y16179" t="str">
            <v>CYPRUS</v>
          </cell>
        </row>
        <row r="16180">
          <cell r="L16180" t="str">
            <v>Non-proportional</v>
          </cell>
          <cell r="S16180">
            <v>-6795.94</v>
          </cell>
          <cell r="X16180" t="str">
            <v>Commissions - gross</v>
          </cell>
          <cell r="Y16180" t="str">
            <v>AUSTRIA</v>
          </cell>
        </row>
        <row r="16181">
          <cell r="L16181" t="str">
            <v>Non-proportional</v>
          </cell>
          <cell r="S16181">
            <v>-5628.69</v>
          </cell>
          <cell r="X16181" t="str">
            <v>Commissions - gross</v>
          </cell>
          <cell r="Y16181" t="str">
            <v>COLOMBIA</v>
          </cell>
        </row>
        <row r="16182">
          <cell r="L16182" t="str">
            <v>Proportional</v>
          </cell>
          <cell r="S16182">
            <v>-51.09</v>
          </cell>
          <cell r="X16182" t="str">
            <v>Commissions - gross</v>
          </cell>
          <cell r="Y16182" t="str">
            <v>UNITED STATES</v>
          </cell>
        </row>
        <row r="16183">
          <cell r="L16183" t="str">
            <v>Non-proportional</v>
          </cell>
          <cell r="S16183">
            <v>-1551.21</v>
          </cell>
          <cell r="X16183" t="str">
            <v>Commissions - gross</v>
          </cell>
          <cell r="Y16183" t="str">
            <v>PERU</v>
          </cell>
        </row>
        <row r="16184">
          <cell r="L16184" t="str">
            <v>Non-proportional</v>
          </cell>
          <cell r="S16184">
            <v>-3879</v>
          </cell>
          <cell r="X16184" t="str">
            <v>Commissions - gross</v>
          </cell>
          <cell r="Y16184" t="str">
            <v>FRANCE</v>
          </cell>
        </row>
        <row r="16185">
          <cell r="L16185" t="str">
            <v>Non-proportional</v>
          </cell>
          <cell r="S16185">
            <v>-1527.39</v>
          </cell>
          <cell r="X16185" t="str">
            <v>Commissions - gross</v>
          </cell>
          <cell r="Y16185" t="str">
            <v>ITALY</v>
          </cell>
        </row>
        <row r="16186">
          <cell r="L16186" t="str">
            <v>Non-proportional</v>
          </cell>
          <cell r="S16186">
            <v>2818.8</v>
          </cell>
          <cell r="X16186" t="str">
            <v>Commissions - gross</v>
          </cell>
          <cell r="Y16186" t="str">
            <v>GREECE</v>
          </cell>
        </row>
        <row r="16187">
          <cell r="L16187" t="str">
            <v>Non-proportional</v>
          </cell>
          <cell r="S16187">
            <v>8178.59</v>
          </cell>
          <cell r="X16187" t="str">
            <v>Commissions - gross</v>
          </cell>
          <cell r="Y16187" t="str">
            <v>PERU</v>
          </cell>
        </row>
        <row r="16188">
          <cell r="L16188" t="str">
            <v>Non-proportional</v>
          </cell>
          <cell r="S16188">
            <v>1193.52</v>
          </cell>
          <cell r="X16188" t="str">
            <v>Commissions - gross</v>
          </cell>
          <cell r="Y16188" t="str">
            <v>BRAZIL</v>
          </cell>
        </row>
        <row r="16189">
          <cell r="L16189" t="str">
            <v>Non-proportional</v>
          </cell>
          <cell r="S16189">
            <v>-1265.7</v>
          </cell>
          <cell r="X16189" t="str">
            <v>Commissions - gross</v>
          </cell>
          <cell r="Y16189" t="str">
            <v>SWITZERLAND</v>
          </cell>
        </row>
        <row r="16190">
          <cell r="L16190" t="str">
            <v>Non-proportional</v>
          </cell>
          <cell r="S16190">
            <v>583.76</v>
          </cell>
          <cell r="X16190" t="str">
            <v>Commissions - gross</v>
          </cell>
          <cell r="Y16190" t="str">
            <v>CYPRUS</v>
          </cell>
        </row>
        <row r="16191">
          <cell r="L16191" t="str">
            <v>Non-proportional</v>
          </cell>
          <cell r="S16191">
            <v>-166.2</v>
          </cell>
          <cell r="X16191" t="str">
            <v>Commissions - gross</v>
          </cell>
          <cell r="Y16191" t="str">
            <v>CYPRUS</v>
          </cell>
        </row>
        <row r="16192">
          <cell r="L16192" t="str">
            <v>Non-proportional</v>
          </cell>
          <cell r="S16192">
            <v>-572.11</v>
          </cell>
          <cell r="X16192" t="str">
            <v>Commissions - gross</v>
          </cell>
          <cell r="Y16192" t="str">
            <v>THAILAND</v>
          </cell>
        </row>
        <row r="16193">
          <cell r="L16193" t="str">
            <v>Non-proportional</v>
          </cell>
          <cell r="S16193">
            <v>-2818.8</v>
          </cell>
          <cell r="X16193" t="str">
            <v>Commissions - gross</v>
          </cell>
          <cell r="Y16193" t="str">
            <v>GREECE</v>
          </cell>
        </row>
        <row r="16194">
          <cell r="L16194" t="str">
            <v>Non-proportional</v>
          </cell>
          <cell r="S16194">
            <v>10757.6</v>
          </cell>
          <cell r="X16194" t="str">
            <v>Commissions - gross</v>
          </cell>
          <cell r="Y16194" t="str">
            <v>PERU</v>
          </cell>
        </row>
        <row r="16195">
          <cell r="L16195" t="str">
            <v>Non-proportional</v>
          </cell>
          <cell r="S16195">
            <v>-561.99</v>
          </cell>
          <cell r="X16195" t="str">
            <v>Commissions - gross</v>
          </cell>
          <cell r="Y16195" t="str">
            <v>ISRAEL</v>
          </cell>
        </row>
        <row r="16196">
          <cell r="L16196" t="str">
            <v>Non-proportional</v>
          </cell>
          <cell r="S16196">
            <v>-242.63</v>
          </cell>
          <cell r="X16196" t="str">
            <v>Commissions - gross</v>
          </cell>
          <cell r="Y16196" t="str">
            <v>GERMANY</v>
          </cell>
        </row>
        <row r="16197">
          <cell r="L16197" t="str">
            <v>Non-proportional</v>
          </cell>
          <cell r="S16197">
            <v>11968.79</v>
          </cell>
          <cell r="X16197" t="str">
            <v>Commissions - gross</v>
          </cell>
          <cell r="Y16197" t="str">
            <v>COLOMBIA</v>
          </cell>
        </row>
        <row r="16198">
          <cell r="L16198" t="str">
            <v>Non-proportional</v>
          </cell>
          <cell r="S16198">
            <v>-1259.8499999999999</v>
          </cell>
          <cell r="X16198" t="str">
            <v>Commissions - gross</v>
          </cell>
          <cell r="Y16198" t="str">
            <v>ITALY</v>
          </cell>
        </row>
        <row r="16199">
          <cell r="L16199" t="str">
            <v>Non-proportional</v>
          </cell>
          <cell r="S16199">
            <v>-583.76</v>
          </cell>
          <cell r="X16199" t="str">
            <v>Commissions - gross</v>
          </cell>
          <cell r="Y16199" t="str">
            <v>CYPRUS</v>
          </cell>
        </row>
        <row r="16200">
          <cell r="L16200" t="str">
            <v>Non-proportional</v>
          </cell>
          <cell r="S16200">
            <v>-725.36</v>
          </cell>
          <cell r="X16200" t="str">
            <v>Commissions - gross</v>
          </cell>
          <cell r="Y16200" t="str">
            <v>THAILAND</v>
          </cell>
        </row>
        <row r="16201">
          <cell r="L16201" t="str">
            <v>Non-proportional</v>
          </cell>
          <cell r="S16201">
            <v>-13149.59</v>
          </cell>
          <cell r="X16201" t="str">
            <v>Commissions - gross</v>
          </cell>
          <cell r="Y16201" t="str">
            <v>COLOMBIA</v>
          </cell>
        </row>
        <row r="16202">
          <cell r="L16202" t="str">
            <v>Non-proportional</v>
          </cell>
          <cell r="S16202">
            <v>1578.32</v>
          </cell>
          <cell r="X16202" t="str">
            <v>Commissions - gross</v>
          </cell>
          <cell r="Y16202" t="str">
            <v>ITALY</v>
          </cell>
        </row>
        <row r="16203">
          <cell r="L16203" t="str">
            <v>Non-proportional</v>
          </cell>
          <cell r="S16203">
            <v>-6250.93</v>
          </cell>
          <cell r="X16203" t="str">
            <v>Commissions - gross</v>
          </cell>
          <cell r="Y16203" t="str">
            <v>COLOMBIA</v>
          </cell>
        </row>
        <row r="16204">
          <cell r="L16204" t="str">
            <v>Non-proportional</v>
          </cell>
          <cell r="S16204">
            <v>15472.49</v>
          </cell>
          <cell r="X16204" t="str">
            <v>Commissions - gross</v>
          </cell>
          <cell r="Y16204" t="str">
            <v>CHILE</v>
          </cell>
        </row>
        <row r="16205">
          <cell r="L16205" t="str">
            <v>Non-proportional</v>
          </cell>
          <cell r="S16205">
            <v>-11968.79</v>
          </cell>
          <cell r="X16205" t="str">
            <v>Commissions - gross</v>
          </cell>
          <cell r="Y16205" t="str">
            <v>COLOMBIA</v>
          </cell>
        </row>
        <row r="16206">
          <cell r="L16206" t="str">
            <v>Non-proportional</v>
          </cell>
          <cell r="S16206">
            <v>-17.39</v>
          </cell>
          <cell r="X16206" t="str">
            <v>Commissions - gross</v>
          </cell>
          <cell r="Y16206" t="str">
            <v>ISRAEL</v>
          </cell>
        </row>
        <row r="16207">
          <cell r="L16207" t="str">
            <v>Non-proportional</v>
          </cell>
          <cell r="S16207">
            <v>-190.78</v>
          </cell>
          <cell r="X16207" t="str">
            <v>Commissions - gross</v>
          </cell>
          <cell r="Y16207" t="str">
            <v>ISRAEL</v>
          </cell>
        </row>
        <row r="16208">
          <cell r="L16208" t="str">
            <v>Non-proportional</v>
          </cell>
          <cell r="S16208">
            <v>-6156</v>
          </cell>
          <cell r="X16208" t="str">
            <v>Commissions - gross</v>
          </cell>
          <cell r="Y16208" t="str">
            <v>ITALY</v>
          </cell>
        </row>
        <row r="16209">
          <cell r="L16209" t="str">
            <v>Non-proportional</v>
          </cell>
          <cell r="S16209">
            <v>-1219.22</v>
          </cell>
          <cell r="X16209" t="str">
            <v>Commissions - gross</v>
          </cell>
          <cell r="Y16209" t="str">
            <v>THAILAND</v>
          </cell>
        </row>
        <row r="16210">
          <cell r="L16210" t="str">
            <v>Non-proportional</v>
          </cell>
          <cell r="S16210">
            <v>-70870.64</v>
          </cell>
          <cell r="X16210" t="str">
            <v>Commissions - gross</v>
          </cell>
          <cell r="Y16210" t="str">
            <v>UNITED KINGDOM</v>
          </cell>
        </row>
        <row r="16211">
          <cell r="L16211" t="str">
            <v>Non-proportional</v>
          </cell>
          <cell r="S16211">
            <v>-5847.43</v>
          </cell>
          <cell r="X16211" t="str">
            <v>Commissions - gross</v>
          </cell>
          <cell r="Y16211" t="str">
            <v>ECUADOR</v>
          </cell>
        </row>
        <row r="16212">
          <cell r="L16212" t="str">
            <v>Non-proportional</v>
          </cell>
          <cell r="S16212">
            <v>9234.26</v>
          </cell>
          <cell r="X16212" t="str">
            <v>Commissions - gross</v>
          </cell>
          <cell r="Y16212" t="str">
            <v>PERU</v>
          </cell>
        </row>
        <row r="16213">
          <cell r="L16213" t="str">
            <v>Non-proportional</v>
          </cell>
          <cell r="S16213">
            <v>-694.91</v>
          </cell>
          <cell r="X16213" t="str">
            <v>Commissions - gross</v>
          </cell>
          <cell r="Y16213" t="str">
            <v>GERMANY</v>
          </cell>
        </row>
        <row r="16214">
          <cell r="L16214" t="str">
            <v>Non-proportional</v>
          </cell>
          <cell r="S16214">
            <v>-583.76</v>
          </cell>
          <cell r="X16214" t="str">
            <v>Commissions - gross</v>
          </cell>
          <cell r="Y16214" t="str">
            <v>CYPRUS</v>
          </cell>
        </row>
        <row r="16215">
          <cell r="L16215" t="str">
            <v>Non-proportional</v>
          </cell>
          <cell r="S16215">
            <v>4625</v>
          </cell>
          <cell r="X16215" t="str">
            <v>Commissions - gross</v>
          </cell>
          <cell r="Y16215" t="str">
            <v>FRANCE</v>
          </cell>
        </row>
        <row r="16216">
          <cell r="L16216" t="str">
            <v>Non-proportional</v>
          </cell>
          <cell r="S16216">
            <v>1623.84</v>
          </cell>
          <cell r="X16216" t="str">
            <v>Commissions - gross</v>
          </cell>
          <cell r="Y16216" t="str">
            <v>BRAZIL</v>
          </cell>
        </row>
        <row r="16217">
          <cell r="L16217" t="str">
            <v>Non-proportional</v>
          </cell>
          <cell r="S16217">
            <v>-2283.63</v>
          </cell>
          <cell r="X16217" t="str">
            <v>Commissions - gross</v>
          </cell>
          <cell r="Y16217" t="str">
            <v>PERU</v>
          </cell>
        </row>
        <row r="16218">
          <cell r="L16218" t="str">
            <v>Non-proportional</v>
          </cell>
          <cell r="S16218">
            <v>-4177.71</v>
          </cell>
          <cell r="X16218" t="str">
            <v>Commissions - gross</v>
          </cell>
          <cell r="Y16218" t="str">
            <v>ECUADOR</v>
          </cell>
        </row>
        <row r="16219">
          <cell r="L16219" t="str">
            <v>Non-proportional</v>
          </cell>
          <cell r="S16219">
            <v>-18462</v>
          </cell>
          <cell r="X16219" t="str">
            <v>Commissions - gross</v>
          </cell>
          <cell r="Y16219" t="str">
            <v>FRANCE</v>
          </cell>
        </row>
        <row r="16220">
          <cell r="L16220" t="str">
            <v>Non-proportional</v>
          </cell>
          <cell r="S16220">
            <v>-166.2</v>
          </cell>
          <cell r="X16220" t="str">
            <v>Commissions - gross</v>
          </cell>
          <cell r="Y16220" t="str">
            <v>CYPRUS</v>
          </cell>
        </row>
        <row r="16221">
          <cell r="L16221" t="str">
            <v>Non-proportional</v>
          </cell>
          <cell r="S16221">
            <v>38.36</v>
          </cell>
          <cell r="X16221" t="str">
            <v>Commissions - gross</v>
          </cell>
          <cell r="Y16221" t="str">
            <v>CYPRUS</v>
          </cell>
        </row>
        <row r="16222">
          <cell r="L16222" t="str">
            <v>Non-proportional</v>
          </cell>
          <cell r="S16222">
            <v>-35.64</v>
          </cell>
          <cell r="X16222" t="str">
            <v>Commissions - gross</v>
          </cell>
          <cell r="Y16222" t="str">
            <v>CYPRUS</v>
          </cell>
        </row>
        <row r="16223">
          <cell r="L16223" t="str">
            <v>Non-proportional</v>
          </cell>
          <cell r="S16223">
            <v>5130</v>
          </cell>
          <cell r="X16223" t="str">
            <v>Commissions - gross</v>
          </cell>
          <cell r="Y16223" t="str">
            <v>FRANCE</v>
          </cell>
        </row>
        <row r="16224">
          <cell r="L16224" t="str">
            <v>Non-proportional</v>
          </cell>
          <cell r="S16224">
            <v>-2667.2</v>
          </cell>
          <cell r="X16224" t="str">
            <v>Commissions - gross</v>
          </cell>
          <cell r="Y16224" t="str">
            <v>FRANCE</v>
          </cell>
        </row>
        <row r="16225">
          <cell r="L16225" t="str">
            <v>Non-proportional</v>
          </cell>
          <cell r="S16225">
            <v>7192</v>
          </cell>
          <cell r="X16225" t="str">
            <v>Commissions - gross</v>
          </cell>
          <cell r="Y16225" t="str">
            <v>FRANCE</v>
          </cell>
        </row>
        <row r="16226">
          <cell r="L16226" t="str">
            <v>Non-proportional</v>
          </cell>
          <cell r="S16226">
            <v>-9551.25</v>
          </cell>
          <cell r="X16226" t="str">
            <v>Commissions - gross</v>
          </cell>
          <cell r="Y16226" t="str">
            <v>TURKEY</v>
          </cell>
        </row>
        <row r="16227">
          <cell r="L16227" t="str">
            <v>Non-proportional</v>
          </cell>
          <cell r="S16227">
            <v>3642.04</v>
          </cell>
          <cell r="X16227" t="str">
            <v>Commissions - gross</v>
          </cell>
          <cell r="Y16227" t="str">
            <v>GREECE</v>
          </cell>
        </row>
        <row r="16228">
          <cell r="L16228" t="str">
            <v>Non-proportional</v>
          </cell>
          <cell r="S16228">
            <v>-1268.6199999999999</v>
          </cell>
          <cell r="X16228" t="str">
            <v>Commissions - gross</v>
          </cell>
          <cell r="Y16228" t="str">
            <v>BRAZIL</v>
          </cell>
        </row>
        <row r="16229">
          <cell r="L16229" t="str">
            <v>Non-proportional</v>
          </cell>
          <cell r="S16229">
            <v>-850</v>
          </cell>
          <cell r="X16229" t="str">
            <v>Commissions - gross</v>
          </cell>
          <cell r="Y16229" t="str">
            <v>GERMANY</v>
          </cell>
        </row>
        <row r="16230">
          <cell r="L16230" t="str">
            <v>Non-proportional</v>
          </cell>
          <cell r="S16230">
            <v>-857587.5</v>
          </cell>
          <cell r="X16230" t="str">
            <v>Commissions - gross</v>
          </cell>
          <cell r="Y16230" t="str">
            <v>FRANCE</v>
          </cell>
        </row>
        <row r="16231">
          <cell r="L16231" t="str">
            <v>Non-proportional</v>
          </cell>
          <cell r="S16231">
            <v>2054.4699999999998</v>
          </cell>
          <cell r="X16231" t="str">
            <v>Commissions - gross</v>
          </cell>
          <cell r="Y16231" t="str">
            <v>ITALY</v>
          </cell>
        </row>
        <row r="16232">
          <cell r="L16232" t="str">
            <v>Non-proportional</v>
          </cell>
          <cell r="S16232">
            <v>-10.28</v>
          </cell>
          <cell r="X16232" t="str">
            <v>Commissions - gross</v>
          </cell>
          <cell r="Y16232" t="str">
            <v>GERMANY</v>
          </cell>
        </row>
        <row r="16233">
          <cell r="L16233" t="str">
            <v>Non-proportional</v>
          </cell>
          <cell r="S16233">
            <v>583.76</v>
          </cell>
          <cell r="X16233" t="str">
            <v>Commissions - gross</v>
          </cell>
          <cell r="Y16233" t="str">
            <v>CYPRUS</v>
          </cell>
        </row>
        <row r="16234">
          <cell r="L16234" t="str">
            <v>Non-proportional</v>
          </cell>
          <cell r="S16234">
            <v>4404.38</v>
          </cell>
          <cell r="X16234" t="str">
            <v>Commissions - gross</v>
          </cell>
          <cell r="Y16234" t="str">
            <v>GREECE</v>
          </cell>
        </row>
        <row r="16235">
          <cell r="L16235" t="str">
            <v>Non-proportional</v>
          </cell>
          <cell r="S16235">
            <v>-2401.63</v>
          </cell>
          <cell r="X16235" t="str">
            <v>Commissions - gross</v>
          </cell>
          <cell r="Y16235" t="str">
            <v>PERU</v>
          </cell>
        </row>
        <row r="16236">
          <cell r="L16236" t="str">
            <v>Non-proportional</v>
          </cell>
          <cell r="S16236">
            <v>-171.84</v>
          </cell>
          <cell r="X16236" t="str">
            <v>Commissions - gross</v>
          </cell>
          <cell r="Y16236" t="str">
            <v>GERMANY</v>
          </cell>
        </row>
        <row r="16237">
          <cell r="L16237" t="str">
            <v>Non-proportional</v>
          </cell>
          <cell r="S16237">
            <v>-358.8</v>
          </cell>
          <cell r="X16237" t="str">
            <v>Commissions - gross</v>
          </cell>
          <cell r="Y16237" t="str">
            <v>FRANCE</v>
          </cell>
        </row>
        <row r="16238">
          <cell r="L16238" t="str">
            <v>Non-proportional</v>
          </cell>
          <cell r="S16238">
            <v>612.96</v>
          </cell>
          <cell r="X16238" t="str">
            <v>Commissions - gross</v>
          </cell>
          <cell r="Y16238" t="str">
            <v>MALTA</v>
          </cell>
        </row>
        <row r="16239">
          <cell r="L16239" t="str">
            <v>Non-proportional</v>
          </cell>
          <cell r="S16239">
            <v>39.270000000000003</v>
          </cell>
          <cell r="X16239" t="str">
            <v>Commissions - gross</v>
          </cell>
          <cell r="Y16239" t="str">
            <v>GERMANY</v>
          </cell>
        </row>
        <row r="16240">
          <cell r="L16240" t="str">
            <v>Non-proportional</v>
          </cell>
          <cell r="S16240">
            <v>-300</v>
          </cell>
          <cell r="X16240" t="str">
            <v>Commissions - gross</v>
          </cell>
          <cell r="Y16240" t="str">
            <v>GERMANY</v>
          </cell>
        </row>
        <row r="16241">
          <cell r="L16241" t="str">
            <v>Non-proportional</v>
          </cell>
          <cell r="S16241">
            <v>-36.71</v>
          </cell>
          <cell r="X16241" t="str">
            <v>Commissions - gross</v>
          </cell>
          <cell r="Y16241" t="str">
            <v>GERMANY</v>
          </cell>
        </row>
        <row r="16242">
          <cell r="L16242" t="str">
            <v>Non-proportional</v>
          </cell>
          <cell r="S16242">
            <v>786.03</v>
          </cell>
          <cell r="X16242" t="str">
            <v>Commissions - gross</v>
          </cell>
          <cell r="Y16242" t="str">
            <v>UNITED KINGDOM</v>
          </cell>
        </row>
        <row r="16243">
          <cell r="L16243" t="str">
            <v>Non-proportional</v>
          </cell>
          <cell r="S16243">
            <v>6343.72</v>
          </cell>
          <cell r="X16243" t="str">
            <v>Commissions - gross</v>
          </cell>
          <cell r="Y16243" t="str">
            <v>CHILE</v>
          </cell>
        </row>
        <row r="16244">
          <cell r="L16244" t="str">
            <v>Non-proportional</v>
          </cell>
          <cell r="S16244">
            <v>-130.97999999999999</v>
          </cell>
          <cell r="X16244" t="str">
            <v>Commissions - gross</v>
          </cell>
          <cell r="Y16244" t="str">
            <v>ISRAEL</v>
          </cell>
        </row>
        <row r="16245">
          <cell r="L16245" t="str">
            <v>Non-proportional</v>
          </cell>
          <cell r="S16245">
            <v>-87.09</v>
          </cell>
          <cell r="X16245" t="str">
            <v>Commissions - gross</v>
          </cell>
          <cell r="Y16245" t="str">
            <v>GERMANY</v>
          </cell>
        </row>
        <row r="16246">
          <cell r="L16246" t="str">
            <v>Non-proportional</v>
          </cell>
          <cell r="S16246">
            <v>40167.800000000003</v>
          </cell>
          <cell r="X16246" t="str">
            <v>Commissions - gross</v>
          </cell>
          <cell r="Y16246" t="str">
            <v>UNITED KINGDOM</v>
          </cell>
        </row>
        <row r="16247">
          <cell r="L16247" t="str">
            <v>Non-proportional</v>
          </cell>
          <cell r="S16247">
            <v>1014.9</v>
          </cell>
          <cell r="X16247" t="str">
            <v>Commissions - gross</v>
          </cell>
          <cell r="Y16247" t="str">
            <v>BRAZIL</v>
          </cell>
        </row>
        <row r="16248">
          <cell r="L16248" t="str">
            <v>Non-proportional</v>
          </cell>
          <cell r="S16248">
            <v>-1820.39</v>
          </cell>
          <cell r="X16248" t="str">
            <v>Commissions - gross</v>
          </cell>
          <cell r="Y16248" t="str">
            <v>COSTA RICA</v>
          </cell>
        </row>
        <row r="16249">
          <cell r="L16249" t="str">
            <v>Non-proportional</v>
          </cell>
          <cell r="S16249">
            <v>-10.92</v>
          </cell>
          <cell r="X16249" t="str">
            <v>Commissions - gross</v>
          </cell>
          <cell r="Y16249" t="str">
            <v>CYPRUS</v>
          </cell>
        </row>
        <row r="16250">
          <cell r="L16250" t="str">
            <v>Non-proportional</v>
          </cell>
          <cell r="S16250">
            <v>-3950</v>
          </cell>
          <cell r="X16250" t="str">
            <v>Commissions - gross</v>
          </cell>
          <cell r="Y16250" t="str">
            <v>FRANCE</v>
          </cell>
        </row>
        <row r="16251">
          <cell r="L16251" t="str">
            <v>Non-proportional</v>
          </cell>
          <cell r="S16251">
            <v>-4950.29</v>
          </cell>
          <cell r="X16251" t="str">
            <v>Commissions - gross</v>
          </cell>
          <cell r="Y16251" t="str">
            <v>COSTA RICA</v>
          </cell>
        </row>
        <row r="16252">
          <cell r="L16252" t="str">
            <v>Non-proportional</v>
          </cell>
          <cell r="S16252">
            <v>-1268.6199999999999</v>
          </cell>
          <cell r="X16252" t="str">
            <v>Commissions - gross</v>
          </cell>
          <cell r="Y16252" t="str">
            <v>BRAZIL</v>
          </cell>
        </row>
        <row r="16253">
          <cell r="L16253" t="str">
            <v>Non-proportional</v>
          </cell>
          <cell r="S16253">
            <v>-149.35</v>
          </cell>
          <cell r="X16253" t="str">
            <v>Commissions - gross</v>
          </cell>
          <cell r="Y16253" t="str">
            <v>FRANCE</v>
          </cell>
        </row>
        <row r="16254">
          <cell r="L16254" t="str">
            <v>Non-proportional</v>
          </cell>
          <cell r="S16254">
            <v>100.69</v>
          </cell>
          <cell r="X16254" t="str">
            <v>Commissions - gross</v>
          </cell>
          <cell r="Y16254" t="str">
            <v>FRANCE</v>
          </cell>
        </row>
        <row r="16255">
          <cell r="L16255" t="str">
            <v>Non-proportional</v>
          </cell>
          <cell r="S16255">
            <v>572.11</v>
          </cell>
          <cell r="X16255" t="str">
            <v>Commissions - gross</v>
          </cell>
          <cell r="Y16255" t="str">
            <v>THAILAND</v>
          </cell>
        </row>
        <row r="16256">
          <cell r="L16256" t="str">
            <v>Non-proportional</v>
          </cell>
          <cell r="S16256">
            <v>1524.26</v>
          </cell>
          <cell r="X16256" t="str">
            <v>Commissions - gross</v>
          </cell>
          <cell r="Y16256" t="str">
            <v>SWITZERLAND</v>
          </cell>
        </row>
        <row r="16257">
          <cell r="L16257" t="str">
            <v>Proportional</v>
          </cell>
          <cell r="S16257">
            <v>-73.959999999999994</v>
          </cell>
          <cell r="X16257" t="str">
            <v>Commissions - gross</v>
          </cell>
          <cell r="Y16257" t="str">
            <v>UNITED STATES</v>
          </cell>
        </row>
        <row r="16258">
          <cell r="L16258" t="str">
            <v>Non-proportional</v>
          </cell>
          <cell r="S16258">
            <v>-2374.38</v>
          </cell>
          <cell r="X16258" t="str">
            <v>Commissions - gross</v>
          </cell>
          <cell r="Y16258" t="str">
            <v>ITALY</v>
          </cell>
        </row>
        <row r="16259">
          <cell r="L16259" t="str">
            <v>Non-proportional</v>
          </cell>
          <cell r="S16259">
            <v>-8662.5</v>
          </cell>
          <cell r="X16259" t="str">
            <v>Commissions - gross</v>
          </cell>
          <cell r="Y16259" t="str">
            <v>TURKEY</v>
          </cell>
        </row>
        <row r="16260">
          <cell r="L16260" t="str">
            <v>Non-proportional</v>
          </cell>
          <cell r="S16260">
            <v>-372.98</v>
          </cell>
          <cell r="X16260" t="str">
            <v>Commissions - gross</v>
          </cell>
          <cell r="Y16260" t="str">
            <v>ISRAEL</v>
          </cell>
        </row>
        <row r="16261">
          <cell r="L16261" t="str">
            <v>Non-proportional</v>
          </cell>
          <cell r="S16261">
            <v>2.08</v>
          </cell>
          <cell r="X16261" t="str">
            <v>Commissions - gross</v>
          </cell>
          <cell r="Y16261" t="str">
            <v>GERMANY</v>
          </cell>
        </row>
        <row r="16262">
          <cell r="L16262" t="str">
            <v>Non-proportional</v>
          </cell>
          <cell r="S16262">
            <v>1904.82</v>
          </cell>
          <cell r="X16262" t="str">
            <v>Commissions - gross</v>
          </cell>
          <cell r="Y16262" t="str">
            <v>ITALY</v>
          </cell>
        </row>
        <row r="16263">
          <cell r="L16263" t="str">
            <v>Non-proportional</v>
          </cell>
          <cell r="S16263">
            <v>-1050</v>
          </cell>
          <cell r="X16263" t="str">
            <v>Commissions - gross</v>
          </cell>
          <cell r="Y16263" t="str">
            <v>ITALY</v>
          </cell>
        </row>
        <row r="16264">
          <cell r="L16264" t="str">
            <v>Proportional</v>
          </cell>
          <cell r="S16264">
            <v>-49.09</v>
          </cell>
          <cell r="X16264" t="str">
            <v>Commissions - gross</v>
          </cell>
          <cell r="Y16264" t="str">
            <v>UNITED STATES</v>
          </cell>
        </row>
        <row r="16265">
          <cell r="L16265" t="str">
            <v>Non-proportional</v>
          </cell>
          <cell r="S16265">
            <v>-2862.41</v>
          </cell>
          <cell r="X16265" t="str">
            <v>Commissions - gross</v>
          </cell>
          <cell r="Y16265" t="str">
            <v>CHILE</v>
          </cell>
        </row>
        <row r="16266">
          <cell r="L16266" t="str">
            <v>Non-proportional</v>
          </cell>
          <cell r="S16266">
            <v>-653</v>
          </cell>
          <cell r="X16266" t="str">
            <v>Commissions - gross</v>
          </cell>
          <cell r="Y16266" t="str">
            <v>GERMANY</v>
          </cell>
        </row>
        <row r="16267">
          <cell r="L16267" t="str">
            <v>Non-proportional</v>
          </cell>
          <cell r="S16267">
            <v>10.82</v>
          </cell>
          <cell r="X16267" t="str">
            <v>Commissions - gross</v>
          </cell>
          <cell r="Y16267" t="str">
            <v>ISRAEL</v>
          </cell>
        </row>
        <row r="16268">
          <cell r="L16268" t="str">
            <v>Non-proportional</v>
          </cell>
          <cell r="S16268">
            <v>-7565.42</v>
          </cell>
          <cell r="X16268" t="str">
            <v>Commissions - gross</v>
          </cell>
          <cell r="Y16268" t="str">
            <v>COLOMBIA</v>
          </cell>
        </row>
        <row r="16269">
          <cell r="L16269" t="str">
            <v>Non-proportional</v>
          </cell>
          <cell r="S16269">
            <v>-27.32</v>
          </cell>
          <cell r="X16269" t="str">
            <v>Commissions - gross</v>
          </cell>
          <cell r="Y16269" t="str">
            <v>GERMANY</v>
          </cell>
        </row>
        <row r="16270">
          <cell r="L16270" t="str">
            <v>Non-proportional</v>
          </cell>
          <cell r="S16270">
            <v>1994.6</v>
          </cell>
          <cell r="X16270" t="str">
            <v>Commissions - gross</v>
          </cell>
          <cell r="Y16270" t="str">
            <v>FRANCE</v>
          </cell>
        </row>
        <row r="16271">
          <cell r="L16271" t="str">
            <v>Non-proportional</v>
          </cell>
          <cell r="S16271">
            <v>-2283.63</v>
          </cell>
          <cell r="X16271" t="str">
            <v>Commissions - gross</v>
          </cell>
          <cell r="Y16271" t="str">
            <v>PERU</v>
          </cell>
        </row>
        <row r="16272">
          <cell r="L16272" t="str">
            <v>Non-proportional</v>
          </cell>
          <cell r="S16272">
            <v>15085.78</v>
          </cell>
          <cell r="X16272" t="str">
            <v>Commissions - gross</v>
          </cell>
          <cell r="Y16272" t="str">
            <v>ECUADOR</v>
          </cell>
        </row>
        <row r="16273">
          <cell r="L16273" t="str">
            <v>Non-proportional</v>
          </cell>
          <cell r="S16273">
            <v>-4590</v>
          </cell>
          <cell r="X16273" t="str">
            <v>Commissions - gross</v>
          </cell>
          <cell r="Y16273" t="str">
            <v>ITALY</v>
          </cell>
        </row>
        <row r="16274">
          <cell r="L16274" t="str">
            <v>Non-proportional</v>
          </cell>
          <cell r="S16274">
            <v>-1034</v>
          </cell>
          <cell r="X16274" t="str">
            <v>Commissions - gross</v>
          </cell>
          <cell r="Y16274" t="str">
            <v>ISRAEL</v>
          </cell>
        </row>
        <row r="16275">
          <cell r="L16275" t="str">
            <v>Non-proportional</v>
          </cell>
          <cell r="S16275">
            <v>4159.6899999999996</v>
          </cell>
          <cell r="X16275" t="str">
            <v>Commissions - gross</v>
          </cell>
          <cell r="Y16275" t="str">
            <v>GREECE</v>
          </cell>
        </row>
        <row r="16276">
          <cell r="L16276" t="str">
            <v>Non-proportional</v>
          </cell>
          <cell r="S16276">
            <v>2625.07</v>
          </cell>
          <cell r="X16276" t="str">
            <v>Commissions - gross</v>
          </cell>
          <cell r="Y16276" t="str">
            <v>SPAIN</v>
          </cell>
        </row>
        <row r="16277">
          <cell r="L16277" t="str">
            <v>Non-proportional</v>
          </cell>
          <cell r="S16277">
            <v>-885.33</v>
          </cell>
          <cell r="X16277" t="str">
            <v>Commissions - gross</v>
          </cell>
          <cell r="Y16277" t="str">
            <v>ISRAEL</v>
          </cell>
        </row>
        <row r="16278">
          <cell r="L16278" t="str">
            <v>Non-proportional</v>
          </cell>
          <cell r="S16278">
            <v>-220.34</v>
          </cell>
          <cell r="X16278" t="str">
            <v>Commissions - gross</v>
          </cell>
          <cell r="Y16278" t="str">
            <v>NETHERLANDS</v>
          </cell>
        </row>
        <row r="16279">
          <cell r="L16279" t="str">
            <v>Non-proportional</v>
          </cell>
          <cell r="S16279">
            <v>-168.89</v>
          </cell>
          <cell r="X16279" t="str">
            <v>Commissions - gross</v>
          </cell>
          <cell r="Y16279" t="str">
            <v>NETHERLANDS</v>
          </cell>
        </row>
        <row r="16280">
          <cell r="L16280" t="str">
            <v>Non-proportional</v>
          </cell>
          <cell r="S16280">
            <v>1181.32</v>
          </cell>
          <cell r="X16280" t="str">
            <v>Commissions - gross</v>
          </cell>
          <cell r="Y16280" t="str">
            <v>ITALY</v>
          </cell>
        </row>
        <row r="16281">
          <cell r="L16281" t="str">
            <v>Non-proportional</v>
          </cell>
          <cell r="S16281">
            <v>0.84</v>
          </cell>
          <cell r="X16281" t="str">
            <v>Commissions - gross</v>
          </cell>
          <cell r="Y16281" t="str">
            <v>GERMANY</v>
          </cell>
        </row>
        <row r="16282">
          <cell r="L16282" t="str">
            <v>Non-proportional</v>
          </cell>
          <cell r="S16282">
            <v>971.15</v>
          </cell>
          <cell r="X16282" t="str">
            <v>Commissions - gross</v>
          </cell>
          <cell r="Y16282" t="str">
            <v>SWITZERLAND</v>
          </cell>
        </row>
        <row r="16283">
          <cell r="L16283" t="str">
            <v>Non-proportional</v>
          </cell>
          <cell r="S16283">
            <v>450.14</v>
          </cell>
          <cell r="X16283" t="str">
            <v>Commissions - gross</v>
          </cell>
          <cell r="Y16283" t="str">
            <v>GERMANY</v>
          </cell>
        </row>
        <row r="16284">
          <cell r="L16284" t="str">
            <v>Non-proportional</v>
          </cell>
          <cell r="S16284">
            <v>-4870.5</v>
          </cell>
          <cell r="X16284" t="str">
            <v>Commissions - gross</v>
          </cell>
          <cell r="Y16284" t="str">
            <v>FRANCE</v>
          </cell>
        </row>
        <row r="16285">
          <cell r="L16285" t="str">
            <v>Proportional</v>
          </cell>
          <cell r="S16285">
            <v>-184230.94</v>
          </cell>
          <cell r="X16285" t="str">
            <v>Commissions - gross</v>
          </cell>
          <cell r="Y16285" t="str">
            <v>UNITED STATES</v>
          </cell>
        </row>
        <row r="16286">
          <cell r="L16286" t="str">
            <v>Non-proportional</v>
          </cell>
          <cell r="S16286">
            <v>-11136.68</v>
          </cell>
          <cell r="X16286" t="str">
            <v>Commissions - gross</v>
          </cell>
          <cell r="Y16286" t="str">
            <v>GERMANY</v>
          </cell>
        </row>
        <row r="16287">
          <cell r="L16287" t="str">
            <v>Non-proportional</v>
          </cell>
          <cell r="S16287">
            <v>1358.42</v>
          </cell>
          <cell r="X16287" t="str">
            <v>Commissions - gross</v>
          </cell>
          <cell r="Y16287" t="str">
            <v>ITALY</v>
          </cell>
        </row>
        <row r="16288">
          <cell r="L16288" t="str">
            <v>Non-proportional</v>
          </cell>
          <cell r="S16288">
            <v>2054.4699999999998</v>
          </cell>
          <cell r="X16288" t="str">
            <v>Commissions - gross</v>
          </cell>
          <cell r="Y16288" t="str">
            <v>ITALY</v>
          </cell>
        </row>
        <row r="16289">
          <cell r="L16289" t="str">
            <v>Non-proportional</v>
          </cell>
          <cell r="S16289">
            <v>6531.63</v>
          </cell>
          <cell r="X16289" t="str">
            <v>Commissions - gross</v>
          </cell>
          <cell r="Y16289" t="str">
            <v>COSTA RICA</v>
          </cell>
        </row>
        <row r="16290">
          <cell r="L16290" t="str">
            <v>Non-proportional</v>
          </cell>
          <cell r="S16290">
            <v>-1623.84</v>
          </cell>
          <cell r="X16290" t="str">
            <v>Commissions - gross</v>
          </cell>
          <cell r="Y16290" t="str">
            <v>BRAZIL</v>
          </cell>
        </row>
        <row r="16291">
          <cell r="L16291" t="str">
            <v>Non-proportional</v>
          </cell>
          <cell r="S16291">
            <v>1623.84</v>
          </cell>
          <cell r="X16291" t="str">
            <v>Commissions - gross</v>
          </cell>
          <cell r="Y16291" t="str">
            <v>BRAZIL</v>
          </cell>
        </row>
        <row r="16292">
          <cell r="L16292" t="str">
            <v>Non-proportional</v>
          </cell>
          <cell r="S16292">
            <v>2362.5</v>
          </cell>
          <cell r="X16292" t="str">
            <v>Commissions - gross</v>
          </cell>
          <cell r="Y16292" t="str">
            <v>SPAIN</v>
          </cell>
        </row>
        <row r="16293">
          <cell r="L16293" t="str">
            <v>Non-proportional</v>
          </cell>
          <cell r="S16293">
            <v>-698.94</v>
          </cell>
          <cell r="X16293" t="str">
            <v>Commissions - gross</v>
          </cell>
          <cell r="Y16293" t="str">
            <v>NETHERLANDS</v>
          </cell>
        </row>
        <row r="16294">
          <cell r="L16294" t="str">
            <v>Non-proportional</v>
          </cell>
          <cell r="S16294">
            <v>-3500.97</v>
          </cell>
          <cell r="X16294" t="str">
            <v>Commissions - gross</v>
          </cell>
          <cell r="Y16294" t="str">
            <v>PERU</v>
          </cell>
        </row>
        <row r="16295">
          <cell r="L16295" t="str">
            <v>Non-proportional</v>
          </cell>
          <cell r="S16295">
            <v>70870.64</v>
          </cell>
          <cell r="X16295" t="str">
            <v>Commissions - gross</v>
          </cell>
          <cell r="Y16295" t="str">
            <v>UNITED KINGDOM</v>
          </cell>
        </row>
        <row r="16296">
          <cell r="L16296" t="str">
            <v>Non-proportional</v>
          </cell>
          <cell r="S16296">
            <v>5412.43</v>
          </cell>
          <cell r="X16296" t="str">
            <v>Commissions - gross</v>
          </cell>
          <cell r="Y16296" t="str">
            <v>PERU</v>
          </cell>
        </row>
        <row r="16297">
          <cell r="L16297" t="str">
            <v>Non-proportional</v>
          </cell>
          <cell r="S16297">
            <v>11889.68</v>
          </cell>
          <cell r="X16297" t="str">
            <v>Commissions - gross</v>
          </cell>
          <cell r="Y16297" t="str">
            <v>GERMANY</v>
          </cell>
        </row>
        <row r="16298">
          <cell r="L16298" t="str">
            <v>Non-proportional</v>
          </cell>
          <cell r="S16298">
            <v>895.92</v>
          </cell>
          <cell r="X16298" t="str">
            <v>Commissions - gross</v>
          </cell>
          <cell r="Y16298" t="str">
            <v>ISRAEL</v>
          </cell>
        </row>
        <row r="16299">
          <cell r="L16299" t="str">
            <v>Non-proportional</v>
          </cell>
          <cell r="S16299">
            <v>11340</v>
          </cell>
          <cell r="X16299" t="str">
            <v>Commissions - gross</v>
          </cell>
          <cell r="Y16299" t="str">
            <v>ITALY</v>
          </cell>
        </row>
        <row r="16300">
          <cell r="L16300" t="str">
            <v>Non-proportional</v>
          </cell>
          <cell r="S16300">
            <v>814.19</v>
          </cell>
          <cell r="X16300" t="str">
            <v>Commissions - gross</v>
          </cell>
          <cell r="Y16300" t="str">
            <v>SWITZERLAND</v>
          </cell>
        </row>
        <row r="16301">
          <cell r="L16301" t="str">
            <v>Non-proportional</v>
          </cell>
          <cell r="S16301">
            <v>-1855.4</v>
          </cell>
          <cell r="X16301" t="str">
            <v>Commissions - gross</v>
          </cell>
          <cell r="Y16301" t="str">
            <v>FRANCE</v>
          </cell>
        </row>
        <row r="16302">
          <cell r="L16302" t="str">
            <v>Non-proportional</v>
          </cell>
          <cell r="S16302">
            <v>561.99</v>
          </cell>
          <cell r="X16302" t="str">
            <v>Commissions - gross</v>
          </cell>
          <cell r="Y16302" t="str">
            <v>ISRAEL</v>
          </cell>
        </row>
        <row r="16303">
          <cell r="L16303" t="str">
            <v>Non-proportional</v>
          </cell>
          <cell r="S16303">
            <v>95.08</v>
          </cell>
          <cell r="X16303" t="str">
            <v>Commissions - gross</v>
          </cell>
          <cell r="Y16303" t="str">
            <v>ISRAEL</v>
          </cell>
        </row>
        <row r="16304">
          <cell r="L16304" t="str">
            <v>Non-proportional</v>
          </cell>
          <cell r="S16304">
            <v>-1358.42</v>
          </cell>
          <cell r="X16304" t="str">
            <v>Commissions - gross</v>
          </cell>
          <cell r="Y16304" t="str">
            <v>ITALY</v>
          </cell>
        </row>
        <row r="16305">
          <cell r="L16305" t="str">
            <v>Non-proportional</v>
          </cell>
          <cell r="S16305">
            <v>4905</v>
          </cell>
          <cell r="X16305" t="str">
            <v>Commissions - gross</v>
          </cell>
          <cell r="Y16305" t="str">
            <v>TURKEY</v>
          </cell>
        </row>
        <row r="16306">
          <cell r="L16306" t="str">
            <v>Non-proportional</v>
          </cell>
          <cell r="S16306">
            <v>57101.13</v>
          </cell>
          <cell r="X16306" t="str">
            <v>Commissions - gross</v>
          </cell>
          <cell r="Y16306" t="str">
            <v>UNITED KINGDOM</v>
          </cell>
        </row>
        <row r="16307">
          <cell r="L16307" t="str">
            <v>Non-proportional</v>
          </cell>
          <cell r="S16307">
            <v>1393.13</v>
          </cell>
          <cell r="X16307" t="str">
            <v>Commissions - gross</v>
          </cell>
          <cell r="Y16307" t="str">
            <v>GERMANY</v>
          </cell>
        </row>
        <row r="16308">
          <cell r="L16308" t="str">
            <v>Non-proportional</v>
          </cell>
          <cell r="S16308">
            <v>-9234.26</v>
          </cell>
          <cell r="X16308" t="str">
            <v>Commissions - gross</v>
          </cell>
          <cell r="Y16308" t="str">
            <v>PERU</v>
          </cell>
        </row>
        <row r="16309">
          <cell r="L16309" t="str">
            <v>Non-proportional</v>
          </cell>
          <cell r="S16309">
            <v>1045.8399999999999</v>
          </cell>
          <cell r="X16309" t="str">
            <v>Commissions - gross</v>
          </cell>
          <cell r="Y16309" t="str">
            <v>GERMANY</v>
          </cell>
        </row>
        <row r="16310">
          <cell r="L16310" t="str">
            <v>Non-proportional</v>
          </cell>
          <cell r="S16310">
            <v>-4905</v>
          </cell>
          <cell r="X16310" t="str">
            <v>Commissions - gross</v>
          </cell>
          <cell r="Y16310" t="str">
            <v>TURKEY</v>
          </cell>
        </row>
        <row r="16311">
          <cell r="L16311" t="str">
            <v>Non-proportional</v>
          </cell>
          <cell r="S16311">
            <v>961.78</v>
          </cell>
          <cell r="X16311" t="str">
            <v>Commissions - gross</v>
          </cell>
          <cell r="Y16311" t="str">
            <v>ITALY</v>
          </cell>
        </row>
        <row r="16312">
          <cell r="L16312" t="str">
            <v>Non-proportional</v>
          </cell>
          <cell r="S16312">
            <v>4177.57</v>
          </cell>
          <cell r="X16312" t="str">
            <v>Commissions - gross</v>
          </cell>
          <cell r="Y16312" t="str">
            <v>CHILE</v>
          </cell>
        </row>
        <row r="16313">
          <cell r="L16313" t="str">
            <v>Non-proportional</v>
          </cell>
          <cell r="S16313">
            <v>1855.4</v>
          </cell>
          <cell r="X16313" t="str">
            <v>Commissions - gross</v>
          </cell>
          <cell r="Y16313" t="str">
            <v>FRANCE</v>
          </cell>
        </row>
        <row r="16314">
          <cell r="L16314" t="str">
            <v>Non-proportional</v>
          </cell>
          <cell r="S16314">
            <v>8045.69</v>
          </cell>
          <cell r="X16314" t="str">
            <v>Commissions - gross</v>
          </cell>
          <cell r="Y16314" t="str">
            <v>CHILE</v>
          </cell>
        </row>
        <row r="16315">
          <cell r="L16315" t="str">
            <v>Non-proportional</v>
          </cell>
          <cell r="S16315">
            <v>-1345.34</v>
          </cell>
          <cell r="X16315" t="str">
            <v>Commissions - gross</v>
          </cell>
          <cell r="Y16315" t="str">
            <v>GERMANY</v>
          </cell>
        </row>
        <row r="16316">
          <cell r="L16316" t="str">
            <v>Non-proportional</v>
          </cell>
          <cell r="S16316">
            <v>1179.4100000000001</v>
          </cell>
          <cell r="X16316" t="str">
            <v>Commissions - gross</v>
          </cell>
          <cell r="Y16316" t="str">
            <v>GERMANY</v>
          </cell>
        </row>
        <row r="16317">
          <cell r="L16317" t="str">
            <v>Non-proportional</v>
          </cell>
          <cell r="S16317">
            <v>-8045.69</v>
          </cell>
          <cell r="X16317" t="str">
            <v>Commissions - gross</v>
          </cell>
          <cell r="Y16317" t="str">
            <v>CHILE</v>
          </cell>
        </row>
        <row r="16318">
          <cell r="L16318" t="str">
            <v>Non-proportional</v>
          </cell>
          <cell r="S16318">
            <v>1268.6199999999999</v>
          </cell>
          <cell r="X16318" t="str">
            <v>Commissions - gross</v>
          </cell>
          <cell r="Y16318" t="str">
            <v>BRAZIL</v>
          </cell>
        </row>
        <row r="16319">
          <cell r="L16319" t="str">
            <v>Non-proportional</v>
          </cell>
          <cell r="S16319">
            <v>12158</v>
          </cell>
          <cell r="X16319" t="str">
            <v>Commissions - gross</v>
          </cell>
          <cell r="Y16319" t="str">
            <v>FRANCE</v>
          </cell>
        </row>
        <row r="16320">
          <cell r="L16320" t="str">
            <v>Non-proportional</v>
          </cell>
          <cell r="S16320">
            <v>409.78</v>
          </cell>
          <cell r="X16320" t="str">
            <v>Commissions - gross</v>
          </cell>
          <cell r="Y16320" t="str">
            <v>ISRAEL</v>
          </cell>
        </row>
        <row r="16321">
          <cell r="L16321" t="str">
            <v>Non-proportional</v>
          </cell>
          <cell r="S16321">
            <v>-2362.5</v>
          </cell>
          <cell r="X16321" t="str">
            <v>Commissions - gross</v>
          </cell>
          <cell r="Y16321" t="str">
            <v>SPAIN</v>
          </cell>
        </row>
        <row r="16322">
          <cell r="L16322" t="str">
            <v>Non-proportional</v>
          </cell>
          <cell r="S16322">
            <v>-318.83999999999997</v>
          </cell>
          <cell r="X16322" t="str">
            <v>Commissions - gross</v>
          </cell>
          <cell r="Y16322" t="str">
            <v>GERMANY</v>
          </cell>
        </row>
        <row r="16323">
          <cell r="L16323" t="str">
            <v>Non-proportional</v>
          </cell>
          <cell r="S16323">
            <v>-7800</v>
          </cell>
          <cell r="X16323" t="str">
            <v>Commissions - gross</v>
          </cell>
          <cell r="Y16323" t="str">
            <v>FRANCE</v>
          </cell>
        </row>
        <row r="16324">
          <cell r="L16324" t="str">
            <v>Non-proportional</v>
          </cell>
          <cell r="S16324">
            <v>166.2</v>
          </cell>
          <cell r="X16324" t="str">
            <v>Commissions - gross</v>
          </cell>
          <cell r="Y16324" t="str">
            <v>CYPRUS</v>
          </cell>
        </row>
        <row r="16325">
          <cell r="L16325" t="str">
            <v>Non-proportional</v>
          </cell>
          <cell r="S16325">
            <v>3879</v>
          </cell>
          <cell r="X16325" t="str">
            <v>Commissions - gross</v>
          </cell>
          <cell r="Y16325" t="str">
            <v>FRANCE</v>
          </cell>
        </row>
        <row r="16326">
          <cell r="L16326" t="str">
            <v>Non-proportional</v>
          </cell>
          <cell r="S16326">
            <v>2243.5100000000002</v>
          </cell>
          <cell r="X16326" t="str">
            <v>Commissions - gross</v>
          </cell>
          <cell r="Y16326" t="str">
            <v>CHILE</v>
          </cell>
        </row>
        <row r="16327">
          <cell r="L16327" t="str">
            <v>Non-proportional</v>
          </cell>
          <cell r="S16327">
            <v>-2578.56</v>
          </cell>
          <cell r="X16327" t="str">
            <v>Commissions - gross</v>
          </cell>
          <cell r="Y16327" t="str">
            <v>MALTA</v>
          </cell>
        </row>
        <row r="16328">
          <cell r="L16328" t="str">
            <v>Non-proportional</v>
          </cell>
          <cell r="S16328">
            <v>6156</v>
          </cell>
          <cell r="X16328" t="str">
            <v>Commissions - gross</v>
          </cell>
          <cell r="Y16328" t="str">
            <v>ITALY</v>
          </cell>
        </row>
        <row r="16329">
          <cell r="L16329" t="str">
            <v>Non-proportional</v>
          </cell>
          <cell r="S16329">
            <v>1940.7</v>
          </cell>
          <cell r="X16329" t="str">
            <v>Commissions - gross</v>
          </cell>
          <cell r="Y16329" t="str">
            <v>GERMANY</v>
          </cell>
        </row>
        <row r="16330">
          <cell r="L16330" t="str">
            <v>Non-proportional</v>
          </cell>
          <cell r="S16330">
            <v>403.71</v>
          </cell>
          <cell r="X16330" t="str">
            <v>Commissions - gross</v>
          </cell>
          <cell r="Y16330" t="str">
            <v>GERMANY</v>
          </cell>
        </row>
        <row r="16331">
          <cell r="L16331" t="str">
            <v>Non-proportional</v>
          </cell>
          <cell r="S16331">
            <v>14610.66</v>
          </cell>
          <cell r="X16331" t="str">
            <v>Commissions - gross</v>
          </cell>
          <cell r="Y16331" t="str">
            <v>COLOMBIA</v>
          </cell>
        </row>
        <row r="16332">
          <cell r="L16332" t="str">
            <v>Non-proportional</v>
          </cell>
          <cell r="S16332">
            <v>394.35</v>
          </cell>
          <cell r="X16332" t="str">
            <v>Commissions - gross</v>
          </cell>
          <cell r="Y16332" t="str">
            <v>ITALY</v>
          </cell>
        </row>
        <row r="16333">
          <cell r="L16333" t="str">
            <v>Non-proportional</v>
          </cell>
          <cell r="S16333">
            <v>1160.44</v>
          </cell>
          <cell r="X16333" t="str">
            <v>Commissions - gross</v>
          </cell>
          <cell r="Y16333" t="str">
            <v>CHILE</v>
          </cell>
        </row>
        <row r="16334">
          <cell r="L16334" t="str">
            <v>Non-proportional</v>
          </cell>
          <cell r="S16334">
            <v>1353.22</v>
          </cell>
          <cell r="X16334" t="str">
            <v>Commissions - gross</v>
          </cell>
          <cell r="Y16334" t="str">
            <v>ISRAEL</v>
          </cell>
        </row>
        <row r="16335">
          <cell r="L16335" t="str">
            <v>Non-proportional</v>
          </cell>
          <cell r="S16335">
            <v>8811</v>
          </cell>
          <cell r="X16335" t="str">
            <v>Commissions - gross</v>
          </cell>
          <cell r="Y16335" t="str">
            <v>FRANCE</v>
          </cell>
        </row>
        <row r="16336">
          <cell r="L16336" t="str">
            <v>Non-proportional</v>
          </cell>
          <cell r="S16336">
            <v>1108.83</v>
          </cell>
          <cell r="X16336" t="str">
            <v>Commissions - gross</v>
          </cell>
          <cell r="Y16336" t="str">
            <v>ITALY</v>
          </cell>
        </row>
        <row r="16337">
          <cell r="L16337" t="str">
            <v>Non-proportional</v>
          </cell>
          <cell r="S16337">
            <v>-970.87</v>
          </cell>
          <cell r="X16337" t="str">
            <v>Commissions - gross</v>
          </cell>
          <cell r="Y16337" t="str">
            <v>COSTA RICA</v>
          </cell>
        </row>
        <row r="16338">
          <cell r="L16338" t="str">
            <v>Non-proportional</v>
          </cell>
          <cell r="S16338">
            <v>9.51</v>
          </cell>
          <cell r="X16338" t="str">
            <v>Commissions - gross</v>
          </cell>
          <cell r="Y16338" t="str">
            <v>GERMANY</v>
          </cell>
        </row>
        <row r="16339">
          <cell r="L16339" t="str">
            <v>Non-proportional</v>
          </cell>
          <cell r="S16339">
            <v>358.25</v>
          </cell>
          <cell r="X16339" t="str">
            <v>Commissions - gross</v>
          </cell>
          <cell r="Y16339" t="str">
            <v>GERMANY</v>
          </cell>
        </row>
        <row r="16340">
          <cell r="L16340" t="str">
            <v>Non-proportional</v>
          </cell>
          <cell r="S16340">
            <v>-2785.05</v>
          </cell>
          <cell r="X16340" t="str">
            <v>Commissions - gross</v>
          </cell>
          <cell r="Y16340" t="str">
            <v>CHILE</v>
          </cell>
        </row>
        <row r="16341">
          <cell r="L16341" t="str">
            <v>Non-proportional</v>
          </cell>
          <cell r="S16341">
            <v>1623.84</v>
          </cell>
          <cell r="X16341" t="str">
            <v>Commissions - gross</v>
          </cell>
          <cell r="Y16341" t="str">
            <v>BRAZIL</v>
          </cell>
        </row>
        <row r="16342">
          <cell r="L16342" t="str">
            <v>Non-proportional</v>
          </cell>
          <cell r="S16342">
            <v>7612.11</v>
          </cell>
          <cell r="X16342" t="str">
            <v>Commissions - gross</v>
          </cell>
          <cell r="Y16342" t="str">
            <v>PERU</v>
          </cell>
        </row>
        <row r="16343">
          <cell r="L16343" t="str">
            <v>Non-proportional</v>
          </cell>
          <cell r="S16343">
            <v>-575</v>
          </cell>
          <cell r="X16343" t="str">
            <v>Commissions - gross</v>
          </cell>
          <cell r="Y16343" t="str">
            <v>GERMANY</v>
          </cell>
        </row>
        <row r="16344">
          <cell r="L16344" t="str">
            <v>Non-proportional</v>
          </cell>
          <cell r="S16344">
            <v>5628.69</v>
          </cell>
          <cell r="X16344" t="str">
            <v>Commissions - gross</v>
          </cell>
          <cell r="Y16344" t="str">
            <v>COLOMBIA</v>
          </cell>
        </row>
        <row r="16345">
          <cell r="L16345" t="str">
            <v>Non-proportional</v>
          </cell>
          <cell r="S16345">
            <v>7565.42</v>
          </cell>
          <cell r="X16345" t="str">
            <v>Commissions - gross</v>
          </cell>
          <cell r="Y16345" t="str">
            <v>COLOMBIA</v>
          </cell>
        </row>
        <row r="16346">
          <cell r="L16346" t="str">
            <v>Non-proportional</v>
          </cell>
          <cell r="S16346">
            <v>2128.0500000000002</v>
          </cell>
          <cell r="X16346" t="str">
            <v>Commissions - gross</v>
          </cell>
          <cell r="Y16346" t="str">
            <v>ITALY</v>
          </cell>
        </row>
        <row r="16347">
          <cell r="L16347" t="str">
            <v>Non-proportional</v>
          </cell>
          <cell r="S16347">
            <v>3713.4</v>
          </cell>
          <cell r="X16347" t="str">
            <v>Commissions - gross</v>
          </cell>
          <cell r="Y16347" t="str">
            <v>CHILE</v>
          </cell>
        </row>
        <row r="16348">
          <cell r="L16348" t="str">
            <v>Non-proportional</v>
          </cell>
          <cell r="S16348">
            <v>-951.39</v>
          </cell>
          <cell r="X16348" t="str">
            <v>Commissions - gross</v>
          </cell>
          <cell r="Y16348" t="str">
            <v>GERMANY</v>
          </cell>
        </row>
        <row r="16349">
          <cell r="L16349" t="str">
            <v>Non-proportional</v>
          </cell>
          <cell r="S16349">
            <v>9551.25</v>
          </cell>
          <cell r="X16349" t="str">
            <v>Commissions - gross</v>
          </cell>
          <cell r="Y16349" t="str">
            <v>TURKEY</v>
          </cell>
        </row>
        <row r="16350">
          <cell r="L16350" t="str">
            <v>Non-proportional</v>
          </cell>
          <cell r="S16350">
            <v>-1504.49</v>
          </cell>
          <cell r="X16350" t="str">
            <v>Commissions - gross</v>
          </cell>
          <cell r="Y16350" t="str">
            <v>COLOMBIA</v>
          </cell>
        </row>
        <row r="16351">
          <cell r="L16351" t="str">
            <v>Non-proportional</v>
          </cell>
          <cell r="S16351">
            <v>1524.26</v>
          </cell>
          <cell r="X16351" t="str">
            <v>Commissions - gross</v>
          </cell>
          <cell r="Y16351" t="str">
            <v>SWITZERLAND</v>
          </cell>
        </row>
        <row r="16352">
          <cell r="L16352" t="str">
            <v>Non-proportional</v>
          </cell>
          <cell r="S16352">
            <v>-13939.78</v>
          </cell>
          <cell r="X16352" t="str">
            <v>Commissions - gross</v>
          </cell>
          <cell r="Y16352" t="str">
            <v>PERU</v>
          </cell>
        </row>
        <row r="16353">
          <cell r="L16353" t="str">
            <v>Non-proportional</v>
          </cell>
          <cell r="S16353">
            <v>13939.78</v>
          </cell>
          <cell r="X16353" t="str">
            <v>Commissions - gross</v>
          </cell>
          <cell r="Y16353" t="str">
            <v>PERU</v>
          </cell>
        </row>
        <row r="16354">
          <cell r="L16354" t="str">
            <v>Non-proportional</v>
          </cell>
          <cell r="S16354">
            <v>18462</v>
          </cell>
          <cell r="X16354" t="str">
            <v>Commissions - gross</v>
          </cell>
          <cell r="Y16354" t="str">
            <v>FRANCE</v>
          </cell>
        </row>
        <row r="16355">
          <cell r="L16355" t="str">
            <v>Non-proportional</v>
          </cell>
          <cell r="S16355">
            <v>10784.7</v>
          </cell>
          <cell r="X16355" t="str">
            <v>Commissions - gross</v>
          </cell>
          <cell r="Y16355" t="str">
            <v>FRANCE</v>
          </cell>
        </row>
        <row r="16356">
          <cell r="L16356" t="str">
            <v>Non-proportional</v>
          </cell>
          <cell r="S16356">
            <v>5847.43</v>
          </cell>
          <cell r="X16356" t="str">
            <v>Commissions - gross</v>
          </cell>
          <cell r="Y16356" t="str">
            <v>ECUADOR</v>
          </cell>
        </row>
        <row r="16357">
          <cell r="L16357" t="str">
            <v>Non-proportional</v>
          </cell>
          <cell r="S16357">
            <v>4177.71</v>
          </cell>
          <cell r="X16357" t="str">
            <v>Commissions - gross</v>
          </cell>
          <cell r="Y16357" t="str">
            <v>ECUADOR</v>
          </cell>
        </row>
        <row r="16358">
          <cell r="L16358" t="str">
            <v>Non-proportional</v>
          </cell>
          <cell r="S16358">
            <v>661.72</v>
          </cell>
          <cell r="X16358" t="str">
            <v>Commissions - gross</v>
          </cell>
          <cell r="Y16358" t="str">
            <v>GERMANY</v>
          </cell>
        </row>
        <row r="16359">
          <cell r="L16359" t="str">
            <v>Non-proportional</v>
          </cell>
          <cell r="S16359">
            <v>1504.49</v>
          </cell>
          <cell r="X16359" t="str">
            <v>Commissions - gross</v>
          </cell>
          <cell r="Y16359" t="str">
            <v>COLOMBIA</v>
          </cell>
        </row>
        <row r="16360">
          <cell r="L16360" t="str">
            <v>Non-proportional</v>
          </cell>
          <cell r="S16360">
            <v>805.45</v>
          </cell>
          <cell r="X16360" t="str">
            <v>Commissions - gross</v>
          </cell>
          <cell r="Y16360" t="str">
            <v>THAILAND</v>
          </cell>
        </row>
        <row r="16361">
          <cell r="L16361" t="str">
            <v>Proportional</v>
          </cell>
          <cell r="S16361">
            <v>57.12</v>
          </cell>
          <cell r="X16361" t="str">
            <v>Commissions - gross</v>
          </cell>
          <cell r="Y16361" t="str">
            <v>UNITED STATES</v>
          </cell>
        </row>
        <row r="16362">
          <cell r="L16362" t="str">
            <v>Non-proportional</v>
          </cell>
          <cell r="S16362">
            <v>2862.41</v>
          </cell>
          <cell r="X16362" t="str">
            <v>Commissions - gross</v>
          </cell>
          <cell r="Y16362" t="str">
            <v>CHILE</v>
          </cell>
        </row>
        <row r="16363">
          <cell r="L16363" t="str">
            <v>Non-proportional</v>
          </cell>
          <cell r="S16363">
            <v>13149.59</v>
          </cell>
          <cell r="X16363" t="str">
            <v>Commissions - gross</v>
          </cell>
          <cell r="Y16363" t="str">
            <v>COLOMBIA</v>
          </cell>
        </row>
        <row r="16364">
          <cell r="L16364" t="str">
            <v>Non-proportional</v>
          </cell>
          <cell r="S16364">
            <v>-25042.5</v>
          </cell>
          <cell r="X16364" t="str">
            <v>Commissions - gross</v>
          </cell>
          <cell r="Y16364" t="str">
            <v>ITALY</v>
          </cell>
        </row>
        <row r="16365">
          <cell r="L16365" t="str">
            <v>Non-proportional</v>
          </cell>
          <cell r="S16365">
            <v>-1524.26</v>
          </cell>
          <cell r="X16365" t="str">
            <v>Commissions - gross</v>
          </cell>
          <cell r="Y16365" t="str">
            <v>SWITZERLAND</v>
          </cell>
        </row>
        <row r="16366">
          <cell r="L16366" t="str">
            <v>Non-proportional</v>
          </cell>
          <cell r="S16366">
            <v>-7612.11</v>
          </cell>
          <cell r="X16366" t="str">
            <v>Commissions - gross</v>
          </cell>
          <cell r="Y16366" t="str">
            <v>PERU</v>
          </cell>
        </row>
        <row r="16367">
          <cell r="L16367" t="str">
            <v>Non-proportional</v>
          </cell>
          <cell r="S16367">
            <v>25042.5</v>
          </cell>
          <cell r="X16367" t="str">
            <v>Commissions - gross</v>
          </cell>
          <cell r="Y16367" t="str">
            <v>ITALY</v>
          </cell>
        </row>
        <row r="16368">
          <cell r="L16368" t="str">
            <v>Non-proportional</v>
          </cell>
          <cell r="S16368">
            <v>166.2</v>
          </cell>
          <cell r="X16368" t="str">
            <v>Commissions - gross</v>
          </cell>
          <cell r="Y16368" t="str">
            <v>CYPRUS</v>
          </cell>
        </row>
        <row r="16369">
          <cell r="L16369" t="str">
            <v>Non-proportional</v>
          </cell>
          <cell r="S16369">
            <v>1663.29</v>
          </cell>
          <cell r="X16369" t="str">
            <v>Commissions - gross</v>
          </cell>
          <cell r="Y16369" t="str">
            <v>CHILE</v>
          </cell>
        </row>
        <row r="16370">
          <cell r="L16370" t="str">
            <v>Non-proportional</v>
          </cell>
          <cell r="S16370">
            <v>970.87</v>
          </cell>
          <cell r="X16370" t="str">
            <v>Commissions - gross</v>
          </cell>
          <cell r="Y16370" t="str">
            <v>COSTA RICA</v>
          </cell>
        </row>
        <row r="16371">
          <cell r="L16371" t="str">
            <v>Non-proportional</v>
          </cell>
          <cell r="S16371">
            <v>-8811</v>
          </cell>
          <cell r="X16371" t="str">
            <v>Commissions - gross</v>
          </cell>
          <cell r="Y16371" t="str">
            <v>FRANCE</v>
          </cell>
        </row>
        <row r="16372">
          <cell r="L16372" t="str">
            <v>Non-proportional</v>
          </cell>
          <cell r="S16372">
            <v>31.33</v>
          </cell>
          <cell r="X16372" t="str">
            <v>Commissions - gross</v>
          </cell>
          <cell r="Y16372" t="str">
            <v>GERMANY</v>
          </cell>
        </row>
        <row r="16373">
          <cell r="L16373" t="str">
            <v>Non-proportional</v>
          </cell>
          <cell r="S16373">
            <v>1265.7</v>
          </cell>
          <cell r="X16373" t="str">
            <v>Commissions - gross</v>
          </cell>
          <cell r="Y16373" t="str">
            <v>SWITZERLAND</v>
          </cell>
        </row>
        <row r="16374">
          <cell r="L16374" t="str">
            <v>Non-proportional</v>
          </cell>
          <cell r="S16374">
            <v>5628.69</v>
          </cell>
          <cell r="X16374" t="str">
            <v>Commissions - gross</v>
          </cell>
          <cell r="Y16374" t="str">
            <v>COLOMBIA</v>
          </cell>
        </row>
        <row r="16375">
          <cell r="L16375" t="str">
            <v>Non-proportional</v>
          </cell>
          <cell r="S16375">
            <v>-8898.07</v>
          </cell>
          <cell r="X16375" t="str">
            <v>Commissions - gross</v>
          </cell>
          <cell r="Y16375" t="str">
            <v>COLOMBIA</v>
          </cell>
        </row>
        <row r="16376">
          <cell r="L16376" t="str">
            <v>Non-proportional</v>
          </cell>
          <cell r="S16376">
            <v>-555.4</v>
          </cell>
          <cell r="X16376" t="str">
            <v>Commissions - gross</v>
          </cell>
          <cell r="Y16376" t="str">
            <v>ITALY</v>
          </cell>
        </row>
        <row r="16377">
          <cell r="L16377" t="str">
            <v>Non-proportional</v>
          </cell>
          <cell r="S16377">
            <v>1265.7</v>
          </cell>
          <cell r="X16377" t="str">
            <v>Commissions - gross</v>
          </cell>
          <cell r="Y16377" t="str">
            <v>SWITZERLAND</v>
          </cell>
        </row>
        <row r="16378">
          <cell r="L16378" t="str">
            <v>Non-proportional</v>
          </cell>
          <cell r="S16378">
            <v>10.92</v>
          </cell>
          <cell r="X16378" t="str">
            <v>Commissions - gross</v>
          </cell>
          <cell r="Y16378" t="str">
            <v>CYPRUS</v>
          </cell>
        </row>
        <row r="16379">
          <cell r="L16379" t="str">
            <v>Non-proportional</v>
          </cell>
          <cell r="S16379">
            <v>-3504</v>
          </cell>
          <cell r="X16379" t="str">
            <v>Commissions - gross</v>
          </cell>
          <cell r="Y16379" t="str">
            <v>FRANCE</v>
          </cell>
        </row>
        <row r="16380">
          <cell r="L16380" t="str">
            <v>Non-proportional</v>
          </cell>
          <cell r="S16380">
            <v>2994.26</v>
          </cell>
          <cell r="X16380" t="str">
            <v>Commissions - gross</v>
          </cell>
          <cell r="Y16380" t="str">
            <v>ITALY</v>
          </cell>
        </row>
        <row r="16381">
          <cell r="L16381" t="str">
            <v>Non-proportional</v>
          </cell>
          <cell r="S16381">
            <v>954.36</v>
          </cell>
          <cell r="X16381" t="str">
            <v>Commissions - gross</v>
          </cell>
          <cell r="Y16381" t="str">
            <v>GERMANY</v>
          </cell>
        </row>
        <row r="16382">
          <cell r="L16382" t="str">
            <v>Non-proportional</v>
          </cell>
          <cell r="S16382">
            <v>-928.35</v>
          </cell>
          <cell r="X16382" t="str">
            <v>Commissions - gross</v>
          </cell>
          <cell r="Y16382" t="str">
            <v>CHILE</v>
          </cell>
        </row>
        <row r="16383">
          <cell r="L16383" t="str">
            <v>Non-proportional</v>
          </cell>
          <cell r="S16383">
            <v>-121.06</v>
          </cell>
          <cell r="X16383" t="str">
            <v>Commissions - gross</v>
          </cell>
          <cell r="Y16383" t="str">
            <v>NETHERLANDS</v>
          </cell>
        </row>
        <row r="16384">
          <cell r="L16384" t="str">
            <v>Non-proportional</v>
          </cell>
          <cell r="S16384">
            <v>438.06</v>
          </cell>
          <cell r="X16384" t="str">
            <v>Commissions - gross</v>
          </cell>
          <cell r="Y16384" t="str">
            <v>GERMANY</v>
          </cell>
        </row>
        <row r="16385">
          <cell r="L16385" t="str">
            <v>Non-proportional</v>
          </cell>
          <cell r="S16385">
            <v>13298.66</v>
          </cell>
          <cell r="X16385" t="str">
            <v>Commissions - gross</v>
          </cell>
          <cell r="Y16385" t="str">
            <v>COLOMBIA</v>
          </cell>
        </row>
        <row r="16386">
          <cell r="L16386" t="str">
            <v>Non-proportional</v>
          </cell>
          <cell r="S16386">
            <v>70870.64</v>
          </cell>
          <cell r="X16386" t="str">
            <v>Commissions - gross</v>
          </cell>
          <cell r="Y16386" t="str">
            <v>UNITED KINGDOM</v>
          </cell>
        </row>
        <row r="16387">
          <cell r="L16387" t="str">
            <v>Non-proportional</v>
          </cell>
          <cell r="S16387">
            <v>-3713.4</v>
          </cell>
          <cell r="X16387" t="str">
            <v>Commissions - gross</v>
          </cell>
          <cell r="Y16387" t="str">
            <v>CHILE</v>
          </cell>
        </row>
        <row r="16388">
          <cell r="L16388" t="str">
            <v>Non-proportional</v>
          </cell>
          <cell r="S16388">
            <v>-4590</v>
          </cell>
          <cell r="X16388" t="str">
            <v>Commissions - gross</v>
          </cell>
          <cell r="Y16388" t="str">
            <v>ITALY</v>
          </cell>
        </row>
        <row r="16389">
          <cell r="L16389" t="str">
            <v>Non-proportional</v>
          </cell>
          <cell r="S16389">
            <v>-10.92</v>
          </cell>
          <cell r="X16389" t="str">
            <v>Commissions - gross</v>
          </cell>
          <cell r="Y16389" t="str">
            <v>CYPRUS</v>
          </cell>
        </row>
        <row r="16390">
          <cell r="L16390" t="str">
            <v>Non-proportional</v>
          </cell>
          <cell r="S16390">
            <v>7800</v>
          </cell>
          <cell r="X16390" t="str">
            <v>Commissions - gross</v>
          </cell>
          <cell r="Y16390" t="str">
            <v>FRANCE</v>
          </cell>
        </row>
        <row r="16391">
          <cell r="L16391" t="str">
            <v>Non-proportional</v>
          </cell>
          <cell r="S16391">
            <v>4870.5</v>
          </cell>
          <cell r="X16391" t="str">
            <v>Commissions - gross</v>
          </cell>
          <cell r="Y16391" t="str">
            <v>FRANCE</v>
          </cell>
        </row>
        <row r="16392">
          <cell r="L16392" t="str">
            <v>Non-proportional</v>
          </cell>
          <cell r="S16392">
            <v>-1014.9</v>
          </cell>
          <cell r="X16392" t="str">
            <v>Commissions - gross</v>
          </cell>
          <cell r="Y16392" t="str">
            <v>BRAZIL</v>
          </cell>
        </row>
        <row r="16393">
          <cell r="L16393" t="str">
            <v>Non-proportional</v>
          </cell>
          <cell r="S16393">
            <v>1551.23</v>
          </cell>
          <cell r="X16393" t="str">
            <v>Commissions - gross</v>
          </cell>
          <cell r="Y16393" t="str">
            <v>PERU</v>
          </cell>
        </row>
        <row r="16394">
          <cell r="L16394" t="str">
            <v>Non-proportional</v>
          </cell>
          <cell r="S16394">
            <v>-57101.13</v>
          </cell>
          <cell r="X16394" t="str">
            <v>Commissions - gross</v>
          </cell>
          <cell r="Y16394" t="str">
            <v>UNITED KINGDOM</v>
          </cell>
        </row>
        <row r="16395">
          <cell r="L16395" t="str">
            <v>Non-proportional</v>
          </cell>
          <cell r="S16395">
            <v>-895.92</v>
          </cell>
          <cell r="X16395" t="str">
            <v>Commissions - gross</v>
          </cell>
          <cell r="Y16395" t="str">
            <v>ISRAEL</v>
          </cell>
        </row>
        <row r="16396">
          <cell r="L16396" t="str">
            <v>Non-proportional</v>
          </cell>
          <cell r="S16396">
            <v>600.71</v>
          </cell>
          <cell r="X16396" t="str">
            <v>Commissions - gross</v>
          </cell>
          <cell r="Y16396" t="str">
            <v>GERMANY</v>
          </cell>
        </row>
        <row r="16397">
          <cell r="L16397" t="str">
            <v>Non-proportional</v>
          </cell>
          <cell r="S16397">
            <v>6250.93</v>
          </cell>
          <cell r="X16397" t="str">
            <v>Commissions - gross</v>
          </cell>
          <cell r="Y16397" t="str">
            <v>COLOMBIA</v>
          </cell>
        </row>
        <row r="16398">
          <cell r="L16398" t="str">
            <v>Non-proportional</v>
          </cell>
          <cell r="S16398">
            <v>-23827.72</v>
          </cell>
          <cell r="X16398" t="str">
            <v>Commissions - gross</v>
          </cell>
          <cell r="Y16398" t="str">
            <v>FRANCE</v>
          </cell>
        </row>
        <row r="16399">
          <cell r="L16399" t="str">
            <v>Non-proportional</v>
          </cell>
          <cell r="S16399">
            <v>141.87</v>
          </cell>
          <cell r="X16399" t="str">
            <v>Commissions - gross</v>
          </cell>
          <cell r="Y16399" t="str">
            <v>NETHERLANDS</v>
          </cell>
        </row>
        <row r="16400">
          <cell r="L16400" t="str">
            <v>Non-proportional</v>
          </cell>
          <cell r="S16400">
            <v>3504</v>
          </cell>
          <cell r="X16400" t="str">
            <v>Commissions - gross</v>
          </cell>
          <cell r="Y16400" t="str">
            <v>FRANCE</v>
          </cell>
        </row>
        <row r="16401">
          <cell r="L16401" t="str">
            <v>Non-proportional</v>
          </cell>
          <cell r="S16401">
            <v>-11340</v>
          </cell>
          <cell r="X16401" t="str">
            <v>Commissions - gross</v>
          </cell>
          <cell r="Y16401" t="str">
            <v>ITALY</v>
          </cell>
        </row>
        <row r="16402">
          <cell r="L16402" t="str">
            <v>Non-proportional</v>
          </cell>
          <cell r="S16402">
            <v>-4047.6</v>
          </cell>
          <cell r="X16402" t="str">
            <v>Commissions - gross</v>
          </cell>
          <cell r="Y16402" t="str">
            <v>ITALY</v>
          </cell>
        </row>
        <row r="16403">
          <cell r="L16403" t="str">
            <v>Non-proportional</v>
          </cell>
          <cell r="S16403">
            <v>-122.13</v>
          </cell>
          <cell r="X16403" t="str">
            <v>Commissions - gross</v>
          </cell>
          <cell r="Y16403" t="str">
            <v>SWITZERLAND</v>
          </cell>
        </row>
        <row r="16404">
          <cell r="L16404" t="str">
            <v>Non-proportional</v>
          </cell>
          <cell r="S16404">
            <v>1268.6199999999999</v>
          </cell>
          <cell r="X16404" t="str">
            <v>Commissions - gross</v>
          </cell>
          <cell r="Y16404" t="str">
            <v>BRAZIL</v>
          </cell>
        </row>
        <row r="16405">
          <cell r="L16405" t="str">
            <v>Non-proportional</v>
          </cell>
          <cell r="S16405">
            <v>-4159.6899999999996</v>
          </cell>
          <cell r="X16405" t="str">
            <v>Commissions - gross</v>
          </cell>
          <cell r="Y16405" t="str">
            <v>GREECE</v>
          </cell>
        </row>
        <row r="16406">
          <cell r="L16406" t="str">
            <v>Non-proportional</v>
          </cell>
          <cell r="S16406">
            <v>-28119.63</v>
          </cell>
          <cell r="X16406" t="str">
            <v>Commissions - gross</v>
          </cell>
          <cell r="Y16406" t="str">
            <v>FRANCE</v>
          </cell>
        </row>
        <row r="16407">
          <cell r="L16407" t="str">
            <v>Non-proportional</v>
          </cell>
          <cell r="S16407">
            <v>1226.02</v>
          </cell>
          <cell r="X16407" t="str">
            <v>Commissions - gross</v>
          </cell>
          <cell r="Y16407" t="str">
            <v>GERMANY</v>
          </cell>
        </row>
        <row r="16408">
          <cell r="L16408" t="str">
            <v>Non-proportional</v>
          </cell>
          <cell r="S16408">
            <v>-388.78</v>
          </cell>
          <cell r="X16408" t="str">
            <v>Commissions - gross</v>
          </cell>
          <cell r="Y16408" t="str">
            <v>ITALY</v>
          </cell>
        </row>
        <row r="16409">
          <cell r="L16409" t="str">
            <v>Non-proportional</v>
          </cell>
          <cell r="S16409">
            <v>-6794.31</v>
          </cell>
          <cell r="X16409" t="str">
            <v>Commissions - gross</v>
          </cell>
          <cell r="Y16409" t="str">
            <v>COLOMBIA</v>
          </cell>
        </row>
        <row r="16410">
          <cell r="L16410" t="str">
            <v>Non-proportional</v>
          </cell>
          <cell r="S16410">
            <v>1162.29</v>
          </cell>
          <cell r="X16410" t="str">
            <v>Commissions - gross</v>
          </cell>
          <cell r="Y16410" t="str">
            <v>ITALY</v>
          </cell>
        </row>
        <row r="16411">
          <cell r="L16411" t="str">
            <v>Non-proportional</v>
          </cell>
          <cell r="S16411">
            <v>-38.36</v>
          </cell>
          <cell r="X16411" t="str">
            <v>Commissions - gross</v>
          </cell>
          <cell r="Y16411" t="str">
            <v>CYPRUS</v>
          </cell>
        </row>
        <row r="16412">
          <cell r="L16412" t="str">
            <v>Non-proportional</v>
          </cell>
          <cell r="S16412">
            <v>-4177.57</v>
          </cell>
          <cell r="X16412" t="str">
            <v>Commissions - gross</v>
          </cell>
          <cell r="Y16412" t="str">
            <v>CHILE</v>
          </cell>
        </row>
        <row r="16413">
          <cell r="L16413" t="str">
            <v>Non-proportional</v>
          </cell>
          <cell r="S16413">
            <v>780.15</v>
          </cell>
          <cell r="X16413" t="str">
            <v>Commissions - gross</v>
          </cell>
          <cell r="Y16413" t="str">
            <v>ISRAEL</v>
          </cell>
        </row>
        <row r="16414">
          <cell r="L16414" t="str">
            <v>Non-proportional</v>
          </cell>
          <cell r="S16414">
            <v>13728.22</v>
          </cell>
          <cell r="X16414" t="str">
            <v>Commissions - gross</v>
          </cell>
          <cell r="Y16414" t="str">
            <v>COSTA RICA</v>
          </cell>
        </row>
        <row r="16415">
          <cell r="L16415" t="str">
            <v>Non-proportional</v>
          </cell>
          <cell r="S16415">
            <v>-40167.800000000003</v>
          </cell>
          <cell r="X16415" t="str">
            <v>Commissions - gross</v>
          </cell>
          <cell r="Y16415" t="str">
            <v>UNITED KINGDOM</v>
          </cell>
        </row>
        <row r="16416">
          <cell r="L16416" t="str">
            <v>Non-proportional</v>
          </cell>
          <cell r="S16416">
            <v>5299.33</v>
          </cell>
          <cell r="X16416" t="str">
            <v>Commissions - gross</v>
          </cell>
          <cell r="Y16416" t="str">
            <v>CHILE</v>
          </cell>
        </row>
        <row r="16417">
          <cell r="L16417" t="str">
            <v>Non-proportional</v>
          </cell>
          <cell r="S16417">
            <v>-313</v>
          </cell>
          <cell r="X16417" t="str">
            <v>Commissions - gross</v>
          </cell>
          <cell r="Y16417" t="str">
            <v>ISRAEL</v>
          </cell>
        </row>
        <row r="16418">
          <cell r="L16418" t="str">
            <v>Non-proportional</v>
          </cell>
          <cell r="S16418">
            <v>-10757.6</v>
          </cell>
          <cell r="X16418" t="str">
            <v>Commissions - gross</v>
          </cell>
          <cell r="Y16418" t="str">
            <v>PERU</v>
          </cell>
        </row>
        <row r="16419">
          <cell r="L16419" t="str">
            <v>Non-proportional</v>
          </cell>
          <cell r="S16419">
            <v>694.91</v>
          </cell>
          <cell r="X16419" t="str">
            <v>Commissions - gross</v>
          </cell>
          <cell r="Y16419" t="str">
            <v>GERMANY</v>
          </cell>
        </row>
        <row r="16420">
          <cell r="L16420" t="str">
            <v>Non-proportional</v>
          </cell>
          <cell r="S16420">
            <v>-38.36</v>
          </cell>
          <cell r="X16420" t="str">
            <v>Commissions - gross</v>
          </cell>
          <cell r="Y16420" t="str">
            <v>CYPRUS</v>
          </cell>
        </row>
        <row r="16421">
          <cell r="L16421" t="str">
            <v>Non-proportional</v>
          </cell>
          <cell r="S16421">
            <v>312.98</v>
          </cell>
          <cell r="X16421" t="str">
            <v>Commissions - gross</v>
          </cell>
          <cell r="Y16421" t="str">
            <v>GERMANY</v>
          </cell>
        </row>
        <row r="16422">
          <cell r="L16422" t="str">
            <v>Non-proportional</v>
          </cell>
          <cell r="S16422">
            <v>-8597.81</v>
          </cell>
          <cell r="X16422" t="str">
            <v>Commissions - gross</v>
          </cell>
          <cell r="Y16422" t="str">
            <v>COLOMBIA</v>
          </cell>
        </row>
        <row r="16423">
          <cell r="L16423" t="str">
            <v>Non-proportional</v>
          </cell>
          <cell r="S16423">
            <v>8597.81</v>
          </cell>
          <cell r="X16423" t="str">
            <v>Commissions - gross</v>
          </cell>
          <cell r="Y16423" t="str">
            <v>COLOMBIA</v>
          </cell>
        </row>
        <row r="16424">
          <cell r="L16424" t="str">
            <v>Non-proportional</v>
          </cell>
          <cell r="S16424">
            <v>130.97999999999999</v>
          </cell>
          <cell r="X16424" t="str">
            <v>Commissions - gross</v>
          </cell>
          <cell r="Y16424" t="str">
            <v>ISRAEL</v>
          </cell>
        </row>
        <row r="16425">
          <cell r="L16425" t="str">
            <v>Non-proportional</v>
          </cell>
          <cell r="S16425">
            <v>488.43</v>
          </cell>
          <cell r="X16425" t="str">
            <v>Commissions - gross</v>
          </cell>
          <cell r="Y16425" t="str">
            <v>ISRAEL</v>
          </cell>
        </row>
        <row r="16426">
          <cell r="L16426" t="str">
            <v>Non-proportional</v>
          </cell>
          <cell r="S16426">
            <v>1578.32</v>
          </cell>
          <cell r="X16426" t="str">
            <v>Commissions - gross</v>
          </cell>
          <cell r="Y16426" t="str">
            <v>ITALY</v>
          </cell>
        </row>
        <row r="16427">
          <cell r="L16427" t="str">
            <v>Non-proportional</v>
          </cell>
          <cell r="S16427">
            <v>-6740.18</v>
          </cell>
          <cell r="X16427" t="str">
            <v>Commissions - gross</v>
          </cell>
          <cell r="Y16427" t="str">
            <v>ITALY</v>
          </cell>
        </row>
        <row r="16428">
          <cell r="L16428" t="str">
            <v>Non-proportional</v>
          </cell>
          <cell r="S16428">
            <v>-542.27</v>
          </cell>
          <cell r="X16428" t="str">
            <v>Commissions - gross</v>
          </cell>
          <cell r="Y16428" t="str">
            <v>CYPRUS</v>
          </cell>
        </row>
        <row r="16429">
          <cell r="L16429" t="str">
            <v>Non-proportional</v>
          </cell>
          <cell r="S16429">
            <v>-8219.4500000000007</v>
          </cell>
          <cell r="X16429" t="str">
            <v>Commissions - gross</v>
          </cell>
          <cell r="Y16429" t="str">
            <v>COSTA RICA</v>
          </cell>
        </row>
        <row r="16430">
          <cell r="L16430" t="str">
            <v>Non-proportional</v>
          </cell>
          <cell r="S16430">
            <v>2452.87</v>
          </cell>
          <cell r="X16430" t="str">
            <v>Commissions - gross</v>
          </cell>
          <cell r="Y16430" t="str">
            <v>ITALY</v>
          </cell>
        </row>
        <row r="16431">
          <cell r="L16431" t="str">
            <v>Non-proportional</v>
          </cell>
          <cell r="S16431">
            <v>-1193.52</v>
          </cell>
          <cell r="X16431" t="str">
            <v>Commissions - gross</v>
          </cell>
          <cell r="Y16431" t="str">
            <v>BRAZIL</v>
          </cell>
        </row>
        <row r="16432">
          <cell r="L16432" t="str">
            <v>Non-proportional</v>
          </cell>
          <cell r="S16432">
            <v>-1108.83</v>
          </cell>
          <cell r="X16432" t="str">
            <v>Commissions - gross</v>
          </cell>
          <cell r="Y16432" t="str">
            <v>ITALY</v>
          </cell>
        </row>
        <row r="16433">
          <cell r="L16433" t="str">
            <v>Non-proportional</v>
          </cell>
          <cell r="S16433">
            <v>360.05</v>
          </cell>
          <cell r="X16433" t="str">
            <v>Commissions - gross</v>
          </cell>
          <cell r="Y16433" t="str">
            <v>GERMANY</v>
          </cell>
        </row>
        <row r="16434">
          <cell r="L16434" t="str">
            <v>Non-proportional</v>
          </cell>
          <cell r="S16434">
            <v>-141.86000000000001</v>
          </cell>
          <cell r="X16434" t="str">
            <v>Commissions - gross</v>
          </cell>
          <cell r="Y16434" t="str">
            <v>NETHERLANDS</v>
          </cell>
        </row>
        <row r="16435">
          <cell r="L16435" t="str">
            <v>Non-proportional</v>
          </cell>
          <cell r="S16435">
            <v>-12135.65</v>
          </cell>
          <cell r="X16435" t="str">
            <v>Commissions - gross</v>
          </cell>
          <cell r="Y16435" t="str">
            <v>COLOMBIA</v>
          </cell>
        </row>
        <row r="16436">
          <cell r="L16436" t="str">
            <v>Non-proportional</v>
          </cell>
          <cell r="S16436">
            <v>9553.1200000000008</v>
          </cell>
          <cell r="X16436" t="str">
            <v>Commissions - gross</v>
          </cell>
          <cell r="Y16436" t="str">
            <v>COLOMBIA</v>
          </cell>
        </row>
        <row r="16437">
          <cell r="L16437" t="str">
            <v>Non-proportional</v>
          </cell>
          <cell r="S16437">
            <v>246.96</v>
          </cell>
          <cell r="X16437" t="str">
            <v>Commissions - gross</v>
          </cell>
          <cell r="Y16437" t="str">
            <v>FRANCE</v>
          </cell>
        </row>
        <row r="16438">
          <cell r="L16438" t="str">
            <v>Non-proportional</v>
          </cell>
          <cell r="S16438">
            <v>28119.63</v>
          </cell>
          <cell r="X16438" t="str">
            <v>Commissions - gross</v>
          </cell>
          <cell r="Y16438" t="str">
            <v>FRANCE</v>
          </cell>
        </row>
        <row r="16439">
          <cell r="L16439" t="str">
            <v>Non-proportional</v>
          </cell>
          <cell r="S16439">
            <v>2662.2</v>
          </cell>
          <cell r="X16439" t="str">
            <v>Commissions - gross</v>
          </cell>
          <cell r="Y16439" t="str">
            <v>GREECE</v>
          </cell>
        </row>
        <row r="16440">
          <cell r="L16440" t="str">
            <v>Non-proportional</v>
          </cell>
          <cell r="S16440">
            <v>6740.18</v>
          </cell>
          <cell r="X16440" t="str">
            <v>Commissions - gross</v>
          </cell>
          <cell r="Y16440" t="str">
            <v>ITALY</v>
          </cell>
        </row>
        <row r="16441">
          <cell r="L16441" t="str">
            <v>Non-proportional</v>
          </cell>
          <cell r="S16441">
            <v>-714.87</v>
          </cell>
          <cell r="X16441" t="str">
            <v>Commissions - gross</v>
          </cell>
          <cell r="Y16441" t="str">
            <v>ITALY</v>
          </cell>
        </row>
        <row r="16442">
          <cell r="L16442" t="str">
            <v>Non-proportional</v>
          </cell>
          <cell r="S16442">
            <v>-166.2</v>
          </cell>
          <cell r="X16442" t="str">
            <v>Commissions - gross</v>
          </cell>
          <cell r="Y16442" t="str">
            <v>CYPRUS</v>
          </cell>
        </row>
        <row r="16443">
          <cell r="L16443" t="str">
            <v>Non-proportional</v>
          </cell>
          <cell r="S16443">
            <v>333.59</v>
          </cell>
          <cell r="X16443" t="str">
            <v>Commissions - gross</v>
          </cell>
          <cell r="Y16443" t="str">
            <v>ISRAEL</v>
          </cell>
        </row>
        <row r="16444">
          <cell r="L16444" t="str">
            <v>Non-proportional</v>
          </cell>
          <cell r="S16444">
            <v>368.03</v>
          </cell>
          <cell r="X16444" t="str">
            <v>Commissions - gross</v>
          </cell>
          <cell r="Y16444" t="str">
            <v>GERMANY</v>
          </cell>
        </row>
        <row r="16445">
          <cell r="L16445" t="str">
            <v>Non-proportional</v>
          </cell>
          <cell r="S16445">
            <v>-5412.43</v>
          </cell>
          <cell r="X16445" t="str">
            <v>Commissions - gross</v>
          </cell>
          <cell r="Y16445" t="str">
            <v>PERU</v>
          </cell>
        </row>
        <row r="16446">
          <cell r="L16446" t="str">
            <v>Non-proportional</v>
          </cell>
          <cell r="S16446">
            <v>5564.06</v>
          </cell>
          <cell r="X16446" t="str">
            <v>Commissions - gross</v>
          </cell>
          <cell r="Y16446" t="str">
            <v>ITALY</v>
          </cell>
        </row>
        <row r="16447">
          <cell r="L16447" t="str">
            <v>Non-proportional</v>
          </cell>
          <cell r="S16447">
            <v>-7192</v>
          </cell>
          <cell r="X16447" t="str">
            <v>Commissions - gross</v>
          </cell>
          <cell r="Y16447" t="str">
            <v>FRANCE</v>
          </cell>
        </row>
        <row r="16448">
          <cell r="L16448" t="str">
            <v>Non-proportional</v>
          </cell>
          <cell r="S16448">
            <v>-4625</v>
          </cell>
          <cell r="X16448" t="str">
            <v>Commissions - gross</v>
          </cell>
          <cell r="Y16448" t="str">
            <v>FRANCE</v>
          </cell>
        </row>
        <row r="16449">
          <cell r="L16449" t="str">
            <v>Non-proportional</v>
          </cell>
          <cell r="S16449">
            <v>-736.4</v>
          </cell>
          <cell r="X16449" t="str">
            <v>Commissions - gross</v>
          </cell>
          <cell r="Y16449" t="str">
            <v>ITALY</v>
          </cell>
        </row>
        <row r="16450">
          <cell r="L16450" t="str">
            <v>Non-proportional</v>
          </cell>
          <cell r="S16450">
            <v>-2243.5100000000002</v>
          </cell>
          <cell r="X16450" t="str">
            <v>Commissions - gross</v>
          </cell>
          <cell r="Y16450" t="str">
            <v>CHILE</v>
          </cell>
        </row>
        <row r="16451">
          <cell r="L16451" t="str">
            <v>Non-proportional</v>
          </cell>
          <cell r="S16451">
            <v>7.72</v>
          </cell>
          <cell r="X16451" t="str">
            <v>Commissions - gross</v>
          </cell>
          <cell r="Y16451" t="str">
            <v>GERMANY</v>
          </cell>
        </row>
        <row r="16452">
          <cell r="L16452" t="str">
            <v>Non-proportional</v>
          </cell>
          <cell r="S16452">
            <v>-612.96</v>
          </cell>
          <cell r="X16452" t="str">
            <v>Commissions - gross</v>
          </cell>
          <cell r="Y16452" t="str">
            <v>MALTA</v>
          </cell>
        </row>
        <row r="16453">
          <cell r="L16453" t="str">
            <v>Non-proportional</v>
          </cell>
          <cell r="S16453">
            <v>-643.5</v>
          </cell>
          <cell r="X16453" t="str">
            <v>Commissions - gross</v>
          </cell>
          <cell r="Y16453" t="str">
            <v>NETHERLANDS</v>
          </cell>
        </row>
        <row r="16454">
          <cell r="L16454" t="str">
            <v>Non-proportional</v>
          </cell>
          <cell r="S16454">
            <v>6740.18</v>
          </cell>
          <cell r="X16454" t="str">
            <v>Commissions - gross</v>
          </cell>
          <cell r="Y16454" t="str">
            <v>ITALY</v>
          </cell>
        </row>
        <row r="16455">
          <cell r="L16455" t="str">
            <v>Non-proportional</v>
          </cell>
          <cell r="S16455">
            <v>17.86</v>
          </cell>
          <cell r="X16455" t="str">
            <v>Commissions - gross</v>
          </cell>
          <cell r="Y16455" t="str">
            <v>GERMANY</v>
          </cell>
        </row>
        <row r="16456">
          <cell r="L16456" t="str">
            <v>Proportional</v>
          </cell>
          <cell r="S16456">
            <v>51.09</v>
          </cell>
          <cell r="X16456" t="str">
            <v>Commissions - gross</v>
          </cell>
          <cell r="Y16456" t="str">
            <v>UNITED STATES</v>
          </cell>
        </row>
        <row r="16457">
          <cell r="L16457" t="str">
            <v>Non-proportional</v>
          </cell>
          <cell r="S16457">
            <v>3500.97</v>
          </cell>
          <cell r="X16457" t="str">
            <v>Commissions - gross</v>
          </cell>
          <cell r="Y16457" t="str">
            <v>PERU</v>
          </cell>
        </row>
        <row r="16458">
          <cell r="L16458" t="str">
            <v>Non-proportional</v>
          </cell>
          <cell r="S16458">
            <v>-1623.84</v>
          </cell>
          <cell r="X16458" t="str">
            <v>Commissions - gross</v>
          </cell>
          <cell r="Y16458" t="str">
            <v>BRAZIL</v>
          </cell>
        </row>
        <row r="16459">
          <cell r="L16459" t="str">
            <v>Non-proportional</v>
          </cell>
          <cell r="S16459">
            <v>2283.63</v>
          </cell>
          <cell r="X16459" t="str">
            <v>Commissions - gross</v>
          </cell>
          <cell r="Y16459" t="str">
            <v>PERU</v>
          </cell>
        </row>
        <row r="16460">
          <cell r="L16460" t="str">
            <v>Non-proportional</v>
          </cell>
          <cell r="S16460">
            <v>-698.94</v>
          </cell>
          <cell r="X16460" t="str">
            <v>Commissions - gross</v>
          </cell>
          <cell r="Y16460" t="str">
            <v>NETHERLANDS</v>
          </cell>
        </row>
        <row r="16461">
          <cell r="L16461" t="str">
            <v>Non-proportional</v>
          </cell>
          <cell r="S16461">
            <v>485.73</v>
          </cell>
          <cell r="X16461" t="str">
            <v>Commissions - gross</v>
          </cell>
          <cell r="Y16461" t="str">
            <v>UNITED KINGDOM</v>
          </cell>
        </row>
        <row r="16462">
          <cell r="L16462" t="str">
            <v>Non-proportional</v>
          </cell>
          <cell r="S16462">
            <v>131.25</v>
          </cell>
          <cell r="X16462" t="str">
            <v>Commissions - gross</v>
          </cell>
          <cell r="Y16462" t="str">
            <v>NETHERLANDS</v>
          </cell>
        </row>
        <row r="16463">
          <cell r="L16463" t="str">
            <v>Non-proportional</v>
          </cell>
          <cell r="S16463">
            <v>3365.27</v>
          </cell>
          <cell r="X16463" t="str">
            <v>Commissions - gross</v>
          </cell>
          <cell r="Y16463" t="str">
            <v>CHILE</v>
          </cell>
        </row>
        <row r="16464">
          <cell r="L16464" t="str">
            <v>Non-proportional</v>
          </cell>
          <cell r="S16464">
            <v>-189.85</v>
          </cell>
          <cell r="X16464" t="str">
            <v>Commissions - gross</v>
          </cell>
          <cell r="Y16464" t="str">
            <v>SWITZERLAND</v>
          </cell>
        </row>
        <row r="16465">
          <cell r="L16465" t="str">
            <v>Non-proportional</v>
          </cell>
          <cell r="S16465">
            <v>-598.86</v>
          </cell>
          <cell r="X16465" t="str">
            <v>Commissions - gross</v>
          </cell>
          <cell r="Y16465" t="str">
            <v>ITALY</v>
          </cell>
        </row>
        <row r="16466">
          <cell r="L16466" t="str">
            <v>Non-proportional</v>
          </cell>
          <cell r="S16466">
            <v>-1623.84</v>
          </cell>
          <cell r="X16466" t="str">
            <v>Commissions - gross</v>
          </cell>
          <cell r="Y16466" t="str">
            <v>BRAZIL</v>
          </cell>
        </row>
        <row r="16467">
          <cell r="L16467" t="str">
            <v>Non-proportional</v>
          </cell>
          <cell r="S16467">
            <v>827.52</v>
          </cell>
          <cell r="X16467" t="str">
            <v>Commissions - gross</v>
          </cell>
          <cell r="Y16467" t="str">
            <v>THAILAND</v>
          </cell>
        </row>
        <row r="16468">
          <cell r="L16468" t="str">
            <v>Non-proportional</v>
          </cell>
          <cell r="S16468">
            <v>-35.01</v>
          </cell>
          <cell r="X16468" t="str">
            <v>Commissions - gross</v>
          </cell>
          <cell r="Y16468" t="str">
            <v>GERMANY</v>
          </cell>
        </row>
        <row r="16469">
          <cell r="L16469" t="str">
            <v>Non-proportional</v>
          </cell>
          <cell r="S16469">
            <v>-6531.63</v>
          </cell>
          <cell r="X16469" t="str">
            <v>Commissions - gross</v>
          </cell>
          <cell r="Y16469" t="str">
            <v>COSTA RICA</v>
          </cell>
        </row>
        <row r="16470">
          <cell r="L16470" t="str">
            <v>Non-proportional</v>
          </cell>
          <cell r="S16470">
            <v>-375</v>
          </cell>
          <cell r="X16470" t="str">
            <v>Commissions - gross</v>
          </cell>
          <cell r="Y16470" t="str">
            <v>GERMANY</v>
          </cell>
        </row>
        <row r="16471">
          <cell r="L16471" t="str">
            <v>Non-proportional</v>
          </cell>
          <cell r="S16471">
            <v>3950</v>
          </cell>
          <cell r="X16471" t="str">
            <v>Commissions - gross</v>
          </cell>
          <cell r="Y16471" t="str">
            <v>FRANCE</v>
          </cell>
        </row>
        <row r="16472">
          <cell r="L16472" t="str">
            <v>Non-proportional</v>
          </cell>
          <cell r="S16472">
            <v>725.36</v>
          </cell>
          <cell r="X16472" t="str">
            <v>Commissions - gross</v>
          </cell>
          <cell r="Y16472" t="str">
            <v>THAILAND</v>
          </cell>
        </row>
        <row r="16473">
          <cell r="L16473" t="str">
            <v>Non-proportional</v>
          </cell>
          <cell r="S16473">
            <v>-3365.27</v>
          </cell>
          <cell r="X16473" t="str">
            <v>Commissions - gross</v>
          </cell>
          <cell r="Y16473" t="str">
            <v>CHILE</v>
          </cell>
        </row>
        <row r="16474">
          <cell r="L16474" t="str">
            <v>Non-proportional</v>
          </cell>
          <cell r="S16474">
            <v>1219.22</v>
          </cell>
          <cell r="X16474" t="str">
            <v>Commissions - gross</v>
          </cell>
          <cell r="Y16474" t="str">
            <v>THAILAND</v>
          </cell>
        </row>
        <row r="16475">
          <cell r="L16475" t="str">
            <v>Non-proportional</v>
          </cell>
          <cell r="S16475">
            <v>-805.45</v>
          </cell>
          <cell r="X16475" t="str">
            <v>Commissions - gross</v>
          </cell>
          <cell r="Y16475" t="str">
            <v>THAILAND</v>
          </cell>
        </row>
        <row r="16476">
          <cell r="L16476" t="str">
            <v>Non-proportional</v>
          </cell>
          <cell r="S16476">
            <v>-8178.59</v>
          </cell>
          <cell r="X16476" t="str">
            <v>Commissions - gross</v>
          </cell>
          <cell r="Y16476" t="str">
            <v>PERU</v>
          </cell>
        </row>
        <row r="16477">
          <cell r="L16477" t="str">
            <v>Non-proportional</v>
          </cell>
          <cell r="S16477">
            <v>54.12</v>
          </cell>
          <cell r="X16477" t="str">
            <v>Commissions - gross</v>
          </cell>
          <cell r="Y16477" t="str">
            <v>GERMANY</v>
          </cell>
        </row>
        <row r="16478">
          <cell r="L16478" t="str">
            <v>Non-proportional</v>
          </cell>
          <cell r="S16478">
            <v>8662.5</v>
          </cell>
          <cell r="X16478" t="str">
            <v>Commissions - gross</v>
          </cell>
          <cell r="Y16478" t="str">
            <v>TURKEY</v>
          </cell>
        </row>
        <row r="16479">
          <cell r="L16479" t="str">
            <v>Non-proportional</v>
          </cell>
          <cell r="S16479">
            <v>-241.7</v>
          </cell>
          <cell r="X16479" t="str">
            <v>Commissions - gross</v>
          </cell>
          <cell r="Y16479" t="str">
            <v>GERMANY</v>
          </cell>
        </row>
        <row r="16480">
          <cell r="L16480" t="str">
            <v>Non-proportional</v>
          </cell>
          <cell r="S16480">
            <v>-15085.78</v>
          </cell>
          <cell r="X16480" t="str">
            <v>Commissions - gross</v>
          </cell>
          <cell r="Y16480" t="str">
            <v>ECUADOR</v>
          </cell>
        </row>
        <row r="16481">
          <cell r="L16481" t="str">
            <v>Non-proportional</v>
          </cell>
          <cell r="S16481">
            <v>2785.05</v>
          </cell>
          <cell r="X16481" t="str">
            <v>Commissions - gross</v>
          </cell>
          <cell r="Y16481" t="str">
            <v>CHILE</v>
          </cell>
        </row>
        <row r="16482">
          <cell r="L16482" t="str">
            <v>Non-proportional</v>
          </cell>
          <cell r="S16482">
            <v>23827.72</v>
          </cell>
          <cell r="X16482" t="str">
            <v>Commissions - gross</v>
          </cell>
          <cell r="Y16482" t="str">
            <v>FRANCE</v>
          </cell>
        </row>
        <row r="16483">
          <cell r="L16483" t="str">
            <v>Non-proportional</v>
          </cell>
          <cell r="S16483">
            <v>-378.58</v>
          </cell>
          <cell r="X16483" t="str">
            <v>Commissions - gross</v>
          </cell>
          <cell r="Y16483" t="str">
            <v>ISRAEL</v>
          </cell>
        </row>
        <row r="16484">
          <cell r="L16484" t="str">
            <v>Non-proportional</v>
          </cell>
          <cell r="S16484">
            <v>-971.15</v>
          </cell>
          <cell r="X16484" t="str">
            <v>Commissions - gross</v>
          </cell>
          <cell r="Y16484" t="str">
            <v>SWITZERLAND</v>
          </cell>
        </row>
        <row r="16485">
          <cell r="L16485" t="str">
            <v>Non-proportional</v>
          </cell>
          <cell r="S16485">
            <v>-16838.43</v>
          </cell>
          <cell r="X16485" t="str">
            <v>Commissions - gross</v>
          </cell>
          <cell r="Y16485" t="str">
            <v>PERU</v>
          </cell>
        </row>
        <row r="16486">
          <cell r="L16486" t="str">
            <v>Non-proportional</v>
          </cell>
          <cell r="S16486">
            <v>4590</v>
          </cell>
          <cell r="X16486" t="str">
            <v>Commissions - gross</v>
          </cell>
          <cell r="Y16486" t="str">
            <v>ITALY</v>
          </cell>
        </row>
        <row r="16487">
          <cell r="L16487" t="str">
            <v>Non-proportional</v>
          </cell>
          <cell r="S16487">
            <v>698.94</v>
          </cell>
          <cell r="X16487" t="str">
            <v>Commissions - gross</v>
          </cell>
          <cell r="Y16487" t="str">
            <v>NETHERLANDS</v>
          </cell>
        </row>
        <row r="16488">
          <cell r="L16488" t="str">
            <v>Non-proportional</v>
          </cell>
          <cell r="S16488">
            <v>-814.19</v>
          </cell>
          <cell r="X16488" t="str">
            <v>Commissions - gross</v>
          </cell>
          <cell r="Y16488" t="str">
            <v>SWITZERLAND</v>
          </cell>
        </row>
        <row r="16489">
          <cell r="L16489" t="str">
            <v>Non-proportional</v>
          </cell>
          <cell r="S16489">
            <v>970.87</v>
          </cell>
          <cell r="X16489" t="str">
            <v>Commissions - gross</v>
          </cell>
          <cell r="Y16489" t="str">
            <v>COSTA RICA</v>
          </cell>
        </row>
        <row r="16490">
          <cell r="L16490" t="str">
            <v>Non-proportional</v>
          </cell>
          <cell r="S16490">
            <v>-2054.4699999999998</v>
          </cell>
          <cell r="X16490" t="str">
            <v>Commissions - gross</v>
          </cell>
          <cell r="Y16490" t="str">
            <v>ITALY</v>
          </cell>
        </row>
        <row r="16491">
          <cell r="L16491" t="str">
            <v>Non-proportional</v>
          </cell>
          <cell r="S16491">
            <v>-1397.02</v>
          </cell>
          <cell r="X16491" t="str">
            <v>Commissions - gross</v>
          </cell>
          <cell r="Y16491" t="str">
            <v>COLOMBIA</v>
          </cell>
        </row>
        <row r="16492">
          <cell r="L16492" t="str">
            <v>Non-proportional</v>
          </cell>
          <cell r="S16492">
            <v>-6343.72</v>
          </cell>
          <cell r="X16492" t="str">
            <v>Commissions - gross</v>
          </cell>
          <cell r="Y16492" t="str">
            <v>CHILE</v>
          </cell>
        </row>
        <row r="16493">
          <cell r="L16493" t="str">
            <v>Non-proportional</v>
          </cell>
          <cell r="S16493">
            <v>2578.56</v>
          </cell>
          <cell r="X16493" t="str">
            <v>Commissions - gross</v>
          </cell>
          <cell r="Y16493" t="str">
            <v>MALTA</v>
          </cell>
        </row>
        <row r="16494">
          <cell r="L16494" t="str">
            <v>Non-proportional</v>
          </cell>
          <cell r="S16494">
            <v>-971.15</v>
          </cell>
          <cell r="X16494" t="str">
            <v>Commissions - gross</v>
          </cell>
          <cell r="Y16494" t="str">
            <v>SWITZERLAND</v>
          </cell>
        </row>
        <row r="16495">
          <cell r="L16495" t="str">
            <v>Proportional</v>
          </cell>
          <cell r="S16495">
            <v>-57.12</v>
          </cell>
          <cell r="X16495" t="str">
            <v>Commissions - gross</v>
          </cell>
          <cell r="Y16495" t="str">
            <v>UNITED STATES</v>
          </cell>
        </row>
        <row r="16496">
          <cell r="L16496" t="str">
            <v>Non-proportional</v>
          </cell>
          <cell r="S16496">
            <v>-5299.33</v>
          </cell>
          <cell r="X16496" t="str">
            <v>Commissions - gross</v>
          </cell>
          <cell r="Y16496" t="str">
            <v>CHILE</v>
          </cell>
        </row>
        <row r="16497">
          <cell r="L16497" t="str">
            <v>Non-proportional</v>
          </cell>
          <cell r="S16497">
            <v>-629.52</v>
          </cell>
          <cell r="X16497" t="str">
            <v>Commissions - gross</v>
          </cell>
          <cell r="Y16497" t="str">
            <v>GERMANY</v>
          </cell>
        </row>
        <row r="16498">
          <cell r="L16498" t="str">
            <v>Non-proportional</v>
          </cell>
          <cell r="S16498">
            <v>-970.87</v>
          </cell>
          <cell r="X16498" t="str">
            <v>Commissions - gross</v>
          </cell>
          <cell r="Y16498" t="str">
            <v>COSTA RICA</v>
          </cell>
        </row>
        <row r="16499">
          <cell r="L16499" t="str">
            <v>Non-proportional</v>
          </cell>
          <cell r="S16499">
            <v>-203.71</v>
          </cell>
          <cell r="X16499" t="str">
            <v>Commissions - gross</v>
          </cell>
          <cell r="Y16499" t="str">
            <v>NETHERLANDS</v>
          </cell>
        </row>
        <row r="16500">
          <cell r="L16500" t="str">
            <v>Non-proportional</v>
          </cell>
          <cell r="S16500">
            <v>57101.13</v>
          </cell>
          <cell r="X16500" t="str">
            <v>Commissions - gross</v>
          </cell>
          <cell r="Y16500" t="str">
            <v>UNITED KINGDOM</v>
          </cell>
        </row>
        <row r="16501">
          <cell r="L16501" t="str">
            <v>Non-proportional</v>
          </cell>
          <cell r="S16501">
            <v>542.27</v>
          </cell>
          <cell r="X16501" t="str">
            <v>Commissions - gross</v>
          </cell>
          <cell r="Y16501" t="str">
            <v>CYPRUS</v>
          </cell>
        </row>
        <row r="16502">
          <cell r="L16502" t="str">
            <v>Non-proportional</v>
          </cell>
          <cell r="S16502">
            <v>-113.01</v>
          </cell>
          <cell r="X16502" t="str">
            <v>Commissions - gross</v>
          </cell>
          <cell r="Y16502" t="str">
            <v>ISRAEL</v>
          </cell>
        </row>
        <row r="16503">
          <cell r="L16503" t="str">
            <v>Non-proportional</v>
          </cell>
          <cell r="S16503">
            <v>2283.63</v>
          </cell>
          <cell r="X16503" t="str">
            <v>Commissions - gross</v>
          </cell>
          <cell r="Y16503" t="str">
            <v>PERU</v>
          </cell>
        </row>
        <row r="16504">
          <cell r="L16504" t="str">
            <v>Non-proportional</v>
          </cell>
          <cell r="S16504">
            <v>-1578.32</v>
          </cell>
          <cell r="X16504" t="str">
            <v>Commissions - gross</v>
          </cell>
          <cell r="Y16504" t="str">
            <v>ITALY</v>
          </cell>
        </row>
        <row r="16505">
          <cell r="L16505" t="str">
            <v>Non-proportional</v>
          </cell>
          <cell r="S16505">
            <v>-1162.29</v>
          </cell>
          <cell r="X16505" t="str">
            <v>Commissions - gross</v>
          </cell>
          <cell r="Y16505" t="str">
            <v>ITALY</v>
          </cell>
        </row>
        <row r="16506">
          <cell r="L16506" t="str">
            <v>Non-proportional</v>
          </cell>
          <cell r="S16506">
            <v>928.35</v>
          </cell>
          <cell r="X16506" t="str">
            <v>Commissions - gross</v>
          </cell>
          <cell r="Y16506" t="str">
            <v>CHILE</v>
          </cell>
        </row>
        <row r="16507">
          <cell r="L16507" t="str">
            <v>Non-proportional</v>
          </cell>
          <cell r="S16507">
            <v>-661.72</v>
          </cell>
          <cell r="X16507" t="str">
            <v>Commissions - gross</v>
          </cell>
          <cell r="Y16507" t="str">
            <v>GERMANY</v>
          </cell>
        </row>
        <row r="16508">
          <cell r="L16508" t="str">
            <v>Non-proportional</v>
          </cell>
          <cell r="S16508">
            <v>-4573.6400000000003</v>
          </cell>
          <cell r="X16508" t="str">
            <v>Commissions - gross</v>
          </cell>
          <cell r="Y16508" t="str">
            <v>COLOMBIA</v>
          </cell>
        </row>
        <row r="16509">
          <cell r="L16509" t="str">
            <v>Non-proportional</v>
          </cell>
          <cell r="S16509">
            <v>189.85</v>
          </cell>
          <cell r="X16509" t="str">
            <v>Commissions - gross</v>
          </cell>
          <cell r="Y16509" t="str">
            <v>SWITZERLAND</v>
          </cell>
        </row>
        <row r="16510">
          <cell r="L16510" t="str">
            <v>Non-proportional</v>
          </cell>
          <cell r="S16510">
            <v>415.25</v>
          </cell>
          <cell r="X16510" t="str">
            <v>Commissions - gross</v>
          </cell>
          <cell r="Y16510" t="str">
            <v>GERMANY</v>
          </cell>
        </row>
        <row r="16511">
          <cell r="L16511" t="str">
            <v>Non-proportional</v>
          </cell>
          <cell r="S16511">
            <v>-1994.6</v>
          </cell>
          <cell r="X16511" t="str">
            <v>Commissions - gross</v>
          </cell>
          <cell r="Y16511" t="str">
            <v>FRANCE</v>
          </cell>
        </row>
        <row r="16512">
          <cell r="L16512" t="str">
            <v>Non-proportional</v>
          </cell>
          <cell r="S16512">
            <v>1108.83</v>
          </cell>
          <cell r="X16512" t="str">
            <v>Commissions - gross</v>
          </cell>
          <cell r="Y16512" t="str">
            <v>ITALY</v>
          </cell>
        </row>
        <row r="16513">
          <cell r="L16513" t="str">
            <v>Non-proportional</v>
          </cell>
          <cell r="S16513">
            <v>1820.39</v>
          </cell>
          <cell r="X16513" t="str">
            <v>Commissions - gross</v>
          </cell>
          <cell r="Y16513" t="str">
            <v>COSTA RICA</v>
          </cell>
        </row>
        <row r="16514">
          <cell r="L16514" t="str">
            <v>Non-proportional</v>
          </cell>
          <cell r="S16514">
            <v>-134.82</v>
          </cell>
          <cell r="X16514" t="str">
            <v>Commissions - gross</v>
          </cell>
          <cell r="Y16514" t="str">
            <v>ISRAEL</v>
          </cell>
        </row>
        <row r="16515">
          <cell r="L16515" t="str">
            <v>Non-proportional</v>
          </cell>
          <cell r="S16515">
            <v>1162.29</v>
          </cell>
          <cell r="X16515" t="str">
            <v>Commissions - gross</v>
          </cell>
          <cell r="Y16515" t="str">
            <v>ITALY</v>
          </cell>
        </row>
        <row r="16516">
          <cell r="L16516" t="str">
            <v>Non-proportional</v>
          </cell>
          <cell r="S16516">
            <v>-827.52</v>
          </cell>
          <cell r="X16516" t="str">
            <v>Commissions - gross</v>
          </cell>
          <cell r="Y16516" t="str">
            <v>THAILAND</v>
          </cell>
        </row>
        <row r="16517">
          <cell r="L16517" t="str">
            <v>Non-proportional</v>
          </cell>
          <cell r="S16517">
            <v>8219.4500000000007</v>
          </cell>
          <cell r="X16517" t="str">
            <v>Commissions - gross</v>
          </cell>
          <cell r="Y16517" t="str">
            <v>COSTA RICA</v>
          </cell>
        </row>
        <row r="16518">
          <cell r="L16518" t="str">
            <v>Non-proportional</v>
          </cell>
          <cell r="S16518">
            <v>3856.28</v>
          </cell>
          <cell r="X16518" t="str">
            <v>Commissions - gross</v>
          </cell>
          <cell r="Y16518" t="str">
            <v>GREECE</v>
          </cell>
        </row>
        <row r="16519">
          <cell r="L16519" t="str">
            <v>Non-proportional</v>
          </cell>
          <cell r="S16519">
            <v>2667.2</v>
          </cell>
          <cell r="X16519" t="str">
            <v>Commissions - gross</v>
          </cell>
          <cell r="Y16519" t="str">
            <v>FRANCE</v>
          </cell>
        </row>
        <row r="16520">
          <cell r="L16520" t="str">
            <v>Non-proportional</v>
          </cell>
          <cell r="S16520">
            <v>-485.73</v>
          </cell>
          <cell r="X16520" t="str">
            <v>Commissions - gross</v>
          </cell>
          <cell r="Y16520" t="str">
            <v>UNITED KINGDOM</v>
          </cell>
        </row>
        <row r="16521">
          <cell r="L16521" t="str">
            <v>Proportional</v>
          </cell>
          <cell r="S16521">
            <v>73.959999999999994</v>
          </cell>
          <cell r="X16521" t="str">
            <v>Commissions - gross</v>
          </cell>
          <cell r="Y16521" t="str">
            <v>UNITED STATES</v>
          </cell>
        </row>
        <row r="16522">
          <cell r="L16522" t="str">
            <v>Non-proportional</v>
          </cell>
          <cell r="S16522">
            <v>121.06</v>
          </cell>
          <cell r="X16522" t="str">
            <v>Commissions - gross</v>
          </cell>
          <cell r="Y16522" t="str">
            <v>NETHERLANDS</v>
          </cell>
        </row>
        <row r="16523">
          <cell r="L16523" t="str">
            <v>Non-proportional</v>
          </cell>
          <cell r="S16523">
            <v>-12262.62</v>
          </cell>
          <cell r="X16523" t="str">
            <v>Commissions - gross</v>
          </cell>
          <cell r="Y16523" t="str">
            <v>COLOMBIA</v>
          </cell>
        </row>
        <row r="16524">
          <cell r="L16524" t="str">
            <v>Non-proportional</v>
          </cell>
          <cell r="S16524">
            <v>-15472.49</v>
          </cell>
          <cell r="X16524" t="str">
            <v>Commissions - gross</v>
          </cell>
          <cell r="Y16524" t="str">
            <v>CHILE</v>
          </cell>
        </row>
        <row r="16525">
          <cell r="L16525" t="str">
            <v>Non-proportional</v>
          </cell>
          <cell r="S16525">
            <v>-5564.06</v>
          </cell>
          <cell r="X16525" t="str">
            <v>Commissions - gross</v>
          </cell>
          <cell r="Y16525" t="str">
            <v>ITALY</v>
          </cell>
        </row>
        <row r="16526">
          <cell r="L16526" t="str">
            <v>Non-proportional</v>
          </cell>
          <cell r="S16526">
            <v>-2662.2</v>
          </cell>
          <cell r="X16526" t="str">
            <v>Commissions - gross</v>
          </cell>
          <cell r="Y16526" t="str">
            <v>GREECE</v>
          </cell>
        </row>
        <row r="16527">
          <cell r="L16527" t="str">
            <v>Non-proportional</v>
          </cell>
          <cell r="S16527">
            <v>-665.62</v>
          </cell>
          <cell r="X16527" t="str">
            <v>Commissions - gross</v>
          </cell>
          <cell r="Y16527" t="str">
            <v>DENMARK</v>
          </cell>
        </row>
        <row r="16528">
          <cell r="L16528" t="str">
            <v>Non-proportional</v>
          </cell>
          <cell r="S16528">
            <v>313912.59000000003</v>
          </cell>
          <cell r="X16528" t="str">
            <v>Commissions - gross</v>
          </cell>
          <cell r="Y16528" t="str">
            <v>UNITED KINGDOM</v>
          </cell>
        </row>
        <row r="16529">
          <cell r="L16529" t="str">
            <v>Non-proportional</v>
          </cell>
          <cell r="S16529">
            <v>4230.04</v>
          </cell>
          <cell r="X16529" t="str">
            <v>Commissions - gross</v>
          </cell>
          <cell r="Y16529" t="str">
            <v>ECUADOR</v>
          </cell>
        </row>
        <row r="16530">
          <cell r="L16530" t="str">
            <v>Non-proportional</v>
          </cell>
          <cell r="S16530">
            <v>-2213.88</v>
          </cell>
          <cell r="X16530" t="str">
            <v>Commissions - gross</v>
          </cell>
          <cell r="Y16530" t="str">
            <v>EUROPE</v>
          </cell>
        </row>
        <row r="16531">
          <cell r="L16531" t="str">
            <v>Non-proportional</v>
          </cell>
          <cell r="S16531">
            <v>-27195.119999999999</v>
          </cell>
          <cell r="X16531" t="str">
            <v>Commissions - gross</v>
          </cell>
          <cell r="Y16531" t="str">
            <v>FRANCE</v>
          </cell>
        </row>
        <row r="16532">
          <cell r="L16532" t="str">
            <v>Non-proportional</v>
          </cell>
          <cell r="S16532">
            <v>-55.55</v>
          </cell>
          <cell r="X16532" t="str">
            <v>Commissions - gross</v>
          </cell>
          <cell r="Y16532" t="str">
            <v>PERU</v>
          </cell>
        </row>
        <row r="16533">
          <cell r="L16533" t="str">
            <v>Non-proportional</v>
          </cell>
          <cell r="S16533">
            <v>3581.59</v>
          </cell>
          <cell r="X16533" t="str">
            <v>Commissions - gross</v>
          </cell>
          <cell r="Y16533" t="str">
            <v>JAPAN</v>
          </cell>
        </row>
        <row r="16534">
          <cell r="L16534" t="str">
            <v>Non-proportional</v>
          </cell>
          <cell r="S16534">
            <v>2761.49</v>
          </cell>
          <cell r="X16534" t="str">
            <v>Commissions - gross</v>
          </cell>
          <cell r="Y16534" t="str">
            <v>UNITED KINGDOM</v>
          </cell>
        </row>
        <row r="16535">
          <cell r="L16535" t="str">
            <v>Non-proportional</v>
          </cell>
          <cell r="S16535">
            <v>4085.86</v>
          </cell>
          <cell r="X16535" t="str">
            <v>Commissions - gross</v>
          </cell>
          <cell r="Y16535" t="str">
            <v>UNITED KINGDOM</v>
          </cell>
        </row>
        <row r="16536">
          <cell r="L16536" t="str">
            <v>Non-proportional</v>
          </cell>
          <cell r="S16536">
            <v>11592.74</v>
          </cell>
          <cell r="X16536" t="str">
            <v>Commissions - gross</v>
          </cell>
          <cell r="Y16536" t="str">
            <v>CHINA</v>
          </cell>
        </row>
        <row r="16537">
          <cell r="L16537" t="str">
            <v>Non-proportional</v>
          </cell>
          <cell r="S16537">
            <v>-2384.2600000000002</v>
          </cell>
          <cell r="X16537" t="str">
            <v>Commissions - gross</v>
          </cell>
          <cell r="Y16537" t="str">
            <v>UNITED KINGDOM</v>
          </cell>
        </row>
        <row r="16538">
          <cell r="L16538" t="str">
            <v>Non-proportional</v>
          </cell>
          <cell r="S16538">
            <v>505.56</v>
          </cell>
          <cell r="X16538" t="str">
            <v>Commissions - gross</v>
          </cell>
          <cell r="Y16538" t="str">
            <v>FRANCE</v>
          </cell>
        </row>
        <row r="16539">
          <cell r="L16539" t="str">
            <v>Non-proportional</v>
          </cell>
          <cell r="S16539">
            <v>-22421.119999999999</v>
          </cell>
          <cell r="X16539" t="str">
            <v>Commissions - gross</v>
          </cell>
          <cell r="Y16539" t="str">
            <v>CHINA</v>
          </cell>
        </row>
        <row r="16540">
          <cell r="L16540" t="str">
            <v>Non-proportional</v>
          </cell>
          <cell r="S16540">
            <v>438.4</v>
          </cell>
          <cell r="X16540" t="str">
            <v>Commissions - gross</v>
          </cell>
          <cell r="Y16540" t="str">
            <v>CHILE</v>
          </cell>
        </row>
        <row r="16541">
          <cell r="L16541" t="str">
            <v>Non-proportional</v>
          </cell>
          <cell r="S16541">
            <v>-360</v>
          </cell>
          <cell r="X16541" t="str">
            <v>Commissions - gross</v>
          </cell>
          <cell r="Y16541" t="str">
            <v>GERMANY</v>
          </cell>
        </row>
        <row r="16542">
          <cell r="L16542" t="str">
            <v>Non-proportional</v>
          </cell>
          <cell r="S16542">
            <v>220.45</v>
          </cell>
          <cell r="X16542" t="str">
            <v>Commissions - gross</v>
          </cell>
          <cell r="Y16542" t="str">
            <v>JAPAN</v>
          </cell>
        </row>
        <row r="16543">
          <cell r="L16543" t="str">
            <v>Non-proportional</v>
          </cell>
          <cell r="S16543">
            <v>405</v>
          </cell>
          <cell r="X16543" t="str">
            <v>Commissions - gross</v>
          </cell>
          <cell r="Y16543" t="str">
            <v>GERMANY</v>
          </cell>
        </row>
        <row r="16544">
          <cell r="L16544" t="str">
            <v>Non-proportional</v>
          </cell>
          <cell r="S16544">
            <v>2876.85</v>
          </cell>
          <cell r="X16544" t="str">
            <v>Commissions - gross</v>
          </cell>
          <cell r="Y16544" t="str">
            <v>ECUADOR</v>
          </cell>
        </row>
        <row r="16545">
          <cell r="L16545" t="str">
            <v>Non-proportional</v>
          </cell>
          <cell r="S16545">
            <v>-123.35</v>
          </cell>
          <cell r="X16545" t="str">
            <v>Commissions - gross</v>
          </cell>
          <cell r="Y16545" t="str">
            <v>CYPRUS</v>
          </cell>
        </row>
        <row r="16546">
          <cell r="L16546" t="str">
            <v>Non-proportional</v>
          </cell>
          <cell r="S16546">
            <v>-2199.9</v>
          </cell>
          <cell r="X16546" t="str">
            <v>Commissions - gross</v>
          </cell>
          <cell r="Y16546" t="str">
            <v>JAPAN</v>
          </cell>
        </row>
        <row r="16547">
          <cell r="L16547" t="str">
            <v>Non-proportional</v>
          </cell>
          <cell r="S16547">
            <v>2025.45</v>
          </cell>
          <cell r="X16547" t="str">
            <v>Commissions - gross</v>
          </cell>
          <cell r="Y16547" t="str">
            <v>JAPAN</v>
          </cell>
        </row>
        <row r="16548">
          <cell r="L16548" t="str">
            <v>Non-proportional</v>
          </cell>
          <cell r="S16548">
            <v>2591.0300000000002</v>
          </cell>
          <cell r="X16548" t="str">
            <v>Commissions - gross</v>
          </cell>
          <cell r="Y16548" t="str">
            <v>GUATEMALA</v>
          </cell>
        </row>
        <row r="16549">
          <cell r="L16549" t="str">
            <v>Non-proportional</v>
          </cell>
          <cell r="S16549">
            <v>1452.12</v>
          </cell>
          <cell r="X16549" t="str">
            <v>Commissions - gross</v>
          </cell>
          <cell r="Y16549" t="str">
            <v>PUERTO RICO</v>
          </cell>
        </row>
        <row r="16550">
          <cell r="L16550" t="str">
            <v>Non-proportional</v>
          </cell>
          <cell r="S16550">
            <v>4806.3599999999997</v>
          </cell>
          <cell r="X16550" t="str">
            <v>Commissions - gross</v>
          </cell>
          <cell r="Y16550" t="str">
            <v>GUATEMALA</v>
          </cell>
        </row>
        <row r="16551">
          <cell r="L16551" t="str">
            <v>Non-proportional</v>
          </cell>
          <cell r="S16551">
            <v>-539.88</v>
          </cell>
          <cell r="X16551" t="str">
            <v>Commissions - gross</v>
          </cell>
          <cell r="Y16551" t="str">
            <v>GREECE</v>
          </cell>
        </row>
        <row r="16552">
          <cell r="L16552" t="str">
            <v>Non-proportional</v>
          </cell>
          <cell r="S16552">
            <v>-1098.5899999999999</v>
          </cell>
          <cell r="X16552" t="str">
            <v>Commissions - gross</v>
          </cell>
          <cell r="Y16552" t="str">
            <v>FRANCE</v>
          </cell>
        </row>
        <row r="16553">
          <cell r="L16553" t="str">
            <v>Non-proportional</v>
          </cell>
          <cell r="S16553">
            <v>-23827.72</v>
          </cell>
          <cell r="X16553" t="str">
            <v>Commissions - gross</v>
          </cell>
          <cell r="Y16553" t="str">
            <v>FRANCE</v>
          </cell>
        </row>
        <row r="16554">
          <cell r="L16554" t="str">
            <v>Non-proportional</v>
          </cell>
          <cell r="S16554">
            <v>284.77</v>
          </cell>
          <cell r="X16554" t="str">
            <v>Commissions - gross</v>
          </cell>
          <cell r="Y16554" t="str">
            <v>GERMANY</v>
          </cell>
        </row>
        <row r="16555">
          <cell r="L16555" t="str">
            <v>Non-proportional</v>
          </cell>
          <cell r="S16555">
            <v>930.44</v>
          </cell>
          <cell r="X16555" t="str">
            <v>Commissions - gross</v>
          </cell>
          <cell r="Y16555" t="str">
            <v>JAPAN</v>
          </cell>
        </row>
        <row r="16556">
          <cell r="L16556" t="str">
            <v>Non-proportional</v>
          </cell>
          <cell r="S16556">
            <v>3445.31</v>
          </cell>
          <cell r="X16556" t="str">
            <v>Commissions - gross</v>
          </cell>
          <cell r="Y16556" t="str">
            <v>ITALY</v>
          </cell>
        </row>
        <row r="16557">
          <cell r="L16557" t="str">
            <v>Non-proportional</v>
          </cell>
          <cell r="S16557">
            <v>1106.54</v>
          </cell>
          <cell r="X16557" t="str">
            <v>Commissions - gross</v>
          </cell>
          <cell r="Y16557" t="str">
            <v>ECUADOR</v>
          </cell>
        </row>
        <row r="16558">
          <cell r="L16558" t="str">
            <v>Non-proportional</v>
          </cell>
          <cell r="S16558">
            <v>5618</v>
          </cell>
          <cell r="X16558" t="str">
            <v>Commissions - gross</v>
          </cell>
          <cell r="Y16558" t="str">
            <v>ITALY</v>
          </cell>
        </row>
        <row r="16559">
          <cell r="L16559" t="str">
            <v>Non-proportional</v>
          </cell>
          <cell r="S16559">
            <v>-203.93</v>
          </cell>
          <cell r="X16559" t="str">
            <v>Commissions - gross</v>
          </cell>
          <cell r="Y16559" t="str">
            <v>ISRAEL</v>
          </cell>
        </row>
        <row r="16560">
          <cell r="L16560" t="str">
            <v>Non-proportional</v>
          </cell>
          <cell r="S16560">
            <v>3015.61</v>
          </cell>
          <cell r="X16560" t="str">
            <v>Commissions - gross</v>
          </cell>
          <cell r="Y16560" t="str">
            <v>SOUTH AFRICA</v>
          </cell>
        </row>
        <row r="16561">
          <cell r="L16561" t="str">
            <v>Non-proportional</v>
          </cell>
          <cell r="S16561">
            <v>-1106.54</v>
          </cell>
          <cell r="X16561" t="str">
            <v>Commissions - gross</v>
          </cell>
          <cell r="Y16561" t="str">
            <v>ECUADOR</v>
          </cell>
        </row>
        <row r="16562">
          <cell r="L16562" t="str">
            <v>Non-proportional</v>
          </cell>
          <cell r="S16562">
            <v>7875</v>
          </cell>
          <cell r="X16562" t="str">
            <v>Commissions - gross</v>
          </cell>
          <cell r="Y16562" t="str">
            <v>ITALY</v>
          </cell>
        </row>
        <row r="16563">
          <cell r="L16563" t="str">
            <v>Non-proportional</v>
          </cell>
          <cell r="S16563">
            <v>-8662.5</v>
          </cell>
          <cell r="X16563" t="str">
            <v>Commissions - gross</v>
          </cell>
          <cell r="Y16563" t="str">
            <v>FRANCE</v>
          </cell>
        </row>
        <row r="16564">
          <cell r="L16564" t="str">
            <v>Non-proportional</v>
          </cell>
          <cell r="S16564">
            <v>-91.18</v>
          </cell>
          <cell r="X16564" t="str">
            <v>Commissions - gross</v>
          </cell>
          <cell r="Y16564" t="str">
            <v>FRANCE</v>
          </cell>
        </row>
        <row r="16565">
          <cell r="L16565" t="str">
            <v>Non-proportional</v>
          </cell>
          <cell r="S16565">
            <v>-3300</v>
          </cell>
          <cell r="X16565" t="str">
            <v>Commissions - gross</v>
          </cell>
          <cell r="Y16565" t="str">
            <v>GREECE</v>
          </cell>
        </row>
        <row r="16566">
          <cell r="L16566" t="str">
            <v>Non-proportional</v>
          </cell>
          <cell r="S16566">
            <v>-870</v>
          </cell>
          <cell r="X16566" t="str">
            <v>Commissions - gross</v>
          </cell>
          <cell r="Y16566" t="str">
            <v>GERMANY</v>
          </cell>
        </row>
        <row r="16567">
          <cell r="L16567" t="str">
            <v>Non-proportional</v>
          </cell>
          <cell r="S16567">
            <v>-1.68</v>
          </cell>
          <cell r="X16567" t="str">
            <v>Commissions - gross</v>
          </cell>
          <cell r="Y16567" t="str">
            <v>GERMANY</v>
          </cell>
        </row>
        <row r="16568">
          <cell r="L16568" t="str">
            <v>Non-proportional</v>
          </cell>
          <cell r="S16568">
            <v>1154.75</v>
          </cell>
          <cell r="X16568" t="str">
            <v>Commissions - gross</v>
          </cell>
          <cell r="Y16568" t="str">
            <v>JAPAN</v>
          </cell>
        </row>
        <row r="16569">
          <cell r="L16569" t="str">
            <v>Non-proportional</v>
          </cell>
          <cell r="S16569">
            <v>2443.84</v>
          </cell>
          <cell r="X16569" t="str">
            <v>Commissions - gross</v>
          </cell>
          <cell r="Y16569" t="str">
            <v>ECUADOR</v>
          </cell>
        </row>
        <row r="16570">
          <cell r="L16570" t="str">
            <v>Non-proportional</v>
          </cell>
          <cell r="S16570">
            <v>-2591.0300000000002</v>
          </cell>
          <cell r="X16570" t="str">
            <v>Commissions - gross</v>
          </cell>
          <cell r="Y16570" t="str">
            <v>GUATEMALA</v>
          </cell>
        </row>
        <row r="16571">
          <cell r="L16571" t="str">
            <v>Non-proportional</v>
          </cell>
          <cell r="S16571">
            <v>8420.51</v>
          </cell>
          <cell r="X16571" t="str">
            <v>Commissions - gross</v>
          </cell>
          <cell r="Y16571" t="str">
            <v>NEW ZEALAND</v>
          </cell>
        </row>
        <row r="16572">
          <cell r="L16572" t="str">
            <v>Non-proportional</v>
          </cell>
          <cell r="S16572">
            <v>1128.42</v>
          </cell>
          <cell r="X16572" t="str">
            <v>Commissions - gross</v>
          </cell>
          <cell r="Y16572" t="str">
            <v>CYPRUS</v>
          </cell>
        </row>
        <row r="16573">
          <cell r="L16573" t="str">
            <v>Non-proportional</v>
          </cell>
          <cell r="S16573">
            <v>-4618.63</v>
          </cell>
          <cell r="X16573" t="str">
            <v>Commissions - gross</v>
          </cell>
          <cell r="Y16573" t="str">
            <v>FRANCE</v>
          </cell>
        </row>
        <row r="16574">
          <cell r="L16574" t="str">
            <v>Proportional</v>
          </cell>
          <cell r="S16574">
            <v>0.83</v>
          </cell>
          <cell r="X16574" t="str">
            <v>Commissions - gross</v>
          </cell>
          <cell r="Y16574" t="str">
            <v>SINGAPORE</v>
          </cell>
        </row>
        <row r="16575">
          <cell r="L16575" t="str">
            <v>Non-proportional</v>
          </cell>
          <cell r="S16575">
            <v>273.87</v>
          </cell>
          <cell r="X16575" t="str">
            <v>Commissions - gross</v>
          </cell>
          <cell r="Y16575" t="str">
            <v>PERU</v>
          </cell>
        </row>
        <row r="16576">
          <cell r="L16576" t="str">
            <v>Non-proportional</v>
          </cell>
          <cell r="S16576">
            <v>210.8</v>
          </cell>
          <cell r="X16576" t="str">
            <v>Commissions - gross</v>
          </cell>
          <cell r="Y16576" t="str">
            <v>FRANCE</v>
          </cell>
        </row>
        <row r="16577">
          <cell r="L16577" t="str">
            <v>Non-proportional</v>
          </cell>
          <cell r="S16577">
            <v>-11592.74</v>
          </cell>
          <cell r="X16577" t="str">
            <v>Commissions - gross</v>
          </cell>
          <cell r="Y16577" t="str">
            <v>CHINA</v>
          </cell>
        </row>
        <row r="16578">
          <cell r="L16578" t="str">
            <v>Non-proportional</v>
          </cell>
          <cell r="S16578">
            <v>1925.72</v>
          </cell>
          <cell r="X16578" t="str">
            <v>Commissions - gross</v>
          </cell>
          <cell r="Y16578" t="str">
            <v>JAPAN</v>
          </cell>
        </row>
        <row r="16579">
          <cell r="L16579" t="str">
            <v>Non-proportional</v>
          </cell>
          <cell r="S16579">
            <v>-47772.28</v>
          </cell>
          <cell r="X16579" t="str">
            <v>Commissions - gross</v>
          </cell>
          <cell r="Y16579" t="str">
            <v>UNITED STATES</v>
          </cell>
        </row>
        <row r="16580">
          <cell r="L16580" t="str">
            <v>Non-proportional</v>
          </cell>
          <cell r="S16580">
            <v>2591.0300000000002</v>
          </cell>
          <cell r="X16580" t="str">
            <v>Commissions - gross</v>
          </cell>
          <cell r="Y16580" t="str">
            <v>GUATEMALA</v>
          </cell>
        </row>
        <row r="16581">
          <cell r="L16581" t="str">
            <v>Non-proportional</v>
          </cell>
          <cell r="S16581">
            <v>2169.25</v>
          </cell>
          <cell r="X16581" t="str">
            <v>Commissions - gross</v>
          </cell>
          <cell r="Y16581" t="str">
            <v>NEW ZEALAND</v>
          </cell>
        </row>
        <row r="16582">
          <cell r="L16582" t="str">
            <v>Non-proportional</v>
          </cell>
          <cell r="S16582">
            <v>2666.01</v>
          </cell>
          <cell r="X16582" t="str">
            <v>Commissions - gross</v>
          </cell>
          <cell r="Y16582" t="str">
            <v>ECUADOR</v>
          </cell>
        </row>
        <row r="16583">
          <cell r="L16583" t="str">
            <v>Non-proportional</v>
          </cell>
          <cell r="S16583">
            <v>296.76</v>
          </cell>
          <cell r="X16583" t="str">
            <v>Commissions - gross</v>
          </cell>
          <cell r="Y16583" t="str">
            <v>DENMARK</v>
          </cell>
        </row>
        <row r="16584">
          <cell r="L16584" t="str">
            <v>Non-proportional</v>
          </cell>
          <cell r="S16584">
            <v>1067.26</v>
          </cell>
          <cell r="X16584" t="str">
            <v>Commissions - gross</v>
          </cell>
          <cell r="Y16584" t="str">
            <v>FRANCE</v>
          </cell>
        </row>
        <row r="16585">
          <cell r="L16585" t="str">
            <v>Non-proportional</v>
          </cell>
          <cell r="S16585">
            <v>-1130.45</v>
          </cell>
          <cell r="X16585" t="str">
            <v>Commissions - gross</v>
          </cell>
          <cell r="Y16585" t="str">
            <v>CYPRUS</v>
          </cell>
        </row>
        <row r="16586">
          <cell r="L16586" t="str">
            <v>Non-proportional</v>
          </cell>
          <cell r="S16586">
            <v>3532.19</v>
          </cell>
          <cell r="X16586" t="str">
            <v>Commissions - gross</v>
          </cell>
          <cell r="Y16586" t="str">
            <v>JAPAN</v>
          </cell>
        </row>
        <row r="16587">
          <cell r="L16587" t="str">
            <v>Proportional</v>
          </cell>
          <cell r="S16587">
            <v>4972.05</v>
          </cell>
          <cell r="X16587" t="str">
            <v>Commissions - gross</v>
          </cell>
          <cell r="Y16587" t="str">
            <v>GERMANY</v>
          </cell>
        </row>
        <row r="16588">
          <cell r="L16588" t="str">
            <v>Non-proportional</v>
          </cell>
          <cell r="S16588">
            <v>-981.55</v>
          </cell>
          <cell r="X16588" t="str">
            <v>Commissions - gross</v>
          </cell>
          <cell r="Y16588" t="str">
            <v>PUERTO RICO</v>
          </cell>
        </row>
        <row r="16589">
          <cell r="L16589" t="str">
            <v>Non-proportional</v>
          </cell>
          <cell r="S16589">
            <v>930.44</v>
          </cell>
          <cell r="X16589" t="str">
            <v>Commissions - gross</v>
          </cell>
          <cell r="Y16589" t="str">
            <v>JAPAN</v>
          </cell>
        </row>
        <row r="16590">
          <cell r="L16590" t="str">
            <v>Non-proportional</v>
          </cell>
          <cell r="S16590">
            <v>5761.38</v>
          </cell>
          <cell r="X16590" t="str">
            <v>Commissions - gross</v>
          </cell>
          <cell r="Y16590" t="str">
            <v>FRANCE</v>
          </cell>
        </row>
        <row r="16591">
          <cell r="L16591" t="str">
            <v>Non-proportional</v>
          </cell>
          <cell r="S16591">
            <v>127.81</v>
          </cell>
          <cell r="X16591" t="str">
            <v>Commissions - gross</v>
          </cell>
          <cell r="Y16591" t="str">
            <v>ISRAEL</v>
          </cell>
        </row>
        <row r="16592">
          <cell r="L16592" t="str">
            <v>Non-proportional</v>
          </cell>
          <cell r="S16592">
            <v>110.28</v>
          </cell>
          <cell r="X16592" t="str">
            <v>Commissions - gross</v>
          </cell>
          <cell r="Y16592" t="str">
            <v>ISRAEL</v>
          </cell>
        </row>
        <row r="16593">
          <cell r="L16593" t="str">
            <v>Non-proportional</v>
          </cell>
          <cell r="S16593">
            <v>-3712.15</v>
          </cell>
          <cell r="X16593" t="str">
            <v>Commissions - gross</v>
          </cell>
          <cell r="Y16593" t="str">
            <v>ECUADOR</v>
          </cell>
        </row>
        <row r="16594">
          <cell r="L16594" t="str">
            <v>Non-proportional</v>
          </cell>
          <cell r="S16594">
            <v>9213.75</v>
          </cell>
          <cell r="X16594" t="str">
            <v>Commissions - gross</v>
          </cell>
          <cell r="Y16594" t="str">
            <v>TURKEY</v>
          </cell>
        </row>
        <row r="16595">
          <cell r="L16595" t="str">
            <v>Non-proportional</v>
          </cell>
          <cell r="S16595">
            <v>265086.8</v>
          </cell>
          <cell r="X16595" t="str">
            <v>Commissions - gross</v>
          </cell>
          <cell r="Y16595" t="str">
            <v>UNITED KINGDOM</v>
          </cell>
        </row>
        <row r="16596">
          <cell r="L16596" t="str">
            <v>Non-proportional</v>
          </cell>
          <cell r="S16596">
            <v>2784.11</v>
          </cell>
          <cell r="X16596" t="str">
            <v>Commissions - gross</v>
          </cell>
          <cell r="Y16596" t="str">
            <v>ECUADOR</v>
          </cell>
        </row>
        <row r="16597">
          <cell r="L16597" t="str">
            <v>Non-proportional</v>
          </cell>
          <cell r="S16597">
            <v>-585.26</v>
          </cell>
          <cell r="X16597" t="str">
            <v>Commissions - gross</v>
          </cell>
          <cell r="Y16597" t="str">
            <v>PERU</v>
          </cell>
        </row>
        <row r="16598">
          <cell r="L16598" t="str">
            <v>Non-proportional</v>
          </cell>
          <cell r="S16598">
            <v>-92.25</v>
          </cell>
          <cell r="X16598" t="str">
            <v>Commissions - gross</v>
          </cell>
          <cell r="Y16598" t="str">
            <v>ISRAEL</v>
          </cell>
        </row>
        <row r="16599">
          <cell r="L16599" t="str">
            <v>Non-proportional</v>
          </cell>
          <cell r="S16599">
            <v>1677.46</v>
          </cell>
          <cell r="X16599" t="str">
            <v>Commissions - gross</v>
          </cell>
          <cell r="Y16599" t="str">
            <v>FAROE ISLANDS</v>
          </cell>
        </row>
        <row r="16600">
          <cell r="L16600" t="str">
            <v>Non-proportional</v>
          </cell>
          <cell r="S16600">
            <v>-3760</v>
          </cell>
          <cell r="X16600" t="str">
            <v>Commissions - gross</v>
          </cell>
          <cell r="Y16600" t="str">
            <v>ITALY</v>
          </cell>
        </row>
        <row r="16601">
          <cell r="L16601" t="str">
            <v>Non-proportional</v>
          </cell>
          <cell r="S16601">
            <v>73.36</v>
          </cell>
          <cell r="X16601" t="str">
            <v>Commissions - gross</v>
          </cell>
          <cell r="Y16601" t="str">
            <v>GERMANY</v>
          </cell>
        </row>
        <row r="16602">
          <cell r="L16602" t="str">
            <v>Non-proportional</v>
          </cell>
          <cell r="S16602">
            <v>-597.27</v>
          </cell>
          <cell r="X16602" t="str">
            <v>Commissions - gross</v>
          </cell>
          <cell r="Y16602" t="str">
            <v>ECUADOR</v>
          </cell>
        </row>
        <row r="16603">
          <cell r="L16603" t="str">
            <v>Non-proportional</v>
          </cell>
          <cell r="S16603">
            <v>6936.4</v>
          </cell>
          <cell r="X16603" t="str">
            <v>Commissions - gross</v>
          </cell>
          <cell r="Y16603" t="str">
            <v>ECUADOR</v>
          </cell>
        </row>
        <row r="16604">
          <cell r="L16604" t="str">
            <v>Non-proportional</v>
          </cell>
          <cell r="S16604">
            <v>71.709999999999994</v>
          </cell>
          <cell r="X16604" t="str">
            <v>Commissions - gross</v>
          </cell>
          <cell r="Y16604" t="str">
            <v>ISRAEL</v>
          </cell>
        </row>
        <row r="16605">
          <cell r="L16605" t="str">
            <v>Non-proportional</v>
          </cell>
          <cell r="S16605">
            <v>-787.8</v>
          </cell>
          <cell r="X16605" t="str">
            <v>Commissions - gross</v>
          </cell>
          <cell r="Y16605" t="str">
            <v>JAPAN</v>
          </cell>
        </row>
        <row r="16606">
          <cell r="L16606" t="str">
            <v>Non-proportional</v>
          </cell>
          <cell r="S16606">
            <v>-1389.41</v>
          </cell>
          <cell r="X16606" t="str">
            <v>Commissions - gross</v>
          </cell>
          <cell r="Y16606" t="str">
            <v>JAPAN</v>
          </cell>
        </row>
        <row r="16607">
          <cell r="L16607" t="str">
            <v>Proportional</v>
          </cell>
          <cell r="S16607">
            <v>27112.34</v>
          </cell>
          <cell r="X16607" t="str">
            <v>Commissions - gross</v>
          </cell>
          <cell r="Y16607" t="str">
            <v>UNITED STATES</v>
          </cell>
        </row>
        <row r="16608">
          <cell r="L16608" t="str">
            <v>Non-proportional</v>
          </cell>
          <cell r="S16608">
            <v>3462.27</v>
          </cell>
          <cell r="X16608" t="str">
            <v>Commissions - gross</v>
          </cell>
          <cell r="Y16608" t="str">
            <v>GUATEMALA</v>
          </cell>
        </row>
        <row r="16609">
          <cell r="L16609" t="str">
            <v>Non-proportional</v>
          </cell>
          <cell r="S16609">
            <v>2519.4699999999998</v>
          </cell>
          <cell r="X16609" t="str">
            <v>Commissions - gross</v>
          </cell>
          <cell r="Y16609" t="str">
            <v>JAPAN</v>
          </cell>
        </row>
        <row r="16610">
          <cell r="L16610" t="str">
            <v>Non-proportional</v>
          </cell>
          <cell r="S16610">
            <v>2112.3000000000002</v>
          </cell>
          <cell r="X16610" t="str">
            <v>Commissions - gross</v>
          </cell>
          <cell r="Y16610" t="str">
            <v>NEW ZEALAND</v>
          </cell>
        </row>
        <row r="16611">
          <cell r="L16611" t="str">
            <v>Non-proportional</v>
          </cell>
          <cell r="S16611">
            <v>-4725</v>
          </cell>
          <cell r="X16611" t="str">
            <v>Commissions - gross</v>
          </cell>
          <cell r="Y16611" t="str">
            <v>ITALY</v>
          </cell>
        </row>
        <row r="16612">
          <cell r="L16612" t="str">
            <v>Non-proportional</v>
          </cell>
          <cell r="S16612">
            <v>9880.26</v>
          </cell>
          <cell r="X16612" t="str">
            <v>Commissions - gross</v>
          </cell>
          <cell r="Y16612" t="str">
            <v>JAPAN</v>
          </cell>
        </row>
        <row r="16613">
          <cell r="L16613" t="str">
            <v>Non-proportional</v>
          </cell>
          <cell r="S16613">
            <v>125.38</v>
          </cell>
          <cell r="X16613" t="str">
            <v>Commissions - gross</v>
          </cell>
          <cell r="Y16613" t="str">
            <v>CYPRUS</v>
          </cell>
        </row>
        <row r="16614">
          <cell r="L16614" t="str">
            <v>Non-proportional</v>
          </cell>
          <cell r="S16614">
            <v>-2395.5</v>
          </cell>
          <cell r="X16614" t="str">
            <v>Commissions - gross</v>
          </cell>
          <cell r="Y16614" t="str">
            <v>ITALY</v>
          </cell>
        </row>
        <row r="16615">
          <cell r="L16615" t="str">
            <v>Non-proportional</v>
          </cell>
          <cell r="S16615">
            <v>-10500.5</v>
          </cell>
          <cell r="X16615" t="str">
            <v>Commissions - gross</v>
          </cell>
          <cell r="Y16615" t="str">
            <v>ECUADOR</v>
          </cell>
        </row>
        <row r="16616">
          <cell r="L16616" t="str">
            <v>Non-proportional</v>
          </cell>
          <cell r="S16616">
            <v>146.30000000000001</v>
          </cell>
          <cell r="X16616" t="str">
            <v>Commissions - gross</v>
          </cell>
          <cell r="Y16616" t="str">
            <v>ISRAEL</v>
          </cell>
        </row>
        <row r="16617">
          <cell r="L16617" t="str">
            <v>Non-proportional</v>
          </cell>
          <cell r="S16617">
            <v>1217.6600000000001</v>
          </cell>
          <cell r="X16617" t="str">
            <v>Commissions - gross</v>
          </cell>
          <cell r="Y16617" t="str">
            <v>GERMANY</v>
          </cell>
        </row>
        <row r="16618">
          <cell r="L16618" t="str">
            <v>Non-proportional</v>
          </cell>
          <cell r="S16618">
            <v>-284.77</v>
          </cell>
          <cell r="X16618" t="str">
            <v>Commissions - gross</v>
          </cell>
          <cell r="Y16618" t="str">
            <v>GERMANY</v>
          </cell>
        </row>
        <row r="16619">
          <cell r="L16619" t="str">
            <v>Non-proportional</v>
          </cell>
          <cell r="S16619">
            <v>547.89</v>
          </cell>
          <cell r="X16619" t="str">
            <v>Commissions - gross</v>
          </cell>
          <cell r="Y16619" t="str">
            <v>JAPAN</v>
          </cell>
        </row>
        <row r="16620">
          <cell r="L16620" t="str">
            <v>Non-proportional</v>
          </cell>
          <cell r="S16620">
            <v>7873.25</v>
          </cell>
          <cell r="X16620" t="str">
            <v>Commissions - gross</v>
          </cell>
          <cell r="Y16620" t="str">
            <v>JAPAN</v>
          </cell>
        </row>
        <row r="16621">
          <cell r="L16621" t="str">
            <v>Non-proportional</v>
          </cell>
          <cell r="S16621">
            <v>1266.72</v>
          </cell>
          <cell r="X16621" t="str">
            <v>Commissions - gross</v>
          </cell>
          <cell r="Y16621" t="str">
            <v>ECUADOR</v>
          </cell>
        </row>
        <row r="16622">
          <cell r="L16622" t="str">
            <v>Non-proportional</v>
          </cell>
          <cell r="S16622">
            <v>6400</v>
          </cell>
          <cell r="X16622" t="str">
            <v>Commissions - gross</v>
          </cell>
          <cell r="Y16622" t="str">
            <v>ITALY</v>
          </cell>
        </row>
        <row r="16623">
          <cell r="L16623" t="str">
            <v>Non-proportional</v>
          </cell>
          <cell r="S16623">
            <v>874.24</v>
          </cell>
          <cell r="X16623" t="str">
            <v>Commissions - gross</v>
          </cell>
          <cell r="Y16623" t="str">
            <v>ISRAEL</v>
          </cell>
        </row>
        <row r="16624">
          <cell r="L16624" t="str">
            <v>Non-proportional</v>
          </cell>
          <cell r="S16624">
            <v>-41933.449999999997</v>
          </cell>
          <cell r="X16624" t="str">
            <v>Commissions - gross</v>
          </cell>
          <cell r="Y16624" t="str">
            <v>UNITED STATES</v>
          </cell>
        </row>
        <row r="16625">
          <cell r="L16625" t="str">
            <v>Non-proportional</v>
          </cell>
          <cell r="S16625">
            <v>876.81</v>
          </cell>
          <cell r="X16625" t="str">
            <v>Commissions - gross</v>
          </cell>
          <cell r="Y16625" t="str">
            <v>CHILE</v>
          </cell>
        </row>
        <row r="16626">
          <cell r="L16626" t="str">
            <v>Non-proportional</v>
          </cell>
          <cell r="S16626">
            <v>-1179.4100000000001</v>
          </cell>
          <cell r="X16626" t="str">
            <v>Commissions - gross</v>
          </cell>
          <cell r="Y16626" t="str">
            <v>GERMANY</v>
          </cell>
        </row>
        <row r="16627">
          <cell r="L16627" t="str">
            <v>Non-proportional</v>
          </cell>
          <cell r="S16627">
            <v>-44182.14</v>
          </cell>
          <cell r="X16627" t="str">
            <v>Commissions - gross</v>
          </cell>
          <cell r="Y16627" t="str">
            <v>AUSTRALIA</v>
          </cell>
        </row>
        <row r="16628">
          <cell r="L16628" t="str">
            <v>Non-proportional</v>
          </cell>
          <cell r="S16628">
            <v>104976.84</v>
          </cell>
          <cell r="X16628" t="str">
            <v>Commissions - gross</v>
          </cell>
          <cell r="Y16628" t="str">
            <v>FRANCE</v>
          </cell>
        </row>
        <row r="16629">
          <cell r="L16629" t="str">
            <v>Non-proportional</v>
          </cell>
          <cell r="S16629">
            <v>2057.56</v>
          </cell>
          <cell r="X16629" t="str">
            <v>Commissions - gross</v>
          </cell>
          <cell r="Y16629" t="str">
            <v>JAPAN</v>
          </cell>
        </row>
        <row r="16630">
          <cell r="L16630" t="str">
            <v>Non-proportional</v>
          </cell>
          <cell r="S16630">
            <v>1568.69</v>
          </cell>
          <cell r="X16630" t="str">
            <v>Commissions - gross</v>
          </cell>
          <cell r="Y16630" t="str">
            <v>NEW ZEALAND</v>
          </cell>
        </row>
        <row r="16631">
          <cell r="L16631" t="str">
            <v>Non-proportional</v>
          </cell>
          <cell r="S16631">
            <v>5800.01</v>
          </cell>
          <cell r="X16631" t="str">
            <v>Commissions - gross</v>
          </cell>
          <cell r="Y16631" t="str">
            <v>ECUADOR</v>
          </cell>
        </row>
        <row r="16632">
          <cell r="L16632" t="str">
            <v>Non-proportional</v>
          </cell>
          <cell r="S16632">
            <v>-7565.05</v>
          </cell>
          <cell r="X16632" t="str">
            <v>Commissions - gross</v>
          </cell>
          <cell r="Y16632" t="str">
            <v>ECUADOR</v>
          </cell>
        </row>
        <row r="16633">
          <cell r="L16633" t="str">
            <v>Non-proportional</v>
          </cell>
          <cell r="S16633">
            <v>14235.87</v>
          </cell>
          <cell r="X16633" t="str">
            <v>Commissions - gross</v>
          </cell>
          <cell r="Y16633" t="str">
            <v>EUROPE</v>
          </cell>
        </row>
        <row r="16634">
          <cell r="L16634" t="str">
            <v>Non-proportional</v>
          </cell>
          <cell r="S16634">
            <v>5712.28</v>
          </cell>
          <cell r="X16634" t="str">
            <v>Commissions - gross</v>
          </cell>
          <cell r="Y16634" t="str">
            <v>ECUADOR</v>
          </cell>
        </row>
        <row r="16635">
          <cell r="L16635" t="str">
            <v>Non-proportional</v>
          </cell>
          <cell r="S16635">
            <v>-2999.78</v>
          </cell>
          <cell r="X16635" t="str">
            <v>Commissions - gross</v>
          </cell>
          <cell r="Y16635" t="str">
            <v>FRANCE</v>
          </cell>
        </row>
        <row r="16636">
          <cell r="L16636" t="str">
            <v>Non-proportional</v>
          </cell>
          <cell r="S16636">
            <v>-278.81</v>
          </cell>
          <cell r="X16636" t="str">
            <v>Commissions - gross</v>
          </cell>
          <cell r="Y16636" t="str">
            <v>JAPAN</v>
          </cell>
        </row>
        <row r="16637">
          <cell r="L16637" t="str">
            <v>Non-proportional</v>
          </cell>
          <cell r="S16637">
            <v>7525</v>
          </cell>
          <cell r="X16637" t="str">
            <v>Commissions - gross</v>
          </cell>
          <cell r="Y16637" t="str">
            <v>ITALY</v>
          </cell>
        </row>
        <row r="16638">
          <cell r="L16638" t="str">
            <v>Non-proportional</v>
          </cell>
          <cell r="S16638">
            <v>-185127.33</v>
          </cell>
          <cell r="X16638" t="str">
            <v>Commissions - gross</v>
          </cell>
          <cell r="Y16638" t="str">
            <v>UNITED KINGDOM</v>
          </cell>
        </row>
        <row r="16639">
          <cell r="L16639" t="str">
            <v>Non-proportional</v>
          </cell>
          <cell r="S16639">
            <v>-944.14</v>
          </cell>
          <cell r="X16639" t="str">
            <v>Commissions - gross</v>
          </cell>
          <cell r="Y16639" t="str">
            <v>FRANCE</v>
          </cell>
        </row>
        <row r="16640">
          <cell r="L16640" t="str">
            <v>Non-proportional</v>
          </cell>
          <cell r="S16640">
            <v>-7082.91</v>
          </cell>
          <cell r="X16640" t="str">
            <v>Commissions - gross</v>
          </cell>
          <cell r="Y16640" t="str">
            <v>JAPAN</v>
          </cell>
        </row>
        <row r="16641">
          <cell r="L16641" t="str">
            <v>Non-proportional</v>
          </cell>
          <cell r="S16641">
            <v>83.04</v>
          </cell>
          <cell r="X16641" t="str">
            <v>Commissions - gross</v>
          </cell>
          <cell r="Y16641" t="str">
            <v>GERMANY</v>
          </cell>
        </row>
        <row r="16642">
          <cell r="L16642" t="str">
            <v>Non-proportional</v>
          </cell>
          <cell r="S16642">
            <v>5800.01</v>
          </cell>
          <cell r="X16642" t="str">
            <v>Commissions - gross</v>
          </cell>
          <cell r="Y16642" t="str">
            <v>ECUADOR</v>
          </cell>
        </row>
        <row r="16643">
          <cell r="L16643" t="str">
            <v>Non-proportional</v>
          </cell>
          <cell r="S16643">
            <v>-404</v>
          </cell>
          <cell r="X16643" t="str">
            <v>Commissions - gross</v>
          </cell>
          <cell r="Y16643" t="str">
            <v>GERMANY</v>
          </cell>
        </row>
        <row r="16644">
          <cell r="L16644" t="str">
            <v>Non-proportional</v>
          </cell>
          <cell r="S16644">
            <v>-2.39</v>
          </cell>
          <cell r="X16644" t="str">
            <v>Commissions - gross</v>
          </cell>
          <cell r="Y16644" t="str">
            <v>GERMANY</v>
          </cell>
        </row>
        <row r="16645">
          <cell r="L16645" t="str">
            <v>Non-proportional</v>
          </cell>
          <cell r="S16645">
            <v>-4982.3100000000004</v>
          </cell>
          <cell r="X16645" t="str">
            <v>Commissions - gross</v>
          </cell>
          <cell r="Y16645" t="str">
            <v>FRANCE</v>
          </cell>
        </row>
        <row r="16646">
          <cell r="L16646" t="str">
            <v>Non-proportional</v>
          </cell>
          <cell r="S16646">
            <v>-6680</v>
          </cell>
          <cell r="X16646" t="str">
            <v>Commissions - gross</v>
          </cell>
          <cell r="Y16646" t="str">
            <v>ITALY</v>
          </cell>
        </row>
        <row r="16647">
          <cell r="L16647" t="str">
            <v>Non-proportional</v>
          </cell>
          <cell r="S16647">
            <v>115.43</v>
          </cell>
          <cell r="X16647" t="str">
            <v>Commissions - gross</v>
          </cell>
          <cell r="Y16647" t="str">
            <v>ITALY</v>
          </cell>
        </row>
        <row r="16648">
          <cell r="L16648" t="str">
            <v>Non-proportional</v>
          </cell>
          <cell r="S16648">
            <v>139.77000000000001</v>
          </cell>
          <cell r="X16648" t="str">
            <v>Commissions - gross</v>
          </cell>
          <cell r="Y16648" t="str">
            <v>CYPRUS</v>
          </cell>
        </row>
        <row r="16649">
          <cell r="L16649" t="str">
            <v>Non-proportional</v>
          </cell>
          <cell r="S16649">
            <v>981.55</v>
          </cell>
          <cell r="X16649" t="str">
            <v>Commissions - gross</v>
          </cell>
          <cell r="Y16649" t="str">
            <v>PUERTO RICO</v>
          </cell>
        </row>
        <row r="16650">
          <cell r="L16650" t="str">
            <v>Non-proportional</v>
          </cell>
          <cell r="S16650">
            <v>-104976.84</v>
          </cell>
          <cell r="X16650" t="str">
            <v>Commissions - gross</v>
          </cell>
          <cell r="Y16650" t="str">
            <v>FRANCE</v>
          </cell>
        </row>
        <row r="16651">
          <cell r="L16651" t="str">
            <v>Proportional</v>
          </cell>
          <cell r="S16651">
            <v>2612.5</v>
          </cell>
          <cell r="X16651" t="str">
            <v>Commissions - gross</v>
          </cell>
          <cell r="Y16651" t="str">
            <v>REPUBLIC OF IRELAND</v>
          </cell>
        </row>
        <row r="16652">
          <cell r="L16652" t="str">
            <v>Non-proportional</v>
          </cell>
          <cell r="S16652">
            <v>3594.5</v>
          </cell>
          <cell r="X16652" t="str">
            <v>Commissions - gross</v>
          </cell>
          <cell r="Y16652" t="str">
            <v>GUATEMALA</v>
          </cell>
        </row>
        <row r="16653">
          <cell r="L16653" t="str">
            <v>Non-proportional</v>
          </cell>
          <cell r="S16653">
            <v>-1257.2</v>
          </cell>
          <cell r="X16653" t="str">
            <v>Commissions - gross</v>
          </cell>
          <cell r="Y16653" t="str">
            <v>GERMANY</v>
          </cell>
        </row>
        <row r="16654">
          <cell r="L16654" t="str">
            <v>Non-proportional</v>
          </cell>
          <cell r="S16654">
            <v>4488.12</v>
          </cell>
          <cell r="X16654" t="str">
            <v>Commissions - gross</v>
          </cell>
          <cell r="Y16654" t="str">
            <v>CYPRUS</v>
          </cell>
        </row>
        <row r="16655">
          <cell r="L16655" t="str">
            <v>Non-proportional</v>
          </cell>
          <cell r="S16655">
            <v>342784.66</v>
          </cell>
          <cell r="X16655" t="str">
            <v>Commissions - gross</v>
          </cell>
          <cell r="Y16655" t="str">
            <v>UNITED KINGDOM</v>
          </cell>
        </row>
        <row r="16656">
          <cell r="L16656" t="str">
            <v>Non-proportional</v>
          </cell>
          <cell r="S16656">
            <v>1.68</v>
          </cell>
          <cell r="X16656" t="str">
            <v>Commissions - gross</v>
          </cell>
          <cell r="Y16656" t="str">
            <v>GERMANY</v>
          </cell>
        </row>
        <row r="16657">
          <cell r="L16657" t="str">
            <v>Non-proportional</v>
          </cell>
          <cell r="S16657">
            <v>-4.71</v>
          </cell>
          <cell r="X16657" t="str">
            <v>Commissions - gross</v>
          </cell>
          <cell r="Y16657" t="str">
            <v>GERMANY</v>
          </cell>
        </row>
        <row r="16658">
          <cell r="L16658" t="str">
            <v>Non-proportional</v>
          </cell>
          <cell r="S16658">
            <v>12263.07</v>
          </cell>
          <cell r="X16658" t="str">
            <v>Commissions - gross</v>
          </cell>
          <cell r="Y16658" t="str">
            <v>NEW ZEALAND</v>
          </cell>
        </row>
        <row r="16659">
          <cell r="L16659" t="str">
            <v>Non-proportional</v>
          </cell>
          <cell r="S16659">
            <v>2025.45</v>
          </cell>
          <cell r="X16659" t="str">
            <v>Commissions - gross</v>
          </cell>
          <cell r="Y16659" t="str">
            <v>JAPAN</v>
          </cell>
        </row>
        <row r="16660">
          <cell r="L16660" t="str">
            <v>Non-proportional</v>
          </cell>
          <cell r="S16660">
            <v>2199.9</v>
          </cell>
          <cell r="X16660" t="str">
            <v>Commissions - gross</v>
          </cell>
          <cell r="Y16660" t="str">
            <v>JAPAN</v>
          </cell>
        </row>
        <row r="16661">
          <cell r="L16661" t="str">
            <v>Non-proportional</v>
          </cell>
          <cell r="S16661">
            <v>2953.13</v>
          </cell>
          <cell r="X16661" t="str">
            <v>Commissions - gross</v>
          </cell>
          <cell r="Y16661" t="str">
            <v>ITALY</v>
          </cell>
        </row>
        <row r="16662">
          <cell r="L16662" t="str">
            <v>Non-proportional</v>
          </cell>
          <cell r="S16662">
            <v>-2156.6999999999998</v>
          </cell>
          <cell r="X16662" t="str">
            <v>Commissions - gross</v>
          </cell>
          <cell r="Y16662" t="str">
            <v>GUATEMALA</v>
          </cell>
        </row>
        <row r="16663">
          <cell r="L16663" t="str">
            <v>Non-proportional</v>
          </cell>
          <cell r="S16663">
            <v>-872.08</v>
          </cell>
          <cell r="X16663" t="str">
            <v>Commissions - gross</v>
          </cell>
          <cell r="Y16663" t="str">
            <v>ISRAEL</v>
          </cell>
        </row>
        <row r="16664">
          <cell r="L16664" t="str">
            <v>Non-proportional</v>
          </cell>
          <cell r="S16664">
            <v>8182.78</v>
          </cell>
          <cell r="X16664" t="str">
            <v>Commissions - gross</v>
          </cell>
          <cell r="Y16664" t="str">
            <v>ECUADOR</v>
          </cell>
        </row>
        <row r="16665">
          <cell r="L16665" t="str">
            <v>Non-proportional</v>
          </cell>
          <cell r="S16665">
            <v>-3594.5</v>
          </cell>
          <cell r="X16665" t="str">
            <v>Commissions - gross</v>
          </cell>
          <cell r="Y16665" t="str">
            <v>GUATEMALA</v>
          </cell>
        </row>
        <row r="16666">
          <cell r="L16666" t="str">
            <v>Non-proportional</v>
          </cell>
          <cell r="S16666">
            <v>-948.85</v>
          </cell>
          <cell r="X16666" t="str">
            <v>Commissions - gross</v>
          </cell>
          <cell r="Y16666" t="str">
            <v>ECUADOR</v>
          </cell>
        </row>
        <row r="16667">
          <cell r="L16667" t="str">
            <v>Non-proportional</v>
          </cell>
          <cell r="S16667">
            <v>3562.91</v>
          </cell>
          <cell r="X16667" t="str">
            <v>Commissions - gross</v>
          </cell>
          <cell r="Y16667" t="str">
            <v>JAPAN</v>
          </cell>
        </row>
        <row r="16668">
          <cell r="L16668" t="str">
            <v>Non-proportional</v>
          </cell>
          <cell r="S16668">
            <v>-381.99</v>
          </cell>
          <cell r="X16668" t="str">
            <v>Commissions - gross</v>
          </cell>
          <cell r="Y16668" t="str">
            <v>ECUADOR</v>
          </cell>
        </row>
        <row r="16669">
          <cell r="L16669" t="str">
            <v>Non-proportional</v>
          </cell>
          <cell r="S16669">
            <v>-63.33</v>
          </cell>
          <cell r="X16669" t="str">
            <v>Commissions - gross</v>
          </cell>
          <cell r="Y16669" t="str">
            <v>PERU</v>
          </cell>
        </row>
        <row r="16670">
          <cell r="L16670" t="str">
            <v>Non-proportional</v>
          </cell>
          <cell r="S16670">
            <v>3846.94</v>
          </cell>
          <cell r="X16670" t="str">
            <v>Commissions - gross</v>
          </cell>
          <cell r="Y16670" t="str">
            <v>GUATEMALA</v>
          </cell>
        </row>
        <row r="16671">
          <cell r="L16671" t="str">
            <v>Non-proportional</v>
          </cell>
          <cell r="S16671">
            <v>-358.25</v>
          </cell>
          <cell r="X16671" t="str">
            <v>Commissions - gross</v>
          </cell>
          <cell r="Y16671" t="str">
            <v>GERMANY</v>
          </cell>
        </row>
        <row r="16672">
          <cell r="L16672" t="str">
            <v>Non-proportional</v>
          </cell>
          <cell r="S16672">
            <v>-15628</v>
          </cell>
          <cell r="X16672" t="str">
            <v>Commissions - gross</v>
          </cell>
          <cell r="Y16672" t="str">
            <v>ITALY</v>
          </cell>
        </row>
        <row r="16673">
          <cell r="L16673" t="str">
            <v>Non-proportional</v>
          </cell>
          <cell r="S16673">
            <v>787.8</v>
          </cell>
          <cell r="X16673" t="str">
            <v>Commissions - gross</v>
          </cell>
          <cell r="Y16673" t="str">
            <v>JAPAN</v>
          </cell>
        </row>
        <row r="16674">
          <cell r="L16674" t="str">
            <v>Non-proportional</v>
          </cell>
          <cell r="S16674">
            <v>12263.07</v>
          </cell>
          <cell r="X16674" t="str">
            <v>Commissions - gross</v>
          </cell>
          <cell r="Y16674" t="str">
            <v>NEW ZEALAND</v>
          </cell>
        </row>
        <row r="16675">
          <cell r="L16675" t="str">
            <v>Non-proportional</v>
          </cell>
          <cell r="S16675">
            <v>-14228.51</v>
          </cell>
          <cell r="X16675" t="str">
            <v>Commissions - gross</v>
          </cell>
          <cell r="Y16675" t="str">
            <v>UNITED KINGDOM</v>
          </cell>
        </row>
        <row r="16676">
          <cell r="L16676" t="str">
            <v>Non-proportional</v>
          </cell>
          <cell r="S16676">
            <v>3459.01</v>
          </cell>
          <cell r="X16676" t="str">
            <v>Commissions - gross</v>
          </cell>
          <cell r="Y16676" t="str">
            <v>AUSTRIA</v>
          </cell>
        </row>
        <row r="16677">
          <cell r="L16677" t="str">
            <v>Non-proportional</v>
          </cell>
          <cell r="S16677">
            <v>2531.85</v>
          </cell>
          <cell r="X16677" t="str">
            <v>Commissions - gross</v>
          </cell>
          <cell r="Y16677" t="str">
            <v>JAPAN</v>
          </cell>
        </row>
        <row r="16678">
          <cell r="L16678" t="str">
            <v>Non-proportional</v>
          </cell>
          <cell r="S16678">
            <v>220.45</v>
          </cell>
          <cell r="X16678" t="str">
            <v>Commissions - gross</v>
          </cell>
          <cell r="Y16678" t="str">
            <v>JAPAN</v>
          </cell>
        </row>
        <row r="16679">
          <cell r="L16679" t="str">
            <v>Non-proportional</v>
          </cell>
          <cell r="S16679">
            <v>-3593.88</v>
          </cell>
          <cell r="X16679" t="str">
            <v>Commissions - gross</v>
          </cell>
          <cell r="Y16679" t="str">
            <v>ECUADOR</v>
          </cell>
        </row>
        <row r="16680">
          <cell r="L16680" t="str">
            <v>Non-proportional</v>
          </cell>
          <cell r="S16680">
            <v>-4613.62</v>
          </cell>
          <cell r="X16680" t="str">
            <v>Commissions - gross</v>
          </cell>
          <cell r="Y16680" t="str">
            <v>ECUADOR</v>
          </cell>
        </row>
        <row r="16681">
          <cell r="L16681" t="str">
            <v>Non-proportional</v>
          </cell>
          <cell r="S16681">
            <v>-8420.51</v>
          </cell>
          <cell r="X16681" t="str">
            <v>Commissions - gross</v>
          </cell>
          <cell r="Y16681" t="str">
            <v>NEW ZEALAND</v>
          </cell>
        </row>
        <row r="16682">
          <cell r="L16682" t="str">
            <v>Proportional</v>
          </cell>
          <cell r="S16682">
            <v>25.14</v>
          </cell>
          <cell r="X16682" t="str">
            <v>Commissions - gross</v>
          </cell>
          <cell r="Y16682" t="str">
            <v>UNITED STATES</v>
          </cell>
        </row>
        <row r="16683">
          <cell r="L16683" t="str">
            <v>Non-proportional</v>
          </cell>
          <cell r="S16683">
            <v>6680</v>
          </cell>
          <cell r="X16683" t="str">
            <v>Commissions - gross</v>
          </cell>
          <cell r="Y16683" t="str">
            <v>ITALY</v>
          </cell>
        </row>
        <row r="16684">
          <cell r="L16684" t="str">
            <v>Non-proportional</v>
          </cell>
          <cell r="S16684">
            <v>7348.44</v>
          </cell>
          <cell r="X16684" t="str">
            <v>Commissions - gross</v>
          </cell>
          <cell r="Y16684" t="str">
            <v>JAPAN</v>
          </cell>
        </row>
        <row r="16685">
          <cell r="L16685" t="str">
            <v>Non-proportional</v>
          </cell>
          <cell r="S16685">
            <v>-92.78</v>
          </cell>
          <cell r="X16685" t="str">
            <v>Commissions - gross</v>
          </cell>
          <cell r="Y16685" t="str">
            <v>ISRAEL</v>
          </cell>
        </row>
        <row r="16686">
          <cell r="L16686" t="str">
            <v>Non-proportional</v>
          </cell>
          <cell r="S16686">
            <v>2117.0500000000002</v>
          </cell>
          <cell r="X16686" t="str">
            <v>Commissions - gross</v>
          </cell>
          <cell r="Y16686" t="str">
            <v>ECUADOR</v>
          </cell>
        </row>
        <row r="16687">
          <cell r="L16687" t="str">
            <v>Non-proportional</v>
          </cell>
          <cell r="S16687">
            <v>5640.56</v>
          </cell>
          <cell r="X16687" t="str">
            <v>Commissions - gross</v>
          </cell>
          <cell r="Y16687" t="str">
            <v>NEW ZEALAND</v>
          </cell>
        </row>
        <row r="16688">
          <cell r="L16688" t="str">
            <v>Non-proportional</v>
          </cell>
          <cell r="S16688">
            <v>20963.43</v>
          </cell>
          <cell r="X16688" t="str">
            <v>Commissions - gross</v>
          </cell>
          <cell r="Y16688" t="str">
            <v>JAPAN</v>
          </cell>
        </row>
        <row r="16689">
          <cell r="L16689" t="str">
            <v>Non-proportional</v>
          </cell>
          <cell r="S16689">
            <v>236.66</v>
          </cell>
          <cell r="X16689" t="str">
            <v>Commissions - gross</v>
          </cell>
          <cell r="Y16689" t="str">
            <v>JAPAN</v>
          </cell>
        </row>
        <row r="16690">
          <cell r="L16690" t="str">
            <v>Non-proportional</v>
          </cell>
          <cell r="S16690">
            <v>-5844.27</v>
          </cell>
          <cell r="X16690" t="str">
            <v>Commissions - gross</v>
          </cell>
          <cell r="Y16690" t="str">
            <v>ECUADOR</v>
          </cell>
        </row>
        <row r="16691">
          <cell r="L16691" t="str">
            <v>Non-proportional</v>
          </cell>
          <cell r="S16691">
            <v>-5076.28</v>
          </cell>
          <cell r="X16691" t="str">
            <v>Commissions - gross</v>
          </cell>
          <cell r="Y16691" t="str">
            <v>NEW ZEALAND</v>
          </cell>
        </row>
        <row r="16692">
          <cell r="L16692" t="str">
            <v>Non-proportional</v>
          </cell>
          <cell r="S16692">
            <v>-64.41</v>
          </cell>
          <cell r="X16692" t="str">
            <v>Commissions - gross</v>
          </cell>
          <cell r="Y16692" t="str">
            <v>GERMANY</v>
          </cell>
        </row>
        <row r="16693">
          <cell r="L16693" t="str">
            <v>Non-proportional</v>
          </cell>
          <cell r="S16693">
            <v>-1154.75</v>
          </cell>
          <cell r="X16693" t="str">
            <v>Commissions - gross</v>
          </cell>
          <cell r="Y16693" t="str">
            <v>JAPAN</v>
          </cell>
        </row>
        <row r="16694">
          <cell r="L16694" t="str">
            <v>Non-proportional</v>
          </cell>
          <cell r="S16694">
            <v>41933.449999999997</v>
          </cell>
          <cell r="X16694" t="str">
            <v>Commissions - gross</v>
          </cell>
          <cell r="Y16694" t="str">
            <v>UNITED STATES</v>
          </cell>
        </row>
        <row r="16695">
          <cell r="L16695" t="str">
            <v>Non-proportional</v>
          </cell>
          <cell r="S16695">
            <v>20170.52</v>
          </cell>
          <cell r="X16695" t="str">
            <v>Commissions - gross</v>
          </cell>
          <cell r="Y16695" t="str">
            <v>HONG KONG</v>
          </cell>
        </row>
        <row r="16696">
          <cell r="L16696" t="str">
            <v>Non-proportional</v>
          </cell>
          <cell r="S16696">
            <v>2006.42</v>
          </cell>
          <cell r="X16696" t="str">
            <v>Commissions - gross</v>
          </cell>
          <cell r="Y16696" t="str">
            <v>ECUADOR</v>
          </cell>
        </row>
        <row r="16697">
          <cell r="L16697" t="str">
            <v>Proportional</v>
          </cell>
          <cell r="S16697">
            <v>37.119999999999997</v>
          </cell>
          <cell r="X16697" t="str">
            <v>Commissions - gross</v>
          </cell>
          <cell r="Y16697" t="str">
            <v>UNITED STATES</v>
          </cell>
        </row>
        <row r="16698">
          <cell r="L16698" t="str">
            <v>Non-proportional</v>
          </cell>
          <cell r="S16698">
            <v>-1081.6300000000001</v>
          </cell>
          <cell r="X16698" t="str">
            <v>Commissions - gross</v>
          </cell>
          <cell r="Y16698" t="str">
            <v>DENMARK</v>
          </cell>
        </row>
        <row r="16699">
          <cell r="L16699" t="str">
            <v>Non-proportional</v>
          </cell>
          <cell r="S16699">
            <v>-1257.2</v>
          </cell>
          <cell r="X16699" t="str">
            <v>Commissions - gross</v>
          </cell>
          <cell r="Y16699" t="str">
            <v>GERMANY</v>
          </cell>
        </row>
        <row r="16700">
          <cell r="L16700" t="str">
            <v>Proportional</v>
          </cell>
          <cell r="S16700">
            <v>940.34</v>
          </cell>
          <cell r="X16700" t="str">
            <v>Commissions - gross</v>
          </cell>
          <cell r="Y16700" t="str">
            <v>UNITED STATES</v>
          </cell>
        </row>
        <row r="16701">
          <cell r="L16701" t="str">
            <v>Non-proportional</v>
          </cell>
          <cell r="S16701">
            <v>379.11</v>
          </cell>
          <cell r="X16701" t="str">
            <v>Commissions - gross</v>
          </cell>
          <cell r="Y16701" t="str">
            <v>GERMANY</v>
          </cell>
        </row>
        <row r="16702">
          <cell r="L16702" t="str">
            <v>Non-proportional</v>
          </cell>
          <cell r="S16702">
            <v>-874.24</v>
          </cell>
          <cell r="X16702" t="str">
            <v>Commissions - gross</v>
          </cell>
          <cell r="Y16702" t="str">
            <v>ISRAEL</v>
          </cell>
        </row>
        <row r="16703">
          <cell r="L16703" t="str">
            <v>Non-proportional</v>
          </cell>
          <cell r="S16703">
            <v>-2663.7</v>
          </cell>
          <cell r="X16703" t="str">
            <v>Commissions - gross</v>
          </cell>
          <cell r="Y16703" t="str">
            <v>ECUADOR</v>
          </cell>
        </row>
        <row r="16704">
          <cell r="L16704" t="str">
            <v>Non-proportional</v>
          </cell>
          <cell r="S16704">
            <v>-1452.12</v>
          </cell>
          <cell r="X16704" t="str">
            <v>Commissions - gross</v>
          </cell>
          <cell r="Y16704" t="str">
            <v>PUERTO RICO</v>
          </cell>
        </row>
        <row r="16705">
          <cell r="L16705" t="str">
            <v>Non-proportional</v>
          </cell>
          <cell r="S16705">
            <v>3902.14</v>
          </cell>
          <cell r="X16705" t="str">
            <v>Commissions - gross</v>
          </cell>
          <cell r="Y16705" t="str">
            <v>ECUADOR</v>
          </cell>
        </row>
        <row r="16706">
          <cell r="L16706" t="str">
            <v>Non-proportional</v>
          </cell>
          <cell r="S16706">
            <v>-4775.55</v>
          </cell>
          <cell r="X16706" t="str">
            <v>Commissions - gross</v>
          </cell>
          <cell r="Y16706" t="str">
            <v>GUATEMALA</v>
          </cell>
        </row>
        <row r="16707">
          <cell r="L16707" t="str">
            <v>Non-proportional</v>
          </cell>
          <cell r="S16707">
            <v>4438.59</v>
          </cell>
          <cell r="X16707" t="str">
            <v>Commissions - gross</v>
          </cell>
          <cell r="Y16707" t="str">
            <v>NEW ZEALAND</v>
          </cell>
        </row>
        <row r="16708">
          <cell r="L16708" t="str">
            <v>Non-proportional</v>
          </cell>
          <cell r="S16708">
            <v>9355.2000000000007</v>
          </cell>
          <cell r="X16708" t="str">
            <v>Commissions - gross</v>
          </cell>
          <cell r="Y16708" t="str">
            <v>NEW ZEALAND</v>
          </cell>
        </row>
        <row r="16709">
          <cell r="L16709" t="str">
            <v>Non-proportional</v>
          </cell>
          <cell r="S16709">
            <v>548.39</v>
          </cell>
          <cell r="X16709" t="str">
            <v>Commissions - gross</v>
          </cell>
          <cell r="Y16709" t="str">
            <v>ISRAEL</v>
          </cell>
        </row>
        <row r="16710">
          <cell r="L16710" t="str">
            <v>Non-proportional</v>
          </cell>
          <cell r="S16710">
            <v>66271.7</v>
          </cell>
          <cell r="X16710" t="str">
            <v>Commissions - gross</v>
          </cell>
          <cell r="Y16710" t="str">
            <v>UNITED KINGDOM</v>
          </cell>
        </row>
        <row r="16711">
          <cell r="L16711" t="str">
            <v>Non-proportional</v>
          </cell>
          <cell r="S16711">
            <v>-2191.91</v>
          </cell>
          <cell r="X16711" t="str">
            <v>Commissions - gross</v>
          </cell>
          <cell r="Y16711" t="str">
            <v>ECUADOR</v>
          </cell>
        </row>
        <row r="16712">
          <cell r="L16712" t="str">
            <v>Non-proportional</v>
          </cell>
          <cell r="S16712">
            <v>-1266.72</v>
          </cell>
          <cell r="X16712" t="str">
            <v>Commissions - gross</v>
          </cell>
          <cell r="Y16712" t="str">
            <v>ECUADOR</v>
          </cell>
        </row>
        <row r="16713">
          <cell r="L16713" t="str">
            <v>Non-proportional</v>
          </cell>
          <cell r="S16713">
            <v>801.62</v>
          </cell>
          <cell r="X16713" t="str">
            <v>Commissions - gross</v>
          </cell>
          <cell r="Y16713" t="str">
            <v>ISRAEL</v>
          </cell>
        </row>
        <row r="16714">
          <cell r="L16714" t="str">
            <v>Non-proportional</v>
          </cell>
          <cell r="S16714">
            <v>-331.26</v>
          </cell>
          <cell r="X16714" t="str">
            <v>Commissions - gross</v>
          </cell>
          <cell r="Y16714" t="str">
            <v>ITALY</v>
          </cell>
        </row>
        <row r="16715">
          <cell r="L16715" t="str">
            <v>Non-proportional</v>
          </cell>
          <cell r="S16715">
            <v>-4488.12</v>
          </cell>
          <cell r="X16715" t="str">
            <v>Commissions - gross</v>
          </cell>
          <cell r="Y16715" t="str">
            <v>CYPRUS</v>
          </cell>
        </row>
        <row r="16716">
          <cell r="L16716" t="str">
            <v>Non-proportional</v>
          </cell>
          <cell r="S16716">
            <v>-84286.12</v>
          </cell>
          <cell r="X16716" t="str">
            <v>Commissions - gross</v>
          </cell>
          <cell r="Y16716" t="str">
            <v>UNITED KINGDOM</v>
          </cell>
        </row>
        <row r="16717">
          <cell r="L16717" t="str">
            <v>Non-proportional</v>
          </cell>
          <cell r="S16717">
            <v>2191.91</v>
          </cell>
          <cell r="X16717" t="str">
            <v>Commissions - gross</v>
          </cell>
          <cell r="Y16717" t="str">
            <v>ECUADOR</v>
          </cell>
        </row>
        <row r="16718">
          <cell r="L16718" t="str">
            <v>Non-proportional</v>
          </cell>
          <cell r="S16718">
            <v>-8010.59</v>
          </cell>
          <cell r="X16718" t="str">
            <v>Commissions - gross</v>
          </cell>
          <cell r="Y16718" t="str">
            <v>GUATEMALA</v>
          </cell>
        </row>
        <row r="16719">
          <cell r="L16719" t="str">
            <v>Non-proportional</v>
          </cell>
          <cell r="S16719">
            <v>284.77</v>
          </cell>
          <cell r="X16719" t="str">
            <v>Commissions - gross</v>
          </cell>
          <cell r="Y16719" t="str">
            <v>GERMANY</v>
          </cell>
        </row>
        <row r="16720">
          <cell r="L16720" t="str">
            <v>Non-proportional</v>
          </cell>
          <cell r="S16720">
            <v>10954.96</v>
          </cell>
          <cell r="X16720" t="str">
            <v>Commissions - gross</v>
          </cell>
          <cell r="Y16720" t="str">
            <v>NEW ZEALAND</v>
          </cell>
        </row>
        <row r="16721">
          <cell r="L16721" t="str">
            <v>Non-proportional</v>
          </cell>
          <cell r="S16721">
            <v>-1237.97</v>
          </cell>
          <cell r="X16721" t="str">
            <v>Commissions - gross</v>
          </cell>
          <cell r="Y16721" t="str">
            <v>FAROE ISLANDS</v>
          </cell>
        </row>
        <row r="16722">
          <cell r="L16722" t="str">
            <v>Non-proportional</v>
          </cell>
          <cell r="S16722">
            <v>1524</v>
          </cell>
          <cell r="X16722" t="str">
            <v>Commissions - gross</v>
          </cell>
          <cell r="Y16722" t="str">
            <v>ITALY</v>
          </cell>
        </row>
        <row r="16723">
          <cell r="L16723" t="str">
            <v>Non-proportional</v>
          </cell>
          <cell r="S16723">
            <v>-134.41999999999999</v>
          </cell>
          <cell r="X16723" t="str">
            <v>Commissions - gross</v>
          </cell>
          <cell r="Y16723" t="str">
            <v>ISRAEL</v>
          </cell>
        </row>
        <row r="16724">
          <cell r="L16724" t="str">
            <v>Non-proportional</v>
          </cell>
          <cell r="S16724">
            <v>-671.86</v>
          </cell>
          <cell r="X16724" t="str">
            <v>Commissions - gross</v>
          </cell>
          <cell r="Y16724" t="str">
            <v>JAPAN</v>
          </cell>
        </row>
        <row r="16725">
          <cell r="L16725" t="str">
            <v>Non-proportional</v>
          </cell>
          <cell r="S16725">
            <v>-39278.300000000003</v>
          </cell>
          <cell r="X16725" t="str">
            <v>Commissions - gross</v>
          </cell>
          <cell r="Y16725" t="str">
            <v>HONG KONG</v>
          </cell>
        </row>
        <row r="16726">
          <cell r="L16726" t="str">
            <v>Non-proportional</v>
          </cell>
          <cell r="S16726">
            <v>-547.89</v>
          </cell>
          <cell r="X16726" t="str">
            <v>Commissions - gross</v>
          </cell>
          <cell r="Y16726" t="str">
            <v>JAPAN</v>
          </cell>
        </row>
        <row r="16727">
          <cell r="L16727" t="str">
            <v>Non-proportional</v>
          </cell>
          <cell r="S16727">
            <v>2483.61</v>
          </cell>
          <cell r="X16727" t="str">
            <v>Commissions - gross</v>
          </cell>
          <cell r="Y16727" t="str">
            <v>UNITED KINGDOM</v>
          </cell>
        </row>
        <row r="16728">
          <cell r="L16728" t="str">
            <v>Non-proportional</v>
          </cell>
          <cell r="S16728">
            <v>-2591.0300000000002</v>
          </cell>
          <cell r="X16728" t="str">
            <v>Commissions - gross</v>
          </cell>
          <cell r="Y16728" t="str">
            <v>GUATEMALA</v>
          </cell>
        </row>
        <row r="16729">
          <cell r="L16729" t="str">
            <v>Non-proportional</v>
          </cell>
          <cell r="S16729">
            <v>-467.52</v>
          </cell>
          <cell r="X16729" t="str">
            <v>Commissions - gross</v>
          </cell>
          <cell r="Y16729" t="str">
            <v>ITALY</v>
          </cell>
        </row>
        <row r="16730">
          <cell r="L16730" t="str">
            <v>Non-proportional</v>
          </cell>
          <cell r="S16730">
            <v>23827.72</v>
          </cell>
          <cell r="X16730" t="str">
            <v>Commissions - gross</v>
          </cell>
          <cell r="Y16730" t="str">
            <v>FRANCE</v>
          </cell>
        </row>
        <row r="16731">
          <cell r="L16731" t="str">
            <v>Non-proportional</v>
          </cell>
          <cell r="S16731">
            <v>-9880.26</v>
          </cell>
          <cell r="X16731" t="str">
            <v>Commissions - gross</v>
          </cell>
          <cell r="Y16731" t="str">
            <v>JAPAN</v>
          </cell>
        </row>
        <row r="16732">
          <cell r="L16732" t="str">
            <v>Non-proportional</v>
          </cell>
          <cell r="S16732">
            <v>-1630.2</v>
          </cell>
          <cell r="X16732" t="str">
            <v>Commissions - gross</v>
          </cell>
          <cell r="Y16732" t="str">
            <v>GERMANY</v>
          </cell>
        </row>
        <row r="16733">
          <cell r="L16733" t="str">
            <v>Non-proportional</v>
          </cell>
          <cell r="S16733">
            <v>36124.69</v>
          </cell>
          <cell r="X16733" t="str">
            <v>Commissions - gross</v>
          </cell>
          <cell r="Y16733" t="str">
            <v>JAPAN</v>
          </cell>
        </row>
        <row r="16734">
          <cell r="L16734" t="str">
            <v>Non-proportional</v>
          </cell>
          <cell r="S16734">
            <v>255.74</v>
          </cell>
          <cell r="X16734" t="str">
            <v>Commissions - gross</v>
          </cell>
          <cell r="Y16734" t="str">
            <v>CHILE</v>
          </cell>
        </row>
        <row r="16735">
          <cell r="L16735" t="str">
            <v>Non-proportional</v>
          </cell>
          <cell r="S16735">
            <v>2384.2600000000002</v>
          </cell>
          <cell r="X16735" t="str">
            <v>Commissions - gross</v>
          </cell>
          <cell r="Y16735" t="str">
            <v>UNITED KINGDOM</v>
          </cell>
        </row>
        <row r="16736">
          <cell r="L16736" t="str">
            <v>Non-proportional</v>
          </cell>
          <cell r="S16736">
            <v>301.02</v>
          </cell>
          <cell r="X16736" t="str">
            <v>Commissions - gross</v>
          </cell>
          <cell r="Y16736" t="str">
            <v>EUROPE</v>
          </cell>
        </row>
        <row r="16737">
          <cell r="L16737" t="str">
            <v>Proportional</v>
          </cell>
          <cell r="S16737">
            <v>-3325</v>
          </cell>
          <cell r="X16737" t="str">
            <v>Commissions - gross</v>
          </cell>
          <cell r="Y16737" t="str">
            <v>SAUDI ARABIA</v>
          </cell>
        </row>
        <row r="16738">
          <cell r="L16738" t="str">
            <v>Non-proportional</v>
          </cell>
          <cell r="S16738">
            <v>-1184.2</v>
          </cell>
          <cell r="X16738" t="str">
            <v>Commissions - gross</v>
          </cell>
          <cell r="Y16738" t="str">
            <v>GERMANY</v>
          </cell>
        </row>
        <row r="16739">
          <cell r="L16739" t="str">
            <v>Non-proportional</v>
          </cell>
          <cell r="S16739">
            <v>-437.59</v>
          </cell>
          <cell r="X16739" t="str">
            <v>Commissions - gross</v>
          </cell>
          <cell r="Y16739" t="str">
            <v>GERMANY</v>
          </cell>
        </row>
        <row r="16740">
          <cell r="L16740" t="str">
            <v>Non-proportional</v>
          </cell>
          <cell r="S16740">
            <v>1070.46</v>
          </cell>
          <cell r="X16740" t="str">
            <v>Commissions - gross</v>
          </cell>
          <cell r="Y16740" t="str">
            <v>GERMANY</v>
          </cell>
        </row>
        <row r="16741">
          <cell r="L16741" t="str">
            <v>Non-proportional</v>
          </cell>
          <cell r="S16741">
            <v>1256.53</v>
          </cell>
          <cell r="X16741" t="str">
            <v>Commissions - gross</v>
          </cell>
          <cell r="Y16741" t="str">
            <v>SOUTH AFRICA</v>
          </cell>
        </row>
        <row r="16742">
          <cell r="L16742" t="str">
            <v>Non-proportional</v>
          </cell>
          <cell r="S16742">
            <v>-2006.42</v>
          </cell>
          <cell r="X16742" t="str">
            <v>Commissions - gross</v>
          </cell>
          <cell r="Y16742" t="str">
            <v>ECUADOR</v>
          </cell>
        </row>
        <row r="16743">
          <cell r="L16743" t="str">
            <v>Non-proportional</v>
          </cell>
          <cell r="S16743">
            <v>14679.19</v>
          </cell>
          <cell r="X16743" t="str">
            <v>Commissions - gross</v>
          </cell>
          <cell r="Y16743" t="str">
            <v>UNITED KINGDOM</v>
          </cell>
        </row>
        <row r="16744">
          <cell r="L16744" t="str">
            <v>Non-proportional</v>
          </cell>
          <cell r="S16744">
            <v>1952.17</v>
          </cell>
          <cell r="X16744" t="str">
            <v>Commissions - gross</v>
          </cell>
          <cell r="Y16744" t="str">
            <v>NEW ZEALAND</v>
          </cell>
        </row>
        <row r="16745">
          <cell r="L16745" t="str">
            <v>Non-proportional</v>
          </cell>
          <cell r="S16745">
            <v>-1323.95</v>
          </cell>
          <cell r="X16745" t="str">
            <v>Commissions - gross</v>
          </cell>
          <cell r="Y16745" t="str">
            <v>JAPAN</v>
          </cell>
        </row>
        <row r="16746">
          <cell r="L16746" t="str">
            <v>Proportional</v>
          </cell>
          <cell r="S16746">
            <v>2612.5</v>
          </cell>
          <cell r="X16746" t="str">
            <v>Commissions - gross</v>
          </cell>
          <cell r="Y16746" t="str">
            <v>REPUBLIC OF IRELAND</v>
          </cell>
        </row>
        <row r="16747">
          <cell r="L16747" t="str">
            <v>Proportional</v>
          </cell>
          <cell r="S16747">
            <v>1288.1199999999999</v>
          </cell>
          <cell r="X16747" t="str">
            <v>Commissions - gross</v>
          </cell>
          <cell r="Y16747" t="str">
            <v>JAPAN</v>
          </cell>
        </row>
        <row r="16748">
          <cell r="L16748" t="str">
            <v>Non-proportional</v>
          </cell>
          <cell r="S16748">
            <v>-2591.0300000000002</v>
          </cell>
          <cell r="X16748" t="str">
            <v>Commissions - gross</v>
          </cell>
          <cell r="Y16748" t="str">
            <v>GUATEMALA</v>
          </cell>
        </row>
        <row r="16749">
          <cell r="L16749" t="str">
            <v>Non-proportional</v>
          </cell>
          <cell r="S16749">
            <v>2574.63</v>
          </cell>
          <cell r="X16749" t="str">
            <v>Commissions - gross</v>
          </cell>
          <cell r="Y16749" t="str">
            <v>AUSTRIA</v>
          </cell>
        </row>
        <row r="16750">
          <cell r="L16750" t="str">
            <v>Non-proportional</v>
          </cell>
          <cell r="S16750">
            <v>631.95000000000005</v>
          </cell>
          <cell r="X16750" t="str">
            <v>Commissions - gross</v>
          </cell>
          <cell r="Y16750" t="str">
            <v>FRANCE</v>
          </cell>
        </row>
        <row r="16751">
          <cell r="L16751" t="str">
            <v>Non-proportional</v>
          </cell>
          <cell r="S16751">
            <v>1389.41</v>
          </cell>
          <cell r="X16751" t="str">
            <v>Commissions - gross</v>
          </cell>
          <cell r="Y16751" t="str">
            <v>JAPAN</v>
          </cell>
        </row>
        <row r="16752">
          <cell r="L16752" t="str">
            <v>Non-proportional</v>
          </cell>
          <cell r="S16752">
            <v>863.67</v>
          </cell>
          <cell r="X16752" t="str">
            <v>Commissions - gross</v>
          </cell>
          <cell r="Y16752" t="str">
            <v>GERMANY</v>
          </cell>
        </row>
        <row r="16753">
          <cell r="L16753" t="str">
            <v>Non-proportional</v>
          </cell>
          <cell r="S16753">
            <v>-3760.5</v>
          </cell>
          <cell r="X16753" t="str">
            <v>Commissions - gross</v>
          </cell>
          <cell r="Y16753" t="str">
            <v>AUSTRIA</v>
          </cell>
        </row>
        <row r="16754">
          <cell r="L16754" t="str">
            <v>Non-proportional</v>
          </cell>
          <cell r="S16754">
            <v>1154.75</v>
          </cell>
          <cell r="X16754" t="str">
            <v>Commissions - gross</v>
          </cell>
          <cell r="Y16754" t="str">
            <v>JAPAN</v>
          </cell>
        </row>
        <row r="16755">
          <cell r="L16755" t="str">
            <v>Non-proportional</v>
          </cell>
          <cell r="S16755">
            <v>-346.57</v>
          </cell>
          <cell r="X16755" t="str">
            <v>Commissions - gross</v>
          </cell>
          <cell r="Y16755" t="str">
            <v>SOUTH AFRICA</v>
          </cell>
        </row>
        <row r="16756">
          <cell r="L16756" t="str">
            <v>Non-proportional</v>
          </cell>
          <cell r="S16756">
            <v>3.08</v>
          </cell>
          <cell r="X16756" t="str">
            <v>Commissions - gross</v>
          </cell>
          <cell r="Y16756" t="str">
            <v>ISRAEL</v>
          </cell>
        </row>
        <row r="16757">
          <cell r="L16757" t="str">
            <v>Non-proportional</v>
          </cell>
          <cell r="S16757">
            <v>333.85</v>
          </cell>
          <cell r="X16757" t="str">
            <v>Commissions - gross</v>
          </cell>
          <cell r="Y16757" t="str">
            <v>DENMARK</v>
          </cell>
        </row>
        <row r="16758">
          <cell r="L16758" t="str">
            <v>Non-proportional</v>
          </cell>
          <cell r="S16758">
            <v>3850.21</v>
          </cell>
          <cell r="X16758" t="str">
            <v>Commissions - gross</v>
          </cell>
          <cell r="Y16758" t="str">
            <v>JAPAN</v>
          </cell>
        </row>
        <row r="16759">
          <cell r="L16759" t="str">
            <v>Non-proportional</v>
          </cell>
          <cell r="S16759">
            <v>1108.75</v>
          </cell>
          <cell r="X16759" t="str">
            <v>Commissions - gross</v>
          </cell>
          <cell r="Y16759" t="str">
            <v>JAPAN</v>
          </cell>
        </row>
        <row r="16760">
          <cell r="L16760" t="str">
            <v>Non-proportional</v>
          </cell>
          <cell r="S16760">
            <v>-85.47</v>
          </cell>
          <cell r="X16760" t="str">
            <v>Commissions - gross</v>
          </cell>
          <cell r="Y16760" t="str">
            <v>GERMANY</v>
          </cell>
        </row>
        <row r="16761">
          <cell r="L16761" t="str">
            <v>Non-proportional</v>
          </cell>
          <cell r="S16761">
            <v>-190.7</v>
          </cell>
          <cell r="X16761" t="str">
            <v>Commissions - gross</v>
          </cell>
          <cell r="Y16761" t="str">
            <v>ISRAEL</v>
          </cell>
        </row>
        <row r="16762">
          <cell r="L16762" t="str">
            <v>Non-proportional</v>
          </cell>
          <cell r="S16762">
            <v>-2101.02</v>
          </cell>
          <cell r="X16762" t="str">
            <v>Commissions - gross</v>
          </cell>
          <cell r="Y16762" t="str">
            <v>ITALY</v>
          </cell>
        </row>
        <row r="16763">
          <cell r="L16763" t="str">
            <v>Non-proportional</v>
          </cell>
          <cell r="S16763">
            <v>-127.81</v>
          </cell>
          <cell r="X16763" t="str">
            <v>Commissions - gross</v>
          </cell>
          <cell r="Y16763" t="str">
            <v>ISRAEL</v>
          </cell>
        </row>
        <row r="16764">
          <cell r="L16764" t="str">
            <v>Non-proportional</v>
          </cell>
          <cell r="S16764">
            <v>5340.4</v>
          </cell>
          <cell r="X16764" t="str">
            <v>Commissions - gross</v>
          </cell>
          <cell r="Y16764" t="str">
            <v>GUATEMALA</v>
          </cell>
        </row>
        <row r="16765">
          <cell r="L16765" t="str">
            <v>Proportional</v>
          </cell>
          <cell r="S16765">
            <v>41942.71</v>
          </cell>
          <cell r="X16765" t="str">
            <v>Commissions - gross</v>
          </cell>
          <cell r="Y16765" t="str">
            <v>UNITED STATES</v>
          </cell>
        </row>
        <row r="16766">
          <cell r="L16766" t="str">
            <v>Non-proportional</v>
          </cell>
          <cell r="S16766">
            <v>3675.73</v>
          </cell>
          <cell r="X16766" t="str">
            <v>Commissions - gross</v>
          </cell>
          <cell r="Y16766" t="str">
            <v>UNITED KINGDOM</v>
          </cell>
        </row>
        <row r="16767">
          <cell r="L16767" t="str">
            <v>Non-proportional</v>
          </cell>
          <cell r="S16767">
            <v>128.43</v>
          </cell>
          <cell r="X16767" t="str">
            <v>Commissions - gross</v>
          </cell>
          <cell r="Y16767" t="str">
            <v>GERMANY</v>
          </cell>
        </row>
        <row r="16768">
          <cell r="L16768" t="str">
            <v>Non-proportional</v>
          </cell>
          <cell r="S16768">
            <v>2278.63</v>
          </cell>
          <cell r="X16768" t="str">
            <v>Commissions - gross</v>
          </cell>
          <cell r="Y16768" t="str">
            <v>JAPAN</v>
          </cell>
        </row>
        <row r="16769">
          <cell r="L16769" t="str">
            <v>Non-proportional</v>
          </cell>
          <cell r="S16769">
            <v>17314.03</v>
          </cell>
          <cell r="X16769" t="str">
            <v>Commissions - gross</v>
          </cell>
          <cell r="Y16769" t="str">
            <v>UNITED KINGDOM</v>
          </cell>
        </row>
        <row r="16770">
          <cell r="L16770" t="str">
            <v>Non-proportional</v>
          </cell>
          <cell r="S16770">
            <v>5895.3</v>
          </cell>
          <cell r="X16770" t="str">
            <v>Commissions - gross</v>
          </cell>
          <cell r="Y16770" t="str">
            <v>ECUADOR</v>
          </cell>
        </row>
        <row r="16771">
          <cell r="L16771" t="str">
            <v>Non-proportional</v>
          </cell>
          <cell r="S16771">
            <v>7717.48</v>
          </cell>
          <cell r="X16771" t="str">
            <v>Commissions - gross</v>
          </cell>
          <cell r="Y16771" t="str">
            <v>NEW ZEALAND</v>
          </cell>
        </row>
        <row r="16772">
          <cell r="L16772" t="str">
            <v>Non-proportional</v>
          </cell>
          <cell r="S16772">
            <v>-126868</v>
          </cell>
          <cell r="X16772" t="str">
            <v>Commissions - gross</v>
          </cell>
          <cell r="Y16772" t="str">
            <v>FRANCE</v>
          </cell>
        </row>
        <row r="16773">
          <cell r="L16773" t="str">
            <v>Non-proportional</v>
          </cell>
          <cell r="S16773">
            <v>-3920.6</v>
          </cell>
          <cell r="X16773" t="str">
            <v>Commissions - gross</v>
          </cell>
          <cell r="Y16773" t="str">
            <v>ECUADOR</v>
          </cell>
        </row>
        <row r="16774">
          <cell r="L16774" t="str">
            <v>Non-proportional</v>
          </cell>
          <cell r="S16774">
            <v>6879.02</v>
          </cell>
          <cell r="X16774" t="str">
            <v>Commissions - gross</v>
          </cell>
          <cell r="Y16774" t="str">
            <v>JAPAN</v>
          </cell>
        </row>
        <row r="16775">
          <cell r="L16775" t="str">
            <v>Non-proportional</v>
          </cell>
          <cell r="S16775">
            <v>-5340.4</v>
          </cell>
          <cell r="X16775" t="str">
            <v>Commissions - gross</v>
          </cell>
          <cell r="Y16775" t="str">
            <v>GUATEMALA</v>
          </cell>
        </row>
        <row r="16776">
          <cell r="L16776" t="str">
            <v>Non-proportional</v>
          </cell>
          <cell r="S16776">
            <v>-647.20000000000005</v>
          </cell>
          <cell r="X16776" t="str">
            <v>Commissions - gross</v>
          </cell>
          <cell r="Y16776" t="str">
            <v>ITALY</v>
          </cell>
        </row>
        <row r="16777">
          <cell r="L16777" t="str">
            <v>Non-proportional</v>
          </cell>
          <cell r="S16777">
            <v>4725</v>
          </cell>
          <cell r="X16777" t="str">
            <v>Commissions - gross</v>
          </cell>
          <cell r="Y16777" t="str">
            <v>ITALY</v>
          </cell>
        </row>
        <row r="16778">
          <cell r="L16778" t="str">
            <v>Non-proportional</v>
          </cell>
          <cell r="S16778">
            <v>4552.25</v>
          </cell>
          <cell r="X16778" t="str">
            <v>Commissions - gross</v>
          </cell>
          <cell r="Y16778" t="str">
            <v>ECUADOR</v>
          </cell>
        </row>
        <row r="16779">
          <cell r="L16779" t="str">
            <v>Non-proportional</v>
          </cell>
          <cell r="S16779">
            <v>-1500.37</v>
          </cell>
          <cell r="X16779" t="str">
            <v>Commissions - gross</v>
          </cell>
          <cell r="Y16779" t="str">
            <v>ECUADOR</v>
          </cell>
        </row>
        <row r="16780">
          <cell r="L16780" t="str">
            <v>Non-proportional</v>
          </cell>
          <cell r="S16780">
            <v>-996.78</v>
          </cell>
          <cell r="X16780" t="str">
            <v>Commissions - gross</v>
          </cell>
          <cell r="Y16780" t="str">
            <v>ECUADOR</v>
          </cell>
        </row>
        <row r="16781">
          <cell r="L16781" t="str">
            <v>Non-proportional</v>
          </cell>
          <cell r="S16781">
            <v>1106.54</v>
          </cell>
          <cell r="X16781" t="str">
            <v>Commissions - gross</v>
          </cell>
          <cell r="Y16781" t="str">
            <v>ECUADOR</v>
          </cell>
        </row>
        <row r="16782">
          <cell r="L16782" t="str">
            <v>Non-proportional</v>
          </cell>
          <cell r="S16782">
            <v>2156.6999999999998</v>
          </cell>
          <cell r="X16782" t="str">
            <v>Commissions - gross</v>
          </cell>
          <cell r="Y16782" t="str">
            <v>GUATEMALA</v>
          </cell>
        </row>
        <row r="16783">
          <cell r="L16783" t="str">
            <v>Non-proportional</v>
          </cell>
          <cell r="S16783">
            <v>-860.36</v>
          </cell>
          <cell r="X16783" t="str">
            <v>Commissions - gross</v>
          </cell>
          <cell r="Y16783" t="str">
            <v>ECUADOR</v>
          </cell>
        </row>
        <row r="16784">
          <cell r="L16784" t="str">
            <v>Non-proportional</v>
          </cell>
          <cell r="S16784">
            <v>5340.4</v>
          </cell>
          <cell r="X16784" t="str">
            <v>Commissions - gross</v>
          </cell>
          <cell r="Y16784" t="str">
            <v>GUATEMALA</v>
          </cell>
        </row>
        <row r="16785">
          <cell r="L16785" t="str">
            <v>Non-proportional</v>
          </cell>
          <cell r="S16785">
            <v>381.11</v>
          </cell>
          <cell r="X16785" t="str">
            <v>Commissions - gross</v>
          </cell>
          <cell r="Y16785" t="str">
            <v>GERMANY</v>
          </cell>
        </row>
        <row r="16786">
          <cell r="L16786" t="str">
            <v>Non-proportional</v>
          </cell>
          <cell r="S16786">
            <v>126868</v>
          </cell>
          <cell r="X16786" t="str">
            <v>Commissions - gross</v>
          </cell>
          <cell r="Y16786" t="str">
            <v>FRANCE</v>
          </cell>
        </row>
        <row r="16787">
          <cell r="L16787" t="str">
            <v>Non-proportional</v>
          </cell>
          <cell r="S16787">
            <v>2526.48</v>
          </cell>
          <cell r="X16787" t="str">
            <v>Commissions - gross</v>
          </cell>
          <cell r="Y16787" t="str">
            <v>ITALY</v>
          </cell>
        </row>
        <row r="16788">
          <cell r="L16788" t="str">
            <v>Proportional</v>
          </cell>
          <cell r="S16788">
            <v>-80568.5</v>
          </cell>
          <cell r="X16788" t="str">
            <v>Commissions - gross</v>
          </cell>
          <cell r="Y16788" t="str">
            <v>UNITED STATES</v>
          </cell>
        </row>
        <row r="16789">
          <cell r="L16789" t="str">
            <v>Non-proportional</v>
          </cell>
          <cell r="S16789">
            <v>-2591.0300000000002</v>
          </cell>
          <cell r="X16789" t="str">
            <v>Commissions - gross</v>
          </cell>
          <cell r="Y16789" t="str">
            <v>GUATEMALA</v>
          </cell>
        </row>
        <row r="16790">
          <cell r="L16790" t="str">
            <v>Non-proportional</v>
          </cell>
          <cell r="S16790">
            <v>123.35</v>
          </cell>
          <cell r="X16790" t="str">
            <v>Commissions - gross</v>
          </cell>
          <cell r="Y16790" t="str">
            <v>CYPRUS</v>
          </cell>
        </row>
        <row r="16791">
          <cell r="L16791" t="str">
            <v>Non-proportional</v>
          </cell>
          <cell r="S16791">
            <v>-220.45</v>
          </cell>
          <cell r="X16791" t="str">
            <v>Commissions - gross</v>
          </cell>
          <cell r="Y16791" t="str">
            <v>JAPAN</v>
          </cell>
        </row>
        <row r="16792">
          <cell r="L16792" t="str">
            <v>Non-proportional</v>
          </cell>
          <cell r="S16792">
            <v>2130.4299999999998</v>
          </cell>
          <cell r="X16792" t="str">
            <v>Commissions - gross</v>
          </cell>
          <cell r="Y16792" t="str">
            <v>JAPAN</v>
          </cell>
        </row>
        <row r="16793">
          <cell r="L16793" t="str">
            <v>Non-proportional</v>
          </cell>
          <cell r="S16793">
            <v>-2396.33</v>
          </cell>
          <cell r="X16793" t="str">
            <v>Commissions - gross</v>
          </cell>
          <cell r="Y16793" t="str">
            <v>GUATEMALA</v>
          </cell>
        </row>
        <row r="16794">
          <cell r="L16794" t="str">
            <v>Non-proportional</v>
          </cell>
          <cell r="S16794">
            <v>2663.7</v>
          </cell>
          <cell r="X16794" t="str">
            <v>Commissions - gross</v>
          </cell>
          <cell r="Y16794" t="str">
            <v>ECUADOR</v>
          </cell>
        </row>
        <row r="16795">
          <cell r="L16795" t="str">
            <v>Non-proportional</v>
          </cell>
          <cell r="S16795">
            <v>-101.67</v>
          </cell>
          <cell r="X16795" t="str">
            <v>Commissions - gross</v>
          </cell>
          <cell r="Y16795" t="str">
            <v>CYPRUS</v>
          </cell>
        </row>
        <row r="16796">
          <cell r="L16796" t="str">
            <v>Non-proportional</v>
          </cell>
          <cell r="S16796">
            <v>1325.94</v>
          </cell>
          <cell r="X16796" t="str">
            <v>Commissions - gross</v>
          </cell>
          <cell r="Y16796" t="str">
            <v>GERMANY</v>
          </cell>
        </row>
        <row r="16797">
          <cell r="L16797" t="str">
            <v>Proportional</v>
          </cell>
          <cell r="S16797">
            <v>15111.39</v>
          </cell>
          <cell r="X16797" t="str">
            <v>Commissions - gross</v>
          </cell>
          <cell r="Y16797" t="str">
            <v>CANADA</v>
          </cell>
        </row>
        <row r="16798">
          <cell r="L16798" t="str">
            <v>Non-proportional</v>
          </cell>
          <cell r="S16798">
            <v>47772.28</v>
          </cell>
          <cell r="X16798" t="str">
            <v>Commissions - gross</v>
          </cell>
          <cell r="Y16798" t="str">
            <v>UNITED STATES</v>
          </cell>
        </row>
        <row r="16799">
          <cell r="L16799" t="str">
            <v>Non-proportional</v>
          </cell>
          <cell r="S16799">
            <v>1219.6300000000001</v>
          </cell>
          <cell r="X16799" t="str">
            <v>Commissions - gross</v>
          </cell>
          <cell r="Y16799" t="str">
            <v>FRANCE</v>
          </cell>
        </row>
        <row r="16800">
          <cell r="L16800" t="str">
            <v>Non-proportional</v>
          </cell>
          <cell r="S16800">
            <v>-483.87</v>
          </cell>
          <cell r="X16800" t="str">
            <v>Commissions - gross</v>
          </cell>
          <cell r="Y16800" t="str">
            <v>ECUADOR</v>
          </cell>
        </row>
        <row r="16801">
          <cell r="L16801" t="str">
            <v>Proportional</v>
          </cell>
          <cell r="S16801">
            <v>-4500.8500000000004</v>
          </cell>
          <cell r="X16801" t="str">
            <v>Commissions - gross</v>
          </cell>
          <cell r="Y16801" t="str">
            <v>JAPAN</v>
          </cell>
        </row>
        <row r="16802">
          <cell r="L16802" t="str">
            <v>Non-proportional</v>
          </cell>
          <cell r="S16802">
            <v>5359.47</v>
          </cell>
          <cell r="X16802" t="str">
            <v>Commissions - gross</v>
          </cell>
          <cell r="Y16802" t="str">
            <v>ECUADOR</v>
          </cell>
        </row>
        <row r="16803">
          <cell r="L16803" t="str">
            <v>Non-proportional</v>
          </cell>
          <cell r="S16803">
            <v>7082.91</v>
          </cell>
          <cell r="X16803" t="str">
            <v>Commissions - gross</v>
          </cell>
          <cell r="Y16803" t="str">
            <v>JAPAN</v>
          </cell>
        </row>
        <row r="16804">
          <cell r="L16804" t="str">
            <v>Non-proportional</v>
          </cell>
          <cell r="S16804">
            <v>1293.75</v>
          </cell>
          <cell r="X16804" t="str">
            <v>Commissions - gross</v>
          </cell>
          <cell r="Y16804" t="str">
            <v>GERMANY</v>
          </cell>
        </row>
        <row r="16805">
          <cell r="L16805" t="str">
            <v>Non-proportional</v>
          </cell>
          <cell r="S16805">
            <v>-20963.43</v>
          </cell>
          <cell r="X16805" t="str">
            <v>Commissions - gross</v>
          </cell>
          <cell r="Y16805" t="str">
            <v>JAPAN</v>
          </cell>
        </row>
        <row r="16806">
          <cell r="L16806" t="str">
            <v>Non-proportional</v>
          </cell>
          <cell r="S16806">
            <v>2059.37</v>
          </cell>
          <cell r="X16806" t="str">
            <v>Commissions - gross</v>
          </cell>
          <cell r="Y16806" t="str">
            <v>SOUTH AFRICA</v>
          </cell>
        </row>
        <row r="16807">
          <cell r="L16807" t="str">
            <v>Non-proportional</v>
          </cell>
          <cell r="S16807">
            <v>-85409.95</v>
          </cell>
          <cell r="X16807" t="str">
            <v>Commissions - gross</v>
          </cell>
          <cell r="Y16807" t="str">
            <v>UNITED KINGDOM</v>
          </cell>
        </row>
        <row r="16808">
          <cell r="L16808" t="str">
            <v>Non-proportional</v>
          </cell>
          <cell r="S16808">
            <v>-5712.28</v>
          </cell>
          <cell r="X16808" t="str">
            <v>Commissions - gross</v>
          </cell>
          <cell r="Y16808" t="str">
            <v>ECUADOR</v>
          </cell>
        </row>
        <row r="16809">
          <cell r="L16809" t="str">
            <v>Non-proportional</v>
          </cell>
          <cell r="S16809">
            <v>-58904.15</v>
          </cell>
          <cell r="X16809" t="str">
            <v>Commissions - gross</v>
          </cell>
          <cell r="Y16809" t="str">
            <v>UNITED KINGDOM</v>
          </cell>
        </row>
        <row r="16810">
          <cell r="L16810" t="str">
            <v>Non-proportional</v>
          </cell>
          <cell r="S16810">
            <v>-1128.42</v>
          </cell>
          <cell r="X16810" t="str">
            <v>Commissions - gross</v>
          </cell>
          <cell r="Y16810" t="str">
            <v>CYPRUS</v>
          </cell>
        </row>
        <row r="16811">
          <cell r="L16811" t="str">
            <v>Non-proportional</v>
          </cell>
          <cell r="S16811">
            <v>44182.14</v>
          </cell>
          <cell r="X16811" t="str">
            <v>Commissions - gross</v>
          </cell>
          <cell r="Y16811" t="str">
            <v>AUSTRALIA</v>
          </cell>
        </row>
        <row r="16812">
          <cell r="L16812" t="str">
            <v>Non-proportional</v>
          </cell>
          <cell r="S16812">
            <v>-2449.69</v>
          </cell>
          <cell r="X16812" t="str">
            <v>Commissions - gross</v>
          </cell>
          <cell r="Y16812" t="str">
            <v>FRANCE</v>
          </cell>
        </row>
        <row r="16813">
          <cell r="L16813" t="str">
            <v>Non-proportional</v>
          </cell>
          <cell r="S16813">
            <v>21709.7</v>
          </cell>
          <cell r="X16813" t="str">
            <v>Commissions - gross</v>
          </cell>
          <cell r="Y16813" t="str">
            <v>UNITED KINGDOM</v>
          </cell>
        </row>
        <row r="16814">
          <cell r="L16814" t="str">
            <v>Non-proportional</v>
          </cell>
          <cell r="S16814">
            <v>-65181.26</v>
          </cell>
          <cell r="X16814" t="str">
            <v>Commissions - gross</v>
          </cell>
          <cell r="Y16814" t="str">
            <v>UNITED KINGDOM</v>
          </cell>
        </row>
        <row r="16815">
          <cell r="L16815" t="str">
            <v>Non-proportional</v>
          </cell>
          <cell r="S16815">
            <v>-5307.02</v>
          </cell>
          <cell r="X16815" t="str">
            <v>Commissions - gross</v>
          </cell>
          <cell r="Y16815" t="str">
            <v>ECUADOR</v>
          </cell>
        </row>
        <row r="16816">
          <cell r="L16816" t="str">
            <v>Non-proportional</v>
          </cell>
          <cell r="S16816">
            <v>5610.16</v>
          </cell>
          <cell r="X16816" t="str">
            <v>Commissions - gross</v>
          </cell>
          <cell r="Y16816" t="str">
            <v>CYPRUS</v>
          </cell>
        </row>
        <row r="16817">
          <cell r="L16817" t="str">
            <v>Non-proportional</v>
          </cell>
          <cell r="S16817">
            <v>6392.12</v>
          </cell>
          <cell r="X16817" t="str">
            <v>Commissions - gross</v>
          </cell>
          <cell r="Y16817" t="str">
            <v>NEW ZEALAND</v>
          </cell>
        </row>
        <row r="16818">
          <cell r="L16818" t="str">
            <v>Non-proportional</v>
          </cell>
          <cell r="S16818">
            <v>-773.31</v>
          </cell>
          <cell r="X16818" t="str">
            <v>Commissions - gross</v>
          </cell>
          <cell r="Y16818" t="str">
            <v>ECUADOR</v>
          </cell>
        </row>
        <row r="16819">
          <cell r="L16819" t="str">
            <v>Non-proportional</v>
          </cell>
          <cell r="S16819">
            <v>-3478.62</v>
          </cell>
          <cell r="X16819" t="str">
            <v>Commissions - gross</v>
          </cell>
          <cell r="Y16819" t="str">
            <v>JAPAN</v>
          </cell>
        </row>
        <row r="16820">
          <cell r="L16820" t="str">
            <v>Non-proportional</v>
          </cell>
          <cell r="S16820">
            <v>3532.19</v>
          </cell>
          <cell r="X16820" t="str">
            <v>Commissions - gross</v>
          </cell>
          <cell r="Y16820" t="str">
            <v>JAPAN</v>
          </cell>
        </row>
        <row r="16821">
          <cell r="L16821" t="str">
            <v>Non-proportional</v>
          </cell>
          <cell r="S16821">
            <v>2025.45</v>
          </cell>
          <cell r="X16821" t="str">
            <v>Commissions - gross</v>
          </cell>
          <cell r="Y16821" t="str">
            <v>JAPAN</v>
          </cell>
        </row>
        <row r="16822">
          <cell r="L16822" t="str">
            <v>Non-proportional</v>
          </cell>
          <cell r="S16822">
            <v>1500.37</v>
          </cell>
          <cell r="X16822" t="str">
            <v>Commissions - gross</v>
          </cell>
          <cell r="Y16822" t="str">
            <v>ECUADOR</v>
          </cell>
        </row>
        <row r="16823">
          <cell r="L16823" t="str">
            <v>Non-proportional</v>
          </cell>
          <cell r="S16823">
            <v>-2362.5</v>
          </cell>
          <cell r="X16823" t="str">
            <v>Commissions - gross</v>
          </cell>
          <cell r="Y16823" t="str">
            <v>GERMANY</v>
          </cell>
        </row>
        <row r="16824">
          <cell r="L16824" t="str">
            <v>Non-proportional</v>
          </cell>
          <cell r="S16824">
            <v>-1128.42</v>
          </cell>
          <cell r="X16824" t="str">
            <v>Commissions - gross</v>
          </cell>
          <cell r="Y16824" t="str">
            <v>CYPRUS</v>
          </cell>
        </row>
        <row r="16825">
          <cell r="L16825" t="str">
            <v>Non-proportional</v>
          </cell>
          <cell r="S16825">
            <v>-19153.75</v>
          </cell>
          <cell r="X16825" t="str">
            <v>Commissions - gross</v>
          </cell>
          <cell r="Y16825" t="str">
            <v>UNITED KINGDOM</v>
          </cell>
        </row>
        <row r="16826">
          <cell r="L16826" t="str">
            <v>Non-proportional</v>
          </cell>
          <cell r="S16826">
            <v>-445.91</v>
          </cell>
          <cell r="X16826" t="str">
            <v>Commissions - gross</v>
          </cell>
          <cell r="Y16826" t="str">
            <v>ECUADOR</v>
          </cell>
        </row>
        <row r="16827">
          <cell r="L16827" t="str">
            <v>Non-proportional</v>
          </cell>
          <cell r="S16827">
            <v>2625.99</v>
          </cell>
          <cell r="X16827" t="str">
            <v>Commissions - gross</v>
          </cell>
          <cell r="Y16827" t="str">
            <v>JAPAN</v>
          </cell>
        </row>
        <row r="16828">
          <cell r="L16828" t="str">
            <v>Non-proportional</v>
          </cell>
          <cell r="S16828">
            <v>9880.26</v>
          </cell>
          <cell r="X16828" t="str">
            <v>Commissions - gross</v>
          </cell>
          <cell r="Y16828" t="str">
            <v>JAPAN</v>
          </cell>
        </row>
        <row r="16829">
          <cell r="L16829" t="str">
            <v>Non-proportional</v>
          </cell>
          <cell r="S16829">
            <v>1231.94</v>
          </cell>
          <cell r="X16829" t="str">
            <v>Commissions - gross</v>
          </cell>
          <cell r="Y16829" t="str">
            <v>JAPAN</v>
          </cell>
        </row>
        <row r="16830">
          <cell r="L16830" t="str">
            <v>Non-proportional</v>
          </cell>
          <cell r="S16830">
            <v>17219.62</v>
          </cell>
          <cell r="X16830" t="str">
            <v>Commissions - gross</v>
          </cell>
          <cell r="Y16830" t="str">
            <v>UNITED KINGDOM</v>
          </cell>
        </row>
        <row r="16831">
          <cell r="L16831" t="str">
            <v>Non-proportional</v>
          </cell>
          <cell r="S16831">
            <v>-1718.96</v>
          </cell>
          <cell r="X16831" t="str">
            <v>Commissions - gross</v>
          </cell>
          <cell r="Y16831" t="str">
            <v>ECUADOR</v>
          </cell>
        </row>
        <row r="16832">
          <cell r="L16832" t="str">
            <v>Proportional</v>
          </cell>
          <cell r="S16832">
            <v>344.56</v>
          </cell>
          <cell r="X16832" t="str">
            <v>Commissions - gross</v>
          </cell>
          <cell r="Y16832" t="str">
            <v>UNITED STATES</v>
          </cell>
        </row>
        <row r="16833">
          <cell r="L16833" t="str">
            <v>Non-proportional</v>
          </cell>
          <cell r="S16833">
            <v>-3846.94</v>
          </cell>
          <cell r="X16833" t="str">
            <v>Commissions - gross</v>
          </cell>
          <cell r="Y16833" t="str">
            <v>GUATEMALA</v>
          </cell>
        </row>
        <row r="16834">
          <cell r="L16834" t="str">
            <v>Non-proportional</v>
          </cell>
          <cell r="S16834">
            <v>-1.68</v>
          </cell>
          <cell r="X16834" t="str">
            <v>Commissions - gross</v>
          </cell>
          <cell r="Y16834" t="str">
            <v>GERMANY</v>
          </cell>
        </row>
        <row r="16835">
          <cell r="L16835" t="str">
            <v>Non-proportional</v>
          </cell>
          <cell r="S16835">
            <v>7717.48</v>
          </cell>
          <cell r="X16835" t="str">
            <v>Commissions - gross</v>
          </cell>
          <cell r="Y16835" t="str">
            <v>NEW ZEALAND</v>
          </cell>
        </row>
        <row r="16836">
          <cell r="L16836" t="str">
            <v>Non-proportional</v>
          </cell>
          <cell r="S16836">
            <v>4773.8599999999997</v>
          </cell>
          <cell r="X16836" t="str">
            <v>Commissions - gross</v>
          </cell>
          <cell r="Y16836" t="str">
            <v>GREECE</v>
          </cell>
        </row>
        <row r="16837">
          <cell r="L16837" t="str">
            <v>Non-proportional</v>
          </cell>
          <cell r="S16837">
            <v>1154.75</v>
          </cell>
          <cell r="X16837" t="str">
            <v>Commissions - gross</v>
          </cell>
          <cell r="Y16837" t="str">
            <v>JAPAN</v>
          </cell>
        </row>
        <row r="16838">
          <cell r="L16838" t="str">
            <v>Non-proportional</v>
          </cell>
          <cell r="S16838">
            <v>-16782.45</v>
          </cell>
          <cell r="X16838" t="str">
            <v>Commissions - gross</v>
          </cell>
          <cell r="Y16838" t="str">
            <v>UNITED KINGDOM</v>
          </cell>
        </row>
        <row r="16839">
          <cell r="L16839" t="str">
            <v>Proportional</v>
          </cell>
          <cell r="S16839">
            <v>25038.98</v>
          </cell>
          <cell r="X16839" t="str">
            <v>Commissions - gross</v>
          </cell>
          <cell r="Y16839" t="str">
            <v>UNITED STATES</v>
          </cell>
        </row>
        <row r="16840">
          <cell r="L16840" t="str">
            <v>Non-proportional</v>
          </cell>
          <cell r="S16840">
            <v>2591.0300000000002</v>
          </cell>
          <cell r="X16840" t="str">
            <v>Commissions - gross</v>
          </cell>
          <cell r="Y16840" t="str">
            <v>GUATEMALA</v>
          </cell>
        </row>
        <row r="16841">
          <cell r="L16841" t="str">
            <v>Non-proportional</v>
          </cell>
          <cell r="S16841">
            <v>5076.28</v>
          </cell>
          <cell r="X16841" t="str">
            <v>Commissions - gross</v>
          </cell>
          <cell r="Y16841" t="str">
            <v>NEW ZEALAND</v>
          </cell>
        </row>
        <row r="16842">
          <cell r="L16842" t="str">
            <v>Non-proportional</v>
          </cell>
          <cell r="S16842">
            <v>181.87</v>
          </cell>
          <cell r="X16842" t="str">
            <v>Commissions - gross</v>
          </cell>
          <cell r="Y16842" t="str">
            <v>ITALY</v>
          </cell>
        </row>
        <row r="16843">
          <cell r="L16843" t="str">
            <v>Non-proportional</v>
          </cell>
          <cell r="S16843">
            <v>-2025.45</v>
          </cell>
          <cell r="X16843" t="str">
            <v>Commissions - gross</v>
          </cell>
          <cell r="Y16843" t="str">
            <v>JAPAN</v>
          </cell>
        </row>
        <row r="16844">
          <cell r="L16844" t="str">
            <v>Non-proportional</v>
          </cell>
          <cell r="S16844">
            <v>860.36</v>
          </cell>
          <cell r="X16844" t="str">
            <v>Commissions - gross</v>
          </cell>
          <cell r="Y16844" t="str">
            <v>ECUADOR</v>
          </cell>
        </row>
        <row r="16845">
          <cell r="L16845" t="str">
            <v>Non-proportional</v>
          </cell>
          <cell r="S16845">
            <v>-1056</v>
          </cell>
          <cell r="X16845" t="str">
            <v>Commissions - gross</v>
          </cell>
          <cell r="Y16845" t="str">
            <v>GREECE</v>
          </cell>
        </row>
        <row r="16846">
          <cell r="L16846" t="str">
            <v>Non-proportional</v>
          </cell>
          <cell r="S16846">
            <v>11522</v>
          </cell>
          <cell r="X16846" t="str">
            <v>Commissions - gross</v>
          </cell>
          <cell r="Y16846" t="str">
            <v>ITALY</v>
          </cell>
        </row>
        <row r="16847">
          <cell r="L16847" t="str">
            <v>Non-proportional</v>
          </cell>
          <cell r="S16847">
            <v>-1778.45</v>
          </cell>
          <cell r="X16847" t="str">
            <v>Commissions - gross</v>
          </cell>
          <cell r="Y16847" t="str">
            <v>JAPAN</v>
          </cell>
        </row>
        <row r="16848">
          <cell r="L16848" t="str">
            <v>Non-proportional</v>
          </cell>
          <cell r="S16848">
            <v>-2625.99</v>
          </cell>
          <cell r="X16848" t="str">
            <v>Commissions - gross</v>
          </cell>
          <cell r="Y16848" t="str">
            <v>JAPAN</v>
          </cell>
        </row>
        <row r="16849">
          <cell r="L16849" t="str">
            <v>Non-proportional</v>
          </cell>
          <cell r="S16849">
            <v>-1164.83</v>
          </cell>
          <cell r="X16849" t="str">
            <v>Commissions - gross</v>
          </cell>
          <cell r="Y16849" t="str">
            <v>DENMARK</v>
          </cell>
        </row>
        <row r="16850">
          <cell r="L16850" t="str">
            <v>Non-proportional</v>
          </cell>
          <cell r="S16850">
            <v>3192.31</v>
          </cell>
          <cell r="X16850" t="str">
            <v>Commissions - gross</v>
          </cell>
          <cell r="Y16850" t="str">
            <v>GERMANY</v>
          </cell>
        </row>
        <row r="16851">
          <cell r="L16851" t="str">
            <v>Non-proportional</v>
          </cell>
          <cell r="S16851">
            <v>22421.119999999999</v>
          </cell>
          <cell r="X16851" t="str">
            <v>Commissions - gross</v>
          </cell>
          <cell r="Y16851" t="str">
            <v>CHINA</v>
          </cell>
        </row>
        <row r="16852">
          <cell r="L16852" t="str">
            <v>Non-proportional</v>
          </cell>
          <cell r="S16852">
            <v>2648.77</v>
          </cell>
          <cell r="X16852" t="str">
            <v>Commissions - gross</v>
          </cell>
          <cell r="Y16852" t="str">
            <v>UNITED KINGDOM</v>
          </cell>
        </row>
        <row r="16853">
          <cell r="L16853" t="str">
            <v>Non-proportional</v>
          </cell>
          <cell r="S16853">
            <v>-8926.67</v>
          </cell>
          <cell r="X16853" t="str">
            <v>Commissions - gross</v>
          </cell>
          <cell r="Y16853" t="str">
            <v>ECUADOR</v>
          </cell>
        </row>
        <row r="16854">
          <cell r="L16854" t="str">
            <v>Non-proportional</v>
          </cell>
          <cell r="S16854">
            <v>1718.96</v>
          </cell>
          <cell r="X16854" t="str">
            <v>Commissions - gross</v>
          </cell>
          <cell r="Y16854" t="str">
            <v>ECUADOR</v>
          </cell>
        </row>
        <row r="16855">
          <cell r="L16855" t="str">
            <v>Non-proportional</v>
          </cell>
          <cell r="S16855">
            <v>-270</v>
          </cell>
          <cell r="X16855" t="str">
            <v>Commissions - gross</v>
          </cell>
          <cell r="Y16855" t="str">
            <v>GERMANY</v>
          </cell>
        </row>
        <row r="16856">
          <cell r="L16856" t="str">
            <v>Non-proportional</v>
          </cell>
          <cell r="S16856">
            <v>-534.37</v>
          </cell>
          <cell r="X16856" t="str">
            <v>Commissions - gross</v>
          </cell>
          <cell r="Y16856" t="str">
            <v>FRANCE</v>
          </cell>
        </row>
        <row r="16857">
          <cell r="L16857" t="str">
            <v>Non-proportional</v>
          </cell>
          <cell r="S16857">
            <v>482.23</v>
          </cell>
          <cell r="X16857" t="str">
            <v>Commissions - gross</v>
          </cell>
          <cell r="Y16857" t="str">
            <v>DENMARK</v>
          </cell>
        </row>
        <row r="16858">
          <cell r="L16858" t="str">
            <v>Proportional</v>
          </cell>
          <cell r="S16858">
            <v>1</v>
          </cell>
          <cell r="X16858" t="str">
            <v>Commissions - gross</v>
          </cell>
          <cell r="Y16858" t="str">
            <v>UNITED STATES</v>
          </cell>
        </row>
        <row r="16859">
          <cell r="L16859" t="str">
            <v>Non-proportional</v>
          </cell>
          <cell r="S16859">
            <v>-2343.6</v>
          </cell>
          <cell r="X16859" t="str">
            <v>Commissions - gross</v>
          </cell>
          <cell r="Y16859" t="str">
            <v>AUSTRIA</v>
          </cell>
        </row>
        <row r="16860">
          <cell r="L16860" t="str">
            <v>Non-proportional</v>
          </cell>
          <cell r="S16860">
            <v>-6530.37</v>
          </cell>
          <cell r="X16860" t="str">
            <v>Commissions - gross</v>
          </cell>
          <cell r="Y16860" t="str">
            <v>FRANCE</v>
          </cell>
        </row>
        <row r="16861">
          <cell r="L16861" t="str">
            <v>Non-proportional</v>
          </cell>
          <cell r="S16861">
            <v>2331.9299999999998</v>
          </cell>
          <cell r="X16861" t="str">
            <v>Commissions - gross</v>
          </cell>
          <cell r="Y16861" t="str">
            <v>GUATEMALA</v>
          </cell>
        </row>
        <row r="16862">
          <cell r="L16862" t="str">
            <v>Non-proportional</v>
          </cell>
          <cell r="S16862">
            <v>1527.63</v>
          </cell>
          <cell r="X16862" t="str">
            <v>Commissions - gross</v>
          </cell>
          <cell r="Y16862" t="str">
            <v>GREECE</v>
          </cell>
        </row>
        <row r="16863">
          <cell r="L16863" t="str">
            <v>Non-proportional</v>
          </cell>
          <cell r="S16863">
            <v>1302.96</v>
          </cell>
          <cell r="X16863" t="str">
            <v>Commissions - gross</v>
          </cell>
          <cell r="Y16863" t="str">
            <v>JAPAN</v>
          </cell>
        </row>
        <row r="16864">
          <cell r="L16864" t="str">
            <v>Non-proportional</v>
          </cell>
          <cell r="S16864">
            <v>2139.6999999999998</v>
          </cell>
          <cell r="X16864" t="str">
            <v>Commissions - gross</v>
          </cell>
          <cell r="Y16864" t="str">
            <v>JAPAN</v>
          </cell>
        </row>
        <row r="16865">
          <cell r="L16865" t="str">
            <v>Non-proportional</v>
          </cell>
          <cell r="S16865">
            <v>-337.11</v>
          </cell>
          <cell r="X16865" t="str">
            <v>Commissions - gross</v>
          </cell>
          <cell r="Y16865" t="str">
            <v>ECUADOR</v>
          </cell>
        </row>
        <row r="16866">
          <cell r="L16866" t="str">
            <v>Non-proportional</v>
          </cell>
          <cell r="S16866">
            <v>2591.0300000000002</v>
          </cell>
          <cell r="X16866" t="str">
            <v>Commissions - gross</v>
          </cell>
          <cell r="Y16866" t="str">
            <v>GUATEMALA</v>
          </cell>
        </row>
        <row r="16867">
          <cell r="L16867" t="str">
            <v>Non-proportional</v>
          </cell>
          <cell r="S16867">
            <v>-496.8</v>
          </cell>
          <cell r="X16867" t="str">
            <v>Commissions - gross</v>
          </cell>
          <cell r="Y16867" t="str">
            <v>ITALY</v>
          </cell>
        </row>
        <row r="16868">
          <cell r="L16868" t="str">
            <v>Non-proportional</v>
          </cell>
          <cell r="S16868">
            <v>1605.54</v>
          </cell>
          <cell r="X16868" t="str">
            <v>Commissions - gross</v>
          </cell>
          <cell r="Y16868" t="str">
            <v>JAPAN</v>
          </cell>
        </row>
        <row r="16869">
          <cell r="L16869" t="str">
            <v>Non-proportional</v>
          </cell>
          <cell r="S16869">
            <v>3478.62</v>
          </cell>
          <cell r="X16869" t="str">
            <v>Commissions - gross</v>
          </cell>
          <cell r="Y16869" t="str">
            <v>JAPAN</v>
          </cell>
        </row>
        <row r="16870">
          <cell r="L16870" t="str">
            <v>Non-proportional</v>
          </cell>
          <cell r="S16870">
            <v>-624.78</v>
          </cell>
          <cell r="X16870" t="str">
            <v>Commissions - gross</v>
          </cell>
          <cell r="Y16870" t="str">
            <v>FAROE ISLANDS</v>
          </cell>
        </row>
        <row r="16871">
          <cell r="L16871" t="str">
            <v>Non-proportional</v>
          </cell>
          <cell r="S16871">
            <v>126826.56</v>
          </cell>
          <cell r="X16871" t="str">
            <v>Commissions - gross</v>
          </cell>
          <cell r="Y16871" t="str">
            <v>HONG KONG</v>
          </cell>
        </row>
        <row r="16872">
          <cell r="L16872" t="str">
            <v>Non-proportional</v>
          </cell>
          <cell r="S16872">
            <v>1015</v>
          </cell>
          <cell r="X16872" t="str">
            <v>Commissions - gross</v>
          </cell>
          <cell r="Y16872" t="str">
            <v>GERMANY</v>
          </cell>
        </row>
        <row r="16873">
          <cell r="L16873" t="str">
            <v>Non-proportional</v>
          </cell>
          <cell r="S16873">
            <v>-1412.43</v>
          </cell>
          <cell r="X16873" t="str">
            <v>Commissions - gross</v>
          </cell>
          <cell r="Y16873" t="str">
            <v>NEW ZEALAND</v>
          </cell>
        </row>
        <row r="16874">
          <cell r="L16874" t="str">
            <v>Non-proportional</v>
          </cell>
          <cell r="S16874">
            <v>-1293.75</v>
          </cell>
          <cell r="X16874" t="str">
            <v>Commissions - gross</v>
          </cell>
          <cell r="Y16874" t="str">
            <v>GERMANY</v>
          </cell>
        </row>
        <row r="16875">
          <cell r="L16875" t="str">
            <v>Non-proportional</v>
          </cell>
          <cell r="S16875">
            <v>2025.45</v>
          </cell>
          <cell r="X16875" t="str">
            <v>Commissions - gross</v>
          </cell>
          <cell r="Y16875" t="str">
            <v>JAPAN</v>
          </cell>
        </row>
        <row r="16876">
          <cell r="L16876" t="str">
            <v>Non-proportional</v>
          </cell>
          <cell r="S16876">
            <v>85696.16</v>
          </cell>
          <cell r="X16876" t="str">
            <v>Commissions - gross</v>
          </cell>
          <cell r="Y16876" t="str">
            <v>UNITED KINGDOM</v>
          </cell>
        </row>
        <row r="16877">
          <cell r="L16877" t="str">
            <v>Non-proportional</v>
          </cell>
          <cell r="S16877">
            <v>996.78</v>
          </cell>
          <cell r="X16877" t="str">
            <v>Commissions - gross</v>
          </cell>
          <cell r="Y16877" t="str">
            <v>ECUADOR</v>
          </cell>
        </row>
        <row r="16878">
          <cell r="L16878" t="str">
            <v>Non-proportional</v>
          </cell>
          <cell r="S16878">
            <v>-1108.75</v>
          </cell>
          <cell r="X16878" t="str">
            <v>Commissions - gross</v>
          </cell>
          <cell r="Y16878" t="str">
            <v>JAPAN</v>
          </cell>
        </row>
        <row r="16879">
          <cell r="L16879" t="str">
            <v>Non-proportional</v>
          </cell>
          <cell r="S16879">
            <v>351.82</v>
          </cell>
          <cell r="X16879" t="str">
            <v>Commissions - gross</v>
          </cell>
          <cell r="Y16879" t="str">
            <v>GERMANY</v>
          </cell>
        </row>
        <row r="16880">
          <cell r="L16880" t="str">
            <v>Proportional</v>
          </cell>
          <cell r="S16880">
            <v>194.07</v>
          </cell>
          <cell r="X16880" t="str">
            <v>Commissions - gross</v>
          </cell>
          <cell r="Y16880" t="str">
            <v>UNITED STATES</v>
          </cell>
        </row>
        <row r="16881">
          <cell r="L16881" t="str">
            <v>Non-proportional</v>
          </cell>
          <cell r="S16881">
            <v>-2704.18</v>
          </cell>
          <cell r="X16881" t="str">
            <v>Commissions - gross</v>
          </cell>
          <cell r="Y16881" t="str">
            <v>FRANCE</v>
          </cell>
        </row>
        <row r="16882">
          <cell r="L16882" t="str">
            <v>Non-proportional</v>
          </cell>
          <cell r="S16882">
            <v>379.69</v>
          </cell>
          <cell r="X16882" t="str">
            <v>Commissions - gross</v>
          </cell>
          <cell r="Y16882" t="str">
            <v>GERMANY</v>
          </cell>
        </row>
        <row r="16883">
          <cell r="L16883" t="str">
            <v>Non-proportional</v>
          </cell>
          <cell r="S16883">
            <v>-833.25</v>
          </cell>
          <cell r="X16883" t="str">
            <v>Commissions - gross</v>
          </cell>
          <cell r="Y16883" t="str">
            <v>GERMANY</v>
          </cell>
        </row>
        <row r="16884">
          <cell r="L16884" t="str">
            <v>Non-proportional</v>
          </cell>
          <cell r="S16884">
            <v>875.32</v>
          </cell>
          <cell r="X16884" t="str">
            <v>Commissions - gross</v>
          </cell>
          <cell r="Y16884" t="str">
            <v>JAPAN</v>
          </cell>
        </row>
        <row r="16885">
          <cell r="L16885" t="str">
            <v>Non-proportional</v>
          </cell>
          <cell r="S16885">
            <v>-260725.06</v>
          </cell>
          <cell r="X16885" t="str">
            <v>Commissions - gross</v>
          </cell>
          <cell r="Y16885" t="str">
            <v>UNITED KINGDOM</v>
          </cell>
        </row>
        <row r="16886">
          <cell r="L16886" t="str">
            <v>Non-proportional</v>
          </cell>
          <cell r="S16886">
            <v>3846.94</v>
          </cell>
          <cell r="X16886" t="str">
            <v>Commissions - gross</v>
          </cell>
          <cell r="Y16886" t="str">
            <v>GUATEMALA</v>
          </cell>
        </row>
        <row r="16887">
          <cell r="L16887" t="str">
            <v>Non-proportional</v>
          </cell>
          <cell r="S16887">
            <v>55.55</v>
          </cell>
          <cell r="X16887" t="str">
            <v>Commissions - gross</v>
          </cell>
          <cell r="Y16887" t="str">
            <v>PERU</v>
          </cell>
        </row>
        <row r="16888">
          <cell r="L16888" t="str">
            <v>Non-proportional</v>
          </cell>
          <cell r="S16888">
            <v>3712.15</v>
          </cell>
          <cell r="X16888" t="str">
            <v>Commissions - gross</v>
          </cell>
          <cell r="Y16888" t="str">
            <v>ECUADOR</v>
          </cell>
        </row>
        <row r="16889">
          <cell r="L16889" t="str">
            <v>Proportional</v>
          </cell>
          <cell r="S16889">
            <v>775.75</v>
          </cell>
          <cell r="X16889" t="str">
            <v>Commissions - gross</v>
          </cell>
          <cell r="Y16889" t="str">
            <v>UNITED STATES</v>
          </cell>
        </row>
        <row r="16890">
          <cell r="L16890" t="str">
            <v>Non-proportional</v>
          </cell>
          <cell r="S16890">
            <v>-24.75</v>
          </cell>
          <cell r="X16890" t="str">
            <v>Commissions - gross</v>
          </cell>
          <cell r="Y16890" t="str">
            <v>GERMANY</v>
          </cell>
        </row>
        <row r="16891">
          <cell r="L16891" t="str">
            <v>Non-proportional</v>
          </cell>
          <cell r="S16891">
            <v>1323.95</v>
          </cell>
          <cell r="X16891" t="str">
            <v>Commissions - gross</v>
          </cell>
          <cell r="Y16891" t="str">
            <v>JAPAN</v>
          </cell>
        </row>
        <row r="16892">
          <cell r="L16892" t="str">
            <v>Non-proportional</v>
          </cell>
          <cell r="S16892">
            <v>-92.78</v>
          </cell>
          <cell r="X16892" t="str">
            <v>Commissions - gross</v>
          </cell>
          <cell r="Y16892" t="str">
            <v>ISRAEL</v>
          </cell>
        </row>
        <row r="16893">
          <cell r="L16893" t="str">
            <v>Non-proportional</v>
          </cell>
          <cell r="S16893">
            <v>1326.87</v>
          </cell>
          <cell r="X16893" t="str">
            <v>Commissions - gross</v>
          </cell>
          <cell r="Y16893" t="str">
            <v>SOUTH AFRICA</v>
          </cell>
        </row>
        <row r="16894">
          <cell r="L16894" t="str">
            <v>Non-proportional</v>
          </cell>
          <cell r="S16894">
            <v>3527.22</v>
          </cell>
          <cell r="X16894" t="str">
            <v>Commissions - gross</v>
          </cell>
          <cell r="Y16894" t="str">
            <v>SOUTH AFRICA</v>
          </cell>
        </row>
        <row r="16895">
          <cell r="L16895" t="str">
            <v>Non-proportional</v>
          </cell>
          <cell r="S16895">
            <v>15628</v>
          </cell>
          <cell r="X16895" t="str">
            <v>Commissions - gross</v>
          </cell>
          <cell r="Y16895" t="str">
            <v>ITALY</v>
          </cell>
        </row>
        <row r="16896">
          <cell r="L16896" t="str">
            <v>Non-proportional</v>
          </cell>
          <cell r="S16896">
            <v>995.42</v>
          </cell>
          <cell r="X16896" t="str">
            <v>Commissions - gross</v>
          </cell>
          <cell r="Y16896" t="str">
            <v>ITALY</v>
          </cell>
        </row>
        <row r="16897">
          <cell r="L16897" t="str">
            <v>Non-proportional</v>
          </cell>
          <cell r="S16897">
            <v>-1077.5999999999999</v>
          </cell>
          <cell r="X16897" t="str">
            <v>Commissions - gross</v>
          </cell>
          <cell r="Y16897" t="str">
            <v>GERMANY</v>
          </cell>
        </row>
        <row r="16898">
          <cell r="L16898" t="str">
            <v>Non-proportional</v>
          </cell>
          <cell r="S16898">
            <v>-236.66</v>
          </cell>
          <cell r="X16898" t="str">
            <v>Commissions - gross</v>
          </cell>
          <cell r="Y16898" t="str">
            <v>JAPAN</v>
          </cell>
        </row>
        <row r="16899">
          <cell r="L16899" t="str">
            <v>Proportional</v>
          </cell>
          <cell r="S16899">
            <v>19795.169999999998</v>
          </cell>
          <cell r="X16899" t="str">
            <v>Commissions - gross</v>
          </cell>
          <cell r="Y16899" t="str">
            <v>JAPAN</v>
          </cell>
        </row>
        <row r="16900">
          <cell r="L16900" t="str">
            <v>Non-proportional</v>
          </cell>
          <cell r="S16900">
            <v>13807.49</v>
          </cell>
          <cell r="X16900" t="str">
            <v>Commissions - gross</v>
          </cell>
          <cell r="Y16900" t="str">
            <v>MEXICO</v>
          </cell>
        </row>
        <row r="16901">
          <cell r="L16901" t="str">
            <v>Non-proportional</v>
          </cell>
          <cell r="S16901">
            <v>3593.88</v>
          </cell>
          <cell r="X16901" t="str">
            <v>Commissions - gross</v>
          </cell>
          <cell r="Y16901" t="str">
            <v>ECUADOR</v>
          </cell>
        </row>
        <row r="16902">
          <cell r="L16902" t="str">
            <v>Non-proportional</v>
          </cell>
          <cell r="S16902">
            <v>-4441.7700000000004</v>
          </cell>
          <cell r="X16902" t="str">
            <v>Commissions - gross</v>
          </cell>
          <cell r="Y16902" t="str">
            <v>GUATEMALA</v>
          </cell>
        </row>
        <row r="16903">
          <cell r="L16903" t="str">
            <v>Non-proportional</v>
          </cell>
          <cell r="S16903">
            <v>-11522</v>
          </cell>
          <cell r="X16903" t="str">
            <v>Commissions - gross</v>
          </cell>
          <cell r="Y16903" t="str">
            <v>ITALY</v>
          </cell>
        </row>
        <row r="16904">
          <cell r="L16904" t="str">
            <v>Non-proportional</v>
          </cell>
          <cell r="S16904">
            <v>2362.5</v>
          </cell>
          <cell r="X16904" t="str">
            <v>Commissions - gross</v>
          </cell>
          <cell r="Y16904" t="str">
            <v>GERMANY</v>
          </cell>
        </row>
        <row r="16905">
          <cell r="L16905" t="str">
            <v>Non-proportional</v>
          </cell>
          <cell r="S16905">
            <v>1605.54</v>
          </cell>
          <cell r="X16905" t="str">
            <v>Commissions - gross</v>
          </cell>
          <cell r="Y16905" t="str">
            <v>JAPAN</v>
          </cell>
        </row>
        <row r="16906">
          <cell r="L16906" t="str">
            <v>Non-proportional</v>
          </cell>
          <cell r="S16906">
            <v>1147.1500000000001</v>
          </cell>
          <cell r="X16906" t="str">
            <v>Commissions - gross</v>
          </cell>
          <cell r="Y16906" t="str">
            <v>ECUADOR</v>
          </cell>
        </row>
        <row r="16907">
          <cell r="L16907" t="str">
            <v>Non-proportional</v>
          </cell>
          <cell r="S16907">
            <v>-6429.78</v>
          </cell>
          <cell r="X16907" t="str">
            <v>Commissions - gross</v>
          </cell>
          <cell r="Y16907" t="str">
            <v>ECUADOR</v>
          </cell>
        </row>
        <row r="16908">
          <cell r="L16908" t="str">
            <v>Non-proportional</v>
          </cell>
          <cell r="S16908">
            <v>2591.0300000000002</v>
          </cell>
          <cell r="X16908" t="str">
            <v>Commissions - gross</v>
          </cell>
          <cell r="Y16908" t="str">
            <v>GUATEMALA</v>
          </cell>
        </row>
        <row r="16909">
          <cell r="L16909" t="str">
            <v>Non-proportional</v>
          </cell>
          <cell r="S16909">
            <v>-3462.27</v>
          </cell>
          <cell r="X16909" t="str">
            <v>Commissions - gross</v>
          </cell>
          <cell r="Y16909" t="str">
            <v>GUATEMALA</v>
          </cell>
        </row>
        <row r="16910">
          <cell r="L16910" t="str">
            <v>Non-proportional</v>
          </cell>
          <cell r="S16910">
            <v>-1686.63</v>
          </cell>
          <cell r="X16910" t="str">
            <v>Commissions - gross</v>
          </cell>
          <cell r="Y16910" t="str">
            <v>FRANCE</v>
          </cell>
        </row>
        <row r="16911">
          <cell r="L16911" t="str">
            <v>Non-proportional</v>
          </cell>
          <cell r="S16911">
            <v>-578.66</v>
          </cell>
          <cell r="X16911" t="str">
            <v>Commissions - gross</v>
          </cell>
          <cell r="Y16911" t="str">
            <v>FAROE ISLANDS</v>
          </cell>
        </row>
        <row r="16912">
          <cell r="L16912" t="str">
            <v>Non-proportional</v>
          </cell>
          <cell r="S16912">
            <v>1323.95</v>
          </cell>
          <cell r="X16912" t="str">
            <v>Commissions - gross</v>
          </cell>
          <cell r="Y16912" t="str">
            <v>JAPAN</v>
          </cell>
        </row>
        <row r="16913">
          <cell r="L16913" t="str">
            <v>Non-proportional</v>
          </cell>
          <cell r="S16913">
            <v>-275.68</v>
          </cell>
          <cell r="X16913" t="str">
            <v>Commissions - gross</v>
          </cell>
          <cell r="Y16913" t="str">
            <v>ISRAEL</v>
          </cell>
        </row>
        <row r="16914">
          <cell r="L16914" t="str">
            <v>Proportional</v>
          </cell>
          <cell r="S16914">
            <v>382.6</v>
          </cell>
          <cell r="X16914" t="str">
            <v>Commissions - gross</v>
          </cell>
          <cell r="Y16914" t="str">
            <v>JAPAN</v>
          </cell>
        </row>
        <row r="16915">
          <cell r="L16915" t="str">
            <v>Non-proportional</v>
          </cell>
          <cell r="S16915">
            <v>773.31</v>
          </cell>
          <cell r="X16915" t="str">
            <v>Commissions - gross</v>
          </cell>
          <cell r="Y16915" t="str">
            <v>ECUADOR</v>
          </cell>
        </row>
        <row r="16916">
          <cell r="L16916" t="str">
            <v>Non-proportional</v>
          </cell>
          <cell r="S16916">
            <v>236.66</v>
          </cell>
          <cell r="X16916" t="str">
            <v>Commissions - gross</v>
          </cell>
          <cell r="Y16916" t="str">
            <v>JAPAN</v>
          </cell>
        </row>
        <row r="16917">
          <cell r="L16917" t="str">
            <v>Non-proportional</v>
          </cell>
          <cell r="S16917">
            <v>92.78</v>
          </cell>
          <cell r="X16917" t="str">
            <v>Commissions - gross</v>
          </cell>
          <cell r="Y16917" t="str">
            <v>ISRAEL</v>
          </cell>
        </row>
        <row r="16918">
          <cell r="L16918" t="str">
            <v>Non-proportional</v>
          </cell>
          <cell r="S16918">
            <v>123.35</v>
          </cell>
          <cell r="X16918" t="str">
            <v>Commissions - gross</v>
          </cell>
          <cell r="Y16918" t="str">
            <v>CYPRUS</v>
          </cell>
        </row>
        <row r="16919">
          <cell r="L16919" t="str">
            <v>Non-proportional</v>
          </cell>
          <cell r="S16919">
            <v>28.58</v>
          </cell>
          <cell r="X16919" t="str">
            <v>Commissions - gross</v>
          </cell>
          <cell r="Y16919" t="str">
            <v>GERMANY</v>
          </cell>
        </row>
        <row r="16920">
          <cell r="L16920" t="str">
            <v>Non-proportional</v>
          </cell>
          <cell r="S16920">
            <v>2130.4299999999998</v>
          </cell>
          <cell r="X16920" t="str">
            <v>Commissions - gross</v>
          </cell>
          <cell r="Y16920" t="str">
            <v>JAPAN</v>
          </cell>
        </row>
        <row r="16921">
          <cell r="L16921" t="str">
            <v>Non-proportional</v>
          </cell>
          <cell r="S16921">
            <v>-123.35</v>
          </cell>
          <cell r="X16921" t="str">
            <v>Commissions - gross</v>
          </cell>
          <cell r="Y16921" t="str">
            <v>CYPRUS</v>
          </cell>
        </row>
        <row r="16922">
          <cell r="L16922" t="str">
            <v>Non-proportional</v>
          </cell>
          <cell r="S16922">
            <v>5307.02</v>
          </cell>
          <cell r="X16922" t="str">
            <v>Commissions - gross</v>
          </cell>
          <cell r="Y16922" t="str">
            <v>ECUADOR</v>
          </cell>
        </row>
        <row r="16923">
          <cell r="L16923" t="str">
            <v>Non-proportional</v>
          </cell>
          <cell r="S16923">
            <v>1412.43</v>
          </cell>
          <cell r="X16923" t="str">
            <v>Commissions - gross</v>
          </cell>
          <cell r="Y16923" t="str">
            <v>NEW ZEALAND</v>
          </cell>
        </row>
        <row r="16924">
          <cell r="L16924" t="str">
            <v>Non-proportional</v>
          </cell>
          <cell r="S16924">
            <v>-3850.21</v>
          </cell>
          <cell r="X16924" t="str">
            <v>Commissions - gross</v>
          </cell>
          <cell r="Y16924" t="str">
            <v>JAPAN</v>
          </cell>
        </row>
        <row r="16925">
          <cell r="L16925" t="str">
            <v>Non-proportional</v>
          </cell>
          <cell r="S16925">
            <v>-1605.54</v>
          </cell>
          <cell r="X16925" t="str">
            <v>Commissions - gross</v>
          </cell>
          <cell r="Y16925" t="str">
            <v>JAPAN</v>
          </cell>
        </row>
        <row r="16926">
          <cell r="L16926" t="str">
            <v>Non-proportional</v>
          </cell>
          <cell r="S16926">
            <v>1480.8</v>
          </cell>
          <cell r="X16926" t="str">
            <v>Commissions - gross</v>
          </cell>
          <cell r="Y16926" t="str">
            <v>FRANCE</v>
          </cell>
        </row>
        <row r="16927">
          <cell r="L16927" t="str">
            <v>Non-proportional</v>
          </cell>
          <cell r="S16927">
            <v>99881.279999999999</v>
          </cell>
          <cell r="X16927" t="str">
            <v>Commissions - gross</v>
          </cell>
          <cell r="Y16927" t="str">
            <v>UNITED KINGDOM</v>
          </cell>
        </row>
        <row r="16928">
          <cell r="L16928" t="str">
            <v>Non-proportional</v>
          </cell>
          <cell r="S16928">
            <v>-110.28</v>
          </cell>
          <cell r="X16928" t="str">
            <v>Commissions - gross</v>
          </cell>
          <cell r="Y16928" t="str">
            <v>ISRAEL</v>
          </cell>
        </row>
        <row r="16929">
          <cell r="L16929" t="str">
            <v>Non-proportional</v>
          </cell>
          <cell r="S16929">
            <v>86838.79</v>
          </cell>
          <cell r="X16929" t="str">
            <v>Commissions - gross</v>
          </cell>
          <cell r="Y16929" t="str">
            <v>UNITED KINGDOM</v>
          </cell>
        </row>
        <row r="16930">
          <cell r="L16930" t="str">
            <v>Non-proportional</v>
          </cell>
          <cell r="S16930">
            <v>-337144.47</v>
          </cell>
          <cell r="X16930" t="str">
            <v>Commissions - gross</v>
          </cell>
          <cell r="Y16930" t="str">
            <v>UNITED KINGDOM</v>
          </cell>
        </row>
        <row r="16931">
          <cell r="L16931" t="str">
            <v>Non-proportional</v>
          </cell>
          <cell r="S16931">
            <v>3920.6</v>
          </cell>
          <cell r="X16931" t="str">
            <v>Commissions - gross</v>
          </cell>
          <cell r="Y16931" t="str">
            <v>ECUADOR</v>
          </cell>
        </row>
        <row r="16932">
          <cell r="L16932" t="str">
            <v>Proportional</v>
          </cell>
          <cell r="S16932">
            <v>-116126.7</v>
          </cell>
          <cell r="X16932" t="str">
            <v>Commissions - gross</v>
          </cell>
          <cell r="Y16932" t="str">
            <v>UNITED STATES</v>
          </cell>
        </row>
        <row r="16933">
          <cell r="L16933" t="str">
            <v>Non-proportional</v>
          </cell>
          <cell r="S16933">
            <v>4775.55</v>
          </cell>
          <cell r="X16933" t="str">
            <v>Commissions - gross</v>
          </cell>
          <cell r="Y16933" t="str">
            <v>GUATEMALA</v>
          </cell>
        </row>
        <row r="16934">
          <cell r="L16934" t="str">
            <v>Non-proportional</v>
          </cell>
          <cell r="S16934">
            <v>12825</v>
          </cell>
          <cell r="X16934" t="str">
            <v>Commissions - gross</v>
          </cell>
          <cell r="Y16934" t="str">
            <v>EUROPE</v>
          </cell>
        </row>
        <row r="16935">
          <cell r="L16935" t="str">
            <v>Non-proportional</v>
          </cell>
          <cell r="S16935">
            <v>-456.63</v>
          </cell>
          <cell r="X16935" t="str">
            <v>Commissions - gross</v>
          </cell>
          <cell r="Y16935" t="str">
            <v>ISRAEL</v>
          </cell>
        </row>
        <row r="16936">
          <cell r="L16936" t="str">
            <v>Non-proportional</v>
          </cell>
          <cell r="S16936">
            <v>-1147.1500000000001</v>
          </cell>
          <cell r="X16936" t="str">
            <v>Commissions - gross</v>
          </cell>
          <cell r="Y16936" t="str">
            <v>ECUADOR</v>
          </cell>
        </row>
        <row r="16937">
          <cell r="L16937" t="str">
            <v>Non-proportional</v>
          </cell>
          <cell r="S16937">
            <v>2112.3000000000002</v>
          </cell>
          <cell r="X16937" t="str">
            <v>Commissions - gross</v>
          </cell>
          <cell r="Y16937" t="str">
            <v>NEW ZEALAND</v>
          </cell>
        </row>
        <row r="16938">
          <cell r="L16938" t="str">
            <v>Non-proportional</v>
          </cell>
          <cell r="S16938">
            <v>278.81</v>
          </cell>
          <cell r="X16938" t="str">
            <v>Commissions - gross</v>
          </cell>
          <cell r="Y16938" t="str">
            <v>JAPAN</v>
          </cell>
        </row>
        <row r="16939">
          <cell r="L16939" t="str">
            <v>Non-proportional</v>
          </cell>
          <cell r="S16939">
            <v>2057.56</v>
          </cell>
          <cell r="X16939" t="str">
            <v>Commissions - gross</v>
          </cell>
          <cell r="Y16939" t="str">
            <v>JAPAN</v>
          </cell>
        </row>
        <row r="16940">
          <cell r="L16940" t="str">
            <v>Non-proportional</v>
          </cell>
          <cell r="S16940">
            <v>1130.45</v>
          </cell>
          <cell r="X16940" t="str">
            <v>Commissions - gross</v>
          </cell>
          <cell r="Y16940" t="str">
            <v>CYPRUS</v>
          </cell>
        </row>
        <row r="16941">
          <cell r="L16941" t="str">
            <v>Non-proportional</v>
          </cell>
          <cell r="S16941">
            <v>2396.33</v>
          </cell>
          <cell r="X16941" t="str">
            <v>Commissions - gross</v>
          </cell>
          <cell r="Y16941" t="str">
            <v>GUATEMALA</v>
          </cell>
        </row>
        <row r="16942">
          <cell r="L16942" t="str">
            <v>Non-proportional</v>
          </cell>
          <cell r="S16942">
            <v>2396.33</v>
          </cell>
          <cell r="X16942" t="str">
            <v>Commissions - gross</v>
          </cell>
          <cell r="Y16942" t="str">
            <v>GUATEMALA</v>
          </cell>
        </row>
        <row r="16943">
          <cell r="L16943" t="str">
            <v>Non-proportional</v>
          </cell>
          <cell r="S16943">
            <v>833.25</v>
          </cell>
          <cell r="X16943" t="str">
            <v>Commissions - gross</v>
          </cell>
          <cell r="Y16943" t="str">
            <v>GERMANY</v>
          </cell>
        </row>
        <row r="16944">
          <cell r="L16944" t="str">
            <v>Non-proportional</v>
          </cell>
          <cell r="S16944">
            <v>-368.03</v>
          </cell>
          <cell r="X16944" t="str">
            <v>Commissions - gross</v>
          </cell>
          <cell r="Y16944" t="str">
            <v>GERMANY</v>
          </cell>
        </row>
        <row r="16945">
          <cell r="L16945" t="str">
            <v>Non-proportional</v>
          </cell>
          <cell r="S16945">
            <v>1217.6600000000001</v>
          </cell>
          <cell r="X16945" t="str">
            <v>Commissions - gross</v>
          </cell>
          <cell r="Y16945" t="str">
            <v>GERMANY</v>
          </cell>
        </row>
        <row r="16946">
          <cell r="L16946" t="str">
            <v>Non-proportional</v>
          </cell>
          <cell r="S16946">
            <v>-3532.19</v>
          </cell>
          <cell r="X16946" t="str">
            <v>Commissions - gross</v>
          </cell>
          <cell r="Y16946" t="str">
            <v>JAPAN</v>
          </cell>
        </row>
        <row r="16947">
          <cell r="L16947" t="str">
            <v>Non-proportional</v>
          </cell>
          <cell r="S16947">
            <v>-5800.01</v>
          </cell>
          <cell r="X16947" t="str">
            <v>Commissions - gross</v>
          </cell>
          <cell r="Y16947" t="str">
            <v>ECUADOR</v>
          </cell>
        </row>
        <row r="16948">
          <cell r="L16948" t="str">
            <v>Non-proportional</v>
          </cell>
          <cell r="S16948">
            <v>8926.67</v>
          </cell>
          <cell r="X16948" t="str">
            <v>Commissions - gross</v>
          </cell>
          <cell r="Y16948" t="str">
            <v>ECUADOR</v>
          </cell>
        </row>
        <row r="16949">
          <cell r="L16949" t="str">
            <v>Non-proportional</v>
          </cell>
          <cell r="S16949">
            <v>-2057.56</v>
          </cell>
          <cell r="X16949" t="str">
            <v>Commissions - gross</v>
          </cell>
          <cell r="Y16949" t="str">
            <v>JAPAN</v>
          </cell>
        </row>
        <row r="16950">
          <cell r="L16950" t="str">
            <v>Non-proportional</v>
          </cell>
          <cell r="S16950">
            <v>-1524</v>
          </cell>
          <cell r="X16950" t="str">
            <v>Commissions - gross</v>
          </cell>
          <cell r="Y16950" t="str">
            <v>ITALY</v>
          </cell>
        </row>
        <row r="16951">
          <cell r="L16951" t="str">
            <v>Non-proportional</v>
          </cell>
          <cell r="S16951">
            <v>-5800.01</v>
          </cell>
          <cell r="X16951" t="str">
            <v>Commissions - gross</v>
          </cell>
          <cell r="Y16951" t="str">
            <v>ECUADOR</v>
          </cell>
        </row>
        <row r="16952">
          <cell r="L16952" t="str">
            <v>Non-proportional</v>
          </cell>
          <cell r="S16952">
            <v>3482.79</v>
          </cell>
          <cell r="X16952" t="str">
            <v>Commissions - gross</v>
          </cell>
          <cell r="Y16952" t="str">
            <v>JAPAN</v>
          </cell>
        </row>
        <row r="16953">
          <cell r="L16953" t="str">
            <v>Non-proportional</v>
          </cell>
          <cell r="S16953">
            <v>-398.35</v>
          </cell>
          <cell r="X16953" t="str">
            <v>Commissions - gross</v>
          </cell>
          <cell r="Y16953" t="str">
            <v>ITALY</v>
          </cell>
        </row>
        <row r="16954">
          <cell r="L16954" t="str">
            <v>Non-proportional</v>
          </cell>
          <cell r="S16954">
            <v>-547.89</v>
          </cell>
          <cell r="X16954" t="str">
            <v>Commissions - gross</v>
          </cell>
          <cell r="Y16954" t="str">
            <v>JAPAN</v>
          </cell>
        </row>
        <row r="16955">
          <cell r="L16955" t="str">
            <v>Non-proportional</v>
          </cell>
          <cell r="S16955">
            <v>845.21</v>
          </cell>
          <cell r="X16955" t="str">
            <v>Commissions - gross</v>
          </cell>
          <cell r="Y16955" t="str">
            <v>FAROE ISLANDS</v>
          </cell>
        </row>
        <row r="16956">
          <cell r="L16956" t="str">
            <v>Non-proportional</v>
          </cell>
          <cell r="S16956">
            <v>-736.54</v>
          </cell>
          <cell r="X16956" t="str">
            <v>Commissions - gross</v>
          </cell>
          <cell r="Y16956" t="str">
            <v>ISRAEL</v>
          </cell>
        </row>
        <row r="16957">
          <cell r="L16957" t="str">
            <v>Non-proportional</v>
          </cell>
          <cell r="S16957">
            <v>85.82</v>
          </cell>
          <cell r="X16957" t="str">
            <v>Commissions - gross</v>
          </cell>
          <cell r="Y16957" t="str">
            <v>FRANCE</v>
          </cell>
        </row>
        <row r="16958">
          <cell r="L16958" t="str">
            <v>Non-proportional</v>
          </cell>
          <cell r="S16958">
            <v>-2278.63</v>
          </cell>
          <cell r="X16958" t="str">
            <v>Commissions - gross</v>
          </cell>
          <cell r="Y16958" t="str">
            <v>JAPAN</v>
          </cell>
        </row>
        <row r="16959">
          <cell r="L16959" t="str">
            <v>Non-proportional</v>
          </cell>
          <cell r="S16959">
            <v>190.7</v>
          </cell>
          <cell r="X16959" t="str">
            <v>Commissions - gross</v>
          </cell>
          <cell r="Y16959" t="str">
            <v>ISRAEL</v>
          </cell>
        </row>
        <row r="16960">
          <cell r="L16960" t="str">
            <v>Non-proportional</v>
          </cell>
          <cell r="S16960">
            <v>4441.7700000000004</v>
          </cell>
          <cell r="X16960" t="str">
            <v>Commissions - gross</v>
          </cell>
          <cell r="Y16960" t="str">
            <v>GUATEMALA</v>
          </cell>
        </row>
        <row r="16961">
          <cell r="L16961" t="str">
            <v>Non-proportional</v>
          </cell>
          <cell r="S16961">
            <v>-4552.25</v>
          </cell>
          <cell r="X16961" t="str">
            <v>Commissions - gross</v>
          </cell>
          <cell r="Y16961" t="str">
            <v>ECUADOR</v>
          </cell>
        </row>
        <row r="16962">
          <cell r="L16962" t="str">
            <v>Proportional</v>
          </cell>
          <cell r="S16962">
            <v>-180.19</v>
          </cell>
          <cell r="X16962" t="str">
            <v>Commissions - gross</v>
          </cell>
          <cell r="Y16962" t="str">
            <v>JAPAN</v>
          </cell>
        </row>
        <row r="16963">
          <cell r="L16963" t="str">
            <v>Non-proportional</v>
          </cell>
          <cell r="S16963">
            <v>-415.25</v>
          </cell>
          <cell r="X16963" t="str">
            <v>Commissions - gross</v>
          </cell>
          <cell r="Y16963" t="str">
            <v>GERMANY</v>
          </cell>
        </row>
        <row r="16964">
          <cell r="L16964" t="str">
            <v>Non-proportional</v>
          </cell>
          <cell r="S16964">
            <v>1130.45</v>
          </cell>
          <cell r="X16964" t="str">
            <v>Commissions - gross</v>
          </cell>
          <cell r="Y16964" t="str">
            <v>CYPRUS</v>
          </cell>
        </row>
        <row r="16965">
          <cell r="L16965" t="str">
            <v>Non-proportional</v>
          </cell>
          <cell r="S16965">
            <v>1136.52</v>
          </cell>
          <cell r="X16965" t="str">
            <v>Commissions - gross</v>
          </cell>
          <cell r="Y16965" t="str">
            <v>GERMANY</v>
          </cell>
        </row>
        <row r="16966">
          <cell r="L16966" t="str">
            <v>Non-proportional</v>
          </cell>
          <cell r="S16966">
            <v>-2666.01</v>
          </cell>
          <cell r="X16966" t="str">
            <v>Commissions - gross</v>
          </cell>
          <cell r="Y16966" t="str">
            <v>ECUADOR</v>
          </cell>
        </row>
        <row r="16967">
          <cell r="L16967" t="str">
            <v>Non-proportional</v>
          </cell>
          <cell r="S16967">
            <v>3760</v>
          </cell>
          <cell r="X16967" t="str">
            <v>Commissions - gross</v>
          </cell>
          <cell r="Y16967" t="str">
            <v>ITALY</v>
          </cell>
        </row>
        <row r="16968">
          <cell r="L16968" t="str">
            <v>Non-proportional</v>
          </cell>
          <cell r="S16968">
            <v>2999.78</v>
          </cell>
          <cell r="X16968" t="str">
            <v>Commissions - gross</v>
          </cell>
          <cell r="Y16968" t="str">
            <v>FRANCE</v>
          </cell>
        </row>
        <row r="16969">
          <cell r="L16969" t="str">
            <v>Non-proportional</v>
          </cell>
          <cell r="S16969">
            <v>-275.68</v>
          </cell>
          <cell r="X16969" t="str">
            <v>Commissions - gross</v>
          </cell>
          <cell r="Y16969" t="str">
            <v>ISRAEL</v>
          </cell>
        </row>
        <row r="16970">
          <cell r="L16970" t="str">
            <v>Non-proportional</v>
          </cell>
          <cell r="S16970">
            <v>1302.96</v>
          </cell>
          <cell r="X16970" t="str">
            <v>Commissions - gross</v>
          </cell>
          <cell r="Y16970" t="str">
            <v>JAPAN</v>
          </cell>
        </row>
        <row r="16971">
          <cell r="L16971" t="str">
            <v>Non-proportional</v>
          </cell>
          <cell r="S16971">
            <v>-5893.97</v>
          </cell>
          <cell r="X16971" t="str">
            <v>Commissions - gross</v>
          </cell>
          <cell r="Y16971" t="str">
            <v>ECUADOR</v>
          </cell>
        </row>
        <row r="16972">
          <cell r="L16972" t="str">
            <v>Non-proportional</v>
          </cell>
          <cell r="S16972">
            <v>1147.1500000000001</v>
          </cell>
          <cell r="X16972" t="str">
            <v>Commissions - gross</v>
          </cell>
          <cell r="Y16972" t="str">
            <v>ECUADOR</v>
          </cell>
        </row>
        <row r="16973">
          <cell r="L16973" t="str">
            <v>Non-proportional</v>
          </cell>
          <cell r="S16973">
            <v>-6189.98</v>
          </cell>
          <cell r="X16973" t="str">
            <v>Commissions - gross</v>
          </cell>
          <cell r="Y16973" t="str">
            <v>JAPAN</v>
          </cell>
        </row>
        <row r="16974">
          <cell r="L16974" t="str">
            <v>Non-proportional</v>
          </cell>
          <cell r="S16974">
            <v>-125.38</v>
          </cell>
          <cell r="X16974" t="str">
            <v>Commissions - gross</v>
          </cell>
          <cell r="Y16974" t="str">
            <v>CYPRUS</v>
          </cell>
        </row>
        <row r="16975">
          <cell r="L16975" t="str">
            <v>Non-proportional</v>
          </cell>
          <cell r="S16975">
            <v>1128.42</v>
          </cell>
          <cell r="X16975" t="str">
            <v>Commissions - gross</v>
          </cell>
          <cell r="Y16975" t="str">
            <v>CYPRUS</v>
          </cell>
        </row>
        <row r="16976">
          <cell r="L16976" t="str">
            <v>Non-proportional</v>
          </cell>
          <cell r="S16976">
            <v>4705.18</v>
          </cell>
          <cell r="X16976" t="str">
            <v>Commissions - gross</v>
          </cell>
          <cell r="Y16976" t="str">
            <v>UNITED KINGDOM</v>
          </cell>
        </row>
        <row r="16977">
          <cell r="L16977" t="str">
            <v>Non-proportional</v>
          </cell>
          <cell r="S16977">
            <v>5893.97</v>
          </cell>
          <cell r="X16977" t="str">
            <v>Commissions - gross</v>
          </cell>
          <cell r="Y16977" t="str">
            <v>ECUADOR</v>
          </cell>
        </row>
        <row r="16978">
          <cell r="L16978" t="str">
            <v>Non-proportional</v>
          </cell>
          <cell r="S16978">
            <v>948.85</v>
          </cell>
          <cell r="X16978" t="str">
            <v>Commissions - gross</v>
          </cell>
          <cell r="Y16978" t="str">
            <v>ECUADOR</v>
          </cell>
        </row>
        <row r="16979">
          <cell r="L16979" t="str">
            <v>Non-proportional</v>
          </cell>
          <cell r="S16979">
            <v>-560.59</v>
          </cell>
          <cell r="X16979" t="str">
            <v>Commissions - gross</v>
          </cell>
          <cell r="Y16979" t="str">
            <v>GERMANY</v>
          </cell>
        </row>
        <row r="16980">
          <cell r="L16980" t="str">
            <v>Non-proportional</v>
          </cell>
          <cell r="S16980">
            <v>1070.46</v>
          </cell>
          <cell r="X16980" t="str">
            <v>Commissions - gross</v>
          </cell>
          <cell r="Y16980" t="str">
            <v>GERMANY</v>
          </cell>
        </row>
        <row r="16981">
          <cell r="L16981" t="str">
            <v>Non-proportional</v>
          </cell>
          <cell r="S16981">
            <v>2146.41</v>
          </cell>
          <cell r="X16981" t="str">
            <v>Commissions - gross</v>
          </cell>
          <cell r="Y16981" t="str">
            <v>SOUTH AFRICA</v>
          </cell>
        </row>
        <row r="16982">
          <cell r="L16982" t="str">
            <v>Non-proportional</v>
          </cell>
          <cell r="S16982">
            <v>-4560.7299999999996</v>
          </cell>
          <cell r="X16982" t="str">
            <v>Commissions - gross</v>
          </cell>
          <cell r="Y16982" t="str">
            <v>UNITED KINGDOM</v>
          </cell>
        </row>
        <row r="16983">
          <cell r="L16983" t="str">
            <v>Non-proportional</v>
          </cell>
          <cell r="S16983">
            <v>456.63</v>
          </cell>
          <cell r="X16983" t="str">
            <v>Commissions - gross</v>
          </cell>
          <cell r="Y16983" t="str">
            <v>ISRAEL</v>
          </cell>
        </row>
        <row r="16984">
          <cell r="L16984" t="str">
            <v>Non-proportional</v>
          </cell>
          <cell r="S16984">
            <v>1090.47</v>
          </cell>
          <cell r="X16984" t="str">
            <v>Commissions - gross</v>
          </cell>
          <cell r="Y16984" t="str">
            <v>PUERTO RICO</v>
          </cell>
        </row>
        <row r="16985">
          <cell r="L16985" t="str">
            <v>Non-proportional</v>
          </cell>
          <cell r="S16985">
            <v>-2025.45</v>
          </cell>
          <cell r="X16985" t="str">
            <v>Commissions - gross</v>
          </cell>
          <cell r="Y16985" t="str">
            <v>JAPAN</v>
          </cell>
        </row>
        <row r="16986">
          <cell r="L16986" t="str">
            <v>Non-proportional</v>
          </cell>
          <cell r="S16986">
            <v>547.89</v>
          </cell>
          <cell r="X16986" t="str">
            <v>Commissions - gross</v>
          </cell>
          <cell r="Y16986" t="str">
            <v>JAPAN</v>
          </cell>
        </row>
        <row r="16987">
          <cell r="L16987" t="str">
            <v>Proportional</v>
          </cell>
          <cell r="S16987">
            <v>3325</v>
          </cell>
          <cell r="X16987" t="str">
            <v>Commissions - gross</v>
          </cell>
          <cell r="Y16987" t="str">
            <v>SAUDI ARABIA</v>
          </cell>
        </row>
        <row r="16988">
          <cell r="L16988" t="str">
            <v>Non-proportional</v>
          </cell>
          <cell r="S16988">
            <v>-3675.73</v>
          </cell>
          <cell r="X16988" t="str">
            <v>Commissions - gross</v>
          </cell>
          <cell r="Y16988" t="str">
            <v>UNITED KINGDOM</v>
          </cell>
        </row>
        <row r="16989">
          <cell r="L16989" t="str">
            <v>Non-proportional</v>
          </cell>
          <cell r="S16989">
            <v>-1061.55</v>
          </cell>
          <cell r="X16989" t="str">
            <v>Commissions - gross</v>
          </cell>
          <cell r="Y16989" t="str">
            <v>GERMANY</v>
          </cell>
        </row>
        <row r="16990">
          <cell r="L16990" t="str">
            <v>Non-proportional</v>
          </cell>
          <cell r="S16990">
            <v>-36124.69</v>
          </cell>
          <cell r="X16990" t="str">
            <v>Commissions - gross</v>
          </cell>
          <cell r="Y16990" t="str">
            <v>JAPAN</v>
          </cell>
        </row>
        <row r="16991">
          <cell r="L16991" t="str">
            <v>Non-proportional</v>
          </cell>
          <cell r="S16991">
            <v>-405</v>
          </cell>
          <cell r="X16991" t="str">
            <v>Commissions - gross</v>
          </cell>
          <cell r="Y16991" t="str">
            <v>GERMANY</v>
          </cell>
        </row>
        <row r="16992">
          <cell r="L16992" t="str">
            <v>Non-proportional</v>
          </cell>
          <cell r="S16992">
            <v>4966.09</v>
          </cell>
          <cell r="X16992" t="str">
            <v>Commissions - gross</v>
          </cell>
          <cell r="Y16992" t="str">
            <v>ECUADOR</v>
          </cell>
        </row>
        <row r="16993">
          <cell r="L16993" t="str">
            <v>Non-proportional</v>
          </cell>
          <cell r="S16993">
            <v>8169.5</v>
          </cell>
          <cell r="X16993" t="str">
            <v>Commissions - gross</v>
          </cell>
          <cell r="Y16993" t="str">
            <v>JAPAN</v>
          </cell>
        </row>
        <row r="16994">
          <cell r="L16994" t="str">
            <v>Non-proportional</v>
          </cell>
          <cell r="S16994">
            <v>-65.89</v>
          </cell>
          <cell r="X16994" t="str">
            <v>Commissions - gross</v>
          </cell>
          <cell r="Y16994" t="str">
            <v>ISRAEL</v>
          </cell>
        </row>
        <row r="16995">
          <cell r="L16995" t="str">
            <v>Non-proportional</v>
          </cell>
          <cell r="S16995">
            <v>2179.2199999999998</v>
          </cell>
          <cell r="X16995" t="str">
            <v>Commissions - gross</v>
          </cell>
          <cell r="Y16995" t="str">
            <v>FRANCE</v>
          </cell>
        </row>
        <row r="16996">
          <cell r="L16996" t="str">
            <v>Non-proportional</v>
          </cell>
          <cell r="S16996">
            <v>-181.87</v>
          </cell>
          <cell r="X16996" t="str">
            <v>Commissions - gross</v>
          </cell>
          <cell r="Y16996" t="str">
            <v>ITALY</v>
          </cell>
        </row>
        <row r="16997">
          <cell r="L16997" t="str">
            <v>Non-proportional</v>
          </cell>
          <cell r="S16997">
            <v>-2130.4299999999998</v>
          </cell>
          <cell r="X16997" t="str">
            <v>Commissions - gross</v>
          </cell>
          <cell r="Y16997" t="str">
            <v>JAPAN</v>
          </cell>
        </row>
        <row r="16998">
          <cell r="L16998" t="str">
            <v>Non-proportional</v>
          </cell>
          <cell r="S16998">
            <v>36124.69</v>
          </cell>
          <cell r="X16998" t="str">
            <v>Commissions - gross</v>
          </cell>
          <cell r="Y16998" t="str">
            <v>JAPAN</v>
          </cell>
        </row>
        <row r="16999">
          <cell r="L16999" t="str">
            <v>Non-proportional</v>
          </cell>
          <cell r="S16999">
            <v>275.68</v>
          </cell>
          <cell r="X16999" t="str">
            <v>Commissions - gross</v>
          </cell>
          <cell r="Y16999" t="str">
            <v>ISRAEL</v>
          </cell>
        </row>
        <row r="17000">
          <cell r="L17000" t="str">
            <v>Non-proportional</v>
          </cell>
          <cell r="S17000">
            <v>-599.45000000000005</v>
          </cell>
          <cell r="X17000" t="str">
            <v>Commissions - gross</v>
          </cell>
          <cell r="Y17000" t="str">
            <v>ISRAEL</v>
          </cell>
        </row>
        <row r="17001">
          <cell r="L17001" t="str">
            <v>Non-proportional</v>
          </cell>
          <cell r="S17001">
            <v>-8182.78</v>
          </cell>
          <cell r="X17001" t="str">
            <v>Commissions - gross</v>
          </cell>
          <cell r="Y17001" t="str">
            <v>ECUADOR</v>
          </cell>
        </row>
        <row r="17002">
          <cell r="L17002" t="str">
            <v>Non-proportional</v>
          </cell>
          <cell r="S17002">
            <v>2155.69</v>
          </cell>
          <cell r="X17002" t="str">
            <v>Commissions - gross</v>
          </cell>
          <cell r="Y17002" t="str">
            <v>AUSTRIA</v>
          </cell>
        </row>
        <row r="17003">
          <cell r="L17003" t="str">
            <v>Non-proportional</v>
          </cell>
          <cell r="S17003">
            <v>-1605.54</v>
          </cell>
          <cell r="X17003" t="str">
            <v>Commissions - gross</v>
          </cell>
          <cell r="Y17003" t="str">
            <v>JAPAN</v>
          </cell>
        </row>
        <row r="17004">
          <cell r="L17004" t="str">
            <v>Non-proportional</v>
          </cell>
          <cell r="S17004">
            <v>10289.09</v>
          </cell>
          <cell r="X17004" t="str">
            <v>Commissions - gross</v>
          </cell>
          <cell r="Y17004" t="str">
            <v>CANADA</v>
          </cell>
        </row>
        <row r="17005">
          <cell r="L17005" t="str">
            <v>Non-proportional</v>
          </cell>
          <cell r="S17005">
            <v>2395.5</v>
          </cell>
          <cell r="X17005" t="str">
            <v>Commissions - gross</v>
          </cell>
          <cell r="Y17005" t="str">
            <v>ITALY</v>
          </cell>
        </row>
        <row r="17006">
          <cell r="L17006" t="str">
            <v>Non-proportional</v>
          </cell>
          <cell r="S17006">
            <v>17219.62</v>
          </cell>
          <cell r="X17006" t="str">
            <v>Commissions - gross</v>
          </cell>
          <cell r="Y17006" t="str">
            <v>UNITED KINGDOM</v>
          </cell>
        </row>
        <row r="17007">
          <cell r="L17007" t="str">
            <v>Non-proportional</v>
          </cell>
          <cell r="S17007">
            <v>860.36</v>
          </cell>
          <cell r="X17007" t="str">
            <v>Commissions - gross</v>
          </cell>
          <cell r="Y17007" t="str">
            <v>ECUADOR</v>
          </cell>
        </row>
        <row r="17008">
          <cell r="L17008" t="str">
            <v>Non-proportional</v>
          </cell>
          <cell r="S17008">
            <v>783.94</v>
          </cell>
          <cell r="X17008" t="str">
            <v>Commissions - gross</v>
          </cell>
          <cell r="Y17008" t="str">
            <v>FAROE ISLANDS</v>
          </cell>
        </row>
        <row r="17009">
          <cell r="L17009" t="str">
            <v>Non-proportional</v>
          </cell>
          <cell r="S17009">
            <v>1976.06</v>
          </cell>
          <cell r="X17009" t="str">
            <v>Commissions - gross</v>
          </cell>
          <cell r="Y17009" t="str">
            <v>JAPAN</v>
          </cell>
        </row>
        <row r="17010">
          <cell r="L17010" t="str">
            <v>Non-proportional</v>
          </cell>
          <cell r="S17010">
            <v>13178.48</v>
          </cell>
          <cell r="X17010" t="str">
            <v>Commissions - gross</v>
          </cell>
          <cell r="Y17010" t="str">
            <v>CHILE</v>
          </cell>
        </row>
        <row r="17011">
          <cell r="L17011" t="str">
            <v>Non-proportional</v>
          </cell>
          <cell r="S17011">
            <v>-2331.9299999999998</v>
          </cell>
          <cell r="X17011" t="str">
            <v>Commissions - gross</v>
          </cell>
          <cell r="Y17011" t="str">
            <v>GUATEMALA</v>
          </cell>
        </row>
        <row r="17012">
          <cell r="L17012" t="str">
            <v>Non-proportional</v>
          </cell>
          <cell r="S17012">
            <v>-1223.05</v>
          </cell>
          <cell r="X17012" t="str">
            <v>Commissions - gross</v>
          </cell>
          <cell r="Y17012" t="str">
            <v>ECUADOR</v>
          </cell>
        </row>
        <row r="17013">
          <cell r="L17013" t="str">
            <v>Non-proportional</v>
          </cell>
          <cell r="S17013">
            <v>1325.94</v>
          </cell>
          <cell r="X17013" t="str">
            <v>Commissions - gross</v>
          </cell>
          <cell r="Y17013" t="str">
            <v>GERMANY</v>
          </cell>
        </row>
        <row r="17014">
          <cell r="L17014" t="str">
            <v>Non-proportional</v>
          </cell>
          <cell r="S17014">
            <v>39279.43</v>
          </cell>
          <cell r="X17014" t="str">
            <v>Commissions - gross</v>
          </cell>
          <cell r="Y17014" t="str">
            <v>HONG KONG</v>
          </cell>
        </row>
        <row r="17015">
          <cell r="L17015" t="str">
            <v>Non-proportional</v>
          </cell>
          <cell r="S17015">
            <v>-548.39</v>
          </cell>
          <cell r="X17015" t="str">
            <v>Commissions - gross</v>
          </cell>
          <cell r="Y17015" t="str">
            <v>ISRAEL</v>
          </cell>
        </row>
        <row r="17016">
          <cell r="L17016" t="str">
            <v>Non-proportional</v>
          </cell>
          <cell r="S17016">
            <v>-186.16</v>
          </cell>
          <cell r="X17016" t="str">
            <v>Commissions - gross</v>
          </cell>
          <cell r="Y17016" t="str">
            <v>ISRAEL</v>
          </cell>
        </row>
        <row r="17017">
          <cell r="L17017" t="str">
            <v>Non-proportional</v>
          </cell>
          <cell r="S17017">
            <v>-9213.75</v>
          </cell>
          <cell r="X17017" t="str">
            <v>Commissions - gross</v>
          </cell>
          <cell r="Y17017" t="str">
            <v>TURKEY</v>
          </cell>
        </row>
        <row r="17018">
          <cell r="L17018" t="str">
            <v>Non-proportional</v>
          </cell>
          <cell r="S17018">
            <v>-115.43</v>
          </cell>
          <cell r="X17018" t="str">
            <v>Commissions - gross</v>
          </cell>
          <cell r="Y17018" t="str">
            <v>ITALY</v>
          </cell>
        </row>
        <row r="17019">
          <cell r="L17019" t="str">
            <v>Non-proportional</v>
          </cell>
          <cell r="S17019">
            <v>6392.12</v>
          </cell>
          <cell r="X17019" t="str">
            <v>Commissions - gross</v>
          </cell>
          <cell r="Y17019" t="str">
            <v>NEW ZEALAND</v>
          </cell>
        </row>
        <row r="17020">
          <cell r="L17020" t="str">
            <v>Non-proportional</v>
          </cell>
          <cell r="S17020">
            <v>-624.73</v>
          </cell>
          <cell r="X17020" t="str">
            <v>Commissions - gross</v>
          </cell>
          <cell r="Y17020" t="str">
            <v>ITALY</v>
          </cell>
        </row>
        <row r="17021">
          <cell r="L17021" t="str">
            <v>Non-proportional</v>
          </cell>
          <cell r="S17021">
            <v>-7348.44</v>
          </cell>
          <cell r="X17021" t="str">
            <v>Commissions - gross</v>
          </cell>
          <cell r="Y17021" t="str">
            <v>JAPAN</v>
          </cell>
        </row>
        <row r="17022">
          <cell r="L17022" t="str">
            <v>Non-proportional</v>
          </cell>
          <cell r="S17022">
            <v>-2057.56</v>
          </cell>
          <cell r="X17022" t="str">
            <v>Commissions - gross</v>
          </cell>
          <cell r="Y17022" t="str">
            <v>JAPAN</v>
          </cell>
        </row>
        <row r="17023">
          <cell r="L17023" t="str">
            <v>Non-proportional</v>
          </cell>
          <cell r="S17023">
            <v>2057.56</v>
          </cell>
          <cell r="X17023" t="str">
            <v>Commissions - gross</v>
          </cell>
          <cell r="Y17023" t="str">
            <v>JAPAN</v>
          </cell>
        </row>
        <row r="17024">
          <cell r="L17024" t="str">
            <v>Non-proportional</v>
          </cell>
          <cell r="S17024">
            <v>-20170.52</v>
          </cell>
          <cell r="X17024" t="str">
            <v>Commissions - gross</v>
          </cell>
          <cell r="Y17024" t="str">
            <v>HONG KONG</v>
          </cell>
        </row>
        <row r="17025">
          <cell r="L17025" t="str">
            <v>Non-proportional</v>
          </cell>
          <cell r="S17025">
            <v>-1302.96</v>
          </cell>
          <cell r="X17025" t="str">
            <v>Commissions - gross</v>
          </cell>
          <cell r="Y17025" t="str">
            <v>JAPAN</v>
          </cell>
        </row>
        <row r="17026">
          <cell r="L17026" t="str">
            <v>Non-proportional</v>
          </cell>
          <cell r="S17026">
            <v>-253.11</v>
          </cell>
          <cell r="X17026" t="str">
            <v>Commissions - gross</v>
          </cell>
          <cell r="Y17026" t="str">
            <v>ITALY</v>
          </cell>
        </row>
        <row r="17027">
          <cell r="L17027" t="str">
            <v>Non-proportional</v>
          </cell>
          <cell r="S17027">
            <v>477.32</v>
          </cell>
          <cell r="X17027" t="str">
            <v>Commissions - gross</v>
          </cell>
          <cell r="Y17027" t="str">
            <v>PERU</v>
          </cell>
        </row>
        <row r="17028">
          <cell r="L17028" t="str">
            <v>Non-proportional</v>
          </cell>
          <cell r="S17028">
            <v>-4806.3599999999997</v>
          </cell>
          <cell r="X17028" t="str">
            <v>Commissions - gross</v>
          </cell>
          <cell r="Y17028" t="str">
            <v>GUATEMALA</v>
          </cell>
        </row>
        <row r="17029">
          <cell r="L17029" t="str">
            <v>Proportional</v>
          </cell>
          <cell r="S17029">
            <v>293.87</v>
          </cell>
          <cell r="X17029" t="str">
            <v>Commissions - gross</v>
          </cell>
          <cell r="Y17029" t="str">
            <v>UNITED STATES</v>
          </cell>
        </row>
        <row r="17030">
          <cell r="L17030" t="str">
            <v>Non-proportional</v>
          </cell>
          <cell r="S17030">
            <v>-99.21</v>
          </cell>
          <cell r="X17030" t="str">
            <v>Commissions - gross</v>
          </cell>
          <cell r="Y17030" t="str">
            <v>CYPRUS</v>
          </cell>
        </row>
        <row r="17031">
          <cell r="L17031" t="str">
            <v>Non-proportional</v>
          </cell>
          <cell r="S17031">
            <v>-4966.09</v>
          </cell>
          <cell r="X17031" t="str">
            <v>Commissions - gross</v>
          </cell>
          <cell r="Y17031" t="str">
            <v>ECUADOR</v>
          </cell>
        </row>
        <row r="17032">
          <cell r="L17032" t="str">
            <v>Non-proportional</v>
          </cell>
          <cell r="S17032">
            <v>-1952.17</v>
          </cell>
          <cell r="X17032" t="str">
            <v>Commissions - gross</v>
          </cell>
          <cell r="Y17032" t="str">
            <v>NEW ZEALAND</v>
          </cell>
        </row>
        <row r="17033">
          <cell r="L17033" t="str">
            <v>Non-proportional</v>
          </cell>
          <cell r="S17033">
            <v>-5618</v>
          </cell>
          <cell r="X17033" t="str">
            <v>Commissions - gross</v>
          </cell>
          <cell r="Y17033" t="str">
            <v>ITALY</v>
          </cell>
        </row>
        <row r="17034">
          <cell r="L17034" t="str">
            <v>Non-proportional</v>
          </cell>
          <cell r="S17034">
            <v>671.86</v>
          </cell>
          <cell r="X17034" t="str">
            <v>Commissions - gross</v>
          </cell>
          <cell r="Y17034" t="str">
            <v>JAPAN</v>
          </cell>
        </row>
        <row r="17035">
          <cell r="L17035" t="str">
            <v>Non-proportional</v>
          </cell>
          <cell r="S17035">
            <v>3478.62</v>
          </cell>
          <cell r="X17035" t="str">
            <v>Commissions - gross</v>
          </cell>
          <cell r="Y17035" t="str">
            <v>JAPAN</v>
          </cell>
        </row>
        <row r="17036">
          <cell r="L17036" t="str">
            <v>Non-proportional</v>
          </cell>
          <cell r="S17036">
            <v>4279.33</v>
          </cell>
          <cell r="X17036" t="str">
            <v>Commissions - gross</v>
          </cell>
          <cell r="Y17036" t="str">
            <v>JAPAN</v>
          </cell>
        </row>
        <row r="17037">
          <cell r="L17037" t="str">
            <v>Non-proportional</v>
          </cell>
          <cell r="S17037">
            <v>-422.15</v>
          </cell>
          <cell r="X17037" t="str">
            <v>Commissions - gross</v>
          </cell>
          <cell r="Y17037" t="str">
            <v>FRANCE</v>
          </cell>
        </row>
        <row r="17038">
          <cell r="L17038" t="str">
            <v>Non-proportional</v>
          </cell>
          <cell r="S17038">
            <v>44182.14</v>
          </cell>
          <cell r="X17038" t="str">
            <v>Commissions - gross</v>
          </cell>
          <cell r="Y17038" t="str">
            <v>AUSTRALIA</v>
          </cell>
        </row>
        <row r="17039">
          <cell r="L17039" t="str">
            <v>Non-proportional</v>
          </cell>
          <cell r="S17039">
            <v>-874.24</v>
          </cell>
          <cell r="X17039" t="str">
            <v>Commissions - gross</v>
          </cell>
          <cell r="Y17039" t="str">
            <v>ISRAEL</v>
          </cell>
        </row>
        <row r="17040">
          <cell r="L17040" t="str">
            <v>Non-proportional</v>
          </cell>
          <cell r="S17040">
            <v>8010.59</v>
          </cell>
          <cell r="X17040" t="str">
            <v>Commissions - gross</v>
          </cell>
          <cell r="Y17040" t="str">
            <v>GUATEMALA</v>
          </cell>
        </row>
        <row r="17041">
          <cell r="L17041" t="str">
            <v>Non-proportional</v>
          </cell>
          <cell r="S17041">
            <v>-1974.8</v>
          </cell>
          <cell r="X17041" t="str">
            <v>Commissions - gross</v>
          </cell>
          <cell r="Y17041" t="str">
            <v>ITALY</v>
          </cell>
        </row>
        <row r="17042">
          <cell r="L17042" t="str">
            <v>Non-proportional</v>
          </cell>
          <cell r="S17042">
            <v>5115.05</v>
          </cell>
          <cell r="X17042" t="str">
            <v>Commissions - gross</v>
          </cell>
          <cell r="Y17042" t="str">
            <v>ITALY</v>
          </cell>
        </row>
        <row r="17043">
          <cell r="L17043" t="str">
            <v>Non-proportional</v>
          </cell>
          <cell r="S17043">
            <v>-1130.45</v>
          </cell>
          <cell r="X17043" t="str">
            <v>Commissions - gross</v>
          </cell>
          <cell r="Y17043" t="str">
            <v>CYPRUS</v>
          </cell>
        </row>
        <row r="17044">
          <cell r="L17044" t="str">
            <v>Non-proportional</v>
          </cell>
          <cell r="S17044">
            <v>2057.56</v>
          </cell>
          <cell r="X17044" t="str">
            <v>Commissions - gross</v>
          </cell>
          <cell r="Y17044" t="str">
            <v>JAPAN</v>
          </cell>
        </row>
        <row r="17045">
          <cell r="L17045" t="str">
            <v>Non-proportional</v>
          </cell>
          <cell r="S17045">
            <v>-17219.62</v>
          </cell>
          <cell r="X17045" t="str">
            <v>Commissions - gross</v>
          </cell>
          <cell r="Y17045" t="str">
            <v>UNITED KINGDOM</v>
          </cell>
        </row>
        <row r="17046">
          <cell r="L17046" t="str">
            <v>Non-proportional</v>
          </cell>
          <cell r="S17046">
            <v>100.4</v>
          </cell>
          <cell r="X17046" t="str">
            <v>Commissions - gross</v>
          </cell>
          <cell r="Y17046" t="str">
            <v>ISRAEL</v>
          </cell>
        </row>
        <row r="17047">
          <cell r="L17047" t="str">
            <v>Non-proportional</v>
          </cell>
          <cell r="S17047">
            <v>-356.83</v>
          </cell>
          <cell r="X17047" t="str">
            <v>Commissions - gross</v>
          </cell>
          <cell r="Y17047" t="str">
            <v>CYPRUS</v>
          </cell>
        </row>
        <row r="17048">
          <cell r="L17048" t="str">
            <v>Non-proportional</v>
          </cell>
          <cell r="S17048">
            <v>-71.64</v>
          </cell>
          <cell r="X17048" t="str">
            <v>Commissions - gross</v>
          </cell>
          <cell r="Y17048" t="str">
            <v>FRANCE</v>
          </cell>
        </row>
        <row r="17049">
          <cell r="L17049" t="str">
            <v>Non-proportional</v>
          </cell>
          <cell r="S17049">
            <v>1028.81</v>
          </cell>
          <cell r="X17049" t="str">
            <v>Commissions - gross</v>
          </cell>
          <cell r="Y17049" t="str">
            <v>SOUTH AFRICA</v>
          </cell>
        </row>
        <row r="17050">
          <cell r="L17050" t="str">
            <v>Non-proportional</v>
          </cell>
          <cell r="S17050">
            <v>2637.98</v>
          </cell>
          <cell r="X17050" t="str">
            <v>Commissions - gross</v>
          </cell>
          <cell r="Y17050" t="str">
            <v>COLOMBIA</v>
          </cell>
        </row>
        <row r="17051">
          <cell r="L17051" t="str">
            <v>Non-proportional</v>
          </cell>
          <cell r="S17051">
            <v>917.54</v>
          </cell>
          <cell r="X17051" t="str">
            <v>Commissions - gross</v>
          </cell>
          <cell r="Y17051" t="str">
            <v>GERMANY</v>
          </cell>
        </row>
        <row r="17052">
          <cell r="L17052" t="str">
            <v>Non-proportional</v>
          </cell>
          <cell r="S17052">
            <v>2425.48</v>
          </cell>
          <cell r="X17052" t="str">
            <v>Commissions - gross</v>
          </cell>
          <cell r="Y17052" t="str">
            <v>EUROPE</v>
          </cell>
        </row>
        <row r="17053">
          <cell r="L17053" t="str">
            <v>Non-proportional</v>
          </cell>
          <cell r="S17053">
            <v>519.32000000000005</v>
          </cell>
          <cell r="X17053" t="str">
            <v>Commissions - gross</v>
          </cell>
          <cell r="Y17053" t="str">
            <v>DENMARK</v>
          </cell>
        </row>
        <row r="17054">
          <cell r="L17054" t="str">
            <v>Non-proportional</v>
          </cell>
          <cell r="S17054">
            <v>1613.39</v>
          </cell>
          <cell r="X17054" t="str">
            <v>Commissions - gross</v>
          </cell>
          <cell r="Y17054" t="str">
            <v>PUERTO RICO</v>
          </cell>
        </row>
        <row r="17055">
          <cell r="L17055" t="str">
            <v>Non-proportional</v>
          </cell>
          <cell r="S17055">
            <v>159.21</v>
          </cell>
          <cell r="X17055" t="str">
            <v>Commissions - gross</v>
          </cell>
          <cell r="Y17055" t="str">
            <v>ISRAEL</v>
          </cell>
        </row>
        <row r="17056">
          <cell r="L17056" t="str">
            <v>Non-proportional</v>
          </cell>
          <cell r="S17056">
            <v>6189.98</v>
          </cell>
          <cell r="X17056" t="str">
            <v>Commissions - gross</v>
          </cell>
          <cell r="Y17056" t="str">
            <v>JAPAN</v>
          </cell>
        </row>
        <row r="17057">
          <cell r="L17057" t="str">
            <v>Proportional</v>
          </cell>
          <cell r="S17057">
            <v>1.1399999999999999</v>
          </cell>
          <cell r="X17057" t="str">
            <v>Commissions - gross</v>
          </cell>
          <cell r="Y17057" t="str">
            <v>JAPAN</v>
          </cell>
        </row>
        <row r="17058">
          <cell r="L17058" t="str">
            <v>Non-proportional</v>
          </cell>
          <cell r="S17058">
            <v>9626.7900000000009</v>
          </cell>
          <cell r="X17058" t="str">
            <v>Commissions - gross</v>
          </cell>
          <cell r="Y17058" t="str">
            <v>ECUADOR</v>
          </cell>
        </row>
        <row r="17059">
          <cell r="L17059" t="str">
            <v>Non-proportional</v>
          </cell>
          <cell r="S17059">
            <v>781</v>
          </cell>
          <cell r="X17059" t="str">
            <v>Commissions - gross</v>
          </cell>
          <cell r="Y17059" t="str">
            <v>GREECE</v>
          </cell>
        </row>
        <row r="17060">
          <cell r="L17060" t="str">
            <v>Non-proportional</v>
          </cell>
          <cell r="S17060">
            <v>502.72</v>
          </cell>
          <cell r="X17060" t="str">
            <v>Commissions - gross</v>
          </cell>
          <cell r="Y17060" t="str">
            <v>CYPRUS</v>
          </cell>
        </row>
        <row r="17061">
          <cell r="L17061" t="str">
            <v>Non-proportional</v>
          </cell>
          <cell r="S17061">
            <v>547.89</v>
          </cell>
          <cell r="X17061" t="str">
            <v>Commissions - gross</v>
          </cell>
          <cell r="Y17061" t="str">
            <v>JAPAN</v>
          </cell>
        </row>
        <row r="17062">
          <cell r="L17062" t="str">
            <v>Non-proportional</v>
          </cell>
          <cell r="S17062">
            <v>6429.78</v>
          </cell>
          <cell r="X17062" t="str">
            <v>Commissions - gross</v>
          </cell>
          <cell r="Y17062" t="str">
            <v>ECUADOR</v>
          </cell>
        </row>
        <row r="17063">
          <cell r="L17063" t="str">
            <v>Non-proportional</v>
          </cell>
          <cell r="S17063">
            <v>-1036.8800000000001</v>
          </cell>
          <cell r="X17063" t="str">
            <v>Commissions - gross</v>
          </cell>
          <cell r="Y17063" t="str">
            <v>ECUADOR</v>
          </cell>
        </row>
        <row r="17064">
          <cell r="L17064" t="str">
            <v>Non-proportional</v>
          </cell>
          <cell r="S17064">
            <v>1419.68</v>
          </cell>
          <cell r="X17064" t="str">
            <v>Commissions - gross</v>
          </cell>
          <cell r="Y17064" t="str">
            <v>FRANCE</v>
          </cell>
        </row>
        <row r="17065">
          <cell r="L17065" t="str">
            <v>Non-proportional</v>
          </cell>
          <cell r="S17065">
            <v>143.25</v>
          </cell>
          <cell r="X17065" t="str">
            <v>Commissions - gross</v>
          </cell>
          <cell r="Y17065" t="str">
            <v>CYPRUS</v>
          </cell>
        </row>
        <row r="17066">
          <cell r="L17066" t="str">
            <v>Non-proportional</v>
          </cell>
          <cell r="S17066">
            <v>2199.9</v>
          </cell>
          <cell r="X17066" t="str">
            <v>Commissions - gross</v>
          </cell>
          <cell r="Y17066" t="str">
            <v>JAPAN</v>
          </cell>
        </row>
        <row r="17067">
          <cell r="L17067" t="str">
            <v>Non-proportional</v>
          </cell>
          <cell r="S17067">
            <v>1605.54</v>
          </cell>
          <cell r="X17067" t="str">
            <v>Commissions - gross</v>
          </cell>
          <cell r="Y17067" t="str">
            <v>JAPAN</v>
          </cell>
        </row>
        <row r="17068">
          <cell r="L17068" t="str">
            <v>Non-proportional</v>
          </cell>
          <cell r="S17068">
            <v>671.86</v>
          </cell>
          <cell r="X17068" t="str">
            <v>Commissions - gross</v>
          </cell>
          <cell r="Y17068" t="str">
            <v>JAPAN</v>
          </cell>
        </row>
        <row r="17069">
          <cell r="L17069" t="str">
            <v>Proportional</v>
          </cell>
          <cell r="S17069">
            <v>51.64</v>
          </cell>
          <cell r="X17069" t="str">
            <v>Commissions - gross</v>
          </cell>
          <cell r="Y17069" t="str">
            <v>UNITED STATES</v>
          </cell>
        </row>
        <row r="17070">
          <cell r="L17070" t="str">
            <v>Non-proportional</v>
          </cell>
          <cell r="S17070">
            <v>-1015</v>
          </cell>
          <cell r="X17070" t="str">
            <v>Commissions - gross</v>
          </cell>
          <cell r="Y17070" t="str">
            <v>GERMANY</v>
          </cell>
        </row>
        <row r="17071">
          <cell r="L17071" t="str">
            <v>Non-proportional</v>
          </cell>
          <cell r="S17071">
            <v>20963.43</v>
          </cell>
          <cell r="X17071" t="str">
            <v>Commissions - gross</v>
          </cell>
          <cell r="Y17071" t="str">
            <v>JAPAN</v>
          </cell>
        </row>
        <row r="17072">
          <cell r="L17072" t="str">
            <v>Non-proportional</v>
          </cell>
          <cell r="S17072">
            <v>-930.44</v>
          </cell>
          <cell r="X17072" t="str">
            <v>Commissions - gross</v>
          </cell>
          <cell r="Y17072" t="str">
            <v>JAPAN</v>
          </cell>
        </row>
        <row r="17073">
          <cell r="L17073" t="str">
            <v>Non-proportional</v>
          </cell>
          <cell r="S17073">
            <v>1154.75</v>
          </cell>
          <cell r="X17073" t="str">
            <v>Commissions - gross</v>
          </cell>
          <cell r="Y17073" t="str">
            <v>JAPAN</v>
          </cell>
        </row>
        <row r="17074">
          <cell r="L17074" t="str">
            <v>Non-proportional</v>
          </cell>
          <cell r="S17074">
            <v>92.78</v>
          </cell>
          <cell r="X17074" t="str">
            <v>Commissions - gross</v>
          </cell>
          <cell r="Y17074" t="str">
            <v>ISRAEL</v>
          </cell>
        </row>
        <row r="17075">
          <cell r="L17075" t="str">
            <v>Non-proportional</v>
          </cell>
          <cell r="S17075">
            <v>1543.78</v>
          </cell>
          <cell r="X17075" t="str">
            <v>Commissions - gross</v>
          </cell>
          <cell r="Y17075" t="str">
            <v>JAPAN</v>
          </cell>
        </row>
        <row r="17076">
          <cell r="L17076" t="str">
            <v>Non-proportional</v>
          </cell>
          <cell r="S17076">
            <v>-2443.84</v>
          </cell>
          <cell r="X17076" t="str">
            <v>Commissions - gross</v>
          </cell>
          <cell r="Y17076" t="str">
            <v>ECUADOR</v>
          </cell>
        </row>
        <row r="17077">
          <cell r="L17077" t="str">
            <v>Non-proportional</v>
          </cell>
          <cell r="S17077">
            <v>-146.26</v>
          </cell>
          <cell r="X17077" t="str">
            <v>Commissions - gross</v>
          </cell>
          <cell r="Y17077" t="str">
            <v>ISRAEL</v>
          </cell>
        </row>
        <row r="17078">
          <cell r="L17078" t="str">
            <v>Non-proportional</v>
          </cell>
          <cell r="S17078">
            <v>-450.14</v>
          </cell>
          <cell r="X17078" t="str">
            <v>Commissions - gross</v>
          </cell>
          <cell r="Y17078" t="str">
            <v>GERMANY</v>
          </cell>
        </row>
        <row r="17079">
          <cell r="L17079" t="str">
            <v>Non-proportional</v>
          </cell>
          <cell r="S17079">
            <v>109.2</v>
          </cell>
          <cell r="X17079" t="str">
            <v>Commissions - gross</v>
          </cell>
          <cell r="Y17079" t="str">
            <v>FRANCE</v>
          </cell>
        </row>
        <row r="17080">
          <cell r="L17080" t="str">
            <v>Non-proportional</v>
          </cell>
          <cell r="S17080">
            <v>203.93</v>
          </cell>
          <cell r="X17080" t="str">
            <v>Commissions - gross</v>
          </cell>
          <cell r="Y17080" t="str">
            <v>ISRAEL</v>
          </cell>
        </row>
        <row r="17081">
          <cell r="L17081" t="str">
            <v>Non-proportional</v>
          </cell>
          <cell r="S17081">
            <v>-3527.22</v>
          </cell>
          <cell r="X17081" t="str">
            <v>Commissions - gross</v>
          </cell>
          <cell r="Y17081" t="str">
            <v>SOUTH AFRICA</v>
          </cell>
        </row>
        <row r="17082">
          <cell r="L17082" t="str">
            <v>Non-proportional</v>
          </cell>
          <cell r="S17082">
            <v>-21352.48</v>
          </cell>
          <cell r="X17082" t="str">
            <v>Commissions - gross</v>
          </cell>
          <cell r="Y17082" t="str">
            <v>UNITED KINGDOM</v>
          </cell>
        </row>
        <row r="17083">
          <cell r="L17083" t="str">
            <v>Non-proportional</v>
          </cell>
          <cell r="S17083">
            <v>-2799</v>
          </cell>
          <cell r="X17083" t="str">
            <v>Commissions - gross</v>
          </cell>
          <cell r="Y17083" t="str">
            <v>AUSTRIA</v>
          </cell>
        </row>
        <row r="17084">
          <cell r="L17084" t="str">
            <v>Non-proportional</v>
          </cell>
          <cell r="S17084">
            <v>-527.67999999999995</v>
          </cell>
          <cell r="X17084" t="str">
            <v>Commissions - gross</v>
          </cell>
          <cell r="Y17084" t="str">
            <v>FRANCE</v>
          </cell>
        </row>
        <row r="17085">
          <cell r="L17085" t="str">
            <v>Non-proportional</v>
          </cell>
          <cell r="S17085">
            <v>-258.77</v>
          </cell>
          <cell r="X17085" t="str">
            <v>Commissions - gross</v>
          </cell>
          <cell r="Y17085" t="str">
            <v>ISRAEL</v>
          </cell>
        </row>
        <row r="17086">
          <cell r="L17086" t="str">
            <v>Non-proportional</v>
          </cell>
          <cell r="S17086">
            <v>19760.41</v>
          </cell>
          <cell r="X17086" t="str">
            <v>Commissions - gross</v>
          </cell>
          <cell r="Y17086" t="str">
            <v>UNITED KINGDOM</v>
          </cell>
        </row>
        <row r="17087">
          <cell r="L17087" t="str">
            <v>Non-proportional</v>
          </cell>
          <cell r="S17087">
            <v>-13178.48</v>
          </cell>
          <cell r="X17087" t="str">
            <v>Commissions - gross</v>
          </cell>
          <cell r="Y17087" t="str">
            <v>CHILE</v>
          </cell>
        </row>
        <row r="17088">
          <cell r="L17088" t="str">
            <v>Non-proportional</v>
          </cell>
          <cell r="S17088">
            <v>1223.05</v>
          </cell>
          <cell r="X17088" t="str">
            <v>Commissions - gross</v>
          </cell>
          <cell r="Y17088" t="str">
            <v>ECUADOR</v>
          </cell>
        </row>
        <row r="17089">
          <cell r="L17089" t="str">
            <v>Proportional</v>
          </cell>
          <cell r="S17089">
            <v>3500</v>
          </cell>
          <cell r="X17089" t="str">
            <v>Commissions - gross</v>
          </cell>
          <cell r="Y17089" t="str">
            <v>SAUDI ARABIA</v>
          </cell>
        </row>
        <row r="17090">
          <cell r="L17090" t="str">
            <v>Non-proportional</v>
          </cell>
          <cell r="S17090">
            <v>-6400</v>
          </cell>
          <cell r="X17090" t="str">
            <v>Commissions - gross</v>
          </cell>
          <cell r="Y17090" t="str">
            <v>ITALY</v>
          </cell>
        </row>
        <row r="17091">
          <cell r="L17091" t="str">
            <v>Non-proportional</v>
          </cell>
          <cell r="S17091">
            <v>-1925.72</v>
          </cell>
          <cell r="X17091" t="str">
            <v>Commissions - gross</v>
          </cell>
          <cell r="Y17091" t="str">
            <v>JAPAN</v>
          </cell>
        </row>
        <row r="17092">
          <cell r="L17092" t="str">
            <v>Non-proportional</v>
          </cell>
          <cell r="S17092">
            <v>-748.82</v>
          </cell>
          <cell r="X17092" t="str">
            <v>Commissions - gross</v>
          </cell>
          <cell r="Y17092" t="str">
            <v>DENMARK</v>
          </cell>
        </row>
        <row r="17093">
          <cell r="L17093" t="str">
            <v>Non-proportional</v>
          </cell>
          <cell r="S17093">
            <v>-2011.02</v>
          </cell>
          <cell r="X17093" t="str">
            <v>Commissions - gross</v>
          </cell>
          <cell r="Y17093" t="str">
            <v>ITALY</v>
          </cell>
        </row>
        <row r="17094">
          <cell r="L17094" t="str">
            <v>Non-proportional</v>
          </cell>
          <cell r="S17094">
            <v>-85.47</v>
          </cell>
          <cell r="X17094" t="str">
            <v>Commissions - gross</v>
          </cell>
          <cell r="Y17094" t="str">
            <v>GERMANY</v>
          </cell>
        </row>
        <row r="17095">
          <cell r="L17095" t="str">
            <v>Non-proportional</v>
          </cell>
          <cell r="S17095">
            <v>8662.5</v>
          </cell>
          <cell r="X17095" t="str">
            <v>Commissions - gross</v>
          </cell>
          <cell r="Y17095" t="str">
            <v>FRANCE</v>
          </cell>
        </row>
        <row r="17096">
          <cell r="L17096" t="str">
            <v>Non-proportional</v>
          </cell>
          <cell r="S17096">
            <v>278.81</v>
          </cell>
          <cell r="X17096" t="str">
            <v>Commissions - gross</v>
          </cell>
          <cell r="Y17096" t="str">
            <v>JAPAN</v>
          </cell>
        </row>
        <row r="17097">
          <cell r="L17097" t="str">
            <v>Non-proportional</v>
          </cell>
          <cell r="S17097">
            <v>2625.99</v>
          </cell>
          <cell r="X17097" t="str">
            <v>Commissions - gross</v>
          </cell>
          <cell r="Y17097" t="str">
            <v>JAPAN</v>
          </cell>
        </row>
        <row r="17098">
          <cell r="L17098" t="str">
            <v>Non-proportional</v>
          </cell>
          <cell r="S17098">
            <v>1605.54</v>
          </cell>
          <cell r="X17098" t="str">
            <v>Commissions - gross</v>
          </cell>
          <cell r="Y17098" t="str">
            <v>JAPAN</v>
          </cell>
        </row>
        <row r="17099">
          <cell r="L17099" t="str">
            <v>Non-proportional</v>
          </cell>
          <cell r="S17099">
            <v>874.24</v>
          </cell>
          <cell r="X17099" t="str">
            <v>Commissions - gross</v>
          </cell>
          <cell r="Y17099" t="str">
            <v>ISRAEL</v>
          </cell>
        </row>
        <row r="17100">
          <cell r="L17100" t="str">
            <v>Proportional</v>
          </cell>
          <cell r="S17100">
            <v>5889.26</v>
          </cell>
          <cell r="X17100" t="str">
            <v>Commissions - gross</v>
          </cell>
          <cell r="Y17100" t="str">
            <v>UNITED KINGDOM</v>
          </cell>
        </row>
        <row r="17101">
          <cell r="L17101" t="str">
            <v>Non-proportional</v>
          </cell>
          <cell r="S17101">
            <v>1036.8800000000001</v>
          </cell>
          <cell r="X17101" t="str">
            <v>Commissions - gross</v>
          </cell>
          <cell r="Y17101" t="str">
            <v>ECUADOR</v>
          </cell>
        </row>
        <row r="17102">
          <cell r="L17102" t="str">
            <v>Non-proportional</v>
          </cell>
          <cell r="S17102">
            <v>-277.02</v>
          </cell>
          <cell r="X17102" t="str">
            <v>Commissions - gross</v>
          </cell>
          <cell r="Y17102" t="str">
            <v>EUROPE</v>
          </cell>
        </row>
        <row r="17103">
          <cell r="L17103" t="str">
            <v>Non-proportional</v>
          </cell>
          <cell r="S17103">
            <v>1778.45</v>
          </cell>
          <cell r="X17103" t="str">
            <v>Commissions - gross</v>
          </cell>
          <cell r="Y17103" t="str">
            <v>JAPAN</v>
          </cell>
        </row>
        <row r="17104">
          <cell r="L17104" t="str">
            <v>Non-proportional</v>
          </cell>
          <cell r="S17104">
            <v>-1154.75</v>
          </cell>
          <cell r="X17104" t="str">
            <v>Commissions - gross</v>
          </cell>
          <cell r="Y17104" t="str">
            <v>JAPAN</v>
          </cell>
        </row>
        <row r="17105">
          <cell r="L17105" t="str">
            <v>Non-proportional</v>
          </cell>
          <cell r="S17105">
            <v>186.16</v>
          </cell>
          <cell r="X17105" t="str">
            <v>Commissions - gross</v>
          </cell>
          <cell r="Y17105" t="str">
            <v>ISRAEL</v>
          </cell>
        </row>
        <row r="17106">
          <cell r="L17106" t="str">
            <v>Non-proportional</v>
          </cell>
          <cell r="S17106">
            <v>-2483.61</v>
          </cell>
          <cell r="X17106" t="str">
            <v>Commissions - gross</v>
          </cell>
          <cell r="Y17106" t="str">
            <v>UNITED KINGDOM</v>
          </cell>
        </row>
        <row r="17107">
          <cell r="L17107" t="str">
            <v>Non-proportional</v>
          </cell>
          <cell r="S17107">
            <v>-1015</v>
          </cell>
          <cell r="X17107" t="str">
            <v>Commissions - gross</v>
          </cell>
          <cell r="Y17107" t="str">
            <v>GERMANY</v>
          </cell>
        </row>
        <row r="17108">
          <cell r="L17108" t="str">
            <v>Non-proportional</v>
          </cell>
          <cell r="S17108">
            <v>-126820.19</v>
          </cell>
          <cell r="X17108" t="str">
            <v>Commissions - gross</v>
          </cell>
          <cell r="Y17108" t="str">
            <v>HONG KONG</v>
          </cell>
        </row>
        <row r="17109">
          <cell r="L17109" t="str">
            <v>Proportional</v>
          </cell>
          <cell r="S17109">
            <v>1518.53</v>
          </cell>
          <cell r="X17109" t="str">
            <v>Commissions - gross</v>
          </cell>
          <cell r="Y17109" t="str">
            <v>UNITED STATES</v>
          </cell>
        </row>
        <row r="17110">
          <cell r="L17110" t="str">
            <v>Non-proportional</v>
          </cell>
          <cell r="S17110">
            <v>2722.52</v>
          </cell>
          <cell r="X17110" t="str">
            <v>Commissions - gross</v>
          </cell>
          <cell r="Y17110" t="str">
            <v>ECUADOR</v>
          </cell>
        </row>
        <row r="17111">
          <cell r="L17111" t="str">
            <v>Non-proportional</v>
          </cell>
          <cell r="S17111">
            <v>-3137.9</v>
          </cell>
          <cell r="X17111" t="str">
            <v>Commissions - gross</v>
          </cell>
          <cell r="Y17111" t="str">
            <v>ECUADOR</v>
          </cell>
        </row>
        <row r="17112">
          <cell r="L17112" t="str">
            <v>Non-proportional</v>
          </cell>
          <cell r="S17112">
            <v>-450.02</v>
          </cell>
          <cell r="X17112" t="str">
            <v>Commissions - gross</v>
          </cell>
          <cell r="Y17112" t="str">
            <v>GERMANY</v>
          </cell>
        </row>
        <row r="17113">
          <cell r="L17113" t="str">
            <v>Non-proportional</v>
          </cell>
          <cell r="S17113">
            <v>-12825</v>
          </cell>
          <cell r="X17113" t="str">
            <v>Commissions - gross</v>
          </cell>
          <cell r="Y17113" t="str">
            <v>EUROPE</v>
          </cell>
        </row>
        <row r="17114">
          <cell r="L17114" t="str">
            <v>Proportional</v>
          </cell>
          <cell r="S17114">
            <v>-40.31</v>
          </cell>
          <cell r="X17114" t="str">
            <v>Commissions - gross</v>
          </cell>
          <cell r="Y17114" t="str">
            <v>UNITED STATES</v>
          </cell>
        </row>
        <row r="17115">
          <cell r="L17115" t="str">
            <v>Non-proportional</v>
          </cell>
          <cell r="S17115">
            <v>23999.82</v>
          </cell>
          <cell r="X17115" t="str">
            <v>Commissions - gross</v>
          </cell>
          <cell r="Y17115" t="str">
            <v>FRANCE</v>
          </cell>
        </row>
        <row r="17116">
          <cell r="L17116" t="str">
            <v>Non-proportional</v>
          </cell>
          <cell r="S17116">
            <v>-523.76</v>
          </cell>
          <cell r="X17116" t="str">
            <v>Commissions - gross</v>
          </cell>
          <cell r="Y17116" t="str">
            <v>NEW ZEALAND</v>
          </cell>
        </row>
        <row r="17117">
          <cell r="L17117" t="str">
            <v>Non-proportional</v>
          </cell>
          <cell r="S17117">
            <v>374.53</v>
          </cell>
          <cell r="X17117" t="str">
            <v>Commissions - gross</v>
          </cell>
          <cell r="Y17117" t="str">
            <v>FRANCE</v>
          </cell>
        </row>
        <row r="17118">
          <cell r="L17118" t="str">
            <v>Non-proportional</v>
          </cell>
          <cell r="S17118">
            <v>1337.44</v>
          </cell>
          <cell r="X17118" t="str">
            <v>Commissions - gross</v>
          </cell>
          <cell r="Y17118" t="str">
            <v>INDIA</v>
          </cell>
        </row>
        <row r="17119">
          <cell r="L17119" t="str">
            <v>Non-proportional</v>
          </cell>
          <cell r="S17119">
            <v>-2256.6799999999998</v>
          </cell>
          <cell r="X17119" t="str">
            <v>Commissions - gross</v>
          </cell>
          <cell r="Y17119" t="str">
            <v>UNITED KINGDOM</v>
          </cell>
        </row>
        <row r="17120">
          <cell r="L17120" t="str">
            <v>Non-proportional</v>
          </cell>
          <cell r="S17120">
            <v>1916.87</v>
          </cell>
          <cell r="X17120" t="str">
            <v>Commissions - gross</v>
          </cell>
          <cell r="Y17120" t="str">
            <v>NEW ZEALAND</v>
          </cell>
        </row>
        <row r="17121">
          <cell r="L17121" t="str">
            <v>Non-proportional</v>
          </cell>
          <cell r="S17121">
            <v>23418.04</v>
          </cell>
          <cell r="X17121" t="str">
            <v>Commissions - gross</v>
          </cell>
          <cell r="Y17121" t="str">
            <v>CHILE</v>
          </cell>
        </row>
        <row r="17122">
          <cell r="L17122" t="str">
            <v>Non-proportional</v>
          </cell>
          <cell r="S17122">
            <v>-145.55000000000001</v>
          </cell>
          <cell r="X17122" t="str">
            <v>Commissions - gross</v>
          </cell>
          <cell r="Y17122" t="str">
            <v>NEW ZEALAND</v>
          </cell>
        </row>
        <row r="17123">
          <cell r="L17123" t="str">
            <v>Proportional</v>
          </cell>
          <cell r="S17123">
            <v>8372.07</v>
          </cell>
          <cell r="X17123" t="str">
            <v>Commissions - gross</v>
          </cell>
          <cell r="Y17123" t="str">
            <v>UNITED STATES</v>
          </cell>
        </row>
        <row r="17124">
          <cell r="L17124" t="str">
            <v>Proportional</v>
          </cell>
          <cell r="S17124">
            <v>22.21</v>
          </cell>
          <cell r="X17124" t="str">
            <v>Commissions - gross</v>
          </cell>
          <cell r="Y17124" t="str">
            <v>UNITED STATES</v>
          </cell>
        </row>
        <row r="17125">
          <cell r="L17125" t="str">
            <v>Non-proportional</v>
          </cell>
          <cell r="S17125">
            <v>5999.96</v>
          </cell>
          <cell r="X17125" t="str">
            <v>Commissions - gross</v>
          </cell>
          <cell r="Y17125" t="str">
            <v>FRANCE</v>
          </cell>
        </row>
        <row r="17126">
          <cell r="L17126" t="str">
            <v>Non-proportional</v>
          </cell>
          <cell r="S17126">
            <v>1106.79</v>
          </cell>
          <cell r="X17126" t="str">
            <v>Commissions - gross</v>
          </cell>
          <cell r="Y17126" t="str">
            <v>SOUTH AFRICA</v>
          </cell>
        </row>
        <row r="17127">
          <cell r="L17127" t="str">
            <v>Non-proportional</v>
          </cell>
          <cell r="S17127">
            <v>4207.59</v>
          </cell>
          <cell r="X17127" t="str">
            <v>Commissions - gross</v>
          </cell>
          <cell r="Y17127" t="str">
            <v>CHINA</v>
          </cell>
        </row>
        <row r="17128">
          <cell r="L17128" t="str">
            <v>Non-proportional</v>
          </cell>
          <cell r="S17128">
            <v>-891</v>
          </cell>
          <cell r="X17128" t="str">
            <v>Commissions - gross</v>
          </cell>
          <cell r="Y17128" t="str">
            <v>SLOVENIA</v>
          </cell>
        </row>
        <row r="17129">
          <cell r="L17129" t="str">
            <v>Proportional</v>
          </cell>
          <cell r="S17129">
            <v>232.99</v>
          </cell>
          <cell r="X17129" t="str">
            <v>Commissions - gross</v>
          </cell>
          <cell r="Y17129" t="str">
            <v>AUSTRALIA</v>
          </cell>
        </row>
        <row r="17130">
          <cell r="L17130" t="str">
            <v>Non-proportional</v>
          </cell>
          <cell r="S17130">
            <v>-3638.41</v>
          </cell>
          <cell r="X17130" t="str">
            <v>Commissions - gross</v>
          </cell>
          <cell r="Y17130" t="str">
            <v>UNITED KINGDOM</v>
          </cell>
        </row>
        <row r="17131">
          <cell r="L17131" t="str">
            <v>Non-proportional</v>
          </cell>
          <cell r="S17131">
            <v>-3097.5</v>
          </cell>
          <cell r="X17131" t="str">
            <v>Commissions - gross</v>
          </cell>
          <cell r="Y17131" t="str">
            <v>ITALY</v>
          </cell>
        </row>
        <row r="17132">
          <cell r="L17132" t="str">
            <v>Non-proportional</v>
          </cell>
          <cell r="S17132">
            <v>-1516.88</v>
          </cell>
          <cell r="X17132" t="str">
            <v>Commissions - gross</v>
          </cell>
          <cell r="Y17132" t="str">
            <v>SWEDEN</v>
          </cell>
        </row>
        <row r="17133">
          <cell r="L17133" t="str">
            <v>Non-proportional</v>
          </cell>
          <cell r="S17133">
            <v>48000</v>
          </cell>
          <cell r="X17133" t="str">
            <v>Commissions - gross</v>
          </cell>
          <cell r="Y17133" t="str">
            <v>ITALY</v>
          </cell>
        </row>
        <row r="17134">
          <cell r="L17134" t="str">
            <v>Non-proportional</v>
          </cell>
          <cell r="S17134">
            <v>382.78</v>
          </cell>
          <cell r="X17134" t="str">
            <v>Commissions - gross</v>
          </cell>
          <cell r="Y17134" t="str">
            <v>ECUADOR</v>
          </cell>
        </row>
        <row r="17135">
          <cell r="L17135" t="str">
            <v>Non-proportional</v>
          </cell>
          <cell r="S17135">
            <v>5260.52</v>
          </cell>
          <cell r="X17135" t="str">
            <v>Commissions - gross</v>
          </cell>
          <cell r="Y17135" t="str">
            <v>THAILAND</v>
          </cell>
        </row>
        <row r="17136">
          <cell r="L17136" t="str">
            <v>Non-proportional</v>
          </cell>
          <cell r="S17136">
            <v>-540.72</v>
          </cell>
          <cell r="X17136" t="str">
            <v>Commissions - gross</v>
          </cell>
          <cell r="Y17136" t="str">
            <v>SLOVENIA</v>
          </cell>
        </row>
        <row r="17137">
          <cell r="L17137" t="str">
            <v>Proportional</v>
          </cell>
          <cell r="S17137">
            <v>25645.75</v>
          </cell>
          <cell r="X17137" t="str">
            <v>Commissions - gross</v>
          </cell>
          <cell r="Y17137" t="str">
            <v>UNITED STATES</v>
          </cell>
        </row>
        <row r="17138">
          <cell r="L17138" t="str">
            <v>Non-proportional</v>
          </cell>
          <cell r="S17138">
            <v>155.27000000000001</v>
          </cell>
          <cell r="X17138" t="str">
            <v>Commissions - gross</v>
          </cell>
          <cell r="Y17138" t="str">
            <v>NEW ZEALAND</v>
          </cell>
        </row>
        <row r="17139">
          <cell r="L17139" t="str">
            <v>Non-proportional</v>
          </cell>
          <cell r="S17139">
            <v>-133.91</v>
          </cell>
          <cell r="X17139" t="str">
            <v>Commissions - gross</v>
          </cell>
          <cell r="Y17139" t="str">
            <v>ISRAEL</v>
          </cell>
        </row>
        <row r="17140">
          <cell r="L17140" t="str">
            <v>Proportional</v>
          </cell>
          <cell r="S17140">
            <v>-10.199999999999999</v>
          </cell>
          <cell r="X17140" t="str">
            <v>Commissions - gross</v>
          </cell>
          <cell r="Y17140" t="str">
            <v>UNITED STATES</v>
          </cell>
        </row>
        <row r="17141">
          <cell r="L17141" t="str">
            <v>Non-proportional</v>
          </cell>
          <cell r="S17141">
            <v>9939.32</v>
          </cell>
          <cell r="X17141" t="str">
            <v>Commissions - gross</v>
          </cell>
          <cell r="Y17141" t="str">
            <v>NEW ZEALAND</v>
          </cell>
        </row>
        <row r="17142">
          <cell r="L17142" t="str">
            <v>Non-proportional</v>
          </cell>
          <cell r="S17142">
            <v>2104.2600000000002</v>
          </cell>
          <cell r="X17142" t="str">
            <v>Commissions - gross</v>
          </cell>
          <cell r="Y17142" t="str">
            <v>UNITED KINGDOM</v>
          </cell>
        </row>
        <row r="17143">
          <cell r="L17143" t="str">
            <v>Non-proportional</v>
          </cell>
          <cell r="S17143">
            <v>-1332.72</v>
          </cell>
          <cell r="X17143" t="str">
            <v>Commissions - gross</v>
          </cell>
          <cell r="Y17143" t="str">
            <v>FRANCE</v>
          </cell>
        </row>
        <row r="17144">
          <cell r="L17144" t="str">
            <v>Non-proportional</v>
          </cell>
          <cell r="S17144">
            <v>-248.16</v>
          </cell>
          <cell r="X17144" t="str">
            <v>Commissions - gross</v>
          </cell>
          <cell r="Y17144" t="str">
            <v>CYPRUS</v>
          </cell>
        </row>
        <row r="17145">
          <cell r="L17145" t="str">
            <v>Proportional</v>
          </cell>
          <cell r="S17145">
            <v>379.6</v>
          </cell>
          <cell r="X17145" t="str">
            <v>Commissions - gross</v>
          </cell>
          <cell r="Y17145" t="str">
            <v>AUSTRALIA</v>
          </cell>
        </row>
        <row r="17146">
          <cell r="L17146" t="str">
            <v>Non-proportional</v>
          </cell>
          <cell r="S17146">
            <v>1505.51</v>
          </cell>
          <cell r="X17146" t="str">
            <v>Commissions - gross</v>
          </cell>
          <cell r="Y17146" t="str">
            <v>SLOVENIA</v>
          </cell>
        </row>
        <row r="17147">
          <cell r="L17147" t="str">
            <v>Non-proportional</v>
          </cell>
          <cell r="S17147">
            <v>-1813.93</v>
          </cell>
          <cell r="X17147" t="str">
            <v>Commissions - gross</v>
          </cell>
          <cell r="Y17147" t="str">
            <v>SOUTH AFRICA</v>
          </cell>
        </row>
        <row r="17148">
          <cell r="L17148" t="str">
            <v>Non-proportional</v>
          </cell>
          <cell r="S17148">
            <v>-1332.72</v>
          </cell>
          <cell r="X17148" t="str">
            <v>Commissions - gross</v>
          </cell>
          <cell r="Y17148" t="str">
            <v>FRANCE</v>
          </cell>
        </row>
        <row r="17149">
          <cell r="L17149" t="str">
            <v>Non-proportional</v>
          </cell>
          <cell r="S17149">
            <v>1483.16</v>
          </cell>
          <cell r="X17149" t="str">
            <v>Commissions - gross</v>
          </cell>
          <cell r="Y17149" t="str">
            <v>CYPRUS</v>
          </cell>
        </row>
        <row r="17150">
          <cell r="L17150" t="str">
            <v>Non-proportional</v>
          </cell>
          <cell r="S17150">
            <v>1034.52</v>
          </cell>
          <cell r="X17150" t="str">
            <v>Commissions - gross</v>
          </cell>
          <cell r="Y17150" t="str">
            <v>ECUADOR</v>
          </cell>
        </row>
        <row r="17151">
          <cell r="L17151" t="str">
            <v>Proportional</v>
          </cell>
          <cell r="S17151">
            <v>13130.53</v>
          </cell>
          <cell r="X17151" t="str">
            <v>Commissions - gross</v>
          </cell>
          <cell r="Y17151" t="str">
            <v>UNITED STATES</v>
          </cell>
        </row>
        <row r="17152">
          <cell r="L17152" t="str">
            <v>Non-proportional</v>
          </cell>
          <cell r="S17152">
            <v>230</v>
          </cell>
          <cell r="X17152" t="str">
            <v>Commissions - gross</v>
          </cell>
          <cell r="Y17152" t="str">
            <v>GERMANY</v>
          </cell>
        </row>
        <row r="17153">
          <cell r="L17153" t="str">
            <v>Non-proportional</v>
          </cell>
          <cell r="S17153">
            <v>-1890.49</v>
          </cell>
          <cell r="X17153" t="str">
            <v>Commissions - gross</v>
          </cell>
          <cell r="Y17153" t="str">
            <v>SOUTH AFRICA</v>
          </cell>
        </row>
        <row r="17154">
          <cell r="L17154" t="str">
            <v>Non-proportional</v>
          </cell>
          <cell r="S17154">
            <v>-206.01</v>
          </cell>
          <cell r="X17154" t="str">
            <v>Commissions - gross</v>
          </cell>
          <cell r="Y17154" t="str">
            <v>ISRAEL</v>
          </cell>
        </row>
        <row r="17155">
          <cell r="L17155" t="str">
            <v>Non-proportional</v>
          </cell>
          <cell r="S17155">
            <v>-230</v>
          </cell>
          <cell r="X17155" t="str">
            <v>Commissions - gross</v>
          </cell>
          <cell r="Y17155" t="str">
            <v>GERMANY</v>
          </cell>
        </row>
        <row r="17156">
          <cell r="L17156" t="str">
            <v>Proportional</v>
          </cell>
          <cell r="S17156">
            <v>55</v>
          </cell>
          <cell r="X17156" t="str">
            <v>Commissions - gross</v>
          </cell>
          <cell r="Y17156" t="str">
            <v>UNITED STATES</v>
          </cell>
        </row>
        <row r="17157">
          <cell r="L17157" t="str">
            <v>Non-proportional</v>
          </cell>
          <cell r="S17157">
            <v>-1536.3</v>
          </cell>
          <cell r="X17157" t="str">
            <v>Commissions - gross</v>
          </cell>
          <cell r="Y17157" t="str">
            <v>SLOVENIA</v>
          </cell>
        </row>
        <row r="17158">
          <cell r="L17158" t="str">
            <v>Non-proportional</v>
          </cell>
          <cell r="S17158">
            <v>-23418.04</v>
          </cell>
          <cell r="X17158" t="str">
            <v>Commissions - gross</v>
          </cell>
          <cell r="Y17158" t="str">
            <v>CHILE</v>
          </cell>
        </row>
        <row r="17159">
          <cell r="L17159" t="str">
            <v>Non-proportional</v>
          </cell>
          <cell r="S17159">
            <v>214.64</v>
          </cell>
          <cell r="X17159" t="str">
            <v>Commissions - gross</v>
          </cell>
          <cell r="Y17159" t="str">
            <v>NEW ZEALAND</v>
          </cell>
        </row>
        <row r="17160">
          <cell r="L17160" t="str">
            <v>Non-proportional</v>
          </cell>
          <cell r="S17160">
            <v>2288.0300000000002</v>
          </cell>
          <cell r="X17160" t="str">
            <v>Commissions - gross</v>
          </cell>
          <cell r="Y17160" t="str">
            <v>THAILAND</v>
          </cell>
        </row>
        <row r="17161">
          <cell r="L17161" t="str">
            <v>Non-proportional</v>
          </cell>
          <cell r="S17161">
            <v>-721.5</v>
          </cell>
          <cell r="X17161" t="str">
            <v>Commissions - gross</v>
          </cell>
          <cell r="Y17161" t="str">
            <v>FRANCE</v>
          </cell>
        </row>
        <row r="17162">
          <cell r="L17162" t="str">
            <v>Non-proportional</v>
          </cell>
          <cell r="S17162">
            <v>522.07000000000005</v>
          </cell>
          <cell r="X17162" t="str">
            <v>Commissions - gross</v>
          </cell>
          <cell r="Y17162" t="str">
            <v>ISRAEL</v>
          </cell>
        </row>
        <row r="17163">
          <cell r="L17163" t="str">
            <v>Non-proportional</v>
          </cell>
          <cell r="S17163">
            <v>-10594.75</v>
          </cell>
          <cell r="X17163" t="str">
            <v>Commissions - gross</v>
          </cell>
          <cell r="Y17163" t="str">
            <v>CHILE</v>
          </cell>
        </row>
        <row r="17164">
          <cell r="L17164" t="str">
            <v>Non-proportional</v>
          </cell>
          <cell r="S17164">
            <v>1849.75</v>
          </cell>
          <cell r="X17164" t="str">
            <v>Commissions - gross</v>
          </cell>
          <cell r="Y17164" t="str">
            <v>INDIA</v>
          </cell>
        </row>
        <row r="17165">
          <cell r="L17165" t="str">
            <v>Non-proportional</v>
          </cell>
          <cell r="S17165">
            <v>23343.1</v>
          </cell>
          <cell r="X17165" t="str">
            <v>Commissions - gross</v>
          </cell>
          <cell r="Y17165" t="str">
            <v>UNITED KINGDOM</v>
          </cell>
        </row>
        <row r="17166">
          <cell r="L17166" t="str">
            <v>Non-proportional</v>
          </cell>
          <cell r="S17166">
            <v>-3450.89</v>
          </cell>
          <cell r="X17166" t="str">
            <v>Commissions - gross</v>
          </cell>
          <cell r="Y17166" t="str">
            <v>JAPAN</v>
          </cell>
        </row>
        <row r="17167">
          <cell r="L17167" t="str">
            <v>Proportional</v>
          </cell>
          <cell r="S17167">
            <v>-3140.9</v>
          </cell>
          <cell r="X17167" t="str">
            <v>Commissions - gross</v>
          </cell>
          <cell r="Y17167" t="str">
            <v>AUSTRALIA</v>
          </cell>
        </row>
        <row r="17168">
          <cell r="L17168" t="str">
            <v>Non-proportional</v>
          </cell>
          <cell r="S17168">
            <v>-2000.05</v>
          </cell>
          <cell r="X17168" t="str">
            <v>Commissions - gross</v>
          </cell>
          <cell r="Y17168" t="str">
            <v>FRANCE</v>
          </cell>
        </row>
        <row r="17169">
          <cell r="L17169" t="str">
            <v>Non-proportional</v>
          </cell>
          <cell r="S17169">
            <v>-11122.57</v>
          </cell>
          <cell r="X17169" t="str">
            <v>Commissions - gross</v>
          </cell>
          <cell r="Y17169" t="str">
            <v>NEW ZEALAND</v>
          </cell>
        </row>
        <row r="17170">
          <cell r="L17170" t="str">
            <v>Non-proportional</v>
          </cell>
          <cell r="S17170">
            <v>-3153.03</v>
          </cell>
          <cell r="X17170" t="str">
            <v>Commissions - gross</v>
          </cell>
          <cell r="Y17170" t="str">
            <v>UNITED KINGDOM</v>
          </cell>
        </row>
        <row r="17171">
          <cell r="L17171" t="str">
            <v>Proportional</v>
          </cell>
          <cell r="S17171">
            <v>17745.310000000001</v>
          </cell>
          <cell r="X17171" t="str">
            <v>Commissions - gross</v>
          </cell>
          <cell r="Y17171" t="str">
            <v>UNITED STATES</v>
          </cell>
        </row>
        <row r="17172">
          <cell r="L17172" t="str">
            <v>Non-proportional</v>
          </cell>
          <cell r="S17172">
            <v>11122.57</v>
          </cell>
          <cell r="X17172" t="str">
            <v>Commissions - gross</v>
          </cell>
          <cell r="Y17172" t="str">
            <v>NEW ZEALAND</v>
          </cell>
        </row>
        <row r="17173">
          <cell r="L17173" t="str">
            <v>Non-proportional</v>
          </cell>
          <cell r="S17173">
            <v>-3248</v>
          </cell>
          <cell r="X17173" t="str">
            <v>Commissions - gross</v>
          </cell>
          <cell r="Y17173" t="str">
            <v>GERMANY</v>
          </cell>
        </row>
        <row r="17174">
          <cell r="L17174" t="str">
            <v>Non-proportional</v>
          </cell>
          <cell r="S17174">
            <v>5857.64</v>
          </cell>
          <cell r="X17174" t="str">
            <v>Commissions - gross</v>
          </cell>
          <cell r="Y17174" t="str">
            <v>SOUTH AFRICA</v>
          </cell>
        </row>
        <row r="17175">
          <cell r="L17175" t="str">
            <v>Proportional</v>
          </cell>
          <cell r="S17175">
            <v>10.19</v>
          </cell>
          <cell r="X17175" t="str">
            <v>Commissions - gross</v>
          </cell>
          <cell r="Y17175" t="str">
            <v>UNITED STATES</v>
          </cell>
        </row>
        <row r="17176">
          <cell r="L17176" t="str">
            <v>Non-proportional</v>
          </cell>
          <cell r="S17176">
            <v>540.72</v>
          </cell>
          <cell r="X17176" t="str">
            <v>Commissions - gross</v>
          </cell>
          <cell r="Y17176" t="str">
            <v>SLOVENIA</v>
          </cell>
        </row>
        <row r="17177">
          <cell r="L17177" t="str">
            <v>Non-proportional</v>
          </cell>
          <cell r="S17177">
            <v>22450.92</v>
          </cell>
          <cell r="X17177" t="str">
            <v>Commissions - gross</v>
          </cell>
          <cell r="Y17177" t="str">
            <v>PUERTO RICO</v>
          </cell>
        </row>
        <row r="17178">
          <cell r="L17178" t="str">
            <v>Non-proportional</v>
          </cell>
          <cell r="S17178">
            <v>-23089.24</v>
          </cell>
          <cell r="X17178" t="str">
            <v>Commissions - gross</v>
          </cell>
          <cell r="Y17178" t="str">
            <v>CHILE</v>
          </cell>
        </row>
        <row r="17179">
          <cell r="L17179" t="str">
            <v>Non-proportional</v>
          </cell>
          <cell r="S17179">
            <v>13169.8</v>
          </cell>
          <cell r="X17179" t="str">
            <v>Commissions - gross</v>
          </cell>
          <cell r="Y17179" t="str">
            <v>GERMANY</v>
          </cell>
        </row>
        <row r="17180">
          <cell r="L17180" t="str">
            <v>Non-proportional</v>
          </cell>
          <cell r="S17180">
            <v>-8401.1299999999992</v>
          </cell>
          <cell r="X17180" t="str">
            <v>Commissions - gross</v>
          </cell>
          <cell r="Y17180" t="str">
            <v>UNITED KINGDOM</v>
          </cell>
        </row>
        <row r="17181">
          <cell r="L17181" t="str">
            <v>Non-proportional</v>
          </cell>
          <cell r="S17181">
            <v>1813.93</v>
          </cell>
          <cell r="X17181" t="str">
            <v>Commissions - gross</v>
          </cell>
          <cell r="Y17181" t="str">
            <v>SOUTH AFRICA</v>
          </cell>
        </row>
        <row r="17182">
          <cell r="L17182" t="str">
            <v>Non-proportional</v>
          </cell>
          <cell r="S17182">
            <v>9346.44</v>
          </cell>
          <cell r="X17182" t="str">
            <v>Commissions - gross</v>
          </cell>
          <cell r="Y17182" t="str">
            <v>PUERTO RICO</v>
          </cell>
        </row>
        <row r="17183">
          <cell r="L17183" t="str">
            <v>Non-proportional</v>
          </cell>
          <cell r="S17183">
            <v>-270</v>
          </cell>
          <cell r="X17183" t="str">
            <v>Commissions - gross</v>
          </cell>
          <cell r="Y17183" t="str">
            <v>GERMANY</v>
          </cell>
        </row>
        <row r="17184">
          <cell r="L17184" t="str">
            <v>Non-proportional</v>
          </cell>
          <cell r="S17184">
            <v>338.95</v>
          </cell>
          <cell r="X17184" t="str">
            <v>Commissions - gross</v>
          </cell>
          <cell r="Y17184" t="str">
            <v>ISRAEL</v>
          </cell>
        </row>
        <row r="17185">
          <cell r="L17185" t="str">
            <v>Non-proportional</v>
          </cell>
          <cell r="S17185">
            <v>-320.02</v>
          </cell>
          <cell r="X17185" t="str">
            <v>Commissions - gross</v>
          </cell>
          <cell r="Y17185" t="str">
            <v>SLOVENIA</v>
          </cell>
        </row>
        <row r="17186">
          <cell r="L17186" t="str">
            <v>Non-proportional</v>
          </cell>
          <cell r="S17186">
            <v>-634.33000000000004</v>
          </cell>
          <cell r="X17186" t="str">
            <v>Commissions - gross</v>
          </cell>
          <cell r="Y17186" t="str">
            <v>FRANCE</v>
          </cell>
        </row>
        <row r="17187">
          <cell r="L17187" t="str">
            <v>Non-proportional</v>
          </cell>
          <cell r="S17187">
            <v>-2114</v>
          </cell>
          <cell r="X17187" t="str">
            <v>Commissions - gross</v>
          </cell>
          <cell r="Y17187" t="str">
            <v>INDIA</v>
          </cell>
        </row>
        <row r="17188">
          <cell r="L17188" t="str">
            <v>Non-proportional</v>
          </cell>
          <cell r="S17188">
            <v>3450.89</v>
          </cell>
          <cell r="X17188" t="str">
            <v>Commissions - gross</v>
          </cell>
          <cell r="Y17188" t="str">
            <v>JAPAN</v>
          </cell>
        </row>
        <row r="17189">
          <cell r="L17189" t="str">
            <v>Non-proportional</v>
          </cell>
          <cell r="S17189">
            <v>-201.2</v>
          </cell>
          <cell r="X17189" t="str">
            <v>Commissions - gross</v>
          </cell>
          <cell r="Y17189" t="str">
            <v>NEW ZEALAND</v>
          </cell>
        </row>
        <row r="17190">
          <cell r="L17190" t="str">
            <v>Non-proportional</v>
          </cell>
          <cell r="S17190">
            <v>-782.84</v>
          </cell>
          <cell r="X17190" t="str">
            <v>Commissions - gross</v>
          </cell>
          <cell r="Y17190" t="str">
            <v>UNITED KINGDOM</v>
          </cell>
        </row>
        <row r="17191">
          <cell r="L17191" t="str">
            <v>Non-proportional</v>
          </cell>
          <cell r="S17191">
            <v>11282.76</v>
          </cell>
          <cell r="X17191" t="str">
            <v>Commissions - gross</v>
          </cell>
          <cell r="Y17191" t="str">
            <v>PUERTO RICO</v>
          </cell>
        </row>
        <row r="17192">
          <cell r="L17192" t="str">
            <v>Non-proportional</v>
          </cell>
          <cell r="S17192">
            <v>-10639.08</v>
          </cell>
          <cell r="X17192" t="str">
            <v>Commissions - gross</v>
          </cell>
          <cell r="Y17192" t="str">
            <v>UNITED KINGDOM</v>
          </cell>
        </row>
        <row r="17193">
          <cell r="L17193" t="str">
            <v>Non-proportional</v>
          </cell>
          <cell r="S17193">
            <v>10705.59</v>
          </cell>
          <cell r="X17193" t="str">
            <v>Commissions - gross</v>
          </cell>
          <cell r="Y17193" t="str">
            <v>PUERTO RICO</v>
          </cell>
        </row>
        <row r="17194">
          <cell r="L17194" t="str">
            <v>Non-proportional</v>
          </cell>
          <cell r="S17194">
            <v>558.72</v>
          </cell>
          <cell r="X17194" t="str">
            <v>Commissions - gross</v>
          </cell>
          <cell r="Y17194" t="str">
            <v>NEW ZEALAND</v>
          </cell>
        </row>
        <row r="17195">
          <cell r="L17195" t="str">
            <v>Non-proportional</v>
          </cell>
          <cell r="S17195">
            <v>-2656.05</v>
          </cell>
          <cell r="X17195" t="str">
            <v>Commissions - gross</v>
          </cell>
          <cell r="Y17195" t="str">
            <v>SOUTH AFRICA</v>
          </cell>
        </row>
        <row r="17196">
          <cell r="L17196" t="str">
            <v>Non-proportional</v>
          </cell>
          <cell r="S17196">
            <v>201.2</v>
          </cell>
          <cell r="X17196" t="str">
            <v>Commissions - gross</v>
          </cell>
          <cell r="Y17196" t="str">
            <v>NEW ZEALAND</v>
          </cell>
        </row>
        <row r="17197">
          <cell r="L17197" t="str">
            <v>Non-proportional</v>
          </cell>
          <cell r="S17197">
            <v>-4025.43</v>
          </cell>
          <cell r="X17197" t="str">
            <v>Commissions - gross</v>
          </cell>
          <cell r="Y17197" t="str">
            <v>NEW ZEALAND</v>
          </cell>
        </row>
        <row r="17198">
          <cell r="L17198" t="str">
            <v>Non-proportional</v>
          </cell>
          <cell r="S17198">
            <v>2829</v>
          </cell>
          <cell r="X17198" t="str">
            <v>Commissions - gross</v>
          </cell>
          <cell r="Y17198" t="str">
            <v>GERMANY</v>
          </cell>
        </row>
        <row r="17199">
          <cell r="L17199" t="str">
            <v>Non-proportional</v>
          </cell>
          <cell r="S17199">
            <v>-1622.33</v>
          </cell>
          <cell r="X17199" t="str">
            <v>Commissions - gross</v>
          </cell>
          <cell r="Y17199" t="str">
            <v>CYPRUS</v>
          </cell>
        </row>
        <row r="17200">
          <cell r="L17200" t="str">
            <v>Non-proportional</v>
          </cell>
          <cell r="S17200">
            <v>-599.71</v>
          </cell>
          <cell r="X17200" t="str">
            <v>Commissions - gross</v>
          </cell>
          <cell r="Y17200" t="str">
            <v>CYPRUS</v>
          </cell>
        </row>
        <row r="17201">
          <cell r="L17201" t="str">
            <v>Proportional</v>
          </cell>
          <cell r="S17201">
            <v>-22.02</v>
          </cell>
          <cell r="X17201" t="str">
            <v>Commissions - gross</v>
          </cell>
          <cell r="Y17201" t="str">
            <v>UNITED STATES</v>
          </cell>
        </row>
        <row r="17202">
          <cell r="L17202" t="str">
            <v>Non-proportional</v>
          </cell>
          <cell r="S17202">
            <v>484.87</v>
          </cell>
          <cell r="X17202" t="str">
            <v>Commissions - gross</v>
          </cell>
          <cell r="Y17202" t="str">
            <v>ECUADOR</v>
          </cell>
        </row>
        <row r="17203">
          <cell r="L17203" t="str">
            <v>Non-proportional</v>
          </cell>
          <cell r="S17203">
            <v>337.8</v>
          </cell>
          <cell r="X17203" t="str">
            <v>Commissions - gross</v>
          </cell>
          <cell r="Y17203" t="str">
            <v>ECUADOR</v>
          </cell>
        </row>
        <row r="17204">
          <cell r="L17204" t="str">
            <v>Non-proportional</v>
          </cell>
          <cell r="S17204">
            <v>2114</v>
          </cell>
          <cell r="X17204" t="str">
            <v>Commissions - gross</v>
          </cell>
          <cell r="Y17204" t="str">
            <v>INDIA</v>
          </cell>
        </row>
        <row r="17205">
          <cell r="L17205" t="str">
            <v>Non-proportional</v>
          </cell>
          <cell r="S17205">
            <v>-1916.87</v>
          </cell>
          <cell r="X17205" t="str">
            <v>Commissions - gross</v>
          </cell>
          <cell r="Y17205" t="str">
            <v>NEW ZEALAND</v>
          </cell>
        </row>
        <row r="17206">
          <cell r="L17206" t="str">
            <v>Non-proportional</v>
          </cell>
          <cell r="S17206">
            <v>23089.24</v>
          </cell>
          <cell r="X17206" t="str">
            <v>Commissions - gross</v>
          </cell>
          <cell r="Y17206" t="str">
            <v>CHILE</v>
          </cell>
        </row>
        <row r="17207">
          <cell r="L17207" t="str">
            <v>Non-proportional</v>
          </cell>
          <cell r="S17207">
            <v>925.25</v>
          </cell>
          <cell r="X17207" t="str">
            <v>Commissions - gross</v>
          </cell>
          <cell r="Y17207" t="str">
            <v>NEW ZEALAND</v>
          </cell>
        </row>
        <row r="17208">
          <cell r="L17208" t="str">
            <v>Non-proportional</v>
          </cell>
          <cell r="S17208">
            <v>-3122.45</v>
          </cell>
          <cell r="X17208" t="str">
            <v>Commissions - gross</v>
          </cell>
          <cell r="Y17208" t="str">
            <v>UNITED KINGDOM</v>
          </cell>
        </row>
        <row r="17209">
          <cell r="L17209" t="str">
            <v>Non-proportional</v>
          </cell>
          <cell r="S17209">
            <v>-867.26</v>
          </cell>
          <cell r="X17209" t="str">
            <v>Commissions - gross</v>
          </cell>
          <cell r="Y17209" t="str">
            <v>NEW ZEALAND</v>
          </cell>
        </row>
        <row r="17210">
          <cell r="L17210" t="str">
            <v>Non-proportional</v>
          </cell>
          <cell r="S17210">
            <v>-1029.57</v>
          </cell>
          <cell r="X17210" t="str">
            <v>Commissions - gross</v>
          </cell>
          <cell r="Y17210" t="str">
            <v>FRANCE</v>
          </cell>
        </row>
        <row r="17211">
          <cell r="L17211" t="str">
            <v>Non-proportional</v>
          </cell>
          <cell r="S17211">
            <v>-7768.9</v>
          </cell>
          <cell r="X17211" t="str">
            <v>Commissions - gross</v>
          </cell>
          <cell r="Y17211" t="str">
            <v>UNITED KINGDOM</v>
          </cell>
        </row>
        <row r="17212">
          <cell r="L17212" t="str">
            <v>Non-proportional</v>
          </cell>
          <cell r="S17212">
            <v>-201.2</v>
          </cell>
          <cell r="X17212" t="str">
            <v>Commissions - gross</v>
          </cell>
          <cell r="Y17212" t="str">
            <v>NEW ZEALAND</v>
          </cell>
        </row>
        <row r="17213">
          <cell r="L17213" t="str">
            <v>Non-proportional</v>
          </cell>
          <cell r="S17213">
            <v>2697.31</v>
          </cell>
          <cell r="X17213" t="str">
            <v>Commissions - gross</v>
          </cell>
          <cell r="Y17213" t="str">
            <v>FRANCE</v>
          </cell>
        </row>
        <row r="17214">
          <cell r="L17214" t="str">
            <v>Non-proportional</v>
          </cell>
          <cell r="S17214">
            <v>-672.47</v>
          </cell>
          <cell r="X17214" t="str">
            <v>Commissions - gross</v>
          </cell>
          <cell r="Y17214" t="str">
            <v>UNITED KINGDOM</v>
          </cell>
        </row>
        <row r="17215">
          <cell r="L17215" t="str">
            <v>Proportional</v>
          </cell>
          <cell r="S17215">
            <v>9137.31</v>
          </cell>
          <cell r="X17215" t="str">
            <v>Commissions - gross</v>
          </cell>
          <cell r="Y17215" t="str">
            <v>AUSTRALIA</v>
          </cell>
        </row>
        <row r="17216">
          <cell r="L17216" t="str">
            <v>Non-proportional</v>
          </cell>
          <cell r="S17216">
            <v>1381.8</v>
          </cell>
          <cell r="X17216" t="str">
            <v>Commissions - gross</v>
          </cell>
          <cell r="Y17216" t="str">
            <v>ITALY</v>
          </cell>
        </row>
        <row r="17217">
          <cell r="L17217" t="str">
            <v>Non-proportional</v>
          </cell>
          <cell r="S17217">
            <v>6981.91</v>
          </cell>
          <cell r="X17217" t="str">
            <v>Commissions - gross</v>
          </cell>
          <cell r="Y17217" t="str">
            <v>PUERTO RICO</v>
          </cell>
        </row>
        <row r="17218">
          <cell r="L17218" t="str">
            <v>Non-proportional</v>
          </cell>
          <cell r="S17218">
            <v>-23929.72</v>
          </cell>
          <cell r="X17218" t="str">
            <v>Commissions - gross</v>
          </cell>
          <cell r="Y17218" t="str">
            <v>UNITED KINGDOM</v>
          </cell>
        </row>
        <row r="17219">
          <cell r="L17219" t="str">
            <v>Non-proportional</v>
          </cell>
          <cell r="S17219">
            <v>-2496.39</v>
          </cell>
          <cell r="X17219" t="str">
            <v>Commissions - gross</v>
          </cell>
          <cell r="Y17219" t="str">
            <v>JAPAN</v>
          </cell>
        </row>
        <row r="17220">
          <cell r="L17220" t="str">
            <v>Non-proportional</v>
          </cell>
          <cell r="S17220">
            <v>7922.31</v>
          </cell>
          <cell r="X17220" t="str">
            <v>Commissions - gross</v>
          </cell>
          <cell r="Y17220" t="str">
            <v>UNITED KINGDOM</v>
          </cell>
        </row>
        <row r="17221">
          <cell r="L17221" t="str">
            <v>Non-proportional</v>
          </cell>
          <cell r="S17221">
            <v>1388.64</v>
          </cell>
          <cell r="X17221" t="str">
            <v>Commissions - gross</v>
          </cell>
          <cell r="Y17221" t="str">
            <v>FRANCE</v>
          </cell>
        </row>
        <row r="17222">
          <cell r="L17222" t="str">
            <v>Non-proportional</v>
          </cell>
          <cell r="S17222">
            <v>1414.26</v>
          </cell>
          <cell r="X17222" t="str">
            <v>Commissions - gross</v>
          </cell>
          <cell r="Y17222" t="str">
            <v>SLOVENIA</v>
          </cell>
        </row>
        <row r="17223">
          <cell r="L17223" t="str">
            <v>Non-proportional</v>
          </cell>
          <cell r="S17223">
            <v>2664.38</v>
          </cell>
          <cell r="X17223" t="str">
            <v>Commissions - gross</v>
          </cell>
          <cell r="Y17223" t="str">
            <v>ITALY</v>
          </cell>
        </row>
        <row r="17224">
          <cell r="L17224" t="str">
            <v>Non-proportional</v>
          </cell>
          <cell r="S17224">
            <v>5662.68</v>
          </cell>
          <cell r="X17224" t="str">
            <v>Commissions - gross</v>
          </cell>
          <cell r="Y17224" t="str">
            <v>SLOVENIA</v>
          </cell>
        </row>
        <row r="17225">
          <cell r="L17225" t="str">
            <v>Non-proportional</v>
          </cell>
          <cell r="S17225">
            <v>-837</v>
          </cell>
          <cell r="X17225" t="str">
            <v>Commissions - gross</v>
          </cell>
          <cell r="Y17225" t="str">
            <v>SLOVENIA</v>
          </cell>
        </row>
        <row r="17226">
          <cell r="L17226" t="str">
            <v>Non-proportional</v>
          </cell>
          <cell r="S17226">
            <v>-11340</v>
          </cell>
          <cell r="X17226" t="str">
            <v>Commissions - gross</v>
          </cell>
          <cell r="Y17226" t="str">
            <v>GERMANY</v>
          </cell>
        </row>
        <row r="17227">
          <cell r="L17227" t="str">
            <v>Non-proportional</v>
          </cell>
          <cell r="S17227">
            <v>23999.82</v>
          </cell>
          <cell r="X17227" t="str">
            <v>Commissions - gross</v>
          </cell>
          <cell r="Y17227" t="str">
            <v>FRANCE</v>
          </cell>
        </row>
        <row r="17228">
          <cell r="L17228" t="str">
            <v>Non-proportional</v>
          </cell>
          <cell r="S17228">
            <v>-1849.75</v>
          </cell>
          <cell r="X17228" t="str">
            <v>Commissions - gross</v>
          </cell>
          <cell r="Y17228" t="str">
            <v>INDIA</v>
          </cell>
        </row>
        <row r="17229">
          <cell r="L17229" t="str">
            <v>Non-proportional</v>
          </cell>
          <cell r="S17229">
            <v>752.4</v>
          </cell>
          <cell r="X17229" t="str">
            <v>Commissions - gross</v>
          </cell>
          <cell r="Y17229" t="str">
            <v>NEW ZEALAND</v>
          </cell>
        </row>
        <row r="17230">
          <cell r="L17230" t="str">
            <v>Non-proportional</v>
          </cell>
          <cell r="S17230">
            <v>-1505.51</v>
          </cell>
          <cell r="X17230" t="str">
            <v>Commissions - gross</v>
          </cell>
          <cell r="Y17230" t="str">
            <v>SLOVENIA</v>
          </cell>
        </row>
        <row r="17231">
          <cell r="L17231" t="str">
            <v>Non-proportional</v>
          </cell>
          <cell r="S17231">
            <v>1189.72</v>
          </cell>
          <cell r="X17231" t="str">
            <v>Commissions - gross</v>
          </cell>
          <cell r="Y17231" t="str">
            <v>INDIA</v>
          </cell>
        </row>
        <row r="17232">
          <cell r="L17232" t="str">
            <v>Non-proportional</v>
          </cell>
          <cell r="S17232">
            <v>-1528.52</v>
          </cell>
          <cell r="X17232" t="str">
            <v>Commissions - gross</v>
          </cell>
          <cell r="Y17232" t="str">
            <v>INDIA</v>
          </cell>
        </row>
        <row r="17233">
          <cell r="L17233" t="str">
            <v>Proportional</v>
          </cell>
          <cell r="S17233">
            <v>-2300.5100000000002</v>
          </cell>
          <cell r="X17233" t="str">
            <v>Commissions - gross</v>
          </cell>
          <cell r="Y17233" t="str">
            <v>AUSTRALIA</v>
          </cell>
        </row>
        <row r="17234">
          <cell r="L17234" t="str">
            <v>Non-proportional</v>
          </cell>
          <cell r="S17234">
            <v>-2282.54</v>
          </cell>
          <cell r="X17234" t="str">
            <v>Commissions - gross</v>
          </cell>
          <cell r="Y17234" t="str">
            <v>FRANCE</v>
          </cell>
        </row>
        <row r="17235">
          <cell r="L17235" t="str">
            <v>Non-proportional</v>
          </cell>
          <cell r="S17235">
            <v>7244.18</v>
          </cell>
          <cell r="X17235" t="str">
            <v>Commissions - gross</v>
          </cell>
          <cell r="Y17235" t="str">
            <v>UNITED KINGDOM</v>
          </cell>
        </row>
        <row r="17236">
          <cell r="L17236" t="str">
            <v>Proportional</v>
          </cell>
          <cell r="S17236">
            <v>46325.02</v>
          </cell>
          <cell r="X17236" t="str">
            <v>Commissions - gross</v>
          </cell>
          <cell r="Y17236" t="str">
            <v>UNITED STATES</v>
          </cell>
        </row>
        <row r="17237">
          <cell r="L17237" t="str">
            <v>Non-proportional</v>
          </cell>
          <cell r="S17237">
            <v>540.72</v>
          </cell>
          <cell r="X17237" t="str">
            <v>Commissions - gross</v>
          </cell>
          <cell r="Y17237" t="str">
            <v>SLOVENIA</v>
          </cell>
        </row>
        <row r="17238">
          <cell r="L17238" t="str">
            <v>Non-proportional</v>
          </cell>
          <cell r="S17238">
            <v>214.64</v>
          </cell>
          <cell r="X17238" t="str">
            <v>Commissions - gross</v>
          </cell>
          <cell r="Y17238" t="str">
            <v>NEW ZEALAND</v>
          </cell>
        </row>
        <row r="17239">
          <cell r="L17239" t="str">
            <v>Non-proportional</v>
          </cell>
          <cell r="S17239">
            <v>632.04</v>
          </cell>
          <cell r="X17239" t="str">
            <v>Commissions - gross</v>
          </cell>
          <cell r="Y17239" t="str">
            <v>FRANCE</v>
          </cell>
        </row>
        <row r="17240">
          <cell r="L17240" t="str">
            <v>Non-proportional</v>
          </cell>
          <cell r="S17240">
            <v>3530.28</v>
          </cell>
          <cell r="X17240" t="str">
            <v>Commissions - gross</v>
          </cell>
          <cell r="Y17240" t="str">
            <v>JAPAN</v>
          </cell>
        </row>
        <row r="17241">
          <cell r="L17241" t="str">
            <v>Proportional</v>
          </cell>
          <cell r="S17241">
            <v>-13.49</v>
          </cell>
          <cell r="X17241" t="str">
            <v>Commissions - gross</v>
          </cell>
          <cell r="Y17241" t="str">
            <v>UNITED STATES</v>
          </cell>
        </row>
        <row r="17242">
          <cell r="L17242" t="str">
            <v>Non-proportional</v>
          </cell>
          <cell r="S17242">
            <v>11340</v>
          </cell>
          <cell r="X17242" t="str">
            <v>Commissions - gross</v>
          </cell>
          <cell r="Y17242" t="str">
            <v>GERMANY</v>
          </cell>
        </row>
        <row r="17243">
          <cell r="L17243" t="str">
            <v>Non-proportional</v>
          </cell>
          <cell r="S17243">
            <v>-1483.16</v>
          </cell>
          <cell r="X17243" t="str">
            <v>Commissions - gross</v>
          </cell>
          <cell r="Y17243" t="str">
            <v>CYPRUS</v>
          </cell>
        </row>
        <row r="17244">
          <cell r="L17244" t="str">
            <v>Non-proportional</v>
          </cell>
          <cell r="S17244">
            <v>-271.45</v>
          </cell>
          <cell r="X17244" t="str">
            <v>Commissions - gross</v>
          </cell>
          <cell r="Y17244" t="str">
            <v>CYPRUS</v>
          </cell>
        </row>
        <row r="17245">
          <cell r="L17245" t="str">
            <v>Non-proportional</v>
          </cell>
          <cell r="S17245">
            <v>13169.8</v>
          </cell>
          <cell r="X17245" t="str">
            <v>Commissions - gross</v>
          </cell>
          <cell r="Y17245" t="str">
            <v>GERMANY</v>
          </cell>
        </row>
        <row r="17246">
          <cell r="L17246" t="str">
            <v>Non-proportional</v>
          </cell>
          <cell r="S17246">
            <v>994.04</v>
          </cell>
          <cell r="X17246" t="str">
            <v>Commissions - gross</v>
          </cell>
          <cell r="Y17246" t="str">
            <v>SWEDEN</v>
          </cell>
        </row>
        <row r="17247">
          <cell r="L17247" t="str">
            <v>Non-proportional</v>
          </cell>
          <cell r="S17247">
            <v>-55</v>
          </cell>
          <cell r="X17247" t="str">
            <v>Commissions - gross</v>
          </cell>
          <cell r="Y17247" t="str">
            <v>GERMANY</v>
          </cell>
        </row>
        <row r="17248">
          <cell r="L17248" t="str">
            <v>Non-proportional</v>
          </cell>
          <cell r="S17248">
            <v>-375.88</v>
          </cell>
          <cell r="X17248" t="str">
            <v>Commissions - gross</v>
          </cell>
          <cell r="Y17248" t="str">
            <v>FRANCE</v>
          </cell>
        </row>
        <row r="17249">
          <cell r="L17249" t="str">
            <v>Non-proportional</v>
          </cell>
          <cell r="S17249">
            <v>548.25</v>
          </cell>
          <cell r="X17249" t="str">
            <v>Commissions - gross</v>
          </cell>
          <cell r="Y17249" t="str">
            <v>CYPRUS</v>
          </cell>
        </row>
        <row r="17250">
          <cell r="L17250" t="str">
            <v>Non-proportional</v>
          </cell>
          <cell r="S17250">
            <v>248.16</v>
          </cell>
          <cell r="X17250" t="str">
            <v>Commissions - gross</v>
          </cell>
          <cell r="Y17250" t="str">
            <v>CYPRUS</v>
          </cell>
        </row>
        <row r="17251">
          <cell r="L17251" t="str">
            <v>Non-proportional</v>
          </cell>
          <cell r="S17251">
            <v>4025.43</v>
          </cell>
          <cell r="X17251" t="str">
            <v>Commissions - gross</v>
          </cell>
          <cell r="Y17251" t="str">
            <v>NEW ZEALAND</v>
          </cell>
        </row>
        <row r="17252">
          <cell r="L17252" t="str">
            <v>Non-proportional</v>
          </cell>
          <cell r="S17252">
            <v>-9939.32</v>
          </cell>
          <cell r="X17252" t="str">
            <v>Commissions - gross</v>
          </cell>
          <cell r="Y17252" t="str">
            <v>NEW ZEALAND</v>
          </cell>
        </row>
        <row r="17253">
          <cell r="L17253" t="str">
            <v>Non-proportional</v>
          </cell>
          <cell r="S17253">
            <v>2381.56</v>
          </cell>
          <cell r="X17253" t="str">
            <v>Commissions - gross</v>
          </cell>
          <cell r="Y17253" t="str">
            <v>FRANCE</v>
          </cell>
        </row>
        <row r="17254">
          <cell r="L17254" t="str">
            <v>Proportional</v>
          </cell>
          <cell r="S17254">
            <v>-55.3</v>
          </cell>
          <cell r="X17254" t="str">
            <v>Commissions - gross</v>
          </cell>
          <cell r="Y17254" t="str">
            <v>UNITED STATES</v>
          </cell>
        </row>
        <row r="17255">
          <cell r="L17255" t="str">
            <v>Non-proportional</v>
          </cell>
          <cell r="S17255">
            <v>-906.18</v>
          </cell>
          <cell r="X17255" t="str">
            <v>Commissions - gross</v>
          </cell>
          <cell r="Y17255" t="str">
            <v>SOUTH AFRICA</v>
          </cell>
        </row>
        <row r="17256">
          <cell r="L17256" t="str">
            <v>Non-proportional</v>
          </cell>
          <cell r="S17256">
            <v>155.27000000000001</v>
          </cell>
          <cell r="X17256" t="str">
            <v>Commissions - gross</v>
          </cell>
          <cell r="Y17256" t="str">
            <v>NEW ZEALAND</v>
          </cell>
        </row>
        <row r="17257">
          <cell r="L17257" t="str">
            <v>Proportional</v>
          </cell>
          <cell r="S17257">
            <v>-17900.39</v>
          </cell>
          <cell r="X17257" t="str">
            <v>Commissions - gross</v>
          </cell>
          <cell r="Y17257" t="str">
            <v>UNITED STATES</v>
          </cell>
        </row>
        <row r="17258">
          <cell r="L17258" t="str">
            <v>Non-proportional</v>
          </cell>
          <cell r="S17258">
            <v>-3884.51</v>
          </cell>
          <cell r="X17258" t="str">
            <v>Commissions - gross</v>
          </cell>
          <cell r="Y17258" t="str">
            <v>UNITED KINGDOM</v>
          </cell>
        </row>
        <row r="17259">
          <cell r="L17259" t="str">
            <v>Non-proportional</v>
          </cell>
          <cell r="S17259">
            <v>-7000.12</v>
          </cell>
          <cell r="X17259" t="str">
            <v>Commissions - gross</v>
          </cell>
          <cell r="Y17259" t="str">
            <v>NEW ZEALAND</v>
          </cell>
        </row>
        <row r="17260">
          <cell r="L17260" t="str">
            <v>Non-proportional</v>
          </cell>
          <cell r="S17260">
            <v>-1168.6600000000001</v>
          </cell>
          <cell r="X17260" t="str">
            <v>Commissions - gross</v>
          </cell>
          <cell r="Y17260" t="str">
            <v>SOUTH AFRICA</v>
          </cell>
        </row>
        <row r="17261">
          <cell r="L17261" t="str">
            <v>Non-proportional</v>
          </cell>
          <cell r="S17261">
            <v>925.25</v>
          </cell>
          <cell r="X17261" t="str">
            <v>Commissions - gross</v>
          </cell>
          <cell r="Y17261" t="str">
            <v>NEW ZEALAND</v>
          </cell>
        </row>
        <row r="17262">
          <cell r="L17262" t="str">
            <v>Non-proportional</v>
          </cell>
          <cell r="S17262">
            <v>-1106.79</v>
          </cell>
          <cell r="X17262" t="str">
            <v>Commissions - gross</v>
          </cell>
          <cell r="Y17262" t="str">
            <v>SOUTH AFRICA</v>
          </cell>
        </row>
        <row r="17263">
          <cell r="L17263" t="str">
            <v>Proportional</v>
          </cell>
          <cell r="S17263">
            <v>231.06</v>
          </cell>
          <cell r="X17263" t="str">
            <v>Commissions - gross</v>
          </cell>
          <cell r="Y17263" t="str">
            <v>UNITED STATES</v>
          </cell>
        </row>
        <row r="17264">
          <cell r="L17264" t="str">
            <v>Proportional</v>
          </cell>
          <cell r="S17264">
            <v>-13.49</v>
          </cell>
          <cell r="X17264" t="str">
            <v>Commissions - gross</v>
          </cell>
          <cell r="Y17264" t="str">
            <v>UNITED STATES</v>
          </cell>
        </row>
        <row r="17265">
          <cell r="L17265" t="str">
            <v>Non-proportional</v>
          </cell>
          <cell r="S17265">
            <v>2656.05</v>
          </cell>
          <cell r="X17265" t="str">
            <v>Commissions - gross</v>
          </cell>
          <cell r="Y17265" t="str">
            <v>SOUTH AFRICA</v>
          </cell>
        </row>
        <row r="17266">
          <cell r="L17266" t="str">
            <v>Non-proportional</v>
          </cell>
          <cell r="S17266">
            <v>598.51</v>
          </cell>
          <cell r="X17266" t="str">
            <v>Commissions - gross</v>
          </cell>
          <cell r="Y17266" t="str">
            <v>ECUADOR</v>
          </cell>
        </row>
        <row r="17267">
          <cell r="L17267" t="str">
            <v>Non-proportional</v>
          </cell>
          <cell r="S17267">
            <v>-4483.53</v>
          </cell>
          <cell r="X17267" t="str">
            <v>Commissions - gross</v>
          </cell>
          <cell r="Y17267" t="str">
            <v>UNITED KINGDOM</v>
          </cell>
        </row>
        <row r="17268">
          <cell r="L17268" t="str">
            <v>Non-proportional</v>
          </cell>
          <cell r="S17268">
            <v>-7691.71</v>
          </cell>
          <cell r="X17268" t="str">
            <v>Commissions - gross</v>
          </cell>
          <cell r="Y17268" t="str">
            <v>UNITED KINGDOM</v>
          </cell>
        </row>
        <row r="17269">
          <cell r="L17269" t="str">
            <v>Non-proportional</v>
          </cell>
          <cell r="S17269">
            <v>2436</v>
          </cell>
          <cell r="X17269" t="str">
            <v>Commissions - gross</v>
          </cell>
          <cell r="Y17269" t="str">
            <v>GERMANY</v>
          </cell>
        </row>
        <row r="17270">
          <cell r="L17270" t="str">
            <v>Non-proportional</v>
          </cell>
          <cell r="S17270">
            <v>-2114</v>
          </cell>
          <cell r="X17270" t="str">
            <v>Commissions - gross</v>
          </cell>
          <cell r="Y17270" t="str">
            <v>INDIA</v>
          </cell>
        </row>
        <row r="17271">
          <cell r="L17271" t="str">
            <v>Non-proportional</v>
          </cell>
          <cell r="S17271">
            <v>1332.72</v>
          </cell>
          <cell r="X17271" t="str">
            <v>Commissions - gross</v>
          </cell>
          <cell r="Y17271" t="str">
            <v>FRANCE</v>
          </cell>
        </row>
        <row r="17272">
          <cell r="L17272" t="str">
            <v>Proportional</v>
          </cell>
          <cell r="S17272">
            <v>-3.57</v>
          </cell>
          <cell r="X17272" t="str">
            <v>Commissions - gross</v>
          </cell>
          <cell r="Y17272" t="str">
            <v>MALAYSIA</v>
          </cell>
        </row>
        <row r="17273">
          <cell r="L17273" t="str">
            <v>Non-proportional</v>
          </cell>
          <cell r="S17273">
            <v>1332.72</v>
          </cell>
          <cell r="X17273" t="str">
            <v>Commissions - gross</v>
          </cell>
          <cell r="Y17273" t="str">
            <v>FRANCE</v>
          </cell>
        </row>
        <row r="17274">
          <cell r="L17274" t="str">
            <v>Non-proportional</v>
          </cell>
          <cell r="S17274">
            <v>3248</v>
          </cell>
          <cell r="X17274" t="str">
            <v>Commissions - gross</v>
          </cell>
          <cell r="Y17274" t="str">
            <v>GERMANY</v>
          </cell>
        </row>
        <row r="17275">
          <cell r="L17275" t="str">
            <v>Non-proportional</v>
          </cell>
          <cell r="S17275">
            <v>10594.75</v>
          </cell>
          <cell r="X17275" t="str">
            <v>Commissions - gross</v>
          </cell>
          <cell r="Y17275" t="str">
            <v>CHILE</v>
          </cell>
        </row>
        <row r="17276">
          <cell r="L17276" t="str">
            <v>Non-proportional</v>
          </cell>
          <cell r="S17276">
            <v>-794.86</v>
          </cell>
          <cell r="X17276" t="str">
            <v>Commissions - gross</v>
          </cell>
          <cell r="Y17276" t="str">
            <v>ISRAEL</v>
          </cell>
        </row>
        <row r="17277">
          <cell r="L17277" t="str">
            <v>Proportional</v>
          </cell>
          <cell r="S17277">
            <v>17900.39</v>
          </cell>
          <cell r="X17277" t="str">
            <v>Commissions - gross</v>
          </cell>
          <cell r="Y17277" t="str">
            <v>UNITED STATES</v>
          </cell>
        </row>
        <row r="17278">
          <cell r="L17278" t="str">
            <v>Non-proportional</v>
          </cell>
          <cell r="S17278">
            <v>1483.16</v>
          </cell>
          <cell r="X17278" t="str">
            <v>Commissions - gross</v>
          </cell>
          <cell r="Y17278" t="str">
            <v>CYPRUS</v>
          </cell>
        </row>
        <row r="17279">
          <cell r="L17279" t="str">
            <v>Non-proportional</v>
          </cell>
          <cell r="S17279">
            <v>55</v>
          </cell>
          <cell r="X17279" t="str">
            <v>Commissions - gross</v>
          </cell>
          <cell r="Y17279" t="str">
            <v>GERMANY</v>
          </cell>
        </row>
        <row r="17280">
          <cell r="L17280" t="str">
            <v>Non-proportional</v>
          </cell>
          <cell r="S17280">
            <v>558.72</v>
          </cell>
          <cell r="X17280" t="str">
            <v>Commissions - gross</v>
          </cell>
          <cell r="Y17280" t="str">
            <v>NEW ZEALAND</v>
          </cell>
        </row>
        <row r="17281">
          <cell r="L17281" t="str">
            <v>Proportional</v>
          </cell>
          <cell r="S17281">
            <v>2300.5100000000002</v>
          </cell>
          <cell r="X17281" t="str">
            <v>Commissions - gross</v>
          </cell>
          <cell r="Y17281" t="str">
            <v>AUSTRALIA</v>
          </cell>
        </row>
        <row r="17282">
          <cell r="L17282" t="str">
            <v>Non-proportional</v>
          </cell>
          <cell r="S17282">
            <v>-11122.57</v>
          </cell>
          <cell r="X17282" t="str">
            <v>Commissions - gross</v>
          </cell>
          <cell r="Y17282" t="str">
            <v>NEW ZEALAND</v>
          </cell>
        </row>
        <row r="17283">
          <cell r="L17283" t="str">
            <v>Non-proportional</v>
          </cell>
          <cell r="S17283">
            <v>-23827.72</v>
          </cell>
          <cell r="X17283" t="str">
            <v>Commissions - gross</v>
          </cell>
          <cell r="Y17283" t="str">
            <v>FRANCE</v>
          </cell>
        </row>
        <row r="17284">
          <cell r="L17284" t="str">
            <v>Proportional</v>
          </cell>
          <cell r="S17284">
            <v>118.85</v>
          </cell>
          <cell r="X17284" t="str">
            <v>Commissions - gross</v>
          </cell>
          <cell r="Y17284" t="str">
            <v>UNITED STATES</v>
          </cell>
        </row>
        <row r="17285">
          <cell r="L17285" t="str">
            <v>Non-proportional</v>
          </cell>
          <cell r="S17285">
            <v>-5797.94</v>
          </cell>
          <cell r="X17285" t="str">
            <v>Commissions - gross</v>
          </cell>
          <cell r="Y17285" t="str">
            <v>NEW ZEALAND</v>
          </cell>
        </row>
        <row r="17286">
          <cell r="L17286" t="str">
            <v>Non-proportional</v>
          </cell>
          <cell r="S17286">
            <v>-2698.79</v>
          </cell>
          <cell r="X17286" t="str">
            <v>Commissions - gross</v>
          </cell>
          <cell r="Y17286" t="str">
            <v>UNITED KINGDOM</v>
          </cell>
        </row>
        <row r="17287">
          <cell r="L17287" t="str">
            <v>Non-proportional</v>
          </cell>
          <cell r="S17287">
            <v>-1916.87</v>
          </cell>
          <cell r="X17287" t="str">
            <v>Commissions - gross</v>
          </cell>
          <cell r="Y17287" t="str">
            <v>NEW ZEALAND</v>
          </cell>
        </row>
        <row r="17288">
          <cell r="L17288" t="str">
            <v>Non-proportional</v>
          </cell>
          <cell r="S17288">
            <v>1168.6600000000001</v>
          </cell>
          <cell r="X17288" t="str">
            <v>Commissions - gross</v>
          </cell>
          <cell r="Y17288" t="str">
            <v>SOUTH AFRICA</v>
          </cell>
        </row>
        <row r="17289">
          <cell r="L17289" t="str">
            <v>Non-proportional</v>
          </cell>
          <cell r="S17289">
            <v>17564.189999999999</v>
          </cell>
          <cell r="X17289" t="str">
            <v>Commissions - gross</v>
          </cell>
          <cell r="Y17289" t="str">
            <v>PUERTO RICO</v>
          </cell>
        </row>
        <row r="17290">
          <cell r="L17290" t="str">
            <v>Proportional</v>
          </cell>
          <cell r="S17290">
            <v>72.06</v>
          </cell>
          <cell r="X17290" t="str">
            <v>Commissions - gross</v>
          </cell>
          <cell r="Y17290" t="str">
            <v>UNITED STATES</v>
          </cell>
        </row>
        <row r="17291">
          <cell r="L17291" t="str">
            <v>Proportional</v>
          </cell>
          <cell r="S17291">
            <v>-4540.3500000000004</v>
          </cell>
          <cell r="X17291" t="str">
            <v>Commissions - gross</v>
          </cell>
          <cell r="Y17291" t="str">
            <v>AUSTRALIA</v>
          </cell>
        </row>
        <row r="17292">
          <cell r="L17292" t="str">
            <v>Non-proportional</v>
          </cell>
          <cell r="S17292">
            <v>2221.5500000000002</v>
          </cell>
          <cell r="X17292" t="str">
            <v>Commissions - gross</v>
          </cell>
          <cell r="Y17292" t="str">
            <v>FRANCE</v>
          </cell>
        </row>
        <row r="17293">
          <cell r="L17293" t="str">
            <v>Non-proportional</v>
          </cell>
          <cell r="S17293">
            <v>-11887.15</v>
          </cell>
          <cell r="X17293" t="str">
            <v>Commissions - gross</v>
          </cell>
          <cell r="Y17293" t="str">
            <v>MEXICO</v>
          </cell>
        </row>
        <row r="17294">
          <cell r="L17294" t="str">
            <v>Non-proportional</v>
          </cell>
          <cell r="S17294">
            <v>-523.76</v>
          </cell>
          <cell r="X17294" t="str">
            <v>Commissions - gross</v>
          </cell>
          <cell r="Y17294" t="str">
            <v>NEW ZEALAND</v>
          </cell>
        </row>
        <row r="17295">
          <cell r="L17295" t="str">
            <v>Non-proportional</v>
          </cell>
          <cell r="S17295">
            <v>20425.21</v>
          </cell>
          <cell r="X17295" t="str">
            <v>Commissions - gross</v>
          </cell>
          <cell r="Y17295" t="str">
            <v>UNITED KINGDOM</v>
          </cell>
        </row>
        <row r="17296">
          <cell r="L17296" t="str">
            <v>Proportional</v>
          </cell>
          <cell r="S17296">
            <v>1204.57</v>
          </cell>
          <cell r="X17296" t="str">
            <v>Commissions - gross</v>
          </cell>
          <cell r="Y17296" t="str">
            <v>AUSTRALIA</v>
          </cell>
        </row>
        <row r="17297">
          <cell r="L17297" t="str">
            <v>Proportional</v>
          </cell>
          <cell r="S17297">
            <v>-379.6</v>
          </cell>
          <cell r="X17297" t="str">
            <v>Commissions - gross</v>
          </cell>
          <cell r="Y17297" t="str">
            <v>AUSTRALIA</v>
          </cell>
        </row>
        <row r="17298">
          <cell r="L17298" t="str">
            <v>Non-proportional</v>
          </cell>
          <cell r="S17298">
            <v>-2595.86</v>
          </cell>
          <cell r="X17298" t="str">
            <v>Commissions - gross</v>
          </cell>
          <cell r="Y17298" t="str">
            <v>SLOVENIA</v>
          </cell>
        </row>
        <row r="17299">
          <cell r="L17299" t="str">
            <v>Non-proportional</v>
          </cell>
          <cell r="S17299">
            <v>548.25</v>
          </cell>
          <cell r="X17299" t="str">
            <v>Commissions - gross</v>
          </cell>
          <cell r="Y17299" t="str">
            <v>CYPRUS</v>
          </cell>
        </row>
        <row r="17300">
          <cell r="L17300" t="str">
            <v>Non-proportional</v>
          </cell>
          <cell r="S17300">
            <v>-126868</v>
          </cell>
          <cell r="X17300" t="str">
            <v>Commissions - gross</v>
          </cell>
          <cell r="Y17300" t="str">
            <v>FRANCE</v>
          </cell>
        </row>
        <row r="17301">
          <cell r="L17301" t="str">
            <v>Non-proportional</v>
          </cell>
          <cell r="S17301">
            <v>446.83</v>
          </cell>
          <cell r="X17301" t="str">
            <v>Commissions - gross</v>
          </cell>
          <cell r="Y17301" t="str">
            <v>ECUADOR</v>
          </cell>
        </row>
        <row r="17302">
          <cell r="L17302" t="str">
            <v>Non-proportional</v>
          </cell>
          <cell r="S17302">
            <v>-749.54</v>
          </cell>
          <cell r="X17302" t="str">
            <v>Commissions - gross</v>
          </cell>
          <cell r="Y17302" t="str">
            <v>ITALY</v>
          </cell>
        </row>
        <row r="17303">
          <cell r="L17303" t="str">
            <v>Non-proportional</v>
          </cell>
          <cell r="S17303">
            <v>-1034.52</v>
          </cell>
          <cell r="X17303" t="str">
            <v>Commissions - gross</v>
          </cell>
          <cell r="Y17303" t="str">
            <v>ECUADOR</v>
          </cell>
        </row>
        <row r="17304">
          <cell r="L17304" t="str">
            <v>Non-proportional</v>
          </cell>
          <cell r="S17304">
            <v>1916.87</v>
          </cell>
          <cell r="X17304" t="str">
            <v>Commissions - gross</v>
          </cell>
          <cell r="Y17304" t="str">
            <v>NEW ZEALAND</v>
          </cell>
        </row>
        <row r="17305">
          <cell r="L17305" t="str">
            <v>Non-proportional</v>
          </cell>
          <cell r="S17305">
            <v>972.93</v>
          </cell>
          <cell r="X17305" t="str">
            <v>Commissions - gross</v>
          </cell>
          <cell r="Y17305" t="str">
            <v>FRANCE</v>
          </cell>
        </row>
        <row r="17306">
          <cell r="L17306" t="str">
            <v>Non-proportional</v>
          </cell>
          <cell r="S17306">
            <v>-2664.38</v>
          </cell>
          <cell r="X17306" t="str">
            <v>Commissions - gross</v>
          </cell>
          <cell r="Y17306" t="str">
            <v>ITALY</v>
          </cell>
        </row>
        <row r="17307">
          <cell r="L17307" t="str">
            <v>Non-proportional</v>
          </cell>
          <cell r="S17307">
            <v>284.77</v>
          </cell>
          <cell r="X17307" t="str">
            <v>Commissions - gross</v>
          </cell>
          <cell r="Y17307" t="str">
            <v>GERMANY</v>
          </cell>
        </row>
        <row r="17308">
          <cell r="L17308" t="str">
            <v>Non-proportional</v>
          </cell>
          <cell r="S17308">
            <v>2012.56</v>
          </cell>
          <cell r="X17308" t="str">
            <v>Commissions - gross</v>
          </cell>
          <cell r="Y17308" t="str">
            <v>ISRAEL</v>
          </cell>
        </row>
        <row r="17309">
          <cell r="L17309" t="str">
            <v>Non-proportional</v>
          </cell>
          <cell r="S17309">
            <v>-2743.49</v>
          </cell>
          <cell r="X17309" t="str">
            <v>Commissions - gross</v>
          </cell>
          <cell r="Y17309" t="str">
            <v>UNITED KINGDOM</v>
          </cell>
        </row>
        <row r="17310">
          <cell r="L17310" t="str">
            <v>Non-proportional</v>
          </cell>
          <cell r="S17310">
            <v>3772</v>
          </cell>
          <cell r="X17310" t="str">
            <v>Commissions - gross</v>
          </cell>
          <cell r="Y17310" t="str">
            <v>GERMANY</v>
          </cell>
        </row>
        <row r="17311">
          <cell r="L17311" t="str">
            <v>Non-proportional</v>
          </cell>
          <cell r="S17311">
            <v>9149</v>
          </cell>
          <cell r="X17311" t="str">
            <v>Commissions - gross</v>
          </cell>
          <cell r="Y17311" t="str">
            <v>GERMANY</v>
          </cell>
        </row>
        <row r="17312">
          <cell r="L17312" t="str">
            <v>Non-proportional</v>
          </cell>
          <cell r="S17312">
            <v>10626</v>
          </cell>
          <cell r="X17312" t="str">
            <v>Commissions - gross</v>
          </cell>
          <cell r="Y17312" t="str">
            <v>GERMANY</v>
          </cell>
        </row>
        <row r="17313">
          <cell r="L17313" t="str">
            <v>Non-proportional</v>
          </cell>
          <cell r="S17313">
            <v>11340</v>
          </cell>
          <cell r="X17313" t="str">
            <v>Commissions - gross</v>
          </cell>
          <cell r="Y17313" t="str">
            <v>GERMANY</v>
          </cell>
        </row>
        <row r="17314">
          <cell r="L17314" t="str">
            <v>Non-proportional</v>
          </cell>
          <cell r="S17314">
            <v>2496.39</v>
          </cell>
          <cell r="X17314" t="str">
            <v>Commissions - gross</v>
          </cell>
          <cell r="Y17314" t="str">
            <v>JAPAN</v>
          </cell>
        </row>
        <row r="17315">
          <cell r="L17315" t="str">
            <v>Non-proportional</v>
          </cell>
          <cell r="S17315">
            <v>9149</v>
          </cell>
          <cell r="X17315" t="str">
            <v>Commissions - gross</v>
          </cell>
          <cell r="Y17315" t="str">
            <v>GERMANY</v>
          </cell>
        </row>
        <row r="17316">
          <cell r="L17316" t="str">
            <v>Non-proportional</v>
          </cell>
          <cell r="S17316">
            <v>3354.56</v>
          </cell>
          <cell r="X17316" t="str">
            <v>Commissions - gross</v>
          </cell>
          <cell r="Y17316" t="str">
            <v>CHINA</v>
          </cell>
        </row>
        <row r="17317">
          <cell r="L17317" t="str">
            <v>Non-proportional</v>
          </cell>
          <cell r="S17317">
            <v>-924.94</v>
          </cell>
          <cell r="X17317" t="str">
            <v>Commissions - gross</v>
          </cell>
          <cell r="Y17317" t="str">
            <v>ITALY</v>
          </cell>
        </row>
        <row r="17318">
          <cell r="L17318" t="str">
            <v>Non-proportional</v>
          </cell>
          <cell r="S17318">
            <v>-2074.6999999999998</v>
          </cell>
          <cell r="X17318" t="str">
            <v>Commissions - gross</v>
          </cell>
          <cell r="Y17318" t="str">
            <v>FRANCE</v>
          </cell>
        </row>
        <row r="17319">
          <cell r="L17319" t="str">
            <v>Non-proportional</v>
          </cell>
          <cell r="S17319">
            <v>2659.59</v>
          </cell>
          <cell r="X17319" t="str">
            <v>Commissions - gross</v>
          </cell>
          <cell r="Y17319" t="str">
            <v>THAILAND</v>
          </cell>
        </row>
        <row r="17320">
          <cell r="L17320" t="str">
            <v>Non-proportional</v>
          </cell>
          <cell r="S17320">
            <v>2595.86</v>
          </cell>
          <cell r="X17320" t="str">
            <v>Commissions - gross</v>
          </cell>
          <cell r="Y17320" t="str">
            <v>SLOVENIA</v>
          </cell>
        </row>
        <row r="17321">
          <cell r="L17321" t="str">
            <v>Non-proportional</v>
          </cell>
          <cell r="S17321">
            <v>248.16</v>
          </cell>
          <cell r="X17321" t="str">
            <v>Commissions - gross</v>
          </cell>
          <cell r="Y17321" t="str">
            <v>CYPRUS</v>
          </cell>
        </row>
        <row r="17322">
          <cell r="L17322" t="str">
            <v>Non-proportional</v>
          </cell>
          <cell r="S17322">
            <v>3207.16</v>
          </cell>
          <cell r="X17322" t="str">
            <v>Commissions - gross</v>
          </cell>
          <cell r="Y17322" t="str">
            <v>THAILAND</v>
          </cell>
        </row>
        <row r="17323">
          <cell r="L17323" t="str">
            <v>Proportional</v>
          </cell>
          <cell r="S17323">
            <v>-232.99</v>
          </cell>
          <cell r="X17323" t="str">
            <v>Commissions - gross</v>
          </cell>
          <cell r="Y17323" t="str">
            <v>AUSTRALIA</v>
          </cell>
        </row>
        <row r="17324">
          <cell r="L17324" t="str">
            <v>Non-proportional</v>
          </cell>
          <cell r="S17324">
            <v>27731.21</v>
          </cell>
          <cell r="X17324" t="str">
            <v>Commissions - gross</v>
          </cell>
          <cell r="Y17324" t="str">
            <v>PUERTO RICO</v>
          </cell>
        </row>
        <row r="17325">
          <cell r="L17325" t="str">
            <v>Non-proportional</v>
          </cell>
          <cell r="S17325">
            <v>4485.09</v>
          </cell>
          <cell r="X17325" t="str">
            <v>Commissions - gross</v>
          </cell>
          <cell r="Y17325" t="str">
            <v>CHINA</v>
          </cell>
        </row>
        <row r="17326">
          <cell r="L17326" t="str">
            <v>Proportional</v>
          </cell>
          <cell r="S17326">
            <v>-8372.07</v>
          </cell>
          <cell r="X17326" t="str">
            <v>Commissions - gross</v>
          </cell>
          <cell r="Y17326" t="str">
            <v>UNITED STATES</v>
          </cell>
        </row>
        <row r="17327">
          <cell r="L17327" t="str">
            <v>Proportional</v>
          </cell>
          <cell r="S17327">
            <v>40.31</v>
          </cell>
          <cell r="X17327" t="str">
            <v>Commissions - gross</v>
          </cell>
          <cell r="Y17327" t="str">
            <v>UNITED STATES</v>
          </cell>
        </row>
        <row r="17328">
          <cell r="L17328" t="str">
            <v>Non-proportional</v>
          </cell>
          <cell r="S17328">
            <v>-9149</v>
          </cell>
          <cell r="X17328" t="str">
            <v>Commissions - gross</v>
          </cell>
          <cell r="Y17328" t="str">
            <v>GERMANY</v>
          </cell>
        </row>
        <row r="17329">
          <cell r="L17329" t="str">
            <v>Non-proportional</v>
          </cell>
          <cell r="S17329">
            <v>1771.78</v>
          </cell>
          <cell r="X17329" t="str">
            <v>Commissions - gross</v>
          </cell>
          <cell r="Y17329" t="str">
            <v>SWEDEN</v>
          </cell>
        </row>
        <row r="17330">
          <cell r="L17330" t="str">
            <v>Non-proportional</v>
          </cell>
          <cell r="S17330">
            <v>3548.79</v>
          </cell>
          <cell r="X17330" t="str">
            <v>Commissions - gross</v>
          </cell>
          <cell r="Y17330" t="str">
            <v>JAPAN</v>
          </cell>
        </row>
        <row r="17331">
          <cell r="L17331" t="str">
            <v>Non-proportional</v>
          </cell>
          <cell r="S17331">
            <v>-1015</v>
          </cell>
          <cell r="X17331" t="str">
            <v>Commissions - gross</v>
          </cell>
          <cell r="Y17331" t="str">
            <v>GERMANY</v>
          </cell>
        </row>
        <row r="17332">
          <cell r="L17332" t="str">
            <v>Proportional</v>
          </cell>
          <cell r="S17332">
            <v>-129.6</v>
          </cell>
          <cell r="X17332" t="str">
            <v>Commissions - gross</v>
          </cell>
          <cell r="Y17332" t="str">
            <v>UNITED STATES</v>
          </cell>
        </row>
        <row r="17333">
          <cell r="L17333" t="str">
            <v>Non-proportional</v>
          </cell>
          <cell r="S17333">
            <v>1849.75</v>
          </cell>
          <cell r="X17333" t="str">
            <v>Commissions - gross</v>
          </cell>
          <cell r="Y17333" t="str">
            <v>INDIA</v>
          </cell>
        </row>
        <row r="17334">
          <cell r="L17334" t="str">
            <v>Non-proportional</v>
          </cell>
          <cell r="S17334">
            <v>1332.72</v>
          </cell>
          <cell r="X17334" t="str">
            <v>Commissions - gross</v>
          </cell>
          <cell r="Y17334" t="str">
            <v>FRANCE</v>
          </cell>
        </row>
        <row r="17335">
          <cell r="L17335" t="str">
            <v>Non-proportional</v>
          </cell>
          <cell r="S17335">
            <v>3097.5</v>
          </cell>
          <cell r="X17335" t="str">
            <v>Commissions - gross</v>
          </cell>
          <cell r="Y17335" t="str">
            <v>ITALY</v>
          </cell>
        </row>
        <row r="17336">
          <cell r="L17336" t="str">
            <v>Non-proportional</v>
          </cell>
          <cell r="S17336">
            <v>3187.6</v>
          </cell>
          <cell r="X17336" t="str">
            <v>Commissions - gross</v>
          </cell>
          <cell r="Y17336" t="str">
            <v>THAILAND</v>
          </cell>
        </row>
        <row r="17337">
          <cell r="L17337" t="str">
            <v>Proportional</v>
          </cell>
          <cell r="S17337">
            <v>-1204.57</v>
          </cell>
          <cell r="X17337" t="str">
            <v>Commissions - gross</v>
          </cell>
          <cell r="Y17337" t="str">
            <v>AUSTRALIA</v>
          </cell>
        </row>
        <row r="17338">
          <cell r="L17338" t="str">
            <v>Non-proportional</v>
          </cell>
          <cell r="S17338">
            <v>11122.57</v>
          </cell>
          <cell r="X17338" t="str">
            <v>Commissions - gross</v>
          </cell>
          <cell r="Y17338" t="str">
            <v>NEW ZEALAND</v>
          </cell>
        </row>
        <row r="17339">
          <cell r="L17339" t="str">
            <v>Non-proportional</v>
          </cell>
          <cell r="S17339">
            <v>906.18</v>
          </cell>
          <cell r="X17339" t="str">
            <v>Commissions - gross</v>
          </cell>
          <cell r="Y17339" t="str">
            <v>SOUTH AFRICA</v>
          </cell>
        </row>
        <row r="17340">
          <cell r="L17340" t="str">
            <v>Non-proportional</v>
          </cell>
          <cell r="S17340">
            <v>-1414.26</v>
          </cell>
          <cell r="X17340" t="str">
            <v>Commissions - gross</v>
          </cell>
          <cell r="Y17340" t="str">
            <v>SLOVENIA</v>
          </cell>
        </row>
        <row r="17341">
          <cell r="L17341" t="str">
            <v>Non-proportional</v>
          </cell>
          <cell r="S17341">
            <v>-548</v>
          </cell>
          <cell r="X17341" t="str">
            <v>Commissions - gross</v>
          </cell>
          <cell r="Y17341" t="str">
            <v>CHILE</v>
          </cell>
        </row>
        <row r="17342">
          <cell r="L17342" t="str">
            <v>Proportional</v>
          </cell>
          <cell r="S17342">
            <v>3140.9</v>
          </cell>
          <cell r="X17342" t="str">
            <v>Commissions - gross</v>
          </cell>
          <cell r="Y17342" t="str">
            <v>AUSTRALIA</v>
          </cell>
        </row>
        <row r="17343">
          <cell r="L17343" t="str">
            <v>Non-proportional</v>
          </cell>
          <cell r="S17343">
            <v>-328.8</v>
          </cell>
          <cell r="X17343" t="str">
            <v>Commissions - gross</v>
          </cell>
          <cell r="Y17343" t="str">
            <v>CHILE</v>
          </cell>
        </row>
        <row r="17344">
          <cell r="L17344" t="str">
            <v>Non-proportional</v>
          </cell>
          <cell r="S17344">
            <v>2595.86</v>
          </cell>
          <cell r="X17344" t="str">
            <v>Commissions - gross</v>
          </cell>
          <cell r="Y17344" t="str">
            <v>SLOVENIA</v>
          </cell>
        </row>
        <row r="17345">
          <cell r="L17345" t="str">
            <v>Non-proportional</v>
          </cell>
          <cell r="S17345">
            <v>-548.25</v>
          </cell>
          <cell r="X17345" t="str">
            <v>Commissions - gross</v>
          </cell>
          <cell r="Y17345" t="str">
            <v>CYPRUS</v>
          </cell>
        </row>
        <row r="17346">
          <cell r="L17346" t="str">
            <v>Proportional</v>
          </cell>
          <cell r="S17346">
            <v>-887.1</v>
          </cell>
          <cell r="X17346" t="str">
            <v>Commissions - gross</v>
          </cell>
          <cell r="Y17346" t="str">
            <v>AUSTRALIA</v>
          </cell>
        </row>
        <row r="17347">
          <cell r="L17347" t="str">
            <v>Non-proportional</v>
          </cell>
          <cell r="S17347">
            <v>-9149</v>
          </cell>
          <cell r="X17347" t="str">
            <v>Commissions - gross</v>
          </cell>
          <cell r="Y17347" t="str">
            <v>GERMANY</v>
          </cell>
        </row>
        <row r="17348">
          <cell r="L17348" t="str">
            <v>Non-proportional</v>
          </cell>
          <cell r="S17348">
            <v>1704.77</v>
          </cell>
          <cell r="X17348" t="str">
            <v>Commissions - gross</v>
          </cell>
          <cell r="Y17348" t="str">
            <v>ITALY</v>
          </cell>
        </row>
        <row r="17349">
          <cell r="L17349" t="str">
            <v>Non-proportional</v>
          </cell>
          <cell r="S17349">
            <v>-2374.35</v>
          </cell>
          <cell r="X17349" t="str">
            <v>Commissions - gross</v>
          </cell>
          <cell r="Y17349" t="str">
            <v>UNITED KINGDOM</v>
          </cell>
        </row>
        <row r="17350">
          <cell r="L17350" t="str">
            <v>Non-proportional</v>
          </cell>
          <cell r="S17350">
            <v>1039.03</v>
          </cell>
          <cell r="X17350" t="str">
            <v>Commissions - gross</v>
          </cell>
          <cell r="Y17350" t="str">
            <v>ECUADOR</v>
          </cell>
        </row>
        <row r="17351">
          <cell r="L17351" t="str">
            <v>Non-proportional</v>
          </cell>
          <cell r="S17351">
            <v>-3548.79</v>
          </cell>
          <cell r="X17351" t="str">
            <v>Commissions - gross</v>
          </cell>
          <cell r="Y17351" t="str">
            <v>JAPAN</v>
          </cell>
        </row>
        <row r="17352">
          <cell r="L17352" t="str">
            <v>Non-proportional</v>
          </cell>
          <cell r="S17352">
            <v>-1039.03</v>
          </cell>
          <cell r="X17352" t="str">
            <v>Commissions - gross</v>
          </cell>
          <cell r="Y17352" t="str">
            <v>ECUADOR</v>
          </cell>
        </row>
        <row r="17353">
          <cell r="L17353" t="str">
            <v>Non-proportional</v>
          </cell>
          <cell r="S17353">
            <v>-1647.2</v>
          </cell>
          <cell r="X17353" t="str">
            <v>Commissions - gross</v>
          </cell>
          <cell r="Y17353" t="str">
            <v>FRANCE</v>
          </cell>
        </row>
        <row r="17354">
          <cell r="L17354" t="str">
            <v>Non-proportional</v>
          </cell>
          <cell r="S17354">
            <v>1139.6199999999999</v>
          </cell>
          <cell r="X17354" t="str">
            <v>Commissions - gross</v>
          </cell>
          <cell r="Y17354" t="str">
            <v>FRANCE</v>
          </cell>
        </row>
        <row r="17355">
          <cell r="L17355" t="str">
            <v>Proportional</v>
          </cell>
          <cell r="S17355">
            <v>129.6</v>
          </cell>
          <cell r="X17355" t="str">
            <v>Commissions - gross</v>
          </cell>
          <cell r="Y17355" t="str">
            <v>UNITED STATES</v>
          </cell>
        </row>
        <row r="17356">
          <cell r="L17356" t="str">
            <v>Non-proportional</v>
          </cell>
          <cell r="S17356">
            <v>-4523.46</v>
          </cell>
          <cell r="X17356" t="str">
            <v>Commissions - gross</v>
          </cell>
          <cell r="Y17356" t="str">
            <v>SLOVENIA</v>
          </cell>
        </row>
        <row r="17357">
          <cell r="L17357" t="str">
            <v>Proportional</v>
          </cell>
          <cell r="S17357">
            <v>4540.3500000000004</v>
          </cell>
          <cell r="X17357" t="str">
            <v>Commissions - gross</v>
          </cell>
          <cell r="Y17357" t="str">
            <v>AUSTRALIA</v>
          </cell>
        </row>
        <row r="17358">
          <cell r="L17358" t="str">
            <v>Non-proportional</v>
          </cell>
          <cell r="S17358">
            <v>-3530.28</v>
          </cell>
          <cell r="X17358" t="str">
            <v>Commissions - gross</v>
          </cell>
          <cell r="Y17358" t="str">
            <v>JAPAN</v>
          </cell>
        </row>
        <row r="17359">
          <cell r="L17359" t="str">
            <v>Non-proportional</v>
          </cell>
          <cell r="S17359">
            <v>11887.15</v>
          </cell>
          <cell r="X17359" t="str">
            <v>Commissions - gross</v>
          </cell>
          <cell r="Y17359" t="str">
            <v>MEXICO</v>
          </cell>
        </row>
        <row r="17360">
          <cell r="L17360" t="str">
            <v>Non-proportional</v>
          </cell>
          <cell r="S17360">
            <v>6565.24</v>
          </cell>
          <cell r="X17360" t="str">
            <v>Commissions - gross</v>
          </cell>
          <cell r="Y17360" t="str">
            <v>UNITED KINGDOM</v>
          </cell>
        </row>
        <row r="17361">
          <cell r="L17361" t="str">
            <v>Non-proportional</v>
          </cell>
          <cell r="S17361">
            <v>-851.13</v>
          </cell>
          <cell r="X17361" t="str">
            <v>Commissions - gross</v>
          </cell>
          <cell r="Y17361" t="str">
            <v>SWEDEN</v>
          </cell>
        </row>
        <row r="17362">
          <cell r="L17362" t="str">
            <v>Non-proportional</v>
          </cell>
          <cell r="S17362">
            <v>-201.2</v>
          </cell>
          <cell r="X17362" t="str">
            <v>Commissions - gross</v>
          </cell>
          <cell r="Y17362" t="str">
            <v>NEW ZEALAND</v>
          </cell>
        </row>
        <row r="17363">
          <cell r="L17363" t="str">
            <v>Non-proportional</v>
          </cell>
          <cell r="S17363">
            <v>-1359.58</v>
          </cell>
          <cell r="X17363" t="str">
            <v>Commissions - gross</v>
          </cell>
          <cell r="Y17363" t="str">
            <v>INDIA</v>
          </cell>
        </row>
        <row r="17364">
          <cell r="L17364" t="str">
            <v>Non-proportional</v>
          </cell>
          <cell r="S17364">
            <v>-1059.47</v>
          </cell>
          <cell r="X17364" t="str">
            <v>Commissions - gross</v>
          </cell>
          <cell r="Y17364" t="str">
            <v>CHILE</v>
          </cell>
        </row>
        <row r="17365">
          <cell r="L17365" t="str">
            <v>Non-proportional</v>
          </cell>
          <cell r="S17365">
            <v>32242.65</v>
          </cell>
          <cell r="X17365" t="str">
            <v>Commissions - gross</v>
          </cell>
          <cell r="Y17365" t="str">
            <v>UNITED KINGDOM</v>
          </cell>
        </row>
        <row r="17366">
          <cell r="L17366" t="str">
            <v>Non-proportional</v>
          </cell>
          <cell r="S17366">
            <v>5797.94</v>
          </cell>
          <cell r="X17366" t="str">
            <v>Commissions - gross</v>
          </cell>
          <cell r="Y17366" t="str">
            <v>NEW ZEALAND</v>
          </cell>
        </row>
        <row r="17367">
          <cell r="L17367" t="str">
            <v>Non-proportional</v>
          </cell>
          <cell r="S17367">
            <v>-2436</v>
          </cell>
          <cell r="X17367" t="str">
            <v>Commissions - gross</v>
          </cell>
          <cell r="Y17367" t="str">
            <v>GERMANY</v>
          </cell>
        </row>
        <row r="17368">
          <cell r="L17368" t="str">
            <v>Non-proportional</v>
          </cell>
          <cell r="S17368">
            <v>-1332.72</v>
          </cell>
          <cell r="X17368" t="str">
            <v>Commissions - gross</v>
          </cell>
          <cell r="Y17368" t="str">
            <v>FRANCE</v>
          </cell>
        </row>
        <row r="17369">
          <cell r="L17369" t="str">
            <v>Non-proportional</v>
          </cell>
          <cell r="S17369">
            <v>-27348.27</v>
          </cell>
          <cell r="X17369" t="str">
            <v>Commissions - gross</v>
          </cell>
          <cell r="Y17369" t="str">
            <v>UNITED KINGDOM</v>
          </cell>
        </row>
        <row r="17370">
          <cell r="L17370" t="str">
            <v>Non-proportional</v>
          </cell>
          <cell r="S17370">
            <v>1414.26</v>
          </cell>
          <cell r="X17370" t="str">
            <v>Commissions - gross</v>
          </cell>
          <cell r="Y17370" t="str">
            <v>SLOVENIA</v>
          </cell>
        </row>
        <row r="17371">
          <cell r="L17371" t="str">
            <v>Non-proportional</v>
          </cell>
          <cell r="S17371">
            <v>-705.18</v>
          </cell>
          <cell r="X17371" t="str">
            <v>Commissions - gross</v>
          </cell>
          <cell r="Y17371" t="str">
            <v>NEW ZEALAND</v>
          </cell>
        </row>
        <row r="17372">
          <cell r="L17372" t="str">
            <v>Non-proportional</v>
          </cell>
          <cell r="S17372">
            <v>7000.12</v>
          </cell>
          <cell r="X17372" t="str">
            <v>Commissions - gross</v>
          </cell>
          <cell r="Y17372" t="str">
            <v>NEW ZEALAND</v>
          </cell>
        </row>
        <row r="17373">
          <cell r="L17373" t="str">
            <v>Non-proportional</v>
          </cell>
          <cell r="S17373">
            <v>-11340</v>
          </cell>
          <cell r="X17373" t="str">
            <v>Commissions - gross</v>
          </cell>
          <cell r="Y17373" t="str">
            <v>GERMANY</v>
          </cell>
        </row>
        <row r="17374">
          <cell r="L17374" t="str">
            <v>Non-proportional</v>
          </cell>
          <cell r="S17374">
            <v>10032.700000000001</v>
          </cell>
          <cell r="X17374" t="str">
            <v>Commissions - gross</v>
          </cell>
          <cell r="Y17374" t="str">
            <v>UNITED KINGDOM</v>
          </cell>
        </row>
        <row r="17375">
          <cell r="L17375" t="str">
            <v>Non-proportional</v>
          </cell>
          <cell r="S17375">
            <v>10626</v>
          </cell>
          <cell r="X17375" t="str">
            <v>Commissions - gross</v>
          </cell>
          <cell r="Y17375" t="str">
            <v>GERMANY</v>
          </cell>
        </row>
        <row r="17376">
          <cell r="L17376" t="str">
            <v>Non-proportional</v>
          </cell>
          <cell r="S17376">
            <v>1505.51</v>
          </cell>
          <cell r="X17376" t="str">
            <v>Commissions - gross</v>
          </cell>
          <cell r="Y17376" t="str">
            <v>SLOVENIA</v>
          </cell>
        </row>
        <row r="17377">
          <cell r="L17377" t="str">
            <v>Non-proportional</v>
          </cell>
          <cell r="S17377">
            <v>-867.26</v>
          </cell>
          <cell r="X17377" t="str">
            <v>Commissions - gross</v>
          </cell>
          <cell r="Y17377" t="str">
            <v>NEW ZEALAND</v>
          </cell>
        </row>
        <row r="17378">
          <cell r="L17378" t="str">
            <v>Proportional</v>
          </cell>
          <cell r="S17378">
            <v>887.1</v>
          </cell>
          <cell r="X17378" t="str">
            <v>Commissions - gross</v>
          </cell>
          <cell r="Y17378" t="str">
            <v>AUSTRALIA</v>
          </cell>
        </row>
        <row r="17379">
          <cell r="L17379" t="str">
            <v>Non-proportional</v>
          </cell>
          <cell r="S17379">
            <v>-23999.82</v>
          </cell>
          <cell r="X17379" t="str">
            <v>Commissions - gross</v>
          </cell>
          <cell r="Y17379" t="str">
            <v>FRANCE</v>
          </cell>
        </row>
        <row r="17380">
          <cell r="L17380" t="str">
            <v>Non-proportional</v>
          </cell>
          <cell r="S17380">
            <v>-37774.82</v>
          </cell>
          <cell r="X17380" t="str">
            <v>Commissions - gross</v>
          </cell>
          <cell r="Y17380" t="str">
            <v>UNITED KINGDOM</v>
          </cell>
        </row>
        <row r="17381">
          <cell r="L17381" t="str">
            <v>Non-proportional</v>
          </cell>
          <cell r="S17381">
            <v>1890.49</v>
          </cell>
          <cell r="X17381" t="str">
            <v>Commissions - gross</v>
          </cell>
          <cell r="Y17381" t="str">
            <v>SOUTH AFRICA</v>
          </cell>
        </row>
        <row r="17382">
          <cell r="L17382" t="str">
            <v>Non-proportional</v>
          </cell>
          <cell r="S17382">
            <v>-5797.94</v>
          </cell>
          <cell r="X17382" t="str">
            <v>Commissions - gross</v>
          </cell>
          <cell r="Y17382" t="str">
            <v>NEW ZEALAND</v>
          </cell>
        </row>
        <row r="17383">
          <cell r="L17383" t="str">
            <v>Non-proportional</v>
          </cell>
          <cell r="S17383">
            <v>5797.94</v>
          </cell>
          <cell r="X17383" t="str">
            <v>Commissions - gross</v>
          </cell>
          <cell r="Y17383" t="str">
            <v>NEW ZEALAND</v>
          </cell>
        </row>
        <row r="17384">
          <cell r="L17384" t="str">
            <v>Non-proportional</v>
          </cell>
          <cell r="S17384">
            <v>126868</v>
          </cell>
          <cell r="X17384" t="str">
            <v>Commissions - gross</v>
          </cell>
          <cell r="Y17384" t="str">
            <v>FRANCE</v>
          </cell>
        </row>
        <row r="17385">
          <cell r="L17385" t="str">
            <v>Non-proportional</v>
          </cell>
          <cell r="S17385">
            <v>-145.55000000000001</v>
          </cell>
          <cell r="X17385" t="str">
            <v>Commissions - gross</v>
          </cell>
          <cell r="Y17385" t="str">
            <v>NEW ZEALAND</v>
          </cell>
        </row>
        <row r="17386">
          <cell r="L17386" t="str">
            <v>Proportional</v>
          </cell>
          <cell r="S17386">
            <v>11.4</v>
          </cell>
          <cell r="X17386" t="str">
            <v>Commissions - gross</v>
          </cell>
          <cell r="Y17386" t="str">
            <v>UNITED STATES</v>
          </cell>
        </row>
        <row r="17387">
          <cell r="L17387" t="str">
            <v>Non-proportional</v>
          </cell>
          <cell r="S17387">
            <v>2983.87</v>
          </cell>
          <cell r="X17387" t="str">
            <v>Commissions - gross</v>
          </cell>
          <cell r="Y17387" t="str">
            <v>INDIA</v>
          </cell>
        </row>
        <row r="17388">
          <cell r="L17388" t="str">
            <v>Non-proportional</v>
          </cell>
          <cell r="S17388">
            <v>-2532.16</v>
          </cell>
          <cell r="X17388" t="str">
            <v>Commissions - gross</v>
          </cell>
          <cell r="Y17388" t="str">
            <v>ISRAEL</v>
          </cell>
        </row>
        <row r="17389">
          <cell r="L17389" t="str">
            <v>Proportional</v>
          </cell>
          <cell r="S17389">
            <v>-73142.86</v>
          </cell>
          <cell r="X17389" t="str">
            <v>Commissions - gross</v>
          </cell>
          <cell r="Y17389" t="str">
            <v>ITALY</v>
          </cell>
        </row>
        <row r="17390">
          <cell r="L17390" t="str">
            <v>Non-proportional</v>
          </cell>
          <cell r="S17390">
            <v>2267.8200000000002</v>
          </cell>
          <cell r="X17390" t="str">
            <v>Commissions - gross</v>
          </cell>
          <cell r="Y17390" t="str">
            <v>COLOMBIA</v>
          </cell>
        </row>
        <row r="17391">
          <cell r="L17391" t="str">
            <v>Proportional</v>
          </cell>
          <cell r="S17391">
            <v>-447.69</v>
          </cell>
          <cell r="X17391" t="str">
            <v>Commissions - gross</v>
          </cell>
          <cell r="Y17391" t="str">
            <v>ITALY</v>
          </cell>
        </row>
        <row r="17392">
          <cell r="L17392" t="str">
            <v>Proportional</v>
          </cell>
          <cell r="S17392">
            <v>3739.2</v>
          </cell>
          <cell r="X17392" t="str">
            <v>Commissions - gross</v>
          </cell>
          <cell r="Y17392" t="str">
            <v>PERU</v>
          </cell>
        </row>
        <row r="17393">
          <cell r="L17393" t="str">
            <v>Proportional</v>
          </cell>
          <cell r="S17393">
            <v>-10713.8</v>
          </cell>
          <cell r="X17393" t="str">
            <v>Commissions - gross</v>
          </cell>
          <cell r="Y17393" t="str">
            <v>UNITED STATES</v>
          </cell>
        </row>
        <row r="17394">
          <cell r="L17394" t="str">
            <v>Non-proportional</v>
          </cell>
          <cell r="S17394">
            <v>767.07</v>
          </cell>
          <cell r="X17394" t="str">
            <v>Commissions - gross</v>
          </cell>
          <cell r="Y17394" t="str">
            <v>UNITED KINGDOM</v>
          </cell>
        </row>
        <row r="17395">
          <cell r="L17395" t="str">
            <v>Proportional</v>
          </cell>
          <cell r="S17395">
            <v>-216.26</v>
          </cell>
          <cell r="X17395" t="str">
            <v>Commissions - gross</v>
          </cell>
          <cell r="Y17395" t="str">
            <v>UNITED STATES</v>
          </cell>
        </row>
        <row r="17396">
          <cell r="L17396" t="str">
            <v>Non-proportional</v>
          </cell>
          <cell r="S17396">
            <v>701.19</v>
          </cell>
          <cell r="X17396" t="str">
            <v>Commissions - gross</v>
          </cell>
          <cell r="Y17396" t="str">
            <v>FRANCE</v>
          </cell>
        </row>
        <row r="17397">
          <cell r="L17397" t="str">
            <v>Non-proportional</v>
          </cell>
          <cell r="S17397">
            <v>-839.79</v>
          </cell>
          <cell r="X17397" t="str">
            <v>Commissions - gross</v>
          </cell>
          <cell r="Y17397" t="str">
            <v>FRANCE</v>
          </cell>
        </row>
        <row r="17398">
          <cell r="L17398" t="str">
            <v>Non-proportional</v>
          </cell>
          <cell r="S17398">
            <v>1060.5</v>
          </cell>
          <cell r="X17398" t="str">
            <v>Commissions - gross</v>
          </cell>
          <cell r="Y17398" t="str">
            <v>GERMANY</v>
          </cell>
        </row>
        <row r="17399">
          <cell r="L17399" t="str">
            <v>Non-proportional</v>
          </cell>
          <cell r="S17399">
            <v>340.33</v>
          </cell>
          <cell r="X17399" t="str">
            <v>Commissions - gross</v>
          </cell>
          <cell r="Y17399" t="str">
            <v>ISRAEL</v>
          </cell>
        </row>
        <row r="17400">
          <cell r="L17400" t="str">
            <v>Non-proportional</v>
          </cell>
          <cell r="S17400">
            <v>-838.06</v>
          </cell>
          <cell r="X17400" t="str">
            <v>Commissions - gross</v>
          </cell>
          <cell r="Y17400" t="str">
            <v>FRANCE</v>
          </cell>
        </row>
        <row r="17401">
          <cell r="L17401" t="str">
            <v>Non-proportional</v>
          </cell>
          <cell r="S17401">
            <v>-1749.19</v>
          </cell>
          <cell r="X17401" t="str">
            <v>Commissions - gross</v>
          </cell>
          <cell r="Y17401" t="str">
            <v>ISRAEL</v>
          </cell>
        </row>
        <row r="17402">
          <cell r="L17402" t="str">
            <v>Proportional</v>
          </cell>
          <cell r="S17402">
            <v>14059.3</v>
          </cell>
          <cell r="X17402" t="str">
            <v>Commissions - gross</v>
          </cell>
          <cell r="Y17402" t="str">
            <v>UNITED STATES</v>
          </cell>
        </row>
        <row r="17403">
          <cell r="L17403" t="str">
            <v>Non-proportional</v>
          </cell>
          <cell r="S17403">
            <v>13130.07</v>
          </cell>
          <cell r="X17403" t="str">
            <v>Commissions - gross</v>
          </cell>
          <cell r="Y17403" t="str">
            <v>CHILE</v>
          </cell>
        </row>
        <row r="17404">
          <cell r="L17404" t="str">
            <v>Non-proportional</v>
          </cell>
          <cell r="S17404">
            <v>5682.94</v>
          </cell>
          <cell r="X17404" t="str">
            <v>Commissions - gross</v>
          </cell>
          <cell r="Y17404" t="str">
            <v>FRANCE</v>
          </cell>
        </row>
        <row r="17405">
          <cell r="L17405" t="str">
            <v>Non-proportional</v>
          </cell>
          <cell r="S17405">
            <v>-566.17999999999995</v>
          </cell>
          <cell r="X17405" t="str">
            <v>Commissions - gross</v>
          </cell>
          <cell r="Y17405" t="str">
            <v>UNITED KINGDOM</v>
          </cell>
        </row>
        <row r="17406">
          <cell r="L17406" t="str">
            <v>Non-proportional</v>
          </cell>
          <cell r="S17406">
            <v>-14468.86</v>
          </cell>
          <cell r="X17406" t="str">
            <v>Commissions - gross</v>
          </cell>
          <cell r="Y17406" t="str">
            <v>PUERTO RICO</v>
          </cell>
        </row>
        <row r="17407">
          <cell r="L17407" t="str">
            <v>Non-proportional</v>
          </cell>
          <cell r="S17407">
            <v>3349.19</v>
          </cell>
          <cell r="X17407" t="str">
            <v>Commissions - gross</v>
          </cell>
          <cell r="Y17407" t="str">
            <v>INDIA</v>
          </cell>
        </row>
        <row r="17408">
          <cell r="L17408" t="str">
            <v>Non-proportional</v>
          </cell>
          <cell r="S17408">
            <v>10939.54</v>
          </cell>
          <cell r="X17408" t="str">
            <v>Commissions - gross</v>
          </cell>
          <cell r="Y17408" t="str">
            <v>INDIA</v>
          </cell>
        </row>
        <row r="17409">
          <cell r="L17409" t="str">
            <v>Non-proportional</v>
          </cell>
          <cell r="S17409">
            <v>2088.34</v>
          </cell>
          <cell r="X17409" t="str">
            <v>Commissions - gross</v>
          </cell>
          <cell r="Y17409" t="str">
            <v>FRANCE</v>
          </cell>
        </row>
        <row r="17410">
          <cell r="L17410" t="str">
            <v>Non-proportional</v>
          </cell>
          <cell r="S17410">
            <v>3465.87</v>
          </cell>
          <cell r="X17410" t="str">
            <v>Commissions - gross</v>
          </cell>
          <cell r="Y17410" t="str">
            <v>JAPAN</v>
          </cell>
        </row>
        <row r="17411">
          <cell r="L17411" t="str">
            <v>Non-proportional</v>
          </cell>
          <cell r="S17411">
            <v>-3452.73</v>
          </cell>
          <cell r="X17411" t="str">
            <v>Commissions - gross</v>
          </cell>
          <cell r="Y17411" t="str">
            <v>UNITED KINGDOM</v>
          </cell>
        </row>
        <row r="17412">
          <cell r="L17412" t="str">
            <v>Non-proportional</v>
          </cell>
          <cell r="S17412">
            <v>-284.08</v>
          </cell>
          <cell r="X17412" t="str">
            <v>Commissions - gross</v>
          </cell>
          <cell r="Y17412" t="str">
            <v>FRANCE</v>
          </cell>
        </row>
        <row r="17413">
          <cell r="L17413" t="str">
            <v>Non-proportional</v>
          </cell>
          <cell r="S17413">
            <v>3647.84</v>
          </cell>
          <cell r="X17413" t="str">
            <v>Commissions - gross</v>
          </cell>
          <cell r="Y17413" t="str">
            <v>INDIA</v>
          </cell>
        </row>
        <row r="17414">
          <cell r="L17414" t="str">
            <v>Non-proportional</v>
          </cell>
          <cell r="S17414">
            <v>855.04</v>
          </cell>
          <cell r="X17414" t="str">
            <v>Commissions - gross</v>
          </cell>
          <cell r="Y17414" t="str">
            <v>UNITED KINGDOM</v>
          </cell>
        </row>
        <row r="17415">
          <cell r="L17415" t="str">
            <v>Proportional</v>
          </cell>
          <cell r="S17415">
            <v>-2150.69</v>
          </cell>
          <cell r="X17415" t="str">
            <v>Commissions - gross</v>
          </cell>
          <cell r="Y17415" t="str">
            <v>MEXICO</v>
          </cell>
        </row>
        <row r="17416">
          <cell r="L17416" t="str">
            <v>Proportional</v>
          </cell>
          <cell r="S17416">
            <v>-185797.72</v>
          </cell>
          <cell r="X17416" t="str">
            <v>Commissions - gross</v>
          </cell>
          <cell r="Y17416" t="str">
            <v>UNITED STATES</v>
          </cell>
        </row>
        <row r="17417">
          <cell r="L17417" t="str">
            <v>Non-proportional</v>
          </cell>
          <cell r="S17417">
            <v>1398</v>
          </cell>
          <cell r="X17417" t="str">
            <v>Commissions - gross</v>
          </cell>
          <cell r="Y17417" t="str">
            <v>GERMANY</v>
          </cell>
        </row>
        <row r="17418">
          <cell r="L17418" t="str">
            <v>Non-proportional</v>
          </cell>
          <cell r="S17418">
            <v>-255.7</v>
          </cell>
          <cell r="X17418" t="str">
            <v>Commissions - gross</v>
          </cell>
          <cell r="Y17418" t="str">
            <v>UNITED KINGDOM</v>
          </cell>
        </row>
        <row r="17419">
          <cell r="L17419" t="str">
            <v>Non-proportional</v>
          </cell>
          <cell r="S17419">
            <v>-22845.56</v>
          </cell>
          <cell r="X17419" t="str">
            <v>Commissions - gross</v>
          </cell>
          <cell r="Y17419" t="str">
            <v>PUERTO RICO</v>
          </cell>
        </row>
        <row r="17420">
          <cell r="L17420" t="str">
            <v>Non-proportional</v>
          </cell>
          <cell r="S17420">
            <v>7439.68</v>
          </cell>
          <cell r="X17420" t="str">
            <v>Commissions - gross</v>
          </cell>
          <cell r="Y17420" t="str">
            <v>INDIA</v>
          </cell>
        </row>
        <row r="17421">
          <cell r="L17421" t="str">
            <v>Proportional</v>
          </cell>
          <cell r="S17421">
            <v>447.69</v>
          </cell>
          <cell r="X17421" t="str">
            <v>Commissions - gross</v>
          </cell>
          <cell r="Y17421" t="str">
            <v>ITALY</v>
          </cell>
        </row>
        <row r="17422">
          <cell r="L17422" t="str">
            <v>Proportional</v>
          </cell>
          <cell r="S17422">
            <v>-4.5199999999999996</v>
          </cell>
          <cell r="X17422" t="str">
            <v>Commissions - gross</v>
          </cell>
          <cell r="Y17422" t="str">
            <v>UNITED STATES</v>
          </cell>
        </row>
        <row r="17423">
          <cell r="L17423" t="str">
            <v>Non-proportional</v>
          </cell>
          <cell r="S17423">
            <v>28705.91</v>
          </cell>
          <cell r="X17423" t="str">
            <v>Commissions - gross</v>
          </cell>
          <cell r="Y17423" t="str">
            <v>NEW ZEALAND</v>
          </cell>
        </row>
        <row r="17424">
          <cell r="L17424" t="str">
            <v>Proportional</v>
          </cell>
          <cell r="S17424">
            <v>1271.24</v>
          </cell>
          <cell r="X17424" t="str">
            <v>Commissions - gross</v>
          </cell>
          <cell r="Y17424" t="str">
            <v>AUSTRALIA</v>
          </cell>
        </row>
        <row r="17425">
          <cell r="L17425" t="str">
            <v>Non-proportional</v>
          </cell>
          <cell r="S17425">
            <v>-5125.1000000000004</v>
          </cell>
          <cell r="X17425" t="str">
            <v>Commissions - gross</v>
          </cell>
          <cell r="Y17425" t="str">
            <v>UNITED KINGDOM</v>
          </cell>
        </row>
        <row r="17426">
          <cell r="L17426" t="str">
            <v>Proportional</v>
          </cell>
          <cell r="S17426">
            <v>113.55</v>
          </cell>
          <cell r="X17426" t="str">
            <v>Commissions - gross</v>
          </cell>
          <cell r="Y17426" t="str">
            <v>UNITED STATES</v>
          </cell>
        </row>
        <row r="17427">
          <cell r="L17427" t="str">
            <v>Non-proportional</v>
          </cell>
          <cell r="S17427">
            <v>2532.16</v>
          </cell>
          <cell r="X17427" t="str">
            <v>Commissions - gross</v>
          </cell>
          <cell r="Y17427" t="str">
            <v>ISRAEL</v>
          </cell>
        </row>
        <row r="17428">
          <cell r="L17428" t="str">
            <v>Non-proportional</v>
          </cell>
          <cell r="S17428">
            <v>14386.42</v>
          </cell>
          <cell r="X17428" t="str">
            <v>Commissions - gross</v>
          </cell>
          <cell r="Y17428" t="str">
            <v>UNITED KINGDOM</v>
          </cell>
        </row>
        <row r="17429">
          <cell r="L17429" t="str">
            <v>Non-proportional</v>
          </cell>
          <cell r="S17429">
            <v>2620.5</v>
          </cell>
          <cell r="X17429" t="str">
            <v>Commissions - gross</v>
          </cell>
          <cell r="Y17429" t="str">
            <v>GERMANY</v>
          </cell>
        </row>
        <row r="17430">
          <cell r="L17430" t="str">
            <v>Non-proportional</v>
          </cell>
          <cell r="S17430">
            <v>-65.75</v>
          </cell>
          <cell r="X17430" t="str">
            <v>Commissions - gross</v>
          </cell>
          <cell r="Y17430" t="str">
            <v>UNITED KINGDOM</v>
          </cell>
        </row>
        <row r="17431">
          <cell r="L17431" t="str">
            <v>Proportional</v>
          </cell>
          <cell r="S17431">
            <v>-799.66</v>
          </cell>
          <cell r="X17431" t="str">
            <v>Commissions - gross</v>
          </cell>
          <cell r="Y17431" t="str">
            <v>ITALY</v>
          </cell>
        </row>
        <row r="17432">
          <cell r="L17432" t="str">
            <v>Non-proportional</v>
          </cell>
          <cell r="S17432">
            <v>-28705.91</v>
          </cell>
          <cell r="X17432" t="str">
            <v>Commissions - gross</v>
          </cell>
          <cell r="Y17432" t="str">
            <v>NEW ZEALAND</v>
          </cell>
        </row>
        <row r="17433">
          <cell r="L17433" t="str">
            <v>Non-proportional</v>
          </cell>
          <cell r="S17433">
            <v>340.05</v>
          </cell>
          <cell r="X17433" t="str">
            <v>Commissions - gross</v>
          </cell>
          <cell r="Y17433" t="str">
            <v>ISRAEL</v>
          </cell>
        </row>
        <row r="17434">
          <cell r="L17434" t="str">
            <v>Non-proportional</v>
          </cell>
          <cell r="S17434">
            <v>-707.84</v>
          </cell>
          <cell r="X17434" t="str">
            <v>Commissions - gross</v>
          </cell>
          <cell r="Y17434" t="str">
            <v>GERMANY</v>
          </cell>
        </row>
        <row r="17435">
          <cell r="L17435" t="str">
            <v>Non-proportional</v>
          </cell>
          <cell r="S17435">
            <v>455.67</v>
          </cell>
          <cell r="X17435" t="str">
            <v>Commissions - gross</v>
          </cell>
          <cell r="Y17435" t="str">
            <v>FRANCE</v>
          </cell>
        </row>
        <row r="17436">
          <cell r="L17436" t="str">
            <v>Proportional</v>
          </cell>
          <cell r="S17436">
            <v>22.73</v>
          </cell>
          <cell r="X17436" t="str">
            <v>Commissions - gross</v>
          </cell>
          <cell r="Y17436" t="str">
            <v>UNITED STATES</v>
          </cell>
        </row>
        <row r="17437">
          <cell r="L17437" t="str">
            <v>Non-proportional</v>
          </cell>
          <cell r="S17437">
            <v>2197.27</v>
          </cell>
          <cell r="X17437" t="str">
            <v>Commissions - gross</v>
          </cell>
          <cell r="Y17437" t="str">
            <v>PERU</v>
          </cell>
        </row>
        <row r="17438">
          <cell r="L17438" t="str">
            <v>Non-proportional</v>
          </cell>
          <cell r="S17438">
            <v>48000</v>
          </cell>
          <cell r="X17438" t="str">
            <v>Commissions - gross</v>
          </cell>
          <cell r="Y17438" t="str">
            <v>ITALY</v>
          </cell>
        </row>
        <row r="17439">
          <cell r="L17439" t="str">
            <v>Non-proportional</v>
          </cell>
          <cell r="S17439">
            <v>5196.1000000000004</v>
          </cell>
          <cell r="X17439" t="str">
            <v>Commissions - gross</v>
          </cell>
          <cell r="Y17439" t="str">
            <v>UNITED KINGDOM</v>
          </cell>
        </row>
        <row r="17440">
          <cell r="L17440" t="str">
            <v>Non-proportional</v>
          </cell>
          <cell r="S17440">
            <v>4656.96</v>
          </cell>
          <cell r="X17440" t="str">
            <v>Commissions - gross</v>
          </cell>
          <cell r="Y17440" t="str">
            <v>FRANCE</v>
          </cell>
        </row>
        <row r="17441">
          <cell r="L17441" t="str">
            <v>Non-proportional</v>
          </cell>
          <cell r="S17441">
            <v>1971.15</v>
          </cell>
          <cell r="X17441" t="str">
            <v>Commissions - gross</v>
          </cell>
          <cell r="Y17441" t="str">
            <v>PERU</v>
          </cell>
        </row>
        <row r="17442">
          <cell r="L17442" t="str">
            <v>Non-proportional</v>
          </cell>
          <cell r="S17442">
            <v>-14386.42</v>
          </cell>
          <cell r="X17442" t="str">
            <v>Commissions - gross</v>
          </cell>
          <cell r="Y17442" t="str">
            <v>UNITED KINGDOM</v>
          </cell>
        </row>
        <row r="17443">
          <cell r="L17443" t="str">
            <v>Non-proportional</v>
          </cell>
          <cell r="S17443">
            <v>-1413.01</v>
          </cell>
          <cell r="X17443" t="str">
            <v>Commissions - gross</v>
          </cell>
          <cell r="Y17443" t="str">
            <v>GERMANY</v>
          </cell>
        </row>
        <row r="17444">
          <cell r="L17444" t="str">
            <v>Non-proportional</v>
          </cell>
          <cell r="S17444">
            <v>2378.2399999999998</v>
          </cell>
          <cell r="X17444" t="str">
            <v>Commissions - gross</v>
          </cell>
          <cell r="Y17444" t="str">
            <v>ECUADOR</v>
          </cell>
        </row>
        <row r="17445">
          <cell r="L17445" t="str">
            <v>Non-proportional</v>
          </cell>
          <cell r="S17445">
            <v>5267.5</v>
          </cell>
          <cell r="X17445" t="str">
            <v>Commissions - gross</v>
          </cell>
          <cell r="Y17445" t="str">
            <v>ITALY</v>
          </cell>
        </row>
        <row r="17446">
          <cell r="L17446" t="str">
            <v>Non-proportional</v>
          </cell>
          <cell r="S17446">
            <v>1003.3</v>
          </cell>
          <cell r="X17446" t="str">
            <v>Commissions - gross</v>
          </cell>
          <cell r="Y17446" t="str">
            <v>UNITED KINGDOM</v>
          </cell>
        </row>
        <row r="17447">
          <cell r="L17447" t="str">
            <v>Non-proportional</v>
          </cell>
          <cell r="S17447">
            <v>-1391.67</v>
          </cell>
          <cell r="X17447" t="str">
            <v>Commissions - gross</v>
          </cell>
          <cell r="Y17447" t="str">
            <v>UNITED ARAB EMIRATES</v>
          </cell>
        </row>
        <row r="17448">
          <cell r="L17448" t="str">
            <v>Non-proportional</v>
          </cell>
          <cell r="S17448">
            <v>-74426.66</v>
          </cell>
          <cell r="X17448" t="str">
            <v>Commissions - gross</v>
          </cell>
          <cell r="Y17448" t="str">
            <v>UNITED KINGDOM</v>
          </cell>
        </row>
        <row r="17449">
          <cell r="L17449" t="str">
            <v>Non-proportional</v>
          </cell>
          <cell r="S17449">
            <v>795.89</v>
          </cell>
          <cell r="X17449" t="str">
            <v>Commissions - gross</v>
          </cell>
          <cell r="Y17449" t="str">
            <v>ISRAEL</v>
          </cell>
        </row>
        <row r="17450">
          <cell r="L17450" t="str">
            <v>Non-proportional</v>
          </cell>
          <cell r="S17450">
            <v>-795.24</v>
          </cell>
          <cell r="X17450" t="str">
            <v>Commissions - gross</v>
          </cell>
          <cell r="Y17450" t="str">
            <v>ISRAEL</v>
          </cell>
        </row>
        <row r="17451">
          <cell r="L17451" t="str">
            <v>Non-proportional</v>
          </cell>
          <cell r="S17451">
            <v>-764.81</v>
          </cell>
          <cell r="X17451" t="str">
            <v>Commissions - gross</v>
          </cell>
          <cell r="Y17451" t="str">
            <v>FRANCE</v>
          </cell>
        </row>
        <row r="17452">
          <cell r="L17452" t="str">
            <v>Non-proportional</v>
          </cell>
          <cell r="S17452">
            <v>1507.29</v>
          </cell>
          <cell r="X17452" t="str">
            <v>Commissions - gross</v>
          </cell>
          <cell r="Y17452" t="str">
            <v>FRANCE</v>
          </cell>
        </row>
        <row r="17453">
          <cell r="L17453" t="str">
            <v>Non-proportional</v>
          </cell>
          <cell r="S17453">
            <v>459.23</v>
          </cell>
          <cell r="X17453" t="str">
            <v>Commissions - gross</v>
          </cell>
          <cell r="Y17453" t="str">
            <v>FRANCE</v>
          </cell>
        </row>
        <row r="17454">
          <cell r="L17454" t="str">
            <v>Non-proportional</v>
          </cell>
          <cell r="S17454">
            <v>-1455.72</v>
          </cell>
          <cell r="X17454" t="str">
            <v>Commissions - gross</v>
          </cell>
          <cell r="Y17454" t="str">
            <v>FRANCE</v>
          </cell>
        </row>
        <row r="17455">
          <cell r="L17455" t="str">
            <v>Non-proportional</v>
          </cell>
          <cell r="S17455">
            <v>275.89999999999998</v>
          </cell>
          <cell r="X17455" t="str">
            <v>Commissions - gross</v>
          </cell>
          <cell r="Y17455" t="str">
            <v>NETHERLANDS</v>
          </cell>
        </row>
        <row r="17456">
          <cell r="L17456" t="str">
            <v>Non-proportional</v>
          </cell>
          <cell r="S17456">
            <v>-91933.97</v>
          </cell>
          <cell r="X17456" t="str">
            <v>Commissions - gross</v>
          </cell>
          <cell r="Y17456" t="str">
            <v>UNITED KINGDOM</v>
          </cell>
        </row>
        <row r="17457">
          <cell r="L17457" t="str">
            <v>Proportional</v>
          </cell>
          <cell r="S17457">
            <v>-4.5199999999999996</v>
          </cell>
          <cell r="X17457" t="str">
            <v>Commissions - gross</v>
          </cell>
          <cell r="Y17457" t="str">
            <v>UNITED STATES</v>
          </cell>
        </row>
        <row r="17458">
          <cell r="L17458" t="str">
            <v>Non-proportional</v>
          </cell>
          <cell r="S17458">
            <v>712.26</v>
          </cell>
          <cell r="X17458" t="str">
            <v>Commissions - gross</v>
          </cell>
          <cell r="Y17458" t="str">
            <v>FRANCE</v>
          </cell>
        </row>
        <row r="17459">
          <cell r="L17459" t="str">
            <v>Proportional</v>
          </cell>
          <cell r="S17459">
            <v>185797.72</v>
          </cell>
          <cell r="X17459" t="str">
            <v>Commissions - gross</v>
          </cell>
          <cell r="Y17459" t="str">
            <v>UNITED STATES</v>
          </cell>
        </row>
        <row r="17460">
          <cell r="L17460" t="str">
            <v>Non-proportional</v>
          </cell>
          <cell r="S17460">
            <v>255.08</v>
          </cell>
          <cell r="X17460" t="str">
            <v>Commissions - gross</v>
          </cell>
          <cell r="Y17460" t="str">
            <v>NETHERLANDS</v>
          </cell>
        </row>
        <row r="17461">
          <cell r="L17461" t="str">
            <v>Non-proportional</v>
          </cell>
          <cell r="S17461">
            <v>-197.62</v>
          </cell>
          <cell r="X17461" t="str">
            <v>Commissions - gross</v>
          </cell>
          <cell r="Y17461" t="str">
            <v>FRANCE</v>
          </cell>
        </row>
        <row r="17462">
          <cell r="L17462" t="str">
            <v>Non-proportional</v>
          </cell>
          <cell r="S17462">
            <v>-1325.45</v>
          </cell>
          <cell r="X17462" t="str">
            <v>Commissions - gross</v>
          </cell>
          <cell r="Y17462" t="str">
            <v>EUROPE</v>
          </cell>
        </row>
        <row r="17463">
          <cell r="L17463" t="str">
            <v>Non-proportional</v>
          </cell>
          <cell r="S17463">
            <v>-633.04</v>
          </cell>
          <cell r="X17463" t="str">
            <v>Commissions - gross</v>
          </cell>
          <cell r="Y17463" t="str">
            <v>ISRAEL</v>
          </cell>
        </row>
        <row r="17464">
          <cell r="L17464" t="str">
            <v>Non-proportional</v>
          </cell>
          <cell r="S17464">
            <v>-20190.5</v>
          </cell>
          <cell r="X17464" t="str">
            <v>Commissions - gross</v>
          </cell>
          <cell r="Y17464" t="str">
            <v>UNITED KINGDOM</v>
          </cell>
        </row>
        <row r="17465">
          <cell r="L17465" t="str">
            <v>Non-proportional</v>
          </cell>
          <cell r="S17465">
            <v>1279.8599999999999</v>
          </cell>
          <cell r="X17465" t="str">
            <v>Commissions - gross</v>
          </cell>
          <cell r="Y17465" t="str">
            <v>JAPAN</v>
          </cell>
        </row>
        <row r="17466">
          <cell r="L17466" t="str">
            <v>Non-proportional</v>
          </cell>
          <cell r="S17466">
            <v>-518.75</v>
          </cell>
          <cell r="X17466" t="str">
            <v>Commissions - gross</v>
          </cell>
          <cell r="Y17466" t="str">
            <v>FRANCE</v>
          </cell>
        </row>
        <row r="17467">
          <cell r="L17467" t="str">
            <v>Non-proportional</v>
          </cell>
          <cell r="S17467">
            <v>150.47999999999999</v>
          </cell>
          <cell r="X17467" t="str">
            <v>Commissions - gross</v>
          </cell>
          <cell r="Y17467" t="str">
            <v>FRANCE</v>
          </cell>
        </row>
        <row r="17468">
          <cell r="L17468" t="str">
            <v>Non-proportional</v>
          </cell>
          <cell r="S17468">
            <v>-484.48</v>
          </cell>
          <cell r="X17468" t="str">
            <v>Commissions - gross</v>
          </cell>
          <cell r="Y17468" t="str">
            <v>UNITED KINGDOM</v>
          </cell>
        </row>
        <row r="17469">
          <cell r="L17469" t="str">
            <v>Non-proportional</v>
          </cell>
          <cell r="S17469">
            <v>3452.73</v>
          </cell>
          <cell r="X17469" t="str">
            <v>Commissions - gross</v>
          </cell>
          <cell r="Y17469" t="str">
            <v>UNITED KINGDOM</v>
          </cell>
        </row>
        <row r="17470">
          <cell r="L17470" t="str">
            <v>Non-proportional</v>
          </cell>
          <cell r="S17470">
            <v>-185.27</v>
          </cell>
          <cell r="X17470" t="str">
            <v>Commissions - gross</v>
          </cell>
          <cell r="Y17470" t="str">
            <v>FRANCE</v>
          </cell>
        </row>
        <row r="17471">
          <cell r="L17471" t="str">
            <v>Non-proportional</v>
          </cell>
          <cell r="S17471">
            <v>24081.82</v>
          </cell>
          <cell r="X17471" t="str">
            <v>Commissions - gross</v>
          </cell>
          <cell r="Y17471" t="str">
            <v>UNITED KINGDOM</v>
          </cell>
        </row>
        <row r="17472">
          <cell r="L17472" t="str">
            <v>Non-proportional</v>
          </cell>
          <cell r="S17472">
            <v>-2323.3200000000002</v>
          </cell>
          <cell r="X17472" t="str">
            <v>Commissions - gross</v>
          </cell>
          <cell r="Y17472" t="str">
            <v>FRANCE</v>
          </cell>
        </row>
        <row r="17473">
          <cell r="L17473" t="str">
            <v>Non-proportional</v>
          </cell>
          <cell r="S17473">
            <v>-1316.06</v>
          </cell>
          <cell r="X17473" t="str">
            <v>Commissions - gross</v>
          </cell>
          <cell r="Y17473" t="str">
            <v>FRANCE</v>
          </cell>
        </row>
        <row r="17474">
          <cell r="L17474" t="str">
            <v>Non-proportional</v>
          </cell>
          <cell r="S17474">
            <v>-11386.52</v>
          </cell>
          <cell r="X17474" t="str">
            <v>Commissions - gross</v>
          </cell>
          <cell r="Y17474" t="str">
            <v>MEXICO</v>
          </cell>
        </row>
        <row r="17475">
          <cell r="L17475" t="str">
            <v>Non-proportional</v>
          </cell>
          <cell r="S17475">
            <v>98.6</v>
          </cell>
          <cell r="X17475" t="str">
            <v>Commissions - gross</v>
          </cell>
          <cell r="Y17475" t="str">
            <v>UNITED KINGDOM</v>
          </cell>
        </row>
        <row r="17476">
          <cell r="L17476" t="str">
            <v>Non-proportional</v>
          </cell>
          <cell r="S17476">
            <v>753.38</v>
          </cell>
          <cell r="X17476" t="str">
            <v>Commissions - gross</v>
          </cell>
          <cell r="Y17476" t="str">
            <v>FRANCE</v>
          </cell>
        </row>
        <row r="17477">
          <cell r="L17477" t="str">
            <v>Non-proportional</v>
          </cell>
          <cell r="S17477">
            <v>7944.16</v>
          </cell>
          <cell r="X17477" t="str">
            <v>Commissions - gross</v>
          </cell>
          <cell r="Y17477" t="str">
            <v>UNITED KINGDOM</v>
          </cell>
        </row>
        <row r="17478">
          <cell r="L17478" t="str">
            <v>Proportional</v>
          </cell>
          <cell r="S17478">
            <v>215.74</v>
          </cell>
          <cell r="X17478" t="str">
            <v>Commissions - gross</v>
          </cell>
          <cell r="Y17478" t="str">
            <v>UNITED STATES</v>
          </cell>
        </row>
        <row r="17479">
          <cell r="L17479" t="str">
            <v>Non-proportional</v>
          </cell>
          <cell r="S17479">
            <v>340.33</v>
          </cell>
          <cell r="X17479" t="str">
            <v>Commissions - gross</v>
          </cell>
          <cell r="Y17479" t="str">
            <v>ISRAEL</v>
          </cell>
        </row>
        <row r="17480">
          <cell r="L17480" t="str">
            <v>Proportional</v>
          </cell>
          <cell r="S17480">
            <v>-541.36</v>
          </cell>
          <cell r="X17480" t="str">
            <v>Commissions - gross</v>
          </cell>
          <cell r="Y17480" t="str">
            <v>MEXICO</v>
          </cell>
        </row>
        <row r="17481">
          <cell r="L17481" t="str">
            <v>Non-proportional</v>
          </cell>
          <cell r="S17481">
            <v>-303.52999999999997</v>
          </cell>
          <cell r="X17481" t="str">
            <v>Commissions - gross</v>
          </cell>
          <cell r="Y17481" t="str">
            <v>UNITED KINGDOM</v>
          </cell>
        </row>
        <row r="17482">
          <cell r="L17482" t="str">
            <v>Non-proportional</v>
          </cell>
          <cell r="S17482">
            <v>-1849.15</v>
          </cell>
          <cell r="X17482" t="str">
            <v>Commissions - gross</v>
          </cell>
          <cell r="Y17482" t="str">
            <v>ECUADOR</v>
          </cell>
        </row>
        <row r="17483">
          <cell r="L17483" t="str">
            <v>Proportional</v>
          </cell>
          <cell r="S17483">
            <v>-117.42</v>
          </cell>
          <cell r="X17483" t="str">
            <v>Commissions - gross</v>
          </cell>
          <cell r="Y17483" t="str">
            <v>AUSTRALIA</v>
          </cell>
        </row>
        <row r="17484">
          <cell r="L17484" t="str">
            <v>Non-proportional</v>
          </cell>
          <cell r="S17484">
            <v>11386.52</v>
          </cell>
          <cell r="X17484" t="str">
            <v>Commissions - gross</v>
          </cell>
          <cell r="Y17484" t="str">
            <v>MEXICO</v>
          </cell>
        </row>
        <row r="17485">
          <cell r="L17485" t="str">
            <v>Non-proportional</v>
          </cell>
          <cell r="S17485">
            <v>-3411.62</v>
          </cell>
          <cell r="X17485" t="str">
            <v>Commissions - gross</v>
          </cell>
          <cell r="Y17485" t="str">
            <v>ECUADOR</v>
          </cell>
        </row>
        <row r="17486">
          <cell r="L17486" t="str">
            <v>Non-proportional</v>
          </cell>
          <cell r="S17486">
            <v>746.98</v>
          </cell>
          <cell r="X17486" t="str">
            <v>Commissions - gross</v>
          </cell>
          <cell r="Y17486" t="str">
            <v>FRANCE</v>
          </cell>
        </row>
        <row r="17487">
          <cell r="L17487" t="str">
            <v>Non-proportional</v>
          </cell>
          <cell r="S17487">
            <v>-40704.800000000003</v>
          </cell>
          <cell r="X17487" t="str">
            <v>Commissions - gross</v>
          </cell>
          <cell r="Y17487" t="str">
            <v>UNITED KINGDOM</v>
          </cell>
        </row>
        <row r="17488">
          <cell r="L17488" t="str">
            <v>Non-proportional</v>
          </cell>
          <cell r="S17488">
            <v>14465.56</v>
          </cell>
          <cell r="X17488" t="str">
            <v>Commissions - gross</v>
          </cell>
          <cell r="Y17488" t="str">
            <v>UNITED KINGDOM</v>
          </cell>
        </row>
        <row r="17489">
          <cell r="L17489" t="str">
            <v>Non-proportional</v>
          </cell>
          <cell r="S17489">
            <v>22845.56</v>
          </cell>
          <cell r="X17489" t="str">
            <v>Commissions - gross</v>
          </cell>
          <cell r="Y17489" t="str">
            <v>PUERTO RICO</v>
          </cell>
        </row>
        <row r="17490">
          <cell r="L17490" t="str">
            <v>Non-proportional</v>
          </cell>
          <cell r="S17490">
            <v>18342.89</v>
          </cell>
          <cell r="X17490" t="str">
            <v>Commissions - gross</v>
          </cell>
          <cell r="Y17490" t="str">
            <v>UNITED KINGDOM</v>
          </cell>
        </row>
        <row r="17491">
          <cell r="L17491" t="str">
            <v>Proportional</v>
          </cell>
          <cell r="S17491">
            <v>-485.35</v>
          </cell>
          <cell r="X17491" t="str">
            <v>Commissions - gross</v>
          </cell>
          <cell r="Y17491" t="str">
            <v>ITALY</v>
          </cell>
        </row>
        <row r="17492">
          <cell r="L17492" t="str">
            <v>Non-proportional</v>
          </cell>
          <cell r="S17492">
            <v>5267.5</v>
          </cell>
          <cell r="X17492" t="str">
            <v>Commissions - gross</v>
          </cell>
          <cell r="Y17492" t="str">
            <v>ITALY</v>
          </cell>
        </row>
        <row r="17493">
          <cell r="L17493" t="str">
            <v>Non-proportional</v>
          </cell>
          <cell r="S17493">
            <v>-269.35000000000002</v>
          </cell>
          <cell r="X17493" t="str">
            <v>Commissions - gross</v>
          </cell>
          <cell r="Y17493" t="str">
            <v>FRANCE</v>
          </cell>
        </row>
        <row r="17494">
          <cell r="L17494" t="str">
            <v>Non-proportional</v>
          </cell>
          <cell r="S17494">
            <v>1849.15</v>
          </cell>
          <cell r="X17494" t="str">
            <v>Commissions - gross</v>
          </cell>
          <cell r="Y17494" t="str">
            <v>ECUADOR</v>
          </cell>
        </row>
        <row r="17495">
          <cell r="L17495" t="str">
            <v>Non-proportional</v>
          </cell>
          <cell r="S17495">
            <v>1749.19</v>
          </cell>
          <cell r="X17495" t="str">
            <v>Commissions - gross</v>
          </cell>
          <cell r="Y17495" t="str">
            <v>ISRAEL</v>
          </cell>
        </row>
        <row r="17496">
          <cell r="L17496" t="str">
            <v>Non-proportional</v>
          </cell>
          <cell r="S17496">
            <v>385.15</v>
          </cell>
          <cell r="X17496" t="str">
            <v>Commissions - gross</v>
          </cell>
          <cell r="Y17496" t="str">
            <v>UNITED KINGDOM</v>
          </cell>
        </row>
        <row r="17497">
          <cell r="L17497" t="str">
            <v>Non-proportional</v>
          </cell>
          <cell r="S17497">
            <v>28723.86</v>
          </cell>
          <cell r="X17497" t="str">
            <v>Commissions - gross</v>
          </cell>
          <cell r="Y17497" t="str">
            <v>UNITED KINGDOM</v>
          </cell>
        </row>
        <row r="17498">
          <cell r="L17498" t="str">
            <v>Non-proportional</v>
          </cell>
          <cell r="S17498">
            <v>-379.89</v>
          </cell>
          <cell r="X17498" t="str">
            <v>Commissions - gross</v>
          </cell>
          <cell r="Y17498" t="str">
            <v>UNITED KINGDOM</v>
          </cell>
        </row>
        <row r="17499">
          <cell r="L17499" t="str">
            <v>Proportional</v>
          </cell>
          <cell r="S17499">
            <v>-1271.24</v>
          </cell>
          <cell r="X17499" t="str">
            <v>Commissions - gross</v>
          </cell>
          <cell r="Y17499" t="str">
            <v>AUSTRALIA</v>
          </cell>
        </row>
        <row r="17500">
          <cell r="L17500" t="str">
            <v>Non-proportional</v>
          </cell>
          <cell r="S17500">
            <v>-340.05</v>
          </cell>
          <cell r="X17500" t="str">
            <v>Commissions - gross</v>
          </cell>
          <cell r="Y17500" t="str">
            <v>ISRAEL</v>
          </cell>
        </row>
        <row r="17501">
          <cell r="L17501" t="str">
            <v>Non-proportional</v>
          </cell>
          <cell r="S17501">
            <v>-709</v>
          </cell>
          <cell r="X17501" t="str">
            <v>Commissions - gross</v>
          </cell>
          <cell r="Y17501" t="str">
            <v>ISRAEL</v>
          </cell>
        </row>
        <row r="17502">
          <cell r="L17502" t="str">
            <v>Non-proportional</v>
          </cell>
          <cell r="S17502">
            <v>1391.67</v>
          </cell>
          <cell r="X17502" t="str">
            <v>Commissions - gross</v>
          </cell>
          <cell r="Y17502" t="str">
            <v>UNITED ARAB EMIRATES</v>
          </cell>
        </row>
        <row r="17503">
          <cell r="L17503" t="str">
            <v>Non-proportional</v>
          </cell>
          <cell r="S17503">
            <v>160.51</v>
          </cell>
          <cell r="X17503" t="str">
            <v>Commissions - gross</v>
          </cell>
          <cell r="Y17503" t="str">
            <v>FRANCE</v>
          </cell>
        </row>
        <row r="17504">
          <cell r="L17504" t="str">
            <v>Proportional</v>
          </cell>
          <cell r="S17504">
            <v>4.5199999999999996</v>
          </cell>
          <cell r="X17504" t="str">
            <v>Commissions - gross</v>
          </cell>
          <cell r="Y17504" t="str">
            <v>UNITED STATES</v>
          </cell>
        </row>
        <row r="17505">
          <cell r="L17505" t="str">
            <v>Non-proportional</v>
          </cell>
          <cell r="S17505">
            <v>-5424.43</v>
          </cell>
          <cell r="X17505" t="str">
            <v>Commissions - gross</v>
          </cell>
          <cell r="Y17505" t="str">
            <v>UNITED KINGDOM</v>
          </cell>
        </row>
        <row r="17506">
          <cell r="L17506" t="str">
            <v>Non-proportional</v>
          </cell>
          <cell r="S17506">
            <v>30638.74</v>
          </cell>
          <cell r="X17506" t="str">
            <v>Commissions - gross</v>
          </cell>
          <cell r="Y17506" t="str">
            <v>UNITED KINGDOM</v>
          </cell>
        </row>
        <row r="17507">
          <cell r="L17507" t="str">
            <v>Non-proportional</v>
          </cell>
          <cell r="S17507">
            <v>9206.7099999999991</v>
          </cell>
          <cell r="X17507" t="str">
            <v>Commissions - gross</v>
          </cell>
          <cell r="Y17507" t="str">
            <v>JAPAN</v>
          </cell>
        </row>
        <row r="17508">
          <cell r="L17508" t="str">
            <v>Non-proportional</v>
          </cell>
          <cell r="S17508">
            <v>1656.65</v>
          </cell>
          <cell r="X17508" t="str">
            <v>Commissions - gross</v>
          </cell>
          <cell r="Y17508" t="str">
            <v>EUROPE</v>
          </cell>
        </row>
        <row r="17509">
          <cell r="L17509" t="str">
            <v>Proportional</v>
          </cell>
          <cell r="S17509">
            <v>5444.48</v>
          </cell>
          <cell r="X17509" t="str">
            <v>Commissions - gross</v>
          </cell>
          <cell r="Y17509" t="str">
            <v>INDIA</v>
          </cell>
        </row>
        <row r="17510">
          <cell r="L17510" t="str">
            <v>Non-proportional</v>
          </cell>
          <cell r="S17510">
            <v>2532.16</v>
          </cell>
          <cell r="X17510" t="str">
            <v>Commissions - gross</v>
          </cell>
          <cell r="Y17510" t="str">
            <v>ISRAEL</v>
          </cell>
        </row>
        <row r="17511">
          <cell r="L17511" t="str">
            <v>Non-proportional</v>
          </cell>
          <cell r="S17511">
            <v>6038.07</v>
          </cell>
          <cell r="X17511" t="str">
            <v>Commissions - gross</v>
          </cell>
          <cell r="Y17511" t="str">
            <v>UNITED KINGDOM</v>
          </cell>
        </row>
        <row r="17512">
          <cell r="L17512" t="str">
            <v>Non-proportional</v>
          </cell>
          <cell r="S17512">
            <v>1301.8699999999999</v>
          </cell>
          <cell r="X17512" t="str">
            <v>Commissions - gross</v>
          </cell>
          <cell r="Y17512" t="str">
            <v>FRANCE</v>
          </cell>
        </row>
        <row r="17513">
          <cell r="L17513" t="str">
            <v>Non-proportional</v>
          </cell>
          <cell r="S17513">
            <v>-1493.97</v>
          </cell>
          <cell r="X17513" t="str">
            <v>Commissions - gross</v>
          </cell>
          <cell r="Y17513" t="str">
            <v>ISRAEL</v>
          </cell>
        </row>
        <row r="17514">
          <cell r="L17514" t="str">
            <v>Non-proportional</v>
          </cell>
          <cell r="S17514">
            <v>-18494.03</v>
          </cell>
          <cell r="X17514" t="str">
            <v>Commissions - gross</v>
          </cell>
          <cell r="Y17514" t="str">
            <v>PUERTO RICO</v>
          </cell>
        </row>
        <row r="17515">
          <cell r="L17515" t="str">
            <v>Non-proportional</v>
          </cell>
          <cell r="S17515">
            <v>-1360.78</v>
          </cell>
          <cell r="X17515" t="str">
            <v>Commissions - gross</v>
          </cell>
          <cell r="Y17515" t="str">
            <v>FRANCE</v>
          </cell>
        </row>
        <row r="17516">
          <cell r="L17516" t="str">
            <v>Non-proportional</v>
          </cell>
          <cell r="S17516">
            <v>-993.77</v>
          </cell>
          <cell r="X17516" t="str">
            <v>Commissions - gross</v>
          </cell>
          <cell r="Y17516" t="str">
            <v>FRANCE</v>
          </cell>
        </row>
        <row r="17517">
          <cell r="L17517" t="str">
            <v>Proportional</v>
          </cell>
          <cell r="S17517">
            <v>10713.8</v>
          </cell>
          <cell r="X17517" t="str">
            <v>Commissions - gross</v>
          </cell>
          <cell r="Y17517" t="str">
            <v>UNITED STATES</v>
          </cell>
        </row>
        <row r="17518">
          <cell r="L17518" t="str">
            <v>Non-proportional</v>
          </cell>
          <cell r="S17518">
            <v>18494.03</v>
          </cell>
          <cell r="X17518" t="str">
            <v>Commissions - gross</v>
          </cell>
          <cell r="Y17518" t="str">
            <v>PUERTO RICO</v>
          </cell>
        </row>
        <row r="17519">
          <cell r="L17519" t="str">
            <v>Non-proportional</v>
          </cell>
          <cell r="S17519">
            <v>41545.980000000003</v>
          </cell>
          <cell r="X17519" t="str">
            <v>Commissions - gross</v>
          </cell>
          <cell r="Y17519" t="str">
            <v>NEW ZEALAND</v>
          </cell>
        </row>
        <row r="17520">
          <cell r="L17520" t="str">
            <v>Non-proportional</v>
          </cell>
          <cell r="S17520">
            <v>-9206.7099999999991</v>
          </cell>
          <cell r="X17520" t="str">
            <v>Commissions - gross</v>
          </cell>
          <cell r="Y17520" t="str">
            <v>JAPAN</v>
          </cell>
        </row>
        <row r="17521">
          <cell r="L17521" t="str">
            <v>Non-proportional</v>
          </cell>
          <cell r="S17521">
            <v>-31565.32</v>
          </cell>
          <cell r="X17521" t="str">
            <v>Commissions - gross</v>
          </cell>
          <cell r="Y17521" t="str">
            <v>UNITED KINGDOM</v>
          </cell>
        </row>
        <row r="17522">
          <cell r="L17522" t="str">
            <v>Non-proportional</v>
          </cell>
          <cell r="S17522">
            <v>-30723.08</v>
          </cell>
          <cell r="X17522" t="str">
            <v>Commissions - gross</v>
          </cell>
          <cell r="Y17522" t="str">
            <v>NEW ZEALAND</v>
          </cell>
        </row>
        <row r="17523">
          <cell r="L17523" t="str">
            <v>Non-proportional</v>
          </cell>
          <cell r="S17523">
            <v>28705.91</v>
          </cell>
          <cell r="X17523" t="str">
            <v>Commissions - gross</v>
          </cell>
          <cell r="Y17523" t="str">
            <v>NEW ZEALAND</v>
          </cell>
        </row>
        <row r="17524">
          <cell r="L17524" t="str">
            <v>Non-proportional</v>
          </cell>
          <cell r="S17524">
            <v>-6042.3</v>
          </cell>
          <cell r="X17524" t="str">
            <v>Commissions - gross</v>
          </cell>
          <cell r="Y17524" t="str">
            <v>UNITED KINGDOM</v>
          </cell>
        </row>
        <row r="17525">
          <cell r="L17525" t="str">
            <v>Non-proportional</v>
          </cell>
          <cell r="S17525">
            <v>1022.21</v>
          </cell>
          <cell r="X17525" t="str">
            <v>Commissions - gross</v>
          </cell>
          <cell r="Y17525" t="str">
            <v>ISRAEL</v>
          </cell>
        </row>
        <row r="17526">
          <cell r="L17526" t="str">
            <v>Non-proportional</v>
          </cell>
          <cell r="S17526">
            <v>230.73</v>
          </cell>
          <cell r="X17526" t="str">
            <v>Commissions - gross</v>
          </cell>
          <cell r="Y17526" t="str">
            <v>FRANCE</v>
          </cell>
        </row>
        <row r="17527">
          <cell r="L17527" t="str">
            <v>Non-proportional</v>
          </cell>
          <cell r="S17527">
            <v>-236.76</v>
          </cell>
          <cell r="X17527" t="str">
            <v>Commissions - gross</v>
          </cell>
          <cell r="Y17527" t="str">
            <v>ISRAEL</v>
          </cell>
        </row>
        <row r="17528">
          <cell r="L17528" t="str">
            <v>Non-proportional</v>
          </cell>
          <cell r="S17528">
            <v>11520.65</v>
          </cell>
          <cell r="X17528" t="str">
            <v>Commissions - gross</v>
          </cell>
          <cell r="Y17528" t="str">
            <v>MEXICO</v>
          </cell>
        </row>
        <row r="17529">
          <cell r="L17529" t="str">
            <v>Non-proportional</v>
          </cell>
          <cell r="S17529">
            <v>455.67</v>
          </cell>
          <cell r="X17529" t="str">
            <v>Commissions - gross</v>
          </cell>
          <cell r="Y17529" t="str">
            <v>FRANCE</v>
          </cell>
        </row>
        <row r="17530">
          <cell r="L17530" t="str">
            <v>Non-proportional</v>
          </cell>
          <cell r="S17530">
            <v>356.96</v>
          </cell>
          <cell r="X17530" t="str">
            <v>Commissions - gross</v>
          </cell>
          <cell r="Y17530" t="str">
            <v>ISRAEL</v>
          </cell>
        </row>
        <row r="17531">
          <cell r="L17531" t="str">
            <v>Non-proportional</v>
          </cell>
          <cell r="S17531">
            <v>-3509.44</v>
          </cell>
          <cell r="X17531" t="str">
            <v>Commissions - gross</v>
          </cell>
          <cell r="Y17531" t="str">
            <v>FRANCE</v>
          </cell>
        </row>
        <row r="17532">
          <cell r="L17532" t="str">
            <v>Non-proportional</v>
          </cell>
          <cell r="S17532">
            <v>-2378.2399999999998</v>
          </cell>
          <cell r="X17532" t="str">
            <v>Commissions - gross</v>
          </cell>
          <cell r="Y17532" t="str">
            <v>ECUADOR</v>
          </cell>
        </row>
        <row r="17533">
          <cell r="L17533" t="str">
            <v>Non-proportional</v>
          </cell>
          <cell r="S17533">
            <v>7159.7</v>
          </cell>
          <cell r="X17533" t="str">
            <v>Commissions - gross</v>
          </cell>
          <cell r="Y17533" t="str">
            <v>INDIA</v>
          </cell>
        </row>
        <row r="17534">
          <cell r="L17534" t="str">
            <v>Non-proportional</v>
          </cell>
          <cell r="S17534">
            <v>421.34</v>
          </cell>
          <cell r="X17534" t="str">
            <v>Commissions - gross</v>
          </cell>
          <cell r="Y17534" t="str">
            <v>FRANCE</v>
          </cell>
        </row>
        <row r="17535">
          <cell r="L17535" t="str">
            <v>Non-proportional</v>
          </cell>
          <cell r="S17535">
            <v>2439.77</v>
          </cell>
          <cell r="X17535" t="str">
            <v>Commissions - gross</v>
          </cell>
          <cell r="Y17535" t="str">
            <v>PERU</v>
          </cell>
        </row>
        <row r="17536">
          <cell r="L17536" t="str">
            <v>Non-proportional</v>
          </cell>
          <cell r="S17536">
            <v>-414.56</v>
          </cell>
          <cell r="X17536" t="str">
            <v>Commissions - gross</v>
          </cell>
          <cell r="Y17536" t="str">
            <v>FRANCE</v>
          </cell>
        </row>
        <row r="17537">
          <cell r="L17537" t="str">
            <v>Non-proportional</v>
          </cell>
          <cell r="S17537">
            <v>-2432.7600000000002</v>
          </cell>
          <cell r="X17537" t="str">
            <v>Commissions - gross</v>
          </cell>
          <cell r="Y17537" t="str">
            <v>ECUADOR</v>
          </cell>
        </row>
        <row r="17538">
          <cell r="L17538" t="str">
            <v>Non-proportional</v>
          </cell>
          <cell r="S17538">
            <v>-2257.5</v>
          </cell>
          <cell r="X17538" t="str">
            <v>Commissions - gross</v>
          </cell>
          <cell r="Y17538" t="str">
            <v>ITALY</v>
          </cell>
        </row>
        <row r="17539">
          <cell r="L17539" t="str">
            <v>Non-proportional</v>
          </cell>
          <cell r="S17539">
            <v>-753.32</v>
          </cell>
          <cell r="X17539" t="str">
            <v>Commissions - gross</v>
          </cell>
          <cell r="Y17539" t="str">
            <v>ISRAEL</v>
          </cell>
        </row>
        <row r="17540">
          <cell r="L17540" t="str">
            <v>Non-proportional</v>
          </cell>
          <cell r="S17540">
            <v>-22983.49</v>
          </cell>
          <cell r="X17540" t="str">
            <v>Commissions - gross</v>
          </cell>
          <cell r="Y17540" t="str">
            <v>UNITED KINGDOM</v>
          </cell>
        </row>
        <row r="17541">
          <cell r="L17541" t="str">
            <v>Non-proportional</v>
          </cell>
          <cell r="S17541">
            <v>-121681.78</v>
          </cell>
          <cell r="X17541" t="str">
            <v>Commissions - gross</v>
          </cell>
          <cell r="Y17541" t="str">
            <v>UNITED KINGDOM</v>
          </cell>
        </row>
        <row r="17542">
          <cell r="L17542" t="str">
            <v>Non-proportional</v>
          </cell>
          <cell r="S17542">
            <v>-21017.18</v>
          </cell>
          <cell r="X17542" t="str">
            <v>Commissions - gross</v>
          </cell>
          <cell r="Y17542" t="str">
            <v>UNITED KINGDOM</v>
          </cell>
        </row>
        <row r="17543">
          <cell r="L17543" t="str">
            <v>Non-proportional</v>
          </cell>
          <cell r="S17543">
            <v>-351.17</v>
          </cell>
          <cell r="X17543" t="str">
            <v>Commissions - gross</v>
          </cell>
          <cell r="Y17543" t="str">
            <v>UNITED KINGDOM</v>
          </cell>
        </row>
        <row r="17544">
          <cell r="L17544" t="str">
            <v>Non-proportional</v>
          </cell>
          <cell r="S17544">
            <v>89682.06</v>
          </cell>
          <cell r="X17544" t="str">
            <v>Commissions - gross</v>
          </cell>
          <cell r="Y17544" t="str">
            <v>UNITED KINGDOM</v>
          </cell>
        </row>
        <row r="17545">
          <cell r="L17545" t="str">
            <v>Non-proportional</v>
          </cell>
          <cell r="S17545">
            <v>-566.17999999999995</v>
          </cell>
          <cell r="X17545" t="str">
            <v>Commissions - gross</v>
          </cell>
          <cell r="Y17545" t="str">
            <v>UNITED KINGDOM</v>
          </cell>
        </row>
        <row r="17546">
          <cell r="L17546" t="str">
            <v>Non-proportional</v>
          </cell>
          <cell r="S17546">
            <v>41545.980000000003</v>
          </cell>
          <cell r="X17546" t="str">
            <v>Commissions - gross</v>
          </cell>
          <cell r="Y17546" t="str">
            <v>NEW ZEALAND</v>
          </cell>
        </row>
        <row r="17547">
          <cell r="L17547" t="str">
            <v>Non-proportional</v>
          </cell>
          <cell r="S17547">
            <v>-4280.72</v>
          </cell>
          <cell r="X17547" t="str">
            <v>Commissions - gross</v>
          </cell>
          <cell r="Y17547" t="str">
            <v>FRANCE</v>
          </cell>
        </row>
        <row r="17548">
          <cell r="L17548" t="str">
            <v>Non-proportional</v>
          </cell>
          <cell r="S17548">
            <v>-677.99</v>
          </cell>
          <cell r="X17548" t="str">
            <v>Commissions - gross</v>
          </cell>
          <cell r="Y17548" t="str">
            <v>ISRAEL</v>
          </cell>
        </row>
        <row r="17549">
          <cell r="L17549" t="str">
            <v>Non-proportional</v>
          </cell>
          <cell r="S17549">
            <v>-2813.16</v>
          </cell>
          <cell r="X17549" t="str">
            <v>Commissions - gross</v>
          </cell>
          <cell r="Y17549" t="str">
            <v>UNITED ARAB EMIRATES</v>
          </cell>
        </row>
        <row r="17550">
          <cell r="L17550" t="str">
            <v>Non-proportional</v>
          </cell>
          <cell r="S17550">
            <v>-123104.72</v>
          </cell>
          <cell r="X17550" t="str">
            <v>Commissions - gross</v>
          </cell>
          <cell r="Y17550" t="str">
            <v>UNITED KINGDOM</v>
          </cell>
        </row>
        <row r="17551">
          <cell r="L17551" t="str">
            <v>Non-proportional</v>
          </cell>
          <cell r="S17551">
            <v>-3192.97</v>
          </cell>
          <cell r="X17551" t="str">
            <v>Commissions - gross</v>
          </cell>
          <cell r="Y17551" t="str">
            <v>UNITED KINGDOM</v>
          </cell>
        </row>
        <row r="17552">
          <cell r="L17552" t="str">
            <v>Proportional</v>
          </cell>
          <cell r="S17552">
            <v>512000</v>
          </cell>
          <cell r="X17552" t="str">
            <v>Commissions - gross</v>
          </cell>
          <cell r="Y17552" t="str">
            <v>ITALY</v>
          </cell>
        </row>
        <row r="17553">
          <cell r="L17553" t="str">
            <v>Non-proportional</v>
          </cell>
          <cell r="S17553">
            <v>1135.77</v>
          </cell>
          <cell r="X17553" t="str">
            <v>Commissions - gross</v>
          </cell>
          <cell r="Y17553" t="str">
            <v>ISRAEL</v>
          </cell>
        </row>
        <row r="17554">
          <cell r="L17554" t="str">
            <v>Proportional</v>
          </cell>
          <cell r="S17554">
            <v>-113.82</v>
          </cell>
          <cell r="X17554" t="str">
            <v>Commissions - gross</v>
          </cell>
          <cell r="Y17554" t="str">
            <v>UNITED STATES</v>
          </cell>
        </row>
        <row r="17555">
          <cell r="L17555" t="str">
            <v>Non-proportional</v>
          </cell>
          <cell r="S17555">
            <v>-269.35000000000002</v>
          </cell>
          <cell r="X17555" t="str">
            <v>Commissions - gross</v>
          </cell>
          <cell r="Y17555" t="str">
            <v>FRANCE</v>
          </cell>
        </row>
        <row r="17556">
          <cell r="L17556" t="str">
            <v>Non-proportional</v>
          </cell>
          <cell r="S17556">
            <v>9206.7099999999991</v>
          </cell>
          <cell r="X17556" t="str">
            <v>Commissions - gross</v>
          </cell>
          <cell r="Y17556" t="str">
            <v>JAPAN</v>
          </cell>
        </row>
        <row r="17557">
          <cell r="L17557" t="str">
            <v>Proportional</v>
          </cell>
          <cell r="S17557">
            <v>541.36</v>
          </cell>
          <cell r="X17557" t="str">
            <v>Commissions - gross</v>
          </cell>
          <cell r="Y17557" t="str">
            <v>MEXICO</v>
          </cell>
        </row>
        <row r="17558">
          <cell r="L17558" t="str">
            <v>Non-proportional</v>
          </cell>
          <cell r="S17558">
            <v>1749.19</v>
          </cell>
          <cell r="X17558" t="str">
            <v>Commissions - gross</v>
          </cell>
          <cell r="Y17558" t="str">
            <v>ISRAEL</v>
          </cell>
        </row>
        <row r="17559">
          <cell r="L17559" t="str">
            <v>Non-proportional</v>
          </cell>
          <cell r="S17559">
            <v>419.55</v>
          </cell>
          <cell r="X17559" t="str">
            <v>Commissions - gross</v>
          </cell>
          <cell r="Y17559" t="str">
            <v>FRANCE</v>
          </cell>
        </row>
        <row r="17560">
          <cell r="L17560" t="str">
            <v>Non-proportional</v>
          </cell>
          <cell r="S17560">
            <v>-2532.16</v>
          </cell>
          <cell r="X17560" t="str">
            <v>Commissions - gross</v>
          </cell>
          <cell r="Y17560" t="str">
            <v>ISRAEL</v>
          </cell>
        </row>
        <row r="17561">
          <cell r="L17561" t="str">
            <v>Non-proportional</v>
          </cell>
          <cell r="S17561">
            <v>-51615.18</v>
          </cell>
          <cell r="X17561" t="str">
            <v>Commissions - gross</v>
          </cell>
          <cell r="Y17561" t="str">
            <v>UNITED KINGDOM</v>
          </cell>
        </row>
        <row r="17562">
          <cell r="L17562" t="str">
            <v>Non-proportional</v>
          </cell>
          <cell r="S17562">
            <v>-48000</v>
          </cell>
          <cell r="X17562" t="str">
            <v>Commissions - gross</v>
          </cell>
          <cell r="Y17562" t="str">
            <v>ITALY</v>
          </cell>
        </row>
        <row r="17563">
          <cell r="L17563" t="str">
            <v>Non-proportional</v>
          </cell>
          <cell r="S17563">
            <v>-71.52</v>
          </cell>
          <cell r="X17563" t="str">
            <v>Commissions - gross</v>
          </cell>
          <cell r="Y17563" t="str">
            <v>GERMANY</v>
          </cell>
        </row>
        <row r="17564">
          <cell r="L17564" t="str">
            <v>Non-proportional</v>
          </cell>
          <cell r="S17564">
            <v>566.17999999999995</v>
          </cell>
          <cell r="X17564" t="str">
            <v>Commissions - gross</v>
          </cell>
          <cell r="Y17564" t="str">
            <v>UNITED KINGDOM</v>
          </cell>
        </row>
        <row r="17565">
          <cell r="L17565" t="str">
            <v>Proportional</v>
          </cell>
          <cell r="S17565">
            <v>799.66</v>
          </cell>
          <cell r="X17565" t="str">
            <v>Commissions - gross</v>
          </cell>
          <cell r="Y17565" t="str">
            <v>ITALY</v>
          </cell>
        </row>
        <row r="17566">
          <cell r="L17566" t="str">
            <v>Non-proportional</v>
          </cell>
          <cell r="S17566">
            <v>-876.93</v>
          </cell>
          <cell r="X17566" t="str">
            <v>Commissions - gross</v>
          </cell>
          <cell r="Y17566" t="str">
            <v>FRANCE</v>
          </cell>
        </row>
        <row r="17567">
          <cell r="L17567" t="str">
            <v>Non-proportional</v>
          </cell>
          <cell r="S17567">
            <v>6383.24</v>
          </cell>
          <cell r="X17567" t="str">
            <v>Commissions - gross</v>
          </cell>
          <cell r="Y17567" t="str">
            <v>UNITED KINGDOM</v>
          </cell>
        </row>
        <row r="17568">
          <cell r="L17568" t="str">
            <v>Non-proportional</v>
          </cell>
          <cell r="S17568">
            <v>23578.73</v>
          </cell>
          <cell r="X17568" t="str">
            <v>Commissions - gross</v>
          </cell>
          <cell r="Y17568" t="str">
            <v>UNITED KINGDOM</v>
          </cell>
        </row>
        <row r="17569">
          <cell r="L17569" t="str">
            <v>Non-proportional</v>
          </cell>
          <cell r="S17569">
            <v>-30776.18</v>
          </cell>
          <cell r="X17569" t="str">
            <v>Commissions - gross</v>
          </cell>
          <cell r="Y17569" t="str">
            <v>UNITED KINGDOM</v>
          </cell>
        </row>
        <row r="17570">
          <cell r="L17570" t="str">
            <v>Non-proportional</v>
          </cell>
          <cell r="S17570">
            <v>3411.62</v>
          </cell>
          <cell r="X17570" t="str">
            <v>Commissions - gross</v>
          </cell>
          <cell r="Y17570" t="str">
            <v>ECUADOR</v>
          </cell>
        </row>
        <row r="17571">
          <cell r="L17571" t="str">
            <v>Non-proportional</v>
          </cell>
          <cell r="S17571">
            <v>573.12</v>
          </cell>
          <cell r="X17571" t="str">
            <v>Commissions - gross</v>
          </cell>
          <cell r="Y17571" t="str">
            <v>UNITED KINGDOM</v>
          </cell>
        </row>
        <row r="17572">
          <cell r="L17572" t="str">
            <v>Non-proportional</v>
          </cell>
          <cell r="S17572">
            <v>14468.86</v>
          </cell>
          <cell r="X17572" t="str">
            <v>Commissions - gross</v>
          </cell>
          <cell r="Y17572" t="str">
            <v>PUERTO RICO</v>
          </cell>
        </row>
        <row r="17573">
          <cell r="L17573" t="str">
            <v>Non-proportional</v>
          </cell>
          <cell r="S17573">
            <v>-1684.32</v>
          </cell>
          <cell r="X17573" t="str">
            <v>Commissions - gross</v>
          </cell>
          <cell r="Y17573" t="str">
            <v>FRANCE</v>
          </cell>
        </row>
        <row r="17574">
          <cell r="L17574" t="str">
            <v>Non-proportional</v>
          </cell>
          <cell r="S17574">
            <v>2432.7600000000002</v>
          </cell>
          <cell r="X17574" t="str">
            <v>Commissions - gross</v>
          </cell>
          <cell r="Y17574" t="str">
            <v>ECUADOR</v>
          </cell>
        </row>
        <row r="17575">
          <cell r="L17575" t="str">
            <v>Non-proportional</v>
          </cell>
          <cell r="S17575">
            <v>-932.3</v>
          </cell>
          <cell r="X17575" t="str">
            <v>Commissions - gross</v>
          </cell>
          <cell r="Y17575" t="str">
            <v>GERMANY</v>
          </cell>
        </row>
        <row r="17576">
          <cell r="L17576" t="str">
            <v>Non-proportional</v>
          </cell>
          <cell r="S17576">
            <v>-22418.29</v>
          </cell>
          <cell r="X17576" t="str">
            <v>Commissions - gross</v>
          </cell>
          <cell r="Y17576" t="str">
            <v>UNITED KINGDOM</v>
          </cell>
        </row>
        <row r="17577">
          <cell r="L17577" t="str">
            <v>Non-proportional</v>
          </cell>
          <cell r="S17577">
            <v>6042.3</v>
          </cell>
          <cell r="X17577" t="str">
            <v>Commissions - gross</v>
          </cell>
          <cell r="Y17577" t="str">
            <v>UNITED KINGDOM</v>
          </cell>
        </row>
        <row r="17578">
          <cell r="L17578" t="str">
            <v>Proportional</v>
          </cell>
          <cell r="S17578">
            <v>-438857.14</v>
          </cell>
          <cell r="X17578" t="str">
            <v>Commissions - gross</v>
          </cell>
          <cell r="Y17578" t="str">
            <v>ITALY</v>
          </cell>
        </row>
        <row r="17579">
          <cell r="L17579" t="str">
            <v>Non-proportional</v>
          </cell>
          <cell r="S17579">
            <v>146623.03</v>
          </cell>
          <cell r="X17579" t="str">
            <v>Commissions - gross</v>
          </cell>
          <cell r="Y17579" t="str">
            <v>UNITED KINGDOM</v>
          </cell>
        </row>
        <row r="17580">
          <cell r="L17580" t="str">
            <v>Non-proportional</v>
          </cell>
          <cell r="S17580">
            <v>-1747.94</v>
          </cell>
          <cell r="X17580" t="str">
            <v>Commissions - gross</v>
          </cell>
          <cell r="Y17580" t="str">
            <v>GERMANY</v>
          </cell>
        </row>
        <row r="17581">
          <cell r="L17581" t="str">
            <v>Non-proportional</v>
          </cell>
          <cell r="S17581">
            <v>-340.05</v>
          </cell>
          <cell r="X17581" t="str">
            <v>Commissions - gross</v>
          </cell>
          <cell r="Y17581" t="str">
            <v>ISRAEL</v>
          </cell>
        </row>
        <row r="17582">
          <cell r="L17582" t="str">
            <v>Proportional</v>
          </cell>
          <cell r="S17582">
            <v>43622.12</v>
          </cell>
          <cell r="X17582" t="str">
            <v>Commissions - gross</v>
          </cell>
          <cell r="Y17582" t="str">
            <v>MEXICO</v>
          </cell>
        </row>
        <row r="17583">
          <cell r="L17583" t="str">
            <v>Non-proportional</v>
          </cell>
          <cell r="S17583">
            <v>-5267.5</v>
          </cell>
          <cell r="X17583" t="str">
            <v>Commissions - gross</v>
          </cell>
          <cell r="Y17583" t="str">
            <v>ITALY</v>
          </cell>
        </row>
        <row r="17584">
          <cell r="L17584" t="str">
            <v>Non-proportional</v>
          </cell>
          <cell r="S17584">
            <v>2813.16</v>
          </cell>
          <cell r="X17584" t="str">
            <v>Commissions - gross</v>
          </cell>
          <cell r="Y17584" t="str">
            <v>UNITED ARAB EMIRATES</v>
          </cell>
        </row>
        <row r="17585">
          <cell r="L17585" t="str">
            <v>Non-proportional</v>
          </cell>
          <cell r="S17585">
            <v>30723.08</v>
          </cell>
          <cell r="X17585" t="str">
            <v>Commissions - gross</v>
          </cell>
          <cell r="Y17585" t="str">
            <v>NEW ZEALAND</v>
          </cell>
        </row>
        <row r="17586">
          <cell r="L17586" t="str">
            <v>Non-proportional</v>
          </cell>
          <cell r="S17586">
            <v>-4670.6499999999996</v>
          </cell>
          <cell r="X17586" t="str">
            <v>Commissions - gross</v>
          </cell>
          <cell r="Y17586" t="str">
            <v>UNITED KINGDOM</v>
          </cell>
        </row>
        <row r="17587">
          <cell r="L17587" t="str">
            <v>Non-proportional</v>
          </cell>
          <cell r="S17587">
            <v>211.48</v>
          </cell>
          <cell r="X17587" t="str">
            <v>Commissions - gross</v>
          </cell>
          <cell r="Y17587" t="str">
            <v>NETHERLANDS</v>
          </cell>
        </row>
        <row r="17588">
          <cell r="L17588" t="str">
            <v>Proportional</v>
          </cell>
          <cell r="S17588">
            <v>2150.69</v>
          </cell>
          <cell r="X17588" t="str">
            <v>Commissions - gross</v>
          </cell>
          <cell r="Y17588" t="str">
            <v>MEXICO</v>
          </cell>
        </row>
        <row r="17589">
          <cell r="L17589" t="str">
            <v>Non-proportional</v>
          </cell>
          <cell r="S17589">
            <v>-41545.980000000003</v>
          </cell>
          <cell r="X17589" t="str">
            <v>Commissions - gross</v>
          </cell>
          <cell r="Y17589" t="str">
            <v>NEW ZEALAND</v>
          </cell>
        </row>
        <row r="17590">
          <cell r="L17590" t="str">
            <v>Non-proportional</v>
          </cell>
          <cell r="S17590">
            <v>7842.37</v>
          </cell>
          <cell r="X17590" t="str">
            <v>Commissions - gross</v>
          </cell>
          <cell r="Y17590" t="str">
            <v>MEXICO</v>
          </cell>
        </row>
        <row r="17591">
          <cell r="L17591" t="str">
            <v>Non-proportional</v>
          </cell>
          <cell r="S17591">
            <v>721.45</v>
          </cell>
          <cell r="X17591" t="str">
            <v>Commissions - gross</v>
          </cell>
          <cell r="Y17591" t="str">
            <v>FRANCE</v>
          </cell>
        </row>
        <row r="17592">
          <cell r="L17592" t="str">
            <v>Proportional</v>
          </cell>
          <cell r="S17592">
            <v>117.42</v>
          </cell>
          <cell r="X17592" t="str">
            <v>Commissions - gross</v>
          </cell>
          <cell r="Y17592" t="str">
            <v>AUSTRALIA</v>
          </cell>
        </row>
        <row r="17593">
          <cell r="L17593" t="str">
            <v>Non-proportional</v>
          </cell>
          <cell r="S17593">
            <v>-2267.8200000000002</v>
          </cell>
          <cell r="X17593" t="str">
            <v>Commissions - gross</v>
          </cell>
          <cell r="Y17593" t="str">
            <v>COLOMBIA</v>
          </cell>
        </row>
        <row r="17594">
          <cell r="L17594" t="str">
            <v>Non-proportional</v>
          </cell>
          <cell r="S17594">
            <v>30723.08</v>
          </cell>
          <cell r="X17594" t="str">
            <v>Commissions - gross</v>
          </cell>
          <cell r="Y17594" t="str">
            <v>NEW ZEALAND</v>
          </cell>
        </row>
        <row r="17595">
          <cell r="L17595" t="str">
            <v>Proportional</v>
          </cell>
          <cell r="S17595">
            <v>-705.23</v>
          </cell>
          <cell r="X17595" t="str">
            <v>Commissions - gross</v>
          </cell>
          <cell r="Y17595" t="str">
            <v>ITALY</v>
          </cell>
        </row>
        <row r="17596">
          <cell r="L17596" t="str">
            <v>Proportional</v>
          </cell>
          <cell r="S17596">
            <v>682.3</v>
          </cell>
          <cell r="X17596" t="str">
            <v>Commissions - gross</v>
          </cell>
          <cell r="Y17596" t="str">
            <v>ITALY</v>
          </cell>
        </row>
        <row r="17597">
          <cell r="L17597" t="str">
            <v>Non-proportional</v>
          </cell>
          <cell r="S17597">
            <v>3946.5</v>
          </cell>
          <cell r="X17597" t="str">
            <v>Commissions - gross</v>
          </cell>
          <cell r="Y17597" t="str">
            <v>INDIA</v>
          </cell>
        </row>
        <row r="17598">
          <cell r="L17598" t="str">
            <v>Non-proportional</v>
          </cell>
          <cell r="S17598">
            <v>890.5</v>
          </cell>
          <cell r="X17598" t="str">
            <v>Commissions - gross</v>
          </cell>
          <cell r="Y17598" t="str">
            <v>FRANCE</v>
          </cell>
        </row>
        <row r="17599">
          <cell r="L17599" t="str">
            <v>Non-proportional</v>
          </cell>
          <cell r="S17599">
            <v>-14386.42</v>
          </cell>
          <cell r="X17599" t="str">
            <v>Commissions - gross</v>
          </cell>
          <cell r="Y17599" t="str">
            <v>UNITED KINGDOM</v>
          </cell>
        </row>
        <row r="17600">
          <cell r="L17600" t="str">
            <v>Non-proportional</v>
          </cell>
          <cell r="S17600">
            <v>-5267.5</v>
          </cell>
          <cell r="X17600" t="str">
            <v>Commissions - gross</v>
          </cell>
          <cell r="Y17600" t="str">
            <v>ITALY</v>
          </cell>
        </row>
        <row r="17601">
          <cell r="L17601" t="str">
            <v>Non-proportional</v>
          </cell>
          <cell r="S17601">
            <v>830.12</v>
          </cell>
          <cell r="X17601" t="str">
            <v>Commissions - gross</v>
          </cell>
          <cell r="Y17601" t="str">
            <v>ISRAEL</v>
          </cell>
        </row>
        <row r="17602">
          <cell r="L17602" t="str">
            <v>Non-proportional</v>
          </cell>
          <cell r="S17602">
            <v>13984.86</v>
          </cell>
          <cell r="X17602" t="str">
            <v>Commissions - gross</v>
          </cell>
          <cell r="Y17602" t="str">
            <v>PERU</v>
          </cell>
        </row>
        <row r="17603">
          <cell r="L17603" t="str">
            <v>Proportional</v>
          </cell>
          <cell r="S17603">
            <v>485.35</v>
          </cell>
          <cell r="X17603" t="str">
            <v>Commissions - gross</v>
          </cell>
          <cell r="Y17603" t="str">
            <v>ITALY</v>
          </cell>
        </row>
        <row r="17604">
          <cell r="L17604" t="str">
            <v>Non-proportional</v>
          </cell>
          <cell r="S17604">
            <v>-340.33</v>
          </cell>
          <cell r="X17604" t="str">
            <v>Commissions - gross</v>
          </cell>
          <cell r="Y17604" t="str">
            <v>ISRAEL</v>
          </cell>
        </row>
        <row r="17605">
          <cell r="L17605" t="str">
            <v>Non-proportional</v>
          </cell>
          <cell r="S17605">
            <v>-3452.73</v>
          </cell>
          <cell r="X17605" t="str">
            <v>Commissions - gross</v>
          </cell>
          <cell r="Y17605" t="str">
            <v>UNITED KINGDOM</v>
          </cell>
        </row>
        <row r="17606">
          <cell r="L17606" t="str">
            <v>Non-proportional</v>
          </cell>
          <cell r="S17606">
            <v>7891.33</v>
          </cell>
          <cell r="X17606" t="str">
            <v>Commissions - gross</v>
          </cell>
          <cell r="Y17606" t="str">
            <v>UNITED KINGDOM</v>
          </cell>
        </row>
        <row r="17607">
          <cell r="L17607" t="str">
            <v>Non-proportional</v>
          </cell>
          <cell r="S17607">
            <v>741.19</v>
          </cell>
          <cell r="X17607" t="str">
            <v>Commissions - gross</v>
          </cell>
          <cell r="Y17607" t="str">
            <v>ISRAEL</v>
          </cell>
        </row>
        <row r="17608">
          <cell r="L17608" t="str">
            <v>Non-proportional</v>
          </cell>
          <cell r="S17608">
            <v>2119.5</v>
          </cell>
          <cell r="X17608" t="str">
            <v>Commissions - gross</v>
          </cell>
          <cell r="Y17608" t="str">
            <v>GERMANY</v>
          </cell>
        </row>
        <row r="17609">
          <cell r="L17609" t="str">
            <v>Proportional</v>
          </cell>
          <cell r="S17609">
            <v>73142.86</v>
          </cell>
          <cell r="X17609" t="str">
            <v>Commissions - gross</v>
          </cell>
          <cell r="Y17609" t="str">
            <v>ITALY</v>
          </cell>
        </row>
        <row r="17610">
          <cell r="L17610" t="str">
            <v>Proportional</v>
          </cell>
          <cell r="S17610">
            <v>438857.14</v>
          </cell>
          <cell r="X17610" t="str">
            <v>Commissions - gross</v>
          </cell>
          <cell r="Y17610" t="str">
            <v>ITALY</v>
          </cell>
        </row>
        <row r="17611">
          <cell r="L17611" t="str">
            <v>Proportional</v>
          </cell>
          <cell r="S17611">
            <v>-36571.43</v>
          </cell>
          <cell r="X17611" t="str">
            <v>Commissions - gross</v>
          </cell>
          <cell r="Y17611" t="str">
            <v>ITALY</v>
          </cell>
        </row>
        <row r="17612">
          <cell r="L17612" t="str">
            <v>Non-proportional</v>
          </cell>
          <cell r="S17612">
            <v>-7500</v>
          </cell>
          <cell r="X17612" t="str">
            <v>Commissions - gross</v>
          </cell>
          <cell r="Y17612" t="str">
            <v>SPAIN</v>
          </cell>
        </row>
        <row r="17613">
          <cell r="L17613" t="str">
            <v>Non-proportional</v>
          </cell>
          <cell r="S17613">
            <v>10570.52</v>
          </cell>
          <cell r="X17613" t="str">
            <v>Commissions - gross</v>
          </cell>
          <cell r="Y17613" t="str">
            <v>REPUBLIC OF IRELAND</v>
          </cell>
        </row>
        <row r="17614">
          <cell r="L17614" t="str">
            <v>Proportional</v>
          </cell>
          <cell r="S17614">
            <v>-4.99</v>
          </cell>
          <cell r="X17614" t="str">
            <v>Commissions - gross</v>
          </cell>
          <cell r="Y17614" t="str">
            <v>CHILE</v>
          </cell>
        </row>
        <row r="17615">
          <cell r="L17615" t="str">
            <v>Proportional</v>
          </cell>
          <cell r="S17615">
            <v>-78.75</v>
          </cell>
          <cell r="X17615" t="str">
            <v>Commissions - gross</v>
          </cell>
          <cell r="Y17615" t="str">
            <v>SWITZERLAND</v>
          </cell>
        </row>
        <row r="17616">
          <cell r="L17616" t="str">
            <v>Non-proportional</v>
          </cell>
          <cell r="S17616">
            <v>60454.55</v>
          </cell>
          <cell r="X17616" t="str">
            <v>Commissions - gross</v>
          </cell>
          <cell r="Y17616" t="str">
            <v>THAILAND</v>
          </cell>
        </row>
        <row r="17617">
          <cell r="L17617" t="str">
            <v>Non-proportional</v>
          </cell>
          <cell r="S17617">
            <v>3112.44</v>
          </cell>
          <cell r="X17617" t="str">
            <v>Commissions - gross</v>
          </cell>
          <cell r="Y17617" t="str">
            <v>MEXICO</v>
          </cell>
        </row>
        <row r="17618">
          <cell r="L17618" t="str">
            <v>Non-proportional</v>
          </cell>
          <cell r="S17618">
            <v>2423.2199999999998</v>
          </cell>
          <cell r="X17618" t="str">
            <v>Commissions - gross</v>
          </cell>
          <cell r="Y17618" t="str">
            <v>DOMINICAN REPUBLIC</v>
          </cell>
        </row>
        <row r="17619">
          <cell r="L17619" t="str">
            <v>Non-proportional</v>
          </cell>
          <cell r="S17619">
            <v>-5700.37</v>
          </cell>
          <cell r="X17619" t="str">
            <v>Commissions - gross</v>
          </cell>
          <cell r="Y17619" t="str">
            <v>AUSTRALIA</v>
          </cell>
        </row>
        <row r="17620">
          <cell r="L17620" t="str">
            <v>Non-proportional</v>
          </cell>
          <cell r="S17620">
            <v>4417.05</v>
          </cell>
          <cell r="X17620" t="str">
            <v>Commissions - gross</v>
          </cell>
          <cell r="Y17620" t="str">
            <v>COLOMBIA</v>
          </cell>
        </row>
        <row r="17621">
          <cell r="L17621" t="str">
            <v>Non-proportional</v>
          </cell>
          <cell r="S17621">
            <v>3101.69</v>
          </cell>
          <cell r="X17621" t="str">
            <v>Commissions - gross</v>
          </cell>
          <cell r="Y17621" t="str">
            <v>ECUADOR</v>
          </cell>
        </row>
        <row r="17622">
          <cell r="L17622" t="str">
            <v>Non-proportional</v>
          </cell>
          <cell r="S17622">
            <v>-4389.72</v>
          </cell>
          <cell r="X17622" t="str">
            <v>Commissions - gross</v>
          </cell>
          <cell r="Y17622" t="str">
            <v>FRANCE</v>
          </cell>
        </row>
        <row r="17623">
          <cell r="L17623" t="str">
            <v>Non-proportional</v>
          </cell>
          <cell r="S17623">
            <v>-2791.46</v>
          </cell>
          <cell r="X17623" t="str">
            <v>Commissions - gross</v>
          </cell>
          <cell r="Y17623" t="str">
            <v>ECUADOR</v>
          </cell>
        </row>
        <row r="17624">
          <cell r="L17624" t="str">
            <v>Non-proportional</v>
          </cell>
          <cell r="S17624">
            <v>4294.43</v>
          </cell>
          <cell r="X17624" t="str">
            <v>Commissions - gross</v>
          </cell>
          <cell r="Y17624" t="str">
            <v>THAILAND</v>
          </cell>
        </row>
        <row r="17625">
          <cell r="L17625" t="str">
            <v>Non-proportional</v>
          </cell>
          <cell r="S17625">
            <v>11503.59</v>
          </cell>
          <cell r="X17625" t="str">
            <v>Commissions - gross</v>
          </cell>
          <cell r="Y17625" t="str">
            <v>MEXICO</v>
          </cell>
        </row>
        <row r="17626">
          <cell r="L17626" t="str">
            <v>Non-proportional</v>
          </cell>
          <cell r="S17626">
            <v>4890.9799999999996</v>
          </cell>
          <cell r="X17626" t="str">
            <v>Commissions - gross</v>
          </cell>
          <cell r="Y17626" t="str">
            <v>UNITED KINGDOM</v>
          </cell>
        </row>
        <row r="17627">
          <cell r="L17627" t="str">
            <v>Non-proportional</v>
          </cell>
          <cell r="S17627">
            <v>10631.26</v>
          </cell>
          <cell r="X17627" t="str">
            <v>Commissions - gross</v>
          </cell>
          <cell r="Y17627" t="str">
            <v>ECUADOR</v>
          </cell>
        </row>
        <row r="17628">
          <cell r="L17628" t="str">
            <v>Non-proportional</v>
          </cell>
          <cell r="S17628">
            <v>1967.16</v>
          </cell>
          <cell r="X17628" t="str">
            <v>Commissions - gross</v>
          </cell>
          <cell r="Y17628" t="str">
            <v>ECUADOR</v>
          </cell>
        </row>
        <row r="17629">
          <cell r="L17629" t="str">
            <v>Non-proportional</v>
          </cell>
          <cell r="S17629">
            <v>2286.1</v>
          </cell>
          <cell r="X17629" t="str">
            <v>Commissions - gross</v>
          </cell>
          <cell r="Y17629" t="str">
            <v>THAILAND</v>
          </cell>
        </row>
        <row r="17630">
          <cell r="L17630" t="str">
            <v>Non-proportional</v>
          </cell>
          <cell r="S17630">
            <v>-53.05</v>
          </cell>
          <cell r="X17630" t="str">
            <v>Commissions - gross</v>
          </cell>
          <cell r="Y17630" t="str">
            <v>DENMARK</v>
          </cell>
        </row>
        <row r="17631">
          <cell r="L17631" t="str">
            <v>Non-proportional</v>
          </cell>
          <cell r="S17631">
            <v>734.49</v>
          </cell>
          <cell r="X17631" t="str">
            <v>Commissions - gross</v>
          </cell>
          <cell r="Y17631" t="str">
            <v>DOMINICAN REPUBLIC</v>
          </cell>
        </row>
        <row r="17632">
          <cell r="L17632" t="str">
            <v>Proportional</v>
          </cell>
          <cell r="S17632">
            <v>-17760.61</v>
          </cell>
          <cell r="X17632" t="str">
            <v>Commissions - gross</v>
          </cell>
          <cell r="Y17632" t="str">
            <v>ITALY</v>
          </cell>
        </row>
        <row r="17633">
          <cell r="L17633" t="str">
            <v>Non-proportional</v>
          </cell>
          <cell r="S17633">
            <v>3856.55</v>
          </cell>
          <cell r="X17633" t="str">
            <v>Commissions - gross</v>
          </cell>
          <cell r="Y17633" t="str">
            <v>AUSTRALIA</v>
          </cell>
        </row>
        <row r="17634">
          <cell r="L17634" t="str">
            <v>Non-proportional</v>
          </cell>
          <cell r="S17634">
            <v>-2283.69</v>
          </cell>
          <cell r="X17634" t="str">
            <v>Commissions - gross</v>
          </cell>
          <cell r="Y17634" t="str">
            <v>THAILAND</v>
          </cell>
        </row>
        <row r="17635">
          <cell r="L17635" t="str">
            <v>Non-proportional</v>
          </cell>
          <cell r="S17635">
            <v>23531.47</v>
          </cell>
          <cell r="X17635" t="str">
            <v>Commissions - gross</v>
          </cell>
          <cell r="Y17635" t="str">
            <v>MEXICO</v>
          </cell>
        </row>
        <row r="17636">
          <cell r="L17636" t="str">
            <v>Non-proportional</v>
          </cell>
          <cell r="S17636">
            <v>-11806.33</v>
          </cell>
          <cell r="X17636" t="str">
            <v>Commissions - gross</v>
          </cell>
          <cell r="Y17636" t="str">
            <v>CHILE</v>
          </cell>
        </row>
        <row r="17637">
          <cell r="L17637" t="str">
            <v>Non-proportional</v>
          </cell>
          <cell r="S17637">
            <v>841.27</v>
          </cell>
          <cell r="X17637" t="str">
            <v>Commissions - gross</v>
          </cell>
          <cell r="Y17637" t="str">
            <v>PERU</v>
          </cell>
        </row>
        <row r="17638">
          <cell r="L17638" t="str">
            <v>Non-proportional</v>
          </cell>
          <cell r="S17638">
            <v>11806.33</v>
          </cell>
          <cell r="X17638" t="str">
            <v>Commissions - gross</v>
          </cell>
          <cell r="Y17638" t="str">
            <v>CHILE</v>
          </cell>
        </row>
        <row r="17639">
          <cell r="L17639" t="str">
            <v>Non-proportional</v>
          </cell>
          <cell r="S17639">
            <v>-3181.55</v>
          </cell>
          <cell r="X17639" t="str">
            <v>Commissions - gross</v>
          </cell>
          <cell r="Y17639" t="str">
            <v>THAILAND</v>
          </cell>
        </row>
        <row r="17640">
          <cell r="L17640" t="str">
            <v>Non-proportional</v>
          </cell>
          <cell r="S17640">
            <v>59567.39</v>
          </cell>
          <cell r="X17640" t="str">
            <v>Commissions - gross</v>
          </cell>
          <cell r="Y17640" t="str">
            <v>BRAZIL</v>
          </cell>
        </row>
        <row r="17641">
          <cell r="L17641" t="str">
            <v>Non-proportional</v>
          </cell>
          <cell r="S17641">
            <v>3842.42</v>
          </cell>
          <cell r="X17641" t="str">
            <v>Commissions - gross</v>
          </cell>
          <cell r="Y17641" t="str">
            <v>AUSTRALIA</v>
          </cell>
        </row>
        <row r="17642">
          <cell r="L17642" t="str">
            <v>Non-proportional</v>
          </cell>
          <cell r="S17642">
            <v>3181.55</v>
          </cell>
          <cell r="X17642" t="str">
            <v>Commissions - gross</v>
          </cell>
          <cell r="Y17642" t="str">
            <v>THAILAND</v>
          </cell>
        </row>
        <row r="17643">
          <cell r="L17643" t="str">
            <v>Non-proportional</v>
          </cell>
          <cell r="S17643">
            <v>-76647.73</v>
          </cell>
          <cell r="X17643" t="str">
            <v>Commissions - gross</v>
          </cell>
          <cell r="Y17643" t="str">
            <v>THAILAND</v>
          </cell>
        </row>
        <row r="17644">
          <cell r="L17644" t="str">
            <v>Proportional</v>
          </cell>
          <cell r="S17644">
            <v>-2.8</v>
          </cell>
          <cell r="X17644" t="str">
            <v>Commissions - gross</v>
          </cell>
          <cell r="Y17644" t="str">
            <v>CHILE</v>
          </cell>
        </row>
        <row r="17645">
          <cell r="L17645" t="str">
            <v>Non-proportional</v>
          </cell>
          <cell r="S17645">
            <v>8784.69</v>
          </cell>
          <cell r="X17645" t="str">
            <v>Commissions - gross</v>
          </cell>
          <cell r="Y17645" t="str">
            <v>MEXICO</v>
          </cell>
        </row>
        <row r="17646">
          <cell r="L17646" t="str">
            <v>Non-proportional</v>
          </cell>
          <cell r="S17646">
            <v>-1296.46</v>
          </cell>
          <cell r="X17646" t="str">
            <v>Commissions - gross</v>
          </cell>
          <cell r="Y17646" t="str">
            <v>DENMARK</v>
          </cell>
        </row>
        <row r="17647">
          <cell r="L17647" t="str">
            <v>Non-proportional</v>
          </cell>
          <cell r="S17647">
            <v>507.13</v>
          </cell>
          <cell r="X17647" t="str">
            <v>Commissions - gross</v>
          </cell>
          <cell r="Y17647" t="str">
            <v>SINGAPORE</v>
          </cell>
        </row>
        <row r="17648">
          <cell r="L17648" t="str">
            <v>Proportional</v>
          </cell>
          <cell r="S17648">
            <v>-901.55</v>
          </cell>
          <cell r="X17648" t="str">
            <v>Commissions - gross</v>
          </cell>
          <cell r="Y17648" t="str">
            <v>CHILE</v>
          </cell>
        </row>
        <row r="17649">
          <cell r="L17649" t="str">
            <v>Non-proportional</v>
          </cell>
          <cell r="S17649">
            <v>-3022.73</v>
          </cell>
          <cell r="X17649" t="str">
            <v>Commissions - gross</v>
          </cell>
          <cell r="Y17649" t="str">
            <v>THAILAND</v>
          </cell>
        </row>
        <row r="17650">
          <cell r="L17650" t="str">
            <v>Non-proportional</v>
          </cell>
          <cell r="S17650">
            <v>1444.83</v>
          </cell>
          <cell r="X17650" t="str">
            <v>Commissions - gross</v>
          </cell>
          <cell r="Y17650" t="str">
            <v>ECUADOR</v>
          </cell>
        </row>
        <row r="17651">
          <cell r="L17651" t="str">
            <v>Non-proportional</v>
          </cell>
          <cell r="S17651">
            <v>-5266.14</v>
          </cell>
          <cell r="X17651" t="str">
            <v>Commissions - gross</v>
          </cell>
          <cell r="Y17651" t="str">
            <v>BELIZE</v>
          </cell>
        </row>
        <row r="17652">
          <cell r="L17652" t="str">
            <v>Non-proportional</v>
          </cell>
          <cell r="S17652">
            <v>1245.8599999999999</v>
          </cell>
          <cell r="X17652" t="str">
            <v>Commissions - gross</v>
          </cell>
          <cell r="Y17652" t="str">
            <v>DENMARK</v>
          </cell>
        </row>
        <row r="17653">
          <cell r="L17653" t="str">
            <v>Non-proportional</v>
          </cell>
          <cell r="S17653">
            <v>0.43</v>
          </cell>
          <cell r="X17653" t="str">
            <v>Commissions - gross</v>
          </cell>
          <cell r="Y17653" t="str">
            <v>FRANCE</v>
          </cell>
        </row>
        <row r="17654">
          <cell r="L17654" t="str">
            <v>Proportional</v>
          </cell>
          <cell r="S17654">
            <v>894.42</v>
          </cell>
          <cell r="X17654" t="str">
            <v>Commissions - gross</v>
          </cell>
          <cell r="Y17654" t="str">
            <v>CHILE</v>
          </cell>
        </row>
        <row r="17655">
          <cell r="L17655" t="str">
            <v>Non-proportional</v>
          </cell>
          <cell r="S17655">
            <v>-3200.54</v>
          </cell>
          <cell r="X17655" t="str">
            <v>Commissions - gross</v>
          </cell>
          <cell r="Y17655" t="str">
            <v>THAILAND</v>
          </cell>
        </row>
        <row r="17656">
          <cell r="L17656" t="str">
            <v>Non-proportional</v>
          </cell>
          <cell r="S17656">
            <v>-512.79</v>
          </cell>
          <cell r="X17656" t="str">
            <v>Commissions - gross</v>
          </cell>
          <cell r="Y17656" t="str">
            <v>UNITED KINGDOM</v>
          </cell>
        </row>
        <row r="17657">
          <cell r="L17657" t="str">
            <v>Non-proportional</v>
          </cell>
          <cell r="S17657">
            <v>-2323.14</v>
          </cell>
          <cell r="X17657" t="str">
            <v>Commissions - gross</v>
          </cell>
          <cell r="Y17657" t="str">
            <v>DOMINICAN REPUBLIC</v>
          </cell>
        </row>
        <row r="17658">
          <cell r="L17658" t="str">
            <v>Non-proportional</v>
          </cell>
          <cell r="S17658">
            <v>-885</v>
          </cell>
          <cell r="X17658" t="str">
            <v>Commissions - gross</v>
          </cell>
          <cell r="Y17658" t="str">
            <v>EUROPE</v>
          </cell>
        </row>
        <row r="17659">
          <cell r="L17659" t="str">
            <v>Non-proportional</v>
          </cell>
          <cell r="S17659">
            <v>13782.01</v>
          </cell>
          <cell r="X17659" t="str">
            <v>Commissions - gross</v>
          </cell>
          <cell r="Y17659" t="str">
            <v>ECUADOR</v>
          </cell>
        </row>
        <row r="17660">
          <cell r="L17660" t="str">
            <v>Non-proportional</v>
          </cell>
          <cell r="S17660">
            <v>7805.56</v>
          </cell>
          <cell r="X17660" t="str">
            <v>Commissions - gross</v>
          </cell>
          <cell r="Y17660" t="str">
            <v>UNITED KINGDOM</v>
          </cell>
        </row>
        <row r="17661">
          <cell r="L17661" t="str">
            <v>Non-proportional</v>
          </cell>
          <cell r="S17661">
            <v>643.98</v>
          </cell>
          <cell r="X17661" t="str">
            <v>Commissions - gross</v>
          </cell>
          <cell r="Y17661" t="str">
            <v>CHILE</v>
          </cell>
        </row>
        <row r="17662">
          <cell r="L17662" t="str">
            <v>Non-proportional</v>
          </cell>
          <cell r="S17662">
            <v>2645.58</v>
          </cell>
          <cell r="X17662" t="str">
            <v>Commissions - gross</v>
          </cell>
          <cell r="Y17662" t="str">
            <v>MEXICO</v>
          </cell>
        </row>
        <row r="17663">
          <cell r="L17663" t="str">
            <v>Non-proportional</v>
          </cell>
          <cell r="S17663">
            <v>15353</v>
          </cell>
          <cell r="X17663" t="str">
            <v>Commissions - gross</v>
          </cell>
          <cell r="Y17663" t="str">
            <v>AUSTRALIA</v>
          </cell>
        </row>
        <row r="17664">
          <cell r="L17664" t="str">
            <v>Non-proportional</v>
          </cell>
          <cell r="S17664">
            <v>-1703.2</v>
          </cell>
          <cell r="X17664" t="str">
            <v>Commissions - gross</v>
          </cell>
          <cell r="Y17664" t="str">
            <v>DOMINICAN REPUBLIC</v>
          </cell>
        </row>
        <row r="17665">
          <cell r="L17665" t="str">
            <v>Non-proportional</v>
          </cell>
          <cell r="S17665">
            <v>-31222.26</v>
          </cell>
          <cell r="X17665" t="str">
            <v>Commissions - gross</v>
          </cell>
          <cell r="Y17665" t="str">
            <v>UNITED KINGDOM</v>
          </cell>
        </row>
        <row r="17666">
          <cell r="L17666" t="str">
            <v>Non-proportional</v>
          </cell>
          <cell r="S17666">
            <v>3531.93</v>
          </cell>
          <cell r="X17666" t="str">
            <v>Commissions - gross</v>
          </cell>
          <cell r="Y17666" t="str">
            <v>DOMINICAN REPUBLIC</v>
          </cell>
        </row>
        <row r="17667">
          <cell r="L17667" t="str">
            <v>Non-proportional</v>
          </cell>
          <cell r="S17667">
            <v>-2837.05</v>
          </cell>
          <cell r="X17667" t="str">
            <v>Commissions - gross</v>
          </cell>
          <cell r="Y17667" t="str">
            <v>THAILAND</v>
          </cell>
        </row>
        <row r="17668">
          <cell r="L17668" t="str">
            <v>Non-proportional</v>
          </cell>
          <cell r="S17668">
            <v>965.48</v>
          </cell>
          <cell r="X17668" t="str">
            <v>Commissions - gross</v>
          </cell>
          <cell r="Y17668" t="str">
            <v>EUROPE</v>
          </cell>
        </row>
        <row r="17669">
          <cell r="L17669" t="str">
            <v>Non-proportional</v>
          </cell>
          <cell r="S17669">
            <v>-3201.07</v>
          </cell>
          <cell r="X17669" t="str">
            <v>Commissions - gross</v>
          </cell>
          <cell r="Y17669" t="str">
            <v>THAILAND</v>
          </cell>
        </row>
        <row r="17670">
          <cell r="L17670" t="str">
            <v>Proportional</v>
          </cell>
          <cell r="S17670">
            <v>3307.57</v>
          </cell>
          <cell r="X17670" t="str">
            <v>Commissions - gross</v>
          </cell>
          <cell r="Y17670" t="str">
            <v>MEXICO</v>
          </cell>
        </row>
        <row r="17671">
          <cell r="L17671" t="str">
            <v>Non-proportional</v>
          </cell>
          <cell r="S17671">
            <v>-762.64</v>
          </cell>
          <cell r="X17671" t="str">
            <v>Commissions - gross</v>
          </cell>
          <cell r="Y17671" t="str">
            <v>MEXICO</v>
          </cell>
        </row>
        <row r="17672">
          <cell r="L17672" t="str">
            <v>Proportional</v>
          </cell>
          <cell r="S17672">
            <v>5.72</v>
          </cell>
          <cell r="X17672" t="str">
            <v>Commissions - gross</v>
          </cell>
          <cell r="Y17672" t="str">
            <v>CHILE</v>
          </cell>
        </row>
        <row r="17673">
          <cell r="L17673" t="str">
            <v>Non-proportional</v>
          </cell>
          <cell r="S17673">
            <v>-8867.24</v>
          </cell>
          <cell r="X17673" t="str">
            <v>Commissions - gross</v>
          </cell>
          <cell r="Y17673" t="str">
            <v>AUSTRALIA</v>
          </cell>
        </row>
        <row r="17674">
          <cell r="L17674" t="str">
            <v>Non-proportional</v>
          </cell>
          <cell r="S17674">
            <v>-10615.06</v>
          </cell>
          <cell r="X17674" t="str">
            <v>Commissions - gross</v>
          </cell>
          <cell r="Y17674" t="str">
            <v>MEXICO</v>
          </cell>
        </row>
        <row r="17675">
          <cell r="L17675" t="str">
            <v>Non-proportional</v>
          </cell>
          <cell r="S17675">
            <v>12768.83</v>
          </cell>
          <cell r="X17675" t="str">
            <v>Commissions - gross</v>
          </cell>
          <cell r="Y17675" t="str">
            <v>AUSTRALIA</v>
          </cell>
        </row>
        <row r="17676">
          <cell r="L17676" t="str">
            <v>Non-proportional</v>
          </cell>
          <cell r="S17676">
            <v>2619.19</v>
          </cell>
          <cell r="X17676" t="str">
            <v>Commissions - gross</v>
          </cell>
          <cell r="Y17676" t="str">
            <v>DOMINICAN REPUBLIC</v>
          </cell>
        </row>
        <row r="17677">
          <cell r="L17677" t="str">
            <v>Non-proportional</v>
          </cell>
          <cell r="S17677">
            <v>2733.67</v>
          </cell>
          <cell r="X17677" t="str">
            <v>Commissions - gross</v>
          </cell>
          <cell r="Y17677" t="str">
            <v>DOMINICAN REPUBLIC</v>
          </cell>
        </row>
        <row r="17678">
          <cell r="L17678" t="str">
            <v>Non-proportional</v>
          </cell>
          <cell r="S17678">
            <v>-56740.91</v>
          </cell>
          <cell r="X17678" t="str">
            <v>Commissions - gross</v>
          </cell>
          <cell r="Y17678" t="str">
            <v>THAILAND</v>
          </cell>
        </row>
        <row r="17679">
          <cell r="L17679" t="str">
            <v>Non-proportional</v>
          </cell>
          <cell r="S17679">
            <v>243.46</v>
          </cell>
          <cell r="X17679" t="str">
            <v>Commissions - gross</v>
          </cell>
          <cell r="Y17679" t="str">
            <v>FINLAND</v>
          </cell>
        </row>
        <row r="17680">
          <cell r="L17680" t="str">
            <v>Non-proportional</v>
          </cell>
          <cell r="S17680">
            <v>-7224.14</v>
          </cell>
          <cell r="X17680" t="str">
            <v>Commissions - gross</v>
          </cell>
          <cell r="Y17680" t="str">
            <v>MEXICO</v>
          </cell>
        </row>
        <row r="17681">
          <cell r="L17681" t="str">
            <v>Non-proportional</v>
          </cell>
          <cell r="S17681">
            <v>4693.13</v>
          </cell>
          <cell r="X17681" t="str">
            <v>Commissions - gross</v>
          </cell>
          <cell r="Y17681" t="str">
            <v>BELIZE</v>
          </cell>
        </row>
        <row r="17682">
          <cell r="L17682" t="str">
            <v>Non-proportional</v>
          </cell>
          <cell r="S17682">
            <v>3483.48</v>
          </cell>
          <cell r="X17682" t="str">
            <v>Commissions - gross</v>
          </cell>
          <cell r="Y17682" t="str">
            <v>AUSTRALIA</v>
          </cell>
        </row>
        <row r="17683">
          <cell r="L17683" t="str">
            <v>Proportional</v>
          </cell>
          <cell r="S17683">
            <v>17760.61</v>
          </cell>
          <cell r="X17683" t="str">
            <v>Commissions - gross</v>
          </cell>
          <cell r="Y17683" t="str">
            <v>ITALY</v>
          </cell>
        </row>
        <row r="17684">
          <cell r="L17684" t="str">
            <v>Non-proportional</v>
          </cell>
          <cell r="S17684">
            <v>1599.97</v>
          </cell>
          <cell r="X17684" t="str">
            <v>Commissions - gross</v>
          </cell>
          <cell r="Y17684" t="str">
            <v>ECUADOR</v>
          </cell>
        </row>
        <row r="17685">
          <cell r="L17685" t="str">
            <v>Non-proportional</v>
          </cell>
          <cell r="S17685">
            <v>350.28</v>
          </cell>
          <cell r="X17685" t="str">
            <v>Commissions - gross</v>
          </cell>
          <cell r="Y17685" t="str">
            <v>REPUBLIC OF IRELAND</v>
          </cell>
        </row>
        <row r="17686">
          <cell r="L17686" t="str">
            <v>Proportional</v>
          </cell>
          <cell r="S17686">
            <v>-21.98</v>
          </cell>
          <cell r="X17686" t="str">
            <v>Commissions - gross</v>
          </cell>
          <cell r="Y17686" t="str">
            <v>CHILE</v>
          </cell>
        </row>
        <row r="17687">
          <cell r="L17687" t="str">
            <v>Non-proportional</v>
          </cell>
          <cell r="S17687">
            <v>2323.14</v>
          </cell>
          <cell r="X17687" t="str">
            <v>Commissions - gross</v>
          </cell>
          <cell r="Y17687" t="str">
            <v>DOMINICAN REPUBLIC</v>
          </cell>
        </row>
        <row r="17688">
          <cell r="L17688" t="str">
            <v>Non-proportional</v>
          </cell>
          <cell r="S17688">
            <v>11697.71</v>
          </cell>
          <cell r="X17688" t="str">
            <v>Commissions - gross</v>
          </cell>
          <cell r="Y17688" t="str">
            <v>MEXICO</v>
          </cell>
        </row>
        <row r="17689">
          <cell r="L17689" t="str">
            <v>Non-proportional</v>
          </cell>
          <cell r="S17689">
            <v>5521.32</v>
          </cell>
          <cell r="X17689" t="str">
            <v>Commissions - gross</v>
          </cell>
          <cell r="Y17689" t="str">
            <v>COLOMBIA</v>
          </cell>
        </row>
        <row r="17690">
          <cell r="L17690" t="str">
            <v>Non-proportional</v>
          </cell>
          <cell r="S17690">
            <v>-3577.67</v>
          </cell>
          <cell r="X17690" t="str">
            <v>Commissions - gross</v>
          </cell>
          <cell r="Y17690" t="str">
            <v>ECUADOR</v>
          </cell>
        </row>
        <row r="17691">
          <cell r="L17691" t="str">
            <v>Proportional</v>
          </cell>
          <cell r="S17691">
            <v>8542.2199999999993</v>
          </cell>
          <cell r="X17691" t="str">
            <v>Commissions - gross</v>
          </cell>
          <cell r="Y17691" t="str">
            <v>MEXICO</v>
          </cell>
        </row>
        <row r="17692">
          <cell r="L17692" t="str">
            <v>Proportional</v>
          </cell>
          <cell r="S17692">
            <v>2.8</v>
          </cell>
          <cell r="X17692" t="str">
            <v>Commissions - gross</v>
          </cell>
          <cell r="Y17692" t="str">
            <v>CHILE</v>
          </cell>
        </row>
        <row r="17693">
          <cell r="L17693" t="str">
            <v>Non-proportional</v>
          </cell>
          <cell r="S17693">
            <v>2003.31</v>
          </cell>
          <cell r="X17693" t="str">
            <v>Commissions - gross</v>
          </cell>
          <cell r="Y17693" t="str">
            <v>DOMINICAN REPUBLIC</v>
          </cell>
        </row>
        <row r="17694">
          <cell r="L17694" t="str">
            <v>Non-proportional</v>
          </cell>
          <cell r="S17694">
            <v>858.64</v>
          </cell>
          <cell r="X17694" t="str">
            <v>Commissions - gross</v>
          </cell>
          <cell r="Y17694" t="str">
            <v>CHILE</v>
          </cell>
        </row>
        <row r="17695">
          <cell r="L17695" t="str">
            <v>Non-proportional</v>
          </cell>
          <cell r="S17695">
            <v>883.81</v>
          </cell>
          <cell r="X17695" t="str">
            <v>Commissions - gross</v>
          </cell>
          <cell r="Y17695" t="str">
            <v>ECUADOR</v>
          </cell>
        </row>
        <row r="17696">
          <cell r="L17696" t="str">
            <v>Non-proportional</v>
          </cell>
          <cell r="S17696">
            <v>-2664.7</v>
          </cell>
          <cell r="X17696" t="str">
            <v>Commissions - gross</v>
          </cell>
          <cell r="Y17696" t="str">
            <v>BELIZE</v>
          </cell>
        </row>
        <row r="17697">
          <cell r="L17697" t="str">
            <v>Non-proportional</v>
          </cell>
          <cell r="S17697">
            <v>8867.24</v>
          </cell>
          <cell r="X17697" t="str">
            <v>Commissions - gross</v>
          </cell>
          <cell r="Y17697" t="str">
            <v>AUSTRALIA</v>
          </cell>
        </row>
        <row r="17698">
          <cell r="L17698" t="str">
            <v>Non-proportional</v>
          </cell>
          <cell r="S17698">
            <v>6941.79</v>
          </cell>
          <cell r="X17698" t="str">
            <v>Commissions - gross</v>
          </cell>
          <cell r="Y17698" t="str">
            <v>AUSTRALIA</v>
          </cell>
        </row>
        <row r="17699">
          <cell r="L17699" t="str">
            <v>Non-proportional</v>
          </cell>
          <cell r="S17699">
            <v>1843.88</v>
          </cell>
          <cell r="X17699" t="str">
            <v>Commissions - gross</v>
          </cell>
          <cell r="Y17699" t="str">
            <v>DOMINICAN REPUBLIC</v>
          </cell>
        </row>
        <row r="17700">
          <cell r="L17700" t="str">
            <v>Proportional</v>
          </cell>
          <cell r="S17700">
            <v>4.7</v>
          </cell>
          <cell r="X17700" t="str">
            <v>Commissions - gross</v>
          </cell>
          <cell r="Y17700" t="str">
            <v>CHILE</v>
          </cell>
        </row>
        <row r="17701">
          <cell r="L17701" t="str">
            <v>Non-proportional</v>
          </cell>
          <cell r="S17701">
            <v>2234.33</v>
          </cell>
          <cell r="X17701" t="str">
            <v>Commissions - gross</v>
          </cell>
          <cell r="Y17701" t="str">
            <v>UNITED KINGDOM</v>
          </cell>
        </row>
        <row r="17702">
          <cell r="L17702" t="str">
            <v>Proportional</v>
          </cell>
          <cell r="S17702">
            <v>-829.01</v>
          </cell>
          <cell r="X17702" t="str">
            <v>Commissions - gross</v>
          </cell>
          <cell r="Y17702" t="str">
            <v>CHILE</v>
          </cell>
        </row>
        <row r="17703">
          <cell r="L17703" t="str">
            <v>Non-proportional</v>
          </cell>
          <cell r="S17703">
            <v>7086.69</v>
          </cell>
          <cell r="X17703" t="str">
            <v>Commissions - gross</v>
          </cell>
          <cell r="Y17703" t="str">
            <v>SPAIN</v>
          </cell>
        </row>
        <row r="17704">
          <cell r="L17704" t="str">
            <v>Non-proportional</v>
          </cell>
          <cell r="S17704">
            <v>1162.1500000000001</v>
          </cell>
          <cell r="X17704" t="str">
            <v>Commissions - gross</v>
          </cell>
          <cell r="Y17704" t="str">
            <v>DOMINICAN REPUBLIC</v>
          </cell>
        </row>
        <row r="17705">
          <cell r="L17705" t="str">
            <v>Non-proportional</v>
          </cell>
          <cell r="S17705">
            <v>3577.67</v>
          </cell>
          <cell r="X17705" t="str">
            <v>Commissions - gross</v>
          </cell>
          <cell r="Y17705" t="str">
            <v>ECUADOR</v>
          </cell>
        </row>
        <row r="17706">
          <cell r="L17706" t="str">
            <v>Non-proportional</v>
          </cell>
          <cell r="S17706">
            <v>12303.58</v>
          </cell>
          <cell r="X17706" t="str">
            <v>Commissions - gross</v>
          </cell>
          <cell r="Y17706" t="str">
            <v>PERU</v>
          </cell>
        </row>
        <row r="17707">
          <cell r="L17707" t="str">
            <v>Non-proportional</v>
          </cell>
          <cell r="S17707">
            <v>-1871</v>
          </cell>
          <cell r="X17707" t="str">
            <v>Commissions - gross</v>
          </cell>
          <cell r="Y17707" t="str">
            <v>REPUBLIC OF IRELAND</v>
          </cell>
        </row>
        <row r="17708">
          <cell r="L17708" t="str">
            <v>Non-proportional</v>
          </cell>
          <cell r="S17708">
            <v>3378.04</v>
          </cell>
          <cell r="X17708" t="str">
            <v>Commissions - gross</v>
          </cell>
          <cell r="Y17708" t="str">
            <v>AUSTRALIA</v>
          </cell>
        </row>
        <row r="17709">
          <cell r="L17709" t="str">
            <v>Non-proportional</v>
          </cell>
          <cell r="S17709">
            <v>-3201.07</v>
          </cell>
          <cell r="X17709" t="str">
            <v>Commissions - gross</v>
          </cell>
          <cell r="Y17709" t="str">
            <v>THAILAND</v>
          </cell>
        </row>
        <row r="17710">
          <cell r="L17710" t="str">
            <v>Non-proportional</v>
          </cell>
          <cell r="S17710">
            <v>87443.19</v>
          </cell>
          <cell r="X17710" t="str">
            <v>Commissions - gross</v>
          </cell>
          <cell r="Y17710" t="str">
            <v>THAILAND</v>
          </cell>
        </row>
        <row r="17711">
          <cell r="L17711" t="str">
            <v>Non-proportional</v>
          </cell>
          <cell r="S17711">
            <v>-744.59</v>
          </cell>
          <cell r="X17711" t="str">
            <v>Commissions - gross</v>
          </cell>
          <cell r="Y17711" t="str">
            <v>BRAZIL</v>
          </cell>
        </row>
        <row r="17712">
          <cell r="L17712" t="str">
            <v>Non-proportional</v>
          </cell>
          <cell r="S17712">
            <v>33778.269999999997</v>
          </cell>
          <cell r="X17712" t="str">
            <v>Commissions - gross</v>
          </cell>
          <cell r="Y17712" t="str">
            <v>AUSTRALIA</v>
          </cell>
        </row>
        <row r="17713">
          <cell r="L17713" t="str">
            <v>Non-proportional</v>
          </cell>
          <cell r="S17713">
            <v>2283.69</v>
          </cell>
          <cell r="X17713" t="str">
            <v>Commissions - gross</v>
          </cell>
          <cell r="Y17713" t="str">
            <v>THAILAND</v>
          </cell>
        </row>
        <row r="17714">
          <cell r="L17714" t="str">
            <v>Non-proportional</v>
          </cell>
          <cell r="S17714">
            <v>3378.62</v>
          </cell>
          <cell r="X17714" t="str">
            <v>Commissions - gross</v>
          </cell>
          <cell r="Y17714" t="str">
            <v>AUSTRALIA</v>
          </cell>
        </row>
        <row r="17715">
          <cell r="L17715" t="str">
            <v>Non-proportional</v>
          </cell>
          <cell r="S17715">
            <v>2467.35</v>
          </cell>
          <cell r="X17715" t="str">
            <v>Commissions - gross</v>
          </cell>
          <cell r="Y17715" t="str">
            <v>UNITED KINGDOM</v>
          </cell>
        </row>
        <row r="17716">
          <cell r="L17716" t="str">
            <v>Proportional</v>
          </cell>
          <cell r="S17716">
            <v>-739.21</v>
          </cell>
          <cell r="X17716" t="str">
            <v>Commissions - gross</v>
          </cell>
          <cell r="Y17716" t="str">
            <v>UNITED STATES</v>
          </cell>
        </row>
        <row r="17717">
          <cell r="L17717" t="str">
            <v>Non-proportional</v>
          </cell>
          <cell r="S17717">
            <v>2453.41</v>
          </cell>
          <cell r="X17717" t="str">
            <v>Commissions - gross</v>
          </cell>
          <cell r="Y17717" t="str">
            <v>BELIZE</v>
          </cell>
        </row>
        <row r="17718">
          <cell r="L17718" t="str">
            <v>Non-proportional</v>
          </cell>
          <cell r="S17718">
            <v>2084.39</v>
          </cell>
          <cell r="X17718" t="str">
            <v>Commissions - gross</v>
          </cell>
          <cell r="Y17718" t="str">
            <v>BELIZE</v>
          </cell>
        </row>
        <row r="17719">
          <cell r="L17719" t="str">
            <v>Non-proportional</v>
          </cell>
          <cell r="S17719">
            <v>3420.22</v>
          </cell>
          <cell r="X17719" t="str">
            <v>Commissions - gross</v>
          </cell>
          <cell r="Y17719" t="str">
            <v>AUSTRALIA</v>
          </cell>
        </row>
        <row r="17720">
          <cell r="L17720" t="str">
            <v>Non-proportional</v>
          </cell>
          <cell r="S17720">
            <v>-184.65</v>
          </cell>
          <cell r="X17720" t="str">
            <v>Commissions - gross</v>
          </cell>
          <cell r="Y17720" t="str">
            <v>DENMARK</v>
          </cell>
        </row>
        <row r="17721">
          <cell r="L17721" t="str">
            <v>Non-proportional</v>
          </cell>
          <cell r="S17721">
            <v>1658.61</v>
          </cell>
          <cell r="X17721" t="str">
            <v>Commissions - gross</v>
          </cell>
          <cell r="Y17721" t="str">
            <v>UNITED KINGDOM</v>
          </cell>
        </row>
        <row r="17722">
          <cell r="L17722" t="str">
            <v>Non-proportional</v>
          </cell>
          <cell r="S17722">
            <v>-128.57</v>
          </cell>
          <cell r="X17722" t="str">
            <v>Commissions - gross</v>
          </cell>
          <cell r="Y17722" t="str">
            <v>JAPAN</v>
          </cell>
        </row>
        <row r="17723">
          <cell r="L17723" t="str">
            <v>Non-proportional</v>
          </cell>
          <cell r="S17723">
            <v>2670.21</v>
          </cell>
          <cell r="X17723" t="str">
            <v>Commissions - gross</v>
          </cell>
          <cell r="Y17723" t="str">
            <v>DOMINICAN REPUBLIC</v>
          </cell>
        </row>
        <row r="17724">
          <cell r="L17724" t="str">
            <v>Non-proportional</v>
          </cell>
          <cell r="S17724">
            <v>20643.189999999999</v>
          </cell>
          <cell r="X17724" t="str">
            <v>Commissions - gross</v>
          </cell>
          <cell r="Y17724" t="str">
            <v>CHILE</v>
          </cell>
        </row>
        <row r="17725">
          <cell r="L17725" t="str">
            <v>Non-proportional</v>
          </cell>
          <cell r="S17725">
            <v>-158.35</v>
          </cell>
          <cell r="X17725" t="str">
            <v>Commissions - gross</v>
          </cell>
          <cell r="Y17725" t="str">
            <v>UNITED ARAB EMIRATES</v>
          </cell>
        </row>
        <row r="17726">
          <cell r="L17726" t="str">
            <v>Non-proportional</v>
          </cell>
          <cell r="S17726">
            <v>-795.42</v>
          </cell>
          <cell r="X17726" t="str">
            <v>Commissions - gross</v>
          </cell>
          <cell r="Y17726" t="str">
            <v>ECUADOR</v>
          </cell>
        </row>
        <row r="17727">
          <cell r="L17727" t="str">
            <v>Non-proportional</v>
          </cell>
          <cell r="S17727">
            <v>1857.59</v>
          </cell>
          <cell r="X17727" t="str">
            <v>Commissions - gross</v>
          </cell>
          <cell r="Y17727" t="str">
            <v>AUSTRALIA</v>
          </cell>
        </row>
        <row r="17728">
          <cell r="L17728" t="str">
            <v>Non-proportional</v>
          </cell>
          <cell r="S17728">
            <v>105068.04</v>
          </cell>
          <cell r="X17728" t="str">
            <v>Commissions - gross</v>
          </cell>
          <cell r="Y17728" t="str">
            <v>UNITED KINGDOM</v>
          </cell>
        </row>
        <row r="17729">
          <cell r="L17729" t="str">
            <v>Proportional</v>
          </cell>
          <cell r="S17729">
            <v>-1.1000000000000001</v>
          </cell>
          <cell r="X17729" t="str">
            <v>Commissions - gross</v>
          </cell>
          <cell r="Y17729" t="str">
            <v>CHILE</v>
          </cell>
        </row>
        <row r="17730">
          <cell r="L17730" t="str">
            <v>Non-proportional</v>
          </cell>
          <cell r="S17730">
            <v>98.78</v>
          </cell>
          <cell r="X17730" t="str">
            <v>Commissions - gross</v>
          </cell>
          <cell r="Y17730" t="str">
            <v>JAPAN</v>
          </cell>
        </row>
        <row r="17731">
          <cell r="L17731" t="str">
            <v>Non-proportional</v>
          </cell>
          <cell r="S17731">
            <v>-32088.17</v>
          </cell>
          <cell r="X17731" t="str">
            <v>Commissions - gross</v>
          </cell>
          <cell r="Y17731" t="str">
            <v>UNITED KINGDOM</v>
          </cell>
        </row>
        <row r="17732">
          <cell r="L17732" t="str">
            <v>Non-proportional</v>
          </cell>
          <cell r="S17732">
            <v>-1843.88</v>
          </cell>
          <cell r="X17732" t="str">
            <v>Commissions - gross</v>
          </cell>
          <cell r="Y17732" t="str">
            <v>DOMINICAN REPUBLIC</v>
          </cell>
        </row>
        <row r="17733">
          <cell r="L17733" t="str">
            <v>Non-proportional</v>
          </cell>
          <cell r="S17733">
            <v>1424.99</v>
          </cell>
          <cell r="X17733" t="str">
            <v>Commissions - gross</v>
          </cell>
          <cell r="Y17733" t="str">
            <v>UNITED ARAB EMIRATES</v>
          </cell>
        </row>
        <row r="17734">
          <cell r="L17734" t="str">
            <v>Proportional</v>
          </cell>
          <cell r="S17734">
            <v>35.78</v>
          </cell>
          <cell r="X17734" t="str">
            <v>Commissions - gross</v>
          </cell>
          <cell r="Y17734" t="str">
            <v>CHILE</v>
          </cell>
        </row>
        <row r="17735">
          <cell r="L17735" t="str">
            <v>Non-proportional</v>
          </cell>
          <cell r="S17735">
            <v>-704.21</v>
          </cell>
          <cell r="X17735" t="str">
            <v>Commissions - gross</v>
          </cell>
          <cell r="Y17735" t="str">
            <v>AUSTRALIA</v>
          </cell>
        </row>
        <row r="17736">
          <cell r="L17736" t="str">
            <v>Non-proportional</v>
          </cell>
          <cell r="S17736">
            <v>-11946.86</v>
          </cell>
          <cell r="X17736" t="str">
            <v>Commissions - gross</v>
          </cell>
          <cell r="Y17736" t="str">
            <v>MEXICO</v>
          </cell>
        </row>
        <row r="17737">
          <cell r="L17737" t="str">
            <v>Proportional</v>
          </cell>
          <cell r="S17737">
            <v>-231.06</v>
          </cell>
          <cell r="X17737" t="str">
            <v>Commissions - gross</v>
          </cell>
          <cell r="Y17737" t="str">
            <v>UNITED STATES</v>
          </cell>
        </row>
        <row r="17738">
          <cell r="L17738" t="str">
            <v>Non-proportional</v>
          </cell>
          <cell r="S17738">
            <v>699.09</v>
          </cell>
          <cell r="X17738" t="str">
            <v>Commissions - gross</v>
          </cell>
          <cell r="Y17738" t="str">
            <v>UNITED KINGDOM</v>
          </cell>
        </row>
        <row r="17739">
          <cell r="L17739" t="str">
            <v>Non-proportional</v>
          </cell>
          <cell r="S17739">
            <v>13680.89</v>
          </cell>
          <cell r="X17739" t="str">
            <v>Commissions - gross</v>
          </cell>
          <cell r="Y17739" t="str">
            <v>AUSTRALIA</v>
          </cell>
        </row>
        <row r="17740">
          <cell r="L17740" t="str">
            <v>Non-proportional</v>
          </cell>
          <cell r="S17740">
            <v>5118.5600000000004</v>
          </cell>
          <cell r="X17740" t="str">
            <v>Commissions - gross</v>
          </cell>
          <cell r="Y17740" t="str">
            <v>CANADA</v>
          </cell>
        </row>
        <row r="17741">
          <cell r="L17741" t="str">
            <v>Non-proportional</v>
          </cell>
          <cell r="S17741">
            <v>8867.24</v>
          </cell>
          <cell r="X17741" t="str">
            <v>Commissions - gross</v>
          </cell>
          <cell r="Y17741" t="str">
            <v>AUSTRALIA</v>
          </cell>
        </row>
        <row r="17742">
          <cell r="L17742" t="str">
            <v>Non-proportional</v>
          </cell>
          <cell r="S17742">
            <v>-2283.69</v>
          </cell>
          <cell r="X17742" t="str">
            <v>Commissions - gross</v>
          </cell>
          <cell r="Y17742" t="str">
            <v>THAILAND</v>
          </cell>
        </row>
        <row r="17743">
          <cell r="L17743" t="str">
            <v>Non-proportional</v>
          </cell>
          <cell r="S17743">
            <v>19086.89</v>
          </cell>
          <cell r="X17743" t="str">
            <v>Commissions - gross</v>
          </cell>
          <cell r="Y17743" t="str">
            <v>UNITED KINGDOM</v>
          </cell>
        </row>
        <row r="17744">
          <cell r="L17744" t="str">
            <v>Non-proportional</v>
          </cell>
          <cell r="S17744">
            <v>34578.03</v>
          </cell>
          <cell r="X17744" t="str">
            <v>Commissions - gross</v>
          </cell>
          <cell r="Y17744" t="str">
            <v>AUSTRALIA</v>
          </cell>
        </row>
        <row r="17745">
          <cell r="L17745" t="str">
            <v>Non-proportional</v>
          </cell>
          <cell r="S17745">
            <v>169.86</v>
          </cell>
          <cell r="X17745" t="str">
            <v>Commissions - gross</v>
          </cell>
          <cell r="Y17745" t="str">
            <v>PERU</v>
          </cell>
        </row>
        <row r="17746">
          <cell r="L17746" t="str">
            <v>Non-proportional</v>
          </cell>
          <cell r="S17746">
            <v>3458.23</v>
          </cell>
          <cell r="X17746" t="str">
            <v>Commissions - gross</v>
          </cell>
          <cell r="Y17746" t="str">
            <v>AUSTRALIA</v>
          </cell>
        </row>
        <row r="17747">
          <cell r="L17747" t="str">
            <v>Non-proportional</v>
          </cell>
          <cell r="S17747">
            <v>-11697.71</v>
          </cell>
          <cell r="X17747" t="str">
            <v>Commissions - gross</v>
          </cell>
          <cell r="Y17747" t="str">
            <v>MEXICO</v>
          </cell>
        </row>
        <row r="17748">
          <cell r="L17748" t="str">
            <v>Non-proportional</v>
          </cell>
          <cell r="S17748">
            <v>-5118.5600000000004</v>
          </cell>
          <cell r="X17748" t="str">
            <v>Commissions - gross</v>
          </cell>
          <cell r="Y17748" t="str">
            <v>CANADA</v>
          </cell>
        </row>
        <row r="17749">
          <cell r="L17749" t="str">
            <v>Non-proportional</v>
          </cell>
          <cell r="S17749">
            <v>4743.93</v>
          </cell>
          <cell r="X17749" t="str">
            <v>Commissions - gross</v>
          </cell>
          <cell r="Y17749" t="str">
            <v>SPAIN</v>
          </cell>
        </row>
        <row r="17750">
          <cell r="L17750" t="str">
            <v>Non-proportional</v>
          </cell>
          <cell r="S17750">
            <v>-992.79</v>
          </cell>
          <cell r="X17750" t="str">
            <v>Commissions - gross</v>
          </cell>
          <cell r="Y17750" t="str">
            <v>BRAZIL</v>
          </cell>
        </row>
        <row r="17751">
          <cell r="L17751" t="str">
            <v>Proportional</v>
          </cell>
          <cell r="S17751">
            <v>-321.85000000000002</v>
          </cell>
          <cell r="X17751" t="str">
            <v>Commissions - gross</v>
          </cell>
          <cell r="Y17751" t="str">
            <v>FRANCE</v>
          </cell>
        </row>
        <row r="17752">
          <cell r="L17752" t="str">
            <v>Non-proportional</v>
          </cell>
          <cell r="S17752">
            <v>3612.42</v>
          </cell>
          <cell r="X17752" t="str">
            <v>Commissions - gross</v>
          </cell>
          <cell r="Y17752" t="str">
            <v>ECUADOR</v>
          </cell>
        </row>
        <row r="17753">
          <cell r="L17753" t="str">
            <v>Proportional</v>
          </cell>
          <cell r="S17753">
            <v>2.11</v>
          </cell>
          <cell r="X17753" t="str">
            <v>Commissions - gross</v>
          </cell>
          <cell r="Y17753" t="str">
            <v>CHILE</v>
          </cell>
        </row>
        <row r="17754">
          <cell r="L17754" t="str">
            <v>Non-proportional</v>
          </cell>
          <cell r="S17754">
            <v>-5247.33</v>
          </cell>
          <cell r="X17754" t="str">
            <v>Commissions - gross</v>
          </cell>
          <cell r="Y17754" t="str">
            <v>THAILAND</v>
          </cell>
        </row>
        <row r="17755">
          <cell r="L17755" t="str">
            <v>Proportional</v>
          </cell>
          <cell r="S17755">
            <v>-145.80000000000001</v>
          </cell>
          <cell r="X17755" t="str">
            <v>Commissions - gross</v>
          </cell>
          <cell r="Y17755" t="str">
            <v>CHILE</v>
          </cell>
        </row>
        <row r="17756">
          <cell r="L17756" t="str">
            <v>Non-proportional</v>
          </cell>
          <cell r="S17756">
            <v>-3420.22</v>
          </cell>
          <cell r="X17756" t="str">
            <v>Commissions - gross</v>
          </cell>
          <cell r="Y17756" t="str">
            <v>AUSTRALIA</v>
          </cell>
        </row>
        <row r="17757">
          <cell r="L17757" t="str">
            <v>Proportional</v>
          </cell>
          <cell r="S17757">
            <v>82.06</v>
          </cell>
          <cell r="X17757" t="str">
            <v>Commissions - gross</v>
          </cell>
          <cell r="Y17757" t="str">
            <v>FRANCE</v>
          </cell>
        </row>
        <row r="17758">
          <cell r="L17758" t="str">
            <v>Proportional</v>
          </cell>
          <cell r="S17758">
            <v>-165.2</v>
          </cell>
          <cell r="X17758" t="str">
            <v>Commissions - gross</v>
          </cell>
          <cell r="Y17758" t="str">
            <v>FRANCE</v>
          </cell>
        </row>
        <row r="17759">
          <cell r="L17759" t="str">
            <v>Non-proportional</v>
          </cell>
          <cell r="S17759">
            <v>3301.2</v>
          </cell>
          <cell r="X17759" t="str">
            <v>Commissions - gross</v>
          </cell>
          <cell r="Y17759" t="str">
            <v>FRANCE</v>
          </cell>
        </row>
        <row r="17760">
          <cell r="L17760" t="str">
            <v>Proportional</v>
          </cell>
          <cell r="S17760">
            <v>-4.7</v>
          </cell>
          <cell r="X17760" t="str">
            <v>Commissions - gross</v>
          </cell>
          <cell r="Y17760" t="str">
            <v>CHILE</v>
          </cell>
        </row>
        <row r="17761">
          <cell r="L17761" t="str">
            <v>Non-proportional</v>
          </cell>
          <cell r="S17761">
            <v>-9802.5499999999993</v>
          </cell>
          <cell r="X17761" t="str">
            <v>Commissions - gross</v>
          </cell>
          <cell r="Y17761" t="str">
            <v>MEXICO</v>
          </cell>
        </row>
        <row r="17762">
          <cell r="L17762" t="str">
            <v>Non-proportional</v>
          </cell>
          <cell r="S17762">
            <v>992.79</v>
          </cell>
          <cell r="X17762" t="str">
            <v>Commissions - gross</v>
          </cell>
          <cell r="Y17762" t="str">
            <v>BRAZIL</v>
          </cell>
        </row>
        <row r="17763">
          <cell r="L17763" t="str">
            <v>Non-proportional</v>
          </cell>
          <cell r="S17763">
            <v>2664.7</v>
          </cell>
          <cell r="X17763" t="str">
            <v>Commissions - gross</v>
          </cell>
          <cell r="Y17763" t="str">
            <v>BELIZE</v>
          </cell>
        </row>
        <row r="17764">
          <cell r="L17764" t="str">
            <v>Proportional</v>
          </cell>
          <cell r="S17764">
            <v>4.99</v>
          </cell>
          <cell r="X17764" t="str">
            <v>Commissions - gross</v>
          </cell>
          <cell r="Y17764" t="str">
            <v>CHILE</v>
          </cell>
        </row>
        <row r="17765">
          <cell r="L17765" t="str">
            <v>Non-proportional</v>
          </cell>
          <cell r="S17765">
            <v>14140.69</v>
          </cell>
          <cell r="X17765" t="str">
            <v>Commissions - gross</v>
          </cell>
          <cell r="Y17765" t="str">
            <v>AUSTRALIA</v>
          </cell>
        </row>
        <row r="17766">
          <cell r="L17766" t="str">
            <v>Non-proportional</v>
          </cell>
          <cell r="S17766">
            <v>-2123.89</v>
          </cell>
          <cell r="X17766" t="str">
            <v>Commissions - gross</v>
          </cell>
          <cell r="Y17766" t="str">
            <v>PERU</v>
          </cell>
        </row>
        <row r="17767">
          <cell r="L17767" t="str">
            <v>Non-proportional</v>
          </cell>
          <cell r="S17767">
            <v>8233.59</v>
          </cell>
          <cell r="X17767" t="str">
            <v>Commissions - gross</v>
          </cell>
          <cell r="Y17767" t="str">
            <v>AUSTRALIA</v>
          </cell>
        </row>
        <row r="17768">
          <cell r="L17768" t="str">
            <v>Proportional</v>
          </cell>
          <cell r="S17768">
            <v>-1067.1199999999999</v>
          </cell>
          <cell r="X17768" t="str">
            <v>Commissions - gross</v>
          </cell>
          <cell r="Y17768" t="str">
            <v>CHILE</v>
          </cell>
        </row>
        <row r="17769">
          <cell r="L17769" t="str">
            <v>Proportional</v>
          </cell>
          <cell r="S17769">
            <v>2689.35</v>
          </cell>
          <cell r="X17769" t="str">
            <v>Commissions - gross</v>
          </cell>
          <cell r="Y17769" t="str">
            <v>JAPAN</v>
          </cell>
        </row>
        <row r="17770">
          <cell r="L17770" t="str">
            <v>Non-proportional</v>
          </cell>
          <cell r="S17770">
            <v>4795.66</v>
          </cell>
          <cell r="X17770" t="str">
            <v>Commissions - gross</v>
          </cell>
          <cell r="Y17770" t="str">
            <v>COLOMBIA</v>
          </cell>
        </row>
        <row r="17771">
          <cell r="L17771" t="str">
            <v>Proportional</v>
          </cell>
          <cell r="S17771">
            <v>15000</v>
          </cell>
          <cell r="X17771" t="str">
            <v>Commissions - gross</v>
          </cell>
          <cell r="Y17771" t="str">
            <v>SPAIN</v>
          </cell>
        </row>
        <row r="17772">
          <cell r="L17772" t="str">
            <v>Non-proportional</v>
          </cell>
          <cell r="S17772">
            <v>7980.52</v>
          </cell>
          <cell r="X17772" t="str">
            <v>Commissions - gross</v>
          </cell>
          <cell r="Y17772" t="str">
            <v>AUSTRALIA</v>
          </cell>
        </row>
        <row r="17773">
          <cell r="L17773" t="str">
            <v>Non-proportional</v>
          </cell>
          <cell r="S17773">
            <v>702.13</v>
          </cell>
          <cell r="X17773" t="str">
            <v>Commissions - gross</v>
          </cell>
          <cell r="Y17773" t="str">
            <v>EUROPE</v>
          </cell>
        </row>
        <row r="17774">
          <cell r="L17774" t="str">
            <v>Proportional</v>
          </cell>
          <cell r="S17774">
            <v>2948.58</v>
          </cell>
          <cell r="X17774" t="str">
            <v>Commissions - gross</v>
          </cell>
          <cell r="Y17774" t="str">
            <v>JAPAN</v>
          </cell>
        </row>
        <row r="17775">
          <cell r="L17775" t="str">
            <v>Non-proportional</v>
          </cell>
          <cell r="S17775">
            <v>3705.24</v>
          </cell>
          <cell r="X17775" t="str">
            <v>Commissions - gross</v>
          </cell>
          <cell r="Y17775" t="str">
            <v>AUSTRALIA</v>
          </cell>
        </row>
        <row r="17776">
          <cell r="L17776" t="str">
            <v>Non-proportional</v>
          </cell>
          <cell r="S17776">
            <v>-12160.79</v>
          </cell>
          <cell r="X17776" t="str">
            <v>Commissions - gross</v>
          </cell>
          <cell r="Y17776" t="str">
            <v>AUSTRALIA</v>
          </cell>
        </row>
        <row r="17777">
          <cell r="L17777" t="str">
            <v>Non-proportional</v>
          </cell>
          <cell r="S17777">
            <v>-319.93</v>
          </cell>
          <cell r="X17777" t="str">
            <v>Commissions - gross</v>
          </cell>
          <cell r="Y17777" t="str">
            <v>UNITED ARAB EMIRATES</v>
          </cell>
        </row>
        <row r="17778">
          <cell r="L17778" t="str">
            <v>Non-proportional</v>
          </cell>
          <cell r="S17778">
            <v>12060.11</v>
          </cell>
          <cell r="X17778" t="str">
            <v>Commissions - gross</v>
          </cell>
          <cell r="Y17778" t="str">
            <v>MEXICO</v>
          </cell>
        </row>
        <row r="17779">
          <cell r="L17779" t="str">
            <v>Non-proportional</v>
          </cell>
          <cell r="S17779">
            <v>-809.03</v>
          </cell>
          <cell r="X17779" t="str">
            <v>Commissions - gross</v>
          </cell>
          <cell r="Y17779" t="str">
            <v>DENMARK</v>
          </cell>
        </row>
        <row r="17780">
          <cell r="L17780" t="str">
            <v>Proportional</v>
          </cell>
          <cell r="S17780">
            <v>-2.8</v>
          </cell>
          <cell r="X17780" t="str">
            <v>Commissions - gross</v>
          </cell>
          <cell r="Y17780" t="str">
            <v>CHILE</v>
          </cell>
        </row>
        <row r="17781">
          <cell r="L17781" t="str">
            <v>Non-proportional</v>
          </cell>
          <cell r="S17781">
            <v>-20643.189999999999</v>
          </cell>
          <cell r="X17781" t="str">
            <v>Commissions - gross</v>
          </cell>
          <cell r="Y17781" t="str">
            <v>CHILE</v>
          </cell>
        </row>
        <row r="17782">
          <cell r="L17782" t="str">
            <v>Non-proportional</v>
          </cell>
          <cell r="S17782">
            <v>-79.62</v>
          </cell>
          <cell r="X17782" t="str">
            <v>Commissions - gross</v>
          </cell>
          <cell r="Y17782" t="str">
            <v>DENMARK</v>
          </cell>
        </row>
        <row r="17783">
          <cell r="L17783" t="str">
            <v>Non-proportional</v>
          </cell>
          <cell r="S17783">
            <v>4389.72</v>
          </cell>
          <cell r="X17783" t="str">
            <v>Commissions - gross</v>
          </cell>
          <cell r="Y17783" t="str">
            <v>FRANCE</v>
          </cell>
        </row>
        <row r="17784">
          <cell r="L17784" t="str">
            <v>Non-proportional</v>
          </cell>
          <cell r="S17784">
            <v>3022.73</v>
          </cell>
          <cell r="X17784" t="str">
            <v>Commissions - gross</v>
          </cell>
          <cell r="Y17784" t="str">
            <v>THAILAND</v>
          </cell>
        </row>
        <row r="17785">
          <cell r="L17785" t="str">
            <v>Non-proportional</v>
          </cell>
          <cell r="S17785">
            <v>8544.58</v>
          </cell>
          <cell r="X17785" t="str">
            <v>Commissions - gross</v>
          </cell>
          <cell r="Y17785" t="str">
            <v>UNITED KINGDOM</v>
          </cell>
        </row>
        <row r="17786">
          <cell r="L17786" t="str">
            <v>Non-proportional</v>
          </cell>
          <cell r="S17786">
            <v>4175.7</v>
          </cell>
          <cell r="X17786" t="str">
            <v>Commissions - gross</v>
          </cell>
          <cell r="Y17786" t="str">
            <v>DOMINICAN REPUBLIC</v>
          </cell>
        </row>
        <row r="17787">
          <cell r="L17787" t="str">
            <v>Non-proportional</v>
          </cell>
          <cell r="S17787">
            <v>1912.98</v>
          </cell>
          <cell r="X17787" t="str">
            <v>Commissions - gross</v>
          </cell>
          <cell r="Y17787" t="str">
            <v>PERU</v>
          </cell>
        </row>
        <row r="17788">
          <cell r="L17788" t="str">
            <v>Non-proportional</v>
          </cell>
          <cell r="S17788">
            <v>4850.75</v>
          </cell>
          <cell r="X17788" t="str">
            <v>Commissions - gross</v>
          </cell>
          <cell r="Y17788" t="str">
            <v>UNITED KINGDOM</v>
          </cell>
        </row>
        <row r="17789">
          <cell r="L17789" t="str">
            <v>Non-proportional</v>
          </cell>
          <cell r="S17789">
            <v>5803.99</v>
          </cell>
          <cell r="X17789" t="str">
            <v>Commissions - gross</v>
          </cell>
          <cell r="Y17789" t="str">
            <v>UNITED KINGDOM</v>
          </cell>
        </row>
        <row r="17790">
          <cell r="L17790" t="str">
            <v>Non-proportional</v>
          </cell>
          <cell r="S17790">
            <v>7500</v>
          </cell>
          <cell r="X17790" t="str">
            <v>Commissions - gross</v>
          </cell>
          <cell r="Y17790" t="str">
            <v>SPAIN</v>
          </cell>
        </row>
        <row r="17791">
          <cell r="L17791" t="str">
            <v>Non-proportional</v>
          </cell>
          <cell r="S17791">
            <v>2039.28</v>
          </cell>
          <cell r="X17791" t="str">
            <v>Commissions - gross</v>
          </cell>
          <cell r="Y17791" t="str">
            <v>CHILE</v>
          </cell>
        </row>
        <row r="17792">
          <cell r="L17792" t="str">
            <v>Proportional</v>
          </cell>
          <cell r="S17792">
            <v>-41.28</v>
          </cell>
          <cell r="X17792" t="str">
            <v>Commissions - gross</v>
          </cell>
          <cell r="Y17792" t="str">
            <v>CHILE</v>
          </cell>
        </row>
        <row r="17793">
          <cell r="L17793" t="str">
            <v>Proportional</v>
          </cell>
          <cell r="S17793">
            <v>4.16</v>
          </cell>
          <cell r="X17793" t="str">
            <v>Commissions - gross</v>
          </cell>
          <cell r="Y17793" t="str">
            <v>JAPAN</v>
          </cell>
        </row>
        <row r="17794">
          <cell r="L17794" t="str">
            <v>Non-proportional</v>
          </cell>
          <cell r="S17794">
            <v>283.07</v>
          </cell>
          <cell r="X17794" t="str">
            <v>Commissions - gross</v>
          </cell>
          <cell r="Y17794" t="str">
            <v>ECUADOR</v>
          </cell>
        </row>
        <row r="17795">
          <cell r="L17795" t="str">
            <v>Proportional</v>
          </cell>
          <cell r="S17795">
            <v>-231.06</v>
          </cell>
          <cell r="X17795" t="str">
            <v>Commissions - gross</v>
          </cell>
          <cell r="Y17795" t="str">
            <v>UNITED STATES</v>
          </cell>
        </row>
        <row r="17796">
          <cell r="L17796" t="str">
            <v>Non-proportional</v>
          </cell>
          <cell r="S17796">
            <v>-87443.19</v>
          </cell>
          <cell r="X17796" t="str">
            <v>Commissions - gross</v>
          </cell>
          <cell r="Y17796" t="str">
            <v>THAILAND</v>
          </cell>
        </row>
        <row r="17797">
          <cell r="L17797" t="str">
            <v>Non-proportional</v>
          </cell>
          <cell r="S17797">
            <v>3201.07</v>
          </cell>
          <cell r="X17797" t="str">
            <v>Commissions - gross</v>
          </cell>
          <cell r="Y17797" t="str">
            <v>THAILAND</v>
          </cell>
        </row>
        <row r="17798">
          <cell r="L17798" t="str">
            <v>Proportional</v>
          </cell>
          <cell r="S17798">
            <v>2.8</v>
          </cell>
          <cell r="X17798" t="str">
            <v>Commissions - gross</v>
          </cell>
          <cell r="Y17798" t="str">
            <v>CHILE</v>
          </cell>
        </row>
        <row r="17799">
          <cell r="L17799" t="str">
            <v>Non-proportional</v>
          </cell>
          <cell r="S17799">
            <v>-525.23</v>
          </cell>
          <cell r="X17799" t="str">
            <v>Commissions - gross</v>
          </cell>
          <cell r="Y17799" t="str">
            <v>MALTA</v>
          </cell>
        </row>
        <row r="17800">
          <cell r="L17800" t="str">
            <v>Non-proportional</v>
          </cell>
          <cell r="S17800">
            <v>-7340.08</v>
          </cell>
          <cell r="X17800" t="str">
            <v>Commissions - gross</v>
          </cell>
          <cell r="Y17800" t="str">
            <v>REPUBLIC OF IRELAND</v>
          </cell>
        </row>
        <row r="17801">
          <cell r="L17801" t="str">
            <v>Non-proportional</v>
          </cell>
          <cell r="S17801">
            <v>-885</v>
          </cell>
          <cell r="X17801" t="str">
            <v>Commissions - gross</v>
          </cell>
          <cell r="Y17801" t="str">
            <v>FINLAND</v>
          </cell>
        </row>
        <row r="17802">
          <cell r="L17802" t="str">
            <v>Non-proportional</v>
          </cell>
          <cell r="S17802">
            <v>-2947.53</v>
          </cell>
          <cell r="X17802" t="str">
            <v>Commissions - gross</v>
          </cell>
          <cell r="Y17802" t="str">
            <v>ECUADOR</v>
          </cell>
        </row>
        <row r="17803">
          <cell r="L17803" t="str">
            <v>Non-proportional</v>
          </cell>
          <cell r="S17803">
            <v>1304.3</v>
          </cell>
          <cell r="X17803" t="str">
            <v>Commissions - gross</v>
          </cell>
          <cell r="Y17803" t="str">
            <v>PERU</v>
          </cell>
        </row>
        <row r="17804">
          <cell r="L17804" t="str">
            <v>Non-proportional</v>
          </cell>
          <cell r="S17804">
            <v>7500</v>
          </cell>
          <cell r="X17804" t="str">
            <v>Commissions - gross</v>
          </cell>
          <cell r="Y17804" t="str">
            <v>SPAIN</v>
          </cell>
        </row>
        <row r="17805">
          <cell r="L17805" t="str">
            <v>Non-proportional</v>
          </cell>
          <cell r="S17805">
            <v>6193.8</v>
          </cell>
          <cell r="X17805" t="str">
            <v>Commissions - gross</v>
          </cell>
          <cell r="Y17805" t="str">
            <v>BELIZE</v>
          </cell>
        </row>
        <row r="17806">
          <cell r="L17806" t="str">
            <v>Proportional</v>
          </cell>
          <cell r="S17806">
            <v>-816.35</v>
          </cell>
          <cell r="X17806" t="str">
            <v>Commissions - gross</v>
          </cell>
          <cell r="Y17806" t="str">
            <v>AUSTRALIA</v>
          </cell>
        </row>
        <row r="17807">
          <cell r="L17807" t="str">
            <v>Non-proportional</v>
          </cell>
          <cell r="S17807">
            <v>-854.88</v>
          </cell>
          <cell r="X17807" t="str">
            <v>Commissions - gross</v>
          </cell>
          <cell r="Y17807" t="str">
            <v>PERU</v>
          </cell>
        </row>
        <row r="17808">
          <cell r="L17808" t="str">
            <v>Proportional</v>
          </cell>
          <cell r="S17808">
            <v>-5338.89</v>
          </cell>
          <cell r="X17808" t="str">
            <v>Commissions - gross</v>
          </cell>
          <cell r="Y17808" t="str">
            <v>MEXICO</v>
          </cell>
        </row>
        <row r="17809">
          <cell r="L17809" t="str">
            <v>Non-proportional</v>
          </cell>
          <cell r="S17809">
            <v>-3004.84</v>
          </cell>
          <cell r="X17809" t="str">
            <v>Commissions - gross</v>
          </cell>
          <cell r="Y17809" t="str">
            <v>DOMINICAN REPUBLIC</v>
          </cell>
        </row>
        <row r="17810">
          <cell r="L17810" t="str">
            <v>Proportional</v>
          </cell>
          <cell r="S17810">
            <v>5338.89</v>
          </cell>
          <cell r="X17810" t="str">
            <v>Commissions - gross</v>
          </cell>
          <cell r="Y17810" t="str">
            <v>MEXICO</v>
          </cell>
        </row>
        <row r="17811">
          <cell r="L17811" t="str">
            <v>Non-proportional</v>
          </cell>
          <cell r="S17811">
            <v>94.55</v>
          </cell>
          <cell r="X17811" t="str">
            <v>Commissions - gross</v>
          </cell>
          <cell r="Y17811" t="str">
            <v>UNITED KINGDOM</v>
          </cell>
        </row>
        <row r="17812">
          <cell r="L17812" t="str">
            <v>Proportional</v>
          </cell>
          <cell r="S17812">
            <v>-610.30999999999995</v>
          </cell>
          <cell r="X17812" t="str">
            <v>Commissions - gross</v>
          </cell>
          <cell r="Y17812" t="str">
            <v>CHILE</v>
          </cell>
        </row>
        <row r="17813">
          <cell r="L17813" t="str">
            <v>Proportional</v>
          </cell>
          <cell r="S17813">
            <v>1071.05</v>
          </cell>
          <cell r="X17813" t="str">
            <v>Commissions - gross</v>
          </cell>
          <cell r="Y17813" t="str">
            <v>JAPAN</v>
          </cell>
        </row>
        <row r="17814">
          <cell r="L17814" t="str">
            <v>Proportional</v>
          </cell>
          <cell r="S17814">
            <v>-1.81</v>
          </cell>
          <cell r="X17814" t="str">
            <v>Commissions - gross</v>
          </cell>
          <cell r="Y17814" t="str">
            <v>SINGAPORE</v>
          </cell>
        </row>
        <row r="17815">
          <cell r="L17815" t="str">
            <v>Non-proportional</v>
          </cell>
          <cell r="S17815">
            <v>338.05</v>
          </cell>
          <cell r="X17815" t="str">
            <v>Commissions - gross</v>
          </cell>
          <cell r="Y17815" t="str">
            <v>PERU</v>
          </cell>
        </row>
        <row r="17816">
          <cell r="L17816" t="str">
            <v>Non-proportional</v>
          </cell>
          <cell r="S17816">
            <v>-315.45999999999998</v>
          </cell>
          <cell r="X17816" t="str">
            <v>Commissions - gross</v>
          </cell>
          <cell r="Y17816" t="str">
            <v>FINLAND</v>
          </cell>
        </row>
        <row r="17817">
          <cell r="L17817" t="str">
            <v>Non-proportional</v>
          </cell>
          <cell r="S17817">
            <v>1589.72</v>
          </cell>
          <cell r="X17817" t="str">
            <v>Commissions - gross</v>
          </cell>
          <cell r="Y17817" t="str">
            <v>REPUBLIC OF IRELAND</v>
          </cell>
        </row>
        <row r="17818">
          <cell r="L17818" t="str">
            <v>Non-proportional</v>
          </cell>
          <cell r="S17818">
            <v>3251.14</v>
          </cell>
          <cell r="X17818" t="str">
            <v>Commissions - gross</v>
          </cell>
          <cell r="Y17818" t="str">
            <v>ECUADOR</v>
          </cell>
        </row>
        <row r="17819">
          <cell r="L17819" t="str">
            <v>Non-proportional</v>
          </cell>
          <cell r="S17819">
            <v>-338.73</v>
          </cell>
          <cell r="X17819" t="str">
            <v>Commissions - gross</v>
          </cell>
          <cell r="Y17819" t="str">
            <v>UNITED KINGDOM</v>
          </cell>
        </row>
        <row r="17820">
          <cell r="L17820" t="str">
            <v>Non-proportional</v>
          </cell>
          <cell r="S17820">
            <v>-1662.45</v>
          </cell>
          <cell r="X17820" t="str">
            <v>Commissions - gross</v>
          </cell>
          <cell r="Y17820" t="str">
            <v>FRANCE</v>
          </cell>
        </row>
        <row r="17821">
          <cell r="L17821" t="str">
            <v>Proportional</v>
          </cell>
          <cell r="S17821">
            <v>143.18</v>
          </cell>
          <cell r="X17821" t="str">
            <v>Commissions - gross</v>
          </cell>
          <cell r="Y17821" t="str">
            <v>JAPAN</v>
          </cell>
        </row>
        <row r="17822">
          <cell r="L17822" t="str">
            <v>Non-proportional</v>
          </cell>
          <cell r="S17822">
            <v>4798.17</v>
          </cell>
          <cell r="X17822" t="str">
            <v>Commissions - gross</v>
          </cell>
          <cell r="Y17822" t="str">
            <v>COLOMBIA</v>
          </cell>
        </row>
        <row r="17823">
          <cell r="L17823" t="str">
            <v>Non-proportional</v>
          </cell>
          <cell r="S17823">
            <v>-4294.43</v>
          </cell>
          <cell r="X17823" t="str">
            <v>Commissions - gross</v>
          </cell>
          <cell r="Y17823" t="str">
            <v>THAILAND</v>
          </cell>
        </row>
        <row r="17824">
          <cell r="L17824" t="str">
            <v>Non-proportional</v>
          </cell>
          <cell r="S17824">
            <v>627.97</v>
          </cell>
          <cell r="X17824" t="str">
            <v>Commissions - gross</v>
          </cell>
          <cell r="Y17824" t="str">
            <v>DENMARK</v>
          </cell>
        </row>
        <row r="17825">
          <cell r="L17825" t="str">
            <v>Non-proportional</v>
          </cell>
          <cell r="S17825">
            <v>10615.06</v>
          </cell>
          <cell r="X17825" t="str">
            <v>Commissions - gross</v>
          </cell>
          <cell r="Y17825" t="str">
            <v>MEXICO</v>
          </cell>
        </row>
        <row r="17826">
          <cell r="L17826" t="str">
            <v>Non-proportional</v>
          </cell>
          <cell r="S17826">
            <v>3906.89</v>
          </cell>
          <cell r="X17826" t="str">
            <v>Commissions - gross</v>
          </cell>
          <cell r="Y17826" t="str">
            <v>ECUADOR</v>
          </cell>
        </row>
        <row r="17827">
          <cell r="L17827" t="str">
            <v>Non-proportional</v>
          </cell>
          <cell r="S17827">
            <v>744.59</v>
          </cell>
          <cell r="X17827" t="str">
            <v>Commissions - gross</v>
          </cell>
          <cell r="Y17827" t="str">
            <v>BRAZIL</v>
          </cell>
        </row>
        <row r="17828">
          <cell r="L17828" t="str">
            <v>Non-proportional</v>
          </cell>
          <cell r="S17828">
            <v>2654.55</v>
          </cell>
          <cell r="X17828" t="str">
            <v>Commissions - gross</v>
          </cell>
          <cell r="Y17828" t="str">
            <v>THAILAND</v>
          </cell>
        </row>
        <row r="17829">
          <cell r="L17829" t="str">
            <v>Non-proportional</v>
          </cell>
          <cell r="S17829">
            <v>-2847.98</v>
          </cell>
          <cell r="X17829" t="str">
            <v>Commissions - gross</v>
          </cell>
          <cell r="Y17829" t="str">
            <v>DOMINICAN REPUBLIC</v>
          </cell>
        </row>
        <row r="17830">
          <cell r="L17830" t="str">
            <v>Non-proportional</v>
          </cell>
          <cell r="S17830">
            <v>1481.5</v>
          </cell>
          <cell r="X17830" t="str">
            <v>Commissions - gross</v>
          </cell>
          <cell r="Y17830" t="str">
            <v>MEXICO</v>
          </cell>
        </row>
        <row r="17831">
          <cell r="L17831" t="str">
            <v>Non-proportional</v>
          </cell>
          <cell r="S17831">
            <v>2647.06</v>
          </cell>
          <cell r="X17831" t="str">
            <v>Commissions - gross</v>
          </cell>
          <cell r="Y17831" t="str">
            <v>THAILAND</v>
          </cell>
        </row>
        <row r="17832">
          <cell r="L17832" t="str">
            <v>Proportional</v>
          </cell>
          <cell r="S17832">
            <v>608.21</v>
          </cell>
          <cell r="X17832" t="str">
            <v>Commissions - gross</v>
          </cell>
          <cell r="Y17832" t="str">
            <v>CHILE</v>
          </cell>
        </row>
        <row r="17833">
          <cell r="L17833" t="str">
            <v>Non-proportional</v>
          </cell>
          <cell r="S17833">
            <v>-1672.11</v>
          </cell>
          <cell r="X17833" t="str">
            <v>Commissions - gross</v>
          </cell>
          <cell r="Y17833" t="str">
            <v>AUSTRALIA</v>
          </cell>
        </row>
        <row r="17834">
          <cell r="L17834" t="str">
            <v>Non-proportional</v>
          </cell>
          <cell r="S17834">
            <v>3141.02</v>
          </cell>
          <cell r="X17834" t="str">
            <v>Commissions - gross</v>
          </cell>
          <cell r="Y17834" t="str">
            <v>DOMINICAN REPUBLIC</v>
          </cell>
        </row>
        <row r="17835">
          <cell r="L17835" t="str">
            <v>Non-proportional</v>
          </cell>
          <cell r="S17835">
            <v>5247.33</v>
          </cell>
          <cell r="X17835" t="str">
            <v>Commissions - gross</v>
          </cell>
          <cell r="Y17835" t="str">
            <v>THAILAND</v>
          </cell>
        </row>
        <row r="17836">
          <cell r="L17836" t="str">
            <v>Non-proportional</v>
          </cell>
          <cell r="S17836">
            <v>1167.52</v>
          </cell>
          <cell r="X17836" t="str">
            <v>Commissions - gross</v>
          </cell>
          <cell r="Y17836" t="str">
            <v>BRAZIL</v>
          </cell>
        </row>
        <row r="17837">
          <cell r="L17837" t="str">
            <v>Non-proportional</v>
          </cell>
          <cell r="S17837">
            <v>-121766.78</v>
          </cell>
          <cell r="X17837" t="str">
            <v>Commissions - gross</v>
          </cell>
          <cell r="Y17837" t="str">
            <v>UNITED KINGDOM</v>
          </cell>
        </row>
        <row r="17838">
          <cell r="L17838" t="str">
            <v>Non-proportional</v>
          </cell>
          <cell r="S17838">
            <v>-2837.05</v>
          </cell>
          <cell r="X17838" t="str">
            <v>Commissions - gross</v>
          </cell>
          <cell r="Y17838" t="str">
            <v>THAILAND</v>
          </cell>
        </row>
        <row r="17839">
          <cell r="L17839" t="str">
            <v>Non-proportional</v>
          </cell>
          <cell r="S17839">
            <v>4765.54</v>
          </cell>
          <cell r="X17839" t="str">
            <v>Commissions - gross</v>
          </cell>
          <cell r="Y17839" t="str">
            <v>DOMINICAN REPUBLIC</v>
          </cell>
        </row>
        <row r="17840">
          <cell r="L17840" t="str">
            <v>Non-proportional</v>
          </cell>
          <cell r="S17840">
            <v>-1364.09</v>
          </cell>
          <cell r="X17840" t="str">
            <v>Commissions - gross</v>
          </cell>
          <cell r="Y17840" t="str">
            <v>UNITED KINGDOM</v>
          </cell>
        </row>
        <row r="17841">
          <cell r="L17841" t="str">
            <v>Non-proportional</v>
          </cell>
          <cell r="S17841">
            <v>-30441.69</v>
          </cell>
          <cell r="X17841" t="str">
            <v>Commissions - gross</v>
          </cell>
          <cell r="Y17841" t="str">
            <v>UNITED KINGDOM</v>
          </cell>
        </row>
        <row r="17842">
          <cell r="L17842" t="str">
            <v>Proportional</v>
          </cell>
          <cell r="S17842">
            <v>1037.53</v>
          </cell>
          <cell r="X17842" t="str">
            <v>Commissions - gross</v>
          </cell>
          <cell r="Y17842" t="str">
            <v>CHILE</v>
          </cell>
        </row>
        <row r="17843">
          <cell r="L17843" t="str">
            <v>Non-proportional</v>
          </cell>
          <cell r="S17843">
            <v>2694.45</v>
          </cell>
          <cell r="X17843" t="str">
            <v>Commissions - gross</v>
          </cell>
          <cell r="Y17843" t="str">
            <v>REPUBLIC OF IRELAND</v>
          </cell>
        </row>
        <row r="17844">
          <cell r="L17844" t="str">
            <v>Non-proportional</v>
          </cell>
          <cell r="S17844">
            <v>14577.8</v>
          </cell>
          <cell r="X17844" t="str">
            <v>Commissions - gross</v>
          </cell>
          <cell r="Y17844" t="str">
            <v>MEXICO</v>
          </cell>
        </row>
        <row r="17845">
          <cell r="L17845" t="str">
            <v>Non-proportional</v>
          </cell>
          <cell r="S17845">
            <v>-4693.13</v>
          </cell>
          <cell r="X17845" t="str">
            <v>Commissions - gross</v>
          </cell>
          <cell r="Y17845" t="str">
            <v>BELIZE</v>
          </cell>
        </row>
        <row r="17846">
          <cell r="L17846" t="str">
            <v>Non-proportional</v>
          </cell>
          <cell r="S17846">
            <v>4294.43</v>
          </cell>
          <cell r="X17846" t="str">
            <v>Commissions - gross</v>
          </cell>
          <cell r="Y17846" t="str">
            <v>THAILAND</v>
          </cell>
        </row>
        <row r="17847">
          <cell r="L17847" t="str">
            <v>Non-proportional</v>
          </cell>
          <cell r="S17847">
            <v>-7408.6</v>
          </cell>
          <cell r="X17847" t="str">
            <v>Commissions - gross</v>
          </cell>
          <cell r="Y17847" t="str">
            <v>COLOMBIA</v>
          </cell>
        </row>
        <row r="17848">
          <cell r="L17848" t="str">
            <v>Non-proportional</v>
          </cell>
          <cell r="S17848">
            <v>14055.15</v>
          </cell>
          <cell r="X17848" t="str">
            <v>Commissions - gross</v>
          </cell>
          <cell r="Y17848" t="str">
            <v>MEXICO</v>
          </cell>
        </row>
        <row r="17849">
          <cell r="L17849" t="str">
            <v>Proportional</v>
          </cell>
          <cell r="S17849">
            <v>2570.2800000000002</v>
          </cell>
          <cell r="X17849" t="str">
            <v>Commissions - gross</v>
          </cell>
          <cell r="Y17849" t="str">
            <v>JAPAN</v>
          </cell>
        </row>
        <row r="17850">
          <cell r="L17850" t="str">
            <v>Non-proportional</v>
          </cell>
          <cell r="S17850">
            <v>497.03</v>
          </cell>
          <cell r="X17850" t="str">
            <v>Commissions - gross</v>
          </cell>
          <cell r="Y17850" t="str">
            <v>FINLAND</v>
          </cell>
        </row>
        <row r="17851">
          <cell r="L17851" t="str">
            <v>Non-proportional</v>
          </cell>
          <cell r="S17851">
            <v>9337.74</v>
          </cell>
          <cell r="X17851" t="str">
            <v>Commissions - gross</v>
          </cell>
          <cell r="Y17851" t="str">
            <v>CHILE</v>
          </cell>
        </row>
        <row r="17852">
          <cell r="L17852" t="str">
            <v>Proportional</v>
          </cell>
          <cell r="S17852">
            <v>-2783.99</v>
          </cell>
          <cell r="X17852" t="str">
            <v>Commissions - gross</v>
          </cell>
          <cell r="Y17852" t="str">
            <v>JAPAN</v>
          </cell>
        </row>
        <row r="17853">
          <cell r="L17853" t="str">
            <v>Proportional</v>
          </cell>
          <cell r="S17853">
            <v>35.78</v>
          </cell>
          <cell r="X17853" t="str">
            <v>Commissions - gross</v>
          </cell>
          <cell r="Y17853" t="str">
            <v>CHILE</v>
          </cell>
        </row>
        <row r="17854">
          <cell r="L17854" t="str">
            <v>Proportional</v>
          </cell>
          <cell r="S17854">
            <v>178.88</v>
          </cell>
          <cell r="X17854" t="str">
            <v>Commissions - gross</v>
          </cell>
          <cell r="Y17854" t="str">
            <v>CHILE</v>
          </cell>
        </row>
        <row r="17855">
          <cell r="L17855" t="str">
            <v>Non-proportional</v>
          </cell>
          <cell r="S17855">
            <v>875.64</v>
          </cell>
          <cell r="X17855" t="str">
            <v>Commissions - gross</v>
          </cell>
          <cell r="Y17855" t="str">
            <v>BRAZIL</v>
          </cell>
        </row>
        <row r="17856">
          <cell r="L17856" t="str">
            <v>Non-proportional</v>
          </cell>
          <cell r="S17856">
            <v>429.32</v>
          </cell>
          <cell r="X17856" t="str">
            <v>Commissions - gross</v>
          </cell>
          <cell r="Y17856" t="str">
            <v>CHILE</v>
          </cell>
        </row>
        <row r="17857">
          <cell r="L17857" t="str">
            <v>Non-proportional</v>
          </cell>
          <cell r="S17857">
            <v>4154.6899999999996</v>
          </cell>
          <cell r="X17857" t="str">
            <v>Commissions - gross</v>
          </cell>
          <cell r="Y17857" t="str">
            <v>DOMINICAN REPUBLIC</v>
          </cell>
        </row>
        <row r="17858">
          <cell r="L17858" t="str">
            <v>Non-proportional</v>
          </cell>
          <cell r="S17858">
            <v>1070.31</v>
          </cell>
          <cell r="X17858" t="str">
            <v>Commissions - gross</v>
          </cell>
          <cell r="Y17858" t="str">
            <v>FRANCE</v>
          </cell>
        </row>
        <row r="17859">
          <cell r="L17859" t="str">
            <v>Non-proportional</v>
          </cell>
          <cell r="S17859">
            <v>3200.54</v>
          </cell>
          <cell r="X17859" t="str">
            <v>Commissions - gross</v>
          </cell>
          <cell r="Y17859" t="str">
            <v>THAILAND</v>
          </cell>
        </row>
        <row r="17860">
          <cell r="L17860" t="str">
            <v>Non-proportional</v>
          </cell>
          <cell r="S17860">
            <v>-4795.66</v>
          </cell>
          <cell r="X17860" t="str">
            <v>Commissions - gross</v>
          </cell>
          <cell r="Y17860" t="str">
            <v>COLOMBIA</v>
          </cell>
        </row>
        <row r="17861">
          <cell r="L17861" t="str">
            <v>Non-proportional</v>
          </cell>
          <cell r="S17861">
            <v>2226.8000000000002</v>
          </cell>
          <cell r="X17861" t="str">
            <v>Commissions - gross</v>
          </cell>
          <cell r="Y17861" t="str">
            <v>DOMINICAN REPUBLIC</v>
          </cell>
        </row>
        <row r="17862">
          <cell r="L17862" t="str">
            <v>Non-proportional</v>
          </cell>
          <cell r="S17862">
            <v>7086.69</v>
          </cell>
          <cell r="X17862" t="str">
            <v>Commissions - gross</v>
          </cell>
          <cell r="Y17862" t="str">
            <v>SPAIN</v>
          </cell>
        </row>
        <row r="17863">
          <cell r="L17863" t="str">
            <v>Proportional</v>
          </cell>
          <cell r="S17863">
            <v>286.20999999999998</v>
          </cell>
          <cell r="X17863" t="str">
            <v>Commissions - gross</v>
          </cell>
          <cell r="Y17863" t="str">
            <v>CHILE</v>
          </cell>
        </row>
        <row r="17864">
          <cell r="L17864" t="str">
            <v>Non-proportional</v>
          </cell>
          <cell r="S17864">
            <v>3040.2</v>
          </cell>
          <cell r="X17864" t="str">
            <v>Commissions - gross</v>
          </cell>
          <cell r="Y17864" t="str">
            <v>AUSTRALIA</v>
          </cell>
        </row>
        <row r="17865">
          <cell r="L17865" t="str">
            <v>Proportional</v>
          </cell>
          <cell r="S17865">
            <v>-176.57</v>
          </cell>
          <cell r="X17865" t="str">
            <v>Commissions - gross</v>
          </cell>
          <cell r="Y17865" t="str">
            <v>CHILE</v>
          </cell>
        </row>
        <row r="17866">
          <cell r="L17866" t="str">
            <v>Non-proportional</v>
          </cell>
          <cell r="S17866">
            <v>-20050.669999999998</v>
          </cell>
          <cell r="X17866" t="str">
            <v>Commissions - gross</v>
          </cell>
          <cell r="Y17866" t="str">
            <v>MEXICO</v>
          </cell>
        </row>
        <row r="17867">
          <cell r="L17867" t="str">
            <v>Non-proportional</v>
          </cell>
          <cell r="S17867">
            <v>-2670.21</v>
          </cell>
          <cell r="X17867" t="str">
            <v>Commissions - gross</v>
          </cell>
          <cell r="Y17867" t="str">
            <v>DOMINICAN REPUBLIC</v>
          </cell>
        </row>
        <row r="17868">
          <cell r="L17868" t="str">
            <v>Non-proportional</v>
          </cell>
          <cell r="S17868">
            <v>795.42</v>
          </cell>
          <cell r="X17868" t="str">
            <v>Commissions - gross</v>
          </cell>
          <cell r="Y17868" t="str">
            <v>ECUADOR</v>
          </cell>
        </row>
        <row r="17869">
          <cell r="L17869" t="str">
            <v>Non-proportional</v>
          </cell>
          <cell r="S17869">
            <v>2194</v>
          </cell>
          <cell r="X17869" t="str">
            <v>Commissions - gross</v>
          </cell>
          <cell r="Y17869" t="str">
            <v>PERU</v>
          </cell>
        </row>
        <row r="17870">
          <cell r="L17870" t="str">
            <v>Non-proportional</v>
          </cell>
          <cell r="S17870">
            <v>1985.58</v>
          </cell>
          <cell r="X17870" t="str">
            <v>Commissions - gross</v>
          </cell>
          <cell r="Y17870" t="str">
            <v>BRAZIL</v>
          </cell>
        </row>
        <row r="17871">
          <cell r="L17871" t="str">
            <v>Non-proportional</v>
          </cell>
          <cell r="S17871">
            <v>-3181.55</v>
          </cell>
          <cell r="X17871" t="str">
            <v>Commissions - gross</v>
          </cell>
          <cell r="Y17871" t="str">
            <v>THAILAND</v>
          </cell>
        </row>
        <row r="17872">
          <cell r="L17872" t="str">
            <v>Non-proportional</v>
          </cell>
          <cell r="S17872">
            <v>82073.649999999994</v>
          </cell>
          <cell r="X17872" t="str">
            <v>Commissions - gross</v>
          </cell>
          <cell r="Y17872" t="str">
            <v>UNITED KINGDOM</v>
          </cell>
        </row>
        <row r="17873">
          <cell r="L17873" t="str">
            <v>Non-proportional</v>
          </cell>
          <cell r="S17873">
            <v>5250.54</v>
          </cell>
          <cell r="X17873" t="str">
            <v>Commissions - gross</v>
          </cell>
          <cell r="Y17873" t="str">
            <v>THAILAND</v>
          </cell>
        </row>
        <row r="17874">
          <cell r="L17874" t="str">
            <v>Non-proportional</v>
          </cell>
          <cell r="S17874">
            <v>-121.83</v>
          </cell>
          <cell r="X17874" t="str">
            <v>Commissions - gross</v>
          </cell>
          <cell r="Y17874" t="str">
            <v>JAPAN</v>
          </cell>
        </row>
        <row r="17875">
          <cell r="L17875" t="str">
            <v>Non-proportional</v>
          </cell>
          <cell r="S17875">
            <v>-875.64</v>
          </cell>
          <cell r="X17875" t="str">
            <v>Commissions - gross</v>
          </cell>
          <cell r="Y17875" t="str">
            <v>BRAZIL</v>
          </cell>
        </row>
        <row r="17876">
          <cell r="L17876" t="str">
            <v>Non-proportional</v>
          </cell>
          <cell r="S17876">
            <v>3838.57</v>
          </cell>
          <cell r="X17876" t="str">
            <v>Commissions - gross</v>
          </cell>
          <cell r="Y17876" t="str">
            <v>COLOMBIA</v>
          </cell>
        </row>
        <row r="17877">
          <cell r="L17877" t="str">
            <v>Non-proportional</v>
          </cell>
          <cell r="S17877">
            <v>154.5</v>
          </cell>
          <cell r="X17877" t="str">
            <v>Commissions - gross</v>
          </cell>
          <cell r="Y17877" t="str">
            <v>AUSTRALIA</v>
          </cell>
        </row>
        <row r="17878">
          <cell r="L17878" t="str">
            <v>Non-proportional</v>
          </cell>
          <cell r="S17878">
            <v>-1128.49</v>
          </cell>
          <cell r="X17878" t="str">
            <v>Commissions - gross</v>
          </cell>
          <cell r="Y17878" t="str">
            <v>DENMARK</v>
          </cell>
        </row>
        <row r="17879">
          <cell r="L17879" t="str">
            <v>Proportional</v>
          </cell>
          <cell r="S17879">
            <v>-8542.2199999999993</v>
          </cell>
          <cell r="X17879" t="str">
            <v>Commissions - gross</v>
          </cell>
          <cell r="Y17879" t="str">
            <v>MEXICO</v>
          </cell>
        </row>
        <row r="17880">
          <cell r="L17880" t="str">
            <v>Non-proportional</v>
          </cell>
          <cell r="S17880">
            <v>3832.39</v>
          </cell>
          <cell r="X17880" t="str">
            <v>Commissions - gross</v>
          </cell>
          <cell r="Y17880" t="str">
            <v>THAILAND</v>
          </cell>
        </row>
        <row r="17881">
          <cell r="L17881" t="str">
            <v>Non-proportional</v>
          </cell>
          <cell r="S17881">
            <v>2458.38</v>
          </cell>
          <cell r="X17881" t="str">
            <v>Commissions - gross</v>
          </cell>
          <cell r="Y17881" t="str">
            <v>UNITED KINGDOM</v>
          </cell>
        </row>
        <row r="17882">
          <cell r="L17882" t="str">
            <v>Non-proportional</v>
          </cell>
          <cell r="S17882">
            <v>-0.7</v>
          </cell>
          <cell r="X17882" t="str">
            <v>Commissions - gross</v>
          </cell>
          <cell r="Y17882" t="str">
            <v>SINGAPORE</v>
          </cell>
        </row>
        <row r="17883">
          <cell r="L17883" t="str">
            <v>Non-proportional</v>
          </cell>
          <cell r="S17883">
            <v>13475.35</v>
          </cell>
          <cell r="X17883" t="str">
            <v>Commissions - gross</v>
          </cell>
          <cell r="Y17883" t="str">
            <v>PERU</v>
          </cell>
        </row>
        <row r="17884">
          <cell r="L17884" t="str">
            <v>Non-proportional</v>
          </cell>
          <cell r="S17884">
            <v>-3251.14</v>
          </cell>
          <cell r="X17884" t="str">
            <v>Commissions - gross</v>
          </cell>
          <cell r="Y17884" t="str">
            <v>ECUADOR</v>
          </cell>
        </row>
        <row r="17885">
          <cell r="L17885" t="str">
            <v>Proportional</v>
          </cell>
          <cell r="S17885">
            <v>-291.24</v>
          </cell>
          <cell r="X17885" t="str">
            <v>Commissions - gross</v>
          </cell>
          <cell r="Y17885" t="str">
            <v>CHILE</v>
          </cell>
        </row>
        <row r="17886">
          <cell r="L17886" t="str">
            <v>Non-proportional</v>
          </cell>
          <cell r="S17886">
            <v>1075.18</v>
          </cell>
          <cell r="X17886" t="str">
            <v>Commissions - gross</v>
          </cell>
          <cell r="Y17886" t="str">
            <v>EUROPE</v>
          </cell>
        </row>
        <row r="17887">
          <cell r="L17887" t="str">
            <v>Non-proportional</v>
          </cell>
          <cell r="S17887">
            <v>-85.72</v>
          </cell>
          <cell r="X17887" t="str">
            <v>Commissions - gross</v>
          </cell>
          <cell r="Y17887" t="str">
            <v>JAPAN</v>
          </cell>
        </row>
        <row r="17888">
          <cell r="L17888" t="str">
            <v>Non-proportional</v>
          </cell>
          <cell r="S17888">
            <v>7410.48</v>
          </cell>
          <cell r="X17888" t="str">
            <v>Commissions - gross</v>
          </cell>
          <cell r="Y17888" t="str">
            <v>AUSTRALIA</v>
          </cell>
        </row>
        <row r="17889">
          <cell r="L17889" t="str">
            <v>Non-proportional</v>
          </cell>
          <cell r="S17889">
            <v>9898.48</v>
          </cell>
          <cell r="X17889" t="str">
            <v>Commissions - gross</v>
          </cell>
          <cell r="Y17889" t="str">
            <v>AUSTRALIA</v>
          </cell>
        </row>
        <row r="17890">
          <cell r="L17890" t="str">
            <v>Non-proportional</v>
          </cell>
          <cell r="S17890">
            <v>140.41</v>
          </cell>
          <cell r="X17890" t="str">
            <v>Commissions - gross</v>
          </cell>
          <cell r="Y17890" t="str">
            <v>JAPAN</v>
          </cell>
        </row>
        <row r="17891">
          <cell r="L17891" t="str">
            <v>Non-proportional</v>
          </cell>
          <cell r="S17891">
            <v>-426.8</v>
          </cell>
          <cell r="X17891" t="str">
            <v>Commissions - gross</v>
          </cell>
          <cell r="Y17891" t="str">
            <v>UNITED KINGDOM</v>
          </cell>
        </row>
        <row r="17892">
          <cell r="L17892" t="str">
            <v>Proportional</v>
          </cell>
          <cell r="S17892">
            <v>-5.72</v>
          </cell>
          <cell r="X17892" t="str">
            <v>Commissions - gross</v>
          </cell>
          <cell r="Y17892" t="str">
            <v>CHILE</v>
          </cell>
        </row>
        <row r="17893">
          <cell r="L17893" t="str">
            <v>Non-proportional</v>
          </cell>
          <cell r="S17893">
            <v>-9080.57</v>
          </cell>
          <cell r="X17893" t="str">
            <v>Commissions - gross</v>
          </cell>
          <cell r="Y17893" t="str">
            <v>JAPAN</v>
          </cell>
        </row>
        <row r="17894">
          <cell r="L17894" t="str">
            <v>Non-proportional</v>
          </cell>
          <cell r="S17894">
            <v>-1506.35</v>
          </cell>
          <cell r="X17894" t="str">
            <v>Commissions - gross</v>
          </cell>
          <cell r="Y17894" t="str">
            <v>UNITED KINGDOM</v>
          </cell>
        </row>
        <row r="17895">
          <cell r="L17895" t="str">
            <v>Non-proportional</v>
          </cell>
          <cell r="S17895">
            <v>2382.34</v>
          </cell>
          <cell r="X17895" t="str">
            <v>Commissions - gross</v>
          </cell>
          <cell r="Y17895" t="str">
            <v>DOMINICAN REPUBLIC</v>
          </cell>
        </row>
        <row r="17896">
          <cell r="L17896" t="str">
            <v>Non-proportional</v>
          </cell>
          <cell r="S17896">
            <v>-60454.55</v>
          </cell>
          <cell r="X17896" t="str">
            <v>Commissions - gross</v>
          </cell>
          <cell r="Y17896" t="str">
            <v>THAILAND</v>
          </cell>
        </row>
        <row r="17897">
          <cell r="L17897" t="str">
            <v>Non-proportional</v>
          </cell>
          <cell r="S17897">
            <v>148.16999999999999</v>
          </cell>
          <cell r="X17897" t="str">
            <v>Commissions - gross</v>
          </cell>
          <cell r="Y17897" t="str">
            <v>JAPAN</v>
          </cell>
        </row>
        <row r="17898">
          <cell r="L17898" t="str">
            <v>Proportional</v>
          </cell>
          <cell r="S17898">
            <v>-3307.57</v>
          </cell>
          <cell r="X17898" t="str">
            <v>Commissions - gross</v>
          </cell>
          <cell r="Y17898" t="str">
            <v>MEXICO</v>
          </cell>
        </row>
        <row r="17899">
          <cell r="L17899" t="str">
            <v>Non-proportional</v>
          </cell>
          <cell r="S17899">
            <v>-364.21</v>
          </cell>
          <cell r="X17899" t="str">
            <v>Commissions - gross</v>
          </cell>
          <cell r="Y17899" t="str">
            <v>PERU</v>
          </cell>
        </row>
        <row r="17900">
          <cell r="L17900" t="str">
            <v>Non-proportional</v>
          </cell>
          <cell r="S17900">
            <v>30401.98</v>
          </cell>
          <cell r="X17900" t="str">
            <v>Commissions - gross</v>
          </cell>
          <cell r="Y17900" t="str">
            <v>AUSTRALIA</v>
          </cell>
        </row>
        <row r="17901">
          <cell r="L17901" t="str">
            <v>Non-proportional</v>
          </cell>
          <cell r="S17901">
            <v>6310.79</v>
          </cell>
          <cell r="X17901" t="str">
            <v>Commissions - gross</v>
          </cell>
          <cell r="Y17901" t="str">
            <v>DOMINICAN REPUBLIC</v>
          </cell>
        </row>
        <row r="17902">
          <cell r="L17902" t="str">
            <v>Non-proportional</v>
          </cell>
          <cell r="S17902">
            <v>965.97</v>
          </cell>
          <cell r="X17902" t="str">
            <v>Commissions - gross</v>
          </cell>
          <cell r="Y17902" t="str">
            <v>CHILE</v>
          </cell>
        </row>
        <row r="17903">
          <cell r="L17903" t="str">
            <v>Proportional</v>
          </cell>
          <cell r="S17903">
            <v>107.33</v>
          </cell>
          <cell r="X17903" t="str">
            <v>Commissions - gross</v>
          </cell>
          <cell r="Y17903" t="str">
            <v>CHILE</v>
          </cell>
        </row>
        <row r="17904">
          <cell r="L17904" t="str">
            <v>Non-proportional</v>
          </cell>
          <cell r="S17904">
            <v>4056.17</v>
          </cell>
          <cell r="X17904" t="str">
            <v>Commissions - gross</v>
          </cell>
          <cell r="Y17904" t="str">
            <v>DOMINICAN REPUBLIC</v>
          </cell>
        </row>
        <row r="17905">
          <cell r="L17905" t="str">
            <v>Non-proportional</v>
          </cell>
          <cell r="S17905">
            <v>-653.26</v>
          </cell>
          <cell r="X17905" t="str">
            <v>Commissions - gross</v>
          </cell>
          <cell r="Y17905" t="str">
            <v>DENMARK</v>
          </cell>
        </row>
        <row r="17906">
          <cell r="L17906" t="str">
            <v>Non-proportional</v>
          </cell>
          <cell r="S17906">
            <v>-643.12</v>
          </cell>
          <cell r="X17906" t="str">
            <v>Commissions - gross</v>
          </cell>
          <cell r="Y17906" t="str">
            <v>EUROPE</v>
          </cell>
        </row>
        <row r="17907">
          <cell r="L17907" t="str">
            <v>Non-proportional</v>
          </cell>
          <cell r="S17907">
            <v>-15353</v>
          </cell>
          <cell r="X17907" t="str">
            <v>Commissions - gross</v>
          </cell>
          <cell r="Y17907" t="str">
            <v>AUSTRALIA</v>
          </cell>
        </row>
        <row r="17908">
          <cell r="L17908" t="str">
            <v>Non-proportional</v>
          </cell>
          <cell r="S17908">
            <v>1672.11</v>
          </cell>
          <cell r="X17908" t="str">
            <v>Commissions - gross</v>
          </cell>
          <cell r="Y17908" t="str">
            <v>AUSTRALIA</v>
          </cell>
        </row>
        <row r="17909">
          <cell r="L17909" t="str">
            <v>Non-proportional</v>
          </cell>
          <cell r="S17909">
            <v>4517.4399999999996</v>
          </cell>
          <cell r="X17909" t="str">
            <v>Commissions - gross</v>
          </cell>
          <cell r="Y17909" t="str">
            <v>COLOMBIA</v>
          </cell>
        </row>
        <row r="17910">
          <cell r="L17910" t="str">
            <v>Proportional</v>
          </cell>
          <cell r="S17910">
            <v>3713.35</v>
          </cell>
          <cell r="X17910" t="str">
            <v>Commissions - gross</v>
          </cell>
          <cell r="Y17910" t="str">
            <v>PERU</v>
          </cell>
        </row>
        <row r="17911">
          <cell r="L17911" t="str">
            <v>Non-proportional</v>
          </cell>
          <cell r="S17911">
            <v>9260.76</v>
          </cell>
          <cell r="X17911" t="str">
            <v>Commissions - gross</v>
          </cell>
          <cell r="Y17911" t="str">
            <v>COLOMBIA</v>
          </cell>
        </row>
        <row r="17912">
          <cell r="L17912" t="str">
            <v>Non-proportional</v>
          </cell>
          <cell r="S17912">
            <v>12171.77</v>
          </cell>
          <cell r="X17912" t="str">
            <v>Commissions - gross</v>
          </cell>
          <cell r="Y17912" t="str">
            <v>PERU</v>
          </cell>
        </row>
        <row r="17913">
          <cell r="L17913" t="str">
            <v>Non-proportional</v>
          </cell>
          <cell r="S17913">
            <v>-3040.2</v>
          </cell>
          <cell r="X17913" t="str">
            <v>Commissions - gross</v>
          </cell>
          <cell r="Y17913" t="str">
            <v>AUSTRALIA</v>
          </cell>
        </row>
        <row r="17914">
          <cell r="L17914" t="str">
            <v>Non-proportional</v>
          </cell>
          <cell r="S17914">
            <v>-3838.57</v>
          </cell>
          <cell r="X17914" t="str">
            <v>Commissions - gross</v>
          </cell>
          <cell r="Y17914" t="str">
            <v>COLOMBIA</v>
          </cell>
        </row>
        <row r="17915">
          <cell r="L17915" t="str">
            <v>Non-proportional</v>
          </cell>
          <cell r="S17915">
            <v>-1167.52</v>
          </cell>
          <cell r="X17915" t="str">
            <v>Commissions - gross</v>
          </cell>
          <cell r="Y17915" t="str">
            <v>BRAZIL</v>
          </cell>
        </row>
        <row r="17916">
          <cell r="L17916" t="str">
            <v>Proportional</v>
          </cell>
          <cell r="S17916">
            <v>250.44</v>
          </cell>
          <cell r="X17916" t="str">
            <v>Commissions - gross</v>
          </cell>
          <cell r="Y17916" t="str">
            <v>CHILE</v>
          </cell>
        </row>
        <row r="17917">
          <cell r="L17917" t="str">
            <v>Non-proportional</v>
          </cell>
          <cell r="S17917">
            <v>-7086.69</v>
          </cell>
          <cell r="X17917" t="str">
            <v>Commissions - gross</v>
          </cell>
          <cell r="Y17917" t="str">
            <v>SPAIN</v>
          </cell>
        </row>
        <row r="17918">
          <cell r="L17918" t="str">
            <v>Non-proportional</v>
          </cell>
          <cell r="S17918">
            <v>1703.2</v>
          </cell>
          <cell r="X17918" t="str">
            <v>Commissions - gross</v>
          </cell>
          <cell r="Y17918" t="str">
            <v>DOMINICAN REPUBLIC</v>
          </cell>
        </row>
        <row r="17919">
          <cell r="L17919" t="str">
            <v>Proportional</v>
          </cell>
          <cell r="S17919">
            <v>41.28</v>
          </cell>
          <cell r="X17919" t="str">
            <v>Commissions - gross</v>
          </cell>
          <cell r="Y17919" t="str">
            <v>CHILE</v>
          </cell>
        </row>
        <row r="17920">
          <cell r="L17920" t="str">
            <v>Proportional</v>
          </cell>
          <cell r="S17920">
            <v>178.88</v>
          </cell>
          <cell r="X17920" t="str">
            <v>Commissions - gross</v>
          </cell>
          <cell r="Y17920" t="str">
            <v>CHILE</v>
          </cell>
        </row>
        <row r="17921">
          <cell r="L17921" t="str">
            <v>Non-proportional</v>
          </cell>
          <cell r="S17921">
            <v>-12422.51</v>
          </cell>
          <cell r="X17921" t="str">
            <v>Commissions - gross</v>
          </cell>
          <cell r="Y17921" t="str">
            <v>MEXICO</v>
          </cell>
        </row>
        <row r="17922">
          <cell r="L17922" t="str">
            <v>Non-proportional</v>
          </cell>
          <cell r="S17922">
            <v>3022.73</v>
          </cell>
          <cell r="X17922" t="str">
            <v>Commissions - gross</v>
          </cell>
          <cell r="Y17922" t="str">
            <v>THAILAND</v>
          </cell>
        </row>
        <row r="17923">
          <cell r="L17923" t="str">
            <v>Non-proportional</v>
          </cell>
          <cell r="S17923">
            <v>2713.81</v>
          </cell>
          <cell r="X17923" t="str">
            <v>Commissions - gross</v>
          </cell>
          <cell r="Y17923" t="str">
            <v>DOMINICAN REPUBLIC</v>
          </cell>
        </row>
        <row r="17924">
          <cell r="L17924" t="str">
            <v>Non-proportional</v>
          </cell>
          <cell r="S17924">
            <v>3351.52</v>
          </cell>
          <cell r="X17924" t="str">
            <v>Commissions - gross</v>
          </cell>
          <cell r="Y17924" t="str">
            <v>DOMINICAN REPUBLIC</v>
          </cell>
        </row>
        <row r="17925">
          <cell r="L17925" t="str">
            <v>Non-proportional</v>
          </cell>
          <cell r="S17925">
            <v>-12141.79</v>
          </cell>
          <cell r="X17925" t="str">
            <v>Commissions - gross</v>
          </cell>
          <cell r="Y17925" t="str">
            <v>AUSTRALIA</v>
          </cell>
        </row>
        <row r="17926">
          <cell r="L17926" t="str">
            <v>Non-proportional</v>
          </cell>
          <cell r="S17926">
            <v>-577.5</v>
          </cell>
          <cell r="X17926" t="str">
            <v>Commissions - gross</v>
          </cell>
          <cell r="Y17926" t="str">
            <v>EUROPE</v>
          </cell>
        </row>
        <row r="17927">
          <cell r="L17927" t="str">
            <v>Non-proportional</v>
          </cell>
          <cell r="S17927">
            <v>5266.14</v>
          </cell>
          <cell r="X17927" t="str">
            <v>Commissions - gross</v>
          </cell>
          <cell r="Y17927" t="str">
            <v>BELIZE</v>
          </cell>
        </row>
        <row r="17928">
          <cell r="L17928" t="str">
            <v>Proportional</v>
          </cell>
          <cell r="S17928">
            <v>13069.95</v>
          </cell>
          <cell r="X17928" t="str">
            <v>Commissions - gross</v>
          </cell>
          <cell r="Y17928" t="str">
            <v>MEXICO</v>
          </cell>
        </row>
        <row r="17929">
          <cell r="L17929" t="str">
            <v>Non-proportional</v>
          </cell>
          <cell r="S17929">
            <v>-840</v>
          </cell>
          <cell r="X17929" t="str">
            <v>Commissions - gross</v>
          </cell>
          <cell r="Y17929" t="str">
            <v>EUROPE</v>
          </cell>
        </row>
        <row r="17930">
          <cell r="L17930" t="str">
            <v>Non-proportional</v>
          </cell>
          <cell r="S17930">
            <v>-1191.3499999999999</v>
          </cell>
          <cell r="X17930" t="str">
            <v>Commissions - gross</v>
          </cell>
          <cell r="Y17930" t="str">
            <v>BRAZIL</v>
          </cell>
        </row>
        <row r="17931">
          <cell r="L17931" t="str">
            <v>Proportional</v>
          </cell>
          <cell r="S17931">
            <v>-2570.2800000000002</v>
          </cell>
          <cell r="X17931" t="str">
            <v>Commissions - gross</v>
          </cell>
          <cell r="Y17931" t="str">
            <v>JAPAN</v>
          </cell>
        </row>
        <row r="17932">
          <cell r="L17932" t="str">
            <v>Non-proportional</v>
          </cell>
          <cell r="S17932">
            <v>-243.23</v>
          </cell>
          <cell r="X17932" t="str">
            <v>Commissions - gross</v>
          </cell>
          <cell r="Y17932" t="str">
            <v>REPUBLIC OF IRELAND</v>
          </cell>
        </row>
        <row r="17933">
          <cell r="L17933" t="str">
            <v>Non-proportional</v>
          </cell>
          <cell r="S17933">
            <v>-3832.39</v>
          </cell>
          <cell r="X17933" t="str">
            <v>Commissions - gross</v>
          </cell>
          <cell r="Y17933" t="str">
            <v>THAILAND</v>
          </cell>
        </row>
        <row r="17934">
          <cell r="L17934" t="str">
            <v>Non-proportional</v>
          </cell>
          <cell r="S17934">
            <v>4116.99</v>
          </cell>
          <cell r="X17934" t="str">
            <v>Commissions - gross</v>
          </cell>
          <cell r="Y17934" t="str">
            <v>AUSTRALIA</v>
          </cell>
        </row>
        <row r="17935">
          <cell r="L17935" t="str">
            <v>Non-proportional</v>
          </cell>
          <cell r="S17935">
            <v>-283.07</v>
          </cell>
          <cell r="X17935" t="str">
            <v>Commissions - gross</v>
          </cell>
          <cell r="Y17935" t="str">
            <v>ECUADOR</v>
          </cell>
        </row>
        <row r="17936">
          <cell r="L17936" t="str">
            <v>Non-proportional</v>
          </cell>
          <cell r="S17936">
            <v>409.85</v>
          </cell>
          <cell r="X17936" t="str">
            <v>Commissions - gross</v>
          </cell>
          <cell r="Y17936" t="str">
            <v>PERU</v>
          </cell>
        </row>
        <row r="17937">
          <cell r="L17937" t="str">
            <v>Non-proportional</v>
          </cell>
          <cell r="S17937">
            <v>34578.03</v>
          </cell>
          <cell r="X17937" t="str">
            <v>Commissions - gross</v>
          </cell>
          <cell r="Y17937" t="str">
            <v>AUSTRALIA</v>
          </cell>
        </row>
        <row r="17938">
          <cell r="L17938" t="str">
            <v>Non-proportional</v>
          </cell>
          <cell r="S17938">
            <v>-2749.19</v>
          </cell>
          <cell r="X17938" t="str">
            <v>Commissions - gross</v>
          </cell>
          <cell r="Y17938" t="str">
            <v>DENMARK</v>
          </cell>
        </row>
        <row r="17939">
          <cell r="L17939" t="str">
            <v>Non-proportional</v>
          </cell>
          <cell r="S17939">
            <v>2791.46</v>
          </cell>
          <cell r="X17939" t="str">
            <v>Commissions - gross</v>
          </cell>
          <cell r="Y17939" t="str">
            <v>ECUADOR</v>
          </cell>
        </row>
        <row r="17940">
          <cell r="L17940" t="str">
            <v>Non-proportional</v>
          </cell>
          <cell r="S17940">
            <v>13726.69</v>
          </cell>
          <cell r="X17940" t="str">
            <v>Commissions - gross</v>
          </cell>
          <cell r="Y17940" t="str">
            <v>MEXICO</v>
          </cell>
        </row>
        <row r="17941">
          <cell r="L17941" t="str">
            <v>Proportional</v>
          </cell>
          <cell r="S17941">
            <v>-54.59</v>
          </cell>
          <cell r="X17941" t="str">
            <v>Commissions - gross</v>
          </cell>
          <cell r="Y17941" t="str">
            <v>CHILE</v>
          </cell>
        </row>
        <row r="17942">
          <cell r="L17942" t="str">
            <v>Non-proportional</v>
          </cell>
          <cell r="S17942">
            <v>3274.35</v>
          </cell>
          <cell r="X17942" t="str">
            <v>Commissions - gross</v>
          </cell>
          <cell r="Y17942" t="str">
            <v>ECUADOR</v>
          </cell>
        </row>
        <row r="17943">
          <cell r="L17943" t="str">
            <v>Non-proportional</v>
          </cell>
          <cell r="S17943">
            <v>-1444.83</v>
          </cell>
          <cell r="X17943" t="str">
            <v>Commissions - gross</v>
          </cell>
          <cell r="Y17943" t="str">
            <v>ECUADOR</v>
          </cell>
        </row>
        <row r="17944">
          <cell r="L17944" t="str">
            <v>Non-proportional</v>
          </cell>
          <cell r="S17944">
            <v>76647.73</v>
          </cell>
          <cell r="X17944" t="str">
            <v>Commissions - gross</v>
          </cell>
          <cell r="Y17944" t="str">
            <v>THAILAND</v>
          </cell>
        </row>
        <row r="17945">
          <cell r="L17945" t="str">
            <v>Non-proportional</v>
          </cell>
          <cell r="S17945">
            <v>-172.65</v>
          </cell>
          <cell r="X17945" t="str">
            <v>Commissions - gross</v>
          </cell>
          <cell r="Y17945" t="str">
            <v>PERU</v>
          </cell>
        </row>
        <row r="17946">
          <cell r="L17946" t="str">
            <v>Non-proportional</v>
          </cell>
          <cell r="S17946">
            <v>-5735.28</v>
          </cell>
          <cell r="X17946" t="str">
            <v>Commissions - gross</v>
          </cell>
          <cell r="Y17946" t="str">
            <v>SPAIN</v>
          </cell>
        </row>
        <row r="17947">
          <cell r="L17947" t="str">
            <v>Non-proportional</v>
          </cell>
          <cell r="S17947">
            <v>-12171.77</v>
          </cell>
          <cell r="X17947" t="str">
            <v>Commissions - gross</v>
          </cell>
          <cell r="Y17947" t="str">
            <v>PERU</v>
          </cell>
        </row>
        <row r="17948">
          <cell r="L17948" t="str">
            <v>Non-proportional</v>
          </cell>
          <cell r="S17948">
            <v>2123.89</v>
          </cell>
          <cell r="X17948" t="str">
            <v>Commissions - gross</v>
          </cell>
          <cell r="Y17948" t="str">
            <v>PERU</v>
          </cell>
        </row>
        <row r="17949">
          <cell r="L17949" t="str">
            <v>Non-proportional</v>
          </cell>
          <cell r="S17949">
            <v>2947.53</v>
          </cell>
          <cell r="X17949" t="str">
            <v>Commissions - gross</v>
          </cell>
          <cell r="Y17949" t="str">
            <v>ECUADOR</v>
          </cell>
        </row>
        <row r="17950">
          <cell r="L17950" t="str">
            <v>Non-proportional</v>
          </cell>
          <cell r="S17950">
            <v>56740.91</v>
          </cell>
          <cell r="X17950" t="str">
            <v>Commissions - gross</v>
          </cell>
          <cell r="Y17950" t="str">
            <v>THAILAND</v>
          </cell>
        </row>
        <row r="17951">
          <cell r="L17951" t="str">
            <v>Non-proportional</v>
          </cell>
          <cell r="S17951">
            <v>-338.14</v>
          </cell>
          <cell r="X17951" t="str">
            <v>Commissions - gross</v>
          </cell>
          <cell r="Y17951" t="str">
            <v>JAPAN</v>
          </cell>
        </row>
        <row r="17952">
          <cell r="L17952" t="str">
            <v>Non-proportional</v>
          </cell>
          <cell r="S17952">
            <v>-90934.8</v>
          </cell>
          <cell r="X17952" t="str">
            <v>Commissions - gross</v>
          </cell>
          <cell r="Y17952" t="str">
            <v>UNITED KINGDOM</v>
          </cell>
        </row>
        <row r="17953">
          <cell r="L17953" t="str">
            <v>Non-proportional</v>
          </cell>
          <cell r="S17953">
            <v>6333.94</v>
          </cell>
          <cell r="X17953" t="str">
            <v>Commissions - gross</v>
          </cell>
          <cell r="Y17953" t="str">
            <v>AUSTRALIA</v>
          </cell>
        </row>
        <row r="17954">
          <cell r="L17954" t="str">
            <v>Proportional</v>
          </cell>
          <cell r="S17954">
            <v>-3.62</v>
          </cell>
          <cell r="X17954" t="str">
            <v>Commissions - gross</v>
          </cell>
          <cell r="Y17954" t="str">
            <v>CHILE</v>
          </cell>
        </row>
        <row r="17955">
          <cell r="L17955" t="str">
            <v>Non-proportional</v>
          </cell>
          <cell r="S17955">
            <v>1479.46</v>
          </cell>
          <cell r="X17955" t="str">
            <v>Commissions - gross</v>
          </cell>
          <cell r="Y17955" t="str">
            <v>EUROPE</v>
          </cell>
        </row>
        <row r="17956">
          <cell r="L17956" t="str">
            <v>Non-proportional</v>
          </cell>
          <cell r="S17956">
            <v>144.53</v>
          </cell>
          <cell r="X17956" t="str">
            <v>Commissions - gross</v>
          </cell>
          <cell r="Y17956" t="str">
            <v>UNITED KINGDOM</v>
          </cell>
        </row>
        <row r="17957">
          <cell r="L17957" t="str">
            <v>Non-proportional</v>
          </cell>
          <cell r="S17957">
            <v>777.4</v>
          </cell>
          <cell r="X17957" t="str">
            <v>Commissions - gross</v>
          </cell>
          <cell r="Y17957" t="str">
            <v>DENMARK</v>
          </cell>
        </row>
        <row r="17958">
          <cell r="L17958" t="str">
            <v>Non-proportional</v>
          </cell>
          <cell r="S17958">
            <v>-3022.73</v>
          </cell>
          <cell r="X17958" t="str">
            <v>Commissions - gross</v>
          </cell>
          <cell r="Y17958" t="str">
            <v>THAILAND</v>
          </cell>
        </row>
        <row r="17959">
          <cell r="L17959" t="str">
            <v>Proportional</v>
          </cell>
          <cell r="S17959">
            <v>721.93</v>
          </cell>
          <cell r="X17959" t="str">
            <v>Commissions - gross</v>
          </cell>
          <cell r="Y17959" t="str">
            <v>UNITED STATES</v>
          </cell>
        </row>
        <row r="17960">
          <cell r="L17960" t="str">
            <v>Non-proportional</v>
          </cell>
          <cell r="S17960">
            <v>6257.74</v>
          </cell>
          <cell r="X17960" t="str">
            <v>Commissions - gross</v>
          </cell>
          <cell r="Y17960" t="str">
            <v>AUSTRALIA</v>
          </cell>
        </row>
        <row r="17961">
          <cell r="L17961" t="str">
            <v>Non-proportional</v>
          </cell>
          <cell r="S17961">
            <v>-1862.02</v>
          </cell>
          <cell r="X17961" t="str">
            <v>Commissions - gross</v>
          </cell>
          <cell r="Y17961" t="str">
            <v>UNITED KINGDOM</v>
          </cell>
        </row>
        <row r="17962">
          <cell r="L17962" t="str">
            <v>Non-proportional</v>
          </cell>
          <cell r="S17962">
            <v>22932.91</v>
          </cell>
          <cell r="X17962" t="str">
            <v>Commissions - gross</v>
          </cell>
          <cell r="Y17962" t="str">
            <v>CHILE</v>
          </cell>
        </row>
        <row r="17963">
          <cell r="L17963" t="str">
            <v>Non-proportional</v>
          </cell>
          <cell r="S17963">
            <v>-10631.26</v>
          </cell>
          <cell r="X17963" t="str">
            <v>Commissions - gross</v>
          </cell>
          <cell r="Y17963" t="str">
            <v>ECUADOR</v>
          </cell>
        </row>
        <row r="17964">
          <cell r="L17964" t="str">
            <v>Non-proportional</v>
          </cell>
          <cell r="S17964">
            <v>3181.82</v>
          </cell>
          <cell r="X17964" t="str">
            <v>Commissions - gross</v>
          </cell>
          <cell r="Y17964" t="str">
            <v>THAILAND</v>
          </cell>
        </row>
        <row r="17965">
          <cell r="L17965" t="str">
            <v>Proportional</v>
          </cell>
          <cell r="S17965">
            <v>-123.82</v>
          </cell>
          <cell r="X17965" t="str">
            <v>Commissions - gross</v>
          </cell>
          <cell r="Y17965" t="str">
            <v>CHILE</v>
          </cell>
        </row>
        <row r="17966">
          <cell r="L17966" t="str">
            <v>Non-proportional</v>
          </cell>
          <cell r="S17966">
            <v>9802.5499999999993</v>
          </cell>
          <cell r="X17966" t="str">
            <v>Commissions - gross</v>
          </cell>
          <cell r="Y17966" t="str">
            <v>MEXICO</v>
          </cell>
        </row>
        <row r="17967">
          <cell r="L17967" t="str">
            <v>Non-proportional</v>
          </cell>
          <cell r="S17967">
            <v>14152.25</v>
          </cell>
          <cell r="X17967" t="str">
            <v>Commissions - gross</v>
          </cell>
          <cell r="Y17967" t="str">
            <v>MEXICO</v>
          </cell>
        </row>
        <row r="17968">
          <cell r="L17968" t="str">
            <v>Proportional</v>
          </cell>
          <cell r="S17968">
            <v>143.11000000000001</v>
          </cell>
          <cell r="X17968" t="str">
            <v>Commissions - gross</v>
          </cell>
          <cell r="Y17968" t="str">
            <v>CHILE</v>
          </cell>
        </row>
        <row r="17969">
          <cell r="L17969" t="str">
            <v>Proportional</v>
          </cell>
          <cell r="S17969">
            <v>5.52</v>
          </cell>
          <cell r="X17969" t="str">
            <v>Commissions - gross</v>
          </cell>
          <cell r="Y17969" t="str">
            <v>CHILE</v>
          </cell>
        </row>
        <row r="17970">
          <cell r="L17970" t="str">
            <v>Non-proportional</v>
          </cell>
          <cell r="S17970">
            <v>1715.45</v>
          </cell>
          <cell r="X17970" t="str">
            <v>Commissions - gross</v>
          </cell>
          <cell r="Y17970" t="str">
            <v>PERU</v>
          </cell>
        </row>
        <row r="17971">
          <cell r="L17971" t="str">
            <v>Non-proportional</v>
          </cell>
          <cell r="S17971">
            <v>10375.26</v>
          </cell>
          <cell r="X17971" t="str">
            <v>Commissions - gross</v>
          </cell>
          <cell r="Y17971" t="str">
            <v>CHILE</v>
          </cell>
        </row>
        <row r="17972">
          <cell r="L17972" t="str">
            <v>Non-proportional</v>
          </cell>
          <cell r="S17972">
            <v>-22733.7</v>
          </cell>
          <cell r="X17972" t="str">
            <v>Commissions - gross</v>
          </cell>
          <cell r="Y17972" t="str">
            <v>UNITED KINGDOM</v>
          </cell>
        </row>
        <row r="17973">
          <cell r="L17973" t="str">
            <v>Non-proportional</v>
          </cell>
          <cell r="S17973">
            <v>4743.93</v>
          </cell>
          <cell r="X17973" t="str">
            <v>Commissions - gross</v>
          </cell>
          <cell r="Y17973" t="str">
            <v>SPAIN</v>
          </cell>
        </row>
        <row r="17974">
          <cell r="L17974" t="str">
            <v>Non-proportional</v>
          </cell>
          <cell r="S17974">
            <v>3981.31</v>
          </cell>
          <cell r="X17974" t="str">
            <v>Commissions - gross</v>
          </cell>
          <cell r="Y17974" t="str">
            <v>ECUADOR</v>
          </cell>
        </row>
        <row r="17975">
          <cell r="L17975" t="str">
            <v>Non-proportional</v>
          </cell>
          <cell r="S17975">
            <v>-7980.52</v>
          </cell>
          <cell r="X17975" t="str">
            <v>Commissions - gross</v>
          </cell>
          <cell r="Y17975" t="str">
            <v>AUSTRALIA</v>
          </cell>
        </row>
        <row r="17976">
          <cell r="L17976" t="str">
            <v>Non-proportional</v>
          </cell>
          <cell r="S17976">
            <v>-3040.2</v>
          </cell>
          <cell r="X17976" t="str">
            <v>Commissions - gross</v>
          </cell>
          <cell r="Y17976" t="str">
            <v>AUSTRALIA</v>
          </cell>
        </row>
        <row r="17977">
          <cell r="L17977" t="str">
            <v>Non-proportional</v>
          </cell>
          <cell r="S17977">
            <v>-34578.03</v>
          </cell>
          <cell r="X17977" t="str">
            <v>Commissions - gross</v>
          </cell>
          <cell r="Y17977" t="str">
            <v>AUSTRALIA</v>
          </cell>
        </row>
        <row r="17978">
          <cell r="L17978" t="str">
            <v>Non-proportional</v>
          </cell>
          <cell r="S17978">
            <v>2283.69</v>
          </cell>
          <cell r="X17978" t="str">
            <v>Commissions - gross</v>
          </cell>
          <cell r="Y17978" t="str">
            <v>THAILAND</v>
          </cell>
        </row>
        <row r="17979">
          <cell r="L17979" t="str">
            <v>Non-proportional</v>
          </cell>
          <cell r="S17979">
            <v>1891.44</v>
          </cell>
          <cell r="X17979" t="str">
            <v>Commissions - gross</v>
          </cell>
          <cell r="Y17979" t="str">
            <v>ITALY</v>
          </cell>
        </row>
        <row r="17980">
          <cell r="L17980" t="str">
            <v>Non-proportional</v>
          </cell>
          <cell r="S17980">
            <v>18112.5</v>
          </cell>
          <cell r="X17980" t="str">
            <v>Commissions - gross</v>
          </cell>
          <cell r="Y17980" t="str">
            <v>BELGIUM</v>
          </cell>
        </row>
        <row r="17981">
          <cell r="L17981" t="str">
            <v>Non-proportional</v>
          </cell>
          <cell r="S17981">
            <v>11946.86</v>
          </cell>
          <cell r="X17981" t="str">
            <v>Commissions - gross</v>
          </cell>
          <cell r="Y17981" t="str">
            <v>MEXICO</v>
          </cell>
        </row>
        <row r="17982">
          <cell r="L17982" t="str">
            <v>Non-proportional</v>
          </cell>
          <cell r="S17982">
            <v>3201.07</v>
          </cell>
          <cell r="X17982" t="str">
            <v>Commissions - gross</v>
          </cell>
          <cell r="Y17982" t="str">
            <v>THAILAND</v>
          </cell>
        </row>
        <row r="17983">
          <cell r="L17983" t="str">
            <v>Proportional</v>
          </cell>
          <cell r="S17983">
            <v>3.62</v>
          </cell>
          <cell r="X17983" t="str">
            <v>Commissions - gross</v>
          </cell>
          <cell r="Y17983" t="str">
            <v>CHILE</v>
          </cell>
        </row>
        <row r="17984">
          <cell r="L17984" t="str">
            <v>Non-proportional</v>
          </cell>
          <cell r="S17984">
            <v>20050.669999999998</v>
          </cell>
          <cell r="X17984" t="str">
            <v>Commissions - gross</v>
          </cell>
          <cell r="Y17984" t="str">
            <v>MEXICO</v>
          </cell>
        </row>
        <row r="17985">
          <cell r="L17985" t="str">
            <v>Non-proportional</v>
          </cell>
          <cell r="S17985">
            <v>3135.2</v>
          </cell>
          <cell r="X17985" t="str">
            <v>Commissions - gross</v>
          </cell>
          <cell r="Y17985" t="str">
            <v>AUSTRALIA</v>
          </cell>
        </row>
        <row r="17986">
          <cell r="L17986" t="str">
            <v>Non-proportional</v>
          </cell>
          <cell r="S17986">
            <v>7224.14</v>
          </cell>
          <cell r="X17986" t="str">
            <v>Commissions - gross</v>
          </cell>
          <cell r="Y17986" t="str">
            <v>MEXICO</v>
          </cell>
        </row>
        <row r="17987">
          <cell r="L17987" t="str">
            <v>Non-proportional</v>
          </cell>
          <cell r="S17987">
            <v>-59567.39</v>
          </cell>
          <cell r="X17987" t="str">
            <v>Commissions - gross</v>
          </cell>
          <cell r="Y17987" t="str">
            <v>BRAZIL</v>
          </cell>
        </row>
        <row r="17988">
          <cell r="L17988" t="str">
            <v>Non-proportional</v>
          </cell>
          <cell r="S17988">
            <v>-4372.16</v>
          </cell>
          <cell r="X17988" t="str">
            <v>Commissions - gross</v>
          </cell>
          <cell r="Y17988" t="str">
            <v>THAILAND</v>
          </cell>
        </row>
        <row r="17989">
          <cell r="L17989" t="str">
            <v>Non-proportional</v>
          </cell>
          <cell r="S17989">
            <v>-3705.24</v>
          </cell>
          <cell r="X17989" t="str">
            <v>Commissions - gross</v>
          </cell>
          <cell r="Y17989" t="str">
            <v>AUSTRALIA</v>
          </cell>
        </row>
        <row r="17990">
          <cell r="L17990" t="str">
            <v>Non-proportional</v>
          </cell>
          <cell r="S17990">
            <v>-2226.8000000000002</v>
          </cell>
          <cell r="X17990" t="str">
            <v>Commissions - gross</v>
          </cell>
          <cell r="Y17990" t="str">
            <v>DOMINICAN REPUBLIC</v>
          </cell>
        </row>
        <row r="17991">
          <cell r="L17991" t="str">
            <v>Non-proportional</v>
          </cell>
          <cell r="S17991">
            <v>-12768.83</v>
          </cell>
          <cell r="X17991" t="str">
            <v>Commissions - gross</v>
          </cell>
          <cell r="Y17991" t="str">
            <v>AUSTRALIA</v>
          </cell>
        </row>
        <row r="17992">
          <cell r="L17992" t="str">
            <v>Non-proportional</v>
          </cell>
          <cell r="S17992">
            <v>-30401.98</v>
          </cell>
          <cell r="X17992" t="str">
            <v>Commissions - gross</v>
          </cell>
          <cell r="Y17992" t="str">
            <v>AUSTRALIA</v>
          </cell>
        </row>
        <row r="17993">
          <cell r="L17993" t="str">
            <v>Non-proportional</v>
          </cell>
          <cell r="S17993">
            <v>-5491</v>
          </cell>
          <cell r="X17993" t="str">
            <v>Commissions - gross</v>
          </cell>
          <cell r="Y17993" t="str">
            <v>TURKEY</v>
          </cell>
        </row>
        <row r="17994">
          <cell r="L17994" t="str">
            <v>Non-proportional</v>
          </cell>
          <cell r="S17994">
            <v>-12539.96</v>
          </cell>
          <cell r="X17994" t="str">
            <v>Commissions - gross</v>
          </cell>
          <cell r="Y17994" t="str">
            <v>UNITED KINGDOM</v>
          </cell>
        </row>
        <row r="17995">
          <cell r="L17995" t="str">
            <v>Non-proportional</v>
          </cell>
          <cell r="S17995">
            <v>-2458.38</v>
          </cell>
          <cell r="X17995" t="str">
            <v>Commissions - gross</v>
          </cell>
          <cell r="Y17995" t="str">
            <v>UNITED KINGDOM</v>
          </cell>
        </row>
        <row r="17996">
          <cell r="L17996" t="str">
            <v>Non-proportional</v>
          </cell>
          <cell r="S17996">
            <v>11813.71</v>
          </cell>
          <cell r="X17996" t="str">
            <v>Commissions - gross</v>
          </cell>
          <cell r="Y17996" t="str">
            <v>ECUADOR</v>
          </cell>
        </row>
        <row r="17997">
          <cell r="L17997" t="str">
            <v>Non-proportional</v>
          </cell>
          <cell r="S17997">
            <v>-1912.98</v>
          </cell>
          <cell r="X17997" t="str">
            <v>Commissions - gross</v>
          </cell>
          <cell r="Y17997" t="str">
            <v>PERU</v>
          </cell>
        </row>
        <row r="17998">
          <cell r="L17998" t="str">
            <v>Non-proportional</v>
          </cell>
          <cell r="S17998">
            <v>-25182.76</v>
          </cell>
          <cell r="X17998" t="str">
            <v>Commissions - gross</v>
          </cell>
          <cell r="Y17998" t="str">
            <v>UNITED KINGDOM</v>
          </cell>
        </row>
        <row r="17999">
          <cell r="L17999" t="str">
            <v>Non-proportional</v>
          </cell>
          <cell r="S17999">
            <v>-2654.55</v>
          </cell>
          <cell r="X17999" t="str">
            <v>Commissions - gross</v>
          </cell>
          <cell r="Y17999" t="str">
            <v>THAILAND</v>
          </cell>
        </row>
        <row r="18000">
          <cell r="L18000" t="str">
            <v>Non-proportional</v>
          </cell>
          <cell r="S18000">
            <v>274.11</v>
          </cell>
          <cell r="X18000" t="str">
            <v>Commissions - gross</v>
          </cell>
          <cell r="Y18000" t="str">
            <v>JAPAN</v>
          </cell>
        </row>
        <row r="18001">
          <cell r="L18001" t="str">
            <v>Non-proportional</v>
          </cell>
          <cell r="S18001">
            <v>-3832.39</v>
          </cell>
          <cell r="X18001" t="str">
            <v>Commissions - gross</v>
          </cell>
          <cell r="Y18001" t="str">
            <v>THAILAND</v>
          </cell>
        </row>
        <row r="18002">
          <cell r="L18002" t="str">
            <v>Non-proportional</v>
          </cell>
          <cell r="S18002">
            <v>2169.3000000000002</v>
          </cell>
          <cell r="X18002" t="str">
            <v>Commissions - gross</v>
          </cell>
          <cell r="Y18002" t="str">
            <v>DOMINICAN REPUBLIC</v>
          </cell>
        </row>
        <row r="18003">
          <cell r="L18003" t="str">
            <v>Proportional</v>
          </cell>
          <cell r="S18003">
            <v>816.35</v>
          </cell>
          <cell r="X18003" t="str">
            <v>Commissions - gross</v>
          </cell>
          <cell r="Y18003" t="str">
            <v>AUSTRALIA</v>
          </cell>
        </row>
        <row r="18004">
          <cell r="L18004" t="str">
            <v>Non-proportional</v>
          </cell>
          <cell r="S18004">
            <v>-5856.45</v>
          </cell>
          <cell r="X18004" t="str">
            <v>Commissions - gross</v>
          </cell>
          <cell r="Y18004" t="str">
            <v>UNITED KINGDOM</v>
          </cell>
        </row>
        <row r="18005">
          <cell r="L18005" t="str">
            <v>Non-proportional</v>
          </cell>
          <cell r="S18005">
            <v>9080.57</v>
          </cell>
          <cell r="X18005" t="str">
            <v>Commissions - gross</v>
          </cell>
          <cell r="Y18005" t="str">
            <v>JAPAN</v>
          </cell>
        </row>
        <row r="18006">
          <cell r="L18006" t="str">
            <v>Non-proportional</v>
          </cell>
          <cell r="S18006">
            <v>5735.28</v>
          </cell>
          <cell r="X18006" t="str">
            <v>Commissions - gross</v>
          </cell>
          <cell r="Y18006" t="str">
            <v>SPAIN</v>
          </cell>
        </row>
        <row r="18007">
          <cell r="L18007" t="str">
            <v>Non-proportional</v>
          </cell>
          <cell r="S18007">
            <v>-322.74</v>
          </cell>
          <cell r="X18007" t="str">
            <v>Commissions - gross</v>
          </cell>
          <cell r="Y18007" t="str">
            <v>UNITED KINGDOM</v>
          </cell>
        </row>
        <row r="18008">
          <cell r="L18008" t="str">
            <v>Non-proportional</v>
          </cell>
          <cell r="S18008">
            <v>2731.54</v>
          </cell>
          <cell r="X18008" t="str">
            <v>Commissions - gross</v>
          </cell>
          <cell r="Y18008" t="str">
            <v>UNITED KINGDOM</v>
          </cell>
        </row>
        <row r="18009">
          <cell r="L18009" t="str">
            <v>Non-proportional</v>
          </cell>
          <cell r="S18009">
            <v>5700.37</v>
          </cell>
          <cell r="X18009" t="str">
            <v>Commissions - gross</v>
          </cell>
          <cell r="Y18009" t="str">
            <v>AUSTRALIA</v>
          </cell>
        </row>
        <row r="18010">
          <cell r="L18010" t="str">
            <v>Proportional</v>
          </cell>
          <cell r="S18010">
            <v>10.51</v>
          </cell>
          <cell r="X18010" t="str">
            <v>Commissions - gross</v>
          </cell>
          <cell r="Y18010" t="str">
            <v>CHILE</v>
          </cell>
        </row>
        <row r="18011">
          <cell r="L18011" t="str">
            <v>Non-proportional</v>
          </cell>
          <cell r="S18011">
            <v>2847.98</v>
          </cell>
          <cell r="X18011" t="str">
            <v>Commissions - gross</v>
          </cell>
          <cell r="Y18011" t="str">
            <v>DOMINICAN REPUBLIC</v>
          </cell>
        </row>
        <row r="18012">
          <cell r="L18012" t="str">
            <v>Non-proportional</v>
          </cell>
          <cell r="S18012">
            <v>-10567.36</v>
          </cell>
          <cell r="X18012" t="str">
            <v>Commissions - gross</v>
          </cell>
          <cell r="Y18012" t="str">
            <v>UNITED KINGDOM</v>
          </cell>
        </row>
        <row r="18013">
          <cell r="L18013" t="str">
            <v>Non-proportional</v>
          </cell>
          <cell r="S18013">
            <v>2880.5</v>
          </cell>
          <cell r="X18013" t="str">
            <v>Commissions - gross</v>
          </cell>
          <cell r="Y18013" t="str">
            <v>UNITED ARAB EMIRATES</v>
          </cell>
        </row>
        <row r="18014">
          <cell r="L18014" t="str">
            <v>Non-proportional</v>
          </cell>
          <cell r="S18014">
            <v>-1103.8900000000001</v>
          </cell>
          <cell r="X18014" t="str">
            <v>Commissions - gross</v>
          </cell>
          <cell r="Y18014" t="str">
            <v>REPUBLIC OF IRELAND</v>
          </cell>
        </row>
        <row r="18015">
          <cell r="L18015" t="str">
            <v>Non-proportional</v>
          </cell>
          <cell r="S18015">
            <v>1404.26</v>
          </cell>
          <cell r="X18015" t="str">
            <v>Commissions - gross</v>
          </cell>
          <cell r="Y18015" t="str">
            <v>EUROPE</v>
          </cell>
        </row>
        <row r="18016">
          <cell r="L18016" t="str">
            <v>Non-proportional</v>
          </cell>
          <cell r="S18016">
            <v>-747.35</v>
          </cell>
          <cell r="X18016" t="str">
            <v>Commissions - gross</v>
          </cell>
          <cell r="Y18016" t="str">
            <v>DENMARK</v>
          </cell>
        </row>
        <row r="18017">
          <cell r="L18017" t="str">
            <v>Non-proportional</v>
          </cell>
          <cell r="S18017">
            <v>299.27</v>
          </cell>
          <cell r="X18017" t="str">
            <v>Commissions - gross</v>
          </cell>
          <cell r="Y18017" t="str">
            <v>FINLAND</v>
          </cell>
        </row>
        <row r="18018">
          <cell r="L18018" t="str">
            <v>Non-proportional</v>
          </cell>
          <cell r="S18018">
            <v>-20356.98</v>
          </cell>
          <cell r="X18018" t="str">
            <v>Commissions - gross</v>
          </cell>
          <cell r="Y18018" t="str">
            <v>CHILE</v>
          </cell>
        </row>
        <row r="18019">
          <cell r="L18019" t="str">
            <v>Non-proportional</v>
          </cell>
          <cell r="S18019">
            <v>-3135.2</v>
          </cell>
          <cell r="X18019" t="str">
            <v>Commissions - gross</v>
          </cell>
          <cell r="Y18019" t="str">
            <v>AUSTRALIA</v>
          </cell>
        </row>
        <row r="18020">
          <cell r="L18020" t="str">
            <v>Non-proportional</v>
          </cell>
          <cell r="S18020">
            <v>3522.63</v>
          </cell>
          <cell r="X18020" t="str">
            <v>Commissions - gross</v>
          </cell>
          <cell r="Y18020" t="str">
            <v>ECUADOR</v>
          </cell>
        </row>
        <row r="18021">
          <cell r="L18021" t="str">
            <v>Non-proportional</v>
          </cell>
          <cell r="S18021">
            <v>-3522.63</v>
          </cell>
          <cell r="X18021" t="str">
            <v>Commissions - gross</v>
          </cell>
          <cell r="Y18021" t="str">
            <v>ECUADOR</v>
          </cell>
        </row>
        <row r="18022">
          <cell r="L18022" t="str">
            <v>Non-proportional</v>
          </cell>
          <cell r="S18022">
            <v>321.99</v>
          </cell>
          <cell r="X18022" t="str">
            <v>Commissions - gross</v>
          </cell>
          <cell r="Y18022" t="str">
            <v>CHILE</v>
          </cell>
        </row>
        <row r="18023">
          <cell r="L18023" t="str">
            <v>Non-proportional</v>
          </cell>
          <cell r="S18023">
            <v>1128.49</v>
          </cell>
          <cell r="X18023" t="str">
            <v>Commissions - gross</v>
          </cell>
          <cell r="Y18023" t="str">
            <v>DENMARK</v>
          </cell>
        </row>
        <row r="18024">
          <cell r="L18024" t="str">
            <v>Proportional</v>
          </cell>
          <cell r="S18024">
            <v>-205.36</v>
          </cell>
          <cell r="X18024" t="str">
            <v>Commissions - gross</v>
          </cell>
          <cell r="Y18024" t="str">
            <v>UNITED STATES</v>
          </cell>
        </row>
        <row r="18025">
          <cell r="L18025" t="str">
            <v>Non-proportional</v>
          </cell>
          <cell r="S18025">
            <v>15201.53</v>
          </cell>
          <cell r="X18025" t="str">
            <v>Commissions - gross</v>
          </cell>
          <cell r="Y18025" t="str">
            <v>AUSTRALIA</v>
          </cell>
        </row>
        <row r="18026">
          <cell r="L18026" t="str">
            <v>Proportional</v>
          </cell>
          <cell r="S18026">
            <v>822.87</v>
          </cell>
          <cell r="X18026" t="str">
            <v>Commissions - gross</v>
          </cell>
          <cell r="Y18026" t="str">
            <v>CHILE</v>
          </cell>
        </row>
        <row r="18027">
          <cell r="L18027" t="str">
            <v>Non-proportional</v>
          </cell>
          <cell r="S18027">
            <v>2837.05</v>
          </cell>
          <cell r="X18027" t="str">
            <v>Commissions - gross</v>
          </cell>
          <cell r="Y18027" t="str">
            <v>THAILAND</v>
          </cell>
        </row>
        <row r="18028">
          <cell r="L18028" t="str">
            <v>Non-proportional</v>
          </cell>
          <cell r="S18028">
            <v>678.7</v>
          </cell>
          <cell r="X18028" t="str">
            <v>Commissions - gross</v>
          </cell>
          <cell r="Y18028" t="str">
            <v>SINGAPORE</v>
          </cell>
        </row>
        <row r="18029">
          <cell r="L18029" t="str">
            <v>Non-proportional</v>
          </cell>
          <cell r="S18029">
            <v>-1012.6</v>
          </cell>
          <cell r="X18029" t="str">
            <v>Commissions - gross</v>
          </cell>
          <cell r="Y18029" t="str">
            <v>UNITED KINGDOM</v>
          </cell>
        </row>
        <row r="18030">
          <cell r="L18030" t="str">
            <v>Proportional</v>
          </cell>
          <cell r="S18030">
            <v>-54.59</v>
          </cell>
          <cell r="X18030" t="str">
            <v>Commissions - gross</v>
          </cell>
          <cell r="Y18030" t="str">
            <v>CHILE</v>
          </cell>
        </row>
        <row r="18031">
          <cell r="L18031" t="str">
            <v>Proportional</v>
          </cell>
          <cell r="S18031">
            <v>78.75</v>
          </cell>
          <cell r="X18031" t="str">
            <v>Commissions - gross</v>
          </cell>
          <cell r="Y18031" t="str">
            <v>SWITZERLAND</v>
          </cell>
        </row>
        <row r="18032">
          <cell r="L18032" t="str">
            <v>Non-proportional</v>
          </cell>
          <cell r="S18032">
            <v>314.52</v>
          </cell>
          <cell r="X18032" t="str">
            <v>Commissions - gross</v>
          </cell>
          <cell r="Y18032" t="str">
            <v>ECUADOR</v>
          </cell>
        </row>
        <row r="18033">
          <cell r="L18033" t="str">
            <v>Non-proportional</v>
          </cell>
          <cell r="S18033">
            <v>-2647.06</v>
          </cell>
          <cell r="X18033" t="str">
            <v>Commissions - gross</v>
          </cell>
          <cell r="Y18033" t="str">
            <v>THAILAND</v>
          </cell>
        </row>
        <row r="18034">
          <cell r="L18034" t="str">
            <v>Non-proportional</v>
          </cell>
          <cell r="S18034">
            <v>3134.13</v>
          </cell>
          <cell r="X18034" t="str">
            <v>Commissions - gross</v>
          </cell>
          <cell r="Y18034" t="str">
            <v>BELIZE</v>
          </cell>
        </row>
        <row r="18035">
          <cell r="L18035" t="str">
            <v>Non-proportional</v>
          </cell>
          <cell r="S18035">
            <v>-2059.85</v>
          </cell>
          <cell r="X18035" t="str">
            <v>Commissions - gross</v>
          </cell>
          <cell r="Y18035" t="str">
            <v>DOMINICAN REPUBLIC</v>
          </cell>
        </row>
        <row r="18036">
          <cell r="L18036" t="str">
            <v>Non-proportional</v>
          </cell>
          <cell r="S18036">
            <v>13511.87</v>
          </cell>
          <cell r="X18036" t="str">
            <v>Commissions - gross</v>
          </cell>
          <cell r="Y18036" t="str">
            <v>AUSTRALIA</v>
          </cell>
        </row>
        <row r="18037">
          <cell r="L18037" t="str">
            <v>Proportional</v>
          </cell>
          <cell r="S18037">
            <v>205.36</v>
          </cell>
          <cell r="X18037" t="str">
            <v>Commissions - gross</v>
          </cell>
          <cell r="Y18037" t="str">
            <v>UNITED STATES</v>
          </cell>
        </row>
        <row r="18038">
          <cell r="L18038" t="str">
            <v>Non-proportional</v>
          </cell>
          <cell r="S18038">
            <v>-12060.11</v>
          </cell>
          <cell r="X18038" t="str">
            <v>Commissions - gross</v>
          </cell>
          <cell r="Y18038" t="str">
            <v>MEXICO</v>
          </cell>
        </row>
        <row r="18039">
          <cell r="L18039" t="str">
            <v>Non-proportional</v>
          </cell>
          <cell r="S18039">
            <v>12422.51</v>
          </cell>
          <cell r="X18039" t="str">
            <v>Commissions - gross</v>
          </cell>
          <cell r="Y18039" t="str">
            <v>MEXICO</v>
          </cell>
        </row>
        <row r="18040">
          <cell r="L18040" t="str">
            <v>Non-proportional</v>
          </cell>
          <cell r="S18040">
            <v>4372.16</v>
          </cell>
          <cell r="X18040" t="str">
            <v>Commissions - gross</v>
          </cell>
          <cell r="Y18040" t="str">
            <v>THAILAND</v>
          </cell>
        </row>
        <row r="18041">
          <cell r="L18041" t="str">
            <v>Non-proportional</v>
          </cell>
          <cell r="S18041">
            <v>-1588.46</v>
          </cell>
          <cell r="X18041" t="str">
            <v>Commissions - gross</v>
          </cell>
          <cell r="Y18041" t="str">
            <v>BRAZIL</v>
          </cell>
        </row>
        <row r="18042">
          <cell r="L18042" t="str">
            <v>Non-proportional</v>
          </cell>
          <cell r="S18042">
            <v>6656.45</v>
          </cell>
          <cell r="X18042" t="str">
            <v>Commissions - gross</v>
          </cell>
          <cell r="Y18042" t="str">
            <v>NEW ZEALAND</v>
          </cell>
        </row>
        <row r="18043">
          <cell r="L18043" t="str">
            <v>Non-proportional</v>
          </cell>
          <cell r="S18043">
            <v>2654.55</v>
          </cell>
          <cell r="X18043" t="str">
            <v>Commissions - gross</v>
          </cell>
          <cell r="Y18043" t="str">
            <v>THAILAND</v>
          </cell>
        </row>
        <row r="18044">
          <cell r="L18044" t="str">
            <v>Non-proportional</v>
          </cell>
          <cell r="S18044">
            <v>5520.18</v>
          </cell>
          <cell r="X18044" t="str">
            <v>Commissions - gross</v>
          </cell>
          <cell r="Y18044" t="str">
            <v>BELIZE</v>
          </cell>
        </row>
        <row r="18045">
          <cell r="L18045" t="str">
            <v>Non-proportional</v>
          </cell>
          <cell r="S18045">
            <v>3040.2</v>
          </cell>
          <cell r="X18045" t="str">
            <v>Commissions - gross</v>
          </cell>
          <cell r="Y18045" t="str">
            <v>AUSTRALIA</v>
          </cell>
        </row>
        <row r="18046">
          <cell r="L18046" t="str">
            <v>Non-proportional</v>
          </cell>
          <cell r="S18046">
            <v>-4294.43</v>
          </cell>
          <cell r="X18046" t="str">
            <v>Commissions - gross</v>
          </cell>
          <cell r="Y18046" t="str">
            <v>THAILAND</v>
          </cell>
        </row>
        <row r="18047">
          <cell r="L18047" t="str">
            <v>Non-proportional</v>
          </cell>
          <cell r="S18047">
            <v>-1196.53</v>
          </cell>
          <cell r="X18047" t="str">
            <v>Commissions - gross</v>
          </cell>
          <cell r="Y18047" t="str">
            <v>FRANCE</v>
          </cell>
        </row>
        <row r="18048">
          <cell r="L18048" t="str">
            <v>Non-proportional</v>
          </cell>
          <cell r="S18048">
            <v>7500</v>
          </cell>
          <cell r="X18048" t="str">
            <v>Commissions - gross</v>
          </cell>
          <cell r="Y18048" t="str">
            <v>SPAIN</v>
          </cell>
        </row>
        <row r="18049">
          <cell r="L18049" t="str">
            <v>Non-proportional</v>
          </cell>
          <cell r="S18049">
            <v>12141.79</v>
          </cell>
          <cell r="X18049" t="str">
            <v>Commissions - gross</v>
          </cell>
          <cell r="Y18049" t="str">
            <v>AUSTRALIA</v>
          </cell>
        </row>
        <row r="18050">
          <cell r="L18050" t="str">
            <v>Non-proportional</v>
          </cell>
          <cell r="S18050">
            <v>-5410.25</v>
          </cell>
          <cell r="X18050" t="str">
            <v>Commissions - gross</v>
          </cell>
          <cell r="Y18050" t="str">
            <v>TURKEY</v>
          </cell>
        </row>
        <row r="18051">
          <cell r="L18051" t="str">
            <v>Non-proportional</v>
          </cell>
          <cell r="S18051">
            <v>-33.6</v>
          </cell>
          <cell r="X18051" t="str">
            <v>Commissions - gross</v>
          </cell>
          <cell r="Y18051" t="str">
            <v>FRANCE</v>
          </cell>
        </row>
        <row r="18052">
          <cell r="L18052" t="str">
            <v>Non-proportional</v>
          </cell>
          <cell r="S18052">
            <v>-5250.54</v>
          </cell>
          <cell r="X18052" t="str">
            <v>Commissions - gross</v>
          </cell>
          <cell r="Y18052" t="str">
            <v>THAILAND</v>
          </cell>
        </row>
        <row r="18053">
          <cell r="L18053" t="str">
            <v>Non-proportional</v>
          </cell>
          <cell r="S18053">
            <v>-7500</v>
          </cell>
          <cell r="X18053" t="str">
            <v>Commissions - gross</v>
          </cell>
          <cell r="Y18053" t="str">
            <v>SPAIN</v>
          </cell>
        </row>
        <row r="18054">
          <cell r="L18054" t="str">
            <v>Non-proportional</v>
          </cell>
          <cell r="S18054">
            <v>-2283.69</v>
          </cell>
          <cell r="X18054" t="str">
            <v>Commissions - gross</v>
          </cell>
          <cell r="Y18054" t="str">
            <v>THAILAND</v>
          </cell>
        </row>
        <row r="18055">
          <cell r="L18055" t="str">
            <v>Non-proportional</v>
          </cell>
          <cell r="S18055">
            <v>965.97</v>
          </cell>
          <cell r="X18055" t="str">
            <v>Commissions - gross</v>
          </cell>
          <cell r="Y18055" t="str">
            <v>CHILE</v>
          </cell>
        </row>
        <row r="18056">
          <cell r="L18056" t="str">
            <v>Non-proportional</v>
          </cell>
          <cell r="S18056">
            <v>-2084.39</v>
          </cell>
          <cell r="X18056" t="str">
            <v>Commissions - gross</v>
          </cell>
          <cell r="Y18056" t="str">
            <v>BELIZE</v>
          </cell>
        </row>
        <row r="18057">
          <cell r="L18057" t="str">
            <v>Non-proportional</v>
          </cell>
          <cell r="S18057">
            <v>1588.46</v>
          </cell>
          <cell r="X18057" t="str">
            <v>Commissions - gross</v>
          </cell>
          <cell r="Y18057" t="str">
            <v>BRAZIL</v>
          </cell>
        </row>
        <row r="18058">
          <cell r="L18058" t="str">
            <v>Proportional</v>
          </cell>
          <cell r="S18058">
            <v>-2.11</v>
          </cell>
          <cell r="X18058" t="str">
            <v>Commissions - gross</v>
          </cell>
          <cell r="Y18058" t="str">
            <v>CHILE</v>
          </cell>
        </row>
        <row r="18059">
          <cell r="L18059" t="str">
            <v>Non-proportional</v>
          </cell>
          <cell r="S18059">
            <v>-3663.34</v>
          </cell>
          <cell r="X18059" t="str">
            <v>Commissions - gross</v>
          </cell>
          <cell r="Y18059" t="str">
            <v>UNITED KINGDOM</v>
          </cell>
        </row>
        <row r="18060">
          <cell r="L18060" t="str">
            <v>Non-proportional</v>
          </cell>
          <cell r="S18060">
            <v>17058.77</v>
          </cell>
          <cell r="X18060" t="str">
            <v>Commissions - gross</v>
          </cell>
          <cell r="Y18060" t="str">
            <v>AUSTRALIA</v>
          </cell>
        </row>
        <row r="18061">
          <cell r="L18061" t="str">
            <v>Proportional</v>
          </cell>
          <cell r="S18061">
            <v>5338.89</v>
          </cell>
          <cell r="X18061" t="str">
            <v>Commissions - gross</v>
          </cell>
          <cell r="Y18061" t="str">
            <v>MEXICO</v>
          </cell>
        </row>
        <row r="18062">
          <cell r="L18062" t="str">
            <v>Non-proportional</v>
          </cell>
          <cell r="S18062">
            <v>858.13</v>
          </cell>
          <cell r="X18062" t="str">
            <v>Commissions - gross</v>
          </cell>
          <cell r="Y18062" t="str">
            <v>PERU</v>
          </cell>
        </row>
        <row r="18063">
          <cell r="L18063" t="str">
            <v>Non-proportional</v>
          </cell>
          <cell r="S18063">
            <v>-3458.23</v>
          </cell>
          <cell r="X18063" t="str">
            <v>Commissions - gross</v>
          </cell>
          <cell r="Y18063" t="str">
            <v>AUSTRALIA</v>
          </cell>
        </row>
        <row r="18064">
          <cell r="L18064" t="str">
            <v>Non-proportional</v>
          </cell>
          <cell r="S18064">
            <v>3613.95</v>
          </cell>
          <cell r="X18064" t="str">
            <v>Commissions - gross</v>
          </cell>
          <cell r="Y18064" t="str">
            <v>COLOMBIA</v>
          </cell>
        </row>
        <row r="18065">
          <cell r="L18065" t="str">
            <v>Non-proportional</v>
          </cell>
          <cell r="S18065">
            <v>-2645.58</v>
          </cell>
          <cell r="X18065" t="str">
            <v>Commissions - gross</v>
          </cell>
          <cell r="Y18065" t="str">
            <v>MEXICO</v>
          </cell>
        </row>
        <row r="18066">
          <cell r="L18066" t="str">
            <v>Proportional</v>
          </cell>
          <cell r="S18066">
            <v>-1578.4</v>
          </cell>
          <cell r="X18066" t="str">
            <v>Commissions - gross</v>
          </cell>
          <cell r="Y18066" t="str">
            <v>SWITZERLAND</v>
          </cell>
        </row>
        <row r="18067">
          <cell r="L18067" t="str">
            <v>Proportional</v>
          </cell>
          <cell r="S18067">
            <v>4578.2700000000004</v>
          </cell>
          <cell r="X18067" t="str">
            <v>Commissions - gross</v>
          </cell>
          <cell r="Y18067" t="str">
            <v>PERU</v>
          </cell>
        </row>
        <row r="18068">
          <cell r="L18068" t="str">
            <v>Non-proportional</v>
          </cell>
          <cell r="S18068">
            <v>-0.17</v>
          </cell>
          <cell r="X18068" t="str">
            <v>Commissions - gross</v>
          </cell>
          <cell r="Y18068" t="str">
            <v>SINGAPORE</v>
          </cell>
        </row>
        <row r="18069">
          <cell r="L18069" t="str">
            <v>Non-proportional</v>
          </cell>
          <cell r="S18069">
            <v>-3548.84</v>
          </cell>
          <cell r="X18069" t="str">
            <v>Commissions - gross</v>
          </cell>
          <cell r="Y18069" t="str">
            <v>JAPAN</v>
          </cell>
        </row>
        <row r="18070">
          <cell r="L18070" t="str">
            <v>Non-proportional</v>
          </cell>
          <cell r="S18070">
            <v>437.2</v>
          </cell>
          <cell r="X18070" t="str">
            <v>Commissions - gross</v>
          </cell>
          <cell r="Y18070" t="str">
            <v>DOMINICAN REPUBLIC</v>
          </cell>
        </row>
        <row r="18071">
          <cell r="L18071" t="str">
            <v>Non-proportional</v>
          </cell>
          <cell r="S18071">
            <v>13493.46</v>
          </cell>
          <cell r="X18071" t="str">
            <v>Commissions - gross</v>
          </cell>
          <cell r="Y18071" t="str">
            <v>AUSTRALIA</v>
          </cell>
        </row>
        <row r="18072">
          <cell r="L18072" t="str">
            <v>Non-proportional</v>
          </cell>
          <cell r="S18072">
            <v>-1985.58</v>
          </cell>
          <cell r="X18072" t="str">
            <v>Commissions - gross</v>
          </cell>
          <cell r="Y18072" t="str">
            <v>BRAZIL</v>
          </cell>
        </row>
        <row r="18073">
          <cell r="L18073" t="str">
            <v>Non-proportional</v>
          </cell>
          <cell r="S18073">
            <v>-2654.55</v>
          </cell>
          <cell r="X18073" t="str">
            <v>Commissions - gross</v>
          </cell>
          <cell r="Y18073" t="str">
            <v>THAILAND</v>
          </cell>
        </row>
        <row r="18074">
          <cell r="L18074" t="str">
            <v>Non-proportional</v>
          </cell>
          <cell r="S18074">
            <v>22610.92</v>
          </cell>
          <cell r="X18074" t="str">
            <v>Commissions - gross</v>
          </cell>
          <cell r="Y18074" t="str">
            <v>CHILE</v>
          </cell>
        </row>
        <row r="18075">
          <cell r="L18075" t="str">
            <v>Non-proportional</v>
          </cell>
          <cell r="S18075">
            <v>-4417.05</v>
          </cell>
          <cell r="X18075" t="str">
            <v>Commissions - gross</v>
          </cell>
          <cell r="Y18075" t="str">
            <v>COLOMBIA</v>
          </cell>
        </row>
        <row r="18076">
          <cell r="L18076" t="str">
            <v>Non-proportional</v>
          </cell>
          <cell r="S18076">
            <v>3549.27</v>
          </cell>
          <cell r="X18076" t="str">
            <v>Commissions - gross</v>
          </cell>
          <cell r="Y18076" t="str">
            <v>JAPAN</v>
          </cell>
        </row>
        <row r="18077">
          <cell r="L18077" t="str">
            <v>Non-proportional</v>
          </cell>
          <cell r="S18077">
            <v>-0.43</v>
          </cell>
          <cell r="X18077" t="str">
            <v>Commissions - gross</v>
          </cell>
          <cell r="Y18077" t="str">
            <v>FRANCE</v>
          </cell>
        </row>
        <row r="18078">
          <cell r="L18078" t="str">
            <v>Non-proportional</v>
          </cell>
          <cell r="S18078">
            <v>5735.28</v>
          </cell>
          <cell r="X18078" t="str">
            <v>Commissions - gross</v>
          </cell>
          <cell r="Y18078" t="str">
            <v>SPAIN</v>
          </cell>
        </row>
        <row r="18079">
          <cell r="L18079" t="str">
            <v>Non-proportional</v>
          </cell>
          <cell r="S18079">
            <v>-13680.89</v>
          </cell>
          <cell r="X18079" t="str">
            <v>Commissions - gross</v>
          </cell>
          <cell r="Y18079" t="str">
            <v>AUSTRALIA</v>
          </cell>
        </row>
        <row r="18080">
          <cell r="L18080" t="str">
            <v>Non-proportional</v>
          </cell>
          <cell r="S18080">
            <v>-433.62</v>
          </cell>
          <cell r="X18080" t="str">
            <v>Commissions - gross</v>
          </cell>
          <cell r="Y18080" t="str">
            <v>PERU</v>
          </cell>
        </row>
        <row r="18081">
          <cell r="L18081" t="str">
            <v>Non-proportional</v>
          </cell>
          <cell r="S18081">
            <v>-1325.5</v>
          </cell>
          <cell r="X18081" t="str">
            <v>Commissions - gross</v>
          </cell>
          <cell r="Y18081" t="str">
            <v>PERU</v>
          </cell>
        </row>
        <row r="18082">
          <cell r="L18082" t="str">
            <v>Non-proportional</v>
          </cell>
          <cell r="S18082">
            <v>-1310.5</v>
          </cell>
          <cell r="X18082" t="str">
            <v>Commissions - gross</v>
          </cell>
          <cell r="Y18082" t="str">
            <v>JAPAN</v>
          </cell>
        </row>
        <row r="18083">
          <cell r="L18083" t="str">
            <v>Non-proportional</v>
          </cell>
          <cell r="S18083">
            <v>12160.79</v>
          </cell>
          <cell r="X18083" t="str">
            <v>Commissions - gross</v>
          </cell>
          <cell r="Y18083" t="str">
            <v>AUSTRALIA</v>
          </cell>
        </row>
        <row r="18084">
          <cell r="L18084" t="str">
            <v>Non-proportional</v>
          </cell>
          <cell r="S18084">
            <v>1705.51</v>
          </cell>
          <cell r="X18084" t="str">
            <v>Commissions - gross</v>
          </cell>
          <cell r="Y18084" t="str">
            <v>MALTA</v>
          </cell>
        </row>
        <row r="18085">
          <cell r="L18085" t="str">
            <v>Proportional</v>
          </cell>
          <cell r="S18085">
            <v>45.98</v>
          </cell>
          <cell r="X18085" t="str">
            <v>Commissions - gross</v>
          </cell>
          <cell r="Y18085" t="str">
            <v>CHILE</v>
          </cell>
        </row>
        <row r="18086">
          <cell r="L18086" t="str">
            <v>Non-proportional</v>
          </cell>
          <cell r="S18086">
            <v>-1649.88</v>
          </cell>
          <cell r="X18086" t="str">
            <v>Commissions - gross</v>
          </cell>
          <cell r="Y18086" t="str">
            <v>ITALY</v>
          </cell>
        </row>
        <row r="18087">
          <cell r="L18087" t="str">
            <v>Proportional</v>
          </cell>
          <cell r="S18087">
            <v>-5.52</v>
          </cell>
          <cell r="X18087" t="str">
            <v>Commissions - gross</v>
          </cell>
          <cell r="Y18087" t="str">
            <v>CHILE</v>
          </cell>
        </row>
        <row r="18088">
          <cell r="L18088" t="str">
            <v>Non-proportional</v>
          </cell>
          <cell r="S18088">
            <v>0.43</v>
          </cell>
          <cell r="X18088" t="str">
            <v>Commissions - gross</v>
          </cell>
          <cell r="Y18088" t="str">
            <v>FRANCE</v>
          </cell>
        </row>
        <row r="18089">
          <cell r="L18089" t="str">
            <v>Non-proportional</v>
          </cell>
          <cell r="S18089">
            <v>91.36</v>
          </cell>
          <cell r="X18089" t="str">
            <v>Commissions - gross</v>
          </cell>
          <cell r="Y18089" t="str">
            <v>UNITED KINGDOM</v>
          </cell>
        </row>
        <row r="18090">
          <cell r="L18090" t="str">
            <v>Non-proportional</v>
          </cell>
          <cell r="S18090">
            <v>-907.95</v>
          </cell>
          <cell r="X18090" t="str">
            <v>Commissions - gross</v>
          </cell>
          <cell r="Y18090" t="str">
            <v>PERU</v>
          </cell>
        </row>
        <row r="18091">
          <cell r="L18091" t="str">
            <v>Non-proportional</v>
          </cell>
          <cell r="S18091">
            <v>-6257.74</v>
          </cell>
          <cell r="X18091" t="str">
            <v>Commissions - gross</v>
          </cell>
          <cell r="Y18091" t="str">
            <v>AUSTRALIA</v>
          </cell>
        </row>
        <row r="18092">
          <cell r="L18092" t="str">
            <v>Non-proportional</v>
          </cell>
          <cell r="S18092">
            <v>3832.39</v>
          </cell>
          <cell r="X18092" t="str">
            <v>Commissions - gross</v>
          </cell>
          <cell r="Y18092" t="str">
            <v>THAILAND</v>
          </cell>
        </row>
        <row r="18093">
          <cell r="L18093" t="str">
            <v>Non-proportional</v>
          </cell>
          <cell r="S18093">
            <v>12437.87</v>
          </cell>
          <cell r="X18093" t="str">
            <v>Commissions - gross</v>
          </cell>
          <cell r="Y18093" t="str">
            <v>DOMINICAN REPUBLIC</v>
          </cell>
        </row>
        <row r="18094">
          <cell r="L18094" t="str">
            <v>Non-proportional</v>
          </cell>
          <cell r="S18094">
            <v>2947.88</v>
          </cell>
          <cell r="X18094" t="str">
            <v>Commissions - gross</v>
          </cell>
          <cell r="Y18094" t="str">
            <v>UNITED KINGDOM</v>
          </cell>
        </row>
        <row r="18095">
          <cell r="L18095" t="str">
            <v>Proportional</v>
          </cell>
          <cell r="S18095">
            <v>165.2</v>
          </cell>
          <cell r="X18095" t="str">
            <v>Commissions - gross</v>
          </cell>
          <cell r="Y18095" t="str">
            <v>FRANCE</v>
          </cell>
        </row>
        <row r="18096">
          <cell r="L18096" t="str">
            <v>Non-proportional</v>
          </cell>
          <cell r="S18096">
            <v>-7463.31</v>
          </cell>
          <cell r="X18096" t="str">
            <v>Commissions - gross</v>
          </cell>
          <cell r="Y18096" t="str">
            <v>MEXICO</v>
          </cell>
        </row>
        <row r="18097">
          <cell r="L18097" t="str">
            <v>Non-proportional</v>
          </cell>
          <cell r="S18097">
            <v>7408.6</v>
          </cell>
          <cell r="X18097" t="str">
            <v>Commissions - gross</v>
          </cell>
          <cell r="Y18097" t="str">
            <v>COLOMBIA</v>
          </cell>
        </row>
        <row r="18098">
          <cell r="L18098" t="str">
            <v>Proportional</v>
          </cell>
          <cell r="S18098">
            <v>1578.4</v>
          </cell>
          <cell r="X18098" t="str">
            <v>Commissions - gross</v>
          </cell>
          <cell r="Y18098" t="str">
            <v>SWITZERLAND</v>
          </cell>
        </row>
        <row r="18099">
          <cell r="L18099" t="str">
            <v>Non-proportional</v>
          </cell>
          <cell r="S18099">
            <v>4891.16</v>
          </cell>
          <cell r="X18099" t="str">
            <v>Commissions - gross</v>
          </cell>
          <cell r="Y18099" t="str">
            <v>ECUADOR</v>
          </cell>
        </row>
        <row r="18100">
          <cell r="L18100" t="str">
            <v>Non-proportional</v>
          </cell>
          <cell r="S18100">
            <v>-1715.45</v>
          </cell>
          <cell r="X18100" t="str">
            <v>Commissions - gross</v>
          </cell>
          <cell r="Y18100" t="str">
            <v>PERU</v>
          </cell>
        </row>
        <row r="18101">
          <cell r="L18101" t="str">
            <v>Non-proportional</v>
          </cell>
          <cell r="S18101">
            <v>-420</v>
          </cell>
          <cell r="X18101" t="str">
            <v>Commissions - gross</v>
          </cell>
          <cell r="Y18101" t="str">
            <v>EUROPE</v>
          </cell>
        </row>
        <row r="18102">
          <cell r="L18102" t="str">
            <v>Non-proportional</v>
          </cell>
          <cell r="S18102">
            <v>-9337.74</v>
          </cell>
          <cell r="X18102" t="str">
            <v>Commissions - gross</v>
          </cell>
          <cell r="Y18102" t="str">
            <v>CHILE</v>
          </cell>
        </row>
        <row r="18103">
          <cell r="L18103" t="str">
            <v>Non-proportional</v>
          </cell>
          <cell r="S18103">
            <v>7500</v>
          </cell>
          <cell r="X18103" t="str">
            <v>Commissions - gross</v>
          </cell>
          <cell r="Y18103" t="str">
            <v>SPAIN</v>
          </cell>
        </row>
        <row r="18104">
          <cell r="L18104" t="str">
            <v>Non-proportional</v>
          </cell>
          <cell r="S18104">
            <v>3049.91</v>
          </cell>
          <cell r="X18104" t="str">
            <v>Commissions - gross</v>
          </cell>
          <cell r="Y18104" t="str">
            <v>UNITED KINGDOM</v>
          </cell>
        </row>
        <row r="18105">
          <cell r="L18105" t="str">
            <v>Non-proportional</v>
          </cell>
          <cell r="S18105">
            <v>5994.57</v>
          </cell>
          <cell r="X18105" t="str">
            <v>Commissions - gross</v>
          </cell>
          <cell r="Y18105" t="str">
            <v>COLOMBIA</v>
          </cell>
        </row>
        <row r="18106">
          <cell r="L18106" t="str">
            <v>Proportional</v>
          </cell>
          <cell r="S18106">
            <v>-178.04</v>
          </cell>
          <cell r="X18106" t="str">
            <v>Commissions - gross</v>
          </cell>
          <cell r="Y18106" t="str">
            <v>CHILE</v>
          </cell>
        </row>
        <row r="18107">
          <cell r="L18107" t="str">
            <v>Proportional</v>
          </cell>
          <cell r="S18107">
            <v>321.85000000000002</v>
          </cell>
          <cell r="X18107" t="str">
            <v>Commissions - gross</v>
          </cell>
          <cell r="Y18107" t="str">
            <v>FRANCE</v>
          </cell>
        </row>
        <row r="18108">
          <cell r="L18108" t="str">
            <v>Proportional</v>
          </cell>
          <cell r="S18108">
            <v>-2948.58</v>
          </cell>
          <cell r="X18108" t="str">
            <v>Commissions - gross</v>
          </cell>
          <cell r="Y18108" t="str">
            <v>JAPAN</v>
          </cell>
        </row>
        <row r="18109">
          <cell r="L18109" t="str">
            <v>Proportional</v>
          </cell>
          <cell r="S18109">
            <v>-84.02</v>
          </cell>
          <cell r="X18109" t="str">
            <v>Commissions - gross</v>
          </cell>
          <cell r="Y18109" t="str">
            <v>FRANCE</v>
          </cell>
        </row>
        <row r="18110">
          <cell r="L18110" t="str">
            <v>Non-proportional</v>
          </cell>
          <cell r="S18110">
            <v>-2283.69</v>
          </cell>
          <cell r="X18110" t="str">
            <v>Commissions - gross</v>
          </cell>
          <cell r="Y18110" t="str">
            <v>THAILAND</v>
          </cell>
        </row>
        <row r="18111">
          <cell r="L18111" t="str">
            <v>Non-proportional</v>
          </cell>
          <cell r="S18111">
            <v>-6656.45</v>
          </cell>
          <cell r="X18111" t="str">
            <v>Commissions - gross</v>
          </cell>
          <cell r="Y18111" t="str">
            <v>NEW ZEALAND</v>
          </cell>
        </row>
        <row r="18112">
          <cell r="L18112" t="str">
            <v>Non-proportional</v>
          </cell>
          <cell r="S18112">
            <v>1008.85</v>
          </cell>
          <cell r="X18112" t="str">
            <v>Commissions - gross</v>
          </cell>
          <cell r="Y18112" t="str">
            <v>FRANCE</v>
          </cell>
        </row>
        <row r="18113">
          <cell r="L18113" t="str">
            <v>Non-proportional</v>
          </cell>
          <cell r="S18113">
            <v>-3613.95</v>
          </cell>
          <cell r="X18113" t="str">
            <v>Commissions - gross</v>
          </cell>
          <cell r="Y18113" t="str">
            <v>COLOMBIA</v>
          </cell>
        </row>
        <row r="18114">
          <cell r="L18114" t="str">
            <v>Non-proportional</v>
          </cell>
          <cell r="S18114">
            <v>1695.53</v>
          </cell>
          <cell r="X18114" t="str">
            <v>Commissions - gross</v>
          </cell>
          <cell r="Y18114" t="str">
            <v>UNITED KINGDOM</v>
          </cell>
        </row>
        <row r="18115">
          <cell r="L18115" t="str">
            <v>Non-proportional</v>
          </cell>
          <cell r="S18115">
            <v>20356.98</v>
          </cell>
          <cell r="X18115" t="str">
            <v>Commissions - gross</v>
          </cell>
          <cell r="Y18115" t="str">
            <v>CHILE</v>
          </cell>
        </row>
        <row r="18116">
          <cell r="L18116" t="str">
            <v>Proportional</v>
          </cell>
          <cell r="S18116">
            <v>42.4</v>
          </cell>
          <cell r="X18116" t="str">
            <v>Commissions - gross</v>
          </cell>
          <cell r="Y18116" t="str">
            <v>UNITED ARAB EMIRATES</v>
          </cell>
        </row>
        <row r="18117">
          <cell r="L18117" t="str">
            <v>Non-proportional</v>
          </cell>
          <cell r="S18117">
            <v>-3691</v>
          </cell>
          <cell r="X18117" t="str">
            <v>Commissions - gross</v>
          </cell>
          <cell r="Y18117" t="str">
            <v>FRANCE</v>
          </cell>
        </row>
        <row r="18118">
          <cell r="L18118" t="str">
            <v>Non-proportional</v>
          </cell>
          <cell r="S18118">
            <v>2059.85</v>
          </cell>
          <cell r="X18118" t="str">
            <v>Commissions - gross</v>
          </cell>
          <cell r="Y18118" t="str">
            <v>DOMINICAN REPUBLIC</v>
          </cell>
        </row>
        <row r="18119">
          <cell r="L18119" t="str">
            <v>Non-proportional</v>
          </cell>
          <cell r="S18119">
            <v>1191.3499999999999</v>
          </cell>
          <cell r="X18119" t="str">
            <v>Commissions - gross</v>
          </cell>
          <cell r="Y18119" t="str">
            <v>BRAZIL</v>
          </cell>
        </row>
        <row r="18120">
          <cell r="L18120" t="str">
            <v>Proportional</v>
          </cell>
          <cell r="S18120">
            <v>35.78</v>
          </cell>
          <cell r="X18120" t="str">
            <v>Commissions - gross</v>
          </cell>
          <cell r="Y18120" t="str">
            <v>CHILE</v>
          </cell>
        </row>
        <row r="18121">
          <cell r="L18121" t="str">
            <v>Non-proportional</v>
          </cell>
          <cell r="S18121">
            <v>1310.5</v>
          </cell>
          <cell r="X18121" t="str">
            <v>Commissions - gross</v>
          </cell>
          <cell r="Y18121" t="str">
            <v>JAPAN</v>
          </cell>
        </row>
        <row r="18122">
          <cell r="L18122" t="str">
            <v>Non-proportional</v>
          </cell>
          <cell r="S18122">
            <v>-7410.48</v>
          </cell>
          <cell r="X18122" t="str">
            <v>Commissions - gross</v>
          </cell>
          <cell r="Y18122" t="str">
            <v>AUSTRALIA</v>
          </cell>
        </row>
        <row r="18123">
          <cell r="L18123" t="str">
            <v>Non-proportional</v>
          </cell>
          <cell r="S18123">
            <v>3004.84</v>
          </cell>
          <cell r="X18123" t="str">
            <v>Commissions - gross</v>
          </cell>
          <cell r="Y18123" t="str">
            <v>DOMINICAN REPUBLIC</v>
          </cell>
        </row>
        <row r="18124">
          <cell r="L18124" t="str">
            <v>Non-proportional</v>
          </cell>
          <cell r="S18124">
            <v>747.35</v>
          </cell>
          <cell r="X18124" t="str">
            <v>Commissions - gross</v>
          </cell>
          <cell r="Y18124" t="str">
            <v>DENMARK</v>
          </cell>
        </row>
        <row r="18125">
          <cell r="L18125" t="str">
            <v>Non-proportional</v>
          </cell>
          <cell r="S18125">
            <v>7463.31</v>
          </cell>
          <cell r="X18125" t="str">
            <v>Commissions - gross</v>
          </cell>
          <cell r="Y18125" t="str">
            <v>MEXICO</v>
          </cell>
        </row>
        <row r="18126">
          <cell r="L18126" t="str">
            <v>Non-proportional</v>
          </cell>
          <cell r="S18126">
            <v>389.69</v>
          </cell>
          <cell r="X18126" t="str">
            <v>Commissions - gross</v>
          </cell>
          <cell r="Y18126" t="str">
            <v>JAPAN</v>
          </cell>
        </row>
        <row r="18127">
          <cell r="L18127" t="str">
            <v>Non-proportional</v>
          </cell>
          <cell r="S18127">
            <v>2837.05</v>
          </cell>
          <cell r="X18127" t="str">
            <v>Commissions - gross</v>
          </cell>
          <cell r="Y18127" t="str">
            <v>THAILAND</v>
          </cell>
        </row>
        <row r="18128">
          <cell r="L18128" t="str">
            <v>Non-proportional</v>
          </cell>
          <cell r="S18128">
            <v>2283.69</v>
          </cell>
          <cell r="X18128" t="str">
            <v>Commissions - gross</v>
          </cell>
          <cell r="Y18128" t="str">
            <v>THAILAND</v>
          </cell>
        </row>
        <row r="18129">
          <cell r="L18129" t="str">
            <v>Non-proportional</v>
          </cell>
          <cell r="S18129">
            <v>-19.91</v>
          </cell>
          <cell r="X18129" t="str">
            <v>Commissions - gross</v>
          </cell>
          <cell r="Y18129" t="str">
            <v>FRANCE</v>
          </cell>
        </row>
        <row r="18130">
          <cell r="L18130" t="str">
            <v>Proportional</v>
          </cell>
          <cell r="S18130">
            <v>-238.12</v>
          </cell>
          <cell r="X18130" t="str">
            <v>Commissions - gross</v>
          </cell>
          <cell r="Y18130" t="str">
            <v>CHILE</v>
          </cell>
        </row>
        <row r="18131">
          <cell r="L18131" t="str">
            <v>Non-proportional</v>
          </cell>
          <cell r="S18131">
            <v>2749.19</v>
          </cell>
          <cell r="X18131" t="str">
            <v>Commissions - gross</v>
          </cell>
          <cell r="Y18131" t="str">
            <v>DENMARK</v>
          </cell>
        </row>
        <row r="18132">
          <cell r="L18132" t="str">
            <v>Non-proportional</v>
          </cell>
          <cell r="S18132">
            <v>-237.86</v>
          </cell>
          <cell r="X18132" t="str">
            <v>Commissions - gross</v>
          </cell>
          <cell r="Y18132" t="str">
            <v>JAPAN</v>
          </cell>
        </row>
        <row r="18133">
          <cell r="L18133" t="str">
            <v>Non-proportional</v>
          </cell>
          <cell r="S18133">
            <v>-4743.93</v>
          </cell>
          <cell r="X18133" t="str">
            <v>Commissions - gross</v>
          </cell>
          <cell r="Y18133" t="str">
            <v>SPAIN</v>
          </cell>
        </row>
        <row r="18134">
          <cell r="L18134" t="str">
            <v>Non-proportional</v>
          </cell>
          <cell r="S18134">
            <v>462.4</v>
          </cell>
          <cell r="X18134" t="str">
            <v>Commissions - gross</v>
          </cell>
          <cell r="Y18134" t="str">
            <v>AUSTRALIA</v>
          </cell>
        </row>
        <row r="18135">
          <cell r="L18135" t="str">
            <v>Proportional</v>
          </cell>
          <cell r="S18135">
            <v>-492.13</v>
          </cell>
          <cell r="X18135" t="str">
            <v>Commissions - gross</v>
          </cell>
          <cell r="Y18135" t="str">
            <v>UNITED STATES</v>
          </cell>
        </row>
        <row r="18136">
          <cell r="L18136" t="str">
            <v>Non-proportional</v>
          </cell>
          <cell r="S18136">
            <v>6130.41</v>
          </cell>
          <cell r="X18136" t="str">
            <v>Commissions - gross</v>
          </cell>
          <cell r="Y18136" t="str">
            <v>COLOMBIA</v>
          </cell>
        </row>
        <row r="18137">
          <cell r="L18137" t="str">
            <v>Proportional</v>
          </cell>
          <cell r="S18137">
            <v>168.59</v>
          </cell>
          <cell r="X18137" t="str">
            <v>Commissions - gross</v>
          </cell>
          <cell r="Y18137" t="str">
            <v>UNITED STATES</v>
          </cell>
        </row>
        <row r="18138">
          <cell r="L18138" t="str">
            <v>Proportional</v>
          </cell>
          <cell r="S18138">
            <v>168.59</v>
          </cell>
          <cell r="X18138" t="str">
            <v>Commissions - gross</v>
          </cell>
          <cell r="Y18138" t="str">
            <v>UNITED STATES</v>
          </cell>
        </row>
        <row r="18139">
          <cell r="L18139" t="str">
            <v>Non-proportional</v>
          </cell>
          <cell r="S18139">
            <v>-2975.99</v>
          </cell>
          <cell r="X18139" t="str">
            <v>Commissions - gross</v>
          </cell>
          <cell r="Y18139" t="str">
            <v>FRANCE</v>
          </cell>
        </row>
        <row r="18140">
          <cell r="L18140" t="str">
            <v>Non-proportional</v>
          </cell>
          <cell r="S18140">
            <v>-246.58</v>
          </cell>
          <cell r="X18140" t="str">
            <v>Commissions - gross</v>
          </cell>
          <cell r="Y18140" t="str">
            <v>AUSTRALIA</v>
          </cell>
        </row>
        <row r="18141">
          <cell r="L18141" t="str">
            <v>Non-proportional</v>
          </cell>
          <cell r="S18141">
            <v>2338.86</v>
          </cell>
          <cell r="X18141" t="str">
            <v>Commissions - gross</v>
          </cell>
          <cell r="Y18141" t="str">
            <v>ITALY</v>
          </cell>
        </row>
        <row r="18142">
          <cell r="L18142" t="str">
            <v>Non-proportional</v>
          </cell>
          <cell r="S18142">
            <v>-479.46</v>
          </cell>
          <cell r="X18142" t="str">
            <v>Commissions - gross</v>
          </cell>
          <cell r="Y18142" t="str">
            <v>GUATEMALA</v>
          </cell>
        </row>
        <row r="18143">
          <cell r="L18143" t="str">
            <v>Non-proportional</v>
          </cell>
          <cell r="S18143">
            <v>219.32</v>
          </cell>
          <cell r="X18143" t="str">
            <v>Commissions - gross</v>
          </cell>
          <cell r="Y18143" t="str">
            <v>GUATEMALA</v>
          </cell>
        </row>
        <row r="18144">
          <cell r="L18144" t="str">
            <v>Proportional</v>
          </cell>
          <cell r="S18144">
            <v>-502.44</v>
          </cell>
          <cell r="X18144" t="str">
            <v>Commissions - gross</v>
          </cell>
          <cell r="Y18144" t="str">
            <v>UNITED STATES</v>
          </cell>
        </row>
        <row r="18145">
          <cell r="L18145" t="str">
            <v>Non-proportional</v>
          </cell>
          <cell r="S18145">
            <v>-3933.73</v>
          </cell>
          <cell r="X18145" t="str">
            <v>Commissions - gross</v>
          </cell>
          <cell r="Y18145" t="str">
            <v>DOMINICAN REPUBLIC</v>
          </cell>
        </row>
        <row r="18146">
          <cell r="L18146" t="str">
            <v>Non-proportional</v>
          </cell>
          <cell r="S18146">
            <v>-374.68</v>
          </cell>
          <cell r="X18146" t="str">
            <v>Commissions - gross</v>
          </cell>
          <cell r="Y18146" t="str">
            <v>GERMANY</v>
          </cell>
        </row>
        <row r="18147">
          <cell r="L18147" t="str">
            <v>Non-proportional</v>
          </cell>
          <cell r="S18147">
            <v>-34367.14</v>
          </cell>
          <cell r="X18147" t="str">
            <v>Commissions - gross</v>
          </cell>
          <cell r="Y18147" t="str">
            <v>AUSTRALIA</v>
          </cell>
        </row>
        <row r="18148">
          <cell r="L18148" t="str">
            <v>Non-proportional</v>
          </cell>
          <cell r="S18148">
            <v>3498.85</v>
          </cell>
          <cell r="X18148" t="str">
            <v>Commissions - gross</v>
          </cell>
          <cell r="Y18148" t="str">
            <v>DOMINICAN REPUBLIC</v>
          </cell>
        </row>
        <row r="18149">
          <cell r="L18149" t="str">
            <v>Proportional</v>
          </cell>
          <cell r="S18149">
            <v>106.14</v>
          </cell>
          <cell r="X18149" t="str">
            <v>Commissions - gross</v>
          </cell>
          <cell r="Y18149" t="str">
            <v>UNITED STATES</v>
          </cell>
        </row>
        <row r="18150">
          <cell r="L18150" t="str">
            <v>Non-proportional</v>
          </cell>
          <cell r="S18150">
            <v>-697.56</v>
          </cell>
          <cell r="X18150" t="str">
            <v>Commissions - gross</v>
          </cell>
          <cell r="Y18150" t="str">
            <v>AUSTRALIA</v>
          </cell>
        </row>
        <row r="18151">
          <cell r="L18151" t="str">
            <v>Non-proportional</v>
          </cell>
          <cell r="S18151">
            <v>247.97</v>
          </cell>
          <cell r="X18151" t="str">
            <v>Commissions - gross</v>
          </cell>
          <cell r="Y18151" t="str">
            <v>AUSTRALIA</v>
          </cell>
        </row>
        <row r="18152">
          <cell r="L18152" t="str">
            <v>Non-proportional</v>
          </cell>
          <cell r="S18152">
            <v>10974.81</v>
          </cell>
          <cell r="X18152" t="str">
            <v>Commissions - gross</v>
          </cell>
          <cell r="Y18152" t="str">
            <v>PUERTO RICO</v>
          </cell>
        </row>
        <row r="18153">
          <cell r="L18153" t="str">
            <v>Non-proportional</v>
          </cell>
          <cell r="S18153">
            <v>4980.8</v>
          </cell>
          <cell r="X18153" t="str">
            <v>Commissions - gross</v>
          </cell>
          <cell r="Y18153" t="str">
            <v>COLOMBIA</v>
          </cell>
        </row>
        <row r="18154">
          <cell r="L18154" t="str">
            <v>Proportional</v>
          </cell>
          <cell r="S18154">
            <v>19.41</v>
          </cell>
          <cell r="X18154" t="str">
            <v>Commissions - gross</v>
          </cell>
          <cell r="Y18154" t="str">
            <v>INDIA</v>
          </cell>
        </row>
        <row r="18155">
          <cell r="L18155" t="str">
            <v>Proportional</v>
          </cell>
          <cell r="S18155">
            <v>-216.24</v>
          </cell>
          <cell r="X18155" t="str">
            <v>Commissions - gross</v>
          </cell>
          <cell r="Y18155" t="str">
            <v>UNITED STATES</v>
          </cell>
        </row>
        <row r="18156">
          <cell r="L18156" t="str">
            <v>Proportional</v>
          </cell>
          <cell r="S18156">
            <v>-13365.43</v>
          </cell>
          <cell r="X18156" t="str">
            <v>Commissions - gross</v>
          </cell>
          <cell r="Y18156" t="str">
            <v>UNITED STATES</v>
          </cell>
        </row>
        <row r="18157">
          <cell r="L18157" t="str">
            <v>Non-proportional</v>
          </cell>
          <cell r="S18157">
            <v>216.35</v>
          </cell>
          <cell r="X18157" t="str">
            <v>Commissions - gross</v>
          </cell>
          <cell r="Y18157" t="str">
            <v>AUSTRALIA</v>
          </cell>
        </row>
        <row r="18158">
          <cell r="L18158" t="str">
            <v>Proportional</v>
          </cell>
          <cell r="S18158">
            <v>594.55999999999995</v>
          </cell>
          <cell r="X18158" t="str">
            <v>Commissions - gross</v>
          </cell>
          <cell r="Y18158" t="str">
            <v>UNITED STATES</v>
          </cell>
        </row>
        <row r="18159">
          <cell r="L18159" t="str">
            <v>Non-proportional</v>
          </cell>
          <cell r="S18159">
            <v>438.5</v>
          </cell>
          <cell r="X18159" t="str">
            <v>Commissions - gross</v>
          </cell>
          <cell r="Y18159" t="str">
            <v>UNITED KINGDOM</v>
          </cell>
        </row>
        <row r="18160">
          <cell r="L18160" t="str">
            <v>Non-proportional</v>
          </cell>
          <cell r="S18160">
            <v>1007.31</v>
          </cell>
          <cell r="X18160" t="str">
            <v>Commissions - gross</v>
          </cell>
          <cell r="Y18160" t="str">
            <v>AUSTRALIA</v>
          </cell>
        </row>
        <row r="18161">
          <cell r="L18161" t="str">
            <v>Non-proportional</v>
          </cell>
          <cell r="S18161">
            <v>-246.74</v>
          </cell>
          <cell r="X18161" t="str">
            <v>Commissions - gross</v>
          </cell>
          <cell r="Y18161" t="str">
            <v>AUSTRALIA</v>
          </cell>
        </row>
        <row r="18162">
          <cell r="L18162" t="str">
            <v>Proportional</v>
          </cell>
          <cell r="S18162">
            <v>76.06</v>
          </cell>
          <cell r="X18162" t="str">
            <v>Commissions - gross</v>
          </cell>
          <cell r="Y18162" t="str">
            <v>UNITED STATES</v>
          </cell>
        </row>
        <row r="18163">
          <cell r="L18163" t="str">
            <v>Proportional</v>
          </cell>
          <cell r="S18163">
            <v>-908.3</v>
          </cell>
          <cell r="X18163" t="str">
            <v>Commissions - gross</v>
          </cell>
          <cell r="Y18163" t="str">
            <v>AUSTRALIA</v>
          </cell>
        </row>
        <row r="18164">
          <cell r="L18164" t="str">
            <v>Proportional</v>
          </cell>
          <cell r="S18164">
            <v>908.3</v>
          </cell>
          <cell r="X18164" t="str">
            <v>Commissions - gross</v>
          </cell>
          <cell r="Y18164" t="str">
            <v>AUSTRALIA</v>
          </cell>
        </row>
        <row r="18165">
          <cell r="L18165" t="str">
            <v>Proportional</v>
          </cell>
          <cell r="S18165">
            <v>209.78</v>
          </cell>
          <cell r="X18165" t="str">
            <v>Commissions - gross</v>
          </cell>
          <cell r="Y18165" t="str">
            <v>UNITED STATES</v>
          </cell>
        </row>
        <row r="18166">
          <cell r="L18166" t="str">
            <v>Proportional</v>
          </cell>
          <cell r="S18166">
            <v>-105.42</v>
          </cell>
          <cell r="X18166" t="str">
            <v>Commissions - gross</v>
          </cell>
          <cell r="Y18166" t="str">
            <v>UNITED STATES</v>
          </cell>
        </row>
        <row r="18167">
          <cell r="L18167" t="str">
            <v>Proportional</v>
          </cell>
          <cell r="S18167">
            <v>16088.89</v>
          </cell>
          <cell r="X18167" t="str">
            <v>Commissions - gross</v>
          </cell>
          <cell r="Y18167" t="str">
            <v>UNITED STATES</v>
          </cell>
        </row>
        <row r="18168">
          <cell r="L18168" t="str">
            <v>Proportional</v>
          </cell>
          <cell r="S18168">
            <v>-15318.95</v>
          </cell>
          <cell r="X18168" t="str">
            <v>Commissions - gross</v>
          </cell>
          <cell r="Y18168" t="str">
            <v>UNITED STATES</v>
          </cell>
        </row>
        <row r="18169">
          <cell r="L18169" t="str">
            <v>Non-proportional</v>
          </cell>
          <cell r="S18169">
            <v>4363.96</v>
          </cell>
          <cell r="X18169" t="str">
            <v>Commissions - gross</v>
          </cell>
          <cell r="Y18169" t="str">
            <v>UNITED KINGDOM</v>
          </cell>
        </row>
        <row r="18170">
          <cell r="L18170" t="str">
            <v>Non-proportional</v>
          </cell>
          <cell r="S18170">
            <v>-305.97000000000003</v>
          </cell>
          <cell r="X18170" t="str">
            <v>Commissions - gross</v>
          </cell>
          <cell r="Y18170" t="str">
            <v>AUSTRALIA</v>
          </cell>
        </row>
        <row r="18171">
          <cell r="L18171" t="str">
            <v>Non-proportional</v>
          </cell>
          <cell r="S18171">
            <v>-98.38</v>
          </cell>
          <cell r="X18171" t="str">
            <v>Commissions - gross</v>
          </cell>
          <cell r="Y18171" t="str">
            <v>GUATEMALA</v>
          </cell>
        </row>
        <row r="18172">
          <cell r="L18172" t="str">
            <v>Non-proportional</v>
          </cell>
          <cell r="S18172">
            <v>479.46</v>
          </cell>
          <cell r="X18172" t="str">
            <v>Commissions - gross</v>
          </cell>
          <cell r="Y18172" t="str">
            <v>GUATEMALA</v>
          </cell>
        </row>
        <row r="18173">
          <cell r="L18173" t="str">
            <v>Proportional</v>
          </cell>
          <cell r="S18173">
            <v>492.13</v>
          </cell>
          <cell r="X18173" t="str">
            <v>Commissions - gross</v>
          </cell>
          <cell r="Y18173" t="str">
            <v>UNITED STATES</v>
          </cell>
        </row>
        <row r="18174">
          <cell r="L18174" t="str">
            <v>Proportional</v>
          </cell>
          <cell r="S18174">
            <v>22.37</v>
          </cell>
          <cell r="X18174" t="str">
            <v>Commissions - gross</v>
          </cell>
          <cell r="Y18174" t="str">
            <v>UNITED STATES</v>
          </cell>
        </row>
        <row r="18175">
          <cell r="L18175" t="str">
            <v>Non-proportional</v>
          </cell>
          <cell r="S18175">
            <v>-1007.31</v>
          </cell>
          <cell r="X18175" t="str">
            <v>Commissions - gross</v>
          </cell>
          <cell r="Y18175" t="str">
            <v>AUSTRALIA</v>
          </cell>
        </row>
        <row r="18176">
          <cell r="L18176" t="str">
            <v>Proportional</v>
          </cell>
          <cell r="S18176">
            <v>-167.45</v>
          </cell>
          <cell r="X18176" t="str">
            <v>Commissions - gross</v>
          </cell>
          <cell r="Y18176" t="str">
            <v>UNITED STATES</v>
          </cell>
        </row>
        <row r="18177">
          <cell r="L18177" t="str">
            <v>Non-proportional</v>
          </cell>
          <cell r="S18177">
            <v>155.1</v>
          </cell>
          <cell r="X18177" t="str">
            <v>Commissions - gross</v>
          </cell>
          <cell r="Y18177" t="str">
            <v>UNITED ARAB EMIRATES</v>
          </cell>
        </row>
        <row r="18178">
          <cell r="L18178" t="str">
            <v>Proportional</v>
          </cell>
          <cell r="S18178">
            <v>-93.37</v>
          </cell>
          <cell r="X18178" t="str">
            <v>Commissions - gross</v>
          </cell>
          <cell r="Y18178" t="str">
            <v>UNITED STATES</v>
          </cell>
        </row>
        <row r="18179">
          <cell r="L18179" t="str">
            <v>Non-proportional</v>
          </cell>
          <cell r="S18179">
            <v>-7687.11</v>
          </cell>
          <cell r="X18179" t="str">
            <v>Commissions - gross</v>
          </cell>
          <cell r="Y18179" t="str">
            <v>UNITED KINGDOM</v>
          </cell>
        </row>
        <row r="18180">
          <cell r="L18180" t="str">
            <v>Non-proportional</v>
          </cell>
          <cell r="S18180">
            <v>-2767.45</v>
          </cell>
          <cell r="X18180" t="str">
            <v>Commissions - gross</v>
          </cell>
          <cell r="Y18180" t="str">
            <v>PERU</v>
          </cell>
        </row>
        <row r="18181">
          <cell r="L18181" t="str">
            <v>Non-proportional</v>
          </cell>
          <cell r="S18181">
            <v>-1470.16</v>
          </cell>
          <cell r="X18181" t="str">
            <v>Commissions - gross</v>
          </cell>
          <cell r="Y18181" t="str">
            <v>ITALY</v>
          </cell>
        </row>
        <row r="18182">
          <cell r="L18182" t="str">
            <v>Non-proportional</v>
          </cell>
          <cell r="S18182">
            <v>388.4</v>
          </cell>
          <cell r="X18182" t="str">
            <v>Commissions - gross</v>
          </cell>
          <cell r="Y18182" t="str">
            <v>AUSTRALIA</v>
          </cell>
        </row>
        <row r="18183">
          <cell r="L18183" t="str">
            <v>Proportional</v>
          </cell>
          <cell r="S18183">
            <v>-502.44</v>
          </cell>
          <cell r="X18183" t="str">
            <v>Commissions - gross</v>
          </cell>
          <cell r="Y18183" t="str">
            <v>UNITED STATES</v>
          </cell>
        </row>
        <row r="18184">
          <cell r="L18184" t="str">
            <v>Proportional</v>
          </cell>
          <cell r="S18184">
            <v>1030.83</v>
          </cell>
          <cell r="X18184" t="str">
            <v>Commissions - gross</v>
          </cell>
          <cell r="Y18184" t="str">
            <v>UNITED STATES</v>
          </cell>
        </row>
        <row r="18185">
          <cell r="L18185" t="str">
            <v>Non-proportional</v>
          </cell>
          <cell r="S18185">
            <v>-4512.1000000000004</v>
          </cell>
          <cell r="X18185" t="str">
            <v>Commissions - gross</v>
          </cell>
          <cell r="Y18185" t="str">
            <v>DOMINICAN REPUBLIC</v>
          </cell>
        </row>
        <row r="18186">
          <cell r="L18186" t="str">
            <v>Proportional</v>
          </cell>
          <cell r="S18186">
            <v>95.33</v>
          </cell>
          <cell r="X18186" t="str">
            <v>Commissions - gross</v>
          </cell>
          <cell r="Y18186" t="str">
            <v>UNITED STATES</v>
          </cell>
        </row>
        <row r="18187">
          <cell r="L18187" t="str">
            <v>Non-proportional</v>
          </cell>
          <cell r="S18187">
            <v>-34367.14</v>
          </cell>
          <cell r="X18187" t="str">
            <v>Commissions - gross</v>
          </cell>
          <cell r="Y18187" t="str">
            <v>AUSTRALIA</v>
          </cell>
        </row>
        <row r="18188">
          <cell r="L18188" t="str">
            <v>Proportional</v>
          </cell>
          <cell r="S18188">
            <v>220.77</v>
          </cell>
          <cell r="X18188" t="str">
            <v>Commissions - gross</v>
          </cell>
          <cell r="Y18188" t="str">
            <v>UNITED STATES</v>
          </cell>
        </row>
        <row r="18189">
          <cell r="L18189" t="str">
            <v>Proportional</v>
          </cell>
          <cell r="S18189">
            <v>167.45</v>
          </cell>
          <cell r="X18189" t="str">
            <v>Commissions - gross</v>
          </cell>
          <cell r="Y18189" t="str">
            <v>UNITED STATES</v>
          </cell>
        </row>
        <row r="18190">
          <cell r="L18190" t="str">
            <v>Non-proportional</v>
          </cell>
          <cell r="S18190">
            <v>-479.46</v>
          </cell>
          <cell r="X18190" t="str">
            <v>Commissions - gross</v>
          </cell>
          <cell r="Y18190" t="str">
            <v>GUATEMALA</v>
          </cell>
        </row>
        <row r="18191">
          <cell r="L18191" t="str">
            <v>Non-proportional</v>
          </cell>
          <cell r="S18191">
            <v>-10397.19</v>
          </cell>
          <cell r="X18191" t="str">
            <v>Commissions - gross</v>
          </cell>
          <cell r="Y18191" t="str">
            <v>PUERTO RICO</v>
          </cell>
        </row>
        <row r="18192">
          <cell r="L18192" t="str">
            <v>Proportional</v>
          </cell>
          <cell r="S18192">
            <v>-44545.03</v>
          </cell>
          <cell r="X18192" t="str">
            <v>Commissions - gross</v>
          </cell>
          <cell r="Y18192" t="str">
            <v>UNITED STATES</v>
          </cell>
        </row>
        <row r="18193">
          <cell r="L18193" t="str">
            <v>Proportional</v>
          </cell>
          <cell r="S18193">
            <v>-11329.03</v>
          </cell>
          <cell r="X18193" t="str">
            <v>Commissions - gross</v>
          </cell>
          <cell r="Y18193" t="str">
            <v>UNITED STATES</v>
          </cell>
        </row>
        <row r="18194">
          <cell r="L18194" t="str">
            <v>Non-proportional</v>
          </cell>
          <cell r="S18194">
            <v>-1395.74</v>
          </cell>
          <cell r="X18194" t="str">
            <v>Commissions - gross</v>
          </cell>
          <cell r="Y18194" t="str">
            <v>UNITED ARAB EMIRATES</v>
          </cell>
        </row>
        <row r="18195">
          <cell r="L18195" t="str">
            <v>Proportional</v>
          </cell>
          <cell r="S18195">
            <v>492.13</v>
          </cell>
          <cell r="X18195" t="str">
            <v>Commissions - gross</v>
          </cell>
          <cell r="Y18195" t="str">
            <v>UNITED STATES</v>
          </cell>
        </row>
        <row r="18196">
          <cell r="L18196" t="str">
            <v>Proportional</v>
          </cell>
          <cell r="S18196">
            <v>-29.91</v>
          </cell>
          <cell r="X18196" t="str">
            <v>Commissions - gross</v>
          </cell>
          <cell r="Y18196" t="str">
            <v>GERMANY</v>
          </cell>
        </row>
        <row r="18197">
          <cell r="L18197" t="str">
            <v>Proportional</v>
          </cell>
          <cell r="S18197">
            <v>-0.9</v>
          </cell>
          <cell r="X18197" t="str">
            <v>Commissions - gross</v>
          </cell>
          <cell r="Y18197" t="str">
            <v>UNITED STATES</v>
          </cell>
        </row>
        <row r="18198">
          <cell r="L18198" t="str">
            <v>Non-proportional</v>
          </cell>
          <cell r="S18198">
            <v>-1000.5</v>
          </cell>
          <cell r="X18198" t="str">
            <v>Commissions - gross</v>
          </cell>
          <cell r="Y18198" t="str">
            <v>ITALY</v>
          </cell>
        </row>
        <row r="18199">
          <cell r="L18199" t="str">
            <v>Proportional</v>
          </cell>
          <cell r="S18199">
            <v>-17760.61</v>
          </cell>
          <cell r="X18199" t="str">
            <v>Commissions - gross</v>
          </cell>
          <cell r="Y18199" t="str">
            <v>ITALY</v>
          </cell>
        </row>
        <row r="18200">
          <cell r="L18200" t="str">
            <v>Proportional</v>
          </cell>
          <cell r="S18200">
            <v>-12442.01</v>
          </cell>
          <cell r="X18200" t="str">
            <v>Commissions - gross</v>
          </cell>
          <cell r="Y18200" t="str">
            <v>UNITED STATES</v>
          </cell>
        </row>
        <row r="18201">
          <cell r="L18201" t="str">
            <v>Non-proportional</v>
          </cell>
          <cell r="S18201">
            <v>10397.19</v>
          </cell>
          <cell r="X18201" t="str">
            <v>Commissions - gross</v>
          </cell>
          <cell r="Y18201" t="str">
            <v>PUERTO RICO</v>
          </cell>
        </row>
        <row r="18202">
          <cell r="L18202" t="str">
            <v>Non-proportional</v>
          </cell>
          <cell r="S18202">
            <v>-376</v>
          </cell>
          <cell r="X18202" t="str">
            <v>Commissions - gross</v>
          </cell>
          <cell r="Y18202" t="str">
            <v>UNITED KINGDOM</v>
          </cell>
        </row>
        <row r="18203">
          <cell r="L18203" t="str">
            <v>Proportional</v>
          </cell>
          <cell r="S18203">
            <v>360.88</v>
          </cell>
          <cell r="X18203" t="str">
            <v>Commissions - gross</v>
          </cell>
          <cell r="Y18203" t="str">
            <v>UNITED STATES</v>
          </cell>
        </row>
        <row r="18204">
          <cell r="L18204" t="str">
            <v>Non-proportional</v>
          </cell>
          <cell r="S18204">
            <v>11276.12</v>
          </cell>
          <cell r="X18204" t="str">
            <v>Commissions - gross</v>
          </cell>
          <cell r="Y18204" t="str">
            <v>AUSTRALIA</v>
          </cell>
        </row>
        <row r="18205">
          <cell r="L18205" t="str">
            <v>Proportional</v>
          </cell>
          <cell r="S18205">
            <v>-1775.51</v>
          </cell>
          <cell r="X18205" t="str">
            <v>Commissions - gross</v>
          </cell>
          <cell r="Y18205" t="str">
            <v>AUSTRALIA</v>
          </cell>
        </row>
        <row r="18206">
          <cell r="L18206" t="str">
            <v>Non-proportional</v>
          </cell>
          <cell r="S18206">
            <v>-10966.86</v>
          </cell>
          <cell r="X18206" t="str">
            <v>Commissions - gross</v>
          </cell>
          <cell r="Y18206" t="str">
            <v>PUERTO RICO</v>
          </cell>
        </row>
        <row r="18207">
          <cell r="L18207" t="str">
            <v>Proportional</v>
          </cell>
          <cell r="S18207">
            <v>12241.02</v>
          </cell>
          <cell r="X18207" t="str">
            <v>Commissions - gross</v>
          </cell>
          <cell r="Y18207" t="str">
            <v>UNITED STATES</v>
          </cell>
        </row>
        <row r="18208">
          <cell r="L18208" t="str">
            <v>Proportional</v>
          </cell>
          <cell r="S18208">
            <v>13365.43</v>
          </cell>
          <cell r="X18208" t="str">
            <v>Commissions - gross</v>
          </cell>
          <cell r="Y18208" t="str">
            <v>UNITED STATES</v>
          </cell>
        </row>
        <row r="18209">
          <cell r="L18209" t="str">
            <v>Proportional</v>
          </cell>
          <cell r="S18209">
            <v>-12241.02</v>
          </cell>
          <cell r="X18209" t="str">
            <v>Commissions - gross</v>
          </cell>
          <cell r="Y18209" t="str">
            <v>UNITED STATES</v>
          </cell>
        </row>
        <row r="18210">
          <cell r="L18210" t="str">
            <v>Non-proportional</v>
          </cell>
          <cell r="S18210">
            <v>169.78</v>
          </cell>
          <cell r="X18210" t="str">
            <v>Commissions - gross</v>
          </cell>
          <cell r="Y18210" t="str">
            <v>AUSTRALIA</v>
          </cell>
        </row>
        <row r="18211">
          <cell r="L18211" t="str">
            <v>Non-proportional</v>
          </cell>
          <cell r="S18211">
            <v>-1007.31</v>
          </cell>
          <cell r="X18211" t="str">
            <v>Commissions - gross</v>
          </cell>
          <cell r="Y18211" t="str">
            <v>AUSTRALIA</v>
          </cell>
        </row>
        <row r="18212">
          <cell r="L18212" t="str">
            <v>Non-proportional</v>
          </cell>
          <cell r="S18212">
            <v>-348.94</v>
          </cell>
          <cell r="X18212" t="str">
            <v>Commissions - gross</v>
          </cell>
          <cell r="Y18212" t="str">
            <v>GUATEMALA</v>
          </cell>
        </row>
        <row r="18213">
          <cell r="L18213" t="str">
            <v>Non-proportional</v>
          </cell>
          <cell r="S18213">
            <v>-3953.63</v>
          </cell>
          <cell r="X18213" t="str">
            <v>Commissions - gross</v>
          </cell>
          <cell r="Y18213" t="str">
            <v>DOMINICAN REPUBLIC</v>
          </cell>
        </row>
        <row r="18214">
          <cell r="L18214" t="str">
            <v>Proportional</v>
          </cell>
          <cell r="S18214">
            <v>-360.88</v>
          </cell>
          <cell r="X18214" t="str">
            <v>Commissions - gross</v>
          </cell>
          <cell r="Y18214" t="str">
            <v>UNITED STATES</v>
          </cell>
        </row>
        <row r="18215">
          <cell r="L18215" t="str">
            <v>Proportional</v>
          </cell>
          <cell r="S18215">
            <v>0.77</v>
          </cell>
          <cell r="X18215" t="str">
            <v>Commissions - gross</v>
          </cell>
          <cell r="Y18215" t="str">
            <v>UNITED STATES</v>
          </cell>
        </row>
        <row r="18216">
          <cell r="L18216" t="str">
            <v>Proportional</v>
          </cell>
          <cell r="S18216">
            <v>502.44</v>
          </cell>
          <cell r="X18216" t="str">
            <v>Commissions - gross</v>
          </cell>
          <cell r="Y18216" t="str">
            <v>UNITED STATES</v>
          </cell>
        </row>
        <row r="18217">
          <cell r="L18217" t="str">
            <v>Non-proportional</v>
          </cell>
          <cell r="S18217">
            <v>-1133.01</v>
          </cell>
          <cell r="X18217" t="str">
            <v>Commissions - gross</v>
          </cell>
          <cell r="Y18217" t="str">
            <v>AUSTRALIA</v>
          </cell>
        </row>
        <row r="18218">
          <cell r="L18218" t="str">
            <v>Non-proportional</v>
          </cell>
          <cell r="S18218">
            <v>4903.08</v>
          </cell>
          <cell r="X18218" t="str">
            <v>Commissions - gross</v>
          </cell>
          <cell r="Y18218" t="str">
            <v>FRANCE</v>
          </cell>
        </row>
        <row r="18219">
          <cell r="L18219" t="str">
            <v>Non-proportional</v>
          </cell>
          <cell r="S18219">
            <v>7687.11</v>
          </cell>
          <cell r="X18219" t="str">
            <v>Commissions - gross</v>
          </cell>
          <cell r="Y18219" t="str">
            <v>UNITED KINGDOM</v>
          </cell>
        </row>
        <row r="18220">
          <cell r="L18220" t="str">
            <v>Proportional</v>
          </cell>
          <cell r="S18220">
            <v>-1023.82</v>
          </cell>
          <cell r="X18220" t="str">
            <v>Commissions - gross</v>
          </cell>
          <cell r="Y18220" t="str">
            <v>UNITED STATES</v>
          </cell>
        </row>
        <row r="18221">
          <cell r="L18221" t="str">
            <v>Non-proportional</v>
          </cell>
          <cell r="S18221">
            <v>-252.68</v>
          </cell>
          <cell r="X18221" t="str">
            <v>Commissions - gross</v>
          </cell>
          <cell r="Y18221" t="str">
            <v>GUATEMALA</v>
          </cell>
        </row>
        <row r="18222">
          <cell r="L18222" t="str">
            <v>Non-proportional</v>
          </cell>
          <cell r="S18222">
            <v>1655.74</v>
          </cell>
          <cell r="X18222" t="str">
            <v>Commissions - gross</v>
          </cell>
          <cell r="Y18222" t="str">
            <v>FRANCE</v>
          </cell>
        </row>
        <row r="18223">
          <cell r="L18223" t="str">
            <v>Non-proportional</v>
          </cell>
          <cell r="S18223">
            <v>-220.59</v>
          </cell>
          <cell r="X18223" t="str">
            <v>Commissions - gross</v>
          </cell>
          <cell r="Y18223" t="str">
            <v>AUSTRALIA</v>
          </cell>
        </row>
        <row r="18224">
          <cell r="L18224" t="str">
            <v>Proportional</v>
          </cell>
          <cell r="S18224">
            <v>159120</v>
          </cell>
          <cell r="X18224" t="str">
            <v>Commissions - gross</v>
          </cell>
          <cell r="Y18224" t="str">
            <v>ITALY</v>
          </cell>
        </row>
        <row r="18225">
          <cell r="L18225" t="str">
            <v>Non-proportional</v>
          </cell>
          <cell r="S18225">
            <v>-6777.43</v>
          </cell>
          <cell r="X18225" t="str">
            <v>Commissions - gross</v>
          </cell>
          <cell r="Y18225" t="str">
            <v>PUERTO RICO</v>
          </cell>
        </row>
        <row r="18226">
          <cell r="L18226" t="str">
            <v>Proportional</v>
          </cell>
          <cell r="S18226">
            <v>-167.45</v>
          </cell>
          <cell r="X18226" t="str">
            <v>Commissions - gross</v>
          </cell>
          <cell r="Y18226" t="str">
            <v>UNITED STATES</v>
          </cell>
        </row>
        <row r="18227">
          <cell r="L18227" t="str">
            <v>Non-proportional</v>
          </cell>
          <cell r="S18227">
            <v>-219.32</v>
          </cell>
          <cell r="X18227" t="str">
            <v>Commissions - gross</v>
          </cell>
          <cell r="Y18227" t="str">
            <v>GUATEMALA</v>
          </cell>
        </row>
        <row r="18228">
          <cell r="L18228" t="str">
            <v>Proportional</v>
          </cell>
          <cell r="S18228">
            <v>23.42</v>
          </cell>
          <cell r="X18228" t="str">
            <v>Commissions - gross</v>
          </cell>
          <cell r="Y18228" t="str">
            <v>MALAYSIA</v>
          </cell>
        </row>
        <row r="18229">
          <cell r="L18229" t="str">
            <v>Non-proportional</v>
          </cell>
          <cell r="S18229">
            <v>-969.15</v>
          </cell>
          <cell r="X18229" t="str">
            <v>Commissions - gross</v>
          </cell>
          <cell r="Y18229" t="str">
            <v>AUSTRALIA</v>
          </cell>
        </row>
        <row r="18230">
          <cell r="L18230" t="str">
            <v>Non-proportional</v>
          </cell>
          <cell r="S18230">
            <v>220.59</v>
          </cell>
          <cell r="X18230" t="str">
            <v>Commissions - gross</v>
          </cell>
          <cell r="Y18230" t="str">
            <v>AUSTRALIA</v>
          </cell>
        </row>
        <row r="18231">
          <cell r="L18231" t="str">
            <v>Non-proportional</v>
          </cell>
          <cell r="S18231">
            <v>-471.44</v>
          </cell>
          <cell r="X18231" t="str">
            <v>Commissions - gross</v>
          </cell>
          <cell r="Y18231" t="str">
            <v>UNITED KINGDOM</v>
          </cell>
        </row>
        <row r="18232">
          <cell r="L18232" t="str">
            <v>Proportional</v>
          </cell>
          <cell r="S18232">
            <v>1775.51</v>
          </cell>
          <cell r="X18232" t="str">
            <v>Commissions - gross</v>
          </cell>
          <cell r="Y18232" t="str">
            <v>AUSTRALIA</v>
          </cell>
        </row>
        <row r="18233">
          <cell r="L18233" t="str">
            <v>Non-proportional</v>
          </cell>
          <cell r="S18233">
            <v>-2148.9699999999998</v>
          </cell>
          <cell r="X18233" t="str">
            <v>Commissions - gross</v>
          </cell>
          <cell r="Y18233" t="str">
            <v>PERU</v>
          </cell>
        </row>
        <row r="18234">
          <cell r="L18234" t="str">
            <v>Non-proportional</v>
          </cell>
          <cell r="S18234">
            <v>-4900.38</v>
          </cell>
          <cell r="X18234" t="str">
            <v>Commissions - gross</v>
          </cell>
          <cell r="Y18234" t="str">
            <v>ITALY</v>
          </cell>
        </row>
        <row r="18235">
          <cell r="L18235" t="str">
            <v>Non-proportional</v>
          </cell>
          <cell r="S18235">
            <v>-1502.33</v>
          </cell>
          <cell r="X18235" t="str">
            <v>Commissions - gross</v>
          </cell>
          <cell r="Y18235" t="str">
            <v>FRANCE</v>
          </cell>
        </row>
        <row r="18236">
          <cell r="L18236" t="str">
            <v>Non-proportional</v>
          </cell>
          <cell r="S18236">
            <v>-71.59</v>
          </cell>
          <cell r="X18236" t="str">
            <v>Commissions - gross</v>
          </cell>
          <cell r="Y18236" t="str">
            <v>GUATEMALA</v>
          </cell>
        </row>
        <row r="18237">
          <cell r="L18237" t="str">
            <v>Non-proportional</v>
          </cell>
          <cell r="S18237">
            <v>-138.32</v>
          </cell>
          <cell r="X18237" t="str">
            <v>Commissions - gross</v>
          </cell>
          <cell r="Y18237" t="str">
            <v>FRANCE</v>
          </cell>
        </row>
        <row r="18238">
          <cell r="L18238" t="str">
            <v>Non-proportional</v>
          </cell>
          <cell r="S18238">
            <v>6777.43</v>
          </cell>
          <cell r="X18238" t="str">
            <v>Commissions - gross</v>
          </cell>
          <cell r="Y18238" t="str">
            <v>PUERTO RICO</v>
          </cell>
        </row>
        <row r="18239">
          <cell r="L18239" t="str">
            <v>Non-proportional</v>
          </cell>
          <cell r="S18239">
            <v>2652.04</v>
          </cell>
          <cell r="X18239" t="str">
            <v>Commissions - gross</v>
          </cell>
          <cell r="Y18239" t="str">
            <v>UNITED KINGDOM</v>
          </cell>
        </row>
        <row r="18240">
          <cell r="L18240" t="str">
            <v>Non-proportional</v>
          </cell>
          <cell r="S18240">
            <v>-818.01</v>
          </cell>
          <cell r="X18240" t="str">
            <v>Commissions - gross</v>
          </cell>
          <cell r="Y18240" t="str">
            <v>UNITED KINGDOM</v>
          </cell>
        </row>
        <row r="18241">
          <cell r="L18241" t="str">
            <v>Non-proportional</v>
          </cell>
          <cell r="S18241">
            <v>-2652.04</v>
          </cell>
          <cell r="X18241" t="str">
            <v>Commissions - gross</v>
          </cell>
          <cell r="Y18241" t="str">
            <v>UNITED KINGDOM</v>
          </cell>
        </row>
        <row r="18242">
          <cell r="L18242" t="str">
            <v>Proportional</v>
          </cell>
          <cell r="S18242">
            <v>17760.61</v>
          </cell>
          <cell r="X18242" t="str">
            <v>Commissions - gross</v>
          </cell>
          <cell r="Y18242" t="str">
            <v>ITALY</v>
          </cell>
        </row>
        <row r="18243">
          <cell r="L18243" t="str">
            <v>Proportional</v>
          </cell>
          <cell r="S18243">
            <v>11329.03</v>
          </cell>
          <cell r="X18243" t="str">
            <v>Commissions - gross</v>
          </cell>
          <cell r="Y18243" t="str">
            <v>UNITED STATES</v>
          </cell>
        </row>
        <row r="18244">
          <cell r="L18244" t="str">
            <v>Non-proportional</v>
          </cell>
          <cell r="S18244">
            <v>-46.11</v>
          </cell>
          <cell r="X18244" t="str">
            <v>Commissions - gross</v>
          </cell>
          <cell r="Y18244" t="str">
            <v>FRANCE</v>
          </cell>
        </row>
        <row r="18245">
          <cell r="L18245" t="str">
            <v>Non-proportional</v>
          </cell>
          <cell r="S18245">
            <v>479.46</v>
          </cell>
          <cell r="X18245" t="str">
            <v>Commissions - gross</v>
          </cell>
          <cell r="Y18245" t="str">
            <v>GUATEMALA</v>
          </cell>
        </row>
        <row r="18246">
          <cell r="L18246" t="str">
            <v>Non-proportional</v>
          </cell>
          <cell r="S18246">
            <v>-169.96</v>
          </cell>
          <cell r="X18246" t="str">
            <v>Commissions - gross</v>
          </cell>
          <cell r="Y18246" t="str">
            <v>AUSTRALIA</v>
          </cell>
        </row>
        <row r="18247">
          <cell r="L18247" t="str">
            <v>Non-proportional</v>
          </cell>
          <cell r="S18247">
            <v>954.01</v>
          </cell>
          <cell r="X18247" t="str">
            <v>Commissions - gross</v>
          </cell>
          <cell r="Y18247" t="str">
            <v>UNITED KINGDOM</v>
          </cell>
        </row>
        <row r="18248">
          <cell r="L18248" t="str">
            <v>Proportional</v>
          </cell>
          <cell r="S18248">
            <v>-168.59</v>
          </cell>
          <cell r="X18248" t="str">
            <v>Commissions - gross</v>
          </cell>
          <cell r="Y18248" t="str">
            <v>UNITED STATES</v>
          </cell>
        </row>
        <row r="18249">
          <cell r="L18249" t="str">
            <v>Non-proportional</v>
          </cell>
          <cell r="S18249">
            <v>268.29000000000002</v>
          </cell>
          <cell r="X18249" t="str">
            <v>Commissions - gross</v>
          </cell>
          <cell r="Y18249" t="str">
            <v>AUSTRALIA</v>
          </cell>
        </row>
        <row r="18250">
          <cell r="L18250" t="str">
            <v>Non-proportional</v>
          </cell>
          <cell r="S18250">
            <v>348.94</v>
          </cell>
          <cell r="X18250" t="str">
            <v>Commissions - gross</v>
          </cell>
          <cell r="Y18250" t="str">
            <v>GUATEMALA</v>
          </cell>
        </row>
        <row r="18251">
          <cell r="L18251" t="str">
            <v>Non-proportional</v>
          </cell>
          <cell r="S18251">
            <v>3889.2</v>
          </cell>
          <cell r="X18251" t="str">
            <v>Commissions - gross</v>
          </cell>
          <cell r="Y18251" t="str">
            <v>DOMINICAN REPUBLIC</v>
          </cell>
        </row>
        <row r="18252">
          <cell r="L18252" t="str">
            <v>Non-proportional</v>
          </cell>
          <cell r="S18252">
            <v>-3344.09</v>
          </cell>
          <cell r="X18252" t="str">
            <v>Commissions - gross</v>
          </cell>
          <cell r="Y18252" t="str">
            <v>DOMINICAN REPUBLIC</v>
          </cell>
        </row>
        <row r="18253">
          <cell r="L18253" t="str">
            <v>Non-proportional</v>
          </cell>
          <cell r="S18253">
            <v>5006.95</v>
          </cell>
          <cell r="X18253" t="str">
            <v>Commissions - gross</v>
          </cell>
          <cell r="Y18253" t="str">
            <v>COLOMBIA</v>
          </cell>
        </row>
        <row r="18254">
          <cell r="L18254" t="str">
            <v>Non-proportional</v>
          </cell>
          <cell r="S18254">
            <v>209.66</v>
          </cell>
          <cell r="X18254" t="str">
            <v>Commissions - gross</v>
          </cell>
          <cell r="Y18254" t="str">
            <v>GUATEMALA</v>
          </cell>
        </row>
        <row r="18255">
          <cell r="L18255" t="str">
            <v>Non-proportional</v>
          </cell>
          <cell r="S18255">
            <v>-9084.75</v>
          </cell>
          <cell r="X18255" t="str">
            <v>Commissions - gross</v>
          </cell>
          <cell r="Y18255" t="str">
            <v>PUERTO RICO</v>
          </cell>
        </row>
        <row r="18256">
          <cell r="L18256" t="str">
            <v>Non-proportional</v>
          </cell>
          <cell r="S18256">
            <v>549.84</v>
          </cell>
          <cell r="X18256" t="str">
            <v>Commissions - gross</v>
          </cell>
          <cell r="Y18256" t="str">
            <v>UNITED KINGDOM</v>
          </cell>
        </row>
        <row r="18257">
          <cell r="L18257" t="str">
            <v>Non-proportional</v>
          </cell>
          <cell r="S18257">
            <v>2767.45</v>
          </cell>
          <cell r="X18257" t="str">
            <v>Commissions - gross</v>
          </cell>
          <cell r="Y18257" t="str">
            <v>PERU</v>
          </cell>
        </row>
        <row r="18258">
          <cell r="L18258" t="str">
            <v>Proportional</v>
          </cell>
          <cell r="S18258">
            <v>15318.95</v>
          </cell>
          <cell r="X18258" t="str">
            <v>Commissions - gross</v>
          </cell>
          <cell r="Y18258" t="str">
            <v>UNITED STATES</v>
          </cell>
        </row>
        <row r="18259">
          <cell r="L18259" t="str">
            <v>Non-proportional</v>
          </cell>
          <cell r="S18259">
            <v>2767.45</v>
          </cell>
          <cell r="X18259" t="str">
            <v>Commissions - gross</v>
          </cell>
          <cell r="Y18259" t="str">
            <v>PERU</v>
          </cell>
        </row>
        <row r="18260">
          <cell r="L18260" t="str">
            <v>Non-proportional</v>
          </cell>
          <cell r="S18260">
            <v>-776.19</v>
          </cell>
          <cell r="X18260" t="str">
            <v>Commissions - gross</v>
          </cell>
          <cell r="Y18260" t="str">
            <v>AUSTRALIA</v>
          </cell>
        </row>
        <row r="18261">
          <cell r="L18261" t="str">
            <v>Proportional</v>
          </cell>
          <cell r="S18261">
            <v>-590.52</v>
          </cell>
          <cell r="X18261" t="str">
            <v>Commissions - gross</v>
          </cell>
          <cell r="Y18261" t="str">
            <v>UNITED STATES</v>
          </cell>
        </row>
        <row r="18262">
          <cell r="L18262" t="str">
            <v>Non-proportional</v>
          </cell>
          <cell r="S18262">
            <v>9087.92</v>
          </cell>
          <cell r="X18262" t="str">
            <v>Commissions - gross</v>
          </cell>
          <cell r="Y18262" t="str">
            <v>PUERTO RICO</v>
          </cell>
        </row>
        <row r="18263">
          <cell r="L18263" t="str">
            <v>Non-proportional</v>
          </cell>
          <cell r="S18263">
            <v>-3778.39</v>
          </cell>
          <cell r="X18263" t="str">
            <v>Commissions - gross</v>
          </cell>
          <cell r="Y18263" t="str">
            <v>ITALY</v>
          </cell>
        </row>
        <row r="18264">
          <cell r="L18264" t="str">
            <v>Non-proportional</v>
          </cell>
          <cell r="S18264">
            <v>643.15</v>
          </cell>
          <cell r="X18264" t="str">
            <v>Commissions - gross</v>
          </cell>
          <cell r="Y18264" t="str">
            <v>AUSTRALIA</v>
          </cell>
        </row>
        <row r="18265">
          <cell r="L18265" t="str">
            <v>Proportional</v>
          </cell>
          <cell r="S18265">
            <v>2611.41</v>
          </cell>
          <cell r="X18265" t="str">
            <v>Commissions - gross</v>
          </cell>
          <cell r="Y18265" t="str">
            <v>UNITED KINGDOM</v>
          </cell>
        </row>
        <row r="18266">
          <cell r="L18266" t="str">
            <v>Proportional</v>
          </cell>
          <cell r="S18266">
            <v>40.130000000000003</v>
          </cell>
          <cell r="X18266" t="str">
            <v>Commissions - gross</v>
          </cell>
          <cell r="Y18266" t="str">
            <v>UNITED STATES</v>
          </cell>
        </row>
        <row r="18267">
          <cell r="L18267" t="str">
            <v>Non-proportional</v>
          </cell>
          <cell r="S18267">
            <v>2436.7600000000002</v>
          </cell>
          <cell r="X18267" t="str">
            <v>Commissions - gross</v>
          </cell>
          <cell r="Y18267" t="str">
            <v>FRANCE</v>
          </cell>
        </row>
        <row r="18268">
          <cell r="L18268" t="str">
            <v>Non-proportional</v>
          </cell>
          <cell r="S18268">
            <v>216.22</v>
          </cell>
          <cell r="X18268" t="str">
            <v>Commissions - gross</v>
          </cell>
          <cell r="Y18268" t="str">
            <v>AUSTRALIA</v>
          </cell>
        </row>
        <row r="18269">
          <cell r="L18269" t="str">
            <v>Non-proportional</v>
          </cell>
          <cell r="S18269">
            <v>-2210.9899999999998</v>
          </cell>
          <cell r="X18269" t="str">
            <v>Commissions - gross</v>
          </cell>
          <cell r="Y18269" t="str">
            <v>FRANCE</v>
          </cell>
        </row>
        <row r="18270">
          <cell r="L18270" t="str">
            <v>Non-proportional</v>
          </cell>
          <cell r="S18270">
            <v>1690.3</v>
          </cell>
          <cell r="X18270" t="str">
            <v>Commissions - gross</v>
          </cell>
          <cell r="Y18270" t="str">
            <v>Hong Kong</v>
          </cell>
        </row>
        <row r="18271">
          <cell r="L18271" t="str">
            <v>Proportional</v>
          </cell>
          <cell r="S18271">
            <v>40.83</v>
          </cell>
          <cell r="X18271" t="str">
            <v>Commissions - gross</v>
          </cell>
          <cell r="Y18271" t="str">
            <v>UNITED STATES</v>
          </cell>
        </row>
        <row r="18272">
          <cell r="L18272" t="str">
            <v>Non-proportional</v>
          </cell>
          <cell r="S18272">
            <v>381.46</v>
          </cell>
          <cell r="X18272" t="str">
            <v>Commissions - gross</v>
          </cell>
          <cell r="Y18272" t="str">
            <v>GERMANY</v>
          </cell>
        </row>
        <row r="18273">
          <cell r="L18273" t="str">
            <v>Proportional</v>
          </cell>
          <cell r="S18273">
            <v>44545.03</v>
          </cell>
          <cell r="X18273" t="str">
            <v>Commissions - gross</v>
          </cell>
          <cell r="Y18273" t="str">
            <v>UNITED STATES</v>
          </cell>
        </row>
        <row r="18274">
          <cell r="L18274" t="str">
            <v>Non-proportional</v>
          </cell>
          <cell r="S18274">
            <v>23091.02</v>
          </cell>
          <cell r="X18274" t="str">
            <v>Commissions - gross</v>
          </cell>
          <cell r="Y18274" t="str">
            <v>AUSTRALIA</v>
          </cell>
        </row>
        <row r="18275">
          <cell r="L18275" t="str">
            <v>Proportional</v>
          </cell>
          <cell r="S18275">
            <v>-76.06</v>
          </cell>
          <cell r="X18275" t="str">
            <v>Commissions - gross</v>
          </cell>
          <cell r="Y18275" t="str">
            <v>UNITED STATES</v>
          </cell>
        </row>
        <row r="18276">
          <cell r="L18276" t="str">
            <v>Non-proportional</v>
          </cell>
          <cell r="S18276">
            <v>-45</v>
          </cell>
          <cell r="X18276" t="str">
            <v>Commissions - gross</v>
          </cell>
          <cell r="Y18276" t="str">
            <v>GUATEMALA</v>
          </cell>
        </row>
        <row r="18277">
          <cell r="L18277" t="str">
            <v>Non-proportional</v>
          </cell>
          <cell r="S18277">
            <v>-120.59</v>
          </cell>
          <cell r="X18277" t="str">
            <v>Commissions - gross</v>
          </cell>
          <cell r="Y18277" t="str">
            <v>FRANCE</v>
          </cell>
        </row>
        <row r="18278">
          <cell r="L18278" t="str">
            <v>Non-proportional</v>
          </cell>
          <cell r="S18278">
            <v>-1773.37</v>
          </cell>
          <cell r="X18278" t="str">
            <v>Commissions - gross</v>
          </cell>
          <cell r="Y18278" t="str">
            <v>AUSTRALIA</v>
          </cell>
        </row>
        <row r="18279">
          <cell r="L18279" t="str">
            <v>Non-proportional</v>
          </cell>
          <cell r="S18279">
            <v>-4448.66</v>
          </cell>
          <cell r="X18279" t="str">
            <v>Commissions - gross</v>
          </cell>
          <cell r="Y18279" t="str">
            <v>FRANCE</v>
          </cell>
        </row>
        <row r="18280">
          <cell r="L18280" t="str">
            <v>Proportional</v>
          </cell>
          <cell r="S18280">
            <v>-205.56</v>
          </cell>
          <cell r="X18280" t="str">
            <v>Commissions - gross</v>
          </cell>
          <cell r="Y18280" t="str">
            <v>UNITED STATES</v>
          </cell>
        </row>
        <row r="18281">
          <cell r="L18281" t="str">
            <v>Non-proportional</v>
          </cell>
          <cell r="S18281">
            <v>3908.81</v>
          </cell>
          <cell r="X18281" t="str">
            <v>Commissions - gross</v>
          </cell>
          <cell r="Y18281" t="str">
            <v>DOMINICAN REPUBLIC</v>
          </cell>
        </row>
        <row r="18282">
          <cell r="L18282" t="str">
            <v>Non-proportional</v>
          </cell>
          <cell r="S18282">
            <v>-43.02</v>
          </cell>
          <cell r="X18282" t="str">
            <v>Commissions - gross</v>
          </cell>
          <cell r="Y18282" t="str">
            <v>GUATEMALA</v>
          </cell>
        </row>
        <row r="18283">
          <cell r="L18283" t="str">
            <v>Non-proportional</v>
          </cell>
          <cell r="S18283">
            <v>-470.02</v>
          </cell>
          <cell r="X18283" t="str">
            <v>Commissions - gross</v>
          </cell>
          <cell r="Y18283" t="str">
            <v>AUSTRALIA</v>
          </cell>
        </row>
        <row r="18284">
          <cell r="L18284" t="str">
            <v>Non-proportional</v>
          </cell>
          <cell r="S18284">
            <v>-62.96</v>
          </cell>
          <cell r="X18284" t="str">
            <v>Commissions - gross</v>
          </cell>
          <cell r="Y18284" t="str">
            <v>FRANCE</v>
          </cell>
        </row>
        <row r="18285">
          <cell r="L18285" t="str">
            <v>Non-proportional</v>
          </cell>
          <cell r="S18285">
            <v>614.84</v>
          </cell>
          <cell r="X18285" t="str">
            <v>Commissions - gross</v>
          </cell>
          <cell r="Y18285" t="str">
            <v>Hong Kong</v>
          </cell>
        </row>
        <row r="18286">
          <cell r="L18286" t="str">
            <v>Non-proportional</v>
          </cell>
          <cell r="S18286">
            <v>220.59</v>
          </cell>
          <cell r="X18286" t="str">
            <v>Commissions - gross</v>
          </cell>
          <cell r="Y18286" t="str">
            <v>AUSTRALIA</v>
          </cell>
        </row>
        <row r="18287">
          <cell r="L18287" t="str">
            <v>Proportional</v>
          </cell>
          <cell r="S18287">
            <v>-2611.41</v>
          </cell>
          <cell r="X18287" t="str">
            <v>Commissions - gross</v>
          </cell>
          <cell r="Y18287" t="str">
            <v>UNITED KINGDOM</v>
          </cell>
        </row>
        <row r="18288">
          <cell r="L18288" t="str">
            <v>Non-proportional</v>
          </cell>
          <cell r="S18288">
            <v>475.97</v>
          </cell>
          <cell r="X18288" t="str">
            <v>Commissions - gross</v>
          </cell>
          <cell r="Y18288" t="str">
            <v>ITALY</v>
          </cell>
        </row>
        <row r="18289">
          <cell r="L18289" t="str">
            <v>Proportional</v>
          </cell>
          <cell r="S18289">
            <v>-512000</v>
          </cell>
          <cell r="X18289" t="str">
            <v>Commissions - gross</v>
          </cell>
          <cell r="Y18289" t="str">
            <v>ITALY</v>
          </cell>
        </row>
        <row r="18290">
          <cell r="L18290" t="str">
            <v>Non-proportional</v>
          </cell>
          <cell r="S18290">
            <v>1801.37</v>
          </cell>
          <cell r="X18290" t="str">
            <v>Commissions - gross</v>
          </cell>
          <cell r="Y18290" t="str">
            <v>ITALY</v>
          </cell>
        </row>
        <row r="18291">
          <cell r="L18291" t="str">
            <v>Non-proportional</v>
          </cell>
          <cell r="S18291">
            <v>34367.14</v>
          </cell>
          <cell r="X18291" t="str">
            <v>Commissions - gross</v>
          </cell>
          <cell r="Y18291" t="str">
            <v>AUSTRALIA</v>
          </cell>
        </row>
        <row r="18292">
          <cell r="L18292" t="str">
            <v>Non-proportional</v>
          </cell>
          <cell r="S18292">
            <v>-209.66</v>
          </cell>
          <cell r="X18292" t="str">
            <v>Commissions - gross</v>
          </cell>
          <cell r="Y18292" t="str">
            <v>GUATEMALA</v>
          </cell>
        </row>
        <row r="18293">
          <cell r="L18293" t="str">
            <v>Non-proportional</v>
          </cell>
          <cell r="S18293">
            <v>-4363.96</v>
          </cell>
          <cell r="X18293" t="str">
            <v>Commissions - gross</v>
          </cell>
          <cell r="Y18293" t="str">
            <v>UNITED KINGDOM</v>
          </cell>
        </row>
        <row r="18294">
          <cell r="L18294" t="str">
            <v>Non-proportional</v>
          </cell>
          <cell r="S18294">
            <v>-1600.8</v>
          </cell>
          <cell r="X18294" t="str">
            <v>Commissions - gross</v>
          </cell>
          <cell r="Y18294" t="str">
            <v>ITALY</v>
          </cell>
        </row>
        <row r="18295">
          <cell r="L18295" t="str">
            <v>Non-proportional</v>
          </cell>
          <cell r="S18295">
            <v>3279.91</v>
          </cell>
          <cell r="X18295" t="str">
            <v>Commissions - gross</v>
          </cell>
          <cell r="Y18295" t="str">
            <v>FRANCE</v>
          </cell>
        </row>
        <row r="18296">
          <cell r="L18296" t="str">
            <v>Non-proportional</v>
          </cell>
          <cell r="S18296">
            <v>412.14</v>
          </cell>
          <cell r="X18296" t="str">
            <v>Commissions - gross</v>
          </cell>
          <cell r="Y18296" t="str">
            <v>AUSTRALIA</v>
          </cell>
        </row>
        <row r="18297">
          <cell r="L18297" t="str">
            <v>Non-proportional</v>
          </cell>
          <cell r="S18297">
            <v>761.56</v>
          </cell>
          <cell r="X18297" t="str">
            <v>Commissions - gross</v>
          </cell>
          <cell r="Y18297" t="str">
            <v>ITALY</v>
          </cell>
        </row>
        <row r="18298">
          <cell r="L18298" t="str">
            <v>Non-proportional</v>
          </cell>
          <cell r="S18298">
            <v>252.68</v>
          </cell>
          <cell r="X18298" t="str">
            <v>Commissions - gross</v>
          </cell>
          <cell r="Y18298" t="str">
            <v>GUATEMALA</v>
          </cell>
        </row>
        <row r="18299">
          <cell r="L18299" t="str">
            <v>Non-proportional</v>
          </cell>
          <cell r="S18299">
            <v>313.36</v>
          </cell>
          <cell r="X18299" t="str">
            <v>Commissions - gross</v>
          </cell>
          <cell r="Y18299" t="str">
            <v>UNITED ARAB EMIRATES</v>
          </cell>
        </row>
        <row r="18300">
          <cell r="L18300" t="str">
            <v>Non-proportional</v>
          </cell>
          <cell r="S18300">
            <v>149.03</v>
          </cell>
          <cell r="X18300" t="str">
            <v>Commissions - gross</v>
          </cell>
          <cell r="Y18300" t="str">
            <v>AUSTRALIA</v>
          </cell>
        </row>
        <row r="18301">
          <cell r="L18301" t="str">
            <v>Non-proportional</v>
          </cell>
          <cell r="S18301">
            <v>-2821.38</v>
          </cell>
          <cell r="X18301" t="str">
            <v>Commissions - gross</v>
          </cell>
          <cell r="Y18301" t="str">
            <v>UNITED ARAB EMIRATES</v>
          </cell>
        </row>
        <row r="18302">
          <cell r="L18302" t="str">
            <v>Non-proportional</v>
          </cell>
          <cell r="S18302">
            <v>4461.1899999999996</v>
          </cell>
          <cell r="X18302" t="str">
            <v>Commissions - gross</v>
          </cell>
          <cell r="Y18302" t="str">
            <v>DOMINICAN REPUBLIC</v>
          </cell>
        </row>
        <row r="18303">
          <cell r="L18303" t="str">
            <v>Non-proportional</v>
          </cell>
          <cell r="S18303">
            <v>-3288.68</v>
          </cell>
          <cell r="X18303" t="str">
            <v>Commissions - gross</v>
          </cell>
          <cell r="Y18303" t="str">
            <v>DOMINICAN REPUBLIC</v>
          </cell>
        </row>
        <row r="18304">
          <cell r="L18304" t="str">
            <v>Proportional</v>
          </cell>
          <cell r="S18304">
            <v>2323.1</v>
          </cell>
          <cell r="X18304" t="str">
            <v>Commissions - gross</v>
          </cell>
          <cell r="Y18304" t="str">
            <v>FRANCE</v>
          </cell>
        </row>
        <row r="18305">
          <cell r="L18305" t="str">
            <v>Non-proportional</v>
          </cell>
          <cell r="S18305">
            <v>550.77</v>
          </cell>
          <cell r="X18305" t="str">
            <v>Commissions - gross</v>
          </cell>
          <cell r="Y18305" t="str">
            <v>THAILAND</v>
          </cell>
        </row>
        <row r="18306">
          <cell r="L18306" t="str">
            <v>Non-proportional</v>
          </cell>
          <cell r="S18306">
            <v>275.95999999999998</v>
          </cell>
          <cell r="X18306" t="str">
            <v>Commissions - gross</v>
          </cell>
          <cell r="Y18306" t="str">
            <v>ECUADOR</v>
          </cell>
        </row>
        <row r="18307">
          <cell r="L18307" t="str">
            <v>Non-proportional</v>
          </cell>
          <cell r="S18307">
            <v>-391.11</v>
          </cell>
          <cell r="X18307" t="str">
            <v>Commissions - gross</v>
          </cell>
          <cell r="Y18307" t="str">
            <v>THAILAND</v>
          </cell>
        </row>
        <row r="18308">
          <cell r="L18308" t="str">
            <v>Non-proportional</v>
          </cell>
          <cell r="S18308">
            <v>-2584.0500000000002</v>
          </cell>
          <cell r="X18308" t="str">
            <v>Commissions - gross</v>
          </cell>
          <cell r="Y18308" t="str">
            <v>INDIA</v>
          </cell>
        </row>
        <row r="18309">
          <cell r="L18309" t="str">
            <v>Non-proportional</v>
          </cell>
          <cell r="S18309">
            <v>-1144.08</v>
          </cell>
          <cell r="X18309" t="str">
            <v>Commissions - gross</v>
          </cell>
          <cell r="Y18309" t="str">
            <v>CZECH REPUBLIC</v>
          </cell>
        </row>
        <row r="18310">
          <cell r="L18310" t="str">
            <v>Non-proportional</v>
          </cell>
          <cell r="S18310">
            <v>-833.61</v>
          </cell>
          <cell r="X18310" t="str">
            <v>Commissions - gross</v>
          </cell>
          <cell r="Y18310" t="str">
            <v>THAILAND</v>
          </cell>
        </row>
        <row r="18311">
          <cell r="L18311" t="str">
            <v>Non-proportional</v>
          </cell>
          <cell r="S18311">
            <v>2584.0500000000002</v>
          </cell>
          <cell r="X18311" t="str">
            <v>Commissions - gross</v>
          </cell>
          <cell r="Y18311" t="str">
            <v>INDIA</v>
          </cell>
        </row>
        <row r="18312">
          <cell r="L18312" t="str">
            <v>Non-proportional</v>
          </cell>
          <cell r="S18312">
            <v>279.70999999999998</v>
          </cell>
          <cell r="X18312" t="str">
            <v>Commissions - gross</v>
          </cell>
          <cell r="Y18312" t="str">
            <v>CHILE</v>
          </cell>
        </row>
        <row r="18313">
          <cell r="L18313" t="str">
            <v>Non-proportional</v>
          </cell>
          <cell r="S18313">
            <v>734.25</v>
          </cell>
          <cell r="X18313" t="str">
            <v>Commissions - gross</v>
          </cell>
          <cell r="Y18313" t="str">
            <v>CHILE</v>
          </cell>
        </row>
        <row r="18314">
          <cell r="L18314" t="str">
            <v>Non-proportional</v>
          </cell>
          <cell r="S18314">
            <v>-275.95999999999998</v>
          </cell>
          <cell r="X18314" t="str">
            <v>Commissions - gross</v>
          </cell>
          <cell r="Y18314" t="str">
            <v>ECUADOR</v>
          </cell>
        </row>
        <row r="18315">
          <cell r="L18315" t="str">
            <v>Proportional</v>
          </cell>
          <cell r="S18315">
            <v>-458.51</v>
          </cell>
          <cell r="X18315" t="str">
            <v>Commissions - gross</v>
          </cell>
          <cell r="Y18315" t="str">
            <v>ITALY</v>
          </cell>
        </row>
        <row r="18316">
          <cell r="L18316" t="str">
            <v>Non-proportional</v>
          </cell>
          <cell r="S18316">
            <v>941.97</v>
          </cell>
          <cell r="X18316" t="str">
            <v>Commissions - gross</v>
          </cell>
          <cell r="Y18316" t="str">
            <v>DOMINICAN REPUBLIC</v>
          </cell>
        </row>
        <row r="18317">
          <cell r="L18317" t="str">
            <v>Proportional</v>
          </cell>
          <cell r="S18317">
            <v>1016.97</v>
          </cell>
          <cell r="X18317" t="str">
            <v>Commissions - gross</v>
          </cell>
          <cell r="Y18317" t="str">
            <v>ITALY</v>
          </cell>
        </row>
        <row r="18318">
          <cell r="L18318" t="str">
            <v>Non-proportional</v>
          </cell>
          <cell r="S18318">
            <v>-804.18</v>
          </cell>
          <cell r="X18318" t="str">
            <v>Commissions - gross</v>
          </cell>
          <cell r="Y18318" t="str">
            <v>CHILE</v>
          </cell>
        </row>
        <row r="18319">
          <cell r="L18319" t="str">
            <v>Non-proportional</v>
          </cell>
          <cell r="S18319">
            <v>-139.86000000000001</v>
          </cell>
          <cell r="X18319" t="str">
            <v>Commissions - gross</v>
          </cell>
          <cell r="Y18319" t="str">
            <v>CHILE</v>
          </cell>
        </row>
        <row r="18320">
          <cell r="L18320" t="str">
            <v>Non-proportional</v>
          </cell>
          <cell r="S18320">
            <v>-2006.61</v>
          </cell>
          <cell r="X18320" t="str">
            <v>Commissions - gross</v>
          </cell>
          <cell r="Y18320" t="str">
            <v>UNITED KINGDOM</v>
          </cell>
        </row>
        <row r="18321">
          <cell r="L18321" t="str">
            <v>Non-proportional</v>
          </cell>
          <cell r="S18321">
            <v>-734.25</v>
          </cell>
          <cell r="X18321" t="str">
            <v>Commissions - gross</v>
          </cell>
          <cell r="Y18321" t="str">
            <v>CHILE</v>
          </cell>
        </row>
        <row r="18322">
          <cell r="L18322" t="str">
            <v>Non-proportional</v>
          </cell>
          <cell r="S18322">
            <v>2201.5100000000002</v>
          </cell>
          <cell r="X18322" t="str">
            <v>Commissions - gross</v>
          </cell>
          <cell r="Y18322" t="str">
            <v>DOMINICAN REPUBLIC</v>
          </cell>
        </row>
        <row r="18323">
          <cell r="L18323" t="str">
            <v>Non-proportional</v>
          </cell>
          <cell r="S18323">
            <v>5740.74</v>
          </cell>
          <cell r="X18323" t="str">
            <v>Commissions - gross</v>
          </cell>
          <cell r="Y18323" t="str">
            <v>INDIA</v>
          </cell>
        </row>
        <row r="18324">
          <cell r="L18324" t="str">
            <v>Non-proportional</v>
          </cell>
          <cell r="S18324">
            <v>24231.8</v>
          </cell>
          <cell r="X18324" t="str">
            <v>Commissions - gross</v>
          </cell>
          <cell r="Y18324" t="str">
            <v>FRANCE</v>
          </cell>
        </row>
        <row r="18325">
          <cell r="L18325" t="str">
            <v>Non-proportional</v>
          </cell>
          <cell r="S18325">
            <v>-296545.03000000003</v>
          </cell>
          <cell r="X18325" t="str">
            <v>Commissions - gross</v>
          </cell>
          <cell r="Y18325" t="str">
            <v>DOMINICAN REPUBLIC</v>
          </cell>
        </row>
        <row r="18326">
          <cell r="L18326" t="str">
            <v>Non-proportional</v>
          </cell>
          <cell r="S18326">
            <v>-419.57</v>
          </cell>
          <cell r="X18326" t="str">
            <v>Commissions - gross</v>
          </cell>
          <cell r="Y18326" t="str">
            <v>CHILE</v>
          </cell>
        </row>
        <row r="18327">
          <cell r="L18327" t="str">
            <v>Non-proportional</v>
          </cell>
          <cell r="S18327">
            <v>559.42999999999995</v>
          </cell>
          <cell r="X18327" t="str">
            <v>Commissions - gross</v>
          </cell>
          <cell r="Y18327" t="str">
            <v>CHILE</v>
          </cell>
        </row>
        <row r="18328">
          <cell r="L18328" t="str">
            <v>Non-proportional</v>
          </cell>
          <cell r="S18328">
            <v>2302.0500000000002</v>
          </cell>
          <cell r="X18328" t="str">
            <v>Commissions - gross</v>
          </cell>
          <cell r="Y18328" t="str">
            <v>INDIA</v>
          </cell>
        </row>
        <row r="18329">
          <cell r="L18329" t="str">
            <v>Non-proportional</v>
          </cell>
          <cell r="S18329">
            <v>-941.97</v>
          </cell>
          <cell r="X18329" t="str">
            <v>Commissions - gross</v>
          </cell>
          <cell r="Y18329" t="str">
            <v>DOMINICAN REPUBLIC</v>
          </cell>
        </row>
        <row r="18330">
          <cell r="L18330" t="str">
            <v>Non-proportional</v>
          </cell>
          <cell r="S18330">
            <v>419.57</v>
          </cell>
          <cell r="X18330" t="str">
            <v>Commissions - gross</v>
          </cell>
          <cell r="Y18330" t="str">
            <v>CHILE</v>
          </cell>
        </row>
        <row r="18331">
          <cell r="L18331" t="str">
            <v>Proportional</v>
          </cell>
          <cell r="S18331">
            <v>2427.4299999999998</v>
          </cell>
          <cell r="X18331" t="str">
            <v>Commissions - gross</v>
          </cell>
          <cell r="Y18331" t="str">
            <v>MEXICO</v>
          </cell>
        </row>
        <row r="18332">
          <cell r="L18332" t="str">
            <v>Non-proportional</v>
          </cell>
          <cell r="S18332">
            <v>-987.9</v>
          </cell>
          <cell r="X18332" t="str">
            <v>Commissions - gross</v>
          </cell>
          <cell r="Y18332" t="str">
            <v>PERU</v>
          </cell>
        </row>
        <row r="18333">
          <cell r="L18333" t="str">
            <v>Non-proportional</v>
          </cell>
          <cell r="S18333">
            <v>-3044.46</v>
          </cell>
          <cell r="X18333" t="str">
            <v>Commissions - gross</v>
          </cell>
          <cell r="Y18333" t="str">
            <v>INDIA</v>
          </cell>
        </row>
        <row r="18334">
          <cell r="L18334" t="str">
            <v>Non-proportional</v>
          </cell>
          <cell r="S18334">
            <v>-550.77</v>
          </cell>
          <cell r="X18334" t="str">
            <v>Commissions - gross</v>
          </cell>
          <cell r="Y18334" t="str">
            <v>THAILAND</v>
          </cell>
        </row>
        <row r="18335">
          <cell r="L18335" t="str">
            <v>Non-proportional</v>
          </cell>
          <cell r="S18335">
            <v>-275.95999999999998</v>
          </cell>
          <cell r="X18335" t="str">
            <v>Commissions - gross</v>
          </cell>
          <cell r="Y18335" t="str">
            <v>ECUADOR</v>
          </cell>
        </row>
        <row r="18336">
          <cell r="L18336" t="str">
            <v>Proportional</v>
          </cell>
          <cell r="S18336">
            <v>-2427.4299999999998</v>
          </cell>
          <cell r="X18336" t="str">
            <v>Commissions - gross</v>
          </cell>
          <cell r="Y18336" t="str">
            <v>MEXICO</v>
          </cell>
        </row>
        <row r="18337">
          <cell r="L18337" t="str">
            <v>Non-proportional</v>
          </cell>
          <cell r="S18337">
            <v>71.52</v>
          </cell>
          <cell r="X18337" t="str">
            <v>Commissions - gross</v>
          </cell>
          <cell r="Y18337" t="str">
            <v>GERMANY</v>
          </cell>
        </row>
        <row r="18338">
          <cell r="L18338" t="str">
            <v>Non-proportional</v>
          </cell>
          <cell r="S18338">
            <v>-596</v>
          </cell>
          <cell r="X18338" t="str">
            <v>Commissions - gross</v>
          </cell>
          <cell r="Y18338" t="str">
            <v>DOMINICAN REPUBLIC</v>
          </cell>
        </row>
        <row r="18339">
          <cell r="L18339" t="str">
            <v>Non-proportional</v>
          </cell>
          <cell r="S18339">
            <v>-2309.9299999999998</v>
          </cell>
          <cell r="X18339" t="str">
            <v>Commissions - gross</v>
          </cell>
          <cell r="Y18339" t="str">
            <v>UNITED KINGDOM</v>
          </cell>
        </row>
        <row r="18340">
          <cell r="L18340" t="str">
            <v>Non-proportional</v>
          </cell>
          <cell r="S18340">
            <v>-6018.06</v>
          </cell>
          <cell r="X18340" t="str">
            <v>Commissions - gross</v>
          </cell>
          <cell r="Y18340" t="str">
            <v>DOMINICAN REPUBLIC</v>
          </cell>
        </row>
        <row r="18341">
          <cell r="L18341" t="str">
            <v>Non-proportional</v>
          </cell>
          <cell r="S18341">
            <v>-661.28</v>
          </cell>
          <cell r="X18341" t="str">
            <v>Commissions - gross</v>
          </cell>
          <cell r="Y18341" t="str">
            <v>FRANCE</v>
          </cell>
        </row>
        <row r="18342">
          <cell r="L18342" t="str">
            <v>Non-proportional</v>
          </cell>
          <cell r="S18342">
            <v>1678.28</v>
          </cell>
          <cell r="X18342" t="str">
            <v>Commissions - gross</v>
          </cell>
          <cell r="Y18342" t="str">
            <v>CHILE</v>
          </cell>
        </row>
        <row r="18343">
          <cell r="L18343" t="str">
            <v>Non-proportional</v>
          </cell>
          <cell r="S18343">
            <v>-495.93</v>
          </cell>
          <cell r="X18343" t="str">
            <v>Commissions - gross</v>
          </cell>
          <cell r="Y18343" t="str">
            <v>THAILAND</v>
          </cell>
        </row>
        <row r="18344">
          <cell r="L18344" t="str">
            <v>Non-proportional</v>
          </cell>
          <cell r="S18344">
            <v>2143.29</v>
          </cell>
          <cell r="X18344" t="str">
            <v>Commissions - gross</v>
          </cell>
          <cell r="Y18344" t="str">
            <v>UNITED KINGDOM</v>
          </cell>
        </row>
        <row r="18345">
          <cell r="L18345" t="str">
            <v>Non-proportional</v>
          </cell>
          <cell r="S18345">
            <v>-902.95</v>
          </cell>
          <cell r="X18345" t="str">
            <v>Commissions - gross</v>
          </cell>
          <cell r="Y18345" t="str">
            <v>CZECH REPUBLIC</v>
          </cell>
        </row>
        <row r="18346">
          <cell r="L18346" t="str">
            <v>Non-proportional</v>
          </cell>
          <cell r="S18346">
            <v>-1408.53</v>
          </cell>
          <cell r="X18346" t="str">
            <v>Commissions - gross</v>
          </cell>
          <cell r="Y18346" t="str">
            <v>ECUADOR</v>
          </cell>
        </row>
        <row r="18347">
          <cell r="L18347" t="str">
            <v>Proportional</v>
          </cell>
          <cell r="S18347">
            <v>-1043.19</v>
          </cell>
          <cell r="X18347" t="str">
            <v>Commissions - gross</v>
          </cell>
          <cell r="Y18347" t="str">
            <v>ITALY</v>
          </cell>
        </row>
        <row r="18348">
          <cell r="L18348" t="str">
            <v>Non-proportional</v>
          </cell>
          <cell r="S18348">
            <v>-24231.8</v>
          </cell>
          <cell r="X18348" t="str">
            <v>Commissions - gross</v>
          </cell>
          <cell r="Y18348" t="str">
            <v>FRANCE</v>
          </cell>
        </row>
        <row r="18349">
          <cell r="L18349" t="str">
            <v>Proportional</v>
          </cell>
          <cell r="S18349">
            <v>-5264.19</v>
          </cell>
          <cell r="X18349" t="str">
            <v>Commissions - gross</v>
          </cell>
          <cell r="Y18349" t="str">
            <v>MEXICO</v>
          </cell>
        </row>
        <row r="18350">
          <cell r="L18350" t="str">
            <v>Non-proportional</v>
          </cell>
          <cell r="S18350">
            <v>-17330.689999999999</v>
          </cell>
          <cell r="X18350" t="str">
            <v>Commissions - gross</v>
          </cell>
          <cell r="Y18350" t="str">
            <v>FRANCE</v>
          </cell>
        </row>
        <row r="18351">
          <cell r="L18351" t="str">
            <v>Non-proportional</v>
          </cell>
          <cell r="S18351">
            <v>3487.78</v>
          </cell>
          <cell r="X18351" t="str">
            <v>Commissions - gross</v>
          </cell>
          <cell r="Y18351" t="str">
            <v>ECUADOR</v>
          </cell>
        </row>
        <row r="18352">
          <cell r="L18352" t="str">
            <v>Non-proportional</v>
          </cell>
          <cell r="S18352">
            <v>-20497.12</v>
          </cell>
          <cell r="X18352" t="str">
            <v>Commissions - gross</v>
          </cell>
          <cell r="Y18352" t="str">
            <v>FRANCE</v>
          </cell>
        </row>
        <row r="18353">
          <cell r="L18353" t="str">
            <v>Non-proportional</v>
          </cell>
          <cell r="S18353">
            <v>804.18</v>
          </cell>
          <cell r="X18353" t="str">
            <v>Commissions - gross</v>
          </cell>
          <cell r="Y18353" t="str">
            <v>CHILE</v>
          </cell>
        </row>
        <row r="18354">
          <cell r="L18354" t="str">
            <v>Non-proportional</v>
          </cell>
          <cell r="S18354">
            <v>454.54</v>
          </cell>
          <cell r="X18354" t="str">
            <v>Commissions - gross</v>
          </cell>
          <cell r="Y18354" t="str">
            <v>CHILE</v>
          </cell>
        </row>
        <row r="18355">
          <cell r="L18355" t="str">
            <v>Non-proportional</v>
          </cell>
          <cell r="S18355">
            <v>275.95999999999998</v>
          </cell>
          <cell r="X18355" t="str">
            <v>Commissions - gross</v>
          </cell>
          <cell r="Y18355" t="str">
            <v>ECUADOR</v>
          </cell>
        </row>
        <row r="18356">
          <cell r="L18356" t="str">
            <v>Non-proportional</v>
          </cell>
          <cell r="S18356">
            <v>-3434.12</v>
          </cell>
          <cell r="X18356" t="str">
            <v>Commissions - gross</v>
          </cell>
          <cell r="Y18356" t="str">
            <v>ECUADOR</v>
          </cell>
        </row>
        <row r="18357">
          <cell r="L18357" t="str">
            <v>Non-proportional</v>
          </cell>
          <cell r="S18357">
            <v>3434.12</v>
          </cell>
          <cell r="X18357" t="str">
            <v>Commissions - gross</v>
          </cell>
          <cell r="Y18357" t="str">
            <v>ECUADOR</v>
          </cell>
        </row>
        <row r="18358">
          <cell r="L18358" t="str">
            <v>Proportional</v>
          </cell>
          <cell r="S18358">
            <v>1.1399999999999999</v>
          </cell>
          <cell r="X18358" t="str">
            <v>Commissions - gross</v>
          </cell>
          <cell r="Y18358" t="str">
            <v>SINGAPORE</v>
          </cell>
        </row>
        <row r="18359">
          <cell r="L18359" t="str">
            <v>Proportional</v>
          </cell>
          <cell r="S18359">
            <v>5264.19</v>
          </cell>
          <cell r="X18359" t="str">
            <v>Commissions - gross</v>
          </cell>
          <cell r="Y18359" t="str">
            <v>MEXICO</v>
          </cell>
        </row>
        <row r="18360">
          <cell r="L18360" t="str">
            <v>Non-proportional</v>
          </cell>
          <cell r="S18360">
            <v>391.11</v>
          </cell>
          <cell r="X18360" t="str">
            <v>Commissions - gross</v>
          </cell>
          <cell r="Y18360" t="str">
            <v>THAILAND</v>
          </cell>
        </row>
        <row r="18361">
          <cell r="L18361" t="str">
            <v>Non-proportional</v>
          </cell>
          <cell r="S18361">
            <v>354.38</v>
          </cell>
          <cell r="X18361" t="str">
            <v>Commissions - gross</v>
          </cell>
          <cell r="Y18361" t="str">
            <v>DOMINICAN REPUBLIC</v>
          </cell>
        </row>
        <row r="18362">
          <cell r="L18362" t="str">
            <v>Non-proportional</v>
          </cell>
          <cell r="S18362">
            <v>1408.53</v>
          </cell>
          <cell r="X18362" t="str">
            <v>Commissions - gross</v>
          </cell>
          <cell r="Y18362" t="str">
            <v>ECUADOR</v>
          </cell>
        </row>
        <row r="18363">
          <cell r="L18363" t="str">
            <v>Non-proportional</v>
          </cell>
          <cell r="S18363">
            <v>-775.44</v>
          </cell>
          <cell r="X18363" t="str">
            <v>Commissions - gross</v>
          </cell>
          <cell r="Y18363" t="str">
            <v>ECUADOR</v>
          </cell>
        </row>
        <row r="18364">
          <cell r="L18364" t="str">
            <v>Non-proportional</v>
          </cell>
          <cell r="S18364">
            <v>-10364.14</v>
          </cell>
          <cell r="X18364" t="str">
            <v>Commissions - gross</v>
          </cell>
          <cell r="Y18364" t="str">
            <v>ECUADOR</v>
          </cell>
        </row>
        <row r="18365">
          <cell r="L18365" t="str">
            <v>Non-proportional</v>
          </cell>
          <cell r="S18365">
            <v>3105.16</v>
          </cell>
          <cell r="X18365" t="str">
            <v>Commissions - gross</v>
          </cell>
          <cell r="Y18365" t="str">
            <v>UNITED KINGDOM</v>
          </cell>
        </row>
        <row r="18366">
          <cell r="L18366" t="str">
            <v>Non-proportional</v>
          </cell>
          <cell r="S18366">
            <v>8442.1</v>
          </cell>
          <cell r="X18366" t="str">
            <v>Commissions - gross</v>
          </cell>
          <cell r="Y18366" t="str">
            <v>INDIA</v>
          </cell>
        </row>
        <row r="18367">
          <cell r="L18367" t="str">
            <v>Non-proportional</v>
          </cell>
          <cell r="S18367">
            <v>-11860.93</v>
          </cell>
          <cell r="X18367" t="str">
            <v>Commissions - gross</v>
          </cell>
          <cell r="Y18367" t="str">
            <v>DOMINICAN REPUBLIC</v>
          </cell>
        </row>
        <row r="18368">
          <cell r="L18368" t="str">
            <v>Non-proportional</v>
          </cell>
          <cell r="S18368">
            <v>5524.92</v>
          </cell>
          <cell r="X18368" t="str">
            <v>Commissions - gross</v>
          </cell>
          <cell r="Y18368" t="str">
            <v>INDIA</v>
          </cell>
        </row>
        <row r="18369">
          <cell r="L18369" t="str">
            <v>Non-proportional</v>
          </cell>
          <cell r="S18369">
            <v>349.64</v>
          </cell>
          <cell r="X18369" t="str">
            <v>Commissions - gross</v>
          </cell>
          <cell r="Y18369" t="str">
            <v>CHILE</v>
          </cell>
        </row>
        <row r="18370">
          <cell r="L18370" t="str">
            <v>Proportional</v>
          </cell>
          <cell r="S18370">
            <v>-2427.4299999999998</v>
          </cell>
          <cell r="X18370" t="str">
            <v>Commissions - gross</v>
          </cell>
          <cell r="Y18370" t="str">
            <v>MEXICO</v>
          </cell>
        </row>
        <row r="18371">
          <cell r="L18371" t="str">
            <v>Non-proportional</v>
          </cell>
          <cell r="S18371">
            <v>-203.11</v>
          </cell>
          <cell r="X18371" t="str">
            <v>Commissions - gross</v>
          </cell>
          <cell r="Y18371" t="str">
            <v>THAILAND</v>
          </cell>
        </row>
        <row r="18372">
          <cell r="L18372" t="str">
            <v>Non-proportional</v>
          </cell>
          <cell r="S18372">
            <v>1930.69</v>
          </cell>
          <cell r="X18372" t="str">
            <v>Commissions - gross</v>
          </cell>
          <cell r="Y18372" t="str">
            <v>DOMINICAN REPUBLIC</v>
          </cell>
        </row>
        <row r="18373">
          <cell r="L18373" t="str">
            <v>Non-proportional</v>
          </cell>
          <cell r="S18373">
            <v>2865.45</v>
          </cell>
          <cell r="X18373" t="str">
            <v>Commissions - gross</v>
          </cell>
          <cell r="Y18373" t="str">
            <v>DOMINICAN REPUBLIC</v>
          </cell>
        </row>
        <row r="18374">
          <cell r="L18374" t="str">
            <v>Non-proportional</v>
          </cell>
          <cell r="S18374">
            <v>18775.509999999998</v>
          </cell>
          <cell r="X18374" t="str">
            <v>Commissions - gross</v>
          </cell>
          <cell r="Y18374" t="str">
            <v>FRANCE</v>
          </cell>
        </row>
        <row r="18375">
          <cell r="L18375" t="str">
            <v>Proportional</v>
          </cell>
          <cell r="S18375">
            <v>458.51</v>
          </cell>
          <cell r="X18375" t="str">
            <v>Commissions - gross</v>
          </cell>
          <cell r="Y18375" t="str">
            <v>ITALY</v>
          </cell>
        </row>
        <row r="18376">
          <cell r="L18376" t="str">
            <v>Proportional</v>
          </cell>
          <cell r="S18376">
            <v>-14034.15</v>
          </cell>
          <cell r="X18376" t="str">
            <v>Commissions - gross</v>
          </cell>
          <cell r="Y18376" t="str">
            <v>UNITED STATES</v>
          </cell>
        </row>
        <row r="18377">
          <cell r="L18377" t="str">
            <v>Non-proportional</v>
          </cell>
          <cell r="S18377">
            <v>-2873.47</v>
          </cell>
          <cell r="X18377" t="str">
            <v>Commissions - gross</v>
          </cell>
          <cell r="Y18377" t="str">
            <v>ECUADOR</v>
          </cell>
        </row>
        <row r="18378">
          <cell r="L18378" t="str">
            <v>Proportional</v>
          </cell>
          <cell r="S18378">
            <v>2323.1</v>
          </cell>
          <cell r="X18378" t="str">
            <v>Commissions - gross</v>
          </cell>
          <cell r="Y18378" t="str">
            <v>FRANCE</v>
          </cell>
        </row>
        <row r="18379">
          <cell r="L18379" t="str">
            <v>Non-proportional</v>
          </cell>
          <cell r="S18379">
            <v>2797.14</v>
          </cell>
          <cell r="X18379" t="str">
            <v>Commissions - gross</v>
          </cell>
          <cell r="Y18379" t="str">
            <v>CHILE</v>
          </cell>
        </row>
        <row r="18380">
          <cell r="L18380" t="str">
            <v>Non-proportional</v>
          </cell>
          <cell r="S18380">
            <v>-139.86000000000001</v>
          </cell>
          <cell r="X18380" t="str">
            <v>Commissions - gross</v>
          </cell>
          <cell r="Y18380" t="str">
            <v>CHILE</v>
          </cell>
        </row>
        <row r="18381">
          <cell r="L18381" t="str">
            <v>Non-proportional</v>
          </cell>
          <cell r="S18381">
            <v>1380.88</v>
          </cell>
          <cell r="X18381" t="str">
            <v>Commissions - gross</v>
          </cell>
          <cell r="Y18381" t="str">
            <v>CZECH REPUBLIC</v>
          </cell>
        </row>
        <row r="18382">
          <cell r="L18382" t="str">
            <v>Non-proportional</v>
          </cell>
          <cell r="S18382">
            <v>-2814.26</v>
          </cell>
          <cell r="X18382" t="str">
            <v>Commissions - gross</v>
          </cell>
          <cell r="Y18382" t="str">
            <v>INDIA</v>
          </cell>
        </row>
        <row r="18383">
          <cell r="L18383" t="str">
            <v>Proportional</v>
          </cell>
          <cell r="S18383">
            <v>-317.89999999999998</v>
          </cell>
          <cell r="X18383" t="str">
            <v>Commissions - gross</v>
          </cell>
          <cell r="Y18383" t="str">
            <v>ITALY</v>
          </cell>
        </row>
        <row r="18384">
          <cell r="L18384" t="str">
            <v>Proportional</v>
          </cell>
          <cell r="S18384">
            <v>-94.74</v>
          </cell>
          <cell r="X18384" t="str">
            <v>Commissions - gross</v>
          </cell>
          <cell r="Y18384" t="str">
            <v>UNITED STATES</v>
          </cell>
        </row>
        <row r="18385">
          <cell r="L18385" t="str">
            <v>Non-proportional</v>
          </cell>
          <cell r="S18385">
            <v>-2302.0500000000002</v>
          </cell>
          <cell r="X18385" t="str">
            <v>Commissions - gross</v>
          </cell>
          <cell r="Y18385" t="str">
            <v>INDIA</v>
          </cell>
        </row>
        <row r="18386">
          <cell r="L18386" t="str">
            <v>Non-proportional</v>
          </cell>
          <cell r="S18386">
            <v>1089.8599999999999</v>
          </cell>
          <cell r="X18386" t="str">
            <v>Commissions - gross</v>
          </cell>
          <cell r="Y18386" t="str">
            <v>CZECH REPUBLIC</v>
          </cell>
        </row>
        <row r="18387">
          <cell r="L18387" t="str">
            <v>Non-proportional</v>
          </cell>
          <cell r="S18387">
            <v>3169.46</v>
          </cell>
          <cell r="X18387" t="str">
            <v>Commissions - gross</v>
          </cell>
          <cell r="Y18387" t="str">
            <v>ECUADOR</v>
          </cell>
        </row>
        <row r="18388">
          <cell r="L18388" t="str">
            <v>Non-proportional</v>
          </cell>
          <cell r="S18388">
            <v>-354.38</v>
          </cell>
          <cell r="X18388" t="str">
            <v>Commissions - gross</v>
          </cell>
          <cell r="Y18388" t="str">
            <v>DOMINICAN REPUBLIC</v>
          </cell>
        </row>
        <row r="18389">
          <cell r="L18389" t="str">
            <v>Non-proportional</v>
          </cell>
          <cell r="S18389">
            <v>3288.68</v>
          </cell>
          <cell r="X18389" t="str">
            <v>Commissions - gross</v>
          </cell>
          <cell r="Y18389" t="str">
            <v>DOMINICAN REPUBLIC</v>
          </cell>
        </row>
        <row r="18390">
          <cell r="L18390" t="str">
            <v>Proportional</v>
          </cell>
          <cell r="S18390">
            <v>114563</v>
          </cell>
          <cell r="X18390" t="str">
            <v>Commissions - gross</v>
          </cell>
          <cell r="Y18390" t="str">
            <v>ITALY</v>
          </cell>
        </row>
        <row r="18391">
          <cell r="L18391" t="str">
            <v>Non-proportional</v>
          </cell>
          <cell r="S18391">
            <v>-2721.32</v>
          </cell>
          <cell r="X18391" t="str">
            <v>Commissions - gross</v>
          </cell>
          <cell r="Y18391" t="str">
            <v>ECUADOR</v>
          </cell>
        </row>
        <row r="18392">
          <cell r="L18392" t="str">
            <v>Non-proportional</v>
          </cell>
          <cell r="S18392">
            <v>3044.46</v>
          </cell>
          <cell r="X18392" t="str">
            <v>Commissions - gross</v>
          </cell>
          <cell r="Y18392" t="str">
            <v>INDIA</v>
          </cell>
        </row>
        <row r="18393">
          <cell r="L18393" t="str">
            <v>Non-proportional</v>
          </cell>
          <cell r="S18393">
            <v>11861.8</v>
          </cell>
          <cell r="X18393" t="str">
            <v>Commissions - gross</v>
          </cell>
          <cell r="Y18393" t="str">
            <v>DOMINICAN REPUBLIC</v>
          </cell>
        </row>
        <row r="18394">
          <cell r="L18394" t="str">
            <v>Non-proportional</v>
          </cell>
          <cell r="S18394">
            <v>6019.81</v>
          </cell>
          <cell r="X18394" t="str">
            <v>Commissions - gross</v>
          </cell>
          <cell r="Y18394" t="str">
            <v>DOMINICAN REPUBLIC</v>
          </cell>
        </row>
        <row r="18395">
          <cell r="L18395" t="str">
            <v>Non-proportional</v>
          </cell>
          <cell r="S18395">
            <v>495.93</v>
          </cell>
          <cell r="X18395" t="str">
            <v>Commissions - gross</v>
          </cell>
          <cell r="Y18395" t="str">
            <v>THAILAND</v>
          </cell>
        </row>
        <row r="18396">
          <cell r="L18396" t="str">
            <v>Non-proportional</v>
          </cell>
          <cell r="S18396">
            <v>2873.47</v>
          </cell>
          <cell r="X18396" t="str">
            <v>Commissions - gross</v>
          </cell>
          <cell r="Y18396" t="str">
            <v>ECUADOR</v>
          </cell>
        </row>
        <row r="18397">
          <cell r="L18397" t="str">
            <v>Proportional</v>
          </cell>
          <cell r="S18397">
            <v>309.91000000000003</v>
          </cell>
          <cell r="X18397" t="str">
            <v>Commissions - gross</v>
          </cell>
          <cell r="Y18397" t="str">
            <v>ITALY</v>
          </cell>
        </row>
        <row r="18398">
          <cell r="L18398" t="str">
            <v>Non-proportional</v>
          </cell>
          <cell r="S18398">
            <v>2995.7</v>
          </cell>
          <cell r="X18398" t="str">
            <v>Commissions - gross</v>
          </cell>
          <cell r="Y18398" t="str">
            <v>DOMINICAN REPUBLIC</v>
          </cell>
        </row>
        <row r="18399">
          <cell r="L18399" t="str">
            <v>Non-proportional</v>
          </cell>
          <cell r="S18399">
            <v>384.61</v>
          </cell>
          <cell r="X18399" t="str">
            <v>Commissions - gross</v>
          </cell>
          <cell r="Y18399" t="str">
            <v>CHILE</v>
          </cell>
        </row>
        <row r="18400">
          <cell r="L18400" t="str">
            <v>Non-proportional</v>
          </cell>
          <cell r="S18400">
            <v>34.96</v>
          </cell>
          <cell r="X18400" t="str">
            <v>Commissions - gross</v>
          </cell>
          <cell r="Y18400" t="str">
            <v>CHILE</v>
          </cell>
        </row>
        <row r="18401">
          <cell r="L18401" t="str">
            <v>Non-proportional</v>
          </cell>
          <cell r="S18401">
            <v>565.67999999999995</v>
          </cell>
          <cell r="X18401" t="str">
            <v>Commissions - gross</v>
          </cell>
          <cell r="Y18401" t="str">
            <v>THAILAND</v>
          </cell>
        </row>
        <row r="18402">
          <cell r="L18402" t="str">
            <v>Non-proportional</v>
          </cell>
          <cell r="S18402">
            <v>-804.18</v>
          </cell>
          <cell r="X18402" t="str">
            <v>Commissions - gross</v>
          </cell>
          <cell r="Y18402" t="str">
            <v>CHILE</v>
          </cell>
        </row>
        <row r="18403">
          <cell r="L18403" t="str">
            <v>Non-proportional</v>
          </cell>
          <cell r="S18403">
            <v>804.18</v>
          </cell>
          <cell r="X18403" t="str">
            <v>Commissions - gross</v>
          </cell>
          <cell r="Y18403" t="str">
            <v>CHILE</v>
          </cell>
        </row>
        <row r="18404">
          <cell r="L18404" t="str">
            <v>Non-proportional</v>
          </cell>
          <cell r="S18404">
            <v>-559.42999999999995</v>
          </cell>
          <cell r="X18404" t="str">
            <v>Commissions - gross</v>
          </cell>
          <cell r="Y18404" t="str">
            <v>CHILE</v>
          </cell>
        </row>
        <row r="18405">
          <cell r="L18405" t="str">
            <v>Non-proportional</v>
          </cell>
          <cell r="S18405">
            <v>10364.14</v>
          </cell>
          <cell r="X18405" t="str">
            <v>Commissions - gross</v>
          </cell>
          <cell r="Y18405" t="str">
            <v>ECUADOR</v>
          </cell>
        </row>
        <row r="18406">
          <cell r="L18406" t="str">
            <v>Non-proportional</v>
          </cell>
          <cell r="S18406">
            <v>-1610.28</v>
          </cell>
          <cell r="X18406" t="str">
            <v>Commissions - gross</v>
          </cell>
          <cell r="Y18406" t="str">
            <v>FRANCE</v>
          </cell>
        </row>
        <row r="18407">
          <cell r="L18407" t="str">
            <v>Proportional</v>
          </cell>
          <cell r="S18407">
            <v>-2323.1</v>
          </cell>
          <cell r="X18407" t="str">
            <v>Commissions - gross</v>
          </cell>
          <cell r="Y18407" t="str">
            <v>FRANCE</v>
          </cell>
        </row>
        <row r="18408">
          <cell r="L18408" t="str">
            <v>Non-proportional</v>
          </cell>
          <cell r="S18408">
            <v>-736.14</v>
          </cell>
          <cell r="X18408" t="str">
            <v>Commissions - gross</v>
          </cell>
          <cell r="Y18408" t="str">
            <v>FRANCE</v>
          </cell>
        </row>
        <row r="18409">
          <cell r="L18409" t="str">
            <v>Non-proportional</v>
          </cell>
          <cell r="S18409">
            <v>-5524.92</v>
          </cell>
          <cell r="X18409" t="str">
            <v>Commissions - gross</v>
          </cell>
          <cell r="Y18409" t="str">
            <v>INDIA</v>
          </cell>
        </row>
        <row r="18410">
          <cell r="L18410" t="str">
            <v>Non-proportional</v>
          </cell>
          <cell r="S18410">
            <v>-71.52</v>
          </cell>
          <cell r="X18410" t="str">
            <v>Commissions - gross</v>
          </cell>
          <cell r="Y18410" t="str">
            <v>GERMANY</v>
          </cell>
        </row>
        <row r="18411">
          <cell r="L18411" t="str">
            <v>Non-proportional</v>
          </cell>
          <cell r="S18411">
            <v>-2995.7</v>
          </cell>
          <cell r="X18411" t="str">
            <v>Commissions - gross</v>
          </cell>
          <cell r="Y18411" t="str">
            <v>DOMINICAN REPUBLIC</v>
          </cell>
        </row>
        <row r="18412">
          <cell r="L18412" t="str">
            <v>Non-proportional</v>
          </cell>
          <cell r="S18412">
            <v>34.96</v>
          </cell>
          <cell r="X18412" t="str">
            <v>Commissions - gross</v>
          </cell>
          <cell r="Y18412" t="str">
            <v>CHILE</v>
          </cell>
        </row>
        <row r="18413">
          <cell r="L18413" t="str">
            <v>Proportional</v>
          </cell>
          <cell r="S18413">
            <v>95.33</v>
          </cell>
          <cell r="X18413" t="str">
            <v>Commissions - gross</v>
          </cell>
          <cell r="Y18413" t="str">
            <v>UNITED STATES</v>
          </cell>
        </row>
        <row r="18414">
          <cell r="L18414" t="str">
            <v>Non-proportional</v>
          </cell>
          <cell r="S18414">
            <v>-2797.14</v>
          </cell>
          <cell r="X18414" t="str">
            <v>Commissions - gross</v>
          </cell>
          <cell r="Y18414" t="str">
            <v>CHILE</v>
          </cell>
        </row>
        <row r="18415">
          <cell r="L18415" t="str">
            <v>Non-proportional</v>
          </cell>
          <cell r="S18415">
            <v>0.42</v>
          </cell>
          <cell r="X18415" t="str">
            <v>Commissions - gross</v>
          </cell>
          <cell r="Y18415" t="str">
            <v>GERMANY</v>
          </cell>
        </row>
        <row r="18416">
          <cell r="L18416" t="str">
            <v>Non-proportional</v>
          </cell>
          <cell r="S18416">
            <v>-275.95999999999998</v>
          </cell>
          <cell r="X18416" t="str">
            <v>Commissions - gross</v>
          </cell>
          <cell r="Y18416" t="str">
            <v>ECUADOR</v>
          </cell>
        </row>
        <row r="18417">
          <cell r="L18417" t="str">
            <v>Non-proportional</v>
          </cell>
          <cell r="S18417">
            <v>-341.37</v>
          </cell>
          <cell r="X18417" t="str">
            <v>Commissions - gross</v>
          </cell>
          <cell r="Y18417" t="str">
            <v>THAILAND</v>
          </cell>
        </row>
        <row r="18418">
          <cell r="L18418" t="str">
            <v>Non-proportional</v>
          </cell>
          <cell r="S18418">
            <v>-160.24</v>
          </cell>
          <cell r="X18418" t="str">
            <v>Commissions - gross</v>
          </cell>
          <cell r="Y18418" t="str">
            <v>THAILAND</v>
          </cell>
        </row>
        <row r="18419">
          <cell r="L18419" t="str">
            <v>Proportional</v>
          </cell>
          <cell r="S18419">
            <v>-2323.1</v>
          </cell>
          <cell r="X18419" t="str">
            <v>Commissions - gross</v>
          </cell>
          <cell r="Y18419" t="str">
            <v>FRANCE</v>
          </cell>
        </row>
        <row r="18420">
          <cell r="L18420" t="str">
            <v>Non-proportional</v>
          </cell>
          <cell r="S18420">
            <v>-69.930000000000007</v>
          </cell>
          <cell r="X18420" t="str">
            <v>Commissions - gross</v>
          </cell>
          <cell r="Y18420" t="str">
            <v>CHILE</v>
          </cell>
        </row>
        <row r="18421">
          <cell r="L18421" t="str">
            <v>Non-proportional</v>
          </cell>
          <cell r="S18421">
            <v>-622.22</v>
          </cell>
          <cell r="X18421" t="str">
            <v>Commissions - gross</v>
          </cell>
          <cell r="Y18421" t="str">
            <v>UNITED KINGDOM</v>
          </cell>
        </row>
        <row r="18422">
          <cell r="L18422" t="str">
            <v>Non-proportional</v>
          </cell>
          <cell r="S18422">
            <v>-2201.5100000000002</v>
          </cell>
          <cell r="X18422" t="str">
            <v>Commissions - gross</v>
          </cell>
          <cell r="Y18422" t="str">
            <v>DOMINICAN REPUBLIC</v>
          </cell>
        </row>
        <row r="18423">
          <cell r="L18423" t="str">
            <v>Non-proportional</v>
          </cell>
          <cell r="S18423">
            <v>2697.41</v>
          </cell>
          <cell r="X18423" t="str">
            <v>Commissions - gross</v>
          </cell>
          <cell r="Y18423" t="str">
            <v>UNITED KINGDOM</v>
          </cell>
        </row>
        <row r="18424">
          <cell r="L18424" t="str">
            <v>Non-proportional</v>
          </cell>
          <cell r="S18424">
            <v>833.61</v>
          </cell>
          <cell r="X18424" t="str">
            <v>Commissions - gross</v>
          </cell>
          <cell r="Y18424" t="str">
            <v>THAILAND</v>
          </cell>
        </row>
        <row r="18425">
          <cell r="L18425" t="str">
            <v>Non-proportional</v>
          </cell>
          <cell r="S18425">
            <v>-1678.28</v>
          </cell>
          <cell r="X18425" t="str">
            <v>Commissions - gross</v>
          </cell>
          <cell r="Y18425" t="str">
            <v>CHILE</v>
          </cell>
        </row>
        <row r="18426">
          <cell r="L18426" t="str">
            <v>Non-proportional</v>
          </cell>
          <cell r="S18426">
            <v>-565.67999999999995</v>
          </cell>
          <cell r="X18426" t="str">
            <v>Commissions - gross</v>
          </cell>
          <cell r="Y18426" t="str">
            <v>THAILAND</v>
          </cell>
        </row>
        <row r="18427">
          <cell r="L18427" t="str">
            <v>Non-proportional</v>
          </cell>
          <cell r="S18427">
            <v>-8442.1</v>
          </cell>
          <cell r="X18427" t="str">
            <v>Commissions - gross</v>
          </cell>
          <cell r="Y18427" t="str">
            <v>INDIA</v>
          </cell>
        </row>
        <row r="18428">
          <cell r="L18428" t="str">
            <v>Non-proportional</v>
          </cell>
          <cell r="S18428">
            <v>22205.79</v>
          </cell>
          <cell r="X18428" t="str">
            <v>Commissions - gross</v>
          </cell>
          <cell r="Y18428" t="str">
            <v>FRANCE</v>
          </cell>
        </row>
        <row r="18429">
          <cell r="L18429" t="str">
            <v>Non-proportional</v>
          </cell>
          <cell r="S18429">
            <v>-279.70999999999998</v>
          </cell>
          <cell r="X18429" t="str">
            <v>Commissions - gross</v>
          </cell>
          <cell r="Y18429" t="str">
            <v>CHILE</v>
          </cell>
        </row>
        <row r="18430">
          <cell r="L18430" t="str">
            <v>Non-proportional</v>
          </cell>
          <cell r="S18430">
            <v>-384.61</v>
          </cell>
          <cell r="X18430" t="str">
            <v>Commissions - gross</v>
          </cell>
          <cell r="Y18430" t="str">
            <v>CHILE</v>
          </cell>
        </row>
        <row r="18431">
          <cell r="L18431" t="str">
            <v>Non-proportional</v>
          </cell>
          <cell r="S18431">
            <v>-3169.46</v>
          </cell>
          <cell r="X18431" t="str">
            <v>Commissions - gross</v>
          </cell>
          <cell r="Y18431" t="str">
            <v>ECUADOR</v>
          </cell>
        </row>
        <row r="18432">
          <cell r="L18432" t="str">
            <v>Non-proportional</v>
          </cell>
          <cell r="S18432">
            <v>-1594.4</v>
          </cell>
          <cell r="X18432" t="str">
            <v>Commissions - gross</v>
          </cell>
          <cell r="Y18432" t="str">
            <v>UNITED KINGDOM</v>
          </cell>
        </row>
        <row r="18433">
          <cell r="L18433" t="str">
            <v>Proportional</v>
          </cell>
          <cell r="S18433">
            <v>74.180000000000007</v>
          </cell>
          <cell r="X18433" t="str">
            <v>Commissions - gross</v>
          </cell>
          <cell r="Y18433" t="str">
            <v>AUSTRALIA</v>
          </cell>
        </row>
        <row r="18434">
          <cell r="L18434" t="str">
            <v>Non-proportional</v>
          </cell>
          <cell r="S18434">
            <v>2814.26</v>
          </cell>
          <cell r="X18434" t="str">
            <v>Commissions - gross</v>
          </cell>
          <cell r="Y18434" t="str">
            <v>INDIA</v>
          </cell>
        </row>
        <row r="18435">
          <cell r="L18435" t="str">
            <v>Non-proportional</v>
          </cell>
          <cell r="S18435">
            <v>-231.81</v>
          </cell>
          <cell r="X18435" t="str">
            <v>Commissions - gross</v>
          </cell>
          <cell r="Y18435" t="str">
            <v>THAILAND</v>
          </cell>
        </row>
        <row r="18436">
          <cell r="L18436" t="str">
            <v>Non-proportional</v>
          </cell>
          <cell r="S18436">
            <v>836.41</v>
          </cell>
          <cell r="X18436" t="str">
            <v>Commissions - gross</v>
          </cell>
          <cell r="Y18436" t="str">
            <v>UNITED KINGDOM</v>
          </cell>
        </row>
        <row r="18437">
          <cell r="L18437" t="str">
            <v>Non-proportional</v>
          </cell>
          <cell r="S18437">
            <v>2721.32</v>
          </cell>
          <cell r="X18437" t="str">
            <v>Commissions - gross</v>
          </cell>
          <cell r="Y18437" t="str">
            <v>ECUADOR</v>
          </cell>
        </row>
        <row r="18438">
          <cell r="L18438" t="str">
            <v>Non-proportional</v>
          </cell>
          <cell r="S18438">
            <v>-5740.74</v>
          </cell>
          <cell r="X18438" t="str">
            <v>Commissions - gross</v>
          </cell>
          <cell r="Y18438" t="str">
            <v>INDIA</v>
          </cell>
        </row>
        <row r="18439">
          <cell r="L18439" t="str">
            <v>Non-proportional</v>
          </cell>
          <cell r="S18439">
            <v>-3487.78</v>
          </cell>
          <cell r="X18439" t="str">
            <v>Commissions - gross</v>
          </cell>
          <cell r="Y18439" t="str">
            <v>ECUADOR</v>
          </cell>
        </row>
        <row r="18440">
          <cell r="L18440" t="str">
            <v>Non-proportional</v>
          </cell>
          <cell r="S18440">
            <v>775.44</v>
          </cell>
          <cell r="X18440" t="str">
            <v>Commissions - gross</v>
          </cell>
          <cell r="Y18440" t="str">
            <v>ECUADOR</v>
          </cell>
        </row>
        <row r="18441">
          <cell r="L18441" t="str">
            <v>Proportional</v>
          </cell>
          <cell r="S18441">
            <v>-2701.95</v>
          </cell>
          <cell r="X18441" t="str">
            <v>Commissions - gross</v>
          </cell>
          <cell r="Y18441" t="str">
            <v>AUSTRALIA</v>
          </cell>
        </row>
        <row r="18442">
          <cell r="L18442" t="str">
            <v>Non-proportional</v>
          </cell>
          <cell r="S18442">
            <v>-1930.69</v>
          </cell>
          <cell r="X18442" t="str">
            <v>Commissions - gross</v>
          </cell>
          <cell r="Y18442" t="str">
            <v>DOMINICAN REPUBLIC</v>
          </cell>
        </row>
        <row r="18443">
          <cell r="L18443" t="str">
            <v>Proportional</v>
          </cell>
          <cell r="S18443">
            <v>2427.4299999999998</v>
          </cell>
          <cell r="X18443" t="str">
            <v>Commissions - gross</v>
          </cell>
          <cell r="Y18443" t="str">
            <v>MEXICO</v>
          </cell>
        </row>
        <row r="18444">
          <cell r="L18444" t="str">
            <v>Non-proportional</v>
          </cell>
          <cell r="S18444">
            <v>275.95999999999998</v>
          </cell>
          <cell r="X18444" t="str">
            <v>Commissions - gross</v>
          </cell>
          <cell r="Y18444" t="str">
            <v>ECUADOR</v>
          </cell>
        </row>
        <row r="18445">
          <cell r="L18445" t="str">
            <v>Non-proportional</v>
          </cell>
          <cell r="S18445">
            <v>-225.46</v>
          </cell>
          <cell r="X18445" t="str">
            <v>Commissions - gross</v>
          </cell>
          <cell r="Y18445" t="str">
            <v>THAILAND</v>
          </cell>
        </row>
        <row r="18446">
          <cell r="L18446" t="str">
            <v>Non-proportional</v>
          </cell>
          <cell r="S18446">
            <v>-2865.45</v>
          </cell>
          <cell r="X18446" t="str">
            <v>Commissions - gross</v>
          </cell>
          <cell r="Y18446" t="str">
            <v>DOMINICAN REPUBLIC</v>
          </cell>
        </row>
        <row r="18447">
          <cell r="L18447" t="str">
            <v>Non-proportional</v>
          </cell>
          <cell r="S18447">
            <v>-454.54</v>
          </cell>
          <cell r="X18447" t="str">
            <v>Commissions - gross</v>
          </cell>
          <cell r="Y18447" t="str">
            <v>CHILE</v>
          </cell>
        </row>
        <row r="18448">
          <cell r="L18448" t="str">
            <v>Proportional</v>
          </cell>
          <cell r="S18448">
            <v>2427.4299999999998</v>
          </cell>
          <cell r="X18448" t="str">
            <v>Commissions - gross</v>
          </cell>
          <cell r="Y18448" t="str">
            <v>MEXICO</v>
          </cell>
        </row>
        <row r="18449">
          <cell r="L18449" t="str">
            <v>Proportional</v>
          </cell>
          <cell r="S18449">
            <v>2701.95</v>
          </cell>
          <cell r="X18449" t="str">
            <v>Commissions - gross</v>
          </cell>
          <cell r="Y18449" t="str">
            <v>AUSTRALIA</v>
          </cell>
        </row>
        <row r="18450">
          <cell r="L18450" t="str">
            <v>Non-proportional</v>
          </cell>
          <cell r="S18450">
            <v>596</v>
          </cell>
          <cell r="X18450" t="str">
            <v>Commissions - gross</v>
          </cell>
          <cell r="Y18450" t="str">
            <v>DOMINICAN REPUBLIC</v>
          </cell>
        </row>
        <row r="18451">
          <cell r="L18451" t="str">
            <v>Proportional</v>
          </cell>
          <cell r="S18451">
            <v>-74.180000000000007</v>
          </cell>
          <cell r="X18451" t="str">
            <v>Commissions - gross</v>
          </cell>
          <cell r="Y18451" t="str">
            <v>AUSTRALIA</v>
          </cell>
        </row>
        <row r="18452">
          <cell r="L18452" t="str">
            <v>Non-proportional</v>
          </cell>
          <cell r="S18452">
            <v>-349.64</v>
          </cell>
          <cell r="X18452" t="str">
            <v>Commissions - gross</v>
          </cell>
          <cell r="Y18452" t="str">
            <v>CHILE</v>
          </cell>
        </row>
        <row r="18453">
          <cell r="L18453" t="str">
            <v>Non-proportional</v>
          </cell>
          <cell r="S18453">
            <v>296545.03000000003</v>
          </cell>
          <cell r="X18453" t="str">
            <v>Commissions - gross</v>
          </cell>
          <cell r="Y18453" t="str">
            <v>DOMINICAN REPUBLIC</v>
          </cell>
        </row>
        <row r="18454">
          <cell r="L18454" t="str">
            <v>Proportional</v>
          </cell>
          <cell r="S18454">
            <v>-719.81</v>
          </cell>
          <cell r="X18454" t="str">
            <v>Commissions - gross</v>
          </cell>
          <cell r="Y18454" t="str">
            <v>CHILE</v>
          </cell>
        </row>
        <row r="18455">
          <cell r="L18455" t="str">
            <v>Non-proportional</v>
          </cell>
          <cell r="S18455">
            <v>-209.58</v>
          </cell>
          <cell r="X18455" t="str">
            <v>Commissions - gross</v>
          </cell>
          <cell r="Y18455" t="str">
            <v>DOMINICAN REPUBLIC</v>
          </cell>
        </row>
        <row r="18456">
          <cell r="L18456" t="str">
            <v>Non-proportional</v>
          </cell>
          <cell r="S18456">
            <v>-64.39</v>
          </cell>
          <cell r="X18456" t="str">
            <v>Commissions - gross</v>
          </cell>
          <cell r="Y18456" t="str">
            <v>FRANCE</v>
          </cell>
        </row>
        <row r="18457">
          <cell r="L18457" t="str">
            <v>Proportional</v>
          </cell>
          <cell r="S18457">
            <v>509.84</v>
          </cell>
          <cell r="X18457" t="str">
            <v>Commissions - gross</v>
          </cell>
          <cell r="Y18457" t="str">
            <v>CHILE</v>
          </cell>
        </row>
        <row r="18458">
          <cell r="L18458" t="str">
            <v>Non-proportional</v>
          </cell>
          <cell r="S18458">
            <v>1722.67</v>
          </cell>
          <cell r="X18458" t="str">
            <v>Commissions - gross</v>
          </cell>
          <cell r="Y18458" t="str">
            <v>UNITED KINGDOM</v>
          </cell>
        </row>
        <row r="18459">
          <cell r="L18459" t="str">
            <v>Proportional</v>
          </cell>
          <cell r="S18459">
            <v>327.75</v>
          </cell>
          <cell r="X18459" t="str">
            <v>Commissions - gross</v>
          </cell>
          <cell r="Y18459" t="str">
            <v>CHILE</v>
          </cell>
        </row>
        <row r="18460">
          <cell r="L18460" t="str">
            <v>Non-proportional</v>
          </cell>
          <cell r="S18460">
            <v>1550.45</v>
          </cell>
          <cell r="X18460" t="str">
            <v>Commissions - gross</v>
          </cell>
          <cell r="Y18460" t="str">
            <v>UNITED KINGDOM</v>
          </cell>
        </row>
        <row r="18461">
          <cell r="L18461" t="str">
            <v>Non-proportional</v>
          </cell>
          <cell r="S18461">
            <v>-3350.48</v>
          </cell>
          <cell r="X18461" t="str">
            <v>Commissions - gross</v>
          </cell>
          <cell r="Y18461" t="str">
            <v>CHINA</v>
          </cell>
        </row>
        <row r="18462">
          <cell r="L18462" t="str">
            <v>Proportional</v>
          </cell>
          <cell r="S18462">
            <v>-244.08</v>
          </cell>
          <cell r="X18462" t="str">
            <v>Commissions - gross</v>
          </cell>
          <cell r="Y18462" t="str">
            <v>CHILE</v>
          </cell>
        </row>
        <row r="18463">
          <cell r="L18463" t="str">
            <v>Non-proportional</v>
          </cell>
          <cell r="S18463">
            <v>225.02</v>
          </cell>
          <cell r="X18463" t="str">
            <v>Commissions - gross</v>
          </cell>
          <cell r="Y18463" t="str">
            <v>ECUADOR</v>
          </cell>
        </row>
        <row r="18464">
          <cell r="L18464" t="str">
            <v>Non-proportional</v>
          </cell>
          <cell r="S18464">
            <v>-145.66999999999999</v>
          </cell>
          <cell r="X18464" t="str">
            <v>Commissions - gross</v>
          </cell>
          <cell r="Y18464" t="str">
            <v>CHILE</v>
          </cell>
        </row>
        <row r="18465">
          <cell r="L18465" t="str">
            <v>Non-proportional</v>
          </cell>
          <cell r="S18465">
            <v>3492.92</v>
          </cell>
          <cell r="X18465" t="str">
            <v>Commissions - gross</v>
          </cell>
          <cell r="Y18465" t="str">
            <v>DOMINICAN REPUBLIC</v>
          </cell>
        </row>
        <row r="18466">
          <cell r="L18466" t="str">
            <v>Non-proportional</v>
          </cell>
          <cell r="S18466">
            <v>-36.42</v>
          </cell>
          <cell r="X18466" t="str">
            <v>Commissions - gross</v>
          </cell>
          <cell r="Y18466" t="str">
            <v>CHILE</v>
          </cell>
        </row>
        <row r="18467">
          <cell r="L18467" t="str">
            <v>Non-proportional</v>
          </cell>
          <cell r="S18467">
            <v>872.71</v>
          </cell>
          <cell r="X18467" t="str">
            <v>Commissions - gross</v>
          </cell>
          <cell r="Y18467" t="str">
            <v>JAPAN</v>
          </cell>
        </row>
        <row r="18468">
          <cell r="L18468" t="str">
            <v>Non-proportional</v>
          </cell>
          <cell r="S18468">
            <v>101.05</v>
          </cell>
          <cell r="X18468" t="str">
            <v>Commissions - gross</v>
          </cell>
          <cell r="Y18468" t="str">
            <v>DOMINICAN REPUBLIC</v>
          </cell>
        </row>
        <row r="18469">
          <cell r="L18469" t="str">
            <v>Proportional</v>
          </cell>
          <cell r="S18469">
            <v>-33952.01</v>
          </cell>
          <cell r="X18469" t="str">
            <v>Commissions - gross</v>
          </cell>
          <cell r="Y18469" t="str">
            <v>AUSTRALIA</v>
          </cell>
        </row>
        <row r="18470">
          <cell r="L18470" t="str">
            <v>Non-proportional</v>
          </cell>
          <cell r="S18470">
            <v>4427.12</v>
          </cell>
          <cell r="X18470" t="str">
            <v>Commissions - gross</v>
          </cell>
          <cell r="Y18470" t="str">
            <v>COLOMBIA</v>
          </cell>
        </row>
        <row r="18471">
          <cell r="L18471" t="str">
            <v>Non-proportional</v>
          </cell>
          <cell r="S18471">
            <v>-209.58</v>
          </cell>
          <cell r="X18471" t="str">
            <v>Commissions - gross</v>
          </cell>
          <cell r="Y18471" t="str">
            <v>DOMINICAN REPUBLIC</v>
          </cell>
        </row>
        <row r="18472">
          <cell r="L18472" t="str">
            <v>Non-proportional</v>
          </cell>
          <cell r="S18472">
            <v>-2.06</v>
          </cell>
          <cell r="X18472" t="str">
            <v>Commissions - gross</v>
          </cell>
          <cell r="Y18472" t="str">
            <v>GERMANY</v>
          </cell>
        </row>
        <row r="18473">
          <cell r="L18473" t="str">
            <v>Non-proportional</v>
          </cell>
          <cell r="S18473">
            <v>94.03</v>
          </cell>
          <cell r="X18473" t="str">
            <v>Commissions - gross</v>
          </cell>
          <cell r="Y18473" t="str">
            <v>DOMINICAN REPUBLIC</v>
          </cell>
        </row>
        <row r="18474">
          <cell r="L18474" t="str">
            <v>Non-proportional</v>
          </cell>
          <cell r="S18474">
            <v>7588.66</v>
          </cell>
          <cell r="X18474" t="str">
            <v>Commissions - gross</v>
          </cell>
          <cell r="Y18474" t="str">
            <v>ECUADOR</v>
          </cell>
        </row>
        <row r="18475">
          <cell r="L18475" t="str">
            <v>Proportional</v>
          </cell>
          <cell r="S18475">
            <v>-109.43</v>
          </cell>
          <cell r="X18475" t="str">
            <v>Commissions - gross</v>
          </cell>
          <cell r="Y18475" t="str">
            <v>CHILE</v>
          </cell>
        </row>
        <row r="18476">
          <cell r="L18476" t="str">
            <v>Non-proportional</v>
          </cell>
          <cell r="S18476">
            <v>-189.96</v>
          </cell>
          <cell r="X18476" t="str">
            <v>Commissions - gross</v>
          </cell>
          <cell r="Y18476" t="str">
            <v>PERU</v>
          </cell>
        </row>
        <row r="18477">
          <cell r="L18477" t="str">
            <v>Non-proportional</v>
          </cell>
          <cell r="S18477">
            <v>9750.7099999999991</v>
          </cell>
          <cell r="X18477" t="str">
            <v>Commissions - gross</v>
          </cell>
          <cell r="Y18477" t="str">
            <v>PERU</v>
          </cell>
        </row>
        <row r="18478">
          <cell r="L18478" t="str">
            <v>Non-proportional</v>
          </cell>
          <cell r="S18478">
            <v>-3571.45</v>
          </cell>
          <cell r="X18478" t="str">
            <v>Commissions - gross</v>
          </cell>
          <cell r="Y18478" t="str">
            <v>CHINA</v>
          </cell>
        </row>
        <row r="18479">
          <cell r="L18479" t="str">
            <v>Non-proportional</v>
          </cell>
          <cell r="S18479">
            <v>-251.73</v>
          </cell>
          <cell r="X18479" t="str">
            <v>Commissions - gross</v>
          </cell>
          <cell r="Y18479" t="str">
            <v>ECUADOR</v>
          </cell>
        </row>
        <row r="18480">
          <cell r="L18480" t="str">
            <v>Proportional</v>
          </cell>
          <cell r="S18480">
            <v>-582.57000000000005</v>
          </cell>
          <cell r="X18480" t="str">
            <v>Commissions - gross</v>
          </cell>
          <cell r="Y18480" t="str">
            <v>JAPAN</v>
          </cell>
        </row>
        <row r="18481">
          <cell r="L18481" t="str">
            <v>Non-proportional</v>
          </cell>
          <cell r="S18481">
            <v>-291.33999999999997</v>
          </cell>
          <cell r="X18481" t="str">
            <v>Commissions - gross</v>
          </cell>
          <cell r="Y18481" t="str">
            <v>CHILE</v>
          </cell>
        </row>
        <row r="18482">
          <cell r="L18482" t="str">
            <v>Non-proportional</v>
          </cell>
          <cell r="S18482">
            <v>1475</v>
          </cell>
          <cell r="X18482" t="str">
            <v>Commissions - gross</v>
          </cell>
          <cell r="Y18482" t="str">
            <v>BRAZIL</v>
          </cell>
        </row>
        <row r="18483">
          <cell r="L18483" t="str">
            <v>Non-proportional</v>
          </cell>
          <cell r="S18483">
            <v>-866.91</v>
          </cell>
          <cell r="X18483" t="str">
            <v>Commissions - gross</v>
          </cell>
          <cell r="Y18483" t="str">
            <v>UNITED KINGDOM</v>
          </cell>
        </row>
        <row r="18484">
          <cell r="L18484" t="str">
            <v>Proportional</v>
          </cell>
          <cell r="S18484">
            <v>-695.1</v>
          </cell>
          <cell r="X18484" t="str">
            <v>Commissions - gross</v>
          </cell>
          <cell r="Y18484" t="str">
            <v>JAPAN</v>
          </cell>
        </row>
        <row r="18485">
          <cell r="L18485" t="str">
            <v>Non-proportional</v>
          </cell>
          <cell r="S18485">
            <v>9349.51</v>
          </cell>
          <cell r="X18485" t="str">
            <v>Commissions - gross</v>
          </cell>
          <cell r="Y18485" t="str">
            <v>ECUADOR</v>
          </cell>
        </row>
        <row r="18486">
          <cell r="L18486" t="str">
            <v>Non-proportional</v>
          </cell>
          <cell r="S18486">
            <v>-785.8</v>
          </cell>
          <cell r="X18486" t="str">
            <v>Commissions - gross</v>
          </cell>
          <cell r="Y18486" t="str">
            <v>JAPAN</v>
          </cell>
        </row>
        <row r="18487">
          <cell r="L18487" t="str">
            <v>Non-proportional</v>
          </cell>
          <cell r="S18487">
            <v>1729.48</v>
          </cell>
          <cell r="X18487" t="str">
            <v>Commissions - gross</v>
          </cell>
          <cell r="Y18487" t="str">
            <v>PERU</v>
          </cell>
        </row>
        <row r="18488">
          <cell r="L18488" t="str">
            <v>Non-proportional</v>
          </cell>
          <cell r="S18488">
            <v>9750.7099999999991</v>
          </cell>
          <cell r="X18488" t="str">
            <v>Commissions - gross</v>
          </cell>
          <cell r="Y18488" t="str">
            <v>PERU</v>
          </cell>
        </row>
        <row r="18489">
          <cell r="L18489" t="str">
            <v>Non-proportional</v>
          </cell>
          <cell r="S18489">
            <v>163.01</v>
          </cell>
          <cell r="X18489" t="str">
            <v>Commissions - gross</v>
          </cell>
          <cell r="Y18489" t="str">
            <v>UNITED KINGDOM</v>
          </cell>
        </row>
        <row r="18490">
          <cell r="L18490" t="str">
            <v>Non-proportional</v>
          </cell>
          <cell r="S18490">
            <v>-101.05</v>
          </cell>
          <cell r="X18490" t="str">
            <v>Commissions - gross</v>
          </cell>
          <cell r="Y18490" t="str">
            <v>DOMINICAN REPUBLIC</v>
          </cell>
        </row>
        <row r="18491">
          <cell r="L18491" t="str">
            <v>Proportional</v>
          </cell>
          <cell r="S18491">
            <v>7973.71</v>
          </cell>
          <cell r="X18491" t="str">
            <v>Commissions - gross</v>
          </cell>
          <cell r="Y18491" t="str">
            <v>SWITZERLAND</v>
          </cell>
        </row>
        <row r="18492">
          <cell r="L18492" t="str">
            <v>Non-proportional</v>
          </cell>
          <cell r="S18492">
            <v>-2703.61</v>
          </cell>
          <cell r="X18492" t="str">
            <v>Commissions - gross</v>
          </cell>
          <cell r="Y18492" t="str">
            <v>ECUADOR</v>
          </cell>
        </row>
        <row r="18493">
          <cell r="L18493" t="str">
            <v>Proportional</v>
          </cell>
          <cell r="S18493">
            <v>582.57000000000005</v>
          </cell>
          <cell r="X18493" t="str">
            <v>Commissions - gross</v>
          </cell>
          <cell r="Y18493" t="str">
            <v>JAPAN</v>
          </cell>
        </row>
        <row r="18494">
          <cell r="L18494" t="str">
            <v>Proportional</v>
          </cell>
          <cell r="S18494">
            <v>-270.31</v>
          </cell>
          <cell r="X18494" t="str">
            <v>Commissions - gross</v>
          </cell>
          <cell r="Y18494" t="str">
            <v>AUSTRALIA</v>
          </cell>
        </row>
        <row r="18495">
          <cell r="L18495" t="str">
            <v>Non-proportional</v>
          </cell>
          <cell r="S18495">
            <v>-277.17</v>
          </cell>
          <cell r="X18495" t="str">
            <v>Commissions - gross</v>
          </cell>
          <cell r="Y18495" t="str">
            <v>ISRAEL</v>
          </cell>
        </row>
        <row r="18496">
          <cell r="L18496" t="str">
            <v>Proportional</v>
          </cell>
          <cell r="S18496">
            <v>1880.31</v>
          </cell>
          <cell r="X18496" t="str">
            <v>Commissions - gross</v>
          </cell>
          <cell r="Y18496" t="str">
            <v>COLOMBIA</v>
          </cell>
        </row>
        <row r="18497">
          <cell r="L18497" t="str">
            <v>Non-proportional</v>
          </cell>
          <cell r="S18497">
            <v>251.73</v>
          </cell>
          <cell r="X18497" t="str">
            <v>Commissions - gross</v>
          </cell>
          <cell r="Y18497" t="str">
            <v>ECUADOR</v>
          </cell>
        </row>
        <row r="18498">
          <cell r="L18498" t="str">
            <v>Proportional</v>
          </cell>
          <cell r="S18498">
            <v>-7973.71</v>
          </cell>
          <cell r="X18498" t="str">
            <v>Commissions - gross</v>
          </cell>
          <cell r="Y18498" t="str">
            <v>SWITZERLAND</v>
          </cell>
        </row>
        <row r="18499">
          <cell r="L18499" t="str">
            <v>Non-proportional</v>
          </cell>
          <cell r="S18499">
            <v>-5085.3599999999997</v>
          </cell>
          <cell r="X18499" t="str">
            <v>Commissions - gross</v>
          </cell>
          <cell r="Y18499" t="str">
            <v>ECUADOR</v>
          </cell>
        </row>
        <row r="18500">
          <cell r="L18500" t="str">
            <v>Non-proportional</v>
          </cell>
          <cell r="S18500">
            <v>1655.27</v>
          </cell>
          <cell r="X18500" t="str">
            <v>Commissions - gross</v>
          </cell>
          <cell r="Y18500" t="str">
            <v>ECUADOR</v>
          </cell>
        </row>
        <row r="18501">
          <cell r="L18501" t="str">
            <v>Non-proportional</v>
          </cell>
          <cell r="S18501">
            <v>776.86</v>
          </cell>
          <cell r="X18501" t="str">
            <v>Commissions - gross</v>
          </cell>
          <cell r="Y18501" t="str">
            <v>DOMINICAN REPUBLIC</v>
          </cell>
        </row>
        <row r="18502">
          <cell r="L18502" t="str">
            <v>Non-proportional</v>
          </cell>
          <cell r="S18502">
            <v>-410.83</v>
          </cell>
          <cell r="X18502" t="str">
            <v>Commissions - gross</v>
          </cell>
          <cell r="Y18502" t="str">
            <v>DOMINICAN REPUBLIC</v>
          </cell>
        </row>
        <row r="18503">
          <cell r="L18503" t="str">
            <v>Non-proportional</v>
          </cell>
          <cell r="S18503">
            <v>5984.42</v>
          </cell>
          <cell r="X18503" t="str">
            <v>Commissions - gross</v>
          </cell>
          <cell r="Y18503" t="str">
            <v>ECUADOR</v>
          </cell>
        </row>
        <row r="18504">
          <cell r="L18504" t="str">
            <v>Non-proportional</v>
          </cell>
          <cell r="S18504">
            <v>-9750.7099999999991</v>
          </cell>
          <cell r="X18504" t="str">
            <v>Commissions - gross</v>
          </cell>
          <cell r="Y18504" t="str">
            <v>PERU</v>
          </cell>
        </row>
        <row r="18505">
          <cell r="L18505" t="str">
            <v>Non-proportional</v>
          </cell>
          <cell r="S18505">
            <v>178.81</v>
          </cell>
          <cell r="X18505" t="str">
            <v>Commissions - gross</v>
          </cell>
          <cell r="Y18505" t="str">
            <v>DOMINICAN REPUBLIC</v>
          </cell>
        </row>
        <row r="18506">
          <cell r="L18506" t="str">
            <v>Non-proportional</v>
          </cell>
          <cell r="S18506">
            <v>-182.09</v>
          </cell>
          <cell r="X18506" t="str">
            <v>Commissions - gross</v>
          </cell>
          <cell r="Y18506" t="str">
            <v>CHILE</v>
          </cell>
        </row>
        <row r="18507">
          <cell r="L18507" t="str">
            <v>Non-proportional</v>
          </cell>
          <cell r="S18507">
            <v>-4449.82</v>
          </cell>
          <cell r="X18507" t="str">
            <v>Commissions - gross</v>
          </cell>
          <cell r="Y18507" t="str">
            <v>COLOMBIA</v>
          </cell>
        </row>
        <row r="18508">
          <cell r="L18508" t="str">
            <v>Proportional</v>
          </cell>
          <cell r="S18508">
            <v>1.04</v>
          </cell>
          <cell r="X18508" t="str">
            <v>Commissions - gross</v>
          </cell>
          <cell r="Y18508" t="str">
            <v>FRANCE</v>
          </cell>
        </row>
        <row r="18509">
          <cell r="L18509" t="str">
            <v>Proportional</v>
          </cell>
          <cell r="S18509">
            <v>218.5</v>
          </cell>
          <cell r="X18509" t="str">
            <v>Commissions - gross</v>
          </cell>
          <cell r="Y18509" t="str">
            <v>CHILE</v>
          </cell>
        </row>
        <row r="18510">
          <cell r="L18510" t="str">
            <v>Non-proportional</v>
          </cell>
          <cell r="S18510">
            <v>91.81</v>
          </cell>
          <cell r="X18510" t="str">
            <v>Commissions - gross</v>
          </cell>
          <cell r="Y18510" t="str">
            <v>DOMINICAN REPUBLIC</v>
          </cell>
        </row>
        <row r="18511">
          <cell r="L18511" t="str">
            <v>Proportional</v>
          </cell>
          <cell r="S18511">
            <v>677.67</v>
          </cell>
          <cell r="X18511" t="str">
            <v>Commissions - gross</v>
          </cell>
          <cell r="Y18511" t="str">
            <v>JAPAN</v>
          </cell>
        </row>
        <row r="18512">
          <cell r="L18512" t="str">
            <v>Non-proportional</v>
          </cell>
          <cell r="S18512">
            <v>-72.83</v>
          </cell>
          <cell r="X18512" t="str">
            <v>Commissions - gross</v>
          </cell>
          <cell r="Y18512" t="str">
            <v>CHILE</v>
          </cell>
        </row>
        <row r="18513">
          <cell r="L18513" t="str">
            <v>Proportional</v>
          </cell>
          <cell r="S18513">
            <v>-2071.7199999999998</v>
          </cell>
          <cell r="X18513" t="str">
            <v>Commissions - gross</v>
          </cell>
          <cell r="Y18513" t="str">
            <v>MEXICO</v>
          </cell>
        </row>
        <row r="18514">
          <cell r="L18514" t="str">
            <v>Non-proportional</v>
          </cell>
          <cell r="S18514">
            <v>-172.18</v>
          </cell>
          <cell r="X18514" t="str">
            <v>Commissions - gross</v>
          </cell>
          <cell r="Y18514" t="str">
            <v>UNITED KINGDOM</v>
          </cell>
        </row>
        <row r="18515">
          <cell r="L18515" t="str">
            <v>Non-proportional</v>
          </cell>
          <cell r="S18515">
            <v>3475.34</v>
          </cell>
          <cell r="X18515" t="str">
            <v>Commissions - gross</v>
          </cell>
          <cell r="Y18515" t="str">
            <v>DOMINICAN REPUBLIC</v>
          </cell>
        </row>
        <row r="18516">
          <cell r="L18516" t="str">
            <v>Non-proportional</v>
          </cell>
          <cell r="S18516">
            <v>-36.42</v>
          </cell>
          <cell r="X18516" t="str">
            <v>Commissions - gross</v>
          </cell>
          <cell r="Y18516" t="str">
            <v>CHILE</v>
          </cell>
        </row>
        <row r="18517">
          <cell r="L18517" t="str">
            <v>Non-proportional</v>
          </cell>
          <cell r="S18517">
            <v>1250.6099999999999</v>
          </cell>
          <cell r="X18517" t="str">
            <v>Commissions - gross</v>
          </cell>
          <cell r="Y18517" t="str">
            <v>FRANCE</v>
          </cell>
        </row>
        <row r="18518">
          <cell r="L18518" t="str">
            <v>Non-proportional</v>
          </cell>
          <cell r="S18518">
            <v>-99.63</v>
          </cell>
          <cell r="X18518" t="str">
            <v>Commissions - gross</v>
          </cell>
          <cell r="Y18518" t="str">
            <v>ISRAEL</v>
          </cell>
        </row>
        <row r="18519">
          <cell r="L18519" t="str">
            <v>Proportional</v>
          </cell>
          <cell r="S18519">
            <v>626.46</v>
          </cell>
          <cell r="X18519" t="str">
            <v>Commissions - gross</v>
          </cell>
          <cell r="Y18519" t="str">
            <v>FRANCE</v>
          </cell>
        </row>
        <row r="18520">
          <cell r="L18520" t="str">
            <v>Non-proportional</v>
          </cell>
          <cell r="S18520">
            <v>5085.3599999999997</v>
          </cell>
          <cell r="X18520" t="str">
            <v>Commissions - gross</v>
          </cell>
          <cell r="Y18520" t="str">
            <v>ECUADOR</v>
          </cell>
        </row>
        <row r="18521">
          <cell r="L18521" t="str">
            <v>Non-proportional</v>
          </cell>
          <cell r="S18521">
            <v>166.75</v>
          </cell>
          <cell r="X18521" t="str">
            <v>Commissions - gross</v>
          </cell>
          <cell r="Y18521" t="str">
            <v>FRANCE</v>
          </cell>
        </row>
        <row r="18522">
          <cell r="L18522" t="str">
            <v>Non-proportional</v>
          </cell>
          <cell r="S18522">
            <v>8107.12</v>
          </cell>
          <cell r="X18522" t="str">
            <v>Commissions - gross</v>
          </cell>
          <cell r="Y18522" t="str">
            <v>UNITED STATES</v>
          </cell>
        </row>
        <row r="18523">
          <cell r="L18523" t="str">
            <v>Non-proportional</v>
          </cell>
          <cell r="S18523">
            <v>-145.66999999999999</v>
          </cell>
          <cell r="X18523" t="str">
            <v>Commissions - gross</v>
          </cell>
          <cell r="Y18523" t="str">
            <v>CHILE</v>
          </cell>
        </row>
        <row r="18524">
          <cell r="L18524" t="str">
            <v>Non-proportional</v>
          </cell>
          <cell r="S18524">
            <v>-176.35</v>
          </cell>
          <cell r="X18524" t="str">
            <v>Commissions - gross</v>
          </cell>
          <cell r="Y18524" t="str">
            <v>ECUADOR</v>
          </cell>
        </row>
        <row r="18525">
          <cell r="L18525" t="str">
            <v>Non-proportional</v>
          </cell>
          <cell r="S18525">
            <v>5340.93</v>
          </cell>
          <cell r="X18525" t="str">
            <v>Commissions - gross</v>
          </cell>
          <cell r="Y18525" t="str">
            <v>DOMINICAN REPUBLIC</v>
          </cell>
        </row>
        <row r="18526">
          <cell r="L18526" t="str">
            <v>Non-proportional</v>
          </cell>
          <cell r="S18526">
            <v>291.33999999999997</v>
          </cell>
          <cell r="X18526" t="str">
            <v>Commissions - gross</v>
          </cell>
          <cell r="Y18526" t="str">
            <v>CHILE</v>
          </cell>
        </row>
        <row r="18527">
          <cell r="L18527" t="str">
            <v>Non-proportional</v>
          </cell>
          <cell r="S18527">
            <v>-3.03</v>
          </cell>
          <cell r="X18527" t="str">
            <v>Commissions - gross</v>
          </cell>
          <cell r="Y18527" t="str">
            <v>DOMINICAN REPUBLIC</v>
          </cell>
        </row>
        <row r="18528">
          <cell r="L18528" t="str">
            <v>Non-proportional</v>
          </cell>
          <cell r="S18528">
            <v>-11140.5</v>
          </cell>
          <cell r="X18528" t="str">
            <v>Commissions - gross</v>
          </cell>
          <cell r="Y18528" t="str">
            <v>AUSTRALIA</v>
          </cell>
        </row>
        <row r="18529">
          <cell r="L18529" t="str">
            <v>Non-proportional</v>
          </cell>
          <cell r="S18529">
            <v>-3492.92</v>
          </cell>
          <cell r="X18529" t="str">
            <v>Commissions - gross</v>
          </cell>
          <cell r="Y18529" t="str">
            <v>DOMINICAN REPUBLIC</v>
          </cell>
        </row>
        <row r="18530">
          <cell r="L18530" t="str">
            <v>Non-proportional</v>
          </cell>
          <cell r="S18530">
            <v>-9349.51</v>
          </cell>
          <cell r="X18530" t="str">
            <v>Commissions - gross</v>
          </cell>
          <cell r="Y18530" t="str">
            <v>ECUADOR</v>
          </cell>
        </row>
        <row r="18531">
          <cell r="L18531" t="str">
            <v>Proportional</v>
          </cell>
          <cell r="S18531">
            <v>-121.1</v>
          </cell>
          <cell r="X18531" t="str">
            <v>Commissions - gross</v>
          </cell>
          <cell r="Y18531" t="str">
            <v>ITALY</v>
          </cell>
        </row>
        <row r="18532">
          <cell r="L18532" t="str">
            <v>Proportional</v>
          </cell>
          <cell r="S18532">
            <v>14122.58</v>
          </cell>
          <cell r="X18532" t="str">
            <v>Commissions - gross</v>
          </cell>
          <cell r="Y18532" t="str">
            <v>ITALY</v>
          </cell>
        </row>
        <row r="18533">
          <cell r="L18533" t="str">
            <v>Non-proportional</v>
          </cell>
          <cell r="S18533">
            <v>36.42</v>
          </cell>
          <cell r="X18533" t="str">
            <v>Commissions - gross</v>
          </cell>
          <cell r="Y18533" t="str">
            <v>CHILE</v>
          </cell>
        </row>
        <row r="18534">
          <cell r="L18534" t="str">
            <v>Proportional</v>
          </cell>
          <cell r="S18534">
            <v>-683.22</v>
          </cell>
          <cell r="X18534" t="str">
            <v>Commissions - gross</v>
          </cell>
          <cell r="Y18534" t="str">
            <v>CHILE</v>
          </cell>
        </row>
        <row r="18535">
          <cell r="L18535" t="str">
            <v>Proportional</v>
          </cell>
          <cell r="S18535">
            <v>36.08</v>
          </cell>
          <cell r="X18535" t="str">
            <v>Commissions - gross</v>
          </cell>
          <cell r="Y18535" t="str">
            <v>CHILE</v>
          </cell>
        </row>
        <row r="18536">
          <cell r="L18536" t="str">
            <v>Non-proportional</v>
          </cell>
          <cell r="S18536">
            <v>5448.76</v>
          </cell>
          <cell r="X18536" t="str">
            <v>Commissions - gross</v>
          </cell>
          <cell r="Y18536" t="str">
            <v>COLOMBIA</v>
          </cell>
        </row>
        <row r="18537">
          <cell r="L18537" t="str">
            <v>Proportional</v>
          </cell>
          <cell r="S18537">
            <v>18.71</v>
          </cell>
          <cell r="X18537" t="str">
            <v>Commissions - gross</v>
          </cell>
          <cell r="Y18537" t="str">
            <v>CHILE</v>
          </cell>
        </row>
        <row r="18538">
          <cell r="L18538" t="str">
            <v>Non-proportional</v>
          </cell>
          <cell r="S18538">
            <v>176.35</v>
          </cell>
          <cell r="X18538" t="str">
            <v>Commissions - gross</v>
          </cell>
          <cell r="Y18538" t="str">
            <v>ECUADOR</v>
          </cell>
        </row>
        <row r="18539">
          <cell r="L18539" t="str">
            <v>Non-proportional</v>
          </cell>
          <cell r="S18539">
            <v>4068.29</v>
          </cell>
          <cell r="X18539" t="str">
            <v>Commissions - gross</v>
          </cell>
          <cell r="Y18539" t="str">
            <v>ECUADOR</v>
          </cell>
        </row>
        <row r="18540">
          <cell r="L18540" t="str">
            <v>Non-proportional</v>
          </cell>
          <cell r="S18540">
            <v>3986.32</v>
          </cell>
          <cell r="X18540" t="str">
            <v>Commissions - gross</v>
          </cell>
          <cell r="Y18540" t="str">
            <v>DOMINICAN REPUBLIC</v>
          </cell>
        </row>
        <row r="18541">
          <cell r="L18541" t="str">
            <v>Non-proportional</v>
          </cell>
          <cell r="S18541">
            <v>209.58</v>
          </cell>
          <cell r="X18541" t="str">
            <v>Commissions - gross</v>
          </cell>
          <cell r="Y18541" t="str">
            <v>DOMINICAN REPUBLIC</v>
          </cell>
        </row>
        <row r="18542">
          <cell r="L18542" t="str">
            <v>Proportional</v>
          </cell>
          <cell r="S18542">
            <v>0.82</v>
          </cell>
          <cell r="X18542" t="str">
            <v>Commissions - gross</v>
          </cell>
          <cell r="Y18542" t="str">
            <v>CHILE</v>
          </cell>
        </row>
        <row r="18543">
          <cell r="L18543" t="str">
            <v>Non-proportional</v>
          </cell>
          <cell r="S18543">
            <v>1137.95</v>
          </cell>
          <cell r="X18543" t="str">
            <v>Commissions - gross</v>
          </cell>
          <cell r="Y18543" t="str">
            <v>JAPAN</v>
          </cell>
        </row>
        <row r="18544">
          <cell r="L18544" t="str">
            <v>Proportional</v>
          </cell>
          <cell r="S18544">
            <v>-35.76</v>
          </cell>
          <cell r="X18544" t="str">
            <v>Commissions - gross</v>
          </cell>
          <cell r="Y18544" t="str">
            <v>UNITED STATES</v>
          </cell>
        </row>
        <row r="18545">
          <cell r="L18545" t="str">
            <v>Non-proportional</v>
          </cell>
          <cell r="S18545">
            <v>1173.8499999999999</v>
          </cell>
          <cell r="X18545" t="str">
            <v>Commissions - gross</v>
          </cell>
          <cell r="Y18545" t="str">
            <v>AUSTRALIA</v>
          </cell>
        </row>
        <row r="18546">
          <cell r="L18546" t="str">
            <v>Non-proportional</v>
          </cell>
          <cell r="S18546">
            <v>34.49</v>
          </cell>
          <cell r="X18546" t="str">
            <v>Commissions - gross</v>
          </cell>
          <cell r="Y18546" t="str">
            <v>FRANCE</v>
          </cell>
        </row>
        <row r="18547">
          <cell r="L18547" t="str">
            <v>Non-proportional</v>
          </cell>
          <cell r="S18547">
            <v>842.12</v>
          </cell>
          <cell r="X18547" t="str">
            <v>Commissions - gross</v>
          </cell>
          <cell r="Y18547" t="str">
            <v>ISRAEL</v>
          </cell>
        </row>
        <row r="18548">
          <cell r="L18548" t="str">
            <v>Non-proportional</v>
          </cell>
          <cell r="S18548">
            <v>-145.66999999999999</v>
          </cell>
          <cell r="X18548" t="str">
            <v>Commissions - gross</v>
          </cell>
          <cell r="Y18548" t="str">
            <v>CHILE</v>
          </cell>
        </row>
        <row r="18549">
          <cell r="L18549" t="str">
            <v>Non-proportional</v>
          </cell>
          <cell r="S18549">
            <v>-114.01</v>
          </cell>
          <cell r="X18549" t="str">
            <v>Commissions - gross</v>
          </cell>
          <cell r="Y18549" t="str">
            <v>DOMINICAN REPUBLIC</v>
          </cell>
        </row>
        <row r="18550">
          <cell r="L18550" t="str">
            <v>Proportional</v>
          </cell>
          <cell r="S18550">
            <v>109.25</v>
          </cell>
          <cell r="X18550" t="str">
            <v>Commissions - gross</v>
          </cell>
          <cell r="Y18550" t="str">
            <v>CHILE</v>
          </cell>
        </row>
        <row r="18551">
          <cell r="L18551" t="str">
            <v>Non-proportional</v>
          </cell>
          <cell r="S18551">
            <v>-170.15</v>
          </cell>
          <cell r="X18551" t="str">
            <v>Commissions - gross</v>
          </cell>
          <cell r="Y18551" t="str">
            <v>PERU</v>
          </cell>
        </row>
        <row r="18552">
          <cell r="L18552" t="str">
            <v>Non-proportional</v>
          </cell>
          <cell r="S18552">
            <v>-5382.04</v>
          </cell>
          <cell r="X18552" t="str">
            <v>Commissions - gross</v>
          </cell>
          <cell r="Y18552" t="str">
            <v>ISRAEL</v>
          </cell>
        </row>
        <row r="18553">
          <cell r="L18553" t="str">
            <v>Non-proportional</v>
          </cell>
          <cell r="S18553">
            <v>-36.42</v>
          </cell>
          <cell r="X18553" t="str">
            <v>Commissions - gross</v>
          </cell>
          <cell r="Y18553" t="str">
            <v>CHILE</v>
          </cell>
        </row>
        <row r="18554">
          <cell r="L18554" t="str">
            <v>Non-proportional</v>
          </cell>
          <cell r="S18554">
            <v>4119.79</v>
          </cell>
          <cell r="X18554" t="str">
            <v>Commissions - gross</v>
          </cell>
          <cell r="Y18554" t="str">
            <v>ECUADOR</v>
          </cell>
        </row>
        <row r="18555">
          <cell r="L18555" t="str">
            <v>Non-proportional</v>
          </cell>
          <cell r="S18555">
            <v>25895.42</v>
          </cell>
          <cell r="X18555" t="str">
            <v>Commissions - gross</v>
          </cell>
          <cell r="Y18555" t="str">
            <v>DOMINICAN REPUBLIC</v>
          </cell>
        </row>
        <row r="18556">
          <cell r="L18556" t="str">
            <v>Non-proportional</v>
          </cell>
          <cell r="S18556">
            <v>-433.69</v>
          </cell>
          <cell r="X18556" t="str">
            <v>Commissions - gross</v>
          </cell>
          <cell r="Y18556" t="str">
            <v>ISRAEL</v>
          </cell>
        </row>
        <row r="18557">
          <cell r="L18557" t="str">
            <v>Non-proportional</v>
          </cell>
          <cell r="S18557">
            <v>-5581.6</v>
          </cell>
          <cell r="X18557" t="str">
            <v>Commissions - gross</v>
          </cell>
          <cell r="Y18557" t="str">
            <v>GERMANY</v>
          </cell>
        </row>
        <row r="18558">
          <cell r="L18558" t="str">
            <v>Non-proportional</v>
          </cell>
          <cell r="S18558">
            <v>-4068.29</v>
          </cell>
          <cell r="X18558" t="str">
            <v>Commissions - gross</v>
          </cell>
          <cell r="Y18558" t="str">
            <v>ECUADOR</v>
          </cell>
        </row>
        <row r="18559">
          <cell r="L18559" t="str">
            <v>Proportional</v>
          </cell>
          <cell r="S18559">
            <v>-1209.4100000000001</v>
          </cell>
          <cell r="X18559" t="str">
            <v>Commissions - gross</v>
          </cell>
          <cell r="Y18559" t="str">
            <v>MEXICO</v>
          </cell>
        </row>
        <row r="18560">
          <cell r="L18560" t="str">
            <v>Non-proportional</v>
          </cell>
          <cell r="S18560">
            <v>-2005.5</v>
          </cell>
          <cell r="X18560" t="str">
            <v>Commissions - gross</v>
          </cell>
          <cell r="Y18560" t="str">
            <v>AUSTRALIA</v>
          </cell>
        </row>
        <row r="18561">
          <cell r="L18561" t="str">
            <v>Non-proportional</v>
          </cell>
          <cell r="S18561">
            <v>-154.18</v>
          </cell>
          <cell r="X18561" t="str">
            <v>Commissions - gross</v>
          </cell>
          <cell r="Y18561" t="str">
            <v>PERU</v>
          </cell>
        </row>
        <row r="18562">
          <cell r="L18562" t="str">
            <v>Non-proportional</v>
          </cell>
          <cell r="S18562">
            <v>-7028.13</v>
          </cell>
          <cell r="X18562" t="str">
            <v>Commissions - gross</v>
          </cell>
          <cell r="Y18562" t="str">
            <v>UNITED KINGDOM</v>
          </cell>
        </row>
        <row r="18563">
          <cell r="L18563" t="str">
            <v>Non-proportional</v>
          </cell>
          <cell r="S18563">
            <v>-573.17999999999995</v>
          </cell>
          <cell r="X18563" t="str">
            <v>Commissions - gross</v>
          </cell>
          <cell r="Y18563" t="str">
            <v>JAPAN</v>
          </cell>
        </row>
        <row r="18564">
          <cell r="L18564" t="str">
            <v>Non-proportional</v>
          </cell>
          <cell r="S18564">
            <v>4449.82</v>
          </cell>
          <cell r="X18564" t="str">
            <v>Commissions - gross</v>
          </cell>
          <cell r="Y18564" t="str">
            <v>COLOMBIA</v>
          </cell>
        </row>
        <row r="18565">
          <cell r="L18565" t="str">
            <v>Non-proportional</v>
          </cell>
          <cell r="S18565">
            <v>-1110.75</v>
          </cell>
          <cell r="X18565" t="str">
            <v>Commissions - gross</v>
          </cell>
          <cell r="Y18565" t="str">
            <v>AUSTRALIA</v>
          </cell>
        </row>
        <row r="18566">
          <cell r="L18566" t="str">
            <v>Non-proportional</v>
          </cell>
          <cell r="S18566">
            <v>-58.58</v>
          </cell>
          <cell r="X18566" t="str">
            <v>Commissions - gross</v>
          </cell>
          <cell r="Y18566" t="str">
            <v>FRANCE</v>
          </cell>
        </row>
        <row r="18567">
          <cell r="L18567" t="str">
            <v>Non-proportional</v>
          </cell>
          <cell r="S18567">
            <v>-28373.41</v>
          </cell>
          <cell r="X18567" t="str">
            <v>Commissions - gross</v>
          </cell>
          <cell r="Y18567" t="str">
            <v>FRANCE</v>
          </cell>
        </row>
        <row r="18568">
          <cell r="L18568" t="str">
            <v>Non-proportional</v>
          </cell>
          <cell r="S18568">
            <v>-28125</v>
          </cell>
          <cell r="X18568" t="str">
            <v>Commissions - gross</v>
          </cell>
          <cell r="Y18568" t="str">
            <v>FRANCE</v>
          </cell>
        </row>
        <row r="18569">
          <cell r="L18569" t="str">
            <v>Non-proportional</v>
          </cell>
          <cell r="S18569">
            <v>86.18</v>
          </cell>
          <cell r="X18569" t="str">
            <v>Commissions - gross</v>
          </cell>
          <cell r="Y18569" t="str">
            <v>DOMINICAN REPUBLIC</v>
          </cell>
        </row>
        <row r="18570">
          <cell r="L18570" t="str">
            <v>Non-proportional</v>
          </cell>
          <cell r="S18570">
            <v>-1550.45</v>
          </cell>
          <cell r="X18570" t="str">
            <v>Commissions - gross</v>
          </cell>
          <cell r="Y18570" t="str">
            <v>UNITED KINGDOM</v>
          </cell>
        </row>
        <row r="18571">
          <cell r="L18571" t="str">
            <v>Non-proportional</v>
          </cell>
          <cell r="S18571">
            <v>145.66999999999999</v>
          </cell>
          <cell r="X18571" t="str">
            <v>Commissions - gross</v>
          </cell>
          <cell r="Y18571" t="str">
            <v>CHILE</v>
          </cell>
        </row>
        <row r="18572">
          <cell r="L18572" t="str">
            <v>Non-proportional</v>
          </cell>
          <cell r="S18572">
            <v>7809.69</v>
          </cell>
          <cell r="X18572" t="str">
            <v>Commissions - gross</v>
          </cell>
          <cell r="Y18572" t="str">
            <v>UNITED KINGDOM</v>
          </cell>
        </row>
        <row r="18573">
          <cell r="L18573" t="str">
            <v>Non-proportional</v>
          </cell>
          <cell r="S18573">
            <v>176.35</v>
          </cell>
          <cell r="X18573" t="str">
            <v>Commissions - gross</v>
          </cell>
          <cell r="Y18573" t="str">
            <v>ECUADOR</v>
          </cell>
        </row>
        <row r="18574">
          <cell r="L18574" t="str">
            <v>Non-proportional</v>
          </cell>
          <cell r="S18574">
            <v>182.09</v>
          </cell>
          <cell r="X18574" t="str">
            <v>Commissions - gross</v>
          </cell>
          <cell r="Y18574" t="str">
            <v>CHILE</v>
          </cell>
        </row>
        <row r="18575">
          <cell r="L18575" t="str">
            <v>Proportional</v>
          </cell>
          <cell r="S18575">
            <v>691.92</v>
          </cell>
          <cell r="X18575" t="str">
            <v>Commissions - gross</v>
          </cell>
          <cell r="Y18575" t="str">
            <v>CHILE</v>
          </cell>
        </row>
        <row r="18576">
          <cell r="L18576" t="str">
            <v>Non-proportional</v>
          </cell>
          <cell r="S18576">
            <v>218.05</v>
          </cell>
          <cell r="X18576" t="str">
            <v>Commissions - gross</v>
          </cell>
          <cell r="Y18576" t="str">
            <v>UNITED KINGDOM</v>
          </cell>
        </row>
        <row r="18577">
          <cell r="L18577" t="str">
            <v>Proportional</v>
          </cell>
          <cell r="S18577">
            <v>35.65</v>
          </cell>
          <cell r="X18577" t="str">
            <v>Commissions - gross</v>
          </cell>
          <cell r="Y18577" t="str">
            <v>CHILE</v>
          </cell>
        </row>
        <row r="18578">
          <cell r="L18578" t="str">
            <v>Proportional</v>
          </cell>
          <cell r="S18578">
            <v>-626.46</v>
          </cell>
          <cell r="X18578" t="str">
            <v>Commissions - gross</v>
          </cell>
          <cell r="Y18578" t="str">
            <v>FRANCE</v>
          </cell>
        </row>
        <row r="18579">
          <cell r="L18579" t="str">
            <v>Non-proportional</v>
          </cell>
          <cell r="S18579">
            <v>880.59</v>
          </cell>
          <cell r="X18579" t="str">
            <v>Commissions - gross</v>
          </cell>
          <cell r="Y18579" t="str">
            <v>AUSTRALIA</v>
          </cell>
        </row>
        <row r="18580">
          <cell r="L18580" t="str">
            <v>Proportional</v>
          </cell>
          <cell r="S18580">
            <v>121.1</v>
          </cell>
          <cell r="X18580" t="str">
            <v>Commissions - gross</v>
          </cell>
          <cell r="Y18580" t="str">
            <v>ITALY</v>
          </cell>
        </row>
        <row r="18581">
          <cell r="L18581" t="str">
            <v>Non-proportional</v>
          </cell>
          <cell r="S18581">
            <v>-145.66999999999999</v>
          </cell>
          <cell r="X18581" t="str">
            <v>Commissions - gross</v>
          </cell>
          <cell r="Y18581" t="str">
            <v>CHILE</v>
          </cell>
        </row>
        <row r="18582">
          <cell r="L18582" t="str">
            <v>Non-proportional</v>
          </cell>
          <cell r="S18582">
            <v>-145.66999999999999</v>
          </cell>
          <cell r="X18582" t="str">
            <v>Commissions - gross</v>
          </cell>
          <cell r="Y18582" t="str">
            <v>CHILE</v>
          </cell>
        </row>
        <row r="18583">
          <cell r="L18583" t="str">
            <v>Non-proportional</v>
          </cell>
          <cell r="S18583">
            <v>-145.66999999999999</v>
          </cell>
          <cell r="X18583" t="str">
            <v>Commissions - gross</v>
          </cell>
          <cell r="Y18583" t="str">
            <v>CHILE</v>
          </cell>
        </row>
        <row r="18584">
          <cell r="L18584" t="str">
            <v>Proportional</v>
          </cell>
          <cell r="S18584">
            <v>254.92</v>
          </cell>
          <cell r="X18584" t="str">
            <v>Commissions - gross</v>
          </cell>
          <cell r="Y18584" t="str">
            <v>CHILE</v>
          </cell>
        </row>
        <row r="18585">
          <cell r="L18585" t="str">
            <v>Non-proportional</v>
          </cell>
          <cell r="S18585">
            <v>-5448.76</v>
          </cell>
          <cell r="X18585" t="str">
            <v>Commissions - gross</v>
          </cell>
          <cell r="Y18585" t="str">
            <v>COLOMBIA</v>
          </cell>
        </row>
        <row r="18586">
          <cell r="L18586" t="str">
            <v>Non-proportional</v>
          </cell>
          <cell r="S18586">
            <v>-285.22000000000003</v>
          </cell>
          <cell r="X18586" t="str">
            <v>Commissions - gross</v>
          </cell>
          <cell r="Y18586" t="str">
            <v>ECUADOR</v>
          </cell>
        </row>
        <row r="18587">
          <cell r="L18587" t="str">
            <v>Proportional</v>
          </cell>
          <cell r="S18587">
            <v>1209.4100000000001</v>
          </cell>
          <cell r="X18587" t="str">
            <v>Commissions - gross</v>
          </cell>
          <cell r="Y18587" t="str">
            <v>MEXICO</v>
          </cell>
        </row>
        <row r="18588">
          <cell r="L18588" t="str">
            <v>Non-proportional</v>
          </cell>
          <cell r="S18588">
            <v>7028.13</v>
          </cell>
          <cell r="X18588" t="str">
            <v>Commissions - gross</v>
          </cell>
          <cell r="Y18588" t="str">
            <v>UNITED KINGDOM</v>
          </cell>
        </row>
        <row r="18589">
          <cell r="L18589" t="str">
            <v>Non-proportional</v>
          </cell>
          <cell r="S18589">
            <v>2671.21</v>
          </cell>
          <cell r="X18589" t="str">
            <v>Commissions - gross</v>
          </cell>
          <cell r="Y18589" t="str">
            <v>CHINA</v>
          </cell>
        </row>
        <row r="18590">
          <cell r="L18590" t="str">
            <v>Non-proportional</v>
          </cell>
          <cell r="S18590">
            <v>791.07</v>
          </cell>
          <cell r="X18590" t="str">
            <v>Commissions - gross</v>
          </cell>
          <cell r="Y18590" t="str">
            <v>ECUADOR</v>
          </cell>
        </row>
        <row r="18591">
          <cell r="L18591" t="str">
            <v>Non-proportional</v>
          </cell>
          <cell r="S18591">
            <v>145.66999999999999</v>
          </cell>
          <cell r="X18591" t="str">
            <v>Commissions - gross</v>
          </cell>
          <cell r="Y18591" t="str">
            <v>CHILE</v>
          </cell>
        </row>
        <row r="18592">
          <cell r="L18592" t="str">
            <v>Non-proportional</v>
          </cell>
          <cell r="S18592">
            <v>3892.87</v>
          </cell>
          <cell r="X18592" t="str">
            <v>Commissions - gross</v>
          </cell>
          <cell r="Y18592" t="str">
            <v>BRAZIL</v>
          </cell>
        </row>
        <row r="18593">
          <cell r="L18593" t="str">
            <v>Non-proportional</v>
          </cell>
          <cell r="S18593">
            <v>145.66999999999999</v>
          </cell>
          <cell r="X18593" t="str">
            <v>Commissions - gross</v>
          </cell>
          <cell r="Y18593" t="str">
            <v>CHILE</v>
          </cell>
        </row>
        <row r="18594">
          <cell r="L18594" t="str">
            <v>Non-proportional</v>
          </cell>
          <cell r="S18594">
            <v>145.66999999999999</v>
          </cell>
          <cell r="X18594" t="str">
            <v>Commissions - gross</v>
          </cell>
          <cell r="Y18594" t="str">
            <v>CHILE</v>
          </cell>
        </row>
        <row r="18595">
          <cell r="L18595" t="str">
            <v>Proportional</v>
          </cell>
          <cell r="S18595">
            <v>-818.58</v>
          </cell>
          <cell r="X18595" t="str">
            <v>Commissions - gross</v>
          </cell>
          <cell r="Y18595" t="str">
            <v>CHILE</v>
          </cell>
        </row>
        <row r="18596">
          <cell r="L18596" t="str">
            <v>Non-proportional</v>
          </cell>
          <cell r="S18596">
            <v>-504.15</v>
          </cell>
          <cell r="X18596" t="str">
            <v>Commissions - gross</v>
          </cell>
          <cell r="Y18596" t="str">
            <v>DOMINICAN REPUBLIC</v>
          </cell>
        </row>
        <row r="18597">
          <cell r="L18597" t="str">
            <v>Proportional</v>
          </cell>
          <cell r="S18597">
            <v>1.3</v>
          </cell>
          <cell r="X18597" t="str">
            <v>Commissions - gross</v>
          </cell>
          <cell r="Y18597" t="str">
            <v>CHILE</v>
          </cell>
        </row>
        <row r="18598">
          <cell r="L18598" t="str">
            <v>Non-proportional</v>
          </cell>
          <cell r="S18598">
            <v>-6450.04</v>
          </cell>
          <cell r="X18598" t="str">
            <v>Commissions - gross</v>
          </cell>
          <cell r="Y18598" t="str">
            <v>ECUADOR</v>
          </cell>
        </row>
        <row r="18599">
          <cell r="L18599" t="str">
            <v>Non-proportional</v>
          </cell>
          <cell r="S18599">
            <v>9750.7099999999991</v>
          </cell>
          <cell r="X18599" t="str">
            <v>Commissions - gross</v>
          </cell>
          <cell r="Y18599" t="str">
            <v>PERU</v>
          </cell>
        </row>
        <row r="18600">
          <cell r="L18600" t="str">
            <v>Proportional</v>
          </cell>
          <cell r="S18600">
            <v>1892.88</v>
          </cell>
          <cell r="X18600" t="str">
            <v>Commissions - gross</v>
          </cell>
          <cell r="Y18600" t="str">
            <v>CHILE</v>
          </cell>
        </row>
        <row r="18601">
          <cell r="L18601" t="str">
            <v>Non-proportional</v>
          </cell>
          <cell r="S18601">
            <v>-3475.34</v>
          </cell>
          <cell r="X18601" t="str">
            <v>Commissions - gross</v>
          </cell>
          <cell r="Y18601" t="str">
            <v>DOMINICAN REPUBLIC</v>
          </cell>
        </row>
        <row r="18602">
          <cell r="L18602" t="str">
            <v>Non-proportional</v>
          </cell>
          <cell r="S18602">
            <v>-1498.36</v>
          </cell>
          <cell r="X18602" t="str">
            <v>Commissions - gross</v>
          </cell>
          <cell r="Y18602" t="str">
            <v>AUSTRALIA</v>
          </cell>
        </row>
        <row r="18603">
          <cell r="L18603" t="str">
            <v>Proportional</v>
          </cell>
          <cell r="S18603">
            <v>73.959999999999994</v>
          </cell>
          <cell r="X18603" t="str">
            <v>Commissions - gross</v>
          </cell>
          <cell r="Y18603" t="str">
            <v>FRANCE</v>
          </cell>
        </row>
        <row r="18604">
          <cell r="L18604" t="str">
            <v>Non-proportional</v>
          </cell>
          <cell r="S18604">
            <v>312.62</v>
          </cell>
          <cell r="X18604" t="str">
            <v>Commissions - gross</v>
          </cell>
          <cell r="Y18604" t="str">
            <v>PERU</v>
          </cell>
        </row>
        <row r="18605">
          <cell r="L18605" t="str">
            <v>Non-proportional</v>
          </cell>
          <cell r="S18605">
            <v>-803.85</v>
          </cell>
          <cell r="X18605" t="str">
            <v>Commissions - gross</v>
          </cell>
          <cell r="Y18605" t="str">
            <v>UNITED KINGDOM</v>
          </cell>
        </row>
        <row r="18606">
          <cell r="L18606" t="str">
            <v>Proportional</v>
          </cell>
          <cell r="S18606">
            <v>-2323.1</v>
          </cell>
          <cell r="X18606" t="str">
            <v>Commissions - gross</v>
          </cell>
          <cell r="Y18606" t="str">
            <v>FRANCE</v>
          </cell>
        </row>
        <row r="18607">
          <cell r="L18607" t="str">
            <v>Non-proportional</v>
          </cell>
          <cell r="S18607">
            <v>-910.66</v>
          </cell>
          <cell r="X18607" t="str">
            <v>Commissions - gross</v>
          </cell>
          <cell r="Y18607" t="str">
            <v>DOMINICAN REPUBLIC</v>
          </cell>
        </row>
        <row r="18608">
          <cell r="L18608" t="str">
            <v>Non-proportional</v>
          </cell>
          <cell r="S18608">
            <v>-5960.25</v>
          </cell>
          <cell r="X18608" t="str">
            <v>Commissions - gross</v>
          </cell>
          <cell r="Y18608" t="str">
            <v>DOMINICAN REPUBLIC</v>
          </cell>
        </row>
        <row r="18609">
          <cell r="L18609" t="str">
            <v>Proportional</v>
          </cell>
          <cell r="S18609">
            <v>-869.77</v>
          </cell>
          <cell r="X18609" t="str">
            <v>Commissions - gross</v>
          </cell>
          <cell r="Y18609" t="str">
            <v>UNITED KINGDOM</v>
          </cell>
        </row>
        <row r="18610">
          <cell r="L18610" t="str">
            <v>Non-proportional</v>
          </cell>
          <cell r="S18610">
            <v>634.65</v>
          </cell>
          <cell r="X18610" t="str">
            <v>Commissions - gross</v>
          </cell>
          <cell r="Y18610" t="str">
            <v>JAPAN</v>
          </cell>
        </row>
        <row r="18611">
          <cell r="L18611" t="str">
            <v>Non-proportional</v>
          </cell>
          <cell r="S18611">
            <v>10524.06</v>
          </cell>
          <cell r="X18611" t="str">
            <v>Commissions - gross</v>
          </cell>
          <cell r="Y18611" t="str">
            <v>DOMINICAN REPUBLIC</v>
          </cell>
        </row>
        <row r="18612">
          <cell r="L18612" t="str">
            <v>Non-proportional</v>
          </cell>
          <cell r="S18612">
            <v>-101.05</v>
          </cell>
          <cell r="X18612" t="str">
            <v>Commissions - gross</v>
          </cell>
          <cell r="Y18612" t="str">
            <v>DOMINICAN REPUBLIC</v>
          </cell>
        </row>
        <row r="18613">
          <cell r="L18613" t="str">
            <v>Non-proportional</v>
          </cell>
          <cell r="S18613">
            <v>-145.66999999999999</v>
          </cell>
          <cell r="X18613" t="str">
            <v>Commissions - gross</v>
          </cell>
          <cell r="Y18613" t="str">
            <v>CHILE</v>
          </cell>
        </row>
        <row r="18614">
          <cell r="L18614" t="str">
            <v>Proportional</v>
          </cell>
          <cell r="S18614">
            <v>975.6</v>
          </cell>
          <cell r="X18614" t="str">
            <v>Commissions - gross</v>
          </cell>
          <cell r="Y18614" t="str">
            <v>MEXICO</v>
          </cell>
        </row>
        <row r="18615">
          <cell r="L18615" t="str">
            <v>Non-proportional</v>
          </cell>
          <cell r="S18615">
            <v>3181.11</v>
          </cell>
          <cell r="X18615" t="str">
            <v>Commissions - gross</v>
          </cell>
          <cell r="Y18615" t="str">
            <v>ECUADOR</v>
          </cell>
        </row>
        <row r="18616">
          <cell r="L18616" t="str">
            <v>Proportional</v>
          </cell>
          <cell r="S18616">
            <v>124016</v>
          </cell>
          <cell r="X18616" t="str">
            <v>Commissions - gross</v>
          </cell>
          <cell r="Y18616" t="str">
            <v>ITALY</v>
          </cell>
        </row>
        <row r="18617">
          <cell r="L18617" t="str">
            <v>Non-proportional</v>
          </cell>
          <cell r="S18617">
            <v>4002.67</v>
          </cell>
          <cell r="X18617" t="str">
            <v>Commissions - gross</v>
          </cell>
          <cell r="Y18617" t="str">
            <v>BRAZIL</v>
          </cell>
        </row>
        <row r="18618">
          <cell r="L18618" t="str">
            <v>Non-proportional</v>
          </cell>
          <cell r="S18618">
            <v>-91.81</v>
          </cell>
          <cell r="X18618" t="str">
            <v>Commissions - gross</v>
          </cell>
          <cell r="Y18618" t="str">
            <v>DOMINICAN REPUBLIC</v>
          </cell>
        </row>
        <row r="18619">
          <cell r="L18619" t="str">
            <v>Proportional</v>
          </cell>
          <cell r="S18619">
            <v>-500.24</v>
          </cell>
          <cell r="X18619" t="str">
            <v>Commissions - gross</v>
          </cell>
          <cell r="Y18619" t="str">
            <v>CHILE</v>
          </cell>
        </row>
        <row r="18620">
          <cell r="L18620" t="str">
            <v>Non-proportional</v>
          </cell>
          <cell r="S18620">
            <v>-327.29000000000002</v>
          </cell>
          <cell r="X18620" t="str">
            <v>Commissions - gross</v>
          </cell>
          <cell r="Y18620" t="str">
            <v>FRANCE</v>
          </cell>
        </row>
        <row r="18621">
          <cell r="L18621" t="str">
            <v>Proportional</v>
          </cell>
          <cell r="S18621">
            <v>-0.18</v>
          </cell>
          <cell r="X18621" t="str">
            <v>Commissions - gross</v>
          </cell>
          <cell r="Y18621" t="str">
            <v>GERMANY</v>
          </cell>
        </row>
        <row r="18622">
          <cell r="L18622" t="str">
            <v>Proportional</v>
          </cell>
          <cell r="S18622">
            <v>3785.75</v>
          </cell>
          <cell r="X18622" t="str">
            <v>Commissions - gross</v>
          </cell>
          <cell r="Y18622" t="str">
            <v>CHILE</v>
          </cell>
        </row>
        <row r="18623">
          <cell r="L18623" t="str">
            <v>Non-proportional</v>
          </cell>
          <cell r="S18623">
            <v>3350.48</v>
          </cell>
          <cell r="X18623" t="str">
            <v>Commissions - gross</v>
          </cell>
          <cell r="Y18623" t="str">
            <v>CHINA</v>
          </cell>
        </row>
        <row r="18624">
          <cell r="L18624" t="str">
            <v>Non-proportional</v>
          </cell>
          <cell r="S18624">
            <v>114.01</v>
          </cell>
          <cell r="X18624" t="str">
            <v>Commissions - gross</v>
          </cell>
          <cell r="Y18624" t="str">
            <v>DOMINICAN REPUBLIC</v>
          </cell>
        </row>
        <row r="18625">
          <cell r="L18625" t="str">
            <v>Non-proportional</v>
          </cell>
          <cell r="S18625">
            <v>1567.79</v>
          </cell>
          <cell r="X18625" t="str">
            <v>Commissions - gross</v>
          </cell>
          <cell r="Y18625" t="str">
            <v>AUSTRALIA</v>
          </cell>
        </row>
        <row r="18626">
          <cell r="L18626" t="str">
            <v>Non-proportional</v>
          </cell>
          <cell r="S18626">
            <v>-10679.51</v>
          </cell>
          <cell r="X18626" t="str">
            <v>Commissions - gross</v>
          </cell>
          <cell r="Y18626" t="str">
            <v>PERU</v>
          </cell>
        </row>
        <row r="18627">
          <cell r="L18627" t="str">
            <v>Non-proportional</v>
          </cell>
          <cell r="S18627">
            <v>-4427.12</v>
          </cell>
          <cell r="X18627" t="str">
            <v>Commissions - gross</v>
          </cell>
          <cell r="Y18627" t="str">
            <v>COLOMBIA</v>
          </cell>
        </row>
        <row r="18628">
          <cell r="L18628" t="str">
            <v>Proportional</v>
          </cell>
          <cell r="S18628">
            <v>3.36</v>
          </cell>
          <cell r="X18628" t="str">
            <v>Commissions - gross</v>
          </cell>
          <cell r="Y18628" t="str">
            <v>JAPAN</v>
          </cell>
        </row>
        <row r="18629">
          <cell r="L18629" t="str">
            <v>Non-proportional</v>
          </cell>
          <cell r="S18629">
            <v>-1239.3699999999999</v>
          </cell>
          <cell r="X18629" t="str">
            <v>Commissions - gross</v>
          </cell>
          <cell r="Y18629" t="str">
            <v>UNITED KINGDOM</v>
          </cell>
        </row>
        <row r="18630">
          <cell r="L18630" t="str">
            <v>Proportional</v>
          </cell>
          <cell r="S18630">
            <v>62.32</v>
          </cell>
          <cell r="X18630" t="str">
            <v>Commissions - gross</v>
          </cell>
          <cell r="Y18630" t="str">
            <v>CHILE</v>
          </cell>
        </row>
        <row r="18631">
          <cell r="L18631" t="str">
            <v>Non-proportional</v>
          </cell>
          <cell r="S18631">
            <v>2703.61</v>
          </cell>
          <cell r="X18631" t="str">
            <v>Commissions - gross</v>
          </cell>
          <cell r="Y18631" t="str">
            <v>ECUADOR</v>
          </cell>
        </row>
        <row r="18632">
          <cell r="L18632" t="str">
            <v>Proportional</v>
          </cell>
          <cell r="S18632">
            <v>800.56</v>
          </cell>
          <cell r="X18632" t="str">
            <v>Commissions - gross</v>
          </cell>
          <cell r="Y18632" t="str">
            <v>JAPAN</v>
          </cell>
        </row>
        <row r="18633">
          <cell r="L18633" t="str">
            <v>Non-proportional</v>
          </cell>
          <cell r="S18633">
            <v>5960.25</v>
          </cell>
          <cell r="X18633" t="str">
            <v>Commissions - gross</v>
          </cell>
          <cell r="Y18633" t="str">
            <v>DOMINICAN REPUBLIC</v>
          </cell>
        </row>
        <row r="18634">
          <cell r="L18634" t="str">
            <v>Non-proportional</v>
          </cell>
          <cell r="S18634">
            <v>3.03</v>
          </cell>
          <cell r="X18634" t="str">
            <v>Commissions - gross</v>
          </cell>
          <cell r="Y18634" t="str">
            <v>DOMINICAN REPUBLIC</v>
          </cell>
        </row>
        <row r="18635">
          <cell r="L18635" t="str">
            <v>Non-proportional</v>
          </cell>
          <cell r="S18635">
            <v>-2872.71</v>
          </cell>
          <cell r="X18635" t="str">
            <v>Commissions - gross</v>
          </cell>
          <cell r="Y18635" t="str">
            <v>DOMINICAN REPUBLIC</v>
          </cell>
        </row>
        <row r="18636">
          <cell r="L18636" t="str">
            <v>Non-proportional</v>
          </cell>
          <cell r="S18636">
            <v>-36.42</v>
          </cell>
          <cell r="X18636" t="str">
            <v>Commissions - gross</v>
          </cell>
          <cell r="Y18636" t="str">
            <v>CHILE</v>
          </cell>
        </row>
        <row r="18637">
          <cell r="L18637" t="str">
            <v>Non-proportional</v>
          </cell>
          <cell r="S18637">
            <v>-2671.21</v>
          </cell>
          <cell r="X18637" t="str">
            <v>Commissions - gross</v>
          </cell>
          <cell r="Y18637" t="str">
            <v>CHINA</v>
          </cell>
        </row>
        <row r="18638">
          <cell r="L18638" t="str">
            <v>Non-proportional</v>
          </cell>
          <cell r="S18638">
            <v>-1121.46</v>
          </cell>
          <cell r="X18638" t="str">
            <v>Commissions - gross</v>
          </cell>
          <cell r="Y18638" t="str">
            <v>ECUADOR</v>
          </cell>
        </row>
        <row r="18639">
          <cell r="L18639" t="str">
            <v>Non-proportional</v>
          </cell>
          <cell r="S18639">
            <v>-11606.76</v>
          </cell>
          <cell r="X18639" t="str">
            <v>Commissions - gross</v>
          </cell>
          <cell r="Y18639" t="str">
            <v>ECUADOR</v>
          </cell>
        </row>
        <row r="18640">
          <cell r="L18640" t="str">
            <v>Non-proportional</v>
          </cell>
          <cell r="S18640">
            <v>1196.5</v>
          </cell>
          <cell r="X18640" t="str">
            <v>Commissions - gross</v>
          </cell>
          <cell r="Y18640" t="str">
            <v>JAPAN</v>
          </cell>
        </row>
        <row r="18641">
          <cell r="L18641" t="str">
            <v>Non-proportional</v>
          </cell>
          <cell r="S18641">
            <v>3350.48</v>
          </cell>
          <cell r="X18641" t="str">
            <v>Commissions - gross</v>
          </cell>
          <cell r="Y18641" t="str">
            <v>CHINA</v>
          </cell>
        </row>
        <row r="18642">
          <cell r="L18642" t="str">
            <v>Non-proportional</v>
          </cell>
          <cell r="S18642">
            <v>32.450000000000003</v>
          </cell>
          <cell r="X18642" t="str">
            <v>Commissions - gross</v>
          </cell>
          <cell r="Y18642" t="str">
            <v>FRANCE</v>
          </cell>
        </row>
        <row r="18643">
          <cell r="L18643" t="str">
            <v>Non-proportional</v>
          </cell>
          <cell r="S18643">
            <v>-251.73</v>
          </cell>
          <cell r="X18643" t="str">
            <v>Commissions - gross</v>
          </cell>
          <cell r="Y18643" t="str">
            <v>ECUADOR</v>
          </cell>
        </row>
        <row r="18644">
          <cell r="L18644" t="str">
            <v>Non-proportional</v>
          </cell>
          <cell r="S18644">
            <v>538.20000000000005</v>
          </cell>
          <cell r="X18644" t="str">
            <v>Commissions - gross</v>
          </cell>
          <cell r="Y18644" t="str">
            <v>ISRAEL</v>
          </cell>
        </row>
        <row r="18645">
          <cell r="L18645" t="str">
            <v>Proportional</v>
          </cell>
          <cell r="S18645">
            <v>2071.7199999999998</v>
          </cell>
          <cell r="X18645" t="str">
            <v>Commissions - gross</v>
          </cell>
          <cell r="Y18645" t="str">
            <v>MEXICO</v>
          </cell>
        </row>
        <row r="18646">
          <cell r="L18646" t="str">
            <v>Proportional</v>
          </cell>
          <cell r="S18646">
            <v>-975.6</v>
          </cell>
          <cell r="X18646" t="str">
            <v>Commissions - gross</v>
          </cell>
          <cell r="Y18646" t="str">
            <v>MEXICO</v>
          </cell>
        </row>
        <row r="18647">
          <cell r="L18647" t="str">
            <v>Proportional</v>
          </cell>
          <cell r="S18647">
            <v>36.42</v>
          </cell>
          <cell r="X18647" t="str">
            <v>Commissions - gross</v>
          </cell>
          <cell r="Y18647" t="str">
            <v>CHILE</v>
          </cell>
        </row>
        <row r="18648">
          <cell r="L18648" t="str">
            <v>Non-proportional</v>
          </cell>
          <cell r="S18648">
            <v>611.70000000000005</v>
          </cell>
          <cell r="X18648" t="str">
            <v>Commissions - gross</v>
          </cell>
          <cell r="Y18648" t="str">
            <v>HONG KONG</v>
          </cell>
        </row>
        <row r="18649">
          <cell r="L18649" t="str">
            <v>Non-proportional</v>
          </cell>
          <cell r="S18649">
            <v>72.83</v>
          </cell>
          <cell r="X18649" t="str">
            <v>Commissions - gross</v>
          </cell>
          <cell r="Y18649" t="str">
            <v>CHILE</v>
          </cell>
        </row>
        <row r="18650">
          <cell r="L18650" t="str">
            <v>Non-proportional</v>
          </cell>
          <cell r="S18650">
            <v>5382.04</v>
          </cell>
          <cell r="X18650" t="str">
            <v>Commissions - gross</v>
          </cell>
          <cell r="Y18650" t="str">
            <v>ISRAEL</v>
          </cell>
        </row>
        <row r="18651">
          <cell r="L18651" t="str">
            <v>Non-proportional</v>
          </cell>
          <cell r="S18651">
            <v>885.9</v>
          </cell>
          <cell r="X18651" t="str">
            <v>Commissions - gross</v>
          </cell>
          <cell r="Y18651" t="str">
            <v>UNITED KINGDOM</v>
          </cell>
        </row>
        <row r="18652">
          <cell r="L18652" t="str">
            <v>Non-proportional</v>
          </cell>
          <cell r="S18652">
            <v>5387.56</v>
          </cell>
          <cell r="X18652" t="str">
            <v>Commissions - gross</v>
          </cell>
          <cell r="Y18652" t="str">
            <v>BRAZIL</v>
          </cell>
        </row>
        <row r="18653">
          <cell r="L18653" t="str">
            <v>Non-proportional</v>
          </cell>
          <cell r="S18653">
            <v>-10524.06</v>
          </cell>
          <cell r="X18653" t="str">
            <v>Commissions - gross</v>
          </cell>
          <cell r="Y18653" t="str">
            <v>DOMINICAN REPUBLIC</v>
          </cell>
        </row>
        <row r="18654">
          <cell r="L18654" t="str">
            <v>Non-proportional</v>
          </cell>
          <cell r="S18654">
            <v>-4119.79</v>
          </cell>
          <cell r="X18654" t="str">
            <v>Commissions - gross</v>
          </cell>
          <cell r="Y18654" t="str">
            <v>ECUADOR</v>
          </cell>
        </row>
        <row r="18655">
          <cell r="L18655" t="str">
            <v>Non-proportional</v>
          </cell>
          <cell r="S18655">
            <v>327.75</v>
          </cell>
          <cell r="X18655" t="str">
            <v>Commissions - gross</v>
          </cell>
          <cell r="Y18655" t="str">
            <v>CHILE</v>
          </cell>
        </row>
        <row r="18656">
          <cell r="L18656" t="str">
            <v>Non-proportional</v>
          </cell>
          <cell r="S18656">
            <v>36.42</v>
          </cell>
          <cell r="X18656" t="str">
            <v>Commissions - gross</v>
          </cell>
          <cell r="Y18656" t="str">
            <v>CHILE</v>
          </cell>
        </row>
        <row r="18657">
          <cell r="L18657" t="str">
            <v>Non-proportional</v>
          </cell>
          <cell r="S18657">
            <v>10999.72</v>
          </cell>
          <cell r="X18657" t="str">
            <v>Commissions - gross</v>
          </cell>
          <cell r="Y18657" t="str">
            <v>ECUADOR</v>
          </cell>
        </row>
        <row r="18658">
          <cell r="L18658" t="str">
            <v>Non-proportional</v>
          </cell>
          <cell r="S18658">
            <v>8232.49</v>
          </cell>
          <cell r="X18658" t="str">
            <v>Commissions - gross</v>
          </cell>
          <cell r="Y18658" t="str">
            <v>GERMANY</v>
          </cell>
        </row>
        <row r="18659">
          <cell r="L18659" t="str">
            <v>Non-proportional</v>
          </cell>
          <cell r="S18659">
            <v>-9750.7099999999991</v>
          </cell>
          <cell r="X18659" t="str">
            <v>Commissions - gross</v>
          </cell>
          <cell r="Y18659" t="str">
            <v>PERU</v>
          </cell>
        </row>
        <row r="18660">
          <cell r="L18660" t="str">
            <v>Non-proportional</v>
          </cell>
          <cell r="S18660">
            <v>4785.3500000000004</v>
          </cell>
          <cell r="X18660" t="str">
            <v>Commissions - gross</v>
          </cell>
          <cell r="Y18660" t="str">
            <v>ECUADOR</v>
          </cell>
        </row>
        <row r="18661">
          <cell r="L18661" t="str">
            <v>Non-proportional</v>
          </cell>
          <cell r="S18661">
            <v>2872.71</v>
          </cell>
          <cell r="X18661" t="str">
            <v>Commissions - gross</v>
          </cell>
          <cell r="Y18661" t="str">
            <v>DOMINICAN REPUBLIC</v>
          </cell>
        </row>
        <row r="18662">
          <cell r="L18662" t="str">
            <v>Non-proportional</v>
          </cell>
          <cell r="S18662">
            <v>36.42</v>
          </cell>
          <cell r="X18662" t="str">
            <v>Commissions - gross</v>
          </cell>
          <cell r="Y18662" t="str">
            <v>CHILE</v>
          </cell>
        </row>
        <row r="18663">
          <cell r="L18663" t="str">
            <v>Proportional</v>
          </cell>
          <cell r="S18663">
            <v>869.77</v>
          </cell>
          <cell r="X18663" t="str">
            <v>Commissions - gross</v>
          </cell>
          <cell r="Y18663" t="str">
            <v>UNITED KINGDOM</v>
          </cell>
        </row>
        <row r="18664">
          <cell r="L18664" t="str">
            <v>Non-proportional</v>
          </cell>
          <cell r="S18664">
            <v>-1050.96</v>
          </cell>
          <cell r="X18664" t="str">
            <v>Commissions - gross</v>
          </cell>
          <cell r="Y18664" t="str">
            <v>PERU</v>
          </cell>
        </row>
        <row r="18665">
          <cell r="L18665" t="str">
            <v>Non-proportional</v>
          </cell>
          <cell r="S18665">
            <v>145.66999999999999</v>
          </cell>
          <cell r="X18665" t="str">
            <v>Commissions - gross</v>
          </cell>
          <cell r="Y18665" t="str">
            <v>CHILE</v>
          </cell>
        </row>
        <row r="18666">
          <cell r="L18666" t="str">
            <v>Non-proportional</v>
          </cell>
          <cell r="S18666">
            <v>3350.48</v>
          </cell>
          <cell r="X18666" t="str">
            <v>Commissions - gross</v>
          </cell>
          <cell r="Y18666" t="str">
            <v>CHINA</v>
          </cell>
        </row>
        <row r="18667">
          <cell r="L18667" t="str">
            <v>Proportional</v>
          </cell>
          <cell r="S18667">
            <v>432.14</v>
          </cell>
          <cell r="X18667" t="str">
            <v>Commissions - gross</v>
          </cell>
          <cell r="Y18667" t="str">
            <v>FRANCE</v>
          </cell>
        </row>
        <row r="18668">
          <cell r="L18668" t="str">
            <v>Proportional</v>
          </cell>
          <cell r="S18668">
            <v>-75.16</v>
          </cell>
          <cell r="X18668" t="str">
            <v>Commissions - gross</v>
          </cell>
          <cell r="Y18668" t="str">
            <v>FRANCE</v>
          </cell>
        </row>
        <row r="18669">
          <cell r="L18669" t="str">
            <v>Non-proportional</v>
          </cell>
          <cell r="S18669">
            <v>423.78</v>
          </cell>
          <cell r="X18669" t="str">
            <v>Commissions - gross</v>
          </cell>
          <cell r="Y18669" t="str">
            <v>AUSTRALIA</v>
          </cell>
        </row>
        <row r="18670">
          <cell r="L18670" t="str">
            <v>Non-proportional</v>
          </cell>
          <cell r="S18670">
            <v>11606.76</v>
          </cell>
          <cell r="X18670" t="str">
            <v>Commissions - gross</v>
          </cell>
          <cell r="Y18670" t="str">
            <v>ECUADOR</v>
          </cell>
        </row>
        <row r="18671">
          <cell r="L18671" t="str">
            <v>Proportional</v>
          </cell>
          <cell r="S18671">
            <v>2323.1</v>
          </cell>
          <cell r="X18671" t="str">
            <v>Commissions - gross</v>
          </cell>
          <cell r="Y18671" t="str">
            <v>FRANCE</v>
          </cell>
        </row>
        <row r="18672">
          <cell r="L18672" t="str">
            <v>Non-proportional</v>
          </cell>
          <cell r="S18672">
            <v>200.4</v>
          </cell>
          <cell r="X18672" t="str">
            <v>Commissions - gross</v>
          </cell>
          <cell r="Y18672" t="str">
            <v>ECUADOR</v>
          </cell>
        </row>
        <row r="18673">
          <cell r="L18673" t="str">
            <v>Non-proportional</v>
          </cell>
          <cell r="S18673">
            <v>280.06</v>
          </cell>
          <cell r="X18673" t="str">
            <v>Commissions - gross</v>
          </cell>
          <cell r="Y18673" t="str">
            <v>PERU</v>
          </cell>
        </row>
        <row r="18674">
          <cell r="L18674" t="str">
            <v>Non-proportional</v>
          </cell>
          <cell r="S18674">
            <v>-209.82</v>
          </cell>
          <cell r="X18674" t="str">
            <v>Commissions - gross</v>
          </cell>
          <cell r="Y18674" t="str">
            <v>UNITED KINGDOM</v>
          </cell>
        </row>
        <row r="18675">
          <cell r="L18675" t="str">
            <v>Non-proportional</v>
          </cell>
          <cell r="S18675">
            <v>761.08</v>
          </cell>
          <cell r="X18675" t="str">
            <v>Commissions - gross</v>
          </cell>
          <cell r="Y18675" t="str">
            <v>UNITED KINGDOM</v>
          </cell>
        </row>
        <row r="18676">
          <cell r="L18676" t="str">
            <v>Proportional</v>
          </cell>
          <cell r="S18676">
            <v>-3.19</v>
          </cell>
          <cell r="X18676" t="str">
            <v>Commissions - gross</v>
          </cell>
          <cell r="Y18676" t="str">
            <v>CHILE</v>
          </cell>
        </row>
        <row r="18677">
          <cell r="L18677" t="str">
            <v>Proportional</v>
          </cell>
          <cell r="S18677">
            <v>4722.95</v>
          </cell>
          <cell r="X18677" t="str">
            <v>Commissions - gross</v>
          </cell>
          <cell r="Y18677" t="str">
            <v>AUSTRALIA</v>
          </cell>
        </row>
        <row r="18678">
          <cell r="L18678" t="str">
            <v>Proportional</v>
          </cell>
          <cell r="S18678">
            <v>270.31</v>
          </cell>
          <cell r="X18678" t="str">
            <v>Commissions - gross</v>
          </cell>
          <cell r="Y18678" t="str">
            <v>AUSTRALIA</v>
          </cell>
        </row>
        <row r="18679">
          <cell r="L18679" t="str">
            <v>Proportional</v>
          </cell>
          <cell r="S18679">
            <v>2820.46</v>
          </cell>
          <cell r="X18679" t="str">
            <v>Commissions - gross</v>
          </cell>
          <cell r="Y18679" t="str">
            <v>COLOMBIA</v>
          </cell>
        </row>
        <row r="18680">
          <cell r="L18680" t="str">
            <v>Non-proportional</v>
          </cell>
          <cell r="S18680">
            <v>3571.45</v>
          </cell>
          <cell r="X18680" t="str">
            <v>Commissions - gross</v>
          </cell>
          <cell r="Y18680" t="str">
            <v>CHINA</v>
          </cell>
        </row>
        <row r="18681">
          <cell r="L18681" t="str">
            <v>Non-proportional</v>
          </cell>
          <cell r="S18681">
            <v>10679.51</v>
          </cell>
          <cell r="X18681" t="str">
            <v>Commissions - gross</v>
          </cell>
          <cell r="Y18681" t="str">
            <v>PERU</v>
          </cell>
        </row>
        <row r="18682">
          <cell r="L18682" t="str">
            <v>Non-proportional</v>
          </cell>
          <cell r="S18682">
            <v>-1655.27</v>
          </cell>
          <cell r="X18682" t="str">
            <v>Commissions - gross</v>
          </cell>
          <cell r="Y18682" t="str">
            <v>ECUADOR</v>
          </cell>
        </row>
        <row r="18683">
          <cell r="L18683" t="str">
            <v>Non-proportional</v>
          </cell>
          <cell r="S18683">
            <v>-327.75</v>
          </cell>
          <cell r="X18683" t="str">
            <v>Commissions - gross</v>
          </cell>
          <cell r="Y18683" t="str">
            <v>CHILE</v>
          </cell>
        </row>
        <row r="18684">
          <cell r="L18684" t="str">
            <v>Non-proportional</v>
          </cell>
          <cell r="S18684">
            <v>36.42</v>
          </cell>
          <cell r="X18684" t="str">
            <v>Commissions - gross</v>
          </cell>
          <cell r="Y18684" t="str">
            <v>CHILE</v>
          </cell>
        </row>
        <row r="18685">
          <cell r="L18685" t="str">
            <v>Non-proportional</v>
          </cell>
          <cell r="S18685">
            <v>-3319.17</v>
          </cell>
          <cell r="X18685" t="str">
            <v>Commissions - gross</v>
          </cell>
          <cell r="Y18685" t="str">
            <v>GERMANY</v>
          </cell>
        </row>
        <row r="18686">
          <cell r="L18686" t="str">
            <v>Non-proportional</v>
          </cell>
          <cell r="S18686">
            <v>145.66999999999999</v>
          </cell>
          <cell r="X18686" t="str">
            <v>Commissions - gross</v>
          </cell>
          <cell r="Y18686" t="str">
            <v>CHILE</v>
          </cell>
        </row>
        <row r="18687">
          <cell r="L18687" t="str">
            <v>Proportional</v>
          </cell>
          <cell r="S18687">
            <v>-323.67</v>
          </cell>
          <cell r="X18687" t="str">
            <v>Commissions - gross</v>
          </cell>
          <cell r="Y18687" t="str">
            <v>CHILE</v>
          </cell>
        </row>
        <row r="18688">
          <cell r="L18688" t="str">
            <v>Proportional</v>
          </cell>
          <cell r="S18688">
            <v>281.45999999999998</v>
          </cell>
          <cell r="X18688" t="str">
            <v>Commissions - gross</v>
          </cell>
          <cell r="Y18688" t="str">
            <v>SWITZERLAND</v>
          </cell>
        </row>
        <row r="18689">
          <cell r="L18689" t="str">
            <v>Non-proportional</v>
          </cell>
          <cell r="S18689">
            <v>7296.5</v>
          </cell>
          <cell r="X18689" t="str">
            <v>Commissions - gross</v>
          </cell>
          <cell r="Y18689" t="str">
            <v>UNITED STATES</v>
          </cell>
        </row>
        <row r="18690">
          <cell r="L18690" t="str">
            <v>Non-proportional</v>
          </cell>
          <cell r="S18690">
            <v>-910.66</v>
          </cell>
          <cell r="X18690" t="str">
            <v>Commissions - gross</v>
          </cell>
          <cell r="Y18690" t="str">
            <v>DOMINICAN REPUBLIC</v>
          </cell>
        </row>
        <row r="18691">
          <cell r="L18691" t="str">
            <v>Non-proportional</v>
          </cell>
          <cell r="S18691">
            <v>145.66999999999999</v>
          </cell>
          <cell r="X18691" t="str">
            <v>Commissions - gross</v>
          </cell>
          <cell r="Y18691" t="str">
            <v>CHILE</v>
          </cell>
        </row>
        <row r="18692">
          <cell r="L18692" t="str">
            <v>Non-proportional</v>
          </cell>
          <cell r="S18692">
            <v>-3350.48</v>
          </cell>
          <cell r="X18692" t="str">
            <v>Commissions - gross</v>
          </cell>
          <cell r="Y18692" t="str">
            <v>CHINA</v>
          </cell>
        </row>
        <row r="18693">
          <cell r="L18693" t="str">
            <v>Proportional</v>
          </cell>
          <cell r="S18693">
            <v>-281.45999999999998</v>
          </cell>
          <cell r="X18693" t="str">
            <v>Commissions - gross</v>
          </cell>
          <cell r="Y18693" t="str">
            <v>SWITZERLAND</v>
          </cell>
        </row>
        <row r="18694">
          <cell r="L18694" t="str">
            <v>Non-proportional</v>
          </cell>
          <cell r="S18694">
            <v>-5340.93</v>
          </cell>
          <cell r="X18694" t="str">
            <v>Commissions - gross</v>
          </cell>
          <cell r="Y18694" t="str">
            <v>DOMINICAN REPUBLIC</v>
          </cell>
        </row>
        <row r="18695">
          <cell r="L18695" t="str">
            <v>Proportional</v>
          </cell>
          <cell r="S18695">
            <v>-2315.46</v>
          </cell>
          <cell r="X18695" t="str">
            <v>Commissions - gross</v>
          </cell>
          <cell r="Y18695" t="str">
            <v>MEXICO</v>
          </cell>
        </row>
        <row r="18696">
          <cell r="L18696" t="str">
            <v>Proportional</v>
          </cell>
          <cell r="S18696">
            <v>-208.55</v>
          </cell>
          <cell r="X18696" t="str">
            <v>Commissions - gross</v>
          </cell>
          <cell r="Y18696" t="str">
            <v>CHILE</v>
          </cell>
        </row>
        <row r="18697">
          <cell r="L18697" t="str">
            <v>Non-proportional</v>
          </cell>
          <cell r="S18697">
            <v>-416.83</v>
          </cell>
          <cell r="X18697" t="str">
            <v>Commissions - gross</v>
          </cell>
          <cell r="Y18697" t="str">
            <v>JAPAN</v>
          </cell>
        </row>
        <row r="18698">
          <cell r="L18698" t="str">
            <v>Proportional</v>
          </cell>
          <cell r="S18698">
            <v>-4722.95</v>
          </cell>
          <cell r="X18698" t="str">
            <v>Commissions - gross</v>
          </cell>
          <cell r="Y18698" t="str">
            <v>AUSTRALIA</v>
          </cell>
        </row>
        <row r="18699">
          <cell r="L18699" t="str">
            <v>Non-proportional</v>
          </cell>
          <cell r="S18699">
            <v>-9750.7099999999991</v>
          </cell>
          <cell r="X18699" t="str">
            <v>Commissions - gross</v>
          </cell>
          <cell r="Y18699" t="str">
            <v>PERU</v>
          </cell>
        </row>
        <row r="18700">
          <cell r="L18700" t="str">
            <v>Non-proportional</v>
          </cell>
          <cell r="S18700">
            <v>4070.23</v>
          </cell>
          <cell r="X18700" t="str">
            <v>Commissions - gross</v>
          </cell>
          <cell r="Y18700" t="str">
            <v>BRAZIL</v>
          </cell>
        </row>
        <row r="18701">
          <cell r="L18701" t="str">
            <v>Non-proportional</v>
          </cell>
          <cell r="S18701">
            <v>-548.29999999999995</v>
          </cell>
          <cell r="X18701" t="str">
            <v>Commissions - gross</v>
          </cell>
          <cell r="Y18701" t="str">
            <v>AUSTRALIA</v>
          </cell>
        </row>
        <row r="18702">
          <cell r="L18702" t="str">
            <v>Non-proportional</v>
          </cell>
          <cell r="S18702">
            <v>4281.04</v>
          </cell>
          <cell r="X18702" t="str">
            <v>Commissions - gross</v>
          </cell>
          <cell r="Y18702" t="str">
            <v>HONG KONG</v>
          </cell>
        </row>
        <row r="18703">
          <cell r="L18703" t="str">
            <v>Non-proportional</v>
          </cell>
          <cell r="S18703">
            <v>-406.66</v>
          </cell>
          <cell r="X18703" t="str">
            <v>Commissions - gross</v>
          </cell>
          <cell r="Y18703" t="str">
            <v>DOMINICAN REPUBLIC</v>
          </cell>
        </row>
        <row r="18704">
          <cell r="L18704" t="str">
            <v>Non-proportional</v>
          </cell>
          <cell r="S18704">
            <v>193.46</v>
          </cell>
          <cell r="X18704" t="str">
            <v>Commissions - gross</v>
          </cell>
          <cell r="Y18704" t="str">
            <v>ISRAEL</v>
          </cell>
        </row>
        <row r="18705">
          <cell r="L18705" t="str">
            <v>Non-proportional</v>
          </cell>
          <cell r="S18705">
            <v>-94.03</v>
          </cell>
          <cell r="X18705" t="str">
            <v>Commissions - gross</v>
          </cell>
          <cell r="Y18705" t="str">
            <v>DOMINICAN REPUBLIC</v>
          </cell>
        </row>
        <row r="18706">
          <cell r="L18706" t="str">
            <v>Non-proportional</v>
          </cell>
          <cell r="S18706">
            <v>-25895.42</v>
          </cell>
          <cell r="X18706" t="str">
            <v>Commissions - gross</v>
          </cell>
          <cell r="Y18706" t="str">
            <v>DOMINICAN REPUBLIC</v>
          </cell>
        </row>
        <row r="18707">
          <cell r="L18707" t="str">
            <v>Non-proportional</v>
          </cell>
          <cell r="S18707">
            <v>-317.69</v>
          </cell>
          <cell r="X18707" t="str">
            <v>Commissions - gross</v>
          </cell>
          <cell r="Y18707" t="str">
            <v>ECUADOR</v>
          </cell>
        </row>
        <row r="18708">
          <cell r="L18708" t="str">
            <v>Non-proportional</v>
          </cell>
          <cell r="S18708">
            <v>6450.04</v>
          </cell>
          <cell r="X18708" t="str">
            <v>Commissions - gross</v>
          </cell>
          <cell r="Y18708" t="str">
            <v>ECUADOR</v>
          </cell>
        </row>
        <row r="18709">
          <cell r="L18709" t="str">
            <v>Non-proportional</v>
          </cell>
          <cell r="S18709">
            <v>-7654.29</v>
          </cell>
          <cell r="X18709" t="str">
            <v>Commissions - gross</v>
          </cell>
          <cell r="Y18709" t="str">
            <v>FRANCE</v>
          </cell>
        </row>
        <row r="18710">
          <cell r="L18710" t="str">
            <v>Proportional</v>
          </cell>
          <cell r="S18710">
            <v>2315.46</v>
          </cell>
          <cell r="X18710" t="str">
            <v>Commissions - gross</v>
          </cell>
          <cell r="Y18710" t="str">
            <v>MEXICO</v>
          </cell>
        </row>
        <row r="18711">
          <cell r="L18711" t="str">
            <v>Proportional</v>
          </cell>
          <cell r="S18711">
            <v>-1.06</v>
          </cell>
          <cell r="X18711" t="str">
            <v>Commissions - gross</v>
          </cell>
          <cell r="Y18711" t="str">
            <v>FRANCE</v>
          </cell>
        </row>
        <row r="18712">
          <cell r="L18712" t="str">
            <v>Non-proportional</v>
          </cell>
          <cell r="S18712">
            <v>-3986.32</v>
          </cell>
          <cell r="X18712" t="str">
            <v>Commissions - gross</v>
          </cell>
          <cell r="Y18712" t="str">
            <v>DOMINICAN REPUBLIC</v>
          </cell>
        </row>
        <row r="18713">
          <cell r="L18713" t="str">
            <v>Proportional</v>
          </cell>
          <cell r="S18713">
            <v>9601.32</v>
          </cell>
          <cell r="X18713" t="str">
            <v>Commissions - gross</v>
          </cell>
          <cell r="Y18713" t="str">
            <v>MEXICO</v>
          </cell>
        </row>
        <row r="18714">
          <cell r="L18714" t="str">
            <v>Non-proportional</v>
          </cell>
          <cell r="S18714">
            <v>910.66</v>
          </cell>
          <cell r="X18714" t="str">
            <v>Commissions - gross</v>
          </cell>
          <cell r="Y18714" t="str">
            <v>DOMINICAN REPUBLIC</v>
          </cell>
        </row>
        <row r="18715">
          <cell r="L18715" t="str">
            <v>Proportional</v>
          </cell>
          <cell r="S18715">
            <v>-432.14</v>
          </cell>
          <cell r="X18715" t="str">
            <v>Commissions - gross</v>
          </cell>
          <cell r="Y18715" t="str">
            <v>FRANCE</v>
          </cell>
        </row>
        <row r="18716">
          <cell r="L18716" t="str">
            <v>Non-proportional</v>
          </cell>
          <cell r="S18716">
            <v>9984.7999999999993</v>
          </cell>
          <cell r="X18716" t="str">
            <v>Commissions - gross</v>
          </cell>
          <cell r="Y18716" t="str">
            <v>COLOMBIA</v>
          </cell>
        </row>
        <row r="18717">
          <cell r="L18717" t="str">
            <v>Non-proportional</v>
          </cell>
          <cell r="S18717">
            <v>253.92</v>
          </cell>
          <cell r="X18717" t="str">
            <v>Commissions - gross</v>
          </cell>
          <cell r="Y18717" t="str">
            <v>PERU</v>
          </cell>
        </row>
        <row r="18718">
          <cell r="L18718" t="str">
            <v>Non-proportional</v>
          </cell>
          <cell r="S18718">
            <v>1266.54</v>
          </cell>
          <cell r="X18718" t="str">
            <v>Commissions - gross</v>
          </cell>
          <cell r="Y18718" t="str">
            <v>UNITED KINGDOM</v>
          </cell>
        </row>
        <row r="18719">
          <cell r="L18719" t="str">
            <v>Non-proportional</v>
          </cell>
          <cell r="S18719">
            <v>-747.41</v>
          </cell>
          <cell r="X18719" t="str">
            <v>Commissions - gross</v>
          </cell>
          <cell r="Y18719" t="str">
            <v>JAPAN</v>
          </cell>
        </row>
        <row r="18720">
          <cell r="L18720" t="str">
            <v>Proportional</v>
          </cell>
          <cell r="S18720">
            <v>0.39</v>
          </cell>
          <cell r="X18720" t="str">
            <v>Commissions - gross</v>
          </cell>
          <cell r="Y18720" t="str">
            <v>CHILE</v>
          </cell>
        </row>
        <row r="18721">
          <cell r="L18721" t="str">
            <v>Non-proportional</v>
          </cell>
          <cell r="S18721">
            <v>4849.4799999999996</v>
          </cell>
          <cell r="X18721" t="str">
            <v>Commissions - gross</v>
          </cell>
          <cell r="Y18721" t="str">
            <v>GERMANY</v>
          </cell>
        </row>
        <row r="18722">
          <cell r="L18722" t="str">
            <v>Non-proportional</v>
          </cell>
          <cell r="S18722">
            <v>28621.83</v>
          </cell>
          <cell r="X18722" t="str">
            <v>Commissions - gross</v>
          </cell>
          <cell r="Y18722" t="str">
            <v>FRANCE</v>
          </cell>
        </row>
        <row r="18723">
          <cell r="L18723" t="str">
            <v>Proportional</v>
          </cell>
          <cell r="S18723">
            <v>837.59</v>
          </cell>
          <cell r="X18723" t="str">
            <v>Commissions - gross</v>
          </cell>
          <cell r="Y18723" t="str">
            <v>CHILE</v>
          </cell>
        </row>
        <row r="18724">
          <cell r="L18724" t="str">
            <v>Proportional</v>
          </cell>
          <cell r="S18724">
            <v>61.86</v>
          </cell>
          <cell r="X18724" t="str">
            <v>Commissions - gross</v>
          </cell>
          <cell r="Y18724" t="str">
            <v>CHILE</v>
          </cell>
        </row>
        <row r="18725">
          <cell r="L18725" t="str">
            <v>Non-proportional</v>
          </cell>
          <cell r="S18725">
            <v>-3350.48</v>
          </cell>
          <cell r="X18725" t="str">
            <v>Commissions - gross</v>
          </cell>
          <cell r="Y18725" t="str">
            <v>CHINA</v>
          </cell>
        </row>
        <row r="18726">
          <cell r="L18726" t="str">
            <v>Proportional</v>
          </cell>
          <cell r="S18726">
            <v>6.96</v>
          </cell>
          <cell r="X18726" t="str">
            <v>Commissions - gross</v>
          </cell>
          <cell r="Y18726" t="str">
            <v>CHILE</v>
          </cell>
        </row>
        <row r="18727">
          <cell r="L18727" t="str">
            <v>Non-proportional</v>
          </cell>
          <cell r="S18727">
            <v>371.85</v>
          </cell>
          <cell r="X18727" t="str">
            <v>Commissions - gross</v>
          </cell>
          <cell r="Y18727" t="str">
            <v>GERMANY</v>
          </cell>
        </row>
        <row r="18728">
          <cell r="L18728" t="str">
            <v>Proportional</v>
          </cell>
          <cell r="S18728">
            <v>2067.5700000000002</v>
          </cell>
          <cell r="X18728" t="str">
            <v>Commissions - gross</v>
          </cell>
          <cell r="Y18728" t="str">
            <v>CHILE</v>
          </cell>
        </row>
        <row r="18729">
          <cell r="L18729" t="str">
            <v>Non-proportional</v>
          </cell>
          <cell r="S18729">
            <v>-817.4</v>
          </cell>
          <cell r="X18729" t="str">
            <v>Commissions - gross</v>
          </cell>
          <cell r="Y18729" t="str">
            <v>ISRAEL</v>
          </cell>
        </row>
        <row r="18730">
          <cell r="L18730" t="str">
            <v>Proportional</v>
          </cell>
          <cell r="S18730">
            <v>1.86</v>
          </cell>
          <cell r="X18730" t="str">
            <v>Commissions - gross</v>
          </cell>
          <cell r="Y18730" t="str">
            <v>CHILE</v>
          </cell>
        </row>
        <row r="18731">
          <cell r="L18731" t="str">
            <v>Proportional</v>
          </cell>
          <cell r="S18731">
            <v>1896.04</v>
          </cell>
          <cell r="X18731" t="str">
            <v>Commissions - gross</v>
          </cell>
          <cell r="Y18731" t="str">
            <v>ITALY</v>
          </cell>
        </row>
        <row r="18732">
          <cell r="L18732" t="str">
            <v>Proportional</v>
          </cell>
          <cell r="S18732">
            <v>11.43</v>
          </cell>
          <cell r="X18732" t="str">
            <v>Commissions - gross</v>
          </cell>
          <cell r="Y18732" t="str">
            <v>CHILE</v>
          </cell>
        </row>
        <row r="18733">
          <cell r="L18733" t="str">
            <v>Proportional</v>
          </cell>
          <cell r="S18733">
            <v>12.88</v>
          </cell>
          <cell r="X18733" t="str">
            <v>Commissions - gross</v>
          </cell>
          <cell r="Y18733" t="str">
            <v>MALAYSIA</v>
          </cell>
        </row>
        <row r="18734">
          <cell r="L18734" t="str">
            <v>Non-proportional</v>
          </cell>
          <cell r="S18734">
            <v>924.07</v>
          </cell>
          <cell r="X18734" t="str">
            <v>Commissions - gross</v>
          </cell>
          <cell r="Y18734" t="str">
            <v>AUSTRALIA</v>
          </cell>
        </row>
        <row r="18735">
          <cell r="L18735" t="str">
            <v>Proportional</v>
          </cell>
          <cell r="S18735">
            <v>4199.3900000000003</v>
          </cell>
          <cell r="X18735" t="str">
            <v>Commissions - gross</v>
          </cell>
          <cell r="Y18735" t="str">
            <v>UNITED STATES</v>
          </cell>
        </row>
        <row r="18736">
          <cell r="L18736" t="str">
            <v>Proportional</v>
          </cell>
          <cell r="S18736">
            <v>-818.13</v>
          </cell>
          <cell r="X18736" t="str">
            <v>Commissions - gross</v>
          </cell>
          <cell r="Y18736" t="str">
            <v>UNITED STATES</v>
          </cell>
        </row>
        <row r="18737">
          <cell r="L18737" t="str">
            <v>Non-proportional</v>
          </cell>
          <cell r="S18737">
            <v>-148.19</v>
          </cell>
          <cell r="X18737" t="str">
            <v>Commissions - gross</v>
          </cell>
          <cell r="Y18737" t="str">
            <v>DOMINICAN REPUBLIC</v>
          </cell>
        </row>
        <row r="18738">
          <cell r="L18738" t="str">
            <v>Proportional</v>
          </cell>
          <cell r="S18738">
            <v>736.89</v>
          </cell>
          <cell r="X18738" t="str">
            <v>Commissions - gross</v>
          </cell>
          <cell r="Y18738" t="str">
            <v>CHILE</v>
          </cell>
        </row>
        <row r="18739">
          <cell r="L18739" t="str">
            <v>Non-proportional</v>
          </cell>
          <cell r="S18739">
            <v>-90</v>
          </cell>
          <cell r="X18739" t="str">
            <v>Commissions - gross</v>
          </cell>
          <cell r="Y18739" t="str">
            <v>DOMINICAN REPUBLIC</v>
          </cell>
        </row>
        <row r="18740">
          <cell r="L18740" t="str">
            <v>Proportional</v>
          </cell>
          <cell r="S18740">
            <v>266.14</v>
          </cell>
          <cell r="X18740" t="str">
            <v>Commissions - gross</v>
          </cell>
          <cell r="Y18740" t="str">
            <v>ITALY</v>
          </cell>
        </row>
        <row r="18741">
          <cell r="L18741" t="str">
            <v>Non-proportional</v>
          </cell>
          <cell r="S18741">
            <v>-1277.1199999999999</v>
          </cell>
          <cell r="X18741" t="str">
            <v>Commissions - gross</v>
          </cell>
          <cell r="Y18741" t="str">
            <v>FRANCE</v>
          </cell>
        </row>
        <row r="18742">
          <cell r="L18742" t="str">
            <v>Proportional</v>
          </cell>
          <cell r="S18742">
            <v>-126.9</v>
          </cell>
          <cell r="X18742" t="str">
            <v>Commissions - gross</v>
          </cell>
          <cell r="Y18742" t="str">
            <v>CHILE</v>
          </cell>
        </row>
        <row r="18743">
          <cell r="L18743" t="str">
            <v>Non-proportional</v>
          </cell>
          <cell r="S18743">
            <v>-817.4</v>
          </cell>
          <cell r="X18743" t="str">
            <v>Commissions - gross</v>
          </cell>
          <cell r="Y18743" t="str">
            <v>ISRAEL</v>
          </cell>
        </row>
        <row r="18744">
          <cell r="L18744" t="str">
            <v>Non-proportional</v>
          </cell>
          <cell r="S18744">
            <v>-4064</v>
          </cell>
          <cell r="X18744" t="str">
            <v>Commissions - gross</v>
          </cell>
          <cell r="Y18744" t="str">
            <v>FRANCE</v>
          </cell>
        </row>
        <row r="18745">
          <cell r="L18745" t="str">
            <v>Proportional</v>
          </cell>
          <cell r="S18745">
            <v>-478.98</v>
          </cell>
          <cell r="X18745" t="str">
            <v>Commissions - gross</v>
          </cell>
          <cell r="Y18745" t="str">
            <v>CHILE</v>
          </cell>
        </row>
        <row r="18746">
          <cell r="L18746" t="str">
            <v>Non-proportional</v>
          </cell>
          <cell r="S18746">
            <v>2000.33</v>
          </cell>
          <cell r="X18746" t="str">
            <v>Commissions - gross</v>
          </cell>
          <cell r="Y18746" t="str">
            <v>PERU</v>
          </cell>
        </row>
        <row r="18747">
          <cell r="L18747" t="str">
            <v>Proportional</v>
          </cell>
          <cell r="S18747">
            <v>-126.9</v>
          </cell>
          <cell r="X18747" t="str">
            <v>Commissions - gross</v>
          </cell>
          <cell r="Y18747" t="str">
            <v>CHILE</v>
          </cell>
        </row>
        <row r="18748">
          <cell r="L18748" t="str">
            <v>Proportional</v>
          </cell>
          <cell r="S18748">
            <v>126.9</v>
          </cell>
          <cell r="X18748" t="str">
            <v>Commissions - gross</v>
          </cell>
          <cell r="Y18748" t="str">
            <v>CHILE</v>
          </cell>
        </row>
        <row r="18749">
          <cell r="L18749" t="str">
            <v>Proportional</v>
          </cell>
          <cell r="S18749">
            <v>-2210.66</v>
          </cell>
          <cell r="X18749" t="str">
            <v>Commissions - gross</v>
          </cell>
          <cell r="Y18749" t="str">
            <v>CHILE</v>
          </cell>
        </row>
        <row r="18750">
          <cell r="L18750" t="str">
            <v>Proportional</v>
          </cell>
          <cell r="S18750">
            <v>64435.14</v>
          </cell>
          <cell r="X18750" t="str">
            <v>Commissions - gross</v>
          </cell>
          <cell r="Y18750" t="str">
            <v>UNITED STATES</v>
          </cell>
        </row>
        <row r="18751">
          <cell r="L18751" t="str">
            <v>Non-proportional</v>
          </cell>
          <cell r="S18751">
            <v>-846.84</v>
          </cell>
          <cell r="X18751" t="str">
            <v>Commissions - gross</v>
          </cell>
          <cell r="Y18751" t="str">
            <v>ISRAEL</v>
          </cell>
        </row>
        <row r="18752">
          <cell r="L18752" t="str">
            <v>Non-proportional</v>
          </cell>
          <cell r="S18752">
            <v>108.09</v>
          </cell>
          <cell r="X18752" t="str">
            <v>Commissions - gross</v>
          </cell>
          <cell r="Y18752" t="str">
            <v>AUSTRALIA</v>
          </cell>
        </row>
        <row r="18753">
          <cell r="L18753" t="str">
            <v>Proportional</v>
          </cell>
          <cell r="S18753">
            <v>2758.5</v>
          </cell>
          <cell r="X18753" t="str">
            <v>Commissions - gross</v>
          </cell>
          <cell r="Y18753" t="str">
            <v>UNITED STATES</v>
          </cell>
        </row>
        <row r="18754">
          <cell r="L18754" t="str">
            <v>Proportional</v>
          </cell>
          <cell r="S18754">
            <v>33858.129999999997</v>
          </cell>
          <cell r="X18754" t="str">
            <v>Commissions - gross</v>
          </cell>
          <cell r="Y18754" t="str">
            <v>AUSTRALIA</v>
          </cell>
        </row>
        <row r="18755">
          <cell r="L18755" t="str">
            <v>Non-proportional</v>
          </cell>
          <cell r="S18755">
            <v>2579.1</v>
          </cell>
          <cell r="X18755" t="str">
            <v>Commissions - gross</v>
          </cell>
          <cell r="Y18755" t="str">
            <v>CHILE</v>
          </cell>
        </row>
        <row r="18756">
          <cell r="L18756" t="str">
            <v>Proportional</v>
          </cell>
          <cell r="S18756">
            <v>1.86</v>
          </cell>
          <cell r="X18756" t="str">
            <v>Commissions - gross</v>
          </cell>
          <cell r="Y18756" t="str">
            <v>CHILE</v>
          </cell>
        </row>
        <row r="18757">
          <cell r="L18757" t="str">
            <v>Non-proportional</v>
          </cell>
          <cell r="S18757">
            <v>937.92</v>
          </cell>
          <cell r="X18757" t="str">
            <v>Commissions - gross</v>
          </cell>
          <cell r="Y18757" t="str">
            <v>UNITED KINGDOM</v>
          </cell>
        </row>
        <row r="18758">
          <cell r="L18758" t="str">
            <v>Non-proportional</v>
          </cell>
          <cell r="S18758">
            <v>461.38</v>
          </cell>
          <cell r="X18758" t="str">
            <v>Commissions - gross</v>
          </cell>
          <cell r="Y18758" t="str">
            <v>AUSTRALIA</v>
          </cell>
        </row>
        <row r="18759">
          <cell r="L18759" t="str">
            <v>Proportional</v>
          </cell>
          <cell r="S18759">
            <v>-3129.04</v>
          </cell>
          <cell r="X18759" t="str">
            <v>Commissions - gross</v>
          </cell>
          <cell r="Y18759" t="str">
            <v>AUSTRALIA</v>
          </cell>
        </row>
        <row r="18760">
          <cell r="L18760" t="str">
            <v>Proportional</v>
          </cell>
          <cell r="S18760">
            <v>3129.04</v>
          </cell>
          <cell r="X18760" t="str">
            <v>Commissions - gross</v>
          </cell>
          <cell r="Y18760" t="str">
            <v>AUSTRALIA</v>
          </cell>
        </row>
        <row r="18761">
          <cell r="L18761" t="str">
            <v>Non-proportional</v>
          </cell>
          <cell r="S18761">
            <v>20.190000000000001</v>
          </cell>
          <cell r="X18761" t="str">
            <v>Commissions - gross</v>
          </cell>
          <cell r="Y18761" t="str">
            <v>DOMINICAN REPUBLIC</v>
          </cell>
        </row>
        <row r="18762">
          <cell r="L18762" t="str">
            <v>Proportional</v>
          </cell>
          <cell r="S18762">
            <v>-1636.43</v>
          </cell>
          <cell r="X18762" t="str">
            <v>Commissions - gross</v>
          </cell>
          <cell r="Y18762" t="str">
            <v>SWITZERLAND</v>
          </cell>
        </row>
        <row r="18763">
          <cell r="L18763" t="str">
            <v>Non-proportional</v>
          </cell>
          <cell r="S18763">
            <v>9740.59</v>
          </cell>
          <cell r="X18763" t="str">
            <v>Commissions - gross</v>
          </cell>
          <cell r="Y18763" t="str">
            <v>PERU</v>
          </cell>
        </row>
        <row r="18764">
          <cell r="L18764" t="str">
            <v>Non-proportional</v>
          </cell>
          <cell r="S18764">
            <v>2616.34</v>
          </cell>
          <cell r="X18764" t="str">
            <v>Commissions - gross</v>
          </cell>
          <cell r="Y18764" t="str">
            <v>UNITED KINGDOM</v>
          </cell>
        </row>
        <row r="18765">
          <cell r="L18765" t="str">
            <v>Proportional</v>
          </cell>
          <cell r="S18765">
            <v>147.38</v>
          </cell>
          <cell r="X18765" t="str">
            <v>Commissions - gross</v>
          </cell>
          <cell r="Y18765" t="str">
            <v>CHILE</v>
          </cell>
        </row>
        <row r="18766">
          <cell r="L18766" t="str">
            <v>Proportional</v>
          </cell>
          <cell r="S18766">
            <v>110.53</v>
          </cell>
          <cell r="X18766" t="str">
            <v>Commissions - gross</v>
          </cell>
          <cell r="Y18766" t="str">
            <v>CHILE</v>
          </cell>
        </row>
        <row r="18767">
          <cell r="L18767" t="str">
            <v>Non-proportional</v>
          </cell>
          <cell r="S18767">
            <v>-515</v>
          </cell>
          <cell r="X18767" t="str">
            <v>Commissions - gross</v>
          </cell>
          <cell r="Y18767" t="str">
            <v>GERMANY</v>
          </cell>
        </row>
        <row r="18768">
          <cell r="L18768" t="str">
            <v>Non-proportional</v>
          </cell>
          <cell r="S18768">
            <v>-1512.57</v>
          </cell>
          <cell r="X18768" t="str">
            <v>Commissions - gross</v>
          </cell>
          <cell r="Y18768" t="str">
            <v>UNITED KINGDOM</v>
          </cell>
        </row>
        <row r="18769">
          <cell r="L18769" t="str">
            <v>Proportional</v>
          </cell>
          <cell r="S18769">
            <v>790.44</v>
          </cell>
          <cell r="X18769" t="str">
            <v>Commissions - gross</v>
          </cell>
          <cell r="Y18769" t="str">
            <v>UNITED STATES</v>
          </cell>
        </row>
        <row r="18770">
          <cell r="L18770" t="str">
            <v>Non-proportional</v>
          </cell>
          <cell r="S18770">
            <v>-406.44</v>
          </cell>
          <cell r="X18770" t="str">
            <v>Commissions - gross</v>
          </cell>
          <cell r="Y18770" t="str">
            <v>DOMINICAN REPUBLIC</v>
          </cell>
        </row>
        <row r="18771">
          <cell r="L18771" t="str">
            <v>Non-proportional</v>
          </cell>
          <cell r="S18771">
            <v>-3242.3</v>
          </cell>
          <cell r="X18771" t="str">
            <v>Commissions - gross</v>
          </cell>
          <cell r="Y18771" t="str">
            <v>CHILE</v>
          </cell>
        </row>
        <row r="18772">
          <cell r="L18772" t="str">
            <v>Proportional</v>
          </cell>
          <cell r="S18772">
            <v>-36.840000000000003</v>
          </cell>
          <cell r="X18772" t="str">
            <v>Commissions - gross</v>
          </cell>
          <cell r="Y18772" t="str">
            <v>CHILE</v>
          </cell>
        </row>
        <row r="18773">
          <cell r="L18773" t="str">
            <v>Proportional</v>
          </cell>
          <cell r="S18773">
            <v>-1208.1500000000001</v>
          </cell>
          <cell r="X18773" t="str">
            <v>Commissions - gross</v>
          </cell>
          <cell r="Y18773" t="str">
            <v>MEXICO</v>
          </cell>
        </row>
        <row r="18774">
          <cell r="L18774" t="str">
            <v>Non-proportional</v>
          </cell>
          <cell r="S18774">
            <v>374.71</v>
          </cell>
          <cell r="X18774" t="str">
            <v>Commissions - gross</v>
          </cell>
          <cell r="Y18774" t="str">
            <v>DOMINICAN REPUBLIC</v>
          </cell>
        </row>
        <row r="18775">
          <cell r="L18775" t="str">
            <v>Non-proportional</v>
          </cell>
          <cell r="S18775">
            <v>-262.5</v>
          </cell>
          <cell r="X18775" t="str">
            <v>Commissions - gross</v>
          </cell>
          <cell r="Y18775" t="str">
            <v>GERMANY</v>
          </cell>
        </row>
        <row r="18776">
          <cell r="L18776" t="str">
            <v>Proportional</v>
          </cell>
          <cell r="S18776">
            <v>1627.98</v>
          </cell>
          <cell r="X18776" t="str">
            <v>Commissions - gross</v>
          </cell>
          <cell r="Y18776" t="str">
            <v>FRANCE</v>
          </cell>
        </row>
        <row r="18777">
          <cell r="L18777" t="str">
            <v>Proportional</v>
          </cell>
          <cell r="S18777">
            <v>-4199.3900000000003</v>
          </cell>
          <cell r="X18777" t="str">
            <v>Commissions - gross</v>
          </cell>
          <cell r="Y18777" t="str">
            <v>UNITED STATES</v>
          </cell>
        </row>
        <row r="18778">
          <cell r="L18778" t="str">
            <v>Proportional</v>
          </cell>
          <cell r="S18778">
            <v>61.08</v>
          </cell>
          <cell r="X18778" t="str">
            <v>Commissions - gross</v>
          </cell>
          <cell r="Y18778" t="str">
            <v>UNITED STATES</v>
          </cell>
        </row>
        <row r="18779">
          <cell r="L18779" t="str">
            <v>Proportional</v>
          </cell>
          <cell r="S18779">
            <v>-1627.98</v>
          </cell>
          <cell r="X18779" t="str">
            <v>Commissions - gross</v>
          </cell>
          <cell r="Y18779" t="str">
            <v>FRANCE</v>
          </cell>
        </row>
        <row r="18780">
          <cell r="L18780" t="str">
            <v>Non-proportional</v>
          </cell>
          <cell r="S18780">
            <v>-1812.5</v>
          </cell>
          <cell r="X18780" t="str">
            <v>Commissions - gross</v>
          </cell>
          <cell r="Y18780" t="str">
            <v>ROMANIA</v>
          </cell>
        </row>
        <row r="18781">
          <cell r="L18781" t="str">
            <v>Proportional</v>
          </cell>
          <cell r="S18781">
            <v>0.82</v>
          </cell>
          <cell r="X18781" t="str">
            <v>Commissions - gross</v>
          </cell>
          <cell r="Y18781" t="str">
            <v>CHILE</v>
          </cell>
        </row>
        <row r="18782">
          <cell r="L18782" t="str">
            <v>Proportional</v>
          </cell>
          <cell r="S18782">
            <v>356.66</v>
          </cell>
          <cell r="X18782" t="str">
            <v>Commissions - gross</v>
          </cell>
          <cell r="Y18782" t="str">
            <v>UNITED STATES</v>
          </cell>
        </row>
        <row r="18783">
          <cell r="L18783" t="str">
            <v>Non-proportional</v>
          </cell>
          <cell r="S18783">
            <v>321.5</v>
          </cell>
          <cell r="X18783" t="str">
            <v>Commissions - gross</v>
          </cell>
          <cell r="Y18783" t="str">
            <v>DOMINICAN REPUBLIC</v>
          </cell>
        </row>
        <row r="18784">
          <cell r="L18784" t="str">
            <v>Proportional</v>
          </cell>
          <cell r="S18784">
            <v>557.52</v>
          </cell>
          <cell r="X18784" t="str">
            <v>Commissions - gross</v>
          </cell>
          <cell r="Y18784" t="str">
            <v>FRANCE</v>
          </cell>
        </row>
        <row r="18785">
          <cell r="L18785" t="str">
            <v>Proportional</v>
          </cell>
          <cell r="S18785">
            <v>-95.33</v>
          </cell>
          <cell r="X18785" t="str">
            <v>Commissions - gross</v>
          </cell>
          <cell r="Y18785" t="str">
            <v>UNITED STATES</v>
          </cell>
        </row>
        <row r="18786">
          <cell r="L18786" t="str">
            <v>Non-proportional</v>
          </cell>
          <cell r="S18786">
            <v>-9740.59</v>
          </cell>
          <cell r="X18786" t="str">
            <v>Commissions - gross</v>
          </cell>
          <cell r="Y18786" t="str">
            <v>PERU</v>
          </cell>
        </row>
        <row r="18787">
          <cell r="L18787" t="str">
            <v>Non-proportional</v>
          </cell>
          <cell r="S18787">
            <v>-179.47</v>
          </cell>
          <cell r="X18787" t="str">
            <v>Commissions - gross</v>
          </cell>
          <cell r="Y18787" t="str">
            <v>DOMINICAN REPUBLIC</v>
          </cell>
        </row>
        <row r="18788">
          <cell r="L18788" t="str">
            <v>Non-proportional</v>
          </cell>
          <cell r="S18788">
            <v>10574.33</v>
          </cell>
          <cell r="X18788" t="str">
            <v>Commissions - gross</v>
          </cell>
          <cell r="Y18788" t="str">
            <v>CHILE</v>
          </cell>
        </row>
        <row r="18789">
          <cell r="L18789" t="str">
            <v>Non-proportional</v>
          </cell>
          <cell r="S18789">
            <v>9505.84</v>
          </cell>
          <cell r="X18789" t="str">
            <v>Commissions - gross</v>
          </cell>
          <cell r="Y18789" t="str">
            <v>CHILE</v>
          </cell>
        </row>
        <row r="18790">
          <cell r="L18790" t="str">
            <v>Proportional</v>
          </cell>
          <cell r="S18790">
            <v>808.19</v>
          </cell>
          <cell r="X18790" t="str">
            <v>Commissions - gross</v>
          </cell>
          <cell r="Y18790" t="str">
            <v>FRANCE</v>
          </cell>
        </row>
        <row r="18791">
          <cell r="L18791" t="str">
            <v>Proportional</v>
          </cell>
          <cell r="S18791">
            <v>-2.78</v>
          </cell>
          <cell r="X18791" t="str">
            <v>Commissions - gross</v>
          </cell>
          <cell r="Y18791" t="str">
            <v>CHILE</v>
          </cell>
        </row>
        <row r="18792">
          <cell r="L18792" t="str">
            <v>Non-proportional</v>
          </cell>
          <cell r="S18792">
            <v>-2475</v>
          </cell>
          <cell r="X18792" t="str">
            <v>Commissions - gross</v>
          </cell>
          <cell r="Y18792" t="str">
            <v>ROMANIA</v>
          </cell>
        </row>
        <row r="18793">
          <cell r="L18793" t="str">
            <v>Non-proportional</v>
          </cell>
          <cell r="S18793">
            <v>11718.75</v>
          </cell>
          <cell r="X18793" t="str">
            <v>Commissions - gross</v>
          </cell>
          <cell r="Y18793" t="str">
            <v>BELGIUM</v>
          </cell>
        </row>
        <row r="18794">
          <cell r="L18794" t="str">
            <v>Proportional</v>
          </cell>
          <cell r="S18794">
            <v>5.66</v>
          </cell>
          <cell r="X18794" t="str">
            <v>Commissions - gross</v>
          </cell>
          <cell r="Y18794" t="str">
            <v>CHILE</v>
          </cell>
        </row>
        <row r="18795">
          <cell r="L18795" t="str">
            <v>Non-proportional</v>
          </cell>
          <cell r="S18795">
            <v>-762.24</v>
          </cell>
          <cell r="X18795" t="str">
            <v>Commissions - gross</v>
          </cell>
          <cell r="Y18795" t="str">
            <v>AUSTRALIA</v>
          </cell>
        </row>
        <row r="18796">
          <cell r="L18796" t="str">
            <v>Non-proportional</v>
          </cell>
          <cell r="S18796">
            <v>-3333.88</v>
          </cell>
          <cell r="X18796" t="str">
            <v>Commissions - gross</v>
          </cell>
          <cell r="Y18796" t="str">
            <v>PERU</v>
          </cell>
        </row>
        <row r="18797">
          <cell r="L18797" t="str">
            <v>Proportional</v>
          </cell>
          <cell r="S18797">
            <v>-36.840000000000003</v>
          </cell>
          <cell r="X18797" t="str">
            <v>Commissions - gross</v>
          </cell>
          <cell r="Y18797" t="str">
            <v>CHILE</v>
          </cell>
        </row>
        <row r="18798">
          <cell r="L18798" t="str">
            <v>Non-proportional</v>
          </cell>
          <cell r="S18798">
            <v>406.44</v>
          </cell>
          <cell r="X18798" t="str">
            <v>Commissions - gross</v>
          </cell>
          <cell r="Y18798" t="str">
            <v>DOMINICAN REPUBLIC</v>
          </cell>
        </row>
        <row r="18799">
          <cell r="L18799" t="str">
            <v>Proportional</v>
          </cell>
          <cell r="S18799">
            <v>808.19</v>
          </cell>
          <cell r="X18799" t="str">
            <v>Commissions - gross</v>
          </cell>
          <cell r="Y18799" t="str">
            <v>FRANCE</v>
          </cell>
        </row>
        <row r="18800">
          <cell r="L18800" t="str">
            <v>Proportional</v>
          </cell>
          <cell r="S18800">
            <v>478.98</v>
          </cell>
          <cell r="X18800" t="str">
            <v>Commissions - gross</v>
          </cell>
          <cell r="Y18800" t="str">
            <v>CHILE</v>
          </cell>
        </row>
        <row r="18801">
          <cell r="L18801" t="str">
            <v>Proportional</v>
          </cell>
          <cell r="S18801">
            <v>-556.94000000000005</v>
          </cell>
          <cell r="X18801" t="str">
            <v>Commissions - gross</v>
          </cell>
          <cell r="Y18801" t="str">
            <v>FRANCE</v>
          </cell>
        </row>
        <row r="18802">
          <cell r="L18802" t="str">
            <v>Proportional</v>
          </cell>
          <cell r="S18802">
            <v>478.98</v>
          </cell>
          <cell r="X18802" t="str">
            <v>Commissions - gross</v>
          </cell>
          <cell r="Y18802" t="str">
            <v>CHILE</v>
          </cell>
        </row>
        <row r="18803">
          <cell r="L18803" t="str">
            <v>Non-proportional</v>
          </cell>
          <cell r="S18803">
            <v>-63.37</v>
          </cell>
          <cell r="X18803" t="str">
            <v>Commissions - gross</v>
          </cell>
          <cell r="Y18803" t="str">
            <v>DOMINICAN REPUBLIC</v>
          </cell>
        </row>
        <row r="18804">
          <cell r="L18804" t="str">
            <v>Non-proportional</v>
          </cell>
          <cell r="S18804">
            <v>-11.13</v>
          </cell>
          <cell r="X18804" t="str">
            <v>Commissions - gross</v>
          </cell>
          <cell r="Y18804" t="str">
            <v>GERMANY</v>
          </cell>
        </row>
        <row r="18805">
          <cell r="L18805" t="str">
            <v>Proportional</v>
          </cell>
          <cell r="S18805">
            <v>-1.65</v>
          </cell>
          <cell r="X18805" t="str">
            <v>Commissions - gross</v>
          </cell>
          <cell r="Y18805" t="str">
            <v>SINGAPORE</v>
          </cell>
        </row>
        <row r="18806">
          <cell r="L18806" t="str">
            <v>Proportional</v>
          </cell>
          <cell r="S18806">
            <v>-184.22</v>
          </cell>
          <cell r="X18806" t="str">
            <v>Commissions - gross</v>
          </cell>
          <cell r="Y18806" t="str">
            <v>CHILE</v>
          </cell>
        </row>
        <row r="18807">
          <cell r="L18807" t="str">
            <v>Non-proportional</v>
          </cell>
          <cell r="S18807">
            <v>-5015.63</v>
          </cell>
          <cell r="X18807" t="str">
            <v>Commissions - gross</v>
          </cell>
          <cell r="Y18807" t="str">
            <v>UNITED KINGDOM</v>
          </cell>
        </row>
        <row r="18808">
          <cell r="L18808" t="str">
            <v>Non-proportional</v>
          </cell>
          <cell r="S18808">
            <v>4837.82</v>
          </cell>
          <cell r="X18808" t="str">
            <v>Commissions - gross</v>
          </cell>
          <cell r="Y18808" t="str">
            <v>UNITED KINGDOM</v>
          </cell>
        </row>
        <row r="18809">
          <cell r="L18809" t="str">
            <v>Proportional</v>
          </cell>
          <cell r="S18809">
            <v>736.89</v>
          </cell>
          <cell r="X18809" t="str">
            <v>Commissions - gross</v>
          </cell>
          <cell r="Y18809" t="str">
            <v>CHILE</v>
          </cell>
        </row>
        <row r="18810">
          <cell r="L18810" t="str">
            <v>Proportional</v>
          </cell>
          <cell r="S18810">
            <v>-5.16</v>
          </cell>
          <cell r="X18810" t="str">
            <v>Commissions - gross</v>
          </cell>
          <cell r="Y18810" t="str">
            <v>UNITED STATES</v>
          </cell>
        </row>
        <row r="18811">
          <cell r="L18811" t="str">
            <v>Proportional</v>
          </cell>
          <cell r="S18811">
            <v>2729.72</v>
          </cell>
          <cell r="X18811" t="str">
            <v>Commissions - gross</v>
          </cell>
          <cell r="Y18811" t="str">
            <v>INDIA</v>
          </cell>
        </row>
        <row r="18812">
          <cell r="L18812" t="str">
            <v>Proportional</v>
          </cell>
          <cell r="S18812">
            <v>-36.840000000000003</v>
          </cell>
          <cell r="X18812" t="str">
            <v>Commissions - gross</v>
          </cell>
          <cell r="Y18812" t="str">
            <v>CHILE</v>
          </cell>
        </row>
        <row r="18813">
          <cell r="L18813" t="str">
            <v>Non-proportional</v>
          </cell>
          <cell r="S18813">
            <v>-5858.25</v>
          </cell>
          <cell r="X18813" t="str">
            <v>Commissions - gross</v>
          </cell>
          <cell r="Y18813" t="str">
            <v>CHILE</v>
          </cell>
        </row>
        <row r="18814">
          <cell r="L18814" t="str">
            <v>Non-proportional</v>
          </cell>
          <cell r="S18814">
            <v>-3.44</v>
          </cell>
          <cell r="X18814" t="str">
            <v>Commissions - gross</v>
          </cell>
          <cell r="Y18814" t="str">
            <v>GERMANY</v>
          </cell>
        </row>
        <row r="18815">
          <cell r="L18815" t="str">
            <v>Non-proportional</v>
          </cell>
          <cell r="S18815">
            <v>-2.5099999999999998</v>
          </cell>
          <cell r="X18815" t="str">
            <v>Commissions - gross</v>
          </cell>
          <cell r="Y18815" t="str">
            <v>GERMANY</v>
          </cell>
        </row>
        <row r="18816">
          <cell r="L18816" t="str">
            <v>Non-proportional</v>
          </cell>
          <cell r="S18816">
            <v>-11718.75</v>
          </cell>
          <cell r="X18816" t="str">
            <v>Commissions - gross</v>
          </cell>
          <cell r="Y18816" t="str">
            <v>BELGIUM</v>
          </cell>
        </row>
        <row r="18817">
          <cell r="L18817" t="str">
            <v>Non-proportional</v>
          </cell>
          <cell r="S18817">
            <v>4064</v>
          </cell>
          <cell r="X18817" t="str">
            <v>Commissions - gross</v>
          </cell>
          <cell r="Y18817" t="str">
            <v>FRANCE</v>
          </cell>
        </row>
        <row r="18818">
          <cell r="L18818" t="str">
            <v>Non-proportional</v>
          </cell>
          <cell r="S18818">
            <v>1068.49</v>
          </cell>
          <cell r="X18818" t="str">
            <v>Commissions - gross</v>
          </cell>
          <cell r="Y18818" t="str">
            <v>CHILE</v>
          </cell>
        </row>
        <row r="18819">
          <cell r="L18819" t="str">
            <v>Proportional</v>
          </cell>
          <cell r="S18819">
            <v>-26609.67</v>
          </cell>
          <cell r="X18819" t="str">
            <v>Commissions - gross</v>
          </cell>
          <cell r="Y18819" t="str">
            <v>UNITED STATES</v>
          </cell>
        </row>
        <row r="18820">
          <cell r="L18820" t="str">
            <v>Proportional</v>
          </cell>
          <cell r="S18820">
            <v>-1334.74</v>
          </cell>
          <cell r="X18820" t="str">
            <v>Commissions - gross</v>
          </cell>
          <cell r="Y18820" t="str">
            <v>AUSTRALIA</v>
          </cell>
        </row>
        <row r="18821">
          <cell r="L18821" t="str">
            <v>Proportional</v>
          </cell>
          <cell r="S18821">
            <v>23641.16</v>
          </cell>
          <cell r="X18821" t="str">
            <v>Commissions - gross</v>
          </cell>
          <cell r="Y18821" t="str">
            <v>UNITED STATES</v>
          </cell>
        </row>
        <row r="18822">
          <cell r="L18822" t="str">
            <v>Proportional</v>
          </cell>
          <cell r="S18822">
            <v>8861.27</v>
          </cell>
          <cell r="X18822" t="str">
            <v>Commissions - gross</v>
          </cell>
          <cell r="Y18822" t="str">
            <v>MEXICO</v>
          </cell>
        </row>
        <row r="18823">
          <cell r="L18823" t="str">
            <v>Non-proportional</v>
          </cell>
          <cell r="S18823">
            <v>11335.21</v>
          </cell>
          <cell r="X18823" t="str">
            <v>Commissions - gross</v>
          </cell>
          <cell r="Y18823" t="str">
            <v>PERU</v>
          </cell>
        </row>
        <row r="18824">
          <cell r="L18824" t="str">
            <v>Non-proportional</v>
          </cell>
          <cell r="S18824">
            <v>140.4</v>
          </cell>
          <cell r="X18824" t="str">
            <v>Commissions - gross</v>
          </cell>
          <cell r="Y18824" t="str">
            <v>DOMINICAN REPUBLIC</v>
          </cell>
        </row>
        <row r="18825">
          <cell r="L18825" t="str">
            <v>Non-proportional</v>
          </cell>
          <cell r="S18825">
            <v>749.83</v>
          </cell>
          <cell r="X18825" t="str">
            <v>Commissions - gross</v>
          </cell>
          <cell r="Y18825" t="str">
            <v>ISRAEL</v>
          </cell>
        </row>
        <row r="18826">
          <cell r="L18826" t="str">
            <v>Proportional</v>
          </cell>
          <cell r="S18826">
            <v>-64435.14</v>
          </cell>
          <cell r="X18826" t="str">
            <v>Commissions - gross</v>
          </cell>
          <cell r="Y18826" t="str">
            <v>UNITED STATES</v>
          </cell>
        </row>
        <row r="18827">
          <cell r="L18827" t="str">
            <v>Non-proportional</v>
          </cell>
          <cell r="S18827">
            <v>817.4</v>
          </cell>
          <cell r="X18827" t="str">
            <v>Commissions - gross</v>
          </cell>
          <cell r="Y18827" t="str">
            <v>ISRAEL</v>
          </cell>
        </row>
        <row r="18828">
          <cell r="L18828" t="str">
            <v>Proportional</v>
          </cell>
          <cell r="S18828">
            <v>36.840000000000003</v>
          </cell>
          <cell r="X18828" t="str">
            <v>Commissions - gross</v>
          </cell>
          <cell r="Y18828" t="str">
            <v>CHILE</v>
          </cell>
        </row>
        <row r="18829">
          <cell r="L18829" t="str">
            <v>Proportional</v>
          </cell>
          <cell r="S18829">
            <v>33858.129999999997</v>
          </cell>
          <cell r="X18829" t="str">
            <v>Commissions - gross</v>
          </cell>
          <cell r="Y18829" t="str">
            <v>AUSTRALIA</v>
          </cell>
        </row>
        <row r="18830">
          <cell r="L18830" t="str">
            <v>Non-proportional</v>
          </cell>
          <cell r="S18830">
            <v>-2321.19</v>
          </cell>
          <cell r="X18830" t="str">
            <v>Commissions - gross</v>
          </cell>
          <cell r="Y18830" t="str">
            <v>CHILE</v>
          </cell>
        </row>
        <row r="18831">
          <cell r="L18831" t="str">
            <v>Non-proportional</v>
          </cell>
          <cell r="S18831">
            <v>286.27</v>
          </cell>
          <cell r="X18831" t="str">
            <v>Commissions - gross</v>
          </cell>
          <cell r="Y18831" t="str">
            <v>DOMINICAN REPUBLIC</v>
          </cell>
        </row>
        <row r="18832">
          <cell r="L18832" t="str">
            <v>Proportional</v>
          </cell>
          <cell r="S18832">
            <v>3.32</v>
          </cell>
          <cell r="X18832" t="str">
            <v>Commissions - gross</v>
          </cell>
          <cell r="Y18832" t="str">
            <v>CHILE</v>
          </cell>
        </row>
        <row r="18833">
          <cell r="L18833" t="str">
            <v>Non-proportional</v>
          </cell>
          <cell r="S18833">
            <v>-10349.379999999999</v>
          </cell>
          <cell r="X18833" t="str">
            <v>Commissions - gross</v>
          </cell>
          <cell r="Y18833" t="str">
            <v>PERU</v>
          </cell>
        </row>
        <row r="18834">
          <cell r="L18834" t="str">
            <v>Proportional</v>
          </cell>
          <cell r="S18834">
            <v>8.33</v>
          </cell>
          <cell r="X18834" t="str">
            <v>Commissions - gross</v>
          </cell>
          <cell r="Y18834" t="str">
            <v>UNITED STATES</v>
          </cell>
        </row>
        <row r="18835">
          <cell r="L18835" t="str">
            <v>Non-proportional</v>
          </cell>
          <cell r="S18835">
            <v>-10668.43</v>
          </cell>
          <cell r="X18835" t="str">
            <v>Commissions - gross</v>
          </cell>
          <cell r="Y18835" t="str">
            <v>PERU</v>
          </cell>
        </row>
        <row r="18836">
          <cell r="L18836" t="str">
            <v>Non-proportional</v>
          </cell>
          <cell r="S18836">
            <v>-321.5</v>
          </cell>
          <cell r="X18836" t="str">
            <v>Commissions - gross</v>
          </cell>
          <cell r="Y18836" t="str">
            <v>DOMINICAN REPUBLIC</v>
          </cell>
        </row>
        <row r="18837">
          <cell r="L18837" t="str">
            <v>Proportional</v>
          </cell>
          <cell r="S18837">
            <v>-808.19</v>
          </cell>
          <cell r="X18837" t="str">
            <v>Commissions - gross</v>
          </cell>
          <cell r="Y18837" t="str">
            <v>FRANCE</v>
          </cell>
        </row>
        <row r="18838">
          <cell r="L18838" t="str">
            <v>Proportional</v>
          </cell>
          <cell r="S18838">
            <v>-110.53</v>
          </cell>
          <cell r="X18838" t="str">
            <v>Commissions - gross</v>
          </cell>
          <cell r="Y18838" t="str">
            <v>CHILE</v>
          </cell>
        </row>
        <row r="18839">
          <cell r="L18839" t="str">
            <v>Proportional</v>
          </cell>
          <cell r="S18839">
            <v>4157.8999999999996</v>
          </cell>
          <cell r="X18839" t="str">
            <v>Commissions - gross</v>
          </cell>
          <cell r="Y18839" t="str">
            <v>CHILE</v>
          </cell>
        </row>
        <row r="18840">
          <cell r="L18840" t="str">
            <v>Non-proportional</v>
          </cell>
          <cell r="S18840">
            <v>-581.89</v>
          </cell>
          <cell r="X18840" t="str">
            <v>Commissions - gross</v>
          </cell>
          <cell r="Y18840" t="str">
            <v>ISRAEL</v>
          </cell>
        </row>
        <row r="18841">
          <cell r="L18841" t="str">
            <v>Non-proportional</v>
          </cell>
          <cell r="S18841">
            <v>-10668.43</v>
          </cell>
          <cell r="X18841" t="str">
            <v>Commissions - gross</v>
          </cell>
          <cell r="Y18841" t="str">
            <v>PERU</v>
          </cell>
        </row>
        <row r="18842">
          <cell r="L18842" t="str">
            <v>Proportional</v>
          </cell>
          <cell r="S18842">
            <v>-1068.49</v>
          </cell>
          <cell r="X18842" t="str">
            <v>Commissions - gross</v>
          </cell>
          <cell r="Y18842" t="str">
            <v>CHILE</v>
          </cell>
        </row>
        <row r="18843">
          <cell r="L18843" t="str">
            <v>Non-proportional</v>
          </cell>
          <cell r="S18843">
            <v>2632.35</v>
          </cell>
          <cell r="X18843" t="str">
            <v>Commissions - gross</v>
          </cell>
          <cell r="Y18843" t="str">
            <v>ROMANIA</v>
          </cell>
        </row>
        <row r="18844">
          <cell r="L18844" t="str">
            <v>Proportional</v>
          </cell>
          <cell r="S18844">
            <v>-33858.129999999997</v>
          </cell>
          <cell r="X18844" t="str">
            <v>Commissions - gross</v>
          </cell>
          <cell r="Y18844" t="str">
            <v>AUSTRALIA</v>
          </cell>
        </row>
        <row r="18845">
          <cell r="L18845" t="str">
            <v>Proportional</v>
          </cell>
          <cell r="S18845">
            <v>-10.029999999999999</v>
          </cell>
          <cell r="X18845" t="str">
            <v>Commissions - gross</v>
          </cell>
          <cell r="Y18845" t="str">
            <v>UNITED STATES</v>
          </cell>
        </row>
        <row r="18846">
          <cell r="L18846" t="str">
            <v>Non-proportional</v>
          </cell>
          <cell r="S18846">
            <v>-12.44</v>
          </cell>
          <cell r="X18846" t="str">
            <v>Commissions - gross</v>
          </cell>
          <cell r="Y18846" t="str">
            <v>GERMANY</v>
          </cell>
        </row>
        <row r="18847">
          <cell r="L18847" t="str">
            <v>Non-proportional</v>
          </cell>
          <cell r="S18847">
            <v>-6.27</v>
          </cell>
          <cell r="X18847" t="str">
            <v>Commissions - gross</v>
          </cell>
          <cell r="Y18847" t="str">
            <v>GERMANY</v>
          </cell>
        </row>
        <row r="18848">
          <cell r="L18848" t="str">
            <v>Proportional</v>
          </cell>
          <cell r="S18848">
            <v>736.89</v>
          </cell>
          <cell r="X18848" t="str">
            <v>Commissions - gross</v>
          </cell>
          <cell r="Y18848" t="str">
            <v>CHILE</v>
          </cell>
        </row>
        <row r="18849">
          <cell r="L18849" t="str">
            <v>Proportional</v>
          </cell>
          <cell r="S18849">
            <v>644.48</v>
          </cell>
          <cell r="X18849" t="str">
            <v>Commissions - gross</v>
          </cell>
          <cell r="Y18849" t="str">
            <v>CHILE</v>
          </cell>
        </row>
        <row r="18850">
          <cell r="L18850" t="str">
            <v>Non-proportional</v>
          </cell>
          <cell r="S18850">
            <v>-20.190000000000001</v>
          </cell>
          <cell r="X18850" t="str">
            <v>Commissions - gross</v>
          </cell>
          <cell r="Y18850" t="str">
            <v>DOMINICAN REPUBLIC</v>
          </cell>
        </row>
        <row r="18851">
          <cell r="L18851" t="str">
            <v>Non-proportional</v>
          </cell>
          <cell r="S18851">
            <v>-291.83999999999997</v>
          </cell>
          <cell r="X18851" t="str">
            <v>Commissions - gross</v>
          </cell>
          <cell r="Y18851" t="str">
            <v>DOMINICAN REPUBLIC</v>
          </cell>
        </row>
        <row r="18852">
          <cell r="L18852" t="str">
            <v>Non-proportional</v>
          </cell>
          <cell r="S18852">
            <v>10668.43</v>
          </cell>
          <cell r="X18852" t="str">
            <v>Commissions - gross</v>
          </cell>
          <cell r="Y18852" t="str">
            <v>PERU</v>
          </cell>
        </row>
        <row r="18853">
          <cell r="L18853" t="str">
            <v>Proportional</v>
          </cell>
          <cell r="S18853">
            <v>-358.96</v>
          </cell>
          <cell r="X18853" t="str">
            <v>Commissions - gross</v>
          </cell>
          <cell r="Y18853" t="str">
            <v>MEXICO</v>
          </cell>
        </row>
        <row r="18854">
          <cell r="L18854" t="str">
            <v>Non-proportional</v>
          </cell>
          <cell r="S18854">
            <v>-81.52</v>
          </cell>
          <cell r="X18854" t="str">
            <v>Commissions - gross</v>
          </cell>
          <cell r="Y18854" t="str">
            <v>DOMINICAN REPUBLIC</v>
          </cell>
        </row>
        <row r="18855">
          <cell r="L18855" t="str">
            <v>Proportional</v>
          </cell>
          <cell r="S18855">
            <v>-808.19</v>
          </cell>
          <cell r="X18855" t="str">
            <v>Commissions - gross</v>
          </cell>
          <cell r="Y18855" t="str">
            <v>FRANCE</v>
          </cell>
        </row>
        <row r="18856">
          <cell r="L18856" t="str">
            <v>Non-proportional</v>
          </cell>
          <cell r="S18856">
            <v>1096.32</v>
          </cell>
          <cell r="X18856" t="str">
            <v>Commissions - gross</v>
          </cell>
          <cell r="Y18856" t="str">
            <v>ISRAEL</v>
          </cell>
        </row>
        <row r="18857">
          <cell r="L18857" t="str">
            <v>Non-proportional</v>
          </cell>
          <cell r="S18857">
            <v>-10668.43</v>
          </cell>
          <cell r="X18857" t="str">
            <v>Commissions - gross</v>
          </cell>
          <cell r="Y18857" t="str">
            <v>PERU</v>
          </cell>
        </row>
        <row r="18858">
          <cell r="L18858" t="str">
            <v>Non-proportional</v>
          </cell>
          <cell r="S18858">
            <v>-140.4</v>
          </cell>
          <cell r="X18858" t="str">
            <v>Commissions - gross</v>
          </cell>
          <cell r="Y18858" t="str">
            <v>DOMINICAN REPUBLIC</v>
          </cell>
        </row>
        <row r="18859">
          <cell r="L18859" t="str">
            <v>Proportional</v>
          </cell>
          <cell r="S18859">
            <v>-1.86</v>
          </cell>
          <cell r="X18859" t="str">
            <v>Commissions - gross</v>
          </cell>
          <cell r="Y18859" t="str">
            <v>CHILE</v>
          </cell>
        </row>
        <row r="18860">
          <cell r="L18860" t="str">
            <v>Non-proportional</v>
          </cell>
          <cell r="S18860">
            <v>25431.89</v>
          </cell>
          <cell r="X18860" t="str">
            <v>Commissions - gross</v>
          </cell>
          <cell r="Y18860" t="str">
            <v>TURKEY</v>
          </cell>
        </row>
        <row r="18861">
          <cell r="L18861" t="str">
            <v>Proportional</v>
          </cell>
          <cell r="S18861">
            <v>74.27</v>
          </cell>
          <cell r="X18861" t="str">
            <v>Commissions - gross</v>
          </cell>
          <cell r="Y18861" t="str">
            <v>UNITED STATES</v>
          </cell>
        </row>
        <row r="18862">
          <cell r="L18862" t="str">
            <v>Proportional</v>
          </cell>
          <cell r="S18862">
            <v>663.2</v>
          </cell>
          <cell r="X18862" t="str">
            <v>Commissions - gross</v>
          </cell>
          <cell r="Y18862" t="str">
            <v>CHILE</v>
          </cell>
        </row>
        <row r="18863">
          <cell r="L18863" t="str">
            <v>Non-proportional</v>
          </cell>
          <cell r="S18863">
            <v>-237.39</v>
          </cell>
          <cell r="X18863" t="str">
            <v>Commissions - gross</v>
          </cell>
          <cell r="Y18863" t="str">
            <v>AUSTRALIA</v>
          </cell>
        </row>
        <row r="18864">
          <cell r="L18864" t="str">
            <v>Proportional</v>
          </cell>
          <cell r="S18864">
            <v>-8861.27</v>
          </cell>
          <cell r="X18864" t="str">
            <v>Commissions - gross</v>
          </cell>
          <cell r="Y18864" t="str">
            <v>MEXICO</v>
          </cell>
        </row>
        <row r="18865">
          <cell r="L18865" t="str">
            <v>Proportional</v>
          </cell>
          <cell r="S18865">
            <v>-9.9499999999999993</v>
          </cell>
          <cell r="X18865" t="str">
            <v>Commissions - gross</v>
          </cell>
          <cell r="Y18865" t="str">
            <v>UNITED STATES</v>
          </cell>
        </row>
        <row r="18866">
          <cell r="L18866" t="str">
            <v>Non-proportional</v>
          </cell>
          <cell r="S18866">
            <v>-265.17</v>
          </cell>
          <cell r="X18866" t="str">
            <v>Commissions - gross</v>
          </cell>
          <cell r="Y18866" t="str">
            <v>DOMINICAN REPUBLIC</v>
          </cell>
        </row>
        <row r="18867">
          <cell r="L18867" t="str">
            <v>Proportional</v>
          </cell>
          <cell r="S18867">
            <v>10.19</v>
          </cell>
          <cell r="X18867" t="str">
            <v>Commissions - gross</v>
          </cell>
          <cell r="Y18867" t="str">
            <v>UNITED STATES</v>
          </cell>
        </row>
        <row r="18868">
          <cell r="L18868" t="str">
            <v>Proportional</v>
          </cell>
          <cell r="S18868">
            <v>-126.9</v>
          </cell>
          <cell r="X18868" t="str">
            <v>Commissions - gross</v>
          </cell>
          <cell r="Y18868" t="str">
            <v>CHILE</v>
          </cell>
        </row>
        <row r="18869">
          <cell r="L18869" t="str">
            <v>Non-proportional</v>
          </cell>
          <cell r="S18869">
            <v>-78.069999999999993</v>
          </cell>
          <cell r="X18869" t="str">
            <v>Commissions - gross</v>
          </cell>
          <cell r="Y18869" t="str">
            <v>DOMINICAN REPUBLIC</v>
          </cell>
        </row>
        <row r="18870">
          <cell r="L18870" t="str">
            <v>Proportional</v>
          </cell>
          <cell r="S18870">
            <v>1.86</v>
          </cell>
          <cell r="X18870" t="str">
            <v>Commissions - gross</v>
          </cell>
          <cell r="Y18870" t="str">
            <v>CHILE</v>
          </cell>
        </row>
        <row r="18871">
          <cell r="L18871" t="str">
            <v>Proportional</v>
          </cell>
          <cell r="S18871">
            <v>23.93</v>
          </cell>
          <cell r="X18871" t="str">
            <v>Commissions - gross</v>
          </cell>
          <cell r="Y18871" t="str">
            <v>CHILE</v>
          </cell>
        </row>
        <row r="18872">
          <cell r="L18872" t="str">
            <v>Proportional</v>
          </cell>
          <cell r="S18872">
            <v>-56.72</v>
          </cell>
          <cell r="X18872" t="str">
            <v>Commissions - gross</v>
          </cell>
          <cell r="Y18872" t="str">
            <v>UNITED STATES</v>
          </cell>
        </row>
        <row r="18873">
          <cell r="L18873" t="str">
            <v>Non-proportional</v>
          </cell>
          <cell r="S18873">
            <v>11718.75</v>
          </cell>
          <cell r="X18873" t="str">
            <v>Commissions - gross</v>
          </cell>
          <cell r="Y18873" t="str">
            <v>BELGIUM</v>
          </cell>
        </row>
        <row r="18874">
          <cell r="L18874" t="str">
            <v>Proportional</v>
          </cell>
          <cell r="S18874">
            <v>-45.5</v>
          </cell>
          <cell r="X18874" t="str">
            <v>Commissions - gross</v>
          </cell>
          <cell r="Y18874" t="str">
            <v>CHILE</v>
          </cell>
        </row>
        <row r="18875">
          <cell r="L18875" t="str">
            <v>Non-proportional</v>
          </cell>
          <cell r="S18875">
            <v>1057.83</v>
          </cell>
          <cell r="X18875" t="str">
            <v>Commissions - gross</v>
          </cell>
          <cell r="Y18875" t="str">
            <v>ISRAEL</v>
          </cell>
        </row>
        <row r="18876">
          <cell r="L18876" t="str">
            <v>Non-proportional</v>
          </cell>
          <cell r="S18876">
            <v>3110.21</v>
          </cell>
          <cell r="X18876" t="str">
            <v>Commissions - gross</v>
          </cell>
          <cell r="Y18876" t="str">
            <v>UNITED KINGDOM</v>
          </cell>
        </row>
        <row r="18877">
          <cell r="L18877" t="str">
            <v>Non-proportional</v>
          </cell>
          <cell r="S18877">
            <v>11718.75</v>
          </cell>
          <cell r="X18877" t="str">
            <v>Commissions - gross</v>
          </cell>
          <cell r="Y18877" t="str">
            <v>BELGIUM</v>
          </cell>
        </row>
        <row r="18878">
          <cell r="L18878" t="str">
            <v>Proportional</v>
          </cell>
          <cell r="S18878">
            <v>-50.06</v>
          </cell>
          <cell r="X18878" t="str">
            <v>Commissions - gross</v>
          </cell>
          <cell r="Y18878" t="str">
            <v>FRANCE</v>
          </cell>
        </row>
        <row r="18879">
          <cell r="L18879" t="str">
            <v>Non-proportional</v>
          </cell>
          <cell r="S18879">
            <v>-7801.81</v>
          </cell>
          <cell r="X18879" t="str">
            <v>Commissions - gross</v>
          </cell>
          <cell r="Y18879" t="str">
            <v>UNITED KINGDOM</v>
          </cell>
        </row>
        <row r="18880">
          <cell r="L18880" t="str">
            <v>Non-proportional</v>
          </cell>
          <cell r="S18880">
            <v>-36.119999999999997</v>
          </cell>
          <cell r="X18880" t="str">
            <v>Commissions - gross</v>
          </cell>
          <cell r="Y18880" t="str">
            <v>DOMINICAN REPUBLIC</v>
          </cell>
        </row>
        <row r="18881">
          <cell r="L18881" t="str">
            <v>Proportional</v>
          </cell>
          <cell r="S18881">
            <v>5.16</v>
          </cell>
          <cell r="X18881" t="str">
            <v>Commissions - gross</v>
          </cell>
          <cell r="Y18881" t="str">
            <v>UNITED STATES</v>
          </cell>
        </row>
        <row r="18882">
          <cell r="L18882" t="str">
            <v>Non-proportional</v>
          </cell>
          <cell r="S18882">
            <v>2689.64</v>
          </cell>
          <cell r="X18882" t="str">
            <v>Commissions - gross</v>
          </cell>
          <cell r="Y18882" t="str">
            <v>CHILE</v>
          </cell>
        </row>
        <row r="18883">
          <cell r="L18883" t="str">
            <v>Proportional</v>
          </cell>
          <cell r="S18883">
            <v>50.11</v>
          </cell>
          <cell r="X18883" t="str">
            <v>Commissions - gross</v>
          </cell>
          <cell r="Y18883" t="str">
            <v>FRANCE</v>
          </cell>
        </row>
        <row r="18884">
          <cell r="L18884" t="str">
            <v>Non-proportional</v>
          </cell>
          <cell r="S18884">
            <v>-2689.64</v>
          </cell>
          <cell r="X18884" t="str">
            <v>Commissions - gross</v>
          </cell>
          <cell r="Y18884" t="str">
            <v>CHILE</v>
          </cell>
        </row>
        <row r="18885">
          <cell r="L18885" t="str">
            <v>Proportional</v>
          </cell>
          <cell r="S18885">
            <v>103.4</v>
          </cell>
          <cell r="X18885" t="str">
            <v>Commissions - gross</v>
          </cell>
          <cell r="Y18885" t="str">
            <v>UNITED STATES</v>
          </cell>
        </row>
        <row r="18886">
          <cell r="L18886" t="str">
            <v>Proportional</v>
          </cell>
          <cell r="S18886">
            <v>-5.66</v>
          </cell>
          <cell r="X18886" t="str">
            <v>Commissions - gross</v>
          </cell>
          <cell r="Y18886" t="str">
            <v>CHILE</v>
          </cell>
        </row>
        <row r="18887">
          <cell r="L18887" t="str">
            <v>Non-proportional</v>
          </cell>
          <cell r="S18887">
            <v>10349.379999999999</v>
          </cell>
          <cell r="X18887" t="str">
            <v>Commissions - gross</v>
          </cell>
          <cell r="Y18887" t="str">
            <v>PERU</v>
          </cell>
        </row>
        <row r="18888">
          <cell r="L18888" t="str">
            <v>Proportional</v>
          </cell>
          <cell r="S18888">
            <v>4665.5600000000004</v>
          </cell>
          <cell r="X18888" t="str">
            <v>Commissions - gross</v>
          </cell>
          <cell r="Y18888" t="str">
            <v>UNITED STATES</v>
          </cell>
        </row>
        <row r="18889">
          <cell r="L18889" t="str">
            <v>Proportional</v>
          </cell>
          <cell r="S18889">
            <v>26609.67</v>
          </cell>
          <cell r="X18889" t="str">
            <v>Commissions - gross</v>
          </cell>
          <cell r="Y18889" t="str">
            <v>UNITED STATES</v>
          </cell>
        </row>
        <row r="18890">
          <cell r="L18890" t="str">
            <v>Non-proportional</v>
          </cell>
          <cell r="S18890">
            <v>-20.190000000000001</v>
          </cell>
          <cell r="X18890" t="str">
            <v>Commissions - gross</v>
          </cell>
          <cell r="Y18890" t="str">
            <v>DOMINICAN REPUBLIC</v>
          </cell>
        </row>
        <row r="18891">
          <cell r="L18891" t="str">
            <v>Non-proportional</v>
          </cell>
          <cell r="S18891">
            <v>624.84</v>
          </cell>
          <cell r="X18891" t="str">
            <v>Commissions - gross</v>
          </cell>
          <cell r="Y18891" t="str">
            <v>AUSTRALIA</v>
          </cell>
        </row>
        <row r="18892">
          <cell r="L18892" t="str">
            <v>Non-proportional</v>
          </cell>
          <cell r="S18892">
            <v>1927.73</v>
          </cell>
          <cell r="X18892" t="str">
            <v>Commissions - gross</v>
          </cell>
          <cell r="Y18892" t="str">
            <v>ROMANIA</v>
          </cell>
        </row>
        <row r="18893">
          <cell r="L18893" t="str">
            <v>Proportional</v>
          </cell>
          <cell r="S18893">
            <v>358.96</v>
          </cell>
          <cell r="X18893" t="str">
            <v>Commissions - gross</v>
          </cell>
          <cell r="Y18893" t="str">
            <v>MEXICO</v>
          </cell>
        </row>
        <row r="18894">
          <cell r="L18894" t="str">
            <v>Proportional</v>
          </cell>
          <cell r="S18894">
            <v>1208.1500000000001</v>
          </cell>
          <cell r="X18894" t="str">
            <v>Commissions - gross</v>
          </cell>
          <cell r="Y18894" t="str">
            <v>MEXICO</v>
          </cell>
        </row>
        <row r="18895">
          <cell r="L18895" t="str">
            <v>Proportional</v>
          </cell>
          <cell r="S18895">
            <v>-74.209999999999994</v>
          </cell>
          <cell r="X18895" t="str">
            <v>Commissions - gross</v>
          </cell>
          <cell r="Y18895" t="str">
            <v>UNITED STATES</v>
          </cell>
        </row>
        <row r="18896">
          <cell r="L18896" t="str">
            <v>Non-proportional</v>
          </cell>
          <cell r="S18896">
            <v>-1608.85</v>
          </cell>
          <cell r="X18896" t="str">
            <v>Commissions - gross</v>
          </cell>
          <cell r="Y18896" t="str">
            <v>AUSTRALIA</v>
          </cell>
        </row>
        <row r="18897">
          <cell r="L18897" t="str">
            <v>Non-proportional</v>
          </cell>
          <cell r="S18897">
            <v>409.1</v>
          </cell>
          <cell r="X18897" t="str">
            <v>Commissions - gross</v>
          </cell>
          <cell r="Y18897" t="str">
            <v>GERMANY</v>
          </cell>
        </row>
        <row r="18898">
          <cell r="L18898" t="str">
            <v>Non-proportional</v>
          </cell>
          <cell r="S18898">
            <v>192.46</v>
          </cell>
          <cell r="X18898" t="str">
            <v>Commissions - gross</v>
          </cell>
          <cell r="Y18898" t="str">
            <v>AUSTRALIA</v>
          </cell>
        </row>
        <row r="18899">
          <cell r="L18899" t="str">
            <v>Non-proportional</v>
          </cell>
          <cell r="S18899">
            <v>5858.25</v>
          </cell>
          <cell r="X18899" t="str">
            <v>Commissions - gross</v>
          </cell>
          <cell r="Y18899" t="str">
            <v>CHILE</v>
          </cell>
        </row>
        <row r="18900">
          <cell r="L18900" t="str">
            <v>Proportional</v>
          </cell>
          <cell r="S18900">
            <v>-356.35</v>
          </cell>
          <cell r="X18900" t="str">
            <v>Commissions - gross</v>
          </cell>
          <cell r="Y18900" t="str">
            <v>UNITED STATES</v>
          </cell>
        </row>
        <row r="18901">
          <cell r="L18901" t="str">
            <v>Proportional</v>
          </cell>
          <cell r="S18901">
            <v>-102.55</v>
          </cell>
          <cell r="X18901" t="str">
            <v>Commissions - gross</v>
          </cell>
          <cell r="Y18901" t="str">
            <v>UNITED STATES</v>
          </cell>
        </row>
        <row r="18902">
          <cell r="L18902" t="str">
            <v>Proportional</v>
          </cell>
          <cell r="S18902">
            <v>-10.18</v>
          </cell>
          <cell r="X18902" t="str">
            <v>Commissions - gross</v>
          </cell>
          <cell r="Y18902" t="str">
            <v>UNITED STATES</v>
          </cell>
        </row>
        <row r="18903">
          <cell r="L18903" t="str">
            <v>Non-proportional</v>
          </cell>
          <cell r="S18903">
            <v>204.39</v>
          </cell>
          <cell r="X18903" t="str">
            <v>Commissions - gross</v>
          </cell>
          <cell r="Y18903" t="str">
            <v>GERMANY</v>
          </cell>
        </row>
        <row r="18904">
          <cell r="L18904" t="str">
            <v>Proportional</v>
          </cell>
          <cell r="S18904">
            <v>-36.840000000000003</v>
          </cell>
          <cell r="X18904" t="str">
            <v>Commissions - gross</v>
          </cell>
          <cell r="Y18904" t="str">
            <v>CHILE</v>
          </cell>
        </row>
        <row r="18905">
          <cell r="L18905" t="str">
            <v>Proportional</v>
          </cell>
          <cell r="S18905">
            <v>478.98</v>
          </cell>
          <cell r="X18905" t="str">
            <v>Commissions - gross</v>
          </cell>
          <cell r="Y18905" t="str">
            <v>CHILE</v>
          </cell>
        </row>
        <row r="18906">
          <cell r="L18906" t="str">
            <v>Non-proportional</v>
          </cell>
          <cell r="S18906">
            <v>-1015.39</v>
          </cell>
          <cell r="X18906" t="str">
            <v>Commissions - gross</v>
          </cell>
          <cell r="Y18906" t="str">
            <v>AUSTRALIA</v>
          </cell>
        </row>
        <row r="18907">
          <cell r="L18907" t="str">
            <v>Proportional</v>
          </cell>
          <cell r="S18907">
            <v>-736.89</v>
          </cell>
          <cell r="X18907" t="str">
            <v>Commissions - gross</v>
          </cell>
          <cell r="Y18907" t="str">
            <v>CHILE</v>
          </cell>
        </row>
        <row r="18908">
          <cell r="L18908" t="str">
            <v>Proportional</v>
          </cell>
          <cell r="S18908">
            <v>808.19</v>
          </cell>
          <cell r="X18908" t="str">
            <v>Commissions - gross</v>
          </cell>
          <cell r="Y18908" t="str">
            <v>FRANCE</v>
          </cell>
        </row>
        <row r="18909">
          <cell r="L18909" t="str">
            <v>Proportional</v>
          </cell>
          <cell r="S18909">
            <v>31.19</v>
          </cell>
          <cell r="X18909" t="str">
            <v>Commissions - gross</v>
          </cell>
          <cell r="Y18909" t="str">
            <v>UNITED STATES</v>
          </cell>
        </row>
        <row r="18910">
          <cell r="L18910" t="str">
            <v>Proportional</v>
          </cell>
          <cell r="S18910">
            <v>827.11</v>
          </cell>
          <cell r="X18910" t="str">
            <v>Commissions - gross</v>
          </cell>
          <cell r="Y18910" t="str">
            <v>CHILE</v>
          </cell>
        </row>
        <row r="18911">
          <cell r="L18911" t="str">
            <v>Non-proportional</v>
          </cell>
          <cell r="S18911">
            <v>33570.1</v>
          </cell>
          <cell r="X18911" t="str">
            <v>Commissions - gross</v>
          </cell>
          <cell r="Y18911" t="str">
            <v>TURKEY</v>
          </cell>
        </row>
        <row r="18912">
          <cell r="L18912" t="str">
            <v>Proportional</v>
          </cell>
          <cell r="S18912">
            <v>1636.43</v>
          </cell>
          <cell r="X18912" t="str">
            <v>Commissions - gross</v>
          </cell>
          <cell r="Y18912" t="str">
            <v>SWITZERLAND</v>
          </cell>
        </row>
        <row r="18913">
          <cell r="L18913" t="str">
            <v>Proportional</v>
          </cell>
          <cell r="S18913">
            <v>523.27</v>
          </cell>
          <cell r="X18913" t="str">
            <v>Commissions - gross</v>
          </cell>
          <cell r="Y18913" t="str">
            <v>ITALY</v>
          </cell>
        </row>
        <row r="18914">
          <cell r="L18914" t="str">
            <v>Non-proportional</v>
          </cell>
          <cell r="S18914">
            <v>-11718.75</v>
          </cell>
          <cell r="X18914" t="str">
            <v>Commissions - gross</v>
          </cell>
          <cell r="Y18914" t="str">
            <v>BELGIUM</v>
          </cell>
        </row>
        <row r="18915">
          <cell r="L18915" t="str">
            <v>Non-proportional</v>
          </cell>
          <cell r="S18915">
            <v>-423.31</v>
          </cell>
          <cell r="X18915" t="str">
            <v>Commissions - gross</v>
          </cell>
          <cell r="Y18915" t="str">
            <v>AUSTRALIA</v>
          </cell>
        </row>
        <row r="18916">
          <cell r="L18916" t="str">
            <v>Proportional</v>
          </cell>
          <cell r="S18916">
            <v>-33858.129999999997</v>
          </cell>
          <cell r="X18916" t="str">
            <v>Commissions - gross</v>
          </cell>
          <cell r="Y18916" t="str">
            <v>AUSTRALIA</v>
          </cell>
        </row>
        <row r="18917">
          <cell r="L18917" t="str">
            <v>Non-proportional</v>
          </cell>
          <cell r="S18917">
            <v>36.119999999999997</v>
          </cell>
          <cell r="X18917" t="str">
            <v>Commissions - gross</v>
          </cell>
          <cell r="Y18917" t="str">
            <v>DOMINICAN REPUBLIC</v>
          </cell>
        </row>
        <row r="18918">
          <cell r="L18918" t="str">
            <v>Non-proportional</v>
          </cell>
          <cell r="S18918">
            <v>-11718.75</v>
          </cell>
          <cell r="X18918" t="str">
            <v>Commissions - gross</v>
          </cell>
          <cell r="Y18918" t="str">
            <v>BELGIUM</v>
          </cell>
        </row>
        <row r="18919">
          <cell r="L18919" t="str">
            <v>Proportional</v>
          </cell>
          <cell r="S18919">
            <v>619.44000000000005</v>
          </cell>
          <cell r="X18919" t="str">
            <v>Commissions - gross</v>
          </cell>
          <cell r="Y18919" t="str">
            <v>CHILE</v>
          </cell>
        </row>
        <row r="18920">
          <cell r="L18920" t="str">
            <v>Non-proportional</v>
          </cell>
          <cell r="S18920">
            <v>27720.76</v>
          </cell>
          <cell r="X18920" t="str">
            <v>Commissions - gross</v>
          </cell>
          <cell r="Y18920" t="str">
            <v>TURKEY</v>
          </cell>
        </row>
        <row r="18921">
          <cell r="L18921" t="str">
            <v>Proportional</v>
          </cell>
          <cell r="S18921">
            <v>-23641.16</v>
          </cell>
          <cell r="X18921" t="str">
            <v>Commissions - gross</v>
          </cell>
          <cell r="Y18921" t="str">
            <v>UNITED STATES</v>
          </cell>
        </row>
        <row r="18922">
          <cell r="L18922" t="str">
            <v>Proportional</v>
          </cell>
          <cell r="S18922">
            <v>-10.4</v>
          </cell>
          <cell r="X18922" t="str">
            <v>Commissions - gross</v>
          </cell>
          <cell r="Y18922" t="str">
            <v>CHILE</v>
          </cell>
        </row>
        <row r="18923">
          <cell r="L18923" t="str">
            <v>Non-proportional</v>
          </cell>
          <cell r="S18923">
            <v>-736.89</v>
          </cell>
          <cell r="X18923" t="str">
            <v>Commissions - gross</v>
          </cell>
          <cell r="Y18923" t="str">
            <v>CHILE</v>
          </cell>
        </row>
        <row r="18924">
          <cell r="L18924" t="str">
            <v>Non-proportional</v>
          </cell>
          <cell r="S18924">
            <v>700.04</v>
          </cell>
          <cell r="X18924" t="str">
            <v>Commissions - gross</v>
          </cell>
          <cell r="Y18924" t="str">
            <v>CHILE</v>
          </cell>
        </row>
        <row r="18925">
          <cell r="L18925" t="str">
            <v>Proportional</v>
          </cell>
          <cell r="S18925">
            <v>-2394.88</v>
          </cell>
          <cell r="X18925" t="str">
            <v>Commissions - gross</v>
          </cell>
          <cell r="Y18925" t="str">
            <v>CHILE</v>
          </cell>
        </row>
        <row r="18926">
          <cell r="L18926" t="str">
            <v>Proportional</v>
          </cell>
          <cell r="S18926">
            <v>-478.98</v>
          </cell>
          <cell r="X18926" t="str">
            <v>Commissions - gross</v>
          </cell>
          <cell r="Y18926" t="str">
            <v>CHILE</v>
          </cell>
        </row>
        <row r="18927">
          <cell r="L18927" t="str">
            <v>Non-proportional</v>
          </cell>
          <cell r="S18927">
            <v>145.68</v>
          </cell>
          <cell r="X18927" t="str">
            <v>Commissions - gross</v>
          </cell>
          <cell r="Y18927" t="str">
            <v>DOMINICAN REPUBLIC</v>
          </cell>
        </row>
        <row r="18928">
          <cell r="L18928" t="str">
            <v>Proportional</v>
          </cell>
          <cell r="S18928">
            <v>-789.76</v>
          </cell>
          <cell r="X18928" t="str">
            <v>Commissions - gross</v>
          </cell>
          <cell r="Y18928" t="str">
            <v>UNITED STATES</v>
          </cell>
        </row>
        <row r="18929">
          <cell r="L18929" t="str">
            <v>Non-proportional</v>
          </cell>
          <cell r="S18929">
            <v>-82.97</v>
          </cell>
          <cell r="X18929" t="str">
            <v>Commissions - gross</v>
          </cell>
          <cell r="Y18929" t="str">
            <v>DOMINICAN REPUBLIC</v>
          </cell>
        </row>
        <row r="18930">
          <cell r="L18930" t="str">
            <v>Non-proportional</v>
          </cell>
          <cell r="S18930">
            <v>-1142.17</v>
          </cell>
          <cell r="X18930" t="str">
            <v>Commissions - gross</v>
          </cell>
          <cell r="Y18930" t="str">
            <v>CHILE</v>
          </cell>
        </row>
        <row r="18931">
          <cell r="L18931" t="str">
            <v>Non-proportional</v>
          </cell>
          <cell r="S18931">
            <v>-520.52</v>
          </cell>
          <cell r="X18931" t="str">
            <v>Commissions - gross</v>
          </cell>
          <cell r="Y18931" t="str">
            <v>DOMINICAN REPUBLIC</v>
          </cell>
        </row>
        <row r="18932">
          <cell r="L18932" t="str">
            <v>Non-proportional</v>
          </cell>
          <cell r="S18932">
            <v>520.52</v>
          </cell>
          <cell r="X18932" t="str">
            <v>Commissions - gross</v>
          </cell>
          <cell r="Y18932" t="str">
            <v>DOMINICAN REPUBLIC</v>
          </cell>
        </row>
        <row r="18933">
          <cell r="L18933" t="str">
            <v>Non-proportional</v>
          </cell>
          <cell r="S18933">
            <v>-420.75</v>
          </cell>
          <cell r="X18933" t="str">
            <v>Commissions - gross</v>
          </cell>
          <cell r="Y18933" t="str">
            <v>ROMANIA</v>
          </cell>
        </row>
        <row r="18934">
          <cell r="L18934" t="str">
            <v>Non-proportional</v>
          </cell>
          <cell r="S18934">
            <v>447.5</v>
          </cell>
          <cell r="X18934" t="str">
            <v>Commissions - gross</v>
          </cell>
          <cell r="Y18934" t="str">
            <v>ROMANIA</v>
          </cell>
        </row>
        <row r="18935">
          <cell r="L18935" t="str">
            <v>Non-proportional</v>
          </cell>
          <cell r="S18935">
            <v>-4219.3100000000004</v>
          </cell>
          <cell r="X18935" t="str">
            <v>Commissions - gross</v>
          </cell>
          <cell r="Y18935" t="str">
            <v>UNITED KINGDOM</v>
          </cell>
        </row>
        <row r="18936">
          <cell r="L18936" t="str">
            <v>Proportional</v>
          </cell>
          <cell r="S18936">
            <v>-8861.27</v>
          </cell>
          <cell r="X18936" t="str">
            <v>Commissions - gross</v>
          </cell>
          <cell r="Y18936" t="str">
            <v>MEXICO</v>
          </cell>
        </row>
        <row r="18937">
          <cell r="L18937" t="str">
            <v>Non-proportional</v>
          </cell>
          <cell r="S18937">
            <v>11335.21</v>
          </cell>
          <cell r="X18937" t="str">
            <v>Commissions - gross</v>
          </cell>
          <cell r="Y18937" t="str">
            <v>PERU</v>
          </cell>
        </row>
        <row r="18938">
          <cell r="L18938" t="str">
            <v>Proportional</v>
          </cell>
          <cell r="S18938">
            <v>-808.19</v>
          </cell>
          <cell r="X18938" t="str">
            <v>Commissions - gross</v>
          </cell>
          <cell r="Y18938" t="str">
            <v>FRANCE</v>
          </cell>
        </row>
        <row r="18939">
          <cell r="L18939" t="str">
            <v>Non-proportional</v>
          </cell>
          <cell r="S18939">
            <v>-470</v>
          </cell>
          <cell r="X18939" t="str">
            <v>Commissions - gross</v>
          </cell>
          <cell r="Y18939" t="str">
            <v>GERMANY</v>
          </cell>
        </row>
        <row r="18940">
          <cell r="L18940" t="str">
            <v>Non-proportional</v>
          </cell>
          <cell r="S18940">
            <v>1277.1199999999999</v>
          </cell>
          <cell r="X18940" t="str">
            <v>Commissions - gross</v>
          </cell>
          <cell r="Y18940" t="str">
            <v>FRANCE</v>
          </cell>
        </row>
        <row r="18941">
          <cell r="L18941" t="str">
            <v>Non-proportional</v>
          </cell>
          <cell r="S18941">
            <v>-2032.17</v>
          </cell>
          <cell r="X18941" t="str">
            <v>Commissions - gross</v>
          </cell>
          <cell r="Y18941" t="str">
            <v>AUSTRALIA</v>
          </cell>
        </row>
        <row r="18942">
          <cell r="L18942" t="str">
            <v>Proportional</v>
          </cell>
          <cell r="S18942">
            <v>0.1</v>
          </cell>
          <cell r="X18942" t="str">
            <v>Commissions - gross</v>
          </cell>
          <cell r="Y18942" t="str">
            <v>CHILE</v>
          </cell>
        </row>
        <row r="18943">
          <cell r="L18943" t="str">
            <v>Non-proportional</v>
          </cell>
          <cell r="S18943">
            <v>9394.5</v>
          </cell>
          <cell r="X18943" t="str">
            <v>Commissions - gross</v>
          </cell>
          <cell r="Y18943" t="str">
            <v>COLOMBIA</v>
          </cell>
        </row>
        <row r="18944">
          <cell r="L18944" t="str">
            <v>Proportional</v>
          </cell>
          <cell r="S18944">
            <v>56.66</v>
          </cell>
          <cell r="X18944" t="str">
            <v>Commissions - gross</v>
          </cell>
          <cell r="Y18944" t="str">
            <v>UNITED STATES</v>
          </cell>
        </row>
        <row r="18945">
          <cell r="L18945" t="str">
            <v>Non-proportional</v>
          </cell>
          <cell r="S18945">
            <v>-374.71</v>
          </cell>
          <cell r="X18945" t="str">
            <v>Commissions - gross</v>
          </cell>
          <cell r="Y18945" t="str">
            <v>DOMINICAN REPUBLIC</v>
          </cell>
        </row>
        <row r="18946">
          <cell r="L18946" t="str">
            <v>Proportional</v>
          </cell>
          <cell r="S18946">
            <v>26.31</v>
          </cell>
          <cell r="X18946" t="str">
            <v>Commissions - gross</v>
          </cell>
          <cell r="Y18946" t="str">
            <v>CHILE</v>
          </cell>
        </row>
        <row r="18947">
          <cell r="L18947" t="str">
            <v>Non-proportional</v>
          </cell>
          <cell r="S18947">
            <v>-9505.84</v>
          </cell>
          <cell r="X18947" t="str">
            <v>Commissions - gross</v>
          </cell>
          <cell r="Y18947" t="str">
            <v>CHILE</v>
          </cell>
        </row>
        <row r="18948">
          <cell r="L18948" t="str">
            <v>Non-proportional</v>
          </cell>
          <cell r="S18948">
            <v>-9394.5</v>
          </cell>
          <cell r="X18948" t="str">
            <v>Commissions - gross</v>
          </cell>
          <cell r="Y18948" t="str">
            <v>COLOMBIA</v>
          </cell>
        </row>
        <row r="18949">
          <cell r="L18949" t="str">
            <v>Non-proportional</v>
          </cell>
          <cell r="S18949">
            <v>2984.39</v>
          </cell>
          <cell r="X18949" t="str">
            <v>Commissions - gross</v>
          </cell>
          <cell r="Y18949" t="str">
            <v>CHILE</v>
          </cell>
        </row>
        <row r="18950">
          <cell r="L18950" t="str">
            <v>Non-proportional</v>
          </cell>
          <cell r="S18950">
            <v>2321.19</v>
          </cell>
          <cell r="X18950" t="str">
            <v>Commissions - gross</v>
          </cell>
          <cell r="Y18950" t="str">
            <v>CHILE</v>
          </cell>
        </row>
        <row r="18951">
          <cell r="L18951" t="str">
            <v>Proportional</v>
          </cell>
          <cell r="S18951">
            <v>108533</v>
          </cell>
          <cell r="X18951" t="str">
            <v>Commissions - gross</v>
          </cell>
          <cell r="Y18951" t="str">
            <v>ITALY</v>
          </cell>
        </row>
        <row r="18952">
          <cell r="L18952" t="str">
            <v>Proportional</v>
          </cell>
          <cell r="S18952">
            <v>405.29</v>
          </cell>
          <cell r="X18952" t="str">
            <v>Commissions - gross</v>
          </cell>
          <cell r="Y18952" t="str">
            <v>CHILE</v>
          </cell>
        </row>
        <row r="18953">
          <cell r="L18953" t="str">
            <v>Non-proportional</v>
          </cell>
          <cell r="S18953">
            <v>731.61</v>
          </cell>
          <cell r="X18953" t="str">
            <v>Commissions - gross</v>
          </cell>
          <cell r="Y18953" t="str">
            <v>AUSTRALIA</v>
          </cell>
        </row>
        <row r="18954">
          <cell r="L18954" t="str">
            <v>Proportional</v>
          </cell>
          <cell r="S18954">
            <v>221.07</v>
          </cell>
          <cell r="X18954" t="str">
            <v>Commissions - gross</v>
          </cell>
          <cell r="Y18954" t="str">
            <v>CHILE</v>
          </cell>
        </row>
        <row r="18955">
          <cell r="L18955" t="str">
            <v>Non-proportional</v>
          </cell>
          <cell r="S18955">
            <v>-145.68</v>
          </cell>
          <cell r="X18955" t="str">
            <v>Commissions - gross</v>
          </cell>
          <cell r="Y18955" t="str">
            <v>DOMINICAN REPUBLIC</v>
          </cell>
        </row>
        <row r="18956">
          <cell r="L18956" t="str">
            <v>Non-proportional</v>
          </cell>
          <cell r="S18956">
            <v>346.69</v>
          </cell>
          <cell r="X18956" t="str">
            <v>Commissions - gross</v>
          </cell>
          <cell r="Y18956" t="str">
            <v>AUSTRALIA</v>
          </cell>
        </row>
        <row r="18957">
          <cell r="L18957" t="str">
            <v>Non-proportional</v>
          </cell>
          <cell r="S18957">
            <v>-286.27</v>
          </cell>
          <cell r="X18957" t="str">
            <v>Commissions - gross</v>
          </cell>
          <cell r="Y18957" t="str">
            <v>DOMINICAN REPUBLIC</v>
          </cell>
        </row>
        <row r="18958">
          <cell r="L18958" t="str">
            <v>Non-proportional</v>
          </cell>
          <cell r="S18958">
            <v>-1375.05</v>
          </cell>
          <cell r="X18958" t="str">
            <v>Commissions - gross</v>
          </cell>
          <cell r="Y18958" t="str">
            <v>AUSTRALIA</v>
          </cell>
        </row>
        <row r="18959">
          <cell r="L18959" t="str">
            <v>Non-proportional</v>
          </cell>
          <cell r="S18959">
            <v>-3.81</v>
          </cell>
          <cell r="X18959" t="str">
            <v>Commissions - gross</v>
          </cell>
          <cell r="Y18959" t="str">
            <v>GERMANY</v>
          </cell>
        </row>
        <row r="18960">
          <cell r="L18960" t="str">
            <v>Proportional</v>
          </cell>
          <cell r="S18960">
            <v>-1.86</v>
          </cell>
          <cell r="X18960" t="str">
            <v>Commissions - gross</v>
          </cell>
          <cell r="Y18960" t="str">
            <v>CHILE</v>
          </cell>
        </row>
        <row r="18961">
          <cell r="L18961" t="str">
            <v>Non-proportional</v>
          </cell>
          <cell r="S18961">
            <v>3131.77</v>
          </cell>
          <cell r="X18961" t="str">
            <v>Commissions - gross</v>
          </cell>
          <cell r="Y18961" t="str">
            <v>CHILE</v>
          </cell>
        </row>
        <row r="18962">
          <cell r="L18962" t="str">
            <v>Proportional</v>
          </cell>
          <cell r="S18962">
            <v>9.9499999999999993</v>
          </cell>
          <cell r="X18962" t="str">
            <v>Commissions - gross</v>
          </cell>
          <cell r="Y18962" t="str">
            <v>UNITED STATES</v>
          </cell>
        </row>
        <row r="18963">
          <cell r="L18963" t="str">
            <v>Proportional</v>
          </cell>
          <cell r="S18963">
            <v>-147.38</v>
          </cell>
          <cell r="X18963" t="str">
            <v>Commissions - gross</v>
          </cell>
          <cell r="Y18963" t="str">
            <v>CHILE</v>
          </cell>
        </row>
        <row r="18964">
          <cell r="L18964" t="str">
            <v>Proportional</v>
          </cell>
          <cell r="S18964">
            <v>1334.74</v>
          </cell>
          <cell r="X18964" t="str">
            <v>Commissions - gross</v>
          </cell>
          <cell r="Y18964" t="str">
            <v>AUSTRALIA</v>
          </cell>
        </row>
        <row r="18965">
          <cell r="L18965" t="str">
            <v>Proportional</v>
          </cell>
          <cell r="S18965">
            <v>126.9</v>
          </cell>
          <cell r="X18965" t="str">
            <v>Commissions - gross</v>
          </cell>
          <cell r="Y18965" t="str">
            <v>CHILE</v>
          </cell>
        </row>
        <row r="18966">
          <cell r="L18966" t="str">
            <v>Proportional</v>
          </cell>
          <cell r="S18966">
            <v>-921.11</v>
          </cell>
          <cell r="X18966" t="str">
            <v>Commissions - gross</v>
          </cell>
          <cell r="Y18966" t="str">
            <v>CHILE</v>
          </cell>
        </row>
        <row r="18967">
          <cell r="L18967" t="str">
            <v>Proportional</v>
          </cell>
          <cell r="S18967">
            <v>2.78</v>
          </cell>
          <cell r="X18967" t="str">
            <v>Commissions - gross</v>
          </cell>
          <cell r="Y18967" t="str">
            <v>CHILE</v>
          </cell>
        </row>
        <row r="18968">
          <cell r="L18968" t="str">
            <v>Non-proportional</v>
          </cell>
          <cell r="S18968">
            <v>130.21</v>
          </cell>
          <cell r="X18968" t="str">
            <v>Commissions - gross</v>
          </cell>
          <cell r="Y18968" t="str">
            <v>GERMANY</v>
          </cell>
        </row>
        <row r="18969">
          <cell r="L18969" t="str">
            <v>Proportional</v>
          </cell>
          <cell r="S18969">
            <v>73.69</v>
          </cell>
          <cell r="X18969" t="str">
            <v>Commissions - gross</v>
          </cell>
          <cell r="Y18969" t="str">
            <v>CHILE</v>
          </cell>
        </row>
        <row r="18970">
          <cell r="L18970" t="str">
            <v>Proportional</v>
          </cell>
          <cell r="S18970">
            <v>8861.27</v>
          </cell>
          <cell r="X18970" t="str">
            <v>Commissions - gross</v>
          </cell>
          <cell r="Y18970" t="str">
            <v>MEXICO</v>
          </cell>
        </row>
        <row r="18971">
          <cell r="L18971" t="str">
            <v>Non-proportional</v>
          </cell>
          <cell r="S18971">
            <v>265.17</v>
          </cell>
          <cell r="X18971" t="str">
            <v>Commissions - gross</v>
          </cell>
          <cell r="Y18971" t="str">
            <v>DOMINICAN REPUBLIC</v>
          </cell>
        </row>
        <row r="18972">
          <cell r="L18972" t="str">
            <v>Proportional</v>
          </cell>
          <cell r="S18972">
            <v>-8.26</v>
          </cell>
          <cell r="X18972" t="str">
            <v>Commissions - gross</v>
          </cell>
          <cell r="Y18972" t="str">
            <v>UNITED STATES</v>
          </cell>
        </row>
        <row r="18973">
          <cell r="L18973" t="str">
            <v>Proportional</v>
          </cell>
          <cell r="S18973">
            <v>-515.82000000000005</v>
          </cell>
          <cell r="X18973" t="str">
            <v>Commissions - gross</v>
          </cell>
          <cell r="Y18973" t="str">
            <v>CHILE</v>
          </cell>
        </row>
        <row r="18974">
          <cell r="L18974" t="str">
            <v>Non-proportional</v>
          </cell>
          <cell r="S18974">
            <v>-162.5</v>
          </cell>
          <cell r="X18974" t="str">
            <v>Commissions - gross</v>
          </cell>
          <cell r="Y18974" t="str">
            <v>GERMANY</v>
          </cell>
        </row>
        <row r="18975">
          <cell r="L18975" t="str">
            <v>Non-proportional</v>
          </cell>
          <cell r="S18975">
            <v>6521.45</v>
          </cell>
          <cell r="X18975" t="str">
            <v>Commissions - gross</v>
          </cell>
          <cell r="Y18975" t="str">
            <v>CHILE</v>
          </cell>
        </row>
        <row r="18976">
          <cell r="L18976" t="str">
            <v>Proportional</v>
          </cell>
          <cell r="S18976">
            <v>2415.06</v>
          </cell>
          <cell r="X18976" t="str">
            <v>Commissions - gross</v>
          </cell>
          <cell r="Y18976" t="str">
            <v>ITALY</v>
          </cell>
        </row>
        <row r="18977">
          <cell r="L18977" t="str">
            <v>Proportional</v>
          </cell>
          <cell r="S18977">
            <v>8722.51</v>
          </cell>
          <cell r="X18977" t="str">
            <v>Commissions - gross</v>
          </cell>
          <cell r="Y18977" t="str">
            <v>MEXICO</v>
          </cell>
        </row>
        <row r="18978">
          <cell r="L18978" t="str">
            <v>Proportional</v>
          </cell>
          <cell r="S18978">
            <v>-63.07</v>
          </cell>
          <cell r="X18978" t="str">
            <v>Commissions - gross</v>
          </cell>
          <cell r="Y18978" t="str">
            <v>REPUBLIC OF IRELAND</v>
          </cell>
        </row>
        <row r="18979">
          <cell r="L18979" t="str">
            <v>Proportional</v>
          </cell>
          <cell r="S18979">
            <v>4022.07</v>
          </cell>
          <cell r="X18979" t="str">
            <v>Commissions - gross</v>
          </cell>
          <cell r="Y18979" t="str">
            <v>EUROPE</v>
          </cell>
        </row>
        <row r="18980">
          <cell r="L18980" t="str">
            <v>Proportional</v>
          </cell>
          <cell r="S18980">
            <v>-1898.01</v>
          </cell>
          <cell r="X18980" t="str">
            <v>Commissions - gross</v>
          </cell>
          <cell r="Y18980" t="str">
            <v>ITALY</v>
          </cell>
        </row>
        <row r="18981">
          <cell r="L18981" t="str">
            <v>Proportional</v>
          </cell>
          <cell r="S18981">
            <v>-8722.51</v>
          </cell>
          <cell r="X18981" t="str">
            <v>Commissions - gross</v>
          </cell>
          <cell r="Y18981" t="str">
            <v>MEXICO</v>
          </cell>
        </row>
        <row r="18982">
          <cell r="L18982" t="str">
            <v>Proportional</v>
          </cell>
          <cell r="S18982">
            <v>-4022.07</v>
          </cell>
          <cell r="X18982" t="str">
            <v>Commissions - gross</v>
          </cell>
          <cell r="Y18982" t="str">
            <v>EUROPE</v>
          </cell>
        </row>
        <row r="18983">
          <cell r="L18983" t="str">
            <v>Proportional</v>
          </cell>
          <cell r="S18983">
            <v>-2377.2399999999998</v>
          </cell>
          <cell r="X18983" t="str">
            <v>Commissions - gross</v>
          </cell>
          <cell r="Y18983" t="str">
            <v>ITALY</v>
          </cell>
        </row>
        <row r="18984">
          <cell r="L18984" t="str">
            <v>Proportional</v>
          </cell>
          <cell r="S18984">
            <v>-523.27</v>
          </cell>
          <cell r="X18984" t="str">
            <v>Commissions - gross</v>
          </cell>
          <cell r="Y18984" t="str">
            <v>ITALY</v>
          </cell>
        </row>
        <row r="18985">
          <cell r="L18985" t="str">
            <v>Proportional</v>
          </cell>
          <cell r="S18985">
            <v>63.07</v>
          </cell>
          <cell r="X18985" t="str">
            <v>Commissions - gross</v>
          </cell>
          <cell r="Y18985" t="str">
            <v>REPUBLIC OF IRELAND</v>
          </cell>
        </row>
        <row r="18986">
          <cell r="L18986" t="str">
            <v>Proportional</v>
          </cell>
          <cell r="S18986">
            <v>-2417.5700000000002</v>
          </cell>
          <cell r="X18986" t="str">
            <v>Commissions - gross</v>
          </cell>
          <cell r="Y18986" t="str">
            <v>ITALY</v>
          </cell>
        </row>
        <row r="18987">
          <cell r="L18987" t="str">
            <v>Proportional</v>
          </cell>
          <cell r="S18987">
            <v>4.8600000000000003</v>
          </cell>
          <cell r="X18987" t="str">
            <v>Commissions - gross</v>
          </cell>
          <cell r="Y18987" t="str">
            <v>CHILE</v>
          </cell>
        </row>
        <row r="18988">
          <cell r="L18988" t="str">
            <v>Proportional</v>
          </cell>
          <cell r="S18988">
            <v>5.38</v>
          </cell>
          <cell r="X18988" t="str">
            <v>Commissions - gross</v>
          </cell>
          <cell r="Y18988" t="str">
            <v>CHILE</v>
          </cell>
        </row>
        <row r="18989">
          <cell r="L18989" t="str">
            <v>Non-proportional</v>
          </cell>
          <cell r="S18989">
            <v>-5932.62</v>
          </cell>
          <cell r="X18989" t="str">
            <v>Commissions - gross</v>
          </cell>
          <cell r="Y18989" t="str">
            <v>UNITED KINGDOM</v>
          </cell>
        </row>
        <row r="18990">
          <cell r="L18990" t="str">
            <v>Proportional</v>
          </cell>
          <cell r="S18990">
            <v>-994.42</v>
          </cell>
          <cell r="X18990" t="str">
            <v>Commissions - gross</v>
          </cell>
          <cell r="Y18990" t="str">
            <v>ITALY</v>
          </cell>
        </row>
        <row r="18991">
          <cell r="L18991" t="str">
            <v>Non-proportional</v>
          </cell>
          <cell r="S18991">
            <v>5803.55</v>
          </cell>
          <cell r="X18991" t="str">
            <v>Commissions - gross</v>
          </cell>
          <cell r="Y18991" t="str">
            <v>UNITED KINGDOM</v>
          </cell>
        </row>
        <row r="18992">
          <cell r="L18992" t="str">
            <v>Proportional</v>
          </cell>
          <cell r="S18992">
            <v>-150.21</v>
          </cell>
          <cell r="X18992" t="str">
            <v>Commissions - gross</v>
          </cell>
          <cell r="Y18992" t="str">
            <v>CHILE</v>
          </cell>
        </row>
        <row r="18993">
          <cell r="L18993" t="str">
            <v>Proportional</v>
          </cell>
          <cell r="S18993">
            <v>-150.21</v>
          </cell>
          <cell r="X18993" t="str">
            <v>Commissions - gross</v>
          </cell>
          <cell r="Y18993" t="str">
            <v>CHILE</v>
          </cell>
        </row>
        <row r="18994">
          <cell r="L18994" t="str">
            <v>Proportional</v>
          </cell>
          <cell r="S18994">
            <v>994.42</v>
          </cell>
          <cell r="X18994" t="str">
            <v>Commissions - gross</v>
          </cell>
          <cell r="Y18994" t="str">
            <v>ITALY</v>
          </cell>
        </row>
        <row r="18995">
          <cell r="L18995" t="str">
            <v>Proportional</v>
          </cell>
          <cell r="S18995">
            <v>-1207.1600000000001</v>
          </cell>
          <cell r="X18995" t="str">
            <v>Commissions - gross</v>
          </cell>
          <cell r="Y18995" t="str">
            <v>REPUBLIC OF IRELAND</v>
          </cell>
        </row>
        <row r="18996">
          <cell r="L18996" t="str">
            <v>Non-proportional</v>
          </cell>
          <cell r="S18996">
            <v>3356.27</v>
          </cell>
          <cell r="X18996" t="str">
            <v>Commissions - gross</v>
          </cell>
          <cell r="Y18996" t="str">
            <v>UNITED KINGDOM</v>
          </cell>
        </row>
        <row r="18997">
          <cell r="L18997" t="str">
            <v>Non-proportional</v>
          </cell>
          <cell r="S18997">
            <v>-2471.92</v>
          </cell>
          <cell r="X18997" t="str">
            <v>Commissions - gross</v>
          </cell>
          <cell r="Y18997" t="str">
            <v>UNITED KINGDOM</v>
          </cell>
        </row>
        <row r="18998">
          <cell r="L18998" t="str">
            <v>Proportional</v>
          </cell>
          <cell r="S18998">
            <v>5.38</v>
          </cell>
          <cell r="X18998" t="str">
            <v>Commissions - gross</v>
          </cell>
          <cell r="Y18998" t="str">
            <v>CHILE</v>
          </cell>
        </row>
        <row r="18999">
          <cell r="L18999" t="str">
            <v>Proportional</v>
          </cell>
          <cell r="S18999">
            <v>4.8600000000000003</v>
          </cell>
          <cell r="X18999" t="str">
            <v>Commissions - gross</v>
          </cell>
          <cell r="Y18999" t="str">
            <v>CHILE</v>
          </cell>
        </row>
        <row r="19000">
          <cell r="L19000" t="str">
            <v>Proportional</v>
          </cell>
          <cell r="S19000">
            <v>-4.8600000000000003</v>
          </cell>
          <cell r="X19000" t="str">
            <v>Commissions - gross</v>
          </cell>
          <cell r="Y19000" t="str">
            <v>CHILE</v>
          </cell>
        </row>
        <row r="19001">
          <cell r="L19001" t="str">
            <v>Non-proportional</v>
          </cell>
          <cell r="S19001">
            <v>-10258.48</v>
          </cell>
          <cell r="X19001" t="str">
            <v>Commissions - gross</v>
          </cell>
          <cell r="Y19001" t="str">
            <v>UNITED KINGDOM</v>
          </cell>
        </row>
        <row r="19002">
          <cell r="L19002" t="str">
            <v>Proportional</v>
          </cell>
          <cell r="S19002">
            <v>-266.14</v>
          </cell>
          <cell r="X19002" t="str">
            <v>Commissions - gross</v>
          </cell>
          <cell r="Y19002" t="str">
            <v>ITALY</v>
          </cell>
        </row>
        <row r="19003">
          <cell r="L19003" t="str">
            <v>Proportional</v>
          </cell>
          <cell r="S19003">
            <v>123768</v>
          </cell>
          <cell r="X19003" t="str">
            <v>Commissions - gross</v>
          </cell>
          <cell r="Y19003" t="str">
            <v>ITALY</v>
          </cell>
        </row>
        <row r="19004">
          <cell r="L19004" t="str">
            <v>Non-proportional</v>
          </cell>
          <cell r="S19004">
            <v>4489.01</v>
          </cell>
          <cell r="X19004" t="str">
            <v>Commissions - gross</v>
          </cell>
          <cell r="Y19004" t="str">
            <v>UNITED KINGDOM</v>
          </cell>
        </row>
        <row r="19005">
          <cell r="L19005" t="str">
            <v>Proportional</v>
          </cell>
          <cell r="S19005">
            <v>4767.16</v>
          </cell>
          <cell r="X19005" t="str">
            <v>Commissions - gross</v>
          </cell>
          <cell r="Y19005" t="str">
            <v>AUSTRALIA</v>
          </cell>
        </row>
        <row r="19006">
          <cell r="L19006" t="str">
            <v>Proportional</v>
          </cell>
          <cell r="S19006">
            <v>-266.14</v>
          </cell>
          <cell r="X19006" t="str">
            <v>Commissions - gross</v>
          </cell>
          <cell r="Y19006" t="str">
            <v>ITALY</v>
          </cell>
        </row>
        <row r="19007">
          <cell r="L19007" t="str">
            <v>Proportional</v>
          </cell>
          <cell r="S19007">
            <v>2377.2399999999998</v>
          </cell>
          <cell r="X19007" t="str">
            <v>Commissions - gross</v>
          </cell>
          <cell r="Y19007" t="str">
            <v>ITALY</v>
          </cell>
        </row>
        <row r="19008">
          <cell r="L19008" t="str">
            <v>Proportional</v>
          </cell>
          <cell r="S19008">
            <v>-2215.61</v>
          </cell>
          <cell r="X19008" t="str">
            <v>Commissions - gross</v>
          </cell>
          <cell r="Y19008" t="str">
            <v>CHILE</v>
          </cell>
        </row>
        <row r="19009">
          <cell r="L19009" t="str">
            <v>Proportional</v>
          </cell>
          <cell r="S19009">
            <v>1207.1600000000001</v>
          </cell>
          <cell r="X19009" t="str">
            <v>Commissions - gross</v>
          </cell>
          <cell r="Y19009" t="str">
            <v>REPUBLIC OF IRELAND</v>
          </cell>
        </row>
        <row r="19010">
          <cell r="L19010" t="str">
            <v>Non-proportional</v>
          </cell>
          <cell r="S19010">
            <v>-7934.87</v>
          </cell>
          <cell r="X19010" t="str">
            <v>Commissions - gross</v>
          </cell>
          <cell r="Y19010" t="str">
            <v>UNITED KINGDOM</v>
          </cell>
        </row>
        <row r="19011">
          <cell r="L19011" t="str">
            <v>Proportional</v>
          </cell>
          <cell r="S19011">
            <v>-4767.16</v>
          </cell>
          <cell r="X19011" t="str">
            <v>Commissions - gross</v>
          </cell>
          <cell r="Y19011" t="str">
            <v>AUSTRALIA</v>
          </cell>
        </row>
        <row r="19012">
          <cell r="L19012" t="str">
            <v>Proportional</v>
          </cell>
          <cell r="S19012">
            <v>-1089.03</v>
          </cell>
          <cell r="X19012" t="str">
            <v>Commissions - gross</v>
          </cell>
          <cell r="Y19012" t="str">
            <v>CHILE</v>
          </cell>
        </row>
        <row r="19013">
          <cell r="L19013" t="str">
            <v>Proportional</v>
          </cell>
          <cell r="S19013">
            <v>3212.69</v>
          </cell>
          <cell r="X19013" t="str">
            <v>Commissions - gross</v>
          </cell>
          <cell r="Y19013" t="str">
            <v>ITALY</v>
          </cell>
        </row>
        <row r="19014">
          <cell r="L19014" t="str">
            <v>Proportional</v>
          </cell>
          <cell r="S19014">
            <v>-3212.69</v>
          </cell>
          <cell r="X19014" t="str">
            <v>Commissions - gross</v>
          </cell>
          <cell r="Y19014" t="str">
            <v>ITALY</v>
          </cell>
        </row>
        <row r="19015">
          <cell r="L19015" t="str">
            <v>Proportional</v>
          </cell>
          <cell r="S19015">
            <v>-1207.1600000000001</v>
          </cell>
          <cell r="X19015" t="str">
            <v>Commissions - gross</v>
          </cell>
          <cell r="Y19015" t="str">
            <v>REPUBLIC OF IRELAND</v>
          </cell>
        </row>
        <row r="19016">
          <cell r="L19016" t="str">
            <v>Non-proportional</v>
          </cell>
          <cell r="S19016">
            <v>1398.44</v>
          </cell>
          <cell r="X19016" t="str">
            <v>Commissions - gross</v>
          </cell>
          <cell r="Y19016" t="str">
            <v>UNITED KINGDOM</v>
          </cell>
        </row>
        <row r="19017">
          <cell r="L19017" t="str">
            <v>Proportional</v>
          </cell>
          <cell r="S19017">
            <v>-5.38</v>
          </cell>
          <cell r="X19017" t="str">
            <v>Commissions - gross</v>
          </cell>
          <cell r="Y19017" t="str">
            <v>CHILE</v>
          </cell>
        </row>
        <row r="19018">
          <cell r="L19018" t="str">
            <v>Proportional</v>
          </cell>
          <cell r="S19018">
            <v>2049.64</v>
          </cell>
          <cell r="X19018" t="str">
            <v>Commissions - gross</v>
          </cell>
          <cell r="Y19018" t="str">
            <v>AUSTRALIA</v>
          </cell>
        </row>
        <row r="19019">
          <cell r="L19019" t="str">
            <v>Proportional</v>
          </cell>
          <cell r="S19019">
            <v>1207.1600000000001</v>
          </cell>
          <cell r="X19019" t="str">
            <v>Commissions - gross</v>
          </cell>
          <cell r="Y19019" t="str">
            <v>REPUBLIC OF IRELAND</v>
          </cell>
        </row>
        <row r="19020">
          <cell r="L19020" t="str">
            <v>Proportional</v>
          </cell>
          <cell r="S19020">
            <v>-2049.64</v>
          </cell>
          <cell r="X19020" t="str">
            <v>Commissions - gross</v>
          </cell>
          <cell r="Y19020" t="str">
            <v>AUSTRALIA</v>
          </cell>
        </row>
        <row r="19021">
          <cell r="L19021" t="str">
            <v>Proportional</v>
          </cell>
          <cell r="S19021">
            <v>266.14</v>
          </cell>
          <cell r="X19021" t="str">
            <v>Commissions - gross</v>
          </cell>
          <cell r="Y19021" t="str">
            <v>ITALY</v>
          </cell>
        </row>
        <row r="19022">
          <cell r="L19022" t="str">
            <v>Proportional</v>
          </cell>
          <cell r="S19022">
            <v>364257.45</v>
          </cell>
          <cell r="X19022" t="str">
            <v>Commissions - gross</v>
          </cell>
          <cell r="Y19022" t="str">
            <v>UNITED STATES</v>
          </cell>
        </row>
        <row r="19023">
          <cell r="L19023" t="str">
            <v>Proportional</v>
          </cell>
          <cell r="S19023">
            <v>364257.45</v>
          </cell>
          <cell r="X19023" t="str">
            <v>Commissions - gross</v>
          </cell>
          <cell r="Y19023" t="str">
            <v>UNITED STATES</v>
          </cell>
        </row>
        <row r="19024">
          <cell r="L19024" t="str">
            <v>Proportional</v>
          </cell>
          <cell r="S19024">
            <v>-364257.45</v>
          </cell>
          <cell r="X19024" t="str">
            <v>Commissions - gross</v>
          </cell>
          <cell r="Y19024" t="str">
            <v>UNITED STATES</v>
          </cell>
        </row>
        <row r="19025">
          <cell r="L19025" t="str">
            <v>Proportional</v>
          </cell>
          <cell r="S19025">
            <v>785.18</v>
          </cell>
          <cell r="X19025" t="str">
            <v>Commissions - gross</v>
          </cell>
          <cell r="Y19025" t="str">
            <v>UNITED STATES</v>
          </cell>
        </row>
        <row r="19026">
          <cell r="L19026" t="str">
            <v>Proportional</v>
          </cell>
          <cell r="S19026">
            <v>283835.83</v>
          </cell>
          <cell r="X19026" t="str">
            <v>Commissions - gross</v>
          </cell>
          <cell r="Y19026" t="str">
            <v>UNITED STATES</v>
          </cell>
        </row>
        <row r="19027">
          <cell r="L19027" t="str">
            <v>Proportional</v>
          </cell>
          <cell r="S19027">
            <v>-1087.22</v>
          </cell>
          <cell r="X19027" t="str">
            <v>Commissions - gross</v>
          </cell>
          <cell r="Y19027" t="str">
            <v>UNITED STATES</v>
          </cell>
        </row>
        <row r="19028">
          <cell r="L19028" t="str">
            <v>Proportional</v>
          </cell>
          <cell r="S19028">
            <v>260307.66</v>
          </cell>
          <cell r="X19028" t="str">
            <v>Commissions - gross</v>
          </cell>
          <cell r="Y19028" t="str">
            <v>THAILAND</v>
          </cell>
        </row>
        <row r="19029">
          <cell r="L19029" t="str">
            <v>Proportional</v>
          </cell>
          <cell r="S19029">
            <v>395547.63</v>
          </cell>
          <cell r="X19029" t="str">
            <v>Commissions - gross</v>
          </cell>
          <cell r="Y19029" t="str">
            <v>THAILAND</v>
          </cell>
        </row>
        <row r="19030">
          <cell r="L19030" t="str">
            <v>Proportional</v>
          </cell>
          <cell r="S19030">
            <v>-395547.63</v>
          </cell>
          <cell r="X19030" t="str">
            <v>Commissions - gross</v>
          </cell>
          <cell r="Y19030" t="str">
            <v>THAILAND</v>
          </cell>
        </row>
        <row r="19031">
          <cell r="L19031" t="str">
            <v>Proportional</v>
          </cell>
          <cell r="S19031">
            <v>98118144</v>
          </cell>
          <cell r="X19031" t="str">
            <v>Commissions - gross</v>
          </cell>
          <cell r="Y19031" t="str">
            <v>ITALY</v>
          </cell>
        </row>
        <row r="19032">
          <cell r="L19032" t="str">
            <v>Proportional</v>
          </cell>
          <cell r="S19032">
            <v>-84101266.290000007</v>
          </cell>
          <cell r="X19032" t="str">
            <v>Commissions - gross</v>
          </cell>
          <cell r="Y19032" t="str">
            <v>ITALY</v>
          </cell>
        </row>
        <row r="19033">
          <cell r="L19033" t="str">
            <v>Proportional</v>
          </cell>
          <cell r="S19033">
            <v>-14016877.720000001</v>
          </cell>
          <cell r="X19033" t="str">
            <v>Commissions - gross</v>
          </cell>
          <cell r="Y19033" t="str">
            <v>ITALY</v>
          </cell>
        </row>
        <row r="19034">
          <cell r="L19034" t="str">
            <v>Proportional</v>
          </cell>
          <cell r="S19034">
            <v>84101266.290000007</v>
          </cell>
          <cell r="X19034" t="str">
            <v>Commissions - gross</v>
          </cell>
          <cell r="Y19034" t="str">
            <v>ITALY</v>
          </cell>
        </row>
        <row r="19035">
          <cell r="L19035" t="str">
            <v>Proportional</v>
          </cell>
          <cell r="S19035">
            <v>14016877.720000001</v>
          </cell>
          <cell r="X19035" t="str">
            <v>Commissions - gross</v>
          </cell>
          <cell r="Y19035" t="str">
            <v>ITALY</v>
          </cell>
        </row>
        <row r="19036">
          <cell r="L19036" t="str">
            <v>Proportional</v>
          </cell>
          <cell r="S19036">
            <v>-7008438.8600000003</v>
          </cell>
          <cell r="X19036" t="str">
            <v>Commissions - gross</v>
          </cell>
          <cell r="Y19036" t="str">
            <v>ITALY</v>
          </cell>
        </row>
        <row r="19037">
          <cell r="L19037" t="str">
            <v>Proportional</v>
          </cell>
          <cell r="S19037">
            <v>2964410.37</v>
          </cell>
          <cell r="X19037" t="str">
            <v>Commissions - gross</v>
          </cell>
          <cell r="Y19037" t="str">
            <v>ITALY</v>
          </cell>
        </row>
        <row r="19038">
          <cell r="L19038" t="str">
            <v>Proportional</v>
          </cell>
          <cell r="S19038">
            <v>3196909.28</v>
          </cell>
          <cell r="X19038" t="str">
            <v>Commissions - gross</v>
          </cell>
          <cell r="Y19038" t="str">
            <v>ITALY</v>
          </cell>
        </row>
        <row r="19039">
          <cell r="L19039" t="str">
            <v>Proportional</v>
          </cell>
          <cell r="S19039">
            <v>-3196909.28</v>
          </cell>
          <cell r="X19039" t="str">
            <v>Commissions - gross</v>
          </cell>
          <cell r="Y19039" t="str">
            <v>ITALY</v>
          </cell>
        </row>
        <row r="19040">
          <cell r="L19040" t="str">
            <v>Proportional</v>
          </cell>
          <cell r="S19040">
            <v>30774582.66</v>
          </cell>
          <cell r="X19040" t="str">
            <v>Commissions - gross</v>
          </cell>
          <cell r="Y19040" t="str">
            <v>ITALY</v>
          </cell>
        </row>
        <row r="19041">
          <cell r="L19041" t="str">
            <v>Proportional</v>
          </cell>
          <cell r="S19041">
            <v>-98118144</v>
          </cell>
          <cell r="X19041" t="str">
            <v>Commissions - gross</v>
          </cell>
          <cell r="Y19041" t="str">
            <v>ITALY</v>
          </cell>
        </row>
        <row r="19042">
          <cell r="L19042" t="str">
            <v>Proportional</v>
          </cell>
          <cell r="S19042">
            <v>11568801.25</v>
          </cell>
          <cell r="X19042" t="str">
            <v>Commissions - gross</v>
          </cell>
          <cell r="Y19042" t="str">
            <v>ITALY</v>
          </cell>
        </row>
        <row r="19043">
          <cell r="L19043" t="str">
            <v>Proportional</v>
          </cell>
          <cell r="S19043">
            <v>-11568801.25</v>
          </cell>
          <cell r="X19043" t="str">
            <v>Commissions - gross</v>
          </cell>
          <cell r="Y19043" t="str">
            <v>ITALY</v>
          </cell>
        </row>
        <row r="19044">
          <cell r="L19044" t="str">
            <v>Proportional</v>
          </cell>
          <cell r="S19044">
            <v>-2964410.37</v>
          </cell>
          <cell r="X19044" t="str">
            <v>Commissions - gross</v>
          </cell>
          <cell r="Y19044" t="str">
            <v>ITALY</v>
          </cell>
        </row>
        <row r="19045">
          <cell r="L19045" t="str">
            <v>Proportional</v>
          </cell>
          <cell r="S19045">
            <v>-11564563.52</v>
          </cell>
          <cell r="X19045" t="str">
            <v>Commissions - gross</v>
          </cell>
          <cell r="Y19045" t="str">
            <v>ITALY</v>
          </cell>
        </row>
        <row r="19046">
          <cell r="L19046" t="str">
            <v>Proportional</v>
          </cell>
          <cell r="S19046">
            <v>9387.07</v>
          </cell>
          <cell r="X19046" t="str">
            <v>Commissions - gross</v>
          </cell>
          <cell r="Y19046" t="str">
            <v>ITALY</v>
          </cell>
        </row>
        <row r="19047">
          <cell r="L19047" t="str">
            <v>Proportional</v>
          </cell>
          <cell r="S19047">
            <v>90642.94</v>
          </cell>
          <cell r="X19047" t="str">
            <v>Commissions - gross</v>
          </cell>
          <cell r="Y19047" t="str">
            <v>SWITZERLAND</v>
          </cell>
        </row>
        <row r="19048">
          <cell r="L19048" t="str">
            <v>Proportional</v>
          </cell>
          <cell r="S19048">
            <v>22157041.940000001</v>
          </cell>
          <cell r="X19048" t="str">
            <v>Commissions - gross</v>
          </cell>
          <cell r="Y19048" t="str">
            <v>ITALY</v>
          </cell>
        </row>
        <row r="19049">
          <cell r="L19049" t="str">
            <v>Proportional</v>
          </cell>
          <cell r="S19049">
            <v>39724.54</v>
          </cell>
          <cell r="X19049" t="str">
            <v>Commissions - gross</v>
          </cell>
          <cell r="Y19049" t="str">
            <v>SWITZERLAND</v>
          </cell>
        </row>
        <row r="19050">
          <cell r="L19050" t="str">
            <v>Proportional</v>
          </cell>
          <cell r="S19050">
            <v>11564563.52</v>
          </cell>
          <cell r="X19050" t="str">
            <v>Commissions - gross</v>
          </cell>
          <cell r="Y19050" t="str">
            <v>ITALY</v>
          </cell>
        </row>
        <row r="19051">
          <cell r="L19051" t="str">
            <v>Proportional</v>
          </cell>
          <cell r="S19051">
            <v>315.89</v>
          </cell>
          <cell r="X19051" t="str">
            <v>Commissions - gross</v>
          </cell>
          <cell r="Y19051" t="str">
            <v>COLOMBIA</v>
          </cell>
        </row>
        <row r="19052">
          <cell r="L19052" t="str">
            <v>Proportional</v>
          </cell>
          <cell r="S19052">
            <v>-18085196.710000001</v>
          </cell>
          <cell r="X19052" t="str">
            <v>Commissions - gross</v>
          </cell>
          <cell r="Y19052" t="str">
            <v>ITALY</v>
          </cell>
        </row>
        <row r="19053">
          <cell r="L19053" t="str">
            <v>Proportional</v>
          </cell>
          <cell r="S19053">
            <v>23985298.16</v>
          </cell>
          <cell r="X19053" t="str">
            <v>Commissions - gross</v>
          </cell>
          <cell r="Y19053" t="str">
            <v>ITALY</v>
          </cell>
        </row>
        <row r="19054">
          <cell r="L19054" t="str">
            <v>Proportional</v>
          </cell>
          <cell r="S19054">
            <v>18085196.710000001</v>
          </cell>
          <cell r="X19054" t="str">
            <v>Commissions - gross</v>
          </cell>
          <cell r="Y19054" t="str">
            <v>ITALY</v>
          </cell>
        </row>
        <row r="19055">
          <cell r="L19055" t="str">
            <v>Proportional</v>
          </cell>
          <cell r="S19055">
            <v>3278.47</v>
          </cell>
          <cell r="X19055" t="str">
            <v>Commissions - gross</v>
          </cell>
          <cell r="Y19055" t="str">
            <v>CHILE</v>
          </cell>
        </row>
        <row r="19056">
          <cell r="L19056" t="str">
            <v>Proportional</v>
          </cell>
          <cell r="S19056">
            <v>-2204.14</v>
          </cell>
          <cell r="X19056" t="str">
            <v>Commissions - gross</v>
          </cell>
          <cell r="Y19056" t="str">
            <v>JAPAN</v>
          </cell>
        </row>
        <row r="19057">
          <cell r="L19057" t="str">
            <v>Proportional</v>
          </cell>
          <cell r="S19057">
            <v>-20713835.059999999</v>
          </cell>
          <cell r="X19057" t="str">
            <v>Commissions - gross</v>
          </cell>
          <cell r="Y19057" t="str">
            <v>ITALY</v>
          </cell>
        </row>
        <row r="19058">
          <cell r="L19058" t="str">
            <v>Proportional</v>
          </cell>
          <cell r="S19058">
            <v>20713835.059999999</v>
          </cell>
          <cell r="X19058" t="str">
            <v>Commissions - gross</v>
          </cell>
          <cell r="Y19058" t="str">
            <v>ITALY</v>
          </cell>
        </row>
        <row r="19059">
          <cell r="L19059" t="str">
            <v>Proportional</v>
          </cell>
          <cell r="S19059">
            <v>25310.01</v>
          </cell>
          <cell r="X19059" t="str">
            <v>Commissions - gross</v>
          </cell>
          <cell r="Y19059" t="str">
            <v>JAPAN</v>
          </cell>
        </row>
        <row r="19060">
          <cell r="L19060" t="str">
            <v>Proportional</v>
          </cell>
          <cell r="S19060">
            <v>36233.96</v>
          </cell>
          <cell r="X19060" t="str">
            <v>Commissions - gross</v>
          </cell>
          <cell r="Y19060" t="str">
            <v>JAPAN</v>
          </cell>
        </row>
        <row r="19061">
          <cell r="L19061" t="str">
            <v>Proportional</v>
          </cell>
          <cell r="S19061">
            <v>20990810.579999998</v>
          </cell>
          <cell r="X19061" t="str">
            <v>Commissions - gross</v>
          </cell>
          <cell r="Y19061" t="str">
            <v>ITALY</v>
          </cell>
        </row>
        <row r="19062">
          <cell r="L19062" t="str">
            <v>Proportional</v>
          </cell>
          <cell r="S19062">
            <v>3.69</v>
          </cell>
          <cell r="X19062" t="str">
            <v>Commissions - gross</v>
          </cell>
          <cell r="Y19062" t="str">
            <v>JAPAN</v>
          </cell>
        </row>
        <row r="19063">
          <cell r="L19063" t="str">
            <v>Proportional</v>
          </cell>
          <cell r="S19063">
            <v>-18485817.41</v>
          </cell>
          <cell r="X19063" t="str">
            <v>Commissions - gross</v>
          </cell>
          <cell r="Y19063" t="str">
            <v>ITALY</v>
          </cell>
        </row>
        <row r="19064">
          <cell r="L19064" t="str">
            <v>Proportional</v>
          </cell>
          <cell r="S19064">
            <v>188.26</v>
          </cell>
          <cell r="X19064" t="str">
            <v>Commissions - gross</v>
          </cell>
          <cell r="Y19064" t="str">
            <v>UNITED STATES</v>
          </cell>
        </row>
        <row r="19065">
          <cell r="L19065" t="str">
            <v>Proportional</v>
          </cell>
          <cell r="S19065">
            <v>18485817.41</v>
          </cell>
          <cell r="X19065" t="str">
            <v>Commissions - gross</v>
          </cell>
          <cell r="Y19065" t="str">
            <v>ITALY</v>
          </cell>
        </row>
        <row r="19066">
          <cell r="L19066" t="str">
            <v>Proportional</v>
          </cell>
          <cell r="S19066">
            <v>23937333.75</v>
          </cell>
          <cell r="X19066" t="str">
            <v>Commissions - gross</v>
          </cell>
          <cell r="Y19066" t="str">
            <v>ITALY</v>
          </cell>
        </row>
        <row r="19067">
          <cell r="L19067" t="str">
            <v>Proportional</v>
          </cell>
          <cell r="S19067">
            <v>-2551.98</v>
          </cell>
          <cell r="X19067" t="str">
            <v>Commissions - gross</v>
          </cell>
          <cell r="Y19067" t="str">
            <v>India</v>
          </cell>
        </row>
        <row r="19068">
          <cell r="L19068" t="str">
            <v>Proportional</v>
          </cell>
          <cell r="S19068">
            <v>-6.78</v>
          </cell>
          <cell r="X19068" t="str">
            <v>Commissions - gross</v>
          </cell>
          <cell r="Y19068" t="str">
            <v>India</v>
          </cell>
        </row>
        <row r="19069">
          <cell r="L19069" t="str">
            <v>Proportional</v>
          </cell>
          <cell r="S19069">
            <v>2551.98</v>
          </cell>
          <cell r="X19069" t="str">
            <v>Commissions - gross</v>
          </cell>
          <cell r="Y19069" t="str">
            <v>India</v>
          </cell>
        </row>
        <row r="19070">
          <cell r="L19070" t="str">
            <v>Proportional</v>
          </cell>
          <cell r="S19070">
            <v>-29833.1</v>
          </cell>
          <cell r="X19070" t="str">
            <v>Commissions - gross</v>
          </cell>
          <cell r="Y19070" t="str">
            <v>India</v>
          </cell>
        </row>
        <row r="19071">
          <cell r="L19071" t="str">
            <v>Proportional</v>
          </cell>
          <cell r="S19071">
            <v>-746424.69</v>
          </cell>
          <cell r="X19071" t="str">
            <v>Commissions - gross</v>
          </cell>
          <cell r="Y19071" t="str">
            <v>PORTUGAL</v>
          </cell>
        </row>
        <row r="19072">
          <cell r="L19072" t="str">
            <v>Proportional</v>
          </cell>
          <cell r="S19072">
            <v>-2167.9899999999998</v>
          </cell>
          <cell r="X19072" t="str">
            <v>Commissions - gross</v>
          </cell>
          <cell r="Y19072" t="str">
            <v>INDIA</v>
          </cell>
        </row>
        <row r="19073">
          <cell r="L19073" t="str">
            <v>Proportional</v>
          </cell>
          <cell r="S19073">
            <v>312.52999999999997</v>
          </cell>
          <cell r="X19073" t="str">
            <v>Commissions - gross</v>
          </cell>
          <cell r="Y19073" t="str">
            <v>India</v>
          </cell>
        </row>
        <row r="19074">
          <cell r="L19074" t="str">
            <v>Proportional</v>
          </cell>
          <cell r="S19074">
            <v>29833.1</v>
          </cell>
          <cell r="X19074" t="str">
            <v>Commissions - gross</v>
          </cell>
          <cell r="Y19074" t="str">
            <v>India</v>
          </cell>
        </row>
        <row r="19075">
          <cell r="L19075" t="str">
            <v>Proportional</v>
          </cell>
          <cell r="S19075">
            <v>89811.21</v>
          </cell>
          <cell r="X19075" t="str">
            <v>Commissions - gross</v>
          </cell>
          <cell r="Y19075" t="str">
            <v>INDIA</v>
          </cell>
        </row>
        <row r="19076">
          <cell r="L19076" t="str">
            <v>Proportional</v>
          </cell>
          <cell r="S19076">
            <v>-777531.5</v>
          </cell>
          <cell r="X19076" t="str">
            <v>Commissions - gross</v>
          </cell>
          <cell r="Y19076" t="str">
            <v>India</v>
          </cell>
        </row>
        <row r="19077">
          <cell r="L19077" t="str">
            <v>Proportional</v>
          </cell>
          <cell r="S19077">
            <v>777531.5</v>
          </cell>
          <cell r="X19077" t="str">
            <v>Commissions - gross</v>
          </cell>
          <cell r="Y19077" t="str">
            <v>India</v>
          </cell>
        </row>
        <row r="19078">
          <cell r="L19078" t="str">
            <v>Proportional</v>
          </cell>
          <cell r="S19078">
            <v>-312.52999999999997</v>
          </cell>
          <cell r="X19078" t="str">
            <v>Commissions - gross</v>
          </cell>
          <cell r="Y19078" t="str">
            <v>India</v>
          </cell>
        </row>
        <row r="19079">
          <cell r="L19079" t="str">
            <v>Proportional</v>
          </cell>
          <cell r="S19079">
            <v>-777531.5</v>
          </cell>
          <cell r="X19079" t="str">
            <v>Commissions - gross</v>
          </cell>
          <cell r="Y19079" t="str">
            <v>India</v>
          </cell>
        </row>
        <row r="19080">
          <cell r="L19080" t="str">
            <v>Proportional</v>
          </cell>
          <cell r="S19080">
            <v>312.52999999999997</v>
          </cell>
          <cell r="X19080" t="str">
            <v>Commissions - gross</v>
          </cell>
          <cell r="Y19080" t="str">
            <v>India</v>
          </cell>
        </row>
        <row r="19081">
          <cell r="L19081" t="str">
            <v>Proportional</v>
          </cell>
          <cell r="S19081">
            <v>-8.5500000000000007</v>
          </cell>
          <cell r="X19081" t="str">
            <v>Commissions - gross</v>
          </cell>
          <cell r="Y19081" t="str">
            <v>India</v>
          </cell>
        </row>
        <row r="19082">
          <cell r="L19082" t="str">
            <v>Proportional</v>
          </cell>
          <cell r="S19082">
            <v>-6.78</v>
          </cell>
          <cell r="X19082" t="str">
            <v>Commissions - gross</v>
          </cell>
          <cell r="Y19082" t="str">
            <v>India</v>
          </cell>
        </row>
        <row r="19083">
          <cell r="L19083" t="str">
            <v>Proportional</v>
          </cell>
          <cell r="S19083">
            <v>-8.5500000000000007</v>
          </cell>
          <cell r="X19083" t="str">
            <v>Commissions - gross</v>
          </cell>
          <cell r="Y19083" t="str">
            <v>India</v>
          </cell>
        </row>
        <row r="19084">
          <cell r="L19084" t="str">
            <v>Proportional</v>
          </cell>
          <cell r="S19084">
            <v>6.78</v>
          </cell>
          <cell r="X19084" t="str">
            <v>Commissions - gross</v>
          </cell>
          <cell r="Y19084" t="str">
            <v>India</v>
          </cell>
        </row>
        <row r="19085">
          <cell r="L19085" t="str">
            <v>Proportional</v>
          </cell>
          <cell r="S19085">
            <v>-2551.98</v>
          </cell>
          <cell r="X19085" t="str">
            <v>Commissions - gross</v>
          </cell>
          <cell r="Y19085" t="str">
            <v>India</v>
          </cell>
        </row>
        <row r="19086">
          <cell r="L19086" t="str">
            <v>Proportional</v>
          </cell>
          <cell r="S19086">
            <v>29833.1</v>
          </cell>
          <cell r="X19086" t="str">
            <v>Commissions - gross</v>
          </cell>
          <cell r="Y19086" t="str">
            <v>India</v>
          </cell>
        </row>
        <row r="19087">
          <cell r="L19087" t="str">
            <v>Proportional</v>
          </cell>
          <cell r="S19087">
            <v>8.5500000000000007</v>
          </cell>
          <cell r="X19087" t="str">
            <v>Commissions - gross</v>
          </cell>
          <cell r="Y19087" t="str">
            <v>India</v>
          </cell>
        </row>
        <row r="19088">
          <cell r="L19088" t="str">
            <v>Proportional</v>
          </cell>
          <cell r="S19088">
            <v>855526.95</v>
          </cell>
          <cell r="X19088" t="str">
            <v>Commissions - gross</v>
          </cell>
          <cell r="Y19088" t="str">
            <v>Thailand</v>
          </cell>
        </row>
        <row r="19089">
          <cell r="L19089" t="str">
            <v>Proportional</v>
          </cell>
          <cell r="S19089">
            <v>3765.06</v>
          </cell>
          <cell r="X19089" t="str">
            <v>Commissions - gross</v>
          </cell>
          <cell r="Y19089" t="str">
            <v>Thailand</v>
          </cell>
        </row>
        <row r="19090">
          <cell r="L19090" t="str">
            <v>Proportional</v>
          </cell>
          <cell r="S19090">
            <v>-661814.98</v>
          </cell>
          <cell r="X19090" t="str">
            <v>Commissions - gross</v>
          </cell>
          <cell r="Y19090" t="str">
            <v>THAILAND</v>
          </cell>
        </row>
        <row r="19091">
          <cell r="L19091" t="str">
            <v>Proportional</v>
          </cell>
          <cell r="S19091">
            <v>26239.72</v>
          </cell>
          <cell r="X19091" t="str">
            <v>Commissions - gross</v>
          </cell>
          <cell r="Y19091" t="str">
            <v>THAILAND</v>
          </cell>
        </row>
        <row r="19092">
          <cell r="L19092" t="str">
            <v>Proportional</v>
          </cell>
          <cell r="S19092">
            <v>21350.03</v>
          </cell>
          <cell r="X19092" t="str">
            <v>Commissions - gross</v>
          </cell>
          <cell r="Y19092" t="str">
            <v>THAILAND</v>
          </cell>
        </row>
        <row r="19093">
          <cell r="L19093" t="str">
            <v>Proportional</v>
          </cell>
          <cell r="S19093">
            <v>1593.78</v>
          </cell>
          <cell r="X19093" t="str">
            <v>Commissions - gross</v>
          </cell>
          <cell r="Y19093" t="str">
            <v>Thailand</v>
          </cell>
        </row>
        <row r="19094">
          <cell r="L19094" t="str">
            <v>Proportional</v>
          </cell>
          <cell r="S19094">
            <v>-2143.0100000000002</v>
          </cell>
          <cell r="X19094" t="str">
            <v>Commissions - gross</v>
          </cell>
          <cell r="Y19094" t="str">
            <v>INDIA</v>
          </cell>
        </row>
        <row r="19095">
          <cell r="L19095" t="str">
            <v>Proportional</v>
          </cell>
          <cell r="S19095">
            <v>5929.1</v>
          </cell>
          <cell r="X19095" t="str">
            <v>Commissions - gross</v>
          </cell>
          <cell r="Y19095" t="str">
            <v>Thailand</v>
          </cell>
        </row>
        <row r="19096">
          <cell r="L19096" t="str">
            <v>Proportional</v>
          </cell>
          <cell r="S19096">
            <v>2135</v>
          </cell>
          <cell r="X19096" t="str">
            <v>Commissions - gross</v>
          </cell>
          <cell r="Y19096" t="str">
            <v>INDIA</v>
          </cell>
        </row>
        <row r="19097">
          <cell r="L19097" t="str">
            <v>Proportional</v>
          </cell>
          <cell r="S19097">
            <v>-106853.56</v>
          </cell>
          <cell r="X19097" t="str">
            <v>Commissions - gross</v>
          </cell>
          <cell r="Y19097" t="str">
            <v>THAILAND</v>
          </cell>
        </row>
        <row r="19098">
          <cell r="L19098" t="str">
            <v>Proportional</v>
          </cell>
          <cell r="S19098">
            <v>-8200.6299999999992</v>
          </cell>
          <cell r="X19098" t="str">
            <v>Commissions - gross</v>
          </cell>
          <cell r="Y19098" t="str">
            <v>Thailand</v>
          </cell>
        </row>
        <row r="19099">
          <cell r="L19099" t="str">
            <v>Proportional</v>
          </cell>
          <cell r="S19099">
            <v>31685</v>
          </cell>
          <cell r="X19099" t="str">
            <v>Commissions - gross</v>
          </cell>
          <cell r="Y19099" t="str">
            <v>FRANCE</v>
          </cell>
        </row>
        <row r="19100">
          <cell r="L19100" t="str">
            <v>Proportional</v>
          </cell>
          <cell r="S19100">
            <v>-354451.14</v>
          </cell>
          <cell r="X19100" t="str">
            <v>Commissions - gross</v>
          </cell>
          <cell r="Y19100" t="str">
            <v>MEXICO</v>
          </cell>
        </row>
        <row r="19101">
          <cell r="L19101" t="str">
            <v>Proportional</v>
          </cell>
          <cell r="S19101">
            <v>-5328.74</v>
          </cell>
          <cell r="X19101" t="str">
            <v>Commissions - gross</v>
          </cell>
          <cell r="Y19101" t="str">
            <v>Turkey</v>
          </cell>
        </row>
        <row r="19102">
          <cell r="L19102" t="str">
            <v>Proportional</v>
          </cell>
          <cell r="S19102">
            <v>-624.1</v>
          </cell>
          <cell r="X19102" t="str">
            <v>Commissions - gross</v>
          </cell>
          <cell r="Y19102" t="str">
            <v>Turkey</v>
          </cell>
        </row>
        <row r="19103">
          <cell r="L19103" t="str">
            <v>Proportional</v>
          </cell>
          <cell r="S19103">
            <v>348900.59</v>
          </cell>
          <cell r="X19103" t="str">
            <v>Commissions - gross</v>
          </cell>
          <cell r="Y19103" t="str">
            <v>MEXICO</v>
          </cell>
        </row>
        <row r="19104">
          <cell r="L19104" t="str">
            <v>Proportional</v>
          </cell>
          <cell r="S19104">
            <v>-16815.580000000002</v>
          </cell>
          <cell r="X19104" t="str">
            <v>Commissions - gross</v>
          </cell>
          <cell r="Y19104" t="str">
            <v>Turkey</v>
          </cell>
        </row>
        <row r="19105">
          <cell r="L19105" t="str">
            <v>Proportional</v>
          </cell>
          <cell r="S19105">
            <v>-3.8</v>
          </cell>
          <cell r="X19105" t="str">
            <v>Commissions - gross</v>
          </cell>
          <cell r="Y19105" t="str">
            <v>Turkey</v>
          </cell>
        </row>
        <row r="19106">
          <cell r="L19106" t="str">
            <v>Proportional</v>
          </cell>
          <cell r="S19106">
            <v>705</v>
          </cell>
          <cell r="X19106" t="str">
            <v>Commissions - gross</v>
          </cell>
          <cell r="Y19106" t="str">
            <v>Turkey</v>
          </cell>
        </row>
        <row r="19107">
          <cell r="L19107" t="str">
            <v>Proportional</v>
          </cell>
          <cell r="S19107">
            <v>-15.87</v>
          </cell>
          <cell r="X19107" t="str">
            <v>Commissions - gross</v>
          </cell>
          <cell r="Y19107" t="str">
            <v>Turkey</v>
          </cell>
        </row>
        <row r="19108">
          <cell r="L19108" t="str">
            <v>Proportional</v>
          </cell>
          <cell r="S19108">
            <v>8059.64</v>
          </cell>
          <cell r="X19108" t="str">
            <v>Commissions - gross</v>
          </cell>
          <cell r="Y19108" t="str">
            <v>Turkey</v>
          </cell>
        </row>
        <row r="19109">
          <cell r="L19109" t="str">
            <v>Proportional</v>
          </cell>
          <cell r="S19109">
            <v>-349.84</v>
          </cell>
          <cell r="X19109" t="str">
            <v>Commissions - gross</v>
          </cell>
          <cell r="Y19109" t="str">
            <v>Turkey</v>
          </cell>
        </row>
        <row r="19110">
          <cell r="L19110" t="str">
            <v>Proportional</v>
          </cell>
          <cell r="S19110">
            <v>-125.37</v>
          </cell>
          <cell r="X19110" t="str">
            <v>Commissions - gross</v>
          </cell>
          <cell r="Y19110" t="str">
            <v>Turkey</v>
          </cell>
        </row>
        <row r="19111">
          <cell r="L19111" t="str">
            <v>Proportional</v>
          </cell>
          <cell r="S19111">
            <v>0.02</v>
          </cell>
          <cell r="X19111" t="str">
            <v>Commissions - gross</v>
          </cell>
          <cell r="Y19111" t="str">
            <v>Turkey</v>
          </cell>
        </row>
        <row r="19112">
          <cell r="L19112" t="str">
            <v>Proportional</v>
          </cell>
          <cell r="S19112">
            <v>15710.17</v>
          </cell>
          <cell r="X19112" t="str">
            <v>Commissions - gross</v>
          </cell>
          <cell r="Y19112" t="str">
            <v>TURKEY</v>
          </cell>
        </row>
        <row r="19113">
          <cell r="L19113" t="str">
            <v>Proportional</v>
          </cell>
          <cell r="S19113">
            <v>-2099.8200000000002</v>
          </cell>
          <cell r="X19113" t="str">
            <v>Commissions - gross</v>
          </cell>
          <cell r="Y19113" t="str">
            <v>Turkey</v>
          </cell>
        </row>
        <row r="19114">
          <cell r="L19114" t="str">
            <v>Proportional</v>
          </cell>
          <cell r="S19114">
            <v>-114.25</v>
          </cell>
          <cell r="X19114" t="str">
            <v>Commissions - gross</v>
          </cell>
          <cell r="Y19114" t="str">
            <v>Turkey</v>
          </cell>
        </row>
        <row r="19115">
          <cell r="L19115" t="str">
            <v>Proportional</v>
          </cell>
          <cell r="S19115">
            <v>-88.64</v>
          </cell>
          <cell r="X19115" t="str">
            <v>Commissions - gross</v>
          </cell>
          <cell r="Y19115" t="str">
            <v>Turkey</v>
          </cell>
        </row>
        <row r="19116">
          <cell r="L19116" t="str">
            <v>Proportional</v>
          </cell>
          <cell r="S19116">
            <v>-30115.65</v>
          </cell>
          <cell r="X19116" t="str">
            <v>Commissions - gross</v>
          </cell>
          <cell r="Y19116" t="str">
            <v>Turkey</v>
          </cell>
        </row>
        <row r="19117">
          <cell r="L19117" t="str">
            <v>Proportional</v>
          </cell>
          <cell r="S19117">
            <v>-16.28</v>
          </cell>
          <cell r="X19117" t="str">
            <v>Commissions - gross</v>
          </cell>
          <cell r="Y19117" t="str">
            <v>Turkey</v>
          </cell>
        </row>
        <row r="19118">
          <cell r="L19118" t="str">
            <v>Proportional</v>
          </cell>
          <cell r="S19118">
            <v>137.05000000000001</v>
          </cell>
          <cell r="X19118" t="str">
            <v>Commissions - gross</v>
          </cell>
          <cell r="Y19118" t="str">
            <v>Turkey</v>
          </cell>
        </row>
        <row r="19119">
          <cell r="L19119" t="str">
            <v>Proportional</v>
          </cell>
          <cell r="S19119">
            <v>52.91</v>
          </cell>
          <cell r="X19119" t="str">
            <v>Commissions - gross</v>
          </cell>
          <cell r="Y19119" t="str">
            <v>Turkey</v>
          </cell>
        </row>
        <row r="19120">
          <cell r="L19120" t="str">
            <v>Proportional</v>
          </cell>
          <cell r="S19120">
            <v>-121.44</v>
          </cell>
          <cell r="X19120" t="str">
            <v>Commissions - gross</v>
          </cell>
          <cell r="Y19120" t="str">
            <v>Turkey</v>
          </cell>
        </row>
        <row r="19121">
          <cell r="L19121" t="str">
            <v>Proportional</v>
          </cell>
          <cell r="S19121">
            <v>128.08000000000001</v>
          </cell>
          <cell r="X19121" t="str">
            <v>Commissions - gross</v>
          </cell>
          <cell r="Y19121" t="str">
            <v>UNITED STATES</v>
          </cell>
        </row>
        <row r="19122">
          <cell r="L19122" t="str">
            <v>Proportional</v>
          </cell>
          <cell r="S19122">
            <v>-770.29</v>
          </cell>
          <cell r="X19122" t="str">
            <v>Commissions - gross</v>
          </cell>
          <cell r="Y19122" t="str">
            <v>UNITED STATES</v>
          </cell>
        </row>
        <row r="19123">
          <cell r="L19123" t="str">
            <v>Proportional</v>
          </cell>
          <cell r="S19123">
            <v>-52342.29</v>
          </cell>
          <cell r="X19123" t="str">
            <v>Commissions - gross</v>
          </cell>
          <cell r="Y19123" t="str">
            <v>CANADA</v>
          </cell>
        </row>
        <row r="19124">
          <cell r="L19124" t="str">
            <v>Proportional</v>
          </cell>
          <cell r="S19124">
            <v>151238.15</v>
          </cell>
          <cell r="X19124" t="str">
            <v>Commissions - gross</v>
          </cell>
          <cell r="Y19124" t="str">
            <v>FRANCE</v>
          </cell>
        </row>
        <row r="19125">
          <cell r="L19125" t="str">
            <v>Proportional</v>
          </cell>
          <cell r="S19125">
            <v>128.1</v>
          </cell>
          <cell r="X19125" t="str">
            <v>Commissions - gross</v>
          </cell>
          <cell r="Y19125" t="str">
            <v>UNITED STATES</v>
          </cell>
        </row>
        <row r="19126">
          <cell r="L19126" t="str">
            <v>Proportional</v>
          </cell>
          <cell r="S19126">
            <v>329231.25</v>
          </cell>
          <cell r="X19126" t="str">
            <v>Commissions - gross</v>
          </cell>
          <cell r="Y19126" t="str">
            <v>UNITED STATES</v>
          </cell>
        </row>
        <row r="19127">
          <cell r="L19127" t="str">
            <v>Proportional</v>
          </cell>
          <cell r="S19127">
            <v>-12919.5</v>
          </cell>
          <cell r="X19127" t="str">
            <v>Commissions - gross</v>
          </cell>
          <cell r="Y19127" t="str">
            <v>JAPAN</v>
          </cell>
        </row>
        <row r="19128">
          <cell r="L19128" t="str">
            <v>Non-proportional</v>
          </cell>
          <cell r="S19128">
            <v>3302.03</v>
          </cell>
          <cell r="X19128" t="str">
            <v>Commissions - gross</v>
          </cell>
          <cell r="Y19128" t="str">
            <v>MEXICO</v>
          </cell>
        </row>
        <row r="19129">
          <cell r="L19129" t="str">
            <v>Proportional</v>
          </cell>
          <cell r="S19129">
            <v>320422.61</v>
          </cell>
          <cell r="X19129" t="str">
            <v>Commissions - gross</v>
          </cell>
          <cell r="Y19129" t="str">
            <v>UNITED STATES</v>
          </cell>
        </row>
        <row r="19130">
          <cell r="L19130" t="str">
            <v>Proportional</v>
          </cell>
          <cell r="S19130">
            <v>133701.19</v>
          </cell>
          <cell r="X19130" t="str">
            <v>Commissions - gross</v>
          </cell>
          <cell r="Y19130" t="str">
            <v>SWITZERLAND</v>
          </cell>
        </row>
        <row r="19131">
          <cell r="L19131" t="str">
            <v>Non-proportional</v>
          </cell>
          <cell r="S19131">
            <v>784.84</v>
          </cell>
          <cell r="X19131" t="str">
            <v>Commissions - gross</v>
          </cell>
          <cell r="Y19131" t="str">
            <v>MEXICO</v>
          </cell>
        </row>
        <row r="19132">
          <cell r="L19132" t="str">
            <v>Proportional</v>
          </cell>
          <cell r="S19132">
            <v>770.29</v>
          </cell>
          <cell r="X19132" t="str">
            <v>Commissions - gross</v>
          </cell>
          <cell r="Y19132" t="str">
            <v>UNITED STATES</v>
          </cell>
        </row>
        <row r="19133">
          <cell r="L19133" t="str">
            <v>Proportional</v>
          </cell>
          <cell r="S19133">
            <v>623229.18999999994</v>
          </cell>
          <cell r="X19133" t="str">
            <v>Commissions - gross</v>
          </cell>
          <cell r="Y19133" t="str">
            <v>HONG KONG</v>
          </cell>
        </row>
        <row r="19134">
          <cell r="L19134" t="str">
            <v>Non-proportional</v>
          </cell>
          <cell r="S19134">
            <v>2897.09</v>
          </cell>
          <cell r="X19134" t="str">
            <v>Commissions - gross</v>
          </cell>
          <cell r="Y19134" t="str">
            <v>MEXICO</v>
          </cell>
        </row>
        <row r="19135">
          <cell r="L19135" t="str">
            <v>Proportional</v>
          </cell>
          <cell r="S19135">
            <v>7589.13</v>
          </cell>
          <cell r="X19135" t="str">
            <v>Commissions - gross</v>
          </cell>
          <cell r="Y19135" t="str">
            <v>UNITED STATES</v>
          </cell>
        </row>
        <row r="19136">
          <cell r="L19136" t="str">
            <v>Proportional</v>
          </cell>
          <cell r="S19136">
            <v>-430.07</v>
          </cell>
          <cell r="X19136" t="str">
            <v>Commissions - gross</v>
          </cell>
          <cell r="Y19136" t="str">
            <v>JAPAN</v>
          </cell>
        </row>
        <row r="19137">
          <cell r="L19137" t="str">
            <v>Proportional</v>
          </cell>
          <cell r="S19137">
            <v>710163.51</v>
          </cell>
          <cell r="X19137" t="str">
            <v>Commissions - gross</v>
          </cell>
          <cell r="Y19137" t="str">
            <v>UNITED STATES</v>
          </cell>
        </row>
        <row r="19138">
          <cell r="L19138" t="str">
            <v>Proportional</v>
          </cell>
          <cell r="S19138">
            <v>-129.12</v>
          </cell>
          <cell r="X19138" t="str">
            <v>Commissions - gross</v>
          </cell>
          <cell r="Y19138" t="str">
            <v>UNITED STATES</v>
          </cell>
        </row>
        <row r="19139">
          <cell r="L19139" t="str">
            <v>Non-proportional</v>
          </cell>
          <cell r="S19139">
            <v>11737.94</v>
          </cell>
          <cell r="X19139" t="str">
            <v>Commissions - gross</v>
          </cell>
          <cell r="Y19139" t="str">
            <v>ITALY</v>
          </cell>
        </row>
        <row r="19140">
          <cell r="L19140" t="str">
            <v>Non-proportional</v>
          </cell>
          <cell r="S19140">
            <v>22301.45</v>
          </cell>
          <cell r="X19140" t="str">
            <v>Commissions - gross</v>
          </cell>
          <cell r="Y19140" t="str">
            <v>MEXICO</v>
          </cell>
        </row>
        <row r="19141">
          <cell r="L19141" t="str">
            <v>Proportional</v>
          </cell>
          <cell r="S19141">
            <v>-753359.61</v>
          </cell>
          <cell r="X19141" t="str">
            <v>Commissions - gross</v>
          </cell>
          <cell r="Y19141" t="str">
            <v>UNITED STATES</v>
          </cell>
        </row>
        <row r="19142">
          <cell r="L19142" t="str">
            <v>Proportional</v>
          </cell>
          <cell r="S19142">
            <v>119344.18</v>
          </cell>
          <cell r="X19142" t="str">
            <v>Commissions - gross</v>
          </cell>
          <cell r="Y19142" t="str">
            <v>HONG KONG</v>
          </cell>
        </row>
        <row r="19143">
          <cell r="L19143" t="str">
            <v>Proportional</v>
          </cell>
          <cell r="S19143">
            <v>12817.46</v>
          </cell>
          <cell r="X19143" t="str">
            <v>Commissions - gross</v>
          </cell>
          <cell r="Y19143" t="str">
            <v>JAPAN</v>
          </cell>
        </row>
        <row r="19144">
          <cell r="L19144" t="str">
            <v>Proportional</v>
          </cell>
          <cell r="S19144">
            <v>-180953.11</v>
          </cell>
          <cell r="X19144" t="str">
            <v>Commissions - gross</v>
          </cell>
          <cell r="Y19144" t="str">
            <v>UNITED STATES</v>
          </cell>
        </row>
        <row r="19145">
          <cell r="L19145" t="str">
            <v>Proportional</v>
          </cell>
          <cell r="S19145">
            <v>-128.08000000000001</v>
          </cell>
          <cell r="X19145" t="str">
            <v>Commissions - gross</v>
          </cell>
          <cell r="Y19145" t="str">
            <v>UNITED STATES</v>
          </cell>
        </row>
        <row r="19146">
          <cell r="L19146" t="str">
            <v>Non-proportional</v>
          </cell>
          <cell r="S19146">
            <v>13090.89</v>
          </cell>
          <cell r="X19146" t="str">
            <v>Commissions - gross</v>
          </cell>
          <cell r="Y19146" t="str">
            <v>ITALY</v>
          </cell>
        </row>
        <row r="19147">
          <cell r="L19147" t="str">
            <v>Proportional</v>
          </cell>
          <cell r="S19147">
            <v>-119344.18</v>
          </cell>
          <cell r="X19147" t="str">
            <v>Commissions - gross</v>
          </cell>
          <cell r="Y19147" t="str">
            <v>HONG KONG</v>
          </cell>
        </row>
        <row r="19148">
          <cell r="L19148" t="str">
            <v>Proportional</v>
          </cell>
          <cell r="S19148">
            <v>-12476.49</v>
          </cell>
          <cell r="X19148" t="str">
            <v>Commissions - gross</v>
          </cell>
          <cell r="Y19148" t="str">
            <v>JAPAN</v>
          </cell>
        </row>
        <row r="19149">
          <cell r="L19149" t="str">
            <v>Proportional</v>
          </cell>
          <cell r="S19149">
            <v>180953.11</v>
          </cell>
          <cell r="X19149" t="str">
            <v>Commissions - gross</v>
          </cell>
          <cell r="Y19149" t="str">
            <v>UNITED STATES</v>
          </cell>
        </row>
        <row r="19150">
          <cell r="L19150" t="str">
            <v>Proportional</v>
          </cell>
          <cell r="S19150">
            <v>7.06</v>
          </cell>
          <cell r="X19150" t="str">
            <v>Commissions - gross</v>
          </cell>
          <cell r="Y19150" t="str">
            <v>Malaysia</v>
          </cell>
        </row>
        <row r="19151">
          <cell r="L19151" t="str">
            <v>Proportional</v>
          </cell>
          <cell r="S19151">
            <v>129.12</v>
          </cell>
          <cell r="X19151" t="str">
            <v>Commissions - gross</v>
          </cell>
          <cell r="Y19151" t="str">
            <v>UNITED STATES</v>
          </cell>
        </row>
        <row r="19152">
          <cell r="L19152" t="str">
            <v>Proportional</v>
          </cell>
          <cell r="S19152">
            <v>-773.03</v>
          </cell>
          <cell r="X19152" t="str">
            <v>Commissions - gross</v>
          </cell>
          <cell r="Y19152" t="str">
            <v>UNITED STATES</v>
          </cell>
        </row>
        <row r="19153">
          <cell r="L19153" t="str">
            <v>Proportional</v>
          </cell>
          <cell r="S19153">
            <v>770.29</v>
          </cell>
          <cell r="X19153" t="str">
            <v>Commissions - gross</v>
          </cell>
          <cell r="Y19153" t="str">
            <v>UNITED STATES</v>
          </cell>
        </row>
        <row r="19154">
          <cell r="L19154" t="str">
            <v>Proportional</v>
          </cell>
          <cell r="S19154">
            <v>52342.29</v>
          </cell>
          <cell r="X19154" t="str">
            <v>Commissions - gross</v>
          </cell>
          <cell r="Y19154" t="str">
            <v>CANADA</v>
          </cell>
        </row>
        <row r="19155">
          <cell r="L19155" t="str">
            <v>Proportional</v>
          </cell>
          <cell r="S19155">
            <v>12476.49</v>
          </cell>
          <cell r="X19155" t="str">
            <v>Commissions - gross</v>
          </cell>
          <cell r="Y19155" t="str">
            <v>JAPAN</v>
          </cell>
        </row>
        <row r="19156">
          <cell r="L19156" t="str">
            <v>Non-proportional</v>
          </cell>
          <cell r="S19156">
            <v>381.54</v>
          </cell>
          <cell r="X19156" t="str">
            <v>Commissions - gross</v>
          </cell>
          <cell r="Y19156" t="str">
            <v>MEXICO</v>
          </cell>
        </row>
        <row r="19157">
          <cell r="L19157" t="str">
            <v>Proportional</v>
          </cell>
          <cell r="S19157">
            <v>219681.39</v>
          </cell>
          <cell r="X19157" t="str">
            <v>Commissions - gross</v>
          </cell>
          <cell r="Y19157" t="str">
            <v>CANADA</v>
          </cell>
        </row>
        <row r="19158">
          <cell r="L19158" t="str">
            <v>Proportional</v>
          </cell>
          <cell r="S19158">
            <v>-129.12</v>
          </cell>
          <cell r="X19158" t="str">
            <v>Commissions - gross</v>
          </cell>
          <cell r="Y19158" t="str">
            <v>UNITED STATES</v>
          </cell>
        </row>
        <row r="19159">
          <cell r="L19159" t="str">
            <v>Proportional</v>
          </cell>
          <cell r="S19159">
            <v>206828.58</v>
          </cell>
          <cell r="X19159" t="str">
            <v>Commissions - gross</v>
          </cell>
          <cell r="Y19159" t="str">
            <v>SWITZERLAND</v>
          </cell>
        </row>
        <row r="19160">
          <cell r="L19160" t="str">
            <v>Proportional</v>
          </cell>
          <cell r="S19160">
            <v>13878.54</v>
          </cell>
          <cell r="X19160" t="str">
            <v>Commissions - gross</v>
          </cell>
          <cell r="Y19160" t="str">
            <v>JAPAN</v>
          </cell>
        </row>
        <row r="19161">
          <cell r="L19161" t="str">
            <v>Non-proportional</v>
          </cell>
          <cell r="S19161">
            <v>10704.74</v>
          </cell>
          <cell r="X19161" t="str">
            <v>Commissions - gross</v>
          </cell>
          <cell r="Y19161" t="str">
            <v>MEXICO</v>
          </cell>
        </row>
        <row r="19162">
          <cell r="L19162" t="str">
            <v>Proportional</v>
          </cell>
          <cell r="S19162">
            <v>193.51</v>
          </cell>
          <cell r="X19162" t="str">
            <v>Commissions - gross</v>
          </cell>
          <cell r="Y19162" t="str">
            <v>Hong Kong</v>
          </cell>
        </row>
        <row r="19163">
          <cell r="L19163" t="str">
            <v>Proportional</v>
          </cell>
          <cell r="S19163">
            <v>76941.88</v>
          </cell>
          <cell r="X19163" t="str">
            <v>Commissions - gross</v>
          </cell>
          <cell r="Y19163" t="str">
            <v>HONG KONG</v>
          </cell>
        </row>
        <row r="19164">
          <cell r="L19164" t="str">
            <v>Proportional</v>
          </cell>
          <cell r="S19164">
            <v>324412.06</v>
          </cell>
          <cell r="X19164" t="str">
            <v>Commissions - gross</v>
          </cell>
          <cell r="Y19164" t="str">
            <v>SWITZERLAND</v>
          </cell>
        </row>
        <row r="19165">
          <cell r="L19165" t="str">
            <v>Proportional</v>
          </cell>
          <cell r="S19165">
            <v>753359.61</v>
          </cell>
          <cell r="X19165" t="str">
            <v>Commissions - gross</v>
          </cell>
          <cell r="Y19165" t="str">
            <v>UNITED STATES</v>
          </cell>
        </row>
        <row r="19166">
          <cell r="L19166" t="str">
            <v>Proportional</v>
          </cell>
          <cell r="S19166">
            <v>7460.96</v>
          </cell>
          <cell r="X19166" t="str">
            <v>Commissions - gross</v>
          </cell>
          <cell r="Y19166" t="str">
            <v>JAPAN</v>
          </cell>
        </row>
        <row r="19167">
          <cell r="L19167" t="str">
            <v>Non-proportional</v>
          </cell>
          <cell r="S19167">
            <v>7174.8</v>
          </cell>
          <cell r="X19167" t="str">
            <v>Commissions - gross</v>
          </cell>
          <cell r="Y19167" t="str">
            <v>MEXICO</v>
          </cell>
        </row>
        <row r="19168">
          <cell r="L19168" t="str">
            <v>Non-proportional</v>
          </cell>
          <cell r="S19168">
            <v>-11737.94</v>
          </cell>
          <cell r="X19168" t="str">
            <v>Commissions - gross</v>
          </cell>
          <cell r="Y19168" t="str">
            <v>ITALY</v>
          </cell>
        </row>
        <row r="19169">
          <cell r="L19169" t="str">
            <v>Proportional</v>
          </cell>
          <cell r="S19169">
            <v>-13878.54</v>
          </cell>
          <cell r="X19169" t="str">
            <v>Commissions - gross</v>
          </cell>
          <cell r="Y19169" t="str">
            <v>JAPAN</v>
          </cell>
        </row>
        <row r="19170">
          <cell r="L19170" t="str">
            <v>Proportional</v>
          </cell>
          <cell r="S19170">
            <v>9167.85</v>
          </cell>
          <cell r="X19170" t="str">
            <v>Commissions - gross</v>
          </cell>
          <cell r="Y19170" t="str">
            <v>MEXICO</v>
          </cell>
        </row>
        <row r="19171">
          <cell r="L19171" t="str">
            <v>Proportional</v>
          </cell>
          <cell r="S19171">
            <v>-81927.539999999994</v>
          </cell>
          <cell r="X19171" t="str">
            <v>Commissions - gross</v>
          </cell>
          <cell r="Y19171" t="str">
            <v>MEXICO</v>
          </cell>
        </row>
        <row r="19172">
          <cell r="L19172" t="str">
            <v>Non-proportional</v>
          </cell>
          <cell r="S19172">
            <v>2423.37</v>
          </cell>
          <cell r="X19172" t="str">
            <v>Commissions - gross</v>
          </cell>
          <cell r="Y19172" t="str">
            <v>PUERTO RICO</v>
          </cell>
        </row>
        <row r="19173">
          <cell r="L19173" t="str">
            <v>Proportional</v>
          </cell>
          <cell r="S19173">
            <v>7702.36</v>
          </cell>
          <cell r="X19173" t="str">
            <v>Commissions - gross</v>
          </cell>
          <cell r="Y19173" t="str">
            <v>MEXICO</v>
          </cell>
        </row>
        <row r="19174">
          <cell r="L19174" t="str">
            <v>Non-proportional</v>
          </cell>
          <cell r="S19174">
            <v>-343.66</v>
          </cell>
          <cell r="X19174" t="str">
            <v>Commissions - gross</v>
          </cell>
          <cell r="Y19174" t="str">
            <v>MEXICO</v>
          </cell>
        </row>
        <row r="19175">
          <cell r="L19175" t="str">
            <v>Proportional</v>
          </cell>
          <cell r="S19175">
            <v>-7702.36</v>
          </cell>
          <cell r="X19175" t="str">
            <v>Commissions - gross</v>
          </cell>
          <cell r="Y19175" t="str">
            <v>MEXICO</v>
          </cell>
        </row>
        <row r="19176">
          <cell r="L19176" t="str">
            <v>Non-proportional</v>
          </cell>
          <cell r="S19176">
            <v>-6462.33</v>
          </cell>
          <cell r="X19176" t="str">
            <v>Commissions - gross</v>
          </cell>
          <cell r="Y19176" t="str">
            <v>MEXICO</v>
          </cell>
        </row>
        <row r="19177">
          <cell r="L19177" t="str">
            <v>Proportional</v>
          </cell>
          <cell r="S19177">
            <v>7702.36</v>
          </cell>
          <cell r="X19177" t="str">
            <v>Commissions - gross</v>
          </cell>
          <cell r="Y19177" t="str">
            <v>MEXICO</v>
          </cell>
        </row>
        <row r="19178">
          <cell r="L19178" t="str">
            <v>Non-proportional</v>
          </cell>
          <cell r="S19178">
            <v>-2423.37</v>
          </cell>
          <cell r="X19178" t="str">
            <v>Commissions - gross</v>
          </cell>
          <cell r="Y19178" t="str">
            <v>PUERTO RICO</v>
          </cell>
        </row>
        <row r="19179">
          <cell r="L19179" t="str">
            <v>Proportional</v>
          </cell>
          <cell r="S19179">
            <v>-40963.769999999997</v>
          </cell>
          <cell r="X19179" t="str">
            <v>Commissions - gross</v>
          </cell>
          <cell r="Y19179" t="str">
            <v>MEXICO</v>
          </cell>
        </row>
        <row r="19180">
          <cell r="L19180" t="str">
            <v>Non-proportional</v>
          </cell>
          <cell r="S19180">
            <v>1789.99</v>
          </cell>
          <cell r="X19180" t="str">
            <v>Commissions - gross</v>
          </cell>
          <cell r="Y19180" t="str">
            <v>PUERTO RICO</v>
          </cell>
        </row>
        <row r="19181">
          <cell r="L19181" t="str">
            <v>Non-proportional</v>
          </cell>
          <cell r="S19181">
            <v>-9641.66</v>
          </cell>
          <cell r="X19181" t="str">
            <v>Commissions - gross</v>
          </cell>
          <cell r="Y19181" t="str">
            <v>MEXICO</v>
          </cell>
        </row>
        <row r="19182">
          <cell r="L19182" t="str">
            <v>Non-proportional</v>
          </cell>
          <cell r="S19182">
            <v>-2423.37</v>
          </cell>
          <cell r="X19182" t="str">
            <v>Commissions - gross</v>
          </cell>
          <cell r="Y19182" t="str">
            <v>PUERTO RICO</v>
          </cell>
        </row>
        <row r="19183">
          <cell r="L19183" t="str">
            <v>Non-proportional</v>
          </cell>
          <cell r="S19183">
            <v>-1789.99</v>
          </cell>
          <cell r="X19183" t="str">
            <v>Commissions - gross</v>
          </cell>
          <cell r="Y19183" t="str">
            <v>PUERTO RICO</v>
          </cell>
        </row>
        <row r="19184">
          <cell r="L19184" t="str">
            <v>Proportional</v>
          </cell>
          <cell r="S19184">
            <v>163855.07</v>
          </cell>
          <cell r="X19184" t="str">
            <v>Commissions - gross</v>
          </cell>
          <cell r="Y19184" t="str">
            <v>MEXICO</v>
          </cell>
        </row>
        <row r="19185">
          <cell r="L19185" t="str">
            <v>Non-proportional</v>
          </cell>
          <cell r="S19185">
            <v>2423.37</v>
          </cell>
          <cell r="X19185" t="str">
            <v>Commissions - gross</v>
          </cell>
          <cell r="Y19185" t="str">
            <v>PUERTO RICO</v>
          </cell>
        </row>
        <row r="19186">
          <cell r="L19186" t="str">
            <v>Proportional</v>
          </cell>
          <cell r="S19186">
            <v>-175.91</v>
          </cell>
          <cell r="X19186" t="str">
            <v>Commissions - gross</v>
          </cell>
          <cell r="Y19186" t="str">
            <v>UNITED STATES</v>
          </cell>
        </row>
        <row r="19187">
          <cell r="L19187" t="str">
            <v>Non-proportional</v>
          </cell>
          <cell r="S19187">
            <v>-2974.38</v>
          </cell>
          <cell r="X19187" t="str">
            <v>Commissions - gross</v>
          </cell>
          <cell r="Y19187" t="str">
            <v>MEXICO</v>
          </cell>
        </row>
        <row r="19188">
          <cell r="L19188" t="str">
            <v>Non-proportional</v>
          </cell>
          <cell r="S19188">
            <v>-2423.37</v>
          </cell>
          <cell r="X19188" t="str">
            <v>Commissions - gross</v>
          </cell>
          <cell r="Y19188" t="str">
            <v>PUERTO RICO</v>
          </cell>
        </row>
        <row r="19189">
          <cell r="L19189" t="str">
            <v>Proportional</v>
          </cell>
          <cell r="S19189">
            <v>4304.0200000000004</v>
          </cell>
          <cell r="X19189" t="str">
            <v>Commissions - gross</v>
          </cell>
          <cell r="Y19189" t="str">
            <v>MEXICO</v>
          </cell>
        </row>
        <row r="19190">
          <cell r="L19190" t="str">
            <v>Non-proportional</v>
          </cell>
          <cell r="S19190">
            <v>2974.38</v>
          </cell>
          <cell r="X19190" t="str">
            <v>Commissions - gross</v>
          </cell>
          <cell r="Y19190" t="str">
            <v>MEXICO</v>
          </cell>
        </row>
        <row r="19191">
          <cell r="L19191" t="str">
            <v>Non-proportional</v>
          </cell>
          <cell r="S19191">
            <v>-2609.6</v>
          </cell>
          <cell r="X19191" t="str">
            <v>Commissions - gross</v>
          </cell>
          <cell r="Y19191" t="str">
            <v>MEXICO</v>
          </cell>
        </row>
        <row r="19192">
          <cell r="L19192" t="str">
            <v>Non-proportional</v>
          </cell>
          <cell r="S19192">
            <v>2609.6</v>
          </cell>
          <cell r="X19192" t="str">
            <v>Commissions - gross</v>
          </cell>
          <cell r="Y19192" t="str">
            <v>MEXICO</v>
          </cell>
        </row>
        <row r="19193">
          <cell r="L19193" t="str">
            <v>Proportional</v>
          </cell>
          <cell r="S19193">
            <v>-7702.36</v>
          </cell>
          <cell r="X19193" t="str">
            <v>Commissions - gross</v>
          </cell>
          <cell r="Y19193" t="str">
            <v>MEXICO</v>
          </cell>
        </row>
        <row r="19194">
          <cell r="L19194" t="str">
            <v>Non-proportional</v>
          </cell>
          <cell r="S19194">
            <v>343.66</v>
          </cell>
          <cell r="X19194" t="str">
            <v>Commissions - gross</v>
          </cell>
          <cell r="Y19194" t="str">
            <v>MEXICO</v>
          </cell>
        </row>
        <row r="19195">
          <cell r="L19195" t="str">
            <v>Proportional</v>
          </cell>
          <cell r="S19195">
            <v>613.87</v>
          </cell>
          <cell r="X19195" t="str">
            <v>Commissions - gross</v>
          </cell>
          <cell r="Y19195" t="str">
            <v>Hong Kong</v>
          </cell>
        </row>
        <row r="19196">
          <cell r="L19196" t="str">
            <v>Proportional</v>
          </cell>
          <cell r="S19196">
            <v>7702.36</v>
          </cell>
          <cell r="X19196" t="str">
            <v>Commissions - gross</v>
          </cell>
          <cell r="Y19196" t="str">
            <v>MEXICO</v>
          </cell>
        </row>
        <row r="19197">
          <cell r="L19197" t="str">
            <v>Non-proportional</v>
          </cell>
          <cell r="S19197">
            <v>707</v>
          </cell>
          <cell r="X19197" t="str">
            <v>Commissions - gross</v>
          </cell>
          <cell r="Y19197" t="str">
            <v>MEXICO</v>
          </cell>
        </row>
        <row r="19198">
          <cell r="L19198" t="str">
            <v>Proportional</v>
          </cell>
          <cell r="S19198">
            <v>175.91</v>
          </cell>
          <cell r="X19198" t="str">
            <v>Commissions - gross</v>
          </cell>
          <cell r="Y19198" t="str">
            <v>UNITED STATES</v>
          </cell>
        </row>
        <row r="19199">
          <cell r="L19199" t="str">
            <v>Non-proportional</v>
          </cell>
          <cell r="S19199">
            <v>-1789.99</v>
          </cell>
          <cell r="X19199" t="str">
            <v>Commissions - gross</v>
          </cell>
          <cell r="Y19199" t="str">
            <v>PUERTO RICO</v>
          </cell>
        </row>
        <row r="19200">
          <cell r="L19200" t="str">
            <v>Non-proportional</v>
          </cell>
          <cell r="S19200">
            <v>20086.79</v>
          </cell>
          <cell r="X19200" t="str">
            <v>Commissions - gross</v>
          </cell>
          <cell r="Y19200" t="str">
            <v>MEXICO</v>
          </cell>
        </row>
        <row r="19201">
          <cell r="L19201" t="str">
            <v>Proportional</v>
          </cell>
          <cell r="S19201">
            <v>163855.07</v>
          </cell>
          <cell r="X19201" t="str">
            <v>Commissions - gross</v>
          </cell>
          <cell r="Y19201" t="str">
            <v>MEXICO</v>
          </cell>
        </row>
        <row r="19202">
          <cell r="L19202" t="str">
            <v>Non-proportional</v>
          </cell>
          <cell r="S19202">
            <v>2423.37</v>
          </cell>
          <cell r="X19202" t="str">
            <v>Commissions - gross</v>
          </cell>
          <cell r="Y19202" t="str">
            <v>PUERTO RICO</v>
          </cell>
        </row>
        <row r="19203">
          <cell r="L19203" t="str">
            <v>Proportional</v>
          </cell>
          <cell r="S19203">
            <v>-7702.36</v>
          </cell>
          <cell r="X19203" t="str">
            <v>Commissions - gross</v>
          </cell>
          <cell r="Y19203" t="str">
            <v>MEXICO</v>
          </cell>
        </row>
        <row r="19204">
          <cell r="L19204" t="str">
            <v>Proportional</v>
          </cell>
          <cell r="S19204">
            <v>13072.78</v>
          </cell>
          <cell r="X19204" t="str">
            <v>Commissions - gross</v>
          </cell>
          <cell r="Y19204" t="str">
            <v>MEXICO</v>
          </cell>
        </row>
        <row r="19205">
          <cell r="L19205" t="str">
            <v>Proportional</v>
          </cell>
          <cell r="S19205">
            <v>-4304.0200000000004</v>
          </cell>
          <cell r="X19205" t="str">
            <v>Commissions - gross</v>
          </cell>
          <cell r="Y19205" t="str">
            <v>MEXICO</v>
          </cell>
        </row>
        <row r="19206">
          <cell r="L19206" t="str">
            <v>Non-proportional</v>
          </cell>
          <cell r="S19206">
            <v>-707</v>
          </cell>
          <cell r="X19206" t="str">
            <v>Commissions - gross</v>
          </cell>
          <cell r="Y19206" t="str">
            <v>MEXICO</v>
          </cell>
        </row>
        <row r="19207">
          <cell r="L19207" t="str">
            <v>Proportional</v>
          </cell>
          <cell r="S19207">
            <v>-163855.07</v>
          </cell>
          <cell r="X19207" t="str">
            <v>Commissions - gross</v>
          </cell>
          <cell r="Y19207" t="str">
            <v>MEXICO</v>
          </cell>
        </row>
        <row r="19208">
          <cell r="L19208" t="str">
            <v>Proportional</v>
          </cell>
          <cell r="S19208">
            <v>-10234.24</v>
          </cell>
          <cell r="X19208" t="str">
            <v>Commissions - gross</v>
          </cell>
          <cell r="Y19208" t="str">
            <v>MEXICO</v>
          </cell>
        </row>
        <row r="19209">
          <cell r="L19209" t="str">
            <v>Proportional</v>
          </cell>
          <cell r="S19209">
            <v>26.31</v>
          </cell>
          <cell r="X19209" t="str">
            <v>Commissions - gross</v>
          </cell>
          <cell r="Y19209" t="str">
            <v>Hong Kong</v>
          </cell>
        </row>
        <row r="19210">
          <cell r="L19210" t="str">
            <v>Non-proportional</v>
          </cell>
          <cell r="S19210">
            <v>6462.33</v>
          </cell>
          <cell r="X19210" t="str">
            <v>Commissions - gross</v>
          </cell>
          <cell r="Y19210" t="str">
            <v>MEXICO</v>
          </cell>
        </row>
        <row r="19211">
          <cell r="L19211" t="str">
            <v>Non-proportional</v>
          </cell>
          <cell r="S19211">
            <v>707</v>
          </cell>
          <cell r="X19211" t="str">
            <v>Commissions - gross</v>
          </cell>
          <cell r="Y19211" t="str">
            <v>MEXICO</v>
          </cell>
        </row>
        <row r="19212">
          <cell r="L19212" t="str">
            <v>Proportional</v>
          </cell>
          <cell r="S19212">
            <v>7702.36</v>
          </cell>
          <cell r="X19212" t="str">
            <v>Commissions - gross</v>
          </cell>
          <cell r="Y19212" t="str">
            <v>MEXICO</v>
          </cell>
        </row>
        <row r="19213">
          <cell r="L19213" t="str">
            <v>Non-proportional</v>
          </cell>
          <cell r="S19213">
            <v>2423.37</v>
          </cell>
          <cell r="X19213" t="str">
            <v>Commissions - gross</v>
          </cell>
          <cell r="Y19213" t="str">
            <v>PUERTO RICO</v>
          </cell>
        </row>
        <row r="19214">
          <cell r="L19214" t="str">
            <v>Proportional</v>
          </cell>
          <cell r="S19214">
            <v>-7702.36</v>
          </cell>
          <cell r="X19214" t="str">
            <v>Commissions - gross</v>
          </cell>
          <cell r="Y19214" t="str">
            <v>MEXICO</v>
          </cell>
        </row>
        <row r="19215">
          <cell r="L19215" t="str">
            <v>Non-proportional</v>
          </cell>
          <cell r="S19215">
            <v>1789.99</v>
          </cell>
          <cell r="X19215" t="str">
            <v>Commissions - gross</v>
          </cell>
          <cell r="Y19215" t="str">
            <v>PUERTO RICO</v>
          </cell>
        </row>
        <row r="19216">
          <cell r="L19216" t="str">
            <v>Proportional</v>
          </cell>
          <cell r="S19216">
            <v>-175.91</v>
          </cell>
          <cell r="X19216" t="str">
            <v>Commissions - gross</v>
          </cell>
          <cell r="Y19216" t="str">
            <v>UNITED STATES</v>
          </cell>
        </row>
        <row r="19217">
          <cell r="L19217" t="str">
            <v>Non-proportional</v>
          </cell>
          <cell r="S19217">
            <v>-2423.37</v>
          </cell>
          <cell r="X19217" t="str">
            <v>Commissions - gross</v>
          </cell>
          <cell r="Y19217" t="str">
            <v>PUERTO RICO</v>
          </cell>
        </row>
        <row r="19218">
          <cell r="L19218" t="str">
            <v>Non-proportional</v>
          </cell>
          <cell r="S19218">
            <v>-20086.79</v>
          </cell>
          <cell r="X19218" t="str">
            <v>Commissions - gross</v>
          </cell>
          <cell r="Y19218" t="str">
            <v>MEXICO</v>
          </cell>
        </row>
        <row r="19219">
          <cell r="L19219" t="str">
            <v>Non-proportional</v>
          </cell>
          <cell r="S19219">
            <v>-707</v>
          </cell>
          <cell r="X19219" t="str">
            <v>Commissions - gross</v>
          </cell>
          <cell r="Y19219" t="str">
            <v>MEXICO</v>
          </cell>
        </row>
        <row r="19220">
          <cell r="L19220" t="str">
            <v>Proportional</v>
          </cell>
          <cell r="S19220">
            <v>10234.24</v>
          </cell>
          <cell r="X19220" t="str">
            <v>Commissions - gross</v>
          </cell>
          <cell r="Y19220" t="str">
            <v>MEXICO</v>
          </cell>
        </row>
        <row r="19221">
          <cell r="L19221" t="str">
            <v>Non-proportional</v>
          </cell>
          <cell r="S19221">
            <v>9641.66</v>
          </cell>
          <cell r="X19221" t="str">
            <v>Commissions - gross</v>
          </cell>
          <cell r="Y19221" t="str">
            <v>MEXICO</v>
          </cell>
        </row>
        <row r="19222">
          <cell r="L19222" t="str">
            <v>Proportional</v>
          </cell>
          <cell r="S19222">
            <v>-173.71</v>
          </cell>
          <cell r="X19222" t="str">
            <v>Commissions - gross</v>
          </cell>
          <cell r="Y19222" t="str">
            <v>UNITED STATES</v>
          </cell>
        </row>
        <row r="19223">
          <cell r="L19223" t="str">
            <v>Proportional</v>
          </cell>
          <cell r="S19223">
            <v>-251.44</v>
          </cell>
          <cell r="X19223" t="str">
            <v>Commissions - gross</v>
          </cell>
          <cell r="Y19223" t="str">
            <v>UNITED STATES</v>
          </cell>
        </row>
        <row r="19224">
          <cell r="L19224" t="str">
            <v>Proportional</v>
          </cell>
          <cell r="S19224">
            <v>173.71</v>
          </cell>
          <cell r="X19224" t="str">
            <v>Commissions - gross</v>
          </cell>
          <cell r="Y19224" t="str">
            <v>UNITED STATES</v>
          </cell>
        </row>
        <row r="19225">
          <cell r="L19225" t="str">
            <v>Non-proportional</v>
          </cell>
          <cell r="S19225">
            <v>-538.13</v>
          </cell>
          <cell r="X19225" t="str">
            <v>Commissions - gross</v>
          </cell>
          <cell r="Y19225" t="str">
            <v>GERMANY</v>
          </cell>
        </row>
        <row r="19226">
          <cell r="L19226" t="str">
            <v>Proportional</v>
          </cell>
          <cell r="S19226">
            <v>156131.57</v>
          </cell>
          <cell r="X19226" t="str">
            <v>Commissions - gross</v>
          </cell>
          <cell r="Y19226" t="str">
            <v>HONG KONG</v>
          </cell>
        </row>
        <row r="19227">
          <cell r="L19227" t="str">
            <v>Proportional</v>
          </cell>
          <cell r="S19227">
            <v>-166.89</v>
          </cell>
          <cell r="X19227" t="str">
            <v>Commissions - gross</v>
          </cell>
          <cell r="Y19227" t="str">
            <v>UNITED STATES</v>
          </cell>
        </row>
        <row r="19228">
          <cell r="L19228" t="str">
            <v>Proportional</v>
          </cell>
          <cell r="S19228">
            <v>-194.21</v>
          </cell>
          <cell r="X19228" t="str">
            <v>Commissions - gross</v>
          </cell>
          <cell r="Y19228" t="str">
            <v>UNITED STATES</v>
          </cell>
        </row>
        <row r="19229">
          <cell r="L19229" t="str">
            <v>Proportional</v>
          </cell>
          <cell r="S19229">
            <v>-156131.57</v>
          </cell>
          <cell r="X19229" t="str">
            <v>Commissions - gross</v>
          </cell>
          <cell r="Y19229" t="str">
            <v>HONG KONG</v>
          </cell>
        </row>
        <row r="19230">
          <cell r="L19230" t="str">
            <v>Proportional</v>
          </cell>
          <cell r="S19230">
            <v>251.44</v>
          </cell>
          <cell r="X19230" t="str">
            <v>Commissions - gross</v>
          </cell>
          <cell r="Y19230" t="str">
            <v>UNITED STATES</v>
          </cell>
        </row>
        <row r="19231">
          <cell r="L19231" t="str">
            <v>Proportional</v>
          </cell>
          <cell r="S19231">
            <v>194.21</v>
          </cell>
          <cell r="X19231" t="str">
            <v>Commissions - gross</v>
          </cell>
          <cell r="Y19231" t="str">
            <v>UNITED STATES</v>
          </cell>
        </row>
        <row r="19232">
          <cell r="L19232" t="str">
            <v>Non-proportional</v>
          </cell>
          <cell r="S19232">
            <v>557.25</v>
          </cell>
          <cell r="X19232" t="str">
            <v>Commissions - gross</v>
          </cell>
          <cell r="Y19232" t="str">
            <v>GERMANY</v>
          </cell>
        </row>
        <row r="19233">
          <cell r="L19233" t="str">
            <v>Proportional</v>
          </cell>
          <cell r="S19233">
            <v>-394830.83</v>
          </cell>
          <cell r="X19233" t="str">
            <v>Commissions - gross</v>
          </cell>
          <cell r="Y19233" t="str">
            <v>UNITED STATES</v>
          </cell>
        </row>
        <row r="19234">
          <cell r="L19234" t="str">
            <v>Non-proportional</v>
          </cell>
          <cell r="S19234">
            <v>294.47000000000003</v>
          </cell>
          <cell r="X19234" t="str">
            <v>Commissions - gross</v>
          </cell>
          <cell r="Y19234" t="str">
            <v>PUERTO RICO</v>
          </cell>
        </row>
        <row r="19235">
          <cell r="L19235" t="str">
            <v>Proportional</v>
          </cell>
          <cell r="S19235">
            <v>142605.23000000001</v>
          </cell>
          <cell r="X19235" t="str">
            <v>Commissions - gross</v>
          </cell>
          <cell r="Y19235" t="str">
            <v>UNITED STATES</v>
          </cell>
        </row>
        <row r="19236">
          <cell r="L19236" t="str">
            <v>Non-proportional</v>
          </cell>
          <cell r="S19236">
            <v>327.14</v>
          </cell>
          <cell r="X19236" t="str">
            <v>Commissions - gross</v>
          </cell>
          <cell r="Y19236" t="str">
            <v>PUERTO RICO</v>
          </cell>
        </row>
        <row r="19237">
          <cell r="L19237" t="str">
            <v>Proportional</v>
          </cell>
          <cell r="S19237">
            <v>1240.43</v>
          </cell>
          <cell r="X19237" t="str">
            <v>Commissions - gross</v>
          </cell>
          <cell r="Y19237" t="str">
            <v>UNITED STATES</v>
          </cell>
        </row>
        <row r="19238">
          <cell r="L19238" t="str">
            <v>Non-proportional</v>
          </cell>
          <cell r="S19238">
            <v>435.64</v>
          </cell>
          <cell r="X19238" t="str">
            <v>Commissions - gross</v>
          </cell>
          <cell r="Y19238" t="str">
            <v>PUERTO RICO</v>
          </cell>
        </row>
        <row r="19239">
          <cell r="L19239" t="str">
            <v>Proportional</v>
          </cell>
          <cell r="S19239">
            <v>230014.69</v>
          </cell>
          <cell r="X19239" t="str">
            <v>Commissions - gross</v>
          </cell>
          <cell r="Y19239" t="str">
            <v>JAPAN</v>
          </cell>
        </row>
        <row r="19240">
          <cell r="L19240" t="str">
            <v>Proportional</v>
          </cell>
          <cell r="S19240">
            <v>85132.54</v>
          </cell>
          <cell r="X19240" t="str">
            <v>Commissions - gross</v>
          </cell>
          <cell r="Y19240" t="str">
            <v>UNITED STATES</v>
          </cell>
        </row>
        <row r="19241">
          <cell r="L19241" t="str">
            <v>Proportional</v>
          </cell>
          <cell r="S19241">
            <v>-45686.18</v>
          </cell>
          <cell r="X19241" t="str">
            <v>Commissions - gross</v>
          </cell>
          <cell r="Y19241" t="str">
            <v>CANADA</v>
          </cell>
        </row>
        <row r="19242">
          <cell r="L19242" t="str">
            <v>Proportional</v>
          </cell>
          <cell r="S19242">
            <v>45686.18</v>
          </cell>
          <cell r="X19242" t="str">
            <v>Commissions - gross</v>
          </cell>
          <cell r="Y19242" t="str">
            <v>CANADA</v>
          </cell>
        </row>
        <row r="19243">
          <cell r="L19243" t="str">
            <v>Proportional</v>
          </cell>
          <cell r="S19243">
            <v>24325.02</v>
          </cell>
          <cell r="X19243" t="str">
            <v>Commissions - gross</v>
          </cell>
          <cell r="Y19243" t="str">
            <v>CANADA</v>
          </cell>
        </row>
        <row r="19244">
          <cell r="L19244" t="str">
            <v>Proportional</v>
          </cell>
          <cell r="S19244">
            <v>5163.01</v>
          </cell>
          <cell r="X19244" t="str">
            <v>Commissions - gross</v>
          </cell>
          <cell r="Y19244" t="str">
            <v>UNITED STATES</v>
          </cell>
        </row>
        <row r="19245">
          <cell r="L19245" t="str">
            <v>Proportional</v>
          </cell>
          <cell r="S19245">
            <v>3.66</v>
          </cell>
          <cell r="X19245" t="str">
            <v>Commissions - gross</v>
          </cell>
          <cell r="Y19245" t="str">
            <v>JAPAN</v>
          </cell>
        </row>
        <row r="19246">
          <cell r="L19246" t="str">
            <v>Proportional</v>
          </cell>
          <cell r="S19246">
            <v>92181.97</v>
          </cell>
          <cell r="X19246" t="str">
            <v>Commissions - gross</v>
          </cell>
          <cell r="Y19246" t="str">
            <v>UNITED STATES</v>
          </cell>
        </row>
        <row r="19247">
          <cell r="L19247" t="str">
            <v>Non-proportional</v>
          </cell>
          <cell r="S19247">
            <v>484.02</v>
          </cell>
          <cell r="X19247" t="str">
            <v>Commissions - gross</v>
          </cell>
          <cell r="Y19247" t="str">
            <v>PUERTO RICO</v>
          </cell>
        </row>
        <row r="19248">
          <cell r="L19248" t="str">
            <v>Non-proportional</v>
          </cell>
          <cell r="S19248">
            <v>-294.47000000000003</v>
          </cell>
          <cell r="X19248" t="str">
            <v>Commissions - gross</v>
          </cell>
          <cell r="Y19248" t="str">
            <v>PUERTO RICO</v>
          </cell>
        </row>
        <row r="19249">
          <cell r="L19249" t="str">
            <v>Proportional</v>
          </cell>
          <cell r="S19249">
            <v>90.49</v>
          </cell>
          <cell r="X19249" t="str">
            <v>Commissions - gross</v>
          </cell>
          <cell r="Y19249" t="str">
            <v>UNITED STATES</v>
          </cell>
        </row>
        <row r="19250">
          <cell r="L19250" t="str">
            <v>Proportional</v>
          </cell>
          <cell r="S19250">
            <v>-8198.0499999999993</v>
          </cell>
          <cell r="X19250" t="str">
            <v>Commissions - gross</v>
          </cell>
          <cell r="Y19250" t="str">
            <v>CANADA</v>
          </cell>
        </row>
        <row r="19251">
          <cell r="L19251" t="str">
            <v>Proportional</v>
          </cell>
          <cell r="S19251">
            <v>999.16</v>
          </cell>
          <cell r="X19251" t="str">
            <v>Commissions - gross</v>
          </cell>
          <cell r="Y19251" t="str">
            <v>UNITED STATES</v>
          </cell>
        </row>
        <row r="19252">
          <cell r="L19252" t="str">
            <v>Proportional</v>
          </cell>
          <cell r="S19252">
            <v>3.41</v>
          </cell>
          <cell r="X19252" t="str">
            <v>Commissions - gross</v>
          </cell>
          <cell r="Y19252" t="str">
            <v>UNITED STATES</v>
          </cell>
        </row>
        <row r="19253">
          <cell r="L19253" t="str">
            <v>Proportional</v>
          </cell>
          <cell r="S19253">
            <v>126.24</v>
          </cell>
          <cell r="X19253" t="str">
            <v>Commissions - gross</v>
          </cell>
          <cell r="Y19253" t="str">
            <v>UNITED STATES</v>
          </cell>
        </row>
        <row r="19254">
          <cell r="L19254" t="str">
            <v>Proportional</v>
          </cell>
          <cell r="S19254">
            <v>175.58</v>
          </cell>
          <cell r="X19254" t="str">
            <v>Commissions - gross</v>
          </cell>
          <cell r="Y19254" t="str">
            <v>UNITED STATES</v>
          </cell>
        </row>
        <row r="19255">
          <cell r="L19255" t="str">
            <v>Non-proportional</v>
          </cell>
          <cell r="S19255">
            <v>-435.64</v>
          </cell>
          <cell r="X19255" t="str">
            <v>Commissions - gross</v>
          </cell>
          <cell r="Y19255" t="str">
            <v>PUERTO RICO</v>
          </cell>
        </row>
        <row r="19256">
          <cell r="L19256" t="str">
            <v>Proportional</v>
          </cell>
          <cell r="S19256">
            <v>-273932.90999999997</v>
          </cell>
          <cell r="X19256" t="str">
            <v>Commissions - gross</v>
          </cell>
          <cell r="Y19256" t="str">
            <v>UNITED STATES</v>
          </cell>
        </row>
        <row r="19257">
          <cell r="L19257" t="str">
            <v>Proportional</v>
          </cell>
          <cell r="S19257">
            <v>63344.54</v>
          </cell>
          <cell r="X19257" t="str">
            <v>Commissions - gross</v>
          </cell>
          <cell r="Y19257" t="str">
            <v>JAPAN</v>
          </cell>
        </row>
        <row r="19258">
          <cell r="L19258" t="str">
            <v>Proportional</v>
          </cell>
          <cell r="S19258">
            <v>-14402.72</v>
          </cell>
          <cell r="X19258" t="str">
            <v>Commissions - gross</v>
          </cell>
          <cell r="Y19258" t="str">
            <v>JAPAN</v>
          </cell>
        </row>
        <row r="19259">
          <cell r="L19259" t="str">
            <v>Proportional</v>
          </cell>
          <cell r="S19259">
            <v>3197.15</v>
          </cell>
          <cell r="X19259" t="str">
            <v>Commissions - gross</v>
          </cell>
          <cell r="Y19259" t="str">
            <v>UNITED STATES</v>
          </cell>
        </row>
        <row r="19260">
          <cell r="L19260" t="str">
            <v>Proportional</v>
          </cell>
          <cell r="S19260">
            <v>698.63</v>
          </cell>
          <cell r="X19260" t="str">
            <v>Commissions - gross</v>
          </cell>
          <cell r="Y19260" t="str">
            <v>UNITED STATES</v>
          </cell>
        </row>
        <row r="19261">
          <cell r="L19261" t="str">
            <v>Proportional</v>
          </cell>
          <cell r="S19261">
            <v>-576.6</v>
          </cell>
          <cell r="X19261" t="str">
            <v>Commissions - gross</v>
          </cell>
          <cell r="Y19261" t="str">
            <v>JAPAN</v>
          </cell>
        </row>
        <row r="19262">
          <cell r="L19262" t="str">
            <v>Proportional</v>
          </cell>
          <cell r="S19262">
            <v>4121.97</v>
          </cell>
          <cell r="X19262" t="str">
            <v>Commissions - gross</v>
          </cell>
          <cell r="Y19262" t="str">
            <v>JAPAN</v>
          </cell>
        </row>
        <row r="19263">
          <cell r="L19263" t="str">
            <v>Proportional</v>
          </cell>
          <cell r="S19263">
            <v>-3.32</v>
          </cell>
          <cell r="X19263" t="str">
            <v>Commissions - gross</v>
          </cell>
          <cell r="Y19263" t="str">
            <v>Malaysia</v>
          </cell>
        </row>
        <row r="19264">
          <cell r="L19264" t="str">
            <v>Proportional</v>
          </cell>
          <cell r="S19264">
            <v>2637.57</v>
          </cell>
          <cell r="X19264" t="str">
            <v>Commissions - gross</v>
          </cell>
          <cell r="Y19264" t="str">
            <v>UNITED STATES</v>
          </cell>
        </row>
        <row r="19265">
          <cell r="L19265" t="str">
            <v>Proportional</v>
          </cell>
          <cell r="S19265">
            <v>1224.32</v>
          </cell>
          <cell r="X19265" t="str">
            <v>Commissions - gross</v>
          </cell>
          <cell r="Y19265" t="str">
            <v>JAPAN</v>
          </cell>
        </row>
        <row r="19266">
          <cell r="L19266" t="str">
            <v>Proportional</v>
          </cell>
          <cell r="S19266">
            <v>186.99</v>
          </cell>
          <cell r="X19266" t="str">
            <v>Commissions - gross</v>
          </cell>
          <cell r="Y19266" t="str">
            <v>UNITED STATES</v>
          </cell>
        </row>
        <row r="19267">
          <cell r="L19267" t="str">
            <v>Proportional</v>
          </cell>
          <cell r="S19267">
            <v>-34.700000000000003</v>
          </cell>
          <cell r="X19267" t="str">
            <v>Commissions - gross</v>
          </cell>
          <cell r="Y19267" t="str">
            <v>UNITED STATES</v>
          </cell>
        </row>
        <row r="19268">
          <cell r="L19268" t="str">
            <v>Proportional</v>
          </cell>
          <cell r="S19268">
            <v>28465.05</v>
          </cell>
          <cell r="X19268" t="str">
            <v>Commissions - gross</v>
          </cell>
          <cell r="Y19268" t="str">
            <v>UNITED STATES</v>
          </cell>
        </row>
        <row r="19269">
          <cell r="L19269" t="str">
            <v>Proportional</v>
          </cell>
          <cell r="S19269">
            <v>18201.259999999998</v>
          </cell>
          <cell r="X19269" t="str">
            <v>Commissions - gross</v>
          </cell>
          <cell r="Y19269" t="str">
            <v>JAPAN</v>
          </cell>
        </row>
        <row r="19270">
          <cell r="L19270" t="str">
            <v>Proportional</v>
          </cell>
          <cell r="S19270">
            <v>34.65</v>
          </cell>
          <cell r="X19270" t="str">
            <v>Commissions - gross</v>
          </cell>
          <cell r="Y19270" t="str">
            <v>UNITED STATES</v>
          </cell>
        </row>
        <row r="19271">
          <cell r="L19271" t="str">
            <v>Proportional</v>
          </cell>
          <cell r="S19271">
            <v>-48.58</v>
          </cell>
          <cell r="X19271" t="str">
            <v>Commissions - gross</v>
          </cell>
          <cell r="Y19271" t="str">
            <v>UNITED STATES</v>
          </cell>
        </row>
        <row r="19272">
          <cell r="L19272" t="str">
            <v>Proportional</v>
          </cell>
          <cell r="S19272">
            <v>41.03</v>
          </cell>
          <cell r="X19272" t="str">
            <v>Commissions - gross</v>
          </cell>
          <cell r="Y19272" t="str">
            <v>UNITED STATES</v>
          </cell>
        </row>
        <row r="19273">
          <cell r="L19273" t="str">
            <v>Non-proportional</v>
          </cell>
          <cell r="S19273">
            <v>8319.3700000000008</v>
          </cell>
          <cell r="X19273" t="str">
            <v>Commissions - gross</v>
          </cell>
          <cell r="Y19273" t="str">
            <v>PUERTO RICO</v>
          </cell>
        </row>
        <row r="19274">
          <cell r="L19274" t="str">
            <v>Non-proportional</v>
          </cell>
          <cell r="S19274">
            <v>5269.26</v>
          </cell>
          <cell r="X19274" t="str">
            <v>Commissions - gross</v>
          </cell>
          <cell r="Y19274" t="str">
            <v>PUERTO RICO</v>
          </cell>
        </row>
        <row r="19275">
          <cell r="L19275" t="str">
            <v>Proportional</v>
          </cell>
          <cell r="S19275">
            <v>60334.05</v>
          </cell>
          <cell r="X19275" t="str">
            <v>Commissions - gross</v>
          </cell>
          <cell r="Y19275" t="str">
            <v>UNITED STATES</v>
          </cell>
        </row>
        <row r="19276">
          <cell r="L19276" t="str">
            <v>Proportional</v>
          </cell>
          <cell r="S19276">
            <v>157505.10999999999</v>
          </cell>
          <cell r="X19276" t="str">
            <v>Commissions - gross</v>
          </cell>
          <cell r="Y19276" t="str">
            <v>UNITED STATES</v>
          </cell>
        </row>
        <row r="19277">
          <cell r="L19277" t="str">
            <v>Proportional</v>
          </cell>
          <cell r="S19277">
            <v>-440.64</v>
          </cell>
          <cell r="X19277" t="str">
            <v>Commissions - gross</v>
          </cell>
          <cell r="Y19277" t="str">
            <v>UNITED STATES</v>
          </cell>
        </row>
        <row r="19278">
          <cell r="L19278" t="str">
            <v>Proportional</v>
          </cell>
          <cell r="S19278">
            <v>44643.7</v>
          </cell>
          <cell r="X19278" t="str">
            <v>Commissions - gross</v>
          </cell>
          <cell r="Y19278" t="str">
            <v>UNITED STATES</v>
          </cell>
        </row>
        <row r="19279">
          <cell r="L19279" t="str">
            <v>Proportional</v>
          </cell>
          <cell r="S19279">
            <v>440.64</v>
          </cell>
          <cell r="X19279" t="str">
            <v>Commissions - gross</v>
          </cell>
          <cell r="Y19279" t="str">
            <v>UNITED STATES</v>
          </cell>
        </row>
        <row r="19280">
          <cell r="L19280" t="str">
            <v>Non-proportional</v>
          </cell>
          <cell r="S19280">
            <v>6735.28</v>
          </cell>
          <cell r="X19280" t="str">
            <v>Commissions - gross</v>
          </cell>
          <cell r="Y19280" t="str">
            <v>PUERTO RICO</v>
          </cell>
        </row>
        <row r="19281">
          <cell r="L19281" t="str">
            <v>Non-proportional</v>
          </cell>
          <cell r="S19281">
            <v>3211.67</v>
          </cell>
          <cell r="X19281" t="str">
            <v>Commissions - gross</v>
          </cell>
          <cell r="Y19281" t="str">
            <v>PUERTO RICO</v>
          </cell>
        </row>
        <row r="19282">
          <cell r="L19282" t="str">
            <v>Proportional</v>
          </cell>
          <cell r="S19282">
            <v>-18201.259999999998</v>
          </cell>
          <cell r="X19282" t="str">
            <v>Commissions - gross</v>
          </cell>
          <cell r="Y19282" t="str">
            <v>JAPAN</v>
          </cell>
        </row>
        <row r="19283">
          <cell r="L19283" t="str">
            <v>Non-proportional</v>
          </cell>
          <cell r="S19283">
            <v>2831.34</v>
          </cell>
          <cell r="X19283" t="str">
            <v>Commissions - gross</v>
          </cell>
          <cell r="Y19283" t="str">
            <v>SLOVENIA</v>
          </cell>
        </row>
        <row r="19284">
          <cell r="L19284" t="str">
            <v>Proportional</v>
          </cell>
          <cell r="S19284">
            <v>404.12</v>
          </cell>
          <cell r="X19284" t="str">
            <v>Commissions - gross</v>
          </cell>
          <cell r="Y19284" t="str">
            <v>UNITED STATES</v>
          </cell>
        </row>
        <row r="19285">
          <cell r="L19285" t="str">
            <v>Proportional</v>
          </cell>
          <cell r="S19285">
            <v>-117390.37</v>
          </cell>
          <cell r="X19285" t="str">
            <v>Commissions - gross</v>
          </cell>
          <cell r="Y19285" t="str">
            <v>HONG KONG</v>
          </cell>
        </row>
        <row r="19286">
          <cell r="L19286" t="str">
            <v>Proportional</v>
          </cell>
          <cell r="S19286">
            <v>137.07</v>
          </cell>
          <cell r="X19286" t="str">
            <v>Commissions - gross</v>
          </cell>
          <cell r="Y19286" t="str">
            <v>UNITED STATES</v>
          </cell>
        </row>
        <row r="19287">
          <cell r="L19287" t="str">
            <v>Proportional</v>
          </cell>
          <cell r="S19287">
            <v>-74.84</v>
          </cell>
          <cell r="X19287" t="str">
            <v>Commissions - gross</v>
          </cell>
          <cell r="Y19287" t="str">
            <v>UNITED STATES</v>
          </cell>
        </row>
        <row r="19288">
          <cell r="L19288" t="str">
            <v>Proportional</v>
          </cell>
          <cell r="S19288">
            <v>-188.02</v>
          </cell>
          <cell r="X19288" t="str">
            <v>Commissions - gross</v>
          </cell>
          <cell r="Y19288" t="str">
            <v>UNITED STATES</v>
          </cell>
        </row>
        <row r="19289">
          <cell r="L19289" t="str">
            <v>Non-proportional</v>
          </cell>
          <cell r="S19289">
            <v>3384.83</v>
          </cell>
          <cell r="X19289" t="str">
            <v>Commissions - gross</v>
          </cell>
          <cell r="Y19289" t="str">
            <v>PUERTO RICO</v>
          </cell>
        </row>
        <row r="19290">
          <cell r="L19290" t="str">
            <v>Non-proportional</v>
          </cell>
          <cell r="S19290">
            <v>2803.93</v>
          </cell>
          <cell r="X19290" t="str">
            <v>Commissions - gross</v>
          </cell>
          <cell r="Y19290" t="str">
            <v>PUERTO RICO</v>
          </cell>
        </row>
        <row r="19291">
          <cell r="L19291" t="str">
            <v>Proportional</v>
          </cell>
          <cell r="S19291">
            <v>-60861.32</v>
          </cell>
          <cell r="X19291" t="str">
            <v>Commissions - gross</v>
          </cell>
          <cell r="Y19291" t="str">
            <v>UNITED STATES</v>
          </cell>
        </row>
        <row r="19292">
          <cell r="L19292" t="str">
            <v>Proportional</v>
          </cell>
          <cell r="S19292">
            <v>75.5</v>
          </cell>
          <cell r="X19292" t="str">
            <v>Commissions - gross</v>
          </cell>
          <cell r="Y19292" t="str">
            <v>UNITED STATES</v>
          </cell>
        </row>
        <row r="19293">
          <cell r="L19293" t="str">
            <v>Proportional</v>
          </cell>
          <cell r="S19293">
            <v>244.99</v>
          </cell>
          <cell r="X19293" t="str">
            <v>Commissions - gross</v>
          </cell>
          <cell r="Y19293" t="str">
            <v>UNITED STATES</v>
          </cell>
        </row>
        <row r="19294">
          <cell r="L19294" t="str">
            <v>Proportional</v>
          </cell>
          <cell r="S19294">
            <v>785.62</v>
          </cell>
          <cell r="X19294" t="str">
            <v>Commissions - gross</v>
          </cell>
          <cell r="Y19294" t="str">
            <v>UNITED STATES</v>
          </cell>
        </row>
        <row r="19295">
          <cell r="L19295" t="str">
            <v>Proportional</v>
          </cell>
          <cell r="S19295">
            <v>87195.56</v>
          </cell>
          <cell r="X19295" t="str">
            <v>Commissions - gross</v>
          </cell>
          <cell r="Y19295" t="str">
            <v>UNITED STATES</v>
          </cell>
        </row>
        <row r="19296">
          <cell r="L19296" t="str">
            <v>Proportional</v>
          </cell>
          <cell r="S19296">
            <v>-48.58</v>
          </cell>
          <cell r="X19296" t="str">
            <v>Commissions - gross</v>
          </cell>
          <cell r="Y19296" t="str">
            <v>UNITED STATES</v>
          </cell>
        </row>
        <row r="19297">
          <cell r="L19297" t="str">
            <v>Proportional</v>
          </cell>
          <cell r="S19297">
            <v>60861.32</v>
          </cell>
          <cell r="X19297" t="str">
            <v>Commissions - gross</v>
          </cell>
          <cell r="Y19297" t="str">
            <v>UNITED STATES</v>
          </cell>
        </row>
        <row r="19298">
          <cell r="L19298" t="str">
            <v>Proportional</v>
          </cell>
          <cell r="S19298">
            <v>2402.0100000000002</v>
          </cell>
          <cell r="X19298" t="str">
            <v>Commissions - gross</v>
          </cell>
          <cell r="Y19298" t="str">
            <v>JAPAN</v>
          </cell>
        </row>
        <row r="19299">
          <cell r="L19299" t="str">
            <v>Non-proportional</v>
          </cell>
          <cell r="S19299">
            <v>2094.5700000000002</v>
          </cell>
          <cell r="X19299" t="str">
            <v>Commissions - gross</v>
          </cell>
          <cell r="Y19299" t="str">
            <v>PUERTO RICO</v>
          </cell>
        </row>
        <row r="19300">
          <cell r="L19300" t="str">
            <v>Non-proportional</v>
          </cell>
          <cell r="S19300">
            <v>-2261.73</v>
          </cell>
          <cell r="X19300" t="str">
            <v>Commissions - gross</v>
          </cell>
          <cell r="Y19300" t="str">
            <v>SLOVENIA</v>
          </cell>
        </row>
        <row r="19301">
          <cell r="L19301" t="str">
            <v>Proportional</v>
          </cell>
          <cell r="S19301">
            <v>118.61</v>
          </cell>
          <cell r="X19301" t="str">
            <v>Commissions - gross</v>
          </cell>
          <cell r="Y19301" t="str">
            <v>Hong Kong</v>
          </cell>
        </row>
        <row r="19302">
          <cell r="L19302" t="str">
            <v>Proportional</v>
          </cell>
          <cell r="S19302">
            <v>-137.07</v>
          </cell>
          <cell r="X19302" t="str">
            <v>Commissions - gross</v>
          </cell>
          <cell r="Y19302" t="str">
            <v>UNITED STATES</v>
          </cell>
        </row>
        <row r="19303">
          <cell r="L19303" t="str">
            <v>Proportional</v>
          </cell>
          <cell r="S19303">
            <v>-28465.05</v>
          </cell>
          <cell r="X19303" t="str">
            <v>Commissions - gross</v>
          </cell>
          <cell r="Y19303" t="str">
            <v>UNITED STATES</v>
          </cell>
        </row>
        <row r="19304">
          <cell r="L19304" t="str">
            <v>Proportional</v>
          </cell>
          <cell r="S19304">
            <v>1624.06</v>
          </cell>
          <cell r="X19304" t="str">
            <v>Commissions - gross</v>
          </cell>
          <cell r="Y19304" t="str">
            <v>MEXICO</v>
          </cell>
        </row>
        <row r="19305">
          <cell r="L19305" t="str">
            <v>Non-proportional</v>
          </cell>
          <cell r="S19305">
            <v>-6853.67</v>
          </cell>
          <cell r="X19305" t="str">
            <v>Commissions - gross</v>
          </cell>
          <cell r="Y19305" t="str">
            <v>PUERTO RICO</v>
          </cell>
        </row>
        <row r="19306">
          <cell r="L19306" t="str">
            <v>Proportional</v>
          </cell>
          <cell r="S19306">
            <v>-11782.77</v>
          </cell>
          <cell r="X19306" t="str">
            <v>Commissions - gross</v>
          </cell>
          <cell r="Y19306" t="str">
            <v>JAPAN</v>
          </cell>
        </row>
        <row r="19307">
          <cell r="L19307" t="str">
            <v>Non-proportional</v>
          </cell>
          <cell r="S19307">
            <v>6853.67</v>
          </cell>
          <cell r="X19307" t="str">
            <v>Commissions - gross</v>
          </cell>
          <cell r="Y19307" t="str">
            <v>PUERTO RICO</v>
          </cell>
        </row>
        <row r="19308">
          <cell r="L19308" t="str">
            <v>Non-proportional</v>
          </cell>
          <cell r="S19308">
            <v>-4340.66</v>
          </cell>
          <cell r="X19308" t="str">
            <v>Commissions - gross</v>
          </cell>
          <cell r="Y19308" t="str">
            <v>PUERTO RICO</v>
          </cell>
        </row>
        <row r="19309">
          <cell r="L19309" t="str">
            <v>Non-proportional</v>
          </cell>
          <cell r="S19309">
            <v>5548.21</v>
          </cell>
          <cell r="X19309" t="str">
            <v>Commissions - gross</v>
          </cell>
          <cell r="Y19309" t="str">
            <v>PUERTO RICO</v>
          </cell>
        </row>
        <row r="19310">
          <cell r="L19310" t="str">
            <v>Proportional</v>
          </cell>
          <cell r="S19310">
            <v>-42124.21</v>
          </cell>
          <cell r="X19310" t="str">
            <v>Commissions - gross</v>
          </cell>
          <cell r="Y19310" t="str">
            <v>JAPAN</v>
          </cell>
        </row>
        <row r="19311">
          <cell r="L19311" t="str">
            <v>Proportional</v>
          </cell>
          <cell r="S19311">
            <v>-50.15</v>
          </cell>
          <cell r="X19311" t="str">
            <v>Commissions - gross</v>
          </cell>
          <cell r="Y19311" t="str">
            <v>Hong Kong</v>
          </cell>
        </row>
        <row r="19312">
          <cell r="L19312" t="str">
            <v>Proportional</v>
          </cell>
          <cell r="S19312">
            <v>-1624.06</v>
          </cell>
          <cell r="X19312" t="str">
            <v>Commissions - gross</v>
          </cell>
          <cell r="Y19312" t="str">
            <v>MEXICO</v>
          </cell>
        </row>
        <row r="19313">
          <cell r="L19313" t="str">
            <v>Non-proportional</v>
          </cell>
          <cell r="S19313">
            <v>4340.66</v>
          </cell>
          <cell r="X19313" t="str">
            <v>Commissions - gross</v>
          </cell>
          <cell r="Y19313" t="str">
            <v>PUERTO RICO</v>
          </cell>
        </row>
        <row r="19314">
          <cell r="L19314" t="str">
            <v>Proportional</v>
          </cell>
          <cell r="S19314">
            <v>-8135.7</v>
          </cell>
          <cell r="X19314" t="str">
            <v>Commissions - gross</v>
          </cell>
          <cell r="Y19314" t="str">
            <v>HONG KONG</v>
          </cell>
        </row>
        <row r="19315">
          <cell r="L19315" t="str">
            <v>Proportional</v>
          </cell>
          <cell r="S19315">
            <v>-1927188.92</v>
          </cell>
          <cell r="X19315" t="str">
            <v>Commissions - gross</v>
          </cell>
          <cell r="Y19315" t="str">
            <v>ITALY</v>
          </cell>
        </row>
        <row r="19316">
          <cell r="L19316" t="str">
            <v>Proportional</v>
          </cell>
          <cell r="S19316">
            <v>131929.06</v>
          </cell>
          <cell r="X19316" t="str">
            <v>Commissions - gross</v>
          </cell>
          <cell r="Y19316" t="str">
            <v>HONG KONG</v>
          </cell>
        </row>
        <row r="19317">
          <cell r="L19317" t="str">
            <v>Proportional</v>
          </cell>
          <cell r="S19317">
            <v>8135.7</v>
          </cell>
          <cell r="X19317" t="str">
            <v>Commissions - gross</v>
          </cell>
          <cell r="Y19317" t="str">
            <v>HONG KONG</v>
          </cell>
        </row>
        <row r="19318">
          <cell r="L19318" t="str">
            <v>Proportional</v>
          </cell>
          <cell r="S19318">
            <v>2248387.0699999998</v>
          </cell>
          <cell r="X19318" t="str">
            <v>Commissions - gross</v>
          </cell>
          <cell r="Y19318" t="str">
            <v>ITALY</v>
          </cell>
        </row>
        <row r="19319">
          <cell r="L19319" t="str">
            <v>Proportional</v>
          </cell>
          <cell r="S19319">
            <v>69795.399999999994</v>
          </cell>
          <cell r="X19319" t="str">
            <v>Commissions - gross</v>
          </cell>
          <cell r="Y19319" t="str">
            <v>MEXICO</v>
          </cell>
        </row>
        <row r="19320">
          <cell r="L19320" t="str">
            <v>Proportional</v>
          </cell>
          <cell r="S19320">
            <v>317.02</v>
          </cell>
          <cell r="X19320" t="str">
            <v>Commissions - gross</v>
          </cell>
          <cell r="Y19320" t="str">
            <v>JAPAN</v>
          </cell>
        </row>
        <row r="19321">
          <cell r="L19321" t="str">
            <v>Proportional</v>
          </cell>
          <cell r="S19321">
            <v>11782.77</v>
          </cell>
          <cell r="X19321" t="str">
            <v>Commissions - gross</v>
          </cell>
          <cell r="Y19321" t="str">
            <v>JAPAN</v>
          </cell>
        </row>
        <row r="19322">
          <cell r="L19322" t="str">
            <v>Proportional</v>
          </cell>
          <cell r="S19322">
            <v>-321198.15000000002</v>
          </cell>
          <cell r="X19322" t="str">
            <v>Commissions - gross</v>
          </cell>
          <cell r="Y19322" t="str">
            <v>ITALY</v>
          </cell>
        </row>
        <row r="19323">
          <cell r="L19323" t="str">
            <v>Non-proportional</v>
          </cell>
          <cell r="S19323">
            <v>-5548.21</v>
          </cell>
          <cell r="X19323" t="str">
            <v>Commissions - gross</v>
          </cell>
          <cell r="Y19323" t="str">
            <v>PUERTO RICO</v>
          </cell>
        </row>
        <row r="19324">
          <cell r="L19324" t="str">
            <v>Proportional</v>
          </cell>
          <cell r="S19324">
            <v>-160599.07</v>
          </cell>
          <cell r="X19324" t="str">
            <v>Commissions - gross</v>
          </cell>
          <cell r="Y19324" t="str">
            <v>ITALY</v>
          </cell>
        </row>
        <row r="19325">
          <cell r="L19325" t="str">
            <v>Proportional</v>
          </cell>
          <cell r="S19325">
            <v>1927188.92</v>
          </cell>
          <cell r="X19325" t="str">
            <v>Commissions - gross</v>
          </cell>
          <cell r="Y19325" t="str">
            <v>ITALY</v>
          </cell>
        </row>
        <row r="19326">
          <cell r="L19326" t="str">
            <v>Proportional</v>
          </cell>
          <cell r="S19326">
            <v>321198.15000000002</v>
          </cell>
          <cell r="X19326" t="str">
            <v>Commissions - gross</v>
          </cell>
          <cell r="Y19326" t="str">
            <v>ITALY</v>
          </cell>
        </row>
        <row r="19327">
          <cell r="L19327" t="str">
            <v>Proportional</v>
          </cell>
          <cell r="S19327">
            <v>362.97</v>
          </cell>
          <cell r="X19327" t="str">
            <v>Commissions - gross</v>
          </cell>
          <cell r="Y19327" t="str">
            <v>FRANCE</v>
          </cell>
        </row>
        <row r="19328">
          <cell r="L19328" t="str">
            <v>Proportional</v>
          </cell>
          <cell r="S19328">
            <v>-100000</v>
          </cell>
          <cell r="X19328" t="str">
            <v>Commissions - gross</v>
          </cell>
          <cell r="Y19328" t="str">
            <v>ITALY</v>
          </cell>
        </row>
        <row r="19329">
          <cell r="L19329" t="str">
            <v>Proportional</v>
          </cell>
          <cell r="S19329">
            <v>39209.85</v>
          </cell>
          <cell r="X19329" t="str">
            <v>Commissions - gross</v>
          </cell>
          <cell r="Y19329" t="str">
            <v>MEXICO</v>
          </cell>
        </row>
        <row r="19330">
          <cell r="L19330" t="str">
            <v>Proportional</v>
          </cell>
          <cell r="S19330">
            <v>3427.37</v>
          </cell>
          <cell r="X19330" t="str">
            <v>Commissions - gross</v>
          </cell>
          <cell r="Y19330" t="str">
            <v>JAPAN</v>
          </cell>
        </row>
        <row r="19331">
          <cell r="L19331" t="str">
            <v>Proportional</v>
          </cell>
          <cell r="S19331">
            <v>-1.17</v>
          </cell>
          <cell r="X19331" t="str">
            <v>Commissions - gross</v>
          </cell>
          <cell r="Y19331" t="str">
            <v>Malaysia</v>
          </cell>
        </row>
        <row r="19332">
          <cell r="L19332" t="str">
            <v>Proportional</v>
          </cell>
          <cell r="S19332">
            <v>-785.65</v>
          </cell>
          <cell r="X19332" t="str">
            <v>Commissions - gross</v>
          </cell>
          <cell r="Y19332" t="str">
            <v>UNITED STATES</v>
          </cell>
        </row>
        <row r="19333">
          <cell r="L19333" t="str">
            <v>Proportional</v>
          </cell>
          <cell r="S19333">
            <v>-1348.21</v>
          </cell>
          <cell r="X19333" t="str">
            <v>Commissions - gross</v>
          </cell>
          <cell r="Y19333" t="str">
            <v>SWITZERLAND</v>
          </cell>
        </row>
        <row r="19334">
          <cell r="L19334" t="str">
            <v>Proportional</v>
          </cell>
          <cell r="S19334">
            <v>-371.66</v>
          </cell>
          <cell r="X19334" t="str">
            <v>Commissions - gross</v>
          </cell>
          <cell r="Y19334" t="str">
            <v>FRANCE</v>
          </cell>
        </row>
        <row r="19335">
          <cell r="L19335" t="str">
            <v>Proportional</v>
          </cell>
          <cell r="S19335">
            <v>-730.7</v>
          </cell>
          <cell r="X19335" t="str">
            <v>Commissions - gross</v>
          </cell>
          <cell r="Y19335" t="str">
            <v>FRANCE</v>
          </cell>
        </row>
        <row r="19336">
          <cell r="L19336" t="str">
            <v>Proportional</v>
          </cell>
          <cell r="S19336">
            <v>-8224.89</v>
          </cell>
          <cell r="X19336" t="str">
            <v>Commissions - gross</v>
          </cell>
          <cell r="Y19336" t="str">
            <v>JAPAN</v>
          </cell>
        </row>
        <row r="19337">
          <cell r="L19337" t="str">
            <v>Proportional</v>
          </cell>
          <cell r="S19337">
            <v>-2513.31</v>
          </cell>
          <cell r="X19337" t="str">
            <v>Commissions - gross</v>
          </cell>
          <cell r="Y19337" t="str">
            <v>UNITED STATES</v>
          </cell>
        </row>
        <row r="19338">
          <cell r="L19338" t="str">
            <v>Proportional</v>
          </cell>
          <cell r="S19338">
            <v>7892.01</v>
          </cell>
          <cell r="X19338" t="str">
            <v>Commissions - gross</v>
          </cell>
          <cell r="Y19338" t="str">
            <v>SWITZERLAND</v>
          </cell>
        </row>
        <row r="19339">
          <cell r="L19339" t="str">
            <v>Proportional</v>
          </cell>
          <cell r="S19339">
            <v>100000</v>
          </cell>
          <cell r="X19339" t="str">
            <v>Commissions - gross</v>
          </cell>
          <cell r="Y19339" t="str">
            <v>ITALY</v>
          </cell>
        </row>
        <row r="19340">
          <cell r="L19340" t="str">
            <v>Proportional</v>
          </cell>
          <cell r="S19340">
            <v>-8908.75</v>
          </cell>
          <cell r="X19340" t="str">
            <v>Commissions - gross</v>
          </cell>
          <cell r="Y19340" t="str">
            <v>JAPAN</v>
          </cell>
        </row>
        <row r="19341">
          <cell r="L19341" t="str">
            <v>Proportional</v>
          </cell>
          <cell r="S19341">
            <v>9435.4699999999993</v>
          </cell>
          <cell r="X19341" t="str">
            <v>Commissions - gross</v>
          </cell>
          <cell r="Y19341" t="str">
            <v>JAPAN</v>
          </cell>
        </row>
        <row r="19342">
          <cell r="L19342" t="str">
            <v>Proportional</v>
          </cell>
          <cell r="S19342">
            <v>1423.58</v>
          </cell>
          <cell r="X19342" t="str">
            <v>Commissions - gross</v>
          </cell>
          <cell r="Y19342" t="str">
            <v>FRANCE</v>
          </cell>
        </row>
        <row r="19343">
          <cell r="L19343" t="str">
            <v>Proportional</v>
          </cell>
          <cell r="S19343">
            <v>86506.51</v>
          </cell>
          <cell r="X19343" t="str">
            <v>Commissions - gross</v>
          </cell>
          <cell r="Y19343" t="str">
            <v>MEXICO</v>
          </cell>
        </row>
        <row r="19344">
          <cell r="L19344" t="str">
            <v>Proportional</v>
          </cell>
          <cell r="S19344">
            <v>8542.2199999999993</v>
          </cell>
          <cell r="X19344" t="str">
            <v>Commissions - gross</v>
          </cell>
          <cell r="Y19344" t="str">
            <v>MEXICO</v>
          </cell>
        </row>
        <row r="19345">
          <cell r="L19345" t="str">
            <v>Proportional</v>
          </cell>
          <cell r="S19345">
            <v>2454.5500000000002</v>
          </cell>
          <cell r="X19345" t="str">
            <v>Commissions - gross</v>
          </cell>
          <cell r="Y19345" t="str">
            <v>UNITED STATES</v>
          </cell>
        </row>
        <row r="19346">
          <cell r="L19346" t="str">
            <v>Proportional</v>
          </cell>
          <cell r="S19346">
            <v>698.19</v>
          </cell>
          <cell r="X19346" t="str">
            <v>Commissions - gross</v>
          </cell>
          <cell r="Y19346" t="str">
            <v>UNITED STATES</v>
          </cell>
        </row>
        <row r="19347">
          <cell r="L19347" t="str">
            <v>Proportional</v>
          </cell>
          <cell r="S19347">
            <v>-7892.01</v>
          </cell>
          <cell r="X19347" t="str">
            <v>Commissions - gross</v>
          </cell>
          <cell r="Y19347" t="str">
            <v>SWITZERLAND</v>
          </cell>
        </row>
        <row r="19348">
          <cell r="L19348" t="str">
            <v>Proportional</v>
          </cell>
          <cell r="S19348">
            <v>458.18</v>
          </cell>
          <cell r="X19348" t="str">
            <v>Commissions - gross</v>
          </cell>
          <cell r="Y19348" t="str">
            <v>JAPAN</v>
          </cell>
        </row>
        <row r="19349">
          <cell r="L19349" t="str">
            <v>Proportional</v>
          </cell>
          <cell r="S19349">
            <v>-9435.4699999999993</v>
          </cell>
          <cell r="X19349" t="str">
            <v>Commissions - gross</v>
          </cell>
          <cell r="Y19349" t="str">
            <v>JAPAN</v>
          </cell>
        </row>
        <row r="19350">
          <cell r="L19350" t="str">
            <v>Proportional</v>
          </cell>
          <cell r="S19350">
            <v>1316.69</v>
          </cell>
          <cell r="X19350" t="str">
            <v>Commissions - gross</v>
          </cell>
          <cell r="Y19350" t="str">
            <v>SWITZERLAND</v>
          </cell>
        </row>
        <row r="19351">
          <cell r="L19351" t="str">
            <v>Proportional</v>
          </cell>
          <cell r="S19351">
            <v>13.31</v>
          </cell>
          <cell r="X19351" t="str">
            <v>Commissions - gross</v>
          </cell>
          <cell r="Y19351" t="str">
            <v>JAPAN</v>
          </cell>
        </row>
        <row r="19352">
          <cell r="L19352" t="str">
            <v>Proportional</v>
          </cell>
          <cell r="S19352">
            <v>278263.15000000002</v>
          </cell>
          <cell r="X19352" t="str">
            <v>Commissions - gross</v>
          </cell>
          <cell r="Y19352" t="str">
            <v>INDIA</v>
          </cell>
        </row>
        <row r="19353">
          <cell r="L19353" t="str">
            <v>Proportional</v>
          </cell>
          <cell r="S19353">
            <v>-45710.06</v>
          </cell>
          <cell r="X19353" t="str">
            <v>Commissions - gross</v>
          </cell>
          <cell r="Y19353" t="str">
            <v>CANADA</v>
          </cell>
        </row>
        <row r="19354">
          <cell r="L19354" t="str">
            <v>Proportional</v>
          </cell>
          <cell r="S19354">
            <v>-413.45</v>
          </cell>
          <cell r="X19354" t="str">
            <v>Commissions - gross</v>
          </cell>
          <cell r="Y19354" t="str">
            <v>SWITZERLAND</v>
          </cell>
        </row>
        <row r="19355">
          <cell r="L19355" t="str">
            <v>Proportional</v>
          </cell>
          <cell r="S19355">
            <v>730.7</v>
          </cell>
          <cell r="X19355" t="str">
            <v>Commissions - gross</v>
          </cell>
          <cell r="Y19355" t="str">
            <v>FRANCE</v>
          </cell>
        </row>
        <row r="19356">
          <cell r="L19356" t="str">
            <v>Proportional</v>
          </cell>
          <cell r="S19356">
            <v>8224.89</v>
          </cell>
          <cell r="X19356" t="str">
            <v>Commissions - gross</v>
          </cell>
          <cell r="Y19356" t="str">
            <v>JAPAN</v>
          </cell>
        </row>
        <row r="19357">
          <cell r="L19357" t="str">
            <v>Proportional</v>
          </cell>
          <cell r="S19357">
            <v>8605.91</v>
          </cell>
          <cell r="X19357" t="str">
            <v>Commissions - gross</v>
          </cell>
          <cell r="Y19357" t="str">
            <v>JAPAN</v>
          </cell>
        </row>
        <row r="19358">
          <cell r="L19358" t="str">
            <v>Proportional</v>
          </cell>
          <cell r="S19358">
            <v>-698.19</v>
          </cell>
          <cell r="X19358" t="str">
            <v>Commissions - gross</v>
          </cell>
          <cell r="Y19358" t="str">
            <v>UNITED STATES</v>
          </cell>
        </row>
        <row r="19359">
          <cell r="L19359" t="str">
            <v>Proportional</v>
          </cell>
          <cell r="S19359">
            <v>-1423.58</v>
          </cell>
          <cell r="X19359" t="str">
            <v>Commissions - gross</v>
          </cell>
          <cell r="Y19359" t="str">
            <v>FRANCE</v>
          </cell>
        </row>
        <row r="19360">
          <cell r="L19360" t="str">
            <v>Proportional</v>
          </cell>
          <cell r="S19360">
            <v>45710.06</v>
          </cell>
          <cell r="X19360" t="str">
            <v>Commissions - gross</v>
          </cell>
          <cell r="Y19360" t="str">
            <v>CANADA</v>
          </cell>
        </row>
        <row r="19361">
          <cell r="L19361" t="str">
            <v>Proportional</v>
          </cell>
          <cell r="S19361">
            <v>413.45</v>
          </cell>
          <cell r="X19361" t="str">
            <v>Commissions - gross</v>
          </cell>
          <cell r="Y19361" t="str">
            <v>SWITZERLAND</v>
          </cell>
        </row>
        <row r="19362">
          <cell r="L19362" t="str">
            <v>Proportional</v>
          </cell>
          <cell r="S19362">
            <v>5754.17</v>
          </cell>
          <cell r="X19362" t="str">
            <v>Commissions - gross</v>
          </cell>
          <cell r="Y19362" t="str">
            <v>CANADA</v>
          </cell>
        </row>
        <row r="19363">
          <cell r="L19363" t="str">
            <v>Proportional</v>
          </cell>
          <cell r="S19363">
            <v>-86506.51</v>
          </cell>
          <cell r="X19363" t="str">
            <v>Commissions - gross</v>
          </cell>
          <cell r="Y19363" t="str">
            <v>MEXICO</v>
          </cell>
        </row>
        <row r="19364">
          <cell r="L19364" t="str">
            <v>Proportional</v>
          </cell>
          <cell r="S19364">
            <v>-785.62</v>
          </cell>
          <cell r="X19364" t="str">
            <v>Commissions - gross</v>
          </cell>
          <cell r="Y19364" t="str">
            <v>UNITED STATES</v>
          </cell>
        </row>
        <row r="19365">
          <cell r="L19365" t="str">
            <v>Proportional</v>
          </cell>
          <cell r="S19365">
            <v>-3481.01</v>
          </cell>
          <cell r="X19365" t="str">
            <v>Commissions - gross</v>
          </cell>
          <cell r="Y19365" t="str">
            <v>UNITED STATES</v>
          </cell>
        </row>
        <row r="19366">
          <cell r="L19366" t="str">
            <v>Proportional</v>
          </cell>
          <cell r="S19366">
            <v>750.61</v>
          </cell>
          <cell r="X19366" t="str">
            <v>Commissions - gross</v>
          </cell>
          <cell r="Y19366" t="str">
            <v>UNITED STATES</v>
          </cell>
        </row>
        <row r="19367">
          <cell r="L19367" t="str">
            <v>Proportional</v>
          </cell>
          <cell r="S19367">
            <v>-151453.09</v>
          </cell>
          <cell r="X19367" t="str">
            <v>Commissions - gross</v>
          </cell>
          <cell r="Y19367" t="str">
            <v>UNITED STATES</v>
          </cell>
        </row>
        <row r="19368">
          <cell r="L19368" t="str">
            <v>Proportional</v>
          </cell>
          <cell r="S19368">
            <v>227418.94</v>
          </cell>
          <cell r="X19368" t="str">
            <v>Commissions - gross</v>
          </cell>
          <cell r="Y19368" t="str">
            <v>SWITZERLAND</v>
          </cell>
        </row>
        <row r="19369">
          <cell r="L19369" t="str">
            <v>Proportional</v>
          </cell>
          <cell r="S19369">
            <v>106.14</v>
          </cell>
          <cell r="X19369" t="str">
            <v>Commissions - gross</v>
          </cell>
          <cell r="Y19369" t="str">
            <v>UNITED STATES</v>
          </cell>
        </row>
        <row r="19370">
          <cell r="L19370" t="str">
            <v>Proportional</v>
          </cell>
          <cell r="S19370">
            <v>-38518.71</v>
          </cell>
          <cell r="X19370" t="str">
            <v>Commissions - gross</v>
          </cell>
          <cell r="Y19370" t="str">
            <v>UNITED STATES</v>
          </cell>
        </row>
        <row r="19371">
          <cell r="L19371" t="str">
            <v>Non-proportional</v>
          </cell>
          <cell r="S19371">
            <v>2033.23</v>
          </cell>
          <cell r="X19371" t="str">
            <v>Commissions - gross</v>
          </cell>
          <cell r="Y19371" t="str">
            <v>PUERTO RICO</v>
          </cell>
        </row>
        <row r="19372">
          <cell r="L19372" t="str">
            <v>Proportional</v>
          </cell>
          <cell r="S19372">
            <v>-698.88</v>
          </cell>
          <cell r="X19372" t="str">
            <v>Commissions - gross</v>
          </cell>
          <cell r="Y19372" t="str">
            <v>UNITED STATES</v>
          </cell>
        </row>
        <row r="19373">
          <cell r="L19373" t="str">
            <v>Proportional</v>
          </cell>
          <cell r="S19373">
            <v>-358.43</v>
          </cell>
          <cell r="X19373" t="str">
            <v>Commissions - gross</v>
          </cell>
          <cell r="Y19373" t="str">
            <v>UNITED STATES</v>
          </cell>
        </row>
        <row r="19374">
          <cell r="L19374" t="str">
            <v>Non-proportional</v>
          </cell>
          <cell r="S19374">
            <v>2726.37</v>
          </cell>
          <cell r="X19374" t="str">
            <v>Commissions - gross</v>
          </cell>
          <cell r="Y19374" t="str">
            <v>PUERTO RICO</v>
          </cell>
        </row>
        <row r="19375">
          <cell r="L19375" t="str">
            <v>Proportional</v>
          </cell>
          <cell r="S19375">
            <v>52084.43</v>
          </cell>
          <cell r="X19375" t="str">
            <v>Commissions - gross</v>
          </cell>
          <cell r="Y19375" t="str">
            <v>UNITED STATES</v>
          </cell>
        </row>
        <row r="19376">
          <cell r="L19376" t="str">
            <v>Proportional</v>
          </cell>
          <cell r="S19376">
            <v>146.96</v>
          </cell>
          <cell r="X19376" t="str">
            <v>Commissions - gross</v>
          </cell>
          <cell r="Y19376" t="str">
            <v>UNITED STATES</v>
          </cell>
        </row>
        <row r="19377">
          <cell r="L19377" t="str">
            <v>Proportional</v>
          </cell>
          <cell r="S19377">
            <v>360.88</v>
          </cell>
          <cell r="X19377" t="str">
            <v>Commissions - gross</v>
          </cell>
          <cell r="Y19377" t="str">
            <v>UNITED STATES</v>
          </cell>
        </row>
        <row r="19378">
          <cell r="L19378" t="str">
            <v>Proportional</v>
          </cell>
          <cell r="S19378">
            <v>1708.28</v>
          </cell>
          <cell r="X19378" t="str">
            <v>Commissions - gross</v>
          </cell>
          <cell r="Y19378" t="str">
            <v>UNITED STATES</v>
          </cell>
        </row>
        <row r="19379">
          <cell r="L19379" t="str">
            <v>Non-proportional</v>
          </cell>
          <cell r="S19379">
            <v>-3290.06</v>
          </cell>
          <cell r="X19379" t="str">
            <v>Commissions - gross</v>
          </cell>
          <cell r="Y19379" t="str">
            <v>PUERTO RICO</v>
          </cell>
        </row>
        <row r="19380">
          <cell r="L19380" t="str">
            <v>Proportional</v>
          </cell>
          <cell r="S19380">
            <v>-18135.189999999999</v>
          </cell>
          <cell r="X19380" t="str">
            <v>Commissions - gross</v>
          </cell>
          <cell r="Y19380" t="str">
            <v>INDIA</v>
          </cell>
        </row>
        <row r="19381">
          <cell r="L19381" t="str">
            <v>Proportional</v>
          </cell>
          <cell r="S19381">
            <v>713.25</v>
          </cell>
          <cell r="X19381" t="str">
            <v>Commissions - gross</v>
          </cell>
          <cell r="Y19381" t="str">
            <v>UNITED STATES</v>
          </cell>
        </row>
        <row r="19382">
          <cell r="L19382" t="str">
            <v>Proportional</v>
          </cell>
          <cell r="S19382">
            <v>-2118.3000000000002</v>
          </cell>
          <cell r="X19382" t="str">
            <v>Commissions - gross</v>
          </cell>
          <cell r="Y19382" t="str">
            <v>SWITZERLAND</v>
          </cell>
        </row>
        <row r="19383">
          <cell r="L19383" t="str">
            <v>Proportional</v>
          </cell>
          <cell r="S19383">
            <v>-2590.5500000000002</v>
          </cell>
          <cell r="X19383" t="str">
            <v>Commissions - gross</v>
          </cell>
          <cell r="Y19383" t="str">
            <v>SWITZERLAND</v>
          </cell>
        </row>
        <row r="19384">
          <cell r="L19384" t="str">
            <v>Proportional</v>
          </cell>
          <cell r="S19384">
            <v>-2248387.0699999998</v>
          </cell>
          <cell r="X19384" t="str">
            <v>Commissions - gross</v>
          </cell>
          <cell r="Y19384" t="str">
            <v>ITALY</v>
          </cell>
        </row>
        <row r="19385">
          <cell r="L19385" t="str">
            <v>Proportional</v>
          </cell>
          <cell r="S19385">
            <v>-735.21</v>
          </cell>
          <cell r="X19385" t="str">
            <v>Commissions - gross</v>
          </cell>
          <cell r="Y19385" t="str">
            <v>UNITED STATES</v>
          </cell>
        </row>
        <row r="19386">
          <cell r="L19386" t="str">
            <v>Non-proportional</v>
          </cell>
          <cell r="S19386">
            <v>3119.16</v>
          </cell>
          <cell r="X19386" t="str">
            <v>Commissions - gross</v>
          </cell>
          <cell r="Y19386" t="str">
            <v>PUERTO RICO</v>
          </cell>
        </row>
        <row r="19387">
          <cell r="L19387" t="str">
            <v>Proportional</v>
          </cell>
          <cell r="S19387">
            <v>-22.37</v>
          </cell>
          <cell r="X19387" t="str">
            <v>Commissions - gross</v>
          </cell>
          <cell r="Y19387" t="str">
            <v>UNITED STATES</v>
          </cell>
        </row>
        <row r="19388">
          <cell r="L19388" t="str">
            <v>Proportional</v>
          </cell>
          <cell r="S19388">
            <v>573.23</v>
          </cell>
          <cell r="X19388" t="str">
            <v>Commissions - gross</v>
          </cell>
          <cell r="Y19388" t="str">
            <v>UNITED STATES</v>
          </cell>
        </row>
        <row r="19389">
          <cell r="L19389" t="str">
            <v>Proportional</v>
          </cell>
          <cell r="S19389">
            <v>600000</v>
          </cell>
          <cell r="X19389" t="str">
            <v>Commissions - gross</v>
          </cell>
          <cell r="Y19389" t="str">
            <v>ITALY</v>
          </cell>
        </row>
        <row r="19390">
          <cell r="L19390" t="str">
            <v>Proportional</v>
          </cell>
          <cell r="S19390">
            <v>-1673.18</v>
          </cell>
          <cell r="X19390" t="str">
            <v>Commissions - gross</v>
          </cell>
          <cell r="Y19390" t="str">
            <v>UNITED STATES</v>
          </cell>
        </row>
        <row r="19391">
          <cell r="L19391" t="str">
            <v>Non-proportional</v>
          </cell>
          <cell r="S19391">
            <v>-3119.16</v>
          </cell>
          <cell r="X19391" t="str">
            <v>Commissions - gross</v>
          </cell>
          <cell r="Y19391" t="str">
            <v>PUERTO RICO</v>
          </cell>
        </row>
        <row r="19392">
          <cell r="L19392" t="str">
            <v>Proportional</v>
          </cell>
          <cell r="S19392">
            <v>-1708.28</v>
          </cell>
          <cell r="X19392" t="str">
            <v>Commissions - gross</v>
          </cell>
          <cell r="Y19392" t="str">
            <v>UNITED STATES</v>
          </cell>
        </row>
        <row r="19393">
          <cell r="L19393" t="str">
            <v>Proportional</v>
          </cell>
          <cell r="S19393">
            <v>225000</v>
          </cell>
          <cell r="X19393" t="str">
            <v>Commissions - gross</v>
          </cell>
          <cell r="Y19393" t="str">
            <v>ITALY</v>
          </cell>
        </row>
        <row r="19394">
          <cell r="L19394" t="str">
            <v>Proportional</v>
          </cell>
          <cell r="S19394">
            <v>-45442.47</v>
          </cell>
          <cell r="X19394" t="str">
            <v>Commissions - gross</v>
          </cell>
          <cell r="Y19394" t="str">
            <v>UNITED STATES</v>
          </cell>
        </row>
        <row r="19395">
          <cell r="L19395" t="str">
            <v>Proportional</v>
          </cell>
          <cell r="S19395">
            <v>2590.5500000000002</v>
          </cell>
          <cell r="X19395" t="str">
            <v>Commissions - gross</v>
          </cell>
          <cell r="Y19395" t="str">
            <v>SWITZERLAND</v>
          </cell>
        </row>
        <row r="19396">
          <cell r="L19396" t="str">
            <v>Proportional</v>
          </cell>
          <cell r="S19396">
            <v>2021.5</v>
          </cell>
          <cell r="X19396" t="str">
            <v>Commissions - gross</v>
          </cell>
          <cell r="Y19396" t="str">
            <v>UNITED STATES</v>
          </cell>
        </row>
        <row r="19397">
          <cell r="L19397" t="str">
            <v>Proportional</v>
          </cell>
          <cell r="S19397">
            <v>41619.47</v>
          </cell>
          <cell r="X19397" t="str">
            <v>Commissions - gross</v>
          </cell>
          <cell r="Y19397" t="str">
            <v>UNITED STATES</v>
          </cell>
        </row>
        <row r="19398">
          <cell r="L19398" t="str">
            <v>Proportional</v>
          </cell>
          <cell r="S19398">
            <v>-225000</v>
          </cell>
          <cell r="X19398" t="str">
            <v>Commissions - gross</v>
          </cell>
          <cell r="Y19398" t="str">
            <v>ITALY</v>
          </cell>
        </row>
        <row r="19399">
          <cell r="L19399" t="str">
            <v>Proportional</v>
          </cell>
          <cell r="S19399">
            <v>1673.18</v>
          </cell>
          <cell r="X19399" t="str">
            <v>Commissions - gross</v>
          </cell>
          <cell r="Y19399" t="str">
            <v>UNITED STATES</v>
          </cell>
        </row>
        <row r="19400">
          <cell r="L19400" t="str">
            <v>Proportional</v>
          </cell>
          <cell r="S19400">
            <v>-106.14</v>
          </cell>
          <cell r="X19400" t="str">
            <v>Commissions - gross</v>
          </cell>
          <cell r="Y19400" t="str">
            <v>UNITED STATES</v>
          </cell>
        </row>
        <row r="19401">
          <cell r="L19401" t="str">
            <v>Proportional</v>
          </cell>
          <cell r="S19401">
            <v>151453.09</v>
          </cell>
          <cell r="X19401" t="str">
            <v>Commissions - gross</v>
          </cell>
          <cell r="Y19401" t="str">
            <v>UNITED STATES</v>
          </cell>
        </row>
        <row r="19402">
          <cell r="L19402" t="str">
            <v>Proportional</v>
          </cell>
          <cell r="S19402">
            <v>-2007.76</v>
          </cell>
          <cell r="X19402" t="str">
            <v>Commissions - gross</v>
          </cell>
          <cell r="Y19402" t="str">
            <v>UNITED STATES</v>
          </cell>
        </row>
        <row r="19403">
          <cell r="L19403" t="str">
            <v>Proportional</v>
          </cell>
          <cell r="S19403">
            <v>1320.54</v>
          </cell>
          <cell r="X19403" t="str">
            <v>Commissions - gross</v>
          </cell>
          <cell r="Y19403" t="str">
            <v>SWITZERLAND</v>
          </cell>
        </row>
        <row r="19404">
          <cell r="L19404" t="str">
            <v>Proportional</v>
          </cell>
          <cell r="S19404">
            <v>2162.6799999999998</v>
          </cell>
          <cell r="X19404" t="str">
            <v>Commissions - gross</v>
          </cell>
          <cell r="Y19404" t="str">
            <v>SWITZERLAND</v>
          </cell>
        </row>
        <row r="19405">
          <cell r="L19405" t="str">
            <v>Proportional</v>
          </cell>
          <cell r="S19405">
            <v>-569.33000000000004</v>
          </cell>
          <cell r="X19405" t="str">
            <v>Commissions - gross</v>
          </cell>
          <cell r="Y19405" t="str">
            <v>UNITED STATES</v>
          </cell>
        </row>
        <row r="19406">
          <cell r="L19406" t="str">
            <v>Proportional</v>
          </cell>
          <cell r="S19406">
            <v>-42303.1</v>
          </cell>
          <cell r="X19406" t="str">
            <v>Commissions - gross</v>
          </cell>
          <cell r="Y19406" t="str">
            <v>UNITED STATES</v>
          </cell>
        </row>
        <row r="19407">
          <cell r="L19407" t="str">
            <v>Proportional</v>
          </cell>
          <cell r="S19407">
            <v>1673.18</v>
          </cell>
          <cell r="X19407" t="str">
            <v>Commissions - gross</v>
          </cell>
          <cell r="Y19407" t="str">
            <v>UNITED STATES</v>
          </cell>
        </row>
        <row r="19408">
          <cell r="L19408" t="str">
            <v>Proportional</v>
          </cell>
          <cell r="S19408">
            <v>-289417.88</v>
          </cell>
          <cell r="X19408" t="str">
            <v>Commissions - gross</v>
          </cell>
          <cell r="Y19408" t="str">
            <v>SWITZERLAND</v>
          </cell>
        </row>
        <row r="19409">
          <cell r="L19409" t="str">
            <v>Proportional</v>
          </cell>
          <cell r="S19409">
            <v>-317.45999999999998</v>
          </cell>
          <cell r="X19409" t="str">
            <v>Commissions - gross</v>
          </cell>
          <cell r="Y19409" t="str">
            <v>UNITED STATES</v>
          </cell>
        </row>
        <row r="19410">
          <cell r="L19410" t="str">
            <v>Proportional</v>
          </cell>
          <cell r="S19410">
            <v>-573.23</v>
          </cell>
          <cell r="X19410" t="str">
            <v>Commissions - gross</v>
          </cell>
          <cell r="Y19410" t="str">
            <v>UNITED STATES</v>
          </cell>
        </row>
        <row r="19411">
          <cell r="L19411" t="str">
            <v>Proportional</v>
          </cell>
          <cell r="S19411">
            <v>-1708.28</v>
          </cell>
          <cell r="X19411" t="str">
            <v>Commissions - gross</v>
          </cell>
          <cell r="Y19411" t="str">
            <v>UNITED STATES</v>
          </cell>
        </row>
        <row r="19412">
          <cell r="L19412" t="str">
            <v>Proportional</v>
          </cell>
          <cell r="S19412">
            <v>54702.22</v>
          </cell>
          <cell r="X19412" t="str">
            <v>Commissions - gross</v>
          </cell>
          <cell r="Y19412" t="str">
            <v>UNITED STATES</v>
          </cell>
        </row>
        <row r="19413">
          <cell r="L19413" t="str">
            <v>Proportional</v>
          </cell>
          <cell r="S19413">
            <v>569.33000000000004</v>
          </cell>
          <cell r="X19413" t="str">
            <v>Commissions - gross</v>
          </cell>
          <cell r="Y19413" t="str">
            <v>UNITED STATES</v>
          </cell>
        </row>
        <row r="19414">
          <cell r="L19414" t="str">
            <v>Proportional</v>
          </cell>
          <cell r="S19414">
            <v>-2913.61</v>
          </cell>
          <cell r="X19414" t="str">
            <v>Commissions - gross</v>
          </cell>
          <cell r="Y19414" t="str">
            <v>SWITZERLAND</v>
          </cell>
        </row>
        <row r="19415">
          <cell r="L19415" t="str">
            <v>Proportional</v>
          </cell>
          <cell r="S19415">
            <v>3504.82</v>
          </cell>
          <cell r="X19415" t="str">
            <v>Commissions - gross</v>
          </cell>
          <cell r="Y19415" t="str">
            <v>UNITED STATES</v>
          </cell>
        </row>
        <row r="19416">
          <cell r="L19416" t="str">
            <v>Non-proportional</v>
          </cell>
          <cell r="S19416">
            <v>3292.44</v>
          </cell>
          <cell r="X19416" t="str">
            <v>Commissions - gross</v>
          </cell>
          <cell r="Y19416" t="str">
            <v>PUERTO RICO</v>
          </cell>
        </row>
        <row r="19417">
          <cell r="L19417" t="str">
            <v>Proportional</v>
          </cell>
          <cell r="S19417">
            <v>324.11</v>
          </cell>
          <cell r="X19417" t="str">
            <v>Commissions - gross</v>
          </cell>
          <cell r="Y19417" t="str">
            <v>UNITED STATES</v>
          </cell>
        </row>
        <row r="19418">
          <cell r="L19418" t="str">
            <v>Proportional</v>
          </cell>
          <cell r="S19418">
            <v>-3.07</v>
          </cell>
          <cell r="X19418" t="str">
            <v>Commissions - gross</v>
          </cell>
          <cell r="Y19418" t="str">
            <v>UNITED STATES</v>
          </cell>
        </row>
        <row r="19419">
          <cell r="L19419" t="str">
            <v>Proportional</v>
          </cell>
          <cell r="S19419">
            <v>45442.47</v>
          </cell>
          <cell r="X19419" t="str">
            <v>Commissions - gross</v>
          </cell>
          <cell r="Y19419" t="str">
            <v>UNITED STATES</v>
          </cell>
        </row>
        <row r="19420">
          <cell r="L19420" t="str">
            <v>Proportional</v>
          </cell>
          <cell r="S19420">
            <v>38518.71</v>
          </cell>
          <cell r="X19420" t="str">
            <v>Commissions - gross</v>
          </cell>
          <cell r="Y19420" t="str">
            <v>UNITED STATES</v>
          </cell>
        </row>
        <row r="19421">
          <cell r="L19421" t="str">
            <v>Non-proportional</v>
          </cell>
          <cell r="S19421">
            <v>-2033.23</v>
          </cell>
          <cell r="X19421" t="str">
            <v>Commissions - gross</v>
          </cell>
          <cell r="Y19421" t="str">
            <v>PUERTO RICO</v>
          </cell>
        </row>
        <row r="19422">
          <cell r="L19422" t="str">
            <v>Proportional</v>
          </cell>
          <cell r="S19422">
            <v>-41619.47</v>
          </cell>
          <cell r="X19422" t="str">
            <v>Commissions - gross</v>
          </cell>
          <cell r="Y19422" t="str">
            <v>UNITED STATES</v>
          </cell>
        </row>
        <row r="19423">
          <cell r="L19423" t="str">
            <v>Proportional</v>
          </cell>
          <cell r="S19423">
            <v>2974.67</v>
          </cell>
          <cell r="X19423" t="str">
            <v>Commissions - gross</v>
          </cell>
          <cell r="Y19423" t="str">
            <v>SWITZERLAND</v>
          </cell>
        </row>
        <row r="19424">
          <cell r="L19424" t="str">
            <v>Proportional</v>
          </cell>
          <cell r="S19424">
            <v>-1316.69</v>
          </cell>
          <cell r="X19424" t="str">
            <v>Commissions - gross</v>
          </cell>
          <cell r="Y19424" t="str">
            <v>SWITZERLAND</v>
          </cell>
        </row>
        <row r="19425">
          <cell r="L19425" t="str">
            <v>Proportional</v>
          </cell>
          <cell r="S19425">
            <v>573.23</v>
          </cell>
          <cell r="X19425" t="str">
            <v>Commissions - gross</v>
          </cell>
          <cell r="Y19425" t="str">
            <v>UNITED STATES</v>
          </cell>
        </row>
        <row r="19426">
          <cell r="L19426" t="str">
            <v>Proportional</v>
          </cell>
          <cell r="S19426">
            <v>76.06</v>
          </cell>
          <cell r="X19426" t="str">
            <v>Commissions - gross</v>
          </cell>
          <cell r="Y19426" t="str">
            <v>UNITED STATES</v>
          </cell>
        </row>
        <row r="19427">
          <cell r="L19427" t="str">
            <v>Proportional</v>
          </cell>
          <cell r="S19427">
            <v>18135.189999999999</v>
          </cell>
          <cell r="X19427" t="str">
            <v>Commissions - gross</v>
          </cell>
          <cell r="Y19427" t="str">
            <v>INDIA</v>
          </cell>
        </row>
        <row r="19428">
          <cell r="L19428" t="str">
            <v>Proportional</v>
          </cell>
          <cell r="S19428">
            <v>144.47</v>
          </cell>
          <cell r="X19428" t="str">
            <v>Commissions - gross</v>
          </cell>
          <cell r="Y19428" t="str">
            <v>UNITED STATES</v>
          </cell>
        </row>
        <row r="19429">
          <cell r="L19429" t="str">
            <v>Proportional</v>
          </cell>
          <cell r="S19429">
            <v>-52084.43</v>
          </cell>
          <cell r="X19429" t="str">
            <v>Commissions - gross</v>
          </cell>
          <cell r="Y19429" t="str">
            <v>UNITED STATES</v>
          </cell>
        </row>
        <row r="19430">
          <cell r="L19430" t="str">
            <v>Proportional</v>
          </cell>
          <cell r="S19430">
            <v>3.01</v>
          </cell>
          <cell r="X19430" t="str">
            <v>Commissions - gross</v>
          </cell>
          <cell r="Y19430" t="str">
            <v>UNITED STATES</v>
          </cell>
        </row>
        <row r="19431">
          <cell r="L19431" t="str">
            <v>Proportional</v>
          </cell>
          <cell r="S19431">
            <v>-569.33000000000004</v>
          </cell>
          <cell r="X19431" t="str">
            <v>Commissions - gross</v>
          </cell>
          <cell r="Y19431" t="str">
            <v>UNITED STATES</v>
          </cell>
        </row>
        <row r="19432">
          <cell r="L19432" t="str">
            <v>Proportional</v>
          </cell>
          <cell r="S19432">
            <v>22.37</v>
          </cell>
          <cell r="X19432" t="str">
            <v>Commissions - gross</v>
          </cell>
          <cell r="Y19432" t="str">
            <v>UNITED STATES</v>
          </cell>
        </row>
        <row r="19433">
          <cell r="L19433" t="str">
            <v>Non-proportional</v>
          </cell>
          <cell r="S19433">
            <v>-2725.43</v>
          </cell>
          <cell r="X19433" t="str">
            <v>Commissions - gross</v>
          </cell>
          <cell r="Y19433" t="str">
            <v>PUERTO RICO</v>
          </cell>
        </row>
        <row r="19434">
          <cell r="L19434" t="str">
            <v>Proportional</v>
          </cell>
          <cell r="S19434">
            <v>3883.89</v>
          </cell>
          <cell r="X19434" t="str">
            <v>Commissions - gross</v>
          </cell>
          <cell r="Y19434" t="str">
            <v>MEXICO</v>
          </cell>
        </row>
        <row r="19435">
          <cell r="L19435" t="str">
            <v>Proportional</v>
          </cell>
          <cell r="S19435">
            <v>77258.95</v>
          </cell>
          <cell r="X19435" t="str">
            <v>Commissions - gross</v>
          </cell>
          <cell r="Y19435" t="str">
            <v>JAPAN</v>
          </cell>
        </row>
        <row r="19436">
          <cell r="L19436" t="str">
            <v>Proportional</v>
          </cell>
          <cell r="S19436">
            <v>3883.89</v>
          </cell>
          <cell r="X19436" t="str">
            <v>Commissions - gross</v>
          </cell>
          <cell r="Y19436" t="str">
            <v>MEXICO</v>
          </cell>
        </row>
        <row r="19437">
          <cell r="L19437" t="str">
            <v>Proportional</v>
          </cell>
          <cell r="S19437">
            <v>1817.5</v>
          </cell>
          <cell r="X19437" t="str">
            <v>Commissions - gross</v>
          </cell>
          <cell r="Y19437" t="str">
            <v>HONG KONG</v>
          </cell>
        </row>
        <row r="19438">
          <cell r="L19438" t="str">
            <v>Proportional</v>
          </cell>
          <cell r="S19438">
            <v>10711.83</v>
          </cell>
          <cell r="X19438" t="str">
            <v>Commissions - gross</v>
          </cell>
          <cell r="Y19438" t="str">
            <v>HONG KONG</v>
          </cell>
        </row>
        <row r="19439">
          <cell r="L19439" t="str">
            <v>Proportional</v>
          </cell>
          <cell r="S19439">
            <v>14903.42</v>
          </cell>
          <cell r="X19439" t="str">
            <v>Commissions - gross</v>
          </cell>
          <cell r="Y19439" t="str">
            <v>HONG KONG</v>
          </cell>
        </row>
        <row r="19440">
          <cell r="L19440" t="str">
            <v>Proportional</v>
          </cell>
          <cell r="S19440">
            <v>-72462.48</v>
          </cell>
          <cell r="X19440" t="str">
            <v>Commissions - gross</v>
          </cell>
          <cell r="Y19440" t="str">
            <v>HONG KONG</v>
          </cell>
        </row>
        <row r="19441">
          <cell r="L19441" t="str">
            <v>Proportional</v>
          </cell>
          <cell r="S19441">
            <v>28.53</v>
          </cell>
          <cell r="X19441" t="str">
            <v>Commissions - gross</v>
          </cell>
          <cell r="Y19441" t="str">
            <v>Hong Kong</v>
          </cell>
        </row>
        <row r="19442">
          <cell r="L19442" t="str">
            <v>Proportional</v>
          </cell>
          <cell r="S19442">
            <v>-3883.89</v>
          </cell>
          <cell r="X19442" t="str">
            <v>Commissions - gross</v>
          </cell>
          <cell r="Y19442" t="str">
            <v>MEXICO</v>
          </cell>
        </row>
        <row r="19443">
          <cell r="L19443" t="str">
            <v>Proportional</v>
          </cell>
          <cell r="S19443">
            <v>72462.48</v>
          </cell>
          <cell r="X19443" t="str">
            <v>Commissions - gross</v>
          </cell>
          <cell r="Y19443" t="str">
            <v>HONG KONG</v>
          </cell>
        </row>
        <row r="19444">
          <cell r="L19444" t="str">
            <v>Proportional</v>
          </cell>
          <cell r="S19444">
            <v>-14902.42</v>
          </cell>
          <cell r="X19444" t="str">
            <v>Commissions - gross</v>
          </cell>
          <cell r="Y19444" t="str">
            <v>HONG KONG</v>
          </cell>
        </row>
        <row r="19445">
          <cell r="L19445" t="str">
            <v>Non-proportional</v>
          </cell>
          <cell r="S19445">
            <v>690.44</v>
          </cell>
          <cell r="X19445" t="str">
            <v>Commissions - gross</v>
          </cell>
          <cell r="Y19445" t="str">
            <v>CZECH REPUBLIC</v>
          </cell>
        </row>
        <row r="19446">
          <cell r="L19446" t="str">
            <v>Proportional</v>
          </cell>
          <cell r="S19446">
            <v>93954.41</v>
          </cell>
          <cell r="X19446" t="str">
            <v>Commissions - gross</v>
          </cell>
          <cell r="Y19446" t="str">
            <v>HONG KONG</v>
          </cell>
        </row>
        <row r="19447">
          <cell r="L19447" t="str">
            <v>Proportional</v>
          </cell>
          <cell r="S19447">
            <v>-275000</v>
          </cell>
          <cell r="X19447" t="str">
            <v>Commissions - gross</v>
          </cell>
          <cell r="Y19447" t="str">
            <v>ITALY</v>
          </cell>
        </row>
        <row r="19448">
          <cell r="L19448" t="str">
            <v>Proportional</v>
          </cell>
          <cell r="S19448">
            <v>-1817.5</v>
          </cell>
          <cell r="X19448" t="str">
            <v>Commissions - gross</v>
          </cell>
          <cell r="Y19448" t="str">
            <v>HONG KONG</v>
          </cell>
        </row>
        <row r="19449">
          <cell r="L19449" t="str">
            <v>Proportional</v>
          </cell>
          <cell r="S19449">
            <v>15233.15</v>
          </cell>
          <cell r="X19449" t="str">
            <v>Commissions - gross</v>
          </cell>
          <cell r="Y19449" t="str">
            <v>JAPAN</v>
          </cell>
        </row>
        <row r="19450">
          <cell r="L19450" t="str">
            <v>Proportional</v>
          </cell>
          <cell r="S19450">
            <v>-321.82</v>
          </cell>
          <cell r="X19450" t="str">
            <v>Commissions - gross</v>
          </cell>
          <cell r="Y19450" t="str">
            <v>UNITED STATES</v>
          </cell>
        </row>
        <row r="19451">
          <cell r="L19451" t="str">
            <v>Non-proportional</v>
          </cell>
          <cell r="S19451">
            <v>-451.47</v>
          </cell>
          <cell r="X19451" t="str">
            <v>Commissions - gross</v>
          </cell>
          <cell r="Y19451" t="str">
            <v>CZECH REPUBLIC</v>
          </cell>
        </row>
        <row r="19452">
          <cell r="L19452" t="str">
            <v>Non-proportional</v>
          </cell>
          <cell r="S19452">
            <v>-572.02</v>
          </cell>
          <cell r="X19452" t="str">
            <v>Commissions - gross</v>
          </cell>
          <cell r="Y19452" t="str">
            <v>CZECH REPUBLIC</v>
          </cell>
        </row>
        <row r="19453">
          <cell r="L19453" t="str">
            <v>Proportional</v>
          </cell>
          <cell r="S19453">
            <v>325000</v>
          </cell>
          <cell r="X19453" t="str">
            <v>Commissions - gross</v>
          </cell>
          <cell r="Y19453" t="str">
            <v>ITALY</v>
          </cell>
        </row>
        <row r="19454">
          <cell r="L19454" t="str">
            <v>Proportional</v>
          </cell>
          <cell r="S19454">
            <v>-45066.27</v>
          </cell>
          <cell r="X19454" t="str">
            <v>Commissions - gross</v>
          </cell>
          <cell r="Y19454" t="str">
            <v>MEXICO</v>
          </cell>
        </row>
        <row r="19455">
          <cell r="L19455" t="str">
            <v>Proportional</v>
          </cell>
          <cell r="S19455">
            <v>253.82</v>
          </cell>
          <cell r="X19455" t="str">
            <v>Commissions - gross</v>
          </cell>
          <cell r="Y19455" t="str">
            <v>JAPAN</v>
          </cell>
        </row>
        <row r="19456">
          <cell r="L19456" t="str">
            <v>Proportional</v>
          </cell>
          <cell r="S19456">
            <v>275000</v>
          </cell>
          <cell r="X19456" t="str">
            <v>Commissions - gross</v>
          </cell>
          <cell r="Y19456" t="str">
            <v>ITALY</v>
          </cell>
        </row>
        <row r="19457">
          <cell r="L19457" t="str">
            <v>Proportional</v>
          </cell>
          <cell r="S19457">
            <v>-10711.83</v>
          </cell>
          <cell r="X19457" t="str">
            <v>Commissions - gross</v>
          </cell>
          <cell r="Y19457" t="str">
            <v>HONG KONG</v>
          </cell>
        </row>
        <row r="19458">
          <cell r="L19458" t="str">
            <v>Proportional</v>
          </cell>
          <cell r="S19458">
            <v>-77258.95</v>
          </cell>
          <cell r="X19458" t="str">
            <v>Commissions - gross</v>
          </cell>
          <cell r="Y19458" t="str">
            <v>JAPAN</v>
          </cell>
        </row>
        <row r="19459">
          <cell r="L19459" t="str">
            <v>Non-proportional</v>
          </cell>
          <cell r="S19459">
            <v>544.92999999999995</v>
          </cell>
          <cell r="X19459" t="str">
            <v>Commissions - gross</v>
          </cell>
          <cell r="Y19459" t="str">
            <v>CZECH REPUBLIC</v>
          </cell>
        </row>
        <row r="19460">
          <cell r="L19460" t="str">
            <v>Proportional</v>
          </cell>
          <cell r="S19460">
            <v>-15233.15</v>
          </cell>
          <cell r="X19460" t="str">
            <v>Commissions - gross</v>
          </cell>
          <cell r="Y19460" t="str">
            <v>JAPAN</v>
          </cell>
        </row>
        <row r="19461">
          <cell r="L19461" t="str">
            <v>Proportional</v>
          </cell>
          <cell r="S19461">
            <v>3883.89</v>
          </cell>
          <cell r="X19461" t="str">
            <v>Commissions - gross</v>
          </cell>
          <cell r="Y19461" t="str">
            <v>MEXICO</v>
          </cell>
        </row>
        <row r="19462">
          <cell r="L19462" t="str">
            <v>Proportional</v>
          </cell>
          <cell r="S19462">
            <v>40.22</v>
          </cell>
          <cell r="X19462" t="str">
            <v>Commissions - gross</v>
          </cell>
          <cell r="Y19462" t="str">
            <v>Hong Kong</v>
          </cell>
        </row>
        <row r="19463">
          <cell r="L19463" t="str">
            <v>Proportional</v>
          </cell>
          <cell r="S19463">
            <v>324.11</v>
          </cell>
          <cell r="X19463" t="str">
            <v>Commissions - gross</v>
          </cell>
          <cell r="Y19463" t="str">
            <v>UNITED STATES</v>
          </cell>
        </row>
        <row r="19464">
          <cell r="L19464" t="str">
            <v>Proportional</v>
          </cell>
          <cell r="S19464">
            <v>150.63999999999999</v>
          </cell>
          <cell r="X19464" t="str">
            <v>Commissions - gross</v>
          </cell>
          <cell r="Y19464" t="str">
            <v>Hong Kong</v>
          </cell>
        </row>
        <row r="19465">
          <cell r="L19465" t="str">
            <v>Proportional</v>
          </cell>
          <cell r="S19465">
            <v>-3883.89</v>
          </cell>
          <cell r="X19465" t="str">
            <v>Commissions - gross</v>
          </cell>
          <cell r="Y19465" t="str">
            <v>MEXICO</v>
          </cell>
        </row>
        <row r="19466">
          <cell r="L19466" t="str">
            <v>Proportional</v>
          </cell>
          <cell r="S19466">
            <v>15229.33</v>
          </cell>
          <cell r="X19466" t="str">
            <v>Commissions - gross</v>
          </cell>
          <cell r="Y19466" t="str">
            <v>JAPAN</v>
          </cell>
        </row>
        <row r="19467">
          <cell r="L19467" t="str">
            <v>Proportional</v>
          </cell>
          <cell r="S19467">
            <v>-3883.89</v>
          </cell>
          <cell r="X19467" t="str">
            <v>Commissions - gross</v>
          </cell>
          <cell r="Y19467" t="str">
            <v>MEXICO</v>
          </cell>
        </row>
        <row r="19468">
          <cell r="L19468" t="str">
            <v>Proportional</v>
          </cell>
          <cell r="S19468">
            <v>27187.08</v>
          </cell>
          <cell r="X19468" t="str">
            <v>Commissions - gross</v>
          </cell>
          <cell r="Y19468" t="str">
            <v>JAPAN</v>
          </cell>
        </row>
        <row r="19469">
          <cell r="L19469" t="str">
            <v>Proportional</v>
          </cell>
          <cell r="S19469">
            <v>0.66</v>
          </cell>
          <cell r="X19469" t="str">
            <v>Commissions - gross</v>
          </cell>
          <cell r="Y19469" t="str">
            <v>Malaysia</v>
          </cell>
        </row>
        <row r="19470">
          <cell r="L19470" t="str">
            <v>Proportional</v>
          </cell>
          <cell r="S19470">
            <v>-2224.31</v>
          </cell>
          <cell r="X19470" t="str">
            <v>Commissions - gross</v>
          </cell>
          <cell r="Y19470" t="str">
            <v>JAPAN</v>
          </cell>
        </row>
        <row r="19471">
          <cell r="L19471" t="str">
            <v>Proportional</v>
          </cell>
          <cell r="S19471">
            <v>-6946.38</v>
          </cell>
          <cell r="X19471" t="str">
            <v>Commissions - gross</v>
          </cell>
          <cell r="Y19471" t="str">
            <v>MEXICO</v>
          </cell>
        </row>
        <row r="19472">
          <cell r="L19472" t="str">
            <v>Proportional</v>
          </cell>
          <cell r="S19472">
            <v>1864.21</v>
          </cell>
          <cell r="X19472" t="str">
            <v>Commissions - gross</v>
          </cell>
          <cell r="Y19472" t="str">
            <v>JAPAN</v>
          </cell>
        </row>
        <row r="19473">
          <cell r="L19473" t="str">
            <v>Proportional</v>
          </cell>
          <cell r="S19473">
            <v>1911.36</v>
          </cell>
          <cell r="X19473" t="str">
            <v>Commissions - gross</v>
          </cell>
          <cell r="Y19473" t="str">
            <v>FRANCE</v>
          </cell>
        </row>
        <row r="19474">
          <cell r="L19474" t="str">
            <v>Proportional</v>
          </cell>
          <cell r="S19474">
            <v>-6215.14</v>
          </cell>
          <cell r="X19474" t="str">
            <v>Commissions - gross</v>
          </cell>
          <cell r="Y19474" t="str">
            <v>MEXICO</v>
          </cell>
        </row>
        <row r="19475">
          <cell r="L19475" t="str">
            <v>Proportional</v>
          </cell>
          <cell r="S19475">
            <v>2926.8</v>
          </cell>
          <cell r="X19475" t="str">
            <v>Commissions - gross</v>
          </cell>
          <cell r="Y19475" t="str">
            <v>MEXICO</v>
          </cell>
        </row>
        <row r="19476">
          <cell r="L19476" t="str">
            <v>Proportional</v>
          </cell>
          <cell r="S19476">
            <v>-2770.88</v>
          </cell>
          <cell r="X19476" t="str">
            <v>Commissions - gross</v>
          </cell>
          <cell r="Y19476" t="str">
            <v>FRANCE</v>
          </cell>
        </row>
        <row r="19477">
          <cell r="L19477" t="str">
            <v>Proportional</v>
          </cell>
          <cell r="S19477">
            <v>6000.83</v>
          </cell>
          <cell r="X19477" t="str">
            <v>Commissions - gross</v>
          </cell>
          <cell r="Y19477" t="str">
            <v>MEXICO</v>
          </cell>
        </row>
        <row r="19478">
          <cell r="L19478" t="str">
            <v>Proportional</v>
          </cell>
          <cell r="S19478">
            <v>10.73</v>
          </cell>
          <cell r="X19478" t="str">
            <v>Commissions - gross</v>
          </cell>
          <cell r="Y19478" t="str">
            <v>JAPAN</v>
          </cell>
        </row>
        <row r="19479">
          <cell r="L19479" t="str">
            <v>Proportional</v>
          </cell>
          <cell r="S19479">
            <v>15151.93</v>
          </cell>
          <cell r="X19479" t="str">
            <v>Commissions - gross</v>
          </cell>
          <cell r="Y19479" t="str">
            <v>HONG KONG</v>
          </cell>
        </row>
        <row r="19480">
          <cell r="L19480" t="str">
            <v>Proportional</v>
          </cell>
          <cell r="S19480">
            <v>-4.6900000000000004</v>
          </cell>
          <cell r="X19480" t="str">
            <v>Commissions - gross</v>
          </cell>
          <cell r="Y19480" t="str">
            <v>FRANCE</v>
          </cell>
        </row>
        <row r="19481">
          <cell r="L19481" t="str">
            <v>Proportional</v>
          </cell>
          <cell r="S19481">
            <v>-2926.8</v>
          </cell>
          <cell r="X19481" t="str">
            <v>Commissions - gross</v>
          </cell>
          <cell r="Y19481" t="str">
            <v>MEXICO</v>
          </cell>
        </row>
        <row r="19482">
          <cell r="L19482" t="str">
            <v>Proportional</v>
          </cell>
          <cell r="S19482">
            <v>-121.62</v>
          </cell>
          <cell r="X19482" t="str">
            <v>Commissions - gross</v>
          </cell>
          <cell r="Y19482" t="str">
            <v>UNITED STATES</v>
          </cell>
        </row>
        <row r="19483">
          <cell r="L19483" t="str">
            <v>Proportional</v>
          </cell>
          <cell r="S19483">
            <v>1477.68</v>
          </cell>
          <cell r="X19483" t="str">
            <v>Commissions - gross</v>
          </cell>
          <cell r="Y19483" t="str">
            <v>SWITZERLAND</v>
          </cell>
        </row>
        <row r="19484">
          <cell r="L19484" t="str">
            <v>Proportional</v>
          </cell>
          <cell r="S19484">
            <v>4.62</v>
          </cell>
          <cell r="X19484" t="str">
            <v>Commissions - gross</v>
          </cell>
          <cell r="Y19484" t="str">
            <v>FRANCE</v>
          </cell>
        </row>
        <row r="19485">
          <cell r="L19485" t="str">
            <v>Proportional</v>
          </cell>
          <cell r="S19485">
            <v>6946.38</v>
          </cell>
          <cell r="X19485" t="str">
            <v>Commissions - gross</v>
          </cell>
          <cell r="Y19485" t="str">
            <v>MEXICO</v>
          </cell>
        </row>
        <row r="19486">
          <cell r="L19486" t="str">
            <v>Proportional</v>
          </cell>
          <cell r="S19486">
            <v>325000</v>
          </cell>
          <cell r="X19486" t="str">
            <v>Commissions - gross</v>
          </cell>
          <cell r="Y19486" t="str">
            <v>ITALY</v>
          </cell>
        </row>
        <row r="19487">
          <cell r="L19487" t="str">
            <v>Proportional</v>
          </cell>
          <cell r="S19487">
            <v>6215.14</v>
          </cell>
          <cell r="X19487" t="str">
            <v>Commissions - gross</v>
          </cell>
          <cell r="Y19487" t="str">
            <v>MEXICO</v>
          </cell>
        </row>
        <row r="19488">
          <cell r="L19488" t="str">
            <v>Non-proportional</v>
          </cell>
          <cell r="S19488">
            <v>2001.34</v>
          </cell>
          <cell r="X19488" t="str">
            <v>Commissions - gross</v>
          </cell>
          <cell r="Y19488" t="str">
            <v>BRAZIL</v>
          </cell>
        </row>
        <row r="19489">
          <cell r="L19489" t="str">
            <v>Proportional</v>
          </cell>
          <cell r="S19489">
            <v>-39868.519999999997</v>
          </cell>
          <cell r="X19489" t="str">
            <v>Commissions - gross</v>
          </cell>
          <cell r="Y19489" t="str">
            <v>SWITZERLAND</v>
          </cell>
        </row>
        <row r="19490">
          <cell r="L19490" t="str">
            <v>Proportional</v>
          </cell>
          <cell r="S19490">
            <v>-45740.07</v>
          </cell>
          <cell r="X19490" t="str">
            <v>Commissions - gross</v>
          </cell>
          <cell r="Y19490" t="str">
            <v>CANADA</v>
          </cell>
        </row>
        <row r="19491">
          <cell r="L19491" t="str">
            <v>Proportional</v>
          </cell>
          <cell r="S19491">
            <v>-15151.93</v>
          </cell>
          <cell r="X19491" t="str">
            <v>Commissions - gross</v>
          </cell>
          <cell r="Y19491" t="str">
            <v>HONG KONG</v>
          </cell>
        </row>
        <row r="19492">
          <cell r="L19492" t="str">
            <v>Proportional</v>
          </cell>
          <cell r="S19492">
            <v>-325000</v>
          </cell>
          <cell r="X19492" t="str">
            <v>Commissions - gross</v>
          </cell>
          <cell r="Y19492" t="str">
            <v>ITALY</v>
          </cell>
        </row>
        <row r="19493">
          <cell r="L19493" t="str">
            <v>Proportional</v>
          </cell>
          <cell r="S19493">
            <v>2561.77</v>
          </cell>
          <cell r="X19493" t="str">
            <v>Commissions - gross</v>
          </cell>
          <cell r="Y19493" t="str">
            <v>JAPAN</v>
          </cell>
        </row>
        <row r="19494">
          <cell r="L19494" t="str">
            <v>Proportional</v>
          </cell>
          <cell r="S19494">
            <v>2168.5300000000002</v>
          </cell>
          <cell r="X19494" t="str">
            <v>Commissions - gross</v>
          </cell>
          <cell r="Y19494" t="str">
            <v>JAPAN</v>
          </cell>
        </row>
        <row r="19495">
          <cell r="L19495" t="str">
            <v>Proportional</v>
          </cell>
          <cell r="S19495">
            <v>-1911.36</v>
          </cell>
          <cell r="X19495" t="str">
            <v>Commissions - gross</v>
          </cell>
          <cell r="Y19495" t="str">
            <v>FRANCE</v>
          </cell>
        </row>
        <row r="19496">
          <cell r="L19496" t="str">
            <v>Proportional</v>
          </cell>
          <cell r="S19496">
            <v>45740.07</v>
          </cell>
          <cell r="X19496" t="str">
            <v>Commissions - gross</v>
          </cell>
          <cell r="Y19496" t="str">
            <v>CANADA</v>
          </cell>
        </row>
        <row r="19497">
          <cell r="L19497" t="str">
            <v>Proportional</v>
          </cell>
          <cell r="S19497">
            <v>6215.14</v>
          </cell>
          <cell r="X19497" t="str">
            <v>Commissions - gross</v>
          </cell>
          <cell r="Y19497" t="str">
            <v>MEXICO</v>
          </cell>
        </row>
        <row r="19498">
          <cell r="L19498" t="str">
            <v>Non-proportional</v>
          </cell>
          <cell r="S19498">
            <v>2693.78</v>
          </cell>
          <cell r="X19498" t="str">
            <v>Commissions - gross</v>
          </cell>
          <cell r="Y19498" t="str">
            <v>BRAZIL</v>
          </cell>
        </row>
        <row r="19499">
          <cell r="L19499" t="str">
            <v>Proportional</v>
          </cell>
          <cell r="S19499">
            <v>-332.41</v>
          </cell>
          <cell r="X19499" t="str">
            <v>Commissions - gross</v>
          </cell>
          <cell r="Y19499" t="str">
            <v>FRANCE</v>
          </cell>
        </row>
        <row r="19500">
          <cell r="L19500" t="str">
            <v>Proportional</v>
          </cell>
          <cell r="S19500">
            <v>-6215.14</v>
          </cell>
          <cell r="X19500" t="str">
            <v>Commissions - gross</v>
          </cell>
          <cell r="Y19500" t="str">
            <v>MEXICO</v>
          </cell>
        </row>
        <row r="19501">
          <cell r="L19501" t="str">
            <v>Proportional</v>
          </cell>
          <cell r="S19501">
            <v>2770.88</v>
          </cell>
          <cell r="X19501" t="str">
            <v>Commissions - gross</v>
          </cell>
          <cell r="Y19501" t="str">
            <v>FRANCE</v>
          </cell>
        </row>
        <row r="19502">
          <cell r="L19502" t="str">
            <v>Proportional</v>
          </cell>
          <cell r="S19502">
            <v>7410.14</v>
          </cell>
          <cell r="X19502" t="str">
            <v>Commissions - gross</v>
          </cell>
          <cell r="Y19502" t="str">
            <v>CANADA</v>
          </cell>
        </row>
        <row r="19503">
          <cell r="L19503" t="str">
            <v>Proportional</v>
          </cell>
          <cell r="S19503">
            <v>327.12</v>
          </cell>
          <cell r="X19503" t="str">
            <v>Commissions - gross</v>
          </cell>
          <cell r="Y19503" t="str">
            <v>FRANCE</v>
          </cell>
        </row>
        <row r="19504">
          <cell r="L19504" t="str">
            <v>Proportional</v>
          </cell>
          <cell r="S19504">
            <v>-1864.21</v>
          </cell>
          <cell r="X19504" t="str">
            <v>Commissions - gross</v>
          </cell>
          <cell r="Y19504" t="str">
            <v>JAPAN</v>
          </cell>
        </row>
        <row r="19505">
          <cell r="L19505" t="str">
            <v>Proportional</v>
          </cell>
          <cell r="S19505">
            <v>375000</v>
          </cell>
          <cell r="X19505" t="str">
            <v>Commissions - gross</v>
          </cell>
          <cell r="Y19505" t="str">
            <v>ITALY</v>
          </cell>
        </row>
        <row r="19506">
          <cell r="L19506" t="str">
            <v>Proportional</v>
          </cell>
          <cell r="S19506">
            <v>-1477.68</v>
          </cell>
          <cell r="X19506" t="str">
            <v>Commissions - gross</v>
          </cell>
          <cell r="Y19506" t="str">
            <v>SWITZERLAND</v>
          </cell>
        </row>
        <row r="19507">
          <cell r="L19507" t="str">
            <v>Proportional</v>
          </cell>
          <cell r="S19507">
            <v>39868.519999999997</v>
          </cell>
          <cell r="X19507" t="str">
            <v>Commissions - gross</v>
          </cell>
          <cell r="Y19507" t="str">
            <v>SWITZERLAND</v>
          </cell>
        </row>
        <row r="19508">
          <cell r="L19508" t="str">
            <v>Non-proportional</v>
          </cell>
          <cell r="S19508">
            <v>2035.11</v>
          </cell>
          <cell r="X19508" t="str">
            <v>Commissions - gross</v>
          </cell>
          <cell r="Y19508" t="str">
            <v>BRAZIL</v>
          </cell>
        </row>
        <row r="19509">
          <cell r="L19509" t="str">
            <v>Proportional</v>
          </cell>
          <cell r="S19509">
            <v>8591.2800000000007</v>
          </cell>
          <cell r="X19509" t="str">
            <v>Commissions - gross</v>
          </cell>
          <cell r="Y19509" t="str">
            <v>SWITZERLAND</v>
          </cell>
        </row>
        <row r="19510">
          <cell r="L19510" t="str">
            <v>Proportional</v>
          </cell>
          <cell r="S19510">
            <v>375000</v>
          </cell>
          <cell r="X19510" t="str">
            <v>Commissions - gross</v>
          </cell>
          <cell r="Y19510" t="str">
            <v>ITALY</v>
          </cell>
        </row>
        <row r="19511">
          <cell r="L19511" t="str">
            <v>Proportional</v>
          </cell>
          <cell r="S19511">
            <v>-90472.85</v>
          </cell>
          <cell r="X19511" t="str">
            <v>Commissions - gross</v>
          </cell>
          <cell r="Y19511" t="str">
            <v>UNITED STATES</v>
          </cell>
        </row>
        <row r="19512">
          <cell r="L19512" t="str">
            <v>Proportional</v>
          </cell>
          <cell r="S19512">
            <v>-6208.69</v>
          </cell>
          <cell r="X19512" t="str">
            <v>Commissions - gross</v>
          </cell>
          <cell r="Y19512" t="str">
            <v>MEXICO</v>
          </cell>
        </row>
        <row r="19513">
          <cell r="L19513" t="str">
            <v>Proportional</v>
          </cell>
          <cell r="S19513">
            <v>-221.41</v>
          </cell>
          <cell r="X19513" t="str">
            <v>Commissions - gross</v>
          </cell>
          <cell r="Y19513" t="str">
            <v>FRANCE</v>
          </cell>
        </row>
        <row r="19514">
          <cell r="L19514" t="str">
            <v>Proportional</v>
          </cell>
          <cell r="S19514">
            <v>80379.95</v>
          </cell>
          <cell r="X19514" t="str">
            <v>Commissions - gross</v>
          </cell>
          <cell r="Y19514" t="str">
            <v>UNITED STATES</v>
          </cell>
        </row>
        <row r="19515">
          <cell r="L19515" t="str">
            <v>Proportional</v>
          </cell>
          <cell r="S19515">
            <v>-3574.66</v>
          </cell>
          <cell r="X19515" t="str">
            <v>Commissions - gross</v>
          </cell>
          <cell r="Y19515" t="str">
            <v>FRANCE</v>
          </cell>
        </row>
        <row r="19516">
          <cell r="L19516" t="str">
            <v>Proportional</v>
          </cell>
          <cell r="S19516">
            <v>-7200.66</v>
          </cell>
          <cell r="X19516" t="str">
            <v>Commissions - gross</v>
          </cell>
          <cell r="Y19516" t="str">
            <v>FRANCE</v>
          </cell>
        </row>
        <row r="19517">
          <cell r="L19517" t="str">
            <v>Proportional</v>
          </cell>
          <cell r="S19517">
            <v>-34.61</v>
          </cell>
          <cell r="X19517" t="str">
            <v>Commissions - gross</v>
          </cell>
          <cell r="Y19517" t="str">
            <v>UNITED STATES</v>
          </cell>
        </row>
        <row r="19518">
          <cell r="L19518" t="str">
            <v>Non-proportional</v>
          </cell>
          <cell r="S19518">
            <v>-247.5</v>
          </cell>
          <cell r="X19518" t="str">
            <v>Commissions - gross</v>
          </cell>
          <cell r="Y19518" t="str">
            <v>ROMANIA</v>
          </cell>
        </row>
        <row r="19519">
          <cell r="L19519" t="str">
            <v>Proportional</v>
          </cell>
          <cell r="S19519">
            <v>6208.69</v>
          </cell>
          <cell r="X19519" t="str">
            <v>Commissions - gross</v>
          </cell>
          <cell r="Y19519" t="str">
            <v>MEXICO</v>
          </cell>
        </row>
        <row r="19520">
          <cell r="L19520" t="str">
            <v>Proportional</v>
          </cell>
          <cell r="S19520">
            <v>-17.53</v>
          </cell>
          <cell r="X19520" t="str">
            <v>Commissions - gross</v>
          </cell>
          <cell r="Y19520" t="str">
            <v>UNITED STATES</v>
          </cell>
        </row>
        <row r="19521">
          <cell r="L19521" t="str">
            <v>Proportional</v>
          </cell>
          <cell r="S19521">
            <v>28.3</v>
          </cell>
          <cell r="X19521" t="str">
            <v>Commissions - gross</v>
          </cell>
          <cell r="Y19521" t="str">
            <v>UNITED STATES</v>
          </cell>
        </row>
        <row r="19522">
          <cell r="L19522" t="str">
            <v>Proportional</v>
          </cell>
          <cell r="S19522">
            <v>3574.66</v>
          </cell>
          <cell r="X19522" t="str">
            <v>Commissions - gross</v>
          </cell>
          <cell r="Y19522" t="str">
            <v>FRANCE</v>
          </cell>
        </row>
        <row r="19523">
          <cell r="L19523" t="str">
            <v>Proportional</v>
          </cell>
          <cell r="S19523">
            <v>2465.9499999999998</v>
          </cell>
          <cell r="X19523" t="str">
            <v>Commissions - gross</v>
          </cell>
          <cell r="Y19523" t="str">
            <v>FRANCE</v>
          </cell>
        </row>
        <row r="19524">
          <cell r="L19524" t="str">
            <v>Proportional</v>
          </cell>
          <cell r="S19524">
            <v>-2685.19</v>
          </cell>
          <cell r="X19524" t="str">
            <v>Commissions - gross</v>
          </cell>
          <cell r="Y19524" t="str">
            <v>UNITED STATES</v>
          </cell>
        </row>
        <row r="19525">
          <cell r="L19525" t="str">
            <v>Proportional</v>
          </cell>
          <cell r="S19525">
            <v>-219079.48</v>
          </cell>
          <cell r="X19525" t="str">
            <v>Commissions - gross</v>
          </cell>
          <cell r="Y19525" t="str">
            <v>UNITED STATES</v>
          </cell>
        </row>
        <row r="19526">
          <cell r="L19526" t="str">
            <v>Proportional</v>
          </cell>
          <cell r="S19526">
            <v>-1308.67</v>
          </cell>
          <cell r="X19526" t="str">
            <v>Commissions - gross</v>
          </cell>
          <cell r="Y19526" t="str">
            <v>SWITZERLAND</v>
          </cell>
        </row>
        <row r="19527">
          <cell r="L19527" t="str">
            <v>Proportional</v>
          </cell>
          <cell r="S19527">
            <v>-28.07</v>
          </cell>
          <cell r="X19527" t="str">
            <v>Commissions - gross</v>
          </cell>
          <cell r="Y19527" t="str">
            <v>UNITED STATES</v>
          </cell>
        </row>
        <row r="19528">
          <cell r="L19528" t="str">
            <v>Proportional</v>
          </cell>
          <cell r="S19528">
            <v>1212.6500000000001</v>
          </cell>
          <cell r="X19528" t="str">
            <v>Commissions - gross</v>
          </cell>
          <cell r="Y19528" t="str">
            <v>UNITED STATES</v>
          </cell>
        </row>
        <row r="19529">
          <cell r="L19529" t="str">
            <v>Proportional</v>
          </cell>
          <cell r="S19529">
            <v>9378.89</v>
          </cell>
          <cell r="X19529" t="str">
            <v>Commissions - gross</v>
          </cell>
          <cell r="Y19529" t="str">
            <v>UNITED STATES</v>
          </cell>
        </row>
        <row r="19530">
          <cell r="L19530" t="str">
            <v>Proportional</v>
          </cell>
          <cell r="S19530">
            <v>-15862.93</v>
          </cell>
          <cell r="X19530" t="str">
            <v>Commissions - gross</v>
          </cell>
          <cell r="Y19530" t="str">
            <v>UNITED STATES</v>
          </cell>
        </row>
        <row r="19531">
          <cell r="L19531" t="str">
            <v>Proportional</v>
          </cell>
          <cell r="S19531">
            <v>2687.48</v>
          </cell>
          <cell r="X19531" t="str">
            <v>Commissions - gross</v>
          </cell>
          <cell r="Y19531" t="str">
            <v>UNITED STATES</v>
          </cell>
        </row>
        <row r="19532">
          <cell r="L19532" t="str">
            <v>Proportional</v>
          </cell>
          <cell r="S19532">
            <v>-14277.94</v>
          </cell>
          <cell r="X19532" t="str">
            <v>Commissions - gross</v>
          </cell>
          <cell r="Y19532" t="str">
            <v>UNITED STATES</v>
          </cell>
        </row>
        <row r="19533">
          <cell r="L19533" t="str">
            <v>Proportional</v>
          </cell>
          <cell r="S19533">
            <v>15862.93</v>
          </cell>
          <cell r="X19533" t="str">
            <v>Commissions - gross</v>
          </cell>
          <cell r="Y19533" t="str">
            <v>UNITED STATES</v>
          </cell>
        </row>
        <row r="19534">
          <cell r="L19534" t="str">
            <v>Proportional</v>
          </cell>
          <cell r="S19534">
            <v>17.54</v>
          </cell>
          <cell r="X19534" t="str">
            <v>Commissions - gross</v>
          </cell>
          <cell r="Y19534" t="str">
            <v>UNITED STATES</v>
          </cell>
        </row>
        <row r="19535">
          <cell r="L19535" t="str">
            <v>Proportional</v>
          </cell>
          <cell r="S19535">
            <v>207.68</v>
          </cell>
          <cell r="X19535" t="str">
            <v>Commissions - gross</v>
          </cell>
          <cell r="Y19535" t="str">
            <v>UNITED STATES</v>
          </cell>
        </row>
        <row r="19536">
          <cell r="L19536" t="str">
            <v>Proportional</v>
          </cell>
          <cell r="S19536">
            <v>-375000</v>
          </cell>
          <cell r="X19536" t="str">
            <v>Commissions - gross</v>
          </cell>
          <cell r="Y19536" t="str">
            <v>ITALY</v>
          </cell>
        </row>
        <row r="19537">
          <cell r="L19537" t="str">
            <v>Proportional</v>
          </cell>
          <cell r="S19537">
            <v>252.51</v>
          </cell>
          <cell r="X19537" t="str">
            <v>Commissions - gross</v>
          </cell>
          <cell r="Y19537" t="str">
            <v>UNITED STATES</v>
          </cell>
        </row>
        <row r="19538">
          <cell r="L19538" t="str">
            <v>Proportional</v>
          </cell>
          <cell r="S19538">
            <v>34.65</v>
          </cell>
          <cell r="X19538" t="str">
            <v>Commissions - gross</v>
          </cell>
          <cell r="Y19538" t="str">
            <v>UNITED STATES</v>
          </cell>
        </row>
        <row r="19539">
          <cell r="L19539" t="str">
            <v>Proportional</v>
          </cell>
          <cell r="S19539">
            <v>-574.33000000000004</v>
          </cell>
          <cell r="X19539" t="str">
            <v>Commissions - gross</v>
          </cell>
          <cell r="Y19539" t="str">
            <v>MEXICO</v>
          </cell>
        </row>
        <row r="19540">
          <cell r="L19540" t="str">
            <v>Proportional</v>
          </cell>
          <cell r="S19540">
            <v>-192.85</v>
          </cell>
          <cell r="X19540" t="str">
            <v>Commissions - gross</v>
          </cell>
          <cell r="Y19540" t="str">
            <v>UNITED STATES</v>
          </cell>
        </row>
        <row r="19541">
          <cell r="L19541" t="str">
            <v>Proportional</v>
          </cell>
          <cell r="S19541">
            <v>351.58</v>
          </cell>
          <cell r="X19541" t="str">
            <v>Commissions - gross</v>
          </cell>
          <cell r="Y19541" t="str">
            <v>UNITED STATES</v>
          </cell>
        </row>
        <row r="19542">
          <cell r="L19542" t="str">
            <v>Non-proportional</v>
          </cell>
          <cell r="S19542">
            <v>-181.25</v>
          </cell>
          <cell r="X19542" t="str">
            <v>Commissions - gross</v>
          </cell>
          <cell r="Y19542" t="str">
            <v>ROMANIA</v>
          </cell>
        </row>
        <row r="19543">
          <cell r="L19543" t="str">
            <v>Proportional</v>
          </cell>
          <cell r="S19543">
            <v>3574.66</v>
          </cell>
          <cell r="X19543" t="str">
            <v>Commissions - gross</v>
          </cell>
          <cell r="Y19543" t="str">
            <v>FRANCE</v>
          </cell>
        </row>
        <row r="19544">
          <cell r="L19544" t="str">
            <v>Proportional</v>
          </cell>
          <cell r="S19544">
            <v>3574.66</v>
          </cell>
          <cell r="X19544" t="str">
            <v>Commissions - gross</v>
          </cell>
          <cell r="Y19544" t="str">
            <v>FRANCE</v>
          </cell>
        </row>
        <row r="19545">
          <cell r="L19545" t="str">
            <v>Proportional</v>
          </cell>
          <cell r="S19545">
            <v>221.64</v>
          </cell>
          <cell r="X19545" t="str">
            <v>Commissions - gross</v>
          </cell>
          <cell r="Y19545" t="str">
            <v>FRANCE</v>
          </cell>
        </row>
        <row r="19546">
          <cell r="L19546" t="str">
            <v>Proportional</v>
          </cell>
          <cell r="S19546">
            <v>9518</v>
          </cell>
          <cell r="X19546" t="str">
            <v>Commissions - gross</v>
          </cell>
          <cell r="Y19546" t="str">
            <v>SWITZERLAND</v>
          </cell>
        </row>
        <row r="19547">
          <cell r="L19547" t="str">
            <v>Proportional</v>
          </cell>
          <cell r="S19547">
            <v>-252.29</v>
          </cell>
          <cell r="X19547" t="str">
            <v>Commissions - gross</v>
          </cell>
          <cell r="Y19547" t="str">
            <v>UNITED STATES</v>
          </cell>
        </row>
        <row r="19548">
          <cell r="L19548" t="str">
            <v>Proportional</v>
          </cell>
          <cell r="S19548">
            <v>-80379.95</v>
          </cell>
          <cell r="X19548" t="str">
            <v>Commissions - gross</v>
          </cell>
          <cell r="Y19548" t="str">
            <v>UNITED STATES</v>
          </cell>
        </row>
        <row r="19549">
          <cell r="L19549" t="str">
            <v>Proportional</v>
          </cell>
          <cell r="S19549">
            <v>112.31</v>
          </cell>
          <cell r="X19549" t="str">
            <v>Commissions - gross</v>
          </cell>
          <cell r="Y19549" t="str">
            <v>UNITED STATES</v>
          </cell>
        </row>
        <row r="19550">
          <cell r="L19550" t="str">
            <v>Proportional</v>
          </cell>
          <cell r="S19550">
            <v>7200.66</v>
          </cell>
          <cell r="X19550" t="str">
            <v>Commissions - gross</v>
          </cell>
          <cell r="Y19550" t="str">
            <v>FRANCE</v>
          </cell>
        </row>
        <row r="19551">
          <cell r="L19551" t="str">
            <v>Proportional</v>
          </cell>
          <cell r="S19551">
            <v>-3574.66</v>
          </cell>
          <cell r="X19551" t="str">
            <v>Commissions - gross</v>
          </cell>
          <cell r="Y19551" t="str">
            <v>FRANCE</v>
          </cell>
        </row>
        <row r="19552">
          <cell r="L19552" t="str">
            <v>Proportional</v>
          </cell>
          <cell r="S19552">
            <v>90472.85</v>
          </cell>
          <cell r="X19552" t="str">
            <v>Commissions - gross</v>
          </cell>
          <cell r="Y19552" t="str">
            <v>UNITED STATES</v>
          </cell>
        </row>
        <row r="19553">
          <cell r="L19553" t="str">
            <v>Proportional</v>
          </cell>
          <cell r="S19553">
            <v>219079.48</v>
          </cell>
          <cell r="X19553" t="str">
            <v>Commissions - gross</v>
          </cell>
          <cell r="Y19553" t="str">
            <v>UNITED STATES</v>
          </cell>
        </row>
        <row r="19554">
          <cell r="L19554" t="str">
            <v>Proportional</v>
          </cell>
          <cell r="S19554">
            <v>-9508.1299999999992</v>
          </cell>
          <cell r="X19554" t="str">
            <v>Commissions - gross</v>
          </cell>
          <cell r="Y19554" t="str">
            <v>SWITZERLAND</v>
          </cell>
        </row>
        <row r="19555">
          <cell r="L19555" t="str">
            <v>Non-proportional</v>
          </cell>
          <cell r="S19555">
            <v>192.77</v>
          </cell>
          <cell r="X19555" t="str">
            <v>Commissions - gross</v>
          </cell>
          <cell r="Y19555" t="str">
            <v>ROMANIA</v>
          </cell>
        </row>
        <row r="19556">
          <cell r="L19556" t="str">
            <v>Proportional</v>
          </cell>
          <cell r="S19556">
            <v>-3574.66</v>
          </cell>
          <cell r="X19556" t="str">
            <v>Commissions - gross</v>
          </cell>
          <cell r="Y19556" t="str">
            <v>FRANCE</v>
          </cell>
        </row>
        <row r="19557">
          <cell r="L19557" t="str">
            <v>Proportional</v>
          </cell>
          <cell r="S19557">
            <v>-34.11</v>
          </cell>
          <cell r="X19557" t="str">
            <v>Commissions - gross</v>
          </cell>
          <cell r="Y19557" t="str">
            <v>UNITED STATES</v>
          </cell>
        </row>
        <row r="19558">
          <cell r="L19558" t="str">
            <v>Non-proportional</v>
          </cell>
          <cell r="S19558">
            <v>-42.08</v>
          </cell>
          <cell r="X19558" t="str">
            <v>Commissions - gross</v>
          </cell>
          <cell r="Y19558" t="str">
            <v>ROMANIA</v>
          </cell>
        </row>
        <row r="19559">
          <cell r="L19559" t="str">
            <v>Non-proportional</v>
          </cell>
          <cell r="S19559">
            <v>44.75</v>
          </cell>
          <cell r="X19559" t="str">
            <v>Commissions - gross</v>
          </cell>
          <cell r="Y19559" t="str">
            <v>ROMANIA</v>
          </cell>
        </row>
        <row r="19560">
          <cell r="L19560" t="str">
            <v>Proportional</v>
          </cell>
          <cell r="S19560">
            <v>14277.94</v>
          </cell>
          <cell r="X19560" t="str">
            <v>Commissions - gross</v>
          </cell>
          <cell r="Y19560" t="str">
            <v>UNITED STATES</v>
          </cell>
        </row>
        <row r="19561">
          <cell r="L19561" t="str">
            <v>Proportional</v>
          </cell>
          <cell r="S19561">
            <v>-8591.2800000000007</v>
          </cell>
          <cell r="X19561" t="str">
            <v>Commissions - gross</v>
          </cell>
          <cell r="Y19561" t="str">
            <v>SWITZERLAND</v>
          </cell>
        </row>
        <row r="19562">
          <cell r="L19562" t="str">
            <v>Proportional</v>
          </cell>
          <cell r="S19562">
            <v>574.33000000000004</v>
          </cell>
          <cell r="X19562" t="str">
            <v>Commissions - gross</v>
          </cell>
          <cell r="Y19562" t="str">
            <v>MEXICO</v>
          </cell>
        </row>
        <row r="19563">
          <cell r="L19563" t="str">
            <v>Proportional</v>
          </cell>
          <cell r="S19563">
            <v>400000</v>
          </cell>
          <cell r="X19563" t="str">
            <v>Commissions - gross</v>
          </cell>
          <cell r="Y19563" t="str">
            <v>ITALY</v>
          </cell>
        </row>
        <row r="19564">
          <cell r="L19564" t="str">
            <v>Proportional</v>
          </cell>
          <cell r="S19564">
            <v>-348.66</v>
          </cell>
          <cell r="X19564" t="str">
            <v>Commissions - gross</v>
          </cell>
          <cell r="Y19564" t="str">
            <v>UNITED STATES</v>
          </cell>
        </row>
        <row r="19565">
          <cell r="L19565" t="str">
            <v>Proportional</v>
          </cell>
          <cell r="S19565">
            <v>33.82</v>
          </cell>
          <cell r="X19565" t="str">
            <v>Commissions - gross</v>
          </cell>
          <cell r="Y19565" t="str">
            <v>UNITED STATES</v>
          </cell>
        </row>
        <row r="19566">
          <cell r="L19566" t="str">
            <v>Proportional</v>
          </cell>
          <cell r="S19566">
            <v>-1211.6099999999999</v>
          </cell>
          <cell r="X19566" t="str">
            <v>Commissions - gross</v>
          </cell>
          <cell r="Y19566" t="str">
            <v>UNITED STATES</v>
          </cell>
        </row>
        <row r="19567">
          <cell r="L19567" t="str">
            <v>Proportional</v>
          </cell>
          <cell r="S19567">
            <v>192.65</v>
          </cell>
          <cell r="X19567" t="str">
            <v>Commissions - gross</v>
          </cell>
          <cell r="Y19567" t="str">
            <v>UNITED STATES</v>
          </cell>
        </row>
        <row r="19568">
          <cell r="L19568" t="str">
            <v>Proportional</v>
          </cell>
          <cell r="S19568">
            <v>-2463.39</v>
          </cell>
          <cell r="X19568" t="str">
            <v>Commissions - gross</v>
          </cell>
          <cell r="Y19568" t="str">
            <v>FRANCE</v>
          </cell>
        </row>
        <row r="19569">
          <cell r="L19569" t="str">
            <v>Non-proportional</v>
          </cell>
          <cell r="S19569">
            <v>263.23</v>
          </cell>
          <cell r="X19569" t="str">
            <v>Commissions - gross</v>
          </cell>
          <cell r="Y19569" t="str">
            <v>ROMANIA</v>
          </cell>
        </row>
        <row r="19570">
          <cell r="L19570" t="str">
            <v>Proportional</v>
          </cell>
          <cell r="S19570">
            <v>-33.82</v>
          </cell>
          <cell r="X19570" t="str">
            <v>Commissions - gross</v>
          </cell>
          <cell r="Y19570" t="str">
            <v>UNITED STATES</v>
          </cell>
        </row>
        <row r="19571">
          <cell r="L19571" t="str">
            <v>Proportional</v>
          </cell>
          <cell r="S19571">
            <v>1308.67</v>
          </cell>
          <cell r="X19571" t="str">
            <v>Commissions - gross</v>
          </cell>
          <cell r="Y19571" t="str">
            <v>SWITZERLAND</v>
          </cell>
        </row>
        <row r="19572">
          <cell r="L19572" t="str">
            <v>Proportional</v>
          </cell>
          <cell r="S19572">
            <v>-324.11</v>
          </cell>
          <cell r="X19572" t="str">
            <v>Commissions - gross</v>
          </cell>
          <cell r="Y19572" t="str">
            <v>UNITED STATES</v>
          </cell>
        </row>
        <row r="19573">
          <cell r="L19573" t="str">
            <v>Proportional</v>
          </cell>
          <cell r="S19573">
            <v>-400000</v>
          </cell>
          <cell r="X19573" t="str">
            <v>Commissions - gross</v>
          </cell>
          <cell r="Y19573" t="str">
            <v>ITALY</v>
          </cell>
        </row>
        <row r="19574">
          <cell r="L19574" t="str">
            <v>Proportional</v>
          </cell>
          <cell r="S19574">
            <v>-19004.490000000002</v>
          </cell>
          <cell r="X19574" t="str">
            <v>Commissions - gross</v>
          </cell>
          <cell r="Y19574" t="str">
            <v>INDIA</v>
          </cell>
        </row>
        <row r="19575">
          <cell r="L19575" t="str">
            <v>Proportional</v>
          </cell>
          <cell r="S19575">
            <v>19004.490000000002</v>
          </cell>
          <cell r="X19575" t="str">
            <v>Commissions - gross</v>
          </cell>
          <cell r="Y19575" t="str">
            <v>INDIA</v>
          </cell>
        </row>
        <row r="19576">
          <cell r="L19576" t="str">
            <v>Proportional</v>
          </cell>
          <cell r="S19576">
            <v>400000</v>
          </cell>
          <cell r="X19576" t="str">
            <v>Commissions - gross</v>
          </cell>
          <cell r="Y19576" t="str">
            <v>ITALY</v>
          </cell>
        </row>
        <row r="19577">
          <cell r="L19577" t="str">
            <v>Proportional</v>
          </cell>
          <cell r="S19577">
            <v>19004.490000000002</v>
          </cell>
          <cell r="X19577" t="str">
            <v>Commissions - gross</v>
          </cell>
          <cell r="Y19577" t="str">
            <v>INDIA</v>
          </cell>
        </row>
        <row r="19578">
          <cell r="L19578" t="str">
            <v>Proportional</v>
          </cell>
          <cell r="S19578">
            <v>400000</v>
          </cell>
          <cell r="X19578" t="str">
            <v>Commissions - gross</v>
          </cell>
          <cell r="Y19578" t="str">
            <v>ITALY</v>
          </cell>
        </row>
        <row r="19579">
          <cell r="L19579" t="str">
            <v>Proportional</v>
          </cell>
          <cell r="S19579">
            <v>-19004.490000000002</v>
          </cell>
          <cell r="X19579" t="str">
            <v>Commissions - gross</v>
          </cell>
          <cell r="Y19579" t="str">
            <v>INDIA</v>
          </cell>
        </row>
        <row r="19580">
          <cell r="L19580" t="str">
            <v>Proportional</v>
          </cell>
          <cell r="S19580">
            <v>128493.72</v>
          </cell>
          <cell r="X19580" t="str">
            <v>Claims - gross</v>
          </cell>
          <cell r="Y19580" t="str">
            <v>THAILAND</v>
          </cell>
        </row>
        <row r="19581">
          <cell r="L19581" t="str">
            <v>Proportional</v>
          </cell>
          <cell r="S19581">
            <v>-126109.39</v>
          </cell>
          <cell r="X19581" t="str">
            <v>Claims - gross</v>
          </cell>
          <cell r="Y19581" t="str">
            <v>THAILAND</v>
          </cell>
        </row>
        <row r="19582">
          <cell r="L19582" t="str">
            <v>Non-proportional</v>
          </cell>
          <cell r="S19582">
            <v>103.13</v>
          </cell>
          <cell r="X19582" t="str">
            <v>Commissions - gross</v>
          </cell>
          <cell r="Y19582" t="str">
            <v>ROMANIA</v>
          </cell>
        </row>
        <row r="19583">
          <cell r="L19583" t="str">
            <v>Proportional</v>
          </cell>
          <cell r="S19583">
            <v>-53.81</v>
          </cell>
          <cell r="X19583" t="str">
            <v>Commissions - gross</v>
          </cell>
          <cell r="Y19583" t="str">
            <v>UNITED STATES</v>
          </cell>
        </row>
        <row r="19584">
          <cell r="L19584" t="str">
            <v>Proportional</v>
          </cell>
          <cell r="S19584">
            <v>527.57000000000005</v>
          </cell>
          <cell r="X19584" t="str">
            <v>Commissions - gross</v>
          </cell>
          <cell r="Y19584" t="str">
            <v>UNITED STATES</v>
          </cell>
        </row>
        <row r="19585">
          <cell r="L19585" t="str">
            <v>Proportional</v>
          </cell>
          <cell r="S19585">
            <v>0.71</v>
          </cell>
          <cell r="X19585" t="str">
            <v>Commissions - gross</v>
          </cell>
          <cell r="Y19585" t="str">
            <v>UNITED STATES</v>
          </cell>
        </row>
        <row r="19586">
          <cell r="L19586" t="str">
            <v>Proportional</v>
          </cell>
          <cell r="S19586">
            <v>-218912.5</v>
          </cell>
          <cell r="X19586" t="str">
            <v>Commissions - gross</v>
          </cell>
          <cell r="Y19586" t="str">
            <v>CANADA</v>
          </cell>
        </row>
        <row r="19587">
          <cell r="L19587" t="str">
            <v>Proportional</v>
          </cell>
          <cell r="S19587">
            <v>10156.33</v>
          </cell>
          <cell r="X19587" t="str">
            <v>Commissions - gross</v>
          </cell>
          <cell r="Y19587" t="str">
            <v>JAPAN</v>
          </cell>
        </row>
        <row r="19588">
          <cell r="L19588" t="str">
            <v>Proportional</v>
          </cell>
          <cell r="S19588">
            <v>-1.85</v>
          </cell>
          <cell r="X19588" t="str">
            <v>Commissions - gross</v>
          </cell>
          <cell r="Y19588" t="str">
            <v>UNITED STATES</v>
          </cell>
        </row>
        <row r="19589">
          <cell r="L19589" t="str">
            <v>Non-proportional</v>
          </cell>
          <cell r="S19589">
            <v>-20443</v>
          </cell>
          <cell r="X19589" t="str">
            <v>Commissions - gross</v>
          </cell>
          <cell r="Y19589" t="str">
            <v>MEXICO</v>
          </cell>
        </row>
        <row r="19590">
          <cell r="L19590" t="str">
            <v>Proportional</v>
          </cell>
          <cell r="S19590">
            <v>-7446.68</v>
          </cell>
          <cell r="X19590" t="str">
            <v>Commissions - gross</v>
          </cell>
          <cell r="Y19590" t="str">
            <v>JAPAN</v>
          </cell>
        </row>
        <row r="19591">
          <cell r="L19591" t="str">
            <v>Non-proportional</v>
          </cell>
          <cell r="S19591">
            <v>-349.75</v>
          </cell>
          <cell r="X19591" t="str">
            <v>Commissions - gross</v>
          </cell>
          <cell r="Y19591" t="str">
            <v>MEXICO</v>
          </cell>
        </row>
        <row r="19592">
          <cell r="L19592" t="str">
            <v>Proportional</v>
          </cell>
          <cell r="S19592">
            <v>-323276.62</v>
          </cell>
          <cell r="X19592" t="str">
            <v>Commissions - gross</v>
          </cell>
          <cell r="Y19592" t="str">
            <v>SWITZERLAND</v>
          </cell>
        </row>
        <row r="19593">
          <cell r="L19593" t="str">
            <v>Proportional</v>
          </cell>
          <cell r="S19593">
            <v>-312.55</v>
          </cell>
          <cell r="X19593" t="str">
            <v>Commissions - gross</v>
          </cell>
          <cell r="Y19593" t="str">
            <v>CANADA</v>
          </cell>
        </row>
        <row r="19594">
          <cell r="L19594" t="str">
            <v>Proportional</v>
          </cell>
          <cell r="S19594">
            <v>-133233.23000000001</v>
          </cell>
          <cell r="X19594" t="str">
            <v>Commissions - gross</v>
          </cell>
          <cell r="Y19594" t="str">
            <v>SWITZERLAND</v>
          </cell>
        </row>
        <row r="19595">
          <cell r="L19595" t="str">
            <v>Proportional</v>
          </cell>
          <cell r="S19595">
            <v>39836.81</v>
          </cell>
          <cell r="X19595" t="str">
            <v>Commissions - gross</v>
          </cell>
          <cell r="Y19595" t="str">
            <v>HONG KONG</v>
          </cell>
        </row>
        <row r="19596">
          <cell r="L19596" t="str">
            <v>Non-proportional</v>
          </cell>
          <cell r="S19596">
            <v>237.41</v>
          </cell>
          <cell r="X19596" t="str">
            <v>Commissions - gross</v>
          </cell>
          <cell r="Y19596" t="str">
            <v>PUERTO RICO</v>
          </cell>
        </row>
        <row r="19597">
          <cell r="L19597" t="str">
            <v>Non-proportional</v>
          </cell>
          <cell r="S19597">
            <v>175.35</v>
          </cell>
          <cell r="X19597" t="str">
            <v>Commissions - gross</v>
          </cell>
          <cell r="Y19597" t="str">
            <v>PUERTO RICO</v>
          </cell>
        </row>
        <row r="19598">
          <cell r="L19598" t="str">
            <v>Proportional</v>
          </cell>
          <cell r="S19598">
            <v>-319301.13</v>
          </cell>
          <cell r="X19598" t="str">
            <v>Commissions - gross</v>
          </cell>
          <cell r="Y19598" t="str">
            <v>UNITED STATES</v>
          </cell>
        </row>
        <row r="19599">
          <cell r="L19599" t="str">
            <v>Proportional</v>
          </cell>
          <cell r="S19599">
            <v>16280.04</v>
          </cell>
          <cell r="X19599" t="str">
            <v>Commissions - gross</v>
          </cell>
          <cell r="Y19599" t="str">
            <v>CANADA</v>
          </cell>
        </row>
        <row r="19600">
          <cell r="L19600" t="str">
            <v>Proportional</v>
          </cell>
          <cell r="S19600">
            <v>16.260000000000002</v>
          </cell>
          <cell r="X19600" t="str">
            <v>Commissions - gross</v>
          </cell>
          <cell r="Y19600" t="str">
            <v>UNITED STATES</v>
          </cell>
        </row>
        <row r="19601">
          <cell r="L19601" t="str">
            <v>Proportional</v>
          </cell>
          <cell r="S19601">
            <v>60140.29</v>
          </cell>
          <cell r="X19601" t="str">
            <v>Commissions - gross</v>
          </cell>
          <cell r="Y19601" t="str">
            <v>UNITED STATES</v>
          </cell>
        </row>
        <row r="19602">
          <cell r="L19602" t="str">
            <v>Proportional</v>
          </cell>
          <cell r="S19602">
            <v>-206104.68</v>
          </cell>
          <cell r="X19602" t="str">
            <v>Commissions - gross</v>
          </cell>
          <cell r="Y19602" t="str">
            <v>SWITZERLAND</v>
          </cell>
        </row>
        <row r="19603">
          <cell r="L19603" t="str">
            <v>Proportional</v>
          </cell>
          <cell r="S19603">
            <v>-328078.94</v>
          </cell>
          <cell r="X19603" t="str">
            <v>Commissions - gross</v>
          </cell>
          <cell r="Y19603" t="str">
            <v>UNITED STATES</v>
          </cell>
        </row>
        <row r="19604">
          <cell r="L19604" t="str">
            <v>Non-proportional</v>
          </cell>
          <cell r="S19604">
            <v>-9812.68</v>
          </cell>
          <cell r="X19604" t="str">
            <v>Commissions - gross</v>
          </cell>
          <cell r="Y19604" t="str">
            <v>MEXICO</v>
          </cell>
        </row>
        <row r="19605">
          <cell r="L19605" t="str">
            <v>Proportional</v>
          </cell>
          <cell r="S19605">
            <v>-76672.58</v>
          </cell>
          <cell r="X19605" t="str">
            <v>Commissions - gross</v>
          </cell>
          <cell r="Y19605" t="str">
            <v>HONG KONG</v>
          </cell>
        </row>
        <row r="19606">
          <cell r="L19606" t="str">
            <v>Non-proportional</v>
          </cell>
          <cell r="S19606">
            <v>-3026.87</v>
          </cell>
          <cell r="X19606" t="str">
            <v>Commissions - gross</v>
          </cell>
          <cell r="Y19606" t="str">
            <v>MEXICO</v>
          </cell>
        </row>
        <row r="19607">
          <cell r="L19607" t="str">
            <v>Proportional</v>
          </cell>
          <cell r="S19607">
            <v>-621047.89</v>
          </cell>
          <cell r="X19607" t="str">
            <v>Commissions - gross</v>
          </cell>
          <cell r="Y19607" t="str">
            <v>HONG KONG</v>
          </cell>
        </row>
        <row r="19608">
          <cell r="L19608" t="str">
            <v>Non-proportional</v>
          </cell>
          <cell r="S19608">
            <v>-11999.98</v>
          </cell>
          <cell r="X19608" t="str">
            <v>Commissions - gross</v>
          </cell>
          <cell r="Y19608" t="str">
            <v>ITALY</v>
          </cell>
        </row>
        <row r="19609">
          <cell r="L19609" t="str">
            <v>Proportional</v>
          </cell>
          <cell r="S19609">
            <v>70.41</v>
          </cell>
          <cell r="X19609" t="str">
            <v>Commissions - gross</v>
          </cell>
          <cell r="Y19609" t="str">
            <v>UNITED STATES</v>
          </cell>
        </row>
        <row r="19610">
          <cell r="L19610" t="str">
            <v>Non-proportional</v>
          </cell>
          <cell r="S19610">
            <v>17.53</v>
          </cell>
          <cell r="X19610" t="str">
            <v>Commissions - gross</v>
          </cell>
          <cell r="Y19610" t="str">
            <v>ROMANIA</v>
          </cell>
        </row>
        <row r="19611">
          <cell r="L19611" t="str">
            <v>Non-proportional</v>
          </cell>
          <cell r="S19611">
            <v>75.52</v>
          </cell>
          <cell r="X19611" t="str">
            <v>Commissions - gross</v>
          </cell>
          <cell r="Y19611" t="str">
            <v>ROMANIA</v>
          </cell>
        </row>
        <row r="19612">
          <cell r="L19612" t="str">
            <v>Proportional</v>
          </cell>
          <cell r="S19612">
            <v>-226.06</v>
          </cell>
          <cell r="X19612" t="str">
            <v>Commissions - gross</v>
          </cell>
          <cell r="Y19612" t="str">
            <v>UNITED STATES</v>
          </cell>
        </row>
        <row r="19613">
          <cell r="L19613" t="str">
            <v>Non-proportional</v>
          </cell>
          <cell r="S19613">
            <v>237.41</v>
          </cell>
          <cell r="X19613" t="str">
            <v>Commissions - gross</v>
          </cell>
          <cell r="Y19613" t="str">
            <v>PUERTO RICO</v>
          </cell>
        </row>
        <row r="19614">
          <cell r="L19614" t="str">
            <v>Proportional</v>
          </cell>
          <cell r="S19614">
            <v>-150708.81</v>
          </cell>
          <cell r="X19614" t="str">
            <v>Commissions - gross</v>
          </cell>
          <cell r="Y19614" t="str">
            <v>FRANCE</v>
          </cell>
        </row>
        <row r="19615">
          <cell r="L19615" t="str">
            <v>Proportional</v>
          </cell>
          <cell r="S19615">
            <v>2872.16</v>
          </cell>
          <cell r="X19615" t="str">
            <v>Commissions - gross</v>
          </cell>
          <cell r="Y19615" t="str">
            <v>MEXICO</v>
          </cell>
        </row>
        <row r="19616">
          <cell r="L19616" t="str">
            <v>Non-proportional</v>
          </cell>
          <cell r="S19616">
            <v>-719.43</v>
          </cell>
          <cell r="X19616" t="str">
            <v>Commissions - gross</v>
          </cell>
          <cell r="Y19616" t="str">
            <v>MEXICO</v>
          </cell>
        </row>
        <row r="19617">
          <cell r="L19617" t="str">
            <v>Proportional</v>
          </cell>
          <cell r="S19617">
            <v>12043.22</v>
          </cell>
          <cell r="X19617" t="str">
            <v>Commissions - gross</v>
          </cell>
          <cell r="Y19617" t="str">
            <v>JAPAN</v>
          </cell>
        </row>
        <row r="19618">
          <cell r="L19618" t="str">
            <v>Proportional</v>
          </cell>
          <cell r="S19618">
            <v>50.93</v>
          </cell>
          <cell r="X19618" t="str">
            <v>Commissions - gross</v>
          </cell>
          <cell r="Y19618" t="str">
            <v>UNITED STATES</v>
          </cell>
        </row>
        <row r="19619">
          <cell r="L19619" t="str">
            <v>Non-proportional</v>
          </cell>
          <cell r="S19619">
            <v>-6576.89</v>
          </cell>
          <cell r="X19619" t="str">
            <v>Commissions - gross</v>
          </cell>
          <cell r="Y19619" t="str">
            <v>MEXICO</v>
          </cell>
        </row>
        <row r="19620">
          <cell r="L19620" t="str">
            <v>Proportional</v>
          </cell>
          <cell r="S19620">
            <v>-707677.94</v>
          </cell>
          <cell r="X19620" t="str">
            <v>Commissions - gross</v>
          </cell>
          <cell r="Y19620" t="str">
            <v>UNITED STATES</v>
          </cell>
        </row>
        <row r="19621">
          <cell r="L19621" t="str">
            <v>Non-proportional</v>
          </cell>
          <cell r="S19621">
            <v>-2655.66</v>
          </cell>
          <cell r="X19621" t="str">
            <v>Commissions - gross</v>
          </cell>
          <cell r="Y19621" t="str">
            <v>MEXICO</v>
          </cell>
        </row>
        <row r="19622">
          <cell r="L19622" t="str">
            <v>Proportional</v>
          </cell>
          <cell r="S19622">
            <v>55933.52</v>
          </cell>
          <cell r="X19622" t="str">
            <v>Commissions - gross</v>
          </cell>
          <cell r="Y19622" t="str">
            <v>UNITED STATES</v>
          </cell>
        </row>
        <row r="19623">
          <cell r="L19623" t="str">
            <v>Proportional</v>
          </cell>
          <cell r="S19623">
            <v>2108.73</v>
          </cell>
          <cell r="X19623" t="str">
            <v>Commissions - gross</v>
          </cell>
          <cell r="Y19623" t="str">
            <v>MEXICO</v>
          </cell>
        </row>
        <row r="19624">
          <cell r="L19624" t="str">
            <v>Proportional</v>
          </cell>
          <cell r="S19624">
            <v>108.23</v>
          </cell>
          <cell r="X19624" t="str">
            <v>Commissions - gross</v>
          </cell>
          <cell r="Y19624" t="str">
            <v>UNITED STATES</v>
          </cell>
        </row>
        <row r="19625">
          <cell r="L19625" t="str">
            <v>Proportional</v>
          </cell>
          <cell r="S19625">
            <v>14844.22</v>
          </cell>
          <cell r="X19625" t="str">
            <v>Commissions - gross</v>
          </cell>
          <cell r="Y19625" t="str">
            <v>CANADA</v>
          </cell>
        </row>
        <row r="19626">
          <cell r="L19626" t="str">
            <v>Proportional</v>
          </cell>
          <cell r="S19626">
            <v>54913.59</v>
          </cell>
          <cell r="X19626" t="str">
            <v>Commissions - gross</v>
          </cell>
          <cell r="Y19626" t="str">
            <v>UNITED STATES</v>
          </cell>
        </row>
        <row r="19627">
          <cell r="L19627" t="str">
            <v>Non-proportional</v>
          </cell>
          <cell r="S19627">
            <v>1859.88</v>
          </cell>
          <cell r="X19627" t="str">
            <v>Commissions - gross</v>
          </cell>
          <cell r="Y19627" t="str">
            <v>MEXICO</v>
          </cell>
        </row>
        <row r="19628">
          <cell r="L19628" t="str">
            <v>Non-proportional</v>
          </cell>
          <cell r="S19628">
            <v>75.52</v>
          </cell>
          <cell r="X19628" t="str">
            <v>Commissions - gross</v>
          </cell>
          <cell r="Y19628" t="str">
            <v>ROMANIA</v>
          </cell>
        </row>
        <row r="19629">
          <cell r="L19629" t="str">
            <v>Non-proportional</v>
          </cell>
          <cell r="S19629">
            <v>598.36</v>
          </cell>
          <cell r="X19629" t="str">
            <v>Commissions - gross</v>
          </cell>
          <cell r="Y19629" t="str">
            <v>MEXICO</v>
          </cell>
        </row>
        <row r="19630">
          <cell r="L19630" t="str">
            <v>Proportional</v>
          </cell>
          <cell r="S19630">
            <v>6498.69</v>
          </cell>
          <cell r="X19630" t="str">
            <v>Commissions - gross</v>
          </cell>
          <cell r="Y19630" t="str">
            <v>HONG KONG</v>
          </cell>
        </row>
        <row r="19631">
          <cell r="L19631" t="str">
            <v>Non-proportional</v>
          </cell>
          <cell r="S19631">
            <v>103.13</v>
          </cell>
          <cell r="X19631" t="str">
            <v>Commissions - gross</v>
          </cell>
          <cell r="Y19631" t="str">
            <v>ROMANIA</v>
          </cell>
        </row>
        <row r="19632">
          <cell r="L19632" t="str">
            <v>Proportional</v>
          </cell>
          <cell r="S19632">
            <v>2437.89</v>
          </cell>
          <cell r="X19632" t="str">
            <v>Commissions - gross</v>
          </cell>
          <cell r="Y19632" t="str">
            <v>MEXICO</v>
          </cell>
        </row>
        <row r="19633">
          <cell r="L19633" t="str">
            <v>Proportional</v>
          </cell>
          <cell r="S19633">
            <v>3255.04</v>
          </cell>
          <cell r="X19633" t="str">
            <v>Commissions - gross</v>
          </cell>
          <cell r="Y19633" t="str">
            <v>MEXICO</v>
          </cell>
        </row>
        <row r="19634">
          <cell r="L19634" t="str">
            <v>Proportional</v>
          </cell>
          <cell r="S19634">
            <v>36442.68</v>
          </cell>
          <cell r="X19634" t="str">
            <v>Commissions - gross</v>
          </cell>
          <cell r="Y19634" t="str">
            <v>HONG KONG</v>
          </cell>
        </row>
        <row r="19635">
          <cell r="L19635" t="str">
            <v>Non-proportional</v>
          </cell>
          <cell r="S19635">
            <v>892.75</v>
          </cell>
          <cell r="X19635" t="str">
            <v>Commissions - gross</v>
          </cell>
          <cell r="Y19635" t="str">
            <v>MEXICO</v>
          </cell>
        </row>
        <row r="19636">
          <cell r="L19636" t="str">
            <v>Proportional</v>
          </cell>
          <cell r="S19636">
            <v>3376.48</v>
          </cell>
          <cell r="X19636" t="str">
            <v>Commissions - gross</v>
          </cell>
          <cell r="Y19636" t="str">
            <v>SWITZERLAND</v>
          </cell>
        </row>
        <row r="19637">
          <cell r="L19637" t="str">
            <v>Proportional</v>
          </cell>
          <cell r="S19637">
            <v>14.84</v>
          </cell>
          <cell r="X19637" t="str">
            <v>Commissions - gross</v>
          </cell>
          <cell r="Y19637" t="str">
            <v>UNITED STATES</v>
          </cell>
        </row>
        <row r="19638">
          <cell r="L19638" t="str">
            <v>Proportional</v>
          </cell>
          <cell r="S19638">
            <v>1574.08</v>
          </cell>
          <cell r="X19638" t="str">
            <v>Commissions - gross</v>
          </cell>
          <cell r="Y19638" t="str">
            <v>FRANCE</v>
          </cell>
        </row>
        <row r="19639">
          <cell r="L19639" t="str">
            <v>Non-proportional</v>
          </cell>
          <cell r="S19639">
            <v>65.459999999999994</v>
          </cell>
          <cell r="X19639" t="str">
            <v>Commissions - gross</v>
          </cell>
          <cell r="Y19639" t="str">
            <v>MEXICO</v>
          </cell>
        </row>
        <row r="19640">
          <cell r="L19640" t="str">
            <v>Non-proportional</v>
          </cell>
          <cell r="S19640">
            <v>31.82</v>
          </cell>
          <cell r="X19640" t="str">
            <v>Commissions - gross</v>
          </cell>
          <cell r="Y19640" t="str">
            <v>MEXICO</v>
          </cell>
        </row>
        <row r="19641">
          <cell r="L19641" t="str">
            <v>Non-proportional</v>
          </cell>
          <cell r="S19641">
            <v>17.53</v>
          </cell>
          <cell r="X19641" t="str">
            <v>Commissions - gross</v>
          </cell>
          <cell r="Y19641" t="str">
            <v>ROMANIA</v>
          </cell>
        </row>
        <row r="19642">
          <cell r="L19642" t="str">
            <v>Proportional</v>
          </cell>
          <cell r="S19642">
            <v>1391.56</v>
          </cell>
          <cell r="X19642" t="str">
            <v>Commissions - gross</v>
          </cell>
          <cell r="Y19642" t="str">
            <v>SWITZERLAND</v>
          </cell>
        </row>
        <row r="19643">
          <cell r="L19643" t="str">
            <v>Proportional</v>
          </cell>
          <cell r="S19643">
            <v>3334.95</v>
          </cell>
          <cell r="X19643" t="str">
            <v>Commissions - gross</v>
          </cell>
          <cell r="Y19643" t="str">
            <v>UNITED STATES</v>
          </cell>
        </row>
        <row r="19644">
          <cell r="L19644" t="str">
            <v>Proportional</v>
          </cell>
          <cell r="S19644">
            <v>145.06</v>
          </cell>
          <cell r="X19644" t="str">
            <v>Commissions - gross</v>
          </cell>
          <cell r="Y19644" t="str">
            <v>UNITED STATES</v>
          </cell>
        </row>
        <row r="19645">
          <cell r="L19645" t="str">
            <v>Proportional</v>
          </cell>
          <cell r="S19645">
            <v>481.05</v>
          </cell>
          <cell r="X19645" t="str">
            <v>Commissions - gross</v>
          </cell>
          <cell r="Y19645" t="str">
            <v>UNITED STATES</v>
          </cell>
        </row>
        <row r="19646">
          <cell r="L19646" t="str">
            <v>Proportional</v>
          </cell>
          <cell r="S19646">
            <v>802.31</v>
          </cell>
          <cell r="X19646" t="str">
            <v>Commissions - gross</v>
          </cell>
          <cell r="Y19646" t="str">
            <v>HONG KONG</v>
          </cell>
        </row>
        <row r="19647">
          <cell r="L19647" t="str">
            <v>Proportional</v>
          </cell>
          <cell r="S19647">
            <v>11247.74</v>
          </cell>
          <cell r="X19647" t="str">
            <v>Commissions - gross</v>
          </cell>
          <cell r="Y19647" t="str">
            <v>JAPAN</v>
          </cell>
        </row>
        <row r="19648">
          <cell r="L19648" t="str">
            <v>Proportional</v>
          </cell>
          <cell r="S19648">
            <v>-284.98</v>
          </cell>
          <cell r="X19648" t="str">
            <v>Commissions - gross</v>
          </cell>
          <cell r="Y19648" t="str">
            <v>CANADA</v>
          </cell>
        </row>
        <row r="19649">
          <cell r="L19649" t="str">
            <v>Proportional</v>
          </cell>
          <cell r="S19649">
            <v>64.25</v>
          </cell>
          <cell r="X19649" t="str">
            <v>Commissions - gross</v>
          </cell>
          <cell r="Y19649" t="str">
            <v>UNITED STATES</v>
          </cell>
        </row>
        <row r="19650">
          <cell r="L19650" t="str">
            <v>Proportional</v>
          </cell>
          <cell r="S19650">
            <v>50660.55</v>
          </cell>
          <cell r="X19650" t="str">
            <v>Commissions - gross</v>
          </cell>
          <cell r="Y19650" t="str">
            <v>UNITED STATES</v>
          </cell>
        </row>
        <row r="19651">
          <cell r="L19651" t="str">
            <v>Proportional</v>
          </cell>
          <cell r="S19651">
            <v>2152.67</v>
          </cell>
          <cell r="X19651" t="str">
            <v>Commissions - gross</v>
          </cell>
          <cell r="Y19651" t="str">
            <v>SWITZERLAND</v>
          </cell>
        </row>
        <row r="19652">
          <cell r="L19652" t="str">
            <v>Proportional</v>
          </cell>
          <cell r="S19652">
            <v>7391.37</v>
          </cell>
          <cell r="X19652" t="str">
            <v>Commissions - gross</v>
          </cell>
          <cell r="Y19652" t="str">
            <v>UNITED STATES</v>
          </cell>
        </row>
        <row r="19653">
          <cell r="L19653" t="str">
            <v>Non-proportional</v>
          </cell>
          <cell r="S19653">
            <v>275.38</v>
          </cell>
          <cell r="X19653" t="str">
            <v>Commissions - gross</v>
          </cell>
          <cell r="Y19653" t="str">
            <v>MEXICO</v>
          </cell>
        </row>
        <row r="19654">
          <cell r="L19654" t="str">
            <v>Proportional</v>
          </cell>
          <cell r="S19654">
            <v>9.48</v>
          </cell>
          <cell r="X19654" t="str">
            <v>Commissions - gross</v>
          </cell>
          <cell r="Y19654" t="str">
            <v>UNITED STATES</v>
          </cell>
        </row>
        <row r="19655">
          <cell r="L19655" t="str">
            <v>Proportional</v>
          </cell>
          <cell r="S19655">
            <v>1979.75</v>
          </cell>
          <cell r="X19655" t="str">
            <v>Commissions - gross</v>
          </cell>
          <cell r="Y19655" t="str">
            <v>JAPAN</v>
          </cell>
        </row>
        <row r="19656">
          <cell r="L19656" t="str">
            <v>Non-proportional</v>
          </cell>
          <cell r="S19656">
            <v>237.6</v>
          </cell>
          <cell r="X19656" t="str">
            <v>Commissions - gross</v>
          </cell>
          <cell r="Y19656" t="str">
            <v>PUERTO RICO</v>
          </cell>
        </row>
        <row r="19657">
          <cell r="L19657" t="str">
            <v>Proportional</v>
          </cell>
          <cell r="S19657">
            <v>3047.22</v>
          </cell>
          <cell r="X19657" t="str">
            <v>Commissions - gross</v>
          </cell>
          <cell r="Y19657" t="str">
            <v>JAPAN</v>
          </cell>
        </row>
        <row r="19658">
          <cell r="L19658" t="str">
            <v>Non-proportional</v>
          </cell>
          <cell r="S19658">
            <v>237.6</v>
          </cell>
          <cell r="X19658" t="str">
            <v>Commissions - gross</v>
          </cell>
          <cell r="Y19658" t="str">
            <v>PUERTO RICO</v>
          </cell>
        </row>
        <row r="19659">
          <cell r="L19659" t="str">
            <v>Proportional</v>
          </cell>
          <cell r="S19659">
            <v>3426.64</v>
          </cell>
          <cell r="X19659" t="str">
            <v>Commissions - gross</v>
          </cell>
          <cell r="Y19659" t="str">
            <v>UNITED STATES</v>
          </cell>
        </row>
        <row r="19660">
          <cell r="L19660" t="str">
            <v>Non-proportional</v>
          </cell>
          <cell r="S19660">
            <v>1090.9100000000001</v>
          </cell>
          <cell r="X19660" t="str">
            <v>Commissions - gross</v>
          </cell>
          <cell r="Y19660" t="str">
            <v>ITALY</v>
          </cell>
        </row>
        <row r="19661">
          <cell r="L19661" t="str">
            <v>Non-proportional</v>
          </cell>
          <cell r="S19661">
            <v>241.61</v>
          </cell>
          <cell r="X19661" t="str">
            <v>Commissions - gross</v>
          </cell>
          <cell r="Y19661" t="str">
            <v>MEXICO</v>
          </cell>
        </row>
        <row r="19662">
          <cell r="L19662" t="str">
            <v>Proportional</v>
          </cell>
          <cell r="S19662">
            <v>2283.2199999999998</v>
          </cell>
          <cell r="X19662" t="str">
            <v>Commissions - gross</v>
          </cell>
          <cell r="Y19662" t="str">
            <v>CANADA</v>
          </cell>
        </row>
        <row r="19663">
          <cell r="L19663" t="str">
            <v>Proportional</v>
          </cell>
          <cell r="S19663">
            <v>-1.68</v>
          </cell>
          <cell r="X19663" t="str">
            <v>Commissions - gross</v>
          </cell>
          <cell r="Y19663" t="str">
            <v>UNITED STATES</v>
          </cell>
        </row>
        <row r="19664">
          <cell r="L19664" t="str">
            <v>Non-proportional</v>
          </cell>
          <cell r="S19664">
            <v>175.49</v>
          </cell>
          <cell r="X19664" t="str">
            <v>Commissions - gross</v>
          </cell>
          <cell r="Y19664" t="str">
            <v>PUERTO RICO</v>
          </cell>
        </row>
        <row r="19665">
          <cell r="L19665" t="str">
            <v>Proportional</v>
          </cell>
          <cell r="S19665">
            <v>-249.51</v>
          </cell>
          <cell r="X19665" t="str">
            <v>Commissions - gross</v>
          </cell>
          <cell r="Y19665" t="str">
            <v>CANADA</v>
          </cell>
        </row>
        <row r="19666">
          <cell r="L19666" t="str">
            <v>Proportional</v>
          </cell>
          <cell r="S19666">
            <v>3507.33</v>
          </cell>
          <cell r="X19666" t="str">
            <v>Commissions - gross</v>
          </cell>
          <cell r="Y19666" t="str">
            <v>MEXICO</v>
          </cell>
        </row>
        <row r="19667">
          <cell r="L19667" t="str">
            <v>Non-proportional</v>
          </cell>
          <cell r="S19667">
            <v>75.52</v>
          </cell>
          <cell r="X19667" t="str">
            <v>Commissions - gross</v>
          </cell>
          <cell r="Y19667" t="str">
            <v>ROMANIA</v>
          </cell>
        </row>
        <row r="19668">
          <cell r="L19668" t="str">
            <v>Proportional</v>
          </cell>
          <cell r="S19668">
            <v>3672.95</v>
          </cell>
          <cell r="X19668" t="str">
            <v>Commissions - gross</v>
          </cell>
          <cell r="Y19668" t="str">
            <v>CANADA</v>
          </cell>
        </row>
        <row r="19669">
          <cell r="L19669" t="str">
            <v>Proportional</v>
          </cell>
          <cell r="S19669">
            <v>5490.47</v>
          </cell>
          <cell r="X19669" t="str">
            <v>Commissions - gross</v>
          </cell>
          <cell r="Y19669" t="str">
            <v>UNITED STATES</v>
          </cell>
        </row>
        <row r="19670">
          <cell r="L19670" t="str">
            <v>Proportional</v>
          </cell>
          <cell r="S19670">
            <v>3217</v>
          </cell>
          <cell r="X19670" t="str">
            <v>Commissions - gross</v>
          </cell>
          <cell r="Y19670" t="str">
            <v>JAPAN</v>
          </cell>
        </row>
        <row r="19671">
          <cell r="L19671" t="str">
            <v>Proportional</v>
          </cell>
          <cell r="S19671">
            <v>44178.89</v>
          </cell>
          <cell r="X19671" t="str">
            <v>Commissions - gross</v>
          </cell>
          <cell r="Y19671" t="str">
            <v>UNITED STATES</v>
          </cell>
        </row>
        <row r="19672">
          <cell r="L19672" t="str">
            <v>Non-proportional</v>
          </cell>
          <cell r="S19672">
            <v>1090.9100000000001</v>
          </cell>
          <cell r="X19672" t="str">
            <v>Commissions - gross</v>
          </cell>
          <cell r="Y19672" t="str">
            <v>ITALY</v>
          </cell>
        </row>
        <row r="19673">
          <cell r="L19673" t="str">
            <v>Proportional</v>
          </cell>
          <cell r="S19673">
            <v>58.16</v>
          </cell>
          <cell r="X19673" t="str">
            <v>Commissions - gross</v>
          </cell>
          <cell r="Y19673" t="str">
            <v>UNITED STATES</v>
          </cell>
        </row>
        <row r="19674">
          <cell r="L19674" t="str">
            <v>Proportional</v>
          </cell>
          <cell r="S19674">
            <v>2229.6799999999998</v>
          </cell>
          <cell r="X19674" t="str">
            <v>Commissions - gross</v>
          </cell>
          <cell r="Y19674" t="str">
            <v>SWITZERLAND</v>
          </cell>
        </row>
        <row r="19675">
          <cell r="L19675" t="str">
            <v>Proportional</v>
          </cell>
          <cell r="S19675">
            <v>11871.51</v>
          </cell>
          <cell r="X19675" t="str">
            <v>Commissions - gross</v>
          </cell>
          <cell r="Y19675" t="str">
            <v>JAPAN</v>
          </cell>
        </row>
        <row r="19676">
          <cell r="L19676" t="str">
            <v>Proportional</v>
          </cell>
          <cell r="S19676">
            <v>1285.21</v>
          </cell>
          <cell r="X19676" t="str">
            <v>Commissions - gross</v>
          </cell>
          <cell r="Y19676" t="str">
            <v>HONG KONG</v>
          </cell>
        </row>
        <row r="19677">
          <cell r="L19677" t="str">
            <v>Proportional</v>
          </cell>
          <cell r="S19677">
            <v>127.01</v>
          </cell>
          <cell r="X19677" t="str">
            <v>Commissions - gross</v>
          </cell>
          <cell r="Y19677" t="str">
            <v>UNITED STATES</v>
          </cell>
        </row>
        <row r="19678">
          <cell r="L19678" t="str">
            <v>Non-proportional</v>
          </cell>
          <cell r="S19678">
            <v>63.05</v>
          </cell>
          <cell r="X19678" t="str">
            <v>Commissions - gross</v>
          </cell>
          <cell r="Y19678" t="str">
            <v>MEXICO</v>
          </cell>
        </row>
        <row r="19679">
          <cell r="L19679" t="str">
            <v>Proportional</v>
          </cell>
          <cell r="S19679">
            <v>2142.6999999999998</v>
          </cell>
          <cell r="X19679" t="str">
            <v>Commissions - gross</v>
          </cell>
          <cell r="Y19679" t="str">
            <v>JAPAN</v>
          </cell>
        </row>
        <row r="19680">
          <cell r="L19680" t="str">
            <v>Proportional</v>
          </cell>
          <cell r="S19680">
            <v>10410.23</v>
          </cell>
          <cell r="X19680" t="str">
            <v>Commissions - gross</v>
          </cell>
          <cell r="Y19680" t="str">
            <v>HONG KONG</v>
          </cell>
        </row>
        <row r="19681">
          <cell r="L19681" t="str">
            <v>Non-proportional</v>
          </cell>
          <cell r="S19681">
            <v>1791.48</v>
          </cell>
          <cell r="X19681" t="str">
            <v>Commissions - gross</v>
          </cell>
          <cell r="Y19681" t="str">
            <v>MEXICO</v>
          </cell>
        </row>
        <row r="19682">
          <cell r="L19682" t="str">
            <v>Proportional</v>
          </cell>
          <cell r="S19682">
            <v>1.2</v>
          </cell>
          <cell r="X19682" t="str">
            <v>Commissions - gross</v>
          </cell>
          <cell r="Y19682" t="str">
            <v>UNITED STATES</v>
          </cell>
        </row>
        <row r="19683">
          <cell r="L19683" t="str">
            <v>Proportional</v>
          </cell>
          <cell r="S19683">
            <v>8.48</v>
          </cell>
          <cell r="X19683" t="str">
            <v>Commissions - gross</v>
          </cell>
          <cell r="Y19683" t="str">
            <v>UNITED STATES</v>
          </cell>
        </row>
        <row r="19684">
          <cell r="L19684" t="str">
            <v>Proportional</v>
          </cell>
          <cell r="S19684">
            <v>47887.79</v>
          </cell>
          <cell r="X19684" t="str">
            <v>Commissions - gross</v>
          </cell>
          <cell r="Y19684" t="str">
            <v>UNITED STATES</v>
          </cell>
        </row>
        <row r="19685">
          <cell r="L19685" t="str">
            <v>Proportional</v>
          </cell>
          <cell r="S19685">
            <v>2659.23</v>
          </cell>
          <cell r="X19685" t="str">
            <v>Commissions - gross</v>
          </cell>
          <cell r="Y19685" t="str">
            <v>MEXICO</v>
          </cell>
        </row>
        <row r="19686">
          <cell r="L19686" t="str">
            <v>Non-proportional</v>
          </cell>
          <cell r="S19686">
            <v>228.86</v>
          </cell>
          <cell r="X19686" t="str">
            <v>Commissions - gross</v>
          </cell>
          <cell r="Y19686" t="str">
            <v>PUERTO RICO</v>
          </cell>
        </row>
        <row r="19687">
          <cell r="L19687" t="str">
            <v>Non-proportional</v>
          </cell>
          <cell r="S19687">
            <v>576.36</v>
          </cell>
          <cell r="X19687" t="str">
            <v>Commissions - gross</v>
          </cell>
          <cell r="Y19687" t="str">
            <v>MEXICO</v>
          </cell>
        </row>
        <row r="19688">
          <cell r="L19688" t="str">
            <v>Non-proportional</v>
          </cell>
          <cell r="S19688">
            <v>228.86</v>
          </cell>
          <cell r="X19688" t="str">
            <v>Commissions - gross</v>
          </cell>
          <cell r="Y19688" t="str">
            <v>PUERTO RICO</v>
          </cell>
        </row>
        <row r="19689">
          <cell r="L19689" t="str">
            <v>Proportional</v>
          </cell>
          <cell r="S19689">
            <v>13.43</v>
          </cell>
          <cell r="X19689" t="str">
            <v>Commissions - gross</v>
          </cell>
          <cell r="Y19689" t="str">
            <v>UNITED STATES</v>
          </cell>
        </row>
        <row r="19690">
          <cell r="L19690" t="str">
            <v>Proportional</v>
          </cell>
          <cell r="S19690">
            <v>2522.15</v>
          </cell>
          <cell r="X19690" t="str">
            <v>Commissions - gross</v>
          </cell>
          <cell r="Y19690" t="str">
            <v>FRANCE</v>
          </cell>
        </row>
        <row r="19691">
          <cell r="L19691" t="str">
            <v>Non-proportional</v>
          </cell>
          <cell r="S19691">
            <v>103.13</v>
          </cell>
          <cell r="X19691" t="str">
            <v>Commissions - gross</v>
          </cell>
          <cell r="Y19691" t="str">
            <v>ROMANIA</v>
          </cell>
        </row>
        <row r="19692">
          <cell r="L19692" t="str">
            <v>Non-proportional</v>
          </cell>
          <cell r="S19692">
            <v>265.25</v>
          </cell>
          <cell r="X19692" t="str">
            <v>Commissions - gross</v>
          </cell>
          <cell r="Y19692" t="str">
            <v>MEXICO</v>
          </cell>
        </row>
        <row r="19693">
          <cell r="L19693" t="str">
            <v>Proportional</v>
          </cell>
          <cell r="S19693">
            <v>12996.57</v>
          </cell>
          <cell r="X19693" t="str">
            <v>Commissions - gross</v>
          </cell>
          <cell r="Y19693" t="str">
            <v>CANADA</v>
          </cell>
        </row>
        <row r="19694">
          <cell r="L19694" t="str">
            <v>Non-proportional</v>
          </cell>
          <cell r="S19694">
            <v>859.92</v>
          </cell>
          <cell r="X19694" t="str">
            <v>Commissions - gross</v>
          </cell>
          <cell r="Y19694" t="str">
            <v>MEXICO</v>
          </cell>
        </row>
        <row r="19695">
          <cell r="L19695" t="str">
            <v>Non-proportional</v>
          </cell>
          <cell r="S19695">
            <v>17.53</v>
          </cell>
          <cell r="X19695" t="str">
            <v>Commissions - gross</v>
          </cell>
          <cell r="Y19695" t="str">
            <v>ROMANIA</v>
          </cell>
        </row>
        <row r="19696">
          <cell r="L19696" t="str">
            <v>Proportional</v>
          </cell>
          <cell r="S19696">
            <v>5343.57</v>
          </cell>
          <cell r="X19696" t="str">
            <v>Commissions - gross</v>
          </cell>
          <cell r="Y19696" t="str">
            <v>UNITED STATES</v>
          </cell>
        </row>
        <row r="19697">
          <cell r="L19697" t="str">
            <v>Proportional</v>
          </cell>
          <cell r="S19697">
            <v>-1.47</v>
          </cell>
          <cell r="X19697" t="str">
            <v>Commissions - gross</v>
          </cell>
          <cell r="Y19697" t="str">
            <v>UNITED STATES</v>
          </cell>
        </row>
        <row r="19698">
          <cell r="L19698" t="str">
            <v>Proportional</v>
          </cell>
          <cell r="S19698">
            <v>46.93</v>
          </cell>
          <cell r="X19698" t="str">
            <v>Commissions - gross</v>
          </cell>
          <cell r="Y19698" t="str">
            <v>UNITED STATES</v>
          </cell>
        </row>
        <row r="19699">
          <cell r="L19699" t="str">
            <v>Proportional</v>
          </cell>
          <cell r="S19699">
            <v>3449.2</v>
          </cell>
          <cell r="X19699" t="str">
            <v>Commissions - gross</v>
          </cell>
          <cell r="Y19699" t="str">
            <v>SWITZERLAND</v>
          </cell>
        </row>
        <row r="19700">
          <cell r="L19700" t="str">
            <v>Non-proportional</v>
          </cell>
          <cell r="S19700">
            <v>30.65</v>
          </cell>
          <cell r="X19700" t="str">
            <v>Commissions - gross</v>
          </cell>
          <cell r="Y19700" t="str">
            <v>MEXICO</v>
          </cell>
        </row>
        <row r="19701">
          <cell r="L19701" t="str">
            <v>Proportional</v>
          </cell>
          <cell r="S19701">
            <v>11843.13</v>
          </cell>
          <cell r="X19701" t="str">
            <v>Commissions - gross</v>
          </cell>
          <cell r="Y19701" t="str">
            <v>UNITED STATES</v>
          </cell>
        </row>
        <row r="19702">
          <cell r="L19702" t="str">
            <v>Proportional</v>
          </cell>
          <cell r="S19702">
            <v>421.17</v>
          </cell>
          <cell r="X19702" t="str">
            <v>Commissions - gross</v>
          </cell>
          <cell r="Y19702" t="str">
            <v>UNITED STATES</v>
          </cell>
        </row>
        <row r="19703">
          <cell r="L19703" t="str">
            <v>Non-proportional</v>
          </cell>
          <cell r="S19703">
            <v>232.72</v>
          </cell>
          <cell r="X19703" t="str">
            <v>Commissions - gross</v>
          </cell>
          <cell r="Y19703" t="str">
            <v>MEXICO</v>
          </cell>
        </row>
        <row r="19704">
          <cell r="L19704" t="str">
            <v>Proportional</v>
          </cell>
          <cell r="S19704">
            <v>5410.1</v>
          </cell>
          <cell r="X19704" t="str">
            <v>Commissions - gross</v>
          </cell>
          <cell r="Y19704" t="str">
            <v>SWITZERLAND</v>
          </cell>
        </row>
        <row r="19705">
          <cell r="L19705" t="str">
            <v>Non-proportional</v>
          </cell>
          <cell r="S19705">
            <v>169.03</v>
          </cell>
          <cell r="X19705" t="str">
            <v>Commissions - gross</v>
          </cell>
          <cell r="Y19705" t="str">
            <v>PUERTO RICO</v>
          </cell>
        </row>
        <row r="19706">
          <cell r="L19706" t="str">
            <v>Proportional</v>
          </cell>
          <cell r="S19706">
            <v>31772.26</v>
          </cell>
          <cell r="X19706" t="str">
            <v>Commissions - gross</v>
          </cell>
          <cell r="Y19706" t="str">
            <v>HONG KONG</v>
          </cell>
        </row>
        <row r="19707">
          <cell r="L19707" t="str">
            <v>Proportional</v>
          </cell>
          <cell r="S19707">
            <v>30.68</v>
          </cell>
          <cell r="X19707" t="str">
            <v>Commissions - gross</v>
          </cell>
          <cell r="Y19707" t="str">
            <v>UNITED STATES</v>
          </cell>
        </row>
        <row r="19708">
          <cell r="L19708" t="str">
            <v>Non-proportional</v>
          </cell>
          <cell r="S19708">
            <v>217.45</v>
          </cell>
          <cell r="X19708" t="str">
            <v>Commissions - gross</v>
          </cell>
          <cell r="Y19708" t="str">
            <v>PUERTO RICO</v>
          </cell>
        </row>
        <row r="19709">
          <cell r="L19709" t="str">
            <v>Proportional</v>
          </cell>
          <cell r="S19709">
            <v>-63122.83</v>
          </cell>
          <cell r="X19709" t="str">
            <v>Commissions - gross</v>
          </cell>
          <cell r="Y19709" t="str">
            <v>JAPAN</v>
          </cell>
        </row>
        <row r="19710">
          <cell r="L19710" t="str">
            <v>Proportional</v>
          </cell>
          <cell r="S19710">
            <v>7161.03</v>
          </cell>
          <cell r="X19710" t="str">
            <v>Commissions - gross</v>
          </cell>
          <cell r="Y19710" t="str">
            <v>UNITED STATES</v>
          </cell>
        </row>
        <row r="19711">
          <cell r="L19711" t="str">
            <v>Non-proportional</v>
          </cell>
          <cell r="S19711">
            <v>103.13</v>
          </cell>
          <cell r="X19711" t="str">
            <v>Commissions - gross</v>
          </cell>
          <cell r="Y19711" t="str">
            <v>ROMANIA</v>
          </cell>
        </row>
        <row r="19712">
          <cell r="L19712" t="str">
            <v>Non-proportional</v>
          </cell>
          <cell r="S19712">
            <v>-299.88</v>
          </cell>
          <cell r="X19712" t="str">
            <v>Commissions - gross</v>
          </cell>
          <cell r="Y19712" t="str">
            <v>PUERTO RICO</v>
          </cell>
        </row>
        <row r="19713">
          <cell r="L19713" t="str">
            <v>Proportional</v>
          </cell>
          <cell r="S19713">
            <v>7250.19</v>
          </cell>
          <cell r="X19713" t="str">
            <v>Commissions - gross</v>
          </cell>
          <cell r="Y19713" t="str">
            <v>SWITZERLAND</v>
          </cell>
        </row>
        <row r="19714">
          <cell r="L19714" t="str">
            <v>Proportional</v>
          </cell>
          <cell r="S19714">
            <v>8592.94</v>
          </cell>
          <cell r="X19714" t="str">
            <v>Commissions - gross</v>
          </cell>
          <cell r="Y19714" t="str">
            <v>JAPAN</v>
          </cell>
        </row>
        <row r="19715">
          <cell r="L19715" t="str">
            <v>Proportional</v>
          </cell>
          <cell r="S19715">
            <v>11309.65</v>
          </cell>
          <cell r="X19715" t="str">
            <v>Commissions - gross</v>
          </cell>
          <cell r="Y19715" t="str">
            <v>JAPAN</v>
          </cell>
        </row>
        <row r="19716">
          <cell r="L19716" t="str">
            <v>Non-proportional</v>
          </cell>
          <cell r="S19716">
            <v>160.61000000000001</v>
          </cell>
          <cell r="X19716" t="str">
            <v>Commissions - gross</v>
          </cell>
          <cell r="Y19716" t="str">
            <v>PUERTO RICO</v>
          </cell>
        </row>
        <row r="19717">
          <cell r="L19717" t="str">
            <v>Proportional</v>
          </cell>
          <cell r="S19717">
            <v>9026.81</v>
          </cell>
          <cell r="X19717" t="str">
            <v>Commissions - gross</v>
          </cell>
          <cell r="Y19717" t="str">
            <v>CANADA</v>
          </cell>
        </row>
        <row r="19718">
          <cell r="L19718" t="str">
            <v>Proportional</v>
          </cell>
          <cell r="S19718">
            <v>7357.89</v>
          </cell>
          <cell r="X19718" t="str">
            <v>Commissions - gross</v>
          </cell>
          <cell r="Y19718" t="str">
            <v>UNITED STATES</v>
          </cell>
        </row>
        <row r="19719">
          <cell r="L19719" t="str">
            <v>Proportional</v>
          </cell>
          <cell r="S19719">
            <v>-4.03</v>
          </cell>
          <cell r="X19719" t="str">
            <v>Commissions - gross</v>
          </cell>
          <cell r="Y19719" t="str">
            <v>UNITED STATES</v>
          </cell>
        </row>
        <row r="19720">
          <cell r="L19720" t="str">
            <v>Proportional</v>
          </cell>
          <cell r="S19720">
            <v>4622.3500000000004</v>
          </cell>
          <cell r="X19720" t="str">
            <v>Commissions - gross</v>
          </cell>
          <cell r="Y19720" t="str">
            <v>SWITZERLAND</v>
          </cell>
        </row>
        <row r="19721">
          <cell r="L19721" t="str">
            <v>Proportional</v>
          </cell>
          <cell r="S19721">
            <v>375.84</v>
          </cell>
          <cell r="X19721" t="str">
            <v>Commissions - gross</v>
          </cell>
          <cell r="Y19721" t="str">
            <v>JAPAN</v>
          </cell>
        </row>
        <row r="19722">
          <cell r="L19722" t="str">
            <v>Proportional</v>
          </cell>
          <cell r="S19722">
            <v>3680.96</v>
          </cell>
          <cell r="X19722" t="str">
            <v>Commissions - gross</v>
          </cell>
          <cell r="Y19722" t="str">
            <v>MEXICO</v>
          </cell>
        </row>
        <row r="19723">
          <cell r="L19723" t="str">
            <v>Proportional</v>
          </cell>
          <cell r="S19723">
            <v>89007.66</v>
          </cell>
          <cell r="X19723" t="str">
            <v>Commissions - gross</v>
          </cell>
          <cell r="Y19723" t="str">
            <v>UNITED STATES</v>
          </cell>
        </row>
        <row r="19724">
          <cell r="L19724" t="str">
            <v>Non-proportional</v>
          </cell>
          <cell r="S19724">
            <v>17.53</v>
          </cell>
          <cell r="X19724" t="str">
            <v>Commissions - gross</v>
          </cell>
          <cell r="Y19724" t="str">
            <v>ROMANIA</v>
          </cell>
        </row>
        <row r="19725">
          <cell r="L19725" t="str">
            <v>Non-proportional</v>
          </cell>
          <cell r="S19725">
            <v>817.07</v>
          </cell>
          <cell r="X19725" t="str">
            <v>Commissions - gross</v>
          </cell>
          <cell r="Y19725" t="str">
            <v>MEXICO</v>
          </cell>
        </row>
        <row r="19726">
          <cell r="L19726" t="str">
            <v>Proportional</v>
          </cell>
          <cell r="S19726">
            <v>66696.88</v>
          </cell>
          <cell r="X19726" t="str">
            <v>Commissions - gross</v>
          </cell>
          <cell r="Y19726" t="str">
            <v>UNITED STATES</v>
          </cell>
        </row>
        <row r="19727">
          <cell r="L19727" t="str">
            <v>Proportional</v>
          </cell>
          <cell r="S19727">
            <v>-40.08</v>
          </cell>
          <cell r="X19727" t="str">
            <v>Commissions - gross</v>
          </cell>
          <cell r="Y19727" t="str">
            <v>UNITED STATES</v>
          </cell>
        </row>
        <row r="19728">
          <cell r="L19728" t="str">
            <v>Non-proportional</v>
          </cell>
          <cell r="S19728">
            <v>252.03</v>
          </cell>
          <cell r="X19728" t="str">
            <v>Commissions - gross</v>
          </cell>
          <cell r="Y19728" t="str">
            <v>MEXICO</v>
          </cell>
        </row>
        <row r="19729">
          <cell r="L19729" t="str">
            <v>Proportional</v>
          </cell>
          <cell r="S19729">
            <v>2826.5</v>
          </cell>
          <cell r="X19729" t="str">
            <v>Commissions - gross</v>
          </cell>
          <cell r="Y19729" t="str">
            <v>MEXICO</v>
          </cell>
        </row>
        <row r="19730">
          <cell r="L19730" t="str">
            <v>Proportional</v>
          </cell>
          <cell r="S19730">
            <v>-206.74</v>
          </cell>
          <cell r="X19730" t="str">
            <v>Commissions - gross</v>
          </cell>
          <cell r="Y19730" t="str">
            <v>CANADA</v>
          </cell>
        </row>
        <row r="19731">
          <cell r="L19731" t="str">
            <v>Non-proportional</v>
          </cell>
          <cell r="S19731">
            <v>217.45</v>
          </cell>
          <cell r="X19731" t="str">
            <v>Commissions - gross</v>
          </cell>
          <cell r="Y19731" t="str">
            <v>PUERTO RICO</v>
          </cell>
        </row>
        <row r="19732">
          <cell r="L19732" t="str">
            <v>Proportional</v>
          </cell>
          <cell r="S19732">
            <v>-11.09</v>
          </cell>
          <cell r="X19732" t="str">
            <v>Commissions - gross</v>
          </cell>
          <cell r="Y19732" t="str">
            <v>UNITED STATES</v>
          </cell>
        </row>
        <row r="19733">
          <cell r="L19733" t="str">
            <v>Non-proportional</v>
          </cell>
          <cell r="S19733">
            <v>29.12</v>
          </cell>
          <cell r="X19733" t="str">
            <v>Commissions - gross</v>
          </cell>
          <cell r="Y19733" t="str">
            <v>MEXICO</v>
          </cell>
        </row>
        <row r="19734">
          <cell r="L19734" t="str">
            <v>Non-proportional</v>
          </cell>
          <cell r="S19734">
            <v>547.64</v>
          </cell>
          <cell r="X19734" t="str">
            <v>Commissions - gross</v>
          </cell>
          <cell r="Y19734" t="str">
            <v>MEXICO</v>
          </cell>
        </row>
        <row r="19735">
          <cell r="L19735" t="str">
            <v>Non-proportional</v>
          </cell>
          <cell r="S19735">
            <v>59.91</v>
          </cell>
          <cell r="X19735" t="str">
            <v>Commissions - gross</v>
          </cell>
          <cell r="Y19735" t="str">
            <v>MEXICO</v>
          </cell>
        </row>
        <row r="19736">
          <cell r="L19736" t="str">
            <v>Proportional</v>
          </cell>
          <cell r="S19736">
            <v>7.41</v>
          </cell>
          <cell r="X19736" t="str">
            <v>Commissions - gross</v>
          </cell>
          <cell r="Y19736" t="str">
            <v>UNITED STATES</v>
          </cell>
        </row>
        <row r="19737">
          <cell r="L19737" t="str">
            <v>Proportional</v>
          </cell>
          <cell r="S19737">
            <v>15871.23</v>
          </cell>
          <cell r="X19737" t="str">
            <v>Commissions - gross</v>
          </cell>
          <cell r="Y19737" t="str">
            <v>UNITED STATES</v>
          </cell>
        </row>
        <row r="19738">
          <cell r="L19738" t="str">
            <v>Proportional</v>
          </cell>
          <cell r="S19738">
            <v>-1377.84</v>
          </cell>
          <cell r="X19738" t="str">
            <v>Commissions - gross</v>
          </cell>
          <cell r="Y19738" t="str">
            <v>CANADA</v>
          </cell>
        </row>
        <row r="19739">
          <cell r="L19739" t="str">
            <v>Proportional</v>
          </cell>
          <cell r="S19739">
            <v>13987.72</v>
          </cell>
          <cell r="X19739" t="str">
            <v>Commissions - gross</v>
          </cell>
          <cell r="Y19739" t="str">
            <v>HONG KONG</v>
          </cell>
        </row>
        <row r="19740">
          <cell r="L19740" t="str">
            <v>Proportional</v>
          </cell>
          <cell r="S19740">
            <v>52</v>
          </cell>
          <cell r="X19740" t="str">
            <v>Commissions - gross</v>
          </cell>
          <cell r="Y19740" t="str">
            <v>UNITED STATES</v>
          </cell>
        </row>
        <row r="19741">
          <cell r="L19741" t="str">
            <v>Proportional</v>
          </cell>
          <cell r="S19741">
            <v>-229209.64</v>
          </cell>
          <cell r="X19741" t="str">
            <v>Commissions - gross</v>
          </cell>
          <cell r="Y19741" t="str">
            <v>JAPAN</v>
          </cell>
        </row>
        <row r="19742">
          <cell r="L19742" t="str">
            <v>Proportional</v>
          </cell>
          <cell r="S19742">
            <v>2988.04</v>
          </cell>
          <cell r="X19742" t="str">
            <v>Commissions - gross</v>
          </cell>
          <cell r="Y19742" t="str">
            <v>SWITZERLAND</v>
          </cell>
        </row>
        <row r="19743">
          <cell r="L19743" t="str">
            <v>Non-proportional</v>
          </cell>
          <cell r="S19743">
            <v>75.52</v>
          </cell>
          <cell r="X19743" t="str">
            <v>Commissions - gross</v>
          </cell>
          <cell r="Y19743" t="str">
            <v>ROMANIA</v>
          </cell>
        </row>
        <row r="19744">
          <cell r="L19744" t="str">
            <v>Proportional</v>
          </cell>
          <cell r="S19744">
            <v>27058.22</v>
          </cell>
          <cell r="X19744" t="str">
            <v>Commissions - gross</v>
          </cell>
          <cell r="Y19744" t="str">
            <v>HONG KONG</v>
          </cell>
        </row>
        <row r="19745">
          <cell r="L19745" t="str">
            <v>Proportional</v>
          </cell>
          <cell r="S19745">
            <v>3379.98</v>
          </cell>
          <cell r="X19745" t="str">
            <v>Commissions - gross</v>
          </cell>
          <cell r="Y19745" t="str">
            <v>FRANCE</v>
          </cell>
        </row>
        <row r="19746">
          <cell r="L19746" t="str">
            <v>Proportional</v>
          </cell>
          <cell r="S19746">
            <v>1726.88</v>
          </cell>
          <cell r="X19746" t="str">
            <v>Commissions - gross</v>
          </cell>
          <cell r="Y19746" t="str">
            <v>HONG KONG</v>
          </cell>
        </row>
        <row r="19747">
          <cell r="L19747" t="str">
            <v>Proportional</v>
          </cell>
          <cell r="S19747">
            <v>-105.57</v>
          </cell>
          <cell r="X19747" t="str">
            <v>Commissions - gross</v>
          </cell>
          <cell r="Y19747" t="str">
            <v>UNITED STATES</v>
          </cell>
        </row>
        <row r="19748">
          <cell r="L19748" t="str">
            <v>Non-proportional</v>
          </cell>
          <cell r="S19748">
            <v>1702.21</v>
          </cell>
          <cell r="X19748" t="str">
            <v>Commissions - gross</v>
          </cell>
          <cell r="Y19748" t="str">
            <v>MEXICO</v>
          </cell>
        </row>
        <row r="19749">
          <cell r="L19749" t="str">
            <v>Non-proportional</v>
          </cell>
          <cell r="S19749">
            <v>221.13</v>
          </cell>
          <cell r="X19749" t="str">
            <v>Commissions - gross</v>
          </cell>
          <cell r="Y19749" t="str">
            <v>MEXICO</v>
          </cell>
        </row>
        <row r="19750">
          <cell r="L19750" t="str">
            <v>Proportional</v>
          </cell>
          <cell r="S19750">
            <v>-574.05999999999995</v>
          </cell>
          <cell r="X19750" t="str">
            <v>Commissions - gross</v>
          </cell>
          <cell r="Y19750" t="str">
            <v>UNITED STATES</v>
          </cell>
        </row>
        <row r="19751">
          <cell r="L19751" t="str">
            <v>Proportional</v>
          </cell>
          <cell r="S19751">
            <v>5313.11</v>
          </cell>
          <cell r="X19751" t="str">
            <v>Commissions - gross</v>
          </cell>
          <cell r="Y19751" t="str">
            <v>CANADA</v>
          </cell>
        </row>
        <row r="19752">
          <cell r="L19752" t="str">
            <v>Non-proportional</v>
          </cell>
          <cell r="S19752">
            <v>-443.68</v>
          </cell>
          <cell r="X19752" t="str">
            <v>Commissions - gross</v>
          </cell>
          <cell r="Y19752" t="str">
            <v>PUERTO RICO</v>
          </cell>
        </row>
        <row r="19753">
          <cell r="L19753" t="str">
            <v>Proportional</v>
          </cell>
          <cell r="S19753">
            <v>-329.5</v>
          </cell>
          <cell r="X19753" t="str">
            <v>Commissions - gross</v>
          </cell>
          <cell r="Y19753" t="str">
            <v>UNITED STATES</v>
          </cell>
        </row>
        <row r="19754">
          <cell r="L19754" t="str">
            <v>Non-proportional</v>
          </cell>
          <cell r="S19754">
            <v>1090.9100000000001</v>
          </cell>
          <cell r="X19754" t="str">
            <v>Commissions - gross</v>
          </cell>
          <cell r="Y19754" t="str">
            <v>ITALY</v>
          </cell>
        </row>
        <row r="19755">
          <cell r="L19755" t="str">
            <v>Proportional</v>
          </cell>
          <cell r="S19755">
            <v>-267.35000000000002</v>
          </cell>
          <cell r="X19755" t="str">
            <v>Commissions - gross</v>
          </cell>
          <cell r="Y19755" t="str">
            <v>CANADA</v>
          </cell>
        </row>
        <row r="19756">
          <cell r="L19756" t="str">
            <v>Proportional</v>
          </cell>
          <cell r="S19756">
            <v>1831.98</v>
          </cell>
          <cell r="X19756" t="str">
            <v>Commissions - gross</v>
          </cell>
          <cell r="Y19756" t="str">
            <v>JAPAN</v>
          </cell>
        </row>
        <row r="19757">
          <cell r="L19757" t="str">
            <v>Proportional</v>
          </cell>
          <cell r="S19757">
            <v>20608.16</v>
          </cell>
          <cell r="X19757" t="str">
            <v>Commissions - gross</v>
          </cell>
          <cell r="Y19757" t="str">
            <v>UNITED STATES</v>
          </cell>
        </row>
        <row r="19758">
          <cell r="L19758" t="str">
            <v>Proportional</v>
          </cell>
          <cell r="S19758">
            <v>-9.9</v>
          </cell>
          <cell r="X19758" t="str">
            <v>Commissions - gross</v>
          </cell>
          <cell r="Y19758" t="str">
            <v>UNITED STATES</v>
          </cell>
        </row>
        <row r="19759">
          <cell r="L19759" t="str">
            <v>Proportional</v>
          </cell>
          <cell r="S19759">
            <v>43660.17</v>
          </cell>
          <cell r="X19759" t="str">
            <v>Commissions - gross</v>
          </cell>
          <cell r="Y19759" t="str">
            <v>HONG KONG</v>
          </cell>
        </row>
        <row r="19760">
          <cell r="L19760" t="str">
            <v>Proportional</v>
          </cell>
          <cell r="S19760">
            <v>14374.1</v>
          </cell>
          <cell r="X19760" t="str">
            <v>Commissions - gross</v>
          </cell>
          <cell r="Y19760" t="str">
            <v>UNITED STATES</v>
          </cell>
        </row>
        <row r="19761">
          <cell r="L19761" t="str">
            <v>Proportional</v>
          </cell>
          <cell r="S19761">
            <v>10231.700000000001</v>
          </cell>
          <cell r="X19761" t="str">
            <v>Commissions - gross</v>
          </cell>
          <cell r="Y19761" t="str">
            <v>JAPAN</v>
          </cell>
        </row>
        <row r="19762">
          <cell r="L19762" t="str">
            <v>Proportional</v>
          </cell>
          <cell r="S19762">
            <v>508.64</v>
          </cell>
          <cell r="X19762" t="str">
            <v>Commissions - gross</v>
          </cell>
          <cell r="Y19762" t="str">
            <v>UNITED STATES</v>
          </cell>
        </row>
        <row r="19763">
          <cell r="L19763" t="str">
            <v>Non-proportional</v>
          </cell>
          <cell r="S19763">
            <v>252.56</v>
          </cell>
          <cell r="X19763" t="str">
            <v>Commissions - gross</v>
          </cell>
          <cell r="Y19763" t="str">
            <v>MEXICO</v>
          </cell>
        </row>
        <row r="19764">
          <cell r="L19764" t="str">
            <v>Proportional</v>
          </cell>
          <cell r="S19764">
            <v>3128.47</v>
          </cell>
          <cell r="X19764" t="str">
            <v>Commissions - gross</v>
          </cell>
          <cell r="Y19764" t="str">
            <v>MEXICO</v>
          </cell>
        </row>
        <row r="19765">
          <cell r="L19765" t="str">
            <v>Non-proportional</v>
          </cell>
          <cell r="S19765">
            <v>27.32</v>
          </cell>
          <cell r="X19765" t="str">
            <v>Commissions - gross</v>
          </cell>
          <cell r="Y19765" t="str">
            <v>PUERTO RICO</v>
          </cell>
        </row>
        <row r="19766">
          <cell r="L19766" t="str">
            <v>Non-proportional</v>
          </cell>
          <cell r="S19766">
            <v>29.18</v>
          </cell>
          <cell r="X19766" t="str">
            <v>Commissions - gross</v>
          </cell>
          <cell r="Y19766" t="str">
            <v>MEXICO</v>
          </cell>
        </row>
        <row r="19767">
          <cell r="L19767" t="str">
            <v>Proportional</v>
          </cell>
          <cell r="S19767">
            <v>-68.739999999999995</v>
          </cell>
          <cell r="X19767" t="str">
            <v>Commissions - gross</v>
          </cell>
          <cell r="Y19767" t="str">
            <v>UNITED STATES</v>
          </cell>
        </row>
        <row r="19768">
          <cell r="L19768" t="str">
            <v>Non-proportional</v>
          </cell>
          <cell r="S19768">
            <v>1090.9100000000001</v>
          </cell>
          <cell r="X19768" t="str">
            <v>Commissions - gross</v>
          </cell>
          <cell r="Y19768" t="str">
            <v>ITALY</v>
          </cell>
        </row>
        <row r="19769">
          <cell r="L19769" t="str">
            <v>Proportional</v>
          </cell>
          <cell r="S19769">
            <v>11326.85</v>
          </cell>
          <cell r="X19769" t="str">
            <v>Commissions - gross</v>
          </cell>
          <cell r="Y19769" t="str">
            <v>CANADA</v>
          </cell>
        </row>
        <row r="19770">
          <cell r="L19770" t="str">
            <v>Proportional</v>
          </cell>
          <cell r="S19770">
            <v>4042.77</v>
          </cell>
          <cell r="X19770" t="str">
            <v>Commissions - gross</v>
          </cell>
          <cell r="Y19770" t="str">
            <v>MEXICO</v>
          </cell>
        </row>
        <row r="19771">
          <cell r="L19771" t="str">
            <v>Non-proportional</v>
          </cell>
          <cell r="S19771">
            <v>818.76</v>
          </cell>
          <cell r="X19771" t="str">
            <v>Commissions - gross</v>
          </cell>
          <cell r="Y19771" t="str">
            <v>MEXICO</v>
          </cell>
        </row>
        <row r="19772">
          <cell r="L19772" t="str">
            <v>Proportional</v>
          </cell>
          <cell r="S19772">
            <v>-170.76</v>
          </cell>
          <cell r="X19772" t="str">
            <v>Commissions - gross</v>
          </cell>
          <cell r="Y19772" t="str">
            <v>UNITED STATES</v>
          </cell>
        </row>
        <row r="19773">
          <cell r="L19773" t="str">
            <v>Proportional</v>
          </cell>
          <cell r="S19773">
            <v>2189.5</v>
          </cell>
          <cell r="X19773" t="str">
            <v>Commissions - gross</v>
          </cell>
          <cell r="Y19773" t="str">
            <v>HONG KONG</v>
          </cell>
        </row>
        <row r="19774">
          <cell r="L19774" t="str">
            <v>Proportional</v>
          </cell>
          <cell r="S19774">
            <v>11508.77</v>
          </cell>
          <cell r="X19774" t="str">
            <v>Commissions - gross</v>
          </cell>
          <cell r="Y19774" t="str">
            <v>UNITED STATES</v>
          </cell>
        </row>
        <row r="19775">
          <cell r="L19775" t="str">
            <v>Non-proportional</v>
          </cell>
          <cell r="S19775">
            <v>103.13</v>
          </cell>
          <cell r="X19775" t="str">
            <v>Commissions - gross</v>
          </cell>
          <cell r="Y19775" t="str">
            <v>ROMANIA</v>
          </cell>
        </row>
        <row r="19776">
          <cell r="L19776" t="str">
            <v>Non-proportional</v>
          </cell>
          <cell r="S19776">
            <v>60.03</v>
          </cell>
          <cell r="X19776" t="str">
            <v>Commissions - gross</v>
          </cell>
          <cell r="Y19776" t="str">
            <v>MEXICO</v>
          </cell>
        </row>
        <row r="19777">
          <cell r="L19777" t="str">
            <v>Proportional</v>
          </cell>
          <cell r="S19777">
            <v>17734.939999999999</v>
          </cell>
          <cell r="X19777" t="str">
            <v>Commissions - gross</v>
          </cell>
          <cell r="Y19777" t="str">
            <v>HONG KONG</v>
          </cell>
        </row>
        <row r="19778">
          <cell r="L19778" t="str">
            <v>Proportional</v>
          </cell>
          <cell r="S19778">
            <v>660.15</v>
          </cell>
          <cell r="X19778" t="str">
            <v>Commissions - gross</v>
          </cell>
          <cell r="Y19778" t="str">
            <v>JAPAN</v>
          </cell>
        </row>
        <row r="19779">
          <cell r="L19779" t="str">
            <v>Proportional</v>
          </cell>
          <cell r="S19779">
            <v>9427.9500000000007</v>
          </cell>
          <cell r="X19779" t="str">
            <v>Commissions - gross</v>
          </cell>
          <cell r="Y19779" t="str">
            <v>UNITED STATES</v>
          </cell>
        </row>
        <row r="19780">
          <cell r="L19780" t="str">
            <v>Proportional</v>
          </cell>
          <cell r="S19780">
            <v>156.63999999999999</v>
          </cell>
          <cell r="X19780" t="str">
            <v>Commissions - gross</v>
          </cell>
          <cell r="Y19780" t="str">
            <v>UNITED STATES</v>
          </cell>
        </row>
        <row r="19781">
          <cell r="L19781" t="str">
            <v>Proportional</v>
          </cell>
          <cell r="S19781">
            <v>148.02000000000001</v>
          </cell>
          <cell r="X19781" t="str">
            <v>Commissions - gross</v>
          </cell>
          <cell r="Y19781" t="str">
            <v>UNITED STATES</v>
          </cell>
        </row>
        <row r="19782">
          <cell r="L19782" t="str">
            <v>Proportional</v>
          </cell>
          <cell r="S19782">
            <v>-68.94</v>
          </cell>
          <cell r="X19782" t="str">
            <v>Commissions - gross</v>
          </cell>
          <cell r="Y19782" t="str">
            <v>UNITED STATES</v>
          </cell>
        </row>
        <row r="19783">
          <cell r="L19783" t="str">
            <v>Non-proportional</v>
          </cell>
          <cell r="S19783">
            <v>-3102.76</v>
          </cell>
          <cell r="X19783" t="str">
            <v>Commissions - gross</v>
          </cell>
          <cell r="Y19783" t="str">
            <v>PUERTO RICO</v>
          </cell>
        </row>
        <row r="19784">
          <cell r="L19784" t="str">
            <v>Proportional</v>
          </cell>
          <cell r="S19784">
            <v>-31.64</v>
          </cell>
          <cell r="X19784" t="str">
            <v>Commissions - gross</v>
          </cell>
          <cell r="Y19784" t="str">
            <v>UNITED STATES</v>
          </cell>
        </row>
        <row r="19785">
          <cell r="L19785" t="str">
            <v>Non-proportional</v>
          </cell>
          <cell r="S19785">
            <v>-4830.16</v>
          </cell>
          <cell r="X19785" t="str">
            <v>Commissions - gross</v>
          </cell>
          <cell r="Y19785" t="str">
            <v>PUERTO RICO</v>
          </cell>
        </row>
        <row r="19786">
          <cell r="L19786" t="str">
            <v>Non-proportional</v>
          </cell>
          <cell r="S19786">
            <v>1705.74</v>
          </cell>
          <cell r="X19786" t="str">
            <v>Commissions - gross</v>
          </cell>
          <cell r="Y19786" t="str">
            <v>MEXICO</v>
          </cell>
        </row>
        <row r="19787">
          <cell r="L19787" t="str">
            <v>Proportional</v>
          </cell>
          <cell r="S19787">
            <v>-7618.95</v>
          </cell>
          <cell r="X19787" t="str">
            <v>Commissions - gross</v>
          </cell>
          <cell r="Y19787" t="str">
            <v>UNITED STATES</v>
          </cell>
        </row>
        <row r="19788">
          <cell r="L19788" t="str">
            <v>Non-proportional</v>
          </cell>
          <cell r="S19788">
            <v>40.42</v>
          </cell>
          <cell r="X19788" t="str">
            <v>Commissions - gross</v>
          </cell>
          <cell r="Y19788" t="str">
            <v>PUERTO RICO</v>
          </cell>
        </row>
        <row r="19789">
          <cell r="L19789" t="str">
            <v>Proportional</v>
          </cell>
          <cell r="S19789">
            <v>6.58</v>
          </cell>
          <cell r="X19789" t="str">
            <v>Commissions - gross</v>
          </cell>
          <cell r="Y19789" t="str">
            <v>UNITED STATES</v>
          </cell>
        </row>
        <row r="19790">
          <cell r="L19790" t="str">
            <v>Non-proportional</v>
          </cell>
          <cell r="S19790">
            <v>-2944.04</v>
          </cell>
          <cell r="X19790" t="str">
            <v>Commissions - gross</v>
          </cell>
          <cell r="Y19790" t="str">
            <v>PUERTO RICO</v>
          </cell>
        </row>
        <row r="19791">
          <cell r="L19791" t="str">
            <v>Non-proportional</v>
          </cell>
          <cell r="S19791">
            <v>548.77</v>
          </cell>
          <cell r="X19791" t="str">
            <v>Commissions - gross</v>
          </cell>
          <cell r="Y19791" t="str">
            <v>MEXICO</v>
          </cell>
        </row>
        <row r="19792">
          <cell r="L19792" t="str">
            <v>Non-proportional</v>
          </cell>
          <cell r="S19792">
            <v>221.58</v>
          </cell>
          <cell r="X19792" t="str">
            <v>Commissions - gross</v>
          </cell>
          <cell r="Y19792" t="str">
            <v>MEXICO</v>
          </cell>
        </row>
        <row r="19793">
          <cell r="L19793" t="str">
            <v>Proportional</v>
          </cell>
          <cell r="S19793">
            <v>-133.63</v>
          </cell>
          <cell r="X19793" t="str">
            <v>Commissions - gross</v>
          </cell>
          <cell r="Y19793" t="str">
            <v>UNITED STATES</v>
          </cell>
        </row>
        <row r="19794">
          <cell r="L19794" t="str">
            <v>Proportional</v>
          </cell>
          <cell r="S19794">
            <v>-3.59</v>
          </cell>
          <cell r="X19794" t="str">
            <v>Commissions - gross</v>
          </cell>
          <cell r="Y19794" t="str">
            <v>UNITED STATES</v>
          </cell>
        </row>
        <row r="19795">
          <cell r="L19795" t="str">
            <v>Proportional</v>
          </cell>
          <cell r="S19795">
            <v>9289.9500000000007</v>
          </cell>
          <cell r="X19795" t="str">
            <v>Commissions - gross</v>
          </cell>
          <cell r="Y19795" t="str">
            <v>SWITZERLAND</v>
          </cell>
        </row>
        <row r="19796">
          <cell r="L19796" t="str">
            <v>Proportional</v>
          </cell>
          <cell r="S19796">
            <v>39.83</v>
          </cell>
          <cell r="X19796" t="str">
            <v>Commissions - gross</v>
          </cell>
          <cell r="Y19796" t="str">
            <v>UNITED STATES</v>
          </cell>
        </row>
        <row r="19797">
          <cell r="L19797" t="str">
            <v>Proportional</v>
          </cell>
          <cell r="S19797">
            <v>9175.7099999999991</v>
          </cell>
          <cell r="X19797" t="str">
            <v>Commissions - gross</v>
          </cell>
          <cell r="Y19797" t="str">
            <v>UNITED STATES</v>
          </cell>
        </row>
        <row r="19798">
          <cell r="L19798" t="str">
            <v>Non-proportional</v>
          </cell>
          <cell r="S19798">
            <v>17.53</v>
          </cell>
          <cell r="X19798" t="str">
            <v>Commissions - gross</v>
          </cell>
          <cell r="Y19798" t="str">
            <v>ROMANIA</v>
          </cell>
        </row>
        <row r="19799">
          <cell r="L19799" t="str">
            <v>Proportional</v>
          </cell>
          <cell r="S19799">
            <v>6870.91</v>
          </cell>
          <cell r="X19799" t="str">
            <v>Commissions - gross</v>
          </cell>
          <cell r="Y19799" t="str">
            <v>CANADA</v>
          </cell>
        </row>
        <row r="19800">
          <cell r="L19800" t="str">
            <v>Non-proportional</v>
          </cell>
          <cell r="S19800">
            <v>-6174.01</v>
          </cell>
          <cell r="X19800" t="str">
            <v>Commissions - gross</v>
          </cell>
          <cell r="Y19800" t="str">
            <v>PUERTO RICO</v>
          </cell>
        </row>
        <row r="19801">
          <cell r="L19801" t="str">
            <v>Proportional</v>
          </cell>
          <cell r="S19801">
            <v>2239.0500000000002</v>
          </cell>
          <cell r="X19801" t="str">
            <v>Commissions - gross</v>
          </cell>
          <cell r="Y19801" t="str">
            <v>JAPAN</v>
          </cell>
        </row>
        <row r="19802">
          <cell r="L19802" t="str">
            <v>Proportional</v>
          </cell>
          <cell r="S19802">
            <v>4330.8900000000003</v>
          </cell>
          <cell r="X19802" t="str">
            <v>Commissions - gross</v>
          </cell>
          <cell r="Y19802" t="str">
            <v>FRANCE</v>
          </cell>
        </row>
        <row r="19803">
          <cell r="L19803" t="str">
            <v>Proportional</v>
          </cell>
          <cell r="S19803">
            <v>3828.7</v>
          </cell>
          <cell r="X19803" t="str">
            <v>Commissions - gross</v>
          </cell>
          <cell r="Y19803" t="str">
            <v>SWITZERLAND</v>
          </cell>
        </row>
        <row r="19804">
          <cell r="L19804" t="str">
            <v>Proportional</v>
          </cell>
          <cell r="S19804">
            <v>5922.8</v>
          </cell>
          <cell r="X19804" t="str">
            <v>Commissions - gross</v>
          </cell>
          <cell r="Y19804" t="str">
            <v>SWITZERLAND</v>
          </cell>
        </row>
        <row r="19805">
          <cell r="L19805" t="str">
            <v>Non-proportional</v>
          </cell>
          <cell r="S19805">
            <v>-2570.27</v>
          </cell>
          <cell r="X19805" t="str">
            <v>Commissions - gross</v>
          </cell>
          <cell r="Y19805" t="str">
            <v>PUERTO RICO</v>
          </cell>
        </row>
        <row r="19806">
          <cell r="L19806" t="str">
            <v>Proportional</v>
          </cell>
          <cell r="S19806">
            <v>2371.96</v>
          </cell>
          <cell r="X19806" t="str">
            <v>Commissions - gross</v>
          </cell>
          <cell r="Y19806" t="str">
            <v>JAPAN</v>
          </cell>
        </row>
        <row r="19807">
          <cell r="L19807" t="str">
            <v>Non-proportional</v>
          </cell>
          <cell r="S19807">
            <v>75.52</v>
          </cell>
          <cell r="X19807" t="str">
            <v>Commissions - gross</v>
          </cell>
          <cell r="Y19807" t="str">
            <v>ROMANIA</v>
          </cell>
        </row>
        <row r="19808">
          <cell r="L19808" t="str">
            <v>Proportional</v>
          </cell>
          <cell r="S19808">
            <v>-26791.62</v>
          </cell>
          <cell r="X19808" t="str">
            <v>Commissions - gross</v>
          </cell>
          <cell r="Y19808" t="str">
            <v>UNITED STATES</v>
          </cell>
        </row>
        <row r="19809">
          <cell r="L19809" t="str">
            <v>Proportional</v>
          </cell>
          <cell r="S19809">
            <v>45.91</v>
          </cell>
          <cell r="X19809" t="str">
            <v>Commissions - gross</v>
          </cell>
          <cell r="Y19809" t="str">
            <v>UNITED STATES</v>
          </cell>
        </row>
        <row r="19810">
          <cell r="L19810" t="str">
            <v>Non-proportional</v>
          </cell>
          <cell r="S19810">
            <v>-1920.03</v>
          </cell>
          <cell r="X19810" t="str">
            <v>Commissions - gross</v>
          </cell>
          <cell r="Y19810" t="str">
            <v>PUERTO RICO</v>
          </cell>
        </row>
        <row r="19811">
          <cell r="L19811" t="str">
            <v>Proportional</v>
          </cell>
          <cell r="S19811">
            <v>-445.78</v>
          </cell>
          <cell r="X19811" t="str">
            <v>Commissions - gross</v>
          </cell>
          <cell r="Y19811" t="str">
            <v>CANADA</v>
          </cell>
        </row>
        <row r="19812">
          <cell r="L19812" t="str">
            <v>Non-proportional</v>
          </cell>
          <cell r="S19812">
            <v>-7626.09</v>
          </cell>
          <cell r="X19812" t="str">
            <v>Commissions - gross</v>
          </cell>
          <cell r="Y19812" t="str">
            <v>PUERTO RICO</v>
          </cell>
        </row>
        <row r="19813">
          <cell r="L19813" t="str">
            <v>Non-proportional</v>
          </cell>
          <cell r="S19813">
            <v>26.48</v>
          </cell>
          <cell r="X19813" t="str">
            <v>Commissions - gross</v>
          </cell>
          <cell r="Y19813" t="str">
            <v>PUERTO RICO</v>
          </cell>
        </row>
        <row r="19814">
          <cell r="L19814" t="str">
            <v>Non-proportional</v>
          </cell>
          <cell r="S19814">
            <v>75.52</v>
          </cell>
          <cell r="X19814" t="str">
            <v>Commissions - gross</v>
          </cell>
          <cell r="Y19814" t="str">
            <v>ROMANIA</v>
          </cell>
        </row>
        <row r="19815">
          <cell r="L19815" t="str">
            <v>Non-proportional</v>
          </cell>
          <cell r="S19815">
            <v>531.85</v>
          </cell>
          <cell r="X19815" t="str">
            <v>Commissions - gross</v>
          </cell>
          <cell r="Y19815" t="str">
            <v>MEXICO</v>
          </cell>
        </row>
        <row r="19816">
          <cell r="L19816" t="str">
            <v>Proportional</v>
          </cell>
          <cell r="S19816">
            <v>1.32</v>
          </cell>
          <cell r="X19816" t="str">
            <v>Commissions - gross</v>
          </cell>
          <cell r="Y19816" t="str">
            <v>UNITED STATES</v>
          </cell>
        </row>
        <row r="19817">
          <cell r="L19817" t="str">
            <v>Non-proportional</v>
          </cell>
          <cell r="S19817">
            <v>103.13</v>
          </cell>
          <cell r="X19817" t="str">
            <v>Commissions - gross</v>
          </cell>
          <cell r="Y19817" t="str">
            <v>ROMANIA</v>
          </cell>
        </row>
        <row r="19818">
          <cell r="L19818" t="str">
            <v>Non-proportional</v>
          </cell>
          <cell r="S19818">
            <v>793.52</v>
          </cell>
          <cell r="X19818" t="str">
            <v>Commissions - gross</v>
          </cell>
          <cell r="Y19818" t="str">
            <v>MEXICO</v>
          </cell>
        </row>
        <row r="19819">
          <cell r="L19819" t="str">
            <v>Proportional</v>
          </cell>
          <cell r="S19819">
            <v>11187.3</v>
          </cell>
          <cell r="X19819" t="str">
            <v>Commissions - gross</v>
          </cell>
          <cell r="Y19819" t="str">
            <v>UNITED STATES</v>
          </cell>
        </row>
        <row r="19820">
          <cell r="L19820" t="str">
            <v>Proportional</v>
          </cell>
          <cell r="S19820">
            <v>24120.39</v>
          </cell>
          <cell r="X19820" t="str">
            <v>Commissions - gross</v>
          </cell>
          <cell r="Y19820" t="str">
            <v>UNITED STATES</v>
          </cell>
        </row>
        <row r="19821">
          <cell r="L19821" t="str">
            <v>Proportional</v>
          </cell>
          <cell r="S19821">
            <v>1998.36</v>
          </cell>
          <cell r="X19821" t="str">
            <v>Commissions - gross</v>
          </cell>
          <cell r="Y19821" t="str">
            <v>JAPAN</v>
          </cell>
        </row>
        <row r="19822">
          <cell r="L19822" t="str">
            <v>Proportional</v>
          </cell>
          <cell r="S19822">
            <v>3323.16</v>
          </cell>
          <cell r="X19822" t="str">
            <v>Commissions - gross</v>
          </cell>
          <cell r="Y19822" t="str">
            <v>MEXICO</v>
          </cell>
        </row>
        <row r="19823">
          <cell r="L19823" t="str">
            <v>Non-proportional</v>
          </cell>
          <cell r="S19823">
            <v>543.97</v>
          </cell>
          <cell r="X19823" t="str">
            <v>Commissions - gross</v>
          </cell>
          <cell r="Y19823" t="str">
            <v>PUERTO RICO</v>
          </cell>
        </row>
        <row r="19824">
          <cell r="L19824" t="str">
            <v>Proportional</v>
          </cell>
          <cell r="S19824">
            <v>-2248387.0699999998</v>
          </cell>
          <cell r="X19824" t="str">
            <v>Commissions - gross</v>
          </cell>
          <cell r="Y19824" t="str">
            <v>ITALY</v>
          </cell>
        </row>
        <row r="19825">
          <cell r="L19825" t="str">
            <v>Proportional</v>
          </cell>
          <cell r="S19825">
            <v>4543.17</v>
          </cell>
          <cell r="X19825" t="str">
            <v>Commissions - gross</v>
          </cell>
          <cell r="Y19825" t="str">
            <v>SWITZERLAND</v>
          </cell>
        </row>
        <row r="19826">
          <cell r="L19826" t="str">
            <v>Proportional</v>
          </cell>
          <cell r="S19826">
            <v>6.94</v>
          </cell>
          <cell r="X19826" t="str">
            <v>Commissions - gross</v>
          </cell>
          <cell r="Y19826" t="str">
            <v>UNITED STATES</v>
          </cell>
        </row>
        <row r="19827">
          <cell r="L19827" t="str">
            <v>Proportional</v>
          </cell>
          <cell r="S19827">
            <v>8178.46</v>
          </cell>
          <cell r="X19827" t="str">
            <v>Commissions - gross</v>
          </cell>
          <cell r="Y19827" t="str">
            <v>CANADA</v>
          </cell>
        </row>
        <row r="19828">
          <cell r="L19828" t="str">
            <v>Proportional</v>
          </cell>
          <cell r="S19828">
            <v>33.99</v>
          </cell>
          <cell r="X19828" t="str">
            <v>Commissions - gross</v>
          </cell>
          <cell r="Y19828" t="str">
            <v>UNITED STATES</v>
          </cell>
        </row>
        <row r="19829">
          <cell r="L19829" t="str">
            <v>Non-proportional</v>
          </cell>
          <cell r="S19829">
            <v>1653.15</v>
          </cell>
          <cell r="X19829" t="str">
            <v>Commissions - gross</v>
          </cell>
          <cell r="Y19829" t="str">
            <v>MEXICO</v>
          </cell>
        </row>
        <row r="19830">
          <cell r="L19830" t="str">
            <v>Non-proportional</v>
          </cell>
          <cell r="S19830">
            <v>28.28</v>
          </cell>
          <cell r="X19830" t="str">
            <v>Commissions - gross</v>
          </cell>
          <cell r="Y19830" t="str">
            <v>MEXICO</v>
          </cell>
        </row>
        <row r="19831">
          <cell r="L19831" t="str">
            <v>Proportional</v>
          </cell>
          <cell r="S19831">
            <v>1927188.92</v>
          </cell>
          <cell r="X19831" t="str">
            <v>Commissions - gross</v>
          </cell>
          <cell r="Y19831" t="str">
            <v>ITALY</v>
          </cell>
        </row>
        <row r="19832">
          <cell r="L19832" t="str">
            <v>Proportional</v>
          </cell>
          <cell r="S19832">
            <v>3819.59</v>
          </cell>
          <cell r="X19832" t="str">
            <v>Commissions - gross</v>
          </cell>
          <cell r="Y19832" t="str">
            <v>JAPAN</v>
          </cell>
        </row>
        <row r="19833">
          <cell r="L19833" t="str">
            <v>Proportional</v>
          </cell>
          <cell r="S19833">
            <v>8967.2900000000009</v>
          </cell>
          <cell r="X19833" t="str">
            <v>Commissions - gross</v>
          </cell>
          <cell r="Y19833" t="str">
            <v>JAPAN</v>
          </cell>
        </row>
        <row r="19834">
          <cell r="L19834" t="str">
            <v>Non-proportional</v>
          </cell>
          <cell r="S19834">
            <v>244.77</v>
          </cell>
          <cell r="X19834" t="str">
            <v>Commissions - gross</v>
          </cell>
          <cell r="Y19834" t="str">
            <v>MEXICO</v>
          </cell>
        </row>
        <row r="19835">
          <cell r="L19835" t="str">
            <v>Proportional</v>
          </cell>
          <cell r="S19835">
            <v>35.43</v>
          </cell>
          <cell r="X19835" t="str">
            <v>Commissions - gross</v>
          </cell>
          <cell r="Y19835" t="str">
            <v>UNITED STATES</v>
          </cell>
        </row>
        <row r="19836">
          <cell r="L19836" t="str">
            <v>Proportional</v>
          </cell>
          <cell r="S19836">
            <v>-3.03</v>
          </cell>
          <cell r="X19836" t="str">
            <v>Commissions - gross</v>
          </cell>
          <cell r="Y19836" t="str">
            <v>UNITED STATES</v>
          </cell>
        </row>
        <row r="19837">
          <cell r="L19837" t="str">
            <v>Proportional</v>
          </cell>
          <cell r="S19837">
            <v>321198.15000000002</v>
          </cell>
          <cell r="X19837" t="str">
            <v>Commissions - gross</v>
          </cell>
          <cell r="Y19837" t="str">
            <v>ITALY</v>
          </cell>
        </row>
        <row r="19838">
          <cell r="L19838" t="str">
            <v>Proportional</v>
          </cell>
          <cell r="S19838">
            <v>3918.12</v>
          </cell>
          <cell r="X19838" t="str">
            <v>Commissions - gross</v>
          </cell>
          <cell r="Y19838" t="str">
            <v>MEXICO</v>
          </cell>
        </row>
        <row r="19839">
          <cell r="L19839" t="str">
            <v>Non-proportional</v>
          </cell>
          <cell r="S19839">
            <v>273.37</v>
          </cell>
          <cell r="X19839" t="str">
            <v>Commissions - gross</v>
          </cell>
          <cell r="Y19839" t="str">
            <v>PUERTO RICO</v>
          </cell>
        </row>
        <row r="19840">
          <cell r="L19840" t="str">
            <v>Proportional</v>
          </cell>
          <cell r="S19840">
            <v>-375.15</v>
          </cell>
          <cell r="X19840" t="str">
            <v>Commissions - gross</v>
          </cell>
          <cell r="Y19840" t="str">
            <v>CANADA</v>
          </cell>
        </row>
        <row r="19841">
          <cell r="L19841" t="str">
            <v>Proportional</v>
          </cell>
          <cell r="S19841">
            <v>428.05</v>
          </cell>
          <cell r="X19841" t="str">
            <v>Commissions - gross</v>
          </cell>
          <cell r="Y19841" t="str">
            <v>UNITED STATES</v>
          </cell>
        </row>
        <row r="19842">
          <cell r="L19842" t="str">
            <v>Proportional</v>
          </cell>
          <cell r="S19842">
            <v>10887.99</v>
          </cell>
          <cell r="X19842" t="str">
            <v>Commissions - gross</v>
          </cell>
          <cell r="Y19842" t="str">
            <v>UNITED STATES</v>
          </cell>
        </row>
        <row r="19843">
          <cell r="L19843" t="str">
            <v>Proportional</v>
          </cell>
          <cell r="S19843">
            <v>2595.08</v>
          </cell>
          <cell r="X19843" t="str">
            <v>Commissions - gross</v>
          </cell>
          <cell r="Y19843" t="str">
            <v>HONG KONG</v>
          </cell>
        </row>
        <row r="19844">
          <cell r="L19844" t="str">
            <v>Proportional</v>
          </cell>
          <cell r="S19844">
            <v>1064.27</v>
          </cell>
          <cell r="X19844" t="str">
            <v>Commissions - gross</v>
          </cell>
          <cell r="Y19844" t="str">
            <v>JAPAN</v>
          </cell>
        </row>
        <row r="19845">
          <cell r="L19845" t="str">
            <v>Non-proportional</v>
          </cell>
          <cell r="S19845">
            <v>169.16</v>
          </cell>
          <cell r="X19845" t="str">
            <v>Commissions - gross</v>
          </cell>
          <cell r="Y19845" t="str">
            <v>PUERTO RICO</v>
          </cell>
        </row>
        <row r="19846">
          <cell r="L19846" t="str">
            <v>Non-proportional</v>
          </cell>
          <cell r="S19846">
            <v>17.53</v>
          </cell>
          <cell r="X19846" t="str">
            <v>Commissions - gross</v>
          </cell>
          <cell r="Y19846" t="str">
            <v>ROMANIA</v>
          </cell>
        </row>
        <row r="19847">
          <cell r="L19847" t="str">
            <v>Proportional</v>
          </cell>
          <cell r="S19847">
            <v>39.75</v>
          </cell>
          <cell r="X19847" t="str">
            <v>Commissions - gross</v>
          </cell>
          <cell r="Y19847" t="str">
            <v>UNITED STATES</v>
          </cell>
        </row>
        <row r="19848">
          <cell r="L19848" t="str">
            <v>Proportional</v>
          </cell>
          <cell r="S19848">
            <v>21020.15</v>
          </cell>
          <cell r="X19848" t="str">
            <v>Commissions - gross</v>
          </cell>
          <cell r="Y19848" t="str">
            <v>HONG KONG</v>
          </cell>
        </row>
        <row r="19849">
          <cell r="L19849" t="str">
            <v>Proportional</v>
          </cell>
          <cell r="S19849">
            <v>0.12</v>
          </cell>
          <cell r="X19849" t="str">
            <v>Commissions - gross</v>
          </cell>
          <cell r="Y19849" t="str">
            <v>UNITED STATES</v>
          </cell>
        </row>
        <row r="19850">
          <cell r="L19850" t="str">
            <v>Proportional</v>
          </cell>
          <cell r="S19850">
            <v>9532.2800000000007</v>
          </cell>
          <cell r="X19850" t="str">
            <v>Commissions - gross</v>
          </cell>
          <cell r="Y19850" t="str">
            <v>CANADA</v>
          </cell>
        </row>
        <row r="19851">
          <cell r="L19851" t="str">
            <v>Proportional</v>
          </cell>
          <cell r="S19851">
            <v>-69551.12</v>
          </cell>
          <cell r="X19851" t="str">
            <v>Commissions - gross</v>
          </cell>
          <cell r="Y19851" t="str">
            <v>MEXICO</v>
          </cell>
        </row>
        <row r="19852">
          <cell r="L19852" t="str">
            <v>Non-proportional</v>
          </cell>
          <cell r="S19852">
            <v>58.18</v>
          </cell>
          <cell r="X19852" t="str">
            <v>Commissions - gross</v>
          </cell>
          <cell r="Y19852" t="str">
            <v>MEXICO</v>
          </cell>
        </row>
        <row r="19853">
          <cell r="L19853" t="str">
            <v>Proportional</v>
          </cell>
          <cell r="S19853">
            <v>2.84</v>
          </cell>
          <cell r="X19853" t="str">
            <v>Commissions - gross</v>
          </cell>
          <cell r="Y19853" t="str">
            <v>UNITED STATES</v>
          </cell>
        </row>
        <row r="19854">
          <cell r="L19854" t="str">
            <v>Proportional</v>
          </cell>
          <cell r="S19854">
            <v>-9.3699999999999992</v>
          </cell>
          <cell r="X19854" t="str">
            <v>Commissions - gross</v>
          </cell>
          <cell r="Y19854" t="str">
            <v>JAPAN</v>
          </cell>
        </row>
        <row r="19855">
          <cell r="L19855" t="str">
            <v>Proportional</v>
          </cell>
          <cell r="S19855">
            <v>128.13</v>
          </cell>
          <cell r="X19855" t="str">
            <v>Commissions - gross</v>
          </cell>
          <cell r="Y19855" t="str">
            <v>UNITED STATES</v>
          </cell>
        </row>
        <row r="19856">
          <cell r="L19856" t="str">
            <v>Non-proportional</v>
          </cell>
          <cell r="S19856">
            <v>259.39</v>
          </cell>
          <cell r="X19856" t="str">
            <v>Commissions - gross</v>
          </cell>
          <cell r="Y19856" t="str">
            <v>PUERTO RICO</v>
          </cell>
        </row>
        <row r="19857">
          <cell r="L19857" t="str">
            <v>Proportional</v>
          </cell>
          <cell r="S19857">
            <v>5.62</v>
          </cell>
          <cell r="X19857" t="str">
            <v>Commissions - gross</v>
          </cell>
          <cell r="Y19857" t="str">
            <v>UNITED STATES</v>
          </cell>
        </row>
        <row r="19858">
          <cell r="L19858" t="str">
            <v>Proportional</v>
          </cell>
          <cell r="S19858">
            <v>17.72</v>
          </cell>
          <cell r="X19858" t="str">
            <v>Commissions - gross</v>
          </cell>
          <cell r="Y19858" t="str">
            <v>UNITED STATES</v>
          </cell>
        </row>
        <row r="19859">
          <cell r="L19859" t="str">
            <v>Proportional</v>
          </cell>
          <cell r="S19859">
            <v>5139.09</v>
          </cell>
          <cell r="X19859" t="str">
            <v>Commissions - gross</v>
          </cell>
          <cell r="Y19859" t="str">
            <v>FRANCE</v>
          </cell>
        </row>
        <row r="19860">
          <cell r="L19860" t="str">
            <v>Proportional</v>
          </cell>
          <cell r="S19860">
            <v>1607.45</v>
          </cell>
          <cell r="X19860" t="str">
            <v>Commissions - gross</v>
          </cell>
          <cell r="Y19860" t="str">
            <v>JAPAN</v>
          </cell>
        </row>
        <row r="19861">
          <cell r="L19861" t="str">
            <v>Non-proportional</v>
          </cell>
          <cell r="S19861">
            <v>1090.9100000000001</v>
          </cell>
          <cell r="X19861" t="str">
            <v>Commissions - gross</v>
          </cell>
          <cell r="Y19861" t="str">
            <v>ITALY</v>
          </cell>
        </row>
        <row r="19862">
          <cell r="L19862" t="str">
            <v>Non-proportional</v>
          </cell>
          <cell r="S19862">
            <v>226.46</v>
          </cell>
          <cell r="X19862" t="str">
            <v>Commissions - gross</v>
          </cell>
          <cell r="Y19862" t="str">
            <v>PUERTO RICO</v>
          </cell>
        </row>
        <row r="19863">
          <cell r="L19863" t="str">
            <v>Proportional</v>
          </cell>
          <cell r="S19863">
            <v>7028.05</v>
          </cell>
          <cell r="X19863" t="str">
            <v>Commissions - gross</v>
          </cell>
          <cell r="Y19863" t="str">
            <v>SWITZERLAND</v>
          </cell>
        </row>
        <row r="19864">
          <cell r="L19864" t="str">
            <v>Proportional</v>
          </cell>
          <cell r="S19864">
            <v>-8.33</v>
          </cell>
          <cell r="X19864" t="str">
            <v>Commissions - gross</v>
          </cell>
          <cell r="Y19864" t="str">
            <v>UNITED STATES</v>
          </cell>
        </row>
        <row r="19865">
          <cell r="L19865" t="str">
            <v>Non-proportional</v>
          </cell>
          <cell r="S19865">
            <v>671.9</v>
          </cell>
          <cell r="X19865" t="str">
            <v>Commissions - gross</v>
          </cell>
          <cell r="Y19865" t="str">
            <v>PUERTO RICO</v>
          </cell>
        </row>
        <row r="19866">
          <cell r="L19866" t="str">
            <v>Proportional</v>
          </cell>
          <cell r="S19866">
            <v>30190.880000000001</v>
          </cell>
          <cell r="X19866" t="str">
            <v>Commissions - gross</v>
          </cell>
          <cell r="Y19866" t="str">
            <v>UNITED STATES</v>
          </cell>
        </row>
        <row r="19867">
          <cell r="L19867" t="str">
            <v>Proportional</v>
          </cell>
          <cell r="S19867">
            <v>-318.23</v>
          </cell>
          <cell r="X19867" t="str">
            <v>Commissions - gross</v>
          </cell>
          <cell r="Y19867" t="str">
            <v>CANADA</v>
          </cell>
        </row>
        <row r="19868">
          <cell r="L19868" t="str">
            <v>Proportional</v>
          </cell>
          <cell r="S19868">
            <v>131.82</v>
          </cell>
          <cell r="X19868" t="str">
            <v>Commissions - gross</v>
          </cell>
          <cell r="Y19868" t="str">
            <v>UNITED STATES</v>
          </cell>
        </row>
        <row r="19869">
          <cell r="L19869" t="str">
            <v>Non-proportional</v>
          </cell>
          <cell r="S19869">
            <v>214.75</v>
          </cell>
          <cell r="X19869" t="str">
            <v>Commissions - gross</v>
          </cell>
          <cell r="Y19869" t="str">
            <v>MEXICO</v>
          </cell>
        </row>
        <row r="19870">
          <cell r="L19870" t="str">
            <v>Proportional</v>
          </cell>
          <cell r="S19870">
            <v>-1762.69</v>
          </cell>
          <cell r="X19870" t="str">
            <v>Commissions - gross</v>
          </cell>
          <cell r="Y19870" t="str">
            <v>HONG KONG</v>
          </cell>
        </row>
        <row r="19871">
          <cell r="L19871" t="str">
            <v>Proportional</v>
          </cell>
          <cell r="S19871">
            <v>11023.55</v>
          </cell>
          <cell r="X19871" t="str">
            <v>Commissions - gross</v>
          </cell>
          <cell r="Y19871" t="str">
            <v>SWITZERLAND</v>
          </cell>
        </row>
        <row r="19872">
          <cell r="L19872" t="str">
            <v>Non-proportional</v>
          </cell>
          <cell r="S19872">
            <v>425.56</v>
          </cell>
          <cell r="X19872" t="str">
            <v>Commissions - gross</v>
          </cell>
          <cell r="Y19872" t="str">
            <v>PUERTO RICO</v>
          </cell>
        </row>
        <row r="19873">
          <cell r="L19873" t="str">
            <v>Proportional</v>
          </cell>
          <cell r="S19873">
            <v>11845.33</v>
          </cell>
          <cell r="X19873" t="str">
            <v>Commissions - gross</v>
          </cell>
          <cell r="Y19873" t="str">
            <v>JAPAN</v>
          </cell>
        </row>
        <row r="19874">
          <cell r="L19874" t="str">
            <v>Non-proportional</v>
          </cell>
          <cell r="S19874">
            <v>39.17</v>
          </cell>
          <cell r="X19874" t="str">
            <v>Commissions - gross</v>
          </cell>
          <cell r="Y19874" t="str">
            <v>PUERTO RICO</v>
          </cell>
        </row>
        <row r="19875">
          <cell r="L19875" t="str">
            <v>Proportional</v>
          </cell>
          <cell r="S19875">
            <v>27885.56</v>
          </cell>
          <cell r="X19875" t="str">
            <v>Commissions - gross</v>
          </cell>
          <cell r="Y19875" t="str">
            <v>UNITED STATES</v>
          </cell>
        </row>
        <row r="19876">
          <cell r="L19876" t="str">
            <v>Proportional</v>
          </cell>
          <cell r="S19876">
            <v>-1927188.92</v>
          </cell>
          <cell r="X19876" t="str">
            <v>Commissions - gross</v>
          </cell>
          <cell r="Y19876" t="str">
            <v>ITALY</v>
          </cell>
        </row>
        <row r="19877">
          <cell r="L19877" t="str">
            <v>Proportional</v>
          </cell>
          <cell r="S19877">
            <v>160599.07</v>
          </cell>
          <cell r="X19877" t="str">
            <v>Commissions - gross</v>
          </cell>
          <cell r="Y19877" t="str">
            <v>ITALY</v>
          </cell>
        </row>
        <row r="19878">
          <cell r="L19878" t="str">
            <v>Proportional</v>
          </cell>
          <cell r="S19878">
            <v>-321198.15000000002</v>
          </cell>
          <cell r="X19878" t="str">
            <v>Commissions - gross</v>
          </cell>
          <cell r="Y19878" t="str">
            <v>ITALY</v>
          </cell>
        </row>
        <row r="19879">
          <cell r="L19879" t="str">
            <v>Non-proportional</v>
          </cell>
          <cell r="S19879">
            <v>27.11</v>
          </cell>
          <cell r="X19879" t="str">
            <v>Commissions - gross</v>
          </cell>
          <cell r="Y19879" t="str">
            <v>PUERTO RICO</v>
          </cell>
        </row>
        <row r="19880">
          <cell r="L19880" t="str">
            <v>Proportional</v>
          </cell>
          <cell r="S19880">
            <v>30.01</v>
          </cell>
          <cell r="X19880" t="str">
            <v>Commissions - gross</v>
          </cell>
          <cell r="Y19880" t="str">
            <v>UNITED STATES</v>
          </cell>
        </row>
        <row r="19881">
          <cell r="L19881" t="str">
            <v>Proportional</v>
          </cell>
          <cell r="S19881">
            <v>-262791.71999999997</v>
          </cell>
          <cell r="X19881" t="str">
            <v>Commissions - gross</v>
          </cell>
          <cell r="Y19881" t="str">
            <v>INDIA</v>
          </cell>
        </row>
        <row r="19882">
          <cell r="L19882" t="str">
            <v>Proportional</v>
          </cell>
          <cell r="S19882">
            <v>13162.38</v>
          </cell>
          <cell r="X19882" t="str">
            <v>Commissions - gross</v>
          </cell>
          <cell r="Y19882" t="str">
            <v>UNITED STATES</v>
          </cell>
        </row>
        <row r="19883">
          <cell r="L19883" t="str">
            <v>Proportional</v>
          </cell>
          <cell r="S19883">
            <v>25410.82</v>
          </cell>
          <cell r="X19883" t="str">
            <v>Commissions - gross</v>
          </cell>
          <cell r="Y19883" t="str">
            <v>HONG KONG</v>
          </cell>
        </row>
        <row r="19884">
          <cell r="L19884" t="str">
            <v>Proportional</v>
          </cell>
          <cell r="S19884">
            <v>7930.63</v>
          </cell>
          <cell r="X19884" t="str">
            <v>Commissions - gross</v>
          </cell>
          <cell r="Y19884" t="str">
            <v>CANADA</v>
          </cell>
        </row>
        <row r="19885">
          <cell r="L19885" t="str">
            <v>Proportional</v>
          </cell>
          <cell r="S19885">
            <v>5492.21</v>
          </cell>
          <cell r="X19885" t="str">
            <v>Commissions - gross</v>
          </cell>
          <cell r="Y19885" t="str">
            <v>SWITZERLAND</v>
          </cell>
        </row>
        <row r="19886">
          <cell r="L19886" t="str">
            <v>Proportional</v>
          </cell>
          <cell r="S19886">
            <v>14445.14</v>
          </cell>
          <cell r="X19886" t="str">
            <v>Commissions - gross</v>
          </cell>
          <cell r="Y19886" t="str">
            <v>SWITZERLAND</v>
          </cell>
        </row>
        <row r="19887">
          <cell r="L19887" t="str">
            <v>Non-proportional</v>
          </cell>
          <cell r="S19887">
            <v>28.96</v>
          </cell>
          <cell r="X19887" t="str">
            <v>Commissions - gross</v>
          </cell>
          <cell r="Y19887" t="str">
            <v>MEXICO</v>
          </cell>
        </row>
        <row r="19888">
          <cell r="L19888" t="str">
            <v>Proportional</v>
          </cell>
          <cell r="S19888">
            <v>3402.71</v>
          </cell>
          <cell r="X19888" t="str">
            <v>Commissions - gross</v>
          </cell>
          <cell r="Y19888" t="str">
            <v>MEXICO</v>
          </cell>
        </row>
        <row r="19889">
          <cell r="L19889" t="str">
            <v>Proportional</v>
          </cell>
          <cell r="S19889">
            <v>5672.83</v>
          </cell>
          <cell r="X19889" t="str">
            <v>Commissions - gross</v>
          </cell>
          <cell r="Y19889" t="str">
            <v>JAPAN</v>
          </cell>
        </row>
        <row r="19890">
          <cell r="L19890" t="str">
            <v>Non-proportional</v>
          </cell>
          <cell r="S19890">
            <v>812.51</v>
          </cell>
          <cell r="X19890" t="str">
            <v>Commissions - gross</v>
          </cell>
          <cell r="Y19890" t="str">
            <v>MEXICO</v>
          </cell>
        </row>
        <row r="19891">
          <cell r="L19891" t="str">
            <v>Proportional</v>
          </cell>
          <cell r="S19891">
            <v>-1092.72</v>
          </cell>
          <cell r="X19891" t="str">
            <v>Commissions - gross</v>
          </cell>
          <cell r="Y19891" t="str">
            <v>SWITZERLAND</v>
          </cell>
        </row>
        <row r="19892">
          <cell r="L19892" t="str">
            <v>Proportional</v>
          </cell>
          <cell r="S19892">
            <v>13524.23</v>
          </cell>
          <cell r="X19892" t="str">
            <v>Commissions - gross</v>
          </cell>
          <cell r="Y19892" t="str">
            <v>UNITED STATES</v>
          </cell>
        </row>
        <row r="19893">
          <cell r="L19893" t="str">
            <v>Non-proportional</v>
          </cell>
          <cell r="S19893">
            <v>173.21</v>
          </cell>
          <cell r="X19893" t="str">
            <v>Commissions - gross</v>
          </cell>
          <cell r="Y19893" t="str">
            <v>PUERTO RICO</v>
          </cell>
        </row>
        <row r="19894">
          <cell r="L19894" t="str">
            <v>Proportional</v>
          </cell>
          <cell r="S19894">
            <v>26184.03</v>
          </cell>
          <cell r="X19894" t="str">
            <v>Commissions - gross</v>
          </cell>
          <cell r="Y19894" t="str">
            <v>UNITED STATES</v>
          </cell>
        </row>
        <row r="19895">
          <cell r="L19895" t="str">
            <v>Proportional</v>
          </cell>
          <cell r="S19895">
            <v>1.56</v>
          </cell>
          <cell r="X19895" t="str">
            <v>Commissions - gross</v>
          </cell>
          <cell r="Y19895" t="str">
            <v>UNITED STATES</v>
          </cell>
        </row>
        <row r="19896">
          <cell r="L19896" t="str">
            <v>Non-proportional</v>
          </cell>
          <cell r="S19896">
            <v>544.58000000000004</v>
          </cell>
          <cell r="X19896" t="str">
            <v>Commissions - gross</v>
          </cell>
          <cell r="Y19896" t="str">
            <v>MEXICO</v>
          </cell>
        </row>
        <row r="19897">
          <cell r="L19897" t="str">
            <v>Non-proportional</v>
          </cell>
          <cell r="S19897">
            <v>435.75</v>
          </cell>
          <cell r="X19897" t="str">
            <v>Commissions - gross</v>
          </cell>
          <cell r="Y19897" t="str">
            <v>PUERTO RICO</v>
          </cell>
        </row>
        <row r="19898">
          <cell r="L19898" t="str">
            <v>Proportional</v>
          </cell>
          <cell r="S19898">
            <v>-690.94</v>
          </cell>
          <cell r="X19898" t="str">
            <v>Commissions - gross</v>
          </cell>
          <cell r="Y19898" t="str">
            <v>CANADA</v>
          </cell>
        </row>
        <row r="19899">
          <cell r="L19899" t="str">
            <v>Proportional</v>
          </cell>
          <cell r="S19899">
            <v>-581.39</v>
          </cell>
          <cell r="X19899" t="str">
            <v>Commissions - gross</v>
          </cell>
          <cell r="Y19899" t="str">
            <v>CANADA</v>
          </cell>
        </row>
        <row r="19900">
          <cell r="L19900" t="str">
            <v>Non-proportional</v>
          </cell>
          <cell r="S19900">
            <v>687.99</v>
          </cell>
          <cell r="X19900" t="str">
            <v>Commissions - gross</v>
          </cell>
          <cell r="Y19900" t="str">
            <v>PUERTO RICO</v>
          </cell>
        </row>
        <row r="19901">
          <cell r="L19901" t="str">
            <v>Proportional</v>
          </cell>
          <cell r="S19901">
            <v>743.25</v>
          </cell>
          <cell r="X19901" t="str">
            <v>Commissions - gross</v>
          </cell>
          <cell r="Y19901" t="str">
            <v>MEXICO</v>
          </cell>
        </row>
        <row r="19902">
          <cell r="L19902" t="str">
            <v>Proportional</v>
          </cell>
          <cell r="S19902">
            <v>-7.14</v>
          </cell>
          <cell r="X19902" t="str">
            <v>Commissions - gross</v>
          </cell>
          <cell r="Y19902" t="str">
            <v>UNITED STATES</v>
          </cell>
        </row>
        <row r="19903">
          <cell r="L19903" t="str">
            <v>Proportional</v>
          </cell>
          <cell r="S19903">
            <v>366.89</v>
          </cell>
          <cell r="X19903" t="str">
            <v>Commissions - gross</v>
          </cell>
          <cell r="Y19903" t="str">
            <v>UNITED STATES</v>
          </cell>
        </row>
        <row r="19904">
          <cell r="L19904" t="str">
            <v>Non-proportional</v>
          </cell>
          <cell r="S19904">
            <v>231.88</v>
          </cell>
          <cell r="X19904" t="str">
            <v>Commissions - gross</v>
          </cell>
          <cell r="Y19904" t="str">
            <v>PUERTO RICO</v>
          </cell>
        </row>
        <row r="19905">
          <cell r="L19905" t="str">
            <v>Proportional</v>
          </cell>
          <cell r="S19905">
            <v>5516.08</v>
          </cell>
          <cell r="X19905" t="str">
            <v>Commissions - gross</v>
          </cell>
          <cell r="Y19905" t="str">
            <v>JAPAN</v>
          </cell>
        </row>
        <row r="19906">
          <cell r="L19906" t="str">
            <v>Non-proportional</v>
          </cell>
          <cell r="S19906">
            <v>1090.9100000000001</v>
          </cell>
          <cell r="X19906" t="str">
            <v>Commissions - gross</v>
          </cell>
          <cell r="Y19906" t="str">
            <v>ITALY</v>
          </cell>
        </row>
        <row r="19907">
          <cell r="L19907" t="str">
            <v>Non-proportional</v>
          </cell>
          <cell r="S19907">
            <v>265.58999999999997</v>
          </cell>
          <cell r="X19907" t="str">
            <v>Commissions - gross</v>
          </cell>
          <cell r="Y19907" t="str">
            <v>PUERTO RICO</v>
          </cell>
        </row>
        <row r="19908">
          <cell r="L19908" t="str">
            <v>Proportional</v>
          </cell>
          <cell r="S19908">
            <v>-2037.03</v>
          </cell>
          <cell r="X19908" t="str">
            <v>Commissions - gross</v>
          </cell>
          <cell r="Y19908" t="str">
            <v>UNITED STATES</v>
          </cell>
        </row>
        <row r="19909">
          <cell r="L19909" t="str">
            <v>Non-proportional</v>
          </cell>
          <cell r="S19909">
            <v>59.58</v>
          </cell>
          <cell r="X19909" t="str">
            <v>Commissions - gross</v>
          </cell>
          <cell r="Y19909" t="str">
            <v>MEXICO</v>
          </cell>
        </row>
        <row r="19910">
          <cell r="L19910" t="str">
            <v>Proportional</v>
          </cell>
          <cell r="S19910">
            <v>17933.88</v>
          </cell>
          <cell r="X19910" t="str">
            <v>Commissions - gross</v>
          </cell>
          <cell r="Y19910" t="str">
            <v>HONG KONG</v>
          </cell>
        </row>
        <row r="19911">
          <cell r="L19911" t="str">
            <v>Proportional</v>
          </cell>
          <cell r="S19911">
            <v>28.48</v>
          </cell>
          <cell r="X19911" t="str">
            <v>Commissions - gross</v>
          </cell>
          <cell r="Y19911" t="str">
            <v>UNITED STATES</v>
          </cell>
        </row>
        <row r="19912">
          <cell r="L19912" t="str">
            <v>Proportional</v>
          </cell>
          <cell r="S19912">
            <v>24163.61</v>
          </cell>
          <cell r="X19912" t="str">
            <v>Commissions - gross</v>
          </cell>
          <cell r="Y19912" t="str">
            <v>UNITED STATES</v>
          </cell>
        </row>
        <row r="19913">
          <cell r="L19913" t="str">
            <v>Proportional</v>
          </cell>
          <cell r="S19913">
            <v>4.71</v>
          </cell>
          <cell r="X19913" t="str">
            <v>Commissions - gross</v>
          </cell>
          <cell r="Y19913" t="str">
            <v>UNITED STATES</v>
          </cell>
        </row>
        <row r="19914">
          <cell r="L19914" t="str">
            <v>Proportional</v>
          </cell>
          <cell r="S19914">
            <v>-2.6</v>
          </cell>
          <cell r="X19914" t="str">
            <v>Commissions - gross</v>
          </cell>
          <cell r="Y19914" t="str">
            <v>UNITED STATES</v>
          </cell>
        </row>
        <row r="19915">
          <cell r="L19915" t="str">
            <v>Non-proportional</v>
          </cell>
          <cell r="S19915">
            <v>219.89</v>
          </cell>
          <cell r="X19915" t="str">
            <v>Commissions - gross</v>
          </cell>
          <cell r="Y19915" t="str">
            <v>MEXICO</v>
          </cell>
        </row>
        <row r="19916">
          <cell r="L19916" t="str">
            <v>Proportional</v>
          </cell>
          <cell r="S19916">
            <v>1005.43</v>
          </cell>
          <cell r="X19916" t="str">
            <v>Commissions - gross</v>
          </cell>
          <cell r="Y19916" t="str">
            <v>JAPAN</v>
          </cell>
        </row>
        <row r="19917">
          <cell r="L19917" t="str">
            <v>Non-proportional</v>
          </cell>
          <cell r="S19917">
            <v>40.11</v>
          </cell>
          <cell r="X19917" t="str">
            <v>Commissions - gross</v>
          </cell>
          <cell r="Y19917" t="str">
            <v>PUERTO RICO</v>
          </cell>
        </row>
        <row r="19918">
          <cell r="L19918" t="str">
            <v>Proportional</v>
          </cell>
          <cell r="S19918">
            <v>33.659999999999997</v>
          </cell>
          <cell r="X19918" t="str">
            <v>Commissions - gross</v>
          </cell>
          <cell r="Y19918" t="str">
            <v>UNITED STATES</v>
          </cell>
        </row>
        <row r="19919">
          <cell r="L19919" t="str">
            <v>Non-proportional</v>
          </cell>
          <cell r="S19919">
            <v>556.99</v>
          </cell>
          <cell r="X19919" t="str">
            <v>Commissions - gross</v>
          </cell>
          <cell r="Y19919" t="str">
            <v>PUERTO RICO</v>
          </cell>
        </row>
        <row r="19920">
          <cell r="L19920" t="str">
            <v>Proportional</v>
          </cell>
          <cell r="S19920">
            <v>-39072.61</v>
          </cell>
          <cell r="X19920" t="str">
            <v>Commissions - gross</v>
          </cell>
          <cell r="Y19920" t="str">
            <v>MEXICO</v>
          </cell>
        </row>
        <row r="19921">
          <cell r="L19921" t="str">
            <v>Proportional</v>
          </cell>
          <cell r="S19921">
            <v>15.18</v>
          </cell>
          <cell r="X19921" t="str">
            <v>Commissions - gross</v>
          </cell>
          <cell r="Y19921" t="str">
            <v>UNITED STATES</v>
          </cell>
        </row>
        <row r="19922">
          <cell r="L19922" t="str">
            <v>Proportional</v>
          </cell>
          <cell r="S19922">
            <v>1468.4</v>
          </cell>
          <cell r="X19922" t="str">
            <v>Commissions - gross</v>
          </cell>
          <cell r="Y19922" t="str">
            <v>JAPAN</v>
          </cell>
        </row>
        <row r="19923">
          <cell r="L19923" t="str">
            <v>Proportional</v>
          </cell>
          <cell r="S19923">
            <v>10081.700000000001</v>
          </cell>
          <cell r="X19923" t="str">
            <v>Commissions - gross</v>
          </cell>
          <cell r="Y19923" t="str">
            <v>CANADA</v>
          </cell>
        </row>
        <row r="19924">
          <cell r="L19924" t="str">
            <v>Proportional</v>
          </cell>
          <cell r="S19924">
            <v>3660.44</v>
          </cell>
          <cell r="X19924" t="str">
            <v>Commissions - gross</v>
          </cell>
          <cell r="Y19924" t="str">
            <v>MEXICO</v>
          </cell>
        </row>
        <row r="19925">
          <cell r="L19925" t="str">
            <v>Proportional</v>
          </cell>
          <cell r="S19925">
            <v>31244.71</v>
          </cell>
          <cell r="X19925" t="str">
            <v>Commissions - gross</v>
          </cell>
          <cell r="Y19925" t="str">
            <v>UNITED STATES</v>
          </cell>
        </row>
        <row r="19926">
          <cell r="L19926" t="str">
            <v>Proportional</v>
          </cell>
          <cell r="S19926">
            <v>112.99</v>
          </cell>
          <cell r="X19926" t="str">
            <v>Commissions - gross</v>
          </cell>
          <cell r="Y19926" t="str">
            <v>UNITED STATES</v>
          </cell>
        </row>
        <row r="19927">
          <cell r="L19927" t="str">
            <v>Proportional</v>
          </cell>
          <cell r="S19927">
            <v>6521.03</v>
          </cell>
          <cell r="X19927" t="str">
            <v>Commissions - gross</v>
          </cell>
          <cell r="Y19927" t="str">
            <v>FRANCE</v>
          </cell>
        </row>
        <row r="19928">
          <cell r="L19928" t="str">
            <v>Non-proportional</v>
          </cell>
          <cell r="S19928">
            <v>250.63</v>
          </cell>
          <cell r="X19928" t="str">
            <v>Commissions - gross</v>
          </cell>
          <cell r="Y19928" t="str">
            <v>MEXICO</v>
          </cell>
        </row>
        <row r="19929">
          <cell r="L19929" t="str">
            <v>Proportional</v>
          </cell>
          <cell r="S19929">
            <v>8496.15</v>
          </cell>
          <cell r="X19929" t="str">
            <v>Commissions - gross</v>
          </cell>
          <cell r="Y19929" t="str">
            <v>SWITZERLAND</v>
          </cell>
        </row>
        <row r="19930">
          <cell r="L19930" t="str">
            <v>Non-proportional</v>
          </cell>
          <cell r="S19930">
            <v>279.91000000000003</v>
          </cell>
          <cell r="X19930" t="str">
            <v>Commissions - gross</v>
          </cell>
          <cell r="Y19930" t="str">
            <v>PUERTO RICO</v>
          </cell>
        </row>
        <row r="19931">
          <cell r="L19931" t="str">
            <v>Proportional</v>
          </cell>
          <cell r="S19931">
            <v>-8127.43</v>
          </cell>
          <cell r="X19931" t="str">
            <v>Commissions - gross</v>
          </cell>
          <cell r="Y19931" t="str">
            <v>JAPAN</v>
          </cell>
        </row>
        <row r="19932">
          <cell r="L19932" t="str">
            <v>Proportional</v>
          </cell>
          <cell r="S19932">
            <v>3137.14</v>
          </cell>
          <cell r="X19932" t="str">
            <v>Commissions - gross</v>
          </cell>
          <cell r="Y19932" t="str">
            <v>HONG KONG</v>
          </cell>
        </row>
        <row r="19933">
          <cell r="L19933" t="str">
            <v>Proportional</v>
          </cell>
          <cell r="S19933">
            <v>-301.23</v>
          </cell>
          <cell r="X19933" t="str">
            <v>Commissions - gross</v>
          </cell>
          <cell r="Y19933" t="str">
            <v>FRANCE</v>
          </cell>
        </row>
        <row r="19934">
          <cell r="L19934" t="str">
            <v>Proportional</v>
          </cell>
          <cell r="S19934">
            <v>3.32</v>
          </cell>
          <cell r="X19934" t="str">
            <v>Commissions - gross</v>
          </cell>
          <cell r="Y19934" t="str">
            <v>UNITED STATES</v>
          </cell>
        </row>
        <row r="19935">
          <cell r="L19935" t="str">
            <v>Proportional</v>
          </cell>
          <cell r="S19935">
            <v>8.3000000000000007</v>
          </cell>
          <cell r="X19935" t="str">
            <v>Commissions - gross</v>
          </cell>
          <cell r="Y19935" t="str">
            <v>UNITED STATES</v>
          </cell>
        </row>
        <row r="19936">
          <cell r="L19936" t="str">
            <v>Proportional</v>
          </cell>
          <cell r="S19936">
            <v>244.92</v>
          </cell>
          <cell r="X19936" t="str">
            <v>Commissions - gross</v>
          </cell>
          <cell r="Y19936" t="str">
            <v>UNITED STATES</v>
          </cell>
        </row>
        <row r="19937">
          <cell r="L19937" t="str">
            <v>Proportional</v>
          </cell>
          <cell r="S19937">
            <v>9950.41</v>
          </cell>
          <cell r="X19937" t="str">
            <v>Commissions - gross</v>
          </cell>
          <cell r="Y19937" t="str">
            <v>JAPAN</v>
          </cell>
        </row>
        <row r="19938">
          <cell r="L19938" t="str">
            <v>Non-proportional</v>
          </cell>
          <cell r="S19938">
            <v>1692.72</v>
          </cell>
          <cell r="X19938" t="str">
            <v>Commissions - gross</v>
          </cell>
          <cell r="Y19938" t="str">
            <v>MEXICO</v>
          </cell>
        </row>
        <row r="19939">
          <cell r="L19939" t="str">
            <v>Proportional</v>
          </cell>
          <cell r="S19939">
            <v>18010.2</v>
          </cell>
          <cell r="X19939" t="str">
            <v>Commissions - gross</v>
          </cell>
          <cell r="Y19939" t="str">
            <v>UNITED STATES</v>
          </cell>
        </row>
        <row r="19940">
          <cell r="L19940" t="str">
            <v>Proportional</v>
          </cell>
          <cell r="S19940">
            <v>-787.15</v>
          </cell>
          <cell r="X19940" t="str">
            <v>Commissions - gross</v>
          </cell>
          <cell r="Y19940" t="str">
            <v>CANADA</v>
          </cell>
        </row>
        <row r="19941">
          <cell r="L19941" t="str">
            <v>Proportional</v>
          </cell>
          <cell r="S19941">
            <v>-2.09</v>
          </cell>
          <cell r="X19941" t="str">
            <v>Commissions - gross</v>
          </cell>
          <cell r="Y19941" t="str">
            <v>UNITED STATES</v>
          </cell>
        </row>
        <row r="19942">
          <cell r="L19942" t="str">
            <v>Proportional</v>
          </cell>
          <cell r="S19942">
            <v>18.91</v>
          </cell>
          <cell r="X19942" t="str">
            <v>Commissions - gross</v>
          </cell>
          <cell r="Y19942" t="str">
            <v>FRANCE</v>
          </cell>
        </row>
        <row r="19943">
          <cell r="L19943" t="str">
            <v>Proportional</v>
          </cell>
          <cell r="S19943">
            <v>268.39999999999998</v>
          </cell>
          <cell r="X19943" t="str">
            <v>Commissions - gross</v>
          </cell>
          <cell r="Y19943" t="str">
            <v>JAPAN</v>
          </cell>
        </row>
        <row r="19944">
          <cell r="L19944" t="str">
            <v>Non-proportional</v>
          </cell>
          <cell r="S19944">
            <v>673.87</v>
          </cell>
          <cell r="X19944" t="str">
            <v>Commissions - gross</v>
          </cell>
          <cell r="Y19944" t="str">
            <v>PUERTO RICO</v>
          </cell>
        </row>
        <row r="19945">
          <cell r="L19945" t="str">
            <v>Non-proportional</v>
          </cell>
          <cell r="S19945">
            <v>26.55</v>
          </cell>
          <cell r="X19945" t="str">
            <v>Commissions - gross</v>
          </cell>
          <cell r="Y19945" t="str">
            <v>PUERTO RICO</v>
          </cell>
        </row>
        <row r="19946">
          <cell r="L19946" t="str">
            <v>Non-proportional</v>
          </cell>
          <cell r="S19946">
            <v>226.49</v>
          </cell>
          <cell r="X19946" t="str">
            <v>Commissions - gross</v>
          </cell>
          <cell r="Y19946" t="str">
            <v>PUERTO RICO</v>
          </cell>
        </row>
        <row r="19947">
          <cell r="L19947" t="str">
            <v>Non-proportional</v>
          </cell>
          <cell r="S19947">
            <v>1657.98</v>
          </cell>
          <cell r="X19947" t="str">
            <v>Commissions - gross</v>
          </cell>
          <cell r="Y19947" t="str">
            <v>MEXICO</v>
          </cell>
        </row>
        <row r="19948">
          <cell r="L19948" t="str">
            <v>Proportional</v>
          </cell>
          <cell r="S19948">
            <v>-2248387.0699999998</v>
          </cell>
          <cell r="X19948" t="str">
            <v>Commissions - gross</v>
          </cell>
          <cell r="Y19948" t="str">
            <v>ITALY</v>
          </cell>
        </row>
        <row r="19949">
          <cell r="L19949" t="str">
            <v>Proportional</v>
          </cell>
          <cell r="S19949">
            <v>91.01</v>
          </cell>
          <cell r="X19949" t="str">
            <v>Commissions - gross</v>
          </cell>
          <cell r="Y19949" t="str">
            <v>UNITED STATES</v>
          </cell>
        </row>
        <row r="19950">
          <cell r="L19950" t="str">
            <v>Proportional</v>
          </cell>
          <cell r="S19950">
            <v>-7.83</v>
          </cell>
          <cell r="X19950" t="str">
            <v>Commissions - gross</v>
          </cell>
          <cell r="Y19950" t="str">
            <v>UNITED STATES</v>
          </cell>
        </row>
        <row r="19951">
          <cell r="L19951" t="str">
            <v>Proportional</v>
          </cell>
          <cell r="S19951">
            <v>23.25</v>
          </cell>
          <cell r="X19951" t="str">
            <v>Commissions - gross</v>
          </cell>
          <cell r="Y19951" t="str">
            <v>UNITED STATES</v>
          </cell>
        </row>
        <row r="19952">
          <cell r="L19952" t="str">
            <v>Proportional</v>
          </cell>
          <cell r="S19952">
            <v>11485.49</v>
          </cell>
          <cell r="X19952" t="str">
            <v>Commissions - gross</v>
          </cell>
          <cell r="Y19952" t="str">
            <v>CANADA</v>
          </cell>
        </row>
        <row r="19953">
          <cell r="L19953" t="str">
            <v>Proportional</v>
          </cell>
          <cell r="S19953">
            <v>4930.41</v>
          </cell>
          <cell r="X19953" t="str">
            <v>Commissions - gross</v>
          </cell>
          <cell r="Y19953" t="str">
            <v>JAPAN</v>
          </cell>
        </row>
        <row r="19954">
          <cell r="L19954" t="str">
            <v>Non-proportional</v>
          </cell>
          <cell r="S19954">
            <v>795.83</v>
          </cell>
          <cell r="X19954" t="str">
            <v>Commissions - gross</v>
          </cell>
          <cell r="Y19954" t="str">
            <v>MEXICO</v>
          </cell>
        </row>
        <row r="19955">
          <cell r="L19955" t="str">
            <v>Proportional</v>
          </cell>
          <cell r="S19955">
            <v>-1562.87</v>
          </cell>
          <cell r="X19955" t="str">
            <v>Commissions - gross</v>
          </cell>
          <cell r="Y19955" t="str">
            <v>UNITED STATES</v>
          </cell>
        </row>
        <row r="19956">
          <cell r="L19956" t="str">
            <v>Proportional</v>
          </cell>
          <cell r="S19956">
            <v>-2726.05</v>
          </cell>
          <cell r="X19956" t="str">
            <v>Commissions - gross</v>
          </cell>
          <cell r="Y19956" t="str">
            <v>UNITED STATES</v>
          </cell>
        </row>
        <row r="19957">
          <cell r="L19957" t="str">
            <v>Proportional</v>
          </cell>
          <cell r="S19957">
            <v>3.84</v>
          </cell>
          <cell r="X19957" t="str">
            <v>Commissions - gross</v>
          </cell>
          <cell r="Y19957" t="str">
            <v>UNITED STATES</v>
          </cell>
        </row>
        <row r="19958">
          <cell r="L19958" t="str">
            <v>Proportional</v>
          </cell>
          <cell r="S19958">
            <v>-544785.62</v>
          </cell>
          <cell r="X19958" t="str">
            <v>Commissions - gross</v>
          </cell>
          <cell r="Y19958" t="str">
            <v>ITALY</v>
          </cell>
        </row>
        <row r="19959">
          <cell r="L19959" t="str">
            <v>Proportional</v>
          </cell>
          <cell r="S19959">
            <v>1273.29</v>
          </cell>
          <cell r="X19959" t="str">
            <v>Commissions - gross</v>
          </cell>
          <cell r="Y19959" t="str">
            <v>JAPAN</v>
          </cell>
        </row>
        <row r="19960">
          <cell r="L19960" t="str">
            <v>Proportional</v>
          </cell>
          <cell r="S19960">
            <v>3572.95</v>
          </cell>
          <cell r="X19960" t="str">
            <v>Commissions - gross</v>
          </cell>
          <cell r="Y19960" t="str">
            <v>HONG KONG</v>
          </cell>
        </row>
        <row r="19961">
          <cell r="L19961" t="str">
            <v>Non-proportional</v>
          </cell>
          <cell r="S19961">
            <v>260.14</v>
          </cell>
          <cell r="X19961" t="str">
            <v>Commissions - gross</v>
          </cell>
          <cell r="Y19961" t="str">
            <v>PUERTO RICO</v>
          </cell>
        </row>
        <row r="19962">
          <cell r="L19962" t="str">
            <v>Proportional</v>
          </cell>
          <cell r="S19962">
            <v>66119.350000000006</v>
          </cell>
          <cell r="X19962" t="str">
            <v>Commissions - gross</v>
          </cell>
          <cell r="Y19962" t="str">
            <v>SWITZERLAND</v>
          </cell>
        </row>
        <row r="19963">
          <cell r="L19963" t="str">
            <v>Proportional</v>
          </cell>
          <cell r="S19963">
            <v>33668.9</v>
          </cell>
          <cell r="X19963" t="str">
            <v>Commissions - gross</v>
          </cell>
          <cell r="Y19963" t="str">
            <v>UNITED STATES</v>
          </cell>
        </row>
        <row r="19964">
          <cell r="L19964" t="str">
            <v>Proportional</v>
          </cell>
          <cell r="S19964">
            <v>-468.29</v>
          </cell>
          <cell r="X19964" t="str">
            <v>Commissions - gross</v>
          </cell>
          <cell r="Y19964" t="str">
            <v>CANADA</v>
          </cell>
        </row>
        <row r="19965">
          <cell r="L19965" t="str">
            <v>Proportional</v>
          </cell>
          <cell r="S19965">
            <v>1210.99</v>
          </cell>
          <cell r="X19965" t="str">
            <v>Commissions - gross</v>
          </cell>
          <cell r="Y19965" t="str">
            <v>MEXICO</v>
          </cell>
        </row>
        <row r="19966">
          <cell r="L19966" t="str">
            <v>Proportional</v>
          </cell>
          <cell r="S19966">
            <v>399.41</v>
          </cell>
          <cell r="X19966" t="str">
            <v>Commissions - gross</v>
          </cell>
          <cell r="Y19966" t="str">
            <v>MEXICO</v>
          </cell>
        </row>
        <row r="19967">
          <cell r="L19967" t="str">
            <v>Non-proportional</v>
          </cell>
          <cell r="S19967">
            <v>39.29</v>
          </cell>
          <cell r="X19967" t="str">
            <v>Commissions - gross</v>
          </cell>
          <cell r="Y19967" t="str">
            <v>PUERTO RICO</v>
          </cell>
        </row>
        <row r="19968">
          <cell r="L19968" t="str">
            <v>Non-proportional</v>
          </cell>
          <cell r="S19968">
            <v>28.37</v>
          </cell>
          <cell r="X19968" t="str">
            <v>Commissions - gross</v>
          </cell>
          <cell r="Y19968" t="str">
            <v>MEXICO</v>
          </cell>
        </row>
        <row r="19969">
          <cell r="L19969" t="str">
            <v>Proportional</v>
          </cell>
          <cell r="S19969">
            <v>-550.89</v>
          </cell>
          <cell r="X19969" t="str">
            <v>Commissions - gross</v>
          </cell>
          <cell r="Y19969" t="str">
            <v>UNITED STATES</v>
          </cell>
        </row>
        <row r="19970">
          <cell r="L19970" t="str">
            <v>Non-proportional</v>
          </cell>
          <cell r="S19970">
            <v>245.48</v>
          </cell>
          <cell r="X19970" t="str">
            <v>Commissions - gross</v>
          </cell>
          <cell r="Y19970" t="str">
            <v>MEXICO</v>
          </cell>
        </row>
        <row r="19971">
          <cell r="L19971" t="str">
            <v>Proportional</v>
          </cell>
          <cell r="S19971">
            <v>6967.19</v>
          </cell>
          <cell r="X19971" t="str">
            <v>Commissions - gross</v>
          </cell>
          <cell r="Y19971" t="str">
            <v>CANADA</v>
          </cell>
        </row>
        <row r="19972">
          <cell r="L19972" t="str">
            <v>Proportional</v>
          </cell>
          <cell r="S19972">
            <v>15140.16</v>
          </cell>
          <cell r="X19972" t="str">
            <v>Commissions - gross</v>
          </cell>
          <cell r="Y19972" t="str">
            <v>UNITED STATES</v>
          </cell>
        </row>
        <row r="19973">
          <cell r="L19973" t="str">
            <v>Proportional</v>
          </cell>
          <cell r="S19973">
            <v>18701.900000000001</v>
          </cell>
          <cell r="X19973" t="str">
            <v>Commissions - gross</v>
          </cell>
          <cell r="Y19973" t="str">
            <v>UNITED STATES</v>
          </cell>
        </row>
        <row r="19974">
          <cell r="L19974" t="str">
            <v>Non-proportional</v>
          </cell>
          <cell r="S19974">
            <v>215.38</v>
          </cell>
          <cell r="X19974" t="str">
            <v>Commissions - gross</v>
          </cell>
          <cell r="Y19974" t="str">
            <v>MEXICO</v>
          </cell>
        </row>
        <row r="19975">
          <cell r="L19975" t="str">
            <v>Proportional</v>
          </cell>
          <cell r="S19975">
            <v>28940.92</v>
          </cell>
          <cell r="X19975" t="str">
            <v>Commissions - gross</v>
          </cell>
          <cell r="Y19975" t="str">
            <v>HONG KONG</v>
          </cell>
        </row>
        <row r="19976">
          <cell r="L19976" t="str">
            <v>Proportional</v>
          </cell>
          <cell r="S19976">
            <v>2793172.69</v>
          </cell>
          <cell r="X19976" t="str">
            <v>Commissions - gross</v>
          </cell>
          <cell r="Y19976" t="str">
            <v>ITALY</v>
          </cell>
        </row>
        <row r="19977">
          <cell r="L19977" t="str">
            <v>Proportional</v>
          </cell>
          <cell r="S19977">
            <v>1652.75</v>
          </cell>
          <cell r="X19977" t="str">
            <v>Commissions - gross</v>
          </cell>
          <cell r="Y19977" t="str">
            <v>JAPAN</v>
          </cell>
        </row>
        <row r="19978">
          <cell r="L19978" t="str">
            <v>Non-proportional</v>
          </cell>
          <cell r="S19978">
            <v>272.58</v>
          </cell>
          <cell r="X19978" t="str">
            <v>Commissions - gross</v>
          </cell>
          <cell r="Y19978" t="str">
            <v>PUERTO RICO</v>
          </cell>
        </row>
        <row r="19979">
          <cell r="L19979" t="str">
            <v>Proportional</v>
          </cell>
          <cell r="S19979">
            <v>-252.09</v>
          </cell>
          <cell r="X19979" t="str">
            <v>Commissions - gross</v>
          </cell>
          <cell r="Y19979" t="str">
            <v>UNITED STATES</v>
          </cell>
        </row>
        <row r="19980">
          <cell r="L19980" t="str">
            <v>Proportional</v>
          </cell>
          <cell r="S19980">
            <v>-8057.43</v>
          </cell>
          <cell r="X19980" t="str">
            <v>Commissions - gross</v>
          </cell>
          <cell r="Y19980" t="str">
            <v>INDIA</v>
          </cell>
        </row>
        <row r="19981">
          <cell r="L19981" t="str">
            <v>Non-proportional</v>
          </cell>
          <cell r="S19981">
            <v>545.55999999999995</v>
          </cell>
          <cell r="X19981" t="str">
            <v>Commissions - gross</v>
          </cell>
          <cell r="Y19981" t="str">
            <v>PUERTO RICO</v>
          </cell>
        </row>
        <row r="19982">
          <cell r="L19982" t="str">
            <v>Proportional</v>
          </cell>
          <cell r="S19982">
            <v>6214.43</v>
          </cell>
          <cell r="X19982" t="str">
            <v>Commissions - gross</v>
          </cell>
          <cell r="Y19982" t="str">
            <v>SWITZERLAND</v>
          </cell>
        </row>
        <row r="19983">
          <cell r="L19983" t="str">
            <v>Proportional</v>
          </cell>
          <cell r="S19983">
            <v>39.619999999999997</v>
          </cell>
          <cell r="X19983" t="str">
            <v>Commissions - gross</v>
          </cell>
          <cell r="Y19983" t="str">
            <v>UNITED STATES</v>
          </cell>
        </row>
        <row r="19984">
          <cell r="L19984" t="str">
            <v>Non-proportional</v>
          </cell>
          <cell r="S19984">
            <v>58.35</v>
          </cell>
          <cell r="X19984" t="str">
            <v>Commissions - gross</v>
          </cell>
          <cell r="Y19984" t="str">
            <v>MEXICO</v>
          </cell>
        </row>
        <row r="19985">
          <cell r="L19985" t="str">
            <v>Proportional</v>
          </cell>
          <cell r="S19985">
            <v>7010.58</v>
          </cell>
          <cell r="X19985" t="str">
            <v>Commissions - gross</v>
          </cell>
          <cell r="Y19985" t="str">
            <v>FRANCE</v>
          </cell>
        </row>
        <row r="19986">
          <cell r="L19986" t="str">
            <v>Proportional</v>
          </cell>
          <cell r="S19986">
            <v>20978.62</v>
          </cell>
          <cell r="X19986" t="str">
            <v>Commissions - gross</v>
          </cell>
          <cell r="Y19986" t="str">
            <v>UNITED STATES</v>
          </cell>
        </row>
        <row r="19987">
          <cell r="L19987" t="str">
            <v>Proportional</v>
          </cell>
          <cell r="S19987">
            <v>1738.24</v>
          </cell>
          <cell r="X19987" t="str">
            <v>Commissions - gross</v>
          </cell>
          <cell r="Y19987" t="str">
            <v>JAPAN</v>
          </cell>
        </row>
        <row r="19988">
          <cell r="L19988" t="str">
            <v>Proportional</v>
          </cell>
          <cell r="S19988">
            <v>-17.38</v>
          </cell>
          <cell r="X19988" t="str">
            <v>Commissions - gross</v>
          </cell>
          <cell r="Y19988" t="str">
            <v>UNITED STATES</v>
          </cell>
        </row>
        <row r="19989">
          <cell r="L19989" t="str">
            <v>Proportional</v>
          </cell>
          <cell r="S19989">
            <v>127.88</v>
          </cell>
          <cell r="X19989" t="str">
            <v>Commissions - gross</v>
          </cell>
          <cell r="Y19989" t="str">
            <v>UNITED STATES</v>
          </cell>
        </row>
        <row r="19990">
          <cell r="L19990" t="str">
            <v>Proportional</v>
          </cell>
          <cell r="S19990">
            <v>301.32</v>
          </cell>
          <cell r="X19990" t="str">
            <v>Commissions - gross</v>
          </cell>
          <cell r="Y19990" t="str">
            <v>UNITED STATES</v>
          </cell>
        </row>
        <row r="19991">
          <cell r="L19991" t="str">
            <v>Proportional</v>
          </cell>
          <cell r="S19991">
            <v>1330.5</v>
          </cell>
          <cell r="X19991" t="str">
            <v>Commissions - gross</v>
          </cell>
          <cell r="Y19991" t="str">
            <v>UNITED STATES</v>
          </cell>
        </row>
        <row r="19992">
          <cell r="L19992" t="str">
            <v>Non-proportional</v>
          </cell>
          <cell r="S19992">
            <v>533.41</v>
          </cell>
          <cell r="X19992" t="str">
            <v>Commissions - gross</v>
          </cell>
          <cell r="Y19992" t="str">
            <v>MEXICO</v>
          </cell>
        </row>
        <row r="19993">
          <cell r="L19993" t="str">
            <v>Proportional</v>
          </cell>
          <cell r="S19993">
            <v>27.5</v>
          </cell>
          <cell r="X19993" t="str">
            <v>Commissions - gross</v>
          </cell>
          <cell r="Y19993" t="str">
            <v>UNITED STATES</v>
          </cell>
        </row>
        <row r="19994">
          <cell r="L19994" t="str">
            <v>Proportional</v>
          </cell>
          <cell r="S19994">
            <v>14441.02</v>
          </cell>
          <cell r="X19994" t="str">
            <v>Commissions - gross</v>
          </cell>
          <cell r="Y19994" t="str">
            <v>HONG KONG</v>
          </cell>
        </row>
        <row r="19995">
          <cell r="L19995" t="str">
            <v>Proportional</v>
          </cell>
          <cell r="S19995">
            <v>9613.39</v>
          </cell>
          <cell r="X19995" t="str">
            <v>Commissions - gross</v>
          </cell>
          <cell r="Y19995" t="str">
            <v>SWITZERLAND</v>
          </cell>
        </row>
        <row r="19996">
          <cell r="L19996" t="str">
            <v>Proportional</v>
          </cell>
          <cell r="S19996">
            <v>-2903.11</v>
          </cell>
          <cell r="X19996" t="str">
            <v>Commissions - gross</v>
          </cell>
          <cell r="Y19996" t="str">
            <v>SWITZERLAND</v>
          </cell>
        </row>
        <row r="19997">
          <cell r="L19997" t="str">
            <v>Proportional</v>
          </cell>
          <cell r="S19997">
            <v>-12.7</v>
          </cell>
          <cell r="X19997" t="str">
            <v>Commissions - gross</v>
          </cell>
          <cell r="Y19997" t="str">
            <v>UNITED STATES</v>
          </cell>
        </row>
        <row r="19998">
          <cell r="L19998" t="str">
            <v>Proportional</v>
          </cell>
          <cell r="S19998">
            <v>1703601.45</v>
          </cell>
          <cell r="X19998" t="str">
            <v>Commissions - gross</v>
          </cell>
          <cell r="Y19998" t="str">
            <v>ITALY</v>
          </cell>
        </row>
        <row r="19999">
          <cell r="L19999" t="str">
            <v>Non-proportional</v>
          </cell>
          <cell r="S19999">
            <v>426.81</v>
          </cell>
          <cell r="X19999" t="str">
            <v>Commissions - gross</v>
          </cell>
          <cell r="Y19999" t="str">
            <v>PUERTO RICO</v>
          </cell>
        </row>
        <row r="20000">
          <cell r="L20000" t="str">
            <v>Non-proportional</v>
          </cell>
          <cell r="S20000">
            <v>1090.9100000000001</v>
          </cell>
          <cell r="X20000" t="str">
            <v>Commissions - gross</v>
          </cell>
          <cell r="Y20000" t="str">
            <v>ITALY</v>
          </cell>
        </row>
        <row r="20001">
          <cell r="L20001" t="str">
            <v>Non-proportional</v>
          </cell>
          <cell r="S20001">
            <v>169.66</v>
          </cell>
          <cell r="X20001" t="str">
            <v>Commissions - gross</v>
          </cell>
          <cell r="Y20001" t="str">
            <v>PUERTO RICO</v>
          </cell>
        </row>
        <row r="20002">
          <cell r="L20002" t="str">
            <v>Proportional</v>
          </cell>
          <cell r="S20002">
            <v>6953.89</v>
          </cell>
          <cell r="X20002" t="str">
            <v>Commissions - gross</v>
          </cell>
          <cell r="Y20002" t="str">
            <v>JAPAN</v>
          </cell>
        </row>
        <row r="20003">
          <cell r="L20003" t="str">
            <v>Proportional</v>
          </cell>
          <cell r="S20003">
            <v>3245.96</v>
          </cell>
          <cell r="X20003" t="str">
            <v>Commissions - gross</v>
          </cell>
          <cell r="Y20003" t="str">
            <v>MEXICO</v>
          </cell>
        </row>
        <row r="20004">
          <cell r="L20004" t="str">
            <v>Proportional</v>
          </cell>
          <cell r="S20004">
            <v>3040.87</v>
          </cell>
          <cell r="X20004" t="str">
            <v>Commissions - gross</v>
          </cell>
          <cell r="Y20004" t="str">
            <v>MEXICO</v>
          </cell>
        </row>
        <row r="20005">
          <cell r="L20005" t="str">
            <v>Proportional</v>
          </cell>
          <cell r="S20005">
            <v>231.52</v>
          </cell>
          <cell r="X20005" t="str">
            <v>Commissions - gross</v>
          </cell>
          <cell r="Y20005" t="str">
            <v>UNITED STATES</v>
          </cell>
        </row>
        <row r="20006">
          <cell r="L20006" t="str">
            <v>Non-proportional</v>
          </cell>
          <cell r="S20006">
            <v>273.08999999999997</v>
          </cell>
          <cell r="X20006" t="str">
            <v>Commissions - gross</v>
          </cell>
          <cell r="Y20006" t="str">
            <v>PUERTO RICO</v>
          </cell>
        </row>
        <row r="20007">
          <cell r="L20007" t="str">
            <v>Proportional</v>
          </cell>
          <cell r="S20007">
            <v>2014.05</v>
          </cell>
          <cell r="X20007" t="str">
            <v>Commissions - gross</v>
          </cell>
          <cell r="Y20007" t="str">
            <v>JAPAN</v>
          </cell>
        </row>
        <row r="20008">
          <cell r="L20008" t="str">
            <v>Proportional</v>
          </cell>
          <cell r="S20008">
            <v>-274254.65999999997</v>
          </cell>
          <cell r="X20008" t="str">
            <v>Commissions - gross</v>
          </cell>
          <cell r="Y20008" t="str">
            <v>ITALY</v>
          </cell>
        </row>
        <row r="20009">
          <cell r="L20009" t="str">
            <v>Non-proportional</v>
          </cell>
          <cell r="S20009">
            <v>542.99</v>
          </cell>
          <cell r="X20009" t="str">
            <v>Commissions - gross</v>
          </cell>
          <cell r="Y20009" t="str">
            <v>PUERTO RICO</v>
          </cell>
        </row>
        <row r="20010">
          <cell r="L20010" t="str">
            <v>Proportional</v>
          </cell>
          <cell r="S20010">
            <v>661.29</v>
          </cell>
          <cell r="X20010" t="str">
            <v>Commissions - gross</v>
          </cell>
          <cell r="Y20010" t="str">
            <v>MEXICO</v>
          </cell>
        </row>
        <row r="20011">
          <cell r="L20011" t="str">
            <v>Non-proportional</v>
          </cell>
          <cell r="S20011">
            <v>58.08</v>
          </cell>
          <cell r="X20011" t="str">
            <v>Commissions - gross</v>
          </cell>
          <cell r="Y20011" t="str">
            <v>MEXICO</v>
          </cell>
        </row>
        <row r="20012">
          <cell r="L20012" t="str">
            <v>Proportional</v>
          </cell>
          <cell r="S20012">
            <v>32693.82</v>
          </cell>
          <cell r="X20012" t="str">
            <v>Commissions - gross</v>
          </cell>
          <cell r="Y20012" t="str">
            <v>HONG KONG</v>
          </cell>
        </row>
        <row r="20013">
          <cell r="L20013" t="str">
            <v>Proportional</v>
          </cell>
          <cell r="S20013">
            <v>8493.2800000000007</v>
          </cell>
          <cell r="X20013" t="str">
            <v>Commissions - gross</v>
          </cell>
          <cell r="Y20013" t="str">
            <v>JAPAN</v>
          </cell>
        </row>
        <row r="20014">
          <cell r="L20014" t="str">
            <v>Proportional</v>
          </cell>
          <cell r="S20014">
            <v>5353.36</v>
          </cell>
          <cell r="X20014" t="str">
            <v>Commissions - gross</v>
          </cell>
          <cell r="Y20014" t="str">
            <v>CANADA</v>
          </cell>
        </row>
        <row r="20015">
          <cell r="L20015" t="str">
            <v>Non-proportional</v>
          </cell>
          <cell r="S20015">
            <v>424.8</v>
          </cell>
          <cell r="X20015" t="str">
            <v>Commissions - gross</v>
          </cell>
          <cell r="Y20015" t="str">
            <v>PUERTO RICO</v>
          </cell>
        </row>
        <row r="20016">
          <cell r="L20016" t="str">
            <v>Non-proportional</v>
          </cell>
          <cell r="S20016">
            <v>214.37</v>
          </cell>
          <cell r="X20016" t="str">
            <v>Commissions - gross</v>
          </cell>
          <cell r="Y20016" t="str">
            <v>MEXICO</v>
          </cell>
        </row>
        <row r="20017">
          <cell r="L20017" t="str">
            <v>Proportional</v>
          </cell>
          <cell r="S20017">
            <v>325.54000000000002</v>
          </cell>
          <cell r="X20017" t="str">
            <v>Commissions - gross</v>
          </cell>
          <cell r="Y20017" t="str">
            <v>JAPAN</v>
          </cell>
        </row>
        <row r="20018">
          <cell r="L20018" t="str">
            <v>Proportional</v>
          </cell>
          <cell r="S20018">
            <v>-8.3800000000000008</v>
          </cell>
          <cell r="X20018" t="str">
            <v>Commissions - gross</v>
          </cell>
          <cell r="Y20018" t="str">
            <v>UNITED STATES</v>
          </cell>
        </row>
        <row r="20019">
          <cell r="L20019" t="str">
            <v>Non-proportional</v>
          </cell>
          <cell r="S20019">
            <v>530.9</v>
          </cell>
          <cell r="X20019" t="str">
            <v>Commissions - gross</v>
          </cell>
          <cell r="Y20019" t="str">
            <v>MEXICO</v>
          </cell>
        </row>
        <row r="20020">
          <cell r="L20020" t="str">
            <v>Proportional</v>
          </cell>
          <cell r="S20020">
            <v>8334.69</v>
          </cell>
          <cell r="X20020" t="str">
            <v>Commissions - gross</v>
          </cell>
          <cell r="Y20020" t="str">
            <v>HONG KONG</v>
          </cell>
        </row>
        <row r="20021">
          <cell r="L20021" t="str">
            <v>Proportional</v>
          </cell>
          <cell r="S20021">
            <v>26845.83</v>
          </cell>
          <cell r="X20021" t="str">
            <v>Commissions - gross</v>
          </cell>
          <cell r="Y20021" t="str">
            <v>INDIA</v>
          </cell>
        </row>
        <row r="20022">
          <cell r="L20022" t="str">
            <v>Proportional</v>
          </cell>
          <cell r="S20022">
            <v>37.36</v>
          </cell>
          <cell r="X20022" t="str">
            <v>Commissions - gross</v>
          </cell>
          <cell r="Y20022" t="str">
            <v>UNITED STATES</v>
          </cell>
        </row>
        <row r="20023">
          <cell r="L20023" t="str">
            <v>Non-proportional</v>
          </cell>
          <cell r="S20023">
            <v>39.1</v>
          </cell>
          <cell r="X20023" t="str">
            <v>Commissions - gross</v>
          </cell>
          <cell r="Y20023" t="str">
            <v>PUERTO RICO</v>
          </cell>
        </row>
        <row r="20024">
          <cell r="L20024" t="str">
            <v>Proportional</v>
          </cell>
          <cell r="S20024">
            <v>127.69</v>
          </cell>
          <cell r="X20024" t="str">
            <v>Commissions - gross</v>
          </cell>
          <cell r="Y20024" t="str">
            <v>UNITED STATES</v>
          </cell>
        </row>
        <row r="20025">
          <cell r="L20025" t="str">
            <v>Proportional</v>
          </cell>
          <cell r="S20025">
            <v>-359.82</v>
          </cell>
          <cell r="X20025" t="str">
            <v>Commissions - gross</v>
          </cell>
          <cell r="Y20025" t="str">
            <v>CANADA</v>
          </cell>
        </row>
        <row r="20026">
          <cell r="L20026" t="str">
            <v>Non-proportional</v>
          </cell>
          <cell r="S20026">
            <v>244.33</v>
          </cell>
          <cell r="X20026" t="str">
            <v>Commissions - gross</v>
          </cell>
          <cell r="Y20026" t="str">
            <v>MEXICO</v>
          </cell>
        </row>
        <row r="20027">
          <cell r="L20027" t="str">
            <v>Non-proportional</v>
          </cell>
          <cell r="S20027">
            <v>1650.19</v>
          </cell>
          <cell r="X20027" t="str">
            <v>Commissions - gross</v>
          </cell>
          <cell r="Y20027" t="str">
            <v>MEXICO</v>
          </cell>
        </row>
        <row r="20028">
          <cell r="L20028" t="str">
            <v>Proportional</v>
          </cell>
          <cell r="S20028">
            <v>7901.75</v>
          </cell>
          <cell r="X20028" t="str">
            <v>Commissions - gross</v>
          </cell>
          <cell r="Y20028" t="str">
            <v>FRANCE</v>
          </cell>
        </row>
        <row r="20029">
          <cell r="L20029" t="str">
            <v>Proportional</v>
          </cell>
          <cell r="S20029">
            <v>13059.2</v>
          </cell>
          <cell r="X20029" t="str">
            <v>Commissions - gross</v>
          </cell>
          <cell r="Y20029" t="str">
            <v>SWITZERLAND</v>
          </cell>
        </row>
        <row r="20030">
          <cell r="L20030" t="str">
            <v>Proportional</v>
          </cell>
          <cell r="S20030">
            <v>-875.8</v>
          </cell>
          <cell r="X20030" t="str">
            <v>Commissions - gross</v>
          </cell>
          <cell r="Y20030" t="str">
            <v>CANADA</v>
          </cell>
        </row>
        <row r="20031">
          <cell r="L20031" t="str">
            <v>Proportional</v>
          </cell>
          <cell r="S20031">
            <v>10835.43</v>
          </cell>
          <cell r="X20031" t="str">
            <v>Commissions - gross</v>
          </cell>
          <cell r="Y20031" t="str">
            <v>SWITZERLAND</v>
          </cell>
        </row>
        <row r="20032">
          <cell r="L20032" t="str">
            <v>Non-proportional</v>
          </cell>
          <cell r="S20032">
            <v>168.86</v>
          </cell>
          <cell r="X20032" t="str">
            <v>Commissions - gross</v>
          </cell>
          <cell r="Y20032" t="str">
            <v>PUERTO RICO</v>
          </cell>
        </row>
        <row r="20033">
          <cell r="L20033" t="str">
            <v>Proportional</v>
          </cell>
          <cell r="S20033">
            <v>-0.01</v>
          </cell>
          <cell r="X20033" t="str">
            <v>Commissions - gross</v>
          </cell>
          <cell r="Y20033" t="str">
            <v>UNITED STATES</v>
          </cell>
        </row>
        <row r="20034">
          <cell r="L20034" t="str">
            <v>Non-proportional</v>
          </cell>
          <cell r="S20034">
            <v>226.13</v>
          </cell>
          <cell r="X20034" t="str">
            <v>Commissions - gross</v>
          </cell>
          <cell r="Y20034" t="str">
            <v>PUERTO RICO</v>
          </cell>
        </row>
        <row r="20035">
          <cell r="L20035" t="str">
            <v>Proportional</v>
          </cell>
          <cell r="S20035">
            <v>16999.12</v>
          </cell>
          <cell r="X20035" t="str">
            <v>Commissions - gross</v>
          </cell>
          <cell r="Y20035" t="str">
            <v>UNITED STATES</v>
          </cell>
        </row>
        <row r="20036">
          <cell r="L20036" t="str">
            <v>Non-proportional</v>
          </cell>
          <cell r="S20036">
            <v>1090.9100000000001</v>
          </cell>
          <cell r="X20036" t="str">
            <v>Commissions - gross</v>
          </cell>
          <cell r="Y20036" t="str">
            <v>ITALY</v>
          </cell>
        </row>
        <row r="20037">
          <cell r="L20037" t="str">
            <v>Non-proportional</v>
          </cell>
          <cell r="S20037">
            <v>28.23</v>
          </cell>
          <cell r="X20037" t="str">
            <v>Commissions - gross</v>
          </cell>
          <cell r="Y20037" t="str">
            <v>MEXICO</v>
          </cell>
        </row>
        <row r="20038">
          <cell r="L20038" t="str">
            <v>Proportional</v>
          </cell>
          <cell r="S20038">
            <v>203.17</v>
          </cell>
          <cell r="X20038" t="str">
            <v>Commissions - gross</v>
          </cell>
          <cell r="Y20038" t="str">
            <v>UNITED STATES</v>
          </cell>
        </row>
        <row r="20039">
          <cell r="L20039" t="str">
            <v>Proportional</v>
          </cell>
          <cell r="S20039">
            <v>16290.83</v>
          </cell>
          <cell r="X20039" t="str">
            <v>Commissions - gross</v>
          </cell>
          <cell r="Y20039" t="str">
            <v>UNITED STATES</v>
          </cell>
        </row>
        <row r="20040">
          <cell r="L20040" t="str">
            <v>Proportional</v>
          </cell>
          <cell r="S20040">
            <v>0.38</v>
          </cell>
          <cell r="X20040" t="str">
            <v>Commissions - gross</v>
          </cell>
          <cell r="Y20040" t="str">
            <v>UNITED STATES</v>
          </cell>
        </row>
        <row r="20041">
          <cell r="L20041" t="str">
            <v>Proportional</v>
          </cell>
          <cell r="S20041">
            <v>-17102.38</v>
          </cell>
          <cell r="X20041" t="str">
            <v>Commissions - gross</v>
          </cell>
          <cell r="Y20041" t="str">
            <v>JAPAN</v>
          </cell>
        </row>
        <row r="20042">
          <cell r="L20042" t="str">
            <v>Proportional</v>
          </cell>
          <cell r="S20042">
            <v>16057.89</v>
          </cell>
          <cell r="X20042" t="str">
            <v>Commissions - gross</v>
          </cell>
          <cell r="Y20042" t="str">
            <v>JAPAN</v>
          </cell>
        </row>
        <row r="20043">
          <cell r="L20043" t="str">
            <v>Proportional</v>
          </cell>
          <cell r="S20043">
            <v>18.05</v>
          </cell>
          <cell r="X20043" t="str">
            <v>Commissions - gross</v>
          </cell>
          <cell r="Y20043" t="str">
            <v>UNITED STATES</v>
          </cell>
        </row>
        <row r="20044">
          <cell r="L20044" t="str">
            <v>Proportional</v>
          </cell>
          <cell r="S20044">
            <v>1097.04</v>
          </cell>
          <cell r="X20044" t="str">
            <v>Commissions - gross</v>
          </cell>
          <cell r="Y20044" t="str">
            <v>JAPAN</v>
          </cell>
        </row>
        <row r="20045">
          <cell r="L20045" t="str">
            <v>Proportional</v>
          </cell>
          <cell r="S20045">
            <v>21.42</v>
          </cell>
          <cell r="X20045" t="str">
            <v>Commissions - gross</v>
          </cell>
          <cell r="Y20045" t="str">
            <v>FRANCE</v>
          </cell>
        </row>
        <row r="20046">
          <cell r="L20046" t="str">
            <v>Proportional</v>
          </cell>
          <cell r="S20046">
            <v>69.930000000000007</v>
          </cell>
          <cell r="X20046" t="str">
            <v>Commissions - gross</v>
          </cell>
          <cell r="Y20046" t="str">
            <v>UNITED STATES</v>
          </cell>
        </row>
        <row r="20047">
          <cell r="L20047" t="str">
            <v>Proportional</v>
          </cell>
          <cell r="S20047">
            <v>18.010000000000002</v>
          </cell>
          <cell r="X20047" t="str">
            <v>Commissions - gross</v>
          </cell>
          <cell r="Y20047" t="str">
            <v>UNITED STATES</v>
          </cell>
        </row>
        <row r="20048">
          <cell r="L20048" t="str">
            <v>Proportional</v>
          </cell>
          <cell r="S20048">
            <v>2.77</v>
          </cell>
          <cell r="X20048" t="str">
            <v>Commissions - gross</v>
          </cell>
          <cell r="Y20048" t="str">
            <v>UNITED STATES</v>
          </cell>
        </row>
        <row r="20049">
          <cell r="L20049" t="str">
            <v>Proportional</v>
          </cell>
          <cell r="S20049">
            <v>-1.61</v>
          </cell>
          <cell r="X20049" t="str">
            <v>Commissions - gross</v>
          </cell>
          <cell r="Y20049" t="str">
            <v>UNITED STATES</v>
          </cell>
        </row>
        <row r="20050">
          <cell r="L20050" t="str">
            <v>Non-proportional</v>
          </cell>
          <cell r="S20050">
            <v>792.1</v>
          </cell>
          <cell r="X20050" t="str">
            <v>Commissions - gross</v>
          </cell>
          <cell r="Y20050" t="str">
            <v>MEXICO</v>
          </cell>
        </row>
        <row r="20051">
          <cell r="L20051" t="str">
            <v>Proportional</v>
          </cell>
          <cell r="S20051">
            <v>13764.78</v>
          </cell>
          <cell r="X20051" t="str">
            <v>Commissions - gross</v>
          </cell>
          <cell r="Y20051" t="str">
            <v>MEXICO</v>
          </cell>
        </row>
        <row r="20052">
          <cell r="L20052" t="str">
            <v>Proportional</v>
          </cell>
          <cell r="S20052">
            <v>30.98</v>
          </cell>
          <cell r="X20052" t="str">
            <v>Commissions - gross</v>
          </cell>
          <cell r="Y20052" t="str">
            <v>UNITED STATES</v>
          </cell>
        </row>
        <row r="20053">
          <cell r="L20053" t="str">
            <v>Proportional</v>
          </cell>
          <cell r="S20053">
            <v>7004.39</v>
          </cell>
          <cell r="X20053" t="str">
            <v>Commissions - gross</v>
          </cell>
          <cell r="Y20053" t="str">
            <v>SWITZERLAND</v>
          </cell>
        </row>
        <row r="20054">
          <cell r="L20054" t="str">
            <v>Proportional</v>
          </cell>
          <cell r="S20054">
            <v>19.12</v>
          </cell>
          <cell r="X20054" t="str">
            <v>Commissions - gross</v>
          </cell>
          <cell r="Y20054" t="str">
            <v>UNITED STATES</v>
          </cell>
        </row>
        <row r="20055">
          <cell r="L20055" t="str">
            <v>Non-proportional</v>
          </cell>
          <cell r="S20055">
            <v>26.43</v>
          </cell>
          <cell r="X20055" t="str">
            <v>Commissions - gross</v>
          </cell>
          <cell r="Y20055" t="str">
            <v>PUERTO RICO</v>
          </cell>
        </row>
        <row r="20056">
          <cell r="L20056" t="str">
            <v>Proportional</v>
          </cell>
          <cell r="S20056">
            <v>10714.53</v>
          </cell>
          <cell r="X20056" t="str">
            <v>Commissions - gross</v>
          </cell>
          <cell r="Y20056" t="str">
            <v>HONG KONG</v>
          </cell>
        </row>
        <row r="20057">
          <cell r="L20057" t="str">
            <v>Non-proportional</v>
          </cell>
          <cell r="S20057">
            <v>670.7</v>
          </cell>
          <cell r="X20057" t="str">
            <v>Commissions - gross</v>
          </cell>
          <cell r="Y20057" t="str">
            <v>PUERTO RICO</v>
          </cell>
        </row>
        <row r="20058">
          <cell r="L20058" t="str">
            <v>Proportional</v>
          </cell>
          <cell r="S20058">
            <v>1699.97</v>
          </cell>
          <cell r="X20058" t="str">
            <v>Commissions - gross</v>
          </cell>
          <cell r="Y20058" t="str">
            <v>MEXICO</v>
          </cell>
        </row>
        <row r="20059">
          <cell r="L20059" t="str">
            <v>Proportional</v>
          </cell>
          <cell r="S20059">
            <v>36982.129999999997</v>
          </cell>
          <cell r="X20059" t="str">
            <v>Commissions - gross</v>
          </cell>
          <cell r="Y20059" t="str">
            <v>UNITED STATES</v>
          </cell>
        </row>
        <row r="20060">
          <cell r="L20060" t="str">
            <v>Proportional</v>
          </cell>
          <cell r="S20060">
            <v>15321.18</v>
          </cell>
          <cell r="X20060" t="str">
            <v>Commissions - gross</v>
          </cell>
          <cell r="Y20060" t="str">
            <v>UNITED STATES</v>
          </cell>
        </row>
        <row r="20061">
          <cell r="L20061" t="str">
            <v>Proportional</v>
          </cell>
          <cell r="S20061">
            <v>46.03</v>
          </cell>
          <cell r="X20061" t="str">
            <v>Commissions - gross</v>
          </cell>
          <cell r="Y20061" t="str">
            <v>UNITED STATES</v>
          </cell>
        </row>
        <row r="20062">
          <cell r="L20062" t="str">
            <v>Proportional</v>
          </cell>
          <cell r="S20062">
            <v>-10711.83</v>
          </cell>
          <cell r="X20062" t="str">
            <v>Commissions - gross</v>
          </cell>
          <cell r="Y20062" t="str">
            <v>HONG KONG</v>
          </cell>
        </row>
        <row r="20063">
          <cell r="L20063" t="str">
            <v>Proportional</v>
          </cell>
          <cell r="S20063">
            <v>12779.03</v>
          </cell>
          <cell r="X20063" t="str">
            <v>Commissions - gross</v>
          </cell>
          <cell r="Y20063" t="str">
            <v>CANADA</v>
          </cell>
        </row>
        <row r="20064">
          <cell r="L20064" t="str">
            <v>Non-proportional</v>
          </cell>
          <cell r="S20064">
            <v>258.92</v>
          </cell>
          <cell r="X20064" t="str">
            <v>Commissions - gross</v>
          </cell>
          <cell r="Y20064" t="str">
            <v>PUERTO RICO</v>
          </cell>
        </row>
        <row r="20065">
          <cell r="L20065" t="str">
            <v>Proportional</v>
          </cell>
          <cell r="S20065">
            <v>17043.5</v>
          </cell>
          <cell r="X20065" t="str">
            <v>Commissions - gross</v>
          </cell>
          <cell r="Y20065" t="str">
            <v>UNITED STATES</v>
          </cell>
        </row>
        <row r="20066">
          <cell r="L20066" t="str">
            <v>Proportional</v>
          </cell>
          <cell r="S20066">
            <v>21.5</v>
          </cell>
          <cell r="X20066" t="str">
            <v>Commissions - gross</v>
          </cell>
          <cell r="Y20066" t="str">
            <v>UNITED STATES</v>
          </cell>
        </row>
        <row r="20067">
          <cell r="L20067" t="str">
            <v>Proportional</v>
          </cell>
          <cell r="S20067">
            <v>-232.97</v>
          </cell>
          <cell r="X20067" t="str">
            <v>Commissions - gross</v>
          </cell>
          <cell r="Y20067" t="str">
            <v>UNITED STATES</v>
          </cell>
        </row>
        <row r="20068">
          <cell r="L20068" t="str">
            <v>Proportional</v>
          </cell>
          <cell r="S20068">
            <v>2740.12</v>
          </cell>
          <cell r="X20068" t="str">
            <v>Commissions - gross</v>
          </cell>
          <cell r="Y20068" t="str">
            <v>MEXICO</v>
          </cell>
        </row>
        <row r="20069">
          <cell r="L20069" t="str">
            <v>Proportional</v>
          </cell>
          <cell r="S20069">
            <v>1490.62</v>
          </cell>
          <cell r="X20069" t="str">
            <v>Commissions - gross</v>
          </cell>
          <cell r="Y20069" t="str">
            <v>JAPAN</v>
          </cell>
        </row>
        <row r="20070">
          <cell r="L20070" t="str">
            <v>Proportional</v>
          </cell>
          <cell r="S20070">
            <v>303.10000000000002</v>
          </cell>
          <cell r="X20070" t="str">
            <v>Commissions - gross</v>
          </cell>
          <cell r="Y20070" t="str">
            <v>SWITZERLAND</v>
          </cell>
        </row>
        <row r="20071">
          <cell r="L20071" t="str">
            <v>Proportional</v>
          </cell>
          <cell r="S20071">
            <v>4036.27</v>
          </cell>
          <cell r="X20071" t="str">
            <v>Commissions - gross</v>
          </cell>
          <cell r="Y20071" t="str">
            <v>HONG KONG</v>
          </cell>
        </row>
        <row r="20072">
          <cell r="L20072" t="str">
            <v>Proportional</v>
          </cell>
          <cell r="S20072">
            <v>-98.76</v>
          </cell>
          <cell r="X20072" t="str">
            <v>Commissions - gross</v>
          </cell>
          <cell r="Y20072" t="str">
            <v>UNITED STATES</v>
          </cell>
        </row>
        <row r="20073">
          <cell r="L20073" t="str">
            <v>Proportional</v>
          </cell>
          <cell r="S20073">
            <v>144.82</v>
          </cell>
          <cell r="X20073" t="str">
            <v>Commissions - gross</v>
          </cell>
          <cell r="Y20073" t="str">
            <v>UNITED STATES</v>
          </cell>
        </row>
        <row r="20074">
          <cell r="L20074" t="str">
            <v>Non-proportional</v>
          </cell>
          <cell r="S20074">
            <v>263.11</v>
          </cell>
          <cell r="X20074" t="str">
            <v>Commissions - gross</v>
          </cell>
          <cell r="Y20074" t="str">
            <v>PUERTO RICO</v>
          </cell>
        </row>
        <row r="20075">
          <cell r="L20075" t="str">
            <v>Non-proportional</v>
          </cell>
          <cell r="S20075">
            <v>59.02</v>
          </cell>
          <cell r="X20075" t="str">
            <v>Commissions - gross</v>
          </cell>
          <cell r="Y20075" t="str">
            <v>MEXICO</v>
          </cell>
        </row>
        <row r="20076">
          <cell r="L20076" t="str">
            <v>Proportional</v>
          </cell>
          <cell r="S20076">
            <v>51.01</v>
          </cell>
          <cell r="X20076" t="str">
            <v>Commissions - gross</v>
          </cell>
          <cell r="Y20076" t="str">
            <v>UNITED STATES</v>
          </cell>
        </row>
        <row r="20077">
          <cell r="L20077" t="str">
            <v>Proportional</v>
          </cell>
          <cell r="S20077">
            <v>19374.18</v>
          </cell>
          <cell r="X20077" t="str">
            <v>Commissions - gross</v>
          </cell>
          <cell r="Y20077" t="str">
            <v>UNITED STATES</v>
          </cell>
        </row>
        <row r="20078">
          <cell r="L20078" t="str">
            <v>Proportional</v>
          </cell>
          <cell r="S20078">
            <v>4262.29</v>
          </cell>
          <cell r="X20078" t="str">
            <v>Commissions - gross</v>
          </cell>
          <cell r="Y20078" t="str">
            <v>JAPAN</v>
          </cell>
        </row>
        <row r="20079">
          <cell r="L20079" t="str">
            <v>Proportional</v>
          </cell>
          <cell r="S20079">
            <v>1028.47</v>
          </cell>
          <cell r="X20079" t="str">
            <v>Commissions - gross</v>
          </cell>
          <cell r="Y20079" t="str">
            <v>JAPAN</v>
          </cell>
        </row>
        <row r="20080">
          <cell r="L20080" t="str">
            <v>Proportional</v>
          </cell>
          <cell r="S20080">
            <v>21.39</v>
          </cell>
          <cell r="X20080" t="str">
            <v>Commissions - gross</v>
          </cell>
          <cell r="Y20080" t="str">
            <v>UNITED STATES</v>
          </cell>
        </row>
        <row r="20081">
          <cell r="L20081" t="str">
            <v>Proportional</v>
          </cell>
          <cell r="S20081">
            <v>0.01</v>
          </cell>
          <cell r="X20081" t="str">
            <v>Commissions - gross</v>
          </cell>
          <cell r="Y20081" t="str">
            <v>UNITED STATES</v>
          </cell>
        </row>
        <row r="20082">
          <cell r="L20082" t="str">
            <v>Proportional</v>
          </cell>
          <cell r="S20082">
            <v>42039.41</v>
          </cell>
          <cell r="X20082" t="str">
            <v>Commissions - gross</v>
          </cell>
          <cell r="Y20082" t="str">
            <v>UNITED STATES</v>
          </cell>
        </row>
        <row r="20083">
          <cell r="L20083" t="str">
            <v>Proportional</v>
          </cell>
          <cell r="S20083">
            <v>37213.07</v>
          </cell>
          <cell r="X20083" t="str">
            <v>Commissions - gross</v>
          </cell>
          <cell r="Y20083" t="str">
            <v>HONG KONG</v>
          </cell>
        </row>
        <row r="20084">
          <cell r="L20084" t="str">
            <v>Proportional</v>
          </cell>
          <cell r="S20084">
            <v>-110.47</v>
          </cell>
          <cell r="X20084" t="str">
            <v>Commissions - gross</v>
          </cell>
          <cell r="Y20084" t="str">
            <v>UNITED STATES</v>
          </cell>
        </row>
        <row r="20085">
          <cell r="L20085" t="str">
            <v>Proportional</v>
          </cell>
          <cell r="S20085">
            <v>9781.5499999999993</v>
          </cell>
          <cell r="X20085" t="str">
            <v>Commissions - gross</v>
          </cell>
          <cell r="Y20085" t="str">
            <v>HONG KONG</v>
          </cell>
        </row>
        <row r="20086">
          <cell r="L20086" t="str">
            <v>Proportional</v>
          </cell>
          <cell r="S20086">
            <v>12317.16</v>
          </cell>
          <cell r="X20086" t="str">
            <v>Commissions - gross</v>
          </cell>
          <cell r="Y20086" t="str">
            <v>SWITZERLAND</v>
          </cell>
        </row>
        <row r="20087">
          <cell r="L20087" t="str">
            <v>Non-proportional</v>
          </cell>
          <cell r="S20087">
            <v>-1667.78</v>
          </cell>
          <cell r="X20087" t="str">
            <v>Commissions - gross</v>
          </cell>
          <cell r="Y20087" t="str">
            <v>BRAZIL</v>
          </cell>
        </row>
        <row r="20088">
          <cell r="L20088" t="str">
            <v>Proportional</v>
          </cell>
          <cell r="S20088">
            <v>50</v>
          </cell>
          <cell r="X20088" t="str">
            <v>Commissions - gross</v>
          </cell>
          <cell r="Y20088" t="str">
            <v>UNITED STATES</v>
          </cell>
        </row>
        <row r="20089">
          <cell r="L20089" t="str">
            <v>Non-proportional</v>
          </cell>
          <cell r="S20089">
            <v>217.84</v>
          </cell>
          <cell r="X20089" t="str">
            <v>Commissions - gross</v>
          </cell>
          <cell r="Y20089" t="str">
            <v>MEXICO</v>
          </cell>
        </row>
        <row r="20090">
          <cell r="L20090" t="str">
            <v>Proportional</v>
          </cell>
          <cell r="S20090">
            <v>15.25</v>
          </cell>
          <cell r="X20090" t="str">
            <v>Commissions - gross</v>
          </cell>
          <cell r="Y20090" t="str">
            <v>UNITED STATES</v>
          </cell>
        </row>
        <row r="20091">
          <cell r="L20091" t="str">
            <v>Non-proportional</v>
          </cell>
          <cell r="S20091">
            <v>1090.9100000000001</v>
          </cell>
          <cell r="X20091" t="str">
            <v>Commissions - gross</v>
          </cell>
          <cell r="Y20091" t="str">
            <v>ITALY</v>
          </cell>
        </row>
        <row r="20092">
          <cell r="L20092" t="str">
            <v>Non-proportional</v>
          </cell>
          <cell r="S20092">
            <v>539.49</v>
          </cell>
          <cell r="X20092" t="str">
            <v>Commissions - gross</v>
          </cell>
          <cell r="Y20092" t="str">
            <v>MEXICO</v>
          </cell>
        </row>
        <row r="20093">
          <cell r="L20093" t="str">
            <v>Proportional</v>
          </cell>
          <cell r="S20093">
            <v>165.56</v>
          </cell>
          <cell r="X20093" t="str">
            <v>Commissions - gross</v>
          </cell>
          <cell r="Y20093" t="str">
            <v>UNITED STATES</v>
          </cell>
        </row>
        <row r="20094">
          <cell r="L20094" t="str">
            <v>Non-proportional</v>
          </cell>
          <cell r="S20094">
            <v>229.79</v>
          </cell>
          <cell r="X20094" t="str">
            <v>Commissions - gross</v>
          </cell>
          <cell r="Y20094" t="str">
            <v>PUERTO RICO</v>
          </cell>
        </row>
        <row r="20095">
          <cell r="L20095" t="str">
            <v>Non-proportional</v>
          </cell>
          <cell r="S20095">
            <v>-1695.93</v>
          </cell>
          <cell r="X20095" t="str">
            <v>Commissions - gross</v>
          </cell>
          <cell r="Y20095" t="str">
            <v>BRAZIL</v>
          </cell>
        </row>
        <row r="20096">
          <cell r="L20096" t="str">
            <v>Proportional</v>
          </cell>
          <cell r="S20096">
            <v>339.07</v>
          </cell>
          <cell r="X20096" t="str">
            <v>Commissions - gross</v>
          </cell>
          <cell r="Y20096" t="str">
            <v>SWITZERLAND</v>
          </cell>
        </row>
        <row r="20097">
          <cell r="L20097" t="str">
            <v>Non-proportional</v>
          </cell>
          <cell r="S20097">
            <v>277.51</v>
          </cell>
          <cell r="X20097" t="str">
            <v>Commissions - gross</v>
          </cell>
          <cell r="Y20097" t="str">
            <v>PUERTO RICO</v>
          </cell>
        </row>
        <row r="20098">
          <cell r="L20098" t="str">
            <v>Proportional</v>
          </cell>
          <cell r="S20098">
            <v>947.78</v>
          </cell>
          <cell r="X20098" t="str">
            <v>Commissions - gross</v>
          </cell>
          <cell r="Y20098" t="str">
            <v>MEXICO</v>
          </cell>
        </row>
        <row r="20099">
          <cell r="L20099" t="str">
            <v>Proportional</v>
          </cell>
          <cell r="S20099">
            <v>-9891.18</v>
          </cell>
          <cell r="X20099" t="str">
            <v>Commissions - gross</v>
          </cell>
          <cell r="Y20099" t="str">
            <v>HONG KONG</v>
          </cell>
        </row>
        <row r="20100">
          <cell r="L20100" t="str">
            <v>Proportional</v>
          </cell>
          <cell r="S20100">
            <v>3801.37</v>
          </cell>
          <cell r="X20100" t="str">
            <v>Commissions - gross</v>
          </cell>
          <cell r="Y20100" t="str">
            <v>CANADA</v>
          </cell>
        </row>
        <row r="20101">
          <cell r="L20101" t="str">
            <v>Proportional</v>
          </cell>
          <cell r="S20101">
            <v>7962.25</v>
          </cell>
          <cell r="X20101" t="str">
            <v>Commissions - gross</v>
          </cell>
          <cell r="Y20101" t="str">
            <v>SWITZERLAND</v>
          </cell>
        </row>
        <row r="20102">
          <cell r="L20102" t="str">
            <v>Proportional</v>
          </cell>
          <cell r="S20102">
            <v>2489.15</v>
          </cell>
          <cell r="X20102" t="str">
            <v>Commissions - gross</v>
          </cell>
          <cell r="Y20102" t="str">
            <v>MEXICO</v>
          </cell>
        </row>
        <row r="20103">
          <cell r="L20103" t="str">
            <v>Non-proportional</v>
          </cell>
          <cell r="S20103">
            <v>39.74</v>
          </cell>
          <cell r="X20103" t="str">
            <v>Commissions - gross</v>
          </cell>
          <cell r="Y20103" t="str">
            <v>PUERTO RICO</v>
          </cell>
        </row>
        <row r="20104">
          <cell r="L20104" t="str">
            <v>Proportional</v>
          </cell>
          <cell r="S20104">
            <v>26.49</v>
          </cell>
          <cell r="X20104" t="str">
            <v>Commissions - gross</v>
          </cell>
          <cell r="Y20104" t="str">
            <v>UNITED STATES</v>
          </cell>
        </row>
        <row r="20105">
          <cell r="L20105" t="str">
            <v>Proportional</v>
          </cell>
          <cell r="S20105">
            <v>3.74</v>
          </cell>
          <cell r="X20105" t="str">
            <v>Commissions - gross</v>
          </cell>
          <cell r="Y20105" t="str">
            <v>UNITED STATES</v>
          </cell>
        </row>
        <row r="20106">
          <cell r="L20106" t="str">
            <v>Proportional</v>
          </cell>
          <cell r="S20106">
            <v>944.24</v>
          </cell>
          <cell r="X20106" t="str">
            <v>Commissions - gross</v>
          </cell>
          <cell r="Y20106" t="str">
            <v>JAPAN</v>
          </cell>
        </row>
        <row r="20107">
          <cell r="L20107" t="str">
            <v>Non-proportional</v>
          </cell>
          <cell r="S20107">
            <v>28.69</v>
          </cell>
          <cell r="X20107" t="str">
            <v>Commissions - gross</v>
          </cell>
          <cell r="Y20107" t="str">
            <v>MEXICO</v>
          </cell>
        </row>
        <row r="20108">
          <cell r="L20108" t="str">
            <v>Proportional</v>
          </cell>
          <cell r="S20108">
            <v>-192.6</v>
          </cell>
          <cell r="X20108" t="str">
            <v>Commissions - gross</v>
          </cell>
          <cell r="Y20108" t="str">
            <v>FRANCE</v>
          </cell>
        </row>
        <row r="20109">
          <cell r="L20109" t="str">
            <v>Proportional</v>
          </cell>
          <cell r="S20109">
            <v>3590.7</v>
          </cell>
          <cell r="X20109" t="str">
            <v>Commissions - gross</v>
          </cell>
          <cell r="Y20109" t="str">
            <v>HONG KONG</v>
          </cell>
        </row>
        <row r="20110">
          <cell r="L20110" t="str">
            <v>Proportional</v>
          </cell>
          <cell r="S20110">
            <v>-1.1499999999999999</v>
          </cell>
          <cell r="X20110" t="str">
            <v>Commissions - gross</v>
          </cell>
          <cell r="Y20110" t="str">
            <v>UNITED STATES</v>
          </cell>
        </row>
        <row r="20111">
          <cell r="L20111" t="str">
            <v>Proportional</v>
          </cell>
          <cell r="S20111">
            <v>12.65</v>
          </cell>
          <cell r="X20111" t="str">
            <v>Commissions - gross</v>
          </cell>
          <cell r="Y20111" t="str">
            <v>UNITED STATES</v>
          </cell>
        </row>
        <row r="20112">
          <cell r="L20112" t="str">
            <v>Proportional</v>
          </cell>
          <cell r="S20112">
            <v>19039.2</v>
          </cell>
          <cell r="X20112" t="str">
            <v>Commissions - gross</v>
          </cell>
          <cell r="Y20112" t="str">
            <v>UNITED STATES</v>
          </cell>
        </row>
        <row r="20113">
          <cell r="L20113" t="str">
            <v>Proportional</v>
          </cell>
          <cell r="S20113">
            <v>2208.91</v>
          </cell>
          <cell r="X20113" t="str">
            <v>Commissions - gross</v>
          </cell>
          <cell r="Y20113" t="str">
            <v>MEXICO</v>
          </cell>
        </row>
        <row r="20114">
          <cell r="L20114" t="str">
            <v>Non-proportional</v>
          </cell>
          <cell r="S20114">
            <v>551.78</v>
          </cell>
          <cell r="X20114" t="str">
            <v>Commissions - gross</v>
          </cell>
          <cell r="Y20114" t="str">
            <v>PUERTO RICO</v>
          </cell>
        </row>
        <row r="20115">
          <cell r="L20115" t="str">
            <v>Proportional</v>
          </cell>
          <cell r="S20115">
            <v>14704.76</v>
          </cell>
          <cell r="X20115" t="str">
            <v>Commissions - gross</v>
          </cell>
          <cell r="Y20115" t="str">
            <v>CANADA</v>
          </cell>
        </row>
        <row r="20116">
          <cell r="L20116" t="str">
            <v>Proportional</v>
          </cell>
          <cell r="S20116">
            <v>-1275.08</v>
          </cell>
          <cell r="X20116" t="str">
            <v>Commissions - gross</v>
          </cell>
          <cell r="Y20116" t="str">
            <v>CANADA</v>
          </cell>
        </row>
        <row r="20117">
          <cell r="L20117" t="str">
            <v>Proportional</v>
          </cell>
          <cell r="S20117">
            <v>12.91</v>
          </cell>
          <cell r="X20117" t="str">
            <v>Commissions - gross</v>
          </cell>
          <cell r="Y20117" t="str">
            <v>UNITED STATES</v>
          </cell>
        </row>
        <row r="20118">
          <cell r="L20118" t="str">
            <v>Non-proportional</v>
          </cell>
          <cell r="S20118">
            <v>431.68</v>
          </cell>
          <cell r="X20118" t="str">
            <v>Commissions - gross</v>
          </cell>
          <cell r="Y20118" t="str">
            <v>PUERTO RICO</v>
          </cell>
        </row>
        <row r="20119">
          <cell r="L20119" t="str">
            <v>Proportional</v>
          </cell>
          <cell r="S20119">
            <v>10202.969999999999</v>
          </cell>
          <cell r="X20119" t="str">
            <v>Commissions - gross</v>
          </cell>
          <cell r="Y20119" t="str">
            <v>JAPAN</v>
          </cell>
        </row>
        <row r="20120">
          <cell r="L20120" t="str">
            <v>Proportional</v>
          </cell>
          <cell r="S20120">
            <v>0.06</v>
          </cell>
          <cell r="X20120" t="str">
            <v>Commissions - gross</v>
          </cell>
          <cell r="Y20120" t="str">
            <v>HONG KONG</v>
          </cell>
        </row>
        <row r="20121">
          <cell r="L20121" t="str">
            <v>Proportional</v>
          </cell>
          <cell r="S20121">
            <v>144.07</v>
          </cell>
          <cell r="X20121" t="str">
            <v>Commissions - gross</v>
          </cell>
          <cell r="Y20121" t="str">
            <v>UNITED STATES</v>
          </cell>
        </row>
        <row r="20122">
          <cell r="L20122" t="str">
            <v>Non-proportional</v>
          </cell>
          <cell r="S20122">
            <v>-2244.8200000000002</v>
          </cell>
          <cell r="X20122" t="str">
            <v>Commissions - gross</v>
          </cell>
          <cell r="Y20122" t="str">
            <v>BRAZIL</v>
          </cell>
        </row>
        <row r="20123">
          <cell r="L20123" t="str">
            <v>Proportional</v>
          </cell>
          <cell r="S20123">
            <v>17401.810000000001</v>
          </cell>
          <cell r="X20123" t="str">
            <v>Commissions - gross</v>
          </cell>
          <cell r="Y20123" t="str">
            <v>JAPAN</v>
          </cell>
        </row>
        <row r="20124">
          <cell r="L20124" t="str">
            <v>Non-proportional</v>
          </cell>
          <cell r="S20124">
            <v>681.56</v>
          </cell>
          <cell r="X20124" t="str">
            <v>Commissions - gross</v>
          </cell>
          <cell r="Y20124" t="str">
            <v>PUERTO RICO</v>
          </cell>
        </row>
        <row r="20125">
          <cell r="L20125" t="str">
            <v>Proportional</v>
          </cell>
          <cell r="S20125">
            <v>-0.11</v>
          </cell>
          <cell r="X20125" t="str">
            <v>Commissions - gross</v>
          </cell>
          <cell r="Y20125" t="str">
            <v>UNITED STATES</v>
          </cell>
        </row>
        <row r="20126">
          <cell r="L20126" t="str">
            <v>Proportional</v>
          </cell>
          <cell r="S20126">
            <v>21.97</v>
          </cell>
          <cell r="X20126" t="str">
            <v>Commissions - gross</v>
          </cell>
          <cell r="Y20126" t="str">
            <v>UNITED STATES</v>
          </cell>
        </row>
        <row r="20127">
          <cell r="L20127" t="str">
            <v>Non-proportional</v>
          </cell>
          <cell r="S20127">
            <v>248.29</v>
          </cell>
          <cell r="X20127" t="str">
            <v>Commissions - gross</v>
          </cell>
          <cell r="Y20127" t="str">
            <v>MEXICO</v>
          </cell>
        </row>
        <row r="20128">
          <cell r="L20128" t="str">
            <v>Proportional</v>
          </cell>
          <cell r="S20128">
            <v>-333.5</v>
          </cell>
          <cell r="X20128" t="str">
            <v>Commissions - gross</v>
          </cell>
          <cell r="Y20128" t="str">
            <v>CANADA</v>
          </cell>
        </row>
        <row r="20129">
          <cell r="L20129" t="str">
            <v>Proportional</v>
          </cell>
          <cell r="S20129">
            <v>12432.36</v>
          </cell>
          <cell r="X20129" t="str">
            <v>Commissions - gross</v>
          </cell>
          <cell r="Y20129" t="str">
            <v>INDIA</v>
          </cell>
        </row>
        <row r="20130">
          <cell r="L20130" t="str">
            <v>Proportional</v>
          </cell>
          <cell r="S20130">
            <v>11737.41</v>
          </cell>
          <cell r="X20130" t="str">
            <v>Commissions - gross</v>
          </cell>
          <cell r="Y20130" t="str">
            <v>UNITED STATES</v>
          </cell>
        </row>
        <row r="20131">
          <cell r="L20131" t="str">
            <v>Proportional</v>
          </cell>
          <cell r="S20131">
            <v>229.22</v>
          </cell>
          <cell r="X20131" t="str">
            <v>Commissions - gross</v>
          </cell>
          <cell r="Y20131" t="str">
            <v>UNITED STATES</v>
          </cell>
        </row>
        <row r="20132">
          <cell r="L20132" t="str">
            <v>Proportional</v>
          </cell>
          <cell r="S20132">
            <v>21.39</v>
          </cell>
          <cell r="X20132" t="str">
            <v>Commissions - gross</v>
          </cell>
          <cell r="Y20132" t="str">
            <v>UNITED STATES</v>
          </cell>
        </row>
        <row r="20133">
          <cell r="L20133" t="str">
            <v>Proportional</v>
          </cell>
          <cell r="S20133">
            <v>9202.3700000000008</v>
          </cell>
          <cell r="X20133" t="str">
            <v>Commissions - gross</v>
          </cell>
          <cell r="Y20133" t="str">
            <v>FRANCE</v>
          </cell>
        </row>
        <row r="20134">
          <cell r="L20134" t="str">
            <v>Proportional</v>
          </cell>
          <cell r="S20134">
            <v>14845.03</v>
          </cell>
          <cell r="X20134" t="str">
            <v>Commissions - gross</v>
          </cell>
          <cell r="Y20134" t="str">
            <v>SWITZERLAND</v>
          </cell>
        </row>
        <row r="20135">
          <cell r="L20135" t="str">
            <v>Non-proportional</v>
          </cell>
          <cell r="S20135">
            <v>171.59</v>
          </cell>
          <cell r="X20135" t="str">
            <v>Commissions - gross</v>
          </cell>
          <cell r="Y20135" t="str">
            <v>PUERTO RICO</v>
          </cell>
        </row>
        <row r="20136">
          <cell r="L20136" t="str">
            <v>Proportional</v>
          </cell>
          <cell r="S20136">
            <v>162</v>
          </cell>
          <cell r="X20136" t="str">
            <v>Commissions - gross</v>
          </cell>
          <cell r="Y20136" t="str">
            <v>UNITED STATES</v>
          </cell>
        </row>
        <row r="20137">
          <cell r="L20137" t="str">
            <v>Proportional</v>
          </cell>
          <cell r="S20137">
            <v>-291256.05</v>
          </cell>
          <cell r="X20137" t="str">
            <v>Commissions - gross</v>
          </cell>
          <cell r="Y20137" t="str">
            <v>ITALY</v>
          </cell>
        </row>
        <row r="20138">
          <cell r="L20138" t="str">
            <v>Proportional</v>
          </cell>
          <cell r="S20138">
            <v>10890.39</v>
          </cell>
          <cell r="X20138" t="str">
            <v>Commissions - gross</v>
          </cell>
          <cell r="Y20138" t="str">
            <v>HONG KONG</v>
          </cell>
        </row>
        <row r="20139">
          <cell r="L20139" t="str">
            <v>Non-proportional</v>
          </cell>
          <cell r="S20139">
            <v>26.86</v>
          </cell>
          <cell r="X20139" t="str">
            <v>Commissions - gross</v>
          </cell>
          <cell r="Y20139" t="str">
            <v>PUERTO RICO</v>
          </cell>
        </row>
        <row r="20140">
          <cell r="L20140" t="str">
            <v>Non-proportional</v>
          </cell>
          <cell r="S20140">
            <v>1676.9</v>
          </cell>
          <cell r="X20140" t="str">
            <v>Commissions - gross</v>
          </cell>
          <cell r="Y20140" t="str">
            <v>MEXICO</v>
          </cell>
        </row>
        <row r="20141">
          <cell r="L20141" t="str">
            <v>Proportional</v>
          </cell>
          <cell r="S20141">
            <v>-1418.9</v>
          </cell>
          <cell r="X20141" t="str">
            <v>Commissions - gross</v>
          </cell>
          <cell r="Y20141" t="str">
            <v>JAPAN</v>
          </cell>
        </row>
        <row r="20142">
          <cell r="L20142" t="str">
            <v>Proportional</v>
          </cell>
          <cell r="S20142">
            <v>11038.78</v>
          </cell>
          <cell r="X20142" t="str">
            <v>Commissions - gross</v>
          </cell>
          <cell r="Y20142" t="str">
            <v>UNITED STATES</v>
          </cell>
        </row>
        <row r="20143">
          <cell r="L20143" t="str">
            <v>Proportional</v>
          </cell>
          <cell r="S20143">
            <v>-6</v>
          </cell>
          <cell r="X20143" t="str">
            <v>Commissions - gross</v>
          </cell>
          <cell r="Y20143" t="str">
            <v>UNITED STATES</v>
          </cell>
        </row>
        <row r="20144">
          <cell r="L20144" t="str">
            <v>Non-proportional</v>
          </cell>
          <cell r="S20144">
            <v>804.92</v>
          </cell>
          <cell r="X20144" t="str">
            <v>Commissions - gross</v>
          </cell>
          <cell r="Y20144" t="str">
            <v>MEXICO</v>
          </cell>
        </row>
        <row r="20145">
          <cell r="L20145" t="str">
            <v>Proportional</v>
          </cell>
          <cell r="S20145">
            <v>2423.75</v>
          </cell>
          <cell r="X20145" t="str">
            <v>Commissions - gross</v>
          </cell>
          <cell r="Y20145" t="str">
            <v>CANADA</v>
          </cell>
        </row>
        <row r="20146">
          <cell r="L20146" t="str">
            <v>Proportional</v>
          </cell>
          <cell r="S20146">
            <v>-16.41</v>
          </cell>
          <cell r="X20146" t="str">
            <v>Commissions - gross</v>
          </cell>
          <cell r="Y20146" t="str">
            <v>UNITED STATES</v>
          </cell>
        </row>
        <row r="20147">
          <cell r="L20147" t="str">
            <v>Proportional</v>
          </cell>
          <cell r="S20147">
            <v>-0.88</v>
          </cell>
          <cell r="X20147" t="str">
            <v>Commissions - gross</v>
          </cell>
          <cell r="Y20147" t="str">
            <v>UNITED STATES</v>
          </cell>
        </row>
        <row r="20148">
          <cell r="L20148" t="str">
            <v>Non-proportional</v>
          </cell>
          <cell r="S20148">
            <v>167.91</v>
          </cell>
          <cell r="X20148" t="str">
            <v>Commissions - gross</v>
          </cell>
          <cell r="Y20148" t="str">
            <v>BRAZIL</v>
          </cell>
        </row>
        <row r="20149">
          <cell r="L20149" t="str">
            <v>Proportional</v>
          </cell>
          <cell r="S20149">
            <v>11756.07</v>
          </cell>
          <cell r="X20149" t="str">
            <v>Commissions - gross</v>
          </cell>
          <cell r="Y20149" t="str">
            <v>JAPAN</v>
          </cell>
        </row>
        <row r="20150">
          <cell r="L20150" t="str">
            <v>Non-proportional</v>
          </cell>
          <cell r="S20150">
            <v>248.03</v>
          </cell>
          <cell r="X20150" t="str">
            <v>Commissions - gross</v>
          </cell>
          <cell r="Y20150" t="str">
            <v>MEXICO</v>
          </cell>
        </row>
        <row r="20151">
          <cell r="L20151" t="str">
            <v>Non-proportional</v>
          </cell>
          <cell r="S20151">
            <v>0</v>
          </cell>
          <cell r="X20151" t="str">
            <v>Commissions - gross</v>
          </cell>
          <cell r="Y20151" t="str">
            <v>BRAZIL</v>
          </cell>
        </row>
        <row r="20152">
          <cell r="L20152" t="str">
            <v>Proportional</v>
          </cell>
          <cell r="S20152">
            <v>22950.880000000001</v>
          </cell>
          <cell r="X20152" t="str">
            <v>Commissions - gross</v>
          </cell>
          <cell r="Y20152" t="str">
            <v>UNITED STATES</v>
          </cell>
        </row>
        <row r="20153">
          <cell r="L20153" t="str">
            <v>Non-proportional</v>
          </cell>
          <cell r="S20153">
            <v>170.74</v>
          </cell>
          <cell r="X20153" t="str">
            <v>Commissions - gross</v>
          </cell>
          <cell r="Y20153" t="str">
            <v>BRAZIL</v>
          </cell>
        </row>
        <row r="20154">
          <cell r="L20154" t="str">
            <v>Proportional</v>
          </cell>
          <cell r="S20154">
            <v>14347.09</v>
          </cell>
          <cell r="X20154" t="str">
            <v>Commissions - gross</v>
          </cell>
          <cell r="Y20154" t="str">
            <v>INDIA</v>
          </cell>
        </row>
        <row r="20155">
          <cell r="L20155" t="str">
            <v>Proportional</v>
          </cell>
          <cell r="S20155">
            <v>-7.0000000000000007E-2</v>
          </cell>
          <cell r="X20155" t="str">
            <v>Commissions - gross</v>
          </cell>
          <cell r="Y20155" t="str">
            <v>HONG KONG</v>
          </cell>
        </row>
        <row r="20156">
          <cell r="L20156" t="str">
            <v>Proportional</v>
          </cell>
          <cell r="S20156">
            <v>47311.13</v>
          </cell>
          <cell r="X20156" t="str">
            <v>Commissions - gross</v>
          </cell>
          <cell r="Y20156" t="str">
            <v>UNITED STATES</v>
          </cell>
        </row>
        <row r="20157">
          <cell r="L20157" t="str">
            <v>Proportional</v>
          </cell>
          <cell r="S20157">
            <v>-0.03</v>
          </cell>
          <cell r="X20157" t="str">
            <v>Commissions - gross</v>
          </cell>
          <cell r="Y20157" t="str">
            <v>UNITED STATES</v>
          </cell>
        </row>
        <row r="20158">
          <cell r="L20158" t="str">
            <v>Proportional</v>
          </cell>
          <cell r="S20158">
            <v>2701.69</v>
          </cell>
          <cell r="X20158" t="str">
            <v>Commissions - gross</v>
          </cell>
          <cell r="Y20158" t="str">
            <v>MEXICO</v>
          </cell>
        </row>
        <row r="20159">
          <cell r="L20159" t="str">
            <v>Proportional</v>
          </cell>
          <cell r="S20159">
            <v>15.92</v>
          </cell>
          <cell r="X20159" t="str">
            <v>Commissions - gross</v>
          </cell>
          <cell r="Y20159" t="str">
            <v>UNITED STATES</v>
          </cell>
        </row>
        <row r="20160">
          <cell r="L20160" t="str">
            <v>Non-proportional</v>
          </cell>
          <cell r="S20160">
            <v>680.85</v>
          </cell>
          <cell r="X20160" t="str">
            <v>Commissions - gross</v>
          </cell>
          <cell r="Y20160" t="str">
            <v>PUERTO RICO</v>
          </cell>
        </row>
        <row r="20161">
          <cell r="L20161" t="str">
            <v>Non-proportional</v>
          </cell>
          <cell r="S20161">
            <v>39.69</v>
          </cell>
          <cell r="X20161" t="str">
            <v>Commissions - gross</v>
          </cell>
          <cell r="Y20161" t="str">
            <v>PUERTO RICO</v>
          </cell>
        </row>
        <row r="20162">
          <cell r="L20162" t="str">
            <v>Proportional</v>
          </cell>
          <cell r="S20162">
            <v>40997.14</v>
          </cell>
          <cell r="X20162" t="str">
            <v>Commissions - gross</v>
          </cell>
          <cell r="Y20162" t="str">
            <v>HONG KONG</v>
          </cell>
        </row>
        <row r="20163">
          <cell r="L20163" t="str">
            <v>Proportional</v>
          </cell>
          <cell r="S20163">
            <v>7.0000000000000007E-2</v>
          </cell>
          <cell r="X20163" t="str">
            <v>Commissions - gross</v>
          </cell>
          <cell r="Y20163" t="str">
            <v>HONG KONG</v>
          </cell>
        </row>
        <row r="20164">
          <cell r="L20164" t="str">
            <v>Proportional</v>
          </cell>
          <cell r="S20164">
            <v>-5144.9799999999996</v>
          </cell>
          <cell r="X20164" t="str">
            <v>Commissions - gross</v>
          </cell>
          <cell r="Y20164" t="str">
            <v>SWITZERLAND</v>
          </cell>
        </row>
        <row r="20165">
          <cell r="L20165" t="str">
            <v>Proportional</v>
          </cell>
          <cell r="S20165">
            <v>158.84</v>
          </cell>
          <cell r="X20165" t="str">
            <v>Commissions - gross</v>
          </cell>
          <cell r="Y20165" t="str">
            <v>UNITED STATES</v>
          </cell>
        </row>
        <row r="20166">
          <cell r="L20166" t="str">
            <v>Proportional</v>
          </cell>
          <cell r="S20166">
            <v>16239.07</v>
          </cell>
          <cell r="X20166" t="str">
            <v>Commissions - gross</v>
          </cell>
          <cell r="Y20166" t="str">
            <v>CANADA</v>
          </cell>
        </row>
        <row r="20167">
          <cell r="L20167" t="str">
            <v>Proportional</v>
          </cell>
          <cell r="S20167">
            <v>6595.71</v>
          </cell>
          <cell r="X20167" t="str">
            <v>Commissions - gross</v>
          </cell>
          <cell r="Y20167" t="str">
            <v>UNITED STATES</v>
          </cell>
        </row>
        <row r="20168">
          <cell r="L20168" t="str">
            <v>Proportional</v>
          </cell>
          <cell r="S20168">
            <v>253.14</v>
          </cell>
          <cell r="X20168" t="str">
            <v>Commissions - gross</v>
          </cell>
          <cell r="Y20168" t="str">
            <v>UNITED STATES</v>
          </cell>
        </row>
        <row r="20169">
          <cell r="L20169" t="str">
            <v>Proportional</v>
          </cell>
          <cell r="S20169">
            <v>556.9</v>
          </cell>
          <cell r="X20169" t="str">
            <v>Commissions - gross</v>
          </cell>
          <cell r="Y20169" t="str">
            <v>JAPAN</v>
          </cell>
        </row>
        <row r="20170">
          <cell r="L20170" t="str">
            <v>Proportional</v>
          </cell>
          <cell r="S20170">
            <v>7.67</v>
          </cell>
          <cell r="X20170" t="str">
            <v>Commissions - gross</v>
          </cell>
          <cell r="Y20170" t="str">
            <v>UNITED STATES</v>
          </cell>
        </row>
        <row r="20171">
          <cell r="L20171" t="str">
            <v>Non-proportional</v>
          </cell>
          <cell r="S20171">
            <v>0</v>
          </cell>
          <cell r="X20171" t="str">
            <v>Commissions - gross</v>
          </cell>
          <cell r="Y20171" t="str">
            <v>BRAZIL</v>
          </cell>
        </row>
        <row r="20172">
          <cell r="L20172" t="str">
            <v>Proportional</v>
          </cell>
          <cell r="S20172">
            <v>23.63</v>
          </cell>
          <cell r="X20172" t="str">
            <v>Commissions - gross</v>
          </cell>
          <cell r="Y20172" t="str">
            <v>UNITED STATES</v>
          </cell>
        </row>
        <row r="20173">
          <cell r="L20173" t="str">
            <v>Proportional</v>
          </cell>
          <cell r="S20173">
            <v>3958.83</v>
          </cell>
          <cell r="X20173" t="str">
            <v>Commissions - gross</v>
          </cell>
          <cell r="Y20173" t="str">
            <v>HONG KONG</v>
          </cell>
        </row>
        <row r="20174">
          <cell r="L20174" t="str">
            <v>Proportional</v>
          </cell>
          <cell r="S20174">
            <v>21893.77</v>
          </cell>
          <cell r="X20174" t="str">
            <v>Commissions - gross</v>
          </cell>
          <cell r="Y20174" t="str">
            <v>SWITZERLAND</v>
          </cell>
        </row>
        <row r="20175">
          <cell r="L20175" t="str">
            <v>Proportional</v>
          </cell>
          <cell r="S20175">
            <v>99.51</v>
          </cell>
          <cell r="X20175" t="str">
            <v>Commissions - gross</v>
          </cell>
          <cell r="Y20175" t="str">
            <v>UNITED STATES</v>
          </cell>
        </row>
        <row r="20176">
          <cell r="L20176" t="str">
            <v>Proportional</v>
          </cell>
          <cell r="S20176">
            <v>56.75</v>
          </cell>
          <cell r="X20176" t="str">
            <v>Commissions - gross</v>
          </cell>
          <cell r="Y20176" t="str">
            <v>UNITED STATES</v>
          </cell>
        </row>
        <row r="20177">
          <cell r="L20177" t="str">
            <v>Proportional</v>
          </cell>
          <cell r="S20177">
            <v>2195.7600000000002</v>
          </cell>
          <cell r="X20177" t="str">
            <v>Commissions - gross</v>
          </cell>
          <cell r="Y20177" t="str">
            <v>MEXICO</v>
          </cell>
        </row>
        <row r="20178">
          <cell r="L20178" t="str">
            <v>Proportional</v>
          </cell>
          <cell r="S20178">
            <v>-1.99</v>
          </cell>
          <cell r="X20178" t="str">
            <v>Commissions - gross</v>
          </cell>
          <cell r="Y20178" t="str">
            <v>UNITED STATES</v>
          </cell>
        </row>
        <row r="20179">
          <cell r="L20179" t="str">
            <v>Proportional</v>
          </cell>
          <cell r="S20179">
            <v>-544.11</v>
          </cell>
          <cell r="X20179" t="str">
            <v>Commissions - gross</v>
          </cell>
          <cell r="Y20179" t="str">
            <v>UNITED STATES</v>
          </cell>
        </row>
        <row r="20180">
          <cell r="L20180" t="str">
            <v>Proportional</v>
          </cell>
          <cell r="S20180">
            <v>-263187.71000000002</v>
          </cell>
          <cell r="X20180" t="str">
            <v>Commissions - gross</v>
          </cell>
          <cell r="Y20180" t="str">
            <v>ITALY</v>
          </cell>
        </row>
        <row r="20181">
          <cell r="L20181" t="str">
            <v>Proportional</v>
          </cell>
          <cell r="S20181">
            <v>2672.7</v>
          </cell>
          <cell r="X20181" t="str">
            <v>Commissions - gross</v>
          </cell>
          <cell r="Y20181" t="str">
            <v>JAPAN</v>
          </cell>
        </row>
        <row r="20182">
          <cell r="L20182" t="str">
            <v>Proportional</v>
          </cell>
          <cell r="S20182">
            <v>13590.75</v>
          </cell>
          <cell r="X20182" t="str">
            <v>Commissions - gross</v>
          </cell>
          <cell r="Y20182" t="str">
            <v>SWITZERLAND</v>
          </cell>
        </row>
        <row r="20183">
          <cell r="L20183" t="str">
            <v>Proportional</v>
          </cell>
          <cell r="S20183">
            <v>-203.88</v>
          </cell>
          <cell r="X20183" t="str">
            <v>Commissions - gross</v>
          </cell>
          <cell r="Y20183" t="str">
            <v>UNITED STATES</v>
          </cell>
        </row>
        <row r="20184">
          <cell r="L20184" t="str">
            <v>Non-proportional</v>
          </cell>
          <cell r="S20184">
            <v>538.92999999999995</v>
          </cell>
          <cell r="X20184" t="str">
            <v>Commissions - gross</v>
          </cell>
          <cell r="Y20184" t="str">
            <v>MEXICO</v>
          </cell>
        </row>
        <row r="20185">
          <cell r="L20185" t="str">
            <v>Proportional</v>
          </cell>
          <cell r="S20185">
            <v>-1558.48</v>
          </cell>
          <cell r="X20185" t="str">
            <v>Commissions - gross</v>
          </cell>
          <cell r="Y20185" t="str">
            <v>UNITED STATES</v>
          </cell>
        </row>
        <row r="20186">
          <cell r="L20186" t="str">
            <v>Proportional</v>
          </cell>
          <cell r="S20186">
            <v>1109.76</v>
          </cell>
          <cell r="X20186" t="str">
            <v>Commissions - gross</v>
          </cell>
          <cell r="Y20186" t="str">
            <v>HONG KONG</v>
          </cell>
        </row>
        <row r="20187">
          <cell r="L20187" t="str">
            <v>Non-proportional</v>
          </cell>
          <cell r="S20187">
            <v>58.96</v>
          </cell>
          <cell r="X20187" t="str">
            <v>Commissions - gross</v>
          </cell>
          <cell r="Y20187" t="str">
            <v>MEXICO</v>
          </cell>
        </row>
        <row r="20188">
          <cell r="L20188" t="str">
            <v>Proportional</v>
          </cell>
          <cell r="S20188">
            <v>-122.02</v>
          </cell>
          <cell r="X20188" t="str">
            <v>Commissions - gross</v>
          </cell>
          <cell r="Y20188" t="str">
            <v>UNITED STATES</v>
          </cell>
        </row>
        <row r="20189">
          <cell r="L20189" t="str">
            <v>Proportional</v>
          </cell>
          <cell r="S20189">
            <v>7049.58</v>
          </cell>
          <cell r="X20189" t="str">
            <v>Commissions - gross</v>
          </cell>
          <cell r="Y20189" t="str">
            <v>UNITED STATES</v>
          </cell>
        </row>
        <row r="20190">
          <cell r="L20190" t="str">
            <v>Proportional</v>
          </cell>
          <cell r="S20190">
            <v>1109.5999999999999</v>
          </cell>
          <cell r="X20190" t="str">
            <v>Commissions - gross</v>
          </cell>
          <cell r="Y20190" t="str">
            <v>JAPAN</v>
          </cell>
        </row>
        <row r="20191">
          <cell r="L20191" t="str">
            <v>Non-proportional</v>
          </cell>
          <cell r="S20191">
            <v>217.61</v>
          </cell>
          <cell r="X20191" t="str">
            <v>Commissions - gross</v>
          </cell>
          <cell r="Y20191" t="str">
            <v>MEXICO</v>
          </cell>
        </row>
        <row r="20192">
          <cell r="L20192" t="str">
            <v>Proportional</v>
          </cell>
          <cell r="S20192">
            <v>5865.02</v>
          </cell>
          <cell r="X20192" t="str">
            <v>Commissions - gross</v>
          </cell>
          <cell r="Y20192" t="str">
            <v>HONG KONG</v>
          </cell>
        </row>
        <row r="20193">
          <cell r="L20193" t="str">
            <v>Proportional</v>
          </cell>
          <cell r="S20193">
            <v>21007.84</v>
          </cell>
          <cell r="X20193" t="str">
            <v>Commissions - gross</v>
          </cell>
          <cell r="Y20193" t="str">
            <v>UNITED STATES</v>
          </cell>
        </row>
        <row r="20194">
          <cell r="L20194" t="str">
            <v>Proportional</v>
          </cell>
          <cell r="S20194">
            <v>11443.45</v>
          </cell>
          <cell r="X20194" t="str">
            <v>Commissions - gross</v>
          </cell>
          <cell r="Y20194" t="str">
            <v>FRANCE</v>
          </cell>
        </row>
        <row r="20195">
          <cell r="L20195" t="str">
            <v>Proportional</v>
          </cell>
          <cell r="S20195">
            <v>-200.45</v>
          </cell>
          <cell r="X20195" t="str">
            <v>Commissions - gross</v>
          </cell>
          <cell r="Y20195" t="str">
            <v>CANADA</v>
          </cell>
        </row>
        <row r="20196">
          <cell r="L20196" t="str">
            <v>Non-proportional</v>
          </cell>
          <cell r="S20196">
            <v>1090.9100000000001</v>
          </cell>
          <cell r="X20196" t="str">
            <v>Commissions - gross</v>
          </cell>
          <cell r="Y20196" t="str">
            <v>ITALY</v>
          </cell>
        </row>
        <row r="20197">
          <cell r="L20197" t="str">
            <v>Proportional</v>
          </cell>
          <cell r="S20197">
            <v>-1507.89</v>
          </cell>
          <cell r="X20197" t="str">
            <v>Commissions - gross</v>
          </cell>
          <cell r="Y20197" t="str">
            <v>FRANCE</v>
          </cell>
        </row>
        <row r="20198">
          <cell r="L20198" t="str">
            <v>Proportional</v>
          </cell>
          <cell r="S20198">
            <v>13.88</v>
          </cell>
          <cell r="X20198" t="str">
            <v>Commissions - gross</v>
          </cell>
          <cell r="Y20198" t="str">
            <v>UNITED STATES</v>
          </cell>
        </row>
        <row r="20199">
          <cell r="L20199" t="str">
            <v>Non-proportional</v>
          </cell>
          <cell r="S20199">
            <v>226.01</v>
          </cell>
          <cell r="X20199" t="str">
            <v>Commissions - gross</v>
          </cell>
          <cell r="Y20199" t="str">
            <v>BRAZIL</v>
          </cell>
        </row>
        <row r="20200">
          <cell r="L20200" t="str">
            <v>Non-proportional</v>
          </cell>
          <cell r="S20200">
            <v>277.22000000000003</v>
          </cell>
          <cell r="X20200" t="str">
            <v>Commissions - gross</v>
          </cell>
          <cell r="Y20200" t="str">
            <v>PUERTO RICO</v>
          </cell>
        </row>
        <row r="20201">
          <cell r="L20201" t="str">
            <v>Proportional</v>
          </cell>
          <cell r="S20201">
            <v>770.41</v>
          </cell>
          <cell r="X20201" t="str">
            <v>Commissions - gross</v>
          </cell>
          <cell r="Y20201" t="str">
            <v>JAPAN</v>
          </cell>
        </row>
        <row r="20202">
          <cell r="L20202" t="str">
            <v>Non-proportional</v>
          </cell>
          <cell r="S20202">
            <v>262.83999999999997</v>
          </cell>
          <cell r="X20202" t="str">
            <v>Commissions - gross</v>
          </cell>
          <cell r="Y20202" t="str">
            <v>PUERTO RICO</v>
          </cell>
        </row>
        <row r="20203">
          <cell r="L20203" t="str">
            <v>Non-proportional</v>
          </cell>
          <cell r="S20203">
            <v>171.42</v>
          </cell>
          <cell r="X20203" t="str">
            <v>Commissions - gross</v>
          </cell>
          <cell r="Y20203" t="str">
            <v>PUERTO RICO</v>
          </cell>
        </row>
        <row r="20204">
          <cell r="L20204" t="str">
            <v>Proportional</v>
          </cell>
          <cell r="S20204">
            <v>9.17</v>
          </cell>
          <cell r="X20204" t="str">
            <v>Commissions - gross</v>
          </cell>
          <cell r="Y20204" t="str">
            <v>UNITED STATES</v>
          </cell>
        </row>
        <row r="20205">
          <cell r="L20205" t="str">
            <v>Non-proportional</v>
          </cell>
          <cell r="S20205">
            <v>804.08</v>
          </cell>
          <cell r="X20205" t="str">
            <v>Commissions - gross</v>
          </cell>
          <cell r="Y20205" t="str">
            <v>MEXICO</v>
          </cell>
        </row>
        <row r="20206">
          <cell r="L20206" t="str">
            <v>Non-proportional</v>
          </cell>
          <cell r="S20206">
            <v>28.66</v>
          </cell>
          <cell r="X20206" t="str">
            <v>Commissions - gross</v>
          </cell>
          <cell r="Y20206" t="str">
            <v>MEXICO</v>
          </cell>
        </row>
        <row r="20207">
          <cell r="L20207" t="str">
            <v>Proportional</v>
          </cell>
          <cell r="S20207">
            <v>1210.6500000000001</v>
          </cell>
          <cell r="X20207" t="str">
            <v>Commissions - gross</v>
          </cell>
          <cell r="Y20207" t="str">
            <v>MEXICO</v>
          </cell>
        </row>
        <row r="20208">
          <cell r="L20208" t="str">
            <v>Non-proportional</v>
          </cell>
          <cell r="S20208">
            <v>1675.16</v>
          </cell>
          <cell r="X20208" t="str">
            <v>Commissions - gross</v>
          </cell>
          <cell r="Y20208" t="str">
            <v>MEXICO</v>
          </cell>
        </row>
        <row r="20209">
          <cell r="L20209" t="str">
            <v>Non-proportional</v>
          </cell>
          <cell r="S20209">
            <v>26.83</v>
          </cell>
          <cell r="X20209" t="str">
            <v>Commissions - gross</v>
          </cell>
          <cell r="Y20209" t="str">
            <v>PUERTO RICO</v>
          </cell>
        </row>
        <row r="20210">
          <cell r="L20210" t="str">
            <v>Proportional</v>
          </cell>
          <cell r="S20210">
            <v>8785.5400000000009</v>
          </cell>
          <cell r="X20210" t="str">
            <v>Commissions - gross</v>
          </cell>
          <cell r="Y20210" t="str">
            <v>SWITZERLAND</v>
          </cell>
        </row>
        <row r="20211">
          <cell r="L20211" t="str">
            <v>Non-proportional</v>
          </cell>
          <cell r="S20211">
            <v>431.23</v>
          </cell>
          <cell r="X20211" t="str">
            <v>Commissions - gross</v>
          </cell>
          <cell r="Y20211" t="str">
            <v>PUERTO RICO</v>
          </cell>
        </row>
        <row r="20212">
          <cell r="L20212" t="str">
            <v>Proportional</v>
          </cell>
          <cell r="S20212">
            <v>31.3</v>
          </cell>
          <cell r="X20212" t="str">
            <v>Commissions - gross</v>
          </cell>
          <cell r="Y20212" t="str">
            <v>UNITED STATES</v>
          </cell>
        </row>
        <row r="20213">
          <cell r="L20213" t="str">
            <v>Proportional</v>
          </cell>
          <cell r="S20213">
            <v>-1408.12</v>
          </cell>
          <cell r="X20213" t="str">
            <v>Commissions - gross</v>
          </cell>
          <cell r="Y20213" t="str">
            <v>CANADA</v>
          </cell>
        </row>
        <row r="20214">
          <cell r="L20214" t="str">
            <v>Non-proportional</v>
          </cell>
          <cell r="S20214">
            <v>229.55</v>
          </cell>
          <cell r="X20214" t="str">
            <v>Commissions - gross</v>
          </cell>
          <cell r="Y20214" t="str">
            <v>PUERTO RICO</v>
          </cell>
        </row>
        <row r="20215">
          <cell r="L20215" t="str">
            <v>Non-proportional</v>
          </cell>
          <cell r="S20215">
            <v>0</v>
          </cell>
          <cell r="X20215" t="str">
            <v>Commissions - gross</v>
          </cell>
          <cell r="Y20215" t="str">
            <v>BRAZIL</v>
          </cell>
        </row>
        <row r="20216">
          <cell r="L20216" t="str">
            <v>Non-proportional</v>
          </cell>
          <cell r="S20216">
            <v>551.21</v>
          </cell>
          <cell r="X20216" t="str">
            <v>Commissions - gross</v>
          </cell>
          <cell r="Y20216" t="str">
            <v>PUERTO RICO</v>
          </cell>
        </row>
        <row r="20217">
          <cell r="L20217" t="str">
            <v>Proportional</v>
          </cell>
          <cell r="S20217">
            <v>211.58</v>
          </cell>
          <cell r="X20217" t="str">
            <v>Commissions - gross</v>
          </cell>
          <cell r="Y20217" t="str">
            <v>UNITED STATES</v>
          </cell>
        </row>
        <row r="20218">
          <cell r="L20218" t="str">
            <v>Proportional</v>
          </cell>
          <cell r="S20218">
            <v>-3.6</v>
          </cell>
          <cell r="X20218" t="str">
            <v>Commissions - gross</v>
          </cell>
          <cell r="Y20218" t="str">
            <v>UNITED STATES</v>
          </cell>
        </row>
        <row r="20219">
          <cell r="L20219" t="str">
            <v>Proportional</v>
          </cell>
          <cell r="S20219">
            <v>7.76</v>
          </cell>
          <cell r="X20219" t="str">
            <v>Commissions - gross</v>
          </cell>
          <cell r="Y20219" t="str">
            <v>UNITED STATES</v>
          </cell>
        </row>
        <row r="20220">
          <cell r="L20220" t="str">
            <v>Non-proportional</v>
          </cell>
          <cell r="S20220">
            <v>670.19</v>
          </cell>
          <cell r="X20220" t="str">
            <v>Commissions - gross</v>
          </cell>
          <cell r="Y20220" t="str">
            <v>PUERTO RICO</v>
          </cell>
        </row>
        <row r="20221">
          <cell r="L20221" t="str">
            <v>Proportional</v>
          </cell>
          <cell r="S20221">
            <v>2.63</v>
          </cell>
          <cell r="X20221" t="str">
            <v>Commissions - gross</v>
          </cell>
          <cell r="Y20221" t="str">
            <v>UNITED STATES</v>
          </cell>
        </row>
        <row r="20222">
          <cell r="L20222" t="str">
            <v>Non-proportional</v>
          </cell>
          <cell r="S20222">
            <v>542.58000000000004</v>
          </cell>
          <cell r="X20222" t="str">
            <v>Commissions - gross</v>
          </cell>
          <cell r="Y20222" t="str">
            <v>PUERTO RICO</v>
          </cell>
        </row>
        <row r="20223">
          <cell r="L20223" t="str">
            <v>Proportional</v>
          </cell>
          <cell r="S20223">
            <v>33.75</v>
          </cell>
          <cell r="X20223" t="str">
            <v>Commissions - gross</v>
          </cell>
          <cell r="Y20223" t="str">
            <v>UNITED STATES</v>
          </cell>
        </row>
        <row r="20224">
          <cell r="L20224" t="str">
            <v>Proportional</v>
          </cell>
          <cell r="S20224">
            <v>2228.94</v>
          </cell>
          <cell r="X20224" t="str">
            <v>Commissions - gross</v>
          </cell>
          <cell r="Y20224" t="str">
            <v>UNITED STATES</v>
          </cell>
        </row>
        <row r="20225">
          <cell r="L20225" t="str">
            <v>Proportional</v>
          </cell>
          <cell r="S20225">
            <v>2.59</v>
          </cell>
          <cell r="X20225" t="str">
            <v>Commissions - gross</v>
          </cell>
          <cell r="Y20225" t="str">
            <v>UNITED STATES</v>
          </cell>
        </row>
        <row r="20226">
          <cell r="L20226" t="str">
            <v>Proportional</v>
          </cell>
          <cell r="S20226">
            <v>632.53</v>
          </cell>
          <cell r="X20226" t="str">
            <v>Commissions - gross</v>
          </cell>
          <cell r="Y20226" t="str">
            <v>JAPAN</v>
          </cell>
        </row>
        <row r="20227">
          <cell r="L20227" t="str">
            <v>Proportional</v>
          </cell>
          <cell r="S20227">
            <v>62.39</v>
          </cell>
          <cell r="X20227" t="str">
            <v>Commissions - gross</v>
          </cell>
          <cell r="Y20227" t="str">
            <v>UNITED STATES</v>
          </cell>
        </row>
        <row r="20228">
          <cell r="L20228" t="str">
            <v>Proportional</v>
          </cell>
          <cell r="S20228">
            <v>1459.06</v>
          </cell>
          <cell r="X20228" t="str">
            <v>Commissions - gross</v>
          </cell>
          <cell r="Y20228" t="str">
            <v>MEXICO</v>
          </cell>
        </row>
        <row r="20229">
          <cell r="L20229" t="str">
            <v>Proportional</v>
          </cell>
          <cell r="S20229">
            <v>28.18</v>
          </cell>
          <cell r="X20229" t="str">
            <v>Commissions - gross</v>
          </cell>
          <cell r="Y20229" t="str">
            <v>UNITED STATES</v>
          </cell>
        </row>
        <row r="20230">
          <cell r="L20230" t="str">
            <v>Non-proportional</v>
          </cell>
          <cell r="S20230">
            <v>0</v>
          </cell>
          <cell r="X20230" t="str">
            <v>Commissions - gross</v>
          </cell>
          <cell r="Y20230" t="str">
            <v>BRAZIL</v>
          </cell>
        </row>
        <row r="20231">
          <cell r="L20231" t="str">
            <v>Proportional</v>
          </cell>
          <cell r="S20231">
            <v>22664.49</v>
          </cell>
          <cell r="X20231" t="str">
            <v>Commissions - gross</v>
          </cell>
          <cell r="Y20231" t="str">
            <v>UNITED STATES</v>
          </cell>
        </row>
        <row r="20232">
          <cell r="L20232" t="str">
            <v>Proportional</v>
          </cell>
          <cell r="S20232">
            <v>821.87</v>
          </cell>
          <cell r="X20232" t="str">
            <v>Commissions - gross</v>
          </cell>
          <cell r="Y20232" t="str">
            <v>CANADA</v>
          </cell>
        </row>
        <row r="20233">
          <cell r="L20233" t="str">
            <v>Proportional</v>
          </cell>
          <cell r="S20233">
            <v>593.05999999999995</v>
          </cell>
          <cell r="X20233" t="str">
            <v>Commissions - gross</v>
          </cell>
          <cell r="Y20233" t="str">
            <v>JAPAN</v>
          </cell>
        </row>
        <row r="20234">
          <cell r="L20234" t="str">
            <v>Proportional</v>
          </cell>
          <cell r="S20234">
            <v>22849.86</v>
          </cell>
          <cell r="X20234" t="str">
            <v>Commissions - gross</v>
          </cell>
          <cell r="Y20234" t="str">
            <v>UNITED STATES</v>
          </cell>
        </row>
        <row r="20235">
          <cell r="L20235" t="str">
            <v>Non-proportional</v>
          </cell>
          <cell r="S20235">
            <v>0</v>
          </cell>
          <cell r="X20235" t="str">
            <v>Commissions - gross</v>
          </cell>
          <cell r="Y20235" t="str">
            <v>BRAZIL</v>
          </cell>
        </row>
        <row r="20236">
          <cell r="L20236" t="str">
            <v>Non-proportional</v>
          </cell>
          <cell r="S20236">
            <v>216.83</v>
          </cell>
          <cell r="X20236" t="str">
            <v>Commissions - gross</v>
          </cell>
          <cell r="Y20236" t="str">
            <v>BRAZIL</v>
          </cell>
        </row>
        <row r="20237">
          <cell r="L20237" t="str">
            <v>Non-proportional</v>
          </cell>
          <cell r="S20237">
            <v>1090.9100000000001</v>
          </cell>
          <cell r="X20237" t="str">
            <v>Commissions - gross</v>
          </cell>
          <cell r="Y20237" t="str">
            <v>ITALY</v>
          </cell>
        </row>
        <row r="20238">
          <cell r="L20238" t="str">
            <v>Proportional</v>
          </cell>
          <cell r="S20238">
            <v>10.7</v>
          </cell>
          <cell r="X20238" t="str">
            <v>Commissions - gross</v>
          </cell>
          <cell r="Y20238" t="str">
            <v>UNITED STATES</v>
          </cell>
        </row>
        <row r="20239">
          <cell r="L20239" t="str">
            <v>Proportional</v>
          </cell>
          <cell r="S20239">
            <v>3.08</v>
          </cell>
          <cell r="X20239" t="str">
            <v>Commissions - gross</v>
          </cell>
          <cell r="Y20239" t="str">
            <v>UNITED STATES</v>
          </cell>
        </row>
        <row r="20240">
          <cell r="L20240" t="str">
            <v>Non-proportional</v>
          </cell>
          <cell r="S20240">
            <v>163.82</v>
          </cell>
          <cell r="X20240" t="str">
            <v>Commissions - gross</v>
          </cell>
          <cell r="Y20240" t="str">
            <v>BRAZIL</v>
          </cell>
        </row>
        <row r="20241">
          <cell r="L20241" t="str">
            <v>Non-proportional</v>
          </cell>
          <cell r="S20241">
            <v>58.03</v>
          </cell>
          <cell r="X20241" t="str">
            <v>Commissions - gross</v>
          </cell>
          <cell r="Y20241" t="str">
            <v>MEXICO</v>
          </cell>
        </row>
        <row r="20242">
          <cell r="L20242" t="str">
            <v>Proportional</v>
          </cell>
          <cell r="S20242">
            <v>-0.68</v>
          </cell>
          <cell r="X20242" t="str">
            <v>Commissions - gross</v>
          </cell>
          <cell r="Y20242" t="str">
            <v>UNITED STATES</v>
          </cell>
        </row>
        <row r="20243">
          <cell r="L20243" t="str">
            <v>Non-proportional</v>
          </cell>
          <cell r="S20243">
            <v>225.96</v>
          </cell>
          <cell r="X20243" t="str">
            <v>Commissions - gross</v>
          </cell>
          <cell r="Y20243" t="str">
            <v>PUERTO RICO</v>
          </cell>
        </row>
        <row r="20244">
          <cell r="L20244" t="str">
            <v>Non-proportional</v>
          </cell>
          <cell r="S20244">
            <v>530.49</v>
          </cell>
          <cell r="X20244" t="str">
            <v>Commissions - gross</v>
          </cell>
          <cell r="Y20244" t="str">
            <v>MEXICO</v>
          </cell>
        </row>
        <row r="20245">
          <cell r="L20245" t="str">
            <v>Non-proportional</v>
          </cell>
          <cell r="S20245">
            <v>26.41</v>
          </cell>
          <cell r="X20245" t="str">
            <v>Commissions - gross</v>
          </cell>
          <cell r="Y20245" t="str">
            <v>PUERTO RICO</v>
          </cell>
        </row>
        <row r="20246">
          <cell r="L20246" t="str">
            <v>Non-proportional</v>
          </cell>
          <cell r="S20246">
            <v>424.48</v>
          </cell>
          <cell r="X20246" t="str">
            <v>Commissions - gross</v>
          </cell>
          <cell r="Y20246" t="str">
            <v>PUERTO RICO</v>
          </cell>
        </row>
        <row r="20247">
          <cell r="L20247" t="str">
            <v>Proportional</v>
          </cell>
          <cell r="S20247">
            <v>-67.97</v>
          </cell>
          <cell r="X20247" t="str">
            <v>Commissions - gross</v>
          </cell>
          <cell r="Y20247" t="str">
            <v>CANADA</v>
          </cell>
        </row>
        <row r="20248">
          <cell r="L20248" t="str">
            <v>Non-proportional</v>
          </cell>
          <cell r="S20248">
            <v>39.07</v>
          </cell>
          <cell r="X20248" t="str">
            <v>Commissions - gross</v>
          </cell>
          <cell r="Y20248" t="str">
            <v>PUERTO RICO</v>
          </cell>
        </row>
        <row r="20249">
          <cell r="L20249" t="str">
            <v>Proportional</v>
          </cell>
          <cell r="S20249">
            <v>0.89</v>
          </cell>
          <cell r="X20249" t="str">
            <v>Commissions - gross</v>
          </cell>
          <cell r="Y20249" t="str">
            <v>UNITED STATES</v>
          </cell>
        </row>
        <row r="20250">
          <cell r="L20250" t="str">
            <v>Proportional</v>
          </cell>
          <cell r="S20250">
            <v>-1.23</v>
          </cell>
          <cell r="X20250" t="str">
            <v>Commissions - gross</v>
          </cell>
          <cell r="Y20250" t="str">
            <v>UNITED STATES</v>
          </cell>
        </row>
        <row r="20251">
          <cell r="L20251" t="str">
            <v>Proportional</v>
          </cell>
          <cell r="S20251">
            <v>-250054.96</v>
          </cell>
          <cell r="X20251" t="str">
            <v>Commissions - gross</v>
          </cell>
          <cell r="Y20251" t="str">
            <v>ITALY</v>
          </cell>
        </row>
        <row r="20252">
          <cell r="L20252" t="str">
            <v>Proportional</v>
          </cell>
          <cell r="S20252">
            <v>3.77</v>
          </cell>
          <cell r="X20252" t="str">
            <v>Commissions - gross</v>
          </cell>
          <cell r="Y20252" t="str">
            <v>UNITED STATES</v>
          </cell>
        </row>
        <row r="20253">
          <cell r="L20253" t="str">
            <v>Non-proportional</v>
          </cell>
          <cell r="S20253">
            <v>244.14</v>
          </cell>
          <cell r="X20253" t="str">
            <v>Commissions - gross</v>
          </cell>
          <cell r="Y20253" t="str">
            <v>MEXICO</v>
          </cell>
        </row>
        <row r="20254">
          <cell r="L20254" t="str">
            <v>Proportional</v>
          </cell>
          <cell r="S20254">
            <v>7.0000000000000007E-2</v>
          </cell>
          <cell r="X20254" t="str">
            <v>Commissions - gross</v>
          </cell>
          <cell r="Y20254" t="str">
            <v>HONG KONG</v>
          </cell>
        </row>
        <row r="20255">
          <cell r="L20255" t="str">
            <v>Proportional</v>
          </cell>
          <cell r="S20255">
            <v>17933.349999999999</v>
          </cell>
          <cell r="X20255" t="str">
            <v>Commissions - gross</v>
          </cell>
          <cell r="Y20255" t="str">
            <v>CANADA</v>
          </cell>
        </row>
        <row r="20256">
          <cell r="L20256" t="str">
            <v>Proportional</v>
          </cell>
          <cell r="S20256">
            <v>1870.99</v>
          </cell>
          <cell r="X20256" t="str">
            <v>Commissions - gross</v>
          </cell>
          <cell r="Y20256" t="str">
            <v>MEXICO</v>
          </cell>
        </row>
        <row r="20257">
          <cell r="L20257" t="str">
            <v>Proportional</v>
          </cell>
          <cell r="S20257">
            <v>4270.46</v>
          </cell>
          <cell r="X20257" t="str">
            <v>Commissions - gross</v>
          </cell>
          <cell r="Y20257" t="str">
            <v>HONG KONG</v>
          </cell>
        </row>
        <row r="20258">
          <cell r="L20258" t="str">
            <v>Non-proportional</v>
          </cell>
          <cell r="S20258">
            <v>161.09</v>
          </cell>
          <cell r="X20258" t="str">
            <v>Commissions - gross</v>
          </cell>
          <cell r="Y20258" t="str">
            <v>BRAZIL</v>
          </cell>
        </row>
        <row r="20259">
          <cell r="L20259" t="str">
            <v>Proportional</v>
          </cell>
          <cell r="S20259">
            <v>270.25</v>
          </cell>
          <cell r="X20259" t="str">
            <v>Commissions - gross</v>
          </cell>
          <cell r="Y20259" t="str">
            <v>FRANCE</v>
          </cell>
        </row>
        <row r="20260">
          <cell r="L20260" t="str">
            <v>Non-proportional</v>
          </cell>
          <cell r="S20260">
            <v>1648.93</v>
          </cell>
          <cell r="X20260" t="str">
            <v>Commissions - gross</v>
          </cell>
          <cell r="Y20260" t="str">
            <v>MEXICO</v>
          </cell>
        </row>
        <row r="20261">
          <cell r="L20261" t="str">
            <v>Non-proportional</v>
          </cell>
          <cell r="S20261">
            <v>214.2</v>
          </cell>
          <cell r="X20261" t="str">
            <v>Commissions - gross</v>
          </cell>
          <cell r="Y20261" t="str">
            <v>MEXICO</v>
          </cell>
        </row>
        <row r="20262">
          <cell r="L20262" t="str">
            <v>Proportional</v>
          </cell>
          <cell r="S20262">
            <v>15992.77</v>
          </cell>
          <cell r="X20262" t="str">
            <v>Commissions - gross</v>
          </cell>
          <cell r="Y20262" t="str">
            <v>INDIA</v>
          </cell>
        </row>
        <row r="20263">
          <cell r="L20263" t="str">
            <v>Non-proportional</v>
          </cell>
          <cell r="S20263">
            <v>168.73</v>
          </cell>
          <cell r="X20263" t="str">
            <v>Commissions - gross</v>
          </cell>
          <cell r="Y20263" t="str">
            <v>PUERTO RICO</v>
          </cell>
        </row>
        <row r="20264">
          <cell r="L20264" t="str">
            <v>Proportional</v>
          </cell>
          <cell r="S20264">
            <v>9478.35</v>
          </cell>
          <cell r="X20264" t="str">
            <v>Commissions - gross</v>
          </cell>
          <cell r="Y20264" t="str">
            <v>SWITZERLAND</v>
          </cell>
        </row>
        <row r="20265">
          <cell r="L20265" t="str">
            <v>Proportional</v>
          </cell>
          <cell r="S20265">
            <v>1942.64</v>
          </cell>
          <cell r="X20265" t="str">
            <v>Commissions - gross</v>
          </cell>
          <cell r="Y20265" t="str">
            <v>HONG KONG</v>
          </cell>
        </row>
        <row r="20266">
          <cell r="L20266" t="str">
            <v>Proportional</v>
          </cell>
          <cell r="S20266">
            <v>49918.78</v>
          </cell>
          <cell r="X20266" t="str">
            <v>Commissions - gross</v>
          </cell>
          <cell r="Y20266" t="str">
            <v>UNITED STATES</v>
          </cell>
        </row>
        <row r="20267">
          <cell r="L20267" t="str">
            <v>Proportional</v>
          </cell>
          <cell r="S20267">
            <v>13102.83</v>
          </cell>
          <cell r="X20267" t="str">
            <v>Commissions - gross</v>
          </cell>
          <cell r="Y20267" t="str">
            <v>JAPAN</v>
          </cell>
        </row>
        <row r="20268">
          <cell r="L20268" t="str">
            <v>Proportional</v>
          </cell>
          <cell r="S20268">
            <v>-0.1</v>
          </cell>
          <cell r="X20268" t="str">
            <v>Commissions - gross</v>
          </cell>
          <cell r="Y20268" t="str">
            <v>UNITED STATES</v>
          </cell>
        </row>
        <row r="20269">
          <cell r="L20269" t="str">
            <v>Proportional</v>
          </cell>
          <cell r="S20269">
            <v>25.9</v>
          </cell>
          <cell r="X20269" t="str">
            <v>Commissions - gross</v>
          </cell>
          <cell r="Y20269" t="str">
            <v>UNITED STATES</v>
          </cell>
        </row>
        <row r="20270">
          <cell r="L20270" t="str">
            <v>Proportional</v>
          </cell>
          <cell r="S20270">
            <v>-133.74</v>
          </cell>
          <cell r="X20270" t="str">
            <v>Commissions - gross</v>
          </cell>
          <cell r="Y20270" t="str">
            <v>UNITED STATES</v>
          </cell>
        </row>
        <row r="20271">
          <cell r="L20271" t="str">
            <v>Proportional</v>
          </cell>
          <cell r="S20271">
            <v>216.36</v>
          </cell>
          <cell r="X20271" t="str">
            <v>Commissions - gross</v>
          </cell>
          <cell r="Y20271" t="str">
            <v>UNITED STATES</v>
          </cell>
        </row>
        <row r="20272">
          <cell r="L20272" t="str">
            <v>Proportional</v>
          </cell>
          <cell r="S20272">
            <v>44224.37</v>
          </cell>
          <cell r="X20272" t="str">
            <v>Commissions - gross</v>
          </cell>
          <cell r="Y20272" t="str">
            <v>HONG KONG</v>
          </cell>
        </row>
        <row r="20273">
          <cell r="L20273" t="str">
            <v>Non-proportional</v>
          </cell>
          <cell r="S20273">
            <v>258.72000000000003</v>
          </cell>
          <cell r="X20273" t="str">
            <v>Commissions - gross</v>
          </cell>
          <cell r="Y20273" t="str">
            <v>PUERTO RICO</v>
          </cell>
        </row>
        <row r="20274">
          <cell r="L20274" t="str">
            <v>Proportional</v>
          </cell>
          <cell r="S20274">
            <v>2.27</v>
          </cell>
          <cell r="X20274" t="str">
            <v>Commissions - gross</v>
          </cell>
          <cell r="Y20274" t="str">
            <v>UNITED STATES</v>
          </cell>
        </row>
        <row r="20275">
          <cell r="L20275" t="str">
            <v>Non-proportional</v>
          </cell>
          <cell r="S20275">
            <v>791.49</v>
          </cell>
          <cell r="X20275" t="str">
            <v>Commissions - gross</v>
          </cell>
          <cell r="Y20275" t="str">
            <v>MEXICO</v>
          </cell>
        </row>
        <row r="20276">
          <cell r="L20276" t="str">
            <v>Proportional</v>
          </cell>
          <cell r="S20276">
            <v>10455.01</v>
          </cell>
          <cell r="X20276" t="str">
            <v>Commissions - gross</v>
          </cell>
          <cell r="Y20276" t="str">
            <v>FRANCE</v>
          </cell>
        </row>
        <row r="20277">
          <cell r="L20277" t="str">
            <v>Proportional</v>
          </cell>
          <cell r="S20277">
            <v>16923.91</v>
          </cell>
          <cell r="X20277" t="str">
            <v>Commissions - gross</v>
          </cell>
          <cell r="Y20277" t="str">
            <v>SWITZERLAND</v>
          </cell>
        </row>
        <row r="20278">
          <cell r="L20278" t="str">
            <v>Proportional</v>
          </cell>
          <cell r="S20278">
            <v>2334.14</v>
          </cell>
          <cell r="X20278" t="str">
            <v>Commissions - gross</v>
          </cell>
          <cell r="Y20278" t="str">
            <v>UNITED STATES</v>
          </cell>
        </row>
        <row r="20279">
          <cell r="L20279" t="str">
            <v>Proportional</v>
          </cell>
          <cell r="S20279">
            <v>5.36</v>
          </cell>
          <cell r="X20279" t="str">
            <v>Commissions - gross</v>
          </cell>
          <cell r="Y20279" t="str">
            <v>UNITED STATES</v>
          </cell>
        </row>
        <row r="20280">
          <cell r="L20280" t="str">
            <v>Proportional</v>
          </cell>
          <cell r="S20280">
            <v>14662.5</v>
          </cell>
          <cell r="X20280" t="str">
            <v>Commissions - gross</v>
          </cell>
          <cell r="Y20280" t="str">
            <v>SWITZERLAND</v>
          </cell>
        </row>
        <row r="20281">
          <cell r="L20281" t="str">
            <v>Proportional</v>
          </cell>
          <cell r="S20281">
            <v>273.33</v>
          </cell>
          <cell r="X20281" t="str">
            <v>Commissions - gross</v>
          </cell>
          <cell r="Y20281" t="str">
            <v>UNITED STATES</v>
          </cell>
        </row>
        <row r="20282">
          <cell r="L20282" t="str">
            <v>Non-proportional</v>
          </cell>
          <cell r="S20282">
            <v>28.21</v>
          </cell>
          <cell r="X20282" t="str">
            <v>Commissions - gross</v>
          </cell>
          <cell r="Y20282" t="str">
            <v>MEXICO</v>
          </cell>
        </row>
        <row r="20283">
          <cell r="L20283" t="str">
            <v>Non-proportional</v>
          </cell>
          <cell r="S20283">
            <v>272.88</v>
          </cell>
          <cell r="X20283" t="str">
            <v>Commissions - gross</v>
          </cell>
          <cell r="Y20283" t="str">
            <v>PUERTO RICO</v>
          </cell>
        </row>
        <row r="20284">
          <cell r="L20284" t="str">
            <v>Proportional</v>
          </cell>
          <cell r="S20284">
            <v>3139.74</v>
          </cell>
          <cell r="X20284" t="str">
            <v>Commissions - gross</v>
          </cell>
          <cell r="Y20284" t="str">
            <v>MEXICO</v>
          </cell>
        </row>
        <row r="20285">
          <cell r="L20285" t="str">
            <v>Proportional</v>
          </cell>
          <cell r="S20285">
            <v>198.89</v>
          </cell>
          <cell r="X20285" t="str">
            <v>Commissions - gross</v>
          </cell>
          <cell r="Y20285" t="str">
            <v>UNITED STATES</v>
          </cell>
        </row>
        <row r="20286">
          <cell r="L20286" t="str">
            <v>Proportional</v>
          </cell>
          <cell r="S20286">
            <v>279.55</v>
          </cell>
          <cell r="X20286" t="str">
            <v>Commissions - gross</v>
          </cell>
          <cell r="Y20286" t="str">
            <v>UNITED STATES</v>
          </cell>
        </row>
        <row r="20287">
          <cell r="L20287" t="str">
            <v>Proportional</v>
          </cell>
          <cell r="S20287">
            <v>1170.96</v>
          </cell>
          <cell r="X20287" t="str">
            <v>Commissions - gross</v>
          </cell>
          <cell r="Y20287" t="str">
            <v>SWITZERLAND</v>
          </cell>
        </row>
        <row r="20288">
          <cell r="L20288" t="str">
            <v>Proportional</v>
          </cell>
          <cell r="S20288">
            <v>-0.01</v>
          </cell>
          <cell r="X20288" t="str">
            <v>Commissions - gross</v>
          </cell>
          <cell r="Y20288" t="str">
            <v>UNITED STATES</v>
          </cell>
        </row>
        <row r="20289">
          <cell r="L20289" t="str">
            <v>Proportional</v>
          </cell>
          <cell r="S20289">
            <v>870.35</v>
          </cell>
          <cell r="X20289" t="str">
            <v>Commissions - gross</v>
          </cell>
          <cell r="Y20289" t="str">
            <v>JAPAN</v>
          </cell>
        </row>
        <row r="20290">
          <cell r="L20290" t="str">
            <v>Non-proportional</v>
          </cell>
          <cell r="S20290">
            <v>0</v>
          </cell>
          <cell r="X20290" t="str">
            <v>Commissions - gross</v>
          </cell>
          <cell r="Y20290" t="str">
            <v>BRAZIL</v>
          </cell>
        </row>
        <row r="20291">
          <cell r="L20291" t="str">
            <v>Proportional</v>
          </cell>
          <cell r="S20291">
            <v>2134.09</v>
          </cell>
          <cell r="X20291" t="str">
            <v>Commissions - gross</v>
          </cell>
          <cell r="Y20291" t="str">
            <v>ITALY</v>
          </cell>
        </row>
        <row r="20292">
          <cell r="L20292" t="str">
            <v>Proportional</v>
          </cell>
          <cell r="S20292">
            <v>-7.0000000000000007E-2</v>
          </cell>
          <cell r="X20292" t="str">
            <v>Commissions - gross</v>
          </cell>
          <cell r="Y20292" t="str">
            <v>HONG KONG</v>
          </cell>
        </row>
        <row r="20293">
          <cell r="L20293" t="str">
            <v>Proportional</v>
          </cell>
          <cell r="S20293">
            <v>1210.02</v>
          </cell>
          <cell r="X20293" t="str">
            <v>Commissions - gross</v>
          </cell>
          <cell r="Y20293" t="str">
            <v>HONG KONG</v>
          </cell>
        </row>
        <row r="20294">
          <cell r="L20294" t="str">
            <v>Proportional</v>
          </cell>
          <cell r="S20294">
            <v>2979.28</v>
          </cell>
          <cell r="X20294" t="str">
            <v>Commissions - gross</v>
          </cell>
          <cell r="Y20294" t="str">
            <v>JAPAN</v>
          </cell>
        </row>
        <row r="20295">
          <cell r="L20295" t="str">
            <v>Proportional</v>
          </cell>
          <cell r="S20295">
            <v>-1555.04</v>
          </cell>
          <cell r="X20295" t="str">
            <v>Commissions - gross</v>
          </cell>
          <cell r="Y20295" t="str">
            <v>CANADA</v>
          </cell>
        </row>
        <row r="20296">
          <cell r="L20296" t="str">
            <v>Non-proportional</v>
          </cell>
          <cell r="S20296">
            <v>155284.01999999999</v>
          </cell>
          <cell r="X20296" t="str">
            <v>Commissions - gross</v>
          </cell>
          <cell r="Y20296" t="str">
            <v>PORTUGAL</v>
          </cell>
        </row>
        <row r="20297">
          <cell r="L20297" t="str">
            <v>Non-proportional</v>
          </cell>
          <cell r="S20297">
            <v>325517.52</v>
          </cell>
          <cell r="X20297" t="str">
            <v>Commissions - gross</v>
          </cell>
          <cell r="Y20297" t="str">
            <v>EUROPE</v>
          </cell>
        </row>
        <row r="20298">
          <cell r="L20298" t="str">
            <v>Non-proportional</v>
          </cell>
          <cell r="S20298">
            <v>1061064.3600000001</v>
          </cell>
          <cell r="X20298" t="str">
            <v>Commissions - gross</v>
          </cell>
          <cell r="Y20298" t="str">
            <v>BELGIUM</v>
          </cell>
        </row>
        <row r="20299">
          <cell r="L20299" t="str">
            <v>Non-proportional</v>
          </cell>
          <cell r="S20299">
            <v>-292965.73</v>
          </cell>
          <cell r="X20299" t="str">
            <v>Commissions - gross</v>
          </cell>
          <cell r="Y20299" t="str">
            <v>EUROPE</v>
          </cell>
        </row>
        <row r="20300">
          <cell r="L20300" t="str">
            <v>Non-proportional</v>
          </cell>
          <cell r="S20300">
            <v>167563.70000000001</v>
          </cell>
          <cell r="X20300" t="str">
            <v>Commissions - gross</v>
          </cell>
          <cell r="Y20300" t="str">
            <v>PORTUGAL</v>
          </cell>
        </row>
        <row r="20301">
          <cell r="L20301" t="str">
            <v>Non-proportional</v>
          </cell>
          <cell r="S20301">
            <v>281464.84999999998</v>
          </cell>
          <cell r="X20301" t="str">
            <v>Commissions - gross</v>
          </cell>
          <cell r="Y20301" t="str">
            <v>UNITED KINGDOM</v>
          </cell>
        </row>
        <row r="20302">
          <cell r="L20302" t="str">
            <v>Non-proportional</v>
          </cell>
          <cell r="S20302">
            <v>955217.16</v>
          </cell>
          <cell r="X20302" t="str">
            <v>Commissions - gross</v>
          </cell>
          <cell r="Y20302" t="str">
            <v>BELGIUM</v>
          </cell>
        </row>
        <row r="20303">
          <cell r="L20303" t="str">
            <v>Non-proportional</v>
          </cell>
          <cell r="S20303">
            <v>163447.35999999999</v>
          </cell>
          <cell r="X20303" t="str">
            <v>Commissions - gross</v>
          </cell>
          <cell r="Y20303" t="str">
            <v>BELGIUM</v>
          </cell>
        </row>
        <row r="20304">
          <cell r="L20304" t="str">
            <v>Non-proportional</v>
          </cell>
          <cell r="S20304">
            <v>112946.3</v>
          </cell>
          <cell r="X20304" t="str">
            <v>Commissions - gross</v>
          </cell>
          <cell r="Y20304" t="str">
            <v>PORTUGAL</v>
          </cell>
        </row>
        <row r="20305">
          <cell r="L20305" t="str">
            <v>Non-proportional</v>
          </cell>
          <cell r="S20305">
            <v>-954957.9</v>
          </cell>
          <cell r="X20305" t="str">
            <v>Commissions - gross</v>
          </cell>
          <cell r="Y20305" t="str">
            <v>BELGIUM</v>
          </cell>
        </row>
        <row r="20306">
          <cell r="L20306" t="str">
            <v>Non-proportional</v>
          </cell>
          <cell r="S20306">
            <v>-72934.789999999994</v>
          </cell>
          <cell r="X20306" t="str">
            <v>Commissions - gross</v>
          </cell>
          <cell r="Y20306" t="str">
            <v>EUROPE</v>
          </cell>
        </row>
        <row r="20307">
          <cell r="L20307" t="str">
            <v>Non-proportional</v>
          </cell>
          <cell r="S20307">
            <v>72934.789999999994</v>
          </cell>
          <cell r="X20307" t="str">
            <v>Commissions - gross</v>
          </cell>
          <cell r="Y20307" t="str">
            <v>EUROPE</v>
          </cell>
        </row>
        <row r="20308">
          <cell r="L20308" t="str">
            <v>Non-proportional</v>
          </cell>
          <cell r="S20308">
            <v>1252461.6000000001</v>
          </cell>
          <cell r="X20308" t="str">
            <v>Commissions - gross</v>
          </cell>
          <cell r="Y20308" t="str">
            <v>BELGIUM</v>
          </cell>
        </row>
        <row r="20309">
          <cell r="L20309" t="str">
            <v>Non-proportional</v>
          </cell>
          <cell r="S20309">
            <v>-40144.78</v>
          </cell>
          <cell r="X20309" t="str">
            <v>Commissions - gross</v>
          </cell>
          <cell r="Y20309" t="str">
            <v>EUROPE</v>
          </cell>
        </row>
        <row r="20310">
          <cell r="L20310" t="str">
            <v>Non-proportional</v>
          </cell>
          <cell r="S20310">
            <v>-741177.67</v>
          </cell>
          <cell r="X20310" t="str">
            <v>Commissions - gross</v>
          </cell>
          <cell r="Y20310" t="str">
            <v>UNITED KINGDOM</v>
          </cell>
        </row>
        <row r="20311">
          <cell r="L20311" t="str">
            <v>Non-proportional</v>
          </cell>
          <cell r="S20311">
            <v>1251057.01</v>
          </cell>
          <cell r="X20311" t="str">
            <v>Commissions - gross</v>
          </cell>
          <cell r="Y20311" t="str">
            <v>UNITED KINGDOM</v>
          </cell>
        </row>
        <row r="20312">
          <cell r="L20312" t="str">
            <v>Non-proportional</v>
          </cell>
          <cell r="S20312">
            <v>10348.58</v>
          </cell>
          <cell r="X20312" t="str">
            <v>Commissions - gross</v>
          </cell>
          <cell r="Y20312" t="str">
            <v>EUROPE</v>
          </cell>
        </row>
        <row r="20313">
          <cell r="L20313" t="str">
            <v>Non-proportional</v>
          </cell>
          <cell r="S20313">
            <v>81038.649999999994</v>
          </cell>
          <cell r="X20313" t="str">
            <v>Commissions - gross</v>
          </cell>
          <cell r="Y20313" t="str">
            <v>EUROPE</v>
          </cell>
        </row>
        <row r="20314">
          <cell r="L20314" t="str">
            <v>Non-proportional</v>
          </cell>
          <cell r="S20314">
            <v>-75497.399999999994</v>
          </cell>
          <cell r="X20314" t="str">
            <v>Commissions - gross</v>
          </cell>
          <cell r="Y20314" t="str">
            <v>EUROPE</v>
          </cell>
        </row>
        <row r="20315">
          <cell r="L20315" t="str">
            <v>Non-proportional</v>
          </cell>
          <cell r="S20315">
            <v>158358.85</v>
          </cell>
          <cell r="X20315" t="str">
            <v>Commissions - gross</v>
          </cell>
          <cell r="Y20315" t="str">
            <v>PORTUGAL</v>
          </cell>
        </row>
        <row r="20316">
          <cell r="L20316" t="str">
            <v>Non-proportional</v>
          </cell>
          <cell r="S20316">
            <v>-281464.84999999998</v>
          </cell>
          <cell r="X20316" t="str">
            <v>Commissions - gross</v>
          </cell>
          <cell r="Y20316" t="str">
            <v>UNITED KINGDOM</v>
          </cell>
        </row>
        <row r="20317">
          <cell r="L20317" t="str">
            <v>Non-proportional</v>
          </cell>
          <cell r="S20317">
            <v>-1063398.48</v>
          </cell>
          <cell r="X20317" t="str">
            <v>Commissions - gross</v>
          </cell>
          <cell r="Y20317" t="str">
            <v>UNITED KINGDOM</v>
          </cell>
        </row>
        <row r="20318">
          <cell r="L20318" t="str">
            <v>Non-proportional</v>
          </cell>
          <cell r="S20318">
            <v>-61008.15</v>
          </cell>
          <cell r="X20318" t="str">
            <v>Commissions - gross</v>
          </cell>
          <cell r="Y20318" t="str">
            <v>BELGIUM</v>
          </cell>
        </row>
        <row r="20319">
          <cell r="L20319" t="str">
            <v>Non-proportional</v>
          </cell>
          <cell r="S20319">
            <v>1391624.02</v>
          </cell>
          <cell r="X20319" t="str">
            <v>Commissions - gross</v>
          </cell>
          <cell r="Y20319" t="str">
            <v>BELGIUM</v>
          </cell>
        </row>
        <row r="20320">
          <cell r="L20320" t="str">
            <v>Non-proportional</v>
          </cell>
          <cell r="S20320">
            <v>91798.36</v>
          </cell>
          <cell r="X20320" t="str">
            <v>Commissions - gross</v>
          </cell>
          <cell r="Y20320" t="str">
            <v>EUROPE</v>
          </cell>
        </row>
        <row r="20321">
          <cell r="L20321" t="str">
            <v>Non-proportional</v>
          </cell>
          <cell r="S20321">
            <v>115401.22</v>
          </cell>
          <cell r="X20321" t="str">
            <v>Commissions - gross</v>
          </cell>
          <cell r="Y20321" t="str">
            <v>BELGIUM</v>
          </cell>
        </row>
        <row r="20322">
          <cell r="L20322" t="str">
            <v>Non-proportional</v>
          </cell>
          <cell r="S20322">
            <v>-133776.98000000001</v>
          </cell>
          <cell r="X20322" t="str">
            <v>Commissions - gross</v>
          </cell>
          <cell r="Y20322" t="str">
            <v>BELGIUM</v>
          </cell>
        </row>
        <row r="20323">
          <cell r="L20323" t="str">
            <v>Non-proportional</v>
          </cell>
          <cell r="S20323">
            <v>871973.77</v>
          </cell>
          <cell r="X20323" t="str">
            <v>Commissions - gross</v>
          </cell>
          <cell r="Y20323" t="str">
            <v>UNITED KINGDOM</v>
          </cell>
        </row>
        <row r="20324">
          <cell r="L20324" t="str">
            <v>Non-proportional</v>
          </cell>
          <cell r="S20324">
            <v>12640.58</v>
          </cell>
          <cell r="X20324" t="str">
            <v>Commissions - gross</v>
          </cell>
          <cell r="Y20324" t="str">
            <v>EUROPE</v>
          </cell>
        </row>
        <row r="20325">
          <cell r="L20325" t="str">
            <v>Non-proportional</v>
          </cell>
          <cell r="S20325">
            <v>-109953.91</v>
          </cell>
          <cell r="X20325" t="str">
            <v>Commissions - gross</v>
          </cell>
          <cell r="Y20325" t="str">
            <v>BELGIUM</v>
          </cell>
        </row>
        <row r="20326">
          <cell r="L20326" t="str">
            <v>Non-proportional</v>
          </cell>
          <cell r="S20326">
            <v>741177.67</v>
          </cell>
          <cell r="X20326" t="str">
            <v>Commissions - gross</v>
          </cell>
          <cell r="Y20326" t="str">
            <v>UNITED KINGDOM</v>
          </cell>
        </row>
        <row r="20327">
          <cell r="L20327" t="str">
            <v>Non-proportional</v>
          </cell>
          <cell r="S20327">
            <v>-94452.6</v>
          </cell>
          <cell r="X20327" t="str">
            <v>Commissions - gross</v>
          </cell>
          <cell r="Y20327" t="str">
            <v>BELGIUM</v>
          </cell>
        </row>
        <row r="20328">
          <cell r="L20328" t="str">
            <v>Non-proportional</v>
          </cell>
          <cell r="S20328">
            <v>-1252461.6000000001</v>
          </cell>
          <cell r="X20328" t="str">
            <v>Commissions - gross</v>
          </cell>
          <cell r="Y20328" t="str">
            <v>BELGIUM</v>
          </cell>
        </row>
        <row r="20329">
          <cell r="L20329" t="str">
            <v>Non-proportional</v>
          </cell>
          <cell r="S20329">
            <v>74539.14</v>
          </cell>
          <cell r="X20329" t="str">
            <v>Commissions - gross</v>
          </cell>
          <cell r="Y20329" t="str">
            <v>BELGIUM</v>
          </cell>
        </row>
        <row r="20330">
          <cell r="L20330" t="str">
            <v>Non-proportional</v>
          </cell>
          <cell r="S20330">
            <v>573503.04</v>
          </cell>
          <cell r="X20330" t="str">
            <v>Commissions - gross</v>
          </cell>
          <cell r="Y20330" t="str">
            <v>BELGIUM</v>
          </cell>
        </row>
        <row r="20331">
          <cell r="L20331" t="str">
            <v>Non-proportional</v>
          </cell>
          <cell r="S20331">
            <v>1063398.48</v>
          </cell>
          <cell r="X20331" t="str">
            <v>Commissions - gross</v>
          </cell>
          <cell r="Y20331" t="str">
            <v>UNITED KINGDOM</v>
          </cell>
        </row>
        <row r="20332">
          <cell r="L20332" t="str">
            <v>Non-proportional</v>
          </cell>
          <cell r="S20332">
            <v>327101.40000000002</v>
          </cell>
          <cell r="X20332" t="str">
            <v>Commissions - gross</v>
          </cell>
          <cell r="Y20332" t="str">
            <v>PORTUGAL</v>
          </cell>
        </row>
        <row r="20333">
          <cell r="L20333" t="str">
            <v>Non-proportional</v>
          </cell>
          <cell r="S20333">
            <v>859695.45</v>
          </cell>
          <cell r="X20333" t="str">
            <v>Commissions - gross</v>
          </cell>
          <cell r="Y20333" t="str">
            <v>BELGIUM</v>
          </cell>
        </row>
        <row r="20334">
          <cell r="L20334" t="str">
            <v>Non-proportional</v>
          </cell>
          <cell r="S20334">
            <v>-91798.36</v>
          </cell>
          <cell r="X20334" t="str">
            <v>Commissions - gross</v>
          </cell>
          <cell r="Y20334" t="str">
            <v>EUROPE</v>
          </cell>
        </row>
        <row r="20335">
          <cell r="L20335" t="str">
            <v>Non-proportional</v>
          </cell>
          <cell r="S20335">
            <v>48786.55</v>
          </cell>
          <cell r="X20335" t="str">
            <v>Commissions - gross</v>
          </cell>
          <cell r="Y20335" t="str">
            <v>EUROPE</v>
          </cell>
        </row>
        <row r="20336">
          <cell r="L20336" t="str">
            <v>Non-proportional</v>
          </cell>
          <cell r="S20336">
            <v>331135.11</v>
          </cell>
          <cell r="X20336" t="str">
            <v>Commissions - gross</v>
          </cell>
          <cell r="Y20336" t="str">
            <v>UNITED KINGDOM</v>
          </cell>
        </row>
        <row r="20337">
          <cell r="L20337" t="str">
            <v>Non-proportional</v>
          </cell>
          <cell r="S20337">
            <v>292965.73</v>
          </cell>
          <cell r="X20337" t="str">
            <v>Commissions - gross</v>
          </cell>
          <cell r="Y20337" t="str">
            <v>EUROPE</v>
          </cell>
        </row>
        <row r="20338">
          <cell r="L20338" t="str">
            <v>Non-proportional</v>
          </cell>
          <cell r="S20338">
            <v>75497.399999999994</v>
          </cell>
          <cell r="X20338" t="str">
            <v>Commissions - gross</v>
          </cell>
          <cell r="Y20338" t="str">
            <v>EUROPE</v>
          </cell>
        </row>
        <row r="20339">
          <cell r="L20339" t="str">
            <v>Non-proportional</v>
          </cell>
          <cell r="S20339">
            <v>83886</v>
          </cell>
          <cell r="X20339" t="str">
            <v>Commissions - gross</v>
          </cell>
          <cell r="Y20339" t="str">
            <v>EUROPE</v>
          </cell>
        </row>
        <row r="20340">
          <cell r="L20340" t="str">
            <v>Non-proportional</v>
          </cell>
          <cell r="S20340">
            <v>-859695.45</v>
          </cell>
          <cell r="X20340" t="str">
            <v>Commissions - gross</v>
          </cell>
          <cell r="Y20340" t="str">
            <v>BELGIUM</v>
          </cell>
        </row>
        <row r="20341">
          <cell r="L20341" t="str">
            <v>Non-proportional</v>
          </cell>
          <cell r="S20341">
            <v>954957.9</v>
          </cell>
          <cell r="X20341" t="str">
            <v>Commissions - gross</v>
          </cell>
          <cell r="Y20341" t="str">
            <v>BELGIUM</v>
          </cell>
        </row>
        <row r="20342">
          <cell r="L20342" t="str">
            <v>Non-proportional</v>
          </cell>
          <cell r="S20342">
            <v>-10401.5</v>
          </cell>
          <cell r="X20342" t="str">
            <v>Commissions - gross</v>
          </cell>
          <cell r="Y20342" t="str">
            <v>EUROPE</v>
          </cell>
        </row>
        <row r="20343">
          <cell r="L20343" t="str">
            <v>Non-proportional</v>
          </cell>
          <cell r="S20343">
            <v>516152.78</v>
          </cell>
          <cell r="X20343" t="str">
            <v>Commissions - gross</v>
          </cell>
          <cell r="Y20343" t="str">
            <v>BELGIUM</v>
          </cell>
        </row>
        <row r="20344">
          <cell r="L20344" t="str">
            <v>Non-proportional</v>
          </cell>
          <cell r="S20344">
            <v>7256.81</v>
          </cell>
          <cell r="X20344" t="str">
            <v>Commissions - gross</v>
          </cell>
          <cell r="Y20344" t="str">
            <v>EUROPE</v>
          </cell>
        </row>
        <row r="20345">
          <cell r="L20345" t="str">
            <v>Non-proportional</v>
          </cell>
          <cell r="S20345">
            <v>-6897.5</v>
          </cell>
          <cell r="X20345" t="str">
            <v>Commissions - gross</v>
          </cell>
          <cell r="Y20345" t="str">
            <v>EUROPE</v>
          </cell>
        </row>
        <row r="20346">
          <cell r="L20346" t="str">
            <v>Non-proportional</v>
          </cell>
          <cell r="S20346">
            <v>101998.19</v>
          </cell>
          <cell r="X20346" t="str">
            <v>Commissions - gross</v>
          </cell>
          <cell r="Y20346" t="str">
            <v>EUROPE</v>
          </cell>
        </row>
        <row r="20347">
          <cell r="L20347" t="str">
            <v>Non-proportional</v>
          </cell>
          <cell r="S20347">
            <v>-8513.69</v>
          </cell>
          <cell r="X20347" t="str">
            <v>Commissions - gross</v>
          </cell>
          <cell r="Y20347" t="str">
            <v>EUROPE</v>
          </cell>
        </row>
        <row r="20348">
          <cell r="L20348" t="str">
            <v>Non-proportional</v>
          </cell>
          <cell r="S20348">
            <v>120321.29</v>
          </cell>
          <cell r="X20348" t="str">
            <v>Commissions - gross</v>
          </cell>
          <cell r="Y20348" t="str">
            <v>PORTUGAL</v>
          </cell>
        </row>
        <row r="20349">
          <cell r="L20349" t="str">
            <v>Non-proportional</v>
          </cell>
          <cell r="S20349">
            <v>134340.57</v>
          </cell>
          <cell r="X20349" t="str">
            <v>Commissions - gross</v>
          </cell>
          <cell r="Y20349" t="str">
            <v>BELGIUM</v>
          </cell>
        </row>
        <row r="20350">
          <cell r="L20350" t="str">
            <v>Non-proportional</v>
          </cell>
          <cell r="S20350">
            <v>-516152.78</v>
          </cell>
          <cell r="X20350" t="str">
            <v>Commissions - gross</v>
          </cell>
          <cell r="Y20350" t="str">
            <v>BELGIUM</v>
          </cell>
        </row>
        <row r="20351">
          <cell r="L20351" t="str">
            <v>Non-proportional</v>
          </cell>
          <cell r="S20351">
            <v>-101651.67</v>
          </cell>
          <cell r="X20351" t="str">
            <v>Commissions - gross</v>
          </cell>
          <cell r="Y20351" t="str">
            <v>PORTUGAL</v>
          </cell>
        </row>
        <row r="20352">
          <cell r="L20352" t="str">
            <v>Non-proportional</v>
          </cell>
          <cell r="S20352">
            <v>-294391.25</v>
          </cell>
          <cell r="X20352" t="str">
            <v>Commissions - gross</v>
          </cell>
          <cell r="Y20352" t="str">
            <v>PORTUGAL</v>
          </cell>
        </row>
        <row r="20353">
          <cell r="L20353" t="str">
            <v>Non-proportional</v>
          </cell>
          <cell r="S20353">
            <v>-142522.97</v>
          </cell>
          <cell r="X20353" t="str">
            <v>Commissions - gross</v>
          </cell>
          <cell r="Y20353" t="str">
            <v>PORTUGAL</v>
          </cell>
        </row>
        <row r="20354">
          <cell r="L20354" t="str">
            <v>Non-proportional</v>
          </cell>
          <cell r="S20354">
            <v>-108289.19</v>
          </cell>
          <cell r="X20354" t="str">
            <v>Commissions - gross</v>
          </cell>
          <cell r="Y20354" t="str">
            <v>PORTUGAL</v>
          </cell>
        </row>
        <row r="20355">
          <cell r="L20355" t="str">
            <v>Non-proportional</v>
          </cell>
          <cell r="S20355">
            <v>150807.32</v>
          </cell>
          <cell r="X20355" t="str">
            <v>Commissions - gross</v>
          </cell>
          <cell r="Y20355" t="str">
            <v>PORTUGAL</v>
          </cell>
        </row>
        <row r="20356">
          <cell r="L20356" t="str">
            <v>Non-proportional</v>
          </cell>
          <cell r="S20356">
            <v>12367.2</v>
          </cell>
          <cell r="X20356" t="str">
            <v>Commissions - gross</v>
          </cell>
          <cell r="Y20356" t="str">
            <v>PORTUGAL</v>
          </cell>
        </row>
        <row r="20357">
          <cell r="L20357" t="str">
            <v>Non-proportional</v>
          </cell>
          <cell r="S20357">
            <v>20856.25</v>
          </cell>
          <cell r="X20357" t="str">
            <v>Commissions - gross</v>
          </cell>
          <cell r="Y20357" t="str">
            <v>PORTUGAL</v>
          </cell>
        </row>
        <row r="20358">
          <cell r="L20358" t="str">
            <v>Non-proportional</v>
          </cell>
          <cell r="S20358">
            <v>11381.57</v>
          </cell>
          <cell r="X20358" t="str">
            <v>Commissions - gross</v>
          </cell>
          <cell r="Y20358" t="str">
            <v>PORTUGAL</v>
          </cell>
        </row>
        <row r="20359">
          <cell r="L20359" t="str">
            <v>Non-proportional</v>
          </cell>
          <cell r="S20359">
            <v>-15740.4</v>
          </cell>
          <cell r="X20359" t="str">
            <v>Commissions - gross</v>
          </cell>
          <cell r="Y20359" t="str">
            <v>PORTUGAL</v>
          </cell>
        </row>
        <row r="20360">
          <cell r="L20360" t="str">
            <v>Non-proportional</v>
          </cell>
          <cell r="S20360">
            <v>142522.97</v>
          </cell>
          <cell r="X20360" t="str">
            <v>Commissions - gross</v>
          </cell>
          <cell r="Y20360" t="str">
            <v>PORTUGAL</v>
          </cell>
        </row>
        <row r="20361">
          <cell r="L20361" t="str">
            <v>Non-proportional</v>
          </cell>
          <cell r="S20361">
            <v>-12223.5</v>
          </cell>
          <cell r="X20361" t="str">
            <v>Commissions - gross</v>
          </cell>
          <cell r="Y20361" t="str">
            <v>PORTUGAL</v>
          </cell>
        </row>
        <row r="20362">
          <cell r="L20362" t="str">
            <v>Non-proportional</v>
          </cell>
          <cell r="S20362">
            <v>11527.8</v>
          </cell>
          <cell r="X20362" t="str">
            <v>Commissions - gross</v>
          </cell>
          <cell r="Y20362" t="str">
            <v>PORTUGAL</v>
          </cell>
        </row>
        <row r="20363">
          <cell r="L20363" t="str">
            <v>Non-proportional</v>
          </cell>
          <cell r="S20363">
            <v>-11362.71</v>
          </cell>
          <cell r="X20363" t="str">
            <v>Commissions - gross</v>
          </cell>
          <cell r="Y20363" t="str">
            <v>PORTUGAL</v>
          </cell>
        </row>
        <row r="20364">
          <cell r="L20364" t="str">
            <v>Non-proportional</v>
          </cell>
          <cell r="S20364">
            <v>-14485.94</v>
          </cell>
          <cell r="X20364" t="str">
            <v>Commissions - gross</v>
          </cell>
          <cell r="Y20364" t="str">
            <v>PORTUGAL</v>
          </cell>
        </row>
        <row r="20365">
          <cell r="L20365" t="str">
            <v>Non-proportional</v>
          </cell>
          <cell r="S20365">
            <v>30329.67</v>
          </cell>
          <cell r="X20365" t="str">
            <v>Commissions - gross</v>
          </cell>
          <cell r="Y20365" t="str">
            <v>PORTUGAL</v>
          </cell>
        </row>
        <row r="20366">
          <cell r="L20366" t="str">
            <v>Proportional</v>
          </cell>
          <cell r="S20366">
            <v>47248.959999999999</v>
          </cell>
          <cell r="X20366" t="str">
            <v>Commissions - gross</v>
          </cell>
          <cell r="Y20366" t="str">
            <v>AUSTRIA</v>
          </cell>
        </row>
        <row r="20367">
          <cell r="L20367" t="str">
            <v>Non-proportional</v>
          </cell>
          <cell r="S20367">
            <v>-150807.32</v>
          </cell>
          <cell r="X20367" t="str">
            <v>Commissions - gross</v>
          </cell>
          <cell r="Y20367" t="str">
            <v>PORTUGAL</v>
          </cell>
        </row>
        <row r="20368">
          <cell r="L20368" t="str">
            <v>Non-proportional</v>
          </cell>
          <cell r="S20368">
            <v>8927.66</v>
          </cell>
          <cell r="X20368" t="str">
            <v>Commissions - gross</v>
          </cell>
          <cell r="Y20368" t="str">
            <v>PORTUGAL</v>
          </cell>
        </row>
        <row r="20369">
          <cell r="L20369" t="str">
            <v>Non-proportional</v>
          </cell>
          <cell r="S20369">
            <v>-14672.04</v>
          </cell>
          <cell r="X20369" t="str">
            <v>Commissions - gross</v>
          </cell>
          <cell r="Y20369" t="str">
            <v>PORTUGAL</v>
          </cell>
        </row>
        <row r="20370">
          <cell r="L20370" t="str">
            <v>Non-proportional</v>
          </cell>
          <cell r="S20370">
            <v>294391.25</v>
          </cell>
          <cell r="X20370" t="str">
            <v>Commissions - gross</v>
          </cell>
          <cell r="Y20370" t="str">
            <v>PORTUGAL</v>
          </cell>
        </row>
        <row r="20371">
          <cell r="L20371" t="str">
            <v>Non-proportional</v>
          </cell>
          <cell r="S20371">
            <v>-139754.19</v>
          </cell>
          <cell r="X20371" t="str">
            <v>Commissions - gross</v>
          </cell>
          <cell r="Y20371" t="str">
            <v>PORTUGAL</v>
          </cell>
        </row>
        <row r="20372">
          <cell r="L20372" t="str">
            <v>Non-proportional</v>
          </cell>
          <cell r="S20372">
            <v>108289.19</v>
          </cell>
          <cell r="X20372" t="str">
            <v>Commissions - gross</v>
          </cell>
          <cell r="Y20372" t="str">
            <v>PORTUGAL</v>
          </cell>
        </row>
        <row r="20373">
          <cell r="L20373" t="str">
            <v>Non-proportional</v>
          </cell>
          <cell r="S20373">
            <v>-26544.86</v>
          </cell>
          <cell r="X20373" t="str">
            <v>Commissions - gross</v>
          </cell>
          <cell r="Y20373" t="str">
            <v>PORTUGAL</v>
          </cell>
        </row>
        <row r="20374">
          <cell r="L20374" t="str">
            <v>Non-proportional</v>
          </cell>
          <cell r="S20374">
            <v>139754.19</v>
          </cell>
          <cell r="X20374" t="str">
            <v>Commissions - gross</v>
          </cell>
          <cell r="Y20374" t="str">
            <v>PORTUGAL</v>
          </cell>
        </row>
        <row r="20375">
          <cell r="L20375" t="str">
            <v>Non-proportional</v>
          </cell>
          <cell r="S20375">
            <v>101651.67</v>
          </cell>
          <cell r="X20375" t="str">
            <v>Commissions - gross</v>
          </cell>
          <cell r="Y20375" t="str">
            <v>PORTUGAL</v>
          </cell>
        </row>
        <row r="20376">
          <cell r="L20376" t="str">
            <v>Non-proportional</v>
          </cell>
          <cell r="S20376">
            <v>167878.37</v>
          </cell>
          <cell r="X20376" t="str">
            <v>Commissions - gross</v>
          </cell>
          <cell r="Y20376" t="str">
            <v>UNITED KINGDOM</v>
          </cell>
        </row>
        <row r="20377">
          <cell r="L20377" t="str">
            <v>Non-proportional</v>
          </cell>
          <cell r="S20377">
            <v>152387.14000000001</v>
          </cell>
          <cell r="X20377" t="str">
            <v>Commissions - gross</v>
          </cell>
          <cell r="Y20377" t="str">
            <v>UNITED KINGDOM</v>
          </cell>
        </row>
        <row r="20378">
          <cell r="L20378" t="str">
            <v>Non-proportional</v>
          </cell>
          <cell r="S20378">
            <v>-113053.13</v>
          </cell>
          <cell r="X20378" t="str">
            <v>Commissions - gross</v>
          </cell>
          <cell r="Y20378" t="str">
            <v>UNITED KINGDOM</v>
          </cell>
        </row>
        <row r="20379">
          <cell r="L20379" t="str">
            <v>Non-proportional</v>
          </cell>
          <cell r="S20379">
            <v>-102621.02</v>
          </cell>
          <cell r="X20379" t="str">
            <v>Commissions - gross</v>
          </cell>
          <cell r="Y20379" t="str">
            <v>UNITED KINGDOM</v>
          </cell>
        </row>
        <row r="20380">
          <cell r="L20380" t="str">
            <v>Non-proportional</v>
          </cell>
          <cell r="S20380">
            <v>-54419.78</v>
          </cell>
          <cell r="X20380" t="str">
            <v>Commissions - gross</v>
          </cell>
          <cell r="Y20380" t="str">
            <v>UNITED KINGDOM</v>
          </cell>
        </row>
        <row r="20381">
          <cell r="L20381" t="str">
            <v>Non-proportional</v>
          </cell>
          <cell r="S20381">
            <v>6058.6</v>
          </cell>
          <cell r="X20381" t="str">
            <v>Commissions - gross</v>
          </cell>
          <cell r="Y20381" t="str">
            <v>UNITED KINGDOM</v>
          </cell>
        </row>
        <row r="20382">
          <cell r="L20382" t="str">
            <v>Non-proportional</v>
          </cell>
          <cell r="S20382">
            <v>80810.649999999994</v>
          </cell>
          <cell r="X20382" t="str">
            <v>Commissions - gross</v>
          </cell>
          <cell r="Y20382" t="str">
            <v>UNITED KINGDOM</v>
          </cell>
        </row>
        <row r="20383">
          <cell r="L20383" t="str">
            <v>Non-proportional</v>
          </cell>
          <cell r="S20383">
            <v>-4080.01</v>
          </cell>
          <cell r="X20383" t="str">
            <v>Commissions - gross</v>
          </cell>
          <cell r="Y20383" t="str">
            <v>UNITED KINGDOM</v>
          </cell>
        </row>
        <row r="20384">
          <cell r="L20384" t="str">
            <v>Proportional</v>
          </cell>
          <cell r="S20384">
            <v>13977600</v>
          </cell>
          <cell r="X20384" t="str">
            <v>Commissions - gross</v>
          </cell>
          <cell r="Y20384" t="str">
            <v>ITALY</v>
          </cell>
        </row>
        <row r="20385">
          <cell r="L20385" t="str">
            <v>Proportional</v>
          </cell>
          <cell r="S20385">
            <v>-11980800</v>
          </cell>
          <cell r="X20385" t="str">
            <v>Commissions - gross</v>
          </cell>
          <cell r="Y20385" t="str">
            <v>ITALY</v>
          </cell>
        </row>
        <row r="20386">
          <cell r="L20386" t="str">
            <v>Proportional</v>
          </cell>
          <cell r="S20386">
            <v>12247.31</v>
          </cell>
          <cell r="X20386" t="str">
            <v>Commissions - gross</v>
          </cell>
          <cell r="Y20386" t="str">
            <v>AUSTRIA</v>
          </cell>
        </row>
        <row r="20387">
          <cell r="L20387" t="str">
            <v>Proportional</v>
          </cell>
          <cell r="S20387">
            <v>-1996800</v>
          </cell>
          <cell r="X20387" t="str">
            <v>Commissions - gross</v>
          </cell>
          <cell r="Y20387" t="str">
            <v>ITALY</v>
          </cell>
        </row>
        <row r="20388">
          <cell r="L20388" t="str">
            <v>Proportional</v>
          </cell>
          <cell r="S20388">
            <v>15907.13</v>
          </cell>
          <cell r="X20388" t="str">
            <v>Commissions - gross</v>
          </cell>
          <cell r="Y20388" t="str">
            <v>AUSTRIA</v>
          </cell>
        </row>
        <row r="20389">
          <cell r="L20389" t="str">
            <v>Proportional</v>
          </cell>
          <cell r="S20389">
            <v>1996800</v>
          </cell>
          <cell r="X20389" t="str">
            <v>Commissions - gross</v>
          </cell>
          <cell r="Y20389" t="str">
            <v>ITALY</v>
          </cell>
        </row>
        <row r="20390">
          <cell r="L20390" t="str">
            <v>Proportional</v>
          </cell>
          <cell r="S20390">
            <v>-998400</v>
          </cell>
          <cell r="X20390" t="str">
            <v>Commissions - gross</v>
          </cell>
          <cell r="Y20390" t="str">
            <v>ITALY</v>
          </cell>
        </row>
        <row r="20391">
          <cell r="L20391" t="str">
            <v>Proportional</v>
          </cell>
          <cell r="S20391">
            <v>11980800</v>
          </cell>
          <cell r="X20391" t="str">
            <v>Commissions - gross</v>
          </cell>
          <cell r="Y20391" t="str">
            <v>ITALY</v>
          </cell>
        </row>
        <row r="20392">
          <cell r="L20392" t="str">
            <v>Proportional</v>
          </cell>
          <cell r="S20392">
            <v>324588.86</v>
          </cell>
          <cell r="X20392" t="str">
            <v>Commissions - gross</v>
          </cell>
          <cell r="Y20392" t="str">
            <v>ITALY</v>
          </cell>
        </row>
        <row r="20393">
          <cell r="L20393" t="str">
            <v>Proportional</v>
          </cell>
          <cell r="S20393">
            <v>416.49</v>
          </cell>
          <cell r="X20393" t="str">
            <v>Commissions - gross</v>
          </cell>
          <cell r="Y20393" t="str">
            <v>FRANCE</v>
          </cell>
        </row>
        <row r="20394">
          <cell r="L20394" t="str">
            <v>Proportional</v>
          </cell>
          <cell r="S20394">
            <v>1075.33</v>
          </cell>
          <cell r="X20394" t="str">
            <v>Commissions - gross</v>
          </cell>
          <cell r="Y20394" t="str">
            <v>FRANCE</v>
          </cell>
        </row>
        <row r="20395">
          <cell r="L20395" t="str">
            <v>Proportional</v>
          </cell>
          <cell r="S20395">
            <v>2387.1799999999998</v>
          </cell>
          <cell r="X20395" t="str">
            <v>Commissions - gross</v>
          </cell>
          <cell r="Y20395" t="str">
            <v>FRANCE</v>
          </cell>
        </row>
        <row r="20396">
          <cell r="L20396" t="str">
            <v>Proportional</v>
          </cell>
          <cell r="S20396">
            <v>-324588.86</v>
          </cell>
          <cell r="X20396" t="str">
            <v>Commissions - gross</v>
          </cell>
          <cell r="Y20396" t="str">
            <v>ITALY</v>
          </cell>
        </row>
        <row r="20397">
          <cell r="L20397" t="str">
            <v>Proportional</v>
          </cell>
          <cell r="S20397">
            <v>-60364.26</v>
          </cell>
          <cell r="X20397" t="str">
            <v>Commissions - gross</v>
          </cell>
          <cell r="Y20397" t="str">
            <v>INDIA</v>
          </cell>
        </row>
        <row r="20398">
          <cell r="L20398" t="str">
            <v>Proportional</v>
          </cell>
          <cell r="S20398">
            <v>3448422.52</v>
          </cell>
          <cell r="X20398" t="str">
            <v>Commissions - gross</v>
          </cell>
          <cell r="Y20398" t="str">
            <v>ITALY</v>
          </cell>
        </row>
        <row r="20399">
          <cell r="L20399" t="str">
            <v>Proportional</v>
          </cell>
          <cell r="S20399">
            <v>6564738.7999999998</v>
          </cell>
          <cell r="X20399" t="str">
            <v>Commissions - gross</v>
          </cell>
          <cell r="Y20399" t="str">
            <v>ITALY</v>
          </cell>
        </row>
        <row r="20400">
          <cell r="L20400" t="str">
            <v>Proportional</v>
          </cell>
          <cell r="S20400">
            <v>967572.78</v>
          </cell>
          <cell r="X20400" t="str">
            <v>Commissions - gross</v>
          </cell>
          <cell r="Y20400" t="str">
            <v>INDIA</v>
          </cell>
        </row>
        <row r="20401">
          <cell r="L20401" t="str">
            <v>Proportional</v>
          </cell>
          <cell r="S20401">
            <v>771.34</v>
          </cell>
          <cell r="X20401" t="str">
            <v>Commissions - gross</v>
          </cell>
          <cell r="Y20401" t="str">
            <v>SWITZERLAND</v>
          </cell>
        </row>
        <row r="20402">
          <cell r="L20402" t="str">
            <v>Proportional</v>
          </cell>
          <cell r="S20402">
            <v>338524.88</v>
          </cell>
          <cell r="X20402" t="str">
            <v>Commissions - gross</v>
          </cell>
          <cell r="Y20402" t="str">
            <v>SWITZERLAND</v>
          </cell>
        </row>
        <row r="20403">
          <cell r="L20403" t="str">
            <v>Proportional</v>
          </cell>
          <cell r="S20403">
            <v>-13977600</v>
          </cell>
          <cell r="X20403" t="str">
            <v>Commissions - gross</v>
          </cell>
          <cell r="Y20403" t="str">
            <v>ITALY</v>
          </cell>
        </row>
        <row r="20404">
          <cell r="L20404" t="str">
            <v>Proportional</v>
          </cell>
          <cell r="S20404">
            <v>-771.34</v>
          </cell>
          <cell r="X20404" t="str">
            <v>Commissions - gross</v>
          </cell>
          <cell r="Y20404" t="str">
            <v>SWITZERLAND</v>
          </cell>
        </row>
        <row r="20405">
          <cell r="L20405" t="str">
            <v>Proportional</v>
          </cell>
          <cell r="S20405">
            <v>-3448422.52</v>
          </cell>
          <cell r="X20405" t="str">
            <v>Commissions - gross</v>
          </cell>
          <cell r="Y20405" t="str">
            <v>ITALY</v>
          </cell>
        </row>
        <row r="20406">
          <cell r="L20406" t="str">
            <v>Proportional</v>
          </cell>
          <cell r="S20406">
            <v>6135.75</v>
          </cell>
          <cell r="X20406" t="str">
            <v>Commissions - gross</v>
          </cell>
          <cell r="Y20406" t="str">
            <v>SWITZERLAND</v>
          </cell>
        </row>
        <row r="20407">
          <cell r="L20407" t="str">
            <v>Proportional</v>
          </cell>
          <cell r="S20407">
            <v>410.61</v>
          </cell>
          <cell r="X20407" t="str">
            <v>Commissions - gross</v>
          </cell>
          <cell r="Y20407" t="str">
            <v>FRANCE</v>
          </cell>
        </row>
        <row r="20408">
          <cell r="L20408" t="str">
            <v>Proportional</v>
          </cell>
          <cell r="S20408">
            <v>-561.80999999999995</v>
          </cell>
          <cell r="X20408" t="str">
            <v>Commissions - gross</v>
          </cell>
          <cell r="Y20408" t="str">
            <v>FRANCE</v>
          </cell>
        </row>
        <row r="20409">
          <cell r="L20409" t="str">
            <v>Proportional</v>
          </cell>
          <cell r="S20409">
            <v>-1191425.57</v>
          </cell>
          <cell r="X20409" t="str">
            <v>Commissions - gross</v>
          </cell>
          <cell r="Y20409" t="str">
            <v>ITALY</v>
          </cell>
        </row>
        <row r="20410">
          <cell r="L20410" t="str">
            <v>Proportional</v>
          </cell>
          <cell r="S20410">
            <v>846613.14</v>
          </cell>
          <cell r="X20410" t="str">
            <v>Commissions - gross</v>
          </cell>
          <cell r="Y20410" t="str">
            <v>FRANCE</v>
          </cell>
        </row>
        <row r="20411">
          <cell r="L20411" t="str">
            <v>Proportional</v>
          </cell>
          <cell r="S20411">
            <v>146921.04999999999</v>
          </cell>
          <cell r="X20411" t="str">
            <v>Commissions - gross</v>
          </cell>
          <cell r="Y20411" t="str">
            <v>SWITZERLAND</v>
          </cell>
        </row>
        <row r="20412">
          <cell r="L20412" t="str">
            <v>Proportional</v>
          </cell>
          <cell r="S20412">
            <v>-6135.75</v>
          </cell>
          <cell r="X20412" t="str">
            <v>Commissions - gross</v>
          </cell>
          <cell r="Y20412" t="str">
            <v>SWITZERLAND</v>
          </cell>
        </row>
        <row r="20413">
          <cell r="L20413" t="str">
            <v>Proportional</v>
          </cell>
          <cell r="S20413">
            <v>149.33000000000001</v>
          </cell>
          <cell r="X20413" t="str">
            <v>Commissions - gross</v>
          </cell>
          <cell r="Y20413" t="str">
            <v>FRANCE</v>
          </cell>
        </row>
        <row r="20414">
          <cell r="L20414" t="str">
            <v>Proportional</v>
          </cell>
          <cell r="S20414">
            <v>-3786.13</v>
          </cell>
          <cell r="X20414" t="str">
            <v>Commissions - gross</v>
          </cell>
          <cell r="Y20414" t="str">
            <v>FRANCE</v>
          </cell>
        </row>
        <row r="20415">
          <cell r="L20415" t="str">
            <v>Proportional</v>
          </cell>
          <cell r="S20415">
            <v>4726471.66</v>
          </cell>
          <cell r="X20415" t="str">
            <v>Commissions - gross</v>
          </cell>
          <cell r="Y20415" t="str">
            <v>ITALY</v>
          </cell>
        </row>
        <row r="20416">
          <cell r="L20416" t="str">
            <v>Proportional</v>
          </cell>
          <cell r="S20416">
            <v>1191425.57</v>
          </cell>
          <cell r="X20416" t="str">
            <v>Commissions - gross</v>
          </cell>
          <cell r="Y20416" t="str">
            <v>ITALY</v>
          </cell>
        </row>
        <row r="20417">
          <cell r="L20417" t="str">
            <v>Proportional</v>
          </cell>
          <cell r="S20417">
            <v>31875.27</v>
          </cell>
          <cell r="X20417" t="str">
            <v>Commissions - gross</v>
          </cell>
          <cell r="Y20417" t="str">
            <v>SWITZERLAND</v>
          </cell>
        </row>
        <row r="20418">
          <cell r="L20418" t="str">
            <v>Proportional</v>
          </cell>
          <cell r="S20418">
            <v>1864936.59</v>
          </cell>
          <cell r="X20418" t="str">
            <v>Commissions - gross</v>
          </cell>
          <cell r="Y20418" t="str">
            <v>ITALY</v>
          </cell>
        </row>
        <row r="20419">
          <cell r="L20419" t="str">
            <v>Proportional</v>
          </cell>
          <cell r="S20419">
            <v>-905.42</v>
          </cell>
          <cell r="X20419" t="str">
            <v>Commissions - gross</v>
          </cell>
          <cell r="Y20419" t="str">
            <v>FRANCE</v>
          </cell>
        </row>
        <row r="20420">
          <cell r="L20420" t="str">
            <v>Proportional</v>
          </cell>
          <cell r="S20420">
            <v>10007.450000000001</v>
          </cell>
          <cell r="X20420" t="str">
            <v>Commissions - gross</v>
          </cell>
          <cell r="Y20420" t="str">
            <v>FRANCE</v>
          </cell>
        </row>
        <row r="20421">
          <cell r="L20421" t="str">
            <v>Proportional</v>
          </cell>
          <cell r="S20421">
            <v>-7.16</v>
          </cell>
          <cell r="X20421" t="str">
            <v>Commissions - gross</v>
          </cell>
          <cell r="Y20421" t="str">
            <v>FRANCE</v>
          </cell>
        </row>
        <row r="20422">
          <cell r="L20422" t="str">
            <v>Proportional</v>
          </cell>
          <cell r="S20422">
            <v>2639.47</v>
          </cell>
          <cell r="X20422" t="str">
            <v>Commissions - gross</v>
          </cell>
          <cell r="Y20422" t="str">
            <v>SWITZERLAND</v>
          </cell>
        </row>
        <row r="20423">
          <cell r="L20423" t="str">
            <v>Proportional</v>
          </cell>
          <cell r="S20423">
            <v>-10007.450000000001</v>
          </cell>
          <cell r="X20423" t="str">
            <v>Commissions - gross</v>
          </cell>
          <cell r="Y20423" t="str">
            <v>FRANCE</v>
          </cell>
        </row>
        <row r="20424">
          <cell r="L20424" t="str">
            <v>Proportional</v>
          </cell>
          <cell r="S20424">
            <v>108.31</v>
          </cell>
          <cell r="X20424" t="str">
            <v>Commissions - gross</v>
          </cell>
          <cell r="Y20424" t="str">
            <v>FRANCE</v>
          </cell>
        </row>
        <row r="20425">
          <cell r="L20425" t="str">
            <v>Proportional</v>
          </cell>
          <cell r="S20425">
            <v>7.04</v>
          </cell>
          <cell r="X20425" t="str">
            <v>Commissions - gross</v>
          </cell>
          <cell r="Y20425" t="str">
            <v>FRANCE</v>
          </cell>
        </row>
        <row r="20426">
          <cell r="L20426" t="str">
            <v>Proportional</v>
          </cell>
          <cell r="S20426">
            <v>905.42</v>
          </cell>
          <cell r="X20426" t="str">
            <v>Commissions - gross</v>
          </cell>
          <cell r="Y20426" t="str">
            <v>FRANCE</v>
          </cell>
        </row>
        <row r="20427">
          <cell r="L20427" t="str">
            <v>Proportional</v>
          </cell>
          <cell r="S20427">
            <v>-481.25</v>
          </cell>
          <cell r="X20427" t="str">
            <v>Commissions - gross</v>
          </cell>
          <cell r="Y20427" t="str">
            <v>FRANCE</v>
          </cell>
        </row>
        <row r="20428">
          <cell r="L20428" t="str">
            <v>Proportional</v>
          </cell>
          <cell r="S20428">
            <v>-1864936.59</v>
          </cell>
          <cell r="X20428" t="str">
            <v>Commissions - gross</v>
          </cell>
          <cell r="Y20428" t="str">
            <v>ITALY</v>
          </cell>
        </row>
        <row r="20429">
          <cell r="L20429" t="str">
            <v>Proportional</v>
          </cell>
          <cell r="S20429">
            <v>-31875.27</v>
          </cell>
          <cell r="X20429" t="str">
            <v>Commissions - gross</v>
          </cell>
          <cell r="Y20429" t="str">
            <v>SWITZERLAND</v>
          </cell>
        </row>
        <row r="20430">
          <cell r="L20430" t="str">
            <v>Proportional</v>
          </cell>
          <cell r="S20430">
            <v>473.59</v>
          </cell>
          <cell r="X20430" t="str">
            <v>Commissions - gross</v>
          </cell>
          <cell r="Y20430" t="str">
            <v>FRANCE</v>
          </cell>
        </row>
        <row r="20431">
          <cell r="L20431" t="str">
            <v>Proportional</v>
          </cell>
          <cell r="S20431">
            <v>-2236.46</v>
          </cell>
          <cell r="X20431" t="str">
            <v>Commissions - gross</v>
          </cell>
          <cell r="Y20431" t="str">
            <v>FRANCE</v>
          </cell>
        </row>
        <row r="20432">
          <cell r="L20432" t="str">
            <v>Non-proportional</v>
          </cell>
          <cell r="S20432">
            <v>-24.79</v>
          </cell>
          <cell r="X20432" t="str">
            <v>Commissions - gross</v>
          </cell>
          <cell r="Y20432" t="str">
            <v>DOMINICAN REPUBLIC</v>
          </cell>
        </row>
        <row r="20433">
          <cell r="L20433" t="str">
            <v>Proportional</v>
          </cell>
          <cell r="S20433">
            <v>5116469.63</v>
          </cell>
          <cell r="X20433" t="str">
            <v>Commissions - gross</v>
          </cell>
          <cell r="Y20433" t="str">
            <v>ITALY</v>
          </cell>
        </row>
        <row r="20434">
          <cell r="L20434" t="str">
            <v>Proportional</v>
          </cell>
          <cell r="S20434">
            <v>-2639.47</v>
          </cell>
          <cell r="X20434" t="str">
            <v>Commissions - gross</v>
          </cell>
          <cell r="Y20434" t="str">
            <v>SWITZERLAND</v>
          </cell>
        </row>
        <row r="20435">
          <cell r="L20435" t="str">
            <v>Proportional</v>
          </cell>
          <cell r="S20435">
            <v>-110.07</v>
          </cell>
          <cell r="X20435" t="str">
            <v>Commissions - gross</v>
          </cell>
          <cell r="Y20435" t="str">
            <v>FRANCE</v>
          </cell>
        </row>
        <row r="20436">
          <cell r="L20436" t="str">
            <v>Proportional</v>
          </cell>
          <cell r="S20436">
            <v>-3170.12</v>
          </cell>
          <cell r="X20436" t="str">
            <v>Commissions - gross</v>
          </cell>
          <cell r="Y20436" t="str">
            <v>FRANCE</v>
          </cell>
        </row>
        <row r="20437">
          <cell r="L20437" t="str">
            <v>Proportional</v>
          </cell>
          <cell r="S20437">
            <v>3170.12</v>
          </cell>
          <cell r="X20437" t="str">
            <v>Commissions - gross</v>
          </cell>
          <cell r="Y20437" t="str">
            <v>FRANCE</v>
          </cell>
        </row>
        <row r="20438">
          <cell r="L20438" t="str">
            <v>Proportional</v>
          </cell>
          <cell r="S20438">
            <v>2236.46</v>
          </cell>
          <cell r="X20438" t="str">
            <v>Commissions - gross</v>
          </cell>
          <cell r="Y20438" t="str">
            <v>FRANCE</v>
          </cell>
        </row>
        <row r="20439">
          <cell r="L20439" t="str">
            <v>Non-proportional</v>
          </cell>
          <cell r="S20439">
            <v>24.79</v>
          </cell>
          <cell r="X20439" t="str">
            <v>Commissions - gross</v>
          </cell>
          <cell r="Y20439" t="str">
            <v>DOMINICAN REPUBLIC</v>
          </cell>
        </row>
        <row r="20440">
          <cell r="L20440" t="str">
            <v>Proportional</v>
          </cell>
          <cell r="S20440">
            <v>14188.35</v>
          </cell>
          <cell r="X20440" t="str">
            <v>Commissions - gross</v>
          </cell>
          <cell r="Y20440" t="str">
            <v>FRANCE</v>
          </cell>
        </row>
        <row r="20441">
          <cell r="L20441" t="str">
            <v>Proportional</v>
          </cell>
          <cell r="S20441">
            <v>-14188.35</v>
          </cell>
          <cell r="X20441" t="str">
            <v>Commissions - gross</v>
          </cell>
          <cell r="Y20441" t="str">
            <v>FRANCE</v>
          </cell>
        </row>
        <row r="20442">
          <cell r="L20442" t="str">
            <v>Proportional</v>
          </cell>
          <cell r="S20442">
            <v>-14188.35</v>
          </cell>
          <cell r="X20442" t="str">
            <v>Commissions - gross</v>
          </cell>
          <cell r="Y20442" t="str">
            <v>FRANCE</v>
          </cell>
        </row>
        <row r="20443">
          <cell r="L20443" t="str">
            <v>Proportional</v>
          </cell>
          <cell r="S20443">
            <v>-13190.58</v>
          </cell>
          <cell r="X20443" t="str">
            <v>Commissions - gross</v>
          </cell>
          <cell r="Y20443" t="str">
            <v>SWITZERLAND</v>
          </cell>
        </row>
        <row r="20444">
          <cell r="L20444" t="str">
            <v>Proportional</v>
          </cell>
          <cell r="S20444">
            <v>14188.35</v>
          </cell>
          <cell r="X20444" t="str">
            <v>Commissions - gross</v>
          </cell>
          <cell r="Y20444" t="str">
            <v>FRANCE</v>
          </cell>
        </row>
        <row r="20445">
          <cell r="L20445" t="str">
            <v>Proportional</v>
          </cell>
          <cell r="S20445">
            <v>-1339.27</v>
          </cell>
          <cell r="X20445" t="str">
            <v>Commissions - gross</v>
          </cell>
          <cell r="Y20445" t="str">
            <v>FRANCE</v>
          </cell>
        </row>
        <row r="20446">
          <cell r="L20446" t="str">
            <v>Proportional</v>
          </cell>
          <cell r="S20446">
            <v>-14188.35</v>
          </cell>
          <cell r="X20446" t="str">
            <v>Commissions - gross</v>
          </cell>
          <cell r="Y20446" t="str">
            <v>FRANCE</v>
          </cell>
        </row>
        <row r="20447">
          <cell r="L20447" t="str">
            <v>Proportional</v>
          </cell>
          <cell r="S20447">
            <v>14188.35</v>
          </cell>
          <cell r="X20447" t="str">
            <v>Commissions - gross</v>
          </cell>
          <cell r="Y20447" t="str">
            <v>FRANCE</v>
          </cell>
        </row>
        <row r="20448">
          <cell r="L20448" t="str">
            <v>Proportional</v>
          </cell>
          <cell r="S20448">
            <v>-46455.53</v>
          </cell>
          <cell r="X20448" t="str">
            <v>Commissions - gross</v>
          </cell>
          <cell r="Y20448" t="str">
            <v>FRANCE</v>
          </cell>
        </row>
        <row r="20449">
          <cell r="L20449" t="str">
            <v>Proportional</v>
          </cell>
          <cell r="S20449">
            <v>2258442.73</v>
          </cell>
          <cell r="X20449" t="str">
            <v>Commissions - gross</v>
          </cell>
          <cell r="Y20449" t="str">
            <v>ITALY</v>
          </cell>
        </row>
        <row r="20450">
          <cell r="L20450" t="str">
            <v>Proportional</v>
          </cell>
          <cell r="S20450">
            <v>14319.55</v>
          </cell>
          <cell r="X20450" t="str">
            <v>Commissions - gross</v>
          </cell>
          <cell r="Y20450" t="str">
            <v>FRANCE</v>
          </cell>
        </row>
        <row r="20451">
          <cell r="L20451" t="str">
            <v>Proportional</v>
          </cell>
          <cell r="S20451">
            <v>46455.53</v>
          </cell>
          <cell r="X20451" t="str">
            <v>Commissions - gross</v>
          </cell>
          <cell r="Y20451" t="str">
            <v>FRANCE</v>
          </cell>
        </row>
        <row r="20452">
          <cell r="L20452" t="str">
            <v>Proportional</v>
          </cell>
          <cell r="S20452">
            <v>1340.66</v>
          </cell>
          <cell r="X20452" t="str">
            <v>Commissions - gross</v>
          </cell>
          <cell r="Y20452" t="str">
            <v>FRANCE</v>
          </cell>
        </row>
        <row r="20453">
          <cell r="L20453" t="str">
            <v>Proportional</v>
          </cell>
          <cell r="S20453">
            <v>-14304.69</v>
          </cell>
          <cell r="X20453" t="str">
            <v>Commissions - gross</v>
          </cell>
          <cell r="Y20453" t="str">
            <v>FRANCE</v>
          </cell>
        </row>
        <row r="20454">
          <cell r="L20454" t="str">
            <v>Proportional</v>
          </cell>
          <cell r="S20454">
            <v>4477694.8</v>
          </cell>
          <cell r="X20454" t="str">
            <v>Commissions - gross</v>
          </cell>
          <cell r="Y20454" t="str">
            <v>ITALY</v>
          </cell>
        </row>
        <row r="20455">
          <cell r="L20455" t="str">
            <v>Proportional</v>
          </cell>
          <cell r="S20455">
            <v>13190.58</v>
          </cell>
          <cell r="X20455" t="str">
            <v>Commissions - gross</v>
          </cell>
          <cell r="Y20455" t="str">
            <v>SWITZERLAND</v>
          </cell>
        </row>
        <row r="20456">
          <cell r="L20456" t="str">
            <v>Non-proportional</v>
          </cell>
          <cell r="S20456">
            <v>305.64999999999998</v>
          </cell>
          <cell r="X20456" t="str">
            <v>Commissions - gross</v>
          </cell>
          <cell r="Y20456" t="str">
            <v>AUSTRALIA</v>
          </cell>
        </row>
        <row r="20457">
          <cell r="L20457" t="str">
            <v>Proportional</v>
          </cell>
          <cell r="S20457">
            <v>-2258442.73</v>
          </cell>
          <cell r="X20457" t="str">
            <v>Commissions - gross</v>
          </cell>
          <cell r="Y20457" t="str">
            <v>ITALY</v>
          </cell>
        </row>
        <row r="20458">
          <cell r="L20458" t="str">
            <v>Proportional</v>
          </cell>
          <cell r="S20458">
            <v>2004454.05</v>
          </cell>
          <cell r="X20458" t="str">
            <v>Commissions - gross</v>
          </cell>
          <cell r="Y20458" t="str">
            <v>ITALY</v>
          </cell>
        </row>
        <row r="20459">
          <cell r="L20459" t="str">
            <v>Proportional</v>
          </cell>
          <cell r="S20459">
            <v>61793.29</v>
          </cell>
          <cell r="X20459" t="str">
            <v>Commissions - gross</v>
          </cell>
          <cell r="Y20459" t="str">
            <v>INDIA</v>
          </cell>
        </row>
        <row r="20460">
          <cell r="L20460" t="str">
            <v>Proportional</v>
          </cell>
          <cell r="S20460">
            <v>-2004454.05</v>
          </cell>
          <cell r="X20460" t="str">
            <v>Commissions - gross</v>
          </cell>
          <cell r="Y20460" t="str">
            <v>ITALY</v>
          </cell>
        </row>
        <row r="20461">
          <cell r="L20461" t="str">
            <v>Proportional</v>
          </cell>
          <cell r="S20461">
            <v>5106238.01</v>
          </cell>
          <cell r="X20461" t="str">
            <v>Commissions - gross</v>
          </cell>
          <cell r="Y20461" t="str">
            <v>ITALY</v>
          </cell>
        </row>
        <row r="20462">
          <cell r="L20462" t="str">
            <v>Proportional</v>
          </cell>
          <cell r="S20462">
            <v>-61793.29</v>
          </cell>
          <cell r="X20462" t="str">
            <v>Commissions - gross</v>
          </cell>
          <cell r="Y20462" t="str">
            <v>INDIA</v>
          </cell>
        </row>
        <row r="20463">
          <cell r="L20463" t="str">
            <v>Non-proportional</v>
          </cell>
          <cell r="S20463">
            <v>-110294.52</v>
          </cell>
          <cell r="X20463" t="str">
            <v>Commissions - gross</v>
          </cell>
          <cell r="Y20463" t="str">
            <v>PORTUGAL</v>
          </cell>
        </row>
        <row r="20464">
          <cell r="L20464" t="str">
            <v>Non-proportional</v>
          </cell>
          <cell r="S20464">
            <v>-153600.06</v>
          </cell>
          <cell r="X20464" t="str">
            <v>Commissions - gross</v>
          </cell>
          <cell r="Y20464" t="str">
            <v>PORTUGAL</v>
          </cell>
        </row>
        <row r="20465">
          <cell r="L20465" t="str">
            <v>Non-proportional</v>
          </cell>
          <cell r="S20465">
            <v>-1146802.27</v>
          </cell>
          <cell r="X20465" t="str">
            <v>Commissions - gross</v>
          </cell>
          <cell r="Y20465" t="str">
            <v>UNITED KINGDOM</v>
          </cell>
        </row>
        <row r="20466">
          <cell r="L20466" t="str">
            <v>Non-proportional</v>
          </cell>
          <cell r="S20466">
            <v>-1275655.3500000001</v>
          </cell>
          <cell r="X20466" t="str">
            <v>Commissions - gross</v>
          </cell>
          <cell r="Y20466" t="str">
            <v>BELGIUM</v>
          </cell>
        </row>
        <row r="20467">
          <cell r="L20467" t="str">
            <v>Non-proportional</v>
          </cell>
          <cell r="S20467">
            <v>-525711.12</v>
          </cell>
          <cell r="X20467" t="str">
            <v>Commissions - gross</v>
          </cell>
          <cell r="Y20467" t="str">
            <v>BELGIUM</v>
          </cell>
        </row>
        <row r="20468">
          <cell r="L20468" t="str">
            <v>Non-proportional</v>
          </cell>
          <cell r="S20468">
            <v>-875615.73</v>
          </cell>
          <cell r="X20468" t="str">
            <v>Commissions - gross</v>
          </cell>
          <cell r="Y20468" t="str">
            <v>BELGIUM</v>
          </cell>
        </row>
        <row r="20469">
          <cell r="L20469" t="str">
            <v>Non-proportional</v>
          </cell>
          <cell r="S20469">
            <v>-74285.429999999993</v>
          </cell>
          <cell r="X20469" t="str">
            <v>Commissions - gross</v>
          </cell>
          <cell r="Y20469" t="str">
            <v>EUROPE</v>
          </cell>
        </row>
        <row r="20470">
          <cell r="L20470" t="str">
            <v>Non-proportional</v>
          </cell>
          <cell r="S20470">
            <v>-103534.11</v>
          </cell>
          <cell r="X20470" t="str">
            <v>Commissions - gross</v>
          </cell>
          <cell r="Y20470" t="str">
            <v>PORTUGAL</v>
          </cell>
        </row>
        <row r="20471">
          <cell r="L20471" t="str">
            <v>Non-proportional</v>
          </cell>
          <cell r="S20471">
            <v>-145162.28</v>
          </cell>
          <cell r="X20471" t="str">
            <v>Commissions - gross</v>
          </cell>
          <cell r="Y20471" t="str">
            <v>PORTUGAL</v>
          </cell>
        </row>
        <row r="20472">
          <cell r="L20472" t="str">
            <v>Non-proportional</v>
          </cell>
          <cell r="S20472">
            <v>-76895.5</v>
          </cell>
          <cell r="X20472" t="str">
            <v>Commissions - gross</v>
          </cell>
          <cell r="Y20472" t="str">
            <v>EUROPE</v>
          </cell>
        </row>
        <row r="20473">
          <cell r="L20473" t="str">
            <v>Non-proportional</v>
          </cell>
          <cell r="S20473">
            <v>-142343.67999999999</v>
          </cell>
          <cell r="X20473" t="str">
            <v>Commissions - gross</v>
          </cell>
          <cell r="Y20473" t="str">
            <v>PORTUGAL</v>
          </cell>
        </row>
        <row r="20474">
          <cell r="L20474" t="str">
            <v>Non-proportional</v>
          </cell>
          <cell r="S20474">
            <v>-93498.34</v>
          </cell>
          <cell r="X20474" t="str">
            <v>Commissions - gross</v>
          </cell>
          <cell r="Y20474" t="str">
            <v>EUROPE</v>
          </cell>
        </row>
        <row r="20475">
          <cell r="L20475" t="str">
            <v>Non-proportional</v>
          </cell>
          <cell r="S20475">
            <v>-972642.33</v>
          </cell>
          <cell r="X20475" t="str">
            <v>Commissions - gross</v>
          </cell>
          <cell r="Y20475" t="str">
            <v>BELGIUM</v>
          </cell>
        </row>
        <row r="20476">
          <cell r="L20476" t="str">
            <v>Non-proportional</v>
          </cell>
          <cell r="S20476">
            <v>-799309.29</v>
          </cell>
          <cell r="X20476" t="str">
            <v>Commissions - gross</v>
          </cell>
          <cell r="Y20476" t="str">
            <v>UNITED KINGDOM</v>
          </cell>
        </row>
        <row r="20477">
          <cell r="L20477" t="str">
            <v>Non-proportional</v>
          </cell>
          <cell r="S20477">
            <v>-303540.52</v>
          </cell>
          <cell r="X20477" t="str">
            <v>Commissions - gross</v>
          </cell>
          <cell r="Y20477" t="str">
            <v>UNITED KINGDOM</v>
          </cell>
        </row>
        <row r="20478">
          <cell r="L20478" t="str">
            <v>Non-proportional</v>
          </cell>
          <cell r="S20478">
            <v>-299842.95</v>
          </cell>
          <cell r="X20478" t="str">
            <v>Commissions - gross</v>
          </cell>
          <cell r="Y20478" t="str">
            <v>PORTUGAL</v>
          </cell>
        </row>
        <row r="20479">
          <cell r="L20479" t="str">
            <v>Non-proportional</v>
          </cell>
          <cell r="S20479">
            <v>-298391.06</v>
          </cell>
          <cell r="X20479" t="str">
            <v>Commissions - gross</v>
          </cell>
          <cell r="Y20479" t="str">
            <v>EUROPE</v>
          </cell>
        </row>
        <row r="20480">
          <cell r="L20480" t="str">
            <v>Non-proportional</v>
          </cell>
          <cell r="S20480">
            <v>13196.57</v>
          </cell>
          <cell r="X20480" t="str">
            <v>Commissions - gross</v>
          </cell>
          <cell r="Y20480" t="str">
            <v>PORTUGAL</v>
          </cell>
        </row>
        <row r="20481">
          <cell r="L20481" t="str">
            <v>Non-proportional</v>
          </cell>
          <cell r="S20481">
            <v>13963.64</v>
          </cell>
          <cell r="X20481" t="str">
            <v>Commissions - gross</v>
          </cell>
          <cell r="Y20481" t="str">
            <v>PORTUGAL</v>
          </cell>
        </row>
        <row r="20482">
          <cell r="L20482" t="str">
            <v>Non-proportional</v>
          </cell>
          <cell r="S20482">
            <v>6753.22</v>
          </cell>
          <cell r="X20482" t="str">
            <v>Commissions - gross</v>
          </cell>
          <cell r="Y20482" t="str">
            <v>EUROPE</v>
          </cell>
        </row>
        <row r="20483">
          <cell r="L20483" t="str">
            <v>Non-proportional</v>
          </cell>
          <cell r="S20483">
            <v>10026.77</v>
          </cell>
          <cell r="X20483" t="str">
            <v>Commissions - gross</v>
          </cell>
          <cell r="Y20483" t="str">
            <v>PORTUGAL</v>
          </cell>
        </row>
        <row r="20484">
          <cell r="L20484" t="str">
            <v>Non-proportional</v>
          </cell>
          <cell r="S20484">
            <v>9412.19</v>
          </cell>
          <cell r="X20484" t="str">
            <v>Commissions - gross</v>
          </cell>
          <cell r="Y20484" t="str">
            <v>PORTUGAL</v>
          </cell>
        </row>
        <row r="20485">
          <cell r="L20485" t="str">
            <v>Non-proportional</v>
          </cell>
          <cell r="S20485">
            <v>47791.92</v>
          </cell>
          <cell r="X20485" t="str">
            <v>Commissions - gross</v>
          </cell>
          <cell r="Y20485" t="str">
            <v>BELGIUM</v>
          </cell>
        </row>
        <row r="20486">
          <cell r="L20486" t="str">
            <v>Non-proportional</v>
          </cell>
          <cell r="S20486">
            <v>12940.33</v>
          </cell>
          <cell r="X20486" t="str">
            <v>Commissions - gross</v>
          </cell>
          <cell r="Y20486" t="str">
            <v>PORTUGAL</v>
          </cell>
        </row>
        <row r="20487">
          <cell r="L20487" t="str">
            <v>Non-proportional</v>
          </cell>
          <cell r="S20487">
            <v>73728.2</v>
          </cell>
          <cell r="X20487" t="str">
            <v>Commissions - gross</v>
          </cell>
          <cell r="Y20487" t="str">
            <v>UNITED KINGDOM</v>
          </cell>
        </row>
        <row r="20488">
          <cell r="L20488" t="str">
            <v>Non-proportional</v>
          </cell>
          <cell r="S20488">
            <v>8499.85</v>
          </cell>
          <cell r="X20488" t="str">
            <v>Commissions - gross</v>
          </cell>
          <cell r="Y20488" t="str">
            <v>EUROPE</v>
          </cell>
        </row>
        <row r="20489">
          <cell r="L20489" t="str">
            <v>Non-proportional</v>
          </cell>
          <cell r="S20489">
            <v>105780.91</v>
          </cell>
          <cell r="X20489" t="str">
            <v>Commissions - gross</v>
          </cell>
          <cell r="Y20489" t="str">
            <v>UNITED KINGDOM</v>
          </cell>
        </row>
        <row r="20490">
          <cell r="L20490" t="str">
            <v>Non-proportional</v>
          </cell>
          <cell r="S20490">
            <v>27258.45</v>
          </cell>
          <cell r="X20490" t="str">
            <v>Commissions - gross</v>
          </cell>
          <cell r="Y20490" t="str">
            <v>PORTUGAL</v>
          </cell>
        </row>
        <row r="20491">
          <cell r="L20491" t="str">
            <v>Non-proportional</v>
          </cell>
          <cell r="S20491">
            <v>115968.67</v>
          </cell>
          <cell r="X20491" t="str">
            <v>Commissions - gross</v>
          </cell>
          <cell r="Y20491" t="str">
            <v>BELGIUM</v>
          </cell>
        </row>
        <row r="20492">
          <cell r="L20492" t="str">
            <v>Non-proportional</v>
          </cell>
          <cell r="S20492">
            <v>79601.429999999993</v>
          </cell>
          <cell r="X20492" t="str">
            <v>Commissions - gross</v>
          </cell>
          <cell r="Y20492" t="str">
            <v>BELGIUM</v>
          </cell>
        </row>
        <row r="20493">
          <cell r="L20493" t="str">
            <v>Non-proportional</v>
          </cell>
          <cell r="S20493">
            <v>27126.46</v>
          </cell>
          <cell r="X20493" t="str">
            <v>Commissions - gross</v>
          </cell>
          <cell r="Y20493" t="str">
            <v>EUROPE</v>
          </cell>
        </row>
        <row r="20494">
          <cell r="L20494" t="str">
            <v>Non-proportional</v>
          </cell>
          <cell r="S20494">
            <v>6990.5</v>
          </cell>
          <cell r="X20494" t="str">
            <v>Commissions - gross</v>
          </cell>
          <cell r="Y20494" t="str">
            <v>EUROPE</v>
          </cell>
        </row>
        <row r="20495">
          <cell r="L20495" t="str">
            <v>Non-proportional</v>
          </cell>
          <cell r="S20495">
            <v>27998.54</v>
          </cell>
          <cell r="X20495" t="str">
            <v>Commissions - gross</v>
          </cell>
          <cell r="Y20495" t="str">
            <v>UNITED KINGDOM</v>
          </cell>
        </row>
        <row r="20496">
          <cell r="L20496" t="str">
            <v>Non-proportional</v>
          </cell>
          <cell r="S20496">
            <v>88422.03</v>
          </cell>
          <cell r="X20496" t="str">
            <v>Commissions - gross</v>
          </cell>
          <cell r="Y20496" t="str">
            <v>BELGIUM</v>
          </cell>
        </row>
        <row r="20497">
          <cell r="L20497" t="str">
            <v>Non-proportional</v>
          </cell>
          <cell r="S20497">
            <v>115968.67</v>
          </cell>
          <cell r="X20497" t="str">
            <v>Commissions - gross</v>
          </cell>
          <cell r="Y20497" t="str">
            <v>BELGIUM</v>
          </cell>
        </row>
        <row r="20498">
          <cell r="L20498" t="str">
            <v>Non-proportional</v>
          </cell>
          <cell r="S20498">
            <v>88422.03</v>
          </cell>
          <cell r="X20498" t="str">
            <v>Commissions - gross</v>
          </cell>
          <cell r="Y20498" t="str">
            <v>BELGIUM</v>
          </cell>
        </row>
        <row r="20499">
          <cell r="L20499" t="str">
            <v>Non-proportional</v>
          </cell>
          <cell r="S20499">
            <v>79601.429999999993</v>
          </cell>
          <cell r="X20499" t="str">
            <v>Commissions - gross</v>
          </cell>
          <cell r="Y20499" t="str">
            <v>BELGIUM</v>
          </cell>
        </row>
        <row r="20500">
          <cell r="L20500" t="str">
            <v>Non-proportional</v>
          </cell>
          <cell r="S20500">
            <v>13963.64</v>
          </cell>
          <cell r="X20500" t="str">
            <v>Commissions - gross</v>
          </cell>
          <cell r="Y20500" t="str">
            <v>PORTUGAL</v>
          </cell>
        </row>
        <row r="20501">
          <cell r="L20501" t="str">
            <v>Non-proportional</v>
          </cell>
          <cell r="S20501">
            <v>27126.46</v>
          </cell>
          <cell r="X20501" t="str">
            <v>Commissions - gross</v>
          </cell>
          <cell r="Y20501" t="str">
            <v>EUROPE</v>
          </cell>
        </row>
        <row r="20502">
          <cell r="L20502" t="str">
            <v>Non-proportional</v>
          </cell>
          <cell r="S20502">
            <v>6990.5</v>
          </cell>
          <cell r="X20502" t="str">
            <v>Commissions - gross</v>
          </cell>
          <cell r="Y20502" t="str">
            <v>EUROPE</v>
          </cell>
        </row>
        <row r="20503">
          <cell r="L20503" t="str">
            <v>Non-proportional</v>
          </cell>
          <cell r="S20503">
            <v>9412.19</v>
          </cell>
          <cell r="X20503" t="str">
            <v>Commissions - gross</v>
          </cell>
          <cell r="Y20503" t="str">
            <v>PORTUGAL</v>
          </cell>
        </row>
        <row r="20504">
          <cell r="L20504" t="str">
            <v>Non-proportional</v>
          </cell>
          <cell r="S20504">
            <v>27648.14</v>
          </cell>
          <cell r="X20504" t="str">
            <v>Commissions - gross</v>
          </cell>
          <cell r="Y20504" t="str">
            <v>UNITED KINGDOM</v>
          </cell>
        </row>
        <row r="20505">
          <cell r="L20505" t="str">
            <v>Non-proportional</v>
          </cell>
          <cell r="S20505">
            <v>27258.45</v>
          </cell>
          <cell r="X20505" t="str">
            <v>Commissions - gross</v>
          </cell>
          <cell r="Y20505" t="str">
            <v>PORTUGAL</v>
          </cell>
        </row>
        <row r="20506">
          <cell r="L20506" t="str">
            <v>Non-proportional</v>
          </cell>
          <cell r="S20506">
            <v>8499.85</v>
          </cell>
          <cell r="X20506" t="str">
            <v>Commissions - gross</v>
          </cell>
          <cell r="Y20506" t="str">
            <v>EUROPE</v>
          </cell>
        </row>
        <row r="20507">
          <cell r="L20507" t="str">
            <v>Non-proportional</v>
          </cell>
          <cell r="S20507">
            <v>47791.92</v>
          </cell>
          <cell r="X20507" t="str">
            <v>Commissions - gross</v>
          </cell>
          <cell r="Y20507" t="str">
            <v>BELGIUM</v>
          </cell>
        </row>
        <row r="20508">
          <cell r="L20508" t="str">
            <v>Non-proportional</v>
          </cell>
          <cell r="S20508">
            <v>6753.22</v>
          </cell>
          <cell r="X20508" t="str">
            <v>Commissions - gross</v>
          </cell>
          <cell r="Y20508" t="str">
            <v>EUROPE</v>
          </cell>
        </row>
        <row r="20509">
          <cell r="L20509" t="str">
            <v>Non-proportional</v>
          </cell>
          <cell r="S20509">
            <v>10026.77</v>
          </cell>
          <cell r="X20509" t="str">
            <v>Commissions - gross</v>
          </cell>
          <cell r="Y20509" t="str">
            <v>PORTUGAL</v>
          </cell>
        </row>
        <row r="20510">
          <cell r="L20510" t="str">
            <v>Non-proportional</v>
          </cell>
          <cell r="S20510">
            <v>12940.33</v>
          </cell>
          <cell r="X20510" t="str">
            <v>Commissions - gross</v>
          </cell>
          <cell r="Y20510" t="str">
            <v>PORTUGAL</v>
          </cell>
        </row>
        <row r="20511">
          <cell r="L20511" t="str">
            <v>Non-proportional</v>
          </cell>
          <cell r="S20511">
            <v>72805.5</v>
          </cell>
          <cell r="X20511" t="str">
            <v>Commissions - gross</v>
          </cell>
          <cell r="Y20511" t="str">
            <v>UNITED KINGDOM</v>
          </cell>
        </row>
        <row r="20512">
          <cell r="L20512" t="str">
            <v>Non-proportional</v>
          </cell>
          <cell r="S20512">
            <v>13196.57</v>
          </cell>
          <cell r="X20512" t="str">
            <v>Commissions - gross</v>
          </cell>
          <cell r="Y20512" t="str">
            <v>PORTUGAL</v>
          </cell>
        </row>
        <row r="20513">
          <cell r="L20513" t="str">
            <v>Non-proportional</v>
          </cell>
          <cell r="S20513">
            <v>104457.07</v>
          </cell>
          <cell r="X20513" t="str">
            <v>Commissions - gross</v>
          </cell>
          <cell r="Y20513" t="str">
            <v>UNITED KINGDOM</v>
          </cell>
        </row>
        <row r="20514">
          <cell r="L20514" t="str">
            <v>Non-proportional</v>
          </cell>
          <cell r="S20514">
            <v>8499.85</v>
          </cell>
          <cell r="X20514" t="str">
            <v>Commissions - gross</v>
          </cell>
          <cell r="Y20514" t="str">
            <v>EUROPE</v>
          </cell>
        </row>
        <row r="20515">
          <cell r="L20515" t="str">
            <v>Non-proportional</v>
          </cell>
          <cell r="S20515">
            <v>27258.45</v>
          </cell>
          <cell r="X20515" t="str">
            <v>Commissions - gross</v>
          </cell>
          <cell r="Y20515" t="str">
            <v>PORTUGAL</v>
          </cell>
        </row>
        <row r="20516">
          <cell r="L20516" t="str">
            <v>Non-proportional</v>
          </cell>
          <cell r="S20516">
            <v>10026.77</v>
          </cell>
          <cell r="X20516" t="str">
            <v>Commissions - gross</v>
          </cell>
          <cell r="Y20516" t="str">
            <v>PORTUGAL</v>
          </cell>
        </row>
        <row r="20517">
          <cell r="L20517" t="str">
            <v>Non-proportional</v>
          </cell>
          <cell r="S20517">
            <v>13963.64</v>
          </cell>
          <cell r="X20517" t="str">
            <v>Commissions - gross</v>
          </cell>
          <cell r="Y20517" t="str">
            <v>PORTUGAL</v>
          </cell>
        </row>
        <row r="20518">
          <cell r="L20518" t="str">
            <v>Non-proportional</v>
          </cell>
          <cell r="S20518">
            <v>47791.92</v>
          </cell>
          <cell r="X20518" t="str">
            <v>Commissions - gross</v>
          </cell>
          <cell r="Y20518" t="str">
            <v>BELGIUM</v>
          </cell>
        </row>
        <row r="20519">
          <cell r="L20519" t="str">
            <v>Non-proportional</v>
          </cell>
          <cell r="S20519">
            <v>27193.64</v>
          </cell>
          <cell r="X20519" t="str">
            <v>Commissions - gross</v>
          </cell>
          <cell r="Y20519" t="str">
            <v>UNITED KINGDOM</v>
          </cell>
        </row>
        <row r="20520">
          <cell r="L20520" t="str">
            <v>Non-proportional</v>
          </cell>
          <cell r="S20520">
            <v>6990.5</v>
          </cell>
          <cell r="X20520" t="str">
            <v>Commissions - gross</v>
          </cell>
          <cell r="Y20520" t="str">
            <v>EUROPE</v>
          </cell>
        </row>
        <row r="20521">
          <cell r="L20521" t="str">
            <v>Non-proportional</v>
          </cell>
          <cell r="S20521">
            <v>13196.57</v>
          </cell>
          <cell r="X20521" t="str">
            <v>Commissions - gross</v>
          </cell>
          <cell r="Y20521" t="str">
            <v>PORTUGAL</v>
          </cell>
        </row>
        <row r="20522">
          <cell r="L20522" t="str">
            <v>Non-proportional</v>
          </cell>
          <cell r="S20522">
            <v>27126.46</v>
          </cell>
          <cell r="X20522" t="str">
            <v>Commissions - gross</v>
          </cell>
          <cell r="Y20522" t="str">
            <v>EUROPE</v>
          </cell>
        </row>
        <row r="20523">
          <cell r="L20523" t="str">
            <v>Non-proportional</v>
          </cell>
          <cell r="S20523">
            <v>115968.67</v>
          </cell>
          <cell r="X20523" t="str">
            <v>Commissions - gross</v>
          </cell>
          <cell r="Y20523" t="str">
            <v>BELGIUM</v>
          </cell>
        </row>
        <row r="20524">
          <cell r="L20524" t="str">
            <v>Non-proportional</v>
          </cell>
          <cell r="S20524">
            <v>88422.03</v>
          </cell>
          <cell r="X20524" t="str">
            <v>Commissions - gross</v>
          </cell>
          <cell r="Y20524" t="str">
            <v>BELGIUM</v>
          </cell>
        </row>
        <row r="20525">
          <cell r="L20525" t="str">
            <v>Non-proportional</v>
          </cell>
          <cell r="S20525">
            <v>12940.33</v>
          </cell>
          <cell r="X20525" t="str">
            <v>Commissions - gross</v>
          </cell>
          <cell r="Y20525" t="str">
            <v>PORTUGAL</v>
          </cell>
        </row>
        <row r="20526">
          <cell r="L20526" t="str">
            <v>Non-proportional</v>
          </cell>
          <cell r="S20526">
            <v>102739.93</v>
          </cell>
          <cell r="X20526" t="str">
            <v>Commissions - gross</v>
          </cell>
          <cell r="Y20526" t="str">
            <v>UNITED KINGDOM</v>
          </cell>
        </row>
        <row r="20527">
          <cell r="L20527" t="str">
            <v>Non-proportional</v>
          </cell>
          <cell r="S20527">
            <v>9412.19</v>
          </cell>
          <cell r="X20527" t="str">
            <v>Commissions - gross</v>
          </cell>
          <cell r="Y20527" t="str">
            <v>PORTUGAL</v>
          </cell>
        </row>
        <row r="20528">
          <cell r="L20528" t="str">
            <v>Non-proportional</v>
          </cell>
          <cell r="S20528">
            <v>71608.66</v>
          </cell>
          <cell r="X20528" t="str">
            <v>Commissions - gross</v>
          </cell>
          <cell r="Y20528" t="str">
            <v>UNITED KINGDOM</v>
          </cell>
        </row>
        <row r="20529">
          <cell r="L20529" t="str">
            <v>Non-proportional</v>
          </cell>
          <cell r="S20529">
            <v>6753.22</v>
          </cell>
          <cell r="X20529" t="str">
            <v>Commissions - gross</v>
          </cell>
          <cell r="Y20529" t="str">
            <v>EUROPE</v>
          </cell>
        </row>
        <row r="20530">
          <cell r="L20530" t="str">
            <v>Non-proportional</v>
          </cell>
          <cell r="S20530">
            <v>79601.429999999993</v>
          </cell>
          <cell r="X20530" t="str">
            <v>Commissions - gross</v>
          </cell>
          <cell r="Y20530" t="str">
            <v>BELGIUM</v>
          </cell>
        </row>
        <row r="20531">
          <cell r="L20531" t="str">
            <v>Non-proportional</v>
          </cell>
          <cell r="S20531">
            <v>47791.92</v>
          </cell>
          <cell r="X20531" t="str">
            <v>Commissions - gross</v>
          </cell>
          <cell r="Y20531" t="str">
            <v>BELGIUM</v>
          </cell>
        </row>
        <row r="20532">
          <cell r="L20532" t="str">
            <v>Non-proportional</v>
          </cell>
          <cell r="S20532">
            <v>103465.92</v>
          </cell>
          <cell r="X20532" t="str">
            <v>Commissions - gross</v>
          </cell>
          <cell r="Y20532" t="str">
            <v>UNITED KINGDOM</v>
          </cell>
        </row>
        <row r="20533">
          <cell r="L20533" t="str">
            <v>Non-proportional</v>
          </cell>
          <cell r="S20533">
            <v>9412.19</v>
          </cell>
          <cell r="X20533" t="str">
            <v>Commissions - gross</v>
          </cell>
          <cell r="Y20533" t="str">
            <v>PORTUGAL</v>
          </cell>
        </row>
        <row r="20534">
          <cell r="L20534" t="str">
            <v>Non-proportional</v>
          </cell>
          <cell r="S20534">
            <v>27385.8</v>
          </cell>
          <cell r="X20534" t="str">
            <v>Commissions - gross</v>
          </cell>
          <cell r="Y20534" t="str">
            <v>UNITED KINGDOM</v>
          </cell>
        </row>
        <row r="20535">
          <cell r="L20535" t="str">
            <v>Non-proportional</v>
          </cell>
          <cell r="S20535">
            <v>10026.77</v>
          </cell>
          <cell r="X20535" t="str">
            <v>Commissions - gross</v>
          </cell>
          <cell r="Y20535" t="str">
            <v>PORTUGAL</v>
          </cell>
        </row>
        <row r="20536">
          <cell r="L20536" t="str">
            <v>Non-proportional</v>
          </cell>
          <cell r="S20536">
            <v>79601.429999999993</v>
          </cell>
          <cell r="X20536" t="str">
            <v>Commissions - gross</v>
          </cell>
          <cell r="Y20536" t="str">
            <v>BELGIUM</v>
          </cell>
        </row>
        <row r="20537">
          <cell r="L20537" t="str">
            <v>Non-proportional</v>
          </cell>
          <cell r="S20537">
            <v>88422.03</v>
          </cell>
          <cell r="X20537" t="str">
            <v>Commissions - gross</v>
          </cell>
          <cell r="Y20537" t="str">
            <v>BELGIUM</v>
          </cell>
        </row>
        <row r="20538">
          <cell r="L20538" t="str">
            <v>Non-proportional</v>
          </cell>
          <cell r="S20538">
            <v>13963.64</v>
          </cell>
          <cell r="X20538" t="str">
            <v>Commissions - gross</v>
          </cell>
          <cell r="Y20538" t="str">
            <v>PORTUGAL</v>
          </cell>
        </row>
        <row r="20539">
          <cell r="L20539" t="str">
            <v>Non-proportional</v>
          </cell>
          <cell r="S20539">
            <v>72114.679999999993</v>
          </cell>
          <cell r="X20539" t="str">
            <v>Commissions - gross</v>
          </cell>
          <cell r="Y20539" t="str">
            <v>UNITED KINGDOM</v>
          </cell>
        </row>
        <row r="20540">
          <cell r="L20540" t="str">
            <v>Non-proportional</v>
          </cell>
          <cell r="S20540">
            <v>8499.85</v>
          </cell>
          <cell r="X20540" t="str">
            <v>Commissions - gross</v>
          </cell>
          <cell r="Y20540" t="str">
            <v>EUROPE</v>
          </cell>
        </row>
        <row r="20541">
          <cell r="L20541" t="str">
            <v>Non-proportional</v>
          </cell>
          <cell r="S20541">
            <v>6753.22</v>
          </cell>
          <cell r="X20541" t="str">
            <v>Commissions - gross</v>
          </cell>
          <cell r="Y20541" t="str">
            <v>EUROPE</v>
          </cell>
        </row>
        <row r="20542">
          <cell r="L20542" t="str">
            <v>Non-proportional</v>
          </cell>
          <cell r="S20542">
            <v>13196.57</v>
          </cell>
          <cell r="X20542" t="str">
            <v>Commissions - gross</v>
          </cell>
          <cell r="Y20542" t="str">
            <v>PORTUGAL</v>
          </cell>
        </row>
        <row r="20543">
          <cell r="L20543" t="str">
            <v>Non-proportional</v>
          </cell>
          <cell r="S20543">
            <v>27126.46</v>
          </cell>
          <cell r="X20543" t="str">
            <v>Commissions - gross</v>
          </cell>
          <cell r="Y20543" t="str">
            <v>EUROPE</v>
          </cell>
        </row>
        <row r="20544">
          <cell r="L20544" t="str">
            <v>Non-proportional</v>
          </cell>
          <cell r="S20544">
            <v>12940.33</v>
          </cell>
          <cell r="X20544" t="str">
            <v>Commissions - gross</v>
          </cell>
          <cell r="Y20544" t="str">
            <v>PORTUGAL</v>
          </cell>
        </row>
        <row r="20545">
          <cell r="L20545" t="str">
            <v>Non-proportional</v>
          </cell>
          <cell r="S20545">
            <v>115968.67</v>
          </cell>
          <cell r="X20545" t="str">
            <v>Commissions - gross</v>
          </cell>
          <cell r="Y20545" t="str">
            <v>BELGIUM</v>
          </cell>
        </row>
        <row r="20546">
          <cell r="L20546" t="str">
            <v>Non-proportional</v>
          </cell>
          <cell r="S20546">
            <v>6990.5</v>
          </cell>
          <cell r="X20546" t="str">
            <v>Commissions - gross</v>
          </cell>
          <cell r="Y20546" t="str">
            <v>EUROPE</v>
          </cell>
        </row>
        <row r="20547">
          <cell r="L20547" t="str">
            <v>Non-proportional</v>
          </cell>
          <cell r="S20547">
            <v>27258.45</v>
          </cell>
          <cell r="X20547" t="str">
            <v>Commissions - gross</v>
          </cell>
          <cell r="Y20547" t="str">
            <v>PORTUGAL</v>
          </cell>
        </row>
        <row r="20548">
          <cell r="L20548" t="str">
            <v>Non-proportional</v>
          </cell>
          <cell r="S20548">
            <v>27126.46</v>
          </cell>
          <cell r="X20548" t="str">
            <v>Commissions - gross</v>
          </cell>
          <cell r="Y20548" t="str">
            <v>EUROPE</v>
          </cell>
        </row>
        <row r="20549">
          <cell r="L20549" t="str">
            <v>Non-proportional</v>
          </cell>
          <cell r="S20549">
            <v>115968.67</v>
          </cell>
          <cell r="X20549" t="str">
            <v>Commissions - gross</v>
          </cell>
          <cell r="Y20549" t="str">
            <v>BELGIUM</v>
          </cell>
        </row>
        <row r="20550">
          <cell r="L20550" t="str">
            <v>Non-proportional</v>
          </cell>
          <cell r="S20550">
            <v>27258.45</v>
          </cell>
          <cell r="X20550" t="str">
            <v>Commissions - gross</v>
          </cell>
          <cell r="Y20550" t="str">
            <v>PORTUGAL</v>
          </cell>
        </row>
        <row r="20551">
          <cell r="L20551" t="str">
            <v>Proportional</v>
          </cell>
          <cell r="S20551">
            <v>-13977600</v>
          </cell>
          <cell r="X20551" t="str">
            <v>Commissions - gross</v>
          </cell>
          <cell r="Y20551" t="str">
            <v>ITALY</v>
          </cell>
        </row>
        <row r="20552">
          <cell r="L20552" t="str">
            <v>Non-proportional</v>
          </cell>
          <cell r="S20552">
            <v>6753.22</v>
          </cell>
          <cell r="X20552" t="str">
            <v>Commissions - gross</v>
          </cell>
          <cell r="Y20552" t="str">
            <v>EUROPE</v>
          </cell>
        </row>
        <row r="20553">
          <cell r="L20553" t="str">
            <v>Non-proportional</v>
          </cell>
          <cell r="S20553">
            <v>8499.85</v>
          </cell>
          <cell r="X20553" t="str">
            <v>Commissions - gross</v>
          </cell>
          <cell r="Y20553" t="str">
            <v>EUROPE</v>
          </cell>
        </row>
        <row r="20554">
          <cell r="L20554" t="str">
            <v>Non-proportional</v>
          </cell>
          <cell r="S20554">
            <v>6990.5</v>
          </cell>
          <cell r="X20554" t="str">
            <v>Commissions - gross</v>
          </cell>
          <cell r="Y20554" t="str">
            <v>EUROPE</v>
          </cell>
        </row>
        <row r="20555">
          <cell r="L20555" t="str">
            <v>Proportional</v>
          </cell>
          <cell r="S20555">
            <v>11980800</v>
          </cell>
          <cell r="X20555" t="str">
            <v>Commissions - gross</v>
          </cell>
          <cell r="Y20555" t="str">
            <v>ITALY</v>
          </cell>
        </row>
        <row r="20556">
          <cell r="L20556" t="str">
            <v>Non-proportional</v>
          </cell>
          <cell r="S20556">
            <v>13963.64</v>
          </cell>
          <cell r="X20556" t="str">
            <v>Commissions - gross</v>
          </cell>
          <cell r="Y20556" t="str">
            <v>PORTUGAL</v>
          </cell>
        </row>
        <row r="20557">
          <cell r="L20557" t="str">
            <v>Non-proportional</v>
          </cell>
          <cell r="S20557">
            <v>79601.429999999993</v>
          </cell>
          <cell r="X20557" t="str">
            <v>Commissions - gross</v>
          </cell>
          <cell r="Y20557" t="str">
            <v>BELGIUM</v>
          </cell>
        </row>
        <row r="20558">
          <cell r="L20558" t="str">
            <v>Non-proportional</v>
          </cell>
          <cell r="S20558">
            <v>12940.33</v>
          </cell>
          <cell r="X20558" t="str">
            <v>Commissions - gross</v>
          </cell>
          <cell r="Y20558" t="str">
            <v>PORTUGAL</v>
          </cell>
        </row>
        <row r="20559">
          <cell r="L20559" t="str">
            <v>Non-proportional</v>
          </cell>
          <cell r="S20559">
            <v>101997.97</v>
          </cell>
          <cell r="X20559" t="str">
            <v>Commissions - gross</v>
          </cell>
          <cell r="Y20559" t="str">
            <v>UNITED KINGDOM</v>
          </cell>
        </row>
        <row r="20560">
          <cell r="L20560" t="str">
            <v>Proportional</v>
          </cell>
          <cell r="S20560">
            <v>1996800</v>
          </cell>
          <cell r="X20560" t="str">
            <v>Commissions - gross</v>
          </cell>
          <cell r="Y20560" t="str">
            <v>ITALY</v>
          </cell>
        </row>
        <row r="20561">
          <cell r="L20561" t="str">
            <v>Non-proportional</v>
          </cell>
          <cell r="S20561">
            <v>88422.03</v>
          </cell>
          <cell r="X20561" t="str">
            <v>Commissions - gross</v>
          </cell>
          <cell r="Y20561" t="str">
            <v>BELGIUM</v>
          </cell>
        </row>
        <row r="20562">
          <cell r="L20562" t="str">
            <v>Non-proportional</v>
          </cell>
          <cell r="S20562">
            <v>26997.25</v>
          </cell>
          <cell r="X20562" t="str">
            <v>Commissions - gross</v>
          </cell>
          <cell r="Y20562" t="str">
            <v>UNITED KINGDOM</v>
          </cell>
        </row>
        <row r="20563">
          <cell r="L20563" t="str">
            <v>Non-proportional</v>
          </cell>
          <cell r="S20563">
            <v>10026.77</v>
          </cell>
          <cell r="X20563" t="str">
            <v>Commissions - gross</v>
          </cell>
          <cell r="Y20563" t="str">
            <v>PORTUGAL</v>
          </cell>
        </row>
        <row r="20564">
          <cell r="L20564" t="str">
            <v>Non-proportional</v>
          </cell>
          <cell r="S20564">
            <v>47791.92</v>
          </cell>
          <cell r="X20564" t="str">
            <v>Commissions - gross</v>
          </cell>
          <cell r="Y20564" t="str">
            <v>BELGIUM</v>
          </cell>
        </row>
        <row r="20565">
          <cell r="L20565" t="str">
            <v>Non-proportional</v>
          </cell>
          <cell r="S20565">
            <v>9412.19</v>
          </cell>
          <cell r="X20565" t="str">
            <v>Commissions - gross</v>
          </cell>
          <cell r="Y20565" t="str">
            <v>PORTUGAL</v>
          </cell>
        </row>
        <row r="20566">
          <cell r="L20566" t="str">
            <v>Non-proportional</v>
          </cell>
          <cell r="S20566">
            <v>13196.57</v>
          </cell>
          <cell r="X20566" t="str">
            <v>Commissions - gross</v>
          </cell>
          <cell r="Y20566" t="str">
            <v>PORTUGAL</v>
          </cell>
        </row>
        <row r="20567">
          <cell r="L20567" t="str">
            <v>Non-proportional</v>
          </cell>
          <cell r="S20567">
            <v>71091.53</v>
          </cell>
          <cell r="X20567" t="str">
            <v>Commissions - gross</v>
          </cell>
          <cell r="Y20567" t="str">
            <v>UNITED KINGDOM</v>
          </cell>
        </row>
        <row r="20568">
          <cell r="L20568" t="str">
            <v>Proportional</v>
          </cell>
          <cell r="S20568">
            <v>-11980800</v>
          </cell>
          <cell r="X20568" t="str">
            <v>Commissions - gross</v>
          </cell>
          <cell r="Y20568" t="str">
            <v>ITALY</v>
          </cell>
        </row>
        <row r="20569">
          <cell r="L20569" t="str">
            <v>Proportional</v>
          </cell>
          <cell r="S20569">
            <v>-1996800</v>
          </cell>
          <cell r="X20569" t="str">
            <v>Commissions - gross</v>
          </cell>
          <cell r="Y20569" t="str">
            <v>ITALY</v>
          </cell>
        </row>
        <row r="20570">
          <cell r="L20570" t="str">
            <v>Proportional</v>
          </cell>
          <cell r="S20570">
            <v>998400</v>
          </cell>
          <cell r="X20570" t="str">
            <v>Commissions - gross</v>
          </cell>
          <cell r="Y20570" t="str">
            <v>ITALY</v>
          </cell>
        </row>
        <row r="20571">
          <cell r="L20571" t="str">
            <v>Non-proportional</v>
          </cell>
          <cell r="S20571">
            <v>13963.64</v>
          </cell>
          <cell r="X20571" t="str">
            <v>Commissions - gross</v>
          </cell>
          <cell r="Y20571" t="str">
            <v>PORTUGAL</v>
          </cell>
        </row>
        <row r="20572">
          <cell r="L20572" t="str">
            <v>Non-proportional</v>
          </cell>
          <cell r="S20572">
            <v>10026.77</v>
          </cell>
          <cell r="X20572" t="str">
            <v>Commissions - gross</v>
          </cell>
          <cell r="Y20572" t="str">
            <v>PORTUGAL</v>
          </cell>
        </row>
        <row r="20573">
          <cell r="L20573" t="str">
            <v>Non-proportional</v>
          </cell>
          <cell r="S20573">
            <v>27258.45</v>
          </cell>
          <cell r="X20573" t="str">
            <v>Commissions - gross</v>
          </cell>
          <cell r="Y20573" t="str">
            <v>PORTUGAL</v>
          </cell>
        </row>
        <row r="20574">
          <cell r="L20574" t="str">
            <v>Non-proportional</v>
          </cell>
          <cell r="S20574">
            <v>27126.46</v>
          </cell>
          <cell r="X20574" t="str">
            <v>Commissions - gross</v>
          </cell>
          <cell r="Y20574" t="str">
            <v>EUROPE</v>
          </cell>
        </row>
        <row r="20575">
          <cell r="L20575" t="str">
            <v>Non-proportional</v>
          </cell>
          <cell r="S20575">
            <v>9412.19</v>
          </cell>
          <cell r="X20575" t="str">
            <v>Commissions - gross</v>
          </cell>
          <cell r="Y20575" t="str">
            <v>PORTUGAL</v>
          </cell>
        </row>
        <row r="20576">
          <cell r="L20576" t="str">
            <v>Non-proportional</v>
          </cell>
          <cell r="S20576">
            <v>115968.67</v>
          </cell>
          <cell r="X20576" t="str">
            <v>Commissions - gross</v>
          </cell>
          <cell r="Y20576" t="str">
            <v>BELGIUM</v>
          </cell>
        </row>
        <row r="20577">
          <cell r="L20577" t="str">
            <v>Non-proportional</v>
          </cell>
          <cell r="S20577">
            <v>79601.429999999993</v>
          </cell>
          <cell r="X20577" t="str">
            <v>Commissions - gross</v>
          </cell>
          <cell r="Y20577" t="str">
            <v>BELGIUM</v>
          </cell>
        </row>
        <row r="20578">
          <cell r="L20578" t="str">
            <v>Non-proportional</v>
          </cell>
          <cell r="S20578">
            <v>13196.57</v>
          </cell>
          <cell r="X20578" t="str">
            <v>Commissions - gross</v>
          </cell>
          <cell r="Y20578" t="str">
            <v>PORTUGAL</v>
          </cell>
        </row>
        <row r="20579">
          <cell r="L20579" t="str">
            <v>Proportional</v>
          </cell>
          <cell r="S20579">
            <v>-345.65</v>
          </cell>
          <cell r="X20579" t="str">
            <v>Commissions - gross</v>
          </cell>
          <cell r="Y20579" t="str">
            <v>FRANCE</v>
          </cell>
        </row>
        <row r="20580">
          <cell r="L20580" t="str">
            <v>Non-proportional</v>
          </cell>
          <cell r="S20580">
            <v>8499.85</v>
          </cell>
          <cell r="X20580" t="str">
            <v>Commissions - gross</v>
          </cell>
          <cell r="Y20580" t="str">
            <v>EUROPE</v>
          </cell>
        </row>
        <row r="20581">
          <cell r="L20581" t="str">
            <v>Non-proportional</v>
          </cell>
          <cell r="S20581">
            <v>47791.92</v>
          </cell>
          <cell r="X20581" t="str">
            <v>Commissions - gross</v>
          </cell>
          <cell r="Y20581" t="str">
            <v>BELGIUM</v>
          </cell>
        </row>
        <row r="20582">
          <cell r="L20582" t="str">
            <v>Proportional</v>
          </cell>
          <cell r="S20582">
            <v>-2873.54</v>
          </cell>
          <cell r="X20582" t="str">
            <v>Commissions - gross</v>
          </cell>
          <cell r="Y20582" t="str">
            <v>FRANCE</v>
          </cell>
        </row>
        <row r="20583">
          <cell r="L20583" t="str">
            <v>Non-proportional</v>
          </cell>
          <cell r="S20583">
            <v>70318.880000000005</v>
          </cell>
          <cell r="X20583" t="str">
            <v>Commissions - gross</v>
          </cell>
          <cell r="Y20583" t="str">
            <v>UNITED KINGDOM</v>
          </cell>
        </row>
        <row r="20584">
          <cell r="L20584" t="str">
            <v>Non-proportional</v>
          </cell>
          <cell r="S20584">
            <v>12940.33</v>
          </cell>
          <cell r="X20584" t="str">
            <v>Commissions - gross</v>
          </cell>
          <cell r="Y20584" t="str">
            <v>PORTUGAL</v>
          </cell>
        </row>
        <row r="20585">
          <cell r="L20585" t="str">
            <v>Non-proportional</v>
          </cell>
          <cell r="S20585">
            <v>100889.42</v>
          </cell>
          <cell r="X20585" t="str">
            <v>Commissions - gross</v>
          </cell>
          <cell r="Y20585" t="str">
            <v>UNITED KINGDOM</v>
          </cell>
        </row>
        <row r="20586">
          <cell r="L20586" t="str">
            <v>Non-proportional</v>
          </cell>
          <cell r="S20586">
            <v>26703.84</v>
          </cell>
          <cell r="X20586" t="str">
            <v>Commissions - gross</v>
          </cell>
          <cell r="Y20586" t="str">
            <v>UNITED KINGDOM</v>
          </cell>
        </row>
        <row r="20587">
          <cell r="L20587" t="str">
            <v>Non-proportional</v>
          </cell>
          <cell r="S20587">
            <v>6990.5</v>
          </cell>
          <cell r="X20587" t="str">
            <v>Commissions - gross</v>
          </cell>
          <cell r="Y20587" t="str">
            <v>EUROPE</v>
          </cell>
        </row>
        <row r="20588">
          <cell r="L20588" t="str">
            <v>Non-proportional</v>
          </cell>
          <cell r="S20588">
            <v>6753.22</v>
          </cell>
          <cell r="X20588" t="str">
            <v>Commissions - gross</v>
          </cell>
          <cell r="Y20588" t="str">
            <v>EUROPE</v>
          </cell>
        </row>
        <row r="20589">
          <cell r="L20589" t="str">
            <v>Non-proportional</v>
          </cell>
          <cell r="S20589">
            <v>88422.03</v>
          </cell>
          <cell r="X20589" t="str">
            <v>Commissions - gross</v>
          </cell>
          <cell r="Y20589" t="str">
            <v>BELGIUM</v>
          </cell>
        </row>
        <row r="20590">
          <cell r="L20590" t="str">
            <v>Non-proportional</v>
          </cell>
          <cell r="S20590">
            <v>88422.03</v>
          </cell>
          <cell r="X20590" t="str">
            <v>Commissions - gross</v>
          </cell>
          <cell r="Y20590" t="str">
            <v>BELGIUM</v>
          </cell>
        </row>
        <row r="20591">
          <cell r="L20591" t="str">
            <v>Non-proportional</v>
          </cell>
          <cell r="S20591">
            <v>79601.429999999993</v>
          </cell>
          <cell r="X20591" t="str">
            <v>Commissions - gross</v>
          </cell>
          <cell r="Y20591" t="str">
            <v>BELGIUM</v>
          </cell>
        </row>
        <row r="20592">
          <cell r="L20592" t="str">
            <v>Non-proportional</v>
          </cell>
          <cell r="S20592">
            <v>12940.33</v>
          </cell>
          <cell r="X20592" t="str">
            <v>Commissions - gross</v>
          </cell>
          <cell r="Y20592" t="str">
            <v>PORTUGAL</v>
          </cell>
        </row>
        <row r="20593">
          <cell r="L20593" t="str">
            <v>Proportional</v>
          </cell>
          <cell r="S20593">
            <v>-263304.65000000002</v>
          </cell>
          <cell r="X20593" t="str">
            <v>Commissions - gross</v>
          </cell>
          <cell r="Y20593" t="str">
            <v>SWITZERLAND</v>
          </cell>
        </row>
        <row r="20594">
          <cell r="L20594" t="str">
            <v>Proportional</v>
          </cell>
          <cell r="S20594">
            <v>21.7</v>
          </cell>
          <cell r="X20594" t="str">
            <v>Commissions - gross</v>
          </cell>
          <cell r="Y20594" t="str">
            <v>FRANCE</v>
          </cell>
        </row>
        <row r="20595">
          <cell r="L20595" t="str">
            <v>Proportional</v>
          </cell>
          <cell r="S20595">
            <v>8016974.4800000004</v>
          </cell>
          <cell r="X20595" t="str">
            <v>Commissions - gross</v>
          </cell>
          <cell r="Y20595" t="str">
            <v>ITALY</v>
          </cell>
        </row>
        <row r="20596">
          <cell r="L20596" t="str">
            <v>Non-proportional</v>
          </cell>
          <cell r="S20596">
            <v>100849.89</v>
          </cell>
          <cell r="X20596" t="str">
            <v>Commissions - gross</v>
          </cell>
          <cell r="Y20596" t="str">
            <v>UNITED KINGDOM</v>
          </cell>
        </row>
        <row r="20597">
          <cell r="L20597" t="str">
            <v>Non-proportional</v>
          </cell>
          <cell r="S20597">
            <v>47791.92</v>
          </cell>
          <cell r="X20597" t="str">
            <v>Commissions - gross</v>
          </cell>
          <cell r="Y20597" t="str">
            <v>BELGIUM</v>
          </cell>
        </row>
        <row r="20598">
          <cell r="L20598" t="str">
            <v>Non-proportional</v>
          </cell>
          <cell r="S20598">
            <v>6990.5</v>
          </cell>
          <cell r="X20598" t="str">
            <v>Commissions - gross</v>
          </cell>
          <cell r="Y20598" t="str">
            <v>EUROPE</v>
          </cell>
        </row>
        <row r="20599">
          <cell r="L20599" t="str">
            <v>Non-proportional</v>
          </cell>
          <cell r="S20599">
            <v>27258.45</v>
          </cell>
          <cell r="X20599" t="str">
            <v>Commissions - gross</v>
          </cell>
          <cell r="Y20599" t="str">
            <v>PORTUGAL</v>
          </cell>
        </row>
        <row r="20600">
          <cell r="L20600" t="str">
            <v>Non-proportional</v>
          </cell>
          <cell r="S20600">
            <v>6753.22</v>
          </cell>
          <cell r="X20600" t="str">
            <v>Commissions - gross</v>
          </cell>
          <cell r="Y20600" t="str">
            <v>EUROPE</v>
          </cell>
        </row>
        <row r="20601">
          <cell r="L20601" t="str">
            <v>Non-proportional</v>
          </cell>
          <cell r="S20601">
            <v>26693.38</v>
          </cell>
          <cell r="X20601" t="str">
            <v>Commissions - gross</v>
          </cell>
          <cell r="Y20601" t="str">
            <v>UNITED KINGDOM</v>
          </cell>
        </row>
        <row r="20602">
          <cell r="L20602" t="str">
            <v>Non-proportional</v>
          </cell>
          <cell r="S20602">
            <v>27126.46</v>
          </cell>
          <cell r="X20602" t="str">
            <v>Commissions - gross</v>
          </cell>
          <cell r="Y20602" t="str">
            <v>EUROPE</v>
          </cell>
        </row>
        <row r="20603">
          <cell r="L20603" t="str">
            <v>Non-proportional</v>
          </cell>
          <cell r="S20603">
            <v>13963.64</v>
          </cell>
          <cell r="X20603" t="str">
            <v>Commissions - gross</v>
          </cell>
          <cell r="Y20603" t="str">
            <v>PORTUGAL</v>
          </cell>
        </row>
        <row r="20604">
          <cell r="L20604" t="str">
            <v>Non-proportional</v>
          </cell>
          <cell r="S20604">
            <v>115968.67</v>
          </cell>
          <cell r="X20604" t="str">
            <v>Commissions - gross</v>
          </cell>
          <cell r="Y20604" t="str">
            <v>BELGIUM</v>
          </cell>
        </row>
        <row r="20605">
          <cell r="L20605" t="str">
            <v>Non-proportional</v>
          </cell>
          <cell r="S20605">
            <v>70291.33</v>
          </cell>
          <cell r="X20605" t="str">
            <v>Commissions - gross</v>
          </cell>
          <cell r="Y20605" t="str">
            <v>UNITED KINGDOM</v>
          </cell>
        </row>
        <row r="20606">
          <cell r="L20606" t="str">
            <v>Proportional</v>
          </cell>
          <cell r="S20606">
            <v>-883587.46</v>
          </cell>
          <cell r="X20606" t="str">
            <v>Commissions - gross</v>
          </cell>
          <cell r="Y20606" t="str">
            <v>INDIA</v>
          </cell>
        </row>
        <row r="20607">
          <cell r="L20607" t="str">
            <v>Non-proportional</v>
          </cell>
          <cell r="S20607">
            <v>13196.57</v>
          </cell>
          <cell r="X20607" t="str">
            <v>Commissions - gross</v>
          </cell>
          <cell r="Y20607" t="str">
            <v>PORTUGAL</v>
          </cell>
        </row>
        <row r="20608">
          <cell r="L20608" t="str">
            <v>Non-proportional</v>
          </cell>
          <cell r="S20608">
            <v>8499.85</v>
          </cell>
          <cell r="X20608" t="str">
            <v>Commissions - gross</v>
          </cell>
          <cell r="Y20608" t="str">
            <v>EUROPE</v>
          </cell>
        </row>
        <row r="20609">
          <cell r="L20609" t="str">
            <v>Non-proportional</v>
          </cell>
          <cell r="S20609">
            <v>9412.19</v>
          </cell>
          <cell r="X20609" t="str">
            <v>Commissions - gross</v>
          </cell>
          <cell r="Y20609" t="str">
            <v>PORTUGAL</v>
          </cell>
        </row>
        <row r="20610">
          <cell r="L20610" t="str">
            <v>Proportional</v>
          </cell>
          <cell r="S20610">
            <v>176.69</v>
          </cell>
          <cell r="X20610" t="str">
            <v>Commissions - gross</v>
          </cell>
          <cell r="Y20610" t="str">
            <v>FRANCE</v>
          </cell>
        </row>
        <row r="20611">
          <cell r="L20611" t="str">
            <v>Non-proportional</v>
          </cell>
          <cell r="S20611">
            <v>10026.77</v>
          </cell>
          <cell r="X20611" t="str">
            <v>Commissions - gross</v>
          </cell>
          <cell r="Y20611" t="str">
            <v>PORTUGAL</v>
          </cell>
        </row>
        <row r="20612">
          <cell r="L20612" t="str">
            <v>Non-proportional</v>
          </cell>
          <cell r="S20612">
            <v>6753.22</v>
          </cell>
          <cell r="X20612" t="str">
            <v>Commissions - gross</v>
          </cell>
          <cell r="Y20612" t="str">
            <v>EUROPE</v>
          </cell>
        </row>
        <row r="20613">
          <cell r="L20613" t="str">
            <v>Non-proportional</v>
          </cell>
          <cell r="S20613">
            <v>27126.46</v>
          </cell>
          <cell r="X20613" t="str">
            <v>Commissions - gross</v>
          </cell>
          <cell r="Y20613" t="str">
            <v>EUROPE</v>
          </cell>
        </row>
        <row r="20614">
          <cell r="L20614" t="str">
            <v>Non-proportional</v>
          </cell>
          <cell r="S20614">
            <v>13963.64</v>
          </cell>
          <cell r="X20614" t="str">
            <v>Commissions - gross</v>
          </cell>
          <cell r="Y20614" t="str">
            <v>PORTUGAL</v>
          </cell>
        </row>
        <row r="20615">
          <cell r="L20615" t="str">
            <v>Non-proportional</v>
          </cell>
          <cell r="S20615">
            <v>9412.19</v>
          </cell>
          <cell r="X20615" t="str">
            <v>Commissions - gross</v>
          </cell>
          <cell r="Y20615" t="str">
            <v>PORTUGAL</v>
          </cell>
        </row>
        <row r="20616">
          <cell r="L20616" t="str">
            <v>Proportional</v>
          </cell>
          <cell r="S20616">
            <v>19879.14</v>
          </cell>
          <cell r="X20616" t="str">
            <v>Commissions - gross</v>
          </cell>
          <cell r="Y20616" t="str">
            <v>SWITZERLAND</v>
          </cell>
        </row>
        <row r="20617">
          <cell r="L20617" t="str">
            <v>Non-proportional</v>
          </cell>
          <cell r="S20617">
            <v>26443.95</v>
          </cell>
          <cell r="X20617" t="str">
            <v>Commissions - gross</v>
          </cell>
          <cell r="Y20617" t="str">
            <v>UNITED KINGDOM</v>
          </cell>
        </row>
        <row r="20618">
          <cell r="L20618" t="str">
            <v>Non-proportional</v>
          </cell>
          <cell r="S20618">
            <v>69634.53</v>
          </cell>
          <cell r="X20618" t="str">
            <v>Commissions - gross</v>
          </cell>
          <cell r="Y20618" t="str">
            <v>UNITED KINGDOM</v>
          </cell>
        </row>
        <row r="20619">
          <cell r="L20619" t="str">
            <v>Non-proportional</v>
          </cell>
          <cell r="S20619">
            <v>79601.429999999993</v>
          </cell>
          <cell r="X20619" t="str">
            <v>Commissions - gross</v>
          </cell>
          <cell r="Y20619" t="str">
            <v>BELGIUM</v>
          </cell>
        </row>
        <row r="20620">
          <cell r="L20620" t="str">
            <v>Proportional</v>
          </cell>
          <cell r="S20620">
            <v>89358.27</v>
          </cell>
          <cell r="X20620" t="str">
            <v>Commissions - gross</v>
          </cell>
          <cell r="Y20620" t="str">
            <v>INDIA</v>
          </cell>
        </row>
        <row r="20621">
          <cell r="L20621" t="str">
            <v>Proportional</v>
          </cell>
          <cell r="S20621">
            <v>-105599.11</v>
          </cell>
          <cell r="X20621" t="str">
            <v>Commissions - gross</v>
          </cell>
          <cell r="Y20621" t="str">
            <v>SWITZERLAND</v>
          </cell>
        </row>
        <row r="20622">
          <cell r="L20622" t="str">
            <v>Non-proportional</v>
          </cell>
          <cell r="S20622">
            <v>47791.92</v>
          </cell>
          <cell r="X20622" t="str">
            <v>Commissions - gross</v>
          </cell>
          <cell r="Y20622" t="str">
            <v>BELGIUM</v>
          </cell>
        </row>
        <row r="20623">
          <cell r="L20623" t="str">
            <v>Non-proportional</v>
          </cell>
          <cell r="S20623">
            <v>13196.57</v>
          </cell>
          <cell r="X20623" t="str">
            <v>Commissions - gross</v>
          </cell>
          <cell r="Y20623" t="str">
            <v>PORTUGAL</v>
          </cell>
        </row>
        <row r="20624">
          <cell r="L20624" t="str">
            <v>Proportional</v>
          </cell>
          <cell r="S20624">
            <v>-605439.42000000004</v>
          </cell>
          <cell r="X20624" t="str">
            <v>Commissions - gross</v>
          </cell>
          <cell r="Y20624" t="str">
            <v>FRANCE</v>
          </cell>
        </row>
        <row r="20625">
          <cell r="L20625" t="str">
            <v>Non-proportional</v>
          </cell>
          <cell r="S20625">
            <v>12940.33</v>
          </cell>
          <cell r="X20625" t="str">
            <v>Commissions - gross</v>
          </cell>
          <cell r="Y20625" t="str">
            <v>PORTUGAL</v>
          </cell>
        </row>
        <row r="20626">
          <cell r="L20626" t="str">
            <v>Non-proportional</v>
          </cell>
          <cell r="S20626">
            <v>6990.5</v>
          </cell>
          <cell r="X20626" t="str">
            <v>Commissions - gross</v>
          </cell>
          <cell r="Y20626" t="str">
            <v>EUROPE</v>
          </cell>
        </row>
        <row r="20627">
          <cell r="L20627" t="str">
            <v>Proportional</v>
          </cell>
          <cell r="S20627">
            <v>-3988482.66</v>
          </cell>
          <cell r="X20627" t="str">
            <v>Commissions - gross</v>
          </cell>
          <cell r="Y20627" t="str">
            <v>ITALY</v>
          </cell>
        </row>
        <row r="20628">
          <cell r="L20628" t="str">
            <v>Non-proportional</v>
          </cell>
          <cell r="S20628">
            <v>27258.45</v>
          </cell>
          <cell r="X20628" t="str">
            <v>Commissions - gross</v>
          </cell>
          <cell r="Y20628" t="str">
            <v>PORTUGAL</v>
          </cell>
        </row>
        <row r="20629">
          <cell r="L20629" t="str">
            <v>Non-proportional</v>
          </cell>
          <cell r="S20629">
            <v>99907.56</v>
          </cell>
          <cell r="X20629" t="str">
            <v>Commissions - gross</v>
          </cell>
          <cell r="Y20629" t="str">
            <v>UNITED KINGDOM</v>
          </cell>
        </row>
        <row r="20630">
          <cell r="L20630" t="str">
            <v>Non-proportional</v>
          </cell>
          <cell r="S20630">
            <v>88422.03</v>
          </cell>
          <cell r="X20630" t="str">
            <v>Commissions - gross</v>
          </cell>
          <cell r="Y20630" t="str">
            <v>BELGIUM</v>
          </cell>
        </row>
        <row r="20631">
          <cell r="L20631" t="str">
            <v>Proportional</v>
          </cell>
          <cell r="S20631">
            <v>-82.77</v>
          </cell>
          <cell r="X20631" t="str">
            <v>Commissions - gross</v>
          </cell>
          <cell r="Y20631" t="str">
            <v>FRANCE</v>
          </cell>
        </row>
        <row r="20632">
          <cell r="L20632" t="str">
            <v>Non-proportional</v>
          </cell>
          <cell r="S20632">
            <v>10026.77</v>
          </cell>
          <cell r="X20632" t="str">
            <v>Commissions - gross</v>
          </cell>
          <cell r="Y20632" t="str">
            <v>PORTUGAL</v>
          </cell>
        </row>
        <row r="20633">
          <cell r="L20633" t="str">
            <v>Non-proportional</v>
          </cell>
          <cell r="S20633">
            <v>8499.85</v>
          </cell>
          <cell r="X20633" t="str">
            <v>Commissions - gross</v>
          </cell>
          <cell r="Y20633" t="str">
            <v>EUROPE</v>
          </cell>
        </row>
        <row r="20634">
          <cell r="L20634" t="str">
            <v>Proportional</v>
          </cell>
          <cell r="S20634">
            <v>-96</v>
          </cell>
          <cell r="X20634" t="str">
            <v>Commissions - gross</v>
          </cell>
          <cell r="Y20634" t="str">
            <v>FRANCE</v>
          </cell>
        </row>
        <row r="20635">
          <cell r="L20635" t="str">
            <v>Non-proportional</v>
          </cell>
          <cell r="S20635">
            <v>115968.67</v>
          </cell>
          <cell r="X20635" t="str">
            <v>Commissions - gross</v>
          </cell>
          <cell r="Y20635" t="str">
            <v>BELGIUM</v>
          </cell>
        </row>
        <row r="20636">
          <cell r="L20636" t="str">
            <v>Proportional</v>
          </cell>
          <cell r="S20636">
            <v>-3973873.92</v>
          </cell>
          <cell r="X20636" t="str">
            <v>Commissions - gross</v>
          </cell>
          <cell r="Y20636" t="str">
            <v>ITALY</v>
          </cell>
        </row>
        <row r="20637">
          <cell r="L20637" t="str">
            <v>Non-proportional</v>
          </cell>
          <cell r="S20637">
            <v>68986.84</v>
          </cell>
          <cell r="X20637" t="str">
            <v>Commissions - gross</v>
          </cell>
          <cell r="Y20637" t="str">
            <v>UNITED KINGDOM</v>
          </cell>
        </row>
        <row r="20638">
          <cell r="L20638" t="str">
            <v>Proportional</v>
          </cell>
          <cell r="S20638">
            <v>57153.33</v>
          </cell>
          <cell r="X20638" t="str">
            <v>Commissions - gross</v>
          </cell>
          <cell r="Y20638" t="str">
            <v>FRANCE</v>
          </cell>
        </row>
        <row r="20639">
          <cell r="L20639" t="str">
            <v>Non-proportional</v>
          </cell>
          <cell r="S20639">
            <v>115968.67</v>
          </cell>
          <cell r="X20639" t="str">
            <v>Commissions - gross</v>
          </cell>
          <cell r="Y20639" t="str">
            <v>BELGIUM</v>
          </cell>
        </row>
        <row r="20640">
          <cell r="L20640" t="str">
            <v>Non-proportional</v>
          </cell>
          <cell r="S20640">
            <v>27258.45</v>
          </cell>
          <cell r="X20640" t="str">
            <v>Commissions - gross</v>
          </cell>
          <cell r="Y20640" t="str">
            <v>PORTUGAL</v>
          </cell>
        </row>
        <row r="20641">
          <cell r="L20641" t="str">
            <v>Non-proportional</v>
          </cell>
          <cell r="S20641">
            <v>47791.92</v>
          </cell>
          <cell r="X20641" t="str">
            <v>Commissions - gross</v>
          </cell>
          <cell r="Y20641" t="str">
            <v>BELGIUM</v>
          </cell>
        </row>
        <row r="20642">
          <cell r="L20642" t="str">
            <v>Non-proportional</v>
          </cell>
          <cell r="S20642">
            <v>6753.22</v>
          </cell>
          <cell r="X20642" t="str">
            <v>Commissions - gross</v>
          </cell>
          <cell r="Y20642" t="str">
            <v>EUROPE</v>
          </cell>
        </row>
        <row r="20643">
          <cell r="L20643" t="str">
            <v>Non-proportional</v>
          </cell>
          <cell r="S20643">
            <v>13963.64</v>
          </cell>
          <cell r="X20643" t="str">
            <v>Commissions - gross</v>
          </cell>
          <cell r="Y20643" t="str">
            <v>PORTUGAL</v>
          </cell>
        </row>
        <row r="20644">
          <cell r="L20644" t="str">
            <v>Proportional</v>
          </cell>
          <cell r="S20644">
            <v>41382</v>
          </cell>
          <cell r="X20644" t="str">
            <v>Commissions - gross</v>
          </cell>
          <cell r="Y20644" t="str">
            <v>INDIA</v>
          </cell>
        </row>
        <row r="20645">
          <cell r="L20645" t="str">
            <v>Non-proportional</v>
          </cell>
          <cell r="S20645">
            <v>27126.46</v>
          </cell>
          <cell r="X20645" t="str">
            <v>Commissions - gross</v>
          </cell>
          <cell r="Y20645" t="str">
            <v>EUROPE</v>
          </cell>
        </row>
        <row r="20646">
          <cell r="L20646" t="str">
            <v>Non-proportional</v>
          </cell>
          <cell r="S20646">
            <v>9412.19</v>
          </cell>
          <cell r="X20646" t="str">
            <v>Commissions - gross</v>
          </cell>
          <cell r="Y20646" t="str">
            <v>PORTUGAL</v>
          </cell>
        </row>
        <row r="20647">
          <cell r="L20647" t="str">
            <v>Non-proportional</v>
          </cell>
          <cell r="S20647">
            <v>6990.5</v>
          </cell>
          <cell r="X20647" t="str">
            <v>Commissions - gross</v>
          </cell>
          <cell r="Y20647" t="str">
            <v>EUROPE</v>
          </cell>
        </row>
        <row r="20648">
          <cell r="L20648" t="str">
            <v>Proportional</v>
          </cell>
          <cell r="S20648">
            <v>9845.86</v>
          </cell>
          <cell r="X20648" t="str">
            <v>Commissions - gross</v>
          </cell>
          <cell r="Y20648" t="str">
            <v>SWITZERLAND</v>
          </cell>
        </row>
        <row r="20649">
          <cell r="L20649" t="str">
            <v>Non-proportional</v>
          </cell>
          <cell r="S20649">
            <v>79601.429999999993</v>
          </cell>
          <cell r="X20649" t="str">
            <v>Commissions - gross</v>
          </cell>
          <cell r="Y20649" t="str">
            <v>BELGIUM</v>
          </cell>
        </row>
        <row r="20650">
          <cell r="L20650" t="str">
            <v>Proportional</v>
          </cell>
          <cell r="S20650">
            <v>-347.12</v>
          </cell>
          <cell r="X20650" t="str">
            <v>Commissions - gross</v>
          </cell>
          <cell r="Y20650" t="str">
            <v>FRANCE</v>
          </cell>
        </row>
        <row r="20651">
          <cell r="L20651" t="str">
            <v>Non-proportional</v>
          </cell>
          <cell r="S20651">
            <v>13196.57</v>
          </cell>
          <cell r="X20651" t="str">
            <v>Commissions - gross</v>
          </cell>
          <cell r="Y20651" t="str">
            <v>PORTUGAL</v>
          </cell>
        </row>
        <row r="20652">
          <cell r="L20652" t="str">
            <v>Non-proportional</v>
          </cell>
          <cell r="S20652">
            <v>12940.33</v>
          </cell>
          <cell r="X20652" t="str">
            <v>Commissions - gross</v>
          </cell>
          <cell r="Y20652" t="str">
            <v>PORTUGAL</v>
          </cell>
        </row>
        <row r="20653">
          <cell r="L20653" t="str">
            <v>Non-proportional</v>
          </cell>
          <cell r="S20653">
            <v>10026.77</v>
          </cell>
          <cell r="X20653" t="str">
            <v>Commissions - gross</v>
          </cell>
          <cell r="Y20653" t="str">
            <v>PORTUGAL</v>
          </cell>
        </row>
        <row r="20654">
          <cell r="L20654" t="str">
            <v>Proportional</v>
          </cell>
          <cell r="S20654">
            <v>22597.599999999999</v>
          </cell>
          <cell r="X20654" t="str">
            <v>Commissions - gross</v>
          </cell>
          <cell r="Y20654" t="str">
            <v>SWITZERLAND</v>
          </cell>
        </row>
        <row r="20655">
          <cell r="L20655" t="str">
            <v>Non-proportional</v>
          </cell>
          <cell r="S20655">
            <v>98978.29</v>
          </cell>
          <cell r="X20655" t="str">
            <v>Commissions - gross</v>
          </cell>
          <cell r="Y20655" t="str">
            <v>UNITED KINGDOM</v>
          </cell>
        </row>
        <row r="20656">
          <cell r="L20656" t="str">
            <v>Non-proportional</v>
          </cell>
          <cell r="S20656">
            <v>8499.85</v>
          </cell>
          <cell r="X20656" t="str">
            <v>Commissions - gross</v>
          </cell>
          <cell r="Y20656" t="str">
            <v>EUROPE</v>
          </cell>
        </row>
        <row r="20657">
          <cell r="L20657" t="str">
            <v>Non-proportional</v>
          </cell>
          <cell r="S20657">
            <v>26197.99</v>
          </cell>
          <cell r="X20657" t="str">
            <v>Commissions - gross</v>
          </cell>
          <cell r="Y20657" t="str">
            <v>UNITED KINGDOM</v>
          </cell>
        </row>
        <row r="20658">
          <cell r="L20658" t="str">
            <v>Non-proportional</v>
          </cell>
          <cell r="S20658">
            <v>88422.03</v>
          </cell>
          <cell r="X20658" t="str">
            <v>Commissions - gross</v>
          </cell>
          <cell r="Y20658" t="str">
            <v>BELGIUM</v>
          </cell>
        </row>
        <row r="20659">
          <cell r="L20659" t="str">
            <v>Non-proportional</v>
          </cell>
          <cell r="S20659">
            <v>88422.03</v>
          </cell>
          <cell r="X20659" t="str">
            <v>Commissions - gross</v>
          </cell>
          <cell r="Y20659" t="str">
            <v>BELGIUM</v>
          </cell>
        </row>
        <row r="20660">
          <cell r="L20660" t="str">
            <v>Non-proportional</v>
          </cell>
          <cell r="S20660">
            <v>6990.5</v>
          </cell>
          <cell r="X20660" t="str">
            <v>Commissions - gross</v>
          </cell>
          <cell r="Y20660" t="str">
            <v>EUROPE</v>
          </cell>
        </row>
        <row r="20661">
          <cell r="L20661" t="str">
            <v>Proportional</v>
          </cell>
          <cell r="S20661">
            <v>10872.6</v>
          </cell>
          <cell r="X20661" t="str">
            <v>Commissions - gross</v>
          </cell>
          <cell r="Y20661" t="str">
            <v>SWITZERLAND</v>
          </cell>
        </row>
        <row r="20662">
          <cell r="L20662" t="str">
            <v>Non-proportional</v>
          </cell>
          <cell r="S20662">
            <v>115968.67</v>
          </cell>
          <cell r="X20662" t="str">
            <v>Commissions - gross</v>
          </cell>
          <cell r="Y20662" t="str">
            <v>BELGIUM</v>
          </cell>
        </row>
        <row r="20663">
          <cell r="L20663" t="str">
            <v>Non-proportional</v>
          </cell>
          <cell r="S20663">
            <v>12940.33</v>
          </cell>
          <cell r="X20663" t="str">
            <v>Commissions - gross</v>
          </cell>
          <cell r="Y20663" t="str">
            <v>PORTUGAL</v>
          </cell>
        </row>
        <row r="20664">
          <cell r="L20664" t="str">
            <v>Proportional</v>
          </cell>
          <cell r="S20664">
            <v>-8997.17</v>
          </cell>
          <cell r="X20664" t="str">
            <v>Commissions - gross</v>
          </cell>
          <cell r="Y20664" t="str">
            <v>FRANCE</v>
          </cell>
        </row>
        <row r="20665">
          <cell r="L20665" t="str">
            <v>Non-proportional</v>
          </cell>
          <cell r="S20665">
            <v>69491.320000000007</v>
          </cell>
          <cell r="X20665" t="str">
            <v>Commissions - gross</v>
          </cell>
          <cell r="Y20665" t="str">
            <v>UNITED KINGDOM</v>
          </cell>
        </row>
        <row r="20666">
          <cell r="L20666" t="str">
            <v>Non-proportional</v>
          </cell>
          <cell r="S20666">
            <v>79601.429999999993</v>
          </cell>
          <cell r="X20666" t="str">
            <v>Commissions - gross</v>
          </cell>
          <cell r="Y20666" t="str">
            <v>BELGIUM</v>
          </cell>
        </row>
        <row r="20667">
          <cell r="L20667" t="str">
            <v>Non-proportional</v>
          </cell>
          <cell r="S20667">
            <v>13963.64</v>
          </cell>
          <cell r="X20667" t="str">
            <v>Commissions - gross</v>
          </cell>
          <cell r="Y20667" t="str">
            <v>PORTUGAL</v>
          </cell>
        </row>
        <row r="20668">
          <cell r="L20668" t="str">
            <v>Non-proportional</v>
          </cell>
          <cell r="S20668">
            <v>26389.57</v>
          </cell>
          <cell r="X20668" t="str">
            <v>Commissions - gross</v>
          </cell>
          <cell r="Y20668" t="str">
            <v>UNITED KINGDOM</v>
          </cell>
        </row>
        <row r="20669">
          <cell r="L20669" t="str">
            <v>Non-proportional</v>
          </cell>
          <cell r="S20669">
            <v>47791.92</v>
          </cell>
          <cell r="X20669" t="str">
            <v>Commissions - gross</v>
          </cell>
          <cell r="Y20669" t="str">
            <v>BELGIUM</v>
          </cell>
        </row>
        <row r="20670">
          <cell r="L20670" t="str">
            <v>Non-proportional</v>
          </cell>
          <cell r="S20670">
            <v>27258.45</v>
          </cell>
          <cell r="X20670" t="str">
            <v>Commissions - gross</v>
          </cell>
          <cell r="Y20670" t="str">
            <v>PORTUGAL</v>
          </cell>
        </row>
        <row r="20671">
          <cell r="L20671" t="str">
            <v>Non-proportional</v>
          </cell>
          <cell r="S20671">
            <v>99702.080000000002</v>
          </cell>
          <cell r="X20671" t="str">
            <v>Commissions - gross</v>
          </cell>
          <cell r="Y20671" t="str">
            <v>UNITED KINGDOM</v>
          </cell>
        </row>
        <row r="20672">
          <cell r="L20672" t="str">
            <v>Proportional</v>
          </cell>
          <cell r="S20672">
            <v>47755.33</v>
          </cell>
          <cell r="X20672" t="str">
            <v>Commissions - gross</v>
          </cell>
          <cell r="Y20672" t="str">
            <v>INDIA</v>
          </cell>
        </row>
        <row r="20673">
          <cell r="L20673" t="str">
            <v>Non-proportional</v>
          </cell>
          <cell r="S20673">
            <v>8499.85</v>
          </cell>
          <cell r="X20673" t="str">
            <v>Commissions - gross</v>
          </cell>
          <cell r="Y20673" t="str">
            <v>EUROPE</v>
          </cell>
        </row>
        <row r="20674">
          <cell r="L20674" t="str">
            <v>Non-proportional</v>
          </cell>
          <cell r="S20674">
            <v>13196.57</v>
          </cell>
          <cell r="X20674" t="str">
            <v>Commissions - gross</v>
          </cell>
          <cell r="Y20674" t="str">
            <v>PORTUGAL</v>
          </cell>
        </row>
        <row r="20675">
          <cell r="L20675" t="str">
            <v>Non-proportional</v>
          </cell>
          <cell r="S20675">
            <v>10026.77</v>
          </cell>
          <cell r="X20675" t="str">
            <v>Commissions - gross</v>
          </cell>
          <cell r="Y20675" t="str">
            <v>PORTUGAL</v>
          </cell>
        </row>
        <row r="20676">
          <cell r="L20676" t="str">
            <v>Proportional</v>
          </cell>
          <cell r="S20676">
            <v>-2946185.67</v>
          </cell>
          <cell r="X20676" t="str">
            <v>Commissions - gross</v>
          </cell>
          <cell r="Y20676" t="str">
            <v>ITALY</v>
          </cell>
        </row>
        <row r="20677">
          <cell r="L20677" t="str">
            <v>Proportional</v>
          </cell>
          <cell r="S20677">
            <v>24934.19</v>
          </cell>
          <cell r="X20677" t="str">
            <v>Commissions - gross</v>
          </cell>
          <cell r="Y20677" t="str">
            <v>SWITZERLAND</v>
          </cell>
        </row>
        <row r="20678">
          <cell r="L20678" t="str">
            <v>Non-proportional</v>
          </cell>
          <cell r="S20678">
            <v>27126.46</v>
          </cell>
          <cell r="X20678" t="str">
            <v>Commissions - gross</v>
          </cell>
          <cell r="Y20678" t="str">
            <v>EUROPE</v>
          </cell>
        </row>
        <row r="20679">
          <cell r="L20679" t="str">
            <v>Proportional</v>
          </cell>
          <cell r="S20679">
            <v>71638.7</v>
          </cell>
          <cell r="X20679" t="str">
            <v>Commissions - gross</v>
          </cell>
          <cell r="Y20679" t="str">
            <v>FRANCE</v>
          </cell>
        </row>
        <row r="20680">
          <cell r="L20680" t="str">
            <v>Non-proportional</v>
          </cell>
          <cell r="S20680">
            <v>6753.22</v>
          </cell>
          <cell r="X20680" t="str">
            <v>Commissions - gross</v>
          </cell>
          <cell r="Y20680" t="str">
            <v>EUROPE</v>
          </cell>
        </row>
        <row r="20681">
          <cell r="L20681" t="str">
            <v>Non-proportional</v>
          </cell>
          <cell r="S20681">
            <v>9412.19</v>
          </cell>
          <cell r="X20681" t="str">
            <v>Commissions - gross</v>
          </cell>
          <cell r="Y20681" t="str">
            <v>PORTUGAL</v>
          </cell>
        </row>
        <row r="20682">
          <cell r="L20682" t="str">
            <v>Non-proportional</v>
          </cell>
          <cell r="S20682">
            <v>26468.2</v>
          </cell>
          <cell r="X20682" t="str">
            <v>Commissions - gross</v>
          </cell>
          <cell r="Y20682" t="str">
            <v>UNITED KINGDOM</v>
          </cell>
        </row>
        <row r="20683">
          <cell r="L20683" t="str">
            <v>Non-proportional</v>
          </cell>
          <cell r="S20683">
            <v>27258.45</v>
          </cell>
          <cell r="X20683" t="str">
            <v>Commissions - gross</v>
          </cell>
          <cell r="Y20683" t="str">
            <v>PORTUGAL</v>
          </cell>
        </row>
        <row r="20684">
          <cell r="L20684" t="str">
            <v>Proportional</v>
          </cell>
          <cell r="S20684">
            <v>1343.52</v>
          </cell>
          <cell r="X20684" t="str">
            <v>Commissions - gross</v>
          </cell>
          <cell r="Y20684" t="str">
            <v>FRANCE</v>
          </cell>
        </row>
        <row r="20685">
          <cell r="L20685" t="str">
            <v>Non-proportional</v>
          </cell>
          <cell r="S20685">
            <v>13963.64</v>
          </cell>
          <cell r="X20685" t="str">
            <v>Commissions - gross</v>
          </cell>
          <cell r="Y20685" t="str">
            <v>PORTUGAL</v>
          </cell>
        </row>
        <row r="20686">
          <cell r="L20686" t="str">
            <v>Non-proportional</v>
          </cell>
          <cell r="S20686">
            <v>8499.85</v>
          </cell>
          <cell r="X20686" t="str">
            <v>Commissions - gross</v>
          </cell>
          <cell r="Y20686" t="str">
            <v>EUROPE</v>
          </cell>
        </row>
        <row r="20687">
          <cell r="L20687" t="str">
            <v>Proportional</v>
          </cell>
          <cell r="S20687">
            <v>26900.46</v>
          </cell>
          <cell r="X20687" t="str">
            <v>Commissions - gross</v>
          </cell>
          <cell r="Y20687" t="str">
            <v>SWITZERLAND</v>
          </cell>
        </row>
        <row r="20688">
          <cell r="L20688" t="str">
            <v>Non-proportional</v>
          </cell>
          <cell r="S20688">
            <v>12940.33</v>
          </cell>
          <cell r="X20688" t="str">
            <v>Commissions - gross</v>
          </cell>
          <cell r="Y20688" t="str">
            <v>PORTUGAL</v>
          </cell>
        </row>
        <row r="20689">
          <cell r="L20689" t="str">
            <v>Non-proportional</v>
          </cell>
          <cell r="S20689">
            <v>10026.77</v>
          </cell>
          <cell r="X20689" t="str">
            <v>Commissions - gross</v>
          </cell>
          <cell r="Y20689" t="str">
            <v>PORTUGAL</v>
          </cell>
        </row>
        <row r="20690">
          <cell r="L20690" t="str">
            <v>Proportional</v>
          </cell>
          <cell r="S20690">
            <v>53233.06</v>
          </cell>
          <cell r="X20690" t="str">
            <v>Commissions - gross</v>
          </cell>
          <cell r="Y20690" t="str">
            <v>INDIA</v>
          </cell>
        </row>
        <row r="20691">
          <cell r="L20691" t="str">
            <v>Non-proportional</v>
          </cell>
          <cell r="S20691">
            <v>99999.15</v>
          </cell>
          <cell r="X20691" t="str">
            <v>Commissions - gross</v>
          </cell>
          <cell r="Y20691" t="str">
            <v>UNITED KINGDOM</v>
          </cell>
        </row>
        <row r="20692">
          <cell r="L20692" t="str">
            <v>Non-proportional</v>
          </cell>
          <cell r="S20692">
            <v>6753.22</v>
          </cell>
          <cell r="X20692" t="str">
            <v>Commissions - gross</v>
          </cell>
          <cell r="Y20692" t="str">
            <v>EUROPE</v>
          </cell>
        </row>
        <row r="20693">
          <cell r="L20693" t="str">
            <v>Non-proportional</v>
          </cell>
          <cell r="S20693">
            <v>79601.429999999993</v>
          </cell>
          <cell r="X20693" t="str">
            <v>Commissions - gross</v>
          </cell>
          <cell r="Y20693" t="str">
            <v>BELGIUM</v>
          </cell>
        </row>
        <row r="20694">
          <cell r="L20694" t="str">
            <v>Non-proportional</v>
          </cell>
          <cell r="S20694">
            <v>13196.57</v>
          </cell>
          <cell r="X20694" t="str">
            <v>Commissions - gross</v>
          </cell>
          <cell r="Y20694" t="str">
            <v>PORTUGAL</v>
          </cell>
        </row>
        <row r="20695">
          <cell r="L20695" t="str">
            <v>Non-proportional</v>
          </cell>
          <cell r="S20695">
            <v>27126.46</v>
          </cell>
          <cell r="X20695" t="str">
            <v>Commissions - gross</v>
          </cell>
          <cell r="Y20695" t="str">
            <v>EUROPE</v>
          </cell>
        </row>
        <row r="20696">
          <cell r="L20696" t="str">
            <v>Proportional</v>
          </cell>
          <cell r="S20696">
            <v>26413.53</v>
          </cell>
          <cell r="X20696" t="str">
            <v>Commissions - gross</v>
          </cell>
          <cell r="Y20696" t="str">
            <v>ITALY</v>
          </cell>
        </row>
        <row r="20697">
          <cell r="L20697" t="str">
            <v>Non-proportional</v>
          </cell>
          <cell r="S20697">
            <v>47791.92</v>
          </cell>
          <cell r="X20697" t="str">
            <v>Commissions - gross</v>
          </cell>
          <cell r="Y20697" t="str">
            <v>BELGIUM</v>
          </cell>
        </row>
        <row r="20698">
          <cell r="L20698" t="str">
            <v>Non-proportional</v>
          </cell>
          <cell r="S20698">
            <v>9412.19</v>
          </cell>
          <cell r="X20698" t="str">
            <v>Commissions - gross</v>
          </cell>
          <cell r="Y20698" t="str">
            <v>PORTUGAL</v>
          </cell>
        </row>
        <row r="20699">
          <cell r="L20699" t="str">
            <v>Non-proportional</v>
          </cell>
          <cell r="S20699">
            <v>69698.37</v>
          </cell>
          <cell r="X20699" t="str">
            <v>Commissions - gross</v>
          </cell>
          <cell r="Y20699" t="str">
            <v>UNITED KINGDOM</v>
          </cell>
        </row>
        <row r="20700">
          <cell r="L20700" t="str">
            <v>Non-proportional</v>
          </cell>
          <cell r="S20700">
            <v>6990.5</v>
          </cell>
          <cell r="X20700" t="str">
            <v>Commissions - gross</v>
          </cell>
          <cell r="Y20700" t="str">
            <v>EUROPE</v>
          </cell>
        </row>
        <row r="20701">
          <cell r="L20701" t="str">
            <v>Non-proportional</v>
          </cell>
          <cell r="S20701">
            <v>88422.03</v>
          </cell>
          <cell r="X20701" t="str">
            <v>Commissions - gross</v>
          </cell>
          <cell r="Y20701" t="str">
            <v>BELGIUM</v>
          </cell>
        </row>
        <row r="20702">
          <cell r="L20702" t="str">
            <v>Proportional</v>
          </cell>
          <cell r="S20702">
            <v>-3225307.12</v>
          </cell>
          <cell r="X20702" t="str">
            <v>Commissions - gross</v>
          </cell>
          <cell r="Y20702" t="str">
            <v>ITALY</v>
          </cell>
        </row>
        <row r="20703">
          <cell r="L20703" t="str">
            <v>Non-proportional</v>
          </cell>
          <cell r="S20703">
            <v>115968.67</v>
          </cell>
          <cell r="X20703" t="str">
            <v>Commissions - gross</v>
          </cell>
          <cell r="Y20703" t="str">
            <v>BELGIUM</v>
          </cell>
        </row>
        <row r="20704">
          <cell r="L20704" t="str">
            <v>Proportional</v>
          </cell>
          <cell r="S20704">
            <v>66270.320000000007</v>
          </cell>
          <cell r="X20704" t="str">
            <v>Commissions - gross</v>
          </cell>
          <cell r="Y20704" t="str">
            <v>FRANCE</v>
          </cell>
        </row>
        <row r="20705">
          <cell r="L20705" t="str">
            <v>Proportional</v>
          </cell>
          <cell r="S20705">
            <v>11730</v>
          </cell>
          <cell r="X20705" t="str">
            <v>Commissions - gross</v>
          </cell>
          <cell r="Y20705" t="str">
            <v>SWITZERLAND</v>
          </cell>
        </row>
        <row r="20706">
          <cell r="L20706" t="str">
            <v>Non-proportional</v>
          </cell>
          <cell r="S20706">
            <v>-133776.98000000001</v>
          </cell>
          <cell r="X20706" t="str">
            <v>Expenses</v>
          </cell>
        </row>
        <row r="20707">
          <cell r="L20707" t="str">
            <v>Non-proportional</v>
          </cell>
          <cell r="S20707">
            <v>133776.98000000001</v>
          </cell>
          <cell r="X20707" t="str">
            <v>Expenses</v>
          </cell>
        </row>
        <row r="20708">
          <cell r="L20708" t="str">
            <v>Proportional</v>
          </cell>
          <cell r="S20708">
            <v>-133164.51999999999</v>
          </cell>
          <cell r="X20708" t="str">
            <v>Claims - gross</v>
          </cell>
          <cell r="Y20708" t="str">
            <v>JAPAN</v>
          </cell>
        </row>
        <row r="20709">
          <cell r="L20709" t="str">
            <v>Proportional</v>
          </cell>
          <cell r="S20709">
            <v>-10462241.359999999</v>
          </cell>
          <cell r="X20709" t="str">
            <v>Claims - gross</v>
          </cell>
          <cell r="Y20709" t="str">
            <v>PORTUGAL</v>
          </cell>
        </row>
        <row r="20710">
          <cell r="L20710" t="str">
            <v>Proportional</v>
          </cell>
          <cell r="S20710">
            <v>-293.04000000000002</v>
          </cell>
          <cell r="X20710" t="str">
            <v>Claims - gross</v>
          </cell>
          <cell r="Y20710" t="str">
            <v>PORTUGAL</v>
          </cell>
        </row>
        <row r="20711">
          <cell r="L20711" t="str">
            <v>Proportional</v>
          </cell>
          <cell r="S20711">
            <v>-26538.81</v>
          </cell>
          <cell r="X20711" t="str">
            <v>Claims - gross</v>
          </cell>
          <cell r="Y20711" t="str">
            <v>HONG KONG</v>
          </cell>
        </row>
        <row r="20712">
          <cell r="L20712" t="str">
            <v>Proportional</v>
          </cell>
          <cell r="S20712">
            <v>-9184.1200000000008</v>
          </cell>
          <cell r="X20712" t="str">
            <v>Claims - gross</v>
          </cell>
          <cell r="Y20712" t="str">
            <v>JAPAN</v>
          </cell>
        </row>
        <row r="20713">
          <cell r="L20713" t="str">
            <v>Proportional</v>
          </cell>
          <cell r="S20713">
            <v>-45583.05</v>
          </cell>
          <cell r="X20713" t="str">
            <v>Claims - gross</v>
          </cell>
          <cell r="Y20713" t="str">
            <v>UNITED KINGDOM</v>
          </cell>
        </row>
        <row r="20714">
          <cell r="L20714" t="str">
            <v>Proportional</v>
          </cell>
          <cell r="S20714">
            <v>-263609.44</v>
          </cell>
          <cell r="X20714" t="str">
            <v>Claims - gross</v>
          </cell>
          <cell r="Y20714" t="str">
            <v>HONG KONG</v>
          </cell>
        </row>
        <row r="20715">
          <cell r="L20715" t="str">
            <v>Proportional</v>
          </cell>
          <cell r="S20715">
            <v>-6820.46</v>
          </cell>
          <cell r="X20715" t="str">
            <v>Claims - gross</v>
          </cell>
          <cell r="Y20715" t="str">
            <v>HONG KONG</v>
          </cell>
        </row>
        <row r="20716">
          <cell r="L20716" t="str">
            <v>Proportional</v>
          </cell>
          <cell r="S20716">
            <v>-908.57</v>
          </cell>
          <cell r="X20716" t="str">
            <v>Claims - gross</v>
          </cell>
          <cell r="Y20716" t="str">
            <v>JAPAN</v>
          </cell>
        </row>
        <row r="20717">
          <cell r="L20717" t="str">
            <v>Proportional</v>
          </cell>
          <cell r="S20717">
            <v>126368.41</v>
          </cell>
          <cell r="X20717" t="str">
            <v>Claims - gross</v>
          </cell>
          <cell r="Y20717" t="str">
            <v>JAPAN</v>
          </cell>
        </row>
        <row r="20718">
          <cell r="L20718" t="str">
            <v>Proportional</v>
          </cell>
          <cell r="S20718">
            <v>293.04000000000002</v>
          </cell>
          <cell r="X20718" t="str">
            <v>Claims - gross</v>
          </cell>
          <cell r="Y20718" t="str">
            <v>PORTUGAL</v>
          </cell>
        </row>
        <row r="20719">
          <cell r="L20719" t="str">
            <v>Proportional</v>
          </cell>
          <cell r="S20719">
            <v>10462241.359999999</v>
          </cell>
          <cell r="X20719" t="str">
            <v>Claims - gross</v>
          </cell>
          <cell r="Y20719" t="str">
            <v>PORTUGAL</v>
          </cell>
        </row>
        <row r="20720">
          <cell r="L20720" t="str">
            <v>Proportional</v>
          </cell>
          <cell r="S20720">
            <v>21868.78</v>
          </cell>
          <cell r="X20720" t="str">
            <v>Claims - gross</v>
          </cell>
          <cell r="Y20720" t="str">
            <v>Hong Kong</v>
          </cell>
        </row>
        <row r="20721">
          <cell r="L20721" t="str">
            <v>Proportional</v>
          </cell>
          <cell r="S20721">
            <v>28110.86</v>
          </cell>
          <cell r="X20721" t="str">
            <v>Claims - gross</v>
          </cell>
          <cell r="Y20721" t="str">
            <v>HONG KONG</v>
          </cell>
        </row>
        <row r="20722">
          <cell r="L20722" t="str">
            <v>Proportional</v>
          </cell>
          <cell r="S20722">
            <v>1025920.79</v>
          </cell>
          <cell r="X20722" t="str">
            <v>Claims - gross</v>
          </cell>
          <cell r="Y20722" t="str">
            <v>AUSTRIA</v>
          </cell>
        </row>
        <row r="20723">
          <cell r="L20723" t="str">
            <v>Proportional</v>
          </cell>
          <cell r="S20723">
            <v>-2051841.58</v>
          </cell>
          <cell r="X20723" t="str">
            <v>Claims - gross</v>
          </cell>
          <cell r="Y20723" t="str">
            <v>AUSTRIA</v>
          </cell>
        </row>
        <row r="20724">
          <cell r="L20724" t="str">
            <v>Proportional</v>
          </cell>
          <cell r="S20724">
            <v>-1025920.79</v>
          </cell>
          <cell r="X20724" t="str">
            <v>Claims - gross</v>
          </cell>
          <cell r="Y20724" t="str">
            <v>AUSTRIA</v>
          </cell>
        </row>
        <row r="20725">
          <cell r="L20725" t="str">
            <v>Proportional</v>
          </cell>
          <cell r="S20725">
            <v>1025920.79</v>
          </cell>
          <cell r="X20725" t="str">
            <v>Claims - gross</v>
          </cell>
          <cell r="Y20725" t="str">
            <v>AUSTRIA</v>
          </cell>
        </row>
        <row r="20726">
          <cell r="L20726" t="str">
            <v>Proportional</v>
          </cell>
          <cell r="S20726">
            <v>9887.27</v>
          </cell>
          <cell r="X20726" t="str">
            <v>Claims - gross</v>
          </cell>
          <cell r="Y20726" t="str">
            <v>JAPAN</v>
          </cell>
        </row>
        <row r="20727">
          <cell r="L20727" t="str">
            <v>Proportional</v>
          </cell>
          <cell r="S20727">
            <v>1025920.79</v>
          </cell>
          <cell r="X20727" t="str">
            <v>Claims - gross</v>
          </cell>
          <cell r="Y20727" t="str">
            <v>AUSTRIA</v>
          </cell>
        </row>
        <row r="20728">
          <cell r="L20728" t="str">
            <v>Proportional</v>
          </cell>
          <cell r="S20728">
            <v>959.56</v>
          </cell>
          <cell r="X20728" t="str">
            <v>Claims - gross</v>
          </cell>
          <cell r="Y20728" t="str">
            <v>JAPAN</v>
          </cell>
        </row>
        <row r="20729">
          <cell r="L20729" t="str">
            <v>Proportional</v>
          </cell>
          <cell r="S20729">
            <v>1025920.79</v>
          </cell>
          <cell r="X20729" t="str">
            <v>Claims - gross</v>
          </cell>
          <cell r="Y20729" t="str">
            <v>AUSTRIA</v>
          </cell>
        </row>
        <row r="20730">
          <cell r="L20730" t="str">
            <v>Proportional</v>
          </cell>
          <cell r="S20730">
            <v>246665.34</v>
          </cell>
          <cell r="X20730" t="str">
            <v>Claims - gross</v>
          </cell>
          <cell r="Y20730" t="str">
            <v>HONG KONG</v>
          </cell>
        </row>
        <row r="20731">
          <cell r="L20731"/>
          <cell r="S20731">
            <v>670028.82999999996</v>
          </cell>
          <cell r="X20731" t="str">
            <v>Claims - gross</v>
          </cell>
          <cell r="Y20731" t="str">
            <v>UNITED KINGDOM</v>
          </cell>
        </row>
        <row r="20732">
          <cell r="L20732"/>
          <cell r="S20732">
            <v>1170292.82</v>
          </cell>
          <cell r="X20732" t="str">
            <v>Claims - gross</v>
          </cell>
          <cell r="Y20732" t="str">
            <v>UNITED KINGDOM</v>
          </cell>
        </row>
        <row r="20733">
          <cell r="L20733"/>
          <cell r="S20733">
            <v>87442.36</v>
          </cell>
          <cell r="X20733" t="str">
            <v>Claims - gross</v>
          </cell>
          <cell r="Y20733" t="str">
            <v>UNITED KINGDOM</v>
          </cell>
        </row>
        <row r="20734">
          <cell r="L20734"/>
          <cell r="S20734">
            <v>381936.48</v>
          </cell>
          <cell r="X20734" t="str">
            <v>Claims - gross</v>
          </cell>
          <cell r="Y20734" t="str">
            <v>UNITED KINGDOM</v>
          </cell>
        </row>
        <row r="20735">
          <cell r="L20735"/>
          <cell r="S20735">
            <v>980236.05</v>
          </cell>
          <cell r="X20735" t="str">
            <v>Claims - gross</v>
          </cell>
          <cell r="Y20735" t="str">
            <v>UNITED KINGDOM</v>
          </cell>
        </row>
        <row r="20736">
          <cell r="L20736"/>
          <cell r="S20736">
            <v>1683223.46</v>
          </cell>
          <cell r="X20736" t="str">
            <v>Claims - gross</v>
          </cell>
          <cell r="Y20736" t="str">
            <v>UNITED KINGDOM</v>
          </cell>
        </row>
        <row r="20737">
          <cell r="L20737"/>
          <cell r="S20737">
            <v>-268347</v>
          </cell>
          <cell r="X20737" t="str">
            <v>Claims - share RI</v>
          </cell>
        </row>
        <row r="20738">
          <cell r="L20738"/>
          <cell r="S20738">
            <v>-10273.379999999999</v>
          </cell>
          <cell r="X20738" t="str">
            <v>Claims - share RI</v>
          </cell>
        </row>
        <row r="20739">
          <cell r="L20739"/>
          <cell r="S20739">
            <v>-1005908.08</v>
          </cell>
          <cell r="X20739" t="str">
            <v>Claims - share RI</v>
          </cell>
        </row>
        <row r="20740">
          <cell r="L20740"/>
          <cell r="S20740">
            <v>-8101.47</v>
          </cell>
          <cell r="X20740" t="str">
            <v>Claims - share RI</v>
          </cell>
        </row>
        <row r="20741">
          <cell r="L20741"/>
          <cell r="S20741">
            <v>-157311.12</v>
          </cell>
          <cell r="X20741" t="str">
            <v>Claims - share RI</v>
          </cell>
        </row>
        <row r="20742">
          <cell r="L20742"/>
          <cell r="S20742">
            <v>-11557.55</v>
          </cell>
          <cell r="X20742" t="str">
            <v>Claims - share RI</v>
          </cell>
        </row>
        <row r="20743">
          <cell r="L20743"/>
          <cell r="S20743">
            <v>-39167.26</v>
          </cell>
          <cell r="X20743" t="str">
            <v>Claims - share RI</v>
          </cell>
        </row>
        <row r="20744">
          <cell r="L20744"/>
          <cell r="S20744">
            <v>-2010384.01</v>
          </cell>
          <cell r="X20744" t="str">
            <v>Claims - share RI</v>
          </cell>
        </row>
        <row r="20745">
          <cell r="L20745"/>
          <cell r="S20745">
            <v>-84741.15</v>
          </cell>
          <cell r="X20745" t="str">
            <v>Claims - share RI</v>
          </cell>
        </row>
        <row r="20746">
          <cell r="L20746"/>
          <cell r="S20746">
            <v>-1385.84</v>
          </cell>
          <cell r="X20746" t="str">
            <v>Claims - share RI</v>
          </cell>
        </row>
        <row r="20747">
          <cell r="L20747"/>
          <cell r="S20747">
            <v>-38525.18</v>
          </cell>
          <cell r="X20747" t="str">
            <v>Claims - share RI</v>
          </cell>
        </row>
        <row r="20748">
          <cell r="L20748"/>
          <cell r="S20748">
            <v>-984.56</v>
          </cell>
          <cell r="X20748" t="str">
            <v>Claims - share RI</v>
          </cell>
        </row>
        <row r="20749">
          <cell r="L20749"/>
          <cell r="S20749">
            <v>-5907.39</v>
          </cell>
          <cell r="X20749" t="str">
            <v>Claims - share RI</v>
          </cell>
        </row>
        <row r="20750">
          <cell r="L20750"/>
          <cell r="S20750">
            <v>-4354.76</v>
          </cell>
          <cell r="X20750" t="str">
            <v>Claims - share RI</v>
          </cell>
        </row>
        <row r="20751">
          <cell r="L20751"/>
          <cell r="S20751">
            <v>-3984.01</v>
          </cell>
          <cell r="X20751" t="str">
            <v>Claims - share RI</v>
          </cell>
        </row>
        <row r="20752">
          <cell r="L20752"/>
          <cell r="S20752">
            <v>-61005.18</v>
          </cell>
          <cell r="X20752" t="str">
            <v>Claims - share RI</v>
          </cell>
        </row>
        <row r="20753">
          <cell r="L20753"/>
          <cell r="S20753">
            <v>-14940.05</v>
          </cell>
          <cell r="X20753" t="str">
            <v>Claims - share RI</v>
          </cell>
        </row>
        <row r="20754">
          <cell r="L20754"/>
          <cell r="S20754">
            <v>-15189.05</v>
          </cell>
          <cell r="X20754" t="str">
            <v>Claims - share RI</v>
          </cell>
        </row>
        <row r="20755">
          <cell r="L20755"/>
          <cell r="S20755">
            <v>-4482.01</v>
          </cell>
          <cell r="X20755" t="str">
            <v>Claims - share RI</v>
          </cell>
        </row>
        <row r="20756">
          <cell r="L20756"/>
          <cell r="S20756">
            <v>-66380.149999999994</v>
          </cell>
          <cell r="X20756" t="str">
            <v>Claims - share RI</v>
          </cell>
        </row>
        <row r="20757">
          <cell r="L20757"/>
          <cell r="S20757">
            <v>-27848.43</v>
          </cell>
          <cell r="X20757" t="str">
            <v>Claims - share RI</v>
          </cell>
        </row>
        <row r="20758">
          <cell r="L20758"/>
          <cell r="S20758">
            <v>-54731.43</v>
          </cell>
          <cell r="X20758" t="str">
            <v>Claims - share RI</v>
          </cell>
        </row>
        <row r="20759">
          <cell r="L20759"/>
          <cell r="S20759">
            <v>-13173.57</v>
          </cell>
          <cell r="X20759" t="str">
            <v>Claims - share RI</v>
          </cell>
        </row>
        <row r="20760">
          <cell r="L20760"/>
          <cell r="S20760">
            <v>165500</v>
          </cell>
          <cell r="X20760" t="str">
            <v>Claims - share RI</v>
          </cell>
        </row>
        <row r="20761">
          <cell r="L20761"/>
          <cell r="S20761">
            <v>-229098.5</v>
          </cell>
          <cell r="X20761" t="str">
            <v>Claims - share RI</v>
          </cell>
        </row>
        <row r="20762">
          <cell r="L20762"/>
          <cell r="S20762">
            <v>-165500</v>
          </cell>
          <cell r="X20762" t="str">
            <v>Claims - share RI</v>
          </cell>
        </row>
        <row r="20763">
          <cell r="L20763"/>
          <cell r="S20763">
            <v>-165500</v>
          </cell>
          <cell r="X20763" t="str">
            <v>Claims - share RI</v>
          </cell>
        </row>
        <row r="20764">
          <cell r="L20764"/>
          <cell r="S20764">
            <v>-47043.360000000001</v>
          </cell>
          <cell r="X20764" t="str">
            <v>Claims - share RI</v>
          </cell>
        </row>
        <row r="20765">
          <cell r="L20765"/>
          <cell r="S20765">
            <v>-3549989.96</v>
          </cell>
          <cell r="X20765" t="str">
            <v>Claims - share RI</v>
          </cell>
        </row>
        <row r="20766">
          <cell r="L20766"/>
          <cell r="S20766">
            <v>1445.42</v>
          </cell>
          <cell r="X20766" t="str">
            <v>Claims - share RI</v>
          </cell>
        </row>
        <row r="20767">
          <cell r="L20767"/>
          <cell r="S20767">
            <v>-271.5</v>
          </cell>
          <cell r="X20767" t="str">
            <v>Claims - share RI</v>
          </cell>
        </row>
        <row r="20768">
          <cell r="L20768"/>
          <cell r="S20768">
            <v>-8844.73</v>
          </cell>
          <cell r="X20768" t="str">
            <v>Claims - share RI</v>
          </cell>
        </row>
        <row r="20769">
          <cell r="L20769"/>
          <cell r="S20769">
            <v>-5552.21</v>
          </cell>
          <cell r="X20769" t="str">
            <v>Claims - share RI</v>
          </cell>
        </row>
        <row r="20770">
          <cell r="L20770"/>
          <cell r="S20770">
            <v>-581.34</v>
          </cell>
          <cell r="X20770" t="str">
            <v>Claims - share RI</v>
          </cell>
        </row>
        <row r="20771">
          <cell r="L20771"/>
          <cell r="S20771">
            <v>-344.14</v>
          </cell>
          <cell r="X20771" t="str">
            <v>Claims - share RI</v>
          </cell>
        </row>
        <row r="20772">
          <cell r="L20772"/>
          <cell r="S20772">
            <v>-149346.74</v>
          </cell>
          <cell r="X20772" t="str">
            <v>Claims - share RI</v>
          </cell>
        </row>
        <row r="20773">
          <cell r="L20773"/>
          <cell r="S20773">
            <v>-268605.09999999998</v>
          </cell>
          <cell r="X20773" t="str">
            <v>Claims - share RI</v>
          </cell>
        </row>
        <row r="20774">
          <cell r="L20774"/>
          <cell r="S20774">
            <v>-97088.5</v>
          </cell>
          <cell r="X20774" t="str">
            <v>Claims - share RI</v>
          </cell>
        </row>
        <row r="20775">
          <cell r="L20775"/>
          <cell r="S20775">
            <v>1243.1600000000001</v>
          </cell>
          <cell r="X20775" t="str">
            <v>Claims - share RI</v>
          </cell>
        </row>
        <row r="20776">
          <cell r="L20776"/>
          <cell r="S20776">
            <v>-36083.31</v>
          </cell>
          <cell r="X20776" t="str">
            <v>Claims - share RI</v>
          </cell>
        </row>
        <row r="20777">
          <cell r="L20777"/>
          <cell r="S20777">
            <v>-412500</v>
          </cell>
          <cell r="X20777" t="str">
            <v>Claims - share RI</v>
          </cell>
        </row>
        <row r="20778">
          <cell r="L20778"/>
          <cell r="S20778">
            <v>-43726.41</v>
          </cell>
          <cell r="X20778" t="str">
            <v>Claims - share RI</v>
          </cell>
        </row>
        <row r="20779">
          <cell r="L20779"/>
          <cell r="S20779">
            <v>-2021250</v>
          </cell>
          <cell r="X20779" t="str">
            <v>Claims - share RI</v>
          </cell>
        </row>
        <row r="20780">
          <cell r="L20780"/>
          <cell r="S20780">
            <v>-1868.66</v>
          </cell>
          <cell r="X20780" t="str">
            <v>Claims - share RI</v>
          </cell>
        </row>
        <row r="20781">
          <cell r="L20781"/>
          <cell r="S20781">
            <v>-8836.73</v>
          </cell>
          <cell r="X20781" t="str">
            <v>Claims - share RI</v>
          </cell>
        </row>
        <row r="20782">
          <cell r="L20782"/>
          <cell r="S20782">
            <v>-2808018.21</v>
          </cell>
          <cell r="X20782" t="str">
            <v>Claims - share RI</v>
          </cell>
        </row>
        <row r="20783">
          <cell r="L20783"/>
          <cell r="S20783">
            <v>-97750.52</v>
          </cell>
          <cell r="X20783" t="str">
            <v>Claims - share RI</v>
          </cell>
        </row>
        <row r="20784">
          <cell r="L20784"/>
          <cell r="S20784">
            <v>-2651.02</v>
          </cell>
          <cell r="X20784" t="str">
            <v>Claims - share RI</v>
          </cell>
        </row>
        <row r="20785">
          <cell r="L20785"/>
          <cell r="S20785">
            <v>-917415.69</v>
          </cell>
          <cell r="X20785" t="str">
            <v>Claims - share RI</v>
          </cell>
        </row>
        <row r="20786">
          <cell r="L20786"/>
          <cell r="S20786">
            <v>-316250</v>
          </cell>
          <cell r="X20786" t="str">
            <v>Claims - share RI</v>
          </cell>
        </row>
        <row r="20787">
          <cell r="L20787"/>
          <cell r="S20787">
            <v>-600467.5</v>
          </cell>
          <cell r="X20787" t="str">
            <v>Claims - share RI</v>
          </cell>
        </row>
        <row r="20788">
          <cell r="L20788"/>
          <cell r="S20788">
            <v>-8984.01</v>
          </cell>
          <cell r="X20788" t="str">
            <v>Claims - share RI</v>
          </cell>
        </row>
        <row r="20789">
          <cell r="L20789"/>
          <cell r="S20789">
            <v>-22371.09</v>
          </cell>
          <cell r="X20789" t="str">
            <v>Claims - share RI</v>
          </cell>
        </row>
        <row r="20790">
          <cell r="L20790"/>
          <cell r="S20790">
            <v>97088.5</v>
          </cell>
          <cell r="X20790" t="str">
            <v>Claims - share RI</v>
          </cell>
        </row>
        <row r="20791">
          <cell r="L20791"/>
          <cell r="S20791">
            <v>-2356.46</v>
          </cell>
          <cell r="X20791" t="str">
            <v>Claims - share RI</v>
          </cell>
        </row>
        <row r="20792">
          <cell r="L20792"/>
          <cell r="S20792">
            <v>224544.06</v>
          </cell>
          <cell r="X20792" t="str">
            <v>Claims - share RI</v>
          </cell>
        </row>
        <row r="20793">
          <cell r="L20793"/>
          <cell r="S20793">
            <v>-3960.11</v>
          </cell>
          <cell r="X20793" t="str">
            <v>Claims - share RI</v>
          </cell>
        </row>
        <row r="20794">
          <cell r="L20794"/>
          <cell r="S20794">
            <v>-2498.6</v>
          </cell>
          <cell r="X20794" t="str">
            <v>Claims - share RI</v>
          </cell>
        </row>
        <row r="20795">
          <cell r="L20795" t="str">
            <v>Proportional</v>
          </cell>
          <cell r="S20795">
            <v>499.24</v>
          </cell>
          <cell r="X20795" t="str">
            <v>Claims - share RI</v>
          </cell>
        </row>
        <row r="20796">
          <cell r="L20796" t="str">
            <v>Proportional</v>
          </cell>
          <cell r="S20796">
            <v>295.54000000000002</v>
          </cell>
          <cell r="X20796" t="str">
            <v>Claims - share RI</v>
          </cell>
        </row>
        <row r="20797">
          <cell r="L20797"/>
          <cell r="S20797">
            <v>-2605.13</v>
          </cell>
          <cell r="X20797" t="str">
            <v>Claims - share RI</v>
          </cell>
        </row>
        <row r="20798">
          <cell r="L20798"/>
          <cell r="S20798">
            <v>7160.22</v>
          </cell>
          <cell r="X20798" t="str">
            <v>Claims - share RI</v>
          </cell>
        </row>
        <row r="20799">
          <cell r="L20799"/>
          <cell r="S20799">
            <v>-7160.22</v>
          </cell>
          <cell r="X20799" t="str">
            <v>Claims - share RI</v>
          </cell>
        </row>
        <row r="20800">
          <cell r="L20800"/>
          <cell r="S20800">
            <v>-731946</v>
          </cell>
          <cell r="X20800" t="str">
            <v>Claims - share RI</v>
          </cell>
        </row>
        <row r="20801">
          <cell r="L20801"/>
          <cell r="S20801">
            <v>-7160.22</v>
          </cell>
          <cell r="X20801" t="str">
            <v>Claims - share RI</v>
          </cell>
        </row>
        <row r="20802">
          <cell r="L20802"/>
          <cell r="S20802">
            <v>-190400.16</v>
          </cell>
          <cell r="X20802" t="str">
            <v>Claims - share RI</v>
          </cell>
        </row>
        <row r="20803">
          <cell r="L20803"/>
          <cell r="S20803">
            <v>-10.01</v>
          </cell>
          <cell r="X20803" t="str">
            <v>Claims - share RI</v>
          </cell>
        </row>
        <row r="20804">
          <cell r="L20804" t="str">
            <v>Proportional</v>
          </cell>
          <cell r="S20804">
            <v>58.95</v>
          </cell>
          <cell r="X20804" t="str">
            <v>Claims - share RI</v>
          </cell>
        </row>
        <row r="20805">
          <cell r="L20805"/>
          <cell r="S20805">
            <v>-53672</v>
          </cell>
          <cell r="X20805" t="str">
            <v>Claims - share RI</v>
          </cell>
        </row>
        <row r="20806">
          <cell r="L20806"/>
          <cell r="S20806">
            <v>-259974.37</v>
          </cell>
          <cell r="X20806" t="str">
            <v>Claims - share RI</v>
          </cell>
        </row>
        <row r="20807">
          <cell r="L20807"/>
          <cell r="S20807">
            <v>-89766.51</v>
          </cell>
          <cell r="X20807" t="str">
            <v>Claims - share RI</v>
          </cell>
        </row>
        <row r="20808">
          <cell r="L20808"/>
          <cell r="S20808">
            <v>-248538.56</v>
          </cell>
          <cell r="X20808" t="str">
            <v>Claims - share RI</v>
          </cell>
        </row>
        <row r="20809">
          <cell r="L20809"/>
          <cell r="S20809">
            <v>-82525.97</v>
          </cell>
          <cell r="X20809" t="str">
            <v>Claims - share RI</v>
          </cell>
        </row>
        <row r="20810">
          <cell r="L20810" t="str">
            <v>Proportional</v>
          </cell>
          <cell r="S20810">
            <v>99.58</v>
          </cell>
          <cell r="X20810" t="str">
            <v>Claims - share RI</v>
          </cell>
        </row>
        <row r="20811">
          <cell r="L20811"/>
          <cell r="S20811">
            <v>-59821.94</v>
          </cell>
          <cell r="X20811" t="str">
            <v>Claims - share RI</v>
          </cell>
        </row>
        <row r="20812">
          <cell r="L20812"/>
          <cell r="S20812">
            <v>-9541.24</v>
          </cell>
          <cell r="X20812" t="str">
            <v>Claims - share RI</v>
          </cell>
        </row>
        <row r="20813">
          <cell r="L20813"/>
          <cell r="S20813">
            <v>-314710.63</v>
          </cell>
          <cell r="X20813" t="str">
            <v>Claims - share RI</v>
          </cell>
        </row>
        <row r="20814">
          <cell r="L20814"/>
          <cell r="S20814">
            <v>-43963.98</v>
          </cell>
          <cell r="X20814" t="str">
            <v>Claims - share RI</v>
          </cell>
        </row>
        <row r="20815">
          <cell r="L20815"/>
          <cell r="S20815">
            <v>10368</v>
          </cell>
          <cell r="X20815" t="str">
            <v>Claims - share RI</v>
          </cell>
        </row>
        <row r="20816">
          <cell r="L20816"/>
          <cell r="S20816">
            <v>-78356.52</v>
          </cell>
          <cell r="X20816" t="str">
            <v>Claims - share RI</v>
          </cell>
        </row>
        <row r="20817">
          <cell r="L20817"/>
          <cell r="S20817">
            <v>-20552.53</v>
          </cell>
          <cell r="X20817" t="str">
            <v>Claims - share RI</v>
          </cell>
        </row>
        <row r="20818">
          <cell r="L20818"/>
          <cell r="S20818">
            <v>-101.03</v>
          </cell>
          <cell r="X20818" t="str">
            <v>Claims - share RI</v>
          </cell>
        </row>
        <row r="20819">
          <cell r="L20819"/>
          <cell r="S20819">
            <v>-77071.990000000005</v>
          </cell>
          <cell r="X20819" t="str">
            <v>Claims - share RI</v>
          </cell>
        </row>
        <row r="20820">
          <cell r="L20820"/>
          <cell r="S20820">
            <v>-23121.599999999999</v>
          </cell>
          <cell r="X20820" t="str">
            <v>Claims - share RI</v>
          </cell>
        </row>
        <row r="20821">
          <cell r="L20821"/>
          <cell r="S20821">
            <v>-66897.36</v>
          </cell>
          <cell r="X20821" t="str">
            <v>Claims - share RI</v>
          </cell>
        </row>
        <row r="20822">
          <cell r="L20822"/>
          <cell r="S20822">
            <v>4234.49</v>
          </cell>
          <cell r="X20822" t="str">
            <v>Claims - share RI</v>
          </cell>
        </row>
        <row r="20823">
          <cell r="L20823"/>
          <cell r="S20823">
            <v>-4599.26</v>
          </cell>
          <cell r="X20823" t="str">
            <v>Claims - share RI</v>
          </cell>
        </row>
        <row r="20824">
          <cell r="L20824" t="str">
            <v>Proportional</v>
          </cell>
          <cell r="S20824">
            <v>343</v>
          </cell>
          <cell r="X20824" t="str">
            <v>Claims - share RI</v>
          </cell>
        </row>
        <row r="20825">
          <cell r="L20825"/>
          <cell r="S20825">
            <v>689.34</v>
          </cell>
          <cell r="X20825" t="str">
            <v>Claims - share RI</v>
          </cell>
        </row>
        <row r="20826">
          <cell r="L20826"/>
          <cell r="S20826">
            <v>-89347.94</v>
          </cell>
          <cell r="X20826" t="str">
            <v>Claims - share RI</v>
          </cell>
        </row>
        <row r="20827">
          <cell r="L20827"/>
          <cell r="S20827">
            <v>-456.43</v>
          </cell>
          <cell r="X20827" t="str">
            <v>Claims - share RI</v>
          </cell>
        </row>
        <row r="20828">
          <cell r="L20828"/>
          <cell r="S20828">
            <v>-7665.44</v>
          </cell>
          <cell r="X20828" t="str">
            <v>Claims - share RI</v>
          </cell>
        </row>
        <row r="20829">
          <cell r="L20829"/>
          <cell r="S20829">
            <v>-2803.8</v>
          </cell>
          <cell r="X20829" t="str">
            <v>Claims - share RI</v>
          </cell>
        </row>
        <row r="20830">
          <cell r="L20830" t="str">
            <v>Proportional</v>
          </cell>
          <cell r="S20830">
            <v>203</v>
          </cell>
          <cell r="X20830" t="str">
            <v>Claims - share RI</v>
          </cell>
        </row>
        <row r="20831">
          <cell r="L20831"/>
          <cell r="S20831">
            <v>-125190.8</v>
          </cell>
          <cell r="X20831" t="str">
            <v>Claims - share RI</v>
          </cell>
        </row>
        <row r="20832">
          <cell r="L20832"/>
          <cell r="S20832">
            <v>-698432.9</v>
          </cell>
          <cell r="X20832" t="str">
            <v>Claims - share RI</v>
          </cell>
        </row>
        <row r="20833">
          <cell r="L20833" t="str">
            <v>Proportional</v>
          </cell>
          <cell r="S20833">
            <v>-74330.7</v>
          </cell>
          <cell r="X20833" t="str">
            <v>Claims - share RI</v>
          </cell>
        </row>
        <row r="20834">
          <cell r="L20834" t="str">
            <v>Proportional</v>
          </cell>
          <cell r="S20834">
            <v>75321.69</v>
          </cell>
          <cell r="X20834" t="str">
            <v>Claims - share RI</v>
          </cell>
        </row>
        <row r="20835">
          <cell r="L20835"/>
          <cell r="S20835">
            <v>-2091.48</v>
          </cell>
          <cell r="X20835" t="str">
            <v>Claims - share RI</v>
          </cell>
        </row>
        <row r="20836">
          <cell r="L20836"/>
          <cell r="S20836">
            <v>-7523.19</v>
          </cell>
          <cell r="X20836" t="str">
            <v>Claims - share RI</v>
          </cell>
        </row>
        <row r="20837">
          <cell r="L20837"/>
          <cell r="S20837">
            <v>12209.97</v>
          </cell>
          <cell r="X20837" t="str">
            <v>Claims - share RI</v>
          </cell>
        </row>
        <row r="20838">
          <cell r="L20838" t="str">
            <v>Proportional</v>
          </cell>
          <cell r="S20838">
            <v>1511.7</v>
          </cell>
          <cell r="X20838" t="str">
            <v>Claims - share RI</v>
          </cell>
        </row>
        <row r="20839">
          <cell r="L20839"/>
          <cell r="S20839">
            <v>-2705.33</v>
          </cell>
          <cell r="X20839" t="str">
            <v>Claims - share RI</v>
          </cell>
        </row>
        <row r="20840">
          <cell r="L20840" t="str">
            <v>Proportional</v>
          </cell>
          <cell r="S20840">
            <v>-3705.04</v>
          </cell>
          <cell r="X20840" t="str">
            <v>Claims - share RI</v>
          </cell>
        </row>
        <row r="20841">
          <cell r="L20841"/>
          <cell r="S20841">
            <v>-16231.95</v>
          </cell>
          <cell r="X20841" t="str">
            <v>Claims - share RI</v>
          </cell>
        </row>
        <row r="20842">
          <cell r="L20842"/>
          <cell r="S20842">
            <v>-56663.519999999997</v>
          </cell>
          <cell r="X20842" t="str">
            <v>Claims - share RI</v>
          </cell>
        </row>
        <row r="20843">
          <cell r="L20843"/>
          <cell r="S20843">
            <v>-2555.34</v>
          </cell>
          <cell r="X20843" t="str">
            <v>Claims - share RI</v>
          </cell>
        </row>
        <row r="20844">
          <cell r="L20844"/>
          <cell r="S20844">
            <v>-9742.23</v>
          </cell>
          <cell r="X20844" t="str">
            <v>Claims - share RI</v>
          </cell>
        </row>
        <row r="20845">
          <cell r="L20845"/>
          <cell r="S20845">
            <v>-3280</v>
          </cell>
          <cell r="X20845" t="str">
            <v>Claims - share RI</v>
          </cell>
        </row>
        <row r="20846">
          <cell r="L20846"/>
          <cell r="S20846">
            <v>-9582.52</v>
          </cell>
          <cell r="X20846" t="str">
            <v>Claims - share RI</v>
          </cell>
        </row>
        <row r="20847">
          <cell r="L20847"/>
          <cell r="S20847">
            <v>-39128.61</v>
          </cell>
          <cell r="X20847" t="str">
            <v>Claims - share RI</v>
          </cell>
        </row>
        <row r="20848">
          <cell r="L20848"/>
          <cell r="S20848">
            <v>-8332.4</v>
          </cell>
          <cell r="X20848" t="str">
            <v>Claims - share RI</v>
          </cell>
        </row>
        <row r="20849">
          <cell r="L20849"/>
          <cell r="S20849">
            <v>2474.34</v>
          </cell>
          <cell r="X20849" t="str">
            <v>Claims - share RI</v>
          </cell>
        </row>
        <row r="20850">
          <cell r="L20850"/>
          <cell r="S20850">
            <v>-9443.92</v>
          </cell>
          <cell r="X20850" t="str">
            <v>Claims - share RI</v>
          </cell>
        </row>
        <row r="20851">
          <cell r="L20851"/>
          <cell r="S20851">
            <v>-6873.61</v>
          </cell>
          <cell r="X20851" t="str">
            <v>Claims - share RI</v>
          </cell>
        </row>
        <row r="20852">
          <cell r="L20852"/>
          <cell r="S20852">
            <v>-1009.56</v>
          </cell>
          <cell r="X20852" t="str">
            <v>Claims - share RI</v>
          </cell>
        </row>
        <row r="20853">
          <cell r="L20853"/>
          <cell r="S20853">
            <v>-1388.73</v>
          </cell>
          <cell r="X20853" t="str">
            <v>Claims - share RI</v>
          </cell>
        </row>
        <row r="20854">
          <cell r="L20854"/>
          <cell r="S20854">
            <v>-18298.95</v>
          </cell>
          <cell r="X20854" t="str">
            <v>Claims - share RI</v>
          </cell>
        </row>
        <row r="20855">
          <cell r="L20855"/>
          <cell r="S20855">
            <v>-42223.57</v>
          </cell>
          <cell r="X20855" t="str">
            <v>Claims - share RI</v>
          </cell>
        </row>
        <row r="20856">
          <cell r="L20856"/>
          <cell r="S20856">
            <v>-2874.76</v>
          </cell>
          <cell r="X20856" t="str">
            <v>Claims - share RI</v>
          </cell>
        </row>
        <row r="20857">
          <cell r="L20857"/>
          <cell r="S20857">
            <v>121360.63</v>
          </cell>
          <cell r="X20857" t="str">
            <v>Claims - share RI</v>
          </cell>
        </row>
        <row r="20858">
          <cell r="L20858"/>
          <cell r="S20858">
            <v>284550.58</v>
          </cell>
          <cell r="X20858" t="str">
            <v>Claims - share RI</v>
          </cell>
        </row>
        <row r="20859">
          <cell r="L20859"/>
          <cell r="S20859">
            <v>1016720.12</v>
          </cell>
          <cell r="X20859" t="str">
            <v>Claims - share RI</v>
          </cell>
        </row>
        <row r="20860">
          <cell r="L20860"/>
          <cell r="S20860">
            <v>1706471.4</v>
          </cell>
          <cell r="X20860" t="str">
            <v>Claims - share RI</v>
          </cell>
        </row>
        <row r="20861">
          <cell r="L20861"/>
          <cell r="S20861">
            <v>38525.18</v>
          </cell>
          <cell r="X20861" t="str">
            <v>Claims - share RI</v>
          </cell>
        </row>
        <row r="20862">
          <cell r="L20862"/>
          <cell r="S20862">
            <v>806469.75</v>
          </cell>
          <cell r="X20862" t="str">
            <v>Claims - share RI</v>
          </cell>
        </row>
        <row r="20863">
          <cell r="L20863"/>
          <cell r="S20863">
            <v>-121360.63</v>
          </cell>
          <cell r="X20863" t="str">
            <v>Claims - share RI</v>
          </cell>
        </row>
        <row r="20864">
          <cell r="L20864"/>
          <cell r="S20864">
            <v>14033.35</v>
          </cell>
          <cell r="X20864" t="str">
            <v>Claims - share RI</v>
          </cell>
        </row>
        <row r="20865">
          <cell r="L20865"/>
          <cell r="S20865">
            <v>157311.12</v>
          </cell>
          <cell r="X20865" t="str">
            <v>Claims - share RI</v>
          </cell>
        </row>
        <row r="20866">
          <cell r="L20866"/>
          <cell r="S20866">
            <v>10273.379999999999</v>
          </cell>
          <cell r="X20866" t="str">
            <v>Claims - share RI</v>
          </cell>
        </row>
        <row r="20867">
          <cell r="L20867"/>
          <cell r="S20867">
            <v>89858.08</v>
          </cell>
          <cell r="X20867" t="str">
            <v>Claims - share RI</v>
          </cell>
        </row>
        <row r="20868">
          <cell r="L20868"/>
          <cell r="S20868">
            <v>39167.26</v>
          </cell>
          <cell r="X20868" t="str">
            <v>Claims - share RI</v>
          </cell>
        </row>
        <row r="20869">
          <cell r="L20869"/>
          <cell r="S20869">
            <v>11557.56</v>
          </cell>
          <cell r="X20869" t="str">
            <v>Claims - share RI</v>
          </cell>
        </row>
        <row r="20870">
          <cell r="L20870"/>
          <cell r="S20870">
            <v>1227.96</v>
          </cell>
          <cell r="X20870" t="str">
            <v>Claims - share RI</v>
          </cell>
        </row>
        <row r="20871">
          <cell r="L20871"/>
          <cell r="S20871">
            <v>-735000</v>
          </cell>
          <cell r="X20871" t="str">
            <v>Claims - share RI</v>
          </cell>
        </row>
        <row r="20872">
          <cell r="L20872" t="str">
            <v>Proportional</v>
          </cell>
          <cell r="S20872">
            <v>112785.88</v>
          </cell>
          <cell r="X20872" t="str">
            <v>Claims - share RI</v>
          </cell>
        </row>
        <row r="20873">
          <cell r="L20873"/>
          <cell r="S20873">
            <v>-150000</v>
          </cell>
          <cell r="X20873" t="str">
            <v>Claims - share RI</v>
          </cell>
        </row>
        <row r="20874">
          <cell r="L20874"/>
          <cell r="S20874">
            <v>430049.24</v>
          </cell>
          <cell r="X20874" t="str">
            <v>Claims - share RI</v>
          </cell>
        </row>
        <row r="20875">
          <cell r="L20875"/>
          <cell r="S20875">
            <v>-112670.9</v>
          </cell>
          <cell r="X20875" t="str">
            <v>Claims - share RI</v>
          </cell>
        </row>
        <row r="20876">
          <cell r="L20876"/>
          <cell r="S20876">
            <v>4604.83</v>
          </cell>
          <cell r="X20876" t="str">
            <v>Claims - share RI</v>
          </cell>
        </row>
        <row r="20877">
          <cell r="L20877"/>
          <cell r="S20877">
            <v>388589.2</v>
          </cell>
          <cell r="X20877" t="str">
            <v>Claims - share RI</v>
          </cell>
        </row>
        <row r="20878">
          <cell r="L20878"/>
          <cell r="S20878">
            <v>-64989.61</v>
          </cell>
          <cell r="X20878" t="str">
            <v>Claims - share RI</v>
          </cell>
        </row>
        <row r="20879">
          <cell r="L20879"/>
          <cell r="S20879">
            <v>208508.72</v>
          </cell>
          <cell r="X20879" t="str">
            <v>Claims - share RI</v>
          </cell>
        </row>
        <row r="20880">
          <cell r="L20880"/>
          <cell r="S20880">
            <v>-130317.95</v>
          </cell>
          <cell r="X20880" t="str">
            <v>Claims - share RI</v>
          </cell>
        </row>
        <row r="20881">
          <cell r="L20881"/>
          <cell r="S20881">
            <v>1381.45</v>
          </cell>
          <cell r="X20881" t="str">
            <v>Claims - share RI</v>
          </cell>
        </row>
        <row r="20882">
          <cell r="L20882"/>
          <cell r="S20882">
            <v>-103674.03</v>
          </cell>
          <cell r="X20882" t="str">
            <v>Claims - share RI</v>
          </cell>
        </row>
        <row r="20883">
          <cell r="L20883"/>
          <cell r="S20883">
            <v>70008.02</v>
          </cell>
          <cell r="X20883" t="str">
            <v>Claims - share RI</v>
          </cell>
        </row>
        <row r="20884">
          <cell r="L20884"/>
          <cell r="S20884">
            <v>-329355.89</v>
          </cell>
          <cell r="X20884" t="str">
            <v>Claims - share RI</v>
          </cell>
        </row>
        <row r="20885">
          <cell r="L20885"/>
          <cell r="S20885">
            <v>-115000</v>
          </cell>
          <cell r="X20885" t="str">
            <v>Claims - share RI</v>
          </cell>
        </row>
        <row r="20886">
          <cell r="L20886"/>
          <cell r="S20886">
            <v>5400</v>
          </cell>
          <cell r="X20886" t="str">
            <v>Claims - share RI</v>
          </cell>
        </row>
        <row r="20887">
          <cell r="L20887"/>
          <cell r="S20887">
            <v>-2424520</v>
          </cell>
          <cell r="X20887" t="str">
            <v>Claims - share RI</v>
          </cell>
        </row>
        <row r="20888">
          <cell r="L20888"/>
          <cell r="S20888">
            <v>4681.58</v>
          </cell>
          <cell r="X20888" t="str">
            <v>Claims - share RI</v>
          </cell>
        </row>
        <row r="20889">
          <cell r="L20889"/>
          <cell r="S20889">
            <v>-6312000.7000000002</v>
          </cell>
          <cell r="X20889" t="str">
            <v>Claims - share RI</v>
          </cell>
        </row>
        <row r="20890">
          <cell r="L20890"/>
          <cell r="S20890">
            <v>-17279.009999999998</v>
          </cell>
          <cell r="X20890" t="str">
            <v>Claims - share RI</v>
          </cell>
        </row>
        <row r="20891">
          <cell r="L20891"/>
          <cell r="S20891">
            <v>-21214.55</v>
          </cell>
          <cell r="X20891" t="str">
            <v>Claims - share RI</v>
          </cell>
        </row>
        <row r="20892">
          <cell r="L20892"/>
          <cell r="S20892">
            <v>18803.07</v>
          </cell>
          <cell r="X20892" t="str">
            <v>Claims - share RI</v>
          </cell>
        </row>
        <row r="20893">
          <cell r="L20893"/>
          <cell r="S20893">
            <v>-5400</v>
          </cell>
          <cell r="X20893" t="str">
            <v>Claims - share RI</v>
          </cell>
        </row>
        <row r="20894">
          <cell r="L20894"/>
          <cell r="S20894">
            <v>-3332552.6</v>
          </cell>
          <cell r="X20894" t="str">
            <v>Claims - share RI</v>
          </cell>
        </row>
        <row r="20895">
          <cell r="L20895"/>
          <cell r="S20895">
            <v>479735</v>
          </cell>
          <cell r="X20895" t="str">
            <v>Claims - share RI</v>
          </cell>
        </row>
        <row r="20896">
          <cell r="L20896"/>
          <cell r="S20896">
            <v>3332552.6</v>
          </cell>
          <cell r="X20896" t="str">
            <v>Claims - share RI</v>
          </cell>
        </row>
        <row r="20897">
          <cell r="L20897"/>
          <cell r="S20897">
            <v>23500.54</v>
          </cell>
          <cell r="X20897" t="str">
            <v>Claims - share RI</v>
          </cell>
        </row>
        <row r="20898">
          <cell r="L20898"/>
          <cell r="S20898">
            <v>5656.46</v>
          </cell>
          <cell r="X20898" t="str">
            <v>Claims - share RI</v>
          </cell>
        </row>
        <row r="20899">
          <cell r="L20899"/>
          <cell r="S20899">
            <v>154540</v>
          </cell>
          <cell r="X20899" t="str">
            <v>Claims - share RI</v>
          </cell>
        </row>
        <row r="20900">
          <cell r="L20900"/>
          <cell r="S20900">
            <v>-291760.52</v>
          </cell>
          <cell r="X20900" t="str">
            <v>Claims - share RI</v>
          </cell>
        </row>
        <row r="20901">
          <cell r="L20901"/>
          <cell r="S20901">
            <v>79592.5</v>
          </cell>
          <cell r="X20901" t="str">
            <v>Claims - share RI</v>
          </cell>
        </row>
        <row r="20902">
          <cell r="L20902"/>
          <cell r="S20902">
            <v>66380.13</v>
          </cell>
          <cell r="X20902" t="str">
            <v>Claims - share RI</v>
          </cell>
        </row>
        <row r="20903">
          <cell r="L20903"/>
          <cell r="S20903">
            <v>3313.5</v>
          </cell>
          <cell r="X20903" t="str">
            <v>Claims - share RI</v>
          </cell>
        </row>
        <row r="20904">
          <cell r="L20904"/>
          <cell r="S20904">
            <v>13613.66</v>
          </cell>
          <cell r="X20904" t="str">
            <v>Claims - share RI</v>
          </cell>
        </row>
        <row r="20905">
          <cell r="L20905"/>
          <cell r="S20905">
            <v>1043184.95</v>
          </cell>
          <cell r="X20905" t="str">
            <v>Claims - share RI</v>
          </cell>
        </row>
        <row r="20906">
          <cell r="L20906"/>
          <cell r="S20906">
            <v>5664.28</v>
          </cell>
          <cell r="X20906" t="str">
            <v>Claims - share RI</v>
          </cell>
        </row>
        <row r="20907">
          <cell r="L20907"/>
          <cell r="S20907">
            <v>199978.37</v>
          </cell>
          <cell r="X20907" t="str">
            <v>Claims - share RI</v>
          </cell>
        </row>
        <row r="20908">
          <cell r="L20908"/>
          <cell r="S20908">
            <v>34423.360000000001</v>
          </cell>
          <cell r="X20908" t="str">
            <v>Claims - share RI</v>
          </cell>
        </row>
        <row r="20909">
          <cell r="L20909"/>
          <cell r="S20909">
            <v>253214.18</v>
          </cell>
          <cell r="X20909" t="str">
            <v>Claims - share RI</v>
          </cell>
        </row>
        <row r="20910">
          <cell r="L20910"/>
          <cell r="S20910">
            <v>82418.7</v>
          </cell>
          <cell r="X20910" t="str">
            <v>Claims - share RI</v>
          </cell>
        </row>
        <row r="20911">
          <cell r="L20911"/>
          <cell r="S20911">
            <v>503931.86</v>
          </cell>
          <cell r="X20911" t="str">
            <v>Claims - share RI</v>
          </cell>
        </row>
        <row r="20912">
          <cell r="L20912"/>
          <cell r="S20912">
            <v>394804.55</v>
          </cell>
          <cell r="X20912" t="str">
            <v>Claims - share RI</v>
          </cell>
        </row>
        <row r="20913">
          <cell r="L20913"/>
          <cell r="S20913">
            <v>1171640.69</v>
          </cell>
          <cell r="X20913" t="str">
            <v>Claims - share RI</v>
          </cell>
        </row>
        <row r="20914">
          <cell r="L20914"/>
          <cell r="S20914">
            <v>-424309.15</v>
          </cell>
          <cell r="X20914" t="str">
            <v>Claims - share RI</v>
          </cell>
        </row>
        <row r="20915">
          <cell r="L20915"/>
          <cell r="S20915">
            <v>211457.78</v>
          </cell>
          <cell r="X20915" t="str">
            <v>Claims - share RI</v>
          </cell>
        </row>
        <row r="20916">
          <cell r="L20916"/>
          <cell r="S20916">
            <v>23128.67</v>
          </cell>
          <cell r="X20916" t="str">
            <v>Claims - share RI</v>
          </cell>
        </row>
        <row r="20917">
          <cell r="L20917"/>
          <cell r="S20917">
            <v>111747.81</v>
          </cell>
          <cell r="X20917" t="str">
            <v>Claims - share RI</v>
          </cell>
        </row>
        <row r="20918">
          <cell r="L20918"/>
          <cell r="S20918">
            <v>10751.52</v>
          </cell>
          <cell r="X20918" t="str">
            <v>Claims - share RI</v>
          </cell>
        </row>
        <row r="20919">
          <cell r="L20919"/>
          <cell r="S20919">
            <v>-319520.90000000002</v>
          </cell>
          <cell r="X20919" t="str">
            <v>Claims - share RI</v>
          </cell>
        </row>
        <row r="20920">
          <cell r="L20920"/>
          <cell r="S20920">
            <v>430193.09</v>
          </cell>
          <cell r="X20920" t="str">
            <v>Claims - share RI</v>
          </cell>
        </row>
        <row r="20921">
          <cell r="L20921"/>
          <cell r="S20921">
            <v>3324814.08</v>
          </cell>
          <cell r="X20921" t="str">
            <v>Claims - share RI</v>
          </cell>
        </row>
        <row r="20922">
          <cell r="L20922"/>
          <cell r="S20922">
            <v>62991.44</v>
          </cell>
          <cell r="X20922" t="str">
            <v>Claims - share RI</v>
          </cell>
        </row>
        <row r="20923">
          <cell r="L20923"/>
          <cell r="S20923">
            <v>21226.05</v>
          </cell>
          <cell r="X20923" t="str">
            <v>Claims - share RI</v>
          </cell>
        </row>
        <row r="20924">
          <cell r="L20924"/>
          <cell r="S20924">
            <v>506286.3</v>
          </cell>
          <cell r="X20924" t="str">
            <v>Claims - share RI</v>
          </cell>
        </row>
        <row r="20925">
          <cell r="L20925"/>
          <cell r="S20925">
            <v>240191.64</v>
          </cell>
          <cell r="X20925" t="str">
            <v>Claims - share RI</v>
          </cell>
        </row>
        <row r="20926">
          <cell r="L20926"/>
          <cell r="S20926">
            <v>501898.3</v>
          </cell>
          <cell r="X20926" t="str">
            <v>Claims - share RI</v>
          </cell>
        </row>
        <row r="20927">
          <cell r="L20927"/>
          <cell r="S20927">
            <v>686450.81</v>
          </cell>
          <cell r="X20927" t="str">
            <v>Claims - share RI</v>
          </cell>
        </row>
        <row r="20928">
          <cell r="L20928"/>
          <cell r="S20928">
            <v>-6418.85</v>
          </cell>
          <cell r="X20928" t="str">
            <v>Claims - share RI</v>
          </cell>
        </row>
        <row r="20929">
          <cell r="L20929"/>
          <cell r="S20929">
            <v>249440.81</v>
          </cell>
          <cell r="X20929" t="str">
            <v>Claims - share RI</v>
          </cell>
        </row>
        <row r="20930">
          <cell r="L20930"/>
          <cell r="S20930">
            <v>23544.68</v>
          </cell>
          <cell r="X20930" t="str">
            <v>Claims - share RI</v>
          </cell>
        </row>
        <row r="20931">
          <cell r="L20931"/>
          <cell r="S20931">
            <v>555601.13</v>
          </cell>
          <cell r="X20931" t="str">
            <v>Claims - share RI</v>
          </cell>
        </row>
        <row r="20932">
          <cell r="L20932"/>
          <cell r="S20932">
            <v>-238885.83</v>
          </cell>
          <cell r="X20932" t="str">
            <v>Claims - share RI</v>
          </cell>
        </row>
        <row r="20933">
          <cell r="L20933"/>
          <cell r="S20933">
            <v>7643.41</v>
          </cell>
          <cell r="X20933" t="str">
            <v>Claims - share RI</v>
          </cell>
        </row>
        <row r="20934">
          <cell r="L20934"/>
          <cell r="S20934">
            <v>0.21</v>
          </cell>
          <cell r="X20934" t="str">
            <v>Claims - share RI</v>
          </cell>
        </row>
        <row r="20935">
          <cell r="L20935"/>
          <cell r="S20935">
            <v>-1250</v>
          </cell>
          <cell r="X20935" t="str">
            <v>Claims - share RI</v>
          </cell>
        </row>
        <row r="20936">
          <cell r="L20936"/>
          <cell r="S20936">
            <v>26795</v>
          </cell>
          <cell r="X20936" t="str">
            <v>Claims - share RI</v>
          </cell>
        </row>
        <row r="20937">
          <cell r="L20937"/>
          <cell r="S20937">
            <v>124671.57</v>
          </cell>
          <cell r="X20937" t="str">
            <v>Claims - share RI</v>
          </cell>
        </row>
        <row r="20938">
          <cell r="L20938"/>
          <cell r="S20938">
            <v>437931.04</v>
          </cell>
          <cell r="X20938" t="str">
            <v>Claims - share RI</v>
          </cell>
        </row>
        <row r="20939">
          <cell r="L20939"/>
          <cell r="S20939">
            <v>2318891.21</v>
          </cell>
          <cell r="X20939" t="str">
            <v>Claims - share RI</v>
          </cell>
        </row>
        <row r="20940">
          <cell r="L20940"/>
          <cell r="S20940">
            <v>19916.09</v>
          </cell>
          <cell r="X20940" t="str">
            <v>Claims - share RI</v>
          </cell>
        </row>
        <row r="20941">
          <cell r="L20941"/>
          <cell r="S20941">
            <v>-103399.12</v>
          </cell>
          <cell r="X20941" t="str">
            <v>Claims - share RI</v>
          </cell>
        </row>
        <row r="20942">
          <cell r="L20942"/>
          <cell r="S20942">
            <v>-4504.55</v>
          </cell>
          <cell r="X20942" t="str">
            <v>Claims - share RI</v>
          </cell>
        </row>
        <row r="20943">
          <cell r="L20943"/>
          <cell r="S20943">
            <v>54469.61</v>
          </cell>
          <cell r="X20943" t="str">
            <v>Claims - share RI</v>
          </cell>
        </row>
        <row r="20944">
          <cell r="L20944"/>
          <cell r="S20944">
            <v>1339875.21</v>
          </cell>
          <cell r="X20944" t="str">
            <v>Claims - share RI</v>
          </cell>
        </row>
        <row r="20945">
          <cell r="L20945"/>
          <cell r="S20945">
            <v>29871.03</v>
          </cell>
          <cell r="X20945" t="str">
            <v>Claims - share RI</v>
          </cell>
        </row>
        <row r="20946">
          <cell r="L20946"/>
          <cell r="S20946">
            <v>-242.19</v>
          </cell>
          <cell r="X20946" t="str">
            <v>Claims - share RI</v>
          </cell>
        </row>
        <row r="20947">
          <cell r="L20947"/>
          <cell r="S20947">
            <v>370439.39</v>
          </cell>
          <cell r="X20947" t="str">
            <v>Claims - share RI</v>
          </cell>
        </row>
        <row r="20948">
          <cell r="L20948"/>
          <cell r="S20948">
            <v>1013134.75</v>
          </cell>
          <cell r="X20948" t="str">
            <v>Claims - share RI</v>
          </cell>
        </row>
        <row r="20949">
          <cell r="L20949"/>
          <cell r="S20949">
            <v>22700.799999999999</v>
          </cell>
          <cell r="X20949" t="str">
            <v>Claims - share RI</v>
          </cell>
        </row>
        <row r="20950">
          <cell r="L20950"/>
          <cell r="S20950">
            <v>-25537.73</v>
          </cell>
          <cell r="X20950" t="str">
            <v>Claims - share RI</v>
          </cell>
        </row>
        <row r="20951">
          <cell r="L20951"/>
          <cell r="S20951">
            <v>20222.32</v>
          </cell>
          <cell r="X20951" t="str">
            <v>Claims - share RI</v>
          </cell>
        </row>
        <row r="20952">
          <cell r="L20952"/>
          <cell r="S20952">
            <v>-54748.41</v>
          </cell>
          <cell r="X20952" t="str">
            <v>Claims - share RI</v>
          </cell>
        </row>
        <row r="20953">
          <cell r="L20953"/>
          <cell r="S20953">
            <v>-1018320.61</v>
          </cell>
          <cell r="X20953" t="str">
            <v>Claims - share RI</v>
          </cell>
        </row>
        <row r="20954">
          <cell r="L20954"/>
          <cell r="S20954">
            <v>8808.8799999999992</v>
          </cell>
          <cell r="X20954" t="str">
            <v>Claims - share RI</v>
          </cell>
        </row>
        <row r="20955">
          <cell r="L20955"/>
          <cell r="S20955">
            <v>-3605.42</v>
          </cell>
          <cell r="X20955" t="str">
            <v>Claims - share RI</v>
          </cell>
        </row>
        <row r="20956">
          <cell r="L20956"/>
          <cell r="S20956">
            <v>164597.87</v>
          </cell>
          <cell r="X20956" t="str">
            <v>Claims - share RI</v>
          </cell>
        </row>
        <row r="20957">
          <cell r="L20957"/>
          <cell r="S20957">
            <v>81823.490000000005</v>
          </cell>
          <cell r="X20957" t="str">
            <v>Claims - share RI</v>
          </cell>
        </row>
        <row r="20958">
          <cell r="L20958"/>
          <cell r="S20958">
            <v>-907071.89</v>
          </cell>
          <cell r="X20958" t="str">
            <v>Claims - share RI</v>
          </cell>
        </row>
        <row r="20959">
          <cell r="L20959"/>
          <cell r="S20959">
            <v>1.51</v>
          </cell>
          <cell r="X20959" t="str">
            <v>Claims - share RI</v>
          </cell>
        </row>
        <row r="20960">
          <cell r="L20960"/>
          <cell r="S20960">
            <v>92700.17</v>
          </cell>
          <cell r="X20960" t="str">
            <v>Claims - share RI</v>
          </cell>
        </row>
        <row r="20961">
          <cell r="L20961"/>
          <cell r="S20961">
            <v>-5760665.7999999998</v>
          </cell>
          <cell r="X20961" t="str">
            <v>Claims - share RI</v>
          </cell>
        </row>
        <row r="20962">
          <cell r="L20962"/>
          <cell r="S20962">
            <v>24720.05</v>
          </cell>
          <cell r="X20962" t="str">
            <v>Claims - share RI</v>
          </cell>
        </row>
        <row r="20963">
          <cell r="L20963"/>
          <cell r="S20963">
            <v>-2337814.14</v>
          </cell>
          <cell r="X20963" t="str">
            <v>Claims - share RI</v>
          </cell>
        </row>
        <row r="20964">
          <cell r="L20964"/>
          <cell r="S20964">
            <v>268605.09999999998</v>
          </cell>
          <cell r="X20964" t="str">
            <v>Claims - share RI</v>
          </cell>
        </row>
        <row r="20965">
          <cell r="L20965"/>
          <cell r="S20965">
            <v>1010302.51</v>
          </cell>
          <cell r="X20965" t="str">
            <v>Claims - share RI</v>
          </cell>
        </row>
        <row r="20966">
          <cell r="L20966"/>
          <cell r="S20966">
            <v>29267.45</v>
          </cell>
          <cell r="X20966" t="str">
            <v>Claims - share RI</v>
          </cell>
        </row>
        <row r="20967">
          <cell r="L20967"/>
          <cell r="S20967">
            <v>-3876.38</v>
          </cell>
          <cell r="X20967" t="str">
            <v>Claims - share RI</v>
          </cell>
        </row>
        <row r="20968">
          <cell r="L20968"/>
          <cell r="S20968">
            <v>317947.18</v>
          </cell>
          <cell r="X20968" t="str">
            <v>Claims - share RI</v>
          </cell>
        </row>
        <row r="20969">
          <cell r="L20969"/>
          <cell r="S20969">
            <v>-5400</v>
          </cell>
          <cell r="X20969" t="str">
            <v>Claims - share RI</v>
          </cell>
        </row>
        <row r="20970">
          <cell r="L20970"/>
          <cell r="S20970">
            <v>60497.66</v>
          </cell>
          <cell r="X20970" t="str">
            <v>Claims - share RI</v>
          </cell>
        </row>
        <row r="20971">
          <cell r="L20971"/>
          <cell r="S20971">
            <v>16426.400000000001</v>
          </cell>
          <cell r="X20971" t="str">
            <v>Claims - share RI</v>
          </cell>
        </row>
        <row r="20972">
          <cell r="L20972"/>
          <cell r="S20972">
            <v>378525.71</v>
          </cell>
          <cell r="X20972" t="str">
            <v>Claims - share RI</v>
          </cell>
        </row>
        <row r="20973">
          <cell r="L20973"/>
          <cell r="S20973">
            <v>-14679.5</v>
          </cell>
          <cell r="X20973" t="str">
            <v>Claims - share RI</v>
          </cell>
        </row>
        <row r="20974">
          <cell r="L20974"/>
          <cell r="S20974">
            <v>5045.2299999999996</v>
          </cell>
          <cell r="X20974" t="str">
            <v>Claims - share RI</v>
          </cell>
        </row>
        <row r="20975">
          <cell r="L20975"/>
          <cell r="S20975">
            <v>1320275.44</v>
          </cell>
          <cell r="X20975" t="str">
            <v>Claims - share RI</v>
          </cell>
        </row>
        <row r="20976">
          <cell r="L20976"/>
          <cell r="S20976">
            <v>0.12</v>
          </cell>
          <cell r="X20976" t="str">
            <v>Claims - share RI</v>
          </cell>
        </row>
        <row r="20977">
          <cell r="L20977"/>
          <cell r="S20977">
            <v>2720502.17</v>
          </cell>
          <cell r="X20977" t="str">
            <v>Claims - share RI</v>
          </cell>
        </row>
        <row r="20978">
          <cell r="L20978"/>
          <cell r="S20978">
            <v>1848917.43</v>
          </cell>
          <cell r="X20978" t="str">
            <v>Claims - share RI</v>
          </cell>
        </row>
        <row r="20979">
          <cell r="L20979"/>
          <cell r="S20979">
            <v>43726.41</v>
          </cell>
          <cell r="X20979" t="str">
            <v>Claims - share RI</v>
          </cell>
        </row>
        <row r="20980">
          <cell r="L20980"/>
          <cell r="S20980">
            <v>5946402.6200000001</v>
          </cell>
          <cell r="X20980" t="str">
            <v>Claims - share RI</v>
          </cell>
        </row>
        <row r="20981">
          <cell r="L20981"/>
          <cell r="S20981">
            <v>3013500</v>
          </cell>
          <cell r="X20981" t="str">
            <v>Claims - share RI</v>
          </cell>
        </row>
        <row r="20982">
          <cell r="L20982"/>
          <cell r="S20982">
            <v>-3319902.98</v>
          </cell>
          <cell r="X20982" t="str">
            <v>Claims - share RI</v>
          </cell>
        </row>
        <row r="20983">
          <cell r="L20983"/>
          <cell r="S20983">
            <v>1032868.09</v>
          </cell>
          <cell r="X20983" t="str">
            <v>Claims - share RI</v>
          </cell>
        </row>
        <row r="20984">
          <cell r="L20984"/>
          <cell r="S20984">
            <v>51758.84</v>
          </cell>
          <cell r="X20984" t="str">
            <v>Claims - share RI</v>
          </cell>
        </row>
        <row r="20985">
          <cell r="L20985"/>
          <cell r="S20985">
            <v>-2337814.14</v>
          </cell>
          <cell r="X20985" t="str">
            <v>Claims - share RI</v>
          </cell>
        </row>
        <row r="20986">
          <cell r="L20986"/>
          <cell r="S20986">
            <v>-7013442.4199999999</v>
          </cell>
          <cell r="X20986" t="str">
            <v>Claims - share RI</v>
          </cell>
        </row>
        <row r="20987">
          <cell r="L20987"/>
          <cell r="S20987">
            <v>94245.18</v>
          </cell>
          <cell r="X20987" t="str">
            <v>Claims - share RI</v>
          </cell>
        </row>
        <row r="20988">
          <cell r="L20988"/>
          <cell r="S20988">
            <v>615000</v>
          </cell>
          <cell r="X20988" t="str">
            <v>Claims - share RI</v>
          </cell>
        </row>
        <row r="20989">
          <cell r="L20989"/>
          <cell r="S20989">
            <v>471500</v>
          </cell>
          <cell r="X20989" t="str">
            <v>Claims - share RI</v>
          </cell>
        </row>
        <row r="20990">
          <cell r="L20990"/>
          <cell r="S20990">
            <v>49452.93</v>
          </cell>
          <cell r="X20990" t="str">
            <v>Claims - share RI</v>
          </cell>
        </row>
        <row r="20991">
          <cell r="L20991"/>
          <cell r="S20991">
            <v>1536706.58</v>
          </cell>
          <cell r="X20991" t="str">
            <v>Claims - share RI</v>
          </cell>
        </row>
        <row r="20992">
          <cell r="L20992"/>
          <cell r="S20992">
            <v>4143352.33</v>
          </cell>
          <cell r="X20992" t="str">
            <v>Claims - share RI</v>
          </cell>
        </row>
        <row r="20993">
          <cell r="L20993"/>
          <cell r="S20993">
            <v>85012.88</v>
          </cell>
          <cell r="X20993" t="str">
            <v>Claims - share RI</v>
          </cell>
        </row>
        <row r="20994">
          <cell r="L20994"/>
          <cell r="S20994">
            <v>27810.05</v>
          </cell>
          <cell r="X20994" t="str">
            <v>Claims - share RI</v>
          </cell>
        </row>
        <row r="20995">
          <cell r="L20995"/>
          <cell r="S20995">
            <v>502630.04</v>
          </cell>
          <cell r="X20995" t="str">
            <v>Claims - share RI</v>
          </cell>
        </row>
        <row r="20996">
          <cell r="L20996"/>
          <cell r="S20996">
            <v>-5424.11</v>
          </cell>
          <cell r="X20996" t="str">
            <v>Claims - share RI</v>
          </cell>
        </row>
        <row r="20997">
          <cell r="L20997"/>
          <cell r="S20997">
            <v>2538780.7400000002</v>
          </cell>
          <cell r="X20997" t="str">
            <v>Claims - share RI</v>
          </cell>
        </row>
        <row r="20998">
          <cell r="L20998"/>
          <cell r="S20998">
            <v>300986.56</v>
          </cell>
          <cell r="X20998" t="str">
            <v>Claims - share RI</v>
          </cell>
        </row>
        <row r="20999">
          <cell r="L20999"/>
          <cell r="S20999">
            <v>3319902.98</v>
          </cell>
          <cell r="X20999" t="str">
            <v>Claims - share RI</v>
          </cell>
        </row>
        <row r="21000">
          <cell r="L21000" t="str">
            <v>Proportional</v>
          </cell>
          <cell r="S21000">
            <v>-6564.04</v>
          </cell>
          <cell r="X21000" t="str">
            <v>Claims - share RI</v>
          </cell>
        </row>
        <row r="21001">
          <cell r="L21001"/>
          <cell r="S21001">
            <v>-4717.8</v>
          </cell>
          <cell r="X21001" t="str">
            <v>Claims - share RI</v>
          </cell>
        </row>
        <row r="21002">
          <cell r="L21002"/>
          <cell r="S21002">
            <v>647.30999999999995</v>
          </cell>
          <cell r="X21002" t="str">
            <v>Claims - share RI</v>
          </cell>
        </row>
        <row r="21003">
          <cell r="L21003"/>
          <cell r="S21003">
            <v>5400</v>
          </cell>
          <cell r="X21003" t="str">
            <v>Claims - share RI</v>
          </cell>
        </row>
        <row r="21004">
          <cell r="L21004"/>
          <cell r="S21004">
            <v>-0.37</v>
          </cell>
          <cell r="X21004" t="str">
            <v>Claims - share RI</v>
          </cell>
        </row>
        <row r="21005">
          <cell r="L21005" t="str">
            <v>Proportional</v>
          </cell>
          <cell r="S21005">
            <v>3096.28</v>
          </cell>
          <cell r="X21005" t="str">
            <v>Claims - share RI</v>
          </cell>
        </row>
        <row r="21006">
          <cell r="L21006"/>
          <cell r="S21006">
            <v>112670.9</v>
          </cell>
          <cell r="X21006" t="str">
            <v>Claims - share RI</v>
          </cell>
        </row>
        <row r="21007">
          <cell r="L21007"/>
          <cell r="S21007">
            <v>727566.71</v>
          </cell>
          <cell r="X21007" t="str">
            <v>Claims - share RI</v>
          </cell>
        </row>
        <row r="21008">
          <cell r="L21008"/>
          <cell r="S21008">
            <v>105.38</v>
          </cell>
          <cell r="X21008" t="str">
            <v>Claims - share RI</v>
          </cell>
        </row>
        <row r="21009">
          <cell r="L21009"/>
          <cell r="S21009">
            <v>189853.3</v>
          </cell>
          <cell r="X21009" t="str">
            <v>Claims - share RI</v>
          </cell>
        </row>
        <row r="21010">
          <cell r="L21010"/>
          <cell r="S21010">
            <v>-216352.12</v>
          </cell>
          <cell r="X21010" t="str">
            <v>Claims - share RI</v>
          </cell>
        </row>
        <row r="21011">
          <cell r="L21011"/>
          <cell r="S21011">
            <v>104888.61</v>
          </cell>
          <cell r="X21011" t="str">
            <v>Claims - share RI</v>
          </cell>
        </row>
        <row r="21012">
          <cell r="L21012"/>
          <cell r="S21012">
            <v>-316434.11</v>
          </cell>
          <cell r="X21012" t="str">
            <v>Claims - share RI</v>
          </cell>
        </row>
        <row r="21013">
          <cell r="L21013"/>
          <cell r="S21013">
            <v>-365203.6</v>
          </cell>
          <cell r="X21013" t="str">
            <v>Claims - share RI</v>
          </cell>
        </row>
        <row r="21014">
          <cell r="L21014"/>
          <cell r="S21014">
            <v>23112.83</v>
          </cell>
          <cell r="X21014" t="str">
            <v>Claims - share RI</v>
          </cell>
        </row>
        <row r="21015">
          <cell r="L21015"/>
          <cell r="S21015">
            <v>85049</v>
          </cell>
          <cell r="X21015" t="str">
            <v>Claims - share RI</v>
          </cell>
        </row>
        <row r="21016">
          <cell r="L21016"/>
          <cell r="S21016">
            <v>-20665.09</v>
          </cell>
          <cell r="X21016" t="str">
            <v>Claims - share RI</v>
          </cell>
        </row>
        <row r="21017">
          <cell r="L21017"/>
          <cell r="S21017">
            <v>7607</v>
          </cell>
          <cell r="X21017" t="str">
            <v>Claims - share RI</v>
          </cell>
        </row>
        <row r="21018">
          <cell r="L21018"/>
          <cell r="S21018">
            <v>65782.69</v>
          </cell>
          <cell r="X21018" t="str">
            <v>Claims - share RI</v>
          </cell>
        </row>
        <row r="21019">
          <cell r="L21019"/>
          <cell r="S21019">
            <v>-3962117.31</v>
          </cell>
          <cell r="X21019" t="str">
            <v>Claims - share RI</v>
          </cell>
        </row>
        <row r="21020">
          <cell r="L21020" t="str">
            <v>Proportional</v>
          </cell>
          <cell r="S21020">
            <v>-1309.29</v>
          </cell>
          <cell r="X21020" t="str">
            <v>Claims - share RI</v>
          </cell>
        </row>
        <row r="21021">
          <cell r="L21021"/>
          <cell r="S21021">
            <v>136451.62</v>
          </cell>
          <cell r="X21021" t="str">
            <v>Claims - share RI</v>
          </cell>
        </row>
        <row r="21022">
          <cell r="L21022"/>
          <cell r="S21022">
            <v>82525.97</v>
          </cell>
          <cell r="X21022" t="str">
            <v>Claims - share RI</v>
          </cell>
        </row>
        <row r="21023">
          <cell r="L21023"/>
          <cell r="S21023">
            <v>-77494.06</v>
          </cell>
          <cell r="X21023" t="str">
            <v>Claims - share RI</v>
          </cell>
        </row>
        <row r="21024">
          <cell r="L21024"/>
          <cell r="S21024">
            <v>98952</v>
          </cell>
          <cell r="X21024" t="str">
            <v>Claims - share RI</v>
          </cell>
        </row>
        <row r="21025">
          <cell r="L21025" t="str">
            <v>Proportional</v>
          </cell>
          <cell r="S21025">
            <v>617.6</v>
          </cell>
          <cell r="X21025" t="str">
            <v>Claims - share RI</v>
          </cell>
        </row>
        <row r="21026">
          <cell r="L21026"/>
          <cell r="S21026">
            <v>-23248.22</v>
          </cell>
          <cell r="X21026" t="str">
            <v>Claims - share RI</v>
          </cell>
        </row>
        <row r="21027">
          <cell r="L21027"/>
          <cell r="S21027">
            <v>-78785.64</v>
          </cell>
          <cell r="X21027" t="str">
            <v>Claims - share RI</v>
          </cell>
        </row>
        <row r="21028">
          <cell r="L21028"/>
          <cell r="S21028">
            <v>45696.7</v>
          </cell>
          <cell r="X21028" t="str">
            <v>Claims - share RI</v>
          </cell>
        </row>
        <row r="21029">
          <cell r="L21029"/>
          <cell r="S21029">
            <v>76650.5</v>
          </cell>
          <cell r="X21029" t="str">
            <v>Claims - share RI</v>
          </cell>
        </row>
        <row r="21030">
          <cell r="L21030"/>
          <cell r="S21030">
            <v>3962117.31</v>
          </cell>
          <cell r="X21030" t="str">
            <v>Claims - share RI</v>
          </cell>
        </row>
        <row r="21031">
          <cell r="L21031"/>
          <cell r="S21031">
            <v>484382.15</v>
          </cell>
          <cell r="X21031" t="str">
            <v>Claims - share RI</v>
          </cell>
        </row>
        <row r="21032">
          <cell r="L21032"/>
          <cell r="S21032">
            <v>16018.42</v>
          </cell>
          <cell r="X21032" t="str">
            <v>Claims - share RI</v>
          </cell>
        </row>
        <row r="21033">
          <cell r="L21033"/>
          <cell r="S21033">
            <v>-26689.69</v>
          </cell>
          <cell r="X21033" t="str">
            <v>Claims - share RI</v>
          </cell>
        </row>
        <row r="21034">
          <cell r="L21034"/>
          <cell r="S21034">
            <v>10592.1</v>
          </cell>
          <cell r="X21034" t="str">
            <v>Claims - share RI</v>
          </cell>
        </row>
        <row r="21035">
          <cell r="L21035"/>
          <cell r="S21035">
            <v>-9386.48</v>
          </cell>
          <cell r="X21035" t="str">
            <v>Claims - share RI</v>
          </cell>
        </row>
        <row r="21036">
          <cell r="L21036"/>
          <cell r="S21036">
            <v>-41222.839999999997</v>
          </cell>
          <cell r="X21036" t="str">
            <v>Claims - share RI</v>
          </cell>
        </row>
        <row r="21037">
          <cell r="L21037"/>
          <cell r="S21037">
            <v>1724.3</v>
          </cell>
          <cell r="X21037" t="str">
            <v>Claims - share RI</v>
          </cell>
        </row>
        <row r="21038">
          <cell r="L21038"/>
          <cell r="S21038">
            <v>421865.95</v>
          </cell>
          <cell r="X21038" t="str">
            <v>Claims - share RI</v>
          </cell>
        </row>
        <row r="21039">
          <cell r="L21039"/>
          <cell r="S21039">
            <v>-344145.84</v>
          </cell>
          <cell r="X21039" t="str">
            <v>Claims - share RI</v>
          </cell>
        </row>
        <row r="21040">
          <cell r="L21040"/>
          <cell r="S21040">
            <v>16720.310000000001</v>
          </cell>
          <cell r="X21040" t="str">
            <v>Claims - share RI</v>
          </cell>
        </row>
        <row r="21041">
          <cell r="L21041"/>
          <cell r="S21041">
            <v>7665.44</v>
          </cell>
          <cell r="X21041" t="str">
            <v>Claims - share RI</v>
          </cell>
        </row>
        <row r="21042">
          <cell r="L21042"/>
          <cell r="S21042">
            <v>89365.93</v>
          </cell>
          <cell r="X21042" t="str">
            <v>Claims - share RI</v>
          </cell>
        </row>
        <row r="21043">
          <cell r="L21043"/>
          <cell r="S21043">
            <v>-2289901.54</v>
          </cell>
          <cell r="X21043" t="str">
            <v>Claims - share RI</v>
          </cell>
        </row>
        <row r="21044">
          <cell r="L21044"/>
          <cell r="S21044">
            <v>-8286.81</v>
          </cell>
          <cell r="X21044" t="str">
            <v>Claims - share RI</v>
          </cell>
        </row>
        <row r="21045">
          <cell r="L21045"/>
          <cell r="S21045">
            <v>4599.26</v>
          </cell>
          <cell r="X21045" t="str">
            <v>Claims - share RI</v>
          </cell>
        </row>
        <row r="21046">
          <cell r="L21046"/>
          <cell r="S21046">
            <v>398013.51</v>
          </cell>
          <cell r="X21046" t="str">
            <v>Claims - share RI</v>
          </cell>
        </row>
        <row r="21047">
          <cell r="L21047"/>
          <cell r="S21047">
            <v>-14240.95</v>
          </cell>
          <cell r="X21047" t="str">
            <v>Claims - share RI</v>
          </cell>
        </row>
        <row r="21048">
          <cell r="L21048"/>
          <cell r="S21048">
            <v>-1691881.12</v>
          </cell>
          <cell r="X21048" t="str">
            <v>Claims - share RI</v>
          </cell>
        </row>
        <row r="21049">
          <cell r="L21049"/>
          <cell r="S21049">
            <v>-2289901.54</v>
          </cell>
          <cell r="X21049" t="str">
            <v>Claims - share RI</v>
          </cell>
        </row>
        <row r="21050">
          <cell r="L21050"/>
          <cell r="S21050">
            <v>310997.69</v>
          </cell>
          <cell r="X21050" t="str">
            <v>Claims - share RI</v>
          </cell>
        </row>
        <row r="21051">
          <cell r="L21051"/>
          <cell r="S21051">
            <v>-18578.669999999998</v>
          </cell>
          <cell r="X21051" t="str">
            <v>Claims - share RI</v>
          </cell>
        </row>
        <row r="21052">
          <cell r="L21052"/>
          <cell r="S21052">
            <v>936436.02</v>
          </cell>
          <cell r="X21052" t="str">
            <v>Claims - share RI</v>
          </cell>
        </row>
        <row r="21053">
          <cell r="L21053"/>
          <cell r="S21053">
            <v>226894.41</v>
          </cell>
          <cell r="X21053" t="str">
            <v>Claims - share RI</v>
          </cell>
        </row>
        <row r="21054">
          <cell r="L21054" t="str">
            <v>Proportional</v>
          </cell>
          <cell r="S21054">
            <v>-4505</v>
          </cell>
          <cell r="X21054" t="str">
            <v>Claims - share RI</v>
          </cell>
        </row>
        <row r="21055">
          <cell r="L21055"/>
          <cell r="S21055">
            <v>1393779.93</v>
          </cell>
          <cell r="X21055" t="str">
            <v>Claims - share RI</v>
          </cell>
        </row>
        <row r="21056">
          <cell r="L21056"/>
          <cell r="S21056">
            <v>1101248.3799999999</v>
          </cell>
          <cell r="X21056" t="str">
            <v>Claims - share RI</v>
          </cell>
        </row>
        <row r="21057">
          <cell r="L21057" t="str">
            <v>Proportional</v>
          </cell>
          <cell r="S21057">
            <v>2125</v>
          </cell>
          <cell r="X21057" t="str">
            <v>Claims - share RI</v>
          </cell>
        </row>
        <row r="21058">
          <cell r="L21058"/>
          <cell r="S21058">
            <v>-3796</v>
          </cell>
          <cell r="X21058" t="str">
            <v>Claims - share RI</v>
          </cell>
        </row>
        <row r="21059">
          <cell r="L21059"/>
          <cell r="S21059">
            <v>-47862.11</v>
          </cell>
          <cell r="X21059" t="str">
            <v>Claims - share RI</v>
          </cell>
        </row>
        <row r="21060">
          <cell r="L21060"/>
          <cell r="S21060">
            <v>-278.2</v>
          </cell>
          <cell r="X21060" t="str">
            <v>Claims - share RI</v>
          </cell>
        </row>
        <row r="21061">
          <cell r="L21061"/>
          <cell r="S21061">
            <v>-1373940.92</v>
          </cell>
          <cell r="X21061" t="str">
            <v>Claims - share RI</v>
          </cell>
        </row>
        <row r="21062">
          <cell r="L21062"/>
          <cell r="S21062">
            <v>-972938.15</v>
          </cell>
          <cell r="X21062" t="str">
            <v>Claims - share RI</v>
          </cell>
        </row>
        <row r="21063">
          <cell r="L21063"/>
          <cell r="S21063">
            <v>78852.91</v>
          </cell>
          <cell r="X21063" t="str">
            <v>Claims - share RI</v>
          </cell>
        </row>
        <row r="21064">
          <cell r="L21064"/>
          <cell r="S21064">
            <v>-228990.15</v>
          </cell>
          <cell r="X21064" t="str">
            <v>Claims - share RI</v>
          </cell>
        </row>
        <row r="21065">
          <cell r="L21065"/>
          <cell r="S21065">
            <v>-418426.53</v>
          </cell>
          <cell r="X21065" t="str">
            <v>Claims - share RI</v>
          </cell>
        </row>
        <row r="21066">
          <cell r="L21066"/>
          <cell r="S21066">
            <v>-857283.02</v>
          </cell>
          <cell r="X21066" t="str">
            <v>Claims - share RI</v>
          </cell>
        </row>
        <row r="21067">
          <cell r="L21067"/>
          <cell r="S21067">
            <v>-457980.31</v>
          </cell>
          <cell r="X21067" t="str">
            <v>Claims - share RI</v>
          </cell>
        </row>
        <row r="21068">
          <cell r="L21068"/>
          <cell r="S21068">
            <v>-421865.95</v>
          </cell>
          <cell r="X21068" t="str">
            <v>Claims - share RI</v>
          </cell>
        </row>
        <row r="21069">
          <cell r="L21069"/>
          <cell r="S21069">
            <v>186050.82</v>
          </cell>
          <cell r="X21069" t="str">
            <v>Claims - share RI</v>
          </cell>
        </row>
        <row r="21070">
          <cell r="L21070" t="str">
            <v>Proportional</v>
          </cell>
          <cell r="S21070">
            <v>1848605.24</v>
          </cell>
          <cell r="X21070" t="str">
            <v>Claims - share RI</v>
          </cell>
        </row>
        <row r="21071">
          <cell r="L21071"/>
          <cell r="S21071">
            <v>-195251.20000000001</v>
          </cell>
          <cell r="X21071" t="str">
            <v>Claims - share RI</v>
          </cell>
        </row>
        <row r="21072">
          <cell r="L21072"/>
          <cell r="S21072">
            <v>7476.4</v>
          </cell>
          <cell r="X21072" t="str">
            <v>Claims - share RI</v>
          </cell>
        </row>
        <row r="21073">
          <cell r="L21073"/>
          <cell r="S21073">
            <v>-404337.82</v>
          </cell>
          <cell r="X21073" t="str">
            <v>Claims - share RI</v>
          </cell>
        </row>
        <row r="21074">
          <cell r="L21074"/>
          <cell r="S21074">
            <v>-51407.21</v>
          </cell>
          <cell r="X21074" t="str">
            <v>Claims - share RI</v>
          </cell>
        </row>
        <row r="21075">
          <cell r="L21075" t="str">
            <v>Proportional</v>
          </cell>
          <cell r="S21075">
            <v>207115.81</v>
          </cell>
          <cell r="X21075" t="str">
            <v>Claims - share RI</v>
          </cell>
        </row>
        <row r="21076">
          <cell r="L21076"/>
          <cell r="S21076">
            <v>-56898.74</v>
          </cell>
          <cell r="X21076" t="str">
            <v>Claims - share RI</v>
          </cell>
        </row>
        <row r="21077">
          <cell r="L21077"/>
          <cell r="S21077">
            <v>-349520.84</v>
          </cell>
          <cell r="X21077" t="str">
            <v>Claims - share RI</v>
          </cell>
        </row>
        <row r="21078">
          <cell r="L21078"/>
          <cell r="S21078">
            <v>-82752.09</v>
          </cell>
          <cell r="X21078" t="str">
            <v>Claims - share RI</v>
          </cell>
        </row>
        <row r="21079">
          <cell r="L21079"/>
          <cell r="S21079">
            <v>-368487.2</v>
          </cell>
          <cell r="X21079" t="str">
            <v>Claims - share RI</v>
          </cell>
        </row>
        <row r="21080">
          <cell r="L21080"/>
          <cell r="S21080">
            <v>-15378.35</v>
          </cell>
          <cell r="X21080" t="str">
            <v>Claims - share RI</v>
          </cell>
        </row>
        <row r="21081">
          <cell r="L21081"/>
          <cell r="S21081">
            <v>-146480.60999999999</v>
          </cell>
          <cell r="X21081" t="str">
            <v>Claims - share RI</v>
          </cell>
        </row>
        <row r="21082">
          <cell r="L21082"/>
          <cell r="S21082">
            <v>-10758.99</v>
          </cell>
          <cell r="X21082" t="str">
            <v>Claims - share RI</v>
          </cell>
        </row>
        <row r="21083">
          <cell r="L21083" t="str">
            <v>Proportional</v>
          </cell>
          <cell r="S21083">
            <v>75767.839999999997</v>
          </cell>
          <cell r="X21083" t="str">
            <v>Claims - share RI</v>
          </cell>
        </row>
        <row r="21084">
          <cell r="L21084"/>
          <cell r="S21084">
            <v>-31992.69</v>
          </cell>
          <cell r="X21084" t="str">
            <v>Claims - share RI</v>
          </cell>
        </row>
        <row r="21085">
          <cell r="L21085"/>
          <cell r="S21085">
            <v>-792065.76</v>
          </cell>
          <cell r="X21085" t="str">
            <v>Claims - share RI</v>
          </cell>
        </row>
        <row r="21086">
          <cell r="L21086" t="str">
            <v>Proportional</v>
          </cell>
          <cell r="S21086">
            <v>-2233.65</v>
          </cell>
          <cell r="X21086" t="str">
            <v>Claims - share RI</v>
          </cell>
        </row>
        <row r="21087">
          <cell r="L21087"/>
          <cell r="S21087">
            <v>-487468.01</v>
          </cell>
          <cell r="X21087" t="str">
            <v>Claims - share RI</v>
          </cell>
        </row>
        <row r="21088">
          <cell r="L21088"/>
          <cell r="S21088">
            <v>-79355.259999999995</v>
          </cell>
          <cell r="X21088" t="str">
            <v>Claims - share RI</v>
          </cell>
        </row>
        <row r="21089">
          <cell r="L21089"/>
          <cell r="S21089">
            <v>1393.58</v>
          </cell>
          <cell r="X21089" t="str">
            <v>Claims - share RI</v>
          </cell>
        </row>
        <row r="21090">
          <cell r="L21090"/>
          <cell r="S21090">
            <v>-149851.46</v>
          </cell>
          <cell r="X21090" t="str">
            <v>Claims - share RI</v>
          </cell>
        </row>
        <row r="21091">
          <cell r="L21091"/>
          <cell r="S21091">
            <v>-59986.29</v>
          </cell>
          <cell r="X21091" t="str">
            <v>Claims - share RI</v>
          </cell>
        </row>
        <row r="21092">
          <cell r="L21092"/>
          <cell r="S21092">
            <v>-578.44000000000005</v>
          </cell>
          <cell r="X21092" t="str">
            <v>Claims - share RI</v>
          </cell>
        </row>
        <row r="21093">
          <cell r="L21093"/>
          <cell r="S21093">
            <v>-196526.51</v>
          </cell>
          <cell r="X21093" t="str">
            <v>Claims - share RI</v>
          </cell>
        </row>
        <row r="21094">
          <cell r="L21094"/>
          <cell r="S21094">
            <v>8361.4599999999991</v>
          </cell>
          <cell r="X21094" t="str">
            <v>Claims - share RI</v>
          </cell>
        </row>
        <row r="21095">
          <cell r="L21095"/>
          <cell r="S21095">
            <v>19099.919999999998</v>
          </cell>
          <cell r="X21095" t="str">
            <v>Claims - share RI</v>
          </cell>
        </row>
        <row r="21096">
          <cell r="L21096"/>
          <cell r="S21096">
            <v>-24467.11</v>
          </cell>
          <cell r="X21096" t="str">
            <v>Claims - share RI</v>
          </cell>
        </row>
        <row r="21097">
          <cell r="L21097"/>
          <cell r="S21097">
            <v>4755.5</v>
          </cell>
          <cell r="X21097" t="str">
            <v>Claims - share RI</v>
          </cell>
        </row>
        <row r="21098">
          <cell r="L21098"/>
          <cell r="S21098">
            <v>-27779.360000000001</v>
          </cell>
          <cell r="X21098" t="str">
            <v>Claims - share RI</v>
          </cell>
        </row>
        <row r="21099">
          <cell r="L21099"/>
          <cell r="S21099">
            <v>-6222.62</v>
          </cell>
          <cell r="X21099" t="str">
            <v>Claims - share RI</v>
          </cell>
        </row>
        <row r="21100">
          <cell r="L21100"/>
          <cell r="S21100">
            <v>-10404.25</v>
          </cell>
          <cell r="X21100" t="str">
            <v>Claims - share RI</v>
          </cell>
        </row>
        <row r="21101">
          <cell r="L21101"/>
          <cell r="S21101">
            <v>1403.26</v>
          </cell>
          <cell r="X21101" t="str">
            <v>Claims - share RI</v>
          </cell>
        </row>
        <row r="21102">
          <cell r="L21102"/>
          <cell r="S21102">
            <v>42223.57</v>
          </cell>
          <cell r="X21102" t="str">
            <v>Claims - share RI</v>
          </cell>
        </row>
        <row r="21103">
          <cell r="L21103"/>
          <cell r="S21103">
            <v>-65655.67</v>
          </cell>
          <cell r="X21103" t="str">
            <v>Claims - share RI</v>
          </cell>
        </row>
        <row r="21104">
          <cell r="L21104"/>
          <cell r="S21104">
            <v>265966.57</v>
          </cell>
          <cell r="X21104" t="str">
            <v>Claims - share RI</v>
          </cell>
        </row>
        <row r="21105">
          <cell r="L21105"/>
          <cell r="S21105">
            <v>4677.53</v>
          </cell>
          <cell r="X21105" t="str">
            <v>Claims - share RI</v>
          </cell>
        </row>
        <row r="21106">
          <cell r="L21106"/>
          <cell r="S21106">
            <v>1498.58</v>
          </cell>
          <cell r="X21106" t="str">
            <v>Claims - share RI</v>
          </cell>
        </row>
        <row r="21107">
          <cell r="L21107"/>
          <cell r="S21107">
            <v>1433910.36</v>
          </cell>
          <cell r="X21107" t="str">
            <v>Claims - share RI</v>
          </cell>
        </row>
        <row r="21108">
          <cell r="L21108"/>
          <cell r="S21108">
            <v>-3168794.89</v>
          </cell>
          <cell r="X21108" t="str">
            <v>Claims - share RI</v>
          </cell>
        </row>
        <row r="21109">
          <cell r="L21109"/>
          <cell r="S21109">
            <v>-36474.269999999997</v>
          </cell>
          <cell r="X21109" t="str">
            <v>Claims - share RI</v>
          </cell>
        </row>
        <row r="21110">
          <cell r="L21110"/>
          <cell r="S21110">
            <v>375864.97</v>
          </cell>
          <cell r="X21110" t="str">
            <v>Claims - share RI</v>
          </cell>
        </row>
        <row r="21111">
          <cell r="L21111"/>
          <cell r="S21111">
            <v>-38224.660000000003</v>
          </cell>
          <cell r="X21111" t="str">
            <v>Claims - share RI</v>
          </cell>
        </row>
        <row r="21112">
          <cell r="L21112"/>
          <cell r="S21112">
            <v>-66971.990000000005</v>
          </cell>
          <cell r="X21112" t="str">
            <v>Claims - share RI</v>
          </cell>
        </row>
        <row r="21113">
          <cell r="L21113"/>
          <cell r="S21113">
            <v>372582.29</v>
          </cell>
          <cell r="X21113" t="str">
            <v>Claims - share RI</v>
          </cell>
        </row>
        <row r="21114">
          <cell r="L21114"/>
          <cell r="S21114">
            <v>2777.56</v>
          </cell>
          <cell r="X21114" t="str">
            <v>Claims - share RI</v>
          </cell>
        </row>
        <row r="21115">
          <cell r="L21115"/>
          <cell r="S21115">
            <v>-26255.94</v>
          </cell>
          <cell r="X21115" t="str">
            <v>Claims - share RI</v>
          </cell>
        </row>
        <row r="21116">
          <cell r="L21116"/>
          <cell r="S21116">
            <v>315354.94</v>
          </cell>
          <cell r="X21116" t="str">
            <v>Claims - share RI</v>
          </cell>
        </row>
        <row r="21117">
          <cell r="L21117"/>
          <cell r="S21117">
            <v>-50600.09</v>
          </cell>
          <cell r="X21117" t="str">
            <v>Claims - share RI</v>
          </cell>
        </row>
        <row r="21118">
          <cell r="L21118"/>
          <cell r="S21118">
            <v>-15509.3</v>
          </cell>
          <cell r="X21118" t="str">
            <v>Claims - share RI</v>
          </cell>
        </row>
        <row r="21119">
          <cell r="L21119"/>
          <cell r="S21119">
            <v>-8278</v>
          </cell>
          <cell r="X21119" t="str">
            <v>Claims - share RI</v>
          </cell>
        </row>
        <row r="21120">
          <cell r="L21120"/>
          <cell r="S21120">
            <v>6873.61</v>
          </cell>
          <cell r="X21120" t="str">
            <v>Claims - share RI</v>
          </cell>
        </row>
        <row r="21121">
          <cell r="L21121"/>
          <cell r="S21121">
            <v>547892.17000000004</v>
          </cell>
          <cell r="X21121" t="str">
            <v>Claims - share RI</v>
          </cell>
        </row>
        <row r="21122">
          <cell r="L21122"/>
          <cell r="S21122">
            <v>1247.3399999999999</v>
          </cell>
          <cell r="X21122" t="str">
            <v>Claims - share RI</v>
          </cell>
        </row>
        <row r="21123">
          <cell r="L21123"/>
          <cell r="S21123">
            <v>-14738.51</v>
          </cell>
          <cell r="X21123" t="str">
            <v>Claims - share RI</v>
          </cell>
        </row>
        <row r="21124">
          <cell r="L21124"/>
          <cell r="S21124">
            <v>-104144.18</v>
          </cell>
          <cell r="X21124" t="str">
            <v>Claims - share RI</v>
          </cell>
        </row>
        <row r="21125">
          <cell r="L21125"/>
          <cell r="S21125">
            <v>3740.51</v>
          </cell>
          <cell r="X21125" t="str">
            <v>Claims - share RI</v>
          </cell>
        </row>
        <row r="21126">
          <cell r="L21126"/>
          <cell r="S21126">
            <v>143111.13</v>
          </cell>
          <cell r="X21126" t="str">
            <v>Claims - share RI</v>
          </cell>
        </row>
        <row r="21127">
          <cell r="L21127"/>
          <cell r="S21127">
            <v>-143111.13</v>
          </cell>
          <cell r="X21127" t="str">
            <v>Claims - share RI</v>
          </cell>
        </row>
        <row r="21128">
          <cell r="L21128"/>
          <cell r="S21128">
            <v>-3740.51</v>
          </cell>
          <cell r="X21128" t="str">
            <v>Claims - share RI</v>
          </cell>
        </row>
        <row r="21129">
          <cell r="L21129"/>
          <cell r="S21129">
            <v>14738.51</v>
          </cell>
          <cell r="X21129" t="str">
            <v>Claims - share RI</v>
          </cell>
        </row>
        <row r="21130">
          <cell r="L21130"/>
          <cell r="S21130">
            <v>-23851.86</v>
          </cell>
          <cell r="X21130" t="str">
            <v>Claims - share RI</v>
          </cell>
        </row>
        <row r="21131">
          <cell r="L21131"/>
          <cell r="S21131">
            <v>104144.18</v>
          </cell>
          <cell r="X21131" t="str">
            <v>Claims - share RI</v>
          </cell>
        </row>
        <row r="21132">
          <cell r="L21132"/>
          <cell r="S21132">
            <v>23851.86</v>
          </cell>
          <cell r="X21132" t="str">
            <v>Claims - share RI</v>
          </cell>
        </row>
        <row r="21133">
          <cell r="L21133"/>
          <cell r="S21133">
            <v>1289.8</v>
          </cell>
          <cell r="X21133" t="str">
            <v>Commissions - share RI</v>
          </cell>
        </row>
        <row r="21134">
          <cell r="L21134"/>
          <cell r="S21134">
            <v>51445.99</v>
          </cell>
          <cell r="X21134" t="str">
            <v>Commissions - share RI</v>
          </cell>
        </row>
        <row r="21135">
          <cell r="L21135"/>
          <cell r="S21135">
            <v>-133176.47</v>
          </cell>
          <cell r="X21135" t="str">
            <v>Commissions - share RI</v>
          </cell>
        </row>
        <row r="21136">
          <cell r="L21136"/>
          <cell r="S21136">
            <v>-438900</v>
          </cell>
          <cell r="X21136" t="str">
            <v>Commissions - share RI</v>
          </cell>
        </row>
        <row r="21137">
          <cell r="L21137"/>
          <cell r="S21137">
            <v>133176.47</v>
          </cell>
          <cell r="X21137" t="str">
            <v>Commissions - share RI</v>
          </cell>
        </row>
        <row r="21138">
          <cell r="L21138"/>
          <cell r="S21138">
            <v>438900</v>
          </cell>
          <cell r="X21138" t="str">
            <v>Commissions - share RI</v>
          </cell>
        </row>
        <row r="21139">
          <cell r="L21139"/>
          <cell r="S21139">
            <v>-6840.52</v>
          </cell>
          <cell r="X21139" t="str">
            <v>Commissions - share RI</v>
          </cell>
        </row>
        <row r="21140">
          <cell r="L21140"/>
          <cell r="S21140">
            <v>-2909.11</v>
          </cell>
          <cell r="X21140" t="str">
            <v>Commissions - share RI</v>
          </cell>
        </row>
        <row r="21141">
          <cell r="L21141"/>
          <cell r="S21141">
            <v>-25994.01</v>
          </cell>
          <cell r="X21141" t="str">
            <v>Commissions - share RI</v>
          </cell>
        </row>
        <row r="21142">
          <cell r="L21142"/>
          <cell r="S21142">
            <v>-685.49</v>
          </cell>
          <cell r="X21142" t="str">
            <v>Commissions - share RI</v>
          </cell>
        </row>
        <row r="21143">
          <cell r="L21143"/>
          <cell r="S21143">
            <v>-1813.48</v>
          </cell>
          <cell r="X21143" t="str">
            <v>Commissions - share RI</v>
          </cell>
        </row>
        <row r="21144">
          <cell r="L21144"/>
          <cell r="S21144">
            <v>-21756.5</v>
          </cell>
          <cell r="X21144" t="str">
            <v>Commissions - share RI</v>
          </cell>
        </row>
        <row r="21145">
          <cell r="L21145"/>
          <cell r="S21145">
            <v>-2828.23</v>
          </cell>
          <cell r="X21145" t="str">
            <v>Commissions - share RI</v>
          </cell>
        </row>
        <row r="21146">
          <cell r="L21146"/>
          <cell r="S21146">
            <v>-436.91</v>
          </cell>
          <cell r="X21146" t="str">
            <v>Commissions - share RI</v>
          </cell>
        </row>
        <row r="21147">
          <cell r="L21147"/>
          <cell r="S21147">
            <v>-340.03</v>
          </cell>
          <cell r="X21147" t="str">
            <v>Commissions - share RI</v>
          </cell>
        </row>
        <row r="21148">
          <cell r="L21148"/>
          <cell r="S21148">
            <v>-302.87</v>
          </cell>
          <cell r="X21148" t="str">
            <v>Commissions - share RI</v>
          </cell>
        </row>
        <row r="21149">
          <cell r="L21149"/>
          <cell r="S21149">
            <v>-2740.32</v>
          </cell>
          <cell r="X21149" t="str">
            <v>Commissions - share RI</v>
          </cell>
        </row>
        <row r="21150">
          <cell r="L21150"/>
          <cell r="S21150">
            <v>302.87</v>
          </cell>
          <cell r="X21150" t="str">
            <v>Commissions - share RI</v>
          </cell>
        </row>
        <row r="21151">
          <cell r="L21151"/>
          <cell r="S21151">
            <v>-2141.0300000000002</v>
          </cell>
          <cell r="X21151" t="str">
            <v>Commissions - share RI</v>
          </cell>
        </row>
        <row r="21152">
          <cell r="L21152"/>
          <cell r="S21152">
            <v>-2507.84</v>
          </cell>
          <cell r="X21152" t="str">
            <v>Commissions - share RI</v>
          </cell>
        </row>
        <row r="21153">
          <cell r="L21153"/>
          <cell r="S21153">
            <v>-755.61</v>
          </cell>
          <cell r="X21153" t="str">
            <v>Commissions - share RI</v>
          </cell>
        </row>
        <row r="21154">
          <cell r="L21154"/>
          <cell r="S21154">
            <v>-3193.15</v>
          </cell>
          <cell r="X21154" t="str">
            <v>Commissions - share RI</v>
          </cell>
        </row>
        <row r="21155">
          <cell r="L21155"/>
          <cell r="S21155">
            <v>76.25</v>
          </cell>
          <cell r="X21155" t="str">
            <v>Commissions - share RI</v>
          </cell>
        </row>
        <row r="21156">
          <cell r="L21156"/>
          <cell r="S21156">
            <v>-944.51</v>
          </cell>
          <cell r="X21156" t="str">
            <v>Commissions - share RI</v>
          </cell>
        </row>
        <row r="21157">
          <cell r="L21157"/>
          <cell r="S21157">
            <v>-1458277.26</v>
          </cell>
          <cell r="X21157" t="str">
            <v>Commissions - share RI</v>
          </cell>
        </row>
        <row r="21158">
          <cell r="L21158"/>
          <cell r="S21158">
            <v>-86592</v>
          </cell>
          <cell r="X21158" t="str">
            <v>Commissions - share RI</v>
          </cell>
        </row>
        <row r="21159">
          <cell r="L21159"/>
          <cell r="S21159">
            <v>1742305.92</v>
          </cell>
          <cell r="X21159" t="str">
            <v>Commissions - share RI</v>
          </cell>
        </row>
        <row r="21160">
          <cell r="L21160"/>
          <cell r="S21160">
            <v>-3806.65</v>
          </cell>
          <cell r="X21160" t="str">
            <v>Commissions - share RI</v>
          </cell>
        </row>
        <row r="21161">
          <cell r="L21161"/>
          <cell r="S21161">
            <v>-4820.5200000000004</v>
          </cell>
          <cell r="X21161" t="str">
            <v>Commissions - share RI</v>
          </cell>
        </row>
        <row r="21162">
          <cell r="L21162"/>
          <cell r="S21162">
            <v>-254.17</v>
          </cell>
          <cell r="X21162" t="str">
            <v>Commissions - share RI</v>
          </cell>
        </row>
        <row r="21163">
          <cell r="L21163"/>
          <cell r="S21163">
            <v>89.48</v>
          </cell>
          <cell r="X21163" t="str">
            <v>Commissions - share RI</v>
          </cell>
        </row>
        <row r="21164">
          <cell r="L21164"/>
          <cell r="S21164">
            <v>-1125687.71</v>
          </cell>
          <cell r="X21164" t="str">
            <v>Commissions - share RI</v>
          </cell>
        </row>
        <row r="21165">
          <cell r="L21165"/>
          <cell r="S21165">
            <v>-5523.3</v>
          </cell>
          <cell r="X21165" t="str">
            <v>Commissions - share RI</v>
          </cell>
        </row>
        <row r="21166">
          <cell r="L21166"/>
          <cell r="S21166">
            <v>1344937.91</v>
          </cell>
          <cell r="X21166" t="str">
            <v>Commissions - share RI</v>
          </cell>
        </row>
        <row r="21167">
          <cell r="L21167"/>
          <cell r="S21167">
            <v>-1871.67</v>
          </cell>
          <cell r="X21167" t="str">
            <v>Commissions - share RI</v>
          </cell>
        </row>
        <row r="21168">
          <cell r="L21168"/>
          <cell r="S21168">
            <v>-1344937.91</v>
          </cell>
          <cell r="X21168" t="str">
            <v>Commissions - share RI</v>
          </cell>
        </row>
        <row r="21169">
          <cell r="L21169"/>
          <cell r="S21169">
            <v>-604.49</v>
          </cell>
          <cell r="X21169" t="str">
            <v>Commissions - share RI</v>
          </cell>
        </row>
        <row r="21170">
          <cell r="L21170"/>
          <cell r="S21170">
            <v>1458277.26</v>
          </cell>
          <cell r="X21170" t="str">
            <v>Commissions - share RI</v>
          </cell>
        </row>
        <row r="21171">
          <cell r="L21171"/>
          <cell r="S21171">
            <v>-458501.55</v>
          </cell>
          <cell r="X21171" t="str">
            <v>Commissions - share RI</v>
          </cell>
        </row>
        <row r="21172">
          <cell r="L21172"/>
          <cell r="S21172">
            <v>-710.7</v>
          </cell>
          <cell r="X21172" t="str">
            <v>Commissions - share RI</v>
          </cell>
        </row>
        <row r="21173">
          <cell r="L21173"/>
          <cell r="S21173">
            <v>-1742305.92</v>
          </cell>
          <cell r="X21173" t="str">
            <v>Commissions - share RI</v>
          </cell>
        </row>
        <row r="21174">
          <cell r="L21174"/>
          <cell r="S21174">
            <v>20065.55</v>
          </cell>
          <cell r="X21174" t="str">
            <v>Commissions - share RI</v>
          </cell>
        </row>
        <row r="21175">
          <cell r="L21175"/>
          <cell r="S21175">
            <v>-20065.55</v>
          </cell>
          <cell r="X21175" t="str">
            <v>Commissions - share RI</v>
          </cell>
        </row>
        <row r="21176">
          <cell r="L21176"/>
          <cell r="S21176">
            <v>21756.5</v>
          </cell>
          <cell r="X21176" t="str">
            <v>Commissions - share RI</v>
          </cell>
        </row>
        <row r="21177">
          <cell r="L21177"/>
          <cell r="S21177">
            <v>16794.490000000002</v>
          </cell>
          <cell r="X21177" t="str">
            <v>Commissions - share RI</v>
          </cell>
        </row>
        <row r="21178">
          <cell r="L21178"/>
          <cell r="S21178">
            <v>1125687.71</v>
          </cell>
          <cell r="X21178" t="str">
            <v>Commissions - share RI</v>
          </cell>
        </row>
        <row r="21179">
          <cell r="L21179"/>
          <cell r="S21179">
            <v>37.78</v>
          </cell>
          <cell r="X21179" t="str">
            <v>Commissions - share RI</v>
          </cell>
        </row>
        <row r="21180">
          <cell r="L21180"/>
          <cell r="S21180">
            <v>-3720.06</v>
          </cell>
          <cell r="X21180" t="str">
            <v>Commissions - share RI</v>
          </cell>
        </row>
        <row r="21181">
          <cell r="L21181"/>
          <cell r="S21181">
            <v>-542520.43999999994</v>
          </cell>
          <cell r="X21181" t="str">
            <v>Commissions - share RI</v>
          </cell>
        </row>
        <row r="21182">
          <cell r="L21182"/>
          <cell r="S21182">
            <v>-1742305.92</v>
          </cell>
          <cell r="X21182" t="str">
            <v>Commissions - share RI</v>
          </cell>
        </row>
        <row r="21183">
          <cell r="L21183"/>
          <cell r="S21183">
            <v>-482.76</v>
          </cell>
          <cell r="X21183" t="str">
            <v>Commissions - share RI</v>
          </cell>
        </row>
        <row r="21184">
          <cell r="L21184"/>
          <cell r="S21184">
            <v>37.78</v>
          </cell>
          <cell r="X21184" t="str">
            <v>Commissions - share RI</v>
          </cell>
        </row>
        <row r="21185">
          <cell r="L21185"/>
          <cell r="S21185">
            <v>2257.06</v>
          </cell>
          <cell r="X21185" t="str">
            <v>Commissions - share RI</v>
          </cell>
        </row>
        <row r="21186">
          <cell r="L21186"/>
          <cell r="S21186">
            <v>-1089.56</v>
          </cell>
          <cell r="X21186" t="str">
            <v>Commissions - share RI</v>
          </cell>
        </row>
        <row r="21187">
          <cell r="L21187"/>
          <cell r="S21187">
            <v>-20065.55</v>
          </cell>
          <cell r="X21187" t="str">
            <v>Commissions - share RI</v>
          </cell>
        </row>
        <row r="21188">
          <cell r="L21188"/>
          <cell r="S21188">
            <v>25994.01</v>
          </cell>
          <cell r="X21188" t="str">
            <v>Commissions - share RI</v>
          </cell>
        </row>
        <row r="21189">
          <cell r="L21189"/>
          <cell r="S21189">
            <v>-747.42</v>
          </cell>
          <cell r="X21189" t="str">
            <v>Commissions - share RI</v>
          </cell>
        </row>
        <row r="21190">
          <cell r="L21190"/>
          <cell r="S21190">
            <v>-6840.52</v>
          </cell>
          <cell r="X21190" t="str">
            <v>Commissions - share RI</v>
          </cell>
        </row>
        <row r="21191">
          <cell r="L21191"/>
          <cell r="S21191">
            <v>-583.92999999999995</v>
          </cell>
          <cell r="X21191" t="str">
            <v>Commissions - share RI</v>
          </cell>
        </row>
        <row r="21192">
          <cell r="L21192"/>
          <cell r="S21192">
            <v>-155788</v>
          </cell>
          <cell r="X21192" t="str">
            <v>Commissions - share RI</v>
          </cell>
        </row>
        <row r="21193">
          <cell r="L21193"/>
          <cell r="S21193">
            <v>-16794.490000000002</v>
          </cell>
          <cell r="X21193" t="str">
            <v>Commissions - share RI</v>
          </cell>
        </row>
        <row r="21194">
          <cell r="L21194"/>
          <cell r="S21194">
            <v>6840.52</v>
          </cell>
          <cell r="X21194" t="str">
            <v>Commissions - share RI</v>
          </cell>
        </row>
        <row r="21195">
          <cell r="L21195"/>
          <cell r="S21195">
            <v>-298.02</v>
          </cell>
          <cell r="X21195" t="str">
            <v>Commissions - share RI</v>
          </cell>
        </row>
        <row r="21196">
          <cell r="L21196"/>
          <cell r="S21196">
            <v>-2257.06</v>
          </cell>
          <cell r="X21196" t="str">
            <v>Commissions - share RI</v>
          </cell>
        </row>
        <row r="21197">
          <cell r="L21197"/>
          <cell r="S21197">
            <v>-1529.68</v>
          </cell>
          <cell r="X21197" t="str">
            <v>Commissions - share RI</v>
          </cell>
        </row>
        <row r="21198">
          <cell r="L21198"/>
          <cell r="S21198">
            <v>-458501.55</v>
          </cell>
          <cell r="X21198" t="str">
            <v>Commissions - share RI</v>
          </cell>
        </row>
        <row r="21199">
          <cell r="L21199"/>
          <cell r="S21199">
            <v>-482.11</v>
          </cell>
          <cell r="X21199" t="str">
            <v>Commissions - share RI</v>
          </cell>
        </row>
        <row r="21200">
          <cell r="L21200"/>
          <cell r="S21200">
            <v>-1057.8699999999999</v>
          </cell>
          <cell r="X21200" t="str">
            <v>Commissions - share RI</v>
          </cell>
        </row>
        <row r="21201">
          <cell r="L21201"/>
          <cell r="S21201">
            <v>458501.55</v>
          </cell>
          <cell r="X21201" t="str">
            <v>Commissions - share RI</v>
          </cell>
        </row>
        <row r="21202">
          <cell r="L21202"/>
          <cell r="S21202">
            <v>-3776.49</v>
          </cell>
          <cell r="X21202" t="str">
            <v>Commissions - share RI</v>
          </cell>
        </row>
        <row r="21203">
          <cell r="L21203"/>
          <cell r="S21203">
            <v>-37.78</v>
          </cell>
          <cell r="X21203" t="str">
            <v>Commissions - share RI</v>
          </cell>
        </row>
        <row r="21204">
          <cell r="L21204"/>
          <cell r="S21204">
            <v>-5822.19</v>
          </cell>
          <cell r="X21204" t="str">
            <v>Commissions - share RI</v>
          </cell>
        </row>
        <row r="21205">
          <cell r="L21205"/>
          <cell r="S21205">
            <v>-453.37</v>
          </cell>
          <cell r="X21205" t="str">
            <v>Commissions - share RI</v>
          </cell>
        </row>
        <row r="21206">
          <cell r="L21206"/>
          <cell r="S21206">
            <v>-3737.4</v>
          </cell>
          <cell r="X21206" t="str">
            <v>Commissions - share RI</v>
          </cell>
        </row>
        <row r="21207">
          <cell r="L21207"/>
          <cell r="S21207">
            <v>-1360.11</v>
          </cell>
          <cell r="X21207" t="str">
            <v>Commissions - share RI</v>
          </cell>
        </row>
        <row r="21208">
          <cell r="L21208"/>
          <cell r="S21208">
            <v>-37.78</v>
          </cell>
          <cell r="X21208" t="str">
            <v>Commissions - share RI</v>
          </cell>
        </row>
        <row r="21209">
          <cell r="L21209"/>
          <cell r="S21209">
            <v>254.17</v>
          </cell>
          <cell r="X21209" t="str">
            <v>Commissions - share RI</v>
          </cell>
        </row>
        <row r="21210">
          <cell r="L21210"/>
          <cell r="S21210">
            <v>-1344937.91</v>
          </cell>
          <cell r="X21210" t="str">
            <v>Commissions - share RI</v>
          </cell>
        </row>
        <row r="21211">
          <cell r="L21211"/>
          <cell r="S21211">
            <v>-1344.26</v>
          </cell>
          <cell r="X21211" t="str">
            <v>Commissions - share RI</v>
          </cell>
        </row>
        <row r="21212">
          <cell r="L21212"/>
          <cell r="S21212">
            <v>-25994.01</v>
          </cell>
          <cell r="X21212" t="str">
            <v>Commissions - share RI</v>
          </cell>
        </row>
        <row r="21213">
          <cell r="L21213"/>
          <cell r="S21213">
            <v>-1246.77</v>
          </cell>
          <cell r="X21213" t="str">
            <v>Commissions - share RI</v>
          </cell>
        </row>
        <row r="21214">
          <cell r="L21214"/>
          <cell r="S21214">
            <v>-151505.97</v>
          </cell>
          <cell r="X21214" t="str">
            <v>Commissions - share RI</v>
          </cell>
        </row>
        <row r="21215">
          <cell r="L21215"/>
          <cell r="S21215">
            <v>298.02</v>
          </cell>
          <cell r="X21215" t="str">
            <v>Commissions - share RI</v>
          </cell>
        </row>
        <row r="21216">
          <cell r="L21216"/>
          <cell r="S21216">
            <v>-76.25</v>
          </cell>
          <cell r="X21216" t="str">
            <v>Commissions - share RI</v>
          </cell>
        </row>
        <row r="21217">
          <cell r="L21217"/>
          <cell r="S21217">
            <v>-89.48</v>
          </cell>
          <cell r="X21217" t="str">
            <v>Commissions - share RI</v>
          </cell>
        </row>
        <row r="21218">
          <cell r="L21218"/>
          <cell r="S21218">
            <v>94109.4</v>
          </cell>
          <cell r="X21218" t="str">
            <v>Commissions - share RI</v>
          </cell>
        </row>
        <row r="21219">
          <cell r="L21219"/>
          <cell r="S21219">
            <v>-727.02</v>
          </cell>
          <cell r="X21219" t="str">
            <v>Commissions - share RI</v>
          </cell>
        </row>
        <row r="21220">
          <cell r="L21220"/>
          <cell r="S21220">
            <v>-2925.82</v>
          </cell>
          <cell r="X21220" t="str">
            <v>Commissions - share RI</v>
          </cell>
        </row>
        <row r="21221">
          <cell r="L21221"/>
          <cell r="S21221">
            <v>434.61</v>
          </cell>
          <cell r="X21221" t="str">
            <v>Commissions - share RI</v>
          </cell>
        </row>
        <row r="21222">
          <cell r="L21222"/>
          <cell r="S21222">
            <v>-727.01</v>
          </cell>
          <cell r="X21222" t="str">
            <v>Commissions - share RI</v>
          </cell>
        </row>
        <row r="21223">
          <cell r="L21223"/>
          <cell r="S21223">
            <v>474131.48</v>
          </cell>
          <cell r="X21223" t="str">
            <v>Commissions - share RI</v>
          </cell>
        </row>
        <row r="21224">
          <cell r="L21224"/>
          <cell r="S21224">
            <v>-508306.63</v>
          </cell>
          <cell r="X21224" t="str">
            <v>Commissions - share RI</v>
          </cell>
        </row>
        <row r="21225">
          <cell r="L21225"/>
          <cell r="S21225">
            <v>-1762.46</v>
          </cell>
          <cell r="X21225" t="str">
            <v>Commissions - share RI</v>
          </cell>
        </row>
        <row r="21226">
          <cell r="L21226"/>
          <cell r="S21226">
            <v>468.88</v>
          </cell>
          <cell r="X21226" t="str">
            <v>Commissions - share RI</v>
          </cell>
        </row>
        <row r="21227">
          <cell r="L21227"/>
          <cell r="S21227">
            <v>618.64</v>
          </cell>
          <cell r="X21227" t="str">
            <v>Commissions - share RI</v>
          </cell>
        </row>
        <row r="21228">
          <cell r="L21228"/>
          <cell r="S21228">
            <v>727.02</v>
          </cell>
          <cell r="X21228" t="str">
            <v>Commissions - share RI</v>
          </cell>
        </row>
        <row r="21229">
          <cell r="L21229"/>
          <cell r="S21229">
            <v>77932.800000000003</v>
          </cell>
          <cell r="X21229" t="str">
            <v>Commissions - share RI</v>
          </cell>
        </row>
        <row r="21230">
          <cell r="L21230"/>
          <cell r="S21230">
            <v>-727.02</v>
          </cell>
          <cell r="X21230" t="str">
            <v>Commissions - share RI</v>
          </cell>
        </row>
        <row r="21231">
          <cell r="L21231"/>
          <cell r="S21231">
            <v>-537.01</v>
          </cell>
          <cell r="X21231" t="str">
            <v>Commissions - share RI</v>
          </cell>
        </row>
        <row r="21232">
          <cell r="L21232"/>
          <cell r="S21232">
            <v>-3435.16</v>
          </cell>
          <cell r="X21232" t="str">
            <v>Commissions - share RI</v>
          </cell>
        </row>
        <row r="21233">
          <cell r="L21233"/>
          <cell r="S21233">
            <v>-522838.38</v>
          </cell>
          <cell r="X21233" t="str">
            <v>Commissions - share RI</v>
          </cell>
        </row>
        <row r="21234">
          <cell r="L21234"/>
          <cell r="S21234">
            <v>-326778.23</v>
          </cell>
          <cell r="X21234" t="str">
            <v>Commissions - share RI</v>
          </cell>
        </row>
        <row r="21235">
          <cell r="L21235"/>
          <cell r="S21235">
            <v>-1079.3900000000001</v>
          </cell>
          <cell r="X21235" t="str">
            <v>Commissions - share RI</v>
          </cell>
        </row>
        <row r="21236">
          <cell r="L21236"/>
          <cell r="S21236">
            <v>-104566</v>
          </cell>
          <cell r="X21236" t="str">
            <v>Commissions - share RI</v>
          </cell>
        </row>
        <row r="21237">
          <cell r="L21237"/>
          <cell r="S21237">
            <v>-727.01</v>
          </cell>
          <cell r="X21237" t="str">
            <v>Commissions - share RI</v>
          </cell>
        </row>
        <row r="21238">
          <cell r="L21238"/>
          <cell r="S21238">
            <v>-77932.800000000003</v>
          </cell>
          <cell r="X21238" t="str">
            <v>Commissions - share RI</v>
          </cell>
        </row>
        <row r="21239">
          <cell r="L21239"/>
          <cell r="S21239">
            <v>537.01</v>
          </cell>
          <cell r="X21239" t="str">
            <v>Commissions - share RI</v>
          </cell>
        </row>
        <row r="21240">
          <cell r="L21240"/>
          <cell r="S21240">
            <v>727.01</v>
          </cell>
          <cell r="X21240" t="str">
            <v>Commissions - share RI</v>
          </cell>
        </row>
        <row r="21241">
          <cell r="L21241"/>
          <cell r="S21241">
            <v>-699522.88</v>
          </cell>
          <cell r="X21241" t="str">
            <v>Commissions - share RI</v>
          </cell>
        </row>
        <row r="21242">
          <cell r="L21242"/>
          <cell r="S21242">
            <v>140209.20000000001</v>
          </cell>
          <cell r="X21242" t="str">
            <v>Commissions - share RI</v>
          </cell>
        </row>
        <row r="21243">
          <cell r="L21243"/>
          <cell r="S21243">
            <v>-140209.20000000001</v>
          </cell>
          <cell r="X21243" t="str">
            <v>Commissions - share RI</v>
          </cell>
        </row>
        <row r="21244">
          <cell r="L21244"/>
          <cell r="S21244">
            <v>-2209037.4700000002</v>
          </cell>
          <cell r="X21244" t="str">
            <v>Commissions - share RI</v>
          </cell>
        </row>
        <row r="21245">
          <cell r="L21245"/>
          <cell r="S21245">
            <v>727.02</v>
          </cell>
          <cell r="X21245" t="str">
            <v>Commissions - share RI</v>
          </cell>
        </row>
        <row r="21246">
          <cell r="L21246"/>
          <cell r="S21246">
            <v>3435.16</v>
          </cell>
          <cell r="X21246" t="str">
            <v>Commissions - share RI</v>
          </cell>
        </row>
        <row r="21247">
          <cell r="L21247"/>
          <cell r="S21247">
            <v>-57740.33</v>
          </cell>
          <cell r="X21247" t="str">
            <v>Commissions - share RI</v>
          </cell>
        </row>
        <row r="21248">
          <cell r="L21248"/>
          <cell r="S21248">
            <v>-64155.93</v>
          </cell>
          <cell r="X21248" t="str">
            <v>Commissions - share RI</v>
          </cell>
        </row>
        <row r="21249">
          <cell r="L21249"/>
          <cell r="S21249">
            <v>-618.64</v>
          </cell>
          <cell r="X21249" t="str">
            <v>Commissions - share RI</v>
          </cell>
        </row>
        <row r="21250">
          <cell r="L21250"/>
          <cell r="S21250">
            <v>-1651081.95</v>
          </cell>
          <cell r="X21250" t="str">
            <v>Commissions - share RI</v>
          </cell>
        </row>
        <row r="21251">
          <cell r="L21251"/>
          <cell r="S21251">
            <v>-394.4</v>
          </cell>
          <cell r="X21251" t="str">
            <v>Commissions - share RI</v>
          </cell>
        </row>
        <row r="21252">
          <cell r="L21252"/>
          <cell r="S21252">
            <v>-2324.83</v>
          </cell>
          <cell r="X21252" t="str">
            <v>Commissions - share RI</v>
          </cell>
        </row>
        <row r="21253">
          <cell r="L21253"/>
          <cell r="S21253">
            <v>-4886.1000000000004</v>
          </cell>
          <cell r="X21253" t="str">
            <v>Commissions - share RI</v>
          </cell>
        </row>
        <row r="21254">
          <cell r="L21254"/>
          <cell r="S21254">
            <v>394.4</v>
          </cell>
          <cell r="X21254" t="str">
            <v>Commissions - share RI</v>
          </cell>
        </row>
        <row r="21255">
          <cell r="L21255"/>
          <cell r="S21255">
            <v>-474131.48</v>
          </cell>
          <cell r="X21255" t="str">
            <v>Commissions - share RI</v>
          </cell>
        </row>
        <row r="21256">
          <cell r="L21256"/>
          <cell r="S21256">
            <v>-1031939.59</v>
          </cell>
          <cell r="X21256" t="str">
            <v>Commissions - share RI</v>
          </cell>
        </row>
        <row r="21257">
          <cell r="L21257"/>
          <cell r="S21257">
            <v>-526812.81000000006</v>
          </cell>
          <cell r="X21257" t="str">
            <v>Commissions - share RI</v>
          </cell>
        </row>
        <row r="21258">
          <cell r="L21258"/>
          <cell r="S21258">
            <v>-434.61</v>
          </cell>
          <cell r="X21258" t="str">
            <v>Commissions - share RI</v>
          </cell>
        </row>
        <row r="21259">
          <cell r="L21259"/>
          <cell r="S21259">
            <v>-94109.4</v>
          </cell>
          <cell r="X21259" t="str">
            <v>Commissions - share RI</v>
          </cell>
        </row>
        <row r="21260">
          <cell r="L21260"/>
          <cell r="S21260">
            <v>1079.3900000000001</v>
          </cell>
          <cell r="X21260" t="str">
            <v>Commissions - share RI</v>
          </cell>
        </row>
        <row r="21261">
          <cell r="L21261"/>
          <cell r="S21261">
            <v>-537.01</v>
          </cell>
          <cell r="X21261" t="str">
            <v>Commissions - share RI</v>
          </cell>
        </row>
        <row r="21262">
          <cell r="L21262"/>
          <cell r="S21262">
            <v>537.01</v>
          </cell>
          <cell r="X21262" t="str">
            <v>Commissions - share RI</v>
          </cell>
        </row>
        <row r="21263">
          <cell r="L21263"/>
          <cell r="S21263">
            <v>-468.88</v>
          </cell>
          <cell r="X21263" t="str">
            <v>Commissions - share RI</v>
          </cell>
        </row>
        <row r="21264">
          <cell r="L21264"/>
          <cell r="S21264">
            <v>727.01</v>
          </cell>
          <cell r="X21264" t="str">
            <v>Commissions - share RI</v>
          </cell>
        </row>
        <row r="21265">
          <cell r="L21265"/>
          <cell r="S21265">
            <v>-1605191.82</v>
          </cell>
          <cell r="X21265" t="str">
            <v>Commissions - share RI</v>
          </cell>
        </row>
        <row r="21266">
          <cell r="L21266"/>
          <cell r="S21266">
            <v>57740.33</v>
          </cell>
          <cell r="X21266" t="str">
            <v>Commissions - share RI</v>
          </cell>
        </row>
        <row r="21267">
          <cell r="L21267"/>
          <cell r="S21267">
            <v>657.58</v>
          </cell>
          <cell r="X21267" t="str">
            <v>Commissions - share RI</v>
          </cell>
        </row>
        <row r="21268">
          <cell r="L21268"/>
          <cell r="S21268">
            <v>-1623.72</v>
          </cell>
          <cell r="X21268" t="str">
            <v>Commissions - share RI</v>
          </cell>
        </row>
        <row r="21269">
          <cell r="L21269"/>
          <cell r="S21269">
            <v>1050.29</v>
          </cell>
          <cell r="X21269" t="str">
            <v>Commissions - share RI</v>
          </cell>
        </row>
        <row r="21270">
          <cell r="L21270"/>
          <cell r="S21270">
            <v>1392.53</v>
          </cell>
          <cell r="X21270" t="str">
            <v>Commissions - share RI</v>
          </cell>
        </row>
        <row r="21271">
          <cell r="L21271"/>
          <cell r="S21271">
            <v>562.58000000000004</v>
          </cell>
          <cell r="X21271" t="str">
            <v>Commissions - share RI</v>
          </cell>
        </row>
        <row r="21272">
          <cell r="L21272"/>
          <cell r="S21272">
            <v>-1485973.8</v>
          </cell>
          <cell r="X21272" t="str">
            <v>Commissions - share RI</v>
          </cell>
        </row>
        <row r="21273">
          <cell r="L21273"/>
          <cell r="S21273">
            <v>-1050.29</v>
          </cell>
          <cell r="X21273" t="str">
            <v>Commissions - share RI</v>
          </cell>
        </row>
        <row r="21274">
          <cell r="L21274"/>
          <cell r="S21274">
            <v>-4118.47</v>
          </cell>
          <cell r="X21274" t="str">
            <v>Commissions - share RI</v>
          </cell>
        </row>
        <row r="21275">
          <cell r="L21275"/>
          <cell r="S21275">
            <v>1485973.8</v>
          </cell>
          <cell r="X21275" t="str">
            <v>Commissions - share RI</v>
          </cell>
        </row>
        <row r="21276">
          <cell r="L21276"/>
          <cell r="S21276">
            <v>-502.85</v>
          </cell>
          <cell r="X21276" t="str">
            <v>Commissions - share RI</v>
          </cell>
        </row>
        <row r="21277">
          <cell r="L21277"/>
          <cell r="S21277">
            <v>57930.59</v>
          </cell>
          <cell r="X21277" t="str">
            <v>Commissions - share RI</v>
          </cell>
        </row>
        <row r="21278">
          <cell r="L21278"/>
          <cell r="S21278">
            <v>3678.79</v>
          </cell>
          <cell r="X21278" t="str">
            <v>Commissions - share RI</v>
          </cell>
        </row>
        <row r="21279">
          <cell r="L21279"/>
          <cell r="S21279">
            <v>1754.23</v>
          </cell>
          <cell r="X21279" t="str">
            <v>Commissions - share RI</v>
          </cell>
        </row>
        <row r="21280">
          <cell r="L21280"/>
          <cell r="S21280">
            <v>3944.88</v>
          </cell>
          <cell r="X21280" t="str">
            <v>Commissions - share RI</v>
          </cell>
        </row>
        <row r="21281">
          <cell r="L21281"/>
          <cell r="S21281">
            <v>171308.9</v>
          </cell>
          <cell r="X21281" t="str">
            <v>Commissions - share RI</v>
          </cell>
        </row>
        <row r="21282">
          <cell r="L21282"/>
          <cell r="S21282">
            <v>-2283.63</v>
          </cell>
          <cell r="X21282" t="str">
            <v>Commissions - share RI</v>
          </cell>
        </row>
        <row r="21283">
          <cell r="L21283"/>
          <cell r="S21283">
            <v>-3944.88</v>
          </cell>
          <cell r="X21283" t="str">
            <v>Commissions - share RI</v>
          </cell>
        </row>
        <row r="21284">
          <cell r="L21284"/>
          <cell r="S21284">
            <v>-4383.2</v>
          </cell>
          <cell r="X21284" t="str">
            <v>Commissions - share RI</v>
          </cell>
        </row>
        <row r="21285">
          <cell r="L21285"/>
          <cell r="S21285">
            <v>680.89</v>
          </cell>
          <cell r="X21285" t="str">
            <v>Commissions - share RI</v>
          </cell>
        </row>
        <row r="21286">
          <cell r="L21286"/>
          <cell r="S21286">
            <v>2283.63</v>
          </cell>
          <cell r="X21286" t="str">
            <v>Commissions - share RI</v>
          </cell>
        </row>
        <row r="21287">
          <cell r="L21287"/>
          <cell r="S21287">
            <v>-587153.19999999995</v>
          </cell>
          <cell r="X21287" t="str">
            <v>Commissions - share RI</v>
          </cell>
        </row>
        <row r="21288">
          <cell r="L21288"/>
          <cell r="S21288">
            <v>587153.19999999995</v>
          </cell>
          <cell r="X21288" t="str">
            <v>Commissions - share RI</v>
          </cell>
        </row>
        <row r="21289">
          <cell r="L21289"/>
          <cell r="S21289">
            <v>1959.5</v>
          </cell>
          <cell r="X21289" t="str">
            <v>Commissions - share RI</v>
          </cell>
        </row>
        <row r="21290">
          <cell r="L21290"/>
          <cell r="S21290">
            <v>611.48</v>
          </cell>
          <cell r="X21290" t="str">
            <v>Commissions - share RI</v>
          </cell>
        </row>
        <row r="21291">
          <cell r="L21291"/>
          <cell r="S21291">
            <v>-541.53</v>
          </cell>
          <cell r="X21291" t="str">
            <v>Commissions - share RI</v>
          </cell>
        </row>
        <row r="21292">
          <cell r="L21292"/>
          <cell r="S21292">
            <v>2465.84</v>
          </cell>
          <cell r="X21292" t="str">
            <v>Commissions - share RI</v>
          </cell>
        </row>
        <row r="21293">
          <cell r="L21293"/>
          <cell r="S21293">
            <v>275000</v>
          </cell>
          <cell r="X21293" t="str">
            <v>Commissions - share RI</v>
          </cell>
        </row>
        <row r="21294">
          <cell r="L21294"/>
          <cell r="S21294">
            <v>-1959.5</v>
          </cell>
          <cell r="X21294" t="str">
            <v>Commissions - share RI</v>
          </cell>
        </row>
        <row r="21295">
          <cell r="L21295"/>
          <cell r="S21295">
            <v>-57930.59</v>
          </cell>
          <cell r="X21295" t="str">
            <v>Commissions - share RI</v>
          </cell>
        </row>
        <row r="21296">
          <cell r="L21296"/>
          <cell r="S21296">
            <v>3640.69</v>
          </cell>
          <cell r="X21296" t="str">
            <v>Commissions - share RI</v>
          </cell>
        </row>
        <row r="21297">
          <cell r="L21297"/>
          <cell r="S21297">
            <v>1485.08</v>
          </cell>
          <cell r="X21297" t="str">
            <v>Commissions - share RI</v>
          </cell>
        </row>
        <row r="21298">
          <cell r="L21298"/>
          <cell r="S21298">
            <v>-465.37</v>
          </cell>
          <cell r="X21298" t="str">
            <v>Commissions - share RI</v>
          </cell>
        </row>
        <row r="21299">
          <cell r="L21299"/>
          <cell r="S21299">
            <v>-1392.53</v>
          </cell>
          <cell r="X21299" t="str">
            <v>Commissions - share RI</v>
          </cell>
        </row>
        <row r="21300">
          <cell r="L21300"/>
          <cell r="S21300">
            <v>-411.62</v>
          </cell>
          <cell r="X21300" t="str">
            <v>Commissions - share RI</v>
          </cell>
        </row>
        <row r="21301">
          <cell r="L21301"/>
          <cell r="S21301">
            <v>411.62</v>
          </cell>
          <cell r="X21301" t="str">
            <v>Commissions - share RI</v>
          </cell>
        </row>
        <row r="21302">
          <cell r="L21302"/>
          <cell r="S21302">
            <v>-2436.92</v>
          </cell>
          <cell r="X21302" t="str">
            <v>Commissions - share RI</v>
          </cell>
        </row>
        <row r="21303">
          <cell r="L21303"/>
          <cell r="S21303">
            <v>928745.6</v>
          </cell>
          <cell r="X21303" t="str">
            <v>Commissions - share RI</v>
          </cell>
        </row>
        <row r="21304">
          <cell r="L21304"/>
          <cell r="S21304">
            <v>4181.93</v>
          </cell>
          <cell r="X21304" t="str">
            <v>Commissions - share RI</v>
          </cell>
        </row>
        <row r="21305">
          <cell r="L21305"/>
          <cell r="S21305">
            <v>40000</v>
          </cell>
          <cell r="X21305" t="str">
            <v>Commissions - share RI</v>
          </cell>
        </row>
        <row r="21306">
          <cell r="L21306"/>
          <cell r="S21306">
            <v>438850.8</v>
          </cell>
          <cell r="X21306" t="str">
            <v>Commissions - share RI</v>
          </cell>
        </row>
        <row r="21307">
          <cell r="L21307"/>
          <cell r="S21307">
            <v>-386.81</v>
          </cell>
          <cell r="X21307" t="str">
            <v>Commissions - share RI</v>
          </cell>
        </row>
        <row r="21308">
          <cell r="L21308"/>
          <cell r="S21308">
            <v>-348.13</v>
          </cell>
          <cell r="X21308" t="str">
            <v>Commissions - share RI</v>
          </cell>
        </row>
        <row r="21309">
          <cell r="L21309"/>
          <cell r="S21309">
            <v>-125.74</v>
          </cell>
          <cell r="X21309" t="str">
            <v>Commissions - share RI</v>
          </cell>
        </row>
        <row r="21310">
          <cell r="L21310"/>
          <cell r="S21310">
            <v>1444672.6</v>
          </cell>
          <cell r="X21310" t="str">
            <v>Commissions - share RI</v>
          </cell>
        </row>
        <row r="21311">
          <cell r="L21311"/>
          <cell r="S21311">
            <v>-812.31</v>
          </cell>
          <cell r="X21311" t="str">
            <v>Commissions - share RI</v>
          </cell>
        </row>
        <row r="21312">
          <cell r="L21312"/>
          <cell r="S21312">
            <v>685.09</v>
          </cell>
          <cell r="X21312" t="str">
            <v>Commissions - share RI</v>
          </cell>
        </row>
        <row r="21313">
          <cell r="L21313"/>
          <cell r="S21313">
            <v>-21767.19</v>
          </cell>
          <cell r="X21313" t="str">
            <v>Commissions - share RI</v>
          </cell>
        </row>
        <row r="21314">
          <cell r="L21314"/>
          <cell r="S21314">
            <v>-438850.8</v>
          </cell>
          <cell r="X21314" t="str">
            <v>Commissions - share RI</v>
          </cell>
        </row>
        <row r="21315">
          <cell r="L21315"/>
          <cell r="S21315">
            <v>-77945.06</v>
          </cell>
          <cell r="X21315" t="str">
            <v>Commissions - share RI</v>
          </cell>
        </row>
        <row r="21316">
          <cell r="L21316"/>
          <cell r="S21316">
            <v>77945.06</v>
          </cell>
          <cell r="X21316" t="str">
            <v>Commissions - share RI</v>
          </cell>
        </row>
        <row r="21317">
          <cell r="L21317"/>
          <cell r="S21317">
            <v>685.09</v>
          </cell>
          <cell r="X21317" t="str">
            <v>Commissions - share RI</v>
          </cell>
        </row>
        <row r="21318">
          <cell r="L21318"/>
          <cell r="S21318">
            <v>928745.6</v>
          </cell>
          <cell r="X21318" t="str">
            <v>Commissions - share RI</v>
          </cell>
        </row>
        <row r="21319">
          <cell r="L21319"/>
          <cell r="S21319">
            <v>-1585.93</v>
          </cell>
          <cell r="X21319" t="str">
            <v>Commissions - share RI</v>
          </cell>
        </row>
        <row r="21320">
          <cell r="L21320"/>
          <cell r="S21320">
            <v>1988133.7</v>
          </cell>
          <cell r="X21320" t="str">
            <v>Commissions - share RI</v>
          </cell>
        </row>
        <row r="21321">
          <cell r="L21321"/>
          <cell r="S21321">
            <v>-1485.08</v>
          </cell>
          <cell r="X21321" t="str">
            <v>Commissions - share RI</v>
          </cell>
        </row>
        <row r="21322">
          <cell r="L21322"/>
          <cell r="S21322">
            <v>-2865.93</v>
          </cell>
          <cell r="X21322" t="str">
            <v>Commissions - share RI</v>
          </cell>
        </row>
        <row r="21323">
          <cell r="L21323"/>
          <cell r="S21323">
            <v>-64367.34</v>
          </cell>
          <cell r="X21323" t="str">
            <v>Commissions - share RI</v>
          </cell>
        </row>
        <row r="21324">
          <cell r="L21324"/>
          <cell r="S21324">
            <v>3590.64</v>
          </cell>
          <cell r="X21324" t="str">
            <v>Commissions - share RI</v>
          </cell>
        </row>
        <row r="21325">
          <cell r="L21325"/>
          <cell r="S21325">
            <v>-720.49</v>
          </cell>
          <cell r="X21325" t="str">
            <v>Commissions - share RI</v>
          </cell>
        </row>
        <row r="21326">
          <cell r="L21326"/>
          <cell r="S21326">
            <v>135.41</v>
          </cell>
          <cell r="X21326" t="str">
            <v>Commissions - share RI</v>
          </cell>
        </row>
        <row r="21327">
          <cell r="L21327"/>
          <cell r="S21327">
            <v>628471.56000000006</v>
          </cell>
          <cell r="X21327" t="str">
            <v>Commissions - share RI</v>
          </cell>
        </row>
        <row r="21328">
          <cell r="L21328"/>
          <cell r="S21328">
            <v>-4181.93</v>
          </cell>
          <cell r="X21328" t="str">
            <v>Commissions - share RI</v>
          </cell>
        </row>
        <row r="21329">
          <cell r="L21329"/>
          <cell r="S21329">
            <v>-2579.35</v>
          </cell>
          <cell r="X21329" t="str">
            <v>Commissions - share RI</v>
          </cell>
        </row>
        <row r="21330">
          <cell r="L21330"/>
          <cell r="S21330">
            <v>2770.3</v>
          </cell>
          <cell r="X21330" t="str">
            <v>Commissions - share RI</v>
          </cell>
        </row>
        <row r="21331">
          <cell r="L21331"/>
          <cell r="S21331">
            <v>-928745.6</v>
          </cell>
          <cell r="X21331" t="str">
            <v>Commissions - share RI</v>
          </cell>
        </row>
        <row r="21332">
          <cell r="L21332"/>
          <cell r="S21332">
            <v>-1121.76</v>
          </cell>
          <cell r="X21332" t="str">
            <v>Commissions - share RI</v>
          </cell>
        </row>
        <row r="21333">
          <cell r="L21333"/>
          <cell r="S21333">
            <v>3227.26</v>
          </cell>
          <cell r="X21333" t="str">
            <v>Commissions - share RI</v>
          </cell>
        </row>
        <row r="21334">
          <cell r="L21334"/>
          <cell r="S21334">
            <v>-680.89</v>
          </cell>
          <cell r="X21334" t="str">
            <v>Commissions - share RI</v>
          </cell>
        </row>
        <row r="21335">
          <cell r="L21335"/>
          <cell r="S21335">
            <v>274285.34000000003</v>
          </cell>
          <cell r="X21335" t="str">
            <v>Commissions - share RI</v>
          </cell>
        </row>
        <row r="21336">
          <cell r="L21336"/>
          <cell r="S21336">
            <v>-4525.7299999999996</v>
          </cell>
          <cell r="X21336" t="str">
            <v>Commissions - share RI</v>
          </cell>
        </row>
        <row r="21337">
          <cell r="L21337"/>
          <cell r="S21337">
            <v>-5051.53</v>
          </cell>
          <cell r="X21337" t="str">
            <v>Commissions - share RI</v>
          </cell>
        </row>
        <row r="21338">
          <cell r="L21338"/>
          <cell r="S21338">
            <v>-171308.9</v>
          </cell>
          <cell r="X21338" t="str">
            <v>Commissions - share RI</v>
          </cell>
        </row>
        <row r="21339">
          <cell r="L21339"/>
          <cell r="S21339">
            <v>541.53</v>
          </cell>
          <cell r="X21339" t="str">
            <v>Commissions - share RI</v>
          </cell>
        </row>
        <row r="21340">
          <cell r="L21340"/>
          <cell r="S21340">
            <v>-562.58000000000004</v>
          </cell>
          <cell r="X21340" t="str">
            <v>Commissions - share RI</v>
          </cell>
        </row>
        <row r="21341">
          <cell r="L21341"/>
          <cell r="S21341">
            <v>-685.09</v>
          </cell>
          <cell r="X21341" t="str">
            <v>Commissions - share RI</v>
          </cell>
        </row>
        <row r="21342">
          <cell r="L21342"/>
          <cell r="S21342">
            <v>2669.43</v>
          </cell>
          <cell r="X21342" t="str">
            <v>Commissions - share RI</v>
          </cell>
        </row>
        <row r="21343">
          <cell r="L21343"/>
          <cell r="S21343">
            <v>-2770.3</v>
          </cell>
          <cell r="X21343" t="str">
            <v>Commissions - share RI</v>
          </cell>
        </row>
        <row r="21344">
          <cell r="L21344"/>
          <cell r="S21344">
            <v>-309.45</v>
          </cell>
          <cell r="X21344" t="str">
            <v>Commissions - share RI</v>
          </cell>
        </row>
        <row r="21345">
          <cell r="L21345"/>
          <cell r="S21345">
            <v>2436.92</v>
          </cell>
          <cell r="X21345" t="str">
            <v>Commissions - share RI</v>
          </cell>
        </row>
        <row r="21346">
          <cell r="L21346"/>
          <cell r="S21346">
            <v>4525.72</v>
          </cell>
          <cell r="X21346" t="str">
            <v>Commissions - share RI</v>
          </cell>
        </row>
        <row r="21347">
          <cell r="L21347"/>
          <cell r="S21347">
            <v>465.36</v>
          </cell>
          <cell r="X21347" t="str">
            <v>Commissions - share RI</v>
          </cell>
        </row>
        <row r="21348">
          <cell r="L21348"/>
          <cell r="S21348">
            <v>502.85</v>
          </cell>
          <cell r="X21348" t="str">
            <v>Commissions - share RI</v>
          </cell>
        </row>
        <row r="21349">
          <cell r="L21349"/>
          <cell r="S21349">
            <v>-1044.3900000000001</v>
          </cell>
          <cell r="X21349" t="str">
            <v>Commissions - share RI</v>
          </cell>
        </row>
        <row r="21350">
          <cell r="L21350"/>
          <cell r="S21350">
            <v>506.58</v>
          </cell>
          <cell r="X21350" t="str">
            <v>Commissions - share RI</v>
          </cell>
        </row>
        <row r="21351">
          <cell r="L21351"/>
          <cell r="S21351">
            <v>-2453.58</v>
          </cell>
          <cell r="X21351" t="str">
            <v>Commissions - share RI</v>
          </cell>
        </row>
        <row r="21352">
          <cell r="L21352"/>
          <cell r="S21352">
            <v>-928745.6</v>
          </cell>
          <cell r="X21352" t="str">
            <v>Commissions - share RI</v>
          </cell>
        </row>
        <row r="21353">
          <cell r="L21353"/>
          <cell r="S21353">
            <v>720.49</v>
          </cell>
          <cell r="X21353" t="str">
            <v>Commissions - share RI</v>
          </cell>
        </row>
        <row r="21354">
          <cell r="L21354"/>
          <cell r="S21354">
            <v>-889.67</v>
          </cell>
          <cell r="X21354" t="str">
            <v>Commissions - share RI</v>
          </cell>
        </row>
        <row r="21355">
          <cell r="L21355"/>
          <cell r="S21355">
            <v>21767.19</v>
          </cell>
          <cell r="X21355" t="str">
            <v>Commissions - share RI</v>
          </cell>
        </row>
        <row r="21356">
          <cell r="L21356"/>
          <cell r="S21356">
            <v>-190343.25</v>
          </cell>
          <cell r="X21356" t="str">
            <v>Commissions - share RI</v>
          </cell>
        </row>
        <row r="21357">
          <cell r="L21357"/>
          <cell r="S21357">
            <v>889.67</v>
          </cell>
          <cell r="X21357" t="str">
            <v>Commissions - share RI</v>
          </cell>
        </row>
        <row r="21358">
          <cell r="L21358"/>
          <cell r="S21358">
            <v>-3590.64</v>
          </cell>
          <cell r="X21358" t="str">
            <v>Commissions - share RI</v>
          </cell>
        </row>
        <row r="21359">
          <cell r="L21359"/>
          <cell r="S21359">
            <v>426653.42</v>
          </cell>
          <cell r="X21359" t="str">
            <v>Commissions - share RI</v>
          </cell>
        </row>
        <row r="21360">
          <cell r="L21360"/>
          <cell r="S21360">
            <v>-506.58</v>
          </cell>
          <cell r="X21360" t="str">
            <v>Commissions - share RI</v>
          </cell>
        </row>
        <row r="21361">
          <cell r="L21361"/>
          <cell r="S21361">
            <v>812.31</v>
          </cell>
          <cell r="X21361" t="str">
            <v>Commissions - share RI</v>
          </cell>
        </row>
        <row r="21362">
          <cell r="L21362"/>
          <cell r="S21362">
            <v>2579.35</v>
          </cell>
          <cell r="X21362" t="str">
            <v>Commissions - share RI</v>
          </cell>
        </row>
        <row r="21363">
          <cell r="L21363"/>
          <cell r="S21363">
            <v>-506.58</v>
          </cell>
          <cell r="X21363" t="str">
            <v>Commissions - share RI</v>
          </cell>
        </row>
        <row r="21364">
          <cell r="L21364"/>
          <cell r="S21364">
            <v>5051.53</v>
          </cell>
          <cell r="X21364" t="str">
            <v>Commissions - share RI</v>
          </cell>
        </row>
        <row r="21365">
          <cell r="L21365"/>
          <cell r="S21365">
            <v>4118.47</v>
          </cell>
          <cell r="X21365" t="str">
            <v>Commissions - share RI</v>
          </cell>
        </row>
        <row r="21366">
          <cell r="L21366"/>
          <cell r="S21366">
            <v>386.81</v>
          </cell>
          <cell r="X21366" t="str">
            <v>Commissions - share RI</v>
          </cell>
        </row>
        <row r="21367">
          <cell r="L21367"/>
          <cell r="S21367">
            <v>-2465.84</v>
          </cell>
          <cell r="X21367" t="str">
            <v>Commissions - share RI</v>
          </cell>
        </row>
        <row r="21368">
          <cell r="L21368"/>
          <cell r="S21368">
            <v>2453.58</v>
          </cell>
          <cell r="X21368" t="str">
            <v>Commissions - share RI</v>
          </cell>
        </row>
        <row r="21369">
          <cell r="L21369"/>
          <cell r="S21369">
            <v>309.45</v>
          </cell>
          <cell r="X21369" t="str">
            <v>Commissions - share RI</v>
          </cell>
        </row>
        <row r="21370">
          <cell r="L21370"/>
          <cell r="S21370">
            <v>-135.41</v>
          </cell>
          <cell r="X21370" t="str">
            <v>Commissions - share RI</v>
          </cell>
        </row>
        <row r="21371">
          <cell r="L21371"/>
          <cell r="S21371">
            <v>-1754.23</v>
          </cell>
          <cell r="X21371" t="str">
            <v>Commissions - share RI</v>
          </cell>
        </row>
        <row r="21372">
          <cell r="L21372"/>
          <cell r="S21372">
            <v>-3989.6</v>
          </cell>
          <cell r="X21372" t="str">
            <v>Commissions - share RI</v>
          </cell>
        </row>
        <row r="21373">
          <cell r="L21373"/>
          <cell r="S21373">
            <v>1126614</v>
          </cell>
          <cell r="X21373" t="str">
            <v>Commissions - share RI</v>
          </cell>
        </row>
        <row r="21374">
          <cell r="L21374"/>
          <cell r="S21374">
            <v>1044.3900000000001</v>
          </cell>
          <cell r="X21374" t="str">
            <v>Commissions - share RI</v>
          </cell>
        </row>
        <row r="21375">
          <cell r="L21375"/>
          <cell r="S21375">
            <v>-685.09</v>
          </cell>
          <cell r="X21375" t="str">
            <v>Commissions - share RI</v>
          </cell>
        </row>
        <row r="21376">
          <cell r="L21376"/>
          <cell r="S21376">
            <v>-426653.42</v>
          </cell>
          <cell r="X21376" t="str">
            <v>Commissions - share RI</v>
          </cell>
        </row>
        <row r="21377">
          <cell r="L21377"/>
          <cell r="S21377">
            <v>1585.93</v>
          </cell>
          <cell r="X21377" t="str">
            <v>Commissions - share RI</v>
          </cell>
        </row>
        <row r="21378">
          <cell r="L21378"/>
          <cell r="S21378">
            <v>-3227.27</v>
          </cell>
          <cell r="X21378" t="str">
            <v>Commissions - share RI</v>
          </cell>
        </row>
        <row r="21379">
          <cell r="L21379"/>
          <cell r="S21379">
            <v>1623.72</v>
          </cell>
          <cell r="X21379" t="str">
            <v>Commissions - share RI</v>
          </cell>
        </row>
        <row r="21380">
          <cell r="L21380"/>
          <cell r="S21380">
            <v>1121.76</v>
          </cell>
          <cell r="X21380" t="str">
            <v>Commissions - share RI</v>
          </cell>
        </row>
        <row r="21381">
          <cell r="L21381"/>
          <cell r="S21381">
            <v>348.13</v>
          </cell>
          <cell r="X21381" t="str">
            <v>Commissions - share RI</v>
          </cell>
        </row>
        <row r="21382">
          <cell r="L21382"/>
          <cell r="S21382">
            <v>-274285.34000000003</v>
          </cell>
          <cell r="X21382" t="str">
            <v>Commissions - share RI</v>
          </cell>
        </row>
        <row r="21383">
          <cell r="L21383"/>
          <cell r="S21383">
            <v>-1444672.6</v>
          </cell>
          <cell r="X21383" t="str">
            <v>Commissions - share RI</v>
          </cell>
        </row>
        <row r="21384">
          <cell r="L21384"/>
          <cell r="S21384">
            <v>-657.58</v>
          </cell>
          <cell r="X21384" t="str">
            <v>Commissions - share RI</v>
          </cell>
        </row>
        <row r="21385">
          <cell r="L21385"/>
          <cell r="S21385">
            <v>1253.32</v>
          </cell>
          <cell r="X21385" t="str">
            <v>Commissions - share RI</v>
          </cell>
        </row>
        <row r="21386">
          <cell r="L21386"/>
          <cell r="S21386">
            <v>-1253.32</v>
          </cell>
          <cell r="X21386" t="str">
            <v>Commissions - share RI</v>
          </cell>
        </row>
        <row r="21387">
          <cell r="L21387"/>
          <cell r="S21387">
            <v>125.74</v>
          </cell>
          <cell r="X21387" t="str">
            <v>Commissions - share RI</v>
          </cell>
        </row>
        <row r="21388">
          <cell r="L21388"/>
          <cell r="S21388">
            <v>-1988133.7</v>
          </cell>
          <cell r="X21388" t="str">
            <v>Commissions - share RI</v>
          </cell>
        </row>
        <row r="21389">
          <cell r="L21389"/>
          <cell r="S21389">
            <v>-777.31</v>
          </cell>
          <cell r="X21389" t="str">
            <v>Commissions - share RI</v>
          </cell>
        </row>
        <row r="21390">
          <cell r="L21390"/>
          <cell r="S21390">
            <v>-530.46</v>
          </cell>
          <cell r="X21390" t="str">
            <v>Commissions - share RI</v>
          </cell>
        </row>
        <row r="21391">
          <cell r="L21391"/>
          <cell r="S21391">
            <v>180.58</v>
          </cell>
          <cell r="X21391" t="str">
            <v>Commissions - share RI</v>
          </cell>
        </row>
        <row r="21392">
          <cell r="L21392"/>
          <cell r="S21392">
            <v>409.7</v>
          </cell>
          <cell r="X21392" t="str">
            <v>Commissions - share RI</v>
          </cell>
        </row>
        <row r="21393">
          <cell r="L21393"/>
          <cell r="S21393">
            <v>4895.1499999999996</v>
          </cell>
          <cell r="X21393" t="str">
            <v>Commissions - share RI</v>
          </cell>
        </row>
        <row r="21394">
          <cell r="L21394"/>
          <cell r="S21394">
            <v>1078.3499999999999</v>
          </cell>
          <cell r="X21394" t="str">
            <v>Commissions - share RI</v>
          </cell>
        </row>
        <row r="21395">
          <cell r="L21395"/>
          <cell r="S21395">
            <v>-624.27</v>
          </cell>
          <cell r="X21395" t="str">
            <v>Commissions - share RI</v>
          </cell>
        </row>
        <row r="21396">
          <cell r="L21396"/>
          <cell r="S21396">
            <v>-258.92</v>
          </cell>
          <cell r="X21396" t="str">
            <v>Commissions - share RI</v>
          </cell>
        </row>
        <row r="21397">
          <cell r="L21397"/>
          <cell r="S21397">
            <v>-1113.6400000000001</v>
          </cell>
          <cell r="X21397" t="str">
            <v>Commissions - share RI</v>
          </cell>
        </row>
        <row r="21398">
          <cell r="L21398"/>
          <cell r="S21398">
            <v>53.75</v>
          </cell>
          <cell r="X21398" t="str">
            <v>Commissions - share RI</v>
          </cell>
        </row>
        <row r="21399">
          <cell r="L21399"/>
          <cell r="S21399">
            <v>-1154.08</v>
          </cell>
          <cell r="X21399" t="str">
            <v>Commissions - share RI</v>
          </cell>
        </row>
        <row r="21400">
          <cell r="L21400"/>
          <cell r="S21400">
            <v>352.86</v>
          </cell>
          <cell r="X21400" t="str">
            <v>Commissions - share RI</v>
          </cell>
        </row>
        <row r="21401">
          <cell r="L21401"/>
          <cell r="S21401">
            <v>-284.64999999999998</v>
          </cell>
          <cell r="X21401" t="str">
            <v>Commissions - share RI</v>
          </cell>
        </row>
        <row r="21402">
          <cell r="L21402"/>
          <cell r="S21402">
            <v>154.71</v>
          </cell>
          <cell r="X21402" t="str">
            <v>Commissions - share RI</v>
          </cell>
        </row>
        <row r="21403">
          <cell r="L21403"/>
          <cell r="S21403">
            <v>1740</v>
          </cell>
          <cell r="X21403" t="str">
            <v>Commissions - share RI</v>
          </cell>
        </row>
        <row r="21404">
          <cell r="L21404"/>
          <cell r="S21404">
            <v>-352.86</v>
          </cell>
          <cell r="X21404" t="str">
            <v>Commissions - share RI</v>
          </cell>
        </row>
        <row r="21405">
          <cell r="L21405"/>
          <cell r="S21405">
            <v>-366.91</v>
          </cell>
          <cell r="X21405" t="str">
            <v>Commissions - share RI</v>
          </cell>
        </row>
        <row r="21406">
          <cell r="L21406"/>
          <cell r="S21406">
            <v>300000</v>
          </cell>
          <cell r="X21406" t="str">
            <v>Commissions - share RI</v>
          </cell>
        </row>
        <row r="21407">
          <cell r="L21407"/>
          <cell r="S21407">
            <v>-1740</v>
          </cell>
          <cell r="X21407" t="str">
            <v>Commissions - share RI</v>
          </cell>
        </row>
        <row r="21408">
          <cell r="L21408"/>
          <cell r="S21408">
            <v>-1768.6</v>
          </cell>
          <cell r="X21408" t="str">
            <v>Commissions - share RI</v>
          </cell>
        </row>
        <row r="21409">
          <cell r="L21409"/>
          <cell r="S21409">
            <v>-299.04000000000002</v>
          </cell>
          <cell r="X21409" t="str">
            <v>Commissions - share RI</v>
          </cell>
        </row>
        <row r="21410">
          <cell r="L21410"/>
          <cell r="S21410">
            <v>-1602.12</v>
          </cell>
          <cell r="X21410" t="str">
            <v>Commissions - share RI</v>
          </cell>
        </row>
        <row r="21411">
          <cell r="L21411"/>
          <cell r="S21411">
            <v>-1713.68</v>
          </cell>
          <cell r="X21411" t="str">
            <v>Commissions - share RI</v>
          </cell>
        </row>
        <row r="21412">
          <cell r="L21412"/>
          <cell r="S21412">
            <v>366.91</v>
          </cell>
          <cell r="X21412" t="str">
            <v>Commissions - share RI</v>
          </cell>
        </row>
        <row r="21413">
          <cell r="L21413"/>
          <cell r="S21413">
            <v>1602.12</v>
          </cell>
          <cell r="X21413" t="str">
            <v>Commissions - share RI</v>
          </cell>
        </row>
        <row r="21414">
          <cell r="L21414"/>
          <cell r="S21414">
            <v>380.02</v>
          </cell>
          <cell r="X21414" t="str">
            <v>Commissions - share RI</v>
          </cell>
        </row>
        <row r="21415">
          <cell r="L21415"/>
          <cell r="S21415">
            <v>-1456.7</v>
          </cell>
          <cell r="X21415" t="str">
            <v>Commissions - share RI</v>
          </cell>
        </row>
        <row r="21416">
          <cell r="L21416"/>
          <cell r="S21416">
            <v>-1078.3499999999999</v>
          </cell>
          <cell r="X21416" t="str">
            <v>Commissions - share RI</v>
          </cell>
        </row>
        <row r="21417">
          <cell r="L21417"/>
          <cell r="S21417">
            <v>294.45999999999998</v>
          </cell>
          <cell r="X21417" t="str">
            <v>Commissions - share RI</v>
          </cell>
        </row>
        <row r="21418">
          <cell r="L21418"/>
          <cell r="S21418">
            <v>777.31</v>
          </cell>
          <cell r="X21418" t="str">
            <v>Commissions - share RI</v>
          </cell>
        </row>
        <row r="21419">
          <cell r="L21419"/>
          <cell r="S21419">
            <v>323.45</v>
          </cell>
          <cell r="X21419" t="str">
            <v>Commissions - share RI</v>
          </cell>
        </row>
        <row r="21420">
          <cell r="L21420"/>
          <cell r="S21420">
            <v>219.96</v>
          </cell>
          <cell r="X21420" t="str">
            <v>Commissions - share RI</v>
          </cell>
        </row>
        <row r="21421">
          <cell r="L21421"/>
          <cell r="S21421">
            <v>344.14</v>
          </cell>
          <cell r="X21421" t="str">
            <v>Commissions - share RI</v>
          </cell>
        </row>
        <row r="21422">
          <cell r="L21422"/>
          <cell r="S21422">
            <v>945.05</v>
          </cell>
          <cell r="X21422" t="str">
            <v>Commissions - share RI</v>
          </cell>
        </row>
        <row r="21423">
          <cell r="L21423"/>
          <cell r="S21423">
            <v>-239.74</v>
          </cell>
          <cell r="X21423" t="str">
            <v>Commissions - share RI</v>
          </cell>
        </row>
        <row r="21424">
          <cell r="L21424"/>
          <cell r="S21424">
            <v>239.74</v>
          </cell>
          <cell r="X21424" t="str">
            <v>Commissions - share RI</v>
          </cell>
        </row>
        <row r="21425">
          <cell r="L21425"/>
          <cell r="S21425">
            <v>4.99</v>
          </cell>
          <cell r="X21425" t="str">
            <v>Commissions - share RI</v>
          </cell>
        </row>
        <row r="21426">
          <cell r="L21426"/>
          <cell r="S21426">
            <v>239.94</v>
          </cell>
          <cell r="X21426" t="str">
            <v>Commissions - share RI</v>
          </cell>
        </row>
        <row r="21427">
          <cell r="L21427"/>
          <cell r="S21427">
            <v>40.14</v>
          </cell>
          <cell r="X21427" t="str">
            <v>Commissions - share RI</v>
          </cell>
        </row>
        <row r="21428">
          <cell r="L21428"/>
          <cell r="S21428">
            <v>-331.97</v>
          </cell>
          <cell r="X21428" t="str">
            <v>Commissions - share RI</v>
          </cell>
        </row>
        <row r="21429">
          <cell r="L21429"/>
          <cell r="S21429">
            <v>84876.25</v>
          </cell>
          <cell r="X21429" t="str">
            <v>Commissions - share RI</v>
          </cell>
        </row>
        <row r="21430">
          <cell r="L21430"/>
          <cell r="S21430">
            <v>1154.08</v>
          </cell>
          <cell r="X21430" t="str">
            <v>Commissions - share RI</v>
          </cell>
        </row>
        <row r="21431">
          <cell r="L21431"/>
          <cell r="S21431">
            <v>-248101.52</v>
          </cell>
          <cell r="X21431" t="str">
            <v>Commissions - share RI</v>
          </cell>
        </row>
        <row r="21432">
          <cell r="L21432"/>
          <cell r="S21432">
            <v>299.04000000000002</v>
          </cell>
          <cell r="X21432" t="str">
            <v>Commissions - share RI</v>
          </cell>
        </row>
        <row r="21433">
          <cell r="L21433"/>
          <cell r="S21433">
            <v>-409.7</v>
          </cell>
          <cell r="X21433" t="str">
            <v>Commissions - share RI</v>
          </cell>
        </row>
        <row r="21434">
          <cell r="L21434"/>
          <cell r="S21434">
            <v>-803.4</v>
          </cell>
          <cell r="X21434" t="str">
            <v>Commissions - share RI</v>
          </cell>
        </row>
        <row r="21435">
          <cell r="L21435"/>
          <cell r="S21435">
            <v>96900</v>
          </cell>
          <cell r="X21435" t="str">
            <v>Commissions - share RI</v>
          </cell>
        </row>
        <row r="21436">
          <cell r="L21436"/>
          <cell r="S21436">
            <v>-86296.17</v>
          </cell>
          <cell r="X21436" t="str">
            <v>Commissions - share RI</v>
          </cell>
        </row>
        <row r="21437">
          <cell r="L21437"/>
          <cell r="S21437">
            <v>50000</v>
          </cell>
          <cell r="X21437" t="str">
            <v>Commissions - share RI</v>
          </cell>
        </row>
        <row r="21438">
          <cell r="L21438"/>
          <cell r="S21438">
            <v>-791.4</v>
          </cell>
          <cell r="X21438" t="str">
            <v>Commissions - share RI</v>
          </cell>
        </row>
        <row r="21439">
          <cell r="L21439"/>
          <cell r="S21439">
            <v>34.380000000000003</v>
          </cell>
          <cell r="X21439" t="str">
            <v>Commissions - share RI</v>
          </cell>
        </row>
        <row r="21440">
          <cell r="L21440"/>
          <cell r="S21440">
            <v>-777.31</v>
          </cell>
          <cell r="X21440" t="str">
            <v>Commissions - share RI</v>
          </cell>
        </row>
        <row r="21441">
          <cell r="L21441"/>
          <cell r="S21441">
            <v>-380.7</v>
          </cell>
          <cell r="X21441" t="str">
            <v>Commissions - share RI</v>
          </cell>
        </row>
        <row r="21442">
          <cell r="L21442"/>
          <cell r="S21442">
            <v>-42.96</v>
          </cell>
          <cell r="X21442" t="str">
            <v>Commissions - share RI</v>
          </cell>
        </row>
        <row r="21443">
          <cell r="L21443"/>
          <cell r="S21443">
            <v>5.7</v>
          </cell>
          <cell r="X21443" t="str">
            <v>Commissions - share RI</v>
          </cell>
        </row>
        <row r="21444">
          <cell r="L21444"/>
          <cell r="S21444">
            <v>300000</v>
          </cell>
          <cell r="X21444" t="str">
            <v>Commissions - share RI</v>
          </cell>
        </row>
        <row r="21445">
          <cell r="L21445"/>
          <cell r="S21445">
            <v>-1038.68</v>
          </cell>
          <cell r="X21445" t="str">
            <v>Commissions - share RI</v>
          </cell>
        </row>
        <row r="21446">
          <cell r="L21446"/>
          <cell r="S21446">
            <v>777.31</v>
          </cell>
          <cell r="X21446" t="str">
            <v>Commissions - share RI</v>
          </cell>
        </row>
        <row r="21447">
          <cell r="L21447"/>
          <cell r="S21447">
            <v>-647.01</v>
          </cell>
          <cell r="X21447" t="str">
            <v>Commissions - share RI</v>
          </cell>
        </row>
        <row r="21448">
          <cell r="L21448"/>
          <cell r="S21448">
            <v>284.64999999999998</v>
          </cell>
          <cell r="X21448" t="str">
            <v>Commissions - share RI</v>
          </cell>
        </row>
        <row r="21449">
          <cell r="L21449"/>
          <cell r="S21449">
            <v>232</v>
          </cell>
          <cell r="X21449" t="str">
            <v>Commissions - share RI</v>
          </cell>
        </row>
        <row r="21450">
          <cell r="L21450"/>
          <cell r="S21450">
            <v>1432.73</v>
          </cell>
          <cell r="X21450" t="str">
            <v>Commissions - share RI</v>
          </cell>
        </row>
        <row r="21451">
          <cell r="L21451"/>
          <cell r="S21451">
            <v>43.55</v>
          </cell>
          <cell r="X21451" t="str">
            <v>Commissions - share RI</v>
          </cell>
        </row>
        <row r="21452">
          <cell r="L21452"/>
          <cell r="S21452">
            <v>-816.76</v>
          </cell>
          <cell r="X21452" t="str">
            <v>Commissions - share RI</v>
          </cell>
        </row>
        <row r="21453">
          <cell r="L21453"/>
          <cell r="S21453">
            <v>680.86</v>
          </cell>
          <cell r="X21453" t="str">
            <v>Commissions - share RI</v>
          </cell>
        </row>
        <row r="21454">
          <cell r="L21454"/>
          <cell r="S21454">
            <v>244019.22</v>
          </cell>
          <cell r="X21454" t="str">
            <v>Commissions - share RI</v>
          </cell>
        </row>
        <row r="21455">
          <cell r="L21455"/>
          <cell r="S21455">
            <v>-239.94</v>
          </cell>
          <cell r="X21455" t="str">
            <v>Commissions - share RI</v>
          </cell>
        </row>
        <row r="21456">
          <cell r="L21456"/>
          <cell r="S21456">
            <v>88869</v>
          </cell>
          <cell r="X21456" t="str">
            <v>Commissions - share RI</v>
          </cell>
        </row>
        <row r="21457">
          <cell r="L21457"/>
          <cell r="S21457">
            <v>-4188</v>
          </cell>
          <cell r="X21457" t="str">
            <v>Commissions - share RI</v>
          </cell>
        </row>
        <row r="21458">
          <cell r="L21458"/>
          <cell r="S21458">
            <v>-1154.08</v>
          </cell>
          <cell r="X21458" t="str">
            <v>Commissions - share RI</v>
          </cell>
        </row>
        <row r="21459">
          <cell r="L21459"/>
          <cell r="S21459">
            <v>1432.67</v>
          </cell>
          <cell r="X21459" t="str">
            <v>Commissions - share RI</v>
          </cell>
        </row>
        <row r="21460">
          <cell r="L21460"/>
          <cell r="S21460">
            <v>-1740.01</v>
          </cell>
          <cell r="X21460" t="str">
            <v>Commissions - share RI</v>
          </cell>
        </row>
        <row r="21461">
          <cell r="L21461"/>
          <cell r="S21461">
            <v>647.01</v>
          </cell>
          <cell r="X21461" t="str">
            <v>Commissions - share RI</v>
          </cell>
        </row>
        <row r="21462">
          <cell r="L21462"/>
          <cell r="S21462">
            <v>-578.69000000000005</v>
          </cell>
          <cell r="X21462" t="str">
            <v>Commissions - share RI</v>
          </cell>
        </row>
        <row r="21463">
          <cell r="L21463"/>
          <cell r="S21463">
            <v>311.07</v>
          </cell>
          <cell r="X21463" t="str">
            <v>Commissions - share RI</v>
          </cell>
        </row>
        <row r="21464">
          <cell r="L21464"/>
          <cell r="S21464">
            <v>1332.53</v>
          </cell>
          <cell r="X21464" t="str">
            <v>Commissions - share RI</v>
          </cell>
        </row>
        <row r="21465">
          <cell r="L21465"/>
          <cell r="S21465">
            <v>578.67999999999995</v>
          </cell>
          <cell r="X21465" t="str">
            <v>Commissions - share RI</v>
          </cell>
        </row>
        <row r="21466">
          <cell r="L21466"/>
          <cell r="S21466">
            <v>1713.68</v>
          </cell>
          <cell r="X21466" t="str">
            <v>Commissions - share RI</v>
          </cell>
        </row>
        <row r="21467">
          <cell r="L21467"/>
          <cell r="S21467">
            <v>-1441.91</v>
          </cell>
          <cell r="X21467" t="str">
            <v>Commissions - share RI</v>
          </cell>
        </row>
        <row r="21468">
          <cell r="L21468"/>
          <cell r="S21468">
            <v>200000</v>
          </cell>
          <cell r="X21468" t="str">
            <v>Commissions - share RI</v>
          </cell>
        </row>
        <row r="21469">
          <cell r="L21469"/>
          <cell r="S21469">
            <v>-258.08999999999997</v>
          </cell>
          <cell r="X21469" t="str">
            <v>Commissions - share RI</v>
          </cell>
        </row>
        <row r="21470">
          <cell r="L21470"/>
          <cell r="S21470">
            <v>-777.31</v>
          </cell>
          <cell r="X21470" t="str">
            <v>Commissions - share RI</v>
          </cell>
        </row>
        <row r="21471">
          <cell r="L21471"/>
          <cell r="S21471">
            <v>-294845.25</v>
          </cell>
          <cell r="X21471" t="str">
            <v>Commissions - share RI</v>
          </cell>
        </row>
        <row r="21472">
          <cell r="L21472"/>
          <cell r="S21472">
            <v>-311.06</v>
          </cell>
          <cell r="X21472" t="str">
            <v>Commissions - share RI</v>
          </cell>
        </row>
        <row r="21473">
          <cell r="L21473"/>
          <cell r="S21473">
            <v>21281.5</v>
          </cell>
          <cell r="X21473" t="str">
            <v>Commissions - share RI</v>
          </cell>
        </row>
        <row r="21474">
          <cell r="L21474"/>
          <cell r="S21474">
            <v>-484.01</v>
          </cell>
          <cell r="X21474" t="str">
            <v>Commissions - share RI</v>
          </cell>
        </row>
        <row r="21475">
          <cell r="L21475"/>
          <cell r="S21475">
            <v>-699.57</v>
          </cell>
          <cell r="X21475" t="str">
            <v>Commissions - share RI</v>
          </cell>
        </row>
        <row r="21476">
          <cell r="L21476"/>
          <cell r="S21476">
            <v>-197.27</v>
          </cell>
          <cell r="X21476" t="str">
            <v>Commissions - share RI</v>
          </cell>
        </row>
        <row r="21477">
          <cell r="L21477"/>
          <cell r="S21477">
            <v>-135.04</v>
          </cell>
          <cell r="X21477" t="str">
            <v>Commissions - share RI</v>
          </cell>
        </row>
        <row r="21478">
          <cell r="L21478"/>
          <cell r="S21478">
            <v>446.95</v>
          </cell>
          <cell r="X21478" t="str">
            <v>Commissions - share RI</v>
          </cell>
        </row>
        <row r="21479">
          <cell r="L21479"/>
          <cell r="S21479">
            <v>-294.47000000000003</v>
          </cell>
          <cell r="X21479" t="str">
            <v>Commissions - share RI</v>
          </cell>
        </row>
        <row r="21480">
          <cell r="L21480"/>
          <cell r="S21480">
            <v>736.44</v>
          </cell>
          <cell r="X21480" t="str">
            <v>Commissions - share RI</v>
          </cell>
        </row>
        <row r="21481">
          <cell r="L21481"/>
          <cell r="S21481">
            <v>282.42</v>
          </cell>
          <cell r="X21481" t="str">
            <v>Commissions - share RI</v>
          </cell>
        </row>
        <row r="21482">
          <cell r="L21482"/>
          <cell r="S21482">
            <v>-618140.25</v>
          </cell>
          <cell r="X21482" t="str">
            <v>Commissions - share RI</v>
          </cell>
        </row>
        <row r="21483">
          <cell r="L21483"/>
          <cell r="S21483">
            <v>777.31</v>
          </cell>
          <cell r="X21483" t="str">
            <v>Commissions - share RI</v>
          </cell>
        </row>
        <row r="21484">
          <cell r="L21484"/>
          <cell r="S21484">
            <v>1113.6400000000001</v>
          </cell>
          <cell r="X21484" t="str">
            <v>Commissions - share RI</v>
          </cell>
        </row>
        <row r="21485">
          <cell r="L21485"/>
          <cell r="S21485">
            <v>331.97</v>
          </cell>
          <cell r="X21485" t="str">
            <v>Commissions - share RI</v>
          </cell>
        </row>
        <row r="21486">
          <cell r="L21486"/>
          <cell r="S21486">
            <v>525.98</v>
          </cell>
          <cell r="X21486" t="str">
            <v>Commissions - share RI</v>
          </cell>
        </row>
        <row r="21487">
          <cell r="L21487"/>
          <cell r="S21487">
            <v>-344.14</v>
          </cell>
          <cell r="X21487" t="str">
            <v>Commissions - share RI</v>
          </cell>
        </row>
        <row r="21488">
          <cell r="L21488"/>
          <cell r="S21488">
            <v>-736.44</v>
          </cell>
          <cell r="X21488" t="str">
            <v>Commissions - share RI</v>
          </cell>
        </row>
        <row r="21489">
          <cell r="L21489"/>
          <cell r="S21489">
            <v>-331.97</v>
          </cell>
          <cell r="X21489" t="str">
            <v>Commissions - share RI</v>
          </cell>
        </row>
        <row r="21490">
          <cell r="L21490"/>
          <cell r="S21490">
            <v>-446.95</v>
          </cell>
          <cell r="X21490" t="str">
            <v>Commissions - share RI</v>
          </cell>
        </row>
        <row r="21491">
          <cell r="L21491"/>
          <cell r="S21491">
            <v>-482.35</v>
          </cell>
          <cell r="X21491" t="str">
            <v>Commissions - share RI</v>
          </cell>
        </row>
        <row r="21492">
          <cell r="L21492"/>
          <cell r="S21492">
            <v>1441.91</v>
          </cell>
          <cell r="X21492" t="str">
            <v>Commissions - share RI</v>
          </cell>
        </row>
        <row r="21493">
          <cell r="L21493"/>
          <cell r="S21493">
            <v>-777.31</v>
          </cell>
          <cell r="X21493" t="str">
            <v>Commissions - share RI</v>
          </cell>
        </row>
        <row r="21494">
          <cell r="L21494"/>
          <cell r="S21494">
            <v>803.4</v>
          </cell>
          <cell r="X21494" t="str">
            <v>Commissions - share RI</v>
          </cell>
        </row>
        <row r="21495">
          <cell r="L21495"/>
          <cell r="S21495">
            <v>-154.71</v>
          </cell>
          <cell r="X21495" t="str">
            <v>Commissions - share RI</v>
          </cell>
        </row>
        <row r="21496">
          <cell r="L21496"/>
          <cell r="S21496">
            <v>-718.9</v>
          </cell>
          <cell r="X21496" t="str">
            <v>Commissions - share RI</v>
          </cell>
        </row>
        <row r="21497">
          <cell r="L21497"/>
          <cell r="S21497">
            <v>-24.64</v>
          </cell>
          <cell r="X21497" t="str">
            <v>Commissions - share RI</v>
          </cell>
        </row>
        <row r="21498">
          <cell r="L21498"/>
          <cell r="S21498">
            <v>-1592.11</v>
          </cell>
          <cell r="X21498" t="str">
            <v>Commissions - share RI</v>
          </cell>
        </row>
        <row r="21499">
          <cell r="L21499"/>
          <cell r="S21499">
            <v>21281.5</v>
          </cell>
          <cell r="X21499" t="str">
            <v>Commissions - share RI</v>
          </cell>
        </row>
        <row r="21500">
          <cell r="L21500"/>
          <cell r="S21500">
            <v>258.08999999999997</v>
          </cell>
          <cell r="X21500" t="str">
            <v>Commissions - share RI</v>
          </cell>
        </row>
        <row r="21501">
          <cell r="L21501"/>
          <cell r="S21501">
            <v>-180.58</v>
          </cell>
          <cell r="X21501" t="str">
            <v>Commissions - share RI</v>
          </cell>
        </row>
        <row r="21502">
          <cell r="L21502"/>
          <cell r="S21502">
            <v>-323.45</v>
          </cell>
          <cell r="X21502" t="str">
            <v>Commissions - share RI</v>
          </cell>
        </row>
        <row r="21503">
          <cell r="L21503"/>
          <cell r="S21503">
            <v>-718.9</v>
          </cell>
          <cell r="X21503" t="str">
            <v>Commissions - share RI</v>
          </cell>
        </row>
        <row r="21504">
          <cell r="L21504"/>
          <cell r="S21504">
            <v>-4.99</v>
          </cell>
          <cell r="X21504" t="str">
            <v>Commissions - share RI</v>
          </cell>
        </row>
        <row r="21505">
          <cell r="L21505"/>
          <cell r="S21505">
            <v>-2403.1799999999998</v>
          </cell>
          <cell r="X21505" t="str">
            <v>Commissions - share RI</v>
          </cell>
        </row>
        <row r="21506">
          <cell r="L21506"/>
          <cell r="S21506">
            <v>-835.24</v>
          </cell>
          <cell r="X21506" t="str">
            <v>Commissions - share RI</v>
          </cell>
        </row>
        <row r="21507">
          <cell r="L21507"/>
          <cell r="S21507">
            <v>-777.31</v>
          </cell>
          <cell r="X21507" t="str">
            <v>Commissions - share RI</v>
          </cell>
        </row>
        <row r="21508">
          <cell r="L21508"/>
          <cell r="S21508">
            <v>-1602.12</v>
          </cell>
          <cell r="X21508" t="str">
            <v>Commissions - share RI</v>
          </cell>
        </row>
        <row r="21509">
          <cell r="L21509"/>
          <cell r="S21509">
            <v>-1170.6500000000001</v>
          </cell>
          <cell r="X21509" t="str">
            <v>Commissions - share RI</v>
          </cell>
        </row>
        <row r="21510">
          <cell r="L21510"/>
          <cell r="S21510">
            <v>-219.95</v>
          </cell>
          <cell r="X21510" t="str">
            <v>Commissions - share RI</v>
          </cell>
        </row>
        <row r="21511">
          <cell r="L21511"/>
          <cell r="S21511">
            <v>718.9</v>
          </cell>
          <cell r="X21511" t="str">
            <v>Commissions - share RI</v>
          </cell>
        </row>
        <row r="21512">
          <cell r="L21512"/>
          <cell r="S21512">
            <v>30.33</v>
          </cell>
          <cell r="X21512" t="str">
            <v>Commissions - share RI</v>
          </cell>
        </row>
        <row r="21513">
          <cell r="L21513"/>
          <cell r="S21513">
            <v>-231.99</v>
          </cell>
          <cell r="X21513" t="str">
            <v>Commissions - share RI</v>
          </cell>
        </row>
        <row r="21514">
          <cell r="L21514"/>
          <cell r="S21514">
            <v>-1432.67</v>
          </cell>
          <cell r="X21514" t="str">
            <v>Commissions - share RI</v>
          </cell>
        </row>
        <row r="21515">
          <cell r="L21515"/>
          <cell r="S21515">
            <v>1038.68</v>
          </cell>
          <cell r="X21515" t="str">
            <v>Commissions - share RI</v>
          </cell>
        </row>
        <row r="21516">
          <cell r="L21516"/>
          <cell r="S21516">
            <v>415.22</v>
          </cell>
          <cell r="X21516" t="str">
            <v>Commissions - share RI</v>
          </cell>
        </row>
        <row r="21517">
          <cell r="L21517"/>
          <cell r="S21517">
            <v>-435.64</v>
          </cell>
          <cell r="X21517" t="str">
            <v>Commissions - share RI</v>
          </cell>
        </row>
        <row r="21518">
          <cell r="L21518"/>
          <cell r="S21518">
            <v>-327.14999999999998</v>
          </cell>
          <cell r="X21518" t="str">
            <v>Commissions - share RI</v>
          </cell>
        </row>
        <row r="21519">
          <cell r="L21519"/>
          <cell r="S21519">
            <v>-866.41</v>
          </cell>
          <cell r="X21519" t="str">
            <v>Commissions - share RI</v>
          </cell>
        </row>
        <row r="21520">
          <cell r="L21520"/>
          <cell r="S21520">
            <v>-258.08999999999997</v>
          </cell>
          <cell r="X21520" t="str">
            <v>Commissions - share RI</v>
          </cell>
        </row>
        <row r="21521">
          <cell r="L21521"/>
          <cell r="S21521">
            <v>300000</v>
          </cell>
          <cell r="X21521" t="str">
            <v>Commissions - share RI</v>
          </cell>
        </row>
        <row r="21522">
          <cell r="L21522"/>
          <cell r="S21522">
            <v>699.57</v>
          </cell>
          <cell r="X21522" t="str">
            <v>Commissions - share RI</v>
          </cell>
        </row>
        <row r="21523">
          <cell r="L21523"/>
          <cell r="S21523">
            <v>4119.1000000000004</v>
          </cell>
          <cell r="X21523" t="str">
            <v>Commissions - share RI</v>
          </cell>
        </row>
        <row r="21524">
          <cell r="L21524"/>
          <cell r="S21524">
            <v>777.31</v>
          </cell>
          <cell r="X21524" t="str">
            <v>Commissions - share RI</v>
          </cell>
        </row>
        <row r="21525">
          <cell r="L21525"/>
          <cell r="S21525">
            <v>607879.12</v>
          </cell>
          <cell r="X21525" t="str">
            <v>Commissions - share RI</v>
          </cell>
        </row>
        <row r="21526">
          <cell r="L21526"/>
          <cell r="S21526">
            <v>197.27</v>
          </cell>
          <cell r="X21526" t="str">
            <v>Commissions - share RI</v>
          </cell>
        </row>
        <row r="21527">
          <cell r="L21527"/>
          <cell r="S21527">
            <v>-1332.53</v>
          </cell>
          <cell r="X21527" t="str">
            <v>Commissions - share RI</v>
          </cell>
        </row>
        <row r="21528">
          <cell r="L21528"/>
          <cell r="S21528">
            <v>530.46</v>
          </cell>
          <cell r="X21528" t="str">
            <v>Commissions - share RI</v>
          </cell>
        </row>
        <row r="21529">
          <cell r="L21529"/>
          <cell r="S21529">
            <v>-380.02</v>
          </cell>
          <cell r="X21529" t="str">
            <v>Commissions - share RI</v>
          </cell>
        </row>
        <row r="21530">
          <cell r="L21530"/>
          <cell r="S21530">
            <v>1592.11</v>
          </cell>
          <cell r="X21530" t="str">
            <v>Commissions - share RI</v>
          </cell>
        </row>
        <row r="21531">
          <cell r="L21531"/>
          <cell r="S21531">
            <v>52.67</v>
          </cell>
          <cell r="X21531" t="str">
            <v>Commissions - share RI</v>
          </cell>
        </row>
        <row r="21532">
          <cell r="L21532"/>
          <cell r="S21532">
            <v>180000</v>
          </cell>
          <cell r="X21532" t="str">
            <v>Commissions - share RI</v>
          </cell>
        </row>
        <row r="21533">
          <cell r="L21533"/>
          <cell r="S21533">
            <v>-635.1</v>
          </cell>
          <cell r="X21533" t="str">
            <v>Commissions - share RI</v>
          </cell>
        </row>
        <row r="21534">
          <cell r="L21534"/>
          <cell r="S21534">
            <v>1248985</v>
          </cell>
          <cell r="X21534" t="str">
            <v>Commissions - share RI</v>
          </cell>
        </row>
        <row r="21535">
          <cell r="L21535"/>
          <cell r="S21535">
            <v>-88869</v>
          </cell>
          <cell r="X21535" t="str">
            <v>Commissions - share RI</v>
          </cell>
        </row>
        <row r="21536">
          <cell r="L21536"/>
          <cell r="S21536">
            <v>2403.1799999999998</v>
          </cell>
          <cell r="X21536" t="str">
            <v>Commissions - share RI</v>
          </cell>
        </row>
        <row r="21537">
          <cell r="L21537"/>
          <cell r="S21537">
            <v>-4977.05</v>
          </cell>
          <cell r="X21537" t="str">
            <v>Commissions - share RI</v>
          </cell>
        </row>
        <row r="21538">
          <cell r="L21538"/>
          <cell r="S21538">
            <v>1740.01</v>
          </cell>
          <cell r="X21538" t="str">
            <v>Commissions - share RI</v>
          </cell>
        </row>
        <row r="21539">
          <cell r="L21539"/>
          <cell r="S21539">
            <v>-344.14</v>
          </cell>
          <cell r="X21539" t="str">
            <v>Commissions - share RI</v>
          </cell>
        </row>
        <row r="21540">
          <cell r="L21540"/>
          <cell r="S21540">
            <v>435.64</v>
          </cell>
          <cell r="X21540" t="str">
            <v>Commissions - share RI</v>
          </cell>
        </row>
        <row r="21541">
          <cell r="L21541"/>
          <cell r="S21541">
            <v>289993.87</v>
          </cell>
          <cell r="X21541" t="str">
            <v>Commissions - share RI</v>
          </cell>
        </row>
        <row r="21542">
          <cell r="L21542"/>
          <cell r="S21542">
            <v>10261.129999999999</v>
          </cell>
          <cell r="X21542" t="str">
            <v>Commissions - share RI</v>
          </cell>
        </row>
        <row r="21543">
          <cell r="L21543"/>
          <cell r="S21543">
            <v>135.04</v>
          </cell>
          <cell r="X21543" t="str">
            <v>Commissions - share RI</v>
          </cell>
        </row>
        <row r="21544">
          <cell r="L21544"/>
          <cell r="S21544">
            <v>-53.86</v>
          </cell>
          <cell r="X21544" t="str">
            <v>Commissions - share RI</v>
          </cell>
        </row>
        <row r="21545">
          <cell r="L21545"/>
          <cell r="S21545">
            <v>-2094.5700000000002</v>
          </cell>
          <cell r="X21545" t="str">
            <v>Commissions - share RI</v>
          </cell>
        </row>
        <row r="21546">
          <cell r="L21546"/>
          <cell r="S21546">
            <v>-4150.83</v>
          </cell>
          <cell r="X21546" t="str">
            <v>Commissions - share RI</v>
          </cell>
        </row>
        <row r="21547">
          <cell r="L21547"/>
          <cell r="S21547">
            <v>-40.22</v>
          </cell>
          <cell r="X21547" t="str">
            <v>Commissions - share RI</v>
          </cell>
        </row>
        <row r="21548">
          <cell r="L21548"/>
          <cell r="S21548">
            <v>-6904.85</v>
          </cell>
          <cell r="X21548" t="str">
            <v>Commissions - share RI</v>
          </cell>
        </row>
        <row r="21549">
          <cell r="L21549"/>
          <cell r="S21549">
            <v>3178.42</v>
          </cell>
          <cell r="X21549" t="str">
            <v>Commissions - share RI</v>
          </cell>
        </row>
        <row r="21550">
          <cell r="L21550"/>
          <cell r="S21550">
            <v>-5269.26</v>
          </cell>
          <cell r="X21550" t="str">
            <v>Commissions - share RI</v>
          </cell>
        </row>
        <row r="21551">
          <cell r="L21551"/>
          <cell r="S21551">
            <v>-3178.42</v>
          </cell>
          <cell r="X21551" t="str">
            <v>Commissions - share RI</v>
          </cell>
        </row>
        <row r="21552">
          <cell r="L21552"/>
          <cell r="S21552">
            <v>-3384.83</v>
          </cell>
          <cell r="X21552" t="str">
            <v>Commissions - share RI</v>
          </cell>
        </row>
        <row r="21553">
          <cell r="L21553"/>
          <cell r="S21553">
            <v>311.70999999999998</v>
          </cell>
          <cell r="X21553" t="str">
            <v>Commissions - share RI</v>
          </cell>
        </row>
        <row r="21554">
          <cell r="L21554"/>
          <cell r="S21554">
            <v>-7014.45</v>
          </cell>
          <cell r="X21554" t="str">
            <v>Commissions - share RI</v>
          </cell>
        </row>
        <row r="21555">
          <cell r="L21555"/>
          <cell r="S21555">
            <v>310.36</v>
          </cell>
          <cell r="X21555" t="str">
            <v>Commissions - share RI</v>
          </cell>
        </row>
        <row r="21556">
          <cell r="L21556"/>
          <cell r="S21556">
            <v>-8319.36</v>
          </cell>
          <cell r="X21556" t="str">
            <v>Commissions - share RI</v>
          </cell>
        </row>
        <row r="21557">
          <cell r="L21557"/>
          <cell r="S21557">
            <v>-34.450000000000003</v>
          </cell>
          <cell r="X21557" t="str">
            <v>Commissions - share RI</v>
          </cell>
        </row>
        <row r="21558">
          <cell r="L21558"/>
          <cell r="S21558">
            <v>7014.45</v>
          </cell>
          <cell r="X21558" t="str">
            <v>Commissions - share RI</v>
          </cell>
        </row>
        <row r="21559">
          <cell r="L21559"/>
          <cell r="S21559">
            <v>-2803.93</v>
          </cell>
          <cell r="X21559" t="str">
            <v>Commissions - share RI</v>
          </cell>
        </row>
        <row r="21560">
          <cell r="L21560"/>
          <cell r="S21560">
            <v>6904.85</v>
          </cell>
          <cell r="X21560" t="str">
            <v>Commissions - share RI</v>
          </cell>
        </row>
        <row r="21561">
          <cell r="L21561"/>
          <cell r="S21561">
            <v>-3211.67</v>
          </cell>
          <cell r="X21561" t="str">
            <v>Commissions - share RI</v>
          </cell>
        </row>
        <row r="21562">
          <cell r="L21562"/>
          <cell r="S21562">
            <v>-311.72000000000003</v>
          </cell>
          <cell r="X21562" t="str">
            <v>Commissions - share RI</v>
          </cell>
        </row>
        <row r="21563">
          <cell r="L21563"/>
          <cell r="S21563">
            <v>-310.36</v>
          </cell>
          <cell r="X21563" t="str">
            <v>Commissions - share RI</v>
          </cell>
        </row>
        <row r="21564">
          <cell r="L21564"/>
          <cell r="S21564">
            <v>-6735.28</v>
          </cell>
          <cell r="X21564" t="str">
            <v>Commissions - share RI</v>
          </cell>
        </row>
        <row r="21565">
          <cell r="L21565"/>
          <cell r="S21565">
            <v>-30.39</v>
          </cell>
          <cell r="X21565" t="str">
            <v>Commissions - share RI</v>
          </cell>
        </row>
        <row r="21566">
          <cell r="L21566"/>
          <cell r="S21566">
            <v>-43.64</v>
          </cell>
          <cell r="X21566" t="str">
            <v>Commissions - share RI</v>
          </cell>
        </row>
        <row r="21567">
          <cell r="L21567"/>
          <cell r="S21567">
            <v>-79147.960000000006</v>
          </cell>
          <cell r="X21567" t="str">
            <v>Commissions - share RI</v>
          </cell>
        </row>
        <row r="21568">
          <cell r="L21568"/>
          <cell r="S21568">
            <v>-206795.57</v>
          </cell>
          <cell r="X21568" t="str">
            <v>Commissions - share RI</v>
          </cell>
        </row>
        <row r="21569">
          <cell r="L21569"/>
          <cell r="S21569">
            <v>173052</v>
          </cell>
          <cell r="X21569" t="str">
            <v>Commissions - share RI</v>
          </cell>
        </row>
        <row r="21570">
          <cell r="L21570"/>
          <cell r="S21570">
            <v>442.56</v>
          </cell>
          <cell r="X21570" t="str">
            <v>Commissions - share RI</v>
          </cell>
        </row>
        <row r="21571">
          <cell r="L21571"/>
          <cell r="S21571">
            <v>192.79</v>
          </cell>
          <cell r="X21571" t="str">
            <v>Commissions - share RI</v>
          </cell>
        </row>
        <row r="21572">
          <cell r="L21572"/>
          <cell r="S21572">
            <v>103117.22</v>
          </cell>
          <cell r="X21572" t="str">
            <v>Commissions - share RI</v>
          </cell>
        </row>
        <row r="21573">
          <cell r="L21573"/>
          <cell r="S21573">
            <v>-13961.51</v>
          </cell>
          <cell r="X21573" t="str">
            <v>Commissions - share RI</v>
          </cell>
        </row>
        <row r="21574">
          <cell r="L21574"/>
          <cell r="S21574">
            <v>-123224.16</v>
          </cell>
          <cell r="X21574" t="str">
            <v>Commissions - share RI</v>
          </cell>
        </row>
        <row r="21575">
          <cell r="L21575"/>
          <cell r="S21575">
            <v>84271.31</v>
          </cell>
          <cell r="X21575" t="str">
            <v>Commissions - share RI</v>
          </cell>
        </row>
        <row r="21576">
          <cell r="L21576"/>
          <cell r="S21576">
            <v>6499.08</v>
          </cell>
          <cell r="X21576" t="str">
            <v>Commissions - share RI</v>
          </cell>
        </row>
        <row r="21577">
          <cell r="L21577"/>
          <cell r="S21577">
            <v>21846.87</v>
          </cell>
          <cell r="X21577" t="str">
            <v>Commissions - share RI</v>
          </cell>
        </row>
        <row r="21578">
          <cell r="L21578"/>
          <cell r="S21578">
            <v>15176.74</v>
          </cell>
          <cell r="X21578" t="str">
            <v>Commissions - share RI</v>
          </cell>
        </row>
        <row r="21579">
          <cell r="L21579"/>
          <cell r="S21579">
            <v>-3971.22</v>
          </cell>
          <cell r="X21579" t="str">
            <v>Commissions - share RI</v>
          </cell>
        </row>
        <row r="21580">
          <cell r="L21580"/>
          <cell r="S21580">
            <v>-40726.43</v>
          </cell>
          <cell r="X21580" t="str">
            <v>Commissions - share RI</v>
          </cell>
        </row>
        <row r="21581">
          <cell r="L21581"/>
          <cell r="S21581">
            <v>27426.1</v>
          </cell>
          <cell r="X21581" t="str">
            <v>Commissions - share RI</v>
          </cell>
        </row>
        <row r="21582">
          <cell r="L21582"/>
          <cell r="S21582">
            <v>-8.4700000000000006</v>
          </cell>
          <cell r="X21582" t="str">
            <v>Commissions - share RI</v>
          </cell>
        </row>
        <row r="21583">
          <cell r="L21583"/>
          <cell r="S21583">
            <v>77630.649999999994</v>
          </cell>
          <cell r="X21583" t="str">
            <v>Commissions - share RI</v>
          </cell>
        </row>
        <row r="21584">
          <cell r="L21584"/>
          <cell r="S21584">
            <v>46258</v>
          </cell>
          <cell r="X21584" t="str">
            <v>Commissions - share RI</v>
          </cell>
        </row>
        <row r="21585">
          <cell r="L21585"/>
          <cell r="S21585">
            <v>-16008.71</v>
          </cell>
          <cell r="X21585" t="str">
            <v>Commissions - share RI</v>
          </cell>
        </row>
        <row r="21586">
          <cell r="L21586"/>
          <cell r="S21586">
            <v>-25045.439999999999</v>
          </cell>
          <cell r="X21586" t="str">
            <v>Commissions - share RI</v>
          </cell>
        </row>
        <row r="21587">
          <cell r="L21587"/>
          <cell r="S21587">
            <v>28728.86</v>
          </cell>
          <cell r="X21587" t="str">
            <v>Commissions - share RI</v>
          </cell>
        </row>
        <row r="21588">
          <cell r="L21588"/>
          <cell r="S21588">
            <v>-26106.81</v>
          </cell>
          <cell r="X21588" t="str">
            <v>Commissions - share RI</v>
          </cell>
        </row>
        <row r="21589">
          <cell r="L21589"/>
          <cell r="S21589">
            <v>1274.74</v>
          </cell>
          <cell r="X21589" t="str">
            <v>Commissions - share RI</v>
          </cell>
        </row>
        <row r="21590">
          <cell r="L21590"/>
          <cell r="S21590">
            <v>-30123.67</v>
          </cell>
          <cell r="X21590" t="str">
            <v>Commissions - share RI</v>
          </cell>
        </row>
        <row r="21591">
          <cell r="L21591"/>
          <cell r="S21591">
            <v>-40428.39</v>
          </cell>
          <cell r="X21591" t="str">
            <v>Commissions - share RI</v>
          </cell>
        </row>
        <row r="21592">
          <cell r="L21592"/>
          <cell r="S21592">
            <v>531.91999999999996</v>
          </cell>
          <cell r="X21592" t="str">
            <v>Commissions - share RI</v>
          </cell>
        </row>
        <row r="21593">
          <cell r="L21593"/>
          <cell r="S21593">
            <v>9785.08</v>
          </cell>
          <cell r="X21593" t="str">
            <v>Commissions - share RI</v>
          </cell>
        </row>
        <row r="21594">
          <cell r="L21594"/>
          <cell r="S21594">
            <v>7120</v>
          </cell>
          <cell r="X21594" t="str">
            <v>Commissions - share RI</v>
          </cell>
        </row>
        <row r="21595">
          <cell r="L21595"/>
          <cell r="S21595">
            <v>-141982.88</v>
          </cell>
          <cell r="X21595" t="str">
            <v>Commissions - share RI</v>
          </cell>
        </row>
        <row r="21596">
          <cell r="L21596"/>
          <cell r="S21596">
            <v>-27703.59</v>
          </cell>
          <cell r="X21596" t="str">
            <v>Commissions - share RI</v>
          </cell>
        </row>
        <row r="21597">
          <cell r="L21597"/>
          <cell r="S21597">
            <v>-115277.64</v>
          </cell>
          <cell r="X21597" t="str">
            <v>Commissions - share RI</v>
          </cell>
        </row>
        <row r="21598">
          <cell r="L21598"/>
          <cell r="S21598">
            <v>680.35</v>
          </cell>
          <cell r="X21598" t="str">
            <v>Commissions - share RI</v>
          </cell>
        </row>
        <row r="21599">
          <cell r="L21599"/>
          <cell r="S21599">
            <v>93.36</v>
          </cell>
          <cell r="X21599" t="str">
            <v>Commissions - share RI</v>
          </cell>
        </row>
        <row r="21600">
          <cell r="L21600"/>
          <cell r="S21600">
            <v>-24714.45</v>
          </cell>
          <cell r="X21600" t="str">
            <v>Commissions - share RI</v>
          </cell>
        </row>
        <row r="21601">
          <cell r="L21601"/>
          <cell r="S21601">
            <v>-680.35</v>
          </cell>
          <cell r="X21601" t="str">
            <v>Commissions - share RI</v>
          </cell>
        </row>
        <row r="21602">
          <cell r="L21602"/>
          <cell r="S21602">
            <v>379.62</v>
          </cell>
          <cell r="X21602" t="str">
            <v>Commissions - share RI</v>
          </cell>
        </row>
        <row r="21603">
          <cell r="L21603"/>
          <cell r="S21603">
            <v>-73058.820000000007</v>
          </cell>
          <cell r="X21603" t="str">
            <v>Commissions - share RI</v>
          </cell>
        </row>
        <row r="21604">
          <cell r="L21604"/>
          <cell r="S21604">
            <v>36508.86</v>
          </cell>
          <cell r="X21604" t="str">
            <v>Commissions - share RI</v>
          </cell>
        </row>
        <row r="21605">
          <cell r="L21605"/>
          <cell r="S21605">
            <v>35038.92</v>
          </cell>
          <cell r="X21605" t="str">
            <v>Commissions - share RI</v>
          </cell>
        </row>
        <row r="21606">
          <cell r="L21606"/>
          <cell r="S21606">
            <v>1628.73</v>
          </cell>
          <cell r="X21606" t="str">
            <v>Commissions - share RI</v>
          </cell>
        </row>
        <row r="21607">
          <cell r="L21607"/>
          <cell r="S21607">
            <v>-10450.15</v>
          </cell>
          <cell r="X21607" t="str">
            <v>Commissions - share RI</v>
          </cell>
        </row>
        <row r="21608">
          <cell r="L21608"/>
          <cell r="S21608">
            <v>-37118.839999999997</v>
          </cell>
          <cell r="X21608" t="str">
            <v>Commissions - share RI</v>
          </cell>
        </row>
        <row r="21609">
          <cell r="L21609"/>
          <cell r="S21609">
            <v>1257.26</v>
          </cell>
          <cell r="X21609" t="str">
            <v>Commissions - share RI</v>
          </cell>
        </row>
        <row r="21610">
          <cell r="L21610"/>
          <cell r="S21610">
            <v>-22536.7</v>
          </cell>
          <cell r="X21610" t="str">
            <v>Commissions - share RI</v>
          </cell>
        </row>
        <row r="21611">
          <cell r="L21611"/>
          <cell r="S21611">
            <v>33831.54</v>
          </cell>
          <cell r="X21611" t="str">
            <v>Commissions - share RI</v>
          </cell>
        </row>
        <row r="21612">
          <cell r="L21612"/>
          <cell r="S21612">
            <v>379.62</v>
          </cell>
          <cell r="X21612" t="str">
            <v>Commissions - share RI</v>
          </cell>
        </row>
        <row r="21613">
          <cell r="L21613"/>
          <cell r="S21613">
            <v>-68659.679999999993</v>
          </cell>
          <cell r="X21613" t="str">
            <v>Commissions - share RI</v>
          </cell>
        </row>
        <row r="21614">
          <cell r="L21614"/>
          <cell r="S21614">
            <v>-16792.36</v>
          </cell>
          <cell r="X21614" t="str">
            <v>Commissions - share RI</v>
          </cell>
        </row>
        <row r="21615">
          <cell r="L21615"/>
          <cell r="S21615">
            <v>-68690.91</v>
          </cell>
          <cell r="X21615" t="str">
            <v>Commissions - share RI</v>
          </cell>
        </row>
        <row r="21616">
          <cell r="L21616"/>
          <cell r="S21616">
            <v>109169.65</v>
          </cell>
          <cell r="X21616" t="str">
            <v>Commissions - share RI</v>
          </cell>
        </row>
        <row r="21617">
          <cell r="L21617"/>
          <cell r="S21617">
            <v>20681.7</v>
          </cell>
          <cell r="X21617" t="str">
            <v>Commissions - share RI</v>
          </cell>
        </row>
        <row r="21618">
          <cell r="L21618"/>
          <cell r="S21618">
            <v>-14553.16</v>
          </cell>
          <cell r="X21618" t="str">
            <v>Commissions - share RI</v>
          </cell>
        </row>
        <row r="21619">
          <cell r="L21619"/>
          <cell r="S21619">
            <v>9350</v>
          </cell>
          <cell r="X21619" t="str">
            <v>Commissions - share RI</v>
          </cell>
        </row>
        <row r="21620">
          <cell r="L21620"/>
          <cell r="S21620">
            <v>-9650.81</v>
          </cell>
          <cell r="X21620" t="str">
            <v>Commissions - share RI</v>
          </cell>
        </row>
        <row r="21621">
          <cell r="L21621"/>
          <cell r="S21621">
            <v>14487.57</v>
          </cell>
          <cell r="X21621" t="str">
            <v>Commissions - share RI</v>
          </cell>
        </row>
        <row r="21622">
          <cell r="L21622"/>
          <cell r="S21622">
            <v>-23180.03</v>
          </cell>
          <cell r="X21622" t="str">
            <v>Commissions - share RI</v>
          </cell>
        </row>
        <row r="21623">
          <cell r="L21623"/>
          <cell r="S21623">
            <v>118815.02</v>
          </cell>
          <cell r="X21623" t="str">
            <v>Commissions - share RI</v>
          </cell>
        </row>
        <row r="21624">
          <cell r="L21624"/>
          <cell r="S21624">
            <v>10780.63</v>
          </cell>
          <cell r="X21624" t="str">
            <v>Commissions - share RI</v>
          </cell>
        </row>
        <row r="21625">
          <cell r="L21625"/>
          <cell r="S21625">
            <v>25208.28</v>
          </cell>
          <cell r="X21625" t="str">
            <v>Commissions - share RI</v>
          </cell>
        </row>
        <row r="21626">
          <cell r="L21626"/>
          <cell r="S21626">
            <v>-43627.76</v>
          </cell>
          <cell r="X21626" t="str">
            <v>Commissions - share RI</v>
          </cell>
        </row>
        <row r="21627">
          <cell r="L21627"/>
          <cell r="S21627">
            <v>53300.03</v>
          </cell>
          <cell r="X21627" t="str">
            <v>Commissions - share RI</v>
          </cell>
        </row>
        <row r="21628">
          <cell r="L21628"/>
          <cell r="S21628">
            <v>-10365.92</v>
          </cell>
          <cell r="X21628" t="str">
            <v>Commissions - share RI</v>
          </cell>
        </row>
        <row r="21629">
          <cell r="L21629"/>
          <cell r="S21629">
            <v>-7490.91</v>
          </cell>
          <cell r="X21629" t="str">
            <v>Commissions - share RI</v>
          </cell>
        </row>
        <row r="21630">
          <cell r="L21630"/>
          <cell r="S21630">
            <v>-5337.73</v>
          </cell>
          <cell r="X21630" t="str">
            <v>Commissions - share RI</v>
          </cell>
        </row>
        <row r="21631">
          <cell r="L21631"/>
          <cell r="S21631">
            <v>24031.89</v>
          </cell>
          <cell r="X21631" t="str">
            <v>Commissions - share RI</v>
          </cell>
        </row>
        <row r="21632">
          <cell r="L21632"/>
          <cell r="S21632">
            <v>-41834.03</v>
          </cell>
          <cell r="X21632" t="str">
            <v>Commissions - share RI</v>
          </cell>
        </row>
        <row r="21633">
          <cell r="L21633"/>
          <cell r="S21633">
            <v>23180.03</v>
          </cell>
          <cell r="X21633" t="str">
            <v>Commissions - share RI</v>
          </cell>
        </row>
        <row r="21634">
          <cell r="L21634"/>
          <cell r="S21634">
            <v>-13777</v>
          </cell>
          <cell r="X21634" t="str">
            <v>Commissions - share RI</v>
          </cell>
        </row>
        <row r="21635">
          <cell r="L21635"/>
          <cell r="S21635">
            <v>-17312.52</v>
          </cell>
          <cell r="X21635" t="str">
            <v>Commissions - share RI</v>
          </cell>
        </row>
        <row r="21636">
          <cell r="L21636"/>
          <cell r="S21636">
            <v>1801.31</v>
          </cell>
          <cell r="X21636" t="str">
            <v>Commissions - share RI</v>
          </cell>
        </row>
        <row r="21637">
          <cell r="L21637"/>
          <cell r="S21637">
            <v>9277.73</v>
          </cell>
          <cell r="X21637" t="str">
            <v>Commissions - share RI</v>
          </cell>
        </row>
        <row r="21638">
          <cell r="L21638"/>
          <cell r="S21638">
            <v>428.61</v>
          </cell>
          <cell r="X21638" t="str">
            <v>Commissions - share RI</v>
          </cell>
        </row>
        <row r="21639">
          <cell r="L21639"/>
          <cell r="S21639">
            <v>9402</v>
          </cell>
          <cell r="X21639" t="str">
            <v>Commissions - share RI</v>
          </cell>
        </row>
        <row r="21640">
          <cell r="L21640"/>
          <cell r="S21640">
            <v>7163.34</v>
          </cell>
          <cell r="X21640" t="str">
            <v>Commissions - share RI</v>
          </cell>
        </row>
        <row r="21641">
          <cell r="L21641"/>
          <cell r="S21641">
            <v>105.36</v>
          </cell>
          <cell r="X21641" t="str">
            <v>Commissions - share RI</v>
          </cell>
        </row>
        <row r="21642">
          <cell r="L21642"/>
          <cell r="S21642">
            <v>61137.55</v>
          </cell>
          <cell r="X21642" t="str">
            <v>Commissions - share RI</v>
          </cell>
        </row>
        <row r="21643">
          <cell r="L21643"/>
          <cell r="S21643">
            <v>-28717.9</v>
          </cell>
          <cell r="X21643" t="str">
            <v>Commissions - share RI</v>
          </cell>
        </row>
        <row r="21644">
          <cell r="L21644"/>
          <cell r="S21644">
            <v>20958.689999999999</v>
          </cell>
          <cell r="X21644" t="str">
            <v>Commissions - share RI</v>
          </cell>
        </row>
        <row r="21645">
          <cell r="L21645"/>
          <cell r="S21645">
            <v>10203.59</v>
          </cell>
          <cell r="X21645" t="str">
            <v>Commissions - share RI</v>
          </cell>
        </row>
        <row r="21646">
          <cell r="L21646"/>
          <cell r="S21646">
            <v>-24320.18</v>
          </cell>
          <cell r="X21646" t="str">
            <v>Commissions - share RI</v>
          </cell>
        </row>
        <row r="21647">
          <cell r="L21647"/>
          <cell r="S21647">
            <v>215</v>
          </cell>
          <cell r="X21647" t="str">
            <v>Commissions - share RI</v>
          </cell>
        </row>
        <row r="21648">
          <cell r="L21648"/>
          <cell r="S21648">
            <v>-33.57</v>
          </cell>
          <cell r="X21648" t="str">
            <v>Commissions - share RI</v>
          </cell>
        </row>
        <row r="21649">
          <cell r="L21649"/>
          <cell r="S21649">
            <v>47040</v>
          </cell>
          <cell r="X21649" t="str">
            <v>Commissions - share RI</v>
          </cell>
        </row>
        <row r="21650">
          <cell r="L21650"/>
          <cell r="S21650">
            <v>16377.78</v>
          </cell>
          <cell r="X21650" t="str">
            <v>Commissions - share RI</v>
          </cell>
        </row>
        <row r="21651">
          <cell r="L21651"/>
          <cell r="S21651">
            <v>-498.16</v>
          </cell>
          <cell r="X21651" t="str">
            <v>Commissions - share RI</v>
          </cell>
        </row>
        <row r="21652">
          <cell r="L21652"/>
          <cell r="S21652">
            <v>-1193.8399999999999</v>
          </cell>
          <cell r="X21652" t="str">
            <v>Commissions - share RI</v>
          </cell>
        </row>
        <row r="21653">
          <cell r="L21653"/>
          <cell r="S21653">
            <v>9800.43</v>
          </cell>
          <cell r="X21653" t="str">
            <v>Commissions - share RI</v>
          </cell>
        </row>
        <row r="21654">
          <cell r="L21654"/>
          <cell r="S21654">
            <v>-8.4700000000000006</v>
          </cell>
          <cell r="X21654" t="str">
            <v>Commissions - share RI</v>
          </cell>
        </row>
        <row r="21655">
          <cell r="L21655"/>
          <cell r="S21655">
            <v>11308.36</v>
          </cell>
          <cell r="X21655" t="str">
            <v>Commissions - share RI</v>
          </cell>
        </row>
        <row r="21656">
          <cell r="L21656"/>
          <cell r="S21656">
            <v>-14883.89</v>
          </cell>
          <cell r="X21656" t="str">
            <v>Commissions - share RI</v>
          </cell>
        </row>
        <row r="21657">
          <cell r="L21657"/>
          <cell r="S21657">
            <v>16860</v>
          </cell>
          <cell r="X21657" t="str">
            <v>Commissions - share RI</v>
          </cell>
        </row>
        <row r="21658">
          <cell r="L21658"/>
          <cell r="S21658">
            <v>-98.66</v>
          </cell>
          <cell r="X21658" t="str">
            <v>Commissions - share RI</v>
          </cell>
        </row>
        <row r="21659">
          <cell r="L21659"/>
          <cell r="S21659">
            <v>-4118</v>
          </cell>
          <cell r="X21659" t="str">
            <v>Commissions - share RI</v>
          </cell>
        </row>
        <row r="21660">
          <cell r="L21660"/>
          <cell r="S21660">
            <v>-884.25</v>
          </cell>
          <cell r="X21660" t="str">
            <v>Commissions - share RI</v>
          </cell>
        </row>
        <row r="21661">
          <cell r="L21661"/>
          <cell r="S21661">
            <v>-573.89</v>
          </cell>
          <cell r="X21661" t="str">
            <v>Commissions - share RI</v>
          </cell>
        </row>
        <row r="21662">
          <cell r="L21662"/>
          <cell r="S21662">
            <v>-1005.45</v>
          </cell>
          <cell r="X21662" t="str">
            <v>Commissions - share RI</v>
          </cell>
        </row>
        <row r="21663">
          <cell r="L21663"/>
          <cell r="S21663">
            <v>-901.45</v>
          </cell>
          <cell r="X21663" t="str">
            <v>Commissions - share RI</v>
          </cell>
        </row>
        <row r="21664">
          <cell r="L21664"/>
          <cell r="S21664">
            <v>-131.16</v>
          </cell>
          <cell r="X21664" t="str">
            <v>Commissions - share RI</v>
          </cell>
        </row>
        <row r="21665">
          <cell r="L21665"/>
          <cell r="S21665">
            <v>-1429.67</v>
          </cell>
          <cell r="X21665" t="str">
            <v>Commissions - share RI</v>
          </cell>
        </row>
        <row r="21666">
          <cell r="L21666"/>
          <cell r="S21666">
            <v>-3189.37</v>
          </cell>
          <cell r="X21666" t="str">
            <v>Commissions - share RI</v>
          </cell>
        </row>
        <row r="21667">
          <cell r="L21667"/>
          <cell r="S21667">
            <v>-1172.07</v>
          </cell>
          <cell r="X21667" t="str">
            <v>Commissions - share RI</v>
          </cell>
        </row>
        <row r="21668">
          <cell r="L21668"/>
          <cell r="S21668">
            <v>107983.17</v>
          </cell>
          <cell r="X21668" t="str">
            <v>Commissions - share RI</v>
          </cell>
        </row>
        <row r="21669">
          <cell r="L21669"/>
          <cell r="S21669">
            <v>433.45</v>
          </cell>
          <cell r="X21669" t="str">
            <v>Commissions - share RI</v>
          </cell>
        </row>
        <row r="21670">
          <cell r="L21670"/>
          <cell r="S21670">
            <v>-601</v>
          </cell>
          <cell r="X21670" t="str">
            <v>Commissions - share RI</v>
          </cell>
        </row>
        <row r="21671">
          <cell r="L21671"/>
          <cell r="S21671">
            <v>637.17999999999995</v>
          </cell>
          <cell r="X21671" t="str">
            <v>Commissions - share RI</v>
          </cell>
        </row>
        <row r="21672">
          <cell r="L21672"/>
          <cell r="S21672">
            <v>3673.92</v>
          </cell>
          <cell r="X21672" t="str">
            <v>Commissions - share RI</v>
          </cell>
        </row>
        <row r="21673">
          <cell r="L21673"/>
          <cell r="S21673">
            <v>-1858.14</v>
          </cell>
          <cell r="X21673" t="str">
            <v>Commissions - share RI</v>
          </cell>
        </row>
        <row r="21674">
          <cell r="L21674"/>
          <cell r="S21674">
            <v>-178.89</v>
          </cell>
          <cell r="X21674" t="str">
            <v>Commissions - share RI</v>
          </cell>
        </row>
        <row r="21675">
          <cell r="L21675"/>
          <cell r="S21675">
            <v>1084.19</v>
          </cell>
          <cell r="X21675" t="str">
            <v>Commissions - share RI</v>
          </cell>
        </row>
        <row r="21676">
          <cell r="L21676"/>
          <cell r="S21676">
            <v>625.32000000000005</v>
          </cell>
          <cell r="X21676" t="str">
            <v>Commissions - share RI</v>
          </cell>
        </row>
        <row r="21677">
          <cell r="L21677"/>
          <cell r="S21677">
            <v>-514.64</v>
          </cell>
          <cell r="X21677" t="str">
            <v>Commissions - share RI</v>
          </cell>
        </row>
        <row r="21678">
          <cell r="L21678"/>
          <cell r="S21678">
            <v>-696.95</v>
          </cell>
          <cell r="X21678" t="str">
            <v>Commissions - share RI</v>
          </cell>
        </row>
        <row r="21679">
          <cell r="L21679"/>
          <cell r="S21679">
            <v>1073.31</v>
          </cell>
          <cell r="X21679" t="str">
            <v>Commissions - share RI</v>
          </cell>
        </row>
        <row r="21680">
          <cell r="L21680"/>
          <cell r="S21680">
            <v>799.41</v>
          </cell>
          <cell r="X21680" t="str">
            <v>Commissions - share RI</v>
          </cell>
        </row>
        <row r="21681">
          <cell r="L21681"/>
          <cell r="S21681">
            <v>83355.429999999993</v>
          </cell>
          <cell r="X21681" t="str">
            <v>Commissions - share RI</v>
          </cell>
        </row>
        <row r="21682">
          <cell r="L21682"/>
          <cell r="S21682">
            <v>-1325.12</v>
          </cell>
          <cell r="X21682" t="str">
            <v>Commissions - share RI</v>
          </cell>
        </row>
        <row r="21683">
          <cell r="L21683"/>
          <cell r="S21683">
            <v>3651.52</v>
          </cell>
          <cell r="X21683" t="str">
            <v>Commissions - share RI</v>
          </cell>
        </row>
        <row r="21684">
          <cell r="L21684"/>
          <cell r="S21684">
            <v>-637.17999999999995</v>
          </cell>
          <cell r="X21684" t="str">
            <v>Commissions - share RI</v>
          </cell>
        </row>
        <row r="21685">
          <cell r="L21685"/>
          <cell r="S21685">
            <v>-1151.57</v>
          </cell>
          <cell r="X21685" t="str">
            <v>Commissions - share RI</v>
          </cell>
        </row>
        <row r="21686">
          <cell r="L21686"/>
          <cell r="S21686">
            <v>-479.99</v>
          </cell>
          <cell r="X21686" t="str">
            <v>Commissions - share RI</v>
          </cell>
        </row>
        <row r="21687">
          <cell r="L21687"/>
          <cell r="S21687">
            <v>-942.31</v>
          </cell>
          <cell r="X21687" t="str">
            <v>Commissions - share RI</v>
          </cell>
        </row>
        <row r="21688">
          <cell r="L21688"/>
          <cell r="S21688">
            <v>-2826.37</v>
          </cell>
          <cell r="X21688" t="str">
            <v>Commissions - share RI</v>
          </cell>
        </row>
        <row r="21689">
          <cell r="L21689"/>
          <cell r="S21689">
            <v>6189.38</v>
          </cell>
          <cell r="X21689" t="str">
            <v>Commissions - share RI</v>
          </cell>
        </row>
        <row r="21690">
          <cell r="L21690"/>
          <cell r="S21690">
            <v>-6117.83</v>
          </cell>
          <cell r="X21690" t="str">
            <v>Commissions - share RI</v>
          </cell>
        </row>
        <row r="21691">
          <cell r="L21691"/>
          <cell r="S21691">
            <v>1611.03</v>
          </cell>
          <cell r="X21691" t="str">
            <v>Commissions - share RI</v>
          </cell>
        </row>
        <row r="21692">
          <cell r="L21692"/>
          <cell r="S21692">
            <v>-1355.23</v>
          </cell>
          <cell r="X21692" t="str">
            <v>Commissions - share RI</v>
          </cell>
        </row>
        <row r="21693">
          <cell r="L21693"/>
          <cell r="S21693">
            <v>-6869.13</v>
          </cell>
          <cell r="X21693" t="str">
            <v>Commissions - share RI</v>
          </cell>
        </row>
        <row r="21694">
          <cell r="L21694"/>
          <cell r="S21694">
            <v>6015.2</v>
          </cell>
          <cell r="X21694" t="str">
            <v>Commissions - share RI</v>
          </cell>
        </row>
        <row r="21695">
          <cell r="L21695"/>
          <cell r="S21695">
            <v>-2940.76</v>
          </cell>
          <cell r="X21695" t="str">
            <v>Commissions - share RI</v>
          </cell>
        </row>
        <row r="21696">
          <cell r="L21696"/>
          <cell r="S21696">
            <v>-668.04</v>
          </cell>
          <cell r="X21696" t="str">
            <v>Commissions - share RI</v>
          </cell>
        </row>
        <row r="21697">
          <cell r="L21697"/>
          <cell r="S21697">
            <v>-726.97</v>
          </cell>
          <cell r="X21697" t="str">
            <v>Commissions - share RI</v>
          </cell>
        </row>
        <row r="21698">
          <cell r="L21698"/>
          <cell r="S21698">
            <v>-3618.03</v>
          </cell>
          <cell r="X21698" t="str">
            <v>Commissions - share RI</v>
          </cell>
        </row>
        <row r="21699">
          <cell r="L21699"/>
          <cell r="S21699">
            <v>-4042.6</v>
          </cell>
          <cell r="X21699" t="str">
            <v>Commissions - share RI</v>
          </cell>
        </row>
        <row r="21700">
          <cell r="L21700"/>
          <cell r="S21700">
            <v>-1467.36</v>
          </cell>
          <cell r="X21700" t="str">
            <v>Commissions - share RI</v>
          </cell>
        </row>
        <row r="21701">
          <cell r="L21701"/>
          <cell r="S21701">
            <v>1325.12</v>
          </cell>
          <cell r="X21701" t="str">
            <v>Commissions - share RI</v>
          </cell>
        </row>
        <row r="21702">
          <cell r="L21702"/>
          <cell r="S21702">
            <v>-6325.83</v>
          </cell>
          <cell r="X21702" t="str">
            <v>Commissions - share RI</v>
          </cell>
        </row>
        <row r="21703">
          <cell r="L21703"/>
          <cell r="S21703">
            <v>-1194.3800000000001</v>
          </cell>
          <cell r="X21703" t="str">
            <v>Commissions - share RI</v>
          </cell>
        </row>
        <row r="21704">
          <cell r="L21704"/>
          <cell r="S21704">
            <v>3509.31</v>
          </cell>
          <cell r="X21704" t="str">
            <v>Commissions - share RI</v>
          </cell>
        </row>
        <row r="21705">
          <cell r="L21705"/>
          <cell r="S21705">
            <v>-3726.75</v>
          </cell>
          <cell r="X21705" t="str">
            <v>Commissions - share RI</v>
          </cell>
        </row>
        <row r="21706">
          <cell r="L21706"/>
          <cell r="S21706">
            <v>423.96</v>
          </cell>
          <cell r="X21706" t="str">
            <v>Commissions - share RI</v>
          </cell>
        </row>
        <row r="21707">
          <cell r="L21707"/>
          <cell r="S21707">
            <v>696.95</v>
          </cell>
          <cell r="X21707" t="str">
            <v>Commissions - share RI</v>
          </cell>
        </row>
        <row r="21708">
          <cell r="L21708"/>
          <cell r="S21708">
            <v>-1073.31</v>
          </cell>
          <cell r="X21708" t="str">
            <v>Commissions - share RI</v>
          </cell>
        </row>
        <row r="21709">
          <cell r="L21709"/>
          <cell r="S21709">
            <v>-137.82</v>
          </cell>
          <cell r="X21709" t="str">
            <v>Commissions - share RI</v>
          </cell>
        </row>
        <row r="21710">
          <cell r="L21710"/>
          <cell r="S21710">
            <v>-148.37</v>
          </cell>
          <cell r="X21710" t="str">
            <v>Commissions - share RI</v>
          </cell>
        </row>
        <row r="21711">
          <cell r="L21711"/>
          <cell r="S21711">
            <v>1151.57</v>
          </cell>
          <cell r="X21711" t="str">
            <v>Commissions - share RI</v>
          </cell>
        </row>
        <row r="21712">
          <cell r="L21712"/>
          <cell r="S21712">
            <v>-617.96</v>
          </cell>
          <cell r="X21712" t="str">
            <v>Commissions - share RI</v>
          </cell>
        </row>
        <row r="21713">
          <cell r="L21713"/>
          <cell r="S21713">
            <v>854.39</v>
          </cell>
          <cell r="X21713" t="str">
            <v>Commissions - share RI</v>
          </cell>
        </row>
        <row r="21714">
          <cell r="L21714"/>
          <cell r="S21714">
            <v>-510.96</v>
          </cell>
          <cell r="X21714" t="str">
            <v>Commissions - share RI</v>
          </cell>
        </row>
        <row r="21715">
          <cell r="L21715"/>
          <cell r="S21715">
            <v>1243.5999999999999</v>
          </cell>
          <cell r="X21715" t="str">
            <v>Commissions - share RI</v>
          </cell>
        </row>
        <row r="21716">
          <cell r="L21716"/>
          <cell r="S21716">
            <v>-433.45</v>
          </cell>
          <cell r="X21716" t="str">
            <v>Commissions - share RI</v>
          </cell>
        </row>
        <row r="21717">
          <cell r="L21717"/>
          <cell r="S21717">
            <v>617.96</v>
          </cell>
          <cell r="X21717" t="str">
            <v>Commissions - share RI</v>
          </cell>
        </row>
        <row r="21718">
          <cell r="L21718"/>
          <cell r="S21718">
            <v>-348.64</v>
          </cell>
          <cell r="X21718" t="str">
            <v>Commissions - share RI</v>
          </cell>
        </row>
        <row r="21719">
          <cell r="L21719"/>
          <cell r="S21719">
            <v>6117.83</v>
          </cell>
          <cell r="X21719" t="str">
            <v>Commissions - share RI</v>
          </cell>
        </row>
        <row r="21720">
          <cell r="L21720"/>
          <cell r="S21720">
            <v>-1656.4</v>
          </cell>
          <cell r="X21720" t="str">
            <v>Commissions - share RI</v>
          </cell>
        </row>
        <row r="21721">
          <cell r="L21721"/>
          <cell r="S21721">
            <v>-4373.34</v>
          </cell>
          <cell r="X21721" t="str">
            <v>Commissions - share RI</v>
          </cell>
        </row>
        <row r="21722">
          <cell r="L21722"/>
          <cell r="S21722">
            <v>-3691.07</v>
          </cell>
          <cell r="X21722" t="str">
            <v>Commissions - share RI</v>
          </cell>
        </row>
        <row r="21723">
          <cell r="L21723"/>
          <cell r="S21723">
            <v>-2397.04</v>
          </cell>
          <cell r="X21723" t="str">
            <v>Commissions - share RI</v>
          </cell>
        </row>
        <row r="21724">
          <cell r="L21724"/>
          <cell r="S21724">
            <v>-1059.57</v>
          </cell>
          <cell r="X21724" t="str">
            <v>Commissions - share RI</v>
          </cell>
        </row>
        <row r="21725">
          <cell r="L21725"/>
          <cell r="S21725">
            <v>-1056.79</v>
          </cell>
          <cell r="X21725" t="str">
            <v>Commissions - share RI</v>
          </cell>
        </row>
        <row r="21726">
          <cell r="L21726"/>
          <cell r="S21726">
            <v>-616.5</v>
          </cell>
          <cell r="X21726" t="str">
            <v>Commissions - share RI</v>
          </cell>
        </row>
        <row r="21727">
          <cell r="L21727"/>
          <cell r="S21727">
            <v>1056.79</v>
          </cell>
          <cell r="X21727" t="str">
            <v>Commissions - share RI</v>
          </cell>
        </row>
        <row r="21728">
          <cell r="L21728"/>
          <cell r="S21728">
            <v>-3544.11</v>
          </cell>
          <cell r="X21728" t="str">
            <v>Commissions - share RI</v>
          </cell>
        </row>
        <row r="21729">
          <cell r="L21729"/>
          <cell r="S21729">
            <v>-1893.24</v>
          </cell>
          <cell r="X21729" t="str">
            <v>Commissions - share RI</v>
          </cell>
        </row>
        <row r="21730">
          <cell r="L21730"/>
          <cell r="S21730">
            <v>-143.11000000000001</v>
          </cell>
          <cell r="X21730" t="str">
            <v>Commissions - share RI</v>
          </cell>
        </row>
        <row r="21731">
          <cell r="L21731"/>
          <cell r="S21731">
            <v>-854.39</v>
          </cell>
          <cell r="X21731" t="str">
            <v>Commissions - share RI</v>
          </cell>
        </row>
        <row r="21732">
          <cell r="L21732"/>
          <cell r="S21732">
            <v>-3731.36</v>
          </cell>
          <cell r="X21732" t="str">
            <v>Commissions - share RI</v>
          </cell>
        </row>
        <row r="21733">
          <cell r="L21733"/>
          <cell r="S21733">
            <v>884.25</v>
          </cell>
          <cell r="X21733" t="str">
            <v>Commissions - share RI</v>
          </cell>
        </row>
        <row r="21734">
          <cell r="L21734"/>
          <cell r="S21734">
            <v>-840051.13</v>
          </cell>
          <cell r="X21734" t="str">
            <v>Commissions - share RI</v>
          </cell>
        </row>
        <row r="21735">
          <cell r="L21735"/>
          <cell r="S21735">
            <v>-1407.94</v>
          </cell>
          <cell r="X21735" t="str">
            <v>Commissions - share RI</v>
          </cell>
        </row>
        <row r="21736">
          <cell r="L21736"/>
          <cell r="S21736">
            <v>-746.54</v>
          </cell>
          <cell r="X21736" t="str">
            <v>Commissions - share RI</v>
          </cell>
        </row>
        <row r="21737">
          <cell r="L21737"/>
          <cell r="S21737">
            <v>-7059.44</v>
          </cell>
          <cell r="X21737" t="str">
            <v>Commissions - share RI</v>
          </cell>
        </row>
        <row r="21738">
          <cell r="L21738"/>
          <cell r="S21738">
            <v>28416.63</v>
          </cell>
          <cell r="X21738" t="str">
            <v>Commissions - share RI</v>
          </cell>
        </row>
        <row r="21739">
          <cell r="L21739"/>
          <cell r="S21739">
            <v>573.89</v>
          </cell>
          <cell r="X21739" t="str">
            <v>Commissions - share RI</v>
          </cell>
        </row>
        <row r="21740">
          <cell r="L21740"/>
          <cell r="S21740">
            <v>-286.20999999999998</v>
          </cell>
          <cell r="X21740" t="str">
            <v>Commissions - share RI</v>
          </cell>
        </row>
        <row r="21741">
          <cell r="L21741"/>
          <cell r="S21741">
            <v>-820.09</v>
          </cell>
          <cell r="X21741" t="str">
            <v>Commissions - share RI</v>
          </cell>
        </row>
        <row r="21742">
          <cell r="L21742"/>
          <cell r="S21742">
            <v>-799.41</v>
          </cell>
          <cell r="X21742" t="str">
            <v>Commissions - share RI</v>
          </cell>
        </row>
        <row r="21743">
          <cell r="L21743"/>
          <cell r="S21743">
            <v>-785.76</v>
          </cell>
          <cell r="X21743" t="str">
            <v>Commissions - share RI</v>
          </cell>
        </row>
        <row r="21744">
          <cell r="L21744"/>
          <cell r="S21744">
            <v>-590.15</v>
          </cell>
          <cell r="X21744" t="str">
            <v>Commissions - share RI</v>
          </cell>
        </row>
        <row r="21745">
          <cell r="L21745"/>
          <cell r="S21745">
            <v>-1798.37</v>
          </cell>
          <cell r="X21745" t="str">
            <v>Commissions - share RI</v>
          </cell>
        </row>
        <row r="21746">
          <cell r="L21746"/>
          <cell r="S21746">
            <v>3618.03</v>
          </cell>
          <cell r="X21746" t="str">
            <v>Commissions - share RI</v>
          </cell>
        </row>
        <row r="21747">
          <cell r="L21747"/>
          <cell r="S21747">
            <v>-2778.23</v>
          </cell>
          <cell r="X21747" t="str">
            <v>Commissions - share RI</v>
          </cell>
        </row>
        <row r="21748">
          <cell r="L21748"/>
          <cell r="S21748">
            <v>-1579.84</v>
          </cell>
          <cell r="X21748" t="str">
            <v>Commissions - share RI</v>
          </cell>
        </row>
        <row r="21749">
          <cell r="L21749"/>
          <cell r="S21749">
            <v>-4134.6000000000004</v>
          </cell>
          <cell r="X21749" t="str">
            <v>Commissions - share RI</v>
          </cell>
        </row>
        <row r="21750">
          <cell r="L21750"/>
          <cell r="S21750">
            <v>-133.34</v>
          </cell>
          <cell r="X21750" t="str">
            <v>Commissions - share RI</v>
          </cell>
        </row>
        <row r="21751">
          <cell r="L21751"/>
          <cell r="S21751">
            <v>-2238.9899999999998</v>
          </cell>
          <cell r="X21751" t="str">
            <v>Commissions - share RI</v>
          </cell>
        </row>
        <row r="21752">
          <cell r="L21752"/>
          <cell r="S21752">
            <v>-1246.4000000000001</v>
          </cell>
          <cell r="X21752" t="str">
            <v>Commissions - share RI</v>
          </cell>
        </row>
        <row r="21753">
          <cell r="L21753"/>
          <cell r="S21753">
            <v>-801.07</v>
          </cell>
          <cell r="X21753" t="str">
            <v>Commissions - share RI</v>
          </cell>
        </row>
        <row r="21754">
          <cell r="L21754"/>
          <cell r="S21754">
            <v>-1438.69</v>
          </cell>
          <cell r="X21754" t="str">
            <v>Commissions - share RI</v>
          </cell>
        </row>
        <row r="21755">
          <cell r="L21755"/>
          <cell r="S21755">
            <v>553.16</v>
          </cell>
          <cell r="X21755" t="str">
            <v>Commissions - share RI</v>
          </cell>
        </row>
        <row r="21756">
          <cell r="L21756"/>
          <cell r="S21756">
            <v>2826.37</v>
          </cell>
          <cell r="X21756" t="str">
            <v>Commissions - share RI</v>
          </cell>
        </row>
        <row r="21757">
          <cell r="L21757"/>
          <cell r="S21757">
            <v>2940.76</v>
          </cell>
          <cell r="X21757" t="str">
            <v>Commissions - share RI</v>
          </cell>
        </row>
        <row r="21758">
          <cell r="L21758"/>
          <cell r="S21758">
            <v>-1656.05</v>
          </cell>
          <cell r="X21758" t="str">
            <v>Commissions - share RI</v>
          </cell>
        </row>
        <row r="21759">
          <cell r="L21759"/>
          <cell r="S21759">
            <v>-3509.32</v>
          </cell>
          <cell r="X21759" t="str">
            <v>Commissions - share RI</v>
          </cell>
        </row>
        <row r="21760">
          <cell r="L21760"/>
          <cell r="S21760">
            <v>-1084.19</v>
          </cell>
          <cell r="X21760" t="str">
            <v>Commissions - share RI</v>
          </cell>
        </row>
        <row r="21761">
          <cell r="L21761"/>
          <cell r="S21761">
            <v>901.45</v>
          </cell>
          <cell r="X21761" t="str">
            <v>Commissions - share RI</v>
          </cell>
        </row>
        <row r="21762">
          <cell r="L21762"/>
          <cell r="S21762">
            <v>510.96</v>
          </cell>
          <cell r="X21762" t="str">
            <v>Commissions - share RI</v>
          </cell>
        </row>
        <row r="21763">
          <cell r="L21763"/>
          <cell r="S21763">
            <v>-625.30999999999995</v>
          </cell>
          <cell r="X21763" t="str">
            <v>Commissions - share RI</v>
          </cell>
        </row>
        <row r="21764">
          <cell r="L21764"/>
          <cell r="S21764">
            <v>-6189.38</v>
          </cell>
          <cell r="X21764" t="str">
            <v>Commissions - share RI</v>
          </cell>
        </row>
        <row r="21765">
          <cell r="L21765"/>
          <cell r="S21765">
            <v>-451.19</v>
          </cell>
          <cell r="X21765" t="str">
            <v>Commissions - share RI</v>
          </cell>
        </row>
        <row r="21766">
          <cell r="L21766"/>
          <cell r="S21766">
            <v>-3541.9</v>
          </cell>
          <cell r="X21766" t="str">
            <v>Commissions - share RI</v>
          </cell>
        </row>
        <row r="21767">
          <cell r="L21767"/>
          <cell r="S21767">
            <v>-714.71</v>
          </cell>
          <cell r="X21767" t="str">
            <v>Commissions - share RI</v>
          </cell>
        </row>
        <row r="21768">
          <cell r="L21768"/>
          <cell r="S21768">
            <v>-250.43</v>
          </cell>
          <cell r="X21768" t="str">
            <v>Commissions - share RI</v>
          </cell>
        </row>
        <row r="21769">
          <cell r="L21769"/>
          <cell r="S21769">
            <v>-6015.2</v>
          </cell>
          <cell r="X21769" t="str">
            <v>Commissions - share RI</v>
          </cell>
        </row>
        <row r="21770">
          <cell r="L21770"/>
          <cell r="S21770">
            <v>-814.15</v>
          </cell>
          <cell r="X21770" t="str">
            <v>Commissions - share RI</v>
          </cell>
        </row>
        <row r="21771">
          <cell r="L21771"/>
          <cell r="S21771">
            <v>-553.16</v>
          </cell>
          <cell r="X21771" t="str">
            <v>Commissions - share RI</v>
          </cell>
        </row>
        <row r="21772">
          <cell r="L21772"/>
          <cell r="S21772">
            <v>-736.03</v>
          </cell>
          <cell r="X21772" t="str">
            <v>Commissions - share RI</v>
          </cell>
        </row>
        <row r="21773">
          <cell r="L21773"/>
          <cell r="S21773">
            <v>-3112.58</v>
          </cell>
          <cell r="X21773" t="str">
            <v>Commissions - share RI</v>
          </cell>
        </row>
        <row r="21774">
          <cell r="L21774"/>
          <cell r="S21774">
            <v>-3651.53</v>
          </cell>
          <cell r="X21774" t="str">
            <v>Commissions - share RI</v>
          </cell>
        </row>
        <row r="21775">
          <cell r="L21775"/>
          <cell r="S21775">
            <v>1407.94</v>
          </cell>
          <cell r="X21775" t="str">
            <v>Commissions - share RI</v>
          </cell>
        </row>
        <row r="21776">
          <cell r="L21776"/>
          <cell r="S21776">
            <v>-4245.68</v>
          </cell>
          <cell r="X21776" t="str">
            <v>Commissions - share RI</v>
          </cell>
        </row>
        <row r="21777">
          <cell r="L21777"/>
          <cell r="S21777">
            <v>3541.9</v>
          </cell>
          <cell r="X21777" t="str">
            <v>Commissions - share RI</v>
          </cell>
        </row>
        <row r="21778">
          <cell r="L21778"/>
          <cell r="S21778">
            <v>2238.9899999999998</v>
          </cell>
          <cell r="X21778" t="str">
            <v>Commissions - share RI</v>
          </cell>
        </row>
        <row r="21779">
          <cell r="L21779"/>
          <cell r="S21779">
            <v>-940.24</v>
          </cell>
          <cell r="X21779" t="str">
            <v>Commissions - share RI</v>
          </cell>
        </row>
        <row r="21780">
          <cell r="L21780"/>
          <cell r="S21780">
            <v>-220.35</v>
          </cell>
          <cell r="X21780" t="str">
            <v>Commissions - share RI</v>
          </cell>
        </row>
        <row r="21781">
          <cell r="L21781"/>
          <cell r="S21781">
            <v>1438.69</v>
          </cell>
          <cell r="X21781" t="str">
            <v>Commissions - share RI</v>
          </cell>
        </row>
        <row r="21782">
          <cell r="L21782"/>
          <cell r="S21782">
            <v>-2222.59</v>
          </cell>
          <cell r="X21782" t="str">
            <v>Commissions - share RI</v>
          </cell>
        </row>
        <row r="21783">
          <cell r="L21783"/>
          <cell r="S21783">
            <v>-107.33</v>
          </cell>
          <cell r="X21783" t="str">
            <v>Commissions - share RI</v>
          </cell>
        </row>
        <row r="21784">
          <cell r="L21784"/>
          <cell r="S21784">
            <v>-982.31</v>
          </cell>
          <cell r="X21784" t="str">
            <v>Commissions - share RI</v>
          </cell>
        </row>
        <row r="21785">
          <cell r="L21785"/>
          <cell r="S21785">
            <v>-1252.71</v>
          </cell>
          <cell r="X21785" t="str">
            <v>Commissions - share RI</v>
          </cell>
        </row>
        <row r="21786">
          <cell r="L21786"/>
          <cell r="S21786">
            <v>-6761.81</v>
          </cell>
          <cell r="X21786" t="str">
            <v>Commissions - share RI</v>
          </cell>
        </row>
        <row r="21787">
          <cell r="L21787"/>
          <cell r="S21787">
            <v>-1439.45</v>
          </cell>
          <cell r="X21787" t="str">
            <v>Commissions - share RI</v>
          </cell>
        </row>
        <row r="21788">
          <cell r="L21788"/>
          <cell r="S21788">
            <v>3189.37</v>
          </cell>
          <cell r="X21788" t="str">
            <v>Commissions - share RI</v>
          </cell>
        </row>
        <row r="21789">
          <cell r="L21789"/>
          <cell r="S21789">
            <v>-286.20999999999998</v>
          </cell>
          <cell r="X21789" t="str">
            <v>Commissions - share RI</v>
          </cell>
        </row>
        <row r="21790">
          <cell r="L21790"/>
          <cell r="S21790">
            <v>668.04</v>
          </cell>
          <cell r="X21790" t="str">
            <v>Commissions - share RI</v>
          </cell>
        </row>
        <row r="21791">
          <cell r="L21791"/>
          <cell r="S21791">
            <v>-2635.41</v>
          </cell>
          <cell r="X21791" t="str">
            <v>Commissions - share RI</v>
          </cell>
        </row>
        <row r="21792">
          <cell r="L21792"/>
          <cell r="S21792">
            <v>-608.21</v>
          </cell>
          <cell r="X21792" t="str">
            <v>Commissions - share RI</v>
          </cell>
        </row>
        <row r="21793">
          <cell r="L21793"/>
          <cell r="S21793">
            <v>1579.84</v>
          </cell>
          <cell r="X21793" t="str">
            <v>Commissions - share RI</v>
          </cell>
        </row>
        <row r="21794">
          <cell r="L21794"/>
          <cell r="S21794">
            <v>68.64</v>
          </cell>
          <cell r="X21794" t="str">
            <v>Commissions - share RI</v>
          </cell>
        </row>
        <row r="21795">
          <cell r="L21795"/>
          <cell r="S21795">
            <v>-3451.06</v>
          </cell>
          <cell r="X21795" t="str">
            <v>Commissions - share RI</v>
          </cell>
        </row>
        <row r="21796">
          <cell r="L21796"/>
          <cell r="S21796">
            <v>801.07</v>
          </cell>
          <cell r="X21796" t="str">
            <v>Commissions - share RI</v>
          </cell>
        </row>
        <row r="21797">
          <cell r="L21797"/>
          <cell r="S21797">
            <v>2222.59</v>
          </cell>
          <cell r="X21797" t="str">
            <v>Commissions - share RI</v>
          </cell>
        </row>
        <row r="21798">
          <cell r="L21798"/>
          <cell r="S21798">
            <v>-650.79</v>
          </cell>
          <cell r="X21798" t="str">
            <v>Commissions - share RI</v>
          </cell>
        </row>
        <row r="21799">
          <cell r="L21799"/>
          <cell r="S21799">
            <v>514.64</v>
          </cell>
          <cell r="X21799" t="str">
            <v>Commissions - share RI</v>
          </cell>
        </row>
        <row r="21800">
          <cell r="L21800"/>
          <cell r="S21800">
            <v>-1216.8499999999999</v>
          </cell>
          <cell r="X21800" t="str">
            <v>Commissions - share RI</v>
          </cell>
        </row>
        <row r="21801">
          <cell r="L21801"/>
          <cell r="S21801">
            <v>3726.75</v>
          </cell>
          <cell r="X21801" t="str">
            <v>Commissions - share RI</v>
          </cell>
        </row>
        <row r="21802">
          <cell r="L21802"/>
          <cell r="S21802">
            <v>-31.4</v>
          </cell>
          <cell r="X21802" t="str">
            <v>Commissions - share RI</v>
          </cell>
        </row>
        <row r="21803">
          <cell r="L21803"/>
          <cell r="S21803">
            <v>3119.16</v>
          </cell>
          <cell r="X21803" t="str">
            <v>Commissions - share RI</v>
          </cell>
        </row>
        <row r="21804">
          <cell r="L21804"/>
          <cell r="S21804">
            <v>-1502.08</v>
          </cell>
          <cell r="X21804" t="str">
            <v>Commissions - share RI</v>
          </cell>
        </row>
        <row r="21805">
          <cell r="L21805"/>
          <cell r="S21805">
            <v>18.87</v>
          </cell>
          <cell r="X21805" t="str">
            <v>Commissions - share RI</v>
          </cell>
        </row>
        <row r="21806">
          <cell r="L21806"/>
          <cell r="S21806">
            <v>1180.1199999999999</v>
          </cell>
          <cell r="X21806" t="str">
            <v>Commissions - share RI</v>
          </cell>
        </row>
        <row r="21807">
          <cell r="L21807"/>
          <cell r="S21807">
            <v>-1839.12</v>
          </cell>
          <cell r="X21807" t="str">
            <v>Commissions - share RI</v>
          </cell>
        </row>
        <row r="21808">
          <cell r="L21808"/>
          <cell r="S21808">
            <v>840051.13</v>
          </cell>
          <cell r="X21808" t="str">
            <v>Commissions - share RI</v>
          </cell>
        </row>
        <row r="21809">
          <cell r="L21809"/>
          <cell r="S21809">
            <v>-840051.13</v>
          </cell>
          <cell r="X21809" t="str">
            <v>Commissions - share RI</v>
          </cell>
        </row>
        <row r="21810">
          <cell r="L21810"/>
          <cell r="S21810">
            <v>31.4</v>
          </cell>
          <cell r="X21810" t="str">
            <v>Commissions - share RI</v>
          </cell>
        </row>
        <row r="21811">
          <cell r="L21811"/>
          <cell r="S21811">
            <v>-1049.6500000000001</v>
          </cell>
          <cell r="X21811" t="str">
            <v>Commissions - share RI</v>
          </cell>
        </row>
        <row r="21812">
          <cell r="L21812"/>
          <cell r="S21812">
            <v>2725.42</v>
          </cell>
          <cell r="X21812" t="str">
            <v>Commissions - share RI</v>
          </cell>
        </row>
        <row r="21813">
          <cell r="L21813"/>
          <cell r="S21813">
            <v>22.74</v>
          </cell>
          <cell r="X21813" t="str">
            <v>Commissions - share RI</v>
          </cell>
        </row>
        <row r="21814">
          <cell r="L21814"/>
          <cell r="S21814">
            <v>-18.87</v>
          </cell>
          <cell r="X21814" t="str">
            <v>Commissions - share RI</v>
          </cell>
        </row>
        <row r="21815">
          <cell r="L21815"/>
          <cell r="S21815">
            <v>1003.23</v>
          </cell>
          <cell r="X21815" t="str">
            <v>Commissions - share RI</v>
          </cell>
        </row>
        <row r="21816">
          <cell r="L21816"/>
          <cell r="S21816">
            <v>-2726.37</v>
          </cell>
          <cell r="X21816" t="str">
            <v>Commissions - share RI</v>
          </cell>
        </row>
        <row r="21817">
          <cell r="L21817"/>
          <cell r="S21817">
            <v>-19.739999999999998</v>
          </cell>
          <cell r="X21817" t="str">
            <v>Commissions - share RI</v>
          </cell>
        </row>
        <row r="21818">
          <cell r="L21818"/>
          <cell r="S21818">
            <v>-1166.76</v>
          </cell>
          <cell r="X21818" t="str">
            <v>Commissions - share RI</v>
          </cell>
        </row>
        <row r="21819">
          <cell r="L21819"/>
          <cell r="S21819">
            <v>840051.13</v>
          </cell>
          <cell r="X21819" t="str">
            <v>Commissions - share RI</v>
          </cell>
        </row>
        <row r="21820">
          <cell r="L21820"/>
          <cell r="S21820">
            <v>-1172.6400000000001</v>
          </cell>
          <cell r="X21820" t="str">
            <v>Commissions - share RI</v>
          </cell>
        </row>
        <row r="21821">
          <cell r="L21821"/>
          <cell r="S21821">
            <v>8.86</v>
          </cell>
          <cell r="X21821" t="str">
            <v>Commissions - share RI</v>
          </cell>
        </row>
        <row r="21822">
          <cell r="L21822"/>
          <cell r="S21822">
            <v>1186.0899999999999</v>
          </cell>
          <cell r="X21822" t="str">
            <v>Commissions - share RI</v>
          </cell>
        </row>
        <row r="21823">
          <cell r="L21823"/>
          <cell r="S21823">
            <v>2033.23</v>
          </cell>
          <cell r="X21823" t="str">
            <v>Commissions - share RI</v>
          </cell>
        </row>
        <row r="21824">
          <cell r="L21824"/>
          <cell r="S21824">
            <v>-22.74</v>
          </cell>
          <cell r="X21824" t="str">
            <v>Commissions - share RI</v>
          </cell>
        </row>
        <row r="21825">
          <cell r="L21825"/>
          <cell r="S21825">
            <v>3.88</v>
          </cell>
          <cell r="X21825" t="str">
            <v>Commissions - share RI</v>
          </cell>
        </row>
        <row r="21826">
          <cell r="L21826"/>
          <cell r="S21826">
            <v>43.15</v>
          </cell>
          <cell r="X21826" t="str">
            <v>Commissions - share RI</v>
          </cell>
        </row>
        <row r="21827">
          <cell r="L21827"/>
          <cell r="S21827">
            <v>-2033.23</v>
          </cell>
          <cell r="X21827" t="str">
            <v>Commissions - share RI</v>
          </cell>
        </row>
        <row r="21828">
          <cell r="L21828"/>
          <cell r="S21828">
            <v>-43.15</v>
          </cell>
          <cell r="X21828" t="str">
            <v>Commissions - share RI</v>
          </cell>
        </row>
        <row r="21829">
          <cell r="L21829"/>
          <cell r="S21829">
            <v>3290.06</v>
          </cell>
          <cell r="X21829" t="str">
            <v>Commissions - share RI</v>
          </cell>
        </row>
        <row r="21830">
          <cell r="L21830"/>
          <cell r="S21830">
            <v>6.44</v>
          </cell>
          <cell r="X21830" t="str">
            <v>Commissions - share RI</v>
          </cell>
        </row>
        <row r="21831">
          <cell r="L21831"/>
          <cell r="S21831">
            <v>-43.15</v>
          </cell>
          <cell r="X21831" t="str">
            <v>Commissions - share RI</v>
          </cell>
        </row>
        <row r="21832">
          <cell r="L21832"/>
          <cell r="S21832">
            <v>-3119.16</v>
          </cell>
          <cell r="X21832" t="str">
            <v>Commissions - share RI</v>
          </cell>
        </row>
        <row r="21833">
          <cell r="L21833"/>
          <cell r="S21833">
            <v>1353.63</v>
          </cell>
          <cell r="X21833" t="str">
            <v>Commissions - share RI</v>
          </cell>
        </row>
        <row r="21834">
          <cell r="L21834"/>
          <cell r="S21834">
            <v>43.15</v>
          </cell>
          <cell r="X21834" t="str">
            <v>Commissions - share RI</v>
          </cell>
        </row>
        <row r="21835">
          <cell r="L21835"/>
          <cell r="S21835">
            <v>-3292.45</v>
          </cell>
          <cell r="X21835" t="str">
            <v>Commissions - share RI</v>
          </cell>
        </row>
        <row r="21836">
          <cell r="L21836"/>
          <cell r="S21836">
            <v>-1338.36</v>
          </cell>
          <cell r="X21836" t="str">
            <v>Commissions - share RI</v>
          </cell>
        </row>
        <row r="21837">
          <cell r="L21837"/>
          <cell r="S21837">
            <v>19.739999999999998</v>
          </cell>
          <cell r="X21837" t="str">
            <v>Commissions - share RI</v>
          </cell>
        </row>
        <row r="21838">
          <cell r="L21838"/>
          <cell r="S21838">
            <v>-1494.24</v>
          </cell>
          <cell r="X21838" t="str">
            <v>Commissions - share RI</v>
          </cell>
        </row>
        <row r="21839">
          <cell r="L21839"/>
          <cell r="S21839">
            <v>4.05</v>
          </cell>
          <cell r="X21839" t="str">
            <v>Commissions - share RI</v>
          </cell>
        </row>
        <row r="21840">
          <cell r="L21840"/>
          <cell r="S21840">
            <v>139.85</v>
          </cell>
          <cell r="X21840" t="str">
            <v>Commissions - share RI</v>
          </cell>
        </row>
        <row r="21841">
          <cell r="L21841"/>
          <cell r="S21841">
            <v>-541.42999999999995</v>
          </cell>
          <cell r="X21841" t="str">
            <v>Commissions - share RI</v>
          </cell>
        </row>
        <row r="21842">
          <cell r="L21842"/>
          <cell r="S21842">
            <v>1805.41</v>
          </cell>
          <cell r="X21842" t="str">
            <v>Commissions - share RI</v>
          </cell>
        </row>
        <row r="21843">
          <cell r="L21843"/>
          <cell r="S21843">
            <v>839.15</v>
          </cell>
          <cell r="X21843" t="str">
            <v>Commissions - share RI</v>
          </cell>
        </row>
        <row r="21844">
          <cell r="L21844"/>
          <cell r="S21844">
            <v>282.58999999999997</v>
          </cell>
          <cell r="X21844" t="str">
            <v>Commissions - share RI</v>
          </cell>
        </row>
        <row r="21845">
          <cell r="L21845"/>
          <cell r="S21845">
            <v>660.45</v>
          </cell>
          <cell r="X21845" t="str">
            <v>Commissions - share RI</v>
          </cell>
        </row>
        <row r="21846">
          <cell r="L21846"/>
          <cell r="S21846">
            <v>1046.3399999999999</v>
          </cell>
          <cell r="X21846" t="str">
            <v>Commissions - share RI</v>
          </cell>
        </row>
        <row r="21847">
          <cell r="L21847"/>
          <cell r="S21847">
            <v>-88963.51</v>
          </cell>
          <cell r="X21847" t="str">
            <v>Commissions - share RI</v>
          </cell>
        </row>
        <row r="21848">
          <cell r="L21848"/>
          <cell r="S21848">
            <v>-3109.24</v>
          </cell>
          <cell r="X21848" t="str">
            <v>Commissions - share RI</v>
          </cell>
        </row>
        <row r="21849">
          <cell r="L21849"/>
          <cell r="S21849">
            <v>541.41999999999996</v>
          </cell>
          <cell r="X21849" t="str">
            <v>Commissions - share RI</v>
          </cell>
        </row>
        <row r="21850">
          <cell r="L21850"/>
          <cell r="S21850">
            <v>88963.51</v>
          </cell>
          <cell r="X21850" t="str">
            <v>Commissions - share RI</v>
          </cell>
        </row>
        <row r="21851">
          <cell r="L21851"/>
          <cell r="S21851">
            <v>-174.82</v>
          </cell>
          <cell r="X21851" t="str">
            <v>Commissions - share RI</v>
          </cell>
        </row>
        <row r="21852">
          <cell r="L21852"/>
          <cell r="S21852">
            <v>244.75</v>
          </cell>
          <cell r="X21852" t="str">
            <v>Commissions - share RI</v>
          </cell>
        </row>
        <row r="21853">
          <cell r="L21853"/>
          <cell r="S21853">
            <v>-839.15</v>
          </cell>
          <cell r="X21853" t="str">
            <v>Commissions - share RI</v>
          </cell>
        </row>
        <row r="21854">
          <cell r="L21854"/>
          <cell r="S21854">
            <v>-1046.3399999999999</v>
          </cell>
          <cell r="X21854" t="str">
            <v>Commissions - share RI</v>
          </cell>
        </row>
        <row r="21855">
          <cell r="L21855"/>
          <cell r="S21855">
            <v>859.64</v>
          </cell>
          <cell r="X21855" t="str">
            <v>Commissions - share RI</v>
          </cell>
        </row>
        <row r="21856">
          <cell r="L21856"/>
          <cell r="S21856">
            <v>88.91</v>
          </cell>
          <cell r="X21856" t="str">
            <v>Commissions - share RI</v>
          </cell>
        </row>
        <row r="21857">
          <cell r="L21857"/>
          <cell r="S21857">
            <v>-34.96</v>
          </cell>
          <cell r="X21857" t="str">
            <v>Commissions - share RI</v>
          </cell>
        </row>
        <row r="21858">
          <cell r="L21858"/>
          <cell r="S21858">
            <v>524.47</v>
          </cell>
          <cell r="X21858" t="str">
            <v>Commissions - share RI</v>
          </cell>
        </row>
        <row r="21859">
          <cell r="L21859"/>
          <cell r="S21859">
            <v>862.04</v>
          </cell>
          <cell r="X21859" t="str">
            <v>Commissions - share RI</v>
          </cell>
        </row>
        <row r="21860">
          <cell r="L21860"/>
          <cell r="S21860">
            <v>1030.24</v>
          </cell>
          <cell r="X21860" t="str">
            <v>Commissions - share RI</v>
          </cell>
        </row>
        <row r="21861">
          <cell r="L21861"/>
          <cell r="S21861">
            <v>898.71</v>
          </cell>
          <cell r="X21861" t="str">
            <v>Commissions - share RI</v>
          </cell>
        </row>
        <row r="21862">
          <cell r="L21862"/>
          <cell r="S21862">
            <v>-282.58999999999997</v>
          </cell>
          <cell r="X21862" t="str">
            <v>Commissions - share RI</v>
          </cell>
        </row>
        <row r="21863">
          <cell r="L21863"/>
          <cell r="S21863">
            <v>106.32</v>
          </cell>
          <cell r="X21863" t="str">
            <v>Commissions - share RI</v>
          </cell>
        </row>
        <row r="21864">
          <cell r="L21864"/>
          <cell r="S21864">
            <v>-34.96</v>
          </cell>
          <cell r="X21864" t="str">
            <v>Commissions - share RI</v>
          </cell>
        </row>
        <row r="21865">
          <cell r="L21865"/>
          <cell r="S21865">
            <v>-859.64</v>
          </cell>
          <cell r="X21865" t="str">
            <v>Commissions - share RI</v>
          </cell>
        </row>
        <row r="21866">
          <cell r="L21866"/>
          <cell r="S21866">
            <v>-244.75</v>
          </cell>
          <cell r="X21866" t="str">
            <v>Commissions - share RI</v>
          </cell>
        </row>
        <row r="21867">
          <cell r="L21867"/>
          <cell r="S21867">
            <v>-139.85</v>
          </cell>
          <cell r="X21867" t="str">
            <v>Commissions - share RI</v>
          </cell>
        </row>
        <row r="21868">
          <cell r="L21868"/>
          <cell r="S21868">
            <v>2257.19</v>
          </cell>
          <cell r="X21868" t="str">
            <v>Commissions - share RI</v>
          </cell>
        </row>
        <row r="21869">
          <cell r="L21869"/>
          <cell r="S21869">
            <v>-579.21</v>
          </cell>
          <cell r="X21869" t="str">
            <v>Commissions - share RI</v>
          </cell>
        </row>
        <row r="21870">
          <cell r="L21870"/>
          <cell r="S21870">
            <v>3558.28</v>
          </cell>
          <cell r="X21870" t="str">
            <v>Commissions - share RI</v>
          </cell>
        </row>
        <row r="21871">
          <cell r="L21871"/>
          <cell r="S21871">
            <v>-986.6</v>
          </cell>
          <cell r="X21871" t="str">
            <v>Commissions - share RI</v>
          </cell>
        </row>
        <row r="21872">
          <cell r="L21872"/>
          <cell r="S21872">
            <v>-244.75</v>
          </cell>
          <cell r="X21872" t="str">
            <v>Commissions - share RI</v>
          </cell>
        </row>
        <row r="21873">
          <cell r="L21873"/>
          <cell r="S21873">
            <v>-104.89</v>
          </cell>
          <cell r="X21873" t="str">
            <v>Commissions - share RI</v>
          </cell>
        </row>
        <row r="21874">
          <cell r="L21874"/>
          <cell r="S21874">
            <v>104.89</v>
          </cell>
          <cell r="X21874" t="str">
            <v>Commissions - share RI</v>
          </cell>
        </row>
        <row r="21875">
          <cell r="L21875"/>
          <cell r="S21875">
            <v>178.8</v>
          </cell>
          <cell r="X21875" t="str">
            <v>Commissions - share RI</v>
          </cell>
        </row>
        <row r="21876">
          <cell r="L21876"/>
          <cell r="S21876">
            <v>-244.75</v>
          </cell>
          <cell r="X21876" t="str">
            <v>Commissions - share RI</v>
          </cell>
        </row>
        <row r="21877">
          <cell r="L21877"/>
          <cell r="S21877">
            <v>579.21</v>
          </cell>
          <cell r="X21877" t="str">
            <v>Commissions - share RI</v>
          </cell>
        </row>
        <row r="21878">
          <cell r="L21878"/>
          <cell r="S21878">
            <v>244.75</v>
          </cell>
          <cell r="X21878" t="str">
            <v>Commissions - share RI</v>
          </cell>
        </row>
        <row r="21879">
          <cell r="L21879"/>
          <cell r="S21879">
            <v>34.96</v>
          </cell>
          <cell r="X21879" t="str">
            <v>Commissions - share RI</v>
          </cell>
        </row>
        <row r="21880">
          <cell r="L21880"/>
          <cell r="S21880">
            <v>422.56</v>
          </cell>
          <cell r="X21880" t="str">
            <v>Commissions - share RI</v>
          </cell>
        </row>
        <row r="21881">
          <cell r="L21881"/>
          <cell r="S21881">
            <v>-104.89</v>
          </cell>
          <cell r="X21881" t="str">
            <v>Commissions - share RI</v>
          </cell>
        </row>
        <row r="21882">
          <cell r="L21882"/>
          <cell r="S21882">
            <v>174.82</v>
          </cell>
          <cell r="X21882" t="str">
            <v>Commissions - share RI</v>
          </cell>
        </row>
        <row r="21883">
          <cell r="L21883"/>
          <cell r="S21883">
            <v>-898.71</v>
          </cell>
          <cell r="X21883" t="str">
            <v>Commissions - share RI</v>
          </cell>
        </row>
        <row r="21884">
          <cell r="L21884"/>
          <cell r="S21884">
            <v>-178.8</v>
          </cell>
          <cell r="X21884" t="str">
            <v>Commissions - share RI</v>
          </cell>
        </row>
        <row r="21885">
          <cell r="L21885"/>
          <cell r="S21885">
            <v>-3558.55</v>
          </cell>
          <cell r="X21885" t="str">
            <v>Commissions - share RI</v>
          </cell>
        </row>
        <row r="21886">
          <cell r="L21886"/>
          <cell r="S21886">
            <v>-660.45</v>
          </cell>
          <cell r="X21886" t="str">
            <v>Commissions - share RI</v>
          </cell>
        </row>
        <row r="21887">
          <cell r="L21887"/>
          <cell r="S21887">
            <v>-862.04</v>
          </cell>
          <cell r="X21887" t="str">
            <v>Commissions - share RI</v>
          </cell>
        </row>
        <row r="21888">
          <cell r="L21888"/>
          <cell r="S21888">
            <v>34.96</v>
          </cell>
          <cell r="X21888" t="str">
            <v>Commissions - share RI</v>
          </cell>
        </row>
        <row r="21889">
          <cell r="L21889"/>
          <cell r="S21889">
            <v>-1030.24</v>
          </cell>
          <cell r="X21889" t="str">
            <v>Commissions - share RI</v>
          </cell>
        </row>
        <row r="21890">
          <cell r="L21890"/>
          <cell r="S21890">
            <v>-422.56</v>
          </cell>
          <cell r="X21890" t="str">
            <v>Commissions - share RI</v>
          </cell>
        </row>
        <row r="21891">
          <cell r="L21891"/>
          <cell r="S21891">
            <v>-1805.95</v>
          </cell>
          <cell r="X21891" t="str">
            <v>Commissions - share RI</v>
          </cell>
        </row>
        <row r="21892">
          <cell r="L21892"/>
          <cell r="S21892">
            <v>104.89</v>
          </cell>
          <cell r="X21892" t="str">
            <v>Commissions - share RI</v>
          </cell>
        </row>
        <row r="21893">
          <cell r="L21893"/>
          <cell r="S21893">
            <v>-524.47</v>
          </cell>
          <cell r="X21893" t="str">
            <v>Commissions - share RI</v>
          </cell>
        </row>
        <row r="21894">
          <cell r="L21894"/>
          <cell r="S21894">
            <v>-106.32</v>
          </cell>
          <cell r="X21894" t="str">
            <v>Commissions - share RI</v>
          </cell>
        </row>
        <row r="21895">
          <cell r="L21895"/>
          <cell r="S21895">
            <v>3109.24</v>
          </cell>
          <cell r="X21895" t="str">
            <v>Commissions - share RI</v>
          </cell>
        </row>
        <row r="21896">
          <cell r="L21896"/>
          <cell r="S21896">
            <v>244.75</v>
          </cell>
          <cell r="X21896" t="str">
            <v>Commissions - share RI</v>
          </cell>
        </row>
        <row r="21897">
          <cell r="L21897"/>
          <cell r="S21897">
            <v>986.6</v>
          </cell>
          <cell r="X21897" t="str">
            <v>Commissions - share RI</v>
          </cell>
        </row>
        <row r="21898">
          <cell r="L21898"/>
          <cell r="S21898">
            <v>-36.42</v>
          </cell>
          <cell r="X21898" t="str">
            <v>Commissions - share RI</v>
          </cell>
        </row>
        <row r="21899">
          <cell r="L21899"/>
          <cell r="S21899">
            <v>2925.22</v>
          </cell>
          <cell r="X21899" t="str">
            <v>Commissions - share RI</v>
          </cell>
        </row>
        <row r="21900">
          <cell r="L21900"/>
          <cell r="S21900">
            <v>-69.91</v>
          </cell>
          <cell r="X21900" t="str">
            <v>Commissions - share RI</v>
          </cell>
        </row>
        <row r="21901">
          <cell r="L21901"/>
          <cell r="S21901">
            <v>-0.28000000000000003</v>
          </cell>
          <cell r="X21901" t="str">
            <v>Commissions - share RI</v>
          </cell>
        </row>
        <row r="21902">
          <cell r="L21902"/>
          <cell r="S21902">
            <v>-15.87</v>
          </cell>
          <cell r="X21902" t="str">
            <v>Commissions - share RI</v>
          </cell>
        </row>
        <row r="21903">
          <cell r="L21903"/>
          <cell r="S21903">
            <v>-1435.62</v>
          </cell>
          <cell r="X21903" t="str">
            <v>Commissions - share RI</v>
          </cell>
        </row>
        <row r="21904">
          <cell r="L21904"/>
          <cell r="S21904">
            <v>36.42</v>
          </cell>
          <cell r="X21904" t="str">
            <v>Commissions - share RI</v>
          </cell>
        </row>
        <row r="21905">
          <cell r="L21905"/>
          <cell r="S21905">
            <v>2804.85</v>
          </cell>
          <cell r="X21905" t="str">
            <v>Commissions - share RI</v>
          </cell>
        </row>
        <row r="21906">
          <cell r="L21906"/>
          <cell r="S21906">
            <v>1220.48</v>
          </cell>
          <cell r="X21906" t="str">
            <v>Commissions - share RI</v>
          </cell>
        </row>
        <row r="21907">
          <cell r="L21907"/>
          <cell r="S21907">
            <v>-954.33</v>
          </cell>
          <cell r="X21907" t="str">
            <v>Commissions - share RI</v>
          </cell>
        </row>
        <row r="21908">
          <cell r="L21908"/>
          <cell r="S21908">
            <v>36.6</v>
          </cell>
          <cell r="X21908" t="str">
            <v>Commissions - share RI</v>
          </cell>
        </row>
        <row r="21909">
          <cell r="L21909"/>
          <cell r="S21909">
            <v>15.87</v>
          </cell>
          <cell r="X21909" t="str">
            <v>Commissions - share RI</v>
          </cell>
        </row>
        <row r="21910">
          <cell r="L21910"/>
          <cell r="S21910">
            <v>496.58</v>
          </cell>
          <cell r="X21910" t="str">
            <v>Commissions - share RI</v>
          </cell>
        </row>
        <row r="21911">
          <cell r="L21911"/>
          <cell r="S21911">
            <v>0.28000000000000003</v>
          </cell>
          <cell r="X21911" t="str">
            <v>Commissions - share RI</v>
          </cell>
        </row>
        <row r="21912">
          <cell r="L21912"/>
          <cell r="S21912">
            <v>-3299.92</v>
          </cell>
          <cell r="X21912" t="str">
            <v>Commissions - share RI</v>
          </cell>
        </row>
        <row r="21913">
          <cell r="L21913"/>
          <cell r="S21913">
            <v>-2925.22</v>
          </cell>
          <cell r="X21913" t="str">
            <v>Commissions - share RI</v>
          </cell>
        </row>
        <row r="21914">
          <cell r="L21914"/>
          <cell r="S21914">
            <v>94.6</v>
          </cell>
          <cell r="X21914" t="str">
            <v>Commissions - share RI</v>
          </cell>
        </row>
        <row r="21915">
          <cell r="L21915"/>
          <cell r="S21915">
            <v>-3482.04</v>
          </cell>
          <cell r="X21915" t="str">
            <v>Commissions - share RI</v>
          </cell>
        </row>
        <row r="21916">
          <cell r="L21916"/>
          <cell r="S21916">
            <v>-1167.8699999999999</v>
          </cell>
          <cell r="X21916" t="str">
            <v>Commissions - share RI</v>
          </cell>
        </row>
        <row r="21917">
          <cell r="L21917"/>
          <cell r="S21917">
            <v>-258.54000000000002</v>
          </cell>
          <cell r="X21917" t="str">
            <v>Commissions - share RI</v>
          </cell>
        </row>
        <row r="21918">
          <cell r="L21918"/>
          <cell r="S21918">
            <v>811.09</v>
          </cell>
          <cell r="X21918" t="str">
            <v>Commissions - share RI</v>
          </cell>
        </row>
        <row r="21919">
          <cell r="L21919"/>
          <cell r="S21919">
            <v>-2330.59</v>
          </cell>
          <cell r="X21919" t="str">
            <v>Commissions - share RI</v>
          </cell>
        </row>
        <row r="21920">
          <cell r="L21920"/>
          <cell r="S21920">
            <v>22.66</v>
          </cell>
          <cell r="X21920" t="str">
            <v>Commissions - share RI</v>
          </cell>
        </row>
        <row r="21921">
          <cell r="L21921"/>
          <cell r="S21921">
            <v>-22.66</v>
          </cell>
          <cell r="X21921" t="str">
            <v>Commissions - share RI</v>
          </cell>
        </row>
        <row r="21922">
          <cell r="L21922"/>
          <cell r="S21922">
            <v>-1195.8900000000001</v>
          </cell>
          <cell r="X21922" t="str">
            <v>Commissions - share RI</v>
          </cell>
        </row>
        <row r="21923">
          <cell r="L21923"/>
          <cell r="S21923">
            <v>-2995.44</v>
          </cell>
          <cell r="X21923" t="str">
            <v>Commissions - share RI</v>
          </cell>
        </row>
        <row r="21924">
          <cell r="L21924"/>
          <cell r="S21924">
            <v>-155.65</v>
          </cell>
          <cell r="X21924" t="str">
            <v>Commissions - share RI</v>
          </cell>
        </row>
        <row r="21925">
          <cell r="L21925"/>
          <cell r="S21925">
            <v>-3157.21</v>
          </cell>
          <cell r="X21925" t="str">
            <v>Commissions - share RI</v>
          </cell>
        </row>
        <row r="21926">
          <cell r="L21926"/>
          <cell r="S21926">
            <v>2925.22</v>
          </cell>
          <cell r="X21926" t="str">
            <v>Commissions - share RI</v>
          </cell>
        </row>
        <row r="21927">
          <cell r="L21927"/>
          <cell r="S21927">
            <v>-7.75</v>
          </cell>
          <cell r="X21927" t="str">
            <v>Commissions - share RI</v>
          </cell>
        </row>
        <row r="21928">
          <cell r="L21928"/>
          <cell r="S21928">
            <v>13.87</v>
          </cell>
          <cell r="X21928" t="str">
            <v>Commissions - share RI</v>
          </cell>
        </row>
        <row r="21929">
          <cell r="L21929"/>
          <cell r="S21929">
            <v>18.86</v>
          </cell>
          <cell r="X21929" t="str">
            <v>Commissions - share RI</v>
          </cell>
        </row>
        <row r="21930">
          <cell r="L21930"/>
          <cell r="S21930">
            <v>-1220.48</v>
          </cell>
          <cell r="X21930" t="str">
            <v>Commissions - share RI</v>
          </cell>
        </row>
        <row r="21931">
          <cell r="L21931"/>
          <cell r="S21931">
            <v>2925.22</v>
          </cell>
          <cell r="X21931" t="str">
            <v>Commissions - share RI</v>
          </cell>
        </row>
        <row r="21932">
          <cell r="L21932"/>
          <cell r="S21932">
            <v>10.26</v>
          </cell>
          <cell r="X21932" t="str">
            <v>Commissions - share RI</v>
          </cell>
        </row>
        <row r="21933">
          <cell r="L21933"/>
          <cell r="S21933">
            <v>18.86</v>
          </cell>
          <cell r="X21933" t="str">
            <v>Commissions - share RI</v>
          </cell>
        </row>
        <row r="21934">
          <cell r="L21934"/>
          <cell r="S21934">
            <v>15.31</v>
          </cell>
          <cell r="X21934" t="str">
            <v>Commissions - share RI</v>
          </cell>
        </row>
        <row r="21935">
          <cell r="L21935"/>
          <cell r="S21935">
            <v>-22.85</v>
          </cell>
          <cell r="X21935" t="str">
            <v>Commissions - share RI</v>
          </cell>
        </row>
        <row r="21936">
          <cell r="L21936"/>
          <cell r="S21936">
            <v>17.100000000000001</v>
          </cell>
          <cell r="X21936" t="str">
            <v>Commissions - share RI</v>
          </cell>
        </row>
        <row r="21937">
          <cell r="L21937"/>
          <cell r="S21937">
            <v>8.27</v>
          </cell>
          <cell r="X21937" t="str">
            <v>Commissions - share RI</v>
          </cell>
        </row>
        <row r="21938">
          <cell r="L21938"/>
          <cell r="S21938">
            <v>-1795.32</v>
          </cell>
          <cell r="X21938" t="str">
            <v>Commissions - share RI</v>
          </cell>
        </row>
        <row r="21939">
          <cell r="L21939"/>
          <cell r="S21939">
            <v>3482.04</v>
          </cell>
          <cell r="X21939" t="str">
            <v>Commissions - share RI</v>
          </cell>
        </row>
        <row r="21940">
          <cell r="L21940"/>
          <cell r="S21940">
            <v>-9.1</v>
          </cell>
          <cell r="X21940" t="str">
            <v>Commissions - share RI</v>
          </cell>
        </row>
        <row r="21941">
          <cell r="L21941"/>
          <cell r="S21941">
            <v>-2925.22</v>
          </cell>
          <cell r="X21941" t="str">
            <v>Commissions - share RI</v>
          </cell>
        </row>
        <row r="21942">
          <cell r="L21942"/>
          <cell r="S21942">
            <v>1525.61</v>
          </cell>
          <cell r="X21942" t="str">
            <v>Commissions - share RI</v>
          </cell>
        </row>
        <row r="21943">
          <cell r="L21943"/>
          <cell r="S21943">
            <v>3157.21</v>
          </cell>
          <cell r="X21943" t="str">
            <v>Commissions - share RI</v>
          </cell>
        </row>
        <row r="21944">
          <cell r="L21944"/>
          <cell r="S21944">
            <v>536.41999999999996</v>
          </cell>
          <cell r="X21944" t="str">
            <v>Commissions - share RI</v>
          </cell>
        </row>
        <row r="21945">
          <cell r="L21945"/>
          <cell r="S21945">
            <v>1634.63</v>
          </cell>
          <cell r="X21945" t="str">
            <v>Commissions - share RI</v>
          </cell>
        </row>
        <row r="21946">
          <cell r="L21946"/>
          <cell r="S21946">
            <v>1328.13</v>
          </cell>
          <cell r="X21946" t="str">
            <v>Commissions - share RI</v>
          </cell>
        </row>
        <row r="21947">
          <cell r="L21947"/>
          <cell r="S21947">
            <v>-25.21</v>
          </cell>
          <cell r="X21947" t="str">
            <v>Commissions - share RI</v>
          </cell>
        </row>
        <row r="21948">
          <cell r="L21948"/>
          <cell r="S21948">
            <v>9.1</v>
          </cell>
          <cell r="X21948" t="str">
            <v>Commissions - share RI</v>
          </cell>
        </row>
        <row r="21949">
          <cell r="L21949"/>
          <cell r="S21949">
            <v>22.66</v>
          </cell>
          <cell r="X21949" t="str">
            <v>Commissions - share RI</v>
          </cell>
        </row>
        <row r="21950">
          <cell r="L21950"/>
          <cell r="S21950">
            <v>-1334.95</v>
          </cell>
          <cell r="X21950" t="str">
            <v>Commissions - share RI</v>
          </cell>
        </row>
        <row r="21951">
          <cell r="L21951"/>
          <cell r="S21951">
            <v>-442.49</v>
          </cell>
          <cell r="X21951" t="str">
            <v>Commissions - share RI</v>
          </cell>
        </row>
        <row r="21952">
          <cell r="L21952"/>
          <cell r="S21952">
            <v>1047.8800000000001</v>
          </cell>
          <cell r="X21952" t="str">
            <v>Commissions - share RI</v>
          </cell>
        </row>
        <row r="21953">
          <cell r="L21953"/>
          <cell r="S21953">
            <v>-20.260000000000002</v>
          </cell>
          <cell r="X21953" t="str">
            <v>Commissions - share RI</v>
          </cell>
        </row>
        <row r="21954">
          <cell r="L21954"/>
          <cell r="S21954">
            <v>-1525.61</v>
          </cell>
          <cell r="X21954" t="str">
            <v>Commissions - share RI</v>
          </cell>
        </row>
        <row r="21955">
          <cell r="L21955"/>
          <cell r="S21955">
            <v>1042.5999999999999</v>
          </cell>
          <cell r="X21955" t="str">
            <v>Commissions - share RI</v>
          </cell>
        </row>
        <row r="21956">
          <cell r="L21956"/>
          <cell r="S21956">
            <v>-3310.85</v>
          </cell>
          <cell r="X21956" t="str">
            <v>Commissions - share RI</v>
          </cell>
        </row>
        <row r="21957">
          <cell r="L21957"/>
          <cell r="S21957">
            <v>6783.96</v>
          </cell>
          <cell r="X21957" t="str">
            <v>Commissions - share RI</v>
          </cell>
        </row>
        <row r="21958">
          <cell r="L21958"/>
          <cell r="S21958">
            <v>-1235.93</v>
          </cell>
          <cell r="X21958" t="str">
            <v>Commissions - share RI</v>
          </cell>
        </row>
        <row r="21959">
          <cell r="L21959"/>
          <cell r="S21959">
            <v>81.96</v>
          </cell>
          <cell r="X21959" t="str">
            <v>Commissions - share RI</v>
          </cell>
        </row>
        <row r="21960">
          <cell r="L21960"/>
          <cell r="S21960">
            <v>36.42</v>
          </cell>
          <cell r="X21960" t="str">
            <v>Commissions - share RI</v>
          </cell>
        </row>
        <row r="21961">
          <cell r="L21961"/>
          <cell r="S21961">
            <v>-71.2</v>
          </cell>
          <cell r="X21961" t="str">
            <v>Commissions - share RI</v>
          </cell>
        </row>
        <row r="21962">
          <cell r="L21962"/>
          <cell r="S21962">
            <v>-2276.58</v>
          </cell>
          <cell r="X21962" t="str">
            <v>Commissions - share RI</v>
          </cell>
        </row>
        <row r="21963">
          <cell r="L21963"/>
          <cell r="S21963">
            <v>-18.86</v>
          </cell>
          <cell r="X21963" t="str">
            <v>Commissions - share RI</v>
          </cell>
        </row>
        <row r="21964">
          <cell r="L21964"/>
          <cell r="S21964">
            <v>36.97</v>
          </cell>
          <cell r="X21964" t="str">
            <v>Commissions - share RI</v>
          </cell>
        </row>
        <row r="21965">
          <cell r="L21965"/>
          <cell r="S21965">
            <v>2330.59</v>
          </cell>
          <cell r="X21965" t="str">
            <v>Commissions - share RI</v>
          </cell>
        </row>
        <row r="21966">
          <cell r="L21966"/>
          <cell r="S21966">
            <v>9.1</v>
          </cell>
          <cell r="X21966" t="str">
            <v>Commissions - share RI</v>
          </cell>
        </row>
        <row r="21967">
          <cell r="L21967"/>
          <cell r="S21967">
            <v>-1328.13</v>
          </cell>
          <cell r="X21967" t="str">
            <v>Commissions - share RI</v>
          </cell>
        </row>
        <row r="21968">
          <cell r="L21968"/>
          <cell r="S21968">
            <v>-2804.85</v>
          </cell>
          <cell r="X21968" t="str">
            <v>Commissions - share RI</v>
          </cell>
        </row>
        <row r="21969">
          <cell r="L21969"/>
          <cell r="S21969">
            <v>-1042.5999999999999</v>
          </cell>
          <cell r="X21969" t="str">
            <v>Commissions - share RI</v>
          </cell>
        </row>
        <row r="21970">
          <cell r="L21970"/>
          <cell r="S21970">
            <v>-496.58</v>
          </cell>
          <cell r="X21970" t="str">
            <v>Commissions - share RI</v>
          </cell>
        </row>
        <row r="21971">
          <cell r="L21971"/>
          <cell r="S21971">
            <v>45.37</v>
          </cell>
          <cell r="X21971" t="str">
            <v>Commissions - share RI</v>
          </cell>
        </row>
        <row r="21972">
          <cell r="L21972"/>
          <cell r="S21972">
            <v>-1935</v>
          </cell>
          <cell r="X21972" t="str">
            <v>Commissions - share RI</v>
          </cell>
        </row>
        <row r="21973">
          <cell r="L21973"/>
          <cell r="S21973">
            <v>-16.09</v>
          </cell>
          <cell r="X21973" t="str">
            <v>Commissions - share RI</v>
          </cell>
        </row>
        <row r="21974">
          <cell r="L21974"/>
          <cell r="S21974">
            <v>-1047.8800000000001</v>
          </cell>
          <cell r="X21974" t="str">
            <v>Commissions - share RI</v>
          </cell>
        </row>
        <row r="21975">
          <cell r="L21975"/>
          <cell r="S21975">
            <v>25.68</v>
          </cell>
          <cell r="X21975" t="str">
            <v>Commissions - share RI</v>
          </cell>
        </row>
        <row r="21976">
          <cell r="L21976"/>
          <cell r="S21976">
            <v>-28.14</v>
          </cell>
          <cell r="X21976" t="str">
            <v>Commissions - share RI</v>
          </cell>
        </row>
        <row r="21977">
          <cell r="L21977"/>
          <cell r="S21977">
            <v>100.94</v>
          </cell>
          <cell r="X21977" t="str">
            <v>Commissions - share RI</v>
          </cell>
        </row>
        <row r="21978">
          <cell r="L21978"/>
          <cell r="S21978">
            <v>-536.41999999999996</v>
          </cell>
          <cell r="X21978" t="str">
            <v>Commissions - share RI</v>
          </cell>
        </row>
        <row r="21979">
          <cell r="L21979"/>
          <cell r="S21979">
            <v>1334.95</v>
          </cell>
          <cell r="X21979" t="str">
            <v>Commissions - share RI</v>
          </cell>
        </row>
        <row r="21980">
          <cell r="L21980"/>
          <cell r="S21980">
            <v>-3203.85</v>
          </cell>
          <cell r="X21980" t="str">
            <v>Commissions - share RI</v>
          </cell>
        </row>
        <row r="21981">
          <cell r="L21981"/>
          <cell r="S21981">
            <v>-8.27</v>
          </cell>
          <cell r="X21981" t="str">
            <v>Commissions - share RI</v>
          </cell>
        </row>
        <row r="21982">
          <cell r="L21982"/>
          <cell r="S21982">
            <v>1935</v>
          </cell>
          <cell r="X21982" t="str">
            <v>Commissions - share RI</v>
          </cell>
        </row>
        <row r="21983">
          <cell r="L21983"/>
          <cell r="S21983">
            <v>-18.03</v>
          </cell>
          <cell r="X21983" t="str">
            <v>Commissions - share RI</v>
          </cell>
        </row>
        <row r="21984">
          <cell r="L21984"/>
          <cell r="S21984">
            <v>-1634.63</v>
          </cell>
          <cell r="X21984" t="str">
            <v>Commissions - share RI</v>
          </cell>
        </row>
        <row r="21985">
          <cell r="L21985"/>
          <cell r="S21985">
            <v>-10.26</v>
          </cell>
          <cell r="X21985" t="str">
            <v>Commissions - share RI</v>
          </cell>
        </row>
        <row r="21986">
          <cell r="L21986"/>
          <cell r="S21986">
            <v>-36.42</v>
          </cell>
          <cell r="X21986" t="str">
            <v>Commissions - share RI</v>
          </cell>
        </row>
        <row r="21987">
          <cell r="L21987"/>
          <cell r="S21987">
            <v>1195.8900000000001</v>
          </cell>
          <cell r="X21987" t="str">
            <v>Commissions - share RI</v>
          </cell>
        </row>
        <row r="21988">
          <cell r="L21988"/>
          <cell r="S21988">
            <v>3203.85</v>
          </cell>
          <cell r="X21988" t="str">
            <v>Commissions - share RI</v>
          </cell>
        </row>
        <row r="21989">
          <cell r="L21989"/>
          <cell r="S21989">
            <v>1235.93</v>
          </cell>
          <cell r="X21989" t="str">
            <v>Commissions - share RI</v>
          </cell>
        </row>
        <row r="21990">
          <cell r="L21990"/>
          <cell r="S21990">
            <v>81.96</v>
          </cell>
          <cell r="X21990" t="str">
            <v>Commissions - share RI</v>
          </cell>
        </row>
        <row r="21991">
          <cell r="L21991"/>
          <cell r="S21991">
            <v>-8.4600000000000009</v>
          </cell>
          <cell r="X21991" t="str">
            <v>Commissions - share RI</v>
          </cell>
        </row>
        <row r="21992">
          <cell r="L21992"/>
          <cell r="S21992">
            <v>-811.09</v>
          </cell>
          <cell r="X21992" t="str">
            <v>Commissions - share RI</v>
          </cell>
        </row>
        <row r="21993">
          <cell r="L21993"/>
          <cell r="S21993">
            <v>258.54000000000002</v>
          </cell>
          <cell r="X21993" t="str">
            <v>Commissions - share RI</v>
          </cell>
        </row>
        <row r="21994">
          <cell r="L21994"/>
          <cell r="S21994">
            <v>860.82</v>
          </cell>
          <cell r="X21994" t="str">
            <v>Commissions - share RI</v>
          </cell>
        </row>
        <row r="21995">
          <cell r="L21995"/>
          <cell r="S21995">
            <v>28.6</v>
          </cell>
          <cell r="X21995" t="str">
            <v>Commissions - share RI</v>
          </cell>
        </row>
        <row r="21996">
          <cell r="L21996"/>
          <cell r="S21996">
            <v>3310.85</v>
          </cell>
          <cell r="X21996" t="str">
            <v>Commissions - share RI</v>
          </cell>
        </row>
        <row r="21997">
          <cell r="L21997"/>
          <cell r="S21997">
            <v>1602.28</v>
          </cell>
          <cell r="X21997" t="str">
            <v>Commissions - share RI</v>
          </cell>
        </row>
        <row r="21998">
          <cell r="L21998"/>
          <cell r="S21998">
            <v>-2925.22</v>
          </cell>
          <cell r="X21998" t="str">
            <v>Commissions - share RI</v>
          </cell>
        </row>
        <row r="21999">
          <cell r="L21999"/>
          <cell r="S21999">
            <v>-1602.28</v>
          </cell>
          <cell r="X21999" t="str">
            <v>Commissions - share RI</v>
          </cell>
        </row>
        <row r="22000">
          <cell r="L22000"/>
          <cell r="S22000">
            <v>-15.87</v>
          </cell>
          <cell r="X22000" t="str">
            <v>Commissions - share RI</v>
          </cell>
        </row>
        <row r="22001">
          <cell r="L22001"/>
          <cell r="S22001">
            <v>-81.96</v>
          </cell>
          <cell r="X22001" t="str">
            <v>Commissions - share RI</v>
          </cell>
        </row>
        <row r="22002">
          <cell r="L22002"/>
          <cell r="S22002">
            <v>8.4600000000000009</v>
          </cell>
          <cell r="X22002" t="str">
            <v>Commissions - share RI</v>
          </cell>
        </row>
        <row r="22003">
          <cell r="L22003"/>
          <cell r="S22003">
            <v>7.03</v>
          </cell>
          <cell r="X22003" t="str">
            <v>Commissions - share RI</v>
          </cell>
        </row>
        <row r="22004">
          <cell r="L22004"/>
          <cell r="S22004">
            <v>28.93</v>
          </cell>
          <cell r="X22004" t="str">
            <v>Commissions - share RI</v>
          </cell>
        </row>
        <row r="22005">
          <cell r="L22005"/>
          <cell r="S22005">
            <v>7.33</v>
          </cell>
          <cell r="X22005" t="str">
            <v>Commissions - share RI</v>
          </cell>
        </row>
        <row r="22006">
          <cell r="L22006"/>
          <cell r="S22006">
            <v>12.64</v>
          </cell>
          <cell r="X22006" t="str">
            <v>Commissions - share RI</v>
          </cell>
        </row>
        <row r="22007">
          <cell r="L22007"/>
          <cell r="S22007">
            <v>1.81</v>
          </cell>
          <cell r="X22007" t="str">
            <v>Commissions - share RI</v>
          </cell>
        </row>
        <row r="22008">
          <cell r="L22008"/>
          <cell r="S22008">
            <v>-3205.46</v>
          </cell>
          <cell r="X22008" t="str">
            <v>Commissions - share RI</v>
          </cell>
        </row>
        <row r="22009">
          <cell r="L22009"/>
          <cell r="S22009">
            <v>-2922.18</v>
          </cell>
          <cell r="X22009" t="str">
            <v>Commissions - share RI</v>
          </cell>
        </row>
        <row r="22010">
          <cell r="L22010"/>
          <cell r="S22010">
            <v>-2837.01</v>
          </cell>
          <cell r="X22010" t="str">
            <v>Commissions - share RI</v>
          </cell>
        </row>
        <row r="22011">
          <cell r="L22011"/>
          <cell r="S22011">
            <v>-3104.82</v>
          </cell>
          <cell r="X22011" t="str">
            <v>Commissions - share RI</v>
          </cell>
        </row>
        <row r="22012">
          <cell r="L22012"/>
          <cell r="S22012">
            <v>-2818.35</v>
          </cell>
          <cell r="X22012" t="str">
            <v>Commissions - share RI</v>
          </cell>
        </row>
        <row r="22013">
          <cell r="L22013"/>
          <cell r="S22013">
            <v>-1768.53</v>
          </cell>
          <cell r="X22013" t="str">
            <v>Commissions - share RI</v>
          </cell>
        </row>
        <row r="22014">
          <cell r="L22014"/>
          <cell r="S22014">
            <v>26.27</v>
          </cell>
          <cell r="X22014" t="str">
            <v>Commissions - share RI</v>
          </cell>
        </row>
        <row r="22015">
          <cell r="L22015"/>
          <cell r="S22015">
            <v>700.04</v>
          </cell>
          <cell r="X22015" t="str">
            <v>Commissions - share RI</v>
          </cell>
        </row>
        <row r="22016">
          <cell r="L22016"/>
          <cell r="S22016">
            <v>-28.93</v>
          </cell>
          <cell r="X22016" t="str">
            <v>Commissions - share RI</v>
          </cell>
        </row>
        <row r="22017">
          <cell r="L22017"/>
          <cell r="S22017">
            <v>25.76</v>
          </cell>
          <cell r="X22017" t="str">
            <v>Commissions - share RI</v>
          </cell>
        </row>
        <row r="22018">
          <cell r="L22018"/>
          <cell r="S22018">
            <v>-33.72</v>
          </cell>
          <cell r="X22018" t="str">
            <v>Commissions - share RI</v>
          </cell>
        </row>
        <row r="22019">
          <cell r="L22019"/>
          <cell r="S22019">
            <v>-46.85</v>
          </cell>
          <cell r="X22019" t="str">
            <v>Commissions - share RI</v>
          </cell>
        </row>
        <row r="22020">
          <cell r="L22020"/>
          <cell r="S22020">
            <v>-3200.53</v>
          </cell>
          <cell r="X22020" t="str">
            <v>Commissions - share RI</v>
          </cell>
        </row>
        <row r="22021">
          <cell r="L22021"/>
          <cell r="S22021">
            <v>3104.82</v>
          </cell>
          <cell r="X22021" t="str">
            <v>Commissions - share RI</v>
          </cell>
        </row>
        <row r="22022">
          <cell r="L22022"/>
          <cell r="S22022">
            <v>-23.87</v>
          </cell>
          <cell r="X22022" t="str">
            <v>Commissions - share RI</v>
          </cell>
        </row>
        <row r="22023">
          <cell r="L22023"/>
          <cell r="S22023">
            <v>-3.25</v>
          </cell>
          <cell r="X22023" t="str">
            <v>Commissions - share RI</v>
          </cell>
        </row>
        <row r="22024">
          <cell r="L22024"/>
          <cell r="S22024">
            <v>36.58</v>
          </cell>
          <cell r="X22024" t="str">
            <v>Commissions - share RI</v>
          </cell>
        </row>
        <row r="22025">
          <cell r="L22025"/>
          <cell r="S22025">
            <v>13.12</v>
          </cell>
          <cell r="X22025" t="str">
            <v>Commissions - share RI</v>
          </cell>
        </row>
        <row r="22026">
          <cell r="L22026"/>
          <cell r="S22026">
            <v>2818.35</v>
          </cell>
          <cell r="X22026" t="str">
            <v>Commissions - share RI</v>
          </cell>
        </row>
        <row r="22027">
          <cell r="L22027"/>
          <cell r="S22027">
            <v>33.72</v>
          </cell>
          <cell r="X22027" t="str">
            <v>Commissions - share RI</v>
          </cell>
        </row>
        <row r="22028">
          <cell r="L22028"/>
          <cell r="S22028">
            <v>3200.53</v>
          </cell>
          <cell r="X22028" t="str">
            <v>Commissions - share RI</v>
          </cell>
        </row>
        <row r="22029">
          <cell r="L22029"/>
          <cell r="S22029">
            <v>-12.64</v>
          </cell>
          <cell r="X22029" t="str">
            <v>Commissions - share RI</v>
          </cell>
        </row>
        <row r="22030">
          <cell r="L22030"/>
          <cell r="S22030">
            <v>-1952.75</v>
          </cell>
          <cell r="X22030" t="str">
            <v>Commissions - share RI</v>
          </cell>
        </row>
        <row r="22031">
          <cell r="L22031"/>
          <cell r="S22031">
            <v>23.87</v>
          </cell>
          <cell r="X22031" t="str">
            <v>Commissions - share RI</v>
          </cell>
        </row>
        <row r="22032">
          <cell r="L22032"/>
          <cell r="S22032">
            <v>2922.18</v>
          </cell>
          <cell r="X22032" t="str">
            <v>Commissions - share RI</v>
          </cell>
        </row>
        <row r="22033">
          <cell r="L22033"/>
          <cell r="S22033">
            <v>16.149999999999999</v>
          </cell>
          <cell r="X22033" t="str">
            <v>Commissions - share RI</v>
          </cell>
        </row>
        <row r="22034">
          <cell r="L22034"/>
          <cell r="S22034">
            <v>-25.76</v>
          </cell>
          <cell r="X22034" t="str">
            <v>Commissions - share RI</v>
          </cell>
        </row>
        <row r="22035">
          <cell r="L22035"/>
          <cell r="S22035">
            <v>-773.73</v>
          </cell>
          <cell r="X22035" t="str">
            <v>Commissions - share RI</v>
          </cell>
        </row>
        <row r="22036">
          <cell r="L22036"/>
          <cell r="S22036">
            <v>3.25</v>
          </cell>
          <cell r="X22036" t="str">
            <v>Commissions - share RI</v>
          </cell>
        </row>
        <row r="22037">
          <cell r="L22037"/>
          <cell r="S22037">
            <v>2837.01</v>
          </cell>
          <cell r="X22037" t="str">
            <v>Commissions - share RI</v>
          </cell>
        </row>
        <row r="22038">
          <cell r="L22038"/>
          <cell r="S22038">
            <v>7.46</v>
          </cell>
          <cell r="X22038" t="str">
            <v>Commissions - share RI</v>
          </cell>
        </row>
        <row r="22039">
          <cell r="L22039"/>
          <cell r="S22039">
            <v>1000.16</v>
          </cell>
          <cell r="X22039" t="str">
            <v>Commissions - share RI</v>
          </cell>
        </row>
        <row r="22040">
          <cell r="L22040"/>
          <cell r="S22040">
            <v>5.7</v>
          </cell>
          <cell r="X22040" t="str">
            <v>Commissions - share RI</v>
          </cell>
        </row>
        <row r="22041">
          <cell r="L22041"/>
          <cell r="S22041">
            <v>773.73</v>
          </cell>
          <cell r="X22041" t="str">
            <v>Commissions - share RI</v>
          </cell>
        </row>
        <row r="22042">
          <cell r="L22042"/>
          <cell r="S22042">
            <v>3200.53</v>
          </cell>
          <cell r="X22042" t="str">
            <v>Commissions - share RI</v>
          </cell>
        </row>
        <row r="22043">
          <cell r="L22043"/>
          <cell r="S22043">
            <v>1.81</v>
          </cell>
          <cell r="X22043" t="str">
            <v>Commissions - share RI</v>
          </cell>
        </row>
        <row r="22044">
          <cell r="L22044"/>
          <cell r="S22044">
            <v>3200.53</v>
          </cell>
          <cell r="X22044" t="str">
            <v>Commissions - share RI</v>
          </cell>
        </row>
        <row r="22045">
          <cell r="L22045"/>
          <cell r="S22045">
            <v>-884.27</v>
          </cell>
          <cell r="X22045" t="str">
            <v>Commissions - share RI</v>
          </cell>
        </row>
        <row r="22046">
          <cell r="L22046"/>
          <cell r="S22046">
            <v>1768.53</v>
          </cell>
          <cell r="X22046" t="str">
            <v>Commissions - share RI</v>
          </cell>
        </row>
        <row r="22047">
          <cell r="L22047"/>
          <cell r="S22047">
            <v>-3400.56</v>
          </cell>
          <cell r="X22047" t="str">
            <v>Commissions - share RI</v>
          </cell>
        </row>
        <row r="22048">
          <cell r="L22048"/>
          <cell r="S22048">
            <v>46.85</v>
          </cell>
          <cell r="X22048" t="str">
            <v>Commissions - share RI</v>
          </cell>
        </row>
        <row r="22049">
          <cell r="L22049"/>
          <cell r="S22049">
            <v>-36.58</v>
          </cell>
          <cell r="X22049" t="str">
            <v>Commissions - share RI</v>
          </cell>
        </row>
        <row r="22050">
          <cell r="L22050"/>
          <cell r="S22050">
            <v>-1.81</v>
          </cell>
          <cell r="X22050" t="str">
            <v>Commissions - share RI</v>
          </cell>
        </row>
        <row r="22051">
          <cell r="L22051"/>
          <cell r="S22051">
            <v>8.1</v>
          </cell>
          <cell r="X22051" t="str">
            <v>Commissions - share RI</v>
          </cell>
        </row>
        <row r="22052">
          <cell r="L22052"/>
          <cell r="S22052">
            <v>-700.04</v>
          </cell>
          <cell r="X22052" t="str">
            <v>Commissions - share RI</v>
          </cell>
        </row>
        <row r="22053">
          <cell r="L22053"/>
          <cell r="S22053">
            <v>-773.73</v>
          </cell>
          <cell r="X22053" t="str">
            <v>Commissions - share RI</v>
          </cell>
        </row>
        <row r="22054">
          <cell r="L22054"/>
          <cell r="S22054">
            <v>-13.12</v>
          </cell>
          <cell r="X22054" t="str">
            <v>Commissions - share RI</v>
          </cell>
        </row>
        <row r="22055">
          <cell r="L22055"/>
          <cell r="S22055">
            <v>13.33</v>
          </cell>
          <cell r="X22055" t="str">
            <v>Commissions - share RI</v>
          </cell>
        </row>
        <row r="22056">
          <cell r="L22056"/>
          <cell r="S22056">
            <v>-600.1</v>
          </cell>
          <cell r="X22056" t="str">
            <v>Commissions - share RI</v>
          </cell>
        </row>
        <row r="22057">
          <cell r="L22057"/>
          <cell r="S22057">
            <v>-3400.57</v>
          </cell>
          <cell r="X22057" t="str">
            <v>Commissions - share RI</v>
          </cell>
        </row>
        <row r="22058">
          <cell r="L22058"/>
          <cell r="S22058">
            <v>60547.96</v>
          </cell>
          <cell r="X22058" t="str">
            <v>Commissions - share RI</v>
          </cell>
        </row>
        <row r="22059">
          <cell r="L22059"/>
          <cell r="S22059">
            <v>420293.08</v>
          </cell>
          <cell r="X22059" t="str">
            <v>Commissions - share RI</v>
          </cell>
        </row>
        <row r="22060">
          <cell r="L22060"/>
          <cell r="S22060">
            <v>79376</v>
          </cell>
          <cell r="X22060" t="str">
            <v>Commissions - share RI</v>
          </cell>
        </row>
        <row r="22061">
          <cell r="L22061"/>
          <cell r="S22061">
            <v>1232859.75</v>
          </cell>
          <cell r="X22061" t="str">
            <v>Commissions - share RI</v>
          </cell>
        </row>
        <row r="22062">
          <cell r="L22062"/>
          <cell r="S22062">
            <v>-604.49</v>
          </cell>
          <cell r="X22062" t="str">
            <v>Commissions - share RI</v>
          </cell>
        </row>
        <row r="22063">
          <cell r="L22063"/>
          <cell r="S22063">
            <v>6270.49</v>
          </cell>
          <cell r="X22063" t="str">
            <v>Commissions - share RI</v>
          </cell>
        </row>
        <row r="22064">
          <cell r="L22064"/>
          <cell r="S22064">
            <v>1597113.77</v>
          </cell>
          <cell r="X22064" t="str">
            <v>Commissions - share RI</v>
          </cell>
        </row>
        <row r="22065">
          <cell r="L22065"/>
          <cell r="S22065">
            <v>-1435.66</v>
          </cell>
          <cell r="X22065" t="str">
            <v>Commissions - share RI</v>
          </cell>
        </row>
        <row r="22066">
          <cell r="L22066"/>
          <cell r="S22066">
            <v>18393.419999999998</v>
          </cell>
          <cell r="X22066" t="str">
            <v>Commissions - share RI</v>
          </cell>
        </row>
        <row r="22067">
          <cell r="L22067"/>
          <cell r="S22067">
            <v>138880.47</v>
          </cell>
          <cell r="X22067" t="str">
            <v>Commissions - share RI</v>
          </cell>
        </row>
        <row r="22068">
          <cell r="L22068"/>
          <cell r="S22068">
            <v>497310.41</v>
          </cell>
          <cell r="X22068" t="str">
            <v>Commissions - share RI</v>
          </cell>
        </row>
        <row r="22069">
          <cell r="L22069"/>
          <cell r="S22069">
            <v>-7104.48</v>
          </cell>
          <cell r="X22069" t="str">
            <v>Commissions - share RI</v>
          </cell>
        </row>
        <row r="22070">
          <cell r="L22070"/>
          <cell r="S22070">
            <v>-2777.62</v>
          </cell>
          <cell r="X22070" t="str">
            <v>Commissions - share RI</v>
          </cell>
        </row>
        <row r="22071">
          <cell r="L22071"/>
          <cell r="S22071">
            <v>23827.85</v>
          </cell>
          <cell r="X22071" t="str">
            <v>Commissions - share RI</v>
          </cell>
        </row>
        <row r="22072">
          <cell r="L22072"/>
          <cell r="S22072">
            <v>142805.67000000001</v>
          </cell>
          <cell r="X22072" t="str">
            <v>Commissions - share RI</v>
          </cell>
        </row>
        <row r="22073">
          <cell r="L22073"/>
          <cell r="S22073">
            <v>87138.33</v>
          </cell>
          <cell r="X22073" t="str">
            <v>Commissions - share RI</v>
          </cell>
        </row>
        <row r="22074">
          <cell r="L22074"/>
          <cell r="S22074">
            <v>-7216</v>
          </cell>
          <cell r="X22074" t="str">
            <v>Commissions - share RI</v>
          </cell>
        </row>
        <row r="22075">
          <cell r="L22075"/>
          <cell r="S22075">
            <v>-147317.60999999999</v>
          </cell>
          <cell r="X22075" t="str">
            <v>Commissions - share RI</v>
          </cell>
        </row>
        <row r="22076">
          <cell r="L22076"/>
          <cell r="S22076">
            <v>-1696.6</v>
          </cell>
          <cell r="X22076" t="str">
            <v>Commissions - share RI</v>
          </cell>
        </row>
        <row r="22077">
          <cell r="L22077"/>
          <cell r="S22077">
            <v>439010.67</v>
          </cell>
          <cell r="X22077" t="str">
            <v>Commissions - share RI</v>
          </cell>
        </row>
        <row r="22078">
          <cell r="L22078"/>
          <cell r="S22078">
            <v>435698.65</v>
          </cell>
          <cell r="X22078" t="str">
            <v>Commissions - share RI</v>
          </cell>
        </row>
        <row r="22079">
          <cell r="L22079"/>
          <cell r="S22079">
            <v>-694.4</v>
          </cell>
          <cell r="X22079" t="str">
            <v>Commissions - share RI</v>
          </cell>
        </row>
        <row r="22080">
          <cell r="L22080"/>
          <cell r="S22080">
            <v>6165.86</v>
          </cell>
          <cell r="X22080" t="str">
            <v>Commissions - share RI</v>
          </cell>
        </row>
        <row r="22081">
          <cell r="L22081"/>
          <cell r="S22081">
            <v>-3267.13</v>
          </cell>
          <cell r="X22081" t="str">
            <v>Commissions - share RI</v>
          </cell>
        </row>
        <row r="22082">
          <cell r="L22082"/>
          <cell r="S22082">
            <v>-12625.5</v>
          </cell>
          <cell r="X22082" t="str">
            <v>Commissions - share RI</v>
          </cell>
        </row>
        <row r="22083">
          <cell r="L22083"/>
          <cell r="S22083">
            <v>1337659.8500000001</v>
          </cell>
          <cell r="X22083" t="str">
            <v>Commissions - share RI</v>
          </cell>
        </row>
        <row r="22084">
          <cell r="L22084"/>
          <cell r="S22084">
            <v>1840864.56</v>
          </cell>
          <cell r="X22084" t="str">
            <v>Commissions - share RI</v>
          </cell>
        </row>
        <row r="22085">
          <cell r="L22085"/>
          <cell r="S22085">
            <v>-38767.78</v>
          </cell>
          <cell r="X22085" t="str">
            <v>Commissions - share RI</v>
          </cell>
        </row>
        <row r="22086">
          <cell r="L22086"/>
          <cell r="S22086">
            <v>53463.28</v>
          </cell>
          <cell r="X22086" t="str">
            <v>Commissions - share RI</v>
          </cell>
        </row>
        <row r="22087">
          <cell r="L22087"/>
          <cell r="S22087">
            <v>859949.66</v>
          </cell>
          <cell r="X22087" t="str">
            <v>Commissions - share RI</v>
          </cell>
        </row>
        <row r="22088">
          <cell r="L22088"/>
          <cell r="S22088">
            <v>-113718.85</v>
          </cell>
          <cell r="X22088" t="str">
            <v>Commissions - share RI</v>
          </cell>
        </row>
        <row r="22089">
          <cell r="L22089"/>
          <cell r="S22089">
            <v>423588.86</v>
          </cell>
          <cell r="X22089" t="str">
            <v>Commissions - share RI</v>
          </cell>
        </row>
        <row r="22090">
          <cell r="L22090"/>
          <cell r="S22090">
            <v>-12982.34</v>
          </cell>
          <cell r="X22090" t="str">
            <v>Commissions - share RI</v>
          </cell>
        </row>
        <row r="22091">
          <cell r="L22091"/>
          <cell r="S22091">
            <v>272315.19</v>
          </cell>
          <cell r="X22091" t="str">
            <v>Commissions - share RI</v>
          </cell>
        </row>
        <row r="22092">
          <cell r="L22092"/>
          <cell r="S22092">
            <v>-578.39</v>
          </cell>
          <cell r="X22092" t="str">
            <v>Commissions - share RI</v>
          </cell>
        </row>
        <row r="22093">
          <cell r="L22093"/>
          <cell r="S22093">
            <v>-2197.89</v>
          </cell>
          <cell r="X22093" t="str">
            <v>Commissions - share RI</v>
          </cell>
        </row>
        <row r="22094">
          <cell r="L22094"/>
          <cell r="S22094">
            <v>582935.75</v>
          </cell>
          <cell r="X22094" t="str">
            <v>Commissions - share RI</v>
          </cell>
        </row>
        <row r="22095">
          <cell r="L22095"/>
          <cell r="S22095">
            <v>-45210.04</v>
          </cell>
          <cell r="X22095" t="str">
            <v>Commissions - share RI</v>
          </cell>
        </row>
        <row r="22096">
          <cell r="L22096"/>
          <cell r="S22096">
            <v>1375901.62</v>
          </cell>
          <cell r="X22096" t="str">
            <v>Commissions - share RI</v>
          </cell>
        </row>
        <row r="22097">
          <cell r="L22097"/>
          <cell r="S22097">
            <v>-3146.98</v>
          </cell>
          <cell r="X22097" t="str">
            <v>Commissions - share RI</v>
          </cell>
        </row>
        <row r="22098">
          <cell r="L22098"/>
          <cell r="S22098">
            <v>-12982.33</v>
          </cell>
          <cell r="X22098" t="str">
            <v>Commissions - share RI</v>
          </cell>
        </row>
        <row r="22099">
          <cell r="L22099"/>
          <cell r="S22099">
            <v>-8713.83</v>
          </cell>
          <cell r="X22099" t="str">
            <v>Commissions - share RI</v>
          </cell>
        </row>
        <row r="22100">
          <cell r="L22100"/>
          <cell r="S22100">
            <v>-5346.33</v>
          </cell>
          <cell r="X22100" t="str">
            <v>Commissions - share RI</v>
          </cell>
        </row>
        <row r="22101">
          <cell r="L22101"/>
          <cell r="S22101">
            <v>142757.44</v>
          </cell>
          <cell r="X22101" t="str">
            <v>Commissions - share RI</v>
          </cell>
        </row>
        <row r="22102">
          <cell r="L22102"/>
          <cell r="S22102">
            <v>-43901.06</v>
          </cell>
          <cell r="X22102" t="str">
            <v>Commissions - share RI</v>
          </cell>
        </row>
        <row r="22103">
          <cell r="L22103"/>
          <cell r="S22103">
            <v>-41828.769999999997</v>
          </cell>
          <cell r="X22103" t="str">
            <v>Commissions - share RI</v>
          </cell>
        </row>
        <row r="22104">
          <cell r="L22104"/>
          <cell r="S22104">
            <v>-7216</v>
          </cell>
          <cell r="X22104" t="str">
            <v>Commissions - share RI</v>
          </cell>
        </row>
        <row r="22105">
          <cell r="L22105"/>
          <cell r="S22105">
            <v>-694.4</v>
          </cell>
          <cell r="X22105" t="str">
            <v>Commissions - share RI</v>
          </cell>
        </row>
        <row r="22106">
          <cell r="L22106"/>
          <cell r="S22106">
            <v>-471353.67</v>
          </cell>
          <cell r="X22106" t="str">
            <v>Commissions - share RI</v>
          </cell>
        </row>
        <row r="22107">
          <cell r="L22107"/>
          <cell r="S22107">
            <v>-471353.66</v>
          </cell>
          <cell r="X22107" t="str">
            <v>Commissions - share RI</v>
          </cell>
        </row>
        <row r="22108">
          <cell r="L22108"/>
          <cell r="S22108">
            <v>-45210.03</v>
          </cell>
          <cell r="X22108" t="str">
            <v>Commissions - share RI</v>
          </cell>
        </row>
        <row r="22109">
          <cell r="L22109"/>
          <cell r="S22109">
            <v>-57564.03</v>
          </cell>
          <cell r="X22109" t="str">
            <v>Commissions - share RI</v>
          </cell>
        </row>
        <row r="22110">
          <cell r="L22110"/>
          <cell r="S22110">
            <v>-145473.92000000001</v>
          </cell>
          <cell r="X22110" t="str">
            <v>Commissions - share RI</v>
          </cell>
        </row>
        <row r="22111">
          <cell r="L22111"/>
          <cell r="S22111">
            <v>-26890.71</v>
          </cell>
          <cell r="X22111" t="str">
            <v>Commissions - share RI</v>
          </cell>
        </row>
        <row r="22112">
          <cell r="L22112"/>
          <cell r="S22112">
            <v>48275.51</v>
          </cell>
          <cell r="X22112" t="str">
            <v>Commissions - share RI</v>
          </cell>
        </row>
        <row r="22113">
          <cell r="L22113"/>
          <cell r="S22113">
            <v>-112295.67</v>
          </cell>
          <cell r="X22113" t="str">
            <v>Commissions - share RI</v>
          </cell>
        </row>
        <row r="22114">
          <cell r="L22114"/>
          <cell r="S22114">
            <v>-2170.37</v>
          </cell>
          <cell r="X22114" t="str">
            <v>Commissions - share RI</v>
          </cell>
        </row>
        <row r="22115">
          <cell r="L22115"/>
          <cell r="S22115">
            <v>942707.34</v>
          </cell>
          <cell r="X22115" t="str">
            <v>Commissions - share RI</v>
          </cell>
        </row>
        <row r="22116">
          <cell r="L22116"/>
          <cell r="S22116">
            <v>-12625.5</v>
          </cell>
          <cell r="X22116" t="str">
            <v>Commissions - share RI</v>
          </cell>
        </row>
        <row r="22117">
          <cell r="L22117"/>
          <cell r="S22117">
            <v>-85994.96</v>
          </cell>
          <cell r="X22117" t="str">
            <v>Commissions - share RI</v>
          </cell>
        </row>
        <row r="22118">
          <cell r="L22118"/>
          <cell r="S22118">
            <v>-1675.38</v>
          </cell>
          <cell r="X22118" t="str">
            <v>Commissions - share RI</v>
          </cell>
        </row>
        <row r="22119">
          <cell r="L22119"/>
          <cell r="S22119">
            <v>-137590.16</v>
          </cell>
          <cell r="X22119" t="str">
            <v>Commissions - share RI</v>
          </cell>
        </row>
        <row r="22120">
          <cell r="L22120"/>
          <cell r="S22120">
            <v>-571.14</v>
          </cell>
          <cell r="X22120" t="str">
            <v>Commissions - share RI</v>
          </cell>
        </row>
        <row r="22121">
          <cell r="L22121"/>
          <cell r="S22121">
            <v>-38282.6</v>
          </cell>
          <cell r="X22121" t="str">
            <v>Commissions - share RI</v>
          </cell>
        </row>
        <row r="22122">
          <cell r="L22122"/>
          <cell r="S22122">
            <v>-133765.99</v>
          </cell>
          <cell r="X22122" t="str">
            <v>Commissions - share RI</v>
          </cell>
        </row>
        <row r="22123">
          <cell r="L22123"/>
          <cell r="S22123">
            <v>-43024.59</v>
          </cell>
          <cell r="X22123" t="str">
            <v>Commissions - share RI</v>
          </cell>
        </row>
        <row r="22124">
          <cell r="L22124"/>
          <cell r="S22124">
            <v>-4079.33</v>
          </cell>
          <cell r="X22124" t="str">
            <v>Commissions - share RI</v>
          </cell>
        </row>
        <row r="22125">
          <cell r="L22125"/>
          <cell r="S22125">
            <v>-184086.46</v>
          </cell>
          <cell r="X22125" t="str">
            <v>Commissions - share RI</v>
          </cell>
        </row>
        <row r="22126">
          <cell r="L22126"/>
          <cell r="S22126">
            <v>-110449.66</v>
          </cell>
          <cell r="X22126" t="str">
            <v>Commissions - share RI</v>
          </cell>
        </row>
        <row r="22127">
          <cell r="L22127"/>
          <cell r="S22127">
            <v>-405252.75</v>
          </cell>
          <cell r="X22127" t="str">
            <v>Commissions - share RI</v>
          </cell>
        </row>
        <row r="22128">
          <cell r="L22128"/>
          <cell r="S22128">
            <v>874.91</v>
          </cell>
          <cell r="X22128" t="str">
            <v>Commissions - share RI</v>
          </cell>
        </row>
        <row r="22129">
          <cell r="L22129"/>
          <cell r="S22129">
            <v>-561.77</v>
          </cell>
          <cell r="X22129" t="str">
            <v>Commissions - share RI</v>
          </cell>
        </row>
        <row r="22130">
          <cell r="L22130"/>
          <cell r="S22130">
            <v>-42317.31</v>
          </cell>
          <cell r="X22130" t="str">
            <v>Commissions - share RI</v>
          </cell>
        </row>
        <row r="22131">
          <cell r="L22131"/>
          <cell r="S22131">
            <v>-2134.69</v>
          </cell>
          <cell r="X22131" t="str">
            <v>Commissions - share RI</v>
          </cell>
        </row>
        <row r="22132">
          <cell r="L22132"/>
          <cell r="S22132">
            <v>-85994.98</v>
          </cell>
          <cell r="X22132" t="str">
            <v>Commissions - share RI</v>
          </cell>
        </row>
        <row r="22133">
          <cell r="L22133"/>
          <cell r="S22133">
            <v>-12982.33</v>
          </cell>
          <cell r="X22133" t="str">
            <v>Commissions - share RI</v>
          </cell>
        </row>
        <row r="22134">
          <cell r="L22134"/>
          <cell r="S22134">
            <v>-133765.98000000001</v>
          </cell>
          <cell r="X22134" t="str">
            <v>Commissions - share RI</v>
          </cell>
        </row>
        <row r="22135">
          <cell r="L22135"/>
          <cell r="S22135">
            <v>-694.4</v>
          </cell>
          <cell r="X22135" t="str">
            <v>Commissions - share RI</v>
          </cell>
        </row>
        <row r="22136">
          <cell r="L22136"/>
          <cell r="S22136">
            <v>-43901.07</v>
          </cell>
          <cell r="X22136" t="str">
            <v>Commissions - share RI</v>
          </cell>
        </row>
        <row r="22137">
          <cell r="L22137"/>
          <cell r="S22137">
            <v>3797.06</v>
          </cell>
          <cell r="X22137" t="str">
            <v>Commissions - share RI</v>
          </cell>
        </row>
        <row r="22138">
          <cell r="L22138"/>
          <cell r="S22138">
            <v>-45210.04</v>
          </cell>
          <cell r="X22138" t="str">
            <v>Commissions - share RI</v>
          </cell>
        </row>
        <row r="22139">
          <cell r="L22139"/>
          <cell r="S22139">
            <v>-999323.33</v>
          </cell>
          <cell r="X22139" t="str">
            <v>Commissions - share RI</v>
          </cell>
        </row>
        <row r="22140">
          <cell r="L22140"/>
          <cell r="S22140">
            <v>-137590.16</v>
          </cell>
          <cell r="X22140" t="str">
            <v>Commissions - share RI</v>
          </cell>
        </row>
        <row r="22141">
          <cell r="L22141"/>
          <cell r="S22141">
            <v>-37653.300000000003</v>
          </cell>
          <cell r="X22141" t="str">
            <v>Commissions - share RI</v>
          </cell>
        </row>
        <row r="22142">
          <cell r="L22142"/>
          <cell r="S22142">
            <v>-0.01</v>
          </cell>
          <cell r="X22142" t="str">
            <v>Commissions - share RI</v>
          </cell>
        </row>
        <row r="22143">
          <cell r="L22143"/>
          <cell r="S22143">
            <v>-12625.5</v>
          </cell>
          <cell r="X22143" t="str">
            <v>Commissions - share RI</v>
          </cell>
        </row>
        <row r="22144">
          <cell r="L22144"/>
          <cell r="S22144">
            <v>-56617.760000000002</v>
          </cell>
          <cell r="X22144" t="str">
            <v>Commissions - share RI</v>
          </cell>
        </row>
        <row r="22145">
          <cell r="L22145"/>
          <cell r="S22145">
            <v>-8713.83</v>
          </cell>
          <cell r="X22145" t="str">
            <v>Commissions - share RI</v>
          </cell>
        </row>
        <row r="22146">
          <cell r="L22146"/>
          <cell r="S22146">
            <v>-26448.68</v>
          </cell>
          <cell r="X22146" t="str">
            <v>Commissions - share RI</v>
          </cell>
        </row>
        <row r="22147">
          <cell r="L22147"/>
          <cell r="S22147">
            <v>-5275.77</v>
          </cell>
          <cell r="X22147" t="str">
            <v>Commissions - share RI</v>
          </cell>
        </row>
        <row r="22148">
          <cell r="L22148"/>
          <cell r="S22148">
            <v>5625.72</v>
          </cell>
          <cell r="X22148" t="str">
            <v>Commissions - share RI</v>
          </cell>
        </row>
        <row r="22149">
          <cell r="L22149"/>
          <cell r="S22149">
            <v>-961076</v>
          </cell>
          <cell r="X22149" t="str">
            <v>Commissions - share RI</v>
          </cell>
        </row>
        <row r="22150">
          <cell r="L22150"/>
          <cell r="S22150">
            <v>-143082.53</v>
          </cell>
          <cell r="X22150" t="str">
            <v>Commissions - share RI</v>
          </cell>
        </row>
        <row r="22151">
          <cell r="L22151"/>
          <cell r="S22151">
            <v>1936.28</v>
          </cell>
          <cell r="X22151" t="str">
            <v>Commissions - share RI</v>
          </cell>
        </row>
        <row r="22152">
          <cell r="L22152"/>
          <cell r="S22152">
            <v>2773.37</v>
          </cell>
          <cell r="X22152" t="str">
            <v>Commissions - share RI</v>
          </cell>
        </row>
        <row r="22153">
          <cell r="L22153"/>
          <cell r="S22153">
            <v>-2773.37</v>
          </cell>
          <cell r="X22153" t="str">
            <v>Commissions - share RI</v>
          </cell>
        </row>
        <row r="22154">
          <cell r="L22154"/>
          <cell r="S22154">
            <v>-1647.83</v>
          </cell>
          <cell r="X22154" t="str">
            <v>Commissions - share RI</v>
          </cell>
        </row>
        <row r="22155">
          <cell r="L22155"/>
          <cell r="S22155">
            <v>-7216</v>
          </cell>
          <cell r="X22155" t="str">
            <v>Commissions - share RI</v>
          </cell>
        </row>
        <row r="22156">
          <cell r="L22156"/>
          <cell r="S22156">
            <v>-184086.45</v>
          </cell>
          <cell r="X22156" t="str">
            <v>Commissions - share RI</v>
          </cell>
        </row>
        <row r="22157">
          <cell r="L22157"/>
          <cell r="S22157">
            <v>-15861.94</v>
          </cell>
          <cell r="X22157" t="str">
            <v>Commissions - share RI</v>
          </cell>
        </row>
        <row r="22158">
          <cell r="L22158"/>
          <cell r="S22158">
            <v>-5346.33</v>
          </cell>
          <cell r="X22158" t="str">
            <v>Commissions - share RI</v>
          </cell>
        </row>
        <row r="22159">
          <cell r="L22159"/>
          <cell r="S22159">
            <v>-6840.75</v>
          </cell>
          <cell r="X22159" t="str">
            <v>Commissions - share RI</v>
          </cell>
        </row>
        <row r="22160">
          <cell r="L22160"/>
          <cell r="S22160">
            <v>-41141.160000000003</v>
          </cell>
          <cell r="X22160" t="str">
            <v>Commissions - share RI</v>
          </cell>
        </row>
        <row r="22161">
          <cell r="L22161"/>
          <cell r="S22161">
            <v>-133765.99</v>
          </cell>
          <cell r="X22161" t="str">
            <v>Commissions - share RI</v>
          </cell>
        </row>
        <row r="22162">
          <cell r="L22162"/>
          <cell r="S22162">
            <v>51014.55</v>
          </cell>
          <cell r="X22162" t="str">
            <v>Commissions - share RI</v>
          </cell>
        </row>
        <row r="22163">
          <cell r="L22163"/>
          <cell r="S22163">
            <v>-2149.7800000000002</v>
          </cell>
          <cell r="X22163" t="str">
            <v>Commissions - share RI</v>
          </cell>
        </row>
        <row r="22164">
          <cell r="L22164"/>
          <cell r="S22164">
            <v>3459.03</v>
          </cell>
          <cell r="X22164" t="str">
            <v>Commissions - share RI</v>
          </cell>
        </row>
        <row r="22165">
          <cell r="L22165"/>
          <cell r="S22165">
            <v>-184086.46</v>
          </cell>
          <cell r="X22165" t="str">
            <v>Commissions - share RI</v>
          </cell>
        </row>
        <row r="22166">
          <cell r="L22166"/>
          <cell r="S22166">
            <v>-1569.31</v>
          </cell>
          <cell r="X22166" t="str">
            <v>Commissions - share RI</v>
          </cell>
        </row>
        <row r="22167">
          <cell r="L22167"/>
          <cell r="S22167">
            <v>-144093.59</v>
          </cell>
          <cell r="X22167" t="str">
            <v>Commissions - share RI</v>
          </cell>
        </row>
        <row r="22168">
          <cell r="L22168"/>
          <cell r="S22168">
            <v>-85994.96</v>
          </cell>
          <cell r="X22168" t="str">
            <v>Commissions - share RI</v>
          </cell>
        </row>
        <row r="22169">
          <cell r="L22169"/>
          <cell r="S22169">
            <v>-15861.94</v>
          </cell>
          <cell r="X22169" t="str">
            <v>Commissions - share RI</v>
          </cell>
        </row>
        <row r="22170">
          <cell r="L22170"/>
          <cell r="S22170">
            <v>-42616.36</v>
          </cell>
          <cell r="X22170" t="str">
            <v>Commissions - share RI</v>
          </cell>
        </row>
        <row r="22171">
          <cell r="L22171"/>
          <cell r="S22171">
            <v>-5313.04</v>
          </cell>
          <cell r="X22171" t="str">
            <v>Commissions - share RI</v>
          </cell>
        </row>
        <row r="22172">
          <cell r="L22172"/>
          <cell r="S22172">
            <v>-12625.5</v>
          </cell>
          <cell r="X22172" t="str">
            <v>Commissions - share RI</v>
          </cell>
        </row>
        <row r="22173">
          <cell r="L22173"/>
          <cell r="S22173">
            <v>-41431.879999999997</v>
          </cell>
          <cell r="X22173" t="str">
            <v>Commissions - share RI</v>
          </cell>
        </row>
        <row r="22174">
          <cell r="L22174"/>
          <cell r="S22174">
            <v>124915.41</v>
          </cell>
          <cell r="X22174" t="str">
            <v>Commissions - share RI</v>
          </cell>
        </row>
        <row r="22175">
          <cell r="L22175"/>
          <cell r="S22175">
            <v>-8713.84</v>
          </cell>
          <cell r="X22175" t="str">
            <v>Commissions - share RI</v>
          </cell>
        </row>
        <row r="22176">
          <cell r="L22176"/>
          <cell r="S22176">
            <v>120134.5</v>
          </cell>
          <cell r="X22176" t="str">
            <v>Commissions - share RI</v>
          </cell>
        </row>
        <row r="22177">
          <cell r="L22177"/>
          <cell r="S22177">
            <v>-137590.16</v>
          </cell>
          <cell r="X22177" t="str">
            <v>Commissions - share RI</v>
          </cell>
        </row>
        <row r="22178">
          <cell r="L22178"/>
          <cell r="S22178">
            <v>-43901.07</v>
          </cell>
          <cell r="X22178" t="str">
            <v>Commissions - share RI</v>
          </cell>
        </row>
        <row r="22179">
          <cell r="L22179"/>
          <cell r="S22179">
            <v>-57017.83</v>
          </cell>
          <cell r="X22179" t="str">
            <v>Commissions - share RI</v>
          </cell>
        </row>
        <row r="22180">
          <cell r="L22180"/>
          <cell r="S22180">
            <v>-1659.47</v>
          </cell>
          <cell r="X22180" t="str">
            <v>Commissions - share RI</v>
          </cell>
        </row>
        <row r="22181">
          <cell r="L22181"/>
          <cell r="S22181">
            <v>-37919.360000000001</v>
          </cell>
          <cell r="X22181" t="str">
            <v>Commissions - share RI</v>
          </cell>
        </row>
        <row r="22182">
          <cell r="L22182"/>
          <cell r="S22182">
            <v>-26635.55</v>
          </cell>
          <cell r="X22182" t="str">
            <v>Commissions - share RI</v>
          </cell>
        </row>
        <row r="22183">
          <cell r="L22183"/>
          <cell r="S22183">
            <v>-12982.34</v>
          </cell>
          <cell r="X22183" t="str">
            <v>Commissions - share RI</v>
          </cell>
        </row>
        <row r="22184">
          <cell r="L22184"/>
          <cell r="S22184">
            <v>-7216</v>
          </cell>
          <cell r="X22184" t="str">
            <v>Commissions - share RI</v>
          </cell>
        </row>
        <row r="22185">
          <cell r="L22185"/>
          <cell r="S22185">
            <v>-45210.04</v>
          </cell>
          <cell r="X22185" t="str">
            <v>Commissions - share RI</v>
          </cell>
        </row>
        <row r="22186">
          <cell r="L22186"/>
          <cell r="S22186">
            <v>-5346.33</v>
          </cell>
          <cell r="X22186" t="str">
            <v>Commissions - share RI</v>
          </cell>
        </row>
        <row r="22187">
          <cell r="L22187"/>
          <cell r="S22187">
            <v>-5182.21</v>
          </cell>
          <cell r="X22187" t="str">
            <v>Commissions - share RI</v>
          </cell>
        </row>
        <row r="22188">
          <cell r="L22188"/>
          <cell r="S22188">
            <v>-111230.14</v>
          </cell>
          <cell r="X22188" t="str">
            <v>Commissions - share RI</v>
          </cell>
        </row>
        <row r="22189">
          <cell r="L22189"/>
          <cell r="S22189">
            <v>861.14</v>
          </cell>
          <cell r="X22189" t="str">
            <v>Commissions - share RI</v>
          </cell>
        </row>
        <row r="22190">
          <cell r="L22190"/>
          <cell r="S22190">
            <v>18947.13</v>
          </cell>
          <cell r="X22190" t="str">
            <v>Commissions - share RI</v>
          </cell>
        </row>
        <row r="22191">
          <cell r="L22191"/>
          <cell r="S22191">
            <v>-565.74</v>
          </cell>
          <cell r="X22191" t="str">
            <v>Commissions - share RI</v>
          </cell>
        </row>
        <row r="22192">
          <cell r="L22192"/>
          <cell r="S22192">
            <v>-263.5</v>
          </cell>
          <cell r="X22192" t="str">
            <v>Commissions - share RI</v>
          </cell>
        </row>
        <row r="22193">
          <cell r="L22193"/>
          <cell r="S22193">
            <v>-42011.71</v>
          </cell>
          <cell r="X22193" t="str">
            <v>Commissions - share RI</v>
          </cell>
        </row>
        <row r="22194">
          <cell r="L22194"/>
          <cell r="S22194">
            <v>-37381.379999999997</v>
          </cell>
          <cell r="X22194" t="str">
            <v>Commissions - share RI</v>
          </cell>
        </row>
        <row r="22195">
          <cell r="L22195"/>
          <cell r="S22195">
            <v>-7216</v>
          </cell>
          <cell r="X22195" t="str">
            <v>Commissions - share RI</v>
          </cell>
        </row>
        <row r="22196">
          <cell r="L22196"/>
          <cell r="S22196">
            <v>-85994.97</v>
          </cell>
          <cell r="X22196" t="str">
            <v>Commissions - share RI</v>
          </cell>
        </row>
        <row r="22197">
          <cell r="L22197"/>
          <cell r="S22197">
            <v>-67113.570000000007</v>
          </cell>
          <cell r="X22197" t="str">
            <v>Commissions - share RI</v>
          </cell>
        </row>
        <row r="22198">
          <cell r="L22198"/>
          <cell r="S22198">
            <v>-17661.46</v>
          </cell>
          <cell r="X22198" t="str">
            <v>Commissions - share RI</v>
          </cell>
        </row>
        <row r="22199">
          <cell r="L22199"/>
          <cell r="S22199">
            <v>-8713.83</v>
          </cell>
          <cell r="X22199" t="str">
            <v>Commissions - share RI</v>
          </cell>
        </row>
        <row r="22200">
          <cell r="L22200"/>
          <cell r="S22200">
            <v>848.92</v>
          </cell>
          <cell r="X22200" t="str">
            <v>Commissions - share RI</v>
          </cell>
        </row>
        <row r="22201">
          <cell r="L22201"/>
          <cell r="S22201">
            <v>-144.29</v>
          </cell>
          <cell r="X22201" t="str">
            <v>Commissions - share RI</v>
          </cell>
        </row>
        <row r="22202">
          <cell r="L22202"/>
          <cell r="S22202">
            <v>-5237.67</v>
          </cell>
          <cell r="X22202" t="str">
            <v>Commissions - share RI</v>
          </cell>
        </row>
        <row r="22203">
          <cell r="L22203"/>
          <cell r="S22203">
            <v>-5346.32</v>
          </cell>
          <cell r="X22203" t="str">
            <v>Commissions - share RI</v>
          </cell>
        </row>
        <row r="22204">
          <cell r="L22204"/>
          <cell r="S22204">
            <v>-1001.29</v>
          </cell>
          <cell r="X22204" t="str">
            <v>Commissions - share RI</v>
          </cell>
        </row>
        <row r="22205">
          <cell r="L22205"/>
          <cell r="S22205">
            <v>-557.70000000000005</v>
          </cell>
          <cell r="X22205" t="str">
            <v>Commissions - share RI</v>
          </cell>
        </row>
        <row r="22206">
          <cell r="L22206"/>
          <cell r="S22206">
            <v>-9671.2999999999993</v>
          </cell>
          <cell r="X22206" t="str">
            <v>Commissions - share RI</v>
          </cell>
        </row>
        <row r="22207">
          <cell r="L22207"/>
          <cell r="S22207">
            <v>-12625.49</v>
          </cell>
          <cell r="X22207" t="str">
            <v>Commissions - share RI</v>
          </cell>
        </row>
        <row r="22208">
          <cell r="L22208"/>
          <cell r="S22208">
            <v>-142049.22</v>
          </cell>
          <cell r="X22208" t="str">
            <v>Commissions - share RI</v>
          </cell>
        </row>
        <row r="22209">
          <cell r="L22209"/>
          <cell r="S22209">
            <v>-5401.78</v>
          </cell>
          <cell r="X22209" t="str">
            <v>Commissions - share RI</v>
          </cell>
        </row>
        <row r="22210">
          <cell r="L22210"/>
          <cell r="S22210">
            <v>-1635.95</v>
          </cell>
          <cell r="X22210" t="str">
            <v>Commissions - share RI</v>
          </cell>
        </row>
        <row r="22211">
          <cell r="L22211"/>
          <cell r="S22211">
            <v>-184086.46</v>
          </cell>
          <cell r="X22211" t="str">
            <v>Commissions - share RI</v>
          </cell>
        </row>
        <row r="22212">
          <cell r="L22212"/>
          <cell r="S22212">
            <v>-45210.02</v>
          </cell>
          <cell r="X22212" t="str">
            <v>Commissions - share RI</v>
          </cell>
        </row>
        <row r="22213">
          <cell r="L22213"/>
          <cell r="S22213">
            <v>-12982.33</v>
          </cell>
          <cell r="X22213" t="str">
            <v>Commissions - share RI</v>
          </cell>
        </row>
        <row r="22214">
          <cell r="L22214"/>
          <cell r="S22214">
            <v>-109652.01</v>
          </cell>
          <cell r="X22214" t="str">
            <v>Commissions - share RI</v>
          </cell>
        </row>
        <row r="22215">
          <cell r="L22215"/>
          <cell r="S22215">
            <v>-133765.98000000001</v>
          </cell>
          <cell r="X22215" t="str">
            <v>Commissions - share RI</v>
          </cell>
        </row>
        <row r="22216">
          <cell r="L22216"/>
          <cell r="S22216">
            <v>-137590.16</v>
          </cell>
          <cell r="X22216" t="str">
            <v>Commissions - share RI</v>
          </cell>
        </row>
        <row r="22217">
          <cell r="L22217"/>
          <cell r="S22217">
            <v>50290.77</v>
          </cell>
          <cell r="X22217" t="str">
            <v>Commissions - share RI</v>
          </cell>
        </row>
        <row r="22218">
          <cell r="L22218"/>
          <cell r="S22218">
            <v>-15861.93</v>
          </cell>
          <cell r="X22218" t="str">
            <v>Commissions - share RI</v>
          </cell>
        </row>
        <row r="22219">
          <cell r="L22219"/>
          <cell r="S22219">
            <v>-40844.050000000003</v>
          </cell>
          <cell r="X22219" t="str">
            <v>Commissions - share RI</v>
          </cell>
        </row>
        <row r="22220">
          <cell r="L22220"/>
          <cell r="S22220">
            <v>-2119.2800000000002</v>
          </cell>
          <cell r="X22220" t="str">
            <v>Commissions - share RI</v>
          </cell>
        </row>
        <row r="22221">
          <cell r="L22221"/>
          <cell r="S22221">
            <v>-528.11</v>
          </cell>
          <cell r="X22221" t="str">
            <v>Commissions - share RI</v>
          </cell>
        </row>
        <row r="22222">
          <cell r="L22222"/>
          <cell r="S22222">
            <v>-2284.5700000000002</v>
          </cell>
          <cell r="X22222" t="str">
            <v>Commissions - share RI</v>
          </cell>
        </row>
        <row r="22223">
          <cell r="L22223"/>
          <cell r="S22223">
            <v>-43901.06</v>
          </cell>
          <cell r="X22223" t="str">
            <v>Commissions - share RI</v>
          </cell>
        </row>
        <row r="22224">
          <cell r="L22224"/>
          <cell r="S22224">
            <v>-26257.68</v>
          </cell>
          <cell r="X22224" t="str">
            <v>Commissions - share RI</v>
          </cell>
        </row>
        <row r="22225">
          <cell r="L22225"/>
          <cell r="S22225">
            <v>-56208.89</v>
          </cell>
          <cell r="X22225" t="str">
            <v>Commissions - share RI</v>
          </cell>
        </row>
        <row r="22226">
          <cell r="L22226"/>
          <cell r="S22226">
            <v>120134.5</v>
          </cell>
          <cell r="X22226" t="str">
            <v>Commissions - share RI</v>
          </cell>
        </row>
        <row r="22227">
          <cell r="L22227"/>
          <cell r="S22227">
            <v>124915.42</v>
          </cell>
          <cell r="X22227" t="str">
            <v>Commissions - share RI</v>
          </cell>
        </row>
        <row r="22228">
          <cell r="L22228"/>
          <cell r="S22228">
            <v>-168356.95</v>
          </cell>
          <cell r="X22228" t="str">
            <v>Commissions - share RI</v>
          </cell>
        </row>
        <row r="22229">
          <cell r="L22229"/>
          <cell r="S22229">
            <v>839.69</v>
          </cell>
          <cell r="X22229" t="str">
            <v>Commissions - share RI</v>
          </cell>
        </row>
        <row r="22230">
          <cell r="L22230"/>
          <cell r="S22230">
            <v>-5180.74</v>
          </cell>
          <cell r="X22230" t="str">
            <v>Commissions - share RI</v>
          </cell>
        </row>
        <row r="22231">
          <cell r="L22231"/>
          <cell r="S22231">
            <v>-7216</v>
          </cell>
          <cell r="X22231" t="str">
            <v>Commissions - share RI</v>
          </cell>
        </row>
        <row r="22232">
          <cell r="L22232"/>
          <cell r="S22232">
            <v>2746.11</v>
          </cell>
          <cell r="X22232" t="str">
            <v>Commissions - share RI</v>
          </cell>
        </row>
        <row r="22233">
          <cell r="L22233"/>
          <cell r="S22233">
            <v>-40400.14</v>
          </cell>
          <cell r="X22233" t="str">
            <v>Commissions - share RI</v>
          </cell>
        </row>
        <row r="22234">
          <cell r="L22234"/>
          <cell r="S22234">
            <v>-2511.77</v>
          </cell>
          <cell r="X22234" t="str">
            <v>Commissions - share RI</v>
          </cell>
        </row>
        <row r="22235">
          <cell r="L22235"/>
          <cell r="S22235">
            <v>-51521.37</v>
          </cell>
          <cell r="X22235" t="str">
            <v>Commissions - share RI</v>
          </cell>
        </row>
        <row r="22236">
          <cell r="L22236"/>
          <cell r="S22236">
            <v>-43186.12</v>
          </cell>
          <cell r="X22236" t="str">
            <v>Commissions - share RI</v>
          </cell>
        </row>
        <row r="22237">
          <cell r="L22237"/>
          <cell r="S22237">
            <v>-617.54999999999995</v>
          </cell>
          <cell r="X22237" t="str">
            <v>Commissions - share RI</v>
          </cell>
        </row>
        <row r="22238">
          <cell r="L22238"/>
          <cell r="S22238">
            <v>-12625.51</v>
          </cell>
          <cell r="X22238" t="str">
            <v>Commissions - share RI</v>
          </cell>
        </row>
        <row r="22239">
          <cell r="L22239"/>
          <cell r="S22239">
            <v>120134.5</v>
          </cell>
          <cell r="X22239" t="str">
            <v>Commissions - share RI</v>
          </cell>
        </row>
        <row r="22240">
          <cell r="L22240"/>
          <cell r="S22240">
            <v>86011.61</v>
          </cell>
          <cell r="X22240" t="str">
            <v>Commissions - share RI</v>
          </cell>
        </row>
        <row r="22241">
          <cell r="L22241"/>
          <cell r="S22241">
            <v>-43901.07</v>
          </cell>
          <cell r="X22241" t="str">
            <v>Commissions - share RI</v>
          </cell>
        </row>
        <row r="22242">
          <cell r="L22242"/>
          <cell r="S22242">
            <v>-15861.94</v>
          </cell>
          <cell r="X22242" t="str">
            <v>Commissions - share RI</v>
          </cell>
        </row>
        <row r="22243">
          <cell r="L22243"/>
          <cell r="S22243">
            <v>-55597.98</v>
          </cell>
          <cell r="X22243" t="str">
            <v>Commissions - share RI</v>
          </cell>
        </row>
        <row r="22244">
          <cell r="L22244"/>
          <cell r="S22244">
            <v>-207.75</v>
          </cell>
          <cell r="X22244" t="str">
            <v>Commissions - share RI</v>
          </cell>
        </row>
        <row r="22245">
          <cell r="L22245"/>
          <cell r="S22245">
            <v>-644.30999999999995</v>
          </cell>
          <cell r="X22245" t="str">
            <v>Commissions - share RI</v>
          </cell>
        </row>
        <row r="22246">
          <cell r="L22246"/>
          <cell r="S22246">
            <v>-137590.17000000001</v>
          </cell>
          <cell r="X22246" t="str">
            <v>Commissions - share RI</v>
          </cell>
        </row>
        <row r="22247">
          <cell r="L22247"/>
          <cell r="S22247">
            <v>-164107.19</v>
          </cell>
          <cell r="X22247" t="str">
            <v>Commissions - share RI</v>
          </cell>
        </row>
        <row r="22248">
          <cell r="L22248"/>
          <cell r="S22248">
            <v>-382.62</v>
          </cell>
          <cell r="X22248" t="str">
            <v>Commissions - share RI</v>
          </cell>
        </row>
        <row r="22249">
          <cell r="L22249"/>
          <cell r="S22249">
            <v>-2448.37</v>
          </cell>
          <cell r="X22249" t="str">
            <v>Commissions - share RI</v>
          </cell>
        </row>
        <row r="22250">
          <cell r="L22250"/>
          <cell r="S22250">
            <v>-25972.29</v>
          </cell>
          <cell r="X22250" t="str">
            <v>Commissions - share RI</v>
          </cell>
        </row>
        <row r="22251">
          <cell r="L22251"/>
          <cell r="S22251">
            <v>49744.19</v>
          </cell>
          <cell r="X22251" t="str">
            <v>Commissions - share RI</v>
          </cell>
        </row>
        <row r="22252">
          <cell r="L22252"/>
          <cell r="S22252">
            <v>-184086.45</v>
          </cell>
          <cell r="X22252" t="str">
            <v>Commissions - share RI</v>
          </cell>
        </row>
        <row r="22253">
          <cell r="L22253"/>
          <cell r="S22253">
            <v>-419.47</v>
          </cell>
          <cell r="X22253" t="str">
            <v>Commissions - share RI</v>
          </cell>
        </row>
        <row r="22254">
          <cell r="L22254"/>
          <cell r="S22254">
            <v>-12982.33</v>
          </cell>
          <cell r="X22254" t="str">
            <v>Commissions - share RI</v>
          </cell>
        </row>
        <row r="22255">
          <cell r="L22255"/>
          <cell r="S22255">
            <v>124915.42</v>
          </cell>
          <cell r="X22255" t="str">
            <v>Commissions - share RI</v>
          </cell>
        </row>
        <row r="22256">
          <cell r="L22256"/>
          <cell r="S22256">
            <v>-85994.96</v>
          </cell>
          <cell r="X22256" t="str">
            <v>Commissions - share RI</v>
          </cell>
        </row>
        <row r="22257">
          <cell r="L22257"/>
          <cell r="S22257">
            <v>-8713.83</v>
          </cell>
          <cell r="X22257" t="str">
            <v>Commissions - share RI</v>
          </cell>
        </row>
        <row r="22258">
          <cell r="L22258"/>
          <cell r="S22258">
            <v>-45210.04</v>
          </cell>
          <cell r="X22258" t="str">
            <v>Commissions - share RI</v>
          </cell>
        </row>
        <row r="22259">
          <cell r="L22259"/>
          <cell r="S22259">
            <v>-133765.98000000001</v>
          </cell>
          <cell r="X22259" t="str">
            <v>Commissions - share RI</v>
          </cell>
        </row>
        <row r="22260">
          <cell r="L22260"/>
          <cell r="S22260">
            <v>-5346.33</v>
          </cell>
          <cell r="X22260" t="str">
            <v>Commissions - share RI</v>
          </cell>
        </row>
        <row r="22261">
          <cell r="L22261"/>
          <cell r="S22261">
            <v>770046.87</v>
          </cell>
          <cell r="X22261" t="str">
            <v>Commissions - share RI</v>
          </cell>
        </row>
        <row r="22262">
          <cell r="L22262"/>
          <cell r="S22262">
            <v>-41555.120000000003</v>
          </cell>
          <cell r="X22262" t="str">
            <v>Commissions - share RI</v>
          </cell>
        </row>
        <row r="22263">
          <cell r="L22263"/>
          <cell r="S22263">
            <v>-5178.72</v>
          </cell>
          <cell r="X22263" t="str">
            <v>Commissions - share RI</v>
          </cell>
        </row>
        <row r="22264">
          <cell r="L22264"/>
          <cell r="S22264">
            <v>23.25</v>
          </cell>
          <cell r="X22264" t="str">
            <v>Commissions - share RI</v>
          </cell>
        </row>
        <row r="22265">
          <cell r="L22265"/>
          <cell r="S22265">
            <v>124915.41</v>
          </cell>
          <cell r="X22265" t="str">
            <v>Commissions - share RI</v>
          </cell>
        </row>
        <row r="22266">
          <cell r="L22266"/>
          <cell r="S22266">
            <v>-85994.96</v>
          </cell>
          <cell r="X22266" t="str">
            <v>Commissions - share RI</v>
          </cell>
        </row>
        <row r="22267">
          <cell r="L22267"/>
          <cell r="S22267">
            <v>-5346.33</v>
          </cell>
          <cell r="X22267" t="str">
            <v>Commissions - share RI</v>
          </cell>
        </row>
        <row r="22268">
          <cell r="L22268"/>
          <cell r="S22268">
            <v>120134.5</v>
          </cell>
          <cell r="X22268" t="str">
            <v>Commissions - share RI</v>
          </cell>
        </row>
        <row r="22269">
          <cell r="L22269"/>
          <cell r="S22269">
            <v>-336.21</v>
          </cell>
          <cell r="X22269" t="str">
            <v>Commissions - share RI</v>
          </cell>
        </row>
        <row r="22270">
          <cell r="L22270"/>
          <cell r="S22270">
            <v>-122460.18</v>
          </cell>
          <cell r="X22270" t="str">
            <v>Commissions - share RI</v>
          </cell>
        </row>
        <row r="22271">
          <cell r="L22271"/>
          <cell r="S22271">
            <v>-36.85</v>
          </cell>
          <cell r="X22271" t="str">
            <v>Commissions - share RI</v>
          </cell>
        </row>
        <row r="22272">
          <cell r="L22272"/>
          <cell r="S22272">
            <v>14.51</v>
          </cell>
          <cell r="X22272" t="str">
            <v>Commissions - share RI</v>
          </cell>
        </row>
        <row r="22273">
          <cell r="L22273"/>
          <cell r="S22273">
            <v>-7216</v>
          </cell>
          <cell r="X22273" t="str">
            <v>Commissions - share RI</v>
          </cell>
        </row>
        <row r="22274">
          <cell r="L22274"/>
          <cell r="S22274">
            <v>-137590.16</v>
          </cell>
          <cell r="X22274" t="str">
            <v>Commissions - share RI</v>
          </cell>
        </row>
        <row r="22275">
          <cell r="L22275"/>
          <cell r="S22275">
            <v>-55576.19</v>
          </cell>
          <cell r="X22275" t="str">
            <v>Commissions - share RI</v>
          </cell>
        </row>
        <row r="22276">
          <cell r="L22276"/>
          <cell r="S22276">
            <v>-12625.5</v>
          </cell>
          <cell r="X22276" t="str">
            <v>Commissions - share RI</v>
          </cell>
        </row>
        <row r="22277">
          <cell r="L22277"/>
          <cell r="S22277">
            <v>37626.53</v>
          </cell>
          <cell r="X22277" t="str">
            <v>Commissions - share RI</v>
          </cell>
        </row>
        <row r="22278">
          <cell r="L22278"/>
          <cell r="S22278">
            <v>-770046.87</v>
          </cell>
          <cell r="X22278" t="str">
            <v>Commissions - share RI</v>
          </cell>
        </row>
        <row r="22279">
          <cell r="L22279"/>
          <cell r="S22279">
            <v>-32226.36</v>
          </cell>
          <cell r="X22279" t="str">
            <v>Commissions - share RI</v>
          </cell>
        </row>
        <row r="22280">
          <cell r="L22280"/>
          <cell r="S22280">
            <v>-43901.07</v>
          </cell>
          <cell r="X22280" t="str">
            <v>Commissions - share RI</v>
          </cell>
        </row>
        <row r="22281">
          <cell r="L22281"/>
          <cell r="S22281">
            <v>49724.7</v>
          </cell>
          <cell r="X22281" t="str">
            <v>Commissions - share RI</v>
          </cell>
        </row>
        <row r="22282">
          <cell r="L22282"/>
          <cell r="S22282">
            <v>-184086.45</v>
          </cell>
          <cell r="X22282" t="str">
            <v>Commissions - share RI</v>
          </cell>
        </row>
        <row r="22283">
          <cell r="L22283"/>
          <cell r="S22283">
            <v>-25962.1</v>
          </cell>
          <cell r="X22283" t="str">
            <v>Commissions - share RI</v>
          </cell>
        </row>
        <row r="22284">
          <cell r="L22284"/>
          <cell r="S22284">
            <v>-8713.84</v>
          </cell>
          <cell r="X22284" t="str">
            <v>Commissions - share RI</v>
          </cell>
        </row>
        <row r="22285">
          <cell r="L22285"/>
          <cell r="S22285">
            <v>-1410.34</v>
          </cell>
          <cell r="X22285" t="str">
            <v>Commissions - share RI</v>
          </cell>
        </row>
        <row r="22286">
          <cell r="L22286"/>
          <cell r="S22286">
            <v>-94530.67</v>
          </cell>
          <cell r="X22286" t="str">
            <v>Commissions - share RI</v>
          </cell>
        </row>
        <row r="22287">
          <cell r="L22287"/>
          <cell r="S22287">
            <v>-12982.34</v>
          </cell>
          <cell r="X22287" t="str">
            <v>Commissions - share RI</v>
          </cell>
        </row>
        <row r="22288">
          <cell r="L22288"/>
          <cell r="S22288">
            <v>839.37</v>
          </cell>
          <cell r="X22288" t="str">
            <v>Commissions - share RI</v>
          </cell>
        </row>
        <row r="22289">
          <cell r="L22289"/>
          <cell r="S22289">
            <v>-1827.03</v>
          </cell>
          <cell r="X22289" t="str">
            <v>Commissions - share RI</v>
          </cell>
        </row>
        <row r="22290">
          <cell r="L22290"/>
          <cell r="S22290">
            <v>-41538.85</v>
          </cell>
          <cell r="X22290" t="str">
            <v>Commissions - share RI</v>
          </cell>
        </row>
        <row r="22291">
          <cell r="L22291"/>
          <cell r="S22291">
            <v>-480.79</v>
          </cell>
          <cell r="X22291" t="str">
            <v>Commissions - share RI</v>
          </cell>
        </row>
        <row r="22292">
          <cell r="L22292"/>
          <cell r="S22292">
            <v>-45210.04</v>
          </cell>
          <cell r="X22292" t="str">
            <v>Commissions - share RI</v>
          </cell>
        </row>
        <row r="22293">
          <cell r="L22293"/>
          <cell r="S22293">
            <v>-15861.94</v>
          </cell>
          <cell r="X22293" t="str">
            <v>Commissions - share RI</v>
          </cell>
        </row>
        <row r="22294">
          <cell r="L22294"/>
          <cell r="S22294">
            <v>-133765.99</v>
          </cell>
          <cell r="X22294" t="str">
            <v>Commissions - share RI</v>
          </cell>
        </row>
        <row r="22295">
          <cell r="L22295"/>
          <cell r="S22295">
            <v>-40384.31</v>
          </cell>
          <cell r="X22295" t="str">
            <v>Commissions - share RI</v>
          </cell>
        </row>
        <row r="22296">
          <cell r="L22296"/>
          <cell r="S22296">
            <v>-310.14</v>
          </cell>
          <cell r="X22296" t="str">
            <v>Commissions - share RI</v>
          </cell>
        </row>
        <row r="22297">
          <cell r="L22297"/>
          <cell r="S22297">
            <v>-15861.94</v>
          </cell>
          <cell r="X22297" t="str">
            <v>Commissions - share RI</v>
          </cell>
        </row>
        <row r="22298">
          <cell r="L22298"/>
          <cell r="S22298">
            <v>-334.64</v>
          </cell>
          <cell r="X22298" t="str">
            <v>Commissions - share RI</v>
          </cell>
        </row>
        <row r="22299">
          <cell r="L22299"/>
          <cell r="S22299">
            <v>120134.5</v>
          </cell>
          <cell r="X22299" t="str">
            <v>Commissions - share RI</v>
          </cell>
        </row>
        <row r="22300">
          <cell r="L22300"/>
          <cell r="S22300">
            <v>-55056.89</v>
          </cell>
          <cell r="X22300" t="str">
            <v>Commissions - share RI</v>
          </cell>
        </row>
        <row r="22301">
          <cell r="L22301"/>
          <cell r="S22301">
            <v>-121315.93</v>
          </cell>
          <cell r="X22301" t="str">
            <v>Commissions - share RI</v>
          </cell>
        </row>
        <row r="22302">
          <cell r="L22302"/>
          <cell r="S22302">
            <v>-110.52</v>
          </cell>
          <cell r="X22302" t="str">
            <v>Commissions - share RI</v>
          </cell>
        </row>
        <row r="22303">
          <cell r="L22303"/>
          <cell r="S22303">
            <v>-40006.949999999997</v>
          </cell>
          <cell r="X22303" t="str">
            <v>Commissions - share RI</v>
          </cell>
        </row>
        <row r="22304">
          <cell r="L22304"/>
          <cell r="S22304">
            <v>-25719.53</v>
          </cell>
          <cell r="X22304" t="str">
            <v>Commissions - share RI</v>
          </cell>
        </row>
        <row r="22305">
          <cell r="L22305"/>
          <cell r="S22305">
            <v>-5.81</v>
          </cell>
          <cell r="X22305" t="str">
            <v>Commissions - share RI</v>
          </cell>
        </row>
        <row r="22306">
          <cell r="L22306"/>
          <cell r="S22306">
            <v>-12625.5</v>
          </cell>
          <cell r="X22306" t="str">
            <v>Commissions - share RI</v>
          </cell>
        </row>
        <row r="22307">
          <cell r="L22307"/>
          <cell r="S22307">
            <v>-511.23</v>
          </cell>
          <cell r="X22307" t="str">
            <v>Commissions - share RI</v>
          </cell>
        </row>
        <row r="22308">
          <cell r="L22308"/>
          <cell r="S22308">
            <v>-1809.95</v>
          </cell>
          <cell r="X22308" t="str">
            <v>Commissions - share RI</v>
          </cell>
        </row>
        <row r="22309">
          <cell r="L22309"/>
          <cell r="S22309">
            <v>-45210.04</v>
          </cell>
          <cell r="X22309" t="str">
            <v>Commissions - share RI</v>
          </cell>
        </row>
        <row r="22310">
          <cell r="L22310"/>
          <cell r="S22310">
            <v>-137590.17000000001</v>
          </cell>
          <cell r="X22310" t="str">
            <v>Commissions - share RI</v>
          </cell>
        </row>
        <row r="22311">
          <cell r="L22311"/>
          <cell r="S22311">
            <v>-308.48</v>
          </cell>
          <cell r="X22311" t="str">
            <v>Commissions - share RI</v>
          </cell>
        </row>
        <row r="22312">
          <cell r="L22312"/>
          <cell r="S22312">
            <v>-8713.83</v>
          </cell>
          <cell r="X22312" t="str">
            <v>Commissions - share RI</v>
          </cell>
        </row>
        <row r="22313">
          <cell r="L22313"/>
          <cell r="S22313">
            <v>-93647.39</v>
          </cell>
          <cell r="X22313" t="str">
            <v>Commissions - share RI</v>
          </cell>
        </row>
        <row r="22314">
          <cell r="L22314"/>
          <cell r="S22314">
            <v>-476.3</v>
          </cell>
          <cell r="X22314" t="str">
            <v>Commissions - share RI</v>
          </cell>
        </row>
        <row r="22315">
          <cell r="L22315"/>
          <cell r="S22315">
            <v>-7216</v>
          </cell>
          <cell r="X22315" t="str">
            <v>Commissions - share RI</v>
          </cell>
        </row>
        <row r="22316">
          <cell r="L22316"/>
          <cell r="S22316">
            <v>-419.47</v>
          </cell>
          <cell r="X22316" t="str">
            <v>Commissions - share RI</v>
          </cell>
        </row>
        <row r="22317">
          <cell r="L22317"/>
          <cell r="S22317">
            <v>-184086.46</v>
          </cell>
          <cell r="X22317" t="str">
            <v>Commissions - share RI</v>
          </cell>
        </row>
        <row r="22318">
          <cell r="L22318"/>
          <cell r="S22318">
            <v>-1397.15</v>
          </cell>
          <cell r="X22318" t="str">
            <v>Commissions - share RI</v>
          </cell>
        </row>
        <row r="22319">
          <cell r="L22319"/>
          <cell r="S22319">
            <v>-5346.33</v>
          </cell>
          <cell r="X22319" t="str">
            <v>Commissions - share RI</v>
          </cell>
        </row>
        <row r="22320">
          <cell r="L22320"/>
          <cell r="S22320">
            <v>-5130.32</v>
          </cell>
          <cell r="X22320" t="str">
            <v>Commissions - share RI</v>
          </cell>
        </row>
        <row r="22321">
          <cell r="L22321"/>
          <cell r="S22321">
            <v>-17549.84</v>
          </cell>
          <cell r="X22321" t="str">
            <v>Commissions - share RI</v>
          </cell>
        </row>
        <row r="22322">
          <cell r="L22322"/>
          <cell r="S22322">
            <v>124915.42</v>
          </cell>
          <cell r="X22322" t="str">
            <v>Commissions - share RI</v>
          </cell>
        </row>
        <row r="22323">
          <cell r="L22323"/>
          <cell r="S22323">
            <v>-31925.24</v>
          </cell>
          <cell r="X22323" t="str">
            <v>Commissions - share RI</v>
          </cell>
        </row>
        <row r="22324">
          <cell r="L22324"/>
          <cell r="S22324">
            <v>-12982.33</v>
          </cell>
          <cell r="X22324" t="str">
            <v>Commissions - share RI</v>
          </cell>
        </row>
        <row r="22325">
          <cell r="L22325"/>
          <cell r="S22325">
            <v>-40928</v>
          </cell>
          <cell r="X22325" t="str">
            <v>Commissions - share RI</v>
          </cell>
        </row>
        <row r="22326">
          <cell r="L22326"/>
          <cell r="S22326">
            <v>831.52</v>
          </cell>
          <cell r="X22326" t="str">
            <v>Commissions - share RI</v>
          </cell>
        </row>
        <row r="22327">
          <cell r="L22327"/>
          <cell r="S22327">
            <v>-85994.97</v>
          </cell>
          <cell r="X22327" t="str">
            <v>Commissions - share RI</v>
          </cell>
        </row>
        <row r="22328">
          <cell r="L22328"/>
          <cell r="S22328">
            <v>-133765.98000000001</v>
          </cell>
          <cell r="X22328" t="str">
            <v>Commissions - share RI</v>
          </cell>
        </row>
        <row r="22329">
          <cell r="L22329"/>
          <cell r="S22329">
            <v>49260.07</v>
          </cell>
          <cell r="X22329" t="str">
            <v>Commissions - share RI</v>
          </cell>
        </row>
        <row r="22330">
          <cell r="L22330"/>
          <cell r="S22330">
            <v>-43901.07</v>
          </cell>
          <cell r="X22330" t="str">
            <v>Commissions - share RI</v>
          </cell>
        </row>
        <row r="22331">
          <cell r="L22331"/>
          <cell r="S22331">
            <v>-41150.699999999997</v>
          </cell>
          <cell r="X22331" t="str">
            <v>Commissions - share RI</v>
          </cell>
        </row>
        <row r="22332">
          <cell r="L22332"/>
          <cell r="S22332">
            <v>-137590.15</v>
          </cell>
          <cell r="X22332" t="str">
            <v>Commissions - share RI</v>
          </cell>
        </row>
        <row r="22333">
          <cell r="L22333"/>
          <cell r="S22333">
            <v>823.79</v>
          </cell>
          <cell r="X22333" t="str">
            <v>Commissions - share RI</v>
          </cell>
        </row>
        <row r="22334">
          <cell r="L22334"/>
          <cell r="S22334">
            <v>-40767.949999999997</v>
          </cell>
          <cell r="X22334" t="str">
            <v>Commissions - share RI</v>
          </cell>
        </row>
        <row r="22335">
          <cell r="L22335"/>
          <cell r="S22335">
            <v>-133765.99</v>
          </cell>
          <cell r="X22335" t="str">
            <v>Commissions - share RI</v>
          </cell>
        </row>
        <row r="22336">
          <cell r="L22336"/>
          <cell r="S22336">
            <v>-31628.3</v>
          </cell>
          <cell r="X22336" t="str">
            <v>Commissions - share RI</v>
          </cell>
        </row>
        <row r="22337">
          <cell r="L22337"/>
          <cell r="S22337">
            <v>-85994.97</v>
          </cell>
          <cell r="X22337" t="str">
            <v>Commissions - share RI</v>
          </cell>
        </row>
        <row r="22338">
          <cell r="L22338"/>
          <cell r="S22338">
            <v>-110.98</v>
          </cell>
          <cell r="X22338" t="str">
            <v>Commissions - share RI</v>
          </cell>
        </row>
        <row r="22339">
          <cell r="L22339"/>
          <cell r="S22339">
            <v>-5.81</v>
          </cell>
          <cell r="X22339" t="str">
            <v>Commissions - share RI</v>
          </cell>
        </row>
        <row r="22340">
          <cell r="L22340"/>
          <cell r="S22340">
            <v>-92776.34</v>
          </cell>
          <cell r="X22340" t="str">
            <v>Commissions - share RI</v>
          </cell>
        </row>
        <row r="22341">
          <cell r="L22341"/>
          <cell r="S22341">
            <v>-12982.33</v>
          </cell>
          <cell r="X22341" t="str">
            <v>Commissions - share RI</v>
          </cell>
        </row>
        <row r="22342">
          <cell r="L22342"/>
          <cell r="S22342">
            <v>-15861.93</v>
          </cell>
          <cell r="X22342" t="str">
            <v>Commissions - share RI</v>
          </cell>
        </row>
        <row r="22343">
          <cell r="L22343"/>
          <cell r="S22343">
            <v>-471.87</v>
          </cell>
          <cell r="X22343" t="str">
            <v>Commissions - share RI</v>
          </cell>
        </row>
        <row r="22344">
          <cell r="L22344"/>
          <cell r="S22344">
            <v>-39634.839999999997</v>
          </cell>
          <cell r="X22344" t="str">
            <v>Commissions - share RI</v>
          </cell>
        </row>
        <row r="22345">
          <cell r="L22345"/>
          <cell r="S22345">
            <v>120134.5</v>
          </cell>
          <cell r="X22345" t="str">
            <v>Commissions - share RI</v>
          </cell>
        </row>
        <row r="22346">
          <cell r="L22346"/>
          <cell r="S22346">
            <v>-1384.16</v>
          </cell>
          <cell r="X22346" t="str">
            <v>Commissions - share RI</v>
          </cell>
        </row>
        <row r="22347">
          <cell r="L22347"/>
          <cell r="S22347">
            <v>-5346.32</v>
          </cell>
          <cell r="X22347" t="str">
            <v>Commissions - share RI</v>
          </cell>
        </row>
        <row r="22348">
          <cell r="L22348"/>
          <cell r="S22348">
            <v>-54544.800000000003</v>
          </cell>
          <cell r="X22348" t="str">
            <v>Commissions - share RI</v>
          </cell>
        </row>
        <row r="22349">
          <cell r="L22349"/>
          <cell r="S22349">
            <v>-45210.02</v>
          </cell>
          <cell r="X22349" t="str">
            <v>Commissions - share RI</v>
          </cell>
        </row>
        <row r="22350">
          <cell r="L22350"/>
          <cell r="S22350">
            <v>36852.9</v>
          </cell>
          <cell r="X22350" t="str">
            <v>Commissions - share RI</v>
          </cell>
        </row>
        <row r="22351">
          <cell r="L22351"/>
          <cell r="S22351">
            <v>-12625.49</v>
          </cell>
          <cell r="X22351" t="str">
            <v>Commissions - share RI</v>
          </cell>
        </row>
        <row r="22352">
          <cell r="L22352"/>
          <cell r="S22352">
            <v>-120187.53</v>
          </cell>
          <cell r="X22352" t="str">
            <v>Commissions - share RI</v>
          </cell>
        </row>
        <row r="22353">
          <cell r="L22353"/>
          <cell r="S22353">
            <v>-43901.06</v>
          </cell>
          <cell r="X22353" t="str">
            <v>Commissions - share RI</v>
          </cell>
        </row>
        <row r="22354">
          <cell r="L22354"/>
          <cell r="S22354">
            <v>-7216</v>
          </cell>
          <cell r="X22354" t="str">
            <v>Commissions - share RI</v>
          </cell>
        </row>
        <row r="22355">
          <cell r="L22355"/>
          <cell r="S22355">
            <v>-8713.83</v>
          </cell>
          <cell r="X22355" t="str">
            <v>Commissions - share RI</v>
          </cell>
        </row>
        <row r="22356">
          <cell r="L22356"/>
          <cell r="S22356">
            <v>124915.42</v>
          </cell>
          <cell r="X22356" t="str">
            <v>Commissions - share RI</v>
          </cell>
        </row>
        <row r="22357">
          <cell r="L22357"/>
          <cell r="S22357">
            <v>36.42</v>
          </cell>
          <cell r="X22357" t="str">
            <v>Commissions - share RI</v>
          </cell>
        </row>
        <row r="22358">
          <cell r="L22358"/>
          <cell r="S22358">
            <v>-25480.3</v>
          </cell>
          <cell r="X22358" t="str">
            <v>Commissions - share RI</v>
          </cell>
        </row>
        <row r="22359">
          <cell r="L22359"/>
          <cell r="S22359">
            <v>-5082.6099999999997</v>
          </cell>
          <cell r="X22359" t="str">
            <v>Commissions - share RI</v>
          </cell>
        </row>
        <row r="22360">
          <cell r="L22360"/>
          <cell r="S22360">
            <v>-340.05</v>
          </cell>
          <cell r="X22360" t="str">
            <v>Commissions - share RI</v>
          </cell>
        </row>
        <row r="22361">
          <cell r="L22361"/>
          <cell r="S22361">
            <v>48801.89</v>
          </cell>
          <cell r="X22361" t="str">
            <v>Commissions - share RI</v>
          </cell>
        </row>
        <row r="22362">
          <cell r="L22362"/>
          <cell r="S22362">
            <v>-184086.46</v>
          </cell>
          <cell r="X22362" t="str">
            <v>Commissions - share RI</v>
          </cell>
        </row>
        <row r="22363">
          <cell r="L22363"/>
          <cell r="S22363">
            <v>-173.2</v>
          </cell>
          <cell r="X22363" t="str">
            <v>Commissions - share RI</v>
          </cell>
        </row>
        <row r="22364">
          <cell r="L22364"/>
          <cell r="S22364">
            <v>-1793.11</v>
          </cell>
          <cell r="X22364" t="str">
            <v>Commissions - share RI</v>
          </cell>
        </row>
        <row r="22365">
          <cell r="L22365"/>
          <cell r="S22365">
            <v>-39924.68</v>
          </cell>
          <cell r="X22365" t="str">
            <v>Commissions - share RI</v>
          </cell>
        </row>
        <row r="22366">
          <cell r="L22366"/>
          <cell r="S22366">
            <v>-1394.27</v>
          </cell>
          <cell r="X22366" t="str">
            <v>Commissions - share RI</v>
          </cell>
        </row>
        <row r="22367">
          <cell r="L22367"/>
          <cell r="S22367">
            <v>-137590.17000000001</v>
          </cell>
          <cell r="X22367" t="str">
            <v>Commissions - share RI</v>
          </cell>
        </row>
        <row r="22368">
          <cell r="L22368"/>
          <cell r="S22368">
            <v>-133765.98000000001</v>
          </cell>
          <cell r="X22368" t="str">
            <v>Commissions - share RI</v>
          </cell>
        </row>
        <row r="22369">
          <cell r="L22369"/>
          <cell r="S22369">
            <v>-339.69</v>
          </cell>
          <cell r="X22369" t="str">
            <v>Commissions - share RI</v>
          </cell>
        </row>
        <row r="22370">
          <cell r="L22370"/>
          <cell r="S22370">
            <v>-93454.78</v>
          </cell>
          <cell r="X22370" t="str">
            <v>Commissions - share RI</v>
          </cell>
        </row>
        <row r="22371">
          <cell r="L22371"/>
          <cell r="S22371">
            <v>-85994.97</v>
          </cell>
          <cell r="X22371" t="str">
            <v>Commissions - share RI</v>
          </cell>
        </row>
        <row r="22372">
          <cell r="L22372"/>
          <cell r="S22372">
            <v>-12649.43</v>
          </cell>
          <cell r="X22372" t="str">
            <v>Commissions - share RI</v>
          </cell>
        </row>
        <row r="22373">
          <cell r="L22373"/>
          <cell r="S22373">
            <v>-7216</v>
          </cell>
          <cell r="X22373" t="str">
            <v>Commissions - share RI</v>
          </cell>
        </row>
        <row r="22374">
          <cell r="L22374"/>
          <cell r="S22374">
            <v>-120.15</v>
          </cell>
          <cell r="X22374" t="str">
            <v>Commissions - share RI</v>
          </cell>
        </row>
        <row r="22375">
          <cell r="L22375"/>
          <cell r="S22375">
            <v>-54943.66</v>
          </cell>
          <cell r="X22375" t="str">
            <v>Commissions - share RI</v>
          </cell>
        </row>
        <row r="22376">
          <cell r="L22376"/>
          <cell r="S22376">
            <v>-12982.34</v>
          </cell>
          <cell r="X22376" t="str">
            <v>Commissions - share RI</v>
          </cell>
        </row>
        <row r="22377">
          <cell r="L22377"/>
          <cell r="S22377">
            <v>-8713.84</v>
          </cell>
          <cell r="X22377" t="str">
            <v>Commissions - share RI</v>
          </cell>
        </row>
        <row r="22378">
          <cell r="L22378"/>
          <cell r="S22378">
            <v>-5346.33</v>
          </cell>
          <cell r="X22378" t="str">
            <v>Commissions - share RI</v>
          </cell>
        </row>
        <row r="22379">
          <cell r="L22379"/>
          <cell r="S22379">
            <v>-121066.43</v>
          </cell>
          <cell r="X22379" t="str">
            <v>Commissions - share RI</v>
          </cell>
        </row>
        <row r="22380">
          <cell r="L22380"/>
          <cell r="S22380">
            <v>49158.77</v>
          </cell>
          <cell r="X22380" t="str">
            <v>Commissions - share RI</v>
          </cell>
        </row>
        <row r="22381">
          <cell r="L22381"/>
          <cell r="S22381">
            <v>-1806.22</v>
          </cell>
          <cell r="X22381" t="str">
            <v>Commissions - share RI</v>
          </cell>
        </row>
        <row r="22382">
          <cell r="L22382"/>
          <cell r="S22382">
            <v>-12625.51</v>
          </cell>
          <cell r="X22382" t="str">
            <v>Commissions - share RI</v>
          </cell>
        </row>
        <row r="22383">
          <cell r="L22383"/>
          <cell r="S22383">
            <v>124915.41</v>
          </cell>
          <cell r="X22383" t="str">
            <v>Commissions - share RI</v>
          </cell>
        </row>
        <row r="22384">
          <cell r="L22384"/>
          <cell r="S22384">
            <v>-25666.61</v>
          </cell>
          <cell r="X22384" t="str">
            <v>Commissions - share RI</v>
          </cell>
        </row>
        <row r="22385">
          <cell r="L22385"/>
          <cell r="S22385">
            <v>-5119.7700000000004</v>
          </cell>
          <cell r="X22385" t="str">
            <v>Commissions - share RI</v>
          </cell>
        </row>
        <row r="22386">
          <cell r="L22386"/>
          <cell r="S22386">
            <v>120134.5</v>
          </cell>
          <cell r="X22386" t="str">
            <v>Commissions - share RI</v>
          </cell>
        </row>
        <row r="22387">
          <cell r="L22387"/>
          <cell r="S22387">
            <v>-475.33</v>
          </cell>
          <cell r="X22387" t="str">
            <v>Commissions - share RI</v>
          </cell>
        </row>
        <row r="22388">
          <cell r="L22388"/>
          <cell r="S22388">
            <v>-184086.46</v>
          </cell>
          <cell r="X22388" t="str">
            <v>Commissions - share RI</v>
          </cell>
        </row>
        <row r="22389">
          <cell r="L22389"/>
          <cell r="S22389">
            <v>-419.47</v>
          </cell>
          <cell r="X22389" t="str">
            <v>Commissions - share RI</v>
          </cell>
        </row>
        <row r="22390">
          <cell r="L22390"/>
          <cell r="S22390">
            <v>829.81</v>
          </cell>
          <cell r="X22390" t="str">
            <v>Commissions - share RI</v>
          </cell>
        </row>
        <row r="22391">
          <cell r="L22391"/>
          <cell r="S22391">
            <v>-45210.04</v>
          </cell>
          <cell r="X22391" t="str">
            <v>Commissions - share RI</v>
          </cell>
        </row>
        <row r="22392">
          <cell r="L22392"/>
          <cell r="S22392">
            <v>-41066.050000000003</v>
          </cell>
          <cell r="X22392" t="str">
            <v>Commissions - share RI</v>
          </cell>
        </row>
        <row r="22393">
          <cell r="L22393"/>
          <cell r="S22393">
            <v>-15861.94</v>
          </cell>
          <cell r="X22393" t="str">
            <v>Commissions - share RI</v>
          </cell>
        </row>
        <row r="22394">
          <cell r="L22394"/>
          <cell r="S22394">
            <v>-43901.08</v>
          </cell>
          <cell r="X22394" t="str">
            <v>Commissions - share RI</v>
          </cell>
        </row>
        <row r="22395">
          <cell r="L22395"/>
          <cell r="S22395">
            <v>-31859.57</v>
          </cell>
          <cell r="X22395" t="str">
            <v>Commissions - share RI</v>
          </cell>
        </row>
        <row r="22396">
          <cell r="L22396"/>
          <cell r="S22396">
            <v>-5.81</v>
          </cell>
          <cell r="X22396" t="str">
            <v>Commissions - share RI</v>
          </cell>
        </row>
        <row r="22397">
          <cell r="L22397"/>
          <cell r="S22397">
            <v>-85994.96</v>
          </cell>
          <cell r="X22397" t="str">
            <v>Commissions - share RI</v>
          </cell>
        </row>
        <row r="22398">
          <cell r="L22398"/>
          <cell r="S22398">
            <v>-184086.45</v>
          </cell>
          <cell r="X22398" t="str">
            <v>Commissions - share RI</v>
          </cell>
        </row>
        <row r="22399">
          <cell r="L22399"/>
          <cell r="S22399">
            <v>-19049.189999999999</v>
          </cell>
          <cell r="X22399" t="str">
            <v>Commissions - share RI</v>
          </cell>
        </row>
        <row r="22400">
          <cell r="L22400"/>
          <cell r="S22400">
            <v>-8713.83</v>
          </cell>
          <cell r="X22400" t="str">
            <v>Commissions - share RI</v>
          </cell>
        </row>
        <row r="22401">
          <cell r="L22401"/>
          <cell r="S22401">
            <v>-7216</v>
          </cell>
          <cell r="X22401" t="str">
            <v>Commissions - share RI</v>
          </cell>
        </row>
        <row r="22402">
          <cell r="L22402"/>
          <cell r="S22402">
            <v>-709.68</v>
          </cell>
          <cell r="X22402" t="str">
            <v>Commissions - share RI</v>
          </cell>
        </row>
        <row r="22403">
          <cell r="L22403"/>
          <cell r="S22403">
            <v>-40043.64</v>
          </cell>
          <cell r="X22403" t="str">
            <v>Commissions - share RI</v>
          </cell>
        </row>
        <row r="22404">
          <cell r="L22404"/>
          <cell r="S22404">
            <v>-41188.44</v>
          </cell>
          <cell r="X22404" t="str">
            <v>Commissions - share RI</v>
          </cell>
        </row>
        <row r="22405">
          <cell r="L22405"/>
          <cell r="S22405">
            <v>-5346.33</v>
          </cell>
          <cell r="X22405" t="str">
            <v>Commissions - share RI</v>
          </cell>
        </row>
        <row r="22406">
          <cell r="L22406"/>
          <cell r="S22406">
            <v>-15861.94</v>
          </cell>
          <cell r="X22406" t="str">
            <v>Commissions - share RI</v>
          </cell>
        </row>
        <row r="22407">
          <cell r="L22407"/>
          <cell r="S22407">
            <v>49305.24</v>
          </cell>
          <cell r="X22407" t="str">
            <v>Commissions - share RI</v>
          </cell>
        </row>
        <row r="22408">
          <cell r="L22408"/>
          <cell r="S22408">
            <v>-12982.33</v>
          </cell>
          <cell r="X22408" t="str">
            <v>Commissions - share RI</v>
          </cell>
        </row>
        <row r="22409">
          <cell r="L22409"/>
          <cell r="S22409">
            <v>-334.37</v>
          </cell>
          <cell r="X22409" t="str">
            <v>Commissions - share RI</v>
          </cell>
        </row>
        <row r="22410">
          <cell r="L22410"/>
          <cell r="S22410">
            <v>-14.38</v>
          </cell>
          <cell r="X22410" t="str">
            <v>Commissions - share RI</v>
          </cell>
        </row>
        <row r="22411">
          <cell r="L22411"/>
          <cell r="S22411">
            <v>-1811.61</v>
          </cell>
          <cell r="X22411" t="str">
            <v>Commissions - share RI</v>
          </cell>
        </row>
        <row r="22412">
          <cell r="L22412"/>
          <cell r="S22412">
            <v>120134.5</v>
          </cell>
          <cell r="X22412" t="str">
            <v>Commissions - share RI</v>
          </cell>
        </row>
        <row r="22413">
          <cell r="L22413"/>
          <cell r="S22413">
            <v>-1398.44</v>
          </cell>
          <cell r="X22413" t="str">
            <v>Commissions - share RI</v>
          </cell>
        </row>
        <row r="22414">
          <cell r="L22414"/>
          <cell r="S22414">
            <v>-5.81</v>
          </cell>
          <cell r="X22414" t="str">
            <v>Commissions - share RI</v>
          </cell>
        </row>
        <row r="22415">
          <cell r="L22415"/>
          <cell r="S22415">
            <v>-137590.16</v>
          </cell>
          <cell r="X22415" t="str">
            <v>Commissions - share RI</v>
          </cell>
        </row>
        <row r="22416">
          <cell r="L22416"/>
          <cell r="S22416">
            <v>-118.27</v>
          </cell>
          <cell r="X22416" t="str">
            <v>Commissions - share RI</v>
          </cell>
        </row>
        <row r="22417">
          <cell r="L22417"/>
          <cell r="S22417">
            <v>-43901.06</v>
          </cell>
          <cell r="X22417" t="str">
            <v>Commissions - share RI</v>
          </cell>
        </row>
        <row r="22418">
          <cell r="L22418"/>
          <cell r="S22418">
            <v>-12625.5</v>
          </cell>
          <cell r="X22418" t="str">
            <v>Commissions - share RI</v>
          </cell>
        </row>
        <row r="22419">
          <cell r="L22419"/>
          <cell r="S22419">
            <v>-2097.35</v>
          </cell>
          <cell r="X22419" t="str">
            <v>Commissions - share RI</v>
          </cell>
        </row>
        <row r="22420">
          <cell r="L22420"/>
          <cell r="S22420">
            <v>-121427.15</v>
          </cell>
          <cell r="X22420" t="str">
            <v>Commissions - share RI</v>
          </cell>
        </row>
        <row r="22421">
          <cell r="L22421"/>
          <cell r="S22421">
            <v>-419.47</v>
          </cell>
          <cell r="X22421" t="str">
            <v>Commissions - share RI</v>
          </cell>
        </row>
        <row r="22422">
          <cell r="L22422"/>
          <cell r="S22422">
            <v>832.28</v>
          </cell>
          <cell r="X22422" t="str">
            <v>Commissions - share RI</v>
          </cell>
        </row>
        <row r="22423">
          <cell r="L22423"/>
          <cell r="S22423">
            <v>-476.74</v>
          </cell>
          <cell r="X22423" t="str">
            <v>Commissions - share RI</v>
          </cell>
        </row>
        <row r="22424">
          <cell r="L22424"/>
          <cell r="S22424">
            <v>-93733.23</v>
          </cell>
          <cell r="X22424" t="str">
            <v>Commissions - share RI</v>
          </cell>
        </row>
        <row r="22425">
          <cell r="L22425"/>
          <cell r="S22425">
            <v>-133765.99</v>
          </cell>
          <cell r="X22425" t="str">
            <v>Commissions - share RI</v>
          </cell>
        </row>
        <row r="22426">
          <cell r="L22426"/>
          <cell r="S22426">
            <v>-45210.04</v>
          </cell>
          <cell r="X22426" t="str">
            <v>Commissions - share RI</v>
          </cell>
        </row>
        <row r="22427">
          <cell r="L22427"/>
          <cell r="S22427">
            <v>124915.42</v>
          </cell>
          <cell r="X22427" t="str">
            <v>Commissions - share RI</v>
          </cell>
        </row>
        <row r="22428">
          <cell r="L22428"/>
          <cell r="S22428">
            <v>-5135.03</v>
          </cell>
          <cell r="X22428" t="str">
            <v>Commissions - share RI</v>
          </cell>
        </row>
        <row r="22429">
          <cell r="L22429"/>
          <cell r="S22429">
            <v>-31954.52</v>
          </cell>
          <cell r="X22429" t="str">
            <v>Commissions - share RI</v>
          </cell>
        </row>
        <row r="22430">
          <cell r="L22430"/>
          <cell r="S22430">
            <v>-55107.37</v>
          </cell>
          <cell r="X22430" t="str">
            <v>Commissions - share RI</v>
          </cell>
        </row>
        <row r="22431">
          <cell r="L22431"/>
          <cell r="S22431">
            <v>-25743.1</v>
          </cell>
          <cell r="X22431" t="str">
            <v>Commissions - share RI</v>
          </cell>
        </row>
        <row r="22432">
          <cell r="L22432"/>
          <cell r="S22432">
            <v>-1605.76</v>
          </cell>
          <cell r="X22432" t="str">
            <v>Commissions - share RI</v>
          </cell>
        </row>
        <row r="22433">
          <cell r="L22433"/>
          <cell r="S22433">
            <v>-2408.56</v>
          </cell>
          <cell r="X22433" t="str">
            <v>Commissions - share RI</v>
          </cell>
        </row>
        <row r="22434">
          <cell r="L22434"/>
          <cell r="S22434">
            <v>-4366.6400000000003</v>
          </cell>
          <cell r="X22434" t="str">
            <v>Commissions - share RI</v>
          </cell>
        </row>
        <row r="22435">
          <cell r="L22435"/>
          <cell r="S22435">
            <v>-22.72</v>
          </cell>
          <cell r="X22435" t="str">
            <v>Commissions - share RI</v>
          </cell>
        </row>
        <row r="22436">
          <cell r="L22436"/>
          <cell r="S22436">
            <v>21.89</v>
          </cell>
          <cell r="X22436" t="str">
            <v>Commissions - share RI</v>
          </cell>
        </row>
        <row r="22437">
          <cell r="L22437"/>
          <cell r="S22437">
            <v>-2790.03</v>
          </cell>
          <cell r="X22437" t="str">
            <v>Commissions - share RI</v>
          </cell>
        </row>
        <row r="22438">
          <cell r="L22438"/>
          <cell r="S22438">
            <v>-1020.09</v>
          </cell>
          <cell r="X22438" t="str">
            <v>Commissions - share RI</v>
          </cell>
        </row>
        <row r="22439">
          <cell r="L22439"/>
          <cell r="S22439">
            <v>285.49</v>
          </cell>
          <cell r="X22439" t="str">
            <v>Commissions - share RI</v>
          </cell>
        </row>
        <row r="22440">
          <cell r="L22440"/>
          <cell r="S22440">
            <v>223.51</v>
          </cell>
          <cell r="X22440" t="str">
            <v>Commissions - share RI</v>
          </cell>
        </row>
        <row r="22441">
          <cell r="L22441"/>
          <cell r="S22441">
            <v>18.489999999999998</v>
          </cell>
          <cell r="X22441" t="str">
            <v>Commissions - share RI</v>
          </cell>
        </row>
        <row r="22442">
          <cell r="L22442"/>
          <cell r="S22442">
            <v>-2854.99</v>
          </cell>
          <cell r="X22442" t="str">
            <v>Commissions - share RI</v>
          </cell>
        </row>
        <row r="22443">
          <cell r="L22443"/>
          <cell r="S22443">
            <v>22.72</v>
          </cell>
          <cell r="X22443" t="str">
            <v>Commissions - share RI</v>
          </cell>
        </row>
        <row r="22444">
          <cell r="L22444"/>
          <cell r="S22444">
            <v>56.05</v>
          </cell>
          <cell r="X22444" t="str">
            <v>Commissions - share RI</v>
          </cell>
        </row>
        <row r="22445">
          <cell r="L22445"/>
          <cell r="S22445">
            <v>25.23</v>
          </cell>
          <cell r="X22445" t="str">
            <v>Commissions - share RI</v>
          </cell>
        </row>
        <row r="22446">
          <cell r="L22446"/>
          <cell r="S22446">
            <v>414.26</v>
          </cell>
          <cell r="X22446" t="str">
            <v>Commissions - share RI</v>
          </cell>
        </row>
        <row r="22447">
          <cell r="L22447"/>
          <cell r="S22447">
            <v>140.38</v>
          </cell>
          <cell r="X22447" t="str">
            <v>Commissions - share RI</v>
          </cell>
        </row>
        <row r="22448">
          <cell r="L22448"/>
          <cell r="S22448">
            <v>-190.63</v>
          </cell>
          <cell r="X22448" t="str">
            <v>Commissions - share RI</v>
          </cell>
        </row>
        <row r="22449">
          <cell r="L22449"/>
          <cell r="S22449">
            <v>58.59</v>
          </cell>
          <cell r="X22449" t="str">
            <v>Commissions - share RI</v>
          </cell>
        </row>
        <row r="22450">
          <cell r="L22450"/>
          <cell r="S22450">
            <v>91.69</v>
          </cell>
          <cell r="X22450" t="str">
            <v>Commissions - share RI</v>
          </cell>
        </row>
        <row r="22451">
          <cell r="L22451"/>
          <cell r="S22451">
            <v>37.78</v>
          </cell>
          <cell r="X22451" t="str">
            <v>Commissions - share RI</v>
          </cell>
        </row>
        <row r="22452">
          <cell r="L22452"/>
          <cell r="S22452">
            <v>-0.67</v>
          </cell>
          <cell r="X22452" t="str">
            <v>Commissions - share RI</v>
          </cell>
        </row>
        <row r="22453">
          <cell r="L22453"/>
          <cell r="S22453">
            <v>-1692.79</v>
          </cell>
          <cell r="X22453" t="str">
            <v>Commissions - share RI</v>
          </cell>
        </row>
        <row r="22454">
          <cell r="L22454"/>
          <cell r="S22454">
            <v>1692.79</v>
          </cell>
          <cell r="X22454" t="str">
            <v>Commissions - share RI</v>
          </cell>
        </row>
        <row r="22455">
          <cell r="L22455"/>
          <cell r="S22455">
            <v>6.84</v>
          </cell>
          <cell r="X22455" t="str">
            <v>Commissions - share RI</v>
          </cell>
        </row>
        <row r="22456">
          <cell r="L22456"/>
          <cell r="S22456">
            <v>190.63</v>
          </cell>
          <cell r="X22456" t="str">
            <v>Commissions - share RI</v>
          </cell>
        </row>
        <row r="22457">
          <cell r="L22457" t="str">
            <v>Non-proportional</v>
          </cell>
          <cell r="S22457">
            <v>13090.89</v>
          </cell>
          <cell r="X22457" t="str">
            <v>Commissions - share RI</v>
          </cell>
        </row>
        <row r="22458">
          <cell r="L22458"/>
          <cell r="S22458">
            <v>-1008.19</v>
          </cell>
          <cell r="X22458" t="str">
            <v>Commissions - share RI</v>
          </cell>
        </row>
        <row r="22459">
          <cell r="L22459"/>
          <cell r="S22459">
            <v>19.07</v>
          </cell>
          <cell r="X22459" t="str">
            <v>Commissions - share RI</v>
          </cell>
        </row>
        <row r="22460">
          <cell r="L22460"/>
          <cell r="S22460">
            <v>0.57999999999999996</v>
          </cell>
          <cell r="X22460" t="str">
            <v>Commissions - share RI</v>
          </cell>
        </row>
        <row r="22461">
          <cell r="L22461"/>
          <cell r="S22461">
            <v>-37.78</v>
          </cell>
          <cell r="X22461" t="str">
            <v>Commissions - share RI</v>
          </cell>
        </row>
        <row r="22462">
          <cell r="L22462"/>
          <cell r="S22462">
            <v>-717.83</v>
          </cell>
          <cell r="X22462" t="str">
            <v>Commissions - share RI</v>
          </cell>
        </row>
        <row r="22463">
          <cell r="L22463"/>
          <cell r="S22463">
            <v>2.23</v>
          </cell>
          <cell r="X22463" t="str">
            <v>Commissions - share RI</v>
          </cell>
        </row>
        <row r="22464">
          <cell r="L22464"/>
          <cell r="S22464">
            <v>-437.95</v>
          </cell>
          <cell r="X22464" t="str">
            <v>Commissions - share RI</v>
          </cell>
        </row>
        <row r="22465">
          <cell r="L22465"/>
          <cell r="S22465">
            <v>436.67</v>
          </cell>
          <cell r="X22465" t="str">
            <v>Commissions - share RI</v>
          </cell>
        </row>
        <row r="22466">
          <cell r="L22466" t="str">
            <v>Non-proportional</v>
          </cell>
          <cell r="S22466">
            <v>-2897.09</v>
          </cell>
          <cell r="X22466" t="str">
            <v>Commissions - share RI</v>
          </cell>
        </row>
        <row r="22467">
          <cell r="L22467"/>
          <cell r="S22467">
            <v>-2121.1799999999998</v>
          </cell>
          <cell r="X22467" t="str">
            <v>Commissions - share RI</v>
          </cell>
        </row>
        <row r="22468">
          <cell r="L22468"/>
          <cell r="S22468">
            <v>-67.12</v>
          </cell>
          <cell r="X22468" t="str">
            <v>Commissions - share RI</v>
          </cell>
        </row>
        <row r="22469">
          <cell r="L22469"/>
          <cell r="S22469">
            <v>151.12</v>
          </cell>
          <cell r="X22469" t="str">
            <v>Commissions - share RI</v>
          </cell>
        </row>
        <row r="22470">
          <cell r="L22470"/>
          <cell r="S22470">
            <v>-57.19</v>
          </cell>
          <cell r="X22470" t="str">
            <v>Commissions - share RI</v>
          </cell>
        </row>
        <row r="22471">
          <cell r="L22471"/>
          <cell r="S22471">
            <v>-169.28</v>
          </cell>
          <cell r="X22471" t="str">
            <v>Commissions - share RI</v>
          </cell>
        </row>
        <row r="22472">
          <cell r="L22472"/>
          <cell r="S22472">
            <v>29.48</v>
          </cell>
          <cell r="X22472" t="str">
            <v>Commissions - share RI</v>
          </cell>
        </row>
        <row r="22473">
          <cell r="L22473"/>
          <cell r="S22473">
            <v>37.78</v>
          </cell>
          <cell r="X22473" t="str">
            <v>Commissions - share RI</v>
          </cell>
        </row>
        <row r="22474">
          <cell r="L22474"/>
          <cell r="S22474">
            <v>-2803.05</v>
          </cell>
          <cell r="X22474" t="str">
            <v>Commissions - share RI</v>
          </cell>
        </row>
        <row r="22475">
          <cell r="L22475"/>
          <cell r="S22475">
            <v>-6.71</v>
          </cell>
          <cell r="X22475" t="str">
            <v>Commissions - share RI</v>
          </cell>
        </row>
        <row r="22476">
          <cell r="L22476" t="str">
            <v>Non-proportional</v>
          </cell>
          <cell r="S22476">
            <v>-13090.89</v>
          </cell>
          <cell r="X22476" t="str">
            <v>Commissions - share RI</v>
          </cell>
        </row>
        <row r="22477">
          <cell r="L22477"/>
          <cell r="S22477">
            <v>51.63</v>
          </cell>
          <cell r="X22477" t="str">
            <v>Commissions - share RI</v>
          </cell>
        </row>
        <row r="22478">
          <cell r="L22478"/>
          <cell r="S22478">
            <v>53.3</v>
          </cell>
          <cell r="X22478" t="str">
            <v>Commissions - share RI</v>
          </cell>
        </row>
        <row r="22479">
          <cell r="L22479"/>
          <cell r="S22479">
            <v>37.78</v>
          </cell>
          <cell r="X22479" t="str">
            <v>Commissions - share RI</v>
          </cell>
        </row>
        <row r="22480">
          <cell r="L22480"/>
          <cell r="S22480">
            <v>25.49</v>
          </cell>
          <cell r="X22480" t="str">
            <v>Commissions - share RI</v>
          </cell>
        </row>
        <row r="22481">
          <cell r="L22481"/>
          <cell r="S22481">
            <v>280.31</v>
          </cell>
          <cell r="X22481" t="str">
            <v>Commissions - share RI</v>
          </cell>
        </row>
        <row r="22482">
          <cell r="L22482"/>
          <cell r="S22482">
            <v>81.709999999999994</v>
          </cell>
          <cell r="X22482" t="str">
            <v>Commissions - share RI</v>
          </cell>
        </row>
        <row r="22483">
          <cell r="L22483"/>
          <cell r="S22483">
            <v>0.67</v>
          </cell>
          <cell r="X22483" t="str">
            <v>Commissions - share RI</v>
          </cell>
        </row>
        <row r="22484">
          <cell r="L22484"/>
          <cell r="S22484">
            <v>72.260000000000005</v>
          </cell>
          <cell r="X22484" t="str">
            <v>Commissions - share RI</v>
          </cell>
        </row>
        <row r="22485">
          <cell r="L22485"/>
          <cell r="S22485">
            <v>212.1</v>
          </cell>
          <cell r="X22485" t="str">
            <v>Commissions - share RI</v>
          </cell>
        </row>
        <row r="22486">
          <cell r="L22486"/>
          <cell r="S22486">
            <v>-327.68</v>
          </cell>
          <cell r="X22486" t="str">
            <v>Commissions - share RI</v>
          </cell>
        </row>
        <row r="22487">
          <cell r="L22487"/>
          <cell r="S22487">
            <v>10.6</v>
          </cell>
          <cell r="X22487" t="str">
            <v>Commissions - share RI</v>
          </cell>
        </row>
        <row r="22488">
          <cell r="L22488"/>
          <cell r="S22488">
            <v>-4142.4799999999996</v>
          </cell>
          <cell r="X22488" t="str">
            <v>Commissions - share RI</v>
          </cell>
        </row>
        <row r="22489">
          <cell r="L22489"/>
          <cell r="S22489">
            <v>50.3</v>
          </cell>
          <cell r="X22489" t="str">
            <v>Commissions - share RI</v>
          </cell>
        </row>
        <row r="22490">
          <cell r="L22490"/>
          <cell r="S22490">
            <v>-2832.37</v>
          </cell>
          <cell r="X22490" t="str">
            <v>Commissions - share RI</v>
          </cell>
        </row>
        <row r="22491">
          <cell r="L22491"/>
          <cell r="S22491">
            <v>141.32</v>
          </cell>
          <cell r="X22491" t="str">
            <v>Commissions - share RI</v>
          </cell>
        </row>
        <row r="22492">
          <cell r="L22492"/>
          <cell r="S22492">
            <v>-5.72</v>
          </cell>
          <cell r="X22492" t="str">
            <v>Commissions - share RI</v>
          </cell>
        </row>
        <row r="22493">
          <cell r="L22493"/>
          <cell r="S22493">
            <v>186.4</v>
          </cell>
          <cell r="X22493" t="str">
            <v>Commissions - share RI</v>
          </cell>
        </row>
        <row r="22494">
          <cell r="L22494"/>
          <cell r="S22494">
            <v>-19.07</v>
          </cell>
          <cell r="X22494" t="str">
            <v>Commissions - share RI</v>
          </cell>
        </row>
        <row r="22495">
          <cell r="L22495"/>
          <cell r="S22495">
            <v>-5017.82</v>
          </cell>
          <cell r="X22495" t="str">
            <v>Commissions - share RI</v>
          </cell>
        </row>
        <row r="22496">
          <cell r="L22496"/>
          <cell r="S22496">
            <v>361.54</v>
          </cell>
          <cell r="X22496" t="str">
            <v>Commissions - share RI</v>
          </cell>
        </row>
        <row r="22497">
          <cell r="L22497" t="str">
            <v>Non-proportional</v>
          </cell>
          <cell r="S22497">
            <v>784.84</v>
          </cell>
          <cell r="X22497" t="str">
            <v>Commissions - share RI</v>
          </cell>
        </row>
        <row r="22498">
          <cell r="L22498"/>
          <cell r="S22498">
            <v>-906.73</v>
          </cell>
          <cell r="X22498" t="str">
            <v>Commissions - share RI</v>
          </cell>
        </row>
        <row r="22499">
          <cell r="L22499"/>
          <cell r="S22499">
            <v>67.12</v>
          </cell>
          <cell r="X22499" t="str">
            <v>Commissions - share RI</v>
          </cell>
        </row>
        <row r="22500">
          <cell r="L22500"/>
          <cell r="S22500">
            <v>50.41</v>
          </cell>
          <cell r="X22500" t="str">
            <v>Commissions - share RI</v>
          </cell>
        </row>
        <row r="22501">
          <cell r="L22501"/>
          <cell r="S22501">
            <v>-3615.39</v>
          </cell>
          <cell r="X22501" t="str">
            <v>Commissions - share RI</v>
          </cell>
        </row>
        <row r="22502">
          <cell r="L22502"/>
          <cell r="S22502">
            <v>-37.78</v>
          </cell>
          <cell r="X22502" t="str">
            <v>Commissions - share RI</v>
          </cell>
        </row>
        <row r="22503">
          <cell r="L22503"/>
          <cell r="S22503">
            <v>-533.02</v>
          </cell>
          <cell r="X22503" t="str">
            <v>Commissions - share RI</v>
          </cell>
        </row>
        <row r="22504">
          <cell r="L22504"/>
          <cell r="S22504">
            <v>6.71</v>
          </cell>
          <cell r="X22504" t="str">
            <v>Commissions - share RI</v>
          </cell>
        </row>
        <row r="22505">
          <cell r="L22505"/>
          <cell r="S22505">
            <v>-453.37</v>
          </cell>
          <cell r="X22505" t="str">
            <v>Commissions - share RI</v>
          </cell>
        </row>
        <row r="22506">
          <cell r="L22506"/>
          <cell r="S22506">
            <v>-1403.74</v>
          </cell>
          <cell r="X22506" t="str">
            <v>Commissions - share RI</v>
          </cell>
        </row>
        <row r="22507">
          <cell r="L22507"/>
          <cell r="S22507">
            <v>-2.23</v>
          </cell>
          <cell r="X22507" t="str">
            <v>Commissions - share RI</v>
          </cell>
        </row>
        <row r="22508">
          <cell r="L22508"/>
          <cell r="S22508">
            <v>-0.57999999999999996</v>
          </cell>
          <cell r="X22508" t="str">
            <v>Commissions - share RI</v>
          </cell>
        </row>
        <row r="22509">
          <cell r="L22509"/>
          <cell r="S22509">
            <v>37.78</v>
          </cell>
          <cell r="X22509" t="str">
            <v>Commissions - share RI</v>
          </cell>
        </row>
        <row r="22510">
          <cell r="L22510"/>
          <cell r="S22510">
            <v>-604.49</v>
          </cell>
          <cell r="X22510" t="str">
            <v>Commissions - share RI</v>
          </cell>
        </row>
        <row r="22511">
          <cell r="L22511"/>
          <cell r="S22511">
            <v>-2.27</v>
          </cell>
          <cell r="X22511" t="str">
            <v>Commissions - share RI</v>
          </cell>
        </row>
        <row r="22512">
          <cell r="L22512"/>
          <cell r="S22512">
            <v>-1614.34</v>
          </cell>
          <cell r="X22512" t="str">
            <v>Commissions - share RI</v>
          </cell>
        </row>
        <row r="22513">
          <cell r="L22513"/>
          <cell r="S22513">
            <v>-1360.11</v>
          </cell>
          <cell r="X22513" t="str">
            <v>Commissions - share RI</v>
          </cell>
        </row>
        <row r="22514">
          <cell r="L22514"/>
          <cell r="S22514">
            <v>-223.51</v>
          </cell>
          <cell r="X22514" t="str">
            <v>Commissions - share RI</v>
          </cell>
        </row>
        <row r="22515">
          <cell r="L22515"/>
          <cell r="S22515">
            <v>279</v>
          </cell>
          <cell r="X22515" t="str">
            <v>Commissions - share RI</v>
          </cell>
        </row>
        <row r="22516">
          <cell r="L22516"/>
          <cell r="S22516">
            <v>1.91</v>
          </cell>
          <cell r="X22516" t="str">
            <v>Commissions - share RI</v>
          </cell>
        </row>
        <row r="22517">
          <cell r="L22517"/>
          <cell r="S22517">
            <v>25.45</v>
          </cell>
          <cell r="X22517" t="str">
            <v>Commissions - share RI</v>
          </cell>
        </row>
        <row r="22518">
          <cell r="L22518"/>
          <cell r="S22518">
            <v>114.73</v>
          </cell>
          <cell r="X22518" t="str">
            <v>Commissions - share RI</v>
          </cell>
        </row>
        <row r="22519">
          <cell r="L22519"/>
          <cell r="S22519">
            <v>-742.96</v>
          </cell>
          <cell r="X22519" t="str">
            <v>Commissions - share RI</v>
          </cell>
        </row>
        <row r="22520">
          <cell r="L22520"/>
          <cell r="S22520">
            <v>17.89</v>
          </cell>
          <cell r="X22520" t="str">
            <v>Commissions - share RI</v>
          </cell>
        </row>
        <row r="22521">
          <cell r="L22521"/>
          <cell r="S22521">
            <v>-2055.2399999999998</v>
          </cell>
          <cell r="X22521" t="str">
            <v>Commissions - share RI</v>
          </cell>
        </row>
        <row r="22522">
          <cell r="L22522" t="str">
            <v>Non-proportional</v>
          </cell>
          <cell r="S22522">
            <v>-381.54</v>
          </cell>
          <cell r="X22522" t="str">
            <v>Commissions - share RI</v>
          </cell>
        </row>
        <row r="22523">
          <cell r="L22523"/>
          <cell r="S22523">
            <v>5.72</v>
          </cell>
          <cell r="X22523" t="str">
            <v>Commissions - share RI</v>
          </cell>
        </row>
        <row r="22524">
          <cell r="L22524"/>
          <cell r="S22524">
            <v>-227.15</v>
          </cell>
          <cell r="X22524" t="str">
            <v>Commissions - share RI</v>
          </cell>
        </row>
        <row r="22525">
          <cell r="L22525"/>
          <cell r="S22525">
            <v>-2394.86</v>
          </cell>
          <cell r="X22525" t="str">
            <v>Commissions - share RI</v>
          </cell>
        </row>
        <row r="22526">
          <cell r="L22526"/>
          <cell r="S22526">
            <v>283.24</v>
          </cell>
          <cell r="X22526" t="str">
            <v>Commissions - share RI</v>
          </cell>
        </row>
        <row r="22527">
          <cell r="L22527"/>
          <cell r="S22527">
            <v>-361.59</v>
          </cell>
          <cell r="X22527" t="str">
            <v>Commissions - share RI</v>
          </cell>
        </row>
        <row r="22528">
          <cell r="L22528"/>
          <cell r="S22528">
            <v>36.159999999999997</v>
          </cell>
          <cell r="X22528" t="str">
            <v>Commissions - share RI</v>
          </cell>
        </row>
        <row r="22529">
          <cell r="L22529"/>
          <cell r="S22529">
            <v>205.52</v>
          </cell>
          <cell r="X22529" t="str">
            <v>Commissions - share RI</v>
          </cell>
        </row>
        <row r="22530">
          <cell r="L22530"/>
          <cell r="S22530">
            <v>113.34</v>
          </cell>
          <cell r="X22530" t="str">
            <v>Commissions - share RI</v>
          </cell>
        </row>
        <row r="22531">
          <cell r="L22531"/>
          <cell r="S22531">
            <v>2.27</v>
          </cell>
          <cell r="X22531" t="str">
            <v>Commissions - share RI</v>
          </cell>
        </row>
        <row r="22532">
          <cell r="L22532"/>
          <cell r="S22532">
            <v>160.58000000000001</v>
          </cell>
          <cell r="X22532" t="str">
            <v>Commissions - share RI</v>
          </cell>
        </row>
        <row r="22533">
          <cell r="L22533" t="str">
            <v>Non-proportional</v>
          </cell>
          <cell r="S22533">
            <v>381.54</v>
          </cell>
          <cell r="X22533" t="str">
            <v>Commissions - share RI</v>
          </cell>
        </row>
        <row r="22534">
          <cell r="L22534"/>
          <cell r="S22534">
            <v>188.09</v>
          </cell>
          <cell r="X22534" t="str">
            <v>Commissions - share RI</v>
          </cell>
        </row>
        <row r="22535">
          <cell r="L22535"/>
          <cell r="S22535">
            <v>-2229.06</v>
          </cell>
          <cell r="X22535" t="str">
            <v>Commissions - share RI</v>
          </cell>
        </row>
        <row r="22536">
          <cell r="L22536"/>
          <cell r="S22536">
            <v>-302.24</v>
          </cell>
          <cell r="X22536" t="str">
            <v>Commissions - share RI</v>
          </cell>
        </row>
        <row r="22537">
          <cell r="L22537"/>
          <cell r="S22537">
            <v>188.9</v>
          </cell>
          <cell r="X22537" t="str">
            <v>Commissions - share RI</v>
          </cell>
        </row>
        <row r="22538">
          <cell r="L22538"/>
          <cell r="S22538">
            <v>-560.57000000000005</v>
          </cell>
          <cell r="X22538" t="str">
            <v>Commissions - share RI</v>
          </cell>
        </row>
        <row r="22539">
          <cell r="L22539"/>
          <cell r="S22539">
            <v>16.23</v>
          </cell>
          <cell r="X22539" t="str">
            <v>Commissions - share RI</v>
          </cell>
        </row>
        <row r="22540">
          <cell r="L22540"/>
          <cell r="S22540">
            <v>100.83</v>
          </cell>
          <cell r="X22540" t="str">
            <v>Commissions - share RI</v>
          </cell>
        </row>
        <row r="22541">
          <cell r="L22541"/>
          <cell r="S22541">
            <v>-1511.23</v>
          </cell>
          <cell r="X22541" t="str">
            <v>Commissions - share RI</v>
          </cell>
        </row>
        <row r="22542">
          <cell r="L22542"/>
          <cell r="S22542">
            <v>43.8</v>
          </cell>
          <cell r="X22542" t="str">
            <v>Commissions - share RI</v>
          </cell>
        </row>
        <row r="22543">
          <cell r="L22543"/>
          <cell r="S22543">
            <v>227.15</v>
          </cell>
          <cell r="X22543" t="str">
            <v>Commissions - share RI</v>
          </cell>
        </row>
        <row r="22544">
          <cell r="L22544"/>
          <cell r="S22544">
            <v>113.34</v>
          </cell>
          <cell r="X22544" t="str">
            <v>Commissions - share RI</v>
          </cell>
        </row>
        <row r="22545">
          <cell r="L22545"/>
          <cell r="S22545">
            <v>-1147.27</v>
          </cell>
          <cell r="X22545" t="str">
            <v>Commissions - share RI</v>
          </cell>
        </row>
        <row r="22546">
          <cell r="L22546"/>
          <cell r="S22546">
            <v>37.78</v>
          </cell>
          <cell r="X22546" t="str">
            <v>Commissions - share RI</v>
          </cell>
        </row>
        <row r="22547">
          <cell r="L22547"/>
          <cell r="S22547">
            <v>239.48</v>
          </cell>
          <cell r="X22547" t="str">
            <v>Commissions - share RI</v>
          </cell>
        </row>
        <row r="22548">
          <cell r="L22548"/>
          <cell r="S22548">
            <v>151.12</v>
          </cell>
          <cell r="X22548" t="str">
            <v>Commissions - share RI</v>
          </cell>
        </row>
        <row r="22549">
          <cell r="L22549" t="str">
            <v>Non-proportional</v>
          </cell>
          <cell r="S22549">
            <v>-784.84</v>
          </cell>
          <cell r="X22549" t="str">
            <v>Commissions - share RI</v>
          </cell>
        </row>
        <row r="22550">
          <cell r="L22550"/>
          <cell r="S22550">
            <v>75.92</v>
          </cell>
          <cell r="X22550" t="str">
            <v>Commissions - share RI</v>
          </cell>
        </row>
        <row r="22551">
          <cell r="L22551"/>
          <cell r="S22551">
            <v>37.78</v>
          </cell>
          <cell r="X22551" t="str">
            <v>Commissions - share RI</v>
          </cell>
        </row>
        <row r="22552">
          <cell r="L22552"/>
          <cell r="S22552">
            <v>-22.36</v>
          </cell>
          <cell r="X22552" t="str">
            <v>Commissions - share RI</v>
          </cell>
        </row>
        <row r="22553">
          <cell r="L22553"/>
          <cell r="S22553">
            <v>44.55</v>
          </cell>
          <cell r="X22553" t="str">
            <v>Commissions - share RI</v>
          </cell>
        </row>
        <row r="22554">
          <cell r="L22554"/>
          <cell r="S22554">
            <v>11.19</v>
          </cell>
          <cell r="X22554" t="str">
            <v>Commissions - share RI</v>
          </cell>
        </row>
        <row r="22555">
          <cell r="L22555"/>
          <cell r="S22555">
            <v>57.19</v>
          </cell>
          <cell r="X22555" t="str">
            <v>Commissions - share RI</v>
          </cell>
        </row>
        <row r="22556">
          <cell r="L22556"/>
          <cell r="S22556">
            <v>-793.39</v>
          </cell>
          <cell r="X22556" t="str">
            <v>Commissions - share RI</v>
          </cell>
        </row>
        <row r="22557">
          <cell r="L22557"/>
          <cell r="S22557">
            <v>-264.45999999999998</v>
          </cell>
          <cell r="X22557" t="str">
            <v>Commissions - share RI</v>
          </cell>
        </row>
        <row r="22558">
          <cell r="L22558"/>
          <cell r="S22558">
            <v>36.21</v>
          </cell>
          <cell r="X22558" t="str">
            <v>Commissions - share RI</v>
          </cell>
        </row>
        <row r="22559">
          <cell r="L22559"/>
          <cell r="S22559">
            <v>-1880.87</v>
          </cell>
          <cell r="X22559" t="str">
            <v>Commissions - share RI</v>
          </cell>
        </row>
        <row r="22560">
          <cell r="L22560"/>
          <cell r="S22560">
            <v>15.44</v>
          </cell>
          <cell r="X22560" t="str">
            <v>Commissions - share RI</v>
          </cell>
        </row>
        <row r="22561">
          <cell r="L22561"/>
          <cell r="S22561">
            <v>32.770000000000003</v>
          </cell>
          <cell r="X22561" t="str">
            <v>Commissions - share RI</v>
          </cell>
        </row>
        <row r="22562">
          <cell r="L22562"/>
          <cell r="S22562">
            <v>22.36</v>
          </cell>
          <cell r="X22562" t="str">
            <v>Commissions - share RI</v>
          </cell>
        </row>
        <row r="22563">
          <cell r="L22563"/>
          <cell r="S22563">
            <v>113.34</v>
          </cell>
          <cell r="X22563" t="str">
            <v>Commissions - share RI</v>
          </cell>
        </row>
        <row r="22564">
          <cell r="L22564"/>
          <cell r="S22564">
            <v>-817.16</v>
          </cell>
          <cell r="X22564" t="str">
            <v>Commissions - share RI</v>
          </cell>
        </row>
        <row r="22565">
          <cell r="L22565"/>
          <cell r="S22565">
            <v>51.41</v>
          </cell>
          <cell r="X22565" t="str">
            <v>Commissions - share RI</v>
          </cell>
        </row>
        <row r="22566">
          <cell r="L22566"/>
          <cell r="S22566">
            <v>-514.12</v>
          </cell>
          <cell r="X22566" t="str">
            <v>Commissions - share RI</v>
          </cell>
        </row>
        <row r="22567">
          <cell r="L22567"/>
          <cell r="S22567">
            <v>37.78</v>
          </cell>
          <cell r="X22567" t="str">
            <v>Commissions - share RI</v>
          </cell>
        </row>
        <row r="22568">
          <cell r="L22568"/>
          <cell r="S22568">
            <v>-362.07</v>
          </cell>
          <cell r="X22568" t="str">
            <v>Commissions - share RI</v>
          </cell>
        </row>
        <row r="22569">
          <cell r="L22569" t="str">
            <v>Non-proportional</v>
          </cell>
          <cell r="S22569">
            <v>2897.09</v>
          </cell>
          <cell r="X22569" t="str">
            <v>Commissions - share RI</v>
          </cell>
        </row>
        <row r="22570">
          <cell r="L22570"/>
          <cell r="S22570">
            <v>-1.91</v>
          </cell>
          <cell r="X22570" t="str">
            <v>Commissions - share RI</v>
          </cell>
        </row>
        <row r="22571">
          <cell r="L22571"/>
          <cell r="S22571">
            <v>169.28</v>
          </cell>
          <cell r="X22571" t="str">
            <v>Commissions - share RI</v>
          </cell>
        </row>
        <row r="22572">
          <cell r="L22572"/>
          <cell r="S22572">
            <v>-545.26</v>
          </cell>
          <cell r="X22572" t="str">
            <v>Commissions - share RI</v>
          </cell>
        </row>
        <row r="22573">
          <cell r="L22573"/>
          <cell r="S22573">
            <v>40.28</v>
          </cell>
          <cell r="X22573" t="str">
            <v>Commissions - share RI</v>
          </cell>
        </row>
        <row r="22574">
          <cell r="L22574"/>
          <cell r="S22574">
            <v>4519.53</v>
          </cell>
          <cell r="X22574" t="str">
            <v>Commissions - share RI</v>
          </cell>
        </row>
        <row r="22575">
          <cell r="L22575"/>
          <cell r="S22575">
            <v>-402.74</v>
          </cell>
          <cell r="X22575" t="str">
            <v>Commissions - share RI</v>
          </cell>
        </row>
        <row r="22576">
          <cell r="L22576"/>
          <cell r="S22576">
            <v>-402.73</v>
          </cell>
          <cell r="X22576" t="str">
            <v>Commissions - share RI</v>
          </cell>
        </row>
        <row r="22577">
          <cell r="L22577"/>
          <cell r="S22577">
            <v>35.159999999999997</v>
          </cell>
          <cell r="X22577" t="str">
            <v>Commissions - share RI</v>
          </cell>
        </row>
        <row r="22578">
          <cell r="L22578"/>
          <cell r="S22578">
            <v>-1743.61</v>
          </cell>
          <cell r="X22578" t="str">
            <v>Commissions - share RI</v>
          </cell>
        </row>
        <row r="22579">
          <cell r="L22579"/>
          <cell r="S22579">
            <v>257.64</v>
          </cell>
          <cell r="X22579" t="str">
            <v>Commissions - share RI</v>
          </cell>
        </row>
        <row r="22580">
          <cell r="L22580"/>
          <cell r="S22580">
            <v>3.82</v>
          </cell>
          <cell r="X22580" t="str">
            <v>Commissions - share RI</v>
          </cell>
        </row>
        <row r="22581">
          <cell r="L22581"/>
          <cell r="S22581">
            <v>-4.49</v>
          </cell>
          <cell r="X22581" t="str">
            <v>Commissions - share RI</v>
          </cell>
        </row>
        <row r="22582">
          <cell r="L22582"/>
          <cell r="S22582">
            <v>-14169.29</v>
          </cell>
          <cell r="X22582" t="str">
            <v>Commissions - share RI</v>
          </cell>
        </row>
        <row r="22583">
          <cell r="L22583"/>
          <cell r="S22583">
            <v>-32.6</v>
          </cell>
          <cell r="X22583" t="str">
            <v>Commissions - share RI</v>
          </cell>
        </row>
        <row r="22584">
          <cell r="L22584"/>
          <cell r="S22584">
            <v>219.43</v>
          </cell>
          <cell r="X22584" t="str">
            <v>Commissions - share RI</v>
          </cell>
        </row>
        <row r="22585">
          <cell r="L22585"/>
          <cell r="S22585">
            <v>95.89</v>
          </cell>
          <cell r="X22585" t="str">
            <v>Commissions - share RI</v>
          </cell>
        </row>
        <row r="22586">
          <cell r="L22586"/>
          <cell r="S22586">
            <v>16.27</v>
          </cell>
          <cell r="X22586" t="str">
            <v>Commissions - share RI</v>
          </cell>
        </row>
        <row r="22587">
          <cell r="L22587"/>
          <cell r="S22587">
            <v>-2169.37</v>
          </cell>
          <cell r="X22587" t="str">
            <v>Commissions - share RI</v>
          </cell>
        </row>
        <row r="22588">
          <cell r="L22588"/>
          <cell r="S22588">
            <v>402.73</v>
          </cell>
          <cell r="X22588" t="str">
            <v>Commissions - share RI</v>
          </cell>
        </row>
        <row r="22589">
          <cell r="L22589"/>
          <cell r="S22589">
            <v>-2194.36</v>
          </cell>
          <cell r="X22589" t="str">
            <v>Commissions - share RI</v>
          </cell>
        </row>
        <row r="22590">
          <cell r="L22590"/>
          <cell r="S22590">
            <v>-463.99</v>
          </cell>
          <cell r="X22590" t="str">
            <v>Commissions - share RI</v>
          </cell>
        </row>
        <row r="22591">
          <cell r="L22591"/>
          <cell r="S22591">
            <v>-3.82</v>
          </cell>
          <cell r="X22591" t="str">
            <v>Commissions - share RI</v>
          </cell>
        </row>
        <row r="22592">
          <cell r="L22592"/>
          <cell r="S22592">
            <v>72.69</v>
          </cell>
          <cell r="X22592" t="str">
            <v>Commissions - share RI</v>
          </cell>
        </row>
        <row r="22593">
          <cell r="L22593"/>
          <cell r="S22593">
            <v>-3.32</v>
          </cell>
          <cell r="X22593" t="str">
            <v>Commissions - share RI</v>
          </cell>
        </row>
        <row r="22594">
          <cell r="L22594"/>
          <cell r="S22594">
            <v>366.46</v>
          </cell>
          <cell r="X22594" t="str">
            <v>Commissions - share RI</v>
          </cell>
        </row>
        <row r="22595">
          <cell r="L22595"/>
          <cell r="S22595">
            <v>32.6</v>
          </cell>
          <cell r="X22595" t="str">
            <v>Commissions - share RI</v>
          </cell>
        </row>
        <row r="22596">
          <cell r="L22596"/>
          <cell r="S22596">
            <v>-40.479999999999997</v>
          </cell>
          <cell r="X22596" t="str">
            <v>Commissions - share RI</v>
          </cell>
        </row>
        <row r="22597">
          <cell r="L22597"/>
          <cell r="S22597">
            <v>-40.28</v>
          </cell>
          <cell r="X22597" t="str">
            <v>Commissions - share RI</v>
          </cell>
        </row>
        <row r="22598">
          <cell r="L22598"/>
          <cell r="S22598">
            <v>-35.159999999999997</v>
          </cell>
          <cell r="X22598" t="str">
            <v>Commissions - share RI</v>
          </cell>
        </row>
        <row r="22599">
          <cell r="L22599"/>
          <cell r="S22599">
            <v>201.55</v>
          </cell>
          <cell r="X22599" t="str">
            <v>Commissions - share RI</v>
          </cell>
        </row>
        <row r="22600">
          <cell r="L22600"/>
          <cell r="S22600">
            <v>545.26</v>
          </cell>
          <cell r="X22600" t="str">
            <v>Commissions - share RI</v>
          </cell>
        </row>
        <row r="22601">
          <cell r="L22601"/>
          <cell r="S22601">
            <v>-545.26</v>
          </cell>
          <cell r="X22601" t="str">
            <v>Commissions - share RI</v>
          </cell>
        </row>
        <row r="22602">
          <cell r="L22602"/>
          <cell r="S22602">
            <v>809.53</v>
          </cell>
          <cell r="X22602" t="str">
            <v>Commissions - share RI</v>
          </cell>
        </row>
        <row r="22603">
          <cell r="L22603"/>
          <cell r="S22603">
            <v>-45201.82</v>
          </cell>
          <cell r="X22603" t="str">
            <v>Commissions - share RI</v>
          </cell>
        </row>
        <row r="22604">
          <cell r="L22604"/>
          <cell r="S22604">
            <v>-54.52</v>
          </cell>
          <cell r="X22604" t="str">
            <v>Commissions - share RI</v>
          </cell>
        </row>
        <row r="22605">
          <cell r="L22605"/>
          <cell r="S22605">
            <v>-141.71</v>
          </cell>
          <cell r="X22605" t="str">
            <v>Commissions - share RI</v>
          </cell>
        </row>
        <row r="22606">
          <cell r="L22606"/>
          <cell r="S22606">
            <v>-1321.85</v>
          </cell>
          <cell r="X22606" t="str">
            <v>Commissions - share RI</v>
          </cell>
        </row>
        <row r="22607">
          <cell r="L22607"/>
          <cell r="S22607">
            <v>-809.53</v>
          </cell>
          <cell r="X22607" t="str">
            <v>Commissions - share RI</v>
          </cell>
        </row>
        <row r="22608">
          <cell r="L22608"/>
          <cell r="S22608">
            <v>-1454.02</v>
          </cell>
          <cell r="X22608" t="str">
            <v>Commissions - share RI</v>
          </cell>
        </row>
        <row r="22609">
          <cell r="L22609"/>
          <cell r="S22609">
            <v>1454.03</v>
          </cell>
          <cell r="X22609" t="str">
            <v>Commissions - share RI</v>
          </cell>
        </row>
        <row r="22610">
          <cell r="L22610"/>
          <cell r="S22610">
            <v>-669.23</v>
          </cell>
          <cell r="X22610" t="str">
            <v>Commissions - share RI</v>
          </cell>
        </row>
        <row r="22611">
          <cell r="L22611"/>
          <cell r="S22611">
            <v>545.26</v>
          </cell>
          <cell r="X22611" t="str">
            <v>Commissions - share RI</v>
          </cell>
        </row>
        <row r="22612">
          <cell r="L22612"/>
          <cell r="S22612">
            <v>174.36</v>
          </cell>
          <cell r="X22612" t="str">
            <v>Commissions - share RI</v>
          </cell>
        </row>
        <row r="22613">
          <cell r="L22613"/>
          <cell r="S22613">
            <v>-46.4</v>
          </cell>
          <cell r="X22613" t="str">
            <v>Commissions - share RI</v>
          </cell>
        </row>
        <row r="22614">
          <cell r="L22614"/>
          <cell r="S22614">
            <v>-545.26</v>
          </cell>
          <cell r="X22614" t="str">
            <v>Commissions - share RI</v>
          </cell>
        </row>
        <row r="22615">
          <cell r="L22615"/>
          <cell r="S22615">
            <v>-4.49</v>
          </cell>
          <cell r="X22615" t="str">
            <v>Commissions - share RI</v>
          </cell>
        </row>
        <row r="22616">
          <cell r="L22616"/>
          <cell r="S22616">
            <v>48446.76</v>
          </cell>
          <cell r="X22616" t="str">
            <v>Commissions - share RI</v>
          </cell>
        </row>
        <row r="22617">
          <cell r="L22617"/>
          <cell r="S22617">
            <v>-3664.57</v>
          </cell>
          <cell r="X22617" t="str">
            <v>Commissions - share RI</v>
          </cell>
        </row>
        <row r="22618">
          <cell r="L22618"/>
          <cell r="S22618">
            <v>402.74</v>
          </cell>
          <cell r="X22618" t="str">
            <v>Commissions - share RI</v>
          </cell>
        </row>
        <row r="22619">
          <cell r="L22619"/>
          <cell r="S22619">
            <v>17.59</v>
          </cell>
          <cell r="X22619" t="str">
            <v>Commissions - share RI</v>
          </cell>
        </row>
        <row r="22620">
          <cell r="L22620"/>
          <cell r="S22620">
            <v>669.23</v>
          </cell>
          <cell r="X22620" t="str">
            <v>Commissions - share RI</v>
          </cell>
        </row>
        <row r="22621">
          <cell r="L22621"/>
          <cell r="S22621">
            <v>-40.28</v>
          </cell>
          <cell r="X22621" t="str">
            <v>Commissions - share RI</v>
          </cell>
        </row>
        <row r="22622">
          <cell r="L22622"/>
          <cell r="S22622">
            <v>80.959999999999994</v>
          </cell>
          <cell r="X22622" t="str">
            <v>Commissions - share RI</v>
          </cell>
        </row>
        <row r="22623">
          <cell r="L22623"/>
          <cell r="S22623">
            <v>-351.65</v>
          </cell>
          <cell r="X22623" t="str">
            <v>Commissions - share RI</v>
          </cell>
        </row>
        <row r="22624">
          <cell r="L22624"/>
          <cell r="S22624">
            <v>54.52</v>
          </cell>
          <cell r="X22624" t="str">
            <v>Commissions - share RI</v>
          </cell>
        </row>
        <row r="22625">
          <cell r="L22625"/>
          <cell r="S22625">
            <v>-54.52</v>
          </cell>
          <cell r="X22625" t="str">
            <v>Commissions - share RI</v>
          </cell>
        </row>
        <row r="22626">
          <cell r="L22626"/>
          <cell r="S22626">
            <v>25.52</v>
          </cell>
          <cell r="X22626" t="str">
            <v>Commissions - share RI</v>
          </cell>
        </row>
        <row r="22627">
          <cell r="L22627"/>
          <cell r="S22627">
            <v>-325.95999999999998</v>
          </cell>
          <cell r="X22627" t="str">
            <v>Commissions - share RI</v>
          </cell>
        </row>
        <row r="22628">
          <cell r="L22628"/>
          <cell r="S22628">
            <v>-545.26</v>
          </cell>
          <cell r="X22628" t="str">
            <v>Commissions - share RI</v>
          </cell>
        </row>
        <row r="22629">
          <cell r="L22629"/>
          <cell r="S22629">
            <v>198627.27</v>
          </cell>
          <cell r="X22629" t="str">
            <v>Commissions - share RI</v>
          </cell>
        </row>
        <row r="22630">
          <cell r="L22630"/>
          <cell r="S22630">
            <v>545.26</v>
          </cell>
          <cell r="X22630" t="str">
            <v>Commissions - share RI</v>
          </cell>
        </row>
        <row r="22631">
          <cell r="L22631"/>
          <cell r="S22631">
            <v>-2576.36</v>
          </cell>
          <cell r="X22631" t="str">
            <v>Commissions - share RI</v>
          </cell>
        </row>
        <row r="22632">
          <cell r="L22632"/>
          <cell r="S22632">
            <v>545.26</v>
          </cell>
          <cell r="X22632" t="str">
            <v>Commissions - share RI</v>
          </cell>
        </row>
        <row r="22633">
          <cell r="L22633"/>
          <cell r="S22633">
            <v>-17.93</v>
          </cell>
          <cell r="X22633" t="str">
            <v>Commissions - share RI</v>
          </cell>
        </row>
        <row r="22634">
          <cell r="L22634"/>
          <cell r="S22634">
            <v>29.57</v>
          </cell>
          <cell r="X22634" t="str">
            <v>Commissions - share RI</v>
          </cell>
        </row>
        <row r="22635">
          <cell r="L22635"/>
          <cell r="S22635">
            <v>325.95999999999998</v>
          </cell>
          <cell r="X22635" t="str">
            <v>Commissions - share RI</v>
          </cell>
        </row>
        <row r="22636">
          <cell r="L22636"/>
          <cell r="S22636">
            <v>54.52</v>
          </cell>
          <cell r="X22636" t="str">
            <v>Commissions - share RI</v>
          </cell>
        </row>
        <row r="22637">
          <cell r="L22637"/>
          <cell r="S22637">
            <v>3.82</v>
          </cell>
          <cell r="X22637" t="str">
            <v>Commissions - share RI</v>
          </cell>
        </row>
        <row r="22638">
          <cell r="L22638"/>
          <cell r="S22638">
            <v>-54.52</v>
          </cell>
          <cell r="X22638" t="str">
            <v>Commissions - share RI</v>
          </cell>
        </row>
        <row r="22639">
          <cell r="L22639"/>
          <cell r="S22639">
            <v>-25.52</v>
          </cell>
          <cell r="X22639" t="str">
            <v>Commissions - share RI</v>
          </cell>
        </row>
        <row r="22640">
          <cell r="L22640"/>
          <cell r="S22640">
            <v>2169.38</v>
          </cell>
          <cell r="X22640" t="str">
            <v>Commissions - share RI</v>
          </cell>
        </row>
        <row r="22641">
          <cell r="L22641"/>
          <cell r="S22641">
            <v>-29.57</v>
          </cell>
          <cell r="X22641" t="str">
            <v>Commissions - share RI</v>
          </cell>
        </row>
        <row r="22642">
          <cell r="L22642"/>
          <cell r="S22642">
            <v>141.71</v>
          </cell>
          <cell r="X22642" t="str">
            <v>Commissions - share RI</v>
          </cell>
        </row>
        <row r="22643">
          <cell r="L22643"/>
          <cell r="S22643">
            <v>-11280.01</v>
          </cell>
          <cell r="X22643" t="str">
            <v>Commissions - share RI</v>
          </cell>
        </row>
        <row r="22644">
          <cell r="L22644"/>
          <cell r="S22644">
            <v>46.4</v>
          </cell>
          <cell r="X22644" t="str">
            <v>Commissions - share RI</v>
          </cell>
        </row>
        <row r="22645">
          <cell r="L22645"/>
          <cell r="S22645">
            <v>40.28</v>
          </cell>
          <cell r="X22645" t="str">
            <v>Commissions - share RI</v>
          </cell>
        </row>
        <row r="22646">
          <cell r="L22646"/>
          <cell r="S22646">
            <v>-80.95</v>
          </cell>
          <cell r="X22646" t="str">
            <v>Commissions - share RI</v>
          </cell>
        </row>
        <row r="22647">
          <cell r="L22647"/>
          <cell r="S22647">
            <v>54.52</v>
          </cell>
          <cell r="X22647" t="str">
            <v>Commissions - share RI</v>
          </cell>
        </row>
        <row r="22648">
          <cell r="L22648"/>
          <cell r="S22648">
            <v>-257.64</v>
          </cell>
          <cell r="X22648" t="str">
            <v>Commissions - share RI</v>
          </cell>
        </row>
        <row r="22649">
          <cell r="L22649"/>
          <cell r="S22649">
            <v>-80764.97</v>
          </cell>
          <cell r="X22649" t="str">
            <v>Commissions - share RI</v>
          </cell>
        </row>
        <row r="22650">
          <cell r="L22650"/>
          <cell r="S22650">
            <v>-17.59</v>
          </cell>
          <cell r="X22650" t="str">
            <v>Commissions - share RI</v>
          </cell>
        </row>
        <row r="22651">
          <cell r="L22651"/>
          <cell r="S22651">
            <v>120.69</v>
          </cell>
          <cell r="X22651" t="str">
            <v>Commissions - share RI</v>
          </cell>
        </row>
        <row r="22652">
          <cell r="L22652"/>
          <cell r="S22652">
            <v>17.93</v>
          </cell>
          <cell r="X22652" t="str">
            <v>Commissions - share RI</v>
          </cell>
        </row>
        <row r="22653">
          <cell r="L22653"/>
          <cell r="S22653">
            <v>463.99</v>
          </cell>
          <cell r="X22653" t="str">
            <v>Commissions - share RI</v>
          </cell>
        </row>
        <row r="22654">
          <cell r="L22654"/>
          <cell r="S22654">
            <v>40.479999999999997</v>
          </cell>
          <cell r="X22654" t="str">
            <v>Commissions - share RI</v>
          </cell>
        </row>
        <row r="22655">
          <cell r="L22655"/>
          <cell r="S22655">
            <v>2576.36</v>
          </cell>
          <cell r="X22655" t="str">
            <v>Commissions - share RI</v>
          </cell>
        </row>
        <row r="22656">
          <cell r="L22656"/>
          <cell r="S22656">
            <v>34846.89</v>
          </cell>
          <cell r="X22656" t="str">
            <v>Commissions - share RI</v>
          </cell>
        </row>
        <row r="22657">
          <cell r="L22657"/>
          <cell r="S22657">
            <v>-16.27</v>
          </cell>
          <cell r="X22657" t="str">
            <v>Commissions - share RI</v>
          </cell>
        </row>
        <row r="22658">
          <cell r="L22658"/>
          <cell r="S22658">
            <v>2.82</v>
          </cell>
          <cell r="X22658" t="str">
            <v>Commissions - share RI</v>
          </cell>
        </row>
        <row r="22659">
          <cell r="L22659"/>
          <cell r="S22659">
            <v>54.52</v>
          </cell>
          <cell r="X22659" t="str">
            <v>Commissions - share RI</v>
          </cell>
        </row>
        <row r="22660">
          <cell r="L22660"/>
          <cell r="S22660">
            <v>351.65</v>
          </cell>
          <cell r="X22660" t="str">
            <v>Commissions - share RI</v>
          </cell>
        </row>
        <row r="22661">
          <cell r="L22661"/>
          <cell r="S22661">
            <v>-2.82</v>
          </cell>
          <cell r="X22661" t="str">
            <v>Commissions - share RI</v>
          </cell>
        </row>
        <row r="22662">
          <cell r="L22662"/>
          <cell r="S22662">
            <v>-295.8</v>
          </cell>
          <cell r="X22662" t="str">
            <v>Commissions - share RI</v>
          </cell>
        </row>
        <row r="22663">
          <cell r="L22663"/>
          <cell r="S22663">
            <v>-3.82</v>
          </cell>
          <cell r="X22663" t="str">
            <v>Commissions - share RI</v>
          </cell>
        </row>
        <row r="22664">
          <cell r="L22664"/>
          <cell r="S22664">
            <v>295.8</v>
          </cell>
          <cell r="X22664" t="str">
            <v>Commissions - share RI</v>
          </cell>
        </row>
        <row r="22665">
          <cell r="L22665"/>
          <cell r="S22665">
            <v>132.19</v>
          </cell>
          <cell r="X22665" t="str">
            <v>Commissions - share RI</v>
          </cell>
        </row>
        <row r="22666">
          <cell r="L22666"/>
          <cell r="S22666">
            <v>-4519.53</v>
          </cell>
          <cell r="X22666" t="str">
            <v>Commissions - share RI</v>
          </cell>
        </row>
        <row r="22667">
          <cell r="L22667"/>
          <cell r="S22667">
            <v>-54.52</v>
          </cell>
          <cell r="X22667" t="str">
            <v>Commissions - share RI</v>
          </cell>
        </row>
        <row r="22668">
          <cell r="L22668"/>
          <cell r="S22668">
            <v>2423.61</v>
          </cell>
          <cell r="X22668" t="str">
            <v>Commissions - share RI</v>
          </cell>
        </row>
        <row r="22669">
          <cell r="L22669"/>
          <cell r="S22669">
            <v>-313.64999999999998</v>
          </cell>
          <cell r="X22669" t="str">
            <v>Commissions - share RI</v>
          </cell>
        </row>
        <row r="22670">
          <cell r="L22670"/>
          <cell r="S22670">
            <v>78.77</v>
          </cell>
          <cell r="X22670" t="str">
            <v>Commissions - share RI</v>
          </cell>
        </row>
        <row r="22671">
          <cell r="L22671"/>
          <cell r="S22671">
            <v>270.77</v>
          </cell>
          <cell r="X22671" t="str">
            <v>Commissions - share RI</v>
          </cell>
        </row>
        <row r="22672">
          <cell r="L22672"/>
          <cell r="S22672">
            <v>77.36</v>
          </cell>
          <cell r="X22672" t="str">
            <v>Commissions - share RI</v>
          </cell>
        </row>
        <row r="22673">
          <cell r="L22673"/>
          <cell r="S22673">
            <v>-43.63</v>
          </cell>
          <cell r="X22673" t="str">
            <v>Commissions - share RI</v>
          </cell>
        </row>
        <row r="22674">
          <cell r="L22674"/>
          <cell r="S22674">
            <v>-379.93</v>
          </cell>
          <cell r="X22674" t="str">
            <v>Commissions - share RI</v>
          </cell>
        </row>
        <row r="22675">
          <cell r="L22675"/>
          <cell r="S22675">
            <v>-1840.19</v>
          </cell>
          <cell r="X22675" t="str">
            <v>Commissions - share RI</v>
          </cell>
        </row>
        <row r="22676">
          <cell r="L22676"/>
          <cell r="S22676">
            <v>-502.85</v>
          </cell>
          <cell r="X22676" t="str">
            <v>Commissions - share RI</v>
          </cell>
        </row>
        <row r="22677">
          <cell r="L22677"/>
          <cell r="S22677">
            <v>-540.37</v>
          </cell>
          <cell r="X22677" t="str">
            <v>Commissions - share RI</v>
          </cell>
        </row>
        <row r="22678">
          <cell r="L22678"/>
          <cell r="S22678">
            <v>787.72</v>
          </cell>
          <cell r="X22678" t="str">
            <v>Commissions - share RI</v>
          </cell>
        </row>
        <row r="22679">
          <cell r="L22679"/>
          <cell r="S22679">
            <v>2077.71</v>
          </cell>
          <cell r="X22679" t="str">
            <v>Commissions - share RI</v>
          </cell>
        </row>
        <row r="22680">
          <cell r="L22680"/>
          <cell r="S22680">
            <v>-38.68</v>
          </cell>
          <cell r="X22680" t="str">
            <v>Commissions - share RI</v>
          </cell>
        </row>
        <row r="22681">
          <cell r="L22681"/>
          <cell r="S22681">
            <v>10.79</v>
          </cell>
          <cell r="X22681" t="str">
            <v>Commissions - share RI</v>
          </cell>
        </row>
        <row r="22682">
          <cell r="L22682"/>
          <cell r="S22682">
            <v>94</v>
          </cell>
          <cell r="X22682" t="str">
            <v>Commissions - share RI</v>
          </cell>
        </row>
        <row r="22683">
          <cell r="L22683"/>
          <cell r="S22683">
            <v>-24.57</v>
          </cell>
          <cell r="X22683" t="str">
            <v>Commissions - share RI</v>
          </cell>
        </row>
        <row r="22684">
          <cell r="L22684"/>
          <cell r="S22684">
            <v>184.94</v>
          </cell>
          <cell r="X22684" t="str">
            <v>Commissions - share RI</v>
          </cell>
        </row>
        <row r="22685">
          <cell r="L22685"/>
          <cell r="S22685">
            <v>-18.010000000000002</v>
          </cell>
          <cell r="X22685" t="str">
            <v>Commissions - share RI</v>
          </cell>
        </row>
        <row r="22686">
          <cell r="L22686"/>
          <cell r="S22686">
            <v>-101.72</v>
          </cell>
          <cell r="X22686" t="str">
            <v>Commissions - share RI</v>
          </cell>
        </row>
        <row r="22687">
          <cell r="L22687"/>
          <cell r="S22687">
            <v>4.22</v>
          </cell>
          <cell r="X22687" t="str">
            <v>Commissions - share RI</v>
          </cell>
        </row>
        <row r="22688">
          <cell r="L22688"/>
          <cell r="S22688">
            <v>50.82</v>
          </cell>
          <cell r="X22688" t="str">
            <v>Commissions - share RI</v>
          </cell>
        </row>
        <row r="22689">
          <cell r="L22689"/>
          <cell r="S22689">
            <v>10.79</v>
          </cell>
          <cell r="X22689" t="str">
            <v>Commissions - share RI</v>
          </cell>
        </row>
        <row r="22690">
          <cell r="L22690"/>
          <cell r="S22690">
            <v>-275.91000000000003</v>
          </cell>
          <cell r="X22690" t="str">
            <v>Commissions - share RI</v>
          </cell>
        </row>
        <row r="22691">
          <cell r="L22691"/>
          <cell r="S22691">
            <v>169.72</v>
          </cell>
          <cell r="X22691" t="str">
            <v>Commissions - share RI</v>
          </cell>
        </row>
        <row r="22692">
          <cell r="L22692"/>
          <cell r="S22692">
            <v>5.1100000000000003</v>
          </cell>
          <cell r="X22692" t="str">
            <v>Commissions - share RI</v>
          </cell>
        </row>
        <row r="22693">
          <cell r="L22693"/>
          <cell r="S22693">
            <v>-510.66</v>
          </cell>
          <cell r="X22693" t="str">
            <v>Commissions - share RI</v>
          </cell>
        </row>
        <row r="22694">
          <cell r="L22694"/>
          <cell r="S22694">
            <v>295.87</v>
          </cell>
          <cell r="X22694" t="str">
            <v>Commissions - share RI</v>
          </cell>
        </row>
        <row r="22695">
          <cell r="L22695"/>
          <cell r="S22695">
            <v>-2077.71</v>
          </cell>
          <cell r="X22695" t="str">
            <v>Commissions - share RI</v>
          </cell>
        </row>
        <row r="22696">
          <cell r="L22696"/>
          <cell r="S22696">
            <v>-3088.84</v>
          </cell>
          <cell r="X22696" t="str">
            <v>Commissions - share RI</v>
          </cell>
        </row>
        <row r="22697">
          <cell r="L22697"/>
          <cell r="S22697">
            <v>-94.3</v>
          </cell>
          <cell r="X22697" t="str">
            <v>Commissions - share RI</v>
          </cell>
        </row>
        <row r="22698">
          <cell r="L22698"/>
          <cell r="S22698">
            <v>131.57</v>
          </cell>
          <cell r="X22698" t="str">
            <v>Commissions - share RI</v>
          </cell>
        </row>
        <row r="22699">
          <cell r="L22699"/>
          <cell r="S22699">
            <v>38.68</v>
          </cell>
          <cell r="X22699" t="str">
            <v>Commissions - share RI</v>
          </cell>
        </row>
        <row r="22700">
          <cell r="L22700"/>
          <cell r="S22700">
            <v>-270.77</v>
          </cell>
          <cell r="X22700" t="str">
            <v>Commissions - share RI</v>
          </cell>
        </row>
        <row r="22701">
          <cell r="L22701"/>
          <cell r="S22701">
            <v>38.68</v>
          </cell>
          <cell r="X22701" t="str">
            <v>Commissions - share RI</v>
          </cell>
        </row>
        <row r="22702">
          <cell r="L22702"/>
          <cell r="S22702">
            <v>7.33</v>
          </cell>
          <cell r="X22702" t="str">
            <v>Commissions - share RI</v>
          </cell>
        </row>
        <row r="22703">
          <cell r="L22703"/>
          <cell r="S22703">
            <v>-116.04</v>
          </cell>
          <cell r="X22703" t="str">
            <v>Commissions - share RI</v>
          </cell>
        </row>
        <row r="22704">
          <cell r="L22704"/>
          <cell r="S22704">
            <v>-4.58</v>
          </cell>
          <cell r="X22704" t="str">
            <v>Commissions - share RI</v>
          </cell>
        </row>
        <row r="22705">
          <cell r="L22705"/>
          <cell r="S22705">
            <v>-1083.08</v>
          </cell>
          <cell r="X22705" t="str">
            <v>Commissions - share RI</v>
          </cell>
        </row>
        <row r="22706">
          <cell r="L22706"/>
          <cell r="S22706">
            <v>1818.01</v>
          </cell>
          <cell r="X22706" t="str">
            <v>Commissions - share RI</v>
          </cell>
        </row>
        <row r="22707">
          <cell r="L22707"/>
          <cell r="S22707">
            <v>513.80999999999995</v>
          </cell>
          <cell r="X22707" t="str">
            <v>Commissions - share RI</v>
          </cell>
        </row>
        <row r="22708">
          <cell r="L22708"/>
          <cell r="S22708">
            <v>-349.03</v>
          </cell>
          <cell r="X22708" t="str">
            <v>Commissions - share RI</v>
          </cell>
        </row>
        <row r="22709">
          <cell r="L22709"/>
          <cell r="S22709">
            <v>34.909999999999997</v>
          </cell>
          <cell r="X22709" t="str">
            <v>Commissions - share RI</v>
          </cell>
        </row>
        <row r="22710">
          <cell r="L22710"/>
          <cell r="S22710">
            <v>510.66</v>
          </cell>
          <cell r="X22710" t="str">
            <v>Commissions - share RI</v>
          </cell>
        </row>
        <row r="22711">
          <cell r="L22711"/>
          <cell r="S22711">
            <v>773.63</v>
          </cell>
          <cell r="X22711" t="str">
            <v>Commissions - share RI</v>
          </cell>
        </row>
        <row r="22712">
          <cell r="L22712"/>
          <cell r="S22712">
            <v>-10.79</v>
          </cell>
          <cell r="X22712" t="str">
            <v>Commissions - share RI</v>
          </cell>
        </row>
        <row r="22713">
          <cell r="L22713"/>
          <cell r="S22713">
            <v>1.02</v>
          </cell>
          <cell r="X22713" t="str">
            <v>Commissions - share RI</v>
          </cell>
        </row>
        <row r="22714">
          <cell r="L22714"/>
          <cell r="S22714">
            <v>-1.1399999999999999</v>
          </cell>
          <cell r="X22714" t="str">
            <v>Commissions - share RI</v>
          </cell>
        </row>
        <row r="22715">
          <cell r="L22715"/>
          <cell r="S22715">
            <v>-6.6</v>
          </cell>
          <cell r="X22715" t="str">
            <v>Commissions - share RI</v>
          </cell>
        </row>
        <row r="22716">
          <cell r="L22716"/>
          <cell r="S22716">
            <v>-193.45</v>
          </cell>
          <cell r="X22716" t="str">
            <v>Commissions - share RI</v>
          </cell>
        </row>
        <row r="22717">
          <cell r="L22717"/>
          <cell r="S22717">
            <v>-339.42</v>
          </cell>
          <cell r="X22717" t="str">
            <v>Commissions - share RI</v>
          </cell>
        </row>
        <row r="22718">
          <cell r="L22718"/>
          <cell r="S22718">
            <v>1217.8</v>
          </cell>
          <cell r="X22718" t="str">
            <v>Commissions - share RI</v>
          </cell>
        </row>
        <row r="22719">
          <cell r="L22719"/>
          <cell r="S22719">
            <v>101.56</v>
          </cell>
          <cell r="X22719" t="str">
            <v>Commissions - share RI</v>
          </cell>
        </row>
        <row r="22720">
          <cell r="L22720"/>
          <cell r="S22720">
            <v>193.45</v>
          </cell>
          <cell r="X22720" t="str">
            <v>Commissions - share RI</v>
          </cell>
        </row>
        <row r="22721">
          <cell r="L22721"/>
          <cell r="S22721">
            <v>-38.68</v>
          </cell>
          <cell r="X22721" t="str">
            <v>Commissions - share RI</v>
          </cell>
        </row>
        <row r="22722">
          <cell r="L22722"/>
          <cell r="S22722">
            <v>38.68</v>
          </cell>
          <cell r="X22722" t="str">
            <v>Commissions - share RI</v>
          </cell>
        </row>
        <row r="22723">
          <cell r="L22723"/>
          <cell r="S22723">
            <v>-773.63</v>
          </cell>
          <cell r="X22723" t="str">
            <v>Commissions - share RI</v>
          </cell>
        </row>
        <row r="22724">
          <cell r="L22724"/>
          <cell r="S22724">
            <v>207.78</v>
          </cell>
          <cell r="X22724" t="str">
            <v>Commissions - share RI</v>
          </cell>
        </row>
        <row r="22725">
          <cell r="L22725"/>
          <cell r="S22725">
            <v>-3.8</v>
          </cell>
          <cell r="X22725" t="str">
            <v>Commissions - share RI</v>
          </cell>
        </row>
        <row r="22726">
          <cell r="L22726"/>
          <cell r="S22726">
            <v>1199.1199999999999</v>
          </cell>
          <cell r="X22726" t="str">
            <v>Commissions - share RI</v>
          </cell>
        </row>
        <row r="22727">
          <cell r="L22727"/>
          <cell r="S22727">
            <v>-38.68</v>
          </cell>
          <cell r="X22727" t="str">
            <v>Commissions - share RI</v>
          </cell>
        </row>
        <row r="22728">
          <cell r="L22728"/>
          <cell r="S22728">
            <v>116.04</v>
          </cell>
          <cell r="X22728" t="str">
            <v>Commissions - share RI</v>
          </cell>
        </row>
        <row r="22729">
          <cell r="L22729"/>
          <cell r="S22729">
            <v>1083.08</v>
          </cell>
          <cell r="X22729" t="str">
            <v>Commissions - share RI</v>
          </cell>
        </row>
        <row r="22730">
          <cell r="L22730"/>
          <cell r="S22730">
            <v>-618.89</v>
          </cell>
          <cell r="X22730" t="str">
            <v>Commissions - share RI</v>
          </cell>
        </row>
        <row r="22731">
          <cell r="L22731"/>
          <cell r="S22731">
            <v>421.93</v>
          </cell>
          <cell r="X22731" t="str">
            <v>Commissions - share RI</v>
          </cell>
        </row>
        <row r="22732">
          <cell r="L22732"/>
          <cell r="S22732">
            <v>939.98</v>
          </cell>
          <cell r="X22732" t="str">
            <v>Commissions - share RI</v>
          </cell>
        </row>
        <row r="22733">
          <cell r="L22733"/>
          <cell r="S22733">
            <v>-10.220000000000001</v>
          </cell>
          <cell r="X22733" t="str">
            <v>Commissions - share RI</v>
          </cell>
        </row>
        <row r="22734">
          <cell r="L22734"/>
          <cell r="S22734">
            <v>-171.27</v>
          </cell>
          <cell r="X22734" t="str">
            <v>Commissions - share RI</v>
          </cell>
        </row>
        <row r="22735">
          <cell r="L22735"/>
          <cell r="S22735">
            <v>-1469.62</v>
          </cell>
          <cell r="X22735" t="str">
            <v>Commissions - share RI</v>
          </cell>
        </row>
        <row r="22736">
          <cell r="L22736"/>
          <cell r="S22736">
            <v>-2692.91</v>
          </cell>
          <cell r="X22736" t="str">
            <v>Commissions - share RI</v>
          </cell>
        </row>
        <row r="22737">
          <cell r="L22737"/>
          <cell r="S22737">
            <v>-1818.01</v>
          </cell>
          <cell r="X22737" t="str">
            <v>Commissions - share RI</v>
          </cell>
        </row>
        <row r="22738">
          <cell r="L22738"/>
          <cell r="S22738">
            <v>242.04</v>
          </cell>
          <cell r="X22738" t="str">
            <v>Commissions - share RI</v>
          </cell>
        </row>
        <row r="22739">
          <cell r="L22739"/>
          <cell r="S22739">
            <v>-10.15</v>
          </cell>
          <cell r="X22739" t="str">
            <v>Commissions - share RI</v>
          </cell>
        </row>
        <row r="22740">
          <cell r="L22740"/>
          <cell r="S22740">
            <v>812.31</v>
          </cell>
          <cell r="X22740" t="str">
            <v>Commissions - share RI</v>
          </cell>
        </row>
        <row r="22741">
          <cell r="L22741"/>
          <cell r="S22741">
            <v>2662.72</v>
          </cell>
          <cell r="X22741" t="str">
            <v>Commissions - share RI</v>
          </cell>
        </row>
        <row r="22742">
          <cell r="L22742"/>
          <cell r="S22742">
            <v>-1113.82</v>
          </cell>
          <cell r="X22742" t="str">
            <v>Commissions - share RI</v>
          </cell>
        </row>
        <row r="22743">
          <cell r="L22743"/>
          <cell r="S22743">
            <v>-38.64</v>
          </cell>
          <cell r="X22743" t="str">
            <v>Commissions - share RI</v>
          </cell>
        </row>
        <row r="22744">
          <cell r="L22744"/>
          <cell r="S22744">
            <v>425.49</v>
          </cell>
          <cell r="X22744" t="str">
            <v>Commissions - share RI</v>
          </cell>
        </row>
        <row r="22745">
          <cell r="L22745"/>
          <cell r="S22745">
            <v>193.4</v>
          </cell>
          <cell r="X22745" t="str">
            <v>Commissions - share RI</v>
          </cell>
        </row>
        <row r="22746">
          <cell r="L22746"/>
          <cell r="S22746">
            <v>-47</v>
          </cell>
          <cell r="X22746" t="str">
            <v>Commissions - share RI</v>
          </cell>
        </row>
        <row r="22747">
          <cell r="L22747"/>
          <cell r="S22747">
            <v>-4.22</v>
          </cell>
          <cell r="X22747" t="str">
            <v>Commissions - share RI</v>
          </cell>
        </row>
        <row r="22748">
          <cell r="L22748"/>
          <cell r="S22748">
            <v>-2423.61</v>
          </cell>
          <cell r="X22748" t="str">
            <v>Commissions - share RI</v>
          </cell>
        </row>
        <row r="22749">
          <cell r="L22749"/>
          <cell r="S22749">
            <v>25.58</v>
          </cell>
          <cell r="X22749" t="str">
            <v>Commissions - share RI</v>
          </cell>
        </row>
        <row r="22750">
          <cell r="L22750"/>
          <cell r="S22750">
            <v>-3788.65</v>
          </cell>
          <cell r="X22750" t="str">
            <v>Commissions - share RI</v>
          </cell>
        </row>
        <row r="22751">
          <cell r="L22751"/>
          <cell r="S22751">
            <v>-295.87</v>
          </cell>
          <cell r="X22751" t="str">
            <v>Commissions - share RI</v>
          </cell>
        </row>
        <row r="22752">
          <cell r="L22752"/>
          <cell r="S22752">
            <v>-425.49</v>
          </cell>
          <cell r="X22752" t="str">
            <v>Commissions - share RI</v>
          </cell>
        </row>
        <row r="22753">
          <cell r="L22753"/>
          <cell r="S22753">
            <v>308.89</v>
          </cell>
          <cell r="X22753" t="str">
            <v>Commissions - share RI</v>
          </cell>
        </row>
        <row r="22754">
          <cell r="L22754"/>
          <cell r="S22754">
            <v>-38.68</v>
          </cell>
          <cell r="X22754" t="str">
            <v>Commissions - share RI</v>
          </cell>
        </row>
        <row r="22755">
          <cell r="L22755"/>
          <cell r="S22755">
            <v>348.13</v>
          </cell>
          <cell r="X22755" t="str">
            <v>Commissions - share RI</v>
          </cell>
        </row>
        <row r="22756">
          <cell r="L22756"/>
          <cell r="S22756">
            <v>9.43</v>
          </cell>
          <cell r="X22756" t="str">
            <v>Commissions - share RI</v>
          </cell>
        </row>
        <row r="22757">
          <cell r="L22757"/>
          <cell r="S22757">
            <v>38.68</v>
          </cell>
          <cell r="X22757" t="str">
            <v>Commissions - share RI</v>
          </cell>
        </row>
        <row r="22758">
          <cell r="L22758"/>
          <cell r="S22758">
            <v>-38.68</v>
          </cell>
          <cell r="X22758" t="str">
            <v>Commissions - share RI</v>
          </cell>
        </row>
        <row r="22759">
          <cell r="L22759"/>
          <cell r="S22759">
            <v>-61.26</v>
          </cell>
          <cell r="X22759" t="str">
            <v>Commissions - share RI</v>
          </cell>
        </row>
        <row r="22760">
          <cell r="L22760"/>
          <cell r="S22760">
            <v>-421.93</v>
          </cell>
          <cell r="X22760" t="str">
            <v>Commissions - share RI</v>
          </cell>
        </row>
        <row r="22761">
          <cell r="L22761"/>
          <cell r="S22761">
            <v>-1741.01</v>
          </cell>
          <cell r="X22761" t="str">
            <v>Commissions - share RI</v>
          </cell>
        </row>
        <row r="22762">
          <cell r="L22762"/>
          <cell r="S22762">
            <v>3788.66</v>
          </cell>
          <cell r="X22762" t="str">
            <v>Commissions - share RI</v>
          </cell>
        </row>
        <row r="22763">
          <cell r="L22763"/>
          <cell r="S22763">
            <v>3.8</v>
          </cell>
          <cell r="X22763" t="str">
            <v>Commissions - share RI</v>
          </cell>
        </row>
        <row r="22764">
          <cell r="L22764"/>
          <cell r="S22764">
            <v>54.04</v>
          </cell>
          <cell r="X22764" t="str">
            <v>Commissions - share RI</v>
          </cell>
        </row>
        <row r="22765">
          <cell r="L22765"/>
          <cell r="S22765">
            <v>42.19</v>
          </cell>
          <cell r="X22765" t="str">
            <v>Commissions - share RI</v>
          </cell>
        </row>
        <row r="22766">
          <cell r="L22766"/>
          <cell r="S22766">
            <v>-45.86</v>
          </cell>
          <cell r="X22766" t="str">
            <v>Commissions - share RI</v>
          </cell>
        </row>
        <row r="22767">
          <cell r="L22767"/>
          <cell r="S22767">
            <v>-51.07</v>
          </cell>
          <cell r="X22767" t="str">
            <v>Commissions - share RI</v>
          </cell>
        </row>
        <row r="22768">
          <cell r="L22768"/>
          <cell r="S22768">
            <v>-184.94</v>
          </cell>
          <cell r="X22768" t="str">
            <v>Commissions - share RI</v>
          </cell>
        </row>
        <row r="22769">
          <cell r="L22769"/>
          <cell r="S22769">
            <v>116.04</v>
          </cell>
          <cell r="X22769" t="str">
            <v>Commissions - share RI</v>
          </cell>
        </row>
        <row r="22770">
          <cell r="L22770"/>
          <cell r="S22770">
            <v>16.54</v>
          </cell>
          <cell r="X22770" t="str">
            <v>Commissions - share RI</v>
          </cell>
        </row>
        <row r="22771">
          <cell r="L22771"/>
          <cell r="S22771">
            <v>1840.19</v>
          </cell>
          <cell r="X22771" t="str">
            <v>Commissions - share RI</v>
          </cell>
        </row>
        <row r="22772">
          <cell r="L22772"/>
          <cell r="S22772">
            <v>10.15</v>
          </cell>
          <cell r="X22772" t="str">
            <v>Commissions - share RI</v>
          </cell>
        </row>
        <row r="22773">
          <cell r="L22773"/>
          <cell r="S22773">
            <v>1.66</v>
          </cell>
          <cell r="X22773" t="str">
            <v>Commissions - share RI</v>
          </cell>
        </row>
        <row r="22774">
          <cell r="L22774"/>
          <cell r="S22774">
            <v>1.1399999999999999</v>
          </cell>
          <cell r="X22774" t="str">
            <v>Commissions - share RI</v>
          </cell>
        </row>
        <row r="22775">
          <cell r="L22775"/>
          <cell r="S22775">
            <v>-273.05</v>
          </cell>
          <cell r="X22775" t="str">
            <v>Commissions - share RI</v>
          </cell>
        </row>
        <row r="22776">
          <cell r="L22776"/>
          <cell r="S22776">
            <v>-308.72000000000003</v>
          </cell>
          <cell r="X22776" t="str">
            <v>Commissions - share RI</v>
          </cell>
        </row>
        <row r="22777">
          <cell r="L22777"/>
          <cell r="S22777">
            <v>-54.04</v>
          </cell>
          <cell r="X22777" t="str">
            <v>Commissions - share RI</v>
          </cell>
        </row>
        <row r="22778">
          <cell r="L22778"/>
          <cell r="S22778">
            <v>3136.44</v>
          </cell>
          <cell r="X22778" t="str">
            <v>Commissions - share RI</v>
          </cell>
        </row>
        <row r="22779">
          <cell r="L22779"/>
          <cell r="S22779">
            <v>11.35</v>
          </cell>
          <cell r="X22779" t="str">
            <v>Commissions - share RI</v>
          </cell>
        </row>
        <row r="22780">
          <cell r="L22780"/>
          <cell r="S22780">
            <v>101.72</v>
          </cell>
          <cell r="X22780" t="str">
            <v>Commissions - share RI</v>
          </cell>
        </row>
        <row r="22781">
          <cell r="L22781"/>
          <cell r="S22781">
            <v>618.89</v>
          </cell>
          <cell r="X22781" t="str">
            <v>Commissions - share RI</v>
          </cell>
        </row>
        <row r="22782">
          <cell r="L22782"/>
          <cell r="S22782">
            <v>-78.77</v>
          </cell>
          <cell r="X22782" t="str">
            <v>Commissions - share RI</v>
          </cell>
        </row>
        <row r="22783">
          <cell r="L22783"/>
          <cell r="S22783">
            <v>-513.80999999999995</v>
          </cell>
          <cell r="X22783" t="str">
            <v>Commissions - share RI</v>
          </cell>
        </row>
        <row r="22784">
          <cell r="L22784"/>
          <cell r="S22784">
            <v>2730.52</v>
          </cell>
          <cell r="X22784" t="str">
            <v>Commissions - share RI</v>
          </cell>
        </row>
        <row r="22785">
          <cell r="L22785"/>
          <cell r="S22785">
            <v>-30.88</v>
          </cell>
          <cell r="X22785" t="str">
            <v>Commissions - share RI</v>
          </cell>
        </row>
        <row r="22786">
          <cell r="L22786"/>
          <cell r="S22786">
            <v>540.37</v>
          </cell>
          <cell r="X22786" t="str">
            <v>Commissions - share RI</v>
          </cell>
        </row>
        <row r="22787">
          <cell r="L22787"/>
          <cell r="S22787">
            <v>111.38</v>
          </cell>
          <cell r="X22787" t="str">
            <v>Commissions - share RI</v>
          </cell>
        </row>
        <row r="22788">
          <cell r="L22788"/>
          <cell r="S22788">
            <v>1469.62</v>
          </cell>
          <cell r="X22788" t="str">
            <v>Commissions - share RI</v>
          </cell>
        </row>
        <row r="22789">
          <cell r="L22789"/>
          <cell r="S22789">
            <v>2420.46</v>
          </cell>
          <cell r="X22789" t="str">
            <v>Commissions - share RI</v>
          </cell>
        </row>
        <row r="22790">
          <cell r="L22790"/>
          <cell r="S22790">
            <v>-379.93</v>
          </cell>
          <cell r="X22790" t="str">
            <v>Commissions - share RI</v>
          </cell>
        </row>
        <row r="22791">
          <cell r="L22791"/>
          <cell r="S22791">
            <v>-1849.38</v>
          </cell>
          <cell r="X22791" t="str">
            <v>Commissions - share RI</v>
          </cell>
        </row>
        <row r="22792">
          <cell r="L22792"/>
          <cell r="S22792">
            <v>38.68</v>
          </cell>
          <cell r="X22792" t="str">
            <v>Commissions - share RI</v>
          </cell>
        </row>
        <row r="22793">
          <cell r="L22793"/>
          <cell r="S22793">
            <v>-513.80999999999995</v>
          </cell>
          <cell r="X22793" t="str">
            <v>Commissions - share RI</v>
          </cell>
        </row>
        <row r="22794">
          <cell r="L22794"/>
          <cell r="S22794">
            <v>-0.95</v>
          </cell>
          <cell r="X22794" t="str">
            <v>Commissions - share RI</v>
          </cell>
        </row>
        <row r="22795">
          <cell r="L22795"/>
          <cell r="S22795">
            <v>94.3</v>
          </cell>
          <cell r="X22795" t="str">
            <v>Commissions - share RI</v>
          </cell>
        </row>
        <row r="22796">
          <cell r="L22796"/>
          <cell r="S22796">
            <v>379.93</v>
          </cell>
          <cell r="X22796" t="str">
            <v>Commissions - share RI</v>
          </cell>
        </row>
        <row r="22797">
          <cell r="L22797"/>
          <cell r="S22797">
            <v>-121.77</v>
          </cell>
          <cell r="X22797" t="str">
            <v>Commissions - share RI</v>
          </cell>
        </row>
        <row r="22798">
          <cell r="L22798"/>
          <cell r="S22798">
            <v>80.819999999999993</v>
          </cell>
          <cell r="X22798" t="str">
            <v>Commissions - share RI</v>
          </cell>
        </row>
        <row r="22799">
          <cell r="L22799"/>
          <cell r="S22799">
            <v>0.95</v>
          </cell>
          <cell r="X22799" t="str">
            <v>Commissions - share RI</v>
          </cell>
        </row>
        <row r="22800">
          <cell r="L22800"/>
          <cell r="S22800">
            <v>-101.56</v>
          </cell>
          <cell r="X22800" t="str">
            <v>Commissions - share RI</v>
          </cell>
        </row>
        <row r="22801">
          <cell r="L22801"/>
          <cell r="S22801">
            <v>-193.4</v>
          </cell>
          <cell r="X22801" t="str">
            <v>Commissions - share RI</v>
          </cell>
        </row>
        <row r="22802">
          <cell r="L22802"/>
          <cell r="S22802">
            <v>-169.72</v>
          </cell>
          <cell r="X22802" t="str">
            <v>Commissions - share RI</v>
          </cell>
        </row>
        <row r="22803">
          <cell r="L22803"/>
          <cell r="S22803">
            <v>513.80999999999995</v>
          </cell>
          <cell r="X22803" t="str">
            <v>Commissions - share RI</v>
          </cell>
        </row>
        <row r="22804">
          <cell r="L22804"/>
          <cell r="S22804">
            <v>308.72000000000003</v>
          </cell>
          <cell r="X22804" t="str">
            <v>Commissions - share RI</v>
          </cell>
        </row>
        <row r="22805">
          <cell r="L22805"/>
          <cell r="S22805">
            <v>1113.82</v>
          </cell>
          <cell r="X22805" t="str">
            <v>Commissions - share RI</v>
          </cell>
        </row>
        <row r="22806">
          <cell r="L22806"/>
          <cell r="S22806">
            <v>-2420.46</v>
          </cell>
          <cell r="X22806" t="str">
            <v>Commissions - share RI</v>
          </cell>
        </row>
        <row r="22807">
          <cell r="L22807"/>
          <cell r="S22807">
            <v>-270.77</v>
          </cell>
          <cell r="X22807" t="str">
            <v>Commissions - share RI</v>
          </cell>
        </row>
        <row r="22808">
          <cell r="L22808"/>
          <cell r="S22808">
            <v>38.68</v>
          </cell>
          <cell r="X22808" t="str">
            <v>Commissions - share RI</v>
          </cell>
        </row>
        <row r="22809">
          <cell r="L22809"/>
          <cell r="S22809">
            <v>-24.83</v>
          </cell>
          <cell r="X22809" t="str">
            <v>Commissions - share RI</v>
          </cell>
        </row>
        <row r="22810">
          <cell r="L22810"/>
          <cell r="S22810">
            <v>3088.84</v>
          </cell>
          <cell r="X22810" t="str">
            <v>Commissions - share RI</v>
          </cell>
        </row>
        <row r="22811">
          <cell r="L22811"/>
          <cell r="S22811">
            <v>-35.979999999999997</v>
          </cell>
          <cell r="X22811" t="str">
            <v>Commissions - share RI</v>
          </cell>
        </row>
        <row r="22812">
          <cell r="L22812"/>
          <cell r="S22812">
            <v>1712.72</v>
          </cell>
          <cell r="X22812" t="str">
            <v>Commissions - share RI</v>
          </cell>
        </row>
        <row r="22813">
          <cell r="L22813"/>
          <cell r="S22813">
            <v>-131.57</v>
          </cell>
          <cell r="X22813" t="str">
            <v>Commissions - share RI</v>
          </cell>
        </row>
        <row r="22814">
          <cell r="L22814"/>
          <cell r="S22814">
            <v>51.38</v>
          </cell>
          <cell r="X22814" t="str">
            <v>Commissions - share RI</v>
          </cell>
        </row>
        <row r="22815">
          <cell r="L22815"/>
          <cell r="S22815">
            <v>378.86</v>
          </cell>
          <cell r="X22815" t="str">
            <v>Commissions - share RI</v>
          </cell>
        </row>
        <row r="22816">
          <cell r="L22816"/>
          <cell r="S22816">
            <v>-51.38</v>
          </cell>
          <cell r="X22816" t="str">
            <v>Commissions - share RI</v>
          </cell>
        </row>
        <row r="22817">
          <cell r="L22817"/>
          <cell r="S22817">
            <v>3.8</v>
          </cell>
          <cell r="X22817" t="str">
            <v>Commissions - share RI</v>
          </cell>
        </row>
        <row r="22818">
          <cell r="L22818"/>
          <cell r="S22818">
            <v>-2958.59</v>
          </cell>
          <cell r="X22818" t="str">
            <v>Commissions - share RI</v>
          </cell>
        </row>
        <row r="22819">
          <cell r="L22819"/>
          <cell r="S22819">
            <v>-1315.67</v>
          </cell>
          <cell r="X22819" t="str">
            <v>Commissions - share RI</v>
          </cell>
        </row>
        <row r="22820">
          <cell r="L22820"/>
          <cell r="S22820">
            <v>-146.97999999999999</v>
          </cell>
          <cell r="X22820" t="str">
            <v>Commissions - share RI</v>
          </cell>
        </row>
        <row r="22821">
          <cell r="L22821"/>
          <cell r="S22821">
            <v>-308.88</v>
          </cell>
          <cell r="X22821" t="str">
            <v>Commissions - share RI</v>
          </cell>
        </row>
        <row r="22822">
          <cell r="L22822"/>
          <cell r="S22822">
            <v>79.569999999999993</v>
          </cell>
          <cell r="X22822" t="str">
            <v>Commissions - share RI</v>
          </cell>
        </row>
        <row r="22823">
          <cell r="L22823"/>
          <cell r="S22823">
            <v>-242.04</v>
          </cell>
          <cell r="X22823" t="str">
            <v>Commissions - share RI</v>
          </cell>
        </row>
        <row r="22824">
          <cell r="L22824"/>
          <cell r="S22824">
            <v>-3.08</v>
          </cell>
          <cell r="X22824" t="str">
            <v>Commissions - share RI</v>
          </cell>
        </row>
        <row r="22825">
          <cell r="L22825"/>
          <cell r="S22825">
            <v>-116.04</v>
          </cell>
          <cell r="X22825" t="str">
            <v>Commissions - share RI</v>
          </cell>
        </row>
        <row r="22826">
          <cell r="L22826"/>
          <cell r="S22826">
            <v>339.42</v>
          </cell>
          <cell r="X22826" t="str">
            <v>Commissions - share RI</v>
          </cell>
        </row>
        <row r="22827">
          <cell r="L22827"/>
          <cell r="S22827">
            <v>-80.819999999999993</v>
          </cell>
          <cell r="X22827" t="str">
            <v>Commissions - share RI</v>
          </cell>
        </row>
        <row r="22828">
          <cell r="L22828"/>
          <cell r="S22828">
            <v>2002.07</v>
          </cell>
          <cell r="X22828" t="str">
            <v>Commissions - share RI</v>
          </cell>
        </row>
        <row r="22829">
          <cell r="L22829"/>
          <cell r="S22829">
            <v>-378.87</v>
          </cell>
          <cell r="X22829" t="str">
            <v>Commissions - share RI</v>
          </cell>
        </row>
        <row r="22830">
          <cell r="L22830"/>
          <cell r="S22830">
            <v>43.63</v>
          </cell>
          <cell r="X22830" t="str">
            <v>Commissions - share RI</v>
          </cell>
        </row>
        <row r="22831">
          <cell r="L22831"/>
          <cell r="S22831">
            <v>146.97</v>
          </cell>
          <cell r="X22831" t="str">
            <v>Commissions - share RI</v>
          </cell>
        </row>
        <row r="22832">
          <cell r="L22832"/>
          <cell r="S22832">
            <v>-2662.72</v>
          </cell>
          <cell r="X22832" t="str">
            <v>Commissions - share RI</v>
          </cell>
        </row>
        <row r="22833">
          <cell r="L22833"/>
          <cell r="S22833">
            <v>38.68</v>
          </cell>
          <cell r="X22833" t="str">
            <v>Commissions - share RI</v>
          </cell>
        </row>
        <row r="22834">
          <cell r="L22834"/>
          <cell r="S22834">
            <v>-169.89</v>
          </cell>
          <cell r="X22834" t="str">
            <v>Commissions - share RI</v>
          </cell>
        </row>
        <row r="22835">
          <cell r="L22835"/>
          <cell r="S22835">
            <v>-10.79</v>
          </cell>
          <cell r="X22835" t="str">
            <v>Commissions - share RI</v>
          </cell>
        </row>
        <row r="22836">
          <cell r="L22836"/>
          <cell r="S22836">
            <v>-94</v>
          </cell>
          <cell r="X22836" t="str">
            <v>Commissions - share RI</v>
          </cell>
        </row>
        <row r="22837">
          <cell r="L22837"/>
          <cell r="S22837">
            <v>-37.99</v>
          </cell>
          <cell r="X22837" t="str">
            <v>Commissions - share RI</v>
          </cell>
        </row>
        <row r="22838">
          <cell r="L22838"/>
          <cell r="S22838">
            <v>-193.4</v>
          </cell>
          <cell r="X22838" t="str">
            <v>Commissions - share RI</v>
          </cell>
        </row>
        <row r="22839">
          <cell r="L22839"/>
          <cell r="S22839">
            <v>-34.909999999999997</v>
          </cell>
          <cell r="X22839" t="str">
            <v>Commissions - share RI</v>
          </cell>
        </row>
        <row r="22840">
          <cell r="L22840"/>
          <cell r="S22840">
            <v>-38.68</v>
          </cell>
          <cell r="X22840" t="str">
            <v>Commissions - share RI</v>
          </cell>
        </row>
        <row r="22841">
          <cell r="L22841"/>
          <cell r="S22841">
            <v>458.62</v>
          </cell>
          <cell r="X22841" t="str">
            <v>Commissions - share RI</v>
          </cell>
        </row>
        <row r="22842">
          <cell r="L22842"/>
          <cell r="S22842">
            <v>51.07</v>
          </cell>
          <cell r="X22842" t="str">
            <v>Commissions - share RI</v>
          </cell>
        </row>
        <row r="22843">
          <cell r="L22843"/>
          <cell r="S22843">
            <v>-618.89</v>
          </cell>
          <cell r="X22843" t="str">
            <v>Commissions - share RI</v>
          </cell>
        </row>
        <row r="22844">
          <cell r="L22844"/>
          <cell r="S22844">
            <v>-38.68</v>
          </cell>
          <cell r="X22844" t="str">
            <v>Commissions - share RI</v>
          </cell>
        </row>
        <row r="22845">
          <cell r="L22845"/>
          <cell r="S22845">
            <v>171.27</v>
          </cell>
          <cell r="X22845" t="str">
            <v>Commissions - share RI</v>
          </cell>
        </row>
        <row r="22846">
          <cell r="L22846"/>
          <cell r="S22846">
            <v>-38.68</v>
          </cell>
          <cell r="X22846" t="str">
            <v>Commissions - share RI</v>
          </cell>
        </row>
        <row r="22847">
          <cell r="L22847"/>
          <cell r="S22847">
            <v>-14.88</v>
          </cell>
          <cell r="X22847" t="str">
            <v>Commissions - share RI</v>
          </cell>
        </row>
        <row r="22848">
          <cell r="L22848"/>
          <cell r="S22848">
            <v>618.89</v>
          </cell>
          <cell r="X22848" t="str">
            <v>Commissions - share RI</v>
          </cell>
        </row>
        <row r="22849">
          <cell r="L22849"/>
          <cell r="S22849">
            <v>-65.790000000000006</v>
          </cell>
          <cell r="X22849" t="str">
            <v>Commissions - share RI</v>
          </cell>
        </row>
        <row r="22850">
          <cell r="L22850"/>
          <cell r="S22850">
            <v>-51.38</v>
          </cell>
          <cell r="X22850" t="str">
            <v>Commissions - share RI</v>
          </cell>
        </row>
        <row r="22851">
          <cell r="L22851"/>
          <cell r="S22851">
            <v>-1.66</v>
          </cell>
          <cell r="X22851" t="str">
            <v>Commissions - share RI</v>
          </cell>
        </row>
        <row r="22852">
          <cell r="L22852"/>
          <cell r="S22852">
            <v>313.64999999999998</v>
          </cell>
          <cell r="X22852" t="str">
            <v>Commissions - share RI</v>
          </cell>
        </row>
        <row r="22853">
          <cell r="L22853"/>
          <cell r="S22853">
            <v>-111.37</v>
          </cell>
          <cell r="X22853" t="str">
            <v>Commissions - share RI</v>
          </cell>
        </row>
        <row r="22854">
          <cell r="L22854"/>
          <cell r="S22854">
            <v>-3136.44</v>
          </cell>
          <cell r="X22854" t="str">
            <v>Commissions - share RI</v>
          </cell>
        </row>
        <row r="22855">
          <cell r="L22855"/>
          <cell r="S22855">
            <v>502.85</v>
          </cell>
          <cell r="X22855" t="str">
            <v>Commissions - share RI</v>
          </cell>
        </row>
        <row r="22856">
          <cell r="L22856"/>
          <cell r="S22856">
            <v>35.979999999999997</v>
          </cell>
          <cell r="X22856" t="str">
            <v>Commissions - share RI</v>
          </cell>
        </row>
        <row r="22857">
          <cell r="L22857"/>
          <cell r="S22857">
            <v>1315.68</v>
          </cell>
          <cell r="X22857" t="str">
            <v>Commissions - share RI</v>
          </cell>
        </row>
        <row r="22858">
          <cell r="L22858"/>
          <cell r="S22858">
            <v>-77.36</v>
          </cell>
          <cell r="X22858" t="str">
            <v>Commissions - share RI</v>
          </cell>
        </row>
        <row r="22859">
          <cell r="L22859"/>
          <cell r="S22859">
            <v>-787.72</v>
          </cell>
          <cell r="X22859" t="str">
            <v>Commissions - share RI</v>
          </cell>
        </row>
        <row r="22860">
          <cell r="L22860"/>
          <cell r="S22860">
            <v>270.77</v>
          </cell>
          <cell r="X22860" t="str">
            <v>Commissions - share RI</v>
          </cell>
        </row>
        <row r="22861">
          <cell r="L22861"/>
          <cell r="S22861">
            <v>214.95</v>
          </cell>
          <cell r="X22861" t="str">
            <v>Commissions - share RI</v>
          </cell>
        </row>
        <row r="22862">
          <cell r="L22862"/>
          <cell r="S22862">
            <v>-207.78</v>
          </cell>
          <cell r="X22862" t="str">
            <v>Commissions - share RI</v>
          </cell>
        </row>
        <row r="22863">
          <cell r="L22863"/>
          <cell r="S22863">
            <v>30.88</v>
          </cell>
          <cell r="X22863" t="str">
            <v>Commissions - share RI</v>
          </cell>
        </row>
        <row r="22864">
          <cell r="L22864"/>
          <cell r="S22864">
            <v>2759.09</v>
          </cell>
          <cell r="X22864" t="str">
            <v>Commissions - share RI</v>
          </cell>
        </row>
        <row r="22865">
          <cell r="L22865"/>
          <cell r="S22865">
            <v>65.86</v>
          </cell>
          <cell r="X22865" t="str">
            <v>Commissions - share RI</v>
          </cell>
        </row>
        <row r="22866">
          <cell r="L22866"/>
          <cell r="S22866">
            <v>269.29000000000002</v>
          </cell>
          <cell r="X22866" t="str">
            <v>Commissions - share RI</v>
          </cell>
        </row>
        <row r="22867">
          <cell r="L22867"/>
          <cell r="S22867">
            <v>51.38</v>
          </cell>
          <cell r="X22867" t="str">
            <v>Commissions - share RI</v>
          </cell>
        </row>
        <row r="22868">
          <cell r="L22868"/>
          <cell r="S22868">
            <v>-0.73</v>
          </cell>
          <cell r="X22868" t="str">
            <v>Commissions - share RI</v>
          </cell>
        </row>
        <row r="22869">
          <cell r="L22869"/>
          <cell r="S22869">
            <v>-348.13</v>
          </cell>
          <cell r="X22869" t="str">
            <v>Commissions - share RI</v>
          </cell>
        </row>
        <row r="22870">
          <cell r="L22870"/>
          <cell r="S22870">
            <v>169.89</v>
          </cell>
          <cell r="X22870" t="str">
            <v>Commissions - share RI</v>
          </cell>
        </row>
        <row r="22871">
          <cell r="L22871"/>
          <cell r="S22871">
            <v>-1934.45</v>
          </cell>
          <cell r="X22871" t="str">
            <v>Commissions - share RI</v>
          </cell>
        </row>
        <row r="22872">
          <cell r="L22872"/>
          <cell r="S22872">
            <v>-184.03</v>
          </cell>
          <cell r="X22872" t="str">
            <v>Commissions - share RI</v>
          </cell>
        </row>
        <row r="22873">
          <cell r="L22873"/>
          <cell r="S22873">
            <v>-812.31</v>
          </cell>
          <cell r="X22873" t="str">
            <v>Commissions - share RI</v>
          </cell>
        </row>
        <row r="22874">
          <cell r="L22874"/>
          <cell r="S22874">
            <v>-1712.72</v>
          </cell>
          <cell r="X22874" t="str">
            <v>Commissions - share RI</v>
          </cell>
        </row>
        <row r="22875">
          <cell r="L22875"/>
          <cell r="S22875">
            <v>299.20999999999998</v>
          </cell>
          <cell r="X22875" t="str">
            <v>Commissions - share RI</v>
          </cell>
        </row>
        <row r="22876">
          <cell r="L22876"/>
          <cell r="S22876">
            <v>38.64</v>
          </cell>
          <cell r="X22876" t="str">
            <v>Commissions - share RI</v>
          </cell>
        </row>
        <row r="22877">
          <cell r="L22877"/>
          <cell r="S22877">
            <v>-3394.3</v>
          </cell>
          <cell r="X22877" t="str">
            <v>Commissions - share RI</v>
          </cell>
        </row>
        <row r="22878">
          <cell r="L22878"/>
          <cell r="S22878">
            <v>3394.31</v>
          </cell>
          <cell r="X22878" t="str">
            <v>Commissions - share RI</v>
          </cell>
        </row>
        <row r="22879">
          <cell r="L22879"/>
          <cell r="S22879">
            <v>-1217.8</v>
          </cell>
          <cell r="X22879" t="str">
            <v>Commissions - share RI</v>
          </cell>
        </row>
        <row r="22880">
          <cell r="L22880"/>
          <cell r="S22880">
            <v>-1.02</v>
          </cell>
          <cell r="X22880" t="str">
            <v>Commissions - share RI</v>
          </cell>
        </row>
        <row r="22881">
          <cell r="L22881"/>
          <cell r="S22881">
            <v>-200.2</v>
          </cell>
          <cell r="X22881" t="str">
            <v>Commissions - share RI</v>
          </cell>
        </row>
        <row r="22882">
          <cell r="L22882"/>
          <cell r="S22882">
            <v>38.68</v>
          </cell>
          <cell r="X22882" t="str">
            <v>Commissions - share RI</v>
          </cell>
        </row>
        <row r="22883">
          <cell r="L22883"/>
          <cell r="S22883">
            <v>-79.569999999999993</v>
          </cell>
          <cell r="X22883" t="str">
            <v>Commissions - share RI</v>
          </cell>
        </row>
        <row r="22884">
          <cell r="L22884"/>
          <cell r="S22884">
            <v>1741.01</v>
          </cell>
          <cell r="X22884" t="str">
            <v>Commissions - share RI</v>
          </cell>
        </row>
        <row r="22885">
          <cell r="L22885"/>
          <cell r="S22885">
            <v>-939.98</v>
          </cell>
          <cell r="X22885" t="str">
            <v>Commissions - share RI</v>
          </cell>
        </row>
        <row r="22886">
          <cell r="L22886"/>
          <cell r="S22886">
            <v>3.08</v>
          </cell>
          <cell r="X22886" t="str">
            <v>Commissions - share RI</v>
          </cell>
        </row>
        <row r="22887">
          <cell r="L22887"/>
          <cell r="S22887">
            <v>-269.29000000000002</v>
          </cell>
          <cell r="X22887" t="str">
            <v>Commissions - share RI</v>
          </cell>
        </row>
        <row r="22888">
          <cell r="L22888"/>
          <cell r="S22888">
            <v>349.03</v>
          </cell>
          <cell r="X22888" t="str">
            <v>Commissions - share RI</v>
          </cell>
        </row>
        <row r="22889">
          <cell r="L22889"/>
          <cell r="S22889">
            <v>37.99</v>
          </cell>
          <cell r="X22889" t="str">
            <v>Commissions - share RI</v>
          </cell>
        </row>
        <row r="22890">
          <cell r="L22890"/>
          <cell r="S22890">
            <v>-50.82</v>
          </cell>
          <cell r="X22890" t="str">
            <v>Commissions - share RI</v>
          </cell>
        </row>
        <row r="22891">
          <cell r="L22891"/>
          <cell r="S22891">
            <v>121.77</v>
          </cell>
          <cell r="X22891" t="str">
            <v>Commissions - share RI</v>
          </cell>
        </row>
        <row r="22892">
          <cell r="L22892"/>
          <cell r="S22892">
            <v>37.99</v>
          </cell>
          <cell r="X22892" t="str">
            <v>Commissions - share RI</v>
          </cell>
        </row>
        <row r="22893">
          <cell r="L22893"/>
          <cell r="S22893">
            <v>-5.1100000000000003</v>
          </cell>
          <cell r="X22893" t="str">
            <v>Commissions - share RI</v>
          </cell>
        </row>
        <row r="22894">
          <cell r="L22894"/>
          <cell r="S22894">
            <v>0.73</v>
          </cell>
          <cell r="X22894" t="str">
            <v>Commissions - share RI</v>
          </cell>
        </row>
        <row r="22895">
          <cell r="L22895"/>
          <cell r="S22895">
            <v>-1199.1199999999999</v>
          </cell>
          <cell r="X22895" t="str">
            <v>Commissions - share RI</v>
          </cell>
        </row>
        <row r="22896">
          <cell r="L22896"/>
          <cell r="S22896">
            <v>-9.43</v>
          </cell>
          <cell r="X22896" t="str">
            <v>Commissions - share RI</v>
          </cell>
        </row>
        <row r="22897">
          <cell r="L22897"/>
          <cell r="S22897">
            <v>328.73</v>
          </cell>
          <cell r="X22897" t="str">
            <v>Commissions - share RI</v>
          </cell>
        </row>
        <row r="22898">
          <cell r="L22898"/>
          <cell r="S22898">
            <v>61.26</v>
          </cell>
          <cell r="X22898" t="str">
            <v>Commissions - share RI</v>
          </cell>
        </row>
        <row r="22899">
          <cell r="L22899"/>
          <cell r="S22899">
            <v>47</v>
          </cell>
          <cell r="X22899" t="str">
            <v>Commissions - share RI</v>
          </cell>
        </row>
        <row r="22900">
          <cell r="L22900"/>
          <cell r="S22900">
            <v>184.02</v>
          </cell>
          <cell r="X22900" t="str">
            <v>Commissions - share RI</v>
          </cell>
        </row>
        <row r="22901">
          <cell r="L22901"/>
          <cell r="S22901">
            <v>65.790000000000006</v>
          </cell>
          <cell r="X22901" t="str">
            <v>Commissions - share RI</v>
          </cell>
        </row>
        <row r="22902">
          <cell r="L22902"/>
          <cell r="S22902">
            <v>1849.39</v>
          </cell>
          <cell r="X22902" t="str">
            <v>Commissions - share RI</v>
          </cell>
        </row>
        <row r="22903">
          <cell r="L22903"/>
          <cell r="S22903">
            <v>-25.57</v>
          </cell>
          <cell r="X22903" t="str">
            <v>Commissions - share RI</v>
          </cell>
        </row>
        <row r="22904">
          <cell r="L22904"/>
          <cell r="S22904">
            <v>193.4</v>
          </cell>
          <cell r="X22904" t="str">
            <v>Commissions - share RI</v>
          </cell>
        </row>
        <row r="22905">
          <cell r="L22905"/>
          <cell r="S22905">
            <v>-42.19</v>
          </cell>
          <cell r="X22905" t="str">
            <v>Commissions - share RI</v>
          </cell>
        </row>
        <row r="22906">
          <cell r="L22906"/>
          <cell r="S22906">
            <v>-65.86</v>
          </cell>
          <cell r="X22906" t="str">
            <v>Commissions - share RI</v>
          </cell>
        </row>
        <row r="22907">
          <cell r="L22907"/>
          <cell r="S22907">
            <v>54.07</v>
          </cell>
          <cell r="X22907" t="str">
            <v>Commissions - share RI</v>
          </cell>
        </row>
        <row r="22908">
          <cell r="L22908"/>
          <cell r="S22908">
            <v>66.319999999999993</v>
          </cell>
          <cell r="X22908" t="str">
            <v>Commissions - share RI</v>
          </cell>
        </row>
        <row r="22909">
          <cell r="L22909"/>
          <cell r="S22909">
            <v>-4.47</v>
          </cell>
          <cell r="X22909" t="str">
            <v>Commissions - share RI</v>
          </cell>
        </row>
        <row r="22910">
          <cell r="L22910"/>
          <cell r="S22910">
            <v>-17.91</v>
          </cell>
          <cell r="X22910" t="str">
            <v>Commissions - share RI</v>
          </cell>
        </row>
        <row r="22911">
          <cell r="L22911"/>
          <cell r="S22911">
            <v>59.71</v>
          </cell>
          <cell r="X22911" t="str">
            <v>Commissions - share RI</v>
          </cell>
        </row>
        <row r="22912">
          <cell r="L22912"/>
          <cell r="S22912">
            <v>11.91</v>
          </cell>
          <cell r="X22912" t="str">
            <v>Commissions - share RI</v>
          </cell>
        </row>
        <row r="22913">
          <cell r="L22913"/>
          <cell r="S22913">
            <v>-130.51</v>
          </cell>
          <cell r="X22913" t="str">
            <v>Commissions - share RI</v>
          </cell>
        </row>
        <row r="22914">
          <cell r="L22914"/>
          <cell r="S22914">
            <v>1305.02</v>
          </cell>
          <cell r="X22914" t="str">
            <v>Commissions - share RI</v>
          </cell>
        </row>
        <row r="22915">
          <cell r="L22915"/>
          <cell r="S22915">
            <v>-593.54999999999995</v>
          </cell>
          <cell r="X22915" t="str">
            <v>Commissions - share RI</v>
          </cell>
        </row>
        <row r="22916">
          <cell r="L22916"/>
          <cell r="S22916">
            <v>65.25</v>
          </cell>
          <cell r="X22916" t="str">
            <v>Commissions - share RI</v>
          </cell>
        </row>
        <row r="22917">
          <cell r="L22917"/>
          <cell r="S22917">
            <v>224.28</v>
          </cell>
          <cell r="X22917" t="str">
            <v>Commissions - share RI</v>
          </cell>
        </row>
        <row r="22918">
          <cell r="L22918"/>
          <cell r="S22918">
            <v>29.24</v>
          </cell>
          <cell r="X22918" t="str">
            <v>Commissions - share RI</v>
          </cell>
        </row>
        <row r="22919">
          <cell r="L22919"/>
          <cell r="S22919">
            <v>33.520000000000003</v>
          </cell>
          <cell r="X22919" t="str">
            <v>Commissions - share RI</v>
          </cell>
        </row>
        <row r="22920">
          <cell r="L22920"/>
          <cell r="S22920">
            <v>-52.47</v>
          </cell>
          <cell r="X22920" t="str">
            <v>Commissions - share RI</v>
          </cell>
        </row>
        <row r="22921">
          <cell r="L22921"/>
          <cell r="S22921">
            <v>-194.19</v>
          </cell>
          <cell r="X22921" t="str">
            <v>Commissions - share RI</v>
          </cell>
        </row>
        <row r="22922">
          <cell r="L22922"/>
          <cell r="S22922">
            <v>179.8</v>
          </cell>
          <cell r="X22922" t="str">
            <v>Commissions - share RI</v>
          </cell>
        </row>
        <row r="22923">
          <cell r="L22923"/>
          <cell r="S22923">
            <v>-485.25</v>
          </cell>
          <cell r="X22923" t="str">
            <v>Commissions - share RI</v>
          </cell>
        </row>
        <row r="22924">
          <cell r="L22924"/>
          <cell r="S22924">
            <v>552.34</v>
          </cell>
          <cell r="X22924" t="str">
            <v>Commissions - share RI</v>
          </cell>
        </row>
        <row r="22925">
          <cell r="L22925"/>
          <cell r="S22925">
            <v>-0.12</v>
          </cell>
          <cell r="X22925" t="str">
            <v>Commissions - share RI</v>
          </cell>
        </row>
        <row r="22926">
          <cell r="L22926"/>
          <cell r="S22926">
            <v>60.08</v>
          </cell>
          <cell r="X22926" t="str">
            <v>Commissions - share RI</v>
          </cell>
        </row>
        <row r="22927">
          <cell r="L22927"/>
          <cell r="S22927">
            <v>10.92</v>
          </cell>
          <cell r="X22927" t="str">
            <v>Commissions - share RI</v>
          </cell>
        </row>
        <row r="22928">
          <cell r="L22928"/>
          <cell r="S22928">
            <v>21.35</v>
          </cell>
          <cell r="X22928" t="str">
            <v>Commissions - share RI</v>
          </cell>
        </row>
        <row r="22929">
          <cell r="L22929"/>
          <cell r="S22929">
            <v>7.0000000000000007E-2</v>
          </cell>
          <cell r="X22929" t="str">
            <v>Commissions - share RI</v>
          </cell>
        </row>
        <row r="22930">
          <cell r="L22930"/>
          <cell r="S22930">
            <v>-1.51</v>
          </cell>
          <cell r="X22930" t="str">
            <v>Commissions - share RI</v>
          </cell>
        </row>
        <row r="22931">
          <cell r="L22931"/>
          <cell r="S22931">
            <v>485.25</v>
          </cell>
          <cell r="X22931" t="str">
            <v>Commissions - share RI</v>
          </cell>
        </row>
        <row r="22932">
          <cell r="L22932"/>
          <cell r="S22932">
            <v>-468.2</v>
          </cell>
          <cell r="X22932" t="str">
            <v>Commissions - share RI</v>
          </cell>
        </row>
        <row r="22933">
          <cell r="L22933"/>
          <cell r="S22933">
            <v>61.25</v>
          </cell>
          <cell r="X22933" t="str">
            <v>Commissions - share RI</v>
          </cell>
        </row>
        <row r="22934">
          <cell r="L22934"/>
          <cell r="S22934">
            <v>26.96</v>
          </cell>
          <cell r="X22934" t="str">
            <v>Commissions - share RI</v>
          </cell>
        </row>
        <row r="22935">
          <cell r="L22935"/>
          <cell r="S22935">
            <v>-80.88</v>
          </cell>
          <cell r="X22935" t="str">
            <v>Commissions - share RI</v>
          </cell>
        </row>
        <row r="22936">
          <cell r="L22936"/>
          <cell r="S22936">
            <v>-4.03</v>
          </cell>
          <cell r="X22936" t="str">
            <v>Commissions - share RI</v>
          </cell>
        </row>
        <row r="22937">
          <cell r="L22937"/>
          <cell r="S22937">
            <v>-58.29</v>
          </cell>
          <cell r="X22937" t="str">
            <v>Commissions - share RI</v>
          </cell>
        </row>
        <row r="22938">
          <cell r="L22938"/>
          <cell r="S22938">
            <v>28.55</v>
          </cell>
          <cell r="X22938" t="str">
            <v>Commissions - share RI</v>
          </cell>
        </row>
        <row r="22939">
          <cell r="L22939"/>
          <cell r="S22939">
            <v>46.82</v>
          </cell>
          <cell r="X22939" t="str">
            <v>Commissions - share RI</v>
          </cell>
        </row>
        <row r="22940">
          <cell r="L22940"/>
          <cell r="S22940">
            <v>213.49</v>
          </cell>
          <cell r="X22940" t="str">
            <v>Commissions - share RI</v>
          </cell>
        </row>
        <row r="22941">
          <cell r="L22941"/>
          <cell r="S22941">
            <v>-90.12</v>
          </cell>
          <cell r="X22941" t="str">
            <v>Commissions - share RI</v>
          </cell>
        </row>
        <row r="22942">
          <cell r="L22942"/>
          <cell r="S22942">
            <v>1285.26</v>
          </cell>
          <cell r="X22942" t="str">
            <v>Commissions - share RI</v>
          </cell>
        </row>
        <row r="22943">
          <cell r="L22943"/>
          <cell r="S22943">
            <v>-865.56</v>
          </cell>
          <cell r="X22943" t="str">
            <v>Commissions - share RI</v>
          </cell>
        </row>
        <row r="22944">
          <cell r="L22944"/>
          <cell r="S22944">
            <v>-11.6</v>
          </cell>
          <cell r="X22944" t="str">
            <v>Commissions - share RI</v>
          </cell>
        </row>
        <row r="22945">
          <cell r="L22945"/>
          <cell r="S22945">
            <v>-224.28</v>
          </cell>
          <cell r="X22945" t="str">
            <v>Commissions - share RI</v>
          </cell>
        </row>
        <row r="22946">
          <cell r="L22946"/>
          <cell r="S22946">
            <v>-119.4</v>
          </cell>
          <cell r="X22946" t="str">
            <v>Commissions - share RI</v>
          </cell>
        </row>
        <row r="22947">
          <cell r="L22947"/>
          <cell r="S22947">
            <v>-264.64</v>
          </cell>
          <cell r="X22947" t="str">
            <v>Commissions - share RI</v>
          </cell>
        </row>
        <row r="22948">
          <cell r="L22948"/>
          <cell r="S22948">
            <v>-135.43</v>
          </cell>
          <cell r="X22948" t="str">
            <v>Commissions - share RI</v>
          </cell>
        </row>
        <row r="22949">
          <cell r="L22949"/>
          <cell r="S22949">
            <v>-58.29</v>
          </cell>
          <cell r="X22949" t="str">
            <v>Commissions - share RI</v>
          </cell>
        </row>
        <row r="22950">
          <cell r="L22950"/>
          <cell r="S22950">
            <v>-397.85</v>
          </cell>
          <cell r="X22950" t="str">
            <v>Commissions - share RI</v>
          </cell>
        </row>
        <row r="22951">
          <cell r="L22951"/>
          <cell r="S22951">
            <v>1305.01</v>
          </cell>
          <cell r="X22951" t="str">
            <v>Commissions - share RI</v>
          </cell>
        </row>
        <row r="22952">
          <cell r="L22952"/>
          <cell r="S22952">
            <v>18</v>
          </cell>
          <cell r="X22952" t="str">
            <v>Commissions - share RI</v>
          </cell>
        </row>
        <row r="22953">
          <cell r="L22953"/>
          <cell r="S22953">
            <v>83.52</v>
          </cell>
          <cell r="X22953" t="str">
            <v>Commissions - share RI</v>
          </cell>
        </row>
        <row r="22954">
          <cell r="L22954"/>
          <cell r="S22954">
            <v>311.42</v>
          </cell>
          <cell r="X22954" t="str">
            <v>Commissions - share RI</v>
          </cell>
        </row>
        <row r="22955">
          <cell r="L22955"/>
          <cell r="S22955">
            <v>-285.52999999999997</v>
          </cell>
          <cell r="X22955" t="str">
            <v>Commissions - share RI</v>
          </cell>
        </row>
        <row r="22956">
          <cell r="L22956"/>
          <cell r="S22956">
            <v>-12.9</v>
          </cell>
          <cell r="X22956" t="str">
            <v>Commissions - share RI</v>
          </cell>
        </row>
        <row r="22957">
          <cell r="L22957"/>
          <cell r="S22957">
            <v>21.06</v>
          </cell>
          <cell r="X22957" t="str">
            <v>Commissions - share RI</v>
          </cell>
        </row>
        <row r="22958">
          <cell r="L22958"/>
          <cell r="S22958">
            <v>16.12</v>
          </cell>
          <cell r="X22958" t="str">
            <v>Commissions - share RI</v>
          </cell>
        </row>
        <row r="22959">
          <cell r="L22959"/>
          <cell r="S22959">
            <v>602.54999999999995</v>
          </cell>
          <cell r="X22959" t="str">
            <v>Commissions - share RI</v>
          </cell>
        </row>
        <row r="22960">
          <cell r="L22960"/>
          <cell r="S22960">
            <v>-275.19</v>
          </cell>
          <cell r="X22960" t="str">
            <v>Commissions - share RI</v>
          </cell>
        </row>
        <row r="22961">
          <cell r="L22961"/>
          <cell r="S22961">
            <v>174</v>
          </cell>
          <cell r="X22961" t="str">
            <v>Commissions - share RI</v>
          </cell>
        </row>
        <row r="22962">
          <cell r="L22962"/>
          <cell r="S22962">
            <v>1081.43</v>
          </cell>
          <cell r="X22962" t="str">
            <v>Commissions - share RI</v>
          </cell>
        </row>
        <row r="22963">
          <cell r="L22963"/>
          <cell r="S22963">
            <v>47.62</v>
          </cell>
          <cell r="X22963" t="str">
            <v>Commissions - share RI</v>
          </cell>
        </row>
        <row r="22964">
          <cell r="L22964"/>
          <cell r="S22964">
            <v>7.43</v>
          </cell>
          <cell r="X22964" t="str">
            <v>Commissions - share RI</v>
          </cell>
        </row>
        <row r="22965">
          <cell r="L22965"/>
          <cell r="S22965">
            <v>12.45</v>
          </cell>
          <cell r="X22965" t="str">
            <v>Commissions - share RI</v>
          </cell>
        </row>
        <row r="22966">
          <cell r="L22966"/>
          <cell r="S22966">
            <v>-11.91</v>
          </cell>
          <cell r="X22966" t="str">
            <v>Commissions - share RI</v>
          </cell>
        </row>
        <row r="22967">
          <cell r="L22967"/>
          <cell r="S22967">
            <v>58.29</v>
          </cell>
          <cell r="X22967" t="str">
            <v>Commissions - share RI</v>
          </cell>
        </row>
        <row r="22968">
          <cell r="L22968"/>
          <cell r="S22968">
            <v>1201.5899999999999</v>
          </cell>
          <cell r="X22968" t="str">
            <v>Commissions - share RI</v>
          </cell>
        </row>
        <row r="22969">
          <cell r="L22969"/>
          <cell r="S22969">
            <v>-7.0000000000000007E-2</v>
          </cell>
          <cell r="X22969" t="str">
            <v>Commissions - share RI</v>
          </cell>
        </row>
        <row r="22970">
          <cell r="L22970"/>
          <cell r="S22970">
            <v>394.47</v>
          </cell>
          <cell r="X22970" t="str">
            <v>Commissions - share RI</v>
          </cell>
        </row>
        <row r="22971">
          <cell r="L22971"/>
          <cell r="S22971">
            <v>-0.19</v>
          </cell>
          <cell r="X22971" t="str">
            <v>Commissions - share RI</v>
          </cell>
        </row>
        <row r="22972">
          <cell r="L22972"/>
          <cell r="S22972">
            <v>708.78</v>
          </cell>
          <cell r="X22972" t="str">
            <v>Commissions - share RI</v>
          </cell>
        </row>
        <row r="22973">
          <cell r="L22973"/>
          <cell r="S22973">
            <v>25.8</v>
          </cell>
          <cell r="X22973" t="str">
            <v>Commissions - share RI</v>
          </cell>
        </row>
        <row r="22974">
          <cell r="L22974"/>
          <cell r="S22974">
            <v>43.4</v>
          </cell>
          <cell r="X22974" t="str">
            <v>Commissions - share RI</v>
          </cell>
        </row>
        <row r="22975">
          <cell r="L22975"/>
          <cell r="S22975">
            <v>-83.52</v>
          </cell>
          <cell r="X22975" t="str">
            <v>Commissions - share RI</v>
          </cell>
        </row>
        <row r="22976">
          <cell r="L22976"/>
          <cell r="S22976">
            <v>27.52</v>
          </cell>
          <cell r="X22976" t="str">
            <v>Commissions - share RI</v>
          </cell>
        </row>
        <row r="22977">
          <cell r="L22977"/>
          <cell r="S22977">
            <v>17.399999999999999</v>
          </cell>
          <cell r="X22977" t="str">
            <v>Commissions - share RI</v>
          </cell>
        </row>
        <row r="22978">
          <cell r="L22978"/>
          <cell r="S22978">
            <v>835.24</v>
          </cell>
          <cell r="X22978" t="str">
            <v>Commissions - share RI</v>
          </cell>
        </row>
        <row r="22979">
          <cell r="L22979"/>
          <cell r="S22979">
            <v>1802.39</v>
          </cell>
          <cell r="X22979" t="str">
            <v>Commissions - share RI</v>
          </cell>
        </row>
        <row r="22980">
          <cell r="L22980"/>
          <cell r="S22980">
            <v>-1201.5899999999999</v>
          </cell>
          <cell r="X22980" t="str">
            <v>Commissions - share RI</v>
          </cell>
        </row>
        <row r="22981">
          <cell r="L22981"/>
          <cell r="S22981">
            <v>10.130000000000001</v>
          </cell>
          <cell r="X22981" t="str">
            <v>Commissions - share RI</v>
          </cell>
        </row>
        <row r="22982">
          <cell r="L22982"/>
          <cell r="S22982">
            <v>26.96</v>
          </cell>
          <cell r="X22982" t="str">
            <v>Commissions - share RI</v>
          </cell>
        </row>
        <row r="22983">
          <cell r="L22983"/>
          <cell r="S22983">
            <v>-18</v>
          </cell>
          <cell r="X22983" t="str">
            <v>Commissions - share RI</v>
          </cell>
        </row>
        <row r="22984">
          <cell r="L22984"/>
          <cell r="S22984">
            <v>248.98</v>
          </cell>
          <cell r="X22984" t="str">
            <v>Commissions - share RI</v>
          </cell>
        </row>
        <row r="22985">
          <cell r="L22985"/>
          <cell r="S22985">
            <v>-59.71</v>
          </cell>
          <cell r="X22985" t="str">
            <v>Commissions - share RI</v>
          </cell>
        </row>
        <row r="22986">
          <cell r="L22986"/>
          <cell r="S22986">
            <v>8.74</v>
          </cell>
          <cell r="X22986" t="str">
            <v>Commissions - share RI</v>
          </cell>
        </row>
        <row r="22987">
          <cell r="L22987"/>
          <cell r="S22987">
            <v>-7.4</v>
          </cell>
          <cell r="X22987" t="str">
            <v>Commissions - share RI</v>
          </cell>
        </row>
        <row r="22988">
          <cell r="L22988"/>
          <cell r="S22988">
            <v>179.95</v>
          </cell>
          <cell r="X22988" t="str">
            <v>Commissions - share RI</v>
          </cell>
        </row>
        <row r="22989">
          <cell r="L22989"/>
          <cell r="S22989">
            <v>128.53</v>
          </cell>
          <cell r="X22989" t="str">
            <v>Commissions - share RI</v>
          </cell>
        </row>
        <row r="22990">
          <cell r="L22990"/>
          <cell r="S22990">
            <v>24.86</v>
          </cell>
          <cell r="X22990" t="str">
            <v>Commissions - share RI</v>
          </cell>
        </row>
        <row r="22991">
          <cell r="L22991"/>
          <cell r="S22991">
            <v>24.91</v>
          </cell>
          <cell r="X22991" t="str">
            <v>Commissions - share RI</v>
          </cell>
        </row>
        <row r="22992">
          <cell r="L22992"/>
          <cell r="S22992">
            <v>-179.95</v>
          </cell>
          <cell r="X22992" t="str">
            <v>Commissions - share RI</v>
          </cell>
        </row>
        <row r="22993">
          <cell r="L22993"/>
          <cell r="S22993">
            <v>180.24</v>
          </cell>
          <cell r="X22993" t="str">
            <v>Commissions - share RI</v>
          </cell>
        </row>
        <row r="22994">
          <cell r="L22994"/>
          <cell r="S22994">
            <v>1074.49</v>
          </cell>
          <cell r="X22994" t="str">
            <v>Commissions - share RI</v>
          </cell>
        </row>
        <row r="22995">
          <cell r="L22995"/>
          <cell r="S22995">
            <v>32.67</v>
          </cell>
          <cell r="X22995" t="str">
            <v>Commissions - share RI</v>
          </cell>
        </row>
        <row r="22996">
          <cell r="L22996"/>
          <cell r="S22996">
            <v>-15.08</v>
          </cell>
          <cell r="X22996" t="str">
            <v>Commissions - share RI</v>
          </cell>
        </row>
        <row r="22997">
          <cell r="L22997"/>
          <cell r="S22997">
            <v>-0.16</v>
          </cell>
          <cell r="X22997" t="str">
            <v>Commissions - share RI</v>
          </cell>
        </row>
        <row r="22998">
          <cell r="L22998"/>
          <cell r="S22998">
            <v>9.68</v>
          </cell>
          <cell r="X22998" t="str">
            <v>Commissions - share RI</v>
          </cell>
        </row>
        <row r="22999">
          <cell r="L22999"/>
          <cell r="S22999">
            <v>43.28</v>
          </cell>
          <cell r="X22999" t="str">
            <v>Commissions - share RI</v>
          </cell>
        </row>
        <row r="23000">
          <cell r="L23000"/>
          <cell r="S23000">
            <v>-285.01</v>
          </cell>
          <cell r="X23000" t="str">
            <v>Commissions - share RI</v>
          </cell>
        </row>
        <row r="23001">
          <cell r="L23001"/>
          <cell r="S23001">
            <v>-0.1</v>
          </cell>
          <cell r="X23001" t="str">
            <v>Commissions - share RI</v>
          </cell>
        </row>
        <row r="23002">
          <cell r="L23002"/>
          <cell r="S23002">
            <v>-438900</v>
          </cell>
          <cell r="X23002" t="str">
            <v>Commissions - share RI</v>
          </cell>
        </row>
        <row r="23003">
          <cell r="L23003"/>
          <cell r="S23003">
            <v>19.350000000000001</v>
          </cell>
          <cell r="X23003" t="str">
            <v>Commissions - share RI</v>
          </cell>
        </row>
        <row r="23004">
          <cell r="L23004"/>
          <cell r="S23004">
            <v>-476.35</v>
          </cell>
          <cell r="X23004" t="str">
            <v>Commissions - share RI</v>
          </cell>
        </row>
        <row r="23005">
          <cell r="L23005"/>
          <cell r="S23005">
            <v>28.2</v>
          </cell>
          <cell r="X23005" t="str">
            <v>Commissions - share RI</v>
          </cell>
        </row>
        <row r="23006">
          <cell r="L23006"/>
          <cell r="S23006">
            <v>397.85</v>
          </cell>
          <cell r="X23006" t="str">
            <v>Commissions - share RI</v>
          </cell>
        </row>
        <row r="23007">
          <cell r="L23007"/>
          <cell r="S23007">
            <v>335.21</v>
          </cell>
          <cell r="X23007" t="str">
            <v>Commissions - share RI</v>
          </cell>
        </row>
        <row r="23008">
          <cell r="L23008"/>
          <cell r="S23008">
            <v>37.590000000000003</v>
          </cell>
          <cell r="X23008" t="str">
            <v>Commissions - share RI</v>
          </cell>
        </row>
        <row r="23009">
          <cell r="L23009"/>
          <cell r="S23009">
            <v>-258.11</v>
          </cell>
          <cell r="X23009" t="str">
            <v>Commissions - share RI</v>
          </cell>
        </row>
        <row r="23010">
          <cell r="L23010"/>
          <cell r="S23010">
            <v>-258.11</v>
          </cell>
          <cell r="X23010" t="str">
            <v>Commissions - share RI</v>
          </cell>
        </row>
        <row r="23011">
          <cell r="L23011"/>
          <cell r="S23011">
            <v>12.9</v>
          </cell>
          <cell r="X23011" t="str">
            <v>Commissions - share RI</v>
          </cell>
        </row>
        <row r="23012">
          <cell r="L23012"/>
          <cell r="S23012">
            <v>-5.0599999999999996</v>
          </cell>
          <cell r="X23012" t="str">
            <v>Commissions - share RI</v>
          </cell>
        </row>
        <row r="23013">
          <cell r="L23013"/>
          <cell r="S23013">
            <v>-18.48</v>
          </cell>
          <cell r="X23013" t="str">
            <v>Commissions - share RI</v>
          </cell>
        </row>
        <row r="23014">
          <cell r="L23014"/>
          <cell r="S23014">
            <v>-1.3</v>
          </cell>
          <cell r="X23014" t="str">
            <v>Commissions - share RI</v>
          </cell>
        </row>
        <row r="23015">
          <cell r="L23015"/>
          <cell r="S23015">
            <v>17.91</v>
          </cell>
          <cell r="X23015" t="str">
            <v>Commissions - share RI</v>
          </cell>
        </row>
        <row r="23016">
          <cell r="L23016"/>
          <cell r="S23016">
            <v>53.92</v>
          </cell>
          <cell r="X23016" t="str">
            <v>Commissions - share RI</v>
          </cell>
        </row>
        <row r="23017">
          <cell r="L23017"/>
          <cell r="S23017">
            <v>285.01</v>
          </cell>
          <cell r="X23017" t="str">
            <v>Commissions - share RI</v>
          </cell>
        </row>
        <row r="23018">
          <cell r="L23018"/>
          <cell r="S23018">
            <v>24.27</v>
          </cell>
          <cell r="X23018" t="str">
            <v>Commissions - share RI</v>
          </cell>
        </row>
        <row r="23019">
          <cell r="L23019"/>
          <cell r="S23019">
            <v>5.93</v>
          </cell>
          <cell r="X23019" t="str">
            <v>Commissions - share RI</v>
          </cell>
        </row>
        <row r="23020">
          <cell r="L23020"/>
          <cell r="S23020">
            <v>-8.98</v>
          </cell>
          <cell r="X23020" t="str">
            <v>Commissions - share RI</v>
          </cell>
        </row>
        <row r="23021">
          <cell r="L23021"/>
          <cell r="S23021">
            <v>21.44</v>
          </cell>
          <cell r="X23021" t="str">
            <v>Commissions - share RI</v>
          </cell>
        </row>
        <row r="23022">
          <cell r="L23022"/>
          <cell r="S23022">
            <v>-3.95</v>
          </cell>
          <cell r="X23022" t="str">
            <v>Commissions - share RI</v>
          </cell>
        </row>
        <row r="23023">
          <cell r="L23023"/>
          <cell r="S23023">
            <v>39.520000000000003</v>
          </cell>
          <cell r="X23023" t="str">
            <v>Commissions - share RI</v>
          </cell>
        </row>
        <row r="23024">
          <cell r="L23024"/>
          <cell r="S23024">
            <v>77.91</v>
          </cell>
          <cell r="X23024" t="str">
            <v>Commissions - share RI</v>
          </cell>
        </row>
        <row r="23025">
          <cell r="L23025"/>
          <cell r="S23025">
            <v>-53.72</v>
          </cell>
          <cell r="X23025" t="str">
            <v>Commissions - share RI</v>
          </cell>
        </row>
        <row r="23026">
          <cell r="L23026"/>
          <cell r="S23026">
            <v>10.67</v>
          </cell>
          <cell r="X23026" t="str">
            <v>Commissions - share RI</v>
          </cell>
        </row>
        <row r="23027">
          <cell r="L23027"/>
          <cell r="S23027">
            <v>4.47</v>
          </cell>
          <cell r="X23027" t="str">
            <v>Commissions - share RI</v>
          </cell>
        </row>
        <row r="23028">
          <cell r="L23028"/>
          <cell r="S23028">
            <v>19.41</v>
          </cell>
          <cell r="X23028" t="str">
            <v>Commissions - share RI</v>
          </cell>
        </row>
        <row r="23029">
          <cell r="L23029"/>
          <cell r="S23029">
            <v>-31.9</v>
          </cell>
          <cell r="X23029" t="str">
            <v>Commissions - share RI</v>
          </cell>
        </row>
        <row r="23030">
          <cell r="L23030"/>
          <cell r="S23030">
            <v>-14.25</v>
          </cell>
          <cell r="X23030" t="str">
            <v>Commissions - share RI</v>
          </cell>
        </row>
        <row r="23031">
          <cell r="L23031"/>
          <cell r="S23031">
            <v>11.21</v>
          </cell>
          <cell r="X23031" t="str">
            <v>Commissions - share RI</v>
          </cell>
        </row>
        <row r="23032">
          <cell r="L23032"/>
          <cell r="S23032">
            <v>58.29</v>
          </cell>
          <cell r="X23032" t="str">
            <v>Commissions - share RI</v>
          </cell>
        </row>
        <row r="23033">
          <cell r="L23033"/>
          <cell r="S23033">
            <v>-86.56</v>
          </cell>
          <cell r="X23033" t="str">
            <v>Commissions - share RI</v>
          </cell>
        </row>
        <row r="23034">
          <cell r="L23034"/>
          <cell r="S23034">
            <v>-37.590000000000003</v>
          </cell>
          <cell r="X23034" t="str">
            <v>Commissions - share RI</v>
          </cell>
        </row>
        <row r="23035">
          <cell r="L23035"/>
          <cell r="S23035">
            <v>-133176.47</v>
          </cell>
          <cell r="X23035" t="str">
            <v>Commissions - share RI</v>
          </cell>
        </row>
        <row r="23036">
          <cell r="L23036"/>
          <cell r="S23036">
            <v>193.59</v>
          </cell>
          <cell r="X23036" t="str">
            <v>Commissions - share RI</v>
          </cell>
        </row>
        <row r="23037">
          <cell r="L23037"/>
          <cell r="S23037">
            <v>-602.55999999999995</v>
          </cell>
          <cell r="X23037" t="str">
            <v>Commissions - share RI</v>
          </cell>
        </row>
        <row r="23038">
          <cell r="L23038"/>
          <cell r="S23038">
            <v>-26.46</v>
          </cell>
          <cell r="X23038" t="str">
            <v>Commissions - share RI</v>
          </cell>
        </row>
        <row r="23039">
          <cell r="L23039"/>
          <cell r="S23039">
            <v>-57.83</v>
          </cell>
          <cell r="X23039" t="str">
            <v>Commissions - share RI</v>
          </cell>
        </row>
        <row r="23040">
          <cell r="L23040"/>
          <cell r="S23040">
            <v>258.11</v>
          </cell>
          <cell r="X23040" t="str">
            <v>Commissions - share RI</v>
          </cell>
        </row>
        <row r="23041">
          <cell r="L23041"/>
          <cell r="S23041">
            <v>-7.0000000000000007E-2</v>
          </cell>
          <cell r="X23041" t="str">
            <v>Commissions - share RI</v>
          </cell>
        </row>
        <row r="23042">
          <cell r="L23042"/>
          <cell r="S23042">
            <v>-147.94999999999999</v>
          </cell>
          <cell r="X23042" t="str">
            <v>Commissions - share RI</v>
          </cell>
        </row>
        <row r="23043">
          <cell r="L23043"/>
          <cell r="S23043">
            <v>17.989999999999998</v>
          </cell>
          <cell r="X23043" t="str">
            <v>Commissions - share RI</v>
          </cell>
        </row>
        <row r="23044">
          <cell r="L23044"/>
          <cell r="S23044">
            <v>4.47</v>
          </cell>
          <cell r="X23044" t="str">
            <v>Commissions - share RI</v>
          </cell>
        </row>
        <row r="23045">
          <cell r="L23045"/>
          <cell r="S23045">
            <v>14.8</v>
          </cell>
          <cell r="X23045" t="str">
            <v>Commissions - share RI</v>
          </cell>
        </row>
        <row r="23046">
          <cell r="L23046"/>
          <cell r="S23046">
            <v>-8.1</v>
          </cell>
          <cell r="X23046" t="str">
            <v>Commissions - share RI</v>
          </cell>
        </row>
        <row r="23047">
          <cell r="L23047"/>
          <cell r="S23047">
            <v>-60.08</v>
          </cell>
          <cell r="X23047" t="str">
            <v>Commissions - share RI</v>
          </cell>
        </row>
        <row r="23048">
          <cell r="L23048"/>
          <cell r="S23048">
            <v>-1.1399999999999999</v>
          </cell>
          <cell r="X23048" t="str">
            <v>Commissions - share RI</v>
          </cell>
        </row>
        <row r="23049">
          <cell r="L23049"/>
          <cell r="S23049">
            <v>40.44</v>
          </cell>
          <cell r="X23049" t="str">
            <v>Commissions - share RI</v>
          </cell>
        </row>
        <row r="23050">
          <cell r="L23050"/>
          <cell r="S23050">
            <v>39.51</v>
          </cell>
          <cell r="X23050" t="str">
            <v>Commissions - share RI</v>
          </cell>
        </row>
        <row r="23051">
          <cell r="L23051"/>
          <cell r="S23051">
            <v>132.66</v>
          </cell>
          <cell r="X23051" t="str">
            <v>Commissions - share RI</v>
          </cell>
        </row>
        <row r="23052">
          <cell r="L23052"/>
          <cell r="S23052">
            <v>11.6</v>
          </cell>
          <cell r="X23052" t="str">
            <v>Commissions - share RI</v>
          </cell>
        </row>
        <row r="23053">
          <cell r="L23053"/>
          <cell r="S23053">
            <v>-39.78</v>
          </cell>
          <cell r="X23053" t="str">
            <v>Commissions - share RI</v>
          </cell>
        </row>
        <row r="23054">
          <cell r="L23054"/>
          <cell r="S23054">
            <v>130.5</v>
          </cell>
          <cell r="X23054" t="str">
            <v>Commissions - share RI</v>
          </cell>
        </row>
        <row r="23055">
          <cell r="L23055"/>
          <cell r="S23055">
            <v>999.4</v>
          </cell>
          <cell r="X23055" t="str">
            <v>Commissions - share RI</v>
          </cell>
        </row>
        <row r="23056">
          <cell r="L23056"/>
          <cell r="S23056">
            <v>275.19</v>
          </cell>
          <cell r="X23056" t="str">
            <v>Commissions - share RI</v>
          </cell>
        </row>
        <row r="23057">
          <cell r="L23057"/>
          <cell r="S23057">
            <v>-0.38</v>
          </cell>
          <cell r="X23057" t="str">
            <v>Commissions - share RI</v>
          </cell>
        </row>
        <row r="23058">
          <cell r="L23058"/>
          <cell r="S23058">
            <v>1194.08</v>
          </cell>
          <cell r="X23058" t="str">
            <v>Commissions - share RI</v>
          </cell>
        </row>
        <row r="23059">
          <cell r="L23059"/>
          <cell r="S23059">
            <v>120.16</v>
          </cell>
          <cell r="X23059" t="str">
            <v>Commissions - share RI</v>
          </cell>
        </row>
        <row r="23060">
          <cell r="L23060"/>
          <cell r="S23060">
            <v>3.23</v>
          </cell>
          <cell r="X23060" t="str">
            <v>Commissions - share RI</v>
          </cell>
        </row>
        <row r="23061">
          <cell r="L23061"/>
          <cell r="S23061">
            <v>80.88</v>
          </cell>
          <cell r="X23061" t="str">
            <v>Commissions - share RI</v>
          </cell>
        </row>
        <row r="23062">
          <cell r="L23062"/>
          <cell r="S23062">
            <v>87.8</v>
          </cell>
          <cell r="X23062" t="str">
            <v>Commissions - share RI</v>
          </cell>
        </row>
        <row r="23063">
          <cell r="L23063"/>
          <cell r="S23063">
            <v>19.350000000000001</v>
          </cell>
          <cell r="X23063" t="str">
            <v>Commissions - share RI</v>
          </cell>
        </row>
        <row r="23064">
          <cell r="L23064"/>
          <cell r="S23064">
            <v>0.38</v>
          </cell>
          <cell r="X23064" t="str">
            <v>Commissions - share RI</v>
          </cell>
        </row>
        <row r="23065">
          <cell r="L23065"/>
          <cell r="S23065">
            <v>-49.97</v>
          </cell>
          <cell r="X23065" t="str">
            <v>Commissions - share RI</v>
          </cell>
        </row>
        <row r="23066">
          <cell r="L23066"/>
          <cell r="S23066">
            <v>-248.98</v>
          </cell>
          <cell r="X23066" t="str">
            <v>Commissions - share RI</v>
          </cell>
        </row>
        <row r="23067">
          <cell r="L23067"/>
          <cell r="S23067">
            <v>-13.83</v>
          </cell>
          <cell r="X23067" t="str">
            <v>Commissions - share RI</v>
          </cell>
        </row>
        <row r="23068">
          <cell r="L23068"/>
          <cell r="S23068">
            <v>220.86</v>
          </cell>
          <cell r="X23068" t="str">
            <v>Commissions - share RI</v>
          </cell>
        </row>
        <row r="23069">
          <cell r="L23069"/>
          <cell r="S23069">
            <v>-107.45</v>
          </cell>
          <cell r="X23069" t="str">
            <v>Commissions - share RI</v>
          </cell>
        </row>
        <row r="23070">
          <cell r="L23070"/>
          <cell r="S23070">
            <v>-10.67</v>
          </cell>
          <cell r="X23070" t="str">
            <v>Commissions - share RI</v>
          </cell>
        </row>
        <row r="23071">
          <cell r="L23071"/>
          <cell r="S23071">
            <v>-7.43</v>
          </cell>
          <cell r="X23071" t="str">
            <v>Commissions - share RI</v>
          </cell>
        </row>
        <row r="23072">
          <cell r="L23072"/>
          <cell r="S23072">
            <v>4.47</v>
          </cell>
          <cell r="X23072" t="str">
            <v>Commissions - share RI</v>
          </cell>
        </row>
        <row r="23073">
          <cell r="L23073"/>
          <cell r="S23073">
            <v>-248.98</v>
          </cell>
          <cell r="X23073" t="str">
            <v>Commissions - share RI</v>
          </cell>
        </row>
        <row r="23074">
          <cell r="L23074"/>
          <cell r="S23074">
            <v>3.75</v>
          </cell>
          <cell r="X23074" t="str">
            <v>Commissions - share RI</v>
          </cell>
        </row>
        <row r="23075">
          <cell r="L23075"/>
          <cell r="S23075">
            <v>19.54</v>
          </cell>
          <cell r="X23075" t="str">
            <v>Commissions - share RI</v>
          </cell>
        </row>
        <row r="23076">
          <cell r="L23076"/>
          <cell r="S23076">
            <v>-582.98</v>
          </cell>
          <cell r="X23076" t="str">
            <v>Commissions - share RI</v>
          </cell>
        </row>
        <row r="23077">
          <cell r="L23077"/>
          <cell r="S23077">
            <v>53.72</v>
          </cell>
          <cell r="X23077" t="str">
            <v>Commissions - share RI</v>
          </cell>
        </row>
        <row r="23078">
          <cell r="L23078"/>
          <cell r="S23078">
            <v>-612.57000000000005</v>
          </cell>
          <cell r="X23078" t="str">
            <v>Commissions - share RI</v>
          </cell>
        </row>
        <row r="23079">
          <cell r="L23079"/>
          <cell r="S23079">
            <v>13.76</v>
          </cell>
          <cell r="X23079" t="str">
            <v>Commissions - share RI</v>
          </cell>
        </row>
        <row r="23080">
          <cell r="L23080"/>
          <cell r="S23080">
            <v>48.52</v>
          </cell>
          <cell r="X23080" t="str">
            <v>Commissions - share RI</v>
          </cell>
        </row>
        <row r="23081">
          <cell r="L23081"/>
          <cell r="S23081">
            <v>120.16</v>
          </cell>
          <cell r="X23081" t="str">
            <v>Commissions - share RI</v>
          </cell>
        </row>
        <row r="23082">
          <cell r="L23082"/>
          <cell r="S23082">
            <v>-48.52</v>
          </cell>
          <cell r="X23082" t="str">
            <v>Commissions - share RI</v>
          </cell>
        </row>
        <row r="23083">
          <cell r="L23083"/>
          <cell r="S23083">
            <v>-1201.5899999999999</v>
          </cell>
          <cell r="X23083" t="str">
            <v>Commissions - share RI</v>
          </cell>
        </row>
        <row r="23084">
          <cell r="L23084"/>
          <cell r="S23084">
            <v>-307.27999999999997</v>
          </cell>
          <cell r="X23084" t="str">
            <v>Commissions - share RI</v>
          </cell>
        </row>
        <row r="23085">
          <cell r="L23085"/>
          <cell r="S23085">
            <v>-2.0099999999999998</v>
          </cell>
          <cell r="X23085" t="str">
            <v>Commissions - share RI</v>
          </cell>
        </row>
        <row r="23086">
          <cell r="L23086"/>
          <cell r="S23086">
            <v>-130.5</v>
          </cell>
          <cell r="X23086" t="str">
            <v>Commissions - share RI</v>
          </cell>
        </row>
        <row r="23087">
          <cell r="L23087"/>
          <cell r="S23087">
            <v>-1326.44</v>
          </cell>
          <cell r="X23087" t="str">
            <v>Commissions - share RI</v>
          </cell>
        </row>
        <row r="23088">
          <cell r="L23088"/>
          <cell r="S23088">
            <v>-193.59</v>
          </cell>
          <cell r="X23088" t="str">
            <v>Commissions - share RI</v>
          </cell>
        </row>
        <row r="23089">
          <cell r="L23089"/>
          <cell r="S23089">
            <v>-242.59</v>
          </cell>
          <cell r="X23089" t="str">
            <v>Commissions - share RI</v>
          </cell>
        </row>
        <row r="23090">
          <cell r="L23090"/>
          <cell r="S23090">
            <v>-24.26</v>
          </cell>
          <cell r="X23090" t="str">
            <v>Commissions - share RI</v>
          </cell>
        </row>
        <row r="23091">
          <cell r="L23091"/>
          <cell r="S23091">
            <v>26.24</v>
          </cell>
          <cell r="X23091" t="str">
            <v>Commissions - share RI</v>
          </cell>
        </row>
        <row r="23092">
          <cell r="L23092"/>
          <cell r="S23092">
            <v>30.72</v>
          </cell>
          <cell r="X23092" t="str">
            <v>Commissions - share RI</v>
          </cell>
        </row>
        <row r="23093">
          <cell r="L23093"/>
          <cell r="S23093">
            <v>29.15</v>
          </cell>
          <cell r="X23093" t="str">
            <v>Commissions - share RI</v>
          </cell>
        </row>
        <row r="23094">
          <cell r="L23094"/>
          <cell r="S23094">
            <v>326.73</v>
          </cell>
          <cell r="X23094" t="str">
            <v>Commissions - share RI</v>
          </cell>
        </row>
        <row r="23095">
          <cell r="L23095"/>
          <cell r="S23095">
            <v>-58.29</v>
          </cell>
          <cell r="X23095" t="str">
            <v>Commissions - share RI</v>
          </cell>
        </row>
        <row r="23096">
          <cell r="L23096"/>
          <cell r="S23096">
            <v>-58.29</v>
          </cell>
          <cell r="X23096" t="str">
            <v>Commissions - share RI</v>
          </cell>
        </row>
        <row r="23097">
          <cell r="L23097"/>
          <cell r="S23097">
            <v>242.59</v>
          </cell>
          <cell r="X23097" t="str">
            <v>Commissions - share RI</v>
          </cell>
        </row>
        <row r="23098">
          <cell r="L23098"/>
          <cell r="S23098">
            <v>-29.15</v>
          </cell>
          <cell r="X23098" t="str">
            <v>Commissions - share RI</v>
          </cell>
        </row>
        <row r="23099">
          <cell r="L23099"/>
          <cell r="S23099">
            <v>-40.44</v>
          </cell>
          <cell r="X23099" t="str">
            <v>Commissions - share RI</v>
          </cell>
        </row>
        <row r="23100">
          <cell r="L23100"/>
          <cell r="S23100">
            <v>-4.47</v>
          </cell>
          <cell r="X23100" t="str">
            <v>Commissions - share RI</v>
          </cell>
        </row>
        <row r="23101">
          <cell r="L23101"/>
          <cell r="S23101">
            <v>0.35</v>
          </cell>
          <cell r="X23101" t="str">
            <v>Commissions - share RI</v>
          </cell>
        </row>
        <row r="23102">
          <cell r="L23102"/>
          <cell r="S23102">
            <v>-30.72</v>
          </cell>
          <cell r="X23102" t="str">
            <v>Commissions - share RI</v>
          </cell>
        </row>
        <row r="23103">
          <cell r="L23103"/>
          <cell r="S23103">
            <v>-70.89</v>
          </cell>
          <cell r="X23103" t="str">
            <v>Commissions - share RI</v>
          </cell>
        </row>
        <row r="23104">
          <cell r="L23104"/>
          <cell r="S23104">
            <v>-179.8</v>
          </cell>
          <cell r="X23104" t="str">
            <v>Commissions - share RI</v>
          </cell>
        </row>
        <row r="23105">
          <cell r="L23105"/>
          <cell r="S23105">
            <v>-39.450000000000003</v>
          </cell>
          <cell r="X23105" t="str">
            <v>Commissions - share RI</v>
          </cell>
        </row>
        <row r="23106">
          <cell r="L23106"/>
          <cell r="S23106">
            <v>-11.67</v>
          </cell>
          <cell r="X23106" t="str">
            <v>Commissions - share RI</v>
          </cell>
        </row>
        <row r="23107">
          <cell r="L23107"/>
          <cell r="S23107">
            <v>434.01</v>
          </cell>
          <cell r="X23107" t="str">
            <v>Commissions - share RI</v>
          </cell>
        </row>
        <row r="23108">
          <cell r="L23108"/>
          <cell r="S23108">
            <v>12.9</v>
          </cell>
          <cell r="X23108" t="str">
            <v>Commissions - share RI</v>
          </cell>
        </row>
        <row r="23109">
          <cell r="L23109"/>
          <cell r="S23109">
            <v>16.5</v>
          </cell>
          <cell r="X23109" t="str">
            <v>Commissions - share RI</v>
          </cell>
        </row>
        <row r="23110">
          <cell r="L23110"/>
          <cell r="S23110">
            <v>86.56</v>
          </cell>
          <cell r="X23110" t="str">
            <v>Commissions - share RI</v>
          </cell>
        </row>
        <row r="23111">
          <cell r="L23111"/>
          <cell r="S23111">
            <v>-213.49</v>
          </cell>
          <cell r="X23111" t="str">
            <v>Commissions - share RI</v>
          </cell>
        </row>
        <row r="23112">
          <cell r="L23112"/>
          <cell r="S23112">
            <v>-582.98</v>
          </cell>
          <cell r="X23112" t="str">
            <v>Commissions - share RI</v>
          </cell>
        </row>
        <row r="23113">
          <cell r="L23113"/>
          <cell r="S23113">
            <v>43.28</v>
          </cell>
          <cell r="X23113" t="str">
            <v>Commissions - share RI</v>
          </cell>
        </row>
        <row r="23114">
          <cell r="L23114"/>
          <cell r="S23114">
            <v>130.51</v>
          </cell>
          <cell r="X23114" t="str">
            <v>Commissions - share RI</v>
          </cell>
        </row>
        <row r="23115">
          <cell r="L23115"/>
          <cell r="S23115">
            <v>60.08</v>
          </cell>
          <cell r="X23115" t="str">
            <v>Commissions - share RI</v>
          </cell>
        </row>
        <row r="23116">
          <cell r="L23116"/>
          <cell r="S23116">
            <v>25.79</v>
          </cell>
          <cell r="X23116" t="str">
            <v>Commissions - share RI</v>
          </cell>
        </row>
        <row r="23117">
          <cell r="L23117"/>
          <cell r="S23117">
            <v>116.03</v>
          </cell>
          <cell r="X23117" t="str">
            <v>Commissions - share RI</v>
          </cell>
        </row>
        <row r="23118">
          <cell r="L23118"/>
          <cell r="S23118">
            <v>107.45</v>
          </cell>
          <cell r="X23118" t="str">
            <v>Commissions - share RI</v>
          </cell>
        </row>
        <row r="23119">
          <cell r="L23119"/>
          <cell r="S23119">
            <v>-626.41999999999996</v>
          </cell>
          <cell r="X23119" t="str">
            <v>Commissions - share RI</v>
          </cell>
        </row>
        <row r="23120">
          <cell r="L23120"/>
          <cell r="S23120">
            <v>-245.36</v>
          </cell>
          <cell r="X23120" t="str">
            <v>Commissions - share RI</v>
          </cell>
        </row>
        <row r="23121">
          <cell r="L23121"/>
          <cell r="S23121">
            <v>9.68</v>
          </cell>
          <cell r="X23121" t="str">
            <v>Commissions - share RI</v>
          </cell>
        </row>
        <row r="23122">
          <cell r="L23122"/>
          <cell r="S23122">
            <v>-3.01</v>
          </cell>
          <cell r="X23122" t="str">
            <v>Commissions - share RI</v>
          </cell>
        </row>
        <row r="23123">
          <cell r="L23123"/>
          <cell r="S23123">
            <v>-11.21</v>
          </cell>
          <cell r="X23123" t="str">
            <v>Commissions - share RI</v>
          </cell>
        </row>
        <row r="23124">
          <cell r="L23124"/>
          <cell r="S23124">
            <v>-24.91</v>
          </cell>
          <cell r="X23124" t="str">
            <v>Commissions - share RI</v>
          </cell>
        </row>
        <row r="23125">
          <cell r="L23125"/>
          <cell r="S23125">
            <v>-1194.08</v>
          </cell>
          <cell r="X23125" t="str">
            <v>Commissions - share RI</v>
          </cell>
        </row>
        <row r="23126">
          <cell r="L23126"/>
          <cell r="S23126">
            <v>-26.96</v>
          </cell>
          <cell r="X23126" t="str">
            <v>Commissions - share RI</v>
          </cell>
        </row>
        <row r="23127">
          <cell r="L23127"/>
          <cell r="S23127">
            <v>-16.5</v>
          </cell>
          <cell r="X23127" t="str">
            <v>Commissions - share RI</v>
          </cell>
        </row>
        <row r="23128">
          <cell r="L23128"/>
          <cell r="S23128">
            <v>-3.75</v>
          </cell>
          <cell r="X23128" t="str">
            <v>Commissions - share RI</v>
          </cell>
        </row>
        <row r="23129">
          <cell r="L23129"/>
          <cell r="S23129">
            <v>58.29</v>
          </cell>
          <cell r="X23129" t="str">
            <v>Commissions - share RI</v>
          </cell>
        </row>
        <row r="23130">
          <cell r="L23130"/>
          <cell r="S23130">
            <v>5.0599999999999996</v>
          </cell>
          <cell r="X23130" t="str">
            <v>Commissions - share RI</v>
          </cell>
        </row>
        <row r="23131">
          <cell r="L23131"/>
          <cell r="S23131">
            <v>108.15</v>
          </cell>
          <cell r="X23131" t="str">
            <v>Commissions - share RI</v>
          </cell>
        </row>
        <row r="23132">
          <cell r="L23132"/>
          <cell r="S23132">
            <v>-524.67999999999995</v>
          </cell>
          <cell r="X23132" t="str">
            <v>Commissions - share RI</v>
          </cell>
        </row>
        <row r="23133">
          <cell r="L23133"/>
          <cell r="S23133">
            <v>-65.25</v>
          </cell>
          <cell r="X23133" t="str">
            <v>Commissions - share RI</v>
          </cell>
        </row>
        <row r="23134">
          <cell r="L23134"/>
          <cell r="S23134">
            <v>4.47</v>
          </cell>
          <cell r="X23134" t="str">
            <v>Commissions - share RI</v>
          </cell>
        </row>
        <row r="23135">
          <cell r="L23135"/>
          <cell r="S23135">
            <v>-335.21</v>
          </cell>
          <cell r="X23135" t="str">
            <v>Commissions - share RI</v>
          </cell>
        </row>
        <row r="23136">
          <cell r="L23136"/>
          <cell r="S23136">
            <v>55.24</v>
          </cell>
          <cell r="X23136" t="str">
            <v>Commissions - share RI</v>
          </cell>
        </row>
        <row r="23137">
          <cell r="L23137"/>
          <cell r="S23137">
            <v>27.56</v>
          </cell>
          <cell r="X23137" t="str">
            <v>Commissions - share RI</v>
          </cell>
        </row>
        <row r="23138">
          <cell r="L23138"/>
          <cell r="S23138">
            <v>59.36</v>
          </cell>
          <cell r="X23138" t="str">
            <v>Commissions - share RI</v>
          </cell>
        </row>
        <row r="23139">
          <cell r="L23139"/>
          <cell r="S23139">
            <v>13.83</v>
          </cell>
          <cell r="X23139" t="str">
            <v>Commissions - share RI</v>
          </cell>
        </row>
        <row r="23140">
          <cell r="L23140"/>
          <cell r="S23140">
            <v>-1285.26</v>
          </cell>
          <cell r="X23140" t="str">
            <v>Commissions - share RI</v>
          </cell>
        </row>
        <row r="23141">
          <cell r="L23141"/>
          <cell r="S23141">
            <v>-32.67</v>
          </cell>
          <cell r="X23141" t="str">
            <v>Commissions - share RI</v>
          </cell>
        </row>
        <row r="23142">
          <cell r="L23142"/>
          <cell r="S23142">
            <v>12.85</v>
          </cell>
          <cell r="X23142" t="str">
            <v>Commissions - share RI</v>
          </cell>
        </row>
        <row r="23143">
          <cell r="L23143"/>
          <cell r="S23143">
            <v>-13.55</v>
          </cell>
          <cell r="X23143" t="str">
            <v>Commissions - share RI</v>
          </cell>
        </row>
        <row r="23144">
          <cell r="L23144"/>
          <cell r="S23144">
            <v>32.67</v>
          </cell>
          <cell r="X23144" t="str">
            <v>Commissions - share RI</v>
          </cell>
        </row>
        <row r="23145">
          <cell r="L23145"/>
          <cell r="S23145">
            <v>58.29</v>
          </cell>
          <cell r="X23145" t="str">
            <v>Commissions - share RI</v>
          </cell>
        </row>
        <row r="23146">
          <cell r="L23146"/>
          <cell r="S23146">
            <v>-17.989999999999998</v>
          </cell>
          <cell r="X23146" t="str">
            <v>Commissions - share RI</v>
          </cell>
        </row>
        <row r="23147">
          <cell r="L23147"/>
          <cell r="S23147">
            <v>-2.2799999999999998</v>
          </cell>
          <cell r="X23147" t="str">
            <v>Commissions - share RI</v>
          </cell>
        </row>
        <row r="23148">
          <cell r="L23148"/>
          <cell r="S23148">
            <v>57.83</v>
          </cell>
          <cell r="X23148" t="str">
            <v>Commissions - share RI</v>
          </cell>
        </row>
        <row r="23149">
          <cell r="L23149"/>
          <cell r="S23149">
            <v>25.8</v>
          </cell>
          <cell r="X23149" t="str">
            <v>Commissions - share RI</v>
          </cell>
        </row>
        <row r="23150">
          <cell r="L23150"/>
          <cell r="S23150">
            <v>4.28</v>
          </cell>
          <cell r="X23150" t="str">
            <v>Commissions - share RI</v>
          </cell>
        </row>
        <row r="23151">
          <cell r="L23151"/>
          <cell r="S23151">
            <v>-16.12</v>
          </cell>
          <cell r="X23151" t="str">
            <v>Commissions - share RI</v>
          </cell>
        </row>
        <row r="23152">
          <cell r="L23152"/>
          <cell r="S23152">
            <v>0.61</v>
          </cell>
          <cell r="X23152" t="str">
            <v>Commissions - share RI</v>
          </cell>
        </row>
        <row r="23153">
          <cell r="L23153"/>
          <cell r="S23153">
            <v>-9.5299999999999994</v>
          </cell>
          <cell r="X23153" t="str">
            <v>Commissions - share RI</v>
          </cell>
        </row>
        <row r="23154">
          <cell r="L23154"/>
          <cell r="S23154">
            <v>-164.96</v>
          </cell>
          <cell r="X23154" t="str">
            <v>Commissions - share RI</v>
          </cell>
        </row>
        <row r="23155">
          <cell r="L23155"/>
          <cell r="S23155">
            <v>-53.92</v>
          </cell>
          <cell r="X23155" t="str">
            <v>Commissions - share RI</v>
          </cell>
        </row>
        <row r="23156">
          <cell r="L23156"/>
          <cell r="S23156">
            <v>-24.27</v>
          </cell>
          <cell r="X23156" t="str">
            <v>Commissions - share RI</v>
          </cell>
        </row>
        <row r="23157">
          <cell r="L23157"/>
          <cell r="S23157">
            <v>-779.01</v>
          </cell>
          <cell r="X23157" t="str">
            <v>Commissions - share RI</v>
          </cell>
        </row>
        <row r="23158">
          <cell r="L23158"/>
          <cell r="S23158">
            <v>-0.01</v>
          </cell>
          <cell r="X23158" t="str">
            <v>Commissions - share RI</v>
          </cell>
        </row>
        <row r="23159">
          <cell r="L23159"/>
          <cell r="S23159">
            <v>-0.74</v>
          </cell>
          <cell r="X23159" t="str">
            <v>Commissions - share RI</v>
          </cell>
        </row>
        <row r="23160">
          <cell r="L23160"/>
          <cell r="S23160">
            <v>524.67999999999995</v>
          </cell>
          <cell r="X23160" t="str">
            <v>Commissions - share RI</v>
          </cell>
        </row>
        <row r="23161">
          <cell r="L23161"/>
          <cell r="S23161">
            <v>-361.77</v>
          </cell>
          <cell r="X23161" t="str">
            <v>Commissions - share RI</v>
          </cell>
        </row>
        <row r="23162">
          <cell r="L23162"/>
          <cell r="S23162">
            <v>233.31</v>
          </cell>
          <cell r="X23162" t="str">
            <v>Commissions - share RI</v>
          </cell>
        </row>
        <row r="23163">
          <cell r="L23163"/>
          <cell r="S23163">
            <v>-233.31</v>
          </cell>
          <cell r="X23163" t="str">
            <v>Commissions - share RI</v>
          </cell>
        </row>
        <row r="23164">
          <cell r="L23164"/>
          <cell r="S23164">
            <v>-6.77</v>
          </cell>
          <cell r="X23164" t="str">
            <v>Commissions - share RI</v>
          </cell>
        </row>
        <row r="23165">
          <cell r="L23165"/>
          <cell r="S23165">
            <v>-101.27</v>
          </cell>
          <cell r="X23165" t="str">
            <v>Commissions - share RI</v>
          </cell>
        </row>
        <row r="23166">
          <cell r="L23166"/>
          <cell r="S23166">
            <v>-43.28</v>
          </cell>
          <cell r="X23166" t="str">
            <v>Commissions - share RI</v>
          </cell>
        </row>
        <row r="23167">
          <cell r="L23167"/>
          <cell r="S23167">
            <v>-31.14</v>
          </cell>
          <cell r="X23167" t="str">
            <v>Commissions - share RI</v>
          </cell>
        </row>
        <row r="23168">
          <cell r="L23168"/>
          <cell r="S23168">
            <v>7.4</v>
          </cell>
          <cell r="X23168" t="str">
            <v>Commissions - share RI</v>
          </cell>
        </row>
        <row r="23169">
          <cell r="L23169"/>
          <cell r="S23169">
            <v>22.43</v>
          </cell>
          <cell r="X23169" t="str">
            <v>Commissions - share RI</v>
          </cell>
        </row>
        <row r="23170">
          <cell r="L23170"/>
          <cell r="S23170">
            <v>147.94999999999999</v>
          </cell>
          <cell r="X23170" t="str">
            <v>Commissions - share RI</v>
          </cell>
        </row>
        <row r="23171">
          <cell r="L23171"/>
          <cell r="S23171">
            <v>211.8</v>
          </cell>
          <cell r="X23171" t="str">
            <v>Commissions - share RI</v>
          </cell>
        </row>
        <row r="23172">
          <cell r="L23172"/>
          <cell r="S23172">
            <v>60.25</v>
          </cell>
          <cell r="X23172" t="str">
            <v>Commissions - share RI</v>
          </cell>
        </row>
        <row r="23173">
          <cell r="L23173"/>
          <cell r="S23173">
            <v>582.98</v>
          </cell>
          <cell r="X23173" t="str">
            <v>Commissions - share RI</v>
          </cell>
        </row>
        <row r="23174">
          <cell r="L23174"/>
          <cell r="S23174">
            <v>-99.93</v>
          </cell>
          <cell r="X23174" t="str">
            <v>Commissions - share RI</v>
          </cell>
        </row>
        <row r="23175">
          <cell r="L23175"/>
          <cell r="S23175">
            <v>62.65</v>
          </cell>
          <cell r="X23175" t="str">
            <v>Commissions - share RI</v>
          </cell>
        </row>
        <row r="23176">
          <cell r="L23176"/>
          <cell r="S23176">
            <v>-1305.02</v>
          </cell>
          <cell r="X23176" t="str">
            <v>Commissions - share RI</v>
          </cell>
        </row>
        <row r="23177">
          <cell r="L23177"/>
          <cell r="S23177">
            <v>0.01</v>
          </cell>
          <cell r="X23177" t="str">
            <v>Commissions - share RI</v>
          </cell>
        </row>
        <row r="23178">
          <cell r="L23178"/>
          <cell r="S23178">
            <v>24.91</v>
          </cell>
          <cell r="X23178" t="str">
            <v>Commissions - share RI</v>
          </cell>
        </row>
        <row r="23179">
          <cell r="L23179"/>
          <cell r="S23179">
            <v>-434.01</v>
          </cell>
          <cell r="X23179" t="str">
            <v>Commissions - share RI</v>
          </cell>
        </row>
        <row r="23180">
          <cell r="L23180"/>
          <cell r="S23180">
            <v>-808.76</v>
          </cell>
          <cell r="X23180" t="str">
            <v>Commissions - share RI</v>
          </cell>
        </row>
        <row r="23181">
          <cell r="L23181"/>
          <cell r="S23181">
            <v>29.15</v>
          </cell>
          <cell r="X23181" t="str">
            <v>Commissions - share RI</v>
          </cell>
        </row>
        <row r="23182">
          <cell r="L23182"/>
          <cell r="S23182">
            <v>-27.52</v>
          </cell>
          <cell r="X23182" t="str">
            <v>Commissions - share RI</v>
          </cell>
        </row>
        <row r="23183">
          <cell r="L23183"/>
          <cell r="S23183">
            <v>-22.97</v>
          </cell>
          <cell r="X23183" t="str">
            <v>Commissions - share RI</v>
          </cell>
        </row>
        <row r="23184">
          <cell r="L23184"/>
          <cell r="S23184">
            <v>135.43</v>
          </cell>
          <cell r="X23184" t="str">
            <v>Commissions - share RI</v>
          </cell>
        </row>
        <row r="23185">
          <cell r="L23185"/>
          <cell r="S23185">
            <v>-1074.49</v>
          </cell>
          <cell r="X23185" t="str">
            <v>Commissions - share RI</v>
          </cell>
        </row>
        <row r="23186">
          <cell r="L23186"/>
          <cell r="S23186">
            <v>99.93</v>
          </cell>
          <cell r="X23186" t="str">
            <v>Commissions - share RI</v>
          </cell>
        </row>
        <row r="23187">
          <cell r="L23187"/>
          <cell r="S23187">
            <v>-17.399999999999999</v>
          </cell>
          <cell r="X23187" t="str">
            <v>Commissions - share RI</v>
          </cell>
        </row>
        <row r="23188">
          <cell r="L23188"/>
          <cell r="S23188">
            <v>-65.25</v>
          </cell>
          <cell r="X23188" t="str">
            <v>Commissions - share RI</v>
          </cell>
        </row>
        <row r="23189">
          <cell r="L23189"/>
          <cell r="S23189">
            <v>-23.32</v>
          </cell>
          <cell r="X23189" t="str">
            <v>Commissions - share RI</v>
          </cell>
        </row>
        <row r="23190">
          <cell r="L23190"/>
          <cell r="S23190">
            <v>-5.8</v>
          </cell>
          <cell r="X23190" t="str">
            <v>Commissions - share RI</v>
          </cell>
        </row>
        <row r="23191">
          <cell r="L23191"/>
          <cell r="S23191">
            <v>-22.1</v>
          </cell>
          <cell r="X23191" t="str">
            <v>Commissions - share RI</v>
          </cell>
        </row>
        <row r="23192">
          <cell r="L23192"/>
          <cell r="S23192">
            <v>808.76</v>
          </cell>
          <cell r="X23192" t="str">
            <v>Commissions - share RI</v>
          </cell>
        </row>
        <row r="23193">
          <cell r="L23193"/>
          <cell r="S23193">
            <v>-180.24</v>
          </cell>
          <cell r="X23193" t="str">
            <v>Commissions - share RI</v>
          </cell>
        </row>
        <row r="23194">
          <cell r="L23194"/>
          <cell r="S23194">
            <v>6.24</v>
          </cell>
          <cell r="X23194" t="str">
            <v>Commissions - share RI</v>
          </cell>
        </row>
        <row r="23195">
          <cell r="L23195"/>
          <cell r="S23195">
            <v>-32.22</v>
          </cell>
          <cell r="X23195" t="str">
            <v>Commissions - share RI</v>
          </cell>
        </row>
        <row r="23196">
          <cell r="L23196"/>
          <cell r="S23196">
            <v>-865.56</v>
          </cell>
          <cell r="X23196" t="str">
            <v>Commissions - share RI</v>
          </cell>
        </row>
        <row r="23197">
          <cell r="L23197"/>
          <cell r="S23197">
            <v>86.56</v>
          </cell>
          <cell r="X23197" t="str">
            <v>Commissions - share RI</v>
          </cell>
        </row>
        <row r="23198">
          <cell r="L23198"/>
          <cell r="S23198">
            <v>-120.16</v>
          </cell>
          <cell r="X23198" t="str">
            <v>Commissions - share RI</v>
          </cell>
        </row>
        <row r="23199">
          <cell r="L23199"/>
          <cell r="S23199">
            <v>-21.18</v>
          </cell>
          <cell r="X23199" t="str">
            <v>Commissions - share RI</v>
          </cell>
        </row>
        <row r="23200">
          <cell r="L23200"/>
          <cell r="S23200">
            <v>-14.8</v>
          </cell>
          <cell r="X23200" t="str">
            <v>Commissions - share RI</v>
          </cell>
        </row>
        <row r="23201">
          <cell r="L23201"/>
          <cell r="S23201">
            <v>-6.24</v>
          </cell>
          <cell r="X23201" t="str">
            <v>Commissions - share RI</v>
          </cell>
        </row>
        <row r="23202">
          <cell r="L23202"/>
          <cell r="S23202">
            <v>-26.24</v>
          </cell>
          <cell r="X23202" t="str">
            <v>Commissions - share RI</v>
          </cell>
        </row>
        <row r="23203">
          <cell r="L23203"/>
          <cell r="S23203">
            <v>-13.76</v>
          </cell>
          <cell r="X23203" t="str">
            <v>Commissions - share RI</v>
          </cell>
        </row>
        <row r="23204">
          <cell r="L23204"/>
          <cell r="S23204">
            <v>-51.06</v>
          </cell>
          <cell r="X23204" t="str">
            <v>Commissions - share RI</v>
          </cell>
        </row>
        <row r="23205">
          <cell r="L23205"/>
          <cell r="S23205">
            <v>510.64</v>
          </cell>
          <cell r="X23205" t="str">
            <v>Commissions - share RI</v>
          </cell>
        </row>
        <row r="23206">
          <cell r="L23206"/>
          <cell r="S23206">
            <v>8.1</v>
          </cell>
          <cell r="X23206" t="str">
            <v>Commissions - share RI</v>
          </cell>
        </row>
        <row r="23207">
          <cell r="L23207"/>
          <cell r="S23207">
            <v>-174</v>
          </cell>
          <cell r="X23207" t="str">
            <v>Commissions - share RI</v>
          </cell>
        </row>
        <row r="23208">
          <cell r="L23208"/>
          <cell r="S23208">
            <v>40.32</v>
          </cell>
          <cell r="X23208" t="str">
            <v>Commissions - share RI</v>
          </cell>
        </row>
        <row r="23209">
          <cell r="L23209"/>
          <cell r="S23209">
            <v>22.1</v>
          </cell>
          <cell r="X23209" t="str">
            <v>Commissions - share RI</v>
          </cell>
        </row>
        <row r="23210">
          <cell r="L23210"/>
          <cell r="S23210">
            <v>-22.43</v>
          </cell>
          <cell r="X23210" t="str">
            <v>Commissions - share RI</v>
          </cell>
        </row>
        <row r="23211">
          <cell r="L23211"/>
          <cell r="S23211">
            <v>-12.45</v>
          </cell>
          <cell r="X23211" t="str">
            <v>Commissions - share RI</v>
          </cell>
        </row>
        <row r="23212">
          <cell r="L23212"/>
          <cell r="S23212">
            <v>-19.350000000000001</v>
          </cell>
          <cell r="X23212" t="str">
            <v>Commissions - share RI</v>
          </cell>
        </row>
        <row r="23213">
          <cell r="L23213"/>
          <cell r="S23213">
            <v>-60.25</v>
          </cell>
          <cell r="X23213" t="str">
            <v>Commissions - share RI</v>
          </cell>
        </row>
        <row r="23214">
          <cell r="L23214"/>
          <cell r="S23214">
            <v>-539.16999999999996</v>
          </cell>
          <cell r="X23214" t="str">
            <v>Commissions - share RI</v>
          </cell>
        </row>
        <row r="23215">
          <cell r="L23215"/>
          <cell r="S23215">
            <v>264.64</v>
          </cell>
          <cell r="X23215" t="str">
            <v>Commissions - share RI</v>
          </cell>
        </row>
        <row r="23216">
          <cell r="L23216"/>
          <cell r="S23216">
            <v>-4.47</v>
          </cell>
          <cell r="X23216" t="str">
            <v>Commissions - share RI</v>
          </cell>
        </row>
        <row r="23217">
          <cell r="L23217"/>
          <cell r="S23217">
            <v>-116.03</v>
          </cell>
          <cell r="X23217" t="str">
            <v>Commissions - share RI</v>
          </cell>
        </row>
        <row r="23218">
          <cell r="L23218"/>
          <cell r="S23218">
            <v>14.25</v>
          </cell>
          <cell r="X23218" t="str">
            <v>Commissions - share RI</v>
          </cell>
        </row>
        <row r="23219">
          <cell r="L23219"/>
          <cell r="S23219">
            <v>-0.43</v>
          </cell>
          <cell r="X23219" t="str">
            <v>Commissions - share RI</v>
          </cell>
        </row>
        <row r="23220">
          <cell r="L23220"/>
          <cell r="S23220">
            <v>-835.24</v>
          </cell>
          <cell r="X23220" t="str">
            <v>Commissions - share RI</v>
          </cell>
        </row>
        <row r="23221">
          <cell r="L23221"/>
          <cell r="S23221">
            <v>24.26</v>
          </cell>
          <cell r="X23221" t="str">
            <v>Commissions - share RI</v>
          </cell>
        </row>
        <row r="23222">
          <cell r="L23222"/>
          <cell r="S23222">
            <v>-1081.43</v>
          </cell>
          <cell r="X23222" t="str">
            <v>Commissions - share RI</v>
          </cell>
        </row>
        <row r="23223">
          <cell r="L23223"/>
          <cell r="S23223">
            <v>-28.51</v>
          </cell>
          <cell r="X23223" t="str">
            <v>Commissions - share RI</v>
          </cell>
        </row>
        <row r="23224">
          <cell r="L23224"/>
          <cell r="S23224">
            <v>49.97</v>
          </cell>
          <cell r="X23224" t="str">
            <v>Commissions - share RI</v>
          </cell>
        </row>
        <row r="23225">
          <cell r="L23225"/>
          <cell r="S23225">
            <v>11.67</v>
          </cell>
          <cell r="X23225" t="str">
            <v>Commissions - share RI</v>
          </cell>
        </row>
        <row r="23226">
          <cell r="L23226"/>
          <cell r="S23226">
            <v>-9.68</v>
          </cell>
          <cell r="X23226" t="str">
            <v>Commissions - share RI</v>
          </cell>
        </row>
        <row r="23227">
          <cell r="L23227"/>
          <cell r="S23227">
            <v>-10.130000000000001</v>
          </cell>
          <cell r="X23227" t="str">
            <v>Commissions - share RI</v>
          </cell>
        </row>
        <row r="23228">
          <cell r="L23228"/>
          <cell r="S23228">
            <v>23.32</v>
          </cell>
          <cell r="X23228" t="str">
            <v>Commissions - share RI</v>
          </cell>
        </row>
        <row r="23229">
          <cell r="L23229"/>
          <cell r="S23229">
            <v>-43.4</v>
          </cell>
          <cell r="X23229" t="str">
            <v>Commissions - share RI</v>
          </cell>
        </row>
        <row r="23230">
          <cell r="L23230"/>
          <cell r="S23230">
            <v>13.55</v>
          </cell>
          <cell r="X23230" t="str">
            <v>Commissions - share RI</v>
          </cell>
        </row>
        <row r="23231">
          <cell r="L23231"/>
          <cell r="S23231">
            <v>-10.92</v>
          </cell>
          <cell r="X23231" t="str">
            <v>Commissions - share RI</v>
          </cell>
        </row>
        <row r="23232">
          <cell r="L23232"/>
          <cell r="S23232">
            <v>36.31</v>
          </cell>
          <cell r="X23232" t="str">
            <v>Commissions - share RI</v>
          </cell>
        </row>
        <row r="23233">
          <cell r="L23233"/>
          <cell r="S23233">
            <v>28.51</v>
          </cell>
          <cell r="X23233" t="str">
            <v>Commissions - share RI</v>
          </cell>
        </row>
        <row r="23234">
          <cell r="L23234"/>
          <cell r="S23234">
            <v>-17.760000000000002</v>
          </cell>
          <cell r="X23234" t="str">
            <v>Commissions - share RI</v>
          </cell>
        </row>
        <row r="23235">
          <cell r="L23235"/>
          <cell r="S23235">
            <v>90.12</v>
          </cell>
          <cell r="X23235" t="str">
            <v>Commissions - share RI</v>
          </cell>
        </row>
        <row r="23236">
          <cell r="L23236"/>
          <cell r="S23236">
            <v>-1305.01</v>
          </cell>
          <cell r="X23236" t="str">
            <v>Commissions - share RI</v>
          </cell>
        </row>
        <row r="23237">
          <cell r="L23237"/>
          <cell r="S23237">
            <v>64.98</v>
          </cell>
          <cell r="X23237" t="str">
            <v>Commissions - share RI</v>
          </cell>
        </row>
        <row r="23238">
          <cell r="L23238"/>
          <cell r="S23238">
            <v>164.96</v>
          </cell>
          <cell r="X23238" t="str">
            <v>Commissions - share RI</v>
          </cell>
        </row>
        <row r="23239">
          <cell r="L23239"/>
          <cell r="S23239">
            <v>-1802.39</v>
          </cell>
          <cell r="X23239" t="str">
            <v>Commissions - share RI</v>
          </cell>
        </row>
        <row r="23240">
          <cell r="L23240"/>
          <cell r="S23240">
            <v>-0.14000000000000001</v>
          </cell>
          <cell r="X23240" t="str">
            <v>Commissions - share RI</v>
          </cell>
        </row>
        <row r="23241">
          <cell r="L23241"/>
          <cell r="S23241">
            <v>-19.53</v>
          </cell>
          <cell r="X23241" t="str">
            <v>Commissions - share RI</v>
          </cell>
        </row>
        <row r="23242">
          <cell r="L23242"/>
          <cell r="S23242">
            <v>-326.73</v>
          </cell>
          <cell r="X23242" t="str">
            <v>Commissions - share RI</v>
          </cell>
        </row>
        <row r="23243">
          <cell r="L23243"/>
          <cell r="S23243">
            <v>-55.24</v>
          </cell>
          <cell r="X23243" t="str">
            <v>Commissions - share RI</v>
          </cell>
        </row>
        <row r="23244">
          <cell r="L23244"/>
          <cell r="S23244">
            <v>36.18</v>
          </cell>
          <cell r="X23244" t="str">
            <v>Commissions - share RI</v>
          </cell>
        </row>
        <row r="23245">
          <cell r="L23245"/>
          <cell r="S23245">
            <v>6.77</v>
          </cell>
          <cell r="X23245" t="str">
            <v>Commissions - share RI</v>
          </cell>
        </row>
        <row r="23246">
          <cell r="L23246"/>
          <cell r="S23246">
            <v>-363.02</v>
          </cell>
          <cell r="X23246" t="str">
            <v>Commissions - share RI</v>
          </cell>
        </row>
        <row r="23247">
          <cell r="L23247"/>
          <cell r="S23247">
            <v>38.950000000000003</v>
          </cell>
          <cell r="X23247" t="str">
            <v>Commissions - share RI</v>
          </cell>
        </row>
        <row r="23248">
          <cell r="L23248"/>
          <cell r="S23248">
            <v>-38.950000000000003</v>
          </cell>
          <cell r="X23248" t="str">
            <v>Commissions - share RI</v>
          </cell>
        </row>
        <row r="23249">
          <cell r="L23249"/>
          <cell r="S23249">
            <v>-54.07</v>
          </cell>
          <cell r="X23249" t="str">
            <v>Commissions - share RI</v>
          </cell>
        </row>
        <row r="23250">
          <cell r="L23250"/>
          <cell r="S23250">
            <v>8.98</v>
          </cell>
          <cell r="X23250" t="str">
            <v>Commissions - share RI</v>
          </cell>
        </row>
        <row r="23251">
          <cell r="L23251"/>
          <cell r="S23251">
            <v>52.47</v>
          </cell>
          <cell r="X23251" t="str">
            <v>Commissions - share RI</v>
          </cell>
        </row>
        <row r="23252">
          <cell r="L23252"/>
          <cell r="S23252">
            <v>-539.16999999999996</v>
          </cell>
          <cell r="X23252" t="str">
            <v>Commissions - share RI</v>
          </cell>
        </row>
        <row r="23253">
          <cell r="L23253"/>
          <cell r="S23253">
            <v>119.4</v>
          </cell>
          <cell r="X23253" t="str">
            <v>Commissions - share RI</v>
          </cell>
        </row>
        <row r="23254">
          <cell r="L23254"/>
          <cell r="S23254">
            <v>-21.35</v>
          </cell>
          <cell r="X23254" t="str">
            <v>Commissions - share RI</v>
          </cell>
        </row>
        <row r="23255">
          <cell r="L23255"/>
          <cell r="S23255">
            <v>30.1</v>
          </cell>
          <cell r="X23255" t="str">
            <v>Commissions - share RI</v>
          </cell>
        </row>
        <row r="23256">
          <cell r="L23256"/>
          <cell r="S23256">
            <v>1.85</v>
          </cell>
          <cell r="X23256" t="str">
            <v>Commissions - share RI</v>
          </cell>
        </row>
        <row r="23257">
          <cell r="L23257"/>
          <cell r="S23257">
            <v>-552.34</v>
          </cell>
          <cell r="X23257" t="str">
            <v>Commissions - share RI</v>
          </cell>
        </row>
        <row r="23258">
          <cell r="L23258"/>
          <cell r="S23258">
            <v>39.78</v>
          </cell>
          <cell r="X23258" t="str">
            <v>Commissions - share RI</v>
          </cell>
        </row>
        <row r="23259">
          <cell r="L23259"/>
          <cell r="S23259">
            <v>-25.8</v>
          </cell>
          <cell r="X23259" t="str">
            <v>Commissions - share RI</v>
          </cell>
        </row>
        <row r="23260">
          <cell r="L23260"/>
          <cell r="S23260">
            <v>-3.26</v>
          </cell>
          <cell r="X23260" t="str">
            <v>Commissions - share RI</v>
          </cell>
        </row>
        <row r="23261">
          <cell r="L23261"/>
          <cell r="S23261">
            <v>4.47</v>
          </cell>
          <cell r="X23261" t="str">
            <v>Commissions - share RI</v>
          </cell>
        </row>
        <row r="23262">
          <cell r="L23262"/>
          <cell r="S23262">
            <v>26.46</v>
          </cell>
          <cell r="X23262" t="str">
            <v>Commissions - share RI</v>
          </cell>
        </row>
        <row r="23263">
          <cell r="L23263"/>
          <cell r="S23263">
            <v>8.6999999999999993</v>
          </cell>
          <cell r="X23263" t="str">
            <v>Commissions - share RI</v>
          </cell>
        </row>
        <row r="23264">
          <cell r="L23264"/>
          <cell r="S23264">
            <v>27.12</v>
          </cell>
          <cell r="X23264" t="str">
            <v>Commissions - share RI</v>
          </cell>
        </row>
        <row r="23265">
          <cell r="L23265"/>
          <cell r="S23265">
            <v>53.92</v>
          </cell>
          <cell r="X23265" t="str">
            <v>Commissions - share RI</v>
          </cell>
        </row>
        <row r="23266">
          <cell r="L23266"/>
          <cell r="S23266">
            <v>101.27</v>
          </cell>
          <cell r="X23266" t="str">
            <v>Commissions - share RI</v>
          </cell>
        </row>
        <row r="23267">
          <cell r="L23267"/>
          <cell r="S23267">
            <v>-14.02</v>
          </cell>
          <cell r="X23267" t="str">
            <v>Commissions - share RI</v>
          </cell>
        </row>
        <row r="23268">
          <cell r="L23268"/>
          <cell r="S23268">
            <v>-0.13</v>
          </cell>
          <cell r="X23268" t="str">
            <v>Commissions - share RI</v>
          </cell>
        </row>
        <row r="23269">
          <cell r="L23269"/>
          <cell r="S23269">
            <v>-1.63</v>
          </cell>
          <cell r="X23269" t="str">
            <v>Commissions - share RI</v>
          </cell>
        </row>
        <row r="23270">
          <cell r="L23270"/>
          <cell r="S23270">
            <v>-877.97</v>
          </cell>
          <cell r="X23270" t="str">
            <v>Commissions - share RI</v>
          </cell>
        </row>
        <row r="23271">
          <cell r="L23271"/>
          <cell r="S23271">
            <v>-108.15</v>
          </cell>
          <cell r="X23271" t="str">
            <v>Commissions - share RI</v>
          </cell>
        </row>
        <row r="23272">
          <cell r="L23272"/>
          <cell r="S23272">
            <v>-33.520000000000003</v>
          </cell>
          <cell r="X23272" t="str">
            <v>Commissions - share RI</v>
          </cell>
        </row>
        <row r="23273">
          <cell r="L23273"/>
          <cell r="S23273">
            <v>-220.85</v>
          </cell>
          <cell r="X23273" t="str">
            <v>Commissions - share RI</v>
          </cell>
        </row>
        <row r="23274">
          <cell r="L23274"/>
          <cell r="S23274">
            <v>-128.53</v>
          </cell>
          <cell r="X23274" t="str">
            <v>Commissions - share RI</v>
          </cell>
        </row>
        <row r="23275">
          <cell r="L23275"/>
          <cell r="S23275">
            <v>-193.59</v>
          </cell>
          <cell r="X23275" t="str">
            <v>Commissions - share RI</v>
          </cell>
        </row>
        <row r="23276">
          <cell r="L23276"/>
          <cell r="S23276">
            <v>307.27999999999997</v>
          </cell>
          <cell r="X23276" t="str">
            <v>Commissions - share RI</v>
          </cell>
        </row>
        <row r="23277">
          <cell r="L23277"/>
          <cell r="S23277">
            <v>-24.87</v>
          </cell>
          <cell r="X23277" t="str">
            <v>Commissions - share RI</v>
          </cell>
        </row>
        <row r="23278">
          <cell r="L23278"/>
          <cell r="S23278">
            <v>-8.7100000000000009</v>
          </cell>
          <cell r="X23278" t="str">
            <v>Commissions - share RI</v>
          </cell>
        </row>
        <row r="23279">
          <cell r="L23279"/>
          <cell r="S23279">
            <v>16.28</v>
          </cell>
          <cell r="X23279" t="str">
            <v>Commissions - share RI</v>
          </cell>
        </row>
        <row r="23280">
          <cell r="L23280"/>
          <cell r="S23280">
            <v>-4.47</v>
          </cell>
          <cell r="X23280" t="str">
            <v>Commissions - share RI</v>
          </cell>
        </row>
        <row r="23281">
          <cell r="L23281"/>
          <cell r="S23281">
            <v>15.08</v>
          </cell>
          <cell r="X23281" t="str">
            <v>Commissions - share RI</v>
          </cell>
        </row>
        <row r="23282">
          <cell r="L23282"/>
          <cell r="S23282">
            <v>539.16999999999996</v>
          </cell>
          <cell r="X23282" t="str">
            <v>Commissions - share RI</v>
          </cell>
        </row>
        <row r="23283">
          <cell r="L23283"/>
          <cell r="S23283">
            <v>-649.79999999999995</v>
          </cell>
          <cell r="X23283" t="str">
            <v>Commissions - share RI</v>
          </cell>
        </row>
        <row r="23284">
          <cell r="L23284"/>
          <cell r="S23284">
            <v>-77.91</v>
          </cell>
          <cell r="X23284" t="str">
            <v>Commissions - share RI</v>
          </cell>
        </row>
        <row r="23285">
          <cell r="L23285"/>
          <cell r="S23285">
            <v>12.45</v>
          </cell>
          <cell r="X23285" t="str">
            <v>Commissions - share RI</v>
          </cell>
        </row>
        <row r="23286">
          <cell r="L23286"/>
          <cell r="S23286">
            <v>-2.57</v>
          </cell>
          <cell r="X23286" t="str">
            <v>Commissions - share RI</v>
          </cell>
        </row>
        <row r="23287">
          <cell r="L23287"/>
          <cell r="S23287">
            <v>-999.4</v>
          </cell>
          <cell r="X23287" t="str">
            <v>Commissions - share RI</v>
          </cell>
        </row>
        <row r="23288">
          <cell r="L23288"/>
          <cell r="S23288">
            <v>779.01</v>
          </cell>
          <cell r="X23288" t="str">
            <v>Commissions - share RI</v>
          </cell>
        </row>
        <row r="23289">
          <cell r="L23289"/>
          <cell r="S23289">
            <v>-4.47</v>
          </cell>
          <cell r="X23289" t="str">
            <v>Commissions - share RI</v>
          </cell>
        </row>
        <row r="23290">
          <cell r="L23290"/>
          <cell r="S23290">
            <v>-27.12</v>
          </cell>
          <cell r="X23290" t="str">
            <v>Commissions - share RI</v>
          </cell>
        </row>
        <row r="23291">
          <cell r="L23291"/>
          <cell r="S23291">
            <v>5.8</v>
          </cell>
          <cell r="X23291" t="str">
            <v>Commissions - share RI</v>
          </cell>
        </row>
        <row r="23292">
          <cell r="L23292"/>
          <cell r="S23292">
            <v>58.29</v>
          </cell>
          <cell r="X23292" t="str">
            <v>Commissions - share RI</v>
          </cell>
        </row>
        <row r="23293">
          <cell r="L23293"/>
          <cell r="S23293">
            <v>24.54</v>
          </cell>
          <cell r="X23293" t="str">
            <v>Commissions - share RI</v>
          </cell>
        </row>
        <row r="23294">
          <cell r="L23294"/>
          <cell r="S23294">
            <v>65.25</v>
          </cell>
          <cell r="X23294" t="str">
            <v>Commissions - share RI</v>
          </cell>
        </row>
        <row r="23295">
          <cell r="L23295"/>
          <cell r="S23295">
            <v>22.76</v>
          </cell>
          <cell r="X23295" t="str">
            <v>Commissions - share RI</v>
          </cell>
        </row>
        <row r="23296">
          <cell r="L23296"/>
          <cell r="S23296">
            <v>865.56</v>
          </cell>
          <cell r="X23296" t="str">
            <v>Commissions - share RI</v>
          </cell>
        </row>
        <row r="23297">
          <cell r="L23297"/>
          <cell r="S23297">
            <v>5260.84</v>
          </cell>
          <cell r="X23297" t="str">
            <v>Commissions - share RI</v>
          </cell>
        </row>
        <row r="23298">
          <cell r="L23298"/>
          <cell r="S23298">
            <v>1.52</v>
          </cell>
          <cell r="X23298" t="str">
            <v>Commissions - share RI</v>
          </cell>
        </row>
        <row r="23299">
          <cell r="L23299"/>
          <cell r="S23299">
            <v>157.09</v>
          </cell>
          <cell r="X23299" t="str">
            <v>Commissions - share RI</v>
          </cell>
        </row>
        <row r="23300">
          <cell r="L23300"/>
          <cell r="S23300">
            <v>2.2799999999999998</v>
          </cell>
          <cell r="X23300" t="str">
            <v>Commissions - share RI</v>
          </cell>
        </row>
        <row r="23301">
          <cell r="L23301"/>
          <cell r="S23301">
            <v>-233.79</v>
          </cell>
          <cell r="X23301" t="str">
            <v>Commissions - share RI</v>
          </cell>
        </row>
        <row r="23302">
          <cell r="L23302"/>
          <cell r="S23302">
            <v>-5260.84</v>
          </cell>
          <cell r="X23302" t="str">
            <v>Commissions - share RI</v>
          </cell>
        </row>
        <row r="23303">
          <cell r="L23303"/>
          <cell r="S23303">
            <v>23.38</v>
          </cell>
          <cell r="X23303" t="str">
            <v>Commissions - share RI</v>
          </cell>
        </row>
        <row r="23304">
          <cell r="L23304"/>
          <cell r="S23304">
            <v>-11.64</v>
          </cell>
          <cell r="X23304" t="str">
            <v>Commissions - share RI</v>
          </cell>
        </row>
        <row r="23305">
          <cell r="L23305"/>
          <cell r="S23305">
            <v>-232.76</v>
          </cell>
          <cell r="X23305" t="str">
            <v>Commissions - share RI</v>
          </cell>
        </row>
        <row r="23306">
          <cell r="L23306"/>
          <cell r="S23306">
            <v>-40.4</v>
          </cell>
          <cell r="X23306" t="str">
            <v>Commissions - share RI</v>
          </cell>
        </row>
        <row r="23307">
          <cell r="L23307"/>
          <cell r="S23307">
            <v>1.3</v>
          </cell>
          <cell r="X23307" t="str">
            <v>Commissions - share RI</v>
          </cell>
        </row>
        <row r="23308">
          <cell r="L23308"/>
          <cell r="S23308">
            <v>255.74</v>
          </cell>
          <cell r="X23308" t="str">
            <v>Commissions - share RI</v>
          </cell>
        </row>
        <row r="23309">
          <cell r="L23309"/>
          <cell r="S23309">
            <v>1.1399999999999999</v>
          </cell>
          <cell r="X23309" t="str">
            <v>Commissions - share RI</v>
          </cell>
        </row>
        <row r="23310">
          <cell r="L23310"/>
          <cell r="S23310">
            <v>2374.69</v>
          </cell>
          <cell r="X23310" t="str">
            <v>Commissions - share RI</v>
          </cell>
        </row>
        <row r="23311">
          <cell r="L23311"/>
          <cell r="S23311">
            <v>-2102.9499999999998</v>
          </cell>
          <cell r="X23311" t="str">
            <v>Commissions - share RI</v>
          </cell>
        </row>
        <row r="23312">
          <cell r="L23312"/>
          <cell r="S23312">
            <v>210.3</v>
          </cell>
          <cell r="X23312" t="str">
            <v>Commissions - share RI</v>
          </cell>
        </row>
        <row r="23313">
          <cell r="L23313"/>
          <cell r="S23313">
            <v>-1570.92</v>
          </cell>
          <cell r="X23313" t="str">
            <v>Commissions - share RI</v>
          </cell>
        </row>
        <row r="23314">
          <cell r="L23314"/>
          <cell r="S23314">
            <v>-25.84</v>
          </cell>
          <cell r="X23314" t="str">
            <v>Commissions - share RI</v>
          </cell>
        </row>
        <row r="23315">
          <cell r="L23315"/>
          <cell r="S23315">
            <v>2.0099999999999998</v>
          </cell>
          <cell r="X23315" t="str">
            <v>Commissions - share RI</v>
          </cell>
        </row>
        <row r="23316">
          <cell r="L23316"/>
          <cell r="S23316">
            <v>548</v>
          </cell>
          <cell r="X23316" t="str">
            <v>Commissions - share RI</v>
          </cell>
        </row>
        <row r="23317">
          <cell r="L23317"/>
          <cell r="S23317">
            <v>-3951.95</v>
          </cell>
          <cell r="X23317" t="str">
            <v>Commissions - share RI</v>
          </cell>
        </row>
        <row r="23318">
          <cell r="L23318"/>
          <cell r="S23318">
            <v>5224.3100000000004</v>
          </cell>
          <cell r="X23318" t="str">
            <v>Commissions - share RI</v>
          </cell>
        </row>
        <row r="23319">
          <cell r="L23319"/>
          <cell r="S23319">
            <v>-255.74</v>
          </cell>
          <cell r="X23319" t="str">
            <v>Commissions - share RI</v>
          </cell>
        </row>
        <row r="23320">
          <cell r="L23320"/>
          <cell r="S23320">
            <v>-2374.69</v>
          </cell>
          <cell r="X23320" t="str">
            <v>Commissions - share RI</v>
          </cell>
        </row>
        <row r="23321">
          <cell r="L23321"/>
          <cell r="S23321">
            <v>-30.17</v>
          </cell>
          <cell r="X23321" t="str">
            <v>Commissions - share RI</v>
          </cell>
        </row>
        <row r="23322">
          <cell r="L23322"/>
          <cell r="S23322">
            <v>548</v>
          </cell>
          <cell r="X23322" t="str">
            <v>Commissions - share RI</v>
          </cell>
        </row>
        <row r="23323">
          <cell r="L23323"/>
          <cell r="S23323">
            <v>-11.69</v>
          </cell>
          <cell r="X23323" t="str">
            <v>Commissions - share RI</v>
          </cell>
        </row>
        <row r="23324">
          <cell r="L23324"/>
          <cell r="S23324">
            <v>4.03</v>
          </cell>
          <cell r="X23324" t="str">
            <v>Commissions - share RI</v>
          </cell>
        </row>
        <row r="23325">
          <cell r="L23325"/>
          <cell r="S23325">
            <v>11.69</v>
          </cell>
          <cell r="X23325" t="str">
            <v>Commissions - share RI</v>
          </cell>
        </row>
        <row r="23326">
          <cell r="L23326"/>
          <cell r="S23326">
            <v>3.28</v>
          </cell>
          <cell r="X23326" t="str">
            <v>Commissions - share RI</v>
          </cell>
        </row>
        <row r="23327">
          <cell r="L23327"/>
          <cell r="S23327">
            <v>-548</v>
          </cell>
          <cell r="X23327" t="str">
            <v>Commissions - share RI</v>
          </cell>
        </row>
        <row r="23328">
          <cell r="L23328"/>
          <cell r="S23328">
            <v>3.02</v>
          </cell>
          <cell r="X23328" t="str">
            <v>Commissions - share RI</v>
          </cell>
        </row>
        <row r="23329">
          <cell r="L23329"/>
          <cell r="S23329">
            <v>824.62</v>
          </cell>
          <cell r="X23329" t="str">
            <v>Commissions - share RI</v>
          </cell>
        </row>
        <row r="23330">
          <cell r="L23330"/>
          <cell r="S23330">
            <v>-23.28</v>
          </cell>
          <cell r="X23330" t="str">
            <v>Commissions - share RI</v>
          </cell>
        </row>
        <row r="23331">
          <cell r="L23331"/>
          <cell r="S23331">
            <v>-2538.62</v>
          </cell>
          <cell r="X23331" t="str">
            <v>Commissions - share RI</v>
          </cell>
        </row>
        <row r="23332">
          <cell r="L23332"/>
          <cell r="S23332">
            <v>623.96</v>
          </cell>
          <cell r="X23332" t="str">
            <v>Commissions - share RI</v>
          </cell>
        </row>
        <row r="23333">
          <cell r="L23333"/>
          <cell r="S23333">
            <v>-2408.7399999999998</v>
          </cell>
          <cell r="X23333" t="str">
            <v>Commissions - share RI</v>
          </cell>
        </row>
        <row r="23334">
          <cell r="L23334"/>
          <cell r="S23334">
            <v>240.88</v>
          </cell>
          <cell r="X23334" t="str">
            <v>Commissions - share RI</v>
          </cell>
        </row>
        <row r="23335">
          <cell r="L23335"/>
          <cell r="S23335">
            <v>-32.729999999999997</v>
          </cell>
          <cell r="X23335" t="str">
            <v>Commissions - share RI</v>
          </cell>
        </row>
        <row r="23336">
          <cell r="L23336"/>
          <cell r="S23336">
            <v>-23.38</v>
          </cell>
          <cell r="X23336" t="str">
            <v>Commissions - share RI</v>
          </cell>
        </row>
        <row r="23337">
          <cell r="L23337"/>
          <cell r="S23337">
            <v>395.2</v>
          </cell>
          <cell r="X23337" t="str">
            <v>Commissions - share RI</v>
          </cell>
        </row>
        <row r="23338">
          <cell r="L23338"/>
          <cell r="S23338">
            <v>253.86</v>
          </cell>
          <cell r="X23338" t="str">
            <v>Commissions - share RI</v>
          </cell>
        </row>
        <row r="23339">
          <cell r="L23339"/>
          <cell r="S23339">
            <v>-6239.54</v>
          </cell>
          <cell r="X23339" t="str">
            <v>Commissions - share RI</v>
          </cell>
        </row>
        <row r="23340">
          <cell r="L23340"/>
          <cell r="S23340">
            <v>1.63</v>
          </cell>
          <cell r="X23340" t="str">
            <v>Commissions - share RI</v>
          </cell>
        </row>
        <row r="23341">
          <cell r="L23341"/>
          <cell r="S23341">
            <v>-5224.3100000000004</v>
          </cell>
          <cell r="X23341" t="str">
            <v>Commissions - share RI</v>
          </cell>
        </row>
        <row r="23342">
          <cell r="L23342"/>
          <cell r="S23342">
            <v>-22.8</v>
          </cell>
          <cell r="X23342" t="str">
            <v>Commissions - share RI</v>
          </cell>
        </row>
        <row r="23343">
          <cell r="L23343"/>
          <cell r="S23343">
            <v>-5051.45</v>
          </cell>
          <cell r="X23343" t="str">
            <v>Commissions - share RI</v>
          </cell>
        </row>
        <row r="23344">
          <cell r="L23344"/>
          <cell r="S23344">
            <v>23.28</v>
          </cell>
          <cell r="X23344" t="str">
            <v>Commissions - share RI</v>
          </cell>
        </row>
        <row r="23345">
          <cell r="L23345"/>
          <cell r="S23345">
            <v>-10767.24</v>
          </cell>
          <cell r="X23345" t="str">
            <v>Commissions - share RI</v>
          </cell>
        </row>
        <row r="23346">
          <cell r="L23346"/>
          <cell r="S23346">
            <v>2.58</v>
          </cell>
          <cell r="X23346" t="str">
            <v>Commissions - share RI</v>
          </cell>
        </row>
        <row r="23347">
          <cell r="L23347"/>
          <cell r="S23347">
            <v>-1994.28</v>
          </cell>
          <cell r="X23347" t="str">
            <v>Commissions - share RI</v>
          </cell>
        </row>
        <row r="23348">
          <cell r="L23348"/>
          <cell r="S23348">
            <v>-10995.28</v>
          </cell>
          <cell r="X23348" t="str">
            <v>Commissions - share RI</v>
          </cell>
        </row>
        <row r="23349">
          <cell r="L23349"/>
          <cell r="S23349">
            <v>232.76</v>
          </cell>
          <cell r="X23349" t="str">
            <v>Commissions - share RI</v>
          </cell>
        </row>
        <row r="23350">
          <cell r="L23350"/>
          <cell r="S23350">
            <v>233.79</v>
          </cell>
          <cell r="X23350" t="str">
            <v>Commissions - share RI</v>
          </cell>
        </row>
        <row r="23351">
          <cell r="L23351"/>
          <cell r="S23351">
            <v>-548</v>
          </cell>
          <cell r="X23351" t="str">
            <v>Commissions - share RI</v>
          </cell>
        </row>
        <row r="23352">
          <cell r="L23352"/>
          <cell r="S23352">
            <v>11.64</v>
          </cell>
          <cell r="X23352" t="str">
            <v>Commissions - share RI</v>
          </cell>
        </row>
        <row r="23353">
          <cell r="L23353"/>
          <cell r="S23353">
            <v>505.16</v>
          </cell>
          <cell r="X23353" t="str">
            <v>Commissions - share RI</v>
          </cell>
        </row>
        <row r="23354">
          <cell r="L23354"/>
          <cell r="S23354">
            <v>-0.26</v>
          </cell>
          <cell r="X23354" t="str">
            <v>Commissions - share RI</v>
          </cell>
        </row>
        <row r="23355">
          <cell r="L23355"/>
          <cell r="S23355">
            <v>5022.75</v>
          </cell>
          <cell r="X23355" t="str">
            <v>Commissions - share RI</v>
          </cell>
        </row>
        <row r="23356">
          <cell r="L23356"/>
          <cell r="S23356">
            <v>-88371.7</v>
          </cell>
          <cell r="X23356" t="str">
            <v>Commissions - share RI</v>
          </cell>
        </row>
        <row r="23357">
          <cell r="L23357"/>
          <cell r="S23357">
            <v>-2969.47</v>
          </cell>
          <cell r="X23357" t="str">
            <v>Commissions - share RI</v>
          </cell>
        </row>
        <row r="23358">
          <cell r="L23358"/>
          <cell r="S23358">
            <v>88371.7</v>
          </cell>
          <cell r="X23358" t="str">
            <v>Commissions - share RI</v>
          </cell>
        </row>
        <row r="23359">
          <cell r="L23359"/>
          <cell r="S23359">
            <v>-5022.75</v>
          </cell>
          <cell r="X23359" t="str">
            <v>Commissions - share RI</v>
          </cell>
        </row>
        <row r="23360">
          <cell r="L23360"/>
          <cell r="S23360">
            <v>-0.34</v>
          </cell>
          <cell r="X23360" t="str">
            <v>Commissions - share RI</v>
          </cell>
        </row>
        <row r="23361">
          <cell r="L23361"/>
          <cell r="S23361">
            <v>-0.53</v>
          </cell>
          <cell r="X23361" t="str">
            <v>Commissions - share RI</v>
          </cell>
        </row>
        <row r="23362">
          <cell r="L23362"/>
          <cell r="S23362">
            <v>454.13</v>
          </cell>
          <cell r="X23362" t="str">
            <v>Commissions - share RI</v>
          </cell>
        </row>
        <row r="23363">
          <cell r="L23363"/>
          <cell r="S23363">
            <v>-12473.97</v>
          </cell>
          <cell r="X23363" t="str">
            <v>Commissions - share RI</v>
          </cell>
        </row>
        <row r="23364">
          <cell r="L23364"/>
          <cell r="S23364">
            <v>-0.42</v>
          </cell>
          <cell r="X23364" t="str">
            <v>Commissions - share RI</v>
          </cell>
        </row>
        <row r="23365">
          <cell r="L23365"/>
          <cell r="S23365">
            <v>-2188.42</v>
          </cell>
          <cell r="X23365" t="str">
            <v>Commissions - share RI</v>
          </cell>
        </row>
        <row r="23366">
          <cell r="L23366"/>
          <cell r="S23366">
            <v>-0.56999999999999995</v>
          </cell>
          <cell r="X23366" t="str">
            <v>Commissions - share RI</v>
          </cell>
        </row>
        <row r="23367">
          <cell r="L23367"/>
          <cell r="S23367">
            <v>-30335.67</v>
          </cell>
          <cell r="X23367" t="str">
            <v>Commissions - share RI</v>
          </cell>
        </row>
        <row r="23368">
          <cell r="L23368"/>
          <cell r="S23368">
            <v>15167.83</v>
          </cell>
          <cell r="X23368" t="str">
            <v>Commissions - share RI</v>
          </cell>
        </row>
        <row r="23369">
          <cell r="L23369"/>
          <cell r="S23369">
            <v>-454.13</v>
          </cell>
          <cell r="X23369" t="str">
            <v>Commissions - share RI</v>
          </cell>
        </row>
        <row r="23370">
          <cell r="L23370"/>
          <cell r="S23370">
            <v>286.20999999999998</v>
          </cell>
          <cell r="X23370" t="str">
            <v>Commissions - share RI</v>
          </cell>
        </row>
        <row r="23371">
          <cell r="L23371"/>
          <cell r="S23371">
            <v>15167.84</v>
          </cell>
          <cell r="X23371" t="str">
            <v>Commissions - share RI</v>
          </cell>
        </row>
        <row r="23372">
          <cell r="L23372"/>
          <cell r="S23372">
            <v>10.79</v>
          </cell>
          <cell r="X23372" t="str">
            <v>Commissions - share RI</v>
          </cell>
        </row>
        <row r="23373">
          <cell r="L23373"/>
          <cell r="S23373">
            <v>91.27</v>
          </cell>
          <cell r="X23373" t="str">
            <v>Commissions - share RI</v>
          </cell>
        </row>
        <row r="23374">
          <cell r="L23374"/>
          <cell r="S23374">
            <v>-465.1</v>
          </cell>
          <cell r="X23374" t="str">
            <v>Commissions - share RI</v>
          </cell>
        </row>
        <row r="23375">
          <cell r="L23375"/>
          <cell r="S23375">
            <v>55.2</v>
          </cell>
          <cell r="X23375" t="str">
            <v>Commissions - share RI</v>
          </cell>
        </row>
        <row r="23376">
          <cell r="L23376"/>
          <cell r="S23376">
            <v>-488.09</v>
          </cell>
          <cell r="X23376" t="str">
            <v>Commissions - share RI</v>
          </cell>
        </row>
        <row r="23377">
          <cell r="L23377"/>
          <cell r="S23377">
            <v>-6060.6</v>
          </cell>
          <cell r="X23377" t="str">
            <v>Commissions - share RI</v>
          </cell>
        </row>
        <row r="23378">
          <cell r="L23378"/>
          <cell r="S23378">
            <v>1679.25</v>
          </cell>
          <cell r="X23378" t="str">
            <v>Commissions - share RI</v>
          </cell>
        </row>
        <row r="23379">
          <cell r="L23379"/>
          <cell r="S23379">
            <v>38.33</v>
          </cell>
          <cell r="X23379" t="str">
            <v>Commissions - share RI</v>
          </cell>
        </row>
        <row r="23380">
          <cell r="L23380"/>
          <cell r="S23380">
            <v>-1348.77</v>
          </cell>
          <cell r="X23380" t="str">
            <v>Commissions - share RI</v>
          </cell>
        </row>
        <row r="23381">
          <cell r="L23381"/>
          <cell r="S23381">
            <v>141.99</v>
          </cell>
          <cell r="X23381" t="str">
            <v>Commissions - share RI</v>
          </cell>
        </row>
        <row r="23382">
          <cell r="L23382"/>
          <cell r="S23382">
            <v>-939.53</v>
          </cell>
          <cell r="X23382" t="str">
            <v>Commissions - share RI</v>
          </cell>
        </row>
        <row r="23383">
          <cell r="L23383"/>
          <cell r="S23383">
            <v>-545.23</v>
          </cell>
          <cell r="X23383" t="str">
            <v>Commissions - share RI</v>
          </cell>
        </row>
        <row r="23384">
          <cell r="L23384"/>
          <cell r="S23384">
            <v>4579.43</v>
          </cell>
          <cell r="X23384" t="str">
            <v>Commissions - share RI</v>
          </cell>
        </row>
        <row r="23385">
          <cell r="L23385"/>
          <cell r="S23385">
            <v>-1976.56</v>
          </cell>
          <cell r="X23385" t="str">
            <v>Commissions - share RI</v>
          </cell>
        </row>
        <row r="23386">
          <cell r="L23386"/>
          <cell r="S23386">
            <v>208.37</v>
          </cell>
          <cell r="X23386" t="str">
            <v>Commissions - share RI</v>
          </cell>
        </row>
        <row r="23387">
          <cell r="L23387"/>
          <cell r="S23387">
            <v>-3100.95</v>
          </cell>
          <cell r="X23387" t="str">
            <v>Commissions - share RI</v>
          </cell>
        </row>
        <row r="23388">
          <cell r="L23388"/>
          <cell r="S23388">
            <v>-501.03</v>
          </cell>
          <cell r="X23388" t="str">
            <v>Commissions - share RI</v>
          </cell>
        </row>
        <row r="23389">
          <cell r="L23389"/>
          <cell r="S23389">
            <v>-0.28000000000000003</v>
          </cell>
          <cell r="X23389" t="str">
            <v>Commissions - share RI</v>
          </cell>
        </row>
        <row r="23390">
          <cell r="L23390"/>
          <cell r="S23390">
            <v>-261.48</v>
          </cell>
          <cell r="X23390" t="str">
            <v>Commissions - share RI</v>
          </cell>
        </row>
        <row r="23391">
          <cell r="L23391"/>
          <cell r="S23391">
            <v>119.61</v>
          </cell>
          <cell r="X23391" t="str">
            <v>Commissions - share RI</v>
          </cell>
        </row>
        <row r="23392">
          <cell r="L23392"/>
          <cell r="S23392">
            <v>325.08</v>
          </cell>
          <cell r="X23392" t="str">
            <v>Commissions - share RI</v>
          </cell>
        </row>
        <row r="23393">
          <cell r="L23393"/>
          <cell r="S23393">
            <v>1287.96</v>
          </cell>
          <cell r="X23393" t="str">
            <v>Commissions - share RI</v>
          </cell>
        </row>
        <row r="23394">
          <cell r="L23394"/>
          <cell r="S23394">
            <v>263.2</v>
          </cell>
          <cell r="X23394" t="str">
            <v>Commissions - share RI</v>
          </cell>
        </row>
        <row r="23395">
          <cell r="L23395"/>
          <cell r="S23395">
            <v>-1242.04</v>
          </cell>
          <cell r="X23395" t="str">
            <v>Commissions - share RI</v>
          </cell>
        </row>
        <row r="23396">
          <cell r="L23396"/>
          <cell r="S23396">
            <v>70.67</v>
          </cell>
          <cell r="X23396" t="str">
            <v>Commissions - share RI</v>
          </cell>
        </row>
        <row r="23397">
          <cell r="L23397"/>
          <cell r="S23397">
            <v>-2738.64</v>
          </cell>
          <cell r="X23397" t="str">
            <v>Commissions - share RI</v>
          </cell>
        </row>
        <row r="23398">
          <cell r="L23398"/>
          <cell r="S23398">
            <v>258.82</v>
          </cell>
          <cell r="X23398" t="str">
            <v>Commissions - share RI</v>
          </cell>
        </row>
        <row r="23399">
          <cell r="L23399"/>
          <cell r="S23399">
            <v>47.8</v>
          </cell>
          <cell r="X23399" t="str">
            <v>Commissions - share RI</v>
          </cell>
        </row>
        <row r="23400">
          <cell r="L23400"/>
          <cell r="S23400">
            <v>101.64</v>
          </cell>
          <cell r="X23400" t="str">
            <v>Commissions - share RI</v>
          </cell>
        </row>
        <row r="23401">
          <cell r="L23401"/>
          <cell r="S23401">
            <v>-1055.96</v>
          </cell>
          <cell r="X23401" t="str">
            <v>Commissions - share RI</v>
          </cell>
        </row>
        <row r="23402">
          <cell r="L23402"/>
          <cell r="S23402">
            <v>134.88</v>
          </cell>
          <cell r="X23402" t="str">
            <v>Commissions - share RI</v>
          </cell>
        </row>
        <row r="23403">
          <cell r="L23403"/>
          <cell r="S23403">
            <v>12.52</v>
          </cell>
          <cell r="X23403" t="str">
            <v>Commissions - share RI</v>
          </cell>
        </row>
        <row r="23404">
          <cell r="L23404"/>
          <cell r="S23404">
            <v>-99.39</v>
          </cell>
          <cell r="X23404" t="str">
            <v>Commissions - share RI</v>
          </cell>
        </row>
        <row r="23405">
          <cell r="L23405"/>
          <cell r="S23405">
            <v>22.13</v>
          </cell>
          <cell r="X23405" t="str">
            <v>Commissions - share RI</v>
          </cell>
        </row>
        <row r="23406">
          <cell r="L23406"/>
          <cell r="S23406">
            <v>-552.02</v>
          </cell>
          <cell r="X23406" t="str">
            <v>Commissions - share RI</v>
          </cell>
        </row>
        <row r="23407">
          <cell r="L23407"/>
          <cell r="S23407">
            <v>-599.55999999999995</v>
          </cell>
          <cell r="X23407" t="str">
            <v>Commissions - share RI</v>
          </cell>
        </row>
        <row r="23408">
          <cell r="L23408"/>
          <cell r="S23408">
            <v>663.2</v>
          </cell>
          <cell r="X23408" t="str">
            <v>Commissions - share RI</v>
          </cell>
        </row>
        <row r="23409">
          <cell r="L23409"/>
          <cell r="S23409">
            <v>80.510000000000005</v>
          </cell>
          <cell r="X23409" t="str">
            <v>Commissions - share RI</v>
          </cell>
        </row>
        <row r="23410">
          <cell r="L23410"/>
          <cell r="S23410">
            <v>124.2</v>
          </cell>
          <cell r="X23410" t="str">
            <v>Commissions - share RI</v>
          </cell>
        </row>
        <row r="23411">
          <cell r="L23411"/>
          <cell r="S23411">
            <v>-1079.03</v>
          </cell>
          <cell r="X23411" t="str">
            <v>Commissions - share RI</v>
          </cell>
        </row>
        <row r="23412">
          <cell r="L23412"/>
          <cell r="S23412">
            <v>-2658.08</v>
          </cell>
          <cell r="X23412" t="str">
            <v>Commissions - share RI</v>
          </cell>
        </row>
        <row r="23413">
          <cell r="L23413"/>
          <cell r="S23413">
            <v>-4615.21</v>
          </cell>
          <cell r="X23413" t="str">
            <v>Commissions - share RI</v>
          </cell>
        </row>
        <row r="23414">
          <cell r="L23414"/>
          <cell r="S23414">
            <v>-107.33</v>
          </cell>
          <cell r="X23414" t="str">
            <v>Commissions - share RI</v>
          </cell>
        </row>
        <row r="23415">
          <cell r="L23415"/>
          <cell r="S23415">
            <v>197.65</v>
          </cell>
          <cell r="X23415" t="str">
            <v>Commissions - share RI</v>
          </cell>
        </row>
        <row r="23416">
          <cell r="L23416"/>
          <cell r="S23416">
            <v>-12.52</v>
          </cell>
          <cell r="X23416" t="str">
            <v>Commissions - share RI</v>
          </cell>
        </row>
        <row r="23417">
          <cell r="L23417"/>
          <cell r="S23417">
            <v>-10.35</v>
          </cell>
          <cell r="X23417" t="str">
            <v>Commissions - share RI</v>
          </cell>
        </row>
        <row r="23418">
          <cell r="L23418"/>
          <cell r="S23418">
            <v>-7.0000000000000007E-2</v>
          </cell>
          <cell r="X23418" t="str">
            <v>Commissions - share RI</v>
          </cell>
        </row>
        <row r="23419">
          <cell r="L23419"/>
          <cell r="S23419">
            <v>-325.08</v>
          </cell>
          <cell r="X23419" t="str">
            <v>Commissions - share RI</v>
          </cell>
        </row>
        <row r="23420">
          <cell r="L23420"/>
          <cell r="S23420">
            <v>24.64</v>
          </cell>
          <cell r="X23420" t="str">
            <v>Commissions - share RI</v>
          </cell>
        </row>
        <row r="23421">
          <cell r="L23421"/>
          <cell r="S23421">
            <v>44.25</v>
          </cell>
          <cell r="X23421" t="str">
            <v>Commissions - share RI</v>
          </cell>
        </row>
        <row r="23422">
          <cell r="L23422"/>
          <cell r="S23422">
            <v>19.079999999999998</v>
          </cell>
          <cell r="X23422" t="str">
            <v>Commissions - share RI</v>
          </cell>
        </row>
        <row r="23423">
          <cell r="L23423"/>
          <cell r="S23423">
            <v>-100</v>
          </cell>
          <cell r="X23423" t="str">
            <v>Commissions - share RI</v>
          </cell>
        </row>
        <row r="23424">
          <cell r="L23424"/>
          <cell r="S23424">
            <v>2631.98</v>
          </cell>
          <cell r="X23424" t="str">
            <v>Commissions - share RI</v>
          </cell>
        </row>
        <row r="23425">
          <cell r="L23425"/>
          <cell r="S23425">
            <v>99.39</v>
          </cell>
          <cell r="X23425" t="str">
            <v>Commissions - share RI</v>
          </cell>
        </row>
        <row r="23426">
          <cell r="L23426"/>
          <cell r="S23426">
            <v>-0.56999999999999995</v>
          </cell>
          <cell r="X23426" t="str">
            <v>Commissions - share RI</v>
          </cell>
        </row>
        <row r="23427">
          <cell r="L23427"/>
          <cell r="S23427">
            <v>-0.43</v>
          </cell>
          <cell r="X23427" t="str">
            <v>Commissions - share RI</v>
          </cell>
        </row>
        <row r="23428">
          <cell r="L23428"/>
          <cell r="S23428">
            <v>-705.17</v>
          </cell>
          <cell r="X23428" t="str">
            <v>Commissions - share RI</v>
          </cell>
        </row>
        <row r="23429">
          <cell r="L23429"/>
          <cell r="S23429">
            <v>600.79999999999995</v>
          </cell>
          <cell r="X23429" t="str">
            <v>Commissions - share RI</v>
          </cell>
        </row>
        <row r="23430">
          <cell r="L23430"/>
          <cell r="S23430">
            <v>66.319999999999993</v>
          </cell>
          <cell r="X23430" t="str">
            <v>Commissions - share RI</v>
          </cell>
        </row>
        <row r="23431">
          <cell r="L23431"/>
          <cell r="S23431">
            <v>124.23</v>
          </cell>
          <cell r="X23431" t="str">
            <v>Commissions - share RI</v>
          </cell>
        </row>
        <row r="23432">
          <cell r="L23432"/>
          <cell r="S23432">
            <v>-383.21</v>
          </cell>
          <cell r="X23432" t="str">
            <v>Commissions - share RI</v>
          </cell>
        </row>
        <row r="23433">
          <cell r="L23433"/>
          <cell r="S23433">
            <v>28.95</v>
          </cell>
          <cell r="X23433" t="str">
            <v>Commissions - share RI</v>
          </cell>
        </row>
        <row r="23434">
          <cell r="L23434"/>
          <cell r="S23434">
            <v>-2325.4899999999998</v>
          </cell>
          <cell r="X23434" t="str">
            <v>Commissions - share RI</v>
          </cell>
        </row>
        <row r="23435">
          <cell r="L23435"/>
          <cell r="S23435">
            <v>273.87</v>
          </cell>
          <cell r="X23435" t="str">
            <v>Commissions - share RI</v>
          </cell>
        </row>
        <row r="23436">
          <cell r="L23436"/>
          <cell r="S23436">
            <v>55.01</v>
          </cell>
          <cell r="X23436" t="str">
            <v>Commissions - share RI</v>
          </cell>
        </row>
        <row r="23437">
          <cell r="L23437"/>
          <cell r="S23437">
            <v>1184.8800000000001</v>
          </cell>
          <cell r="X23437" t="str">
            <v>Commissions - share RI</v>
          </cell>
        </row>
        <row r="23438">
          <cell r="L23438"/>
          <cell r="S23438">
            <v>36.01</v>
          </cell>
          <cell r="X23438" t="str">
            <v>Commissions - share RI</v>
          </cell>
        </row>
        <row r="23439">
          <cell r="L23439"/>
          <cell r="S23439">
            <v>-1645.73</v>
          </cell>
          <cell r="X23439" t="str">
            <v>Commissions - share RI</v>
          </cell>
        </row>
        <row r="23440">
          <cell r="L23440"/>
          <cell r="S23440">
            <v>86.37</v>
          </cell>
          <cell r="X23440" t="str">
            <v>Commissions - share RI</v>
          </cell>
        </row>
        <row r="23441">
          <cell r="L23441"/>
          <cell r="S23441">
            <v>-465.1</v>
          </cell>
          <cell r="X23441" t="str">
            <v>Commissions - share RI</v>
          </cell>
        </row>
        <row r="23442">
          <cell r="L23442"/>
          <cell r="S23442">
            <v>-4579.43</v>
          </cell>
          <cell r="X23442" t="str">
            <v>Commissions - share RI</v>
          </cell>
        </row>
        <row r="23443">
          <cell r="L23443"/>
          <cell r="S23443">
            <v>46.35</v>
          </cell>
          <cell r="X23443" t="str">
            <v>Commissions - share RI</v>
          </cell>
        </row>
        <row r="23444">
          <cell r="L23444"/>
          <cell r="S23444">
            <v>-10.79</v>
          </cell>
          <cell r="X23444" t="str">
            <v>Commissions - share RI</v>
          </cell>
        </row>
        <row r="23445">
          <cell r="L23445"/>
          <cell r="S23445">
            <v>465.1</v>
          </cell>
          <cell r="X23445" t="str">
            <v>Commissions - share RI</v>
          </cell>
        </row>
        <row r="23446">
          <cell r="L23446"/>
          <cell r="S23446">
            <v>-0.33</v>
          </cell>
          <cell r="X23446" t="str">
            <v>Commissions - share RI</v>
          </cell>
        </row>
        <row r="23447">
          <cell r="L23447"/>
          <cell r="S23447">
            <v>-40.25</v>
          </cell>
          <cell r="X23447" t="str">
            <v>Commissions - share RI</v>
          </cell>
        </row>
        <row r="23448">
          <cell r="L23448"/>
          <cell r="S23448">
            <v>-178.89</v>
          </cell>
          <cell r="X23448" t="str">
            <v>Commissions - share RI</v>
          </cell>
        </row>
        <row r="23449">
          <cell r="L23449"/>
          <cell r="S23449">
            <v>318.43</v>
          </cell>
          <cell r="X23449" t="str">
            <v>Commissions - share RI</v>
          </cell>
        </row>
        <row r="23450">
          <cell r="L23450"/>
          <cell r="S23450">
            <v>-863.68</v>
          </cell>
          <cell r="X23450" t="str">
            <v>Commissions - share RI</v>
          </cell>
        </row>
        <row r="23451">
          <cell r="L23451"/>
          <cell r="S23451">
            <v>2683.26</v>
          </cell>
          <cell r="X23451" t="str">
            <v>Commissions - share RI</v>
          </cell>
        </row>
        <row r="23452">
          <cell r="L23452"/>
          <cell r="S23452">
            <v>4.47</v>
          </cell>
          <cell r="X23452" t="str">
            <v>Commissions - share RI</v>
          </cell>
        </row>
        <row r="23453">
          <cell r="L23453"/>
          <cell r="S23453">
            <v>44.79</v>
          </cell>
          <cell r="X23453" t="str">
            <v>Commissions - share RI</v>
          </cell>
        </row>
        <row r="23454">
          <cell r="L23454"/>
          <cell r="S23454">
            <v>599.55999999999995</v>
          </cell>
          <cell r="X23454" t="str">
            <v>Commissions - share RI</v>
          </cell>
        </row>
        <row r="23455">
          <cell r="L23455"/>
          <cell r="S23455">
            <v>-414.87</v>
          </cell>
          <cell r="X23455" t="str">
            <v>Commissions - share RI</v>
          </cell>
        </row>
        <row r="23456">
          <cell r="L23456"/>
          <cell r="S23456">
            <v>45.08</v>
          </cell>
          <cell r="X23456" t="str">
            <v>Commissions - share RI</v>
          </cell>
        </row>
        <row r="23457">
          <cell r="L23457"/>
          <cell r="S23457">
            <v>59.95</v>
          </cell>
          <cell r="X23457" t="str">
            <v>Commissions - share RI</v>
          </cell>
        </row>
        <row r="23458">
          <cell r="L23458"/>
          <cell r="S23458">
            <v>-41.49</v>
          </cell>
          <cell r="X23458" t="str">
            <v>Commissions - share RI</v>
          </cell>
        </row>
        <row r="23459">
          <cell r="L23459"/>
          <cell r="S23459">
            <v>-1079.5899999999999</v>
          </cell>
          <cell r="X23459" t="str">
            <v>Commissions - share RI</v>
          </cell>
        </row>
        <row r="23460">
          <cell r="L23460"/>
          <cell r="S23460">
            <v>-2110.83</v>
          </cell>
          <cell r="X23460" t="str">
            <v>Commissions - share RI</v>
          </cell>
        </row>
        <row r="23461">
          <cell r="L23461"/>
          <cell r="S23461">
            <v>54.52</v>
          </cell>
          <cell r="X23461" t="str">
            <v>Commissions - share RI</v>
          </cell>
        </row>
        <row r="23462">
          <cell r="L23462"/>
          <cell r="S23462">
            <v>-18.25</v>
          </cell>
          <cell r="X23462" t="str">
            <v>Commissions - share RI</v>
          </cell>
        </row>
        <row r="23463">
          <cell r="L23463"/>
          <cell r="S23463">
            <v>-98.37</v>
          </cell>
          <cell r="X23463" t="str">
            <v>Commissions - share RI</v>
          </cell>
        </row>
        <row r="23464">
          <cell r="L23464"/>
          <cell r="S23464">
            <v>-1419.93</v>
          </cell>
          <cell r="X23464" t="str">
            <v>Commissions - share RI</v>
          </cell>
        </row>
        <row r="23465">
          <cell r="L23465"/>
          <cell r="S23465">
            <v>10.16</v>
          </cell>
          <cell r="X23465" t="str">
            <v>Commissions - share RI</v>
          </cell>
        </row>
        <row r="23466">
          <cell r="L23466"/>
          <cell r="S23466">
            <v>465.1</v>
          </cell>
          <cell r="X23466" t="str">
            <v>Commissions - share RI</v>
          </cell>
        </row>
        <row r="23467">
          <cell r="L23467"/>
          <cell r="S23467">
            <v>-468.99</v>
          </cell>
          <cell r="X23467" t="str">
            <v>Commissions - share RI</v>
          </cell>
        </row>
        <row r="23468">
          <cell r="L23468"/>
          <cell r="S23468">
            <v>-89426.43</v>
          </cell>
          <cell r="X23468" t="str">
            <v>Commissions - share RI</v>
          </cell>
        </row>
        <row r="23469">
          <cell r="L23469"/>
          <cell r="S23469">
            <v>451.14</v>
          </cell>
          <cell r="X23469" t="str">
            <v>Commissions - share RI</v>
          </cell>
        </row>
        <row r="23470">
          <cell r="L23470"/>
          <cell r="S23470">
            <v>14.47</v>
          </cell>
          <cell r="X23470" t="str">
            <v>Commissions - share RI</v>
          </cell>
        </row>
        <row r="23471">
          <cell r="L23471"/>
          <cell r="S23471">
            <v>-0.47</v>
          </cell>
          <cell r="X23471" t="str">
            <v>Commissions - share RI</v>
          </cell>
        </row>
        <row r="23472">
          <cell r="L23472"/>
          <cell r="S23472">
            <v>-56.56</v>
          </cell>
          <cell r="X23472" t="str">
            <v>Commissions - share RI</v>
          </cell>
        </row>
        <row r="23473">
          <cell r="L23473"/>
          <cell r="S23473">
            <v>-8.64</v>
          </cell>
          <cell r="X23473" t="str">
            <v>Commissions - share RI</v>
          </cell>
        </row>
        <row r="23474">
          <cell r="L23474"/>
          <cell r="S23474">
            <v>10</v>
          </cell>
          <cell r="X23474" t="str">
            <v>Commissions - share RI</v>
          </cell>
        </row>
        <row r="23475">
          <cell r="L23475"/>
          <cell r="S23475">
            <v>-2795.07</v>
          </cell>
          <cell r="X23475" t="str">
            <v>Commissions - share RI</v>
          </cell>
        </row>
        <row r="23476">
          <cell r="L23476"/>
          <cell r="S23476">
            <v>-450.75</v>
          </cell>
          <cell r="X23476" t="str">
            <v>Commissions - share RI</v>
          </cell>
        </row>
        <row r="23477">
          <cell r="L23477"/>
          <cell r="S23477">
            <v>640.79999999999995</v>
          </cell>
          <cell r="X23477" t="str">
            <v>Commissions - share RI</v>
          </cell>
        </row>
        <row r="23478">
          <cell r="L23478"/>
          <cell r="S23478">
            <v>33.15</v>
          </cell>
          <cell r="X23478" t="str">
            <v>Commissions - share RI</v>
          </cell>
        </row>
        <row r="23479">
          <cell r="L23479"/>
          <cell r="S23479">
            <v>166.69</v>
          </cell>
          <cell r="X23479" t="str">
            <v>Commissions - share RI</v>
          </cell>
        </row>
        <row r="23480">
          <cell r="L23480"/>
          <cell r="S23480">
            <v>-794.68</v>
          </cell>
          <cell r="X23480" t="str">
            <v>Commissions - share RI</v>
          </cell>
        </row>
        <row r="23481">
          <cell r="L23481"/>
          <cell r="S23481">
            <v>-214.66</v>
          </cell>
          <cell r="X23481" t="str">
            <v>Commissions - share RI</v>
          </cell>
        </row>
        <row r="23482">
          <cell r="L23482"/>
          <cell r="S23482">
            <v>-993.84</v>
          </cell>
          <cell r="X23482" t="str">
            <v>Commissions - share RI</v>
          </cell>
        </row>
        <row r="23483">
          <cell r="L23483"/>
          <cell r="S23483">
            <v>11.2</v>
          </cell>
          <cell r="X23483" t="str">
            <v>Commissions - share RI</v>
          </cell>
        </row>
        <row r="23484">
          <cell r="L23484"/>
          <cell r="S23484">
            <v>-754.09</v>
          </cell>
          <cell r="X23484" t="str">
            <v>Commissions - share RI</v>
          </cell>
        </row>
        <row r="23485">
          <cell r="L23485"/>
          <cell r="S23485">
            <v>64.08</v>
          </cell>
          <cell r="X23485" t="str">
            <v>Commissions - share RI</v>
          </cell>
        </row>
        <row r="23486">
          <cell r="L23486"/>
          <cell r="S23486">
            <v>25.24</v>
          </cell>
          <cell r="X23486" t="str">
            <v>Commissions - share RI</v>
          </cell>
        </row>
        <row r="23487">
          <cell r="L23487"/>
          <cell r="S23487">
            <v>-7.0000000000000007E-2</v>
          </cell>
          <cell r="X23487" t="str">
            <v>Commissions - share RI</v>
          </cell>
        </row>
        <row r="23488">
          <cell r="L23488"/>
          <cell r="S23488">
            <v>310.11</v>
          </cell>
          <cell r="X23488" t="str">
            <v>Commissions - share RI</v>
          </cell>
        </row>
        <row r="23489">
          <cell r="L23489"/>
          <cell r="S23489">
            <v>-1063.26</v>
          </cell>
          <cell r="X23489" t="str">
            <v>Commissions - share RI</v>
          </cell>
        </row>
        <row r="23490">
          <cell r="L23490"/>
          <cell r="S23490">
            <v>9.84</v>
          </cell>
          <cell r="X23490" t="str">
            <v>Commissions - share RI</v>
          </cell>
        </row>
        <row r="23491">
          <cell r="L23491"/>
          <cell r="S23491">
            <v>-8.11</v>
          </cell>
          <cell r="X23491" t="str">
            <v>Commissions - share RI</v>
          </cell>
        </row>
        <row r="23492">
          <cell r="L23492"/>
          <cell r="S23492">
            <v>676.09</v>
          </cell>
          <cell r="X23492" t="str">
            <v>Commissions - share RI</v>
          </cell>
        </row>
        <row r="23493">
          <cell r="L23493"/>
          <cell r="S23493">
            <v>-0.15</v>
          </cell>
          <cell r="X23493" t="str">
            <v>Commissions - share RI</v>
          </cell>
        </row>
        <row r="23494">
          <cell r="L23494"/>
          <cell r="S23494">
            <v>-9.93</v>
          </cell>
          <cell r="X23494" t="str">
            <v>Commissions - share RI</v>
          </cell>
        </row>
        <row r="23495">
          <cell r="L23495"/>
          <cell r="S23495">
            <v>-13.53</v>
          </cell>
          <cell r="X23495" t="str">
            <v>Commissions - share RI</v>
          </cell>
        </row>
        <row r="23496">
          <cell r="L23496"/>
          <cell r="S23496">
            <v>-165.27</v>
          </cell>
          <cell r="X23496" t="str">
            <v>Commissions - share RI</v>
          </cell>
        </row>
        <row r="23497">
          <cell r="L23497"/>
          <cell r="S23497">
            <v>70.52</v>
          </cell>
          <cell r="X23497" t="str">
            <v>Commissions - share RI</v>
          </cell>
        </row>
        <row r="23498">
          <cell r="L23498"/>
          <cell r="S23498">
            <v>9.93</v>
          </cell>
          <cell r="X23498" t="str">
            <v>Commissions - share RI</v>
          </cell>
        </row>
        <row r="23499">
          <cell r="L23499"/>
          <cell r="S23499">
            <v>107.91</v>
          </cell>
          <cell r="X23499" t="str">
            <v>Commissions - share RI</v>
          </cell>
        </row>
        <row r="23500">
          <cell r="L23500"/>
          <cell r="S23500">
            <v>-239.2</v>
          </cell>
          <cell r="X23500" t="str">
            <v>Commissions - share RI</v>
          </cell>
        </row>
        <row r="23501">
          <cell r="L23501"/>
          <cell r="S23501">
            <v>-57.51</v>
          </cell>
          <cell r="X23501" t="str">
            <v>Commissions - share RI</v>
          </cell>
        </row>
        <row r="23502">
          <cell r="L23502"/>
          <cell r="S23502">
            <v>-610.61</v>
          </cell>
          <cell r="X23502" t="str">
            <v>Commissions - share RI</v>
          </cell>
        </row>
        <row r="23503">
          <cell r="L23503"/>
          <cell r="S23503">
            <v>-64.08</v>
          </cell>
          <cell r="X23503" t="str">
            <v>Commissions - share RI</v>
          </cell>
        </row>
        <row r="23504">
          <cell r="L23504"/>
          <cell r="S23504">
            <v>-804.98</v>
          </cell>
          <cell r="X23504" t="str">
            <v>Commissions - share RI</v>
          </cell>
        </row>
        <row r="23505">
          <cell r="L23505"/>
          <cell r="S23505">
            <v>-0.37</v>
          </cell>
          <cell r="X23505" t="str">
            <v>Commissions - share RI</v>
          </cell>
        </row>
        <row r="23506">
          <cell r="L23506"/>
          <cell r="S23506">
            <v>-3031.95</v>
          </cell>
          <cell r="X23506" t="str">
            <v>Commissions - share RI</v>
          </cell>
        </row>
        <row r="23507">
          <cell r="L23507"/>
          <cell r="S23507">
            <v>385.98</v>
          </cell>
          <cell r="X23507" t="str">
            <v>Commissions - share RI</v>
          </cell>
        </row>
        <row r="23508">
          <cell r="L23508"/>
          <cell r="S23508">
            <v>-7.0000000000000007E-2</v>
          </cell>
          <cell r="X23508" t="str">
            <v>Commissions - share RI</v>
          </cell>
        </row>
        <row r="23509">
          <cell r="L23509"/>
          <cell r="S23509">
            <v>8.1300000000000008</v>
          </cell>
          <cell r="X23509" t="str">
            <v>Commissions - share RI</v>
          </cell>
        </row>
        <row r="23510">
          <cell r="L23510"/>
          <cell r="S23510">
            <v>-430.42</v>
          </cell>
          <cell r="X23510" t="str">
            <v>Commissions - share RI</v>
          </cell>
        </row>
        <row r="23511">
          <cell r="L23511"/>
          <cell r="S23511">
            <v>383.21</v>
          </cell>
          <cell r="X23511" t="str">
            <v>Commissions - share RI</v>
          </cell>
        </row>
        <row r="23512">
          <cell r="L23512"/>
          <cell r="S23512">
            <v>57.31</v>
          </cell>
          <cell r="X23512" t="str">
            <v>Commissions - share RI</v>
          </cell>
        </row>
        <row r="23513">
          <cell r="L23513"/>
          <cell r="S23513">
            <v>-442.61</v>
          </cell>
          <cell r="X23513" t="str">
            <v>Commissions - share RI</v>
          </cell>
        </row>
        <row r="23514">
          <cell r="L23514"/>
          <cell r="S23514">
            <v>79.25</v>
          </cell>
          <cell r="X23514" t="str">
            <v>Commissions - share RI</v>
          </cell>
        </row>
        <row r="23515">
          <cell r="L23515"/>
          <cell r="S23515">
            <v>792.59</v>
          </cell>
          <cell r="X23515" t="str">
            <v>Commissions - share RI</v>
          </cell>
        </row>
        <row r="23516">
          <cell r="L23516"/>
          <cell r="S23516">
            <v>-107.33</v>
          </cell>
          <cell r="X23516" t="str">
            <v>Commissions - share RI</v>
          </cell>
        </row>
        <row r="23517">
          <cell r="L23517"/>
          <cell r="S23517">
            <v>2795.07</v>
          </cell>
          <cell r="X23517" t="str">
            <v>Commissions - share RI</v>
          </cell>
        </row>
        <row r="23518">
          <cell r="L23518"/>
          <cell r="S23518">
            <v>276.82</v>
          </cell>
          <cell r="X23518" t="str">
            <v>Commissions - share RI</v>
          </cell>
        </row>
        <row r="23519">
          <cell r="L23519"/>
          <cell r="S23519">
            <v>110.05</v>
          </cell>
          <cell r="X23519" t="str">
            <v>Commissions - share RI</v>
          </cell>
        </row>
        <row r="23520">
          <cell r="L23520"/>
          <cell r="S23520">
            <v>279.85000000000002</v>
          </cell>
          <cell r="X23520" t="str">
            <v>Commissions - share RI</v>
          </cell>
        </row>
        <row r="23521">
          <cell r="L23521"/>
          <cell r="S23521">
            <v>-166.69</v>
          </cell>
          <cell r="X23521" t="str">
            <v>Commissions - share RI</v>
          </cell>
        </row>
        <row r="23522">
          <cell r="L23522"/>
          <cell r="S23522">
            <v>286.20999999999998</v>
          </cell>
          <cell r="X23522" t="str">
            <v>Commissions - share RI</v>
          </cell>
        </row>
        <row r="23523">
          <cell r="L23523"/>
          <cell r="S23523">
            <v>-273.87</v>
          </cell>
          <cell r="X23523" t="str">
            <v>Commissions - share RI</v>
          </cell>
        </row>
        <row r="23524">
          <cell r="L23524"/>
          <cell r="S23524">
            <v>79.47</v>
          </cell>
          <cell r="X23524" t="str">
            <v>Commissions - share RI</v>
          </cell>
        </row>
        <row r="23525">
          <cell r="L23525"/>
          <cell r="S23525">
            <v>414.87</v>
          </cell>
          <cell r="X23525" t="str">
            <v>Commissions - share RI</v>
          </cell>
        </row>
        <row r="23526">
          <cell r="L23526"/>
          <cell r="S23526">
            <v>501.03</v>
          </cell>
          <cell r="X23526" t="str">
            <v>Commissions - share RI</v>
          </cell>
        </row>
        <row r="23527">
          <cell r="L23527"/>
          <cell r="S23527">
            <v>-2768.31</v>
          </cell>
          <cell r="X23527" t="str">
            <v>Commissions - share RI</v>
          </cell>
        </row>
        <row r="23528">
          <cell r="L23528"/>
          <cell r="S23528">
            <v>-477.87</v>
          </cell>
          <cell r="X23528" t="str">
            <v>Commissions - share RI</v>
          </cell>
        </row>
        <row r="23529">
          <cell r="L23529"/>
          <cell r="S23529">
            <v>-463.47</v>
          </cell>
          <cell r="X23529" t="str">
            <v>Commissions - share RI</v>
          </cell>
        </row>
        <row r="23530">
          <cell r="L23530"/>
          <cell r="S23530">
            <v>-2798.52</v>
          </cell>
          <cell r="X23530" t="str">
            <v>Commissions - share RI</v>
          </cell>
        </row>
        <row r="23531">
          <cell r="L23531"/>
          <cell r="S23531">
            <v>-47.8</v>
          </cell>
          <cell r="X23531" t="str">
            <v>Commissions - share RI</v>
          </cell>
        </row>
        <row r="23532">
          <cell r="L23532"/>
          <cell r="S23532">
            <v>-16.25</v>
          </cell>
          <cell r="X23532" t="str">
            <v>Commissions - share RI</v>
          </cell>
        </row>
        <row r="23533">
          <cell r="L23533"/>
          <cell r="S23533">
            <v>12.17</v>
          </cell>
          <cell r="X23533" t="str">
            <v>Commissions - share RI</v>
          </cell>
        </row>
        <row r="23534">
          <cell r="L23534"/>
          <cell r="S23534">
            <v>-66.319999999999993</v>
          </cell>
          <cell r="X23534" t="str">
            <v>Commissions - share RI</v>
          </cell>
        </row>
        <row r="23535">
          <cell r="L23535"/>
          <cell r="S23535">
            <v>2713.54</v>
          </cell>
          <cell r="X23535" t="str">
            <v>Commissions - share RI</v>
          </cell>
        </row>
        <row r="23536">
          <cell r="L23536"/>
          <cell r="S23536">
            <v>-173.46</v>
          </cell>
          <cell r="X23536" t="str">
            <v>Commissions - share RI</v>
          </cell>
        </row>
        <row r="23537">
          <cell r="L23537"/>
          <cell r="S23537">
            <v>-80.510000000000005</v>
          </cell>
          <cell r="X23537" t="str">
            <v>Commissions - share RI</v>
          </cell>
        </row>
        <row r="23538">
          <cell r="L23538"/>
          <cell r="S23538">
            <v>-14.11</v>
          </cell>
          <cell r="X23538" t="str">
            <v>Commissions - share RI</v>
          </cell>
        </row>
        <row r="23539">
          <cell r="L23539"/>
          <cell r="S23539">
            <v>-0.16</v>
          </cell>
          <cell r="X23539" t="str">
            <v>Commissions - share RI</v>
          </cell>
        </row>
        <row r="23540">
          <cell r="L23540"/>
          <cell r="S23540">
            <v>2110.83</v>
          </cell>
          <cell r="X23540" t="str">
            <v>Commissions - share RI</v>
          </cell>
        </row>
        <row r="23541">
          <cell r="L23541"/>
          <cell r="S23541">
            <v>-46.89</v>
          </cell>
          <cell r="X23541" t="str">
            <v>Commissions - share RI</v>
          </cell>
        </row>
        <row r="23542">
          <cell r="L23542"/>
          <cell r="S23542">
            <v>804.99</v>
          </cell>
          <cell r="X23542" t="str">
            <v>Commissions - share RI</v>
          </cell>
        </row>
        <row r="23543">
          <cell r="L23543"/>
          <cell r="S23543">
            <v>-813.13</v>
          </cell>
          <cell r="X23543" t="str">
            <v>Commissions - share RI</v>
          </cell>
        </row>
        <row r="23544">
          <cell r="L23544"/>
          <cell r="S23544">
            <v>35.78</v>
          </cell>
          <cell r="X23544" t="str">
            <v>Commissions - share RI</v>
          </cell>
        </row>
        <row r="23545">
          <cell r="L23545"/>
          <cell r="S23545">
            <v>118.49</v>
          </cell>
          <cell r="X23545" t="str">
            <v>Commissions - share RI</v>
          </cell>
        </row>
        <row r="23546">
          <cell r="L23546"/>
          <cell r="S23546">
            <v>536.65</v>
          </cell>
          <cell r="X23546" t="str">
            <v>Commissions - share RI</v>
          </cell>
        </row>
        <row r="23547">
          <cell r="L23547"/>
          <cell r="S23547">
            <v>16.23</v>
          </cell>
          <cell r="X23547" t="str">
            <v>Commissions - share RI</v>
          </cell>
        </row>
        <row r="23548">
          <cell r="L23548"/>
          <cell r="S23548">
            <v>16.670000000000002</v>
          </cell>
          <cell r="X23548" t="str">
            <v>Commissions - share RI</v>
          </cell>
        </row>
        <row r="23549">
          <cell r="L23549"/>
          <cell r="S23549">
            <v>536.65</v>
          </cell>
          <cell r="X23549" t="str">
            <v>Commissions - share RI</v>
          </cell>
        </row>
        <row r="23550">
          <cell r="L23550"/>
          <cell r="S23550">
            <v>239.2</v>
          </cell>
          <cell r="X23550" t="str">
            <v>Commissions - share RI</v>
          </cell>
        </row>
        <row r="23551">
          <cell r="L23551"/>
          <cell r="S23551">
            <v>-43.04</v>
          </cell>
          <cell r="X23551" t="str">
            <v>Commissions - share RI</v>
          </cell>
        </row>
        <row r="23552">
          <cell r="L23552"/>
          <cell r="S23552">
            <v>4511.3999999999996</v>
          </cell>
          <cell r="X23552" t="str">
            <v>Commissions - share RI</v>
          </cell>
        </row>
        <row r="23553">
          <cell r="L23553"/>
          <cell r="S23553">
            <v>-2392.0300000000002</v>
          </cell>
          <cell r="X23553" t="str">
            <v>Commissions - share RI</v>
          </cell>
        </row>
        <row r="23554">
          <cell r="L23554"/>
          <cell r="S23554">
            <v>-1184.8800000000001</v>
          </cell>
          <cell r="X23554" t="str">
            <v>Commissions - share RI</v>
          </cell>
        </row>
        <row r="23555">
          <cell r="L23555"/>
          <cell r="S23555">
            <v>-879.05</v>
          </cell>
          <cell r="X23555" t="str">
            <v>Commissions - share RI</v>
          </cell>
        </row>
        <row r="23556">
          <cell r="L23556"/>
          <cell r="S23556">
            <v>9.0399999999999991</v>
          </cell>
          <cell r="X23556" t="str">
            <v>Commissions - share RI</v>
          </cell>
        </row>
        <row r="23557">
          <cell r="L23557"/>
          <cell r="S23557">
            <v>26.15</v>
          </cell>
          <cell r="X23557" t="str">
            <v>Commissions - share RI</v>
          </cell>
        </row>
        <row r="23558">
          <cell r="L23558"/>
          <cell r="S23558">
            <v>-2631.98</v>
          </cell>
          <cell r="X23558" t="str">
            <v>Commissions - share RI</v>
          </cell>
        </row>
        <row r="23559">
          <cell r="L23559"/>
          <cell r="S23559">
            <v>-676.09</v>
          </cell>
          <cell r="X23559" t="str">
            <v>Commissions - share RI</v>
          </cell>
        </row>
        <row r="23560">
          <cell r="L23560"/>
          <cell r="S23560">
            <v>-2083.67</v>
          </cell>
          <cell r="X23560" t="str">
            <v>Commissions - share RI</v>
          </cell>
        </row>
        <row r="23561">
          <cell r="L23561"/>
          <cell r="S23561">
            <v>-5116.07</v>
          </cell>
          <cell r="X23561" t="str">
            <v>Commissions - share RI</v>
          </cell>
        </row>
        <row r="23562">
          <cell r="L23562"/>
          <cell r="S23562">
            <v>-52391.83</v>
          </cell>
          <cell r="X23562" t="str">
            <v>Commissions - share RI</v>
          </cell>
        </row>
        <row r="23563">
          <cell r="L23563"/>
          <cell r="S23563">
            <v>52391.83</v>
          </cell>
          <cell r="X23563" t="str">
            <v>Commissions - share RI</v>
          </cell>
        </row>
        <row r="23564">
          <cell r="L23564"/>
          <cell r="S23564">
            <v>38.32</v>
          </cell>
          <cell r="X23564" t="str">
            <v>Commissions - share RI</v>
          </cell>
        </row>
        <row r="23565">
          <cell r="L23565"/>
          <cell r="S23565">
            <v>-0.06</v>
          </cell>
          <cell r="X23565" t="str">
            <v>Commissions - share RI</v>
          </cell>
        </row>
        <row r="23566">
          <cell r="L23566"/>
          <cell r="S23566">
            <v>1079.03</v>
          </cell>
          <cell r="X23566" t="str">
            <v>Commissions - share RI</v>
          </cell>
        </row>
        <row r="23567">
          <cell r="L23567"/>
          <cell r="S23567">
            <v>60.08</v>
          </cell>
          <cell r="X23567" t="str">
            <v>Commissions - share RI</v>
          </cell>
        </row>
        <row r="23568">
          <cell r="L23568"/>
          <cell r="S23568">
            <v>-792.59</v>
          </cell>
          <cell r="X23568" t="str">
            <v>Commissions - share RI</v>
          </cell>
        </row>
        <row r="23569">
          <cell r="L23569"/>
          <cell r="S23569">
            <v>-912.64</v>
          </cell>
          <cell r="X23569" t="str">
            <v>Commissions - share RI</v>
          </cell>
        </row>
        <row r="23570">
          <cell r="L23570"/>
          <cell r="S23570">
            <v>67.61</v>
          </cell>
          <cell r="X23570" t="str">
            <v>Commissions - share RI</v>
          </cell>
        </row>
        <row r="23571">
          <cell r="L23571"/>
          <cell r="S23571">
            <v>-46.35</v>
          </cell>
          <cell r="X23571" t="str">
            <v>Commissions - share RI</v>
          </cell>
        </row>
        <row r="23572">
          <cell r="L23572"/>
          <cell r="S23572">
            <v>16.25</v>
          </cell>
          <cell r="X23572" t="str">
            <v>Commissions - share RI</v>
          </cell>
        </row>
        <row r="23573">
          <cell r="L23573"/>
          <cell r="S23573">
            <v>813.13</v>
          </cell>
          <cell r="X23573" t="str">
            <v>Commissions - share RI</v>
          </cell>
        </row>
        <row r="23574">
          <cell r="L23574"/>
          <cell r="S23574">
            <v>-263.20999999999998</v>
          </cell>
          <cell r="X23574" t="str">
            <v>Commissions - share RI</v>
          </cell>
        </row>
        <row r="23575">
          <cell r="L23575"/>
          <cell r="S23575">
            <v>2.65</v>
          </cell>
          <cell r="X23575" t="str">
            <v>Commissions - share RI</v>
          </cell>
        </row>
        <row r="23576">
          <cell r="L23576"/>
          <cell r="S23576">
            <v>10.35</v>
          </cell>
          <cell r="X23576" t="str">
            <v>Commissions - share RI</v>
          </cell>
        </row>
        <row r="23577">
          <cell r="L23577"/>
          <cell r="S23577">
            <v>993.84</v>
          </cell>
          <cell r="X23577" t="str">
            <v>Commissions - share RI</v>
          </cell>
        </row>
        <row r="23578">
          <cell r="L23578"/>
          <cell r="S23578">
            <v>-286.20999999999998</v>
          </cell>
          <cell r="X23578" t="str">
            <v>Commissions - share RI</v>
          </cell>
        </row>
        <row r="23579">
          <cell r="L23579"/>
          <cell r="S23579">
            <v>250.43</v>
          </cell>
          <cell r="X23579" t="str">
            <v>Commissions - share RI</v>
          </cell>
        </row>
        <row r="23580">
          <cell r="L23580"/>
          <cell r="S23580">
            <v>-178.89</v>
          </cell>
          <cell r="X23580" t="str">
            <v>Commissions - share RI</v>
          </cell>
        </row>
        <row r="23581">
          <cell r="L23581"/>
          <cell r="S23581">
            <v>-0.18</v>
          </cell>
          <cell r="X23581" t="str">
            <v>Commissions - share RI</v>
          </cell>
        </row>
        <row r="23582">
          <cell r="L23582"/>
          <cell r="S23582">
            <v>-663.2</v>
          </cell>
          <cell r="X23582" t="str">
            <v>Commissions - share RI</v>
          </cell>
        </row>
        <row r="23583">
          <cell r="L23583"/>
          <cell r="S23583">
            <v>-360</v>
          </cell>
          <cell r="X23583" t="str">
            <v>Commissions - share RI</v>
          </cell>
        </row>
        <row r="23584">
          <cell r="L23584"/>
          <cell r="S23584">
            <v>-0.05</v>
          </cell>
          <cell r="X23584" t="str">
            <v>Commissions - share RI</v>
          </cell>
        </row>
        <row r="23585">
          <cell r="L23585"/>
          <cell r="S23585">
            <v>279.51</v>
          </cell>
          <cell r="X23585" t="str">
            <v>Commissions - share RI</v>
          </cell>
        </row>
        <row r="23586">
          <cell r="L23586"/>
          <cell r="S23586">
            <v>52.27</v>
          </cell>
          <cell r="X23586" t="str">
            <v>Commissions - share RI</v>
          </cell>
        </row>
        <row r="23587">
          <cell r="L23587"/>
          <cell r="S23587">
            <v>-1016.43</v>
          </cell>
          <cell r="X23587" t="str">
            <v>Commissions - share RI</v>
          </cell>
        </row>
        <row r="23588">
          <cell r="L23588"/>
          <cell r="S23588">
            <v>38.590000000000003</v>
          </cell>
          <cell r="X23588" t="str">
            <v>Commissions - share RI</v>
          </cell>
        </row>
        <row r="23589">
          <cell r="L23589"/>
          <cell r="S23589">
            <v>167.93</v>
          </cell>
          <cell r="X23589" t="str">
            <v>Commissions - share RI</v>
          </cell>
        </row>
        <row r="23590">
          <cell r="L23590"/>
          <cell r="S23590">
            <v>522.71</v>
          </cell>
          <cell r="X23590" t="str">
            <v>Commissions - share RI</v>
          </cell>
        </row>
        <row r="23591">
          <cell r="L23591"/>
          <cell r="S23591">
            <v>-105.6</v>
          </cell>
          <cell r="X23591" t="str">
            <v>Commissions - share RI</v>
          </cell>
        </row>
        <row r="23592">
          <cell r="L23592"/>
          <cell r="S23592">
            <v>-279.51</v>
          </cell>
          <cell r="X23592" t="str">
            <v>Commissions - share RI</v>
          </cell>
        </row>
        <row r="23593">
          <cell r="L23593"/>
          <cell r="S23593">
            <v>-67.61</v>
          </cell>
          <cell r="X23593" t="str">
            <v>Commissions - share RI</v>
          </cell>
        </row>
        <row r="23594">
          <cell r="L23594"/>
          <cell r="S23594">
            <v>25.37</v>
          </cell>
          <cell r="X23594" t="str">
            <v>Commissions - share RI</v>
          </cell>
        </row>
        <row r="23595">
          <cell r="L23595"/>
          <cell r="S23595">
            <v>14.72</v>
          </cell>
          <cell r="X23595" t="str">
            <v>Commissions - share RI</v>
          </cell>
        </row>
        <row r="23596">
          <cell r="L23596"/>
          <cell r="S23596">
            <v>-2683.26</v>
          </cell>
          <cell r="X23596" t="str">
            <v>Commissions - share RI</v>
          </cell>
        </row>
        <row r="23597">
          <cell r="L23597"/>
          <cell r="S23597">
            <v>53.6</v>
          </cell>
          <cell r="X23597" t="str">
            <v>Commissions - share RI</v>
          </cell>
        </row>
        <row r="23598">
          <cell r="L23598"/>
          <cell r="S23598">
            <v>20.84</v>
          </cell>
          <cell r="X23598" t="str">
            <v>Commissions - share RI</v>
          </cell>
        </row>
        <row r="23599">
          <cell r="L23599"/>
          <cell r="S23599">
            <v>529.47</v>
          </cell>
          <cell r="X23599" t="str">
            <v>Commissions - share RI</v>
          </cell>
        </row>
        <row r="23600">
          <cell r="L23600"/>
          <cell r="S23600">
            <v>468.99</v>
          </cell>
          <cell r="X23600" t="str">
            <v>Commissions - share RI</v>
          </cell>
        </row>
        <row r="23601">
          <cell r="L23601"/>
          <cell r="S23601">
            <v>-271.35000000000002</v>
          </cell>
          <cell r="X23601" t="str">
            <v>Commissions - share RI</v>
          </cell>
        </row>
        <row r="23602">
          <cell r="L23602"/>
          <cell r="S23602">
            <v>4615.21</v>
          </cell>
          <cell r="X23602" t="str">
            <v>Commissions - share RI</v>
          </cell>
        </row>
        <row r="23603">
          <cell r="L23603"/>
          <cell r="S23603">
            <v>-79.25</v>
          </cell>
          <cell r="X23603" t="str">
            <v>Commissions - share RI</v>
          </cell>
        </row>
        <row r="23604">
          <cell r="L23604"/>
          <cell r="S23604">
            <v>-385.98</v>
          </cell>
          <cell r="X23604" t="str">
            <v>Commissions - share RI</v>
          </cell>
        </row>
        <row r="23605">
          <cell r="L23605"/>
          <cell r="S23605">
            <v>-5.15</v>
          </cell>
          <cell r="X23605" t="str">
            <v>Commissions - share RI</v>
          </cell>
        </row>
        <row r="23606">
          <cell r="L23606"/>
          <cell r="S23606">
            <v>-3088.51</v>
          </cell>
          <cell r="X23606" t="str">
            <v>Commissions - share RI</v>
          </cell>
        </row>
        <row r="23607">
          <cell r="L23607"/>
          <cell r="S23607">
            <v>328</v>
          </cell>
          <cell r="X23607" t="str">
            <v>Commissions - share RI</v>
          </cell>
        </row>
        <row r="23608">
          <cell r="L23608"/>
          <cell r="S23608">
            <v>863.68</v>
          </cell>
          <cell r="X23608" t="str">
            <v>Commissions - share RI</v>
          </cell>
        </row>
        <row r="23609">
          <cell r="L23609"/>
          <cell r="S23609">
            <v>-86.37</v>
          </cell>
          <cell r="X23609" t="str">
            <v>Commissions - share RI</v>
          </cell>
        </row>
        <row r="23610">
          <cell r="L23610"/>
          <cell r="S23610">
            <v>-143.11000000000001</v>
          </cell>
          <cell r="X23610" t="str">
            <v>Commissions - share RI</v>
          </cell>
        </row>
        <row r="23611">
          <cell r="L23611"/>
          <cell r="S23611">
            <v>463.47</v>
          </cell>
          <cell r="X23611" t="str">
            <v>Commissions - share RI</v>
          </cell>
        </row>
        <row r="23612">
          <cell r="L23612"/>
          <cell r="S23612">
            <v>8.64</v>
          </cell>
          <cell r="X23612" t="str">
            <v>Commissions - share RI</v>
          </cell>
        </row>
        <row r="23613">
          <cell r="L23613"/>
          <cell r="S23613">
            <v>-39.630000000000003</v>
          </cell>
          <cell r="X23613" t="str">
            <v>Commissions - share RI</v>
          </cell>
        </row>
        <row r="23614">
          <cell r="L23614"/>
          <cell r="S23614">
            <v>15.91</v>
          </cell>
          <cell r="X23614" t="str">
            <v>Commissions - share RI</v>
          </cell>
        </row>
        <row r="23615">
          <cell r="L23615"/>
          <cell r="S23615">
            <v>89.58</v>
          </cell>
          <cell r="X23615" t="str">
            <v>Commissions - share RI</v>
          </cell>
        </row>
        <row r="23616">
          <cell r="L23616"/>
          <cell r="S23616">
            <v>-16.670000000000002</v>
          </cell>
          <cell r="X23616" t="str">
            <v>Commissions - share RI</v>
          </cell>
        </row>
        <row r="23617">
          <cell r="L23617"/>
          <cell r="S23617">
            <v>-1242.29</v>
          </cell>
          <cell r="X23617" t="str">
            <v>Commissions - share RI</v>
          </cell>
        </row>
        <row r="23618">
          <cell r="L23618"/>
          <cell r="S23618">
            <v>-600.79999999999995</v>
          </cell>
          <cell r="X23618" t="str">
            <v>Commissions - share RI</v>
          </cell>
        </row>
        <row r="23619">
          <cell r="L23619"/>
          <cell r="S23619">
            <v>265.8</v>
          </cell>
          <cell r="X23619" t="str">
            <v>Commissions - share RI</v>
          </cell>
        </row>
        <row r="23620">
          <cell r="L23620"/>
          <cell r="S23620">
            <v>430.43</v>
          </cell>
          <cell r="X23620" t="str">
            <v>Commissions - share RI</v>
          </cell>
        </row>
        <row r="23621">
          <cell r="L23621"/>
          <cell r="S23621">
            <v>21.45</v>
          </cell>
          <cell r="X23621" t="str">
            <v>Commissions - share RI</v>
          </cell>
        </row>
        <row r="23622">
          <cell r="L23622"/>
          <cell r="S23622">
            <v>14.11</v>
          </cell>
          <cell r="X23622" t="str">
            <v>Commissions - share RI</v>
          </cell>
        </row>
        <row r="23623">
          <cell r="L23623"/>
          <cell r="S23623">
            <v>303.2</v>
          </cell>
          <cell r="X23623" t="str">
            <v>Commissions - share RI</v>
          </cell>
        </row>
        <row r="23624">
          <cell r="L23624"/>
          <cell r="S23624">
            <v>-1100.51</v>
          </cell>
          <cell r="X23624" t="str">
            <v>Commissions - share RI</v>
          </cell>
        </row>
        <row r="23625">
          <cell r="L23625"/>
          <cell r="S23625">
            <v>308.85000000000002</v>
          </cell>
          <cell r="X23625" t="str">
            <v>Commissions - share RI</v>
          </cell>
        </row>
        <row r="23626">
          <cell r="L23626"/>
          <cell r="S23626">
            <v>-451.15</v>
          </cell>
          <cell r="X23626" t="str">
            <v>Commissions - share RI</v>
          </cell>
        </row>
        <row r="23627">
          <cell r="L23627"/>
          <cell r="S23627">
            <v>-50.11</v>
          </cell>
          <cell r="X23627" t="str">
            <v>Commissions - share RI</v>
          </cell>
        </row>
        <row r="23628">
          <cell r="L23628"/>
          <cell r="S23628">
            <v>1666.93</v>
          </cell>
          <cell r="X23628" t="str">
            <v>Commissions - share RI</v>
          </cell>
        </row>
        <row r="23629">
          <cell r="L23629"/>
          <cell r="S23629">
            <v>-167.93</v>
          </cell>
          <cell r="X23629" t="str">
            <v>Commissions - share RI</v>
          </cell>
        </row>
        <row r="23630">
          <cell r="L23630"/>
          <cell r="S23630">
            <v>39.630000000000003</v>
          </cell>
          <cell r="X23630" t="str">
            <v>Commissions - share RI</v>
          </cell>
        </row>
        <row r="23631">
          <cell r="L23631"/>
          <cell r="S23631">
            <v>-895.8</v>
          </cell>
          <cell r="X23631" t="str">
            <v>Commissions - share RI</v>
          </cell>
        </row>
        <row r="23632">
          <cell r="L23632"/>
          <cell r="S23632">
            <v>58.93</v>
          </cell>
          <cell r="X23632" t="str">
            <v>Commissions - share RI</v>
          </cell>
        </row>
        <row r="23633">
          <cell r="L23633"/>
          <cell r="S23633">
            <v>-640.79999999999995</v>
          </cell>
          <cell r="X23633" t="str">
            <v>Commissions - share RI</v>
          </cell>
        </row>
        <row r="23634">
          <cell r="L23634"/>
          <cell r="S23634">
            <v>73.680000000000007</v>
          </cell>
          <cell r="X23634" t="str">
            <v>Commissions - share RI</v>
          </cell>
        </row>
        <row r="23635">
          <cell r="L23635"/>
          <cell r="S23635">
            <v>-736.72</v>
          </cell>
          <cell r="X23635" t="str">
            <v>Commissions - share RI</v>
          </cell>
        </row>
        <row r="23636">
          <cell r="L23636"/>
          <cell r="S23636">
            <v>75.56</v>
          </cell>
          <cell r="X23636" t="str">
            <v>Commissions - share RI</v>
          </cell>
        </row>
        <row r="23637">
          <cell r="L23637"/>
          <cell r="S23637">
            <v>-118.49</v>
          </cell>
          <cell r="X23637" t="str">
            <v>Commissions - share RI</v>
          </cell>
        </row>
        <row r="23638">
          <cell r="L23638"/>
          <cell r="S23638">
            <v>107.96</v>
          </cell>
          <cell r="X23638" t="str">
            <v>Commissions - share RI</v>
          </cell>
        </row>
        <row r="23639">
          <cell r="L23639"/>
          <cell r="S23639">
            <v>41.49</v>
          </cell>
          <cell r="X23639" t="str">
            <v>Commissions - share RI</v>
          </cell>
        </row>
        <row r="23640">
          <cell r="L23640"/>
          <cell r="S23640">
            <v>-10.039999999999999</v>
          </cell>
          <cell r="X23640" t="str">
            <v>Commissions - share RI</v>
          </cell>
        </row>
        <row r="23641">
          <cell r="L23641"/>
          <cell r="S23641">
            <v>-0.24</v>
          </cell>
          <cell r="X23641" t="str">
            <v>Commissions - share RI</v>
          </cell>
        </row>
        <row r="23642">
          <cell r="L23642"/>
          <cell r="S23642">
            <v>-59.95</v>
          </cell>
          <cell r="X23642" t="str">
            <v>Commissions - share RI</v>
          </cell>
        </row>
        <row r="23643">
          <cell r="L23643"/>
          <cell r="S23643">
            <v>48.81</v>
          </cell>
          <cell r="X23643" t="str">
            <v>Commissions - share RI</v>
          </cell>
        </row>
        <row r="23644">
          <cell r="L23644"/>
          <cell r="S23644">
            <v>159</v>
          </cell>
          <cell r="X23644" t="str">
            <v>Commissions - share RI</v>
          </cell>
        </row>
        <row r="23645">
          <cell r="L23645"/>
          <cell r="S23645">
            <v>-5294.59</v>
          </cell>
          <cell r="X23645" t="str">
            <v>Commissions - share RI</v>
          </cell>
        </row>
        <row r="23646">
          <cell r="L23646"/>
          <cell r="S23646">
            <v>36.840000000000003</v>
          </cell>
          <cell r="X23646" t="str">
            <v>Commissions - share RI</v>
          </cell>
        </row>
        <row r="23647">
          <cell r="L23647"/>
          <cell r="S23647">
            <v>17.309999999999999</v>
          </cell>
          <cell r="X23647" t="str">
            <v>Commissions - share RI</v>
          </cell>
        </row>
        <row r="23648">
          <cell r="L23648"/>
          <cell r="S23648">
            <v>40.25</v>
          </cell>
          <cell r="X23648" t="str">
            <v>Commissions - share RI</v>
          </cell>
        </row>
        <row r="23649">
          <cell r="L23649"/>
          <cell r="S23649">
            <v>2738.64</v>
          </cell>
          <cell r="X23649" t="str">
            <v>Commissions - share RI</v>
          </cell>
        </row>
        <row r="23650">
          <cell r="L23650"/>
          <cell r="S23650">
            <v>-220.56</v>
          </cell>
          <cell r="X23650" t="str">
            <v>Commissions - share RI</v>
          </cell>
        </row>
        <row r="23651">
          <cell r="L23651"/>
          <cell r="S23651">
            <v>220.56</v>
          </cell>
          <cell r="X23651" t="str">
            <v>Commissions - share RI</v>
          </cell>
        </row>
        <row r="23652">
          <cell r="L23652"/>
          <cell r="S23652">
            <v>-38.32</v>
          </cell>
          <cell r="X23652" t="str">
            <v>Commissions - share RI</v>
          </cell>
        </row>
        <row r="23653">
          <cell r="L23653"/>
          <cell r="S23653">
            <v>-250.43</v>
          </cell>
          <cell r="X23653" t="str">
            <v>Commissions - share RI</v>
          </cell>
        </row>
        <row r="23654">
          <cell r="L23654"/>
          <cell r="S23654">
            <v>-3280</v>
          </cell>
          <cell r="X23654" t="str">
            <v>Commissions - share RI</v>
          </cell>
        </row>
        <row r="23655">
          <cell r="L23655"/>
          <cell r="S23655">
            <v>-11.2</v>
          </cell>
          <cell r="X23655" t="str">
            <v>Commissions - share RI</v>
          </cell>
        </row>
        <row r="23656">
          <cell r="L23656"/>
          <cell r="S23656">
            <v>-81.319999999999993</v>
          </cell>
          <cell r="X23656" t="str">
            <v>Commissions - share RI</v>
          </cell>
        </row>
        <row r="23657">
          <cell r="L23657"/>
          <cell r="S23657">
            <v>-3184.27</v>
          </cell>
          <cell r="X23657" t="str">
            <v>Commissions - share RI</v>
          </cell>
        </row>
        <row r="23658">
          <cell r="L23658"/>
          <cell r="S23658">
            <v>-38.6</v>
          </cell>
          <cell r="X23658" t="str">
            <v>Commissions - share RI</v>
          </cell>
        </row>
        <row r="23659">
          <cell r="L23659"/>
          <cell r="S23659">
            <v>-0.13</v>
          </cell>
          <cell r="X23659" t="str">
            <v>Commissions - share RI</v>
          </cell>
        </row>
        <row r="23660">
          <cell r="L23660"/>
          <cell r="S23660">
            <v>93.48</v>
          </cell>
          <cell r="X23660" t="str">
            <v>Commissions - share RI</v>
          </cell>
        </row>
        <row r="23661">
          <cell r="L23661"/>
          <cell r="S23661">
            <v>107.23</v>
          </cell>
          <cell r="X23661" t="str">
            <v>Commissions - share RI</v>
          </cell>
        </row>
        <row r="23662">
          <cell r="L23662"/>
          <cell r="S23662">
            <v>89426.42</v>
          </cell>
          <cell r="X23662" t="str">
            <v>Commissions - share RI</v>
          </cell>
        </row>
        <row r="23663">
          <cell r="L23663"/>
          <cell r="S23663">
            <v>-2205.58</v>
          </cell>
          <cell r="X23663" t="str">
            <v>Commissions - share RI</v>
          </cell>
        </row>
        <row r="23664">
          <cell r="L23664"/>
          <cell r="S23664">
            <v>-522.71</v>
          </cell>
          <cell r="X23664" t="str">
            <v>Commissions - share RI</v>
          </cell>
        </row>
        <row r="23665">
          <cell r="L23665"/>
          <cell r="S23665">
            <v>-589.32000000000005</v>
          </cell>
          <cell r="X23665" t="str">
            <v>Commissions - share RI</v>
          </cell>
        </row>
        <row r="23666">
          <cell r="L23666"/>
          <cell r="S23666">
            <v>-9.0399999999999991</v>
          </cell>
          <cell r="X23666" t="str">
            <v>Commissions - share RI</v>
          </cell>
        </row>
        <row r="23667">
          <cell r="L23667"/>
          <cell r="S23667">
            <v>13.53</v>
          </cell>
          <cell r="X23667" t="str">
            <v>Commissions - share RI</v>
          </cell>
        </row>
        <row r="23668">
          <cell r="L23668"/>
          <cell r="S23668">
            <v>43.04</v>
          </cell>
          <cell r="X23668" t="str">
            <v>Commissions - share RI</v>
          </cell>
        </row>
        <row r="23669">
          <cell r="L23669"/>
          <cell r="S23669">
            <v>-4511.3999999999996</v>
          </cell>
          <cell r="X23669" t="str">
            <v>Commissions - share RI</v>
          </cell>
        </row>
        <row r="23670">
          <cell r="L23670"/>
          <cell r="S23670">
            <v>18</v>
          </cell>
          <cell r="X23670" t="str">
            <v>Commissions - share RI</v>
          </cell>
        </row>
        <row r="23671">
          <cell r="L23671"/>
          <cell r="S23671">
            <v>32.51</v>
          </cell>
          <cell r="X23671" t="str">
            <v>Commissions - share RI</v>
          </cell>
        </row>
        <row r="23672">
          <cell r="L23672"/>
          <cell r="S23672">
            <v>105.6</v>
          </cell>
          <cell r="X23672" t="str">
            <v>Commissions - share RI</v>
          </cell>
        </row>
        <row r="23673">
          <cell r="L23673"/>
          <cell r="S23673">
            <v>75.41</v>
          </cell>
          <cell r="X23673" t="str">
            <v>Commissions - share RI</v>
          </cell>
        </row>
        <row r="23674">
          <cell r="L23674"/>
          <cell r="S23674">
            <v>87.92</v>
          </cell>
          <cell r="X23674" t="str">
            <v>Commissions - share RI</v>
          </cell>
        </row>
        <row r="23675">
          <cell r="L23675"/>
          <cell r="S23675">
            <v>16.61</v>
          </cell>
          <cell r="X23675" t="str">
            <v>Commissions - share RI</v>
          </cell>
        </row>
        <row r="23676">
          <cell r="L23676"/>
          <cell r="S23676">
            <v>-0.13</v>
          </cell>
          <cell r="X23676" t="str">
            <v>Commissions - share RI</v>
          </cell>
        </row>
        <row r="23677">
          <cell r="L23677"/>
          <cell r="S23677">
            <v>-60.08</v>
          </cell>
          <cell r="X23677" t="str">
            <v>Commissions - share RI</v>
          </cell>
        </row>
        <row r="23678">
          <cell r="L23678"/>
          <cell r="S23678">
            <v>93.96</v>
          </cell>
          <cell r="X23678" t="str">
            <v>Commissions - share RI</v>
          </cell>
        </row>
        <row r="23679">
          <cell r="L23679"/>
          <cell r="S23679">
            <v>-16.23</v>
          </cell>
          <cell r="X23679" t="str">
            <v>Commissions - share RI</v>
          </cell>
        </row>
        <row r="23680">
          <cell r="L23680"/>
          <cell r="S23680">
            <v>-934.8</v>
          </cell>
          <cell r="X23680" t="str">
            <v>Commissions - share RI</v>
          </cell>
        </row>
        <row r="23681">
          <cell r="L23681"/>
          <cell r="S23681">
            <v>13.49</v>
          </cell>
          <cell r="X23681" t="str">
            <v>Commissions - share RI</v>
          </cell>
        </row>
        <row r="23682">
          <cell r="L23682"/>
          <cell r="S23682">
            <v>20.36</v>
          </cell>
          <cell r="X23682" t="str">
            <v>Commissions - share RI</v>
          </cell>
        </row>
        <row r="23683">
          <cell r="L23683"/>
          <cell r="S23683">
            <v>-5151.8500000000004</v>
          </cell>
          <cell r="X23683" t="str">
            <v>Commissions - share RI</v>
          </cell>
        </row>
        <row r="23684">
          <cell r="L23684"/>
          <cell r="S23684">
            <v>132.91</v>
          </cell>
          <cell r="X23684" t="str">
            <v>Commissions - share RI</v>
          </cell>
        </row>
        <row r="23685">
          <cell r="L23685"/>
          <cell r="S23685">
            <v>-17.309999999999999</v>
          </cell>
          <cell r="X23685" t="str">
            <v>Commissions - share RI</v>
          </cell>
        </row>
        <row r="23686">
          <cell r="L23686"/>
          <cell r="S23686">
            <v>1055.96</v>
          </cell>
          <cell r="X23686" t="str">
            <v>Commissions - share RI</v>
          </cell>
        </row>
        <row r="23687">
          <cell r="L23687"/>
          <cell r="S23687">
            <v>61.07</v>
          </cell>
          <cell r="X23687" t="str">
            <v>Commissions - share RI</v>
          </cell>
        </row>
        <row r="23688">
          <cell r="L23688"/>
          <cell r="S23688">
            <v>-465.1</v>
          </cell>
          <cell r="X23688" t="str">
            <v>Commissions - share RI</v>
          </cell>
        </row>
        <row r="23689">
          <cell r="L23689"/>
          <cell r="S23689">
            <v>16.52</v>
          </cell>
          <cell r="X23689" t="str">
            <v>Commissions - share RI</v>
          </cell>
        </row>
        <row r="23690">
          <cell r="L23690"/>
          <cell r="S23690">
            <v>477.88</v>
          </cell>
          <cell r="X23690" t="str">
            <v>Commissions - share RI</v>
          </cell>
        </row>
        <row r="23691">
          <cell r="L23691"/>
          <cell r="S23691">
            <v>52.33</v>
          </cell>
          <cell r="X23691" t="str">
            <v>Commissions - share RI</v>
          </cell>
        </row>
        <row r="23692">
          <cell r="L23692"/>
          <cell r="S23692">
            <v>-119.6</v>
          </cell>
          <cell r="X23692" t="str">
            <v>Commissions - share RI</v>
          </cell>
        </row>
        <row r="23693">
          <cell r="L23693"/>
          <cell r="S23693">
            <v>-107.91</v>
          </cell>
          <cell r="X23693" t="str">
            <v>Commissions - share RI</v>
          </cell>
        </row>
        <row r="23694">
          <cell r="L23694"/>
          <cell r="S23694">
            <v>271.35000000000002</v>
          </cell>
          <cell r="X23694" t="str">
            <v>Commissions - share RI</v>
          </cell>
        </row>
        <row r="23695">
          <cell r="L23695"/>
          <cell r="S23695">
            <v>2205.58</v>
          </cell>
          <cell r="X23695" t="str">
            <v>Commissions - share RI</v>
          </cell>
        </row>
        <row r="23696">
          <cell r="L23696"/>
          <cell r="S23696">
            <v>8.11</v>
          </cell>
          <cell r="X23696" t="str">
            <v>Commissions - share RI</v>
          </cell>
        </row>
        <row r="23697">
          <cell r="L23697"/>
          <cell r="S23697">
            <v>13.17</v>
          </cell>
          <cell r="X23697" t="str">
            <v>Commissions - share RI</v>
          </cell>
        </row>
        <row r="23698">
          <cell r="L23698"/>
          <cell r="S23698">
            <v>-1072.25</v>
          </cell>
          <cell r="X23698" t="str">
            <v>Commissions - share RI</v>
          </cell>
        </row>
        <row r="23699">
          <cell r="L23699"/>
          <cell r="S23699">
            <v>-32.51</v>
          </cell>
          <cell r="X23699" t="str">
            <v>Commissions - share RI</v>
          </cell>
        </row>
        <row r="23700">
          <cell r="L23700"/>
          <cell r="S23700">
            <v>46.9</v>
          </cell>
          <cell r="X23700" t="str">
            <v>Commissions - share RI</v>
          </cell>
        </row>
        <row r="23701">
          <cell r="L23701"/>
          <cell r="S23701">
            <v>7.07</v>
          </cell>
          <cell r="X23701" t="str">
            <v>Commissions - share RI</v>
          </cell>
        </row>
        <row r="23702">
          <cell r="L23702"/>
          <cell r="S23702">
            <v>12.43</v>
          </cell>
          <cell r="X23702" t="str">
            <v>Commissions - share RI</v>
          </cell>
        </row>
        <row r="23703">
          <cell r="L23703"/>
          <cell r="S23703">
            <v>-0.37</v>
          </cell>
          <cell r="X23703" t="str">
            <v>Commissions - share RI</v>
          </cell>
        </row>
        <row r="23704">
          <cell r="L23704"/>
          <cell r="S23704">
            <v>18.25</v>
          </cell>
          <cell r="X23704" t="str">
            <v>Commissions - share RI</v>
          </cell>
        </row>
        <row r="23705">
          <cell r="L23705"/>
          <cell r="S23705">
            <v>57.51</v>
          </cell>
          <cell r="X23705" t="str">
            <v>Commissions - share RI</v>
          </cell>
        </row>
        <row r="23706">
          <cell r="L23706"/>
          <cell r="S23706">
            <v>61.51</v>
          </cell>
          <cell r="X23706" t="str">
            <v>Commissions - share RI</v>
          </cell>
        </row>
        <row r="23707">
          <cell r="L23707"/>
          <cell r="S23707">
            <v>10.039999999999999</v>
          </cell>
          <cell r="X23707" t="str">
            <v>Commissions - share RI</v>
          </cell>
        </row>
        <row r="23708">
          <cell r="L23708"/>
          <cell r="S23708">
            <v>-706.73</v>
          </cell>
          <cell r="X23708" t="str">
            <v>Commissions - share RI</v>
          </cell>
        </row>
        <row r="23709">
          <cell r="L23709"/>
          <cell r="S23709">
            <v>43.95</v>
          </cell>
          <cell r="X23709" t="str">
            <v>Commissions - share RI</v>
          </cell>
        </row>
        <row r="23710">
          <cell r="L23710"/>
          <cell r="S23710">
            <v>178.89</v>
          </cell>
          <cell r="X23710" t="str">
            <v>Commissions - share RI</v>
          </cell>
        </row>
        <row r="23711">
          <cell r="L23711"/>
          <cell r="S23711">
            <v>10.8</v>
          </cell>
          <cell r="X23711" t="str">
            <v>Commissions - share RI</v>
          </cell>
        </row>
        <row r="23712">
          <cell r="L23712"/>
          <cell r="S23712">
            <v>-52.27</v>
          </cell>
          <cell r="X23712" t="str">
            <v>Commissions - share RI</v>
          </cell>
        </row>
        <row r="23713">
          <cell r="L23713"/>
          <cell r="S23713">
            <v>-1393.61</v>
          </cell>
          <cell r="X23713" t="str">
            <v>Commissions - share RI</v>
          </cell>
        </row>
        <row r="23714">
          <cell r="L23714"/>
          <cell r="S23714">
            <v>51.48</v>
          </cell>
          <cell r="X23714" t="str">
            <v>Commissions - share RI</v>
          </cell>
        </row>
        <row r="23715">
          <cell r="L23715"/>
          <cell r="S23715">
            <v>-1402.02</v>
          </cell>
          <cell r="X23715" t="str">
            <v>Commissions - share RI</v>
          </cell>
        </row>
        <row r="23716">
          <cell r="L23716"/>
          <cell r="S23716">
            <v>-2713.53</v>
          </cell>
          <cell r="X23716" t="str">
            <v>Commissions - share RI</v>
          </cell>
        </row>
        <row r="23717">
          <cell r="L23717"/>
          <cell r="S23717">
            <v>-1679.25</v>
          </cell>
          <cell r="X23717" t="str">
            <v>Commissions - share RI</v>
          </cell>
        </row>
        <row r="23718">
          <cell r="L23718"/>
          <cell r="S23718">
            <v>-536.03</v>
          </cell>
          <cell r="X23718" t="str">
            <v>Commissions - share RI</v>
          </cell>
        </row>
        <row r="23719">
          <cell r="L23719"/>
          <cell r="S23719">
            <v>50.11</v>
          </cell>
          <cell r="X23719" t="str">
            <v>Commissions - share RI</v>
          </cell>
        </row>
        <row r="23720">
          <cell r="L23720"/>
          <cell r="S23720">
            <v>2392.0300000000002</v>
          </cell>
          <cell r="X23720" t="str">
            <v>Commissions - share RI</v>
          </cell>
        </row>
        <row r="23721">
          <cell r="L23721"/>
          <cell r="S23721">
            <v>81.319999999999993</v>
          </cell>
          <cell r="X23721" t="str">
            <v>Commissions - share RI</v>
          </cell>
        </row>
        <row r="23722">
          <cell r="L23722"/>
          <cell r="S23722">
            <v>-2588.3200000000002</v>
          </cell>
          <cell r="X23722" t="str">
            <v>Commissions - share RI</v>
          </cell>
        </row>
        <row r="23723">
          <cell r="L23723"/>
          <cell r="S23723">
            <v>139.36000000000001</v>
          </cell>
          <cell r="X23723" t="str">
            <v>Commissions - share RI</v>
          </cell>
        </row>
        <row r="23724">
          <cell r="L23724"/>
          <cell r="S23724">
            <v>16.48</v>
          </cell>
          <cell r="X23724" t="str">
            <v>Commissions - share RI</v>
          </cell>
        </row>
        <row r="23725">
          <cell r="L23725"/>
          <cell r="S23725">
            <v>-3361.3</v>
          </cell>
          <cell r="X23725" t="str">
            <v>Commissions - share RI</v>
          </cell>
        </row>
        <row r="23726">
          <cell r="L23726"/>
          <cell r="S23726">
            <v>-1666.93</v>
          </cell>
          <cell r="X23726" t="str">
            <v>Commissions - share RI</v>
          </cell>
        </row>
        <row r="23727">
          <cell r="L23727"/>
          <cell r="S23727">
            <v>-159</v>
          </cell>
          <cell r="X23727" t="str">
            <v>Commissions - share RI</v>
          </cell>
        </row>
        <row r="23728">
          <cell r="L23728"/>
          <cell r="S23728">
            <v>-615.08000000000004</v>
          </cell>
          <cell r="X23728" t="str">
            <v>Commissions - share RI</v>
          </cell>
        </row>
        <row r="23729">
          <cell r="L23729"/>
          <cell r="S23729">
            <v>155.05000000000001</v>
          </cell>
          <cell r="X23729" t="str">
            <v>Commissions - share RI</v>
          </cell>
        </row>
        <row r="23730">
          <cell r="L23730"/>
          <cell r="S23730">
            <v>-8.1300000000000008</v>
          </cell>
          <cell r="X23730" t="str">
            <v>Commissions - share RI</v>
          </cell>
        </row>
        <row r="23731">
          <cell r="L23731"/>
          <cell r="S23731">
            <v>-33.15</v>
          </cell>
          <cell r="X23731" t="str">
            <v>Commissions - share RI</v>
          </cell>
        </row>
        <row r="23732">
          <cell r="L23732"/>
          <cell r="S23732">
            <v>-1.18</v>
          </cell>
          <cell r="X23732" t="str">
            <v>Commissions - share RI</v>
          </cell>
        </row>
        <row r="23733">
          <cell r="L23733"/>
          <cell r="S23733">
            <v>-0.14000000000000001</v>
          </cell>
          <cell r="X23733" t="str">
            <v>Commissions - share RI</v>
          </cell>
        </row>
        <row r="23734">
          <cell r="L23734"/>
          <cell r="S23734">
            <v>-0.16</v>
          </cell>
          <cell r="X23734" t="str">
            <v>Commissions - share RI</v>
          </cell>
        </row>
        <row r="23735">
          <cell r="L23735"/>
          <cell r="S23735">
            <v>-2469.34</v>
          </cell>
          <cell r="X23735" t="str">
            <v>Commissions - share RI</v>
          </cell>
        </row>
        <row r="23736">
          <cell r="L23736"/>
          <cell r="S23736">
            <v>27.11</v>
          </cell>
          <cell r="X23736" t="str">
            <v>Commissions - share RI</v>
          </cell>
        </row>
        <row r="23737">
          <cell r="L23737"/>
          <cell r="S23737">
            <v>-487.02</v>
          </cell>
          <cell r="X23737" t="str">
            <v>Commissions - share RI</v>
          </cell>
        </row>
        <row r="23738">
          <cell r="L23738"/>
          <cell r="S23738">
            <v>-1.0900000000000001</v>
          </cell>
          <cell r="X23738" t="str">
            <v>Commissions - share RI</v>
          </cell>
        </row>
        <row r="23739">
          <cell r="L23739"/>
          <cell r="S23739">
            <v>-101.52</v>
          </cell>
          <cell r="X23739" t="str">
            <v>Commissions - share RI</v>
          </cell>
        </row>
        <row r="23740">
          <cell r="L23740"/>
          <cell r="S23740">
            <v>889.57</v>
          </cell>
          <cell r="X23740" t="str">
            <v>Commissions - share RI</v>
          </cell>
        </row>
        <row r="23741">
          <cell r="L23741"/>
          <cell r="S23741">
            <v>-0.66</v>
          </cell>
          <cell r="X23741" t="str">
            <v>Commissions - share RI</v>
          </cell>
        </row>
        <row r="23742">
          <cell r="L23742"/>
          <cell r="S23742">
            <v>-23.56</v>
          </cell>
          <cell r="X23742" t="str">
            <v>Commissions - share RI</v>
          </cell>
        </row>
        <row r="23743">
          <cell r="L23743"/>
          <cell r="S23743">
            <v>-24.01</v>
          </cell>
          <cell r="X23743" t="str">
            <v>Commissions - share RI</v>
          </cell>
        </row>
        <row r="23744">
          <cell r="L23744"/>
          <cell r="S23744">
            <v>2339.36</v>
          </cell>
          <cell r="X23744" t="str">
            <v>Commissions - share RI</v>
          </cell>
        </row>
        <row r="23745">
          <cell r="L23745"/>
          <cell r="S23745">
            <v>-0.3</v>
          </cell>
          <cell r="X23745" t="str">
            <v>Commissions - share RI</v>
          </cell>
        </row>
        <row r="23746">
          <cell r="L23746"/>
          <cell r="S23746">
            <v>-1.42</v>
          </cell>
          <cell r="X23746" t="str">
            <v>Commissions - share RI</v>
          </cell>
        </row>
        <row r="23747">
          <cell r="L23747"/>
          <cell r="S23747">
            <v>-1003.77</v>
          </cell>
          <cell r="X23747" t="str">
            <v>Commissions - share RI</v>
          </cell>
        </row>
        <row r="23748">
          <cell r="L23748"/>
          <cell r="S23748">
            <v>-879.48</v>
          </cell>
          <cell r="X23748" t="str">
            <v>Commissions - share RI</v>
          </cell>
        </row>
        <row r="23749">
          <cell r="L23749"/>
          <cell r="S23749">
            <v>23.75</v>
          </cell>
          <cell r="X23749" t="str">
            <v>Commissions - share RI</v>
          </cell>
        </row>
        <row r="23750">
          <cell r="L23750"/>
          <cell r="S23750">
            <v>6.64</v>
          </cell>
          <cell r="X23750" t="str">
            <v>Commissions - share RI</v>
          </cell>
        </row>
        <row r="23751">
          <cell r="L23751"/>
          <cell r="S23751">
            <v>-88.96</v>
          </cell>
          <cell r="X23751" t="str">
            <v>Commissions - share RI</v>
          </cell>
        </row>
        <row r="23752">
          <cell r="L23752"/>
          <cell r="S23752">
            <v>-14.81</v>
          </cell>
          <cell r="X23752" t="str">
            <v>Commissions - share RI</v>
          </cell>
        </row>
        <row r="23753">
          <cell r="L23753"/>
          <cell r="S23753">
            <v>-1.62</v>
          </cell>
          <cell r="X23753" t="str">
            <v>Commissions - share RI</v>
          </cell>
        </row>
        <row r="23754">
          <cell r="L23754"/>
          <cell r="S23754">
            <v>11.21</v>
          </cell>
          <cell r="X23754" t="str">
            <v>Commissions - share RI</v>
          </cell>
        </row>
        <row r="23755">
          <cell r="L23755"/>
          <cell r="S23755">
            <v>14.15</v>
          </cell>
          <cell r="X23755" t="str">
            <v>Commissions - share RI</v>
          </cell>
        </row>
        <row r="23756">
          <cell r="L23756"/>
          <cell r="S23756">
            <v>1.42</v>
          </cell>
          <cell r="X23756" t="str">
            <v>Commissions - share RI</v>
          </cell>
        </row>
        <row r="23757">
          <cell r="L23757"/>
          <cell r="S23757">
            <v>-2339.36</v>
          </cell>
          <cell r="X23757" t="str">
            <v>Commissions - share RI</v>
          </cell>
        </row>
        <row r="23758">
          <cell r="L23758"/>
          <cell r="S23758">
            <v>100.37</v>
          </cell>
          <cell r="X23758" t="str">
            <v>Commissions - share RI</v>
          </cell>
        </row>
        <row r="23759">
          <cell r="L23759"/>
          <cell r="S23759">
            <v>2.35</v>
          </cell>
          <cell r="X23759" t="str">
            <v>Commissions - share RI</v>
          </cell>
        </row>
        <row r="23760">
          <cell r="L23760"/>
          <cell r="S23760">
            <v>-233.95</v>
          </cell>
          <cell r="X23760" t="str">
            <v>Commissions - share RI</v>
          </cell>
        </row>
        <row r="23761">
          <cell r="L23761"/>
          <cell r="S23761">
            <v>204.48</v>
          </cell>
          <cell r="X23761" t="str">
            <v>Commissions - share RI</v>
          </cell>
        </row>
        <row r="23762">
          <cell r="L23762"/>
          <cell r="S23762">
            <v>-2.35</v>
          </cell>
          <cell r="X23762" t="str">
            <v>Commissions - share RI</v>
          </cell>
        </row>
        <row r="23763">
          <cell r="L23763"/>
          <cell r="S23763">
            <v>-44850.13</v>
          </cell>
          <cell r="X23763" t="str">
            <v>Commissions - share RI</v>
          </cell>
        </row>
        <row r="23764">
          <cell r="L23764"/>
          <cell r="S23764">
            <v>885.09</v>
          </cell>
          <cell r="X23764" t="str">
            <v>Commissions - share RI</v>
          </cell>
        </row>
        <row r="23765">
          <cell r="L23765"/>
          <cell r="S23765">
            <v>0.85</v>
          </cell>
          <cell r="X23765" t="str">
            <v>Commissions - share RI</v>
          </cell>
        </row>
        <row r="23766">
          <cell r="L23766"/>
          <cell r="S23766">
            <v>233.94</v>
          </cell>
          <cell r="X23766" t="str">
            <v>Commissions - share RI</v>
          </cell>
        </row>
        <row r="23767">
          <cell r="L23767"/>
          <cell r="S23767">
            <v>152.49</v>
          </cell>
          <cell r="X23767" t="str">
            <v>Commissions - share RI</v>
          </cell>
        </row>
        <row r="23768">
          <cell r="L23768"/>
          <cell r="S23768">
            <v>-875.07</v>
          </cell>
          <cell r="X23768" t="str">
            <v>Commissions - share RI</v>
          </cell>
        </row>
        <row r="23769">
          <cell r="L23769"/>
          <cell r="S23769">
            <v>137.93</v>
          </cell>
          <cell r="X23769" t="str">
            <v>Commissions - share RI</v>
          </cell>
        </row>
        <row r="23770">
          <cell r="L23770"/>
          <cell r="S23770">
            <v>-17.05</v>
          </cell>
          <cell r="X23770" t="str">
            <v>Commissions - share RI</v>
          </cell>
        </row>
        <row r="23771">
          <cell r="L23771"/>
          <cell r="S23771">
            <v>0.74</v>
          </cell>
          <cell r="X23771" t="str">
            <v>Commissions - share RI</v>
          </cell>
        </row>
        <row r="23772">
          <cell r="L23772"/>
          <cell r="S23772">
            <v>-75.239999999999995</v>
          </cell>
          <cell r="X23772" t="str">
            <v>Commissions - share RI</v>
          </cell>
        </row>
        <row r="23773">
          <cell r="L23773"/>
          <cell r="S23773">
            <v>1.18</v>
          </cell>
          <cell r="X23773" t="str">
            <v>Commissions - share RI</v>
          </cell>
        </row>
        <row r="23774">
          <cell r="L23774"/>
          <cell r="S23774">
            <v>-1120.68</v>
          </cell>
          <cell r="X23774" t="str">
            <v>Commissions - share RI</v>
          </cell>
        </row>
        <row r="23775">
          <cell r="L23775"/>
          <cell r="S23775">
            <v>-1524.92</v>
          </cell>
          <cell r="X23775" t="str">
            <v>Commissions - share RI</v>
          </cell>
        </row>
        <row r="23776">
          <cell r="L23776"/>
          <cell r="S23776">
            <v>21.25</v>
          </cell>
          <cell r="X23776" t="str">
            <v>Commissions - share RI</v>
          </cell>
        </row>
        <row r="23777">
          <cell r="L23777"/>
          <cell r="S23777">
            <v>23.56</v>
          </cell>
          <cell r="X23777" t="str">
            <v>Commissions - share RI</v>
          </cell>
        </row>
        <row r="23778">
          <cell r="L23778"/>
          <cell r="S23778">
            <v>78.72</v>
          </cell>
          <cell r="X23778" t="str">
            <v>Commissions - share RI</v>
          </cell>
        </row>
        <row r="23779">
          <cell r="L23779"/>
          <cell r="S23779">
            <v>23.63</v>
          </cell>
          <cell r="X23779" t="str">
            <v>Commissions - share RI</v>
          </cell>
        </row>
        <row r="23780">
          <cell r="L23780"/>
          <cell r="S23780">
            <v>112.65</v>
          </cell>
          <cell r="X23780" t="str">
            <v>Commissions - share RI</v>
          </cell>
        </row>
        <row r="23781">
          <cell r="L23781"/>
          <cell r="S23781">
            <v>4.84</v>
          </cell>
          <cell r="X23781" t="str">
            <v>Commissions - share RI</v>
          </cell>
        </row>
        <row r="23782">
          <cell r="L23782"/>
          <cell r="S23782">
            <v>-0.28999999999999998</v>
          </cell>
          <cell r="X23782" t="str">
            <v>Commissions - share RI</v>
          </cell>
        </row>
        <row r="23783">
          <cell r="L23783"/>
          <cell r="S23783">
            <v>-1126.56</v>
          </cell>
          <cell r="X23783" t="str">
            <v>Commissions - share RI</v>
          </cell>
        </row>
        <row r="23784">
          <cell r="L23784"/>
          <cell r="S23784">
            <v>0.71</v>
          </cell>
          <cell r="X23784" t="str">
            <v>Commissions - share RI</v>
          </cell>
        </row>
        <row r="23785">
          <cell r="L23785"/>
          <cell r="S23785">
            <v>-14.15</v>
          </cell>
          <cell r="X23785" t="str">
            <v>Commissions - share RI</v>
          </cell>
        </row>
        <row r="23786">
          <cell r="L23786"/>
          <cell r="S23786">
            <v>-0.74</v>
          </cell>
          <cell r="X23786" t="str">
            <v>Commissions - share RI</v>
          </cell>
        </row>
        <row r="23787">
          <cell r="L23787"/>
          <cell r="S23787">
            <v>-246.75</v>
          </cell>
          <cell r="X23787" t="str">
            <v>Commissions - share RI</v>
          </cell>
        </row>
        <row r="23788">
          <cell r="L23788"/>
          <cell r="S23788">
            <v>-3.24</v>
          </cell>
          <cell r="X23788" t="str">
            <v>Commissions - share RI</v>
          </cell>
        </row>
        <row r="23789">
          <cell r="L23789"/>
          <cell r="S23789">
            <v>-787.24</v>
          </cell>
          <cell r="X23789" t="str">
            <v>Commissions - share RI</v>
          </cell>
        </row>
        <row r="23790">
          <cell r="L23790"/>
          <cell r="S23790">
            <v>32.36</v>
          </cell>
          <cell r="X23790" t="str">
            <v>Commissions - share RI</v>
          </cell>
        </row>
        <row r="23791">
          <cell r="L23791"/>
          <cell r="S23791">
            <v>-0.24</v>
          </cell>
          <cell r="X23791" t="str">
            <v>Commissions - share RI</v>
          </cell>
        </row>
        <row r="23792">
          <cell r="L23792"/>
          <cell r="S23792">
            <v>1.7</v>
          </cell>
          <cell r="X23792" t="str">
            <v>Commissions - share RI</v>
          </cell>
        </row>
        <row r="23793">
          <cell r="L23793"/>
          <cell r="S23793">
            <v>-32.36</v>
          </cell>
          <cell r="X23793" t="str">
            <v>Commissions - share RI</v>
          </cell>
        </row>
        <row r="23794">
          <cell r="L23794"/>
          <cell r="S23794">
            <v>1524.92</v>
          </cell>
          <cell r="X23794" t="str">
            <v>Commissions - share RI</v>
          </cell>
        </row>
        <row r="23795">
          <cell r="L23795"/>
          <cell r="S23795">
            <v>-1.7</v>
          </cell>
          <cell r="X23795" t="str">
            <v>Commissions - share RI</v>
          </cell>
        </row>
        <row r="23796">
          <cell r="L23796"/>
          <cell r="S23796">
            <v>3.24</v>
          </cell>
          <cell r="X23796" t="str">
            <v>Commissions - share RI</v>
          </cell>
        </row>
        <row r="23797">
          <cell r="L23797"/>
          <cell r="S23797">
            <v>-1379.35</v>
          </cell>
          <cell r="X23797" t="str">
            <v>Commissions - share RI</v>
          </cell>
        </row>
        <row r="23798">
          <cell r="L23798"/>
          <cell r="S23798">
            <v>14.81</v>
          </cell>
          <cell r="X23798" t="str">
            <v>Commissions - share RI</v>
          </cell>
        </row>
        <row r="23799">
          <cell r="L23799"/>
          <cell r="S23799">
            <v>-1.62</v>
          </cell>
          <cell r="X23799" t="str">
            <v>Commissions - share RI</v>
          </cell>
        </row>
        <row r="23800">
          <cell r="L23800"/>
          <cell r="S23800">
            <v>11.27</v>
          </cell>
          <cell r="X23800" t="str">
            <v>Commissions - share RI</v>
          </cell>
        </row>
        <row r="23801">
          <cell r="L23801"/>
          <cell r="S23801">
            <v>-32.36</v>
          </cell>
          <cell r="X23801" t="str">
            <v>Commissions - share RI</v>
          </cell>
        </row>
        <row r="23802">
          <cell r="L23802"/>
          <cell r="S23802">
            <v>1.62</v>
          </cell>
          <cell r="X23802" t="str">
            <v>Commissions - share RI</v>
          </cell>
        </row>
        <row r="23803">
          <cell r="L23803"/>
          <cell r="S23803">
            <v>2.9</v>
          </cell>
          <cell r="X23803" t="str">
            <v>Commissions - share RI</v>
          </cell>
        </row>
        <row r="23804">
          <cell r="L23804"/>
          <cell r="S23804">
            <v>1.48</v>
          </cell>
          <cell r="X23804" t="str">
            <v>Commissions - share RI</v>
          </cell>
        </row>
        <row r="23805">
          <cell r="L23805"/>
          <cell r="S23805">
            <v>10.88</v>
          </cell>
          <cell r="X23805" t="str">
            <v>Commissions - share RI</v>
          </cell>
        </row>
        <row r="23806">
          <cell r="L23806"/>
          <cell r="S23806">
            <v>-1.48</v>
          </cell>
          <cell r="X23806" t="str">
            <v>Commissions - share RI</v>
          </cell>
        </row>
        <row r="23807">
          <cell r="L23807"/>
          <cell r="S23807">
            <v>-27.41</v>
          </cell>
          <cell r="X23807" t="str">
            <v>Commissions - share RI</v>
          </cell>
        </row>
        <row r="23808">
          <cell r="L23808"/>
          <cell r="S23808">
            <v>2044.07</v>
          </cell>
          <cell r="X23808" t="str">
            <v>Commissions - share RI</v>
          </cell>
        </row>
        <row r="23809">
          <cell r="L23809"/>
          <cell r="S23809">
            <v>3.24</v>
          </cell>
          <cell r="X23809" t="str">
            <v>Commissions - share RI</v>
          </cell>
        </row>
        <row r="23810">
          <cell r="L23810"/>
          <cell r="S23810">
            <v>-23.89</v>
          </cell>
          <cell r="X23810" t="str">
            <v>Commissions - share RI</v>
          </cell>
        </row>
        <row r="23811">
          <cell r="L23811"/>
          <cell r="S23811">
            <v>32.36</v>
          </cell>
          <cell r="X23811" t="str">
            <v>Commissions - share RI</v>
          </cell>
        </row>
        <row r="23812">
          <cell r="L23812"/>
          <cell r="S23812">
            <v>752.43</v>
          </cell>
          <cell r="X23812" t="str">
            <v>Commissions - share RI</v>
          </cell>
        </row>
        <row r="23813">
          <cell r="L23813"/>
          <cell r="S23813">
            <v>-2044.78</v>
          </cell>
          <cell r="X23813" t="str">
            <v>Commissions - share RI</v>
          </cell>
        </row>
        <row r="23814">
          <cell r="L23814"/>
          <cell r="S23814">
            <v>-0.71</v>
          </cell>
          <cell r="X23814" t="str">
            <v>Commissions - share RI</v>
          </cell>
        </row>
        <row r="23815">
          <cell r="L23815"/>
          <cell r="S23815">
            <v>13.8</v>
          </cell>
          <cell r="X23815" t="str">
            <v>Commissions - share RI</v>
          </cell>
        </row>
        <row r="23816">
          <cell r="L23816"/>
          <cell r="S23816">
            <v>87.95</v>
          </cell>
          <cell r="X23816" t="str">
            <v>Commissions - share RI</v>
          </cell>
        </row>
        <row r="23817">
          <cell r="L23817"/>
          <cell r="S23817">
            <v>-0.34</v>
          </cell>
          <cell r="X23817" t="str">
            <v>Commissions - share RI</v>
          </cell>
        </row>
        <row r="23818">
          <cell r="L23818"/>
          <cell r="S23818">
            <v>2467.54</v>
          </cell>
          <cell r="X23818" t="str">
            <v>Commissions - share RI</v>
          </cell>
        </row>
        <row r="23819">
          <cell r="L23819"/>
          <cell r="S23819">
            <v>1015.23</v>
          </cell>
          <cell r="X23819" t="str">
            <v>Commissions - share RI</v>
          </cell>
        </row>
        <row r="23820">
          <cell r="L23820"/>
          <cell r="S23820">
            <v>-3.24</v>
          </cell>
          <cell r="X23820" t="str">
            <v>Commissions - share RI</v>
          </cell>
        </row>
        <row r="23821">
          <cell r="L23821"/>
          <cell r="S23821">
            <v>-88.51</v>
          </cell>
          <cell r="X23821" t="str">
            <v>Commissions - share RI</v>
          </cell>
        </row>
        <row r="23822">
          <cell r="L23822"/>
          <cell r="S23822">
            <v>17.05</v>
          </cell>
          <cell r="X23822" t="str">
            <v>Commissions - share RI</v>
          </cell>
        </row>
        <row r="23823">
          <cell r="L23823"/>
          <cell r="S23823">
            <v>-20.32</v>
          </cell>
          <cell r="X23823" t="str">
            <v>Commissions - share RI</v>
          </cell>
        </row>
        <row r="23824">
          <cell r="L23824"/>
          <cell r="S23824">
            <v>-204.41</v>
          </cell>
          <cell r="X23824" t="str">
            <v>Commissions - share RI</v>
          </cell>
        </row>
        <row r="23825">
          <cell r="L23825"/>
          <cell r="S23825">
            <v>-152.49</v>
          </cell>
          <cell r="X23825" t="str">
            <v>Commissions - share RI</v>
          </cell>
        </row>
        <row r="23826">
          <cell r="L23826"/>
          <cell r="S23826">
            <v>112.07</v>
          </cell>
          <cell r="X23826" t="str">
            <v>Commissions - share RI</v>
          </cell>
        </row>
        <row r="23827">
          <cell r="L23827"/>
          <cell r="S23827">
            <v>1.62</v>
          </cell>
          <cell r="X23827" t="str">
            <v>Commissions - share RI</v>
          </cell>
        </row>
        <row r="23828">
          <cell r="L23828"/>
          <cell r="S23828">
            <v>-0.85</v>
          </cell>
          <cell r="X23828" t="str">
            <v>Commissions - share RI</v>
          </cell>
        </row>
        <row r="23829">
          <cell r="L23829"/>
          <cell r="S23829">
            <v>-0.48</v>
          </cell>
          <cell r="X23829" t="str">
            <v>Commissions - share RI</v>
          </cell>
        </row>
        <row r="23830">
          <cell r="L23830"/>
          <cell r="S23830">
            <v>246.93</v>
          </cell>
          <cell r="X23830" t="str">
            <v>Commissions - share RI</v>
          </cell>
        </row>
        <row r="23831">
          <cell r="L23831"/>
          <cell r="S23831">
            <v>87.51</v>
          </cell>
          <cell r="X23831" t="str">
            <v>Commissions - share RI</v>
          </cell>
        </row>
        <row r="23832">
          <cell r="L23832"/>
          <cell r="S23832">
            <v>3.04</v>
          </cell>
          <cell r="X23832" t="str">
            <v>Commissions - share RI</v>
          </cell>
        </row>
        <row r="23833">
          <cell r="L23833"/>
          <cell r="S23833">
            <v>44850.13</v>
          </cell>
          <cell r="X23833" t="str">
            <v>Commissions - share RI</v>
          </cell>
        </row>
        <row r="23834">
          <cell r="L23834"/>
          <cell r="S23834">
            <v>13.41</v>
          </cell>
          <cell r="X23834" t="str">
            <v>Commissions - share RI</v>
          </cell>
        </row>
        <row r="23835">
          <cell r="L23835"/>
          <cell r="S23835">
            <v>211.95</v>
          </cell>
          <cell r="X23835" t="str">
            <v>Commissions - share RI</v>
          </cell>
        </row>
        <row r="23836">
          <cell r="L23836"/>
          <cell r="S23836">
            <v>66722.63</v>
          </cell>
          <cell r="X23836" t="str">
            <v>Commissions - share RI</v>
          </cell>
        </row>
        <row r="23837">
          <cell r="L23837"/>
          <cell r="S23837">
            <v>-266.87</v>
          </cell>
          <cell r="X23837" t="str">
            <v>Commissions - share RI</v>
          </cell>
        </row>
        <row r="23838">
          <cell r="L23838"/>
          <cell r="S23838">
            <v>-49.53</v>
          </cell>
          <cell r="X23838" t="str">
            <v>Commissions - share RI</v>
          </cell>
        </row>
        <row r="23839">
          <cell r="L23839"/>
          <cell r="S23839">
            <v>-3.63</v>
          </cell>
          <cell r="X23839" t="str">
            <v>Commissions - share RI</v>
          </cell>
        </row>
        <row r="23840">
          <cell r="L23840"/>
          <cell r="S23840">
            <v>266.89</v>
          </cell>
          <cell r="X23840" t="str">
            <v>Commissions - share RI</v>
          </cell>
        </row>
        <row r="23841">
          <cell r="L23841"/>
          <cell r="S23841">
            <v>-19.97</v>
          </cell>
          <cell r="X23841" t="str">
            <v>Commissions - share RI</v>
          </cell>
        </row>
        <row r="23842">
          <cell r="L23842"/>
          <cell r="S23842">
            <v>7.97</v>
          </cell>
          <cell r="X23842" t="str">
            <v>Commissions - share RI</v>
          </cell>
        </row>
        <row r="23843">
          <cell r="L23843"/>
          <cell r="S23843">
            <v>-7.97</v>
          </cell>
          <cell r="X23843" t="str">
            <v>Commissions - share RI</v>
          </cell>
        </row>
        <row r="23844">
          <cell r="L23844"/>
          <cell r="S23844">
            <v>34.96</v>
          </cell>
          <cell r="X23844" t="str">
            <v>Commissions - share RI</v>
          </cell>
        </row>
        <row r="23845">
          <cell r="L23845"/>
          <cell r="S23845">
            <v>174.82</v>
          </cell>
          <cell r="X23845" t="str">
            <v>Commissions - share RI</v>
          </cell>
        </row>
        <row r="23846">
          <cell r="L23846"/>
          <cell r="S23846">
            <v>-43.44</v>
          </cell>
          <cell r="X23846" t="str">
            <v>Commissions - share RI</v>
          </cell>
        </row>
        <row r="23847">
          <cell r="L23847"/>
          <cell r="S23847">
            <v>79.73</v>
          </cell>
          <cell r="X23847" t="str">
            <v>Commissions - share RI</v>
          </cell>
        </row>
        <row r="23848">
          <cell r="L23848"/>
          <cell r="S23848">
            <v>17.41</v>
          </cell>
          <cell r="X23848" t="str">
            <v>Commissions - share RI</v>
          </cell>
        </row>
        <row r="23849">
          <cell r="L23849"/>
          <cell r="S23849">
            <v>-434.4</v>
          </cell>
          <cell r="X23849" t="str">
            <v>Commissions - share RI</v>
          </cell>
        </row>
        <row r="23850">
          <cell r="L23850"/>
          <cell r="S23850">
            <v>18.2</v>
          </cell>
          <cell r="X23850" t="str">
            <v>Commissions - share RI</v>
          </cell>
        </row>
        <row r="23851">
          <cell r="L23851"/>
          <cell r="S23851">
            <v>72.069999999999993</v>
          </cell>
          <cell r="X23851" t="str">
            <v>Commissions - share RI</v>
          </cell>
        </row>
        <row r="23852">
          <cell r="L23852"/>
          <cell r="S23852">
            <v>64.47</v>
          </cell>
          <cell r="X23852" t="str">
            <v>Commissions - share RI</v>
          </cell>
        </row>
        <row r="23853">
          <cell r="L23853"/>
          <cell r="S23853">
            <v>-139.85</v>
          </cell>
          <cell r="X23853" t="str">
            <v>Commissions - share RI</v>
          </cell>
        </row>
        <row r="23854">
          <cell r="L23854"/>
          <cell r="S23854">
            <v>2668.71</v>
          </cell>
          <cell r="X23854" t="str">
            <v>Commissions - share RI</v>
          </cell>
        </row>
        <row r="23855">
          <cell r="L23855"/>
          <cell r="S23855">
            <v>17025.169999999998</v>
          </cell>
          <cell r="X23855" t="str">
            <v>Commissions - share RI</v>
          </cell>
        </row>
        <row r="23856">
          <cell r="L23856"/>
          <cell r="S23856">
            <v>34.96</v>
          </cell>
          <cell r="X23856" t="str">
            <v>Commissions - share RI</v>
          </cell>
        </row>
        <row r="23857">
          <cell r="L23857"/>
          <cell r="S23857">
            <v>-104.89</v>
          </cell>
          <cell r="X23857" t="str">
            <v>Commissions - share RI</v>
          </cell>
        </row>
        <row r="23858">
          <cell r="L23858"/>
          <cell r="S23858">
            <v>128474.5</v>
          </cell>
          <cell r="X23858" t="str">
            <v>Commissions - share RI</v>
          </cell>
        </row>
        <row r="23859">
          <cell r="L23859"/>
          <cell r="S23859">
            <v>104.89</v>
          </cell>
          <cell r="X23859" t="str">
            <v>Commissions - share RI</v>
          </cell>
        </row>
        <row r="23860">
          <cell r="L23860"/>
          <cell r="S23860">
            <v>-233.19</v>
          </cell>
          <cell r="X23860" t="str">
            <v>Commissions - share RI</v>
          </cell>
        </row>
        <row r="23861">
          <cell r="L23861"/>
          <cell r="S23861">
            <v>-104.89</v>
          </cell>
          <cell r="X23861" t="str">
            <v>Commissions - share RI</v>
          </cell>
        </row>
        <row r="23862">
          <cell r="L23862"/>
          <cell r="S23862">
            <v>-139.85</v>
          </cell>
          <cell r="X23862" t="str">
            <v>Commissions - share RI</v>
          </cell>
        </row>
        <row r="23863">
          <cell r="L23863"/>
          <cell r="S23863">
            <v>1354.07</v>
          </cell>
          <cell r="X23863" t="str">
            <v>Commissions - share RI</v>
          </cell>
        </row>
        <row r="23864">
          <cell r="L23864"/>
          <cell r="S23864">
            <v>-11.73</v>
          </cell>
          <cell r="X23864" t="str">
            <v>Commissions - share RI</v>
          </cell>
        </row>
        <row r="23865">
          <cell r="L23865"/>
          <cell r="S23865">
            <v>139.85</v>
          </cell>
          <cell r="X23865" t="str">
            <v>Commissions - share RI</v>
          </cell>
        </row>
        <row r="23866">
          <cell r="L23866"/>
          <cell r="S23866">
            <v>-7879.95</v>
          </cell>
          <cell r="X23866" t="str">
            <v>Commissions - share RI</v>
          </cell>
        </row>
        <row r="23867">
          <cell r="L23867"/>
          <cell r="S23867">
            <v>7787.23</v>
          </cell>
          <cell r="X23867" t="str">
            <v>Commissions - share RI</v>
          </cell>
        </row>
        <row r="23868">
          <cell r="L23868"/>
          <cell r="S23868">
            <v>233.19</v>
          </cell>
          <cell r="X23868" t="str">
            <v>Commissions - share RI</v>
          </cell>
        </row>
        <row r="23869">
          <cell r="L23869"/>
          <cell r="S23869">
            <v>-21.2</v>
          </cell>
          <cell r="X23869" t="str">
            <v>Commissions - share RI</v>
          </cell>
        </row>
        <row r="23870">
          <cell r="L23870"/>
          <cell r="S23870">
            <v>11.73</v>
          </cell>
          <cell r="X23870" t="str">
            <v>Commissions - share RI</v>
          </cell>
        </row>
        <row r="23871">
          <cell r="L23871"/>
          <cell r="S23871">
            <v>-34.96</v>
          </cell>
          <cell r="X23871" t="str">
            <v>Commissions - share RI</v>
          </cell>
        </row>
        <row r="23872">
          <cell r="L23872"/>
          <cell r="S23872">
            <v>-31.69</v>
          </cell>
          <cell r="X23872" t="str">
            <v>Commissions - share RI</v>
          </cell>
        </row>
        <row r="23873">
          <cell r="L23873"/>
          <cell r="S23873">
            <v>19.97</v>
          </cell>
          <cell r="X23873" t="str">
            <v>Commissions - share RI</v>
          </cell>
        </row>
        <row r="23874">
          <cell r="L23874"/>
          <cell r="S23874">
            <v>-644.73</v>
          </cell>
          <cell r="X23874" t="str">
            <v>Commissions - share RI</v>
          </cell>
        </row>
        <row r="23875">
          <cell r="L23875"/>
          <cell r="S23875">
            <v>-0.3</v>
          </cell>
          <cell r="X23875" t="str">
            <v>Commissions - share RI</v>
          </cell>
        </row>
        <row r="23876">
          <cell r="L23876"/>
          <cell r="S23876">
            <v>31.69</v>
          </cell>
          <cell r="X23876" t="str">
            <v>Commissions - share RI</v>
          </cell>
        </row>
        <row r="23877">
          <cell r="L23877"/>
          <cell r="S23877">
            <v>15759.9</v>
          </cell>
          <cell r="X23877" t="str">
            <v>Commissions - share RI</v>
          </cell>
        </row>
        <row r="23878">
          <cell r="L23878"/>
          <cell r="S23878">
            <v>-128474.5</v>
          </cell>
          <cell r="X23878" t="str">
            <v>Commissions - share RI</v>
          </cell>
        </row>
        <row r="23879">
          <cell r="L23879"/>
          <cell r="S23879">
            <v>6672.27</v>
          </cell>
          <cell r="X23879" t="str">
            <v>Commissions - share RI</v>
          </cell>
        </row>
        <row r="23880">
          <cell r="L23880"/>
          <cell r="S23880">
            <v>-36.56</v>
          </cell>
          <cell r="X23880" t="str">
            <v>Commissions - share RI</v>
          </cell>
        </row>
        <row r="23881">
          <cell r="L23881"/>
          <cell r="S23881">
            <v>-104.89</v>
          </cell>
          <cell r="X23881" t="str">
            <v>Commissions - share RI</v>
          </cell>
        </row>
        <row r="23882">
          <cell r="L23882"/>
          <cell r="S23882">
            <v>674.03</v>
          </cell>
          <cell r="X23882" t="str">
            <v>Commissions - share RI</v>
          </cell>
        </row>
        <row r="23883">
          <cell r="L23883"/>
          <cell r="S23883">
            <v>104.89</v>
          </cell>
          <cell r="X23883" t="str">
            <v>Commissions - share RI</v>
          </cell>
        </row>
        <row r="23884">
          <cell r="L23884"/>
          <cell r="S23884">
            <v>-384.6</v>
          </cell>
          <cell r="X23884" t="str">
            <v>Commissions - share RI</v>
          </cell>
        </row>
        <row r="23885">
          <cell r="L23885"/>
          <cell r="S23885">
            <v>-495.33</v>
          </cell>
          <cell r="X23885" t="str">
            <v>Commissions - share RI</v>
          </cell>
        </row>
        <row r="23886">
          <cell r="L23886"/>
          <cell r="S23886">
            <v>-739.95</v>
          </cell>
          <cell r="X23886" t="str">
            <v>Commissions - share RI</v>
          </cell>
        </row>
        <row r="23887">
          <cell r="L23887"/>
          <cell r="S23887">
            <v>3334.63</v>
          </cell>
          <cell r="X23887" t="str">
            <v>Commissions - share RI</v>
          </cell>
        </row>
        <row r="23888">
          <cell r="L23888"/>
          <cell r="S23888">
            <v>739.95</v>
          </cell>
          <cell r="X23888" t="str">
            <v>Commissions - share RI</v>
          </cell>
        </row>
        <row r="23889">
          <cell r="L23889"/>
          <cell r="S23889">
            <v>-96.59</v>
          </cell>
          <cell r="X23889" t="str">
            <v>Commissions - share RI</v>
          </cell>
        </row>
        <row r="23890">
          <cell r="L23890"/>
          <cell r="S23890">
            <v>36.57</v>
          </cell>
          <cell r="X23890" t="str">
            <v>Commissions - share RI</v>
          </cell>
        </row>
        <row r="23891">
          <cell r="L23891"/>
          <cell r="S23891">
            <v>-174.82</v>
          </cell>
          <cell r="X23891" t="str">
            <v>Commissions - share RI</v>
          </cell>
        </row>
        <row r="23892">
          <cell r="L23892"/>
          <cell r="S23892">
            <v>-34.96</v>
          </cell>
          <cell r="X23892" t="str">
            <v>Commissions - share RI</v>
          </cell>
        </row>
        <row r="23893">
          <cell r="L23893"/>
          <cell r="S23893">
            <v>644.73</v>
          </cell>
          <cell r="X23893" t="str">
            <v>Commissions - share RI</v>
          </cell>
        </row>
        <row r="23894">
          <cell r="L23894"/>
          <cell r="S23894">
            <v>77.27</v>
          </cell>
          <cell r="X23894" t="str">
            <v>Commissions - share RI</v>
          </cell>
        </row>
        <row r="23895">
          <cell r="L23895"/>
          <cell r="S23895">
            <v>-109.23</v>
          </cell>
          <cell r="X23895" t="str">
            <v>Commissions - share RI</v>
          </cell>
        </row>
        <row r="23896">
          <cell r="L23896"/>
          <cell r="S23896">
            <v>-72.05</v>
          </cell>
          <cell r="X23896" t="str">
            <v>Commissions - share RI</v>
          </cell>
        </row>
        <row r="23897">
          <cell r="L23897"/>
          <cell r="S23897">
            <v>11328.89</v>
          </cell>
          <cell r="X23897" t="str">
            <v>Commissions - share RI</v>
          </cell>
        </row>
        <row r="23898">
          <cell r="L23898"/>
          <cell r="S23898">
            <v>-18.2</v>
          </cell>
          <cell r="X23898" t="str">
            <v>Commissions - share RI</v>
          </cell>
        </row>
        <row r="23899">
          <cell r="L23899"/>
          <cell r="S23899">
            <v>-34.96</v>
          </cell>
          <cell r="X23899" t="str">
            <v>Commissions - share RI</v>
          </cell>
        </row>
        <row r="23900">
          <cell r="L23900"/>
          <cell r="S23900">
            <v>-5.72</v>
          </cell>
          <cell r="X23900" t="str">
            <v>Commissions - share RI</v>
          </cell>
        </row>
        <row r="23901">
          <cell r="L23901"/>
          <cell r="S23901">
            <v>13.37</v>
          </cell>
          <cell r="X23901" t="str">
            <v>Commissions - share RI</v>
          </cell>
        </row>
        <row r="23902">
          <cell r="L23902"/>
          <cell r="S23902">
            <v>-134.11000000000001</v>
          </cell>
          <cell r="X23902" t="str">
            <v>Commissions - share RI</v>
          </cell>
        </row>
        <row r="23903">
          <cell r="L23903"/>
          <cell r="S23903">
            <v>34.96</v>
          </cell>
          <cell r="X23903" t="str">
            <v>Commissions - share RI</v>
          </cell>
        </row>
        <row r="23904">
          <cell r="L23904"/>
          <cell r="S23904">
            <v>74</v>
          </cell>
          <cell r="X23904" t="str">
            <v>Commissions - share RI</v>
          </cell>
        </row>
        <row r="23905">
          <cell r="L23905"/>
          <cell r="S23905">
            <v>-1801.51</v>
          </cell>
          <cell r="X23905" t="str">
            <v>Commissions - share RI</v>
          </cell>
        </row>
        <row r="23906">
          <cell r="L23906"/>
          <cell r="S23906">
            <v>-1.26</v>
          </cell>
          <cell r="X23906" t="str">
            <v>Commissions - share RI</v>
          </cell>
        </row>
        <row r="23907">
          <cell r="L23907"/>
          <cell r="S23907">
            <v>-1354.45</v>
          </cell>
          <cell r="X23907" t="str">
            <v>Commissions - share RI</v>
          </cell>
        </row>
        <row r="23908">
          <cell r="L23908"/>
          <cell r="S23908">
            <v>-6.66</v>
          </cell>
          <cell r="X23908" t="str">
            <v>Commissions - share RI</v>
          </cell>
        </row>
        <row r="23909">
          <cell r="L23909"/>
          <cell r="S23909">
            <v>174.82</v>
          </cell>
          <cell r="X23909" t="str">
            <v>Commissions - share RI</v>
          </cell>
        </row>
        <row r="23910">
          <cell r="L23910"/>
          <cell r="S23910">
            <v>104.89</v>
          </cell>
          <cell r="X23910" t="str">
            <v>Commissions - share RI</v>
          </cell>
        </row>
        <row r="23911">
          <cell r="L23911"/>
          <cell r="S23911">
            <v>-120.74</v>
          </cell>
          <cell r="X23911" t="str">
            <v>Commissions - share RI</v>
          </cell>
        </row>
        <row r="23912">
          <cell r="L23912"/>
          <cell r="S23912">
            <v>3.63</v>
          </cell>
          <cell r="X23912" t="str">
            <v>Commissions - share RI</v>
          </cell>
        </row>
        <row r="23913">
          <cell r="L23913"/>
          <cell r="S23913">
            <v>1801.51</v>
          </cell>
          <cell r="X23913" t="str">
            <v>Commissions - share RI</v>
          </cell>
        </row>
        <row r="23914">
          <cell r="L23914"/>
          <cell r="S23914">
            <v>-2668.91</v>
          </cell>
          <cell r="X23914" t="str">
            <v>Commissions - share RI</v>
          </cell>
        </row>
        <row r="23915">
          <cell r="L23915"/>
          <cell r="S23915">
            <v>-674.03</v>
          </cell>
          <cell r="X23915" t="str">
            <v>Commissions - share RI</v>
          </cell>
        </row>
        <row r="23916">
          <cell r="L23916"/>
          <cell r="S23916">
            <v>-135.4</v>
          </cell>
          <cell r="X23916" t="str">
            <v>Commissions - share RI</v>
          </cell>
        </row>
        <row r="23917">
          <cell r="L23917"/>
          <cell r="S23917">
            <v>43.44</v>
          </cell>
          <cell r="X23917" t="str">
            <v>Commissions - share RI</v>
          </cell>
        </row>
        <row r="23918">
          <cell r="L23918"/>
          <cell r="S23918">
            <v>-17.41</v>
          </cell>
          <cell r="X23918" t="str">
            <v>Commissions - share RI</v>
          </cell>
        </row>
        <row r="23919">
          <cell r="L23919"/>
          <cell r="S23919">
            <v>-78.48</v>
          </cell>
          <cell r="X23919" t="str">
            <v>Commissions - share RI</v>
          </cell>
        </row>
        <row r="23920">
          <cell r="L23920"/>
          <cell r="S23920">
            <v>64.66</v>
          </cell>
          <cell r="X23920" t="str">
            <v>Commissions - share RI</v>
          </cell>
        </row>
        <row r="23921">
          <cell r="L23921"/>
          <cell r="S23921">
            <v>-13.41</v>
          </cell>
          <cell r="X23921" t="str">
            <v>Commissions - share RI</v>
          </cell>
        </row>
        <row r="23922">
          <cell r="L23922"/>
          <cell r="S23922">
            <v>-8512.59</v>
          </cell>
          <cell r="X23922" t="str">
            <v>Commissions - share RI</v>
          </cell>
        </row>
        <row r="23923">
          <cell r="L23923"/>
          <cell r="S23923">
            <v>2.15</v>
          </cell>
          <cell r="X23923" t="str">
            <v>Commissions - share RI</v>
          </cell>
        </row>
        <row r="23924">
          <cell r="L23924"/>
          <cell r="S23924">
            <v>21.2</v>
          </cell>
          <cell r="X23924" t="str">
            <v>Commissions - share RI</v>
          </cell>
        </row>
        <row r="23925">
          <cell r="L23925"/>
          <cell r="S23925">
            <v>22657.79</v>
          </cell>
          <cell r="X23925" t="str">
            <v>Commissions - share RI</v>
          </cell>
        </row>
        <row r="23926">
          <cell r="L23926"/>
          <cell r="S23926">
            <v>2911.95</v>
          </cell>
          <cell r="X23926" t="str">
            <v>Commissions - share RI</v>
          </cell>
        </row>
        <row r="23927">
          <cell r="L23927"/>
          <cell r="S23927">
            <v>-64.47</v>
          </cell>
          <cell r="X23927" t="str">
            <v>Commissions - share RI</v>
          </cell>
        </row>
        <row r="23928">
          <cell r="L23928"/>
          <cell r="S23928">
            <v>135.44</v>
          </cell>
          <cell r="X23928" t="str">
            <v>Commissions - share RI</v>
          </cell>
        </row>
        <row r="23929">
          <cell r="L23929"/>
          <cell r="S23929">
            <v>-6672.27</v>
          </cell>
          <cell r="X23929" t="str">
            <v>Commissions - share RI</v>
          </cell>
        </row>
        <row r="23930">
          <cell r="L23930"/>
          <cell r="S23930">
            <v>-64.66</v>
          </cell>
          <cell r="X23930" t="str">
            <v>Commissions - share RI</v>
          </cell>
        </row>
        <row r="23931">
          <cell r="L23931"/>
          <cell r="S23931">
            <v>-2.15</v>
          </cell>
          <cell r="X23931" t="str">
            <v>Commissions - share RI</v>
          </cell>
        </row>
        <row r="23932">
          <cell r="L23932"/>
          <cell r="S23932">
            <v>134.11000000000001</v>
          </cell>
          <cell r="X23932" t="str">
            <v>Commissions - share RI</v>
          </cell>
        </row>
        <row r="23933">
          <cell r="L23933"/>
          <cell r="S23933">
            <v>-74</v>
          </cell>
          <cell r="X23933" t="str">
            <v>Commissions - share RI</v>
          </cell>
        </row>
        <row r="23934">
          <cell r="L23934"/>
          <cell r="S23934">
            <v>-34.96</v>
          </cell>
          <cell r="X23934" t="str">
            <v>Commissions - share RI</v>
          </cell>
        </row>
        <row r="23935">
          <cell r="L23935"/>
          <cell r="S23935">
            <v>-22657.79</v>
          </cell>
          <cell r="X23935" t="str">
            <v>Commissions - share RI</v>
          </cell>
        </row>
        <row r="23936">
          <cell r="L23936"/>
          <cell r="S23936">
            <v>495.33</v>
          </cell>
          <cell r="X23936" t="str">
            <v>Commissions - share RI</v>
          </cell>
        </row>
        <row r="23937">
          <cell r="L23937"/>
          <cell r="S23937">
            <v>384.6</v>
          </cell>
          <cell r="X23937" t="str">
            <v>Commissions - share RI</v>
          </cell>
        </row>
        <row r="23938">
          <cell r="L23938"/>
          <cell r="S23938">
            <v>434.4</v>
          </cell>
          <cell r="X23938" t="str">
            <v>Commissions - share RI</v>
          </cell>
        </row>
        <row r="23939">
          <cell r="L23939"/>
          <cell r="S23939">
            <v>-13.37</v>
          </cell>
          <cell r="X23939" t="str">
            <v>Commissions - share RI</v>
          </cell>
        </row>
        <row r="23940">
          <cell r="L23940"/>
          <cell r="S23940">
            <v>-79.73</v>
          </cell>
          <cell r="X23940" t="str">
            <v>Commissions - share RI</v>
          </cell>
        </row>
        <row r="23941">
          <cell r="L23941"/>
          <cell r="S23941">
            <v>34.96</v>
          </cell>
          <cell r="X23941" t="str">
            <v>Commissions - share RI</v>
          </cell>
        </row>
        <row r="23942">
          <cell r="L23942"/>
          <cell r="S23942">
            <v>66.680000000000007</v>
          </cell>
          <cell r="X23942" t="str">
            <v>Commissions - share RI</v>
          </cell>
        </row>
        <row r="23943">
          <cell r="L23943"/>
          <cell r="S23943">
            <v>-67.400000000000006</v>
          </cell>
          <cell r="X23943" t="str">
            <v>Commissions - share RI</v>
          </cell>
        </row>
        <row r="23944">
          <cell r="L23944"/>
          <cell r="S23944">
            <v>-87.38</v>
          </cell>
          <cell r="X23944" t="str">
            <v>Commissions - share RI</v>
          </cell>
        </row>
        <row r="23945">
          <cell r="L23945"/>
          <cell r="S23945">
            <v>-77.27</v>
          </cell>
          <cell r="X23945" t="str">
            <v>Commissions - share RI</v>
          </cell>
        </row>
        <row r="23946">
          <cell r="L23946"/>
          <cell r="S23946">
            <v>-3335.62</v>
          </cell>
          <cell r="X23946" t="str">
            <v>Commissions - share RI</v>
          </cell>
        </row>
        <row r="23947">
          <cell r="L23947"/>
          <cell r="S23947">
            <v>5302.77</v>
          </cell>
          <cell r="X23947" t="str">
            <v>Commissions - share RI</v>
          </cell>
        </row>
        <row r="23948">
          <cell r="L23948"/>
          <cell r="S23948">
            <v>-211.95</v>
          </cell>
          <cell r="X23948" t="str">
            <v>Commissions - share RI</v>
          </cell>
        </row>
        <row r="23949">
          <cell r="L23949"/>
          <cell r="S23949">
            <v>78.48</v>
          </cell>
          <cell r="X23949" t="str">
            <v>Commissions - share RI</v>
          </cell>
        </row>
        <row r="23950">
          <cell r="L23950"/>
          <cell r="S23950">
            <v>-174.82</v>
          </cell>
          <cell r="X23950" t="str">
            <v>Commissions - share RI</v>
          </cell>
        </row>
        <row r="23951">
          <cell r="L23951"/>
          <cell r="S23951">
            <v>139.85</v>
          </cell>
          <cell r="X23951" t="str">
            <v>Commissions - share RI</v>
          </cell>
        </row>
        <row r="23952">
          <cell r="L23952"/>
          <cell r="S23952">
            <v>5.72</v>
          </cell>
          <cell r="X23952" t="str">
            <v>Commissions - share RI</v>
          </cell>
        </row>
        <row r="23953">
          <cell r="L23953"/>
          <cell r="S23953">
            <v>34.96</v>
          </cell>
          <cell r="X23953" t="str">
            <v>Commissions - share RI</v>
          </cell>
        </row>
        <row r="23954">
          <cell r="L23954"/>
          <cell r="S23954">
            <v>3922.47</v>
          </cell>
          <cell r="X23954" t="str">
            <v>Commissions - share RI</v>
          </cell>
        </row>
        <row r="23955">
          <cell r="L23955"/>
          <cell r="S23955">
            <v>-66722.63</v>
          </cell>
          <cell r="X23955" t="str">
            <v>Commissions - share RI</v>
          </cell>
        </row>
        <row r="23956">
          <cell r="L23956"/>
          <cell r="S23956">
            <v>-34.96</v>
          </cell>
          <cell r="X23956" t="str">
            <v>Commissions - share RI</v>
          </cell>
        </row>
        <row r="23957">
          <cell r="L23957"/>
          <cell r="S23957">
            <v>109.23</v>
          </cell>
          <cell r="X23957" t="str">
            <v>Commissions - share RI</v>
          </cell>
        </row>
        <row r="23958">
          <cell r="L23958"/>
          <cell r="S23958">
            <v>67.400000000000006</v>
          </cell>
          <cell r="X23958" t="str">
            <v>Commissions - share RI</v>
          </cell>
        </row>
        <row r="23959">
          <cell r="L23959"/>
          <cell r="S23959">
            <v>49.53</v>
          </cell>
          <cell r="X23959" t="str">
            <v>Commissions - share RI</v>
          </cell>
        </row>
        <row r="23960">
          <cell r="L23960"/>
          <cell r="S23960">
            <v>120.74</v>
          </cell>
          <cell r="X23960" t="str">
            <v>Commissions - share RI</v>
          </cell>
        </row>
        <row r="23961">
          <cell r="L23961"/>
          <cell r="S23961">
            <v>0.69</v>
          </cell>
          <cell r="X23961" t="str">
            <v>Commissions - share RI</v>
          </cell>
        </row>
        <row r="23962">
          <cell r="L23962"/>
          <cell r="S23962">
            <v>1.89</v>
          </cell>
          <cell r="X23962" t="str">
            <v>Commissions - share RI</v>
          </cell>
        </row>
        <row r="23963">
          <cell r="L23963"/>
          <cell r="S23963">
            <v>-996.11</v>
          </cell>
          <cell r="X23963" t="str">
            <v>Commissions - share RI</v>
          </cell>
        </row>
        <row r="23964">
          <cell r="L23964"/>
          <cell r="S23964">
            <v>-1.66</v>
          </cell>
          <cell r="X23964" t="str">
            <v>Commissions - share RI</v>
          </cell>
        </row>
        <row r="23965">
          <cell r="L23965"/>
          <cell r="S23965">
            <v>-0.76</v>
          </cell>
          <cell r="X23965" t="str">
            <v>Commissions - share RI</v>
          </cell>
        </row>
        <row r="23966">
          <cell r="L23966"/>
          <cell r="S23966">
            <v>-0.17</v>
          </cell>
          <cell r="X23966" t="str">
            <v>Commissions - share RI</v>
          </cell>
        </row>
        <row r="23967">
          <cell r="L23967"/>
          <cell r="S23967">
            <v>-1.49</v>
          </cell>
          <cell r="X23967" t="str">
            <v>Commissions - share RI</v>
          </cell>
        </row>
        <row r="23968">
          <cell r="L23968"/>
          <cell r="S23968">
            <v>-14.15</v>
          </cell>
          <cell r="X23968" t="str">
            <v>Commissions - share RI</v>
          </cell>
        </row>
        <row r="23969">
          <cell r="L23969"/>
          <cell r="S23969">
            <v>1201.71</v>
          </cell>
          <cell r="X23969" t="str">
            <v>Commissions - share RI</v>
          </cell>
        </row>
        <row r="23970">
          <cell r="L23970"/>
          <cell r="S23970">
            <v>-21.11</v>
          </cell>
          <cell r="X23970" t="str">
            <v>Commissions - share RI</v>
          </cell>
        </row>
        <row r="23971">
          <cell r="L23971"/>
          <cell r="S23971">
            <v>61.1</v>
          </cell>
          <cell r="X23971" t="str">
            <v>Commissions - share RI</v>
          </cell>
        </row>
        <row r="23972">
          <cell r="L23972"/>
          <cell r="S23972">
            <v>1.72</v>
          </cell>
          <cell r="X23972" t="str">
            <v>Commissions - share RI</v>
          </cell>
        </row>
        <row r="23973">
          <cell r="L23973"/>
          <cell r="S23973">
            <v>-0.17</v>
          </cell>
          <cell r="X23973" t="str">
            <v>Commissions - share RI</v>
          </cell>
        </row>
        <row r="23974">
          <cell r="L23974"/>
          <cell r="S23974">
            <v>-19.39</v>
          </cell>
          <cell r="X23974" t="str">
            <v>Commissions - share RI</v>
          </cell>
        </row>
        <row r="23975">
          <cell r="L23975"/>
          <cell r="S23975">
            <v>-2474.9299999999998</v>
          </cell>
          <cell r="X23975" t="str">
            <v>Commissions - share RI</v>
          </cell>
        </row>
        <row r="23976">
          <cell r="L23976"/>
          <cell r="S23976">
            <v>608.30999999999995</v>
          </cell>
          <cell r="X23976" t="str">
            <v>Commissions - share RI</v>
          </cell>
        </row>
        <row r="23977">
          <cell r="L23977"/>
          <cell r="S23977">
            <v>-114.41</v>
          </cell>
          <cell r="X23977" t="str">
            <v>Commissions - share RI</v>
          </cell>
        </row>
        <row r="23978">
          <cell r="L23978"/>
          <cell r="S23978">
            <v>18.63</v>
          </cell>
          <cell r="X23978" t="str">
            <v>Commissions - share RI</v>
          </cell>
        </row>
        <row r="23979">
          <cell r="L23979"/>
          <cell r="S23979">
            <v>0.32</v>
          </cell>
          <cell r="X23979" t="str">
            <v>Commissions - share RI</v>
          </cell>
        </row>
        <row r="23980">
          <cell r="L23980"/>
          <cell r="S23980">
            <v>61.1</v>
          </cell>
          <cell r="X23980" t="str">
            <v>Commissions - share RI</v>
          </cell>
        </row>
        <row r="23981">
          <cell r="L23981"/>
          <cell r="S23981">
            <v>0.57999999999999996</v>
          </cell>
          <cell r="X23981" t="str">
            <v>Commissions - share RI</v>
          </cell>
        </row>
        <row r="23982">
          <cell r="L23982"/>
          <cell r="S23982">
            <v>-53.4</v>
          </cell>
          <cell r="X23982" t="str">
            <v>Commissions - share RI</v>
          </cell>
        </row>
        <row r="23983">
          <cell r="L23983"/>
          <cell r="S23983">
            <v>19.39</v>
          </cell>
          <cell r="X23983" t="str">
            <v>Commissions - share RI</v>
          </cell>
        </row>
        <row r="23984">
          <cell r="L23984"/>
          <cell r="S23984">
            <v>-4.76</v>
          </cell>
          <cell r="X23984" t="str">
            <v>Commissions - share RI</v>
          </cell>
        </row>
        <row r="23985">
          <cell r="L23985"/>
          <cell r="S23985">
            <v>-0.96</v>
          </cell>
          <cell r="X23985" t="str">
            <v>Commissions - share RI</v>
          </cell>
        </row>
        <row r="23986">
          <cell r="L23986"/>
          <cell r="S23986">
            <v>-1451.27</v>
          </cell>
          <cell r="X23986" t="str">
            <v>Commissions - share RI</v>
          </cell>
        </row>
        <row r="23987">
          <cell r="L23987"/>
          <cell r="S23987">
            <v>1.42</v>
          </cell>
          <cell r="X23987" t="str">
            <v>Commissions - share RI</v>
          </cell>
        </row>
        <row r="23988">
          <cell r="L23988"/>
          <cell r="S23988">
            <v>-261.16000000000003</v>
          </cell>
          <cell r="X23988" t="str">
            <v>Commissions - share RI</v>
          </cell>
        </row>
        <row r="23989">
          <cell r="L23989"/>
          <cell r="S23989">
            <v>0.16</v>
          </cell>
          <cell r="X23989" t="str">
            <v>Commissions - share RI</v>
          </cell>
        </row>
        <row r="23990">
          <cell r="L23990"/>
          <cell r="S23990">
            <v>-2.77</v>
          </cell>
          <cell r="X23990" t="str">
            <v>Commissions - share RI</v>
          </cell>
        </row>
        <row r="23991">
          <cell r="L23991"/>
          <cell r="S23991">
            <v>-1707.46</v>
          </cell>
          <cell r="X23991" t="str">
            <v>Commissions - share RI</v>
          </cell>
        </row>
        <row r="23992">
          <cell r="L23992"/>
          <cell r="S23992">
            <v>1.42</v>
          </cell>
          <cell r="X23992" t="str">
            <v>Commissions - share RI</v>
          </cell>
        </row>
        <row r="23993">
          <cell r="L23993"/>
          <cell r="S23993">
            <v>-896.92</v>
          </cell>
          <cell r="X23993" t="str">
            <v>Commissions - share RI</v>
          </cell>
        </row>
        <row r="23994">
          <cell r="L23994"/>
          <cell r="S23994">
            <v>89.69</v>
          </cell>
          <cell r="X23994" t="str">
            <v>Commissions - share RI</v>
          </cell>
        </row>
        <row r="23995">
          <cell r="L23995"/>
          <cell r="S23995">
            <v>-6.14</v>
          </cell>
          <cell r="X23995" t="str">
            <v>Commissions - share RI</v>
          </cell>
        </row>
        <row r="23996">
          <cell r="L23996"/>
          <cell r="S23996">
            <v>0.35</v>
          </cell>
          <cell r="X23996" t="str">
            <v>Commissions - share RI</v>
          </cell>
        </row>
        <row r="23997">
          <cell r="L23997"/>
          <cell r="S23997">
            <v>-0.24</v>
          </cell>
          <cell r="X23997" t="str">
            <v>Commissions - share RI</v>
          </cell>
        </row>
        <row r="23998">
          <cell r="L23998"/>
          <cell r="S23998">
            <v>41.47</v>
          </cell>
          <cell r="X23998" t="str">
            <v>Commissions - share RI</v>
          </cell>
        </row>
        <row r="23999">
          <cell r="L23999"/>
          <cell r="S23999">
            <v>-0.92</v>
          </cell>
          <cell r="X23999" t="str">
            <v>Commissions - share RI</v>
          </cell>
        </row>
        <row r="24000">
          <cell r="L24000"/>
          <cell r="S24000">
            <v>-41.47</v>
          </cell>
          <cell r="X24000" t="str">
            <v>Commissions - share RI</v>
          </cell>
        </row>
        <row r="24001">
          <cell r="L24001"/>
          <cell r="S24001">
            <v>0.62</v>
          </cell>
          <cell r="X24001" t="str">
            <v>Commissions - share RI</v>
          </cell>
        </row>
        <row r="24002">
          <cell r="L24002"/>
          <cell r="S24002">
            <v>107.67</v>
          </cell>
          <cell r="X24002" t="str">
            <v>Commissions - share RI</v>
          </cell>
        </row>
        <row r="24003">
          <cell r="L24003"/>
          <cell r="S24003">
            <v>60.6</v>
          </cell>
          <cell r="X24003" t="str">
            <v>Commissions - share RI</v>
          </cell>
        </row>
        <row r="24004">
          <cell r="L24004"/>
          <cell r="S24004">
            <v>-65.3</v>
          </cell>
          <cell r="X24004" t="str">
            <v>Commissions - share RI</v>
          </cell>
        </row>
        <row r="24005">
          <cell r="L24005"/>
          <cell r="S24005">
            <v>2103.64</v>
          </cell>
          <cell r="X24005" t="str">
            <v>Commissions - share RI</v>
          </cell>
        </row>
        <row r="24006">
          <cell r="L24006"/>
          <cell r="S24006">
            <v>0.54</v>
          </cell>
          <cell r="X24006" t="str">
            <v>Commissions - share RI</v>
          </cell>
        </row>
        <row r="24007">
          <cell r="L24007"/>
          <cell r="S24007">
            <v>-7.57</v>
          </cell>
          <cell r="X24007" t="str">
            <v>Commissions - share RI</v>
          </cell>
        </row>
        <row r="24008">
          <cell r="L24008"/>
          <cell r="S24008">
            <v>-15.19</v>
          </cell>
          <cell r="X24008" t="str">
            <v>Commissions - share RI</v>
          </cell>
        </row>
        <row r="24009">
          <cell r="L24009"/>
          <cell r="S24009">
            <v>915.36</v>
          </cell>
          <cell r="X24009" t="str">
            <v>Commissions - share RI</v>
          </cell>
        </row>
        <row r="24010">
          <cell r="L24010"/>
          <cell r="S24010">
            <v>-2193.91</v>
          </cell>
          <cell r="X24010" t="str">
            <v>Commissions - share RI</v>
          </cell>
        </row>
        <row r="24011">
          <cell r="L24011"/>
          <cell r="S24011">
            <v>70.930000000000007</v>
          </cell>
          <cell r="X24011" t="str">
            <v>Commissions - share RI</v>
          </cell>
        </row>
        <row r="24012">
          <cell r="L24012"/>
          <cell r="S24012">
            <v>0.02</v>
          </cell>
          <cell r="X24012" t="str">
            <v>Commissions - share RI</v>
          </cell>
        </row>
        <row r="24013">
          <cell r="L24013"/>
          <cell r="S24013">
            <v>-875.89</v>
          </cell>
          <cell r="X24013" t="str">
            <v>Commissions - share RI</v>
          </cell>
        </row>
        <row r="24014">
          <cell r="L24014"/>
          <cell r="S24014">
            <v>-6.82</v>
          </cell>
          <cell r="X24014" t="str">
            <v>Commissions - share RI</v>
          </cell>
        </row>
        <row r="24015">
          <cell r="L24015"/>
          <cell r="S24015">
            <v>6.19</v>
          </cell>
          <cell r="X24015" t="str">
            <v>Commissions - share RI</v>
          </cell>
        </row>
        <row r="24016">
          <cell r="L24016"/>
          <cell r="S24016">
            <v>-0.2</v>
          </cell>
          <cell r="X24016" t="str">
            <v>Commissions - share RI</v>
          </cell>
        </row>
        <row r="24017">
          <cell r="L24017"/>
          <cell r="S24017">
            <v>-3.41</v>
          </cell>
          <cell r="X24017" t="str">
            <v>Commissions - share RI</v>
          </cell>
        </row>
        <row r="24018">
          <cell r="L24018"/>
          <cell r="S24018">
            <v>219.39</v>
          </cell>
          <cell r="X24018" t="str">
            <v>Commissions - share RI</v>
          </cell>
        </row>
        <row r="24019">
          <cell r="L24019"/>
          <cell r="S24019">
            <v>-915.36</v>
          </cell>
          <cell r="X24019" t="str">
            <v>Commissions - share RI</v>
          </cell>
        </row>
        <row r="24020">
          <cell r="L24020"/>
          <cell r="S24020">
            <v>-24.21</v>
          </cell>
          <cell r="X24020" t="str">
            <v>Commissions - share RI</v>
          </cell>
        </row>
        <row r="24021">
          <cell r="L24021"/>
          <cell r="S24021">
            <v>-4.53</v>
          </cell>
          <cell r="X24021" t="str">
            <v>Commissions - share RI</v>
          </cell>
        </row>
        <row r="24022">
          <cell r="L24022"/>
          <cell r="S24022">
            <v>-99.61</v>
          </cell>
          <cell r="X24022" t="str">
            <v>Commissions - share RI</v>
          </cell>
        </row>
        <row r="24023">
          <cell r="L24023"/>
          <cell r="S24023">
            <v>-78.2</v>
          </cell>
          <cell r="X24023" t="str">
            <v>Commissions - share RI</v>
          </cell>
        </row>
        <row r="24024">
          <cell r="L24024"/>
          <cell r="S24024">
            <v>-0.69</v>
          </cell>
          <cell r="X24024" t="str">
            <v>Commissions - share RI</v>
          </cell>
        </row>
        <row r="24025">
          <cell r="L24025"/>
          <cell r="S24025">
            <v>-116.74</v>
          </cell>
          <cell r="X24025" t="str">
            <v>Commissions - share RI</v>
          </cell>
        </row>
        <row r="24026">
          <cell r="L24026"/>
          <cell r="S24026">
            <v>-0.68</v>
          </cell>
          <cell r="X24026" t="str">
            <v>Commissions - share RI</v>
          </cell>
        </row>
        <row r="24027">
          <cell r="L24027"/>
          <cell r="S24027">
            <v>1.66</v>
          </cell>
          <cell r="X24027" t="str">
            <v>Commissions - share RI</v>
          </cell>
        </row>
        <row r="24028">
          <cell r="L24028"/>
          <cell r="S24028">
            <v>0.77</v>
          </cell>
          <cell r="X24028" t="str">
            <v>Commissions - share RI</v>
          </cell>
        </row>
        <row r="24029">
          <cell r="L24029"/>
          <cell r="S24029">
            <v>16.989999999999998</v>
          </cell>
          <cell r="X24029" t="str">
            <v>Commissions - share RI</v>
          </cell>
        </row>
        <row r="24030">
          <cell r="L24030"/>
          <cell r="S24030">
            <v>2402.9</v>
          </cell>
          <cell r="X24030" t="str">
            <v>Commissions - share RI</v>
          </cell>
        </row>
        <row r="24031">
          <cell r="L24031"/>
          <cell r="S24031">
            <v>91.53</v>
          </cell>
          <cell r="X24031" t="str">
            <v>Commissions - share RI</v>
          </cell>
        </row>
        <row r="24032">
          <cell r="L24032"/>
          <cell r="S24032">
            <v>236.79</v>
          </cell>
          <cell r="X24032" t="str">
            <v>Commissions - share RI</v>
          </cell>
        </row>
        <row r="24033">
          <cell r="L24033"/>
          <cell r="S24033">
            <v>-0.87</v>
          </cell>
          <cell r="X24033" t="str">
            <v>Commissions - share RI</v>
          </cell>
        </row>
        <row r="24034">
          <cell r="L24034"/>
          <cell r="S24034">
            <v>5.24</v>
          </cell>
          <cell r="X24034" t="str">
            <v>Commissions - share RI</v>
          </cell>
        </row>
        <row r="24035">
          <cell r="L24035"/>
          <cell r="S24035">
            <v>247.49</v>
          </cell>
          <cell r="X24035" t="str">
            <v>Commissions - share RI</v>
          </cell>
        </row>
        <row r="24036">
          <cell r="L24036"/>
          <cell r="S24036">
            <v>71.59</v>
          </cell>
          <cell r="X24036" t="str">
            <v>Commissions - share RI</v>
          </cell>
        </row>
        <row r="24037">
          <cell r="L24037"/>
          <cell r="S24037">
            <v>-3.63</v>
          </cell>
          <cell r="X24037" t="str">
            <v>Commissions - share RI</v>
          </cell>
        </row>
        <row r="24038">
          <cell r="L24038"/>
          <cell r="S24038">
            <v>-2103.64</v>
          </cell>
          <cell r="X24038" t="str">
            <v>Commissions - share RI</v>
          </cell>
        </row>
        <row r="24039">
          <cell r="L24039"/>
          <cell r="S24039">
            <v>-210.36</v>
          </cell>
          <cell r="X24039" t="str">
            <v>Commissions - share RI</v>
          </cell>
        </row>
        <row r="24040">
          <cell r="L24040"/>
          <cell r="S24040">
            <v>-1.28</v>
          </cell>
          <cell r="X24040" t="str">
            <v>Commissions - share RI</v>
          </cell>
        </row>
        <row r="24041">
          <cell r="L24041"/>
          <cell r="S24041">
            <v>41.19</v>
          </cell>
          <cell r="X24041" t="str">
            <v>Commissions - share RI</v>
          </cell>
        </row>
        <row r="24042">
          <cell r="L24042"/>
          <cell r="S24042">
            <v>1.2</v>
          </cell>
          <cell r="X24042" t="str">
            <v>Commissions - share RI</v>
          </cell>
        </row>
        <row r="24043">
          <cell r="L24043"/>
          <cell r="S24043">
            <v>-1.2</v>
          </cell>
          <cell r="X24043" t="str">
            <v>Commissions - share RI</v>
          </cell>
        </row>
        <row r="24044">
          <cell r="L24044"/>
          <cell r="S24044">
            <v>-120.17</v>
          </cell>
          <cell r="X24044" t="str">
            <v>Commissions - share RI</v>
          </cell>
        </row>
        <row r="24045">
          <cell r="L24045"/>
          <cell r="S24045">
            <v>10.01</v>
          </cell>
          <cell r="X24045" t="str">
            <v>Commissions - share RI</v>
          </cell>
        </row>
        <row r="24046">
          <cell r="L24046"/>
          <cell r="S24046">
            <v>12.25</v>
          </cell>
          <cell r="X24046" t="str">
            <v>Commissions - share RI</v>
          </cell>
        </row>
        <row r="24047">
          <cell r="L24047"/>
          <cell r="S24047">
            <v>114.41</v>
          </cell>
          <cell r="X24047" t="str">
            <v>Commissions - share RI</v>
          </cell>
        </row>
        <row r="24048">
          <cell r="L24048"/>
          <cell r="S24048">
            <v>-8.2799999999999994</v>
          </cell>
          <cell r="X24048" t="str">
            <v>Commissions - share RI</v>
          </cell>
        </row>
        <row r="24049">
          <cell r="L24049"/>
          <cell r="S24049">
            <v>1.01</v>
          </cell>
          <cell r="X24049" t="str">
            <v>Commissions - share RI</v>
          </cell>
        </row>
        <row r="24050">
          <cell r="L24050"/>
          <cell r="S24050">
            <v>-52.44</v>
          </cell>
          <cell r="X24050" t="str">
            <v>Commissions - share RI</v>
          </cell>
        </row>
        <row r="24051">
          <cell r="L24051"/>
          <cell r="S24051">
            <v>134.65</v>
          </cell>
          <cell r="X24051" t="str">
            <v>Commissions - share RI</v>
          </cell>
        </row>
        <row r="24052">
          <cell r="L24052"/>
          <cell r="S24052">
            <v>-32.44</v>
          </cell>
          <cell r="X24052" t="str">
            <v>Commissions - share RI</v>
          </cell>
        </row>
        <row r="24053">
          <cell r="L24053"/>
          <cell r="S24053">
            <v>11.68</v>
          </cell>
          <cell r="X24053" t="str">
            <v>Commissions - share RI</v>
          </cell>
        </row>
        <row r="24054">
          <cell r="L24054"/>
          <cell r="S24054">
            <v>-41.47</v>
          </cell>
          <cell r="X24054" t="str">
            <v>Commissions - share RI</v>
          </cell>
        </row>
        <row r="24055">
          <cell r="L24055"/>
          <cell r="S24055">
            <v>7.44</v>
          </cell>
          <cell r="X24055" t="str">
            <v>Commissions - share RI</v>
          </cell>
        </row>
        <row r="24056">
          <cell r="L24056"/>
          <cell r="S24056">
            <v>10.86</v>
          </cell>
          <cell r="X24056" t="str">
            <v>Commissions - share RI</v>
          </cell>
        </row>
        <row r="24057">
          <cell r="L24057"/>
          <cell r="S24057">
            <v>-1001.21</v>
          </cell>
          <cell r="X24057" t="str">
            <v>Commissions - share RI</v>
          </cell>
        </row>
        <row r="24058">
          <cell r="L24058"/>
          <cell r="S24058">
            <v>261.16000000000003</v>
          </cell>
          <cell r="X24058" t="str">
            <v>Commissions - share RI</v>
          </cell>
        </row>
        <row r="24059">
          <cell r="L24059"/>
          <cell r="S24059">
            <v>19.25</v>
          </cell>
          <cell r="X24059" t="str">
            <v>Commissions - share RI</v>
          </cell>
        </row>
        <row r="24060">
          <cell r="L24060"/>
          <cell r="S24060">
            <v>-6.19</v>
          </cell>
          <cell r="X24060" t="str">
            <v>Commissions - share RI</v>
          </cell>
        </row>
        <row r="24061">
          <cell r="L24061"/>
          <cell r="S24061">
            <v>0.68</v>
          </cell>
          <cell r="X24061" t="str">
            <v>Commissions - share RI</v>
          </cell>
        </row>
        <row r="24062">
          <cell r="L24062"/>
          <cell r="S24062">
            <v>45.42</v>
          </cell>
          <cell r="X24062" t="str">
            <v>Commissions - share RI</v>
          </cell>
        </row>
        <row r="24063">
          <cell r="L24063"/>
          <cell r="S24063">
            <v>36.42</v>
          </cell>
          <cell r="X24063" t="str">
            <v>Commissions - share RI</v>
          </cell>
        </row>
        <row r="24064">
          <cell r="L24064"/>
          <cell r="S24064">
            <v>-0.54</v>
          </cell>
          <cell r="X24064" t="str">
            <v>Commissions - share RI</v>
          </cell>
        </row>
        <row r="24065">
          <cell r="L24065"/>
          <cell r="S24065">
            <v>-0.02</v>
          </cell>
          <cell r="X24065" t="str">
            <v>Commissions - share RI</v>
          </cell>
        </row>
        <row r="24066">
          <cell r="L24066"/>
          <cell r="S24066">
            <v>0.64</v>
          </cell>
          <cell r="X24066" t="str">
            <v>Commissions - share RI</v>
          </cell>
        </row>
        <row r="24067">
          <cell r="L24067"/>
          <cell r="S24067">
            <v>-60.83</v>
          </cell>
          <cell r="X24067" t="str">
            <v>Commissions - share RI</v>
          </cell>
        </row>
        <row r="24068">
          <cell r="L24068"/>
          <cell r="S24068">
            <v>-1.55</v>
          </cell>
          <cell r="X24068" t="str">
            <v>Commissions - share RI</v>
          </cell>
        </row>
        <row r="24069">
          <cell r="L24069"/>
          <cell r="S24069">
            <v>-785.91</v>
          </cell>
          <cell r="X24069" t="str">
            <v>Commissions - share RI</v>
          </cell>
        </row>
        <row r="24070">
          <cell r="L24070"/>
          <cell r="S24070">
            <v>402.31</v>
          </cell>
          <cell r="X24070" t="str">
            <v>Commissions - share RI</v>
          </cell>
        </row>
        <row r="24071">
          <cell r="L24071"/>
          <cell r="S24071">
            <v>16.989999999999998</v>
          </cell>
          <cell r="X24071" t="str">
            <v>Commissions - share RI</v>
          </cell>
        </row>
        <row r="24072">
          <cell r="L24072"/>
          <cell r="S24072">
            <v>6.82</v>
          </cell>
          <cell r="X24072" t="str">
            <v>Commissions - share RI</v>
          </cell>
        </row>
        <row r="24073">
          <cell r="L24073"/>
          <cell r="S24073">
            <v>27.73</v>
          </cell>
          <cell r="X24073" t="str">
            <v>Commissions - share RI</v>
          </cell>
        </row>
        <row r="24074">
          <cell r="L24074"/>
          <cell r="S24074">
            <v>111.37</v>
          </cell>
          <cell r="X24074" t="str">
            <v>Commissions - share RI</v>
          </cell>
        </row>
        <row r="24075">
          <cell r="L24075"/>
          <cell r="S24075">
            <v>-7.69</v>
          </cell>
          <cell r="X24075" t="str">
            <v>Commissions - share RI</v>
          </cell>
        </row>
        <row r="24076">
          <cell r="L24076"/>
          <cell r="S24076">
            <v>120.17</v>
          </cell>
          <cell r="X24076" t="str">
            <v>Commissions - share RI</v>
          </cell>
        </row>
        <row r="24077">
          <cell r="L24077"/>
          <cell r="S24077">
            <v>1451.27</v>
          </cell>
          <cell r="X24077" t="str">
            <v>Commissions - share RI</v>
          </cell>
        </row>
        <row r="24078">
          <cell r="L24078"/>
          <cell r="S24078">
            <v>27.38</v>
          </cell>
          <cell r="X24078" t="str">
            <v>Commissions - share RI</v>
          </cell>
        </row>
        <row r="24079">
          <cell r="L24079"/>
          <cell r="S24079">
            <v>219.39</v>
          </cell>
          <cell r="X24079" t="str">
            <v>Commissions - share RI</v>
          </cell>
        </row>
        <row r="24080">
          <cell r="L24080"/>
          <cell r="S24080">
            <v>-27.38</v>
          </cell>
          <cell r="X24080" t="str">
            <v>Commissions - share RI</v>
          </cell>
        </row>
        <row r="24081">
          <cell r="L24081"/>
          <cell r="S24081">
            <v>372.43</v>
          </cell>
          <cell r="X24081" t="str">
            <v>Commissions - share RI</v>
          </cell>
        </row>
        <row r="24082">
          <cell r="L24082"/>
          <cell r="S24082">
            <v>-1.1499999999999999</v>
          </cell>
          <cell r="X24082" t="str">
            <v>Commissions - share RI</v>
          </cell>
        </row>
        <row r="24083">
          <cell r="L24083"/>
          <cell r="S24083">
            <v>-0.17</v>
          </cell>
          <cell r="X24083" t="str">
            <v>Commissions - share RI</v>
          </cell>
        </row>
        <row r="24084">
          <cell r="L24084"/>
          <cell r="S24084">
            <v>-36.42</v>
          </cell>
          <cell r="X24084" t="str">
            <v>Commissions - share RI</v>
          </cell>
        </row>
        <row r="24085">
          <cell r="L24085"/>
          <cell r="S24085">
            <v>130.58000000000001</v>
          </cell>
          <cell r="X24085" t="str">
            <v>Commissions - share RI</v>
          </cell>
        </row>
        <row r="24086">
          <cell r="L24086"/>
          <cell r="S24086">
            <v>94.66</v>
          </cell>
          <cell r="X24086" t="str">
            <v>Commissions - share RI</v>
          </cell>
        </row>
        <row r="24087">
          <cell r="L24087"/>
          <cell r="S24087">
            <v>-16.989999999999998</v>
          </cell>
          <cell r="X24087" t="str">
            <v>Commissions - share RI</v>
          </cell>
        </row>
        <row r="24088">
          <cell r="L24088"/>
          <cell r="S24088">
            <v>-174.79</v>
          </cell>
          <cell r="X24088" t="str">
            <v>Commissions - share RI</v>
          </cell>
        </row>
        <row r="24089">
          <cell r="L24089"/>
          <cell r="S24089">
            <v>-3.41</v>
          </cell>
          <cell r="X24089" t="str">
            <v>Commissions - share RI</v>
          </cell>
        </row>
        <row r="24090">
          <cell r="L24090"/>
          <cell r="S24090">
            <v>-0.76</v>
          </cell>
          <cell r="X24090" t="str">
            <v>Commissions - share RI</v>
          </cell>
        </row>
        <row r="24091">
          <cell r="L24091"/>
          <cell r="S24091">
            <v>-0.18</v>
          </cell>
          <cell r="X24091" t="str">
            <v>Commissions - share RI</v>
          </cell>
        </row>
        <row r="24092">
          <cell r="L24092"/>
          <cell r="S24092">
            <v>2193.91</v>
          </cell>
          <cell r="X24092" t="str">
            <v>Commissions - share RI</v>
          </cell>
        </row>
        <row r="24093">
          <cell r="L24093"/>
          <cell r="S24093">
            <v>-2367.92</v>
          </cell>
          <cell r="X24093" t="str">
            <v>Commissions - share RI</v>
          </cell>
        </row>
        <row r="24094">
          <cell r="L24094"/>
          <cell r="S24094">
            <v>11.9</v>
          </cell>
          <cell r="X24094" t="str">
            <v>Commissions - share RI</v>
          </cell>
        </row>
        <row r="24095">
          <cell r="L24095"/>
          <cell r="S24095">
            <v>-13.53</v>
          </cell>
          <cell r="X24095" t="str">
            <v>Commissions - share RI</v>
          </cell>
        </row>
        <row r="24096">
          <cell r="L24096"/>
          <cell r="S24096">
            <v>33.17</v>
          </cell>
          <cell r="X24096" t="str">
            <v>Commissions - share RI</v>
          </cell>
        </row>
        <row r="24097">
          <cell r="L24097"/>
          <cell r="S24097">
            <v>0.17</v>
          </cell>
          <cell r="X24097" t="str">
            <v>Commissions - share RI</v>
          </cell>
        </row>
        <row r="24098">
          <cell r="L24098"/>
          <cell r="S24098">
            <v>-1144.21</v>
          </cell>
          <cell r="X24098" t="str">
            <v>Commissions - share RI</v>
          </cell>
        </row>
        <row r="24099">
          <cell r="L24099"/>
          <cell r="S24099">
            <v>-7.1</v>
          </cell>
          <cell r="X24099" t="str">
            <v>Commissions - share RI</v>
          </cell>
        </row>
        <row r="24100">
          <cell r="L24100"/>
          <cell r="S24100">
            <v>-18.899999999999999</v>
          </cell>
          <cell r="X24100" t="str">
            <v>Commissions - share RI</v>
          </cell>
        </row>
        <row r="24101">
          <cell r="L24101"/>
          <cell r="S24101">
            <v>32.44</v>
          </cell>
          <cell r="X24101" t="str">
            <v>Commissions - share RI</v>
          </cell>
        </row>
        <row r="24102">
          <cell r="L24102"/>
          <cell r="S24102">
            <v>896.92</v>
          </cell>
          <cell r="X24102" t="str">
            <v>Commissions - share RI</v>
          </cell>
        </row>
        <row r="24103">
          <cell r="L24103"/>
          <cell r="S24103">
            <v>2193.91</v>
          </cell>
          <cell r="X24103" t="str">
            <v>Commissions - share RI</v>
          </cell>
        </row>
        <row r="24104">
          <cell r="L24104"/>
          <cell r="S24104">
            <v>6.16</v>
          </cell>
          <cell r="X24104" t="str">
            <v>Commissions - share RI</v>
          </cell>
        </row>
        <row r="24105">
          <cell r="L24105"/>
          <cell r="S24105">
            <v>-41.47</v>
          </cell>
          <cell r="X24105" t="str">
            <v>Commissions - share RI</v>
          </cell>
        </row>
        <row r="24106">
          <cell r="L24106"/>
          <cell r="S24106">
            <v>145.13</v>
          </cell>
          <cell r="X24106" t="str">
            <v>Commissions - share RI</v>
          </cell>
        </row>
        <row r="24107">
          <cell r="L24107"/>
          <cell r="S24107">
            <v>14.15</v>
          </cell>
          <cell r="X24107" t="str">
            <v>Commissions - share RI</v>
          </cell>
        </row>
        <row r="24108">
          <cell r="L24108"/>
          <cell r="S24108">
            <v>-1.7</v>
          </cell>
          <cell r="X24108" t="str">
            <v>Commissions - share RI</v>
          </cell>
        </row>
        <row r="24109">
          <cell r="L24109"/>
          <cell r="S24109">
            <v>1.67</v>
          </cell>
          <cell r="X24109" t="str">
            <v>Commissions - share RI</v>
          </cell>
        </row>
        <row r="24110">
          <cell r="L24110"/>
          <cell r="S24110">
            <v>-2.75</v>
          </cell>
          <cell r="X24110" t="str">
            <v>Commissions - share RI</v>
          </cell>
        </row>
        <row r="24111">
          <cell r="L24111"/>
          <cell r="S24111">
            <v>48.44</v>
          </cell>
          <cell r="X24111" t="str">
            <v>Commissions - share RI</v>
          </cell>
        </row>
        <row r="24112">
          <cell r="L24112"/>
          <cell r="S24112">
            <v>-6.16</v>
          </cell>
          <cell r="X24112" t="str">
            <v>Commissions - share RI</v>
          </cell>
        </row>
        <row r="24113">
          <cell r="L24113"/>
          <cell r="S24113">
            <v>-1.01</v>
          </cell>
          <cell r="X24113" t="str">
            <v>Commissions - share RI</v>
          </cell>
        </row>
        <row r="24114">
          <cell r="L24114"/>
          <cell r="S24114">
            <v>0.18</v>
          </cell>
          <cell r="X24114" t="str">
            <v>Commissions - share RI</v>
          </cell>
        </row>
        <row r="24115">
          <cell r="L24115"/>
          <cell r="S24115">
            <v>-1.04</v>
          </cell>
          <cell r="X24115" t="str">
            <v>Commissions - share RI</v>
          </cell>
        </row>
        <row r="24116">
          <cell r="L24116"/>
          <cell r="S24116">
            <v>34.03</v>
          </cell>
          <cell r="X24116" t="str">
            <v>Commissions - share RI</v>
          </cell>
        </row>
        <row r="24117">
          <cell r="L24117"/>
          <cell r="S24117">
            <v>996.11</v>
          </cell>
          <cell r="X24117" t="str">
            <v>Commissions - share RI</v>
          </cell>
        </row>
        <row r="24118">
          <cell r="L24118"/>
          <cell r="S24118">
            <v>-926.95</v>
          </cell>
          <cell r="X24118" t="str">
            <v>Commissions - share RI</v>
          </cell>
        </row>
        <row r="24119">
          <cell r="L24119"/>
          <cell r="S24119">
            <v>-1747.94</v>
          </cell>
          <cell r="X24119" t="str">
            <v>Commissions - share RI</v>
          </cell>
        </row>
        <row r="24120">
          <cell r="L24120"/>
          <cell r="S24120">
            <v>-331.88</v>
          </cell>
          <cell r="X24120" t="str">
            <v>Commissions - share RI</v>
          </cell>
        </row>
        <row r="24121">
          <cell r="L24121"/>
          <cell r="S24121">
            <v>10.4</v>
          </cell>
          <cell r="X24121" t="str">
            <v>Commissions - share RI</v>
          </cell>
        </row>
        <row r="24122">
          <cell r="L24122"/>
          <cell r="S24122">
            <v>-715.74</v>
          </cell>
          <cell r="X24122" t="str">
            <v>Commissions - share RI</v>
          </cell>
        </row>
        <row r="24123">
          <cell r="L24123"/>
          <cell r="S24123">
            <v>75.7</v>
          </cell>
          <cell r="X24123" t="str">
            <v>Commissions - share RI</v>
          </cell>
        </row>
        <row r="24124">
          <cell r="L24124"/>
          <cell r="S24124">
            <v>-2193.91</v>
          </cell>
          <cell r="X24124" t="str">
            <v>Commissions - share RI</v>
          </cell>
        </row>
        <row r="24125">
          <cell r="L24125"/>
          <cell r="S24125">
            <v>-21.21</v>
          </cell>
          <cell r="X24125" t="str">
            <v>Commissions - share RI</v>
          </cell>
        </row>
        <row r="24126">
          <cell r="L24126"/>
          <cell r="S24126">
            <v>-11.9</v>
          </cell>
          <cell r="X24126" t="str">
            <v>Commissions - share RI</v>
          </cell>
        </row>
        <row r="24127">
          <cell r="L24127"/>
          <cell r="S24127">
            <v>-21.1</v>
          </cell>
          <cell r="X24127" t="str">
            <v>Commissions - share RI</v>
          </cell>
        </row>
        <row r="24128">
          <cell r="L24128"/>
          <cell r="S24128">
            <v>2.11</v>
          </cell>
          <cell r="X24128" t="str">
            <v>Commissions - share RI</v>
          </cell>
        </row>
        <row r="24129">
          <cell r="L24129"/>
          <cell r="S24129">
            <v>-2193.91</v>
          </cell>
          <cell r="X24129" t="str">
            <v>Commissions - share RI</v>
          </cell>
        </row>
        <row r="24130">
          <cell r="L24130"/>
          <cell r="S24130">
            <v>-1225.97</v>
          </cell>
          <cell r="X24130" t="str">
            <v>Commissions - share RI</v>
          </cell>
        </row>
        <row r="24131">
          <cell r="L24131"/>
          <cell r="S24131">
            <v>-372.43</v>
          </cell>
          <cell r="X24131" t="str">
            <v>Commissions - share RI</v>
          </cell>
        </row>
        <row r="24132">
          <cell r="L24132"/>
          <cell r="S24132">
            <v>-0.74</v>
          </cell>
          <cell r="X24132" t="str">
            <v>Commissions - share RI</v>
          </cell>
        </row>
        <row r="24133">
          <cell r="L24133"/>
          <cell r="S24133">
            <v>2.41</v>
          </cell>
          <cell r="X24133" t="str">
            <v>Commissions - share RI</v>
          </cell>
        </row>
        <row r="24134">
          <cell r="L24134"/>
          <cell r="S24134">
            <v>0.2</v>
          </cell>
          <cell r="X24134" t="str">
            <v>Commissions - share RI</v>
          </cell>
        </row>
        <row r="24135">
          <cell r="L24135"/>
          <cell r="S24135">
            <v>78.2</v>
          </cell>
          <cell r="X24135" t="str">
            <v>Commissions - share RI</v>
          </cell>
        </row>
        <row r="24136">
          <cell r="L24136"/>
          <cell r="S24136">
            <v>781.95</v>
          </cell>
          <cell r="X24136" t="str">
            <v>Commissions - share RI</v>
          </cell>
        </row>
        <row r="24137">
          <cell r="L24137"/>
          <cell r="S24137">
            <v>-0.68</v>
          </cell>
          <cell r="X24137" t="str">
            <v>Commissions - share RI</v>
          </cell>
        </row>
        <row r="24138">
          <cell r="L24138"/>
          <cell r="S24138">
            <v>785.91</v>
          </cell>
          <cell r="X24138" t="str">
            <v>Commissions - share RI</v>
          </cell>
        </row>
        <row r="24139">
          <cell r="L24139"/>
          <cell r="S24139">
            <v>22.47</v>
          </cell>
          <cell r="X24139" t="str">
            <v>Commissions - share RI</v>
          </cell>
        </row>
        <row r="24140">
          <cell r="L24140"/>
          <cell r="S24140">
            <v>174.79</v>
          </cell>
          <cell r="X24140" t="str">
            <v>Commissions - share RI</v>
          </cell>
        </row>
        <row r="24141">
          <cell r="L24141"/>
          <cell r="S24141">
            <v>1.2</v>
          </cell>
          <cell r="X24141" t="str">
            <v>Commissions - share RI</v>
          </cell>
        </row>
        <row r="24142">
          <cell r="L24142"/>
          <cell r="S24142">
            <v>4.08</v>
          </cell>
          <cell r="X24142" t="str">
            <v>Commissions - share RI</v>
          </cell>
        </row>
        <row r="24143">
          <cell r="L24143"/>
          <cell r="S24143">
            <v>-193.91</v>
          </cell>
          <cell r="X24143" t="str">
            <v>Commissions - share RI</v>
          </cell>
        </row>
        <row r="24144">
          <cell r="L24144"/>
          <cell r="S24144">
            <v>-0.68</v>
          </cell>
          <cell r="X24144" t="str">
            <v>Commissions - share RI</v>
          </cell>
        </row>
        <row r="24145">
          <cell r="L24145"/>
          <cell r="S24145">
            <v>-18.63</v>
          </cell>
          <cell r="X24145" t="str">
            <v>Commissions - share RI</v>
          </cell>
        </row>
        <row r="24146">
          <cell r="L24146"/>
          <cell r="S24146">
            <v>-219.39</v>
          </cell>
          <cell r="X24146" t="str">
            <v>Commissions - share RI</v>
          </cell>
        </row>
        <row r="24147">
          <cell r="L24147"/>
          <cell r="S24147">
            <v>-0.2</v>
          </cell>
          <cell r="X24147" t="str">
            <v>Commissions - share RI</v>
          </cell>
        </row>
        <row r="24148">
          <cell r="L24148"/>
          <cell r="S24148">
            <v>0.68</v>
          </cell>
          <cell r="X24148" t="str">
            <v>Commissions - share RI</v>
          </cell>
        </row>
        <row r="24149">
          <cell r="L24149"/>
          <cell r="S24149">
            <v>32.21</v>
          </cell>
          <cell r="X24149" t="str">
            <v>Commissions - share RI</v>
          </cell>
        </row>
        <row r="24150">
          <cell r="L24150"/>
          <cell r="S24150">
            <v>3.63</v>
          </cell>
          <cell r="X24150" t="str">
            <v>Commissions - share RI</v>
          </cell>
        </row>
        <row r="24151">
          <cell r="L24151"/>
          <cell r="S24151">
            <v>0.54</v>
          </cell>
          <cell r="X24151" t="str">
            <v>Commissions - share RI</v>
          </cell>
        </row>
        <row r="24152">
          <cell r="L24152"/>
          <cell r="S24152">
            <v>-40.24</v>
          </cell>
          <cell r="X24152" t="str">
            <v>Commissions - share RI</v>
          </cell>
        </row>
        <row r="24153">
          <cell r="L24153"/>
          <cell r="S24153">
            <v>-9.9600000000000009</v>
          </cell>
          <cell r="X24153" t="str">
            <v>Commissions - share RI</v>
          </cell>
        </row>
        <row r="24154">
          <cell r="L24154"/>
          <cell r="S24154">
            <v>-7.44</v>
          </cell>
          <cell r="X24154" t="str">
            <v>Commissions - share RI</v>
          </cell>
        </row>
        <row r="24155">
          <cell r="L24155"/>
          <cell r="S24155">
            <v>170.75</v>
          </cell>
          <cell r="X24155" t="str">
            <v>Commissions - share RI</v>
          </cell>
        </row>
        <row r="24156">
          <cell r="L24156"/>
          <cell r="S24156">
            <v>-4.08</v>
          </cell>
          <cell r="X24156" t="str">
            <v>Commissions - share RI</v>
          </cell>
        </row>
        <row r="24157">
          <cell r="L24157"/>
          <cell r="S24157">
            <v>-1.7</v>
          </cell>
          <cell r="X24157" t="str">
            <v>Commissions - share RI</v>
          </cell>
        </row>
        <row r="24158">
          <cell r="L24158"/>
          <cell r="S24158">
            <v>6.82</v>
          </cell>
          <cell r="X24158" t="str">
            <v>Commissions - share RI</v>
          </cell>
        </row>
        <row r="24159">
          <cell r="L24159"/>
          <cell r="S24159">
            <v>-12.25</v>
          </cell>
          <cell r="X24159" t="str">
            <v>Commissions - share RI</v>
          </cell>
        </row>
        <row r="24160">
          <cell r="L24160"/>
          <cell r="S24160">
            <v>-2402.89</v>
          </cell>
          <cell r="X24160" t="str">
            <v>Commissions - share RI</v>
          </cell>
        </row>
        <row r="24161">
          <cell r="L24161"/>
          <cell r="S24161">
            <v>21.11</v>
          </cell>
          <cell r="X24161" t="str">
            <v>Commissions - share RI</v>
          </cell>
        </row>
        <row r="24162">
          <cell r="L24162"/>
          <cell r="S24162">
            <v>46.35</v>
          </cell>
          <cell r="X24162" t="str">
            <v>Commissions - share RI</v>
          </cell>
        </row>
        <row r="24163">
          <cell r="L24163"/>
          <cell r="S24163">
            <v>-0.18</v>
          </cell>
          <cell r="X24163" t="str">
            <v>Commissions - share RI</v>
          </cell>
        </row>
        <row r="24164">
          <cell r="L24164"/>
          <cell r="S24164">
            <v>-122.6</v>
          </cell>
          <cell r="X24164" t="str">
            <v>Commissions - share RI</v>
          </cell>
        </row>
        <row r="24165">
          <cell r="L24165"/>
          <cell r="S24165">
            <v>-2.66</v>
          </cell>
          <cell r="X24165" t="str">
            <v>Commissions - share RI</v>
          </cell>
        </row>
        <row r="24166">
          <cell r="L24166"/>
          <cell r="S24166">
            <v>1.36</v>
          </cell>
          <cell r="X24166" t="str">
            <v>Commissions - share RI</v>
          </cell>
        </row>
        <row r="24167">
          <cell r="L24167"/>
          <cell r="S24167">
            <v>2193.91</v>
          </cell>
          <cell r="X24167" t="str">
            <v>Commissions - share RI</v>
          </cell>
        </row>
        <row r="24168">
          <cell r="L24168"/>
          <cell r="S24168">
            <v>14.15</v>
          </cell>
          <cell r="X24168" t="str">
            <v>Commissions - share RI</v>
          </cell>
        </row>
        <row r="24169">
          <cell r="L24169"/>
          <cell r="S24169">
            <v>0</v>
          </cell>
          <cell r="X24169" t="str">
            <v>Commissions - share RI</v>
          </cell>
        </row>
        <row r="24170">
          <cell r="L24170"/>
          <cell r="S24170">
            <v>-240.28</v>
          </cell>
          <cell r="X24170" t="str">
            <v>Commissions - share RI</v>
          </cell>
        </row>
        <row r="24171">
          <cell r="L24171"/>
          <cell r="S24171">
            <v>-0.27</v>
          </cell>
          <cell r="X24171" t="str">
            <v>Commissions - share RI</v>
          </cell>
        </row>
        <row r="24172">
          <cell r="L24172"/>
          <cell r="S24172">
            <v>1.52</v>
          </cell>
          <cell r="X24172" t="str">
            <v>Commissions - share RI</v>
          </cell>
        </row>
        <row r="24173">
          <cell r="L24173"/>
          <cell r="S24173">
            <v>-1.07</v>
          </cell>
          <cell r="X24173" t="str">
            <v>Commissions - share RI</v>
          </cell>
        </row>
        <row r="24174">
          <cell r="L24174"/>
          <cell r="S24174">
            <v>12.82</v>
          </cell>
          <cell r="X24174" t="str">
            <v>Commissions - share RI</v>
          </cell>
        </row>
        <row r="24175">
          <cell r="L24175"/>
          <cell r="S24175">
            <v>0.38</v>
          </cell>
          <cell r="X24175" t="str">
            <v>Commissions - share RI</v>
          </cell>
        </row>
        <row r="24176">
          <cell r="L24176"/>
          <cell r="S24176">
            <v>-145.13</v>
          </cell>
          <cell r="X24176" t="str">
            <v>Commissions - share RI</v>
          </cell>
        </row>
        <row r="24177">
          <cell r="L24177"/>
          <cell r="S24177">
            <v>51.49</v>
          </cell>
          <cell r="X24177" t="str">
            <v>Commissions - share RI</v>
          </cell>
        </row>
        <row r="24178">
          <cell r="L24178"/>
          <cell r="S24178">
            <v>-89.69</v>
          </cell>
          <cell r="X24178" t="str">
            <v>Commissions - share RI</v>
          </cell>
        </row>
        <row r="24179">
          <cell r="L24179"/>
          <cell r="S24179">
            <v>21.21</v>
          </cell>
          <cell r="X24179" t="str">
            <v>Commissions - share RI</v>
          </cell>
        </row>
        <row r="24180">
          <cell r="L24180"/>
          <cell r="S24180">
            <v>-2611.52</v>
          </cell>
          <cell r="X24180" t="str">
            <v>Commissions - share RI</v>
          </cell>
        </row>
        <row r="24181">
          <cell r="L24181"/>
          <cell r="S24181">
            <v>-942.64</v>
          </cell>
          <cell r="X24181" t="str">
            <v>Commissions - share RI</v>
          </cell>
        </row>
        <row r="24182">
          <cell r="L24182"/>
          <cell r="S24182">
            <v>0.6</v>
          </cell>
          <cell r="X24182" t="str">
            <v>Commissions - share RI</v>
          </cell>
        </row>
        <row r="24183">
          <cell r="L24183"/>
          <cell r="S24183">
            <v>-17.14</v>
          </cell>
          <cell r="X24183" t="str">
            <v>Commissions - share RI</v>
          </cell>
        </row>
        <row r="24184">
          <cell r="L24184"/>
          <cell r="S24184">
            <v>0.32</v>
          </cell>
          <cell r="X24184" t="str">
            <v>Commissions - share RI</v>
          </cell>
        </row>
        <row r="24185">
          <cell r="L24185"/>
          <cell r="S24185">
            <v>-0.38</v>
          </cell>
          <cell r="X24185" t="str">
            <v>Commissions - share RI</v>
          </cell>
        </row>
        <row r="24186">
          <cell r="L24186"/>
          <cell r="S24186">
            <v>21.44</v>
          </cell>
          <cell r="X24186" t="str">
            <v>Commissions - share RI</v>
          </cell>
        </row>
        <row r="24187">
          <cell r="L24187"/>
          <cell r="S24187">
            <v>-1201.71</v>
          </cell>
          <cell r="X24187" t="str">
            <v>Commissions - share RI</v>
          </cell>
        </row>
        <row r="24188">
          <cell r="L24188"/>
          <cell r="S24188">
            <v>-5.82</v>
          </cell>
          <cell r="X24188" t="str">
            <v>Commissions - share RI</v>
          </cell>
        </row>
        <row r="24189">
          <cell r="L24189"/>
          <cell r="S24189">
            <v>-0.21</v>
          </cell>
          <cell r="X24189" t="str">
            <v>Commissions - share RI</v>
          </cell>
        </row>
        <row r="24190">
          <cell r="L24190"/>
          <cell r="S24190">
            <v>1.55</v>
          </cell>
          <cell r="X24190" t="str">
            <v>Commissions - share RI</v>
          </cell>
        </row>
        <row r="24191">
          <cell r="L24191"/>
          <cell r="S24191">
            <v>63.93</v>
          </cell>
          <cell r="X24191" t="str">
            <v>Commissions - share RI</v>
          </cell>
        </row>
        <row r="24192">
          <cell r="L24192"/>
          <cell r="S24192">
            <v>1.21</v>
          </cell>
          <cell r="X24192" t="str">
            <v>Commissions - share RI</v>
          </cell>
        </row>
        <row r="24193">
          <cell r="L24193"/>
          <cell r="S24193">
            <v>0.76</v>
          </cell>
          <cell r="X24193" t="str">
            <v>Commissions - share RI</v>
          </cell>
        </row>
        <row r="24194">
          <cell r="L24194"/>
          <cell r="S24194">
            <v>219.39</v>
          </cell>
          <cell r="X24194" t="str">
            <v>Commissions - share RI</v>
          </cell>
        </row>
        <row r="24195">
          <cell r="L24195"/>
          <cell r="S24195">
            <v>-1.55</v>
          </cell>
          <cell r="X24195" t="str">
            <v>Commissions - share RI</v>
          </cell>
        </row>
        <row r="24196">
          <cell r="L24196"/>
          <cell r="S24196">
            <v>-37.24</v>
          </cell>
          <cell r="X24196" t="str">
            <v>Commissions - share RI</v>
          </cell>
        </row>
        <row r="24197">
          <cell r="L24197"/>
          <cell r="S24197">
            <v>-6.35</v>
          </cell>
          <cell r="X24197" t="str">
            <v>Commissions - share RI</v>
          </cell>
        </row>
        <row r="24198">
          <cell r="L24198"/>
          <cell r="S24198">
            <v>-2.4</v>
          </cell>
          <cell r="X24198" t="str">
            <v>Commissions - share RI</v>
          </cell>
        </row>
        <row r="24199">
          <cell r="L24199"/>
          <cell r="S24199">
            <v>2.4</v>
          </cell>
          <cell r="X24199" t="str">
            <v>Commissions - share RI</v>
          </cell>
        </row>
        <row r="24200">
          <cell r="L24200"/>
          <cell r="S24200">
            <v>0.17</v>
          </cell>
          <cell r="X24200" t="str">
            <v>Commissions - share RI</v>
          </cell>
        </row>
        <row r="24201">
          <cell r="L24201"/>
          <cell r="S24201">
            <v>-2.14</v>
          </cell>
          <cell r="X24201" t="str">
            <v>Commissions - share RI</v>
          </cell>
        </row>
        <row r="24202">
          <cell r="L24202"/>
          <cell r="S24202">
            <v>37.24</v>
          </cell>
          <cell r="X24202" t="str">
            <v>Commissions - share RI</v>
          </cell>
        </row>
        <row r="24203">
          <cell r="L24203"/>
          <cell r="S24203">
            <v>-1.66</v>
          </cell>
          <cell r="X24203" t="str">
            <v>Commissions - share RI</v>
          </cell>
        </row>
        <row r="24204">
          <cell r="L24204"/>
          <cell r="S24204">
            <v>2.19</v>
          </cell>
          <cell r="X24204" t="str">
            <v>Commissions - share RI</v>
          </cell>
        </row>
        <row r="24205">
          <cell r="L24205"/>
          <cell r="S24205">
            <v>11.48</v>
          </cell>
          <cell r="X24205" t="str">
            <v>Commissions - share RI</v>
          </cell>
        </row>
        <row r="24206">
          <cell r="L24206"/>
          <cell r="S24206">
            <v>0.2</v>
          </cell>
          <cell r="X24206" t="str">
            <v>Commissions - share RI</v>
          </cell>
        </row>
        <row r="24207">
          <cell r="L24207"/>
          <cell r="S24207">
            <v>41.47</v>
          </cell>
          <cell r="X24207" t="str">
            <v>Commissions - share RI</v>
          </cell>
        </row>
        <row r="24208">
          <cell r="L24208"/>
          <cell r="S24208">
            <v>-608.30999999999995</v>
          </cell>
          <cell r="X24208" t="str">
            <v>Commissions - share RI</v>
          </cell>
        </row>
        <row r="24209">
          <cell r="L24209"/>
          <cell r="S24209">
            <v>-78.59</v>
          </cell>
          <cell r="X24209" t="str">
            <v>Commissions - share RI</v>
          </cell>
        </row>
        <row r="24210">
          <cell r="L24210"/>
          <cell r="S24210">
            <v>240.28</v>
          </cell>
          <cell r="X24210" t="str">
            <v>Commissions - share RI</v>
          </cell>
        </row>
        <row r="24211">
          <cell r="L24211"/>
          <cell r="S24211">
            <v>-46.35</v>
          </cell>
          <cell r="X24211" t="str">
            <v>Commissions - share RI</v>
          </cell>
        </row>
        <row r="24212">
          <cell r="L24212"/>
          <cell r="S24212">
            <v>-1.42</v>
          </cell>
          <cell r="X24212" t="str">
            <v>Commissions - share RI</v>
          </cell>
        </row>
        <row r="24213">
          <cell r="L24213"/>
          <cell r="S24213">
            <v>0.4</v>
          </cell>
          <cell r="X24213" t="str">
            <v>Commissions - share RI</v>
          </cell>
        </row>
        <row r="24214">
          <cell r="L24214"/>
          <cell r="S24214">
            <v>76.84</v>
          </cell>
          <cell r="X24214" t="str">
            <v>Commissions - share RI</v>
          </cell>
        </row>
        <row r="24215">
          <cell r="L24215"/>
          <cell r="S24215">
            <v>-1346.51</v>
          </cell>
          <cell r="X24215" t="str">
            <v>Commissions - share RI</v>
          </cell>
        </row>
        <row r="24216">
          <cell r="L24216"/>
          <cell r="S24216">
            <v>100.12</v>
          </cell>
          <cell r="X24216" t="str">
            <v>Commissions - share RI</v>
          </cell>
        </row>
        <row r="24217">
          <cell r="L24217"/>
          <cell r="S24217">
            <v>-51.49</v>
          </cell>
          <cell r="X24217" t="str">
            <v>Commissions - share RI</v>
          </cell>
        </row>
        <row r="24218">
          <cell r="L24218"/>
          <cell r="S24218">
            <v>122.6</v>
          </cell>
          <cell r="X24218" t="str">
            <v>Commissions - share RI</v>
          </cell>
        </row>
        <row r="24219">
          <cell r="L24219"/>
          <cell r="S24219">
            <v>-45.42</v>
          </cell>
          <cell r="X24219" t="str">
            <v>Commissions - share RI</v>
          </cell>
        </row>
        <row r="24220">
          <cell r="L24220"/>
          <cell r="S24220">
            <v>-4.01</v>
          </cell>
          <cell r="X24220" t="str">
            <v>Commissions - share RI</v>
          </cell>
        </row>
        <row r="24221">
          <cell r="L24221"/>
          <cell r="S24221">
            <v>4.3899999999999997</v>
          </cell>
          <cell r="X24221" t="str">
            <v>Commissions - share RI</v>
          </cell>
        </row>
        <row r="24222">
          <cell r="L24222"/>
          <cell r="S24222">
            <v>60.83</v>
          </cell>
          <cell r="X24222" t="str">
            <v>Commissions - share RI</v>
          </cell>
        </row>
        <row r="24223">
          <cell r="L24223"/>
          <cell r="S24223">
            <v>9.9600000000000009</v>
          </cell>
          <cell r="X24223" t="str">
            <v>Commissions - share RI</v>
          </cell>
        </row>
        <row r="24224">
          <cell r="L24224"/>
          <cell r="S24224">
            <v>-5.28</v>
          </cell>
          <cell r="X24224" t="str">
            <v>Commissions - share RI</v>
          </cell>
        </row>
        <row r="24225">
          <cell r="L24225"/>
          <cell r="S24225">
            <v>92.7</v>
          </cell>
          <cell r="X24225" t="str">
            <v>Commissions - share RI</v>
          </cell>
        </row>
        <row r="24226">
          <cell r="L24226"/>
          <cell r="S24226">
            <v>926.95</v>
          </cell>
          <cell r="X24226" t="str">
            <v>Commissions - share RI</v>
          </cell>
        </row>
        <row r="24227">
          <cell r="L24227"/>
          <cell r="S24227">
            <v>-11.9</v>
          </cell>
          <cell r="X24227" t="str">
            <v>Commissions - share RI</v>
          </cell>
        </row>
        <row r="24228">
          <cell r="L24228"/>
          <cell r="S24228">
            <v>24.21</v>
          </cell>
          <cell r="X24228" t="str">
            <v>Commissions - share RI</v>
          </cell>
        </row>
        <row r="24229">
          <cell r="L24229"/>
          <cell r="S24229">
            <v>-781.95</v>
          </cell>
          <cell r="X24229" t="str">
            <v>Commissions - share RI</v>
          </cell>
        </row>
        <row r="24230">
          <cell r="L24230"/>
          <cell r="S24230">
            <v>-605.92999999999995</v>
          </cell>
          <cell r="X24230" t="str">
            <v>Commissions - share RI</v>
          </cell>
        </row>
        <row r="24231">
          <cell r="L24231"/>
          <cell r="S24231">
            <v>-92.71</v>
          </cell>
          <cell r="X24231" t="str">
            <v>Commissions - share RI</v>
          </cell>
        </row>
        <row r="24232">
          <cell r="L24232"/>
          <cell r="S24232">
            <v>210.36</v>
          </cell>
          <cell r="X24232" t="str">
            <v>Commissions - share RI</v>
          </cell>
        </row>
        <row r="24233">
          <cell r="L24233"/>
          <cell r="S24233">
            <v>-2246.5700000000002</v>
          </cell>
          <cell r="X24233" t="str">
            <v>Commissions - share RI</v>
          </cell>
        </row>
        <row r="24234">
          <cell r="L24234"/>
          <cell r="S24234">
            <v>0.17</v>
          </cell>
          <cell r="X24234" t="str">
            <v>Commissions - share RI</v>
          </cell>
        </row>
        <row r="24235">
          <cell r="L24235"/>
          <cell r="S24235">
            <v>1001.21</v>
          </cell>
          <cell r="X24235" t="str">
            <v>Commissions - share RI</v>
          </cell>
        </row>
        <row r="24236">
          <cell r="L24236"/>
          <cell r="S24236">
            <v>224.65</v>
          </cell>
          <cell r="X24236" t="str">
            <v>Commissions - share RI</v>
          </cell>
        </row>
        <row r="24237">
          <cell r="L24237"/>
          <cell r="S24237">
            <v>-6.14</v>
          </cell>
          <cell r="X24237" t="str">
            <v>Commissions - share RI</v>
          </cell>
        </row>
        <row r="24238">
          <cell r="L24238"/>
          <cell r="S24238">
            <v>27.44</v>
          </cell>
          <cell r="X24238" t="str">
            <v>Commissions - share RI</v>
          </cell>
        </row>
        <row r="24239">
          <cell r="L24239"/>
          <cell r="S24239">
            <v>1747.94</v>
          </cell>
          <cell r="X24239" t="str">
            <v>Commissions - share RI</v>
          </cell>
        </row>
        <row r="24240">
          <cell r="L24240"/>
          <cell r="S24240">
            <v>-91.53</v>
          </cell>
          <cell r="X24240" t="str">
            <v>Commissions - share RI</v>
          </cell>
        </row>
        <row r="24241">
          <cell r="L24241"/>
          <cell r="S24241">
            <v>1225.97</v>
          </cell>
          <cell r="X24241" t="str">
            <v>Commissions - share RI</v>
          </cell>
        </row>
        <row r="24242">
          <cell r="L24242"/>
          <cell r="S24242">
            <v>99.61</v>
          </cell>
          <cell r="X24242" t="str">
            <v>Commissions - share RI</v>
          </cell>
        </row>
        <row r="24243">
          <cell r="L24243"/>
          <cell r="S24243">
            <v>-1.01</v>
          </cell>
          <cell r="X24243" t="str">
            <v>Commissions - share RI</v>
          </cell>
        </row>
        <row r="24244">
          <cell r="L24244"/>
          <cell r="S24244">
            <v>-63.93</v>
          </cell>
          <cell r="X24244" t="str">
            <v>Commissions - share RI</v>
          </cell>
        </row>
        <row r="24245">
          <cell r="L24245"/>
          <cell r="S24245">
            <v>-12.07</v>
          </cell>
          <cell r="X24245" t="str">
            <v>Commissions - share RI</v>
          </cell>
        </row>
        <row r="24246">
          <cell r="L24246"/>
          <cell r="S24246">
            <v>0</v>
          </cell>
          <cell r="X24246" t="str">
            <v>Commissions - share RI</v>
          </cell>
        </row>
        <row r="24247">
          <cell r="L24247"/>
          <cell r="S24247">
            <v>193.91</v>
          </cell>
          <cell r="X24247" t="str">
            <v>Commissions - share RI</v>
          </cell>
        </row>
        <row r="24248">
          <cell r="L24248"/>
          <cell r="S24248">
            <v>-47.2</v>
          </cell>
          <cell r="X24248" t="str">
            <v>Commissions - share RI</v>
          </cell>
        </row>
        <row r="24249">
          <cell r="L24249"/>
          <cell r="S24249">
            <v>5.23</v>
          </cell>
          <cell r="X24249" t="str">
            <v>Commissions - share RI</v>
          </cell>
        </row>
        <row r="24250">
          <cell r="L24250"/>
          <cell r="S24250">
            <v>-130.58000000000001</v>
          </cell>
          <cell r="X24250" t="str">
            <v>Commissions - share RI</v>
          </cell>
        </row>
        <row r="24251">
          <cell r="L24251"/>
          <cell r="S24251">
            <v>-61.1</v>
          </cell>
          <cell r="X24251" t="str">
            <v>Commissions - share RI</v>
          </cell>
        </row>
        <row r="24252">
          <cell r="L24252"/>
          <cell r="S24252">
            <v>-0.77</v>
          </cell>
          <cell r="X24252" t="str">
            <v>Commissions - share RI</v>
          </cell>
        </row>
        <row r="24253">
          <cell r="L24253"/>
          <cell r="S24253">
            <v>7.69</v>
          </cell>
          <cell r="X24253" t="str">
            <v>Commissions - share RI</v>
          </cell>
        </row>
        <row r="24254">
          <cell r="L24254"/>
          <cell r="S24254">
            <v>4.76</v>
          </cell>
          <cell r="X24254" t="str">
            <v>Commissions - share RI</v>
          </cell>
        </row>
        <row r="24255">
          <cell r="L24255"/>
          <cell r="S24255">
            <v>-2.4</v>
          </cell>
          <cell r="X24255" t="str">
            <v>Commissions - share RI</v>
          </cell>
        </row>
        <row r="24256">
          <cell r="L24256"/>
          <cell r="S24256">
            <v>-402.31</v>
          </cell>
          <cell r="X24256" t="str">
            <v>Commissions - share RI</v>
          </cell>
        </row>
        <row r="24257">
          <cell r="L24257"/>
          <cell r="S24257">
            <v>41.47</v>
          </cell>
          <cell r="X24257" t="str">
            <v>Commissions - share RI</v>
          </cell>
        </row>
        <row r="24258">
          <cell r="L24258"/>
          <cell r="S24258">
            <v>-219.39</v>
          </cell>
          <cell r="X24258" t="str">
            <v>Commissions - share RI</v>
          </cell>
        </row>
        <row r="24259">
          <cell r="L24259"/>
          <cell r="S24259">
            <v>-5.23</v>
          </cell>
          <cell r="X24259" t="str">
            <v>Commissions - share RI</v>
          </cell>
        </row>
        <row r="24260">
          <cell r="L24260"/>
          <cell r="S24260">
            <v>-219.39</v>
          </cell>
          <cell r="X24260" t="str">
            <v>Commissions - share RI</v>
          </cell>
        </row>
        <row r="24261">
          <cell r="L24261"/>
          <cell r="S24261">
            <v>-0.64</v>
          </cell>
          <cell r="X24261" t="str">
            <v>Commissions - share RI</v>
          </cell>
        </row>
        <row r="24262">
          <cell r="L24262"/>
          <cell r="S24262">
            <v>-6.85</v>
          </cell>
          <cell r="X24262" t="str">
            <v>Commissions - share RI</v>
          </cell>
        </row>
        <row r="24263">
          <cell r="L24263"/>
          <cell r="S24263">
            <v>1.7</v>
          </cell>
          <cell r="X24263" t="str">
            <v>Commissions - share RI</v>
          </cell>
        </row>
        <row r="24264">
          <cell r="L24264"/>
          <cell r="S24264">
            <v>87.59</v>
          </cell>
          <cell r="X24264" t="str">
            <v>Commissions - share RI</v>
          </cell>
        </row>
        <row r="24265">
          <cell r="L24265"/>
          <cell r="S24265">
            <v>-0.74</v>
          </cell>
          <cell r="X24265" t="str">
            <v>Commissions - share RI</v>
          </cell>
        </row>
        <row r="24266">
          <cell r="L24266"/>
          <cell r="S24266">
            <v>-10.86</v>
          </cell>
          <cell r="X24266" t="str">
            <v>Commissions - share RI</v>
          </cell>
        </row>
        <row r="24267">
          <cell r="L24267"/>
          <cell r="S24267">
            <v>78.59</v>
          </cell>
          <cell r="X24267" t="str">
            <v>Commissions - share RI</v>
          </cell>
        </row>
        <row r="24268">
          <cell r="L24268"/>
          <cell r="S24268">
            <v>2367.92</v>
          </cell>
          <cell r="X24268" t="str">
            <v>Commissions - share RI</v>
          </cell>
        </row>
        <row r="24269">
          <cell r="L24269"/>
          <cell r="S24269">
            <v>-1.92</v>
          </cell>
          <cell r="X24269" t="str">
            <v>Commissions - share RI</v>
          </cell>
        </row>
        <row r="24270">
          <cell r="L24270"/>
          <cell r="S24270">
            <v>6.35</v>
          </cell>
          <cell r="X24270" t="str">
            <v>Commissions - share RI</v>
          </cell>
        </row>
        <row r="24271">
          <cell r="L24271"/>
          <cell r="S24271">
            <v>5.34</v>
          </cell>
          <cell r="X24271" t="str">
            <v>Commissions - share RI</v>
          </cell>
        </row>
        <row r="24272">
          <cell r="L24272"/>
          <cell r="S24272">
            <v>2.4</v>
          </cell>
          <cell r="X24272" t="str">
            <v>Commissions - share RI</v>
          </cell>
        </row>
        <row r="24273">
          <cell r="L24273"/>
          <cell r="S24273">
            <v>40.24</v>
          </cell>
          <cell r="X24273" t="str">
            <v>Commissions - share RI</v>
          </cell>
        </row>
        <row r="24274">
          <cell r="L24274"/>
          <cell r="S24274">
            <v>-10.01</v>
          </cell>
          <cell r="X24274" t="str">
            <v>Commissions - share RI</v>
          </cell>
        </row>
        <row r="24275">
          <cell r="L24275"/>
          <cell r="S24275">
            <v>-100.12</v>
          </cell>
          <cell r="X24275" t="str">
            <v>Commissions - share RI</v>
          </cell>
        </row>
        <row r="24276">
          <cell r="L24276"/>
          <cell r="S24276">
            <v>-94.66</v>
          </cell>
          <cell r="X24276" t="str">
            <v>Commissions - share RI</v>
          </cell>
        </row>
        <row r="24277">
          <cell r="L24277"/>
          <cell r="S24277">
            <v>47.2</v>
          </cell>
          <cell r="X24277" t="str">
            <v>Commissions - share RI</v>
          </cell>
        </row>
        <row r="24278">
          <cell r="L24278"/>
          <cell r="S24278">
            <v>-41.19</v>
          </cell>
          <cell r="X24278" t="str">
            <v>Commissions - share RI</v>
          </cell>
        </row>
        <row r="24279">
          <cell r="L24279"/>
          <cell r="S24279">
            <v>1144.22</v>
          </cell>
          <cell r="X24279" t="str">
            <v>Commissions - share RI</v>
          </cell>
        </row>
        <row r="24280">
          <cell r="L24280"/>
          <cell r="S24280">
            <v>1.07</v>
          </cell>
          <cell r="X24280" t="str">
            <v>Commissions - share RI</v>
          </cell>
        </row>
        <row r="24281">
          <cell r="L24281"/>
          <cell r="S24281">
            <v>-0.38</v>
          </cell>
          <cell r="X24281" t="str">
            <v>Commissions - share RI</v>
          </cell>
        </row>
        <row r="24282">
          <cell r="L24282"/>
          <cell r="S24282">
            <v>6.14</v>
          </cell>
          <cell r="X24282" t="str">
            <v>Commissions - share RI</v>
          </cell>
        </row>
        <row r="24283">
          <cell r="L24283"/>
          <cell r="S24283">
            <v>-0.62</v>
          </cell>
          <cell r="X24283" t="str">
            <v>Commissions - share RI</v>
          </cell>
        </row>
        <row r="24284">
          <cell r="L24284"/>
          <cell r="S24284">
            <v>-1076.71</v>
          </cell>
          <cell r="X24284" t="str">
            <v>Commissions - share RI</v>
          </cell>
        </row>
        <row r="24285">
          <cell r="L24285"/>
          <cell r="S24285">
            <v>-1.42</v>
          </cell>
          <cell r="X24285" t="str">
            <v>Commissions - share RI</v>
          </cell>
        </row>
        <row r="24286">
          <cell r="L24286"/>
          <cell r="S24286">
            <v>65.31</v>
          </cell>
          <cell r="X24286" t="str">
            <v>Commissions - share RI</v>
          </cell>
        </row>
        <row r="24287">
          <cell r="L24287"/>
          <cell r="S24287">
            <v>2611.52</v>
          </cell>
          <cell r="X24287" t="str">
            <v>Commissions - share RI</v>
          </cell>
        </row>
        <row r="24288">
          <cell r="L24288"/>
          <cell r="S24288">
            <v>-1.07</v>
          </cell>
          <cell r="X24288" t="str">
            <v>Commissions - share RI</v>
          </cell>
        </row>
        <row r="24289">
          <cell r="L24289"/>
          <cell r="S24289">
            <v>-236.79</v>
          </cell>
          <cell r="X24289" t="str">
            <v>Commissions - share RI</v>
          </cell>
        </row>
        <row r="24290">
          <cell r="L24290"/>
          <cell r="S24290">
            <v>-35.14</v>
          </cell>
          <cell r="X24290" t="str">
            <v>Commissions - share RI</v>
          </cell>
        </row>
        <row r="24291">
          <cell r="L24291"/>
          <cell r="S24291">
            <v>-22352.12</v>
          </cell>
          <cell r="X24291" t="str">
            <v>Commissions - share RI</v>
          </cell>
        </row>
        <row r="24292">
          <cell r="L24292"/>
          <cell r="S24292">
            <v>147.37</v>
          </cell>
          <cell r="X24292" t="str">
            <v>Commissions - share RI</v>
          </cell>
        </row>
        <row r="24293">
          <cell r="L24293"/>
          <cell r="S24293">
            <v>255.04</v>
          </cell>
          <cell r="X24293" t="str">
            <v>Commissions - share RI</v>
          </cell>
        </row>
        <row r="24294">
          <cell r="L24294"/>
          <cell r="S24294">
            <v>-2173.8200000000002</v>
          </cell>
          <cell r="X24294" t="str">
            <v>Commissions - share RI</v>
          </cell>
        </row>
        <row r="24295">
          <cell r="L24295"/>
          <cell r="S24295">
            <v>552.66999999999996</v>
          </cell>
          <cell r="X24295" t="str">
            <v>Commissions - share RI</v>
          </cell>
        </row>
        <row r="24296">
          <cell r="L24296"/>
          <cell r="S24296">
            <v>21.7</v>
          </cell>
          <cell r="X24296" t="str">
            <v>Commissions - share RI</v>
          </cell>
        </row>
        <row r="24297">
          <cell r="L24297"/>
          <cell r="S24297">
            <v>-0.13</v>
          </cell>
          <cell r="X24297" t="str">
            <v>Commissions - share RI</v>
          </cell>
        </row>
        <row r="24298">
          <cell r="L24298"/>
          <cell r="S24298">
            <v>-589.51</v>
          </cell>
          <cell r="X24298" t="str">
            <v>Commissions - share RI</v>
          </cell>
        </row>
        <row r="24299">
          <cell r="L24299"/>
          <cell r="S24299">
            <v>-2.75</v>
          </cell>
          <cell r="X24299" t="str">
            <v>Commissions - share RI</v>
          </cell>
        </row>
        <row r="24300">
          <cell r="L24300"/>
          <cell r="S24300">
            <v>-1</v>
          </cell>
          <cell r="X24300" t="str">
            <v>Commissions - share RI</v>
          </cell>
        </row>
        <row r="24301">
          <cell r="L24301"/>
          <cell r="S24301">
            <v>5.27</v>
          </cell>
          <cell r="X24301" t="str">
            <v>Commissions - share RI</v>
          </cell>
        </row>
        <row r="24302">
          <cell r="L24302"/>
          <cell r="S24302">
            <v>-0.06</v>
          </cell>
          <cell r="X24302" t="str">
            <v>Commissions - share RI</v>
          </cell>
        </row>
        <row r="24303">
          <cell r="L24303"/>
          <cell r="S24303">
            <v>-2328.61</v>
          </cell>
          <cell r="X24303" t="str">
            <v>Commissions - share RI</v>
          </cell>
        </row>
        <row r="24304">
          <cell r="L24304"/>
          <cell r="S24304">
            <v>2400.4</v>
          </cell>
          <cell r="X24304" t="str">
            <v>Commissions - share RI</v>
          </cell>
        </row>
        <row r="24305">
          <cell r="L24305"/>
          <cell r="S24305">
            <v>5.51</v>
          </cell>
          <cell r="X24305" t="str">
            <v>Commissions - share RI</v>
          </cell>
        </row>
        <row r="24306">
          <cell r="L24306"/>
          <cell r="S24306">
            <v>0.95</v>
          </cell>
          <cell r="X24306" t="str">
            <v>Commissions - share RI</v>
          </cell>
        </row>
        <row r="24307">
          <cell r="L24307"/>
          <cell r="S24307">
            <v>-15759.9</v>
          </cell>
          <cell r="X24307" t="str">
            <v>Commissions - share RI</v>
          </cell>
        </row>
        <row r="24308">
          <cell r="L24308"/>
          <cell r="S24308">
            <v>257.91000000000003</v>
          </cell>
          <cell r="X24308" t="str">
            <v>Commissions - share RI</v>
          </cell>
        </row>
        <row r="24309">
          <cell r="L24309"/>
          <cell r="S24309">
            <v>2173.8200000000002</v>
          </cell>
          <cell r="X24309" t="str">
            <v>Commissions - share RI</v>
          </cell>
        </row>
        <row r="24310">
          <cell r="L24310"/>
          <cell r="S24310">
            <v>0.95</v>
          </cell>
          <cell r="X24310" t="str">
            <v>Commissions - share RI</v>
          </cell>
        </row>
        <row r="24311">
          <cell r="L24311"/>
          <cell r="S24311">
            <v>-0.14000000000000001</v>
          </cell>
          <cell r="X24311" t="str">
            <v>Commissions - share RI</v>
          </cell>
        </row>
        <row r="24312">
          <cell r="L24312"/>
          <cell r="S24312">
            <v>-0.43</v>
          </cell>
          <cell r="X24312" t="str">
            <v>Commissions - share RI</v>
          </cell>
        </row>
        <row r="24313">
          <cell r="L24313"/>
          <cell r="S24313">
            <v>2400.4</v>
          </cell>
          <cell r="X24313" t="str">
            <v>Commissions - share RI</v>
          </cell>
        </row>
        <row r="24314">
          <cell r="L24314"/>
          <cell r="S24314">
            <v>0.68</v>
          </cell>
          <cell r="X24314" t="str">
            <v>Commissions - share RI</v>
          </cell>
        </row>
        <row r="24315">
          <cell r="L24315"/>
          <cell r="S24315">
            <v>0.98</v>
          </cell>
          <cell r="X24315" t="str">
            <v>Commissions - share RI</v>
          </cell>
        </row>
        <row r="24316">
          <cell r="L24316"/>
          <cell r="S24316">
            <v>19.7</v>
          </cell>
          <cell r="X24316" t="str">
            <v>Commissions - share RI</v>
          </cell>
        </row>
        <row r="24317">
          <cell r="L24317"/>
          <cell r="S24317">
            <v>36.840000000000003</v>
          </cell>
          <cell r="X24317" t="str">
            <v>Commissions - share RI</v>
          </cell>
        </row>
        <row r="24318">
          <cell r="L24318"/>
          <cell r="S24318">
            <v>-240.04</v>
          </cell>
          <cell r="X24318" t="str">
            <v>Commissions - share RI</v>
          </cell>
        </row>
        <row r="24319">
          <cell r="L24319"/>
          <cell r="S24319">
            <v>8512.58</v>
          </cell>
          <cell r="X24319" t="str">
            <v>Commissions - share RI</v>
          </cell>
        </row>
        <row r="24320">
          <cell r="L24320"/>
          <cell r="S24320">
            <v>11328.89</v>
          </cell>
          <cell r="X24320" t="str">
            <v>Commissions - share RI</v>
          </cell>
        </row>
        <row r="24321">
          <cell r="L24321"/>
          <cell r="S24321">
            <v>-184.22</v>
          </cell>
          <cell r="X24321" t="str">
            <v>Commissions - share RI</v>
          </cell>
        </row>
        <row r="24322">
          <cell r="L24322"/>
          <cell r="S24322">
            <v>-0.95</v>
          </cell>
          <cell r="X24322" t="str">
            <v>Commissions - share RI</v>
          </cell>
        </row>
        <row r="24323">
          <cell r="L24323"/>
          <cell r="S24323">
            <v>0.24</v>
          </cell>
          <cell r="X24323" t="str">
            <v>Commissions - share RI</v>
          </cell>
        </row>
        <row r="24324">
          <cell r="L24324"/>
          <cell r="S24324">
            <v>4.2699999999999996</v>
          </cell>
          <cell r="X24324" t="str">
            <v>Commissions - share RI</v>
          </cell>
        </row>
        <row r="24325">
          <cell r="L24325"/>
          <cell r="S24325">
            <v>-0.74</v>
          </cell>
          <cell r="X24325" t="str">
            <v>Commissions - share RI</v>
          </cell>
        </row>
        <row r="24326">
          <cell r="L24326"/>
          <cell r="S24326">
            <v>-0.17</v>
          </cell>
          <cell r="X24326" t="str">
            <v>Commissions - share RI</v>
          </cell>
        </row>
        <row r="24327">
          <cell r="L24327"/>
          <cell r="S24327">
            <v>48.2</v>
          </cell>
          <cell r="X24327" t="str">
            <v>Commissions - share RI</v>
          </cell>
        </row>
        <row r="24328">
          <cell r="L24328"/>
          <cell r="S24328">
            <v>2328.61</v>
          </cell>
          <cell r="X24328" t="str">
            <v>Commissions - share RI</v>
          </cell>
        </row>
        <row r="24329">
          <cell r="L24329"/>
          <cell r="S24329">
            <v>-1326.4</v>
          </cell>
          <cell r="X24329" t="str">
            <v>Commissions - share RI</v>
          </cell>
        </row>
        <row r="24330">
          <cell r="L24330"/>
          <cell r="S24330">
            <v>0.52</v>
          </cell>
          <cell r="X24330" t="str">
            <v>Commissions - share RI</v>
          </cell>
        </row>
        <row r="24331">
          <cell r="L24331"/>
          <cell r="S24331">
            <v>211.37</v>
          </cell>
          <cell r="X24331" t="str">
            <v>Commissions - share RI</v>
          </cell>
        </row>
        <row r="24332">
          <cell r="L24332"/>
          <cell r="S24332">
            <v>255.04</v>
          </cell>
          <cell r="X24332" t="str">
            <v>Commissions - share RI</v>
          </cell>
        </row>
        <row r="24333">
          <cell r="L24333"/>
          <cell r="S24333">
            <v>-0.25</v>
          </cell>
          <cell r="X24333" t="str">
            <v>Commissions - share RI</v>
          </cell>
        </row>
        <row r="24334">
          <cell r="L24334"/>
          <cell r="S24334">
            <v>-5302.77</v>
          </cell>
          <cell r="X24334" t="str">
            <v>Commissions - share RI</v>
          </cell>
        </row>
        <row r="24335">
          <cell r="L24335"/>
          <cell r="S24335">
            <v>8512.58</v>
          </cell>
          <cell r="X24335" t="str">
            <v>Commissions - share RI</v>
          </cell>
        </row>
        <row r="24336">
          <cell r="L24336"/>
          <cell r="S24336">
            <v>99692.64</v>
          </cell>
          <cell r="X24336" t="str">
            <v>Commissions - share RI</v>
          </cell>
        </row>
        <row r="24337">
          <cell r="L24337"/>
          <cell r="S24337">
            <v>0.26</v>
          </cell>
          <cell r="X24337" t="str">
            <v>Commissions - share RI</v>
          </cell>
        </row>
        <row r="24338">
          <cell r="L24338"/>
          <cell r="S24338">
            <v>2.44</v>
          </cell>
          <cell r="X24338" t="str">
            <v>Commissions - share RI</v>
          </cell>
        </row>
        <row r="24339">
          <cell r="L24339"/>
          <cell r="S24339">
            <v>2.17</v>
          </cell>
          <cell r="X24339" t="str">
            <v>Commissions - share RI</v>
          </cell>
        </row>
        <row r="24340">
          <cell r="L24340"/>
          <cell r="S24340">
            <v>2.75</v>
          </cell>
          <cell r="X24340" t="str">
            <v>Commissions - share RI</v>
          </cell>
        </row>
        <row r="24341">
          <cell r="L24341"/>
          <cell r="S24341">
            <v>-99692.64</v>
          </cell>
          <cell r="X24341" t="str">
            <v>Commissions - share RI</v>
          </cell>
        </row>
        <row r="24342">
          <cell r="L24342"/>
          <cell r="S24342">
            <v>0.04</v>
          </cell>
          <cell r="X24342" t="str">
            <v>Commissions - share RI</v>
          </cell>
        </row>
        <row r="24343">
          <cell r="L24343"/>
          <cell r="S24343">
            <v>1.79</v>
          </cell>
          <cell r="X24343" t="str">
            <v>Commissions - share RI</v>
          </cell>
        </row>
        <row r="24344">
          <cell r="L24344"/>
          <cell r="S24344">
            <v>0.48</v>
          </cell>
          <cell r="X24344" t="str">
            <v>Commissions - share RI</v>
          </cell>
        </row>
        <row r="24345">
          <cell r="L24345"/>
          <cell r="S24345">
            <v>-3.52</v>
          </cell>
          <cell r="X24345" t="str">
            <v>Commissions - share RI</v>
          </cell>
        </row>
        <row r="24346">
          <cell r="L24346"/>
          <cell r="S24346">
            <v>50.41</v>
          </cell>
          <cell r="X24346" t="str">
            <v>Commissions - share RI</v>
          </cell>
        </row>
        <row r="24347">
          <cell r="L24347"/>
          <cell r="S24347">
            <v>232.86</v>
          </cell>
          <cell r="X24347" t="str">
            <v>Commissions - share RI</v>
          </cell>
        </row>
        <row r="24348">
          <cell r="L24348"/>
          <cell r="S24348">
            <v>-2191.63</v>
          </cell>
          <cell r="X24348" t="str">
            <v>Commissions - share RI</v>
          </cell>
        </row>
        <row r="24349">
          <cell r="L24349"/>
          <cell r="S24349">
            <v>0.13</v>
          </cell>
          <cell r="X24349" t="str">
            <v>Commissions - share RI</v>
          </cell>
        </row>
        <row r="24350">
          <cell r="L24350"/>
          <cell r="S24350">
            <v>-21.13</v>
          </cell>
          <cell r="X24350" t="str">
            <v>Commissions - share RI</v>
          </cell>
        </row>
        <row r="24351">
          <cell r="L24351"/>
          <cell r="S24351">
            <v>-0.24</v>
          </cell>
          <cell r="X24351" t="str">
            <v>Commissions - share RI</v>
          </cell>
        </row>
        <row r="24352">
          <cell r="L24352"/>
          <cell r="S24352">
            <v>2191.63</v>
          </cell>
          <cell r="X24352" t="str">
            <v>Commissions - share RI</v>
          </cell>
        </row>
        <row r="24353">
          <cell r="L24353"/>
          <cell r="S24353">
            <v>-0.48</v>
          </cell>
          <cell r="X24353" t="str">
            <v>Commissions - share RI</v>
          </cell>
        </row>
        <row r="24354">
          <cell r="L24354"/>
          <cell r="S24354">
            <v>-0.16</v>
          </cell>
          <cell r="X24354" t="str">
            <v>Commissions - share RI</v>
          </cell>
        </row>
        <row r="24355">
          <cell r="L24355"/>
          <cell r="S24355">
            <v>-219.16</v>
          </cell>
          <cell r="X24355" t="str">
            <v>Commissions - share RI</v>
          </cell>
        </row>
        <row r="24356">
          <cell r="L24356"/>
          <cell r="S24356">
            <v>6.07</v>
          </cell>
          <cell r="X24356" t="str">
            <v>Commissions - share RI</v>
          </cell>
        </row>
        <row r="24357">
          <cell r="L24357"/>
          <cell r="S24357">
            <v>-0.12</v>
          </cell>
          <cell r="X24357" t="str">
            <v>Commissions - share RI</v>
          </cell>
        </row>
        <row r="24358">
          <cell r="L24358"/>
          <cell r="S24358">
            <v>-3922.47</v>
          </cell>
          <cell r="X24358" t="str">
            <v>Commissions - share RI</v>
          </cell>
        </row>
        <row r="24359">
          <cell r="L24359"/>
          <cell r="S24359">
            <v>36.840000000000003</v>
          </cell>
          <cell r="X24359" t="str">
            <v>Commissions - share RI</v>
          </cell>
        </row>
        <row r="24360">
          <cell r="L24360"/>
          <cell r="S24360">
            <v>5.6</v>
          </cell>
          <cell r="X24360" t="str">
            <v>Commissions - share RI</v>
          </cell>
        </row>
        <row r="24361">
          <cell r="L24361"/>
          <cell r="S24361">
            <v>-211.37</v>
          </cell>
          <cell r="X24361" t="str">
            <v>Commissions - share RI</v>
          </cell>
        </row>
        <row r="24362">
          <cell r="L24362"/>
          <cell r="S24362">
            <v>17.899999999999999</v>
          </cell>
          <cell r="X24362" t="str">
            <v>Commissions - share RI</v>
          </cell>
        </row>
        <row r="24363">
          <cell r="L24363"/>
          <cell r="S24363">
            <v>-45.36</v>
          </cell>
          <cell r="X24363" t="str">
            <v>Commissions - share RI</v>
          </cell>
        </row>
        <row r="24364">
          <cell r="L24364"/>
          <cell r="S24364">
            <v>41.43</v>
          </cell>
          <cell r="X24364" t="str">
            <v>Commissions - share RI</v>
          </cell>
        </row>
        <row r="24365">
          <cell r="L24365"/>
          <cell r="S24365">
            <v>-0.04</v>
          </cell>
          <cell r="X24365" t="str">
            <v>Commissions - share RI</v>
          </cell>
        </row>
        <row r="24366">
          <cell r="L24366"/>
          <cell r="S24366">
            <v>-1.21</v>
          </cell>
          <cell r="X24366" t="str">
            <v>Commissions - share RI</v>
          </cell>
        </row>
        <row r="24367">
          <cell r="L24367"/>
          <cell r="S24367">
            <v>240.04</v>
          </cell>
          <cell r="X24367" t="str">
            <v>Commissions - share RI</v>
          </cell>
        </row>
        <row r="24368">
          <cell r="L24368"/>
          <cell r="S24368">
            <v>-450.08</v>
          </cell>
          <cell r="X24368" t="str">
            <v>Commissions - share RI</v>
          </cell>
        </row>
        <row r="24369">
          <cell r="L24369"/>
          <cell r="S24369">
            <v>-0.04</v>
          </cell>
          <cell r="X24369" t="str">
            <v>Commissions - share RI</v>
          </cell>
        </row>
        <row r="24370">
          <cell r="L24370"/>
          <cell r="S24370">
            <v>-1473.77</v>
          </cell>
          <cell r="X24370" t="str">
            <v>Commissions - share RI</v>
          </cell>
        </row>
        <row r="24371">
          <cell r="L24371"/>
          <cell r="S24371">
            <v>19.32</v>
          </cell>
          <cell r="X24371" t="str">
            <v>Commissions - share RI</v>
          </cell>
        </row>
        <row r="24372">
          <cell r="L24372"/>
          <cell r="S24372">
            <v>48.2</v>
          </cell>
          <cell r="X24372" t="str">
            <v>Commissions - share RI</v>
          </cell>
        </row>
        <row r="24373">
          <cell r="L24373"/>
          <cell r="S24373">
            <v>-147.37</v>
          </cell>
          <cell r="X24373" t="str">
            <v>Commissions - share RI</v>
          </cell>
        </row>
        <row r="24374">
          <cell r="L24374"/>
          <cell r="S24374">
            <v>-36.840000000000003</v>
          </cell>
          <cell r="X24374" t="str">
            <v>Commissions - share RI</v>
          </cell>
        </row>
        <row r="24375">
          <cell r="L24375"/>
          <cell r="S24375">
            <v>-21.7</v>
          </cell>
          <cell r="X24375" t="str">
            <v>Commissions - share RI</v>
          </cell>
        </row>
        <row r="24376">
          <cell r="L24376"/>
          <cell r="S24376">
            <v>9.48</v>
          </cell>
          <cell r="X24376" t="str">
            <v>Commissions - share RI</v>
          </cell>
        </row>
        <row r="24377">
          <cell r="L24377"/>
          <cell r="S24377">
            <v>-17.899999999999999</v>
          </cell>
          <cell r="X24377" t="str">
            <v>Commissions - share RI</v>
          </cell>
        </row>
        <row r="24378">
          <cell r="L24378"/>
          <cell r="S24378">
            <v>1326.4</v>
          </cell>
          <cell r="X24378" t="str">
            <v>Commissions - share RI</v>
          </cell>
        </row>
        <row r="24379">
          <cell r="L24379"/>
          <cell r="S24379">
            <v>-36.840000000000003</v>
          </cell>
          <cell r="X24379" t="str">
            <v>Commissions - share RI</v>
          </cell>
        </row>
        <row r="24380">
          <cell r="L24380"/>
          <cell r="S24380">
            <v>-0.32</v>
          </cell>
          <cell r="X24380" t="str">
            <v>Commissions - share RI</v>
          </cell>
        </row>
        <row r="24381">
          <cell r="L24381"/>
          <cell r="S24381">
            <v>-430.67</v>
          </cell>
          <cell r="X24381" t="str">
            <v>Commissions - share RI</v>
          </cell>
        </row>
        <row r="24382">
          <cell r="L24382"/>
          <cell r="S24382">
            <v>27.43</v>
          </cell>
          <cell r="X24382" t="str">
            <v>Commissions - share RI</v>
          </cell>
        </row>
        <row r="24383">
          <cell r="L24383"/>
          <cell r="S24383">
            <v>-0.26</v>
          </cell>
          <cell r="X24383" t="str">
            <v>Commissions - share RI</v>
          </cell>
        </row>
        <row r="24384">
          <cell r="L24384"/>
          <cell r="S24384">
            <v>45</v>
          </cell>
          <cell r="X24384" t="str">
            <v>Commissions - share RI</v>
          </cell>
        </row>
        <row r="24385">
          <cell r="L24385"/>
          <cell r="S24385">
            <v>8.51</v>
          </cell>
          <cell r="X24385" t="str">
            <v>Commissions - share RI</v>
          </cell>
        </row>
        <row r="24386">
          <cell r="L24386"/>
          <cell r="S24386">
            <v>-1.79</v>
          </cell>
          <cell r="X24386" t="str">
            <v>Commissions - share RI</v>
          </cell>
        </row>
        <row r="24387">
          <cell r="L24387"/>
          <cell r="S24387">
            <v>-0.13</v>
          </cell>
          <cell r="X24387" t="str">
            <v>Commissions - share RI</v>
          </cell>
        </row>
        <row r="24388">
          <cell r="L24388"/>
          <cell r="S24388">
            <v>0.59</v>
          </cell>
          <cell r="X24388" t="str">
            <v>Commissions - share RI</v>
          </cell>
        </row>
        <row r="24389">
          <cell r="L24389"/>
          <cell r="S24389">
            <v>-2.17</v>
          </cell>
          <cell r="X24389" t="str">
            <v>Commissions - share RI</v>
          </cell>
        </row>
        <row r="24390">
          <cell r="L24390"/>
          <cell r="S24390">
            <v>-27.43</v>
          </cell>
          <cell r="X24390" t="str">
            <v>Commissions - share RI</v>
          </cell>
        </row>
        <row r="24391">
          <cell r="L24391"/>
          <cell r="S24391">
            <v>-0.68</v>
          </cell>
          <cell r="X24391" t="str">
            <v>Commissions - share RI</v>
          </cell>
        </row>
        <row r="24392">
          <cell r="L24392"/>
          <cell r="S24392">
            <v>10.01</v>
          </cell>
          <cell r="X24392" t="str">
            <v>Commissions - share RI</v>
          </cell>
        </row>
        <row r="24393">
          <cell r="L24393"/>
          <cell r="S24393">
            <v>-2358.04</v>
          </cell>
          <cell r="X24393" t="str">
            <v>Commissions - share RI</v>
          </cell>
        </row>
        <row r="24394">
          <cell r="L24394"/>
          <cell r="S24394">
            <v>589.51</v>
          </cell>
          <cell r="X24394" t="str">
            <v>Commissions - share RI</v>
          </cell>
        </row>
        <row r="24395">
          <cell r="L24395"/>
          <cell r="S24395">
            <v>-2.5299999999999998</v>
          </cell>
          <cell r="X24395" t="str">
            <v>Commissions - share RI</v>
          </cell>
        </row>
        <row r="24396">
          <cell r="L24396"/>
          <cell r="S24396">
            <v>21.13</v>
          </cell>
          <cell r="X24396" t="str">
            <v>Commissions - share RI</v>
          </cell>
        </row>
        <row r="24397">
          <cell r="L24397"/>
          <cell r="S24397">
            <v>-75.010000000000005</v>
          </cell>
          <cell r="X24397" t="str">
            <v>Commissions - share RI</v>
          </cell>
        </row>
        <row r="24398">
          <cell r="L24398"/>
          <cell r="S24398">
            <v>-700.04</v>
          </cell>
          <cell r="X24398" t="str">
            <v>Commissions - share RI</v>
          </cell>
        </row>
        <row r="24399">
          <cell r="L24399"/>
          <cell r="S24399">
            <v>0.06</v>
          </cell>
          <cell r="X24399" t="str">
            <v>Commissions - share RI</v>
          </cell>
        </row>
        <row r="24400">
          <cell r="L24400"/>
          <cell r="S24400">
            <v>9.83</v>
          </cell>
          <cell r="X24400" t="str">
            <v>Commissions - share RI</v>
          </cell>
        </row>
        <row r="24401">
          <cell r="L24401"/>
          <cell r="S24401">
            <v>219.16</v>
          </cell>
          <cell r="X24401" t="str">
            <v>Commissions - share RI</v>
          </cell>
        </row>
        <row r="24402">
          <cell r="L24402"/>
          <cell r="S24402">
            <v>1.37</v>
          </cell>
          <cell r="X24402" t="str">
            <v>Commissions - share RI</v>
          </cell>
        </row>
        <row r="24403">
          <cell r="L24403"/>
          <cell r="S24403">
            <v>-552.66999999999996</v>
          </cell>
          <cell r="X24403" t="str">
            <v>Commissions - share RI</v>
          </cell>
        </row>
        <row r="24404">
          <cell r="L24404"/>
          <cell r="S24404">
            <v>-19.32</v>
          </cell>
          <cell r="X24404" t="str">
            <v>Commissions - share RI</v>
          </cell>
        </row>
        <row r="24405">
          <cell r="L24405"/>
          <cell r="S24405">
            <v>0.25</v>
          </cell>
          <cell r="X24405" t="str">
            <v>Commissions - share RI</v>
          </cell>
        </row>
        <row r="24406">
          <cell r="L24406"/>
          <cell r="S24406">
            <v>-0.28000000000000003</v>
          </cell>
          <cell r="X24406" t="str">
            <v>Commissions - share RI</v>
          </cell>
        </row>
        <row r="24407">
          <cell r="L24407"/>
          <cell r="S24407">
            <v>-589.51</v>
          </cell>
          <cell r="X24407" t="str">
            <v>Commissions - share RI</v>
          </cell>
        </row>
        <row r="24408">
          <cell r="L24408"/>
          <cell r="S24408">
            <v>-0.56000000000000005</v>
          </cell>
          <cell r="X24408" t="str">
            <v>Commissions - share RI</v>
          </cell>
        </row>
        <row r="24409">
          <cell r="L24409"/>
          <cell r="S24409">
            <v>-8512.58</v>
          </cell>
          <cell r="X24409" t="str">
            <v>Commissions - share RI</v>
          </cell>
        </row>
        <row r="24410">
          <cell r="L24410"/>
          <cell r="S24410">
            <v>3.52</v>
          </cell>
          <cell r="X24410" t="str">
            <v>Commissions - share RI</v>
          </cell>
        </row>
        <row r="24411">
          <cell r="L24411"/>
          <cell r="S24411">
            <v>-25.3</v>
          </cell>
          <cell r="X24411" t="str">
            <v>Commissions - share RI</v>
          </cell>
        </row>
        <row r="24412">
          <cell r="L24412"/>
          <cell r="S24412">
            <v>-9.83</v>
          </cell>
          <cell r="X24412" t="str">
            <v>Commissions - share RI</v>
          </cell>
        </row>
        <row r="24413">
          <cell r="L24413"/>
          <cell r="S24413">
            <v>1.93</v>
          </cell>
          <cell r="X24413" t="str">
            <v>Commissions - share RI</v>
          </cell>
        </row>
        <row r="24414">
          <cell r="L24414"/>
          <cell r="S24414">
            <v>-1.93</v>
          </cell>
          <cell r="X24414" t="str">
            <v>Commissions - share RI</v>
          </cell>
        </row>
        <row r="24415">
          <cell r="L24415"/>
          <cell r="S24415">
            <v>-16321.81</v>
          </cell>
          <cell r="X24415" t="str">
            <v>Commissions - share RI</v>
          </cell>
        </row>
        <row r="24416">
          <cell r="L24416"/>
          <cell r="S24416">
            <v>-0.14000000000000001</v>
          </cell>
          <cell r="X24416" t="str">
            <v>Commissions - share RI</v>
          </cell>
        </row>
        <row r="24417">
          <cell r="L24417"/>
          <cell r="S24417">
            <v>-0.55000000000000004</v>
          </cell>
          <cell r="X24417" t="str">
            <v>Commissions - share RI</v>
          </cell>
        </row>
        <row r="24418">
          <cell r="L24418"/>
          <cell r="S24418">
            <v>25.3</v>
          </cell>
          <cell r="X24418" t="str">
            <v>Commissions - share RI</v>
          </cell>
        </row>
        <row r="24419">
          <cell r="L24419"/>
          <cell r="S24419">
            <v>-2863.48</v>
          </cell>
          <cell r="X24419" t="str">
            <v>Commissions - share RI</v>
          </cell>
        </row>
        <row r="24420">
          <cell r="L24420"/>
          <cell r="S24420">
            <v>22352.12</v>
          </cell>
          <cell r="X24420" t="str">
            <v>Commissions - share RI</v>
          </cell>
        </row>
        <row r="24421">
          <cell r="L24421"/>
          <cell r="S24421">
            <v>2113.7600000000002</v>
          </cell>
          <cell r="X24421" t="str">
            <v>Commissions - share RI</v>
          </cell>
        </row>
        <row r="24422">
          <cell r="L24422"/>
          <cell r="S24422">
            <v>-41.43</v>
          </cell>
          <cell r="X24422" t="str">
            <v>Commissions - share RI</v>
          </cell>
        </row>
        <row r="24423">
          <cell r="L24423"/>
          <cell r="S24423">
            <v>-50.41</v>
          </cell>
          <cell r="X24423" t="str">
            <v>Commissions - share RI</v>
          </cell>
        </row>
        <row r="24424">
          <cell r="L24424"/>
          <cell r="S24424">
            <v>-0.95</v>
          </cell>
          <cell r="X24424" t="str">
            <v>Commissions - share RI</v>
          </cell>
        </row>
        <row r="24425">
          <cell r="L24425"/>
          <cell r="S24425">
            <v>-44.02</v>
          </cell>
          <cell r="X24425" t="str">
            <v>Commissions - share RI</v>
          </cell>
        </row>
        <row r="24426">
          <cell r="L24426"/>
          <cell r="S24426">
            <v>-14.17</v>
          </cell>
          <cell r="X24426" t="str">
            <v>Commissions - share RI</v>
          </cell>
        </row>
        <row r="24427">
          <cell r="L24427"/>
          <cell r="S24427">
            <v>44.01</v>
          </cell>
          <cell r="X24427" t="str">
            <v>Commissions - share RI</v>
          </cell>
        </row>
        <row r="24428">
          <cell r="L24428"/>
          <cell r="S24428">
            <v>36.840000000000003</v>
          </cell>
          <cell r="X24428" t="str">
            <v>Commissions - share RI</v>
          </cell>
        </row>
        <row r="24429">
          <cell r="L24429"/>
          <cell r="S24429">
            <v>2400.4</v>
          </cell>
          <cell r="X24429" t="str">
            <v>Commissions - share RI</v>
          </cell>
        </row>
        <row r="24430">
          <cell r="L24430"/>
          <cell r="S24430">
            <v>147.37</v>
          </cell>
          <cell r="X24430" t="str">
            <v>Commissions - share RI</v>
          </cell>
        </row>
        <row r="24431">
          <cell r="L24431"/>
          <cell r="S24431">
            <v>7879.95</v>
          </cell>
          <cell r="X24431" t="str">
            <v>Commissions - share RI</v>
          </cell>
        </row>
        <row r="24432">
          <cell r="L24432"/>
          <cell r="S24432">
            <v>-2550.4299999999998</v>
          </cell>
          <cell r="X24432" t="str">
            <v>Commissions - share RI</v>
          </cell>
        </row>
        <row r="24433">
          <cell r="L24433"/>
          <cell r="S24433">
            <v>-0.53</v>
          </cell>
          <cell r="X24433" t="str">
            <v>Commissions - share RI</v>
          </cell>
        </row>
        <row r="24434">
          <cell r="L24434"/>
          <cell r="S24434">
            <v>-11328.89</v>
          </cell>
          <cell r="X24434" t="str">
            <v>Commissions - share RI</v>
          </cell>
        </row>
        <row r="24435">
          <cell r="L24435"/>
          <cell r="S24435">
            <v>-0.52</v>
          </cell>
          <cell r="X24435" t="str">
            <v>Commissions - share RI</v>
          </cell>
        </row>
        <row r="24436">
          <cell r="L24436"/>
          <cell r="S24436">
            <v>-9.48</v>
          </cell>
          <cell r="X24436" t="str">
            <v>Commissions - share RI</v>
          </cell>
        </row>
        <row r="24437">
          <cell r="L24437"/>
          <cell r="S24437">
            <v>-2.44</v>
          </cell>
          <cell r="X24437" t="str">
            <v>Commissions - share RI</v>
          </cell>
        </row>
        <row r="24438">
          <cell r="L24438"/>
          <cell r="S24438">
            <v>184.22</v>
          </cell>
          <cell r="X24438" t="str">
            <v>Commissions - share RI</v>
          </cell>
        </row>
        <row r="24439">
          <cell r="L24439"/>
          <cell r="S24439">
            <v>-0.53</v>
          </cell>
          <cell r="X24439" t="str">
            <v>Commissions - share RI</v>
          </cell>
        </row>
        <row r="24440">
          <cell r="L24440"/>
          <cell r="S24440">
            <v>2.5299999999999998</v>
          </cell>
          <cell r="X24440" t="str">
            <v>Commissions - share RI</v>
          </cell>
        </row>
        <row r="24441">
          <cell r="L24441"/>
          <cell r="S24441">
            <v>750.12</v>
          </cell>
          <cell r="X24441" t="str">
            <v>Commissions - share RI</v>
          </cell>
        </row>
        <row r="24442">
          <cell r="L24442"/>
          <cell r="S24442">
            <v>-240.04</v>
          </cell>
          <cell r="X24442" t="str">
            <v>Commissions - share RI</v>
          </cell>
        </row>
        <row r="24443">
          <cell r="L24443"/>
          <cell r="S24443">
            <v>-2400.4</v>
          </cell>
          <cell r="X24443" t="str">
            <v>Commissions - share RI</v>
          </cell>
        </row>
        <row r="24444">
          <cell r="L24444"/>
          <cell r="S24444">
            <v>12.11</v>
          </cell>
          <cell r="X24444" t="str">
            <v>Commissions - share RI</v>
          </cell>
        </row>
        <row r="24445">
          <cell r="L24445"/>
          <cell r="S24445">
            <v>-0.61</v>
          </cell>
          <cell r="X24445" t="str">
            <v>Commissions - share RI</v>
          </cell>
        </row>
        <row r="24446">
          <cell r="L24446"/>
          <cell r="S24446">
            <v>-2550.4299999999998</v>
          </cell>
          <cell r="X24446" t="str">
            <v>Commissions - share RI</v>
          </cell>
        </row>
        <row r="24447">
          <cell r="L24447"/>
          <cell r="S24447">
            <v>-1.97</v>
          </cell>
          <cell r="X24447" t="str">
            <v>Commissions - share RI</v>
          </cell>
        </row>
        <row r="24448">
          <cell r="L24448"/>
          <cell r="S24448">
            <v>-0.98</v>
          </cell>
          <cell r="X24448" t="str">
            <v>Commissions - share RI</v>
          </cell>
        </row>
        <row r="24449">
          <cell r="L24449"/>
          <cell r="S24449">
            <v>-232.86</v>
          </cell>
          <cell r="X24449" t="str">
            <v>Commissions - share RI</v>
          </cell>
        </row>
        <row r="24450">
          <cell r="L24450"/>
          <cell r="S24450">
            <v>36.840000000000003</v>
          </cell>
          <cell r="X24450" t="str">
            <v>Commissions - share RI</v>
          </cell>
        </row>
        <row r="24451">
          <cell r="L24451"/>
          <cell r="S24451">
            <v>35.14</v>
          </cell>
          <cell r="X24451" t="str">
            <v>Commissions - share RI</v>
          </cell>
        </row>
        <row r="24452">
          <cell r="L24452"/>
          <cell r="S24452">
            <v>-45.36</v>
          </cell>
          <cell r="X24452" t="str">
            <v>Commissions - share RI</v>
          </cell>
        </row>
        <row r="24453">
          <cell r="L24453"/>
          <cell r="S24453">
            <v>0.74</v>
          </cell>
          <cell r="X24453" t="str">
            <v>Commissions - share RI</v>
          </cell>
        </row>
        <row r="24454">
          <cell r="L24454"/>
          <cell r="S24454">
            <v>-2113.7600000000002</v>
          </cell>
          <cell r="X24454" t="str">
            <v>Commissions - share RI</v>
          </cell>
        </row>
        <row r="24455">
          <cell r="L24455"/>
          <cell r="S24455">
            <v>-0.59</v>
          </cell>
          <cell r="X24455" t="str">
            <v>Commissions - share RI</v>
          </cell>
        </row>
        <row r="24456">
          <cell r="L24456"/>
          <cell r="S24456">
            <v>-240.04</v>
          </cell>
          <cell r="X24456" t="str">
            <v>Commissions - share RI</v>
          </cell>
        </row>
        <row r="24457">
          <cell r="L24457"/>
          <cell r="S24457">
            <v>-11328.89</v>
          </cell>
          <cell r="X24457" t="str">
            <v>Commissions - share RI</v>
          </cell>
        </row>
        <row r="24458">
          <cell r="L24458"/>
          <cell r="S24458">
            <v>-24394.42</v>
          </cell>
          <cell r="X24458" t="str">
            <v>Claims - share RI</v>
          </cell>
        </row>
        <row r="24459">
          <cell r="L24459"/>
          <cell r="S24459">
            <v>24467.11</v>
          </cell>
          <cell r="X24459" t="str">
            <v>Claims - share RI</v>
          </cell>
        </row>
        <row r="24460">
          <cell r="L24460"/>
          <cell r="S24460">
            <v>208.32</v>
          </cell>
          <cell r="X24460" t="str">
            <v>Commissions - share RI</v>
          </cell>
        </row>
        <row r="24461">
          <cell r="L24461"/>
          <cell r="S24461">
            <v>-1498.85</v>
          </cell>
          <cell r="X24461" t="str">
            <v>Commissions - share RI</v>
          </cell>
        </row>
        <row r="24462">
          <cell r="L24462"/>
          <cell r="S24462">
            <v>-896.84</v>
          </cell>
          <cell r="X24462" t="str">
            <v>Commissions - share RI</v>
          </cell>
        </row>
        <row r="24463">
          <cell r="L24463"/>
          <cell r="S24463">
            <v>-2083.2399999999998</v>
          </cell>
          <cell r="X24463" t="str">
            <v>Commissions - share RI</v>
          </cell>
        </row>
        <row r="24464">
          <cell r="L24464"/>
          <cell r="S24464">
            <v>54379.4</v>
          </cell>
          <cell r="X24464" t="str">
            <v>Commissions - share RI</v>
          </cell>
        </row>
        <row r="24465">
          <cell r="L24465"/>
          <cell r="S24465">
            <v>532.84</v>
          </cell>
          <cell r="X24465" t="str">
            <v>Commissions - share RI</v>
          </cell>
        </row>
        <row r="24466">
          <cell r="L24466"/>
          <cell r="S24466">
            <v>103.55</v>
          </cell>
          <cell r="X24466" t="str">
            <v>Commissions - share RI</v>
          </cell>
        </row>
        <row r="24467">
          <cell r="L24467"/>
          <cell r="S24467">
            <v>11957.83</v>
          </cell>
          <cell r="X24467" t="str">
            <v>Commissions - share RI</v>
          </cell>
        </row>
        <row r="24468">
          <cell r="L24468"/>
          <cell r="S24468">
            <v>-6320.53</v>
          </cell>
          <cell r="X24468" t="str">
            <v>Commissions - share RI</v>
          </cell>
        </row>
        <row r="24469">
          <cell r="L24469"/>
          <cell r="S24469">
            <v>112.41</v>
          </cell>
          <cell r="X24469" t="str">
            <v>Commissions - share RI</v>
          </cell>
        </row>
        <row r="24470">
          <cell r="L24470"/>
          <cell r="S24470">
            <v>4.43</v>
          </cell>
          <cell r="X24470" t="str">
            <v>Commissions - share RI</v>
          </cell>
        </row>
        <row r="24471">
          <cell r="L24471"/>
          <cell r="S24471">
            <v>-4541.1000000000004</v>
          </cell>
          <cell r="X24471" t="str">
            <v>Commissions - share RI</v>
          </cell>
        </row>
        <row r="24472">
          <cell r="L24472"/>
          <cell r="S24472">
            <v>-966.66</v>
          </cell>
          <cell r="X24472" t="str">
            <v>Commissions - share RI</v>
          </cell>
        </row>
        <row r="24473">
          <cell r="L24473"/>
          <cell r="S24473">
            <v>-462.46</v>
          </cell>
          <cell r="X24473" t="str">
            <v>Commissions - share RI</v>
          </cell>
        </row>
        <row r="24474">
          <cell r="L24474"/>
          <cell r="S24474">
            <v>-1087.9100000000001</v>
          </cell>
          <cell r="X24474" t="str">
            <v>Commissions - share RI</v>
          </cell>
        </row>
        <row r="24475">
          <cell r="L24475"/>
          <cell r="S24475">
            <v>52.08</v>
          </cell>
          <cell r="X24475" t="str">
            <v>Commissions - share RI</v>
          </cell>
        </row>
        <row r="24476">
          <cell r="L24476"/>
          <cell r="S24476">
            <v>245.04</v>
          </cell>
          <cell r="X24476" t="str">
            <v>Commissions - share RI</v>
          </cell>
        </row>
        <row r="24477">
          <cell r="L24477"/>
          <cell r="S24477">
            <v>-2461.23</v>
          </cell>
          <cell r="X24477" t="str">
            <v>Commissions - share RI</v>
          </cell>
        </row>
        <row r="24478">
          <cell r="L24478"/>
          <cell r="S24478">
            <v>-520.80999999999995</v>
          </cell>
          <cell r="X24478" t="str">
            <v>Commissions - share RI</v>
          </cell>
        </row>
        <row r="24479">
          <cell r="L24479"/>
          <cell r="S24479">
            <v>-373.97</v>
          </cell>
          <cell r="X24479" t="str">
            <v>Commissions - share RI</v>
          </cell>
        </row>
        <row r="24480">
          <cell r="L24480"/>
          <cell r="S24480">
            <v>3.29</v>
          </cell>
          <cell r="X24480" t="str">
            <v>Commissions - share RI</v>
          </cell>
        </row>
        <row r="24481">
          <cell r="L24481"/>
          <cell r="S24481">
            <v>53.47</v>
          </cell>
          <cell r="X24481" t="str">
            <v>Commissions - share RI</v>
          </cell>
        </row>
        <row r="24482">
          <cell r="L24482"/>
          <cell r="S24482">
            <v>3808.45</v>
          </cell>
          <cell r="X24482" t="str">
            <v>Commissions - share RI</v>
          </cell>
        </row>
        <row r="24483">
          <cell r="L24483"/>
          <cell r="S24483">
            <v>-58.56</v>
          </cell>
          <cell r="X24483" t="str">
            <v>Commissions - share RI</v>
          </cell>
        </row>
        <row r="24484">
          <cell r="L24484"/>
          <cell r="S24484">
            <v>81.599999999999994</v>
          </cell>
          <cell r="X24484" t="str">
            <v>Commissions - share RI</v>
          </cell>
        </row>
        <row r="24485">
          <cell r="L24485"/>
          <cell r="S24485">
            <v>4.4000000000000004</v>
          </cell>
          <cell r="X24485" t="str">
            <v>Commissions - share RI</v>
          </cell>
        </row>
        <row r="24486">
          <cell r="L24486"/>
          <cell r="S24486">
            <v>-4475.78</v>
          </cell>
          <cell r="X24486" t="str">
            <v>Commissions - share RI</v>
          </cell>
        </row>
        <row r="24487">
          <cell r="L24487"/>
          <cell r="S24487">
            <v>305.95999999999998</v>
          </cell>
          <cell r="X24487" t="str">
            <v>Commissions - share RI</v>
          </cell>
        </row>
        <row r="24488">
          <cell r="L24488"/>
          <cell r="S24488">
            <v>48.55</v>
          </cell>
          <cell r="X24488" t="str">
            <v>Commissions - share RI</v>
          </cell>
        </row>
        <row r="24489">
          <cell r="L24489"/>
          <cell r="S24489">
            <v>156.63</v>
          </cell>
          <cell r="X24489" t="str">
            <v>Commissions - share RI</v>
          </cell>
        </row>
        <row r="24490">
          <cell r="L24490"/>
          <cell r="S24490">
            <v>236.02</v>
          </cell>
          <cell r="X24490" t="str">
            <v>Commissions - share RI</v>
          </cell>
        </row>
        <row r="24491">
          <cell r="L24491"/>
          <cell r="S24491">
            <v>4.2300000000000004</v>
          </cell>
          <cell r="X24491" t="str">
            <v>Commissions - share RI</v>
          </cell>
        </row>
        <row r="24492">
          <cell r="L24492"/>
          <cell r="S24492">
            <v>-56.41</v>
          </cell>
          <cell r="X24492" t="str">
            <v>Commissions - share RI</v>
          </cell>
        </row>
        <row r="24493">
          <cell r="L24493"/>
          <cell r="S24493">
            <v>-1047.9100000000001</v>
          </cell>
          <cell r="X24493" t="str">
            <v>Commissions - share RI</v>
          </cell>
        </row>
        <row r="24494">
          <cell r="L24494"/>
          <cell r="S24494">
            <v>78.599999999999994</v>
          </cell>
          <cell r="X24494" t="str">
            <v>Commissions - share RI</v>
          </cell>
        </row>
        <row r="24495">
          <cell r="L24495"/>
          <cell r="S24495">
            <v>-2370.73</v>
          </cell>
          <cell r="X24495" t="str">
            <v>Commissions - share RI</v>
          </cell>
        </row>
        <row r="24496">
          <cell r="L24496"/>
          <cell r="S24496">
            <v>3.29</v>
          </cell>
          <cell r="X24496" t="str">
            <v>Commissions - share RI</v>
          </cell>
        </row>
        <row r="24497">
          <cell r="L24497"/>
          <cell r="S24497">
            <v>52.08</v>
          </cell>
          <cell r="X24497" t="str">
            <v>Commissions - share RI</v>
          </cell>
        </row>
        <row r="24498">
          <cell r="L24498"/>
          <cell r="S24498">
            <v>-520.80999999999995</v>
          </cell>
          <cell r="X24498" t="str">
            <v>Commissions - share RI</v>
          </cell>
        </row>
        <row r="24499">
          <cell r="L24499"/>
          <cell r="S24499">
            <v>-135917.64000000001</v>
          </cell>
          <cell r="X24499" t="str">
            <v>Commissions - share RI</v>
          </cell>
        </row>
        <row r="24500">
          <cell r="L24500"/>
          <cell r="S24500">
            <v>-249.19</v>
          </cell>
          <cell r="X24500" t="str">
            <v>Commissions - share RI</v>
          </cell>
        </row>
        <row r="24501">
          <cell r="L24501"/>
          <cell r="S24501">
            <v>-217255.85</v>
          </cell>
          <cell r="X24501" t="str">
            <v>Commissions - share RI</v>
          </cell>
        </row>
        <row r="24502">
          <cell r="L24502"/>
          <cell r="S24502">
            <v>40.76</v>
          </cell>
          <cell r="X24502" t="str">
            <v>Commissions - share RI</v>
          </cell>
        </row>
        <row r="24503">
          <cell r="L24503"/>
          <cell r="S24503">
            <v>-772.62</v>
          </cell>
          <cell r="X24503" t="str">
            <v>Commissions - share RI</v>
          </cell>
        </row>
        <row r="24504">
          <cell r="L24504"/>
          <cell r="S24504">
            <v>-520.80999999999995</v>
          </cell>
          <cell r="X24504" t="str">
            <v>Commissions - share RI</v>
          </cell>
        </row>
        <row r="24505">
          <cell r="L24505"/>
          <cell r="S24505">
            <v>3.29</v>
          </cell>
          <cell r="X24505" t="str">
            <v>Commissions - share RI</v>
          </cell>
        </row>
        <row r="24506">
          <cell r="L24506"/>
          <cell r="S24506">
            <v>-421.93</v>
          </cell>
          <cell r="X24506" t="str">
            <v>Commissions - share RI</v>
          </cell>
        </row>
        <row r="24507">
          <cell r="L24507"/>
          <cell r="S24507">
            <v>-4128.3</v>
          </cell>
          <cell r="X24507" t="str">
            <v>Commissions - share RI</v>
          </cell>
        </row>
        <row r="24508">
          <cell r="L24508"/>
          <cell r="S24508">
            <v>-2090.0100000000002</v>
          </cell>
          <cell r="X24508" t="str">
            <v>Commissions - share RI</v>
          </cell>
        </row>
        <row r="24509">
          <cell r="L24509"/>
          <cell r="S24509">
            <v>4.03</v>
          </cell>
          <cell r="X24509" t="str">
            <v>Commissions - share RI</v>
          </cell>
        </row>
        <row r="24510">
          <cell r="L24510"/>
          <cell r="S24510">
            <v>6952.23</v>
          </cell>
          <cell r="X24510" t="str">
            <v>Commissions - share RI</v>
          </cell>
        </row>
        <row r="24511">
          <cell r="L24511"/>
          <cell r="S24511">
            <v>4521.54</v>
          </cell>
          <cell r="X24511" t="str">
            <v>Commissions - share RI</v>
          </cell>
        </row>
        <row r="24512">
          <cell r="L24512"/>
          <cell r="S24512">
            <v>125771.87</v>
          </cell>
          <cell r="X24512" t="str">
            <v>Commissions - share RI</v>
          </cell>
        </row>
        <row r="24513">
          <cell r="L24513"/>
          <cell r="S24513">
            <v>57.95</v>
          </cell>
          <cell r="X24513" t="str">
            <v>Commissions - share RI</v>
          </cell>
        </row>
        <row r="24514">
          <cell r="L24514"/>
          <cell r="S24514">
            <v>3539.07</v>
          </cell>
          <cell r="X24514" t="str">
            <v>Commissions - share RI</v>
          </cell>
        </row>
        <row r="24515">
          <cell r="L24515"/>
          <cell r="S24515">
            <v>-38115.06</v>
          </cell>
          <cell r="X24515" t="str">
            <v>Commissions - share RI</v>
          </cell>
        </row>
        <row r="24516">
          <cell r="L24516"/>
          <cell r="S24516">
            <v>414497.16</v>
          </cell>
          <cell r="X24516" t="str">
            <v>Commissions - share RI</v>
          </cell>
        </row>
        <row r="24517">
          <cell r="L24517"/>
          <cell r="S24517">
            <v>52.08</v>
          </cell>
          <cell r="X24517" t="str">
            <v>Commissions - share RI</v>
          </cell>
        </row>
        <row r="24518">
          <cell r="L24518"/>
          <cell r="S24518">
            <v>208</v>
          </cell>
          <cell r="X24518" t="str">
            <v>Commissions - share RI</v>
          </cell>
        </row>
        <row r="24519">
          <cell r="L24519"/>
          <cell r="S24519">
            <v>-53.61</v>
          </cell>
          <cell r="X24519" t="str">
            <v>Commissions - share RI</v>
          </cell>
        </row>
        <row r="24520">
          <cell r="L24520"/>
          <cell r="S24520">
            <v>13528.73</v>
          </cell>
          <cell r="X24520" t="str">
            <v>Commissions - share RI</v>
          </cell>
        </row>
        <row r="24521">
          <cell r="L24521"/>
          <cell r="S24521">
            <v>388.67</v>
          </cell>
          <cell r="X24521" t="str">
            <v>Commissions - share RI</v>
          </cell>
        </row>
        <row r="24522">
          <cell r="L24522"/>
          <cell r="S24522">
            <v>-13696.12</v>
          </cell>
          <cell r="X24522" t="str">
            <v>Commissions - share RI</v>
          </cell>
        </row>
        <row r="24523">
          <cell r="L24523"/>
          <cell r="S24523">
            <v>-2437.63</v>
          </cell>
          <cell r="X24523" t="str">
            <v>Commissions - share RI</v>
          </cell>
        </row>
        <row r="24524">
          <cell r="L24524"/>
          <cell r="S24524">
            <v>-1176.98</v>
          </cell>
          <cell r="X24524" t="str">
            <v>Commissions - share RI</v>
          </cell>
        </row>
        <row r="24525">
          <cell r="L24525"/>
          <cell r="S24525">
            <v>6.59</v>
          </cell>
          <cell r="X24525" t="str">
            <v>Commissions - share RI</v>
          </cell>
        </row>
        <row r="24526">
          <cell r="L24526"/>
          <cell r="S24526">
            <v>7732.14</v>
          </cell>
          <cell r="X24526" t="str">
            <v>Commissions - share RI</v>
          </cell>
        </row>
        <row r="24527">
          <cell r="L24527"/>
          <cell r="S24527">
            <v>-3906.68</v>
          </cell>
          <cell r="X24527" t="str">
            <v>Commissions - share RI</v>
          </cell>
        </row>
        <row r="24528">
          <cell r="L24528"/>
          <cell r="S24528">
            <v>134.41999999999999</v>
          </cell>
          <cell r="X24528" t="str">
            <v>Commissions - share RI</v>
          </cell>
        </row>
        <row r="24529">
          <cell r="L24529"/>
          <cell r="S24529">
            <v>-579.91999999999996</v>
          </cell>
          <cell r="X24529" t="str">
            <v>Commissions - share RI</v>
          </cell>
        </row>
        <row r="24530">
          <cell r="L24530"/>
          <cell r="S24530">
            <v>-1421.04</v>
          </cell>
          <cell r="X24530" t="str">
            <v>Commissions - share RI</v>
          </cell>
        </row>
        <row r="24531">
          <cell r="L24531"/>
          <cell r="S24531">
            <v>117.7</v>
          </cell>
          <cell r="X24531" t="str">
            <v>Commissions - share RI</v>
          </cell>
        </row>
        <row r="24532">
          <cell r="L24532"/>
          <cell r="S24532">
            <v>-13894.47</v>
          </cell>
          <cell r="X24532" t="str">
            <v>Commissions - share RI</v>
          </cell>
        </row>
        <row r="24533">
          <cell r="L24533"/>
          <cell r="S24533">
            <v>-4155.8500000000004</v>
          </cell>
          <cell r="X24533" t="str">
            <v>Commissions - share RI</v>
          </cell>
        </row>
        <row r="24534">
          <cell r="L24534"/>
          <cell r="S24534">
            <v>74.819999999999993</v>
          </cell>
          <cell r="X24534" t="str">
            <v>Commissions - share RI</v>
          </cell>
        </row>
        <row r="24535">
          <cell r="L24535"/>
          <cell r="S24535">
            <v>-7077.99</v>
          </cell>
          <cell r="X24535" t="str">
            <v>Commissions - share RI</v>
          </cell>
        </row>
        <row r="24536">
          <cell r="L24536"/>
          <cell r="S24536">
            <v>-1757.62</v>
          </cell>
          <cell r="X24536" t="str">
            <v>Commissions - share RI</v>
          </cell>
        </row>
        <row r="24537">
          <cell r="L24537"/>
          <cell r="S24537">
            <v>171.34</v>
          </cell>
          <cell r="X24537" t="str">
            <v>Commissions - share RI</v>
          </cell>
        </row>
        <row r="24538">
          <cell r="L24538"/>
          <cell r="S24538">
            <v>32.93</v>
          </cell>
          <cell r="X24538" t="str">
            <v>Commissions - share RI</v>
          </cell>
        </row>
        <row r="24539">
          <cell r="L24539"/>
          <cell r="S24539">
            <v>2.2000000000000002</v>
          </cell>
          <cell r="X24539" t="str">
            <v>Commissions - share RI</v>
          </cell>
        </row>
        <row r="24540">
          <cell r="L24540"/>
          <cell r="S24540">
            <v>-396.08</v>
          </cell>
          <cell r="X24540" t="str">
            <v>Commissions - share RI</v>
          </cell>
        </row>
        <row r="24541">
          <cell r="L24541"/>
          <cell r="S24541">
            <v>-1723.12</v>
          </cell>
          <cell r="X24541" t="str">
            <v>Commissions - share RI</v>
          </cell>
        </row>
        <row r="24542">
          <cell r="L24542"/>
          <cell r="S24542">
            <v>707.24</v>
          </cell>
          <cell r="X24542" t="str">
            <v>Commissions - share RI</v>
          </cell>
        </row>
        <row r="24543">
          <cell r="L24543"/>
          <cell r="S24543">
            <v>39.61</v>
          </cell>
          <cell r="X24543" t="str">
            <v>Commissions - share RI</v>
          </cell>
        </row>
        <row r="24544">
          <cell r="L24544"/>
          <cell r="S24544">
            <v>2059.59</v>
          </cell>
          <cell r="X24544" t="str">
            <v>Commissions - share RI</v>
          </cell>
        </row>
        <row r="24545">
          <cell r="L24545"/>
          <cell r="S24545">
            <v>-1799.71</v>
          </cell>
          <cell r="X24545" t="str">
            <v>Commissions - share RI</v>
          </cell>
        </row>
        <row r="24546">
          <cell r="L24546"/>
          <cell r="S24546">
            <v>9.92</v>
          </cell>
          <cell r="X24546" t="str">
            <v>Commissions - share RI</v>
          </cell>
        </row>
        <row r="24547">
          <cell r="L24547"/>
          <cell r="S24547">
            <v>-463.17</v>
          </cell>
          <cell r="X24547" t="str">
            <v>Commissions - share RI</v>
          </cell>
        </row>
        <row r="24548">
          <cell r="L24548"/>
          <cell r="S24548">
            <v>-952.24</v>
          </cell>
          <cell r="X24548" t="str">
            <v>Commissions - share RI</v>
          </cell>
        </row>
        <row r="24549">
          <cell r="L24549"/>
          <cell r="S24549">
            <v>-11037.81</v>
          </cell>
          <cell r="X24549" t="str">
            <v>Commissions - share RI</v>
          </cell>
        </row>
        <row r="24550">
          <cell r="L24550"/>
          <cell r="S24550">
            <v>-20631.740000000002</v>
          </cell>
          <cell r="X24550" t="str">
            <v>Commissions - share RI</v>
          </cell>
        </row>
        <row r="24551">
          <cell r="L24551"/>
          <cell r="S24551">
            <v>63832.26</v>
          </cell>
          <cell r="X24551" t="str">
            <v>Commissions - share RI</v>
          </cell>
        </row>
        <row r="24552">
          <cell r="L24552"/>
          <cell r="S24552">
            <v>-11098.04</v>
          </cell>
          <cell r="X24552" t="str">
            <v>Commissions - share RI</v>
          </cell>
        </row>
        <row r="24553">
          <cell r="L24553"/>
          <cell r="S24553">
            <v>-205.95</v>
          </cell>
          <cell r="X24553" t="str">
            <v>Commissions - share RI</v>
          </cell>
        </row>
        <row r="24554">
          <cell r="L24554"/>
          <cell r="S24554">
            <v>-34914.839999999997</v>
          </cell>
          <cell r="X24554" t="str">
            <v>Commissions - share RI</v>
          </cell>
        </row>
        <row r="24555">
          <cell r="L24555"/>
          <cell r="S24555">
            <v>-314.60000000000002</v>
          </cell>
          <cell r="X24555" t="str">
            <v>Commissions - share RI</v>
          </cell>
        </row>
        <row r="24556">
          <cell r="L24556"/>
          <cell r="S24556">
            <v>134.99</v>
          </cell>
          <cell r="X24556" t="str">
            <v>Commissions - share RI</v>
          </cell>
        </row>
        <row r="24557">
          <cell r="L24557"/>
          <cell r="S24557">
            <v>-6450.88</v>
          </cell>
          <cell r="X24557" t="str">
            <v>Commissions - share RI</v>
          </cell>
        </row>
        <row r="24558">
          <cell r="L24558"/>
          <cell r="S24558">
            <v>-3664.97</v>
          </cell>
          <cell r="X24558" t="str">
            <v>Commissions - share RI</v>
          </cell>
        </row>
        <row r="24559">
          <cell r="L24559"/>
          <cell r="S24559">
            <v>46.3</v>
          </cell>
          <cell r="X24559" t="str">
            <v>Commissions - share RI</v>
          </cell>
        </row>
        <row r="24560">
          <cell r="L24560"/>
          <cell r="S24560">
            <v>-36575</v>
          </cell>
          <cell r="X24560" t="str">
            <v>Commissions - share RI</v>
          </cell>
        </row>
        <row r="24561">
          <cell r="L24561"/>
          <cell r="S24561">
            <v>-3619.6</v>
          </cell>
          <cell r="X24561" t="str">
            <v>Commissions - share RI</v>
          </cell>
        </row>
        <row r="24562">
          <cell r="L24562"/>
          <cell r="S24562">
            <v>831.28</v>
          </cell>
          <cell r="X24562" t="str">
            <v>Commissions - share RI</v>
          </cell>
        </row>
        <row r="24563">
          <cell r="L24563"/>
          <cell r="S24563">
            <v>31.46</v>
          </cell>
          <cell r="X24563" t="str">
            <v>Commissions - share RI</v>
          </cell>
        </row>
        <row r="24564">
          <cell r="L24564"/>
          <cell r="S24564">
            <v>1886.98</v>
          </cell>
          <cell r="X24564" t="str">
            <v>Commissions - share RI</v>
          </cell>
        </row>
        <row r="24565">
          <cell r="L24565"/>
          <cell r="S24565">
            <v>-8919.4500000000007</v>
          </cell>
          <cell r="X24565" t="str">
            <v>Commissions - share RI</v>
          </cell>
        </row>
        <row r="24566">
          <cell r="L24566"/>
          <cell r="S24566">
            <v>28551.14</v>
          </cell>
          <cell r="X24566" t="str">
            <v>Commissions - share RI</v>
          </cell>
        </row>
        <row r="24567">
          <cell r="L24567"/>
          <cell r="S24567">
            <v>-137.06</v>
          </cell>
          <cell r="X24567" t="str">
            <v>Commissions - share RI</v>
          </cell>
        </row>
        <row r="24568">
          <cell r="L24568"/>
          <cell r="S24568">
            <v>-252.17</v>
          </cell>
          <cell r="X24568" t="str">
            <v>Commissions - share RI</v>
          </cell>
        </row>
        <row r="24569">
          <cell r="L24569"/>
          <cell r="S24569">
            <v>23.26</v>
          </cell>
          <cell r="X24569" t="str">
            <v>Commissions - share RI</v>
          </cell>
        </row>
        <row r="24570">
          <cell r="L24570"/>
          <cell r="S24570">
            <v>-22859.37</v>
          </cell>
          <cell r="X24570" t="str">
            <v>Commissions - share RI</v>
          </cell>
        </row>
        <row r="24571">
          <cell r="L24571"/>
          <cell r="S24571">
            <v>-232.6</v>
          </cell>
          <cell r="X24571" t="str">
            <v>Commissions - share RI</v>
          </cell>
        </row>
        <row r="24572">
          <cell r="L24572"/>
          <cell r="S24572">
            <v>-1564.82</v>
          </cell>
          <cell r="X24572" t="str">
            <v>Commissions - share RI</v>
          </cell>
        </row>
        <row r="24573">
          <cell r="L24573"/>
          <cell r="S24573">
            <v>1827.65</v>
          </cell>
          <cell r="X24573" t="str">
            <v>Commissions - share RI</v>
          </cell>
        </row>
        <row r="24574">
          <cell r="L24574"/>
          <cell r="S24574">
            <v>-391.6</v>
          </cell>
          <cell r="X24574" t="str">
            <v>Commissions - share RI</v>
          </cell>
        </row>
        <row r="24575">
          <cell r="L24575"/>
          <cell r="S24575">
            <v>7.3</v>
          </cell>
          <cell r="X24575" t="str">
            <v>Commissions - share RI</v>
          </cell>
        </row>
        <row r="24576">
          <cell r="L24576"/>
          <cell r="S24576">
            <v>25.22</v>
          </cell>
          <cell r="X24576" t="str">
            <v>Commissions - share RI</v>
          </cell>
        </row>
        <row r="24577">
          <cell r="L24577"/>
          <cell r="S24577">
            <v>11.63</v>
          </cell>
          <cell r="X24577" t="str">
            <v>Commissions - share RI</v>
          </cell>
        </row>
        <row r="24578">
          <cell r="L24578"/>
          <cell r="S24578">
            <v>-27.65</v>
          </cell>
          <cell r="X24578" t="str">
            <v>Commissions - share RI</v>
          </cell>
        </row>
        <row r="24579">
          <cell r="L24579"/>
          <cell r="S24579">
            <v>-2822</v>
          </cell>
          <cell r="X24579" t="str">
            <v>Commissions - share RI</v>
          </cell>
        </row>
        <row r="24580">
          <cell r="L24580"/>
          <cell r="S24580">
            <v>-4324.57</v>
          </cell>
          <cell r="X24580" t="str">
            <v>Commissions - share RI</v>
          </cell>
        </row>
        <row r="24581">
          <cell r="L24581"/>
          <cell r="S24581">
            <v>2.76</v>
          </cell>
          <cell r="X24581" t="str">
            <v>Commissions - share RI</v>
          </cell>
        </row>
        <row r="24582">
          <cell r="L24582"/>
          <cell r="S24582">
            <v>-6936.27</v>
          </cell>
          <cell r="X24582" t="str">
            <v>Commissions - share RI</v>
          </cell>
        </row>
        <row r="24583">
          <cell r="L24583"/>
          <cell r="S24583">
            <v>-383.4</v>
          </cell>
          <cell r="X24583" t="str">
            <v>Commissions - share RI</v>
          </cell>
        </row>
        <row r="24584">
          <cell r="L24584"/>
          <cell r="S24584">
            <v>-27573.59</v>
          </cell>
          <cell r="X24584" t="str">
            <v>Commissions - share RI</v>
          </cell>
        </row>
        <row r="24585">
          <cell r="L24585"/>
          <cell r="S24585">
            <v>-7217.21</v>
          </cell>
          <cell r="X24585" t="str">
            <v>Commissions - share RI</v>
          </cell>
        </row>
        <row r="24586">
          <cell r="L24586"/>
          <cell r="S24586">
            <v>38.35</v>
          </cell>
          <cell r="X24586" t="str">
            <v>Commissions - share RI</v>
          </cell>
        </row>
        <row r="24587">
          <cell r="L24587"/>
          <cell r="S24587">
            <v>1954.27</v>
          </cell>
          <cell r="X24587" t="str">
            <v>Commissions - share RI</v>
          </cell>
        </row>
        <row r="24588">
          <cell r="L24588"/>
          <cell r="S24588">
            <v>131.58000000000001</v>
          </cell>
          <cell r="X24588" t="str">
            <v>Commissions - share RI</v>
          </cell>
        </row>
        <row r="24589">
          <cell r="L24589"/>
          <cell r="S24589">
            <v>9</v>
          </cell>
          <cell r="X24589" t="str">
            <v>Commissions - share RI</v>
          </cell>
        </row>
        <row r="24590">
          <cell r="L24590"/>
          <cell r="S24590">
            <v>-2.91</v>
          </cell>
          <cell r="X24590" t="str">
            <v>Commissions - share RI</v>
          </cell>
        </row>
        <row r="24591">
          <cell r="L24591"/>
          <cell r="S24591">
            <v>25.1</v>
          </cell>
          <cell r="X24591" t="str">
            <v>Commissions - share RI</v>
          </cell>
        </row>
        <row r="24592">
          <cell r="L24592"/>
          <cell r="S24592">
            <v>234.53</v>
          </cell>
          <cell r="X24592" t="str">
            <v>Commissions - share RI</v>
          </cell>
        </row>
        <row r="24593">
          <cell r="L24593"/>
          <cell r="S24593">
            <v>-15611.67</v>
          </cell>
          <cell r="X24593" t="str">
            <v>Commissions - share RI</v>
          </cell>
        </row>
        <row r="24594">
          <cell r="L24594"/>
          <cell r="S24594">
            <v>-2520.39</v>
          </cell>
          <cell r="X24594" t="str">
            <v>Commissions - share RI</v>
          </cell>
        </row>
        <row r="24595">
          <cell r="L24595"/>
          <cell r="S24595">
            <v>683.74</v>
          </cell>
          <cell r="X24595" t="str">
            <v>Commissions - share RI</v>
          </cell>
        </row>
        <row r="24596">
          <cell r="L24596"/>
          <cell r="S24596">
            <v>-1341.96</v>
          </cell>
          <cell r="X24596" t="str">
            <v>Commissions - share RI</v>
          </cell>
        </row>
        <row r="24597">
          <cell r="L24597"/>
          <cell r="S24597">
            <v>-250.99</v>
          </cell>
          <cell r="X24597" t="str">
            <v>Commissions - share RI</v>
          </cell>
        </row>
        <row r="24598">
          <cell r="L24598"/>
          <cell r="S24598">
            <v>31.46</v>
          </cell>
          <cell r="X24598" t="str">
            <v>Commissions - share RI</v>
          </cell>
        </row>
        <row r="24599">
          <cell r="L24599"/>
          <cell r="S24599">
            <v>-13821.8</v>
          </cell>
          <cell r="X24599" t="str">
            <v>Commissions - share RI</v>
          </cell>
        </row>
        <row r="24600">
          <cell r="L24600"/>
          <cell r="S24600">
            <v>-314.60000000000002</v>
          </cell>
          <cell r="X24600" t="str">
            <v>Commissions - share RI</v>
          </cell>
        </row>
        <row r="24601">
          <cell r="L24601"/>
          <cell r="S24601">
            <v>-3760.47</v>
          </cell>
          <cell r="X24601" t="str">
            <v>Commissions - share RI</v>
          </cell>
        </row>
        <row r="24602">
          <cell r="L24602"/>
          <cell r="S24602">
            <v>1316.22</v>
          </cell>
          <cell r="X24602" t="str">
            <v>Commissions - share RI</v>
          </cell>
        </row>
        <row r="24603">
          <cell r="L24603"/>
          <cell r="S24603">
            <v>-1754.57</v>
          </cell>
          <cell r="X24603" t="str">
            <v>Commissions - share RI</v>
          </cell>
        </row>
        <row r="24604">
          <cell r="L24604"/>
          <cell r="S24604">
            <v>-35294.44</v>
          </cell>
          <cell r="X24604" t="str">
            <v>Commissions - share RI</v>
          </cell>
        </row>
        <row r="24605">
          <cell r="L24605"/>
          <cell r="S24605">
            <v>-83.24</v>
          </cell>
          <cell r="X24605" t="str">
            <v>Commissions - share RI</v>
          </cell>
        </row>
        <row r="24606">
          <cell r="L24606"/>
          <cell r="S24606">
            <v>-541.36</v>
          </cell>
          <cell r="X24606" t="str">
            <v>Commissions - share RI</v>
          </cell>
        </row>
        <row r="24607">
          <cell r="L24607"/>
          <cell r="S24607">
            <v>-129.9</v>
          </cell>
          <cell r="X24607" t="str">
            <v>Commissions - share RI</v>
          </cell>
        </row>
        <row r="24608">
          <cell r="L24608"/>
          <cell r="S24608">
            <v>27572.65</v>
          </cell>
          <cell r="X24608" t="str">
            <v>Commissions - share RI</v>
          </cell>
        </row>
        <row r="24609">
          <cell r="L24609"/>
          <cell r="S24609">
            <v>-58.37</v>
          </cell>
          <cell r="X24609" t="str">
            <v>Commissions - share RI</v>
          </cell>
        </row>
        <row r="24610">
          <cell r="L24610"/>
          <cell r="S24610">
            <v>12.99</v>
          </cell>
          <cell r="X24610" t="str">
            <v>Commissions - share RI</v>
          </cell>
        </row>
        <row r="24611">
          <cell r="L24611"/>
          <cell r="S24611">
            <v>25.51</v>
          </cell>
          <cell r="X24611" t="str">
            <v>Commissions - share RI</v>
          </cell>
        </row>
        <row r="24612">
          <cell r="L24612"/>
          <cell r="S24612">
            <v>778.22</v>
          </cell>
          <cell r="X24612" t="str">
            <v>Commissions - share RI</v>
          </cell>
        </row>
        <row r="24613">
          <cell r="L24613"/>
          <cell r="S24613">
            <v>-2.91</v>
          </cell>
          <cell r="X24613" t="str">
            <v>Commissions - share RI</v>
          </cell>
        </row>
        <row r="24614">
          <cell r="L24614"/>
          <cell r="S24614">
            <v>-255.04</v>
          </cell>
          <cell r="X24614" t="str">
            <v>Commissions - share RI</v>
          </cell>
        </row>
        <row r="24615">
          <cell r="L24615"/>
          <cell r="S24615">
            <v>1.1200000000000001</v>
          </cell>
          <cell r="X24615" t="str">
            <v>Commissions - share RI</v>
          </cell>
        </row>
        <row r="24616">
          <cell r="L24616"/>
          <cell r="S24616">
            <v>8.32</v>
          </cell>
          <cell r="X24616" t="str">
            <v>Commissions - share RI</v>
          </cell>
        </row>
        <row r="24617">
          <cell r="L24617"/>
          <cell r="S24617">
            <v>-2763.98</v>
          </cell>
          <cell r="X24617" t="str">
            <v>Commissions - share RI</v>
          </cell>
        </row>
        <row r="24618">
          <cell r="L24618"/>
          <cell r="S24618">
            <v>-10156.469999999999</v>
          </cell>
          <cell r="X24618" t="str">
            <v>Commissions - share RI</v>
          </cell>
        </row>
        <row r="24619">
          <cell r="L24619"/>
          <cell r="S24619">
            <v>948.69</v>
          </cell>
          <cell r="X24619" t="str">
            <v>Commissions - share RI</v>
          </cell>
        </row>
        <row r="24620">
          <cell r="L24620"/>
          <cell r="S24620">
            <v>63100.63</v>
          </cell>
          <cell r="X24620" t="str">
            <v>Commissions - share RI</v>
          </cell>
        </row>
        <row r="24621">
          <cell r="L24621"/>
          <cell r="S24621">
            <v>31.46</v>
          </cell>
          <cell r="X24621" t="str">
            <v>Commissions - share RI</v>
          </cell>
        </row>
        <row r="24622">
          <cell r="L24622"/>
          <cell r="S24622">
            <v>260.83</v>
          </cell>
          <cell r="X24622" t="str">
            <v>Commissions - share RI</v>
          </cell>
        </row>
        <row r="24623">
          <cell r="L24623"/>
          <cell r="S24623">
            <v>133.57</v>
          </cell>
          <cell r="X24623" t="str">
            <v>Commissions - share RI</v>
          </cell>
        </row>
        <row r="24624">
          <cell r="L24624"/>
          <cell r="S24624">
            <v>25.48</v>
          </cell>
          <cell r="X24624" t="str">
            <v>Commissions - share RI</v>
          </cell>
        </row>
        <row r="24625">
          <cell r="L24625"/>
          <cell r="S24625">
            <v>-2.91</v>
          </cell>
          <cell r="X24625" t="str">
            <v>Commissions - share RI</v>
          </cell>
        </row>
        <row r="24626">
          <cell r="L24626"/>
          <cell r="S24626">
            <v>-56086.71</v>
          </cell>
          <cell r="X24626" t="str">
            <v>Commissions - share RI</v>
          </cell>
        </row>
        <row r="24627">
          <cell r="L24627"/>
          <cell r="S24627">
            <v>-314.60000000000002</v>
          </cell>
          <cell r="X24627" t="str">
            <v>Commissions - share RI</v>
          </cell>
        </row>
        <row r="24628">
          <cell r="L24628"/>
          <cell r="S24628">
            <v>-75535.33</v>
          </cell>
          <cell r="X24628" t="str">
            <v>Commissions - share RI</v>
          </cell>
        </row>
        <row r="24629">
          <cell r="L24629"/>
          <cell r="S24629">
            <v>-1781.12</v>
          </cell>
          <cell r="X24629" t="str">
            <v>Commissions - share RI</v>
          </cell>
        </row>
        <row r="24630">
          <cell r="L24630"/>
          <cell r="S24630">
            <v>-90.12</v>
          </cell>
          <cell r="X24630" t="str">
            <v>Commissions - share RI</v>
          </cell>
        </row>
        <row r="24631">
          <cell r="L24631"/>
          <cell r="S24631">
            <v>9</v>
          </cell>
          <cell r="X24631" t="str">
            <v>Commissions - share RI</v>
          </cell>
        </row>
        <row r="24632">
          <cell r="L24632"/>
          <cell r="S24632">
            <v>-254.79</v>
          </cell>
          <cell r="X24632" t="str">
            <v>Commissions - share RI</v>
          </cell>
        </row>
        <row r="24633">
          <cell r="L24633"/>
          <cell r="S24633">
            <v>-2.91</v>
          </cell>
          <cell r="X24633" t="str">
            <v>Commissions - share RI</v>
          </cell>
        </row>
        <row r="24634">
          <cell r="L24634"/>
          <cell r="S24634">
            <v>-88.7</v>
          </cell>
          <cell r="X24634" t="str">
            <v>Commissions - share RI</v>
          </cell>
        </row>
        <row r="24635">
          <cell r="L24635"/>
          <cell r="S24635">
            <v>8.8699999999999992</v>
          </cell>
          <cell r="X24635" t="str">
            <v>Commissions - share RI</v>
          </cell>
        </row>
        <row r="24636">
          <cell r="L24636"/>
          <cell r="S24636">
            <v>-479.04</v>
          </cell>
          <cell r="X24636" t="str">
            <v>Commissions - share RI</v>
          </cell>
        </row>
        <row r="24637">
          <cell r="L24637"/>
          <cell r="S24637">
            <v>-567.95000000000005</v>
          </cell>
          <cell r="X24637" t="str">
            <v>Commissions - share RI</v>
          </cell>
        </row>
        <row r="24638">
          <cell r="L24638"/>
          <cell r="S24638">
            <v>-2668.4</v>
          </cell>
          <cell r="X24638" t="str">
            <v>Commissions - share RI</v>
          </cell>
        </row>
        <row r="24639">
          <cell r="L24639"/>
          <cell r="S24639">
            <v>-1753.23</v>
          </cell>
          <cell r="X24639" t="str">
            <v>Commissions - share RI</v>
          </cell>
        </row>
        <row r="24640">
          <cell r="L24640"/>
          <cell r="S24640">
            <v>3567.51</v>
          </cell>
          <cell r="X24640" t="str">
            <v>Commissions - share RI</v>
          </cell>
        </row>
        <row r="24641">
          <cell r="L24641"/>
          <cell r="S24641">
            <v>25.08</v>
          </cell>
          <cell r="X24641" t="str">
            <v>Commissions - share RI</v>
          </cell>
        </row>
        <row r="24642">
          <cell r="L24642"/>
          <cell r="S24642">
            <v>667.04</v>
          </cell>
          <cell r="X24642" t="str">
            <v>Commissions - share RI</v>
          </cell>
        </row>
        <row r="24643">
          <cell r="L24643"/>
          <cell r="S24643">
            <v>31.46</v>
          </cell>
          <cell r="X24643" t="str">
            <v>Commissions - share RI</v>
          </cell>
        </row>
        <row r="24644">
          <cell r="L24644"/>
          <cell r="S24644">
            <v>-14945.82</v>
          </cell>
          <cell r="X24644" t="str">
            <v>Commissions - share RI</v>
          </cell>
        </row>
        <row r="24645">
          <cell r="L24645"/>
          <cell r="S24645">
            <v>104.3</v>
          </cell>
          <cell r="X24645" t="str">
            <v>Commissions - share RI</v>
          </cell>
        </row>
        <row r="24646">
          <cell r="L24646"/>
          <cell r="S24646">
            <v>-6734.61</v>
          </cell>
          <cell r="X24646" t="str">
            <v>Commissions - share RI</v>
          </cell>
        </row>
        <row r="24647">
          <cell r="L24647"/>
          <cell r="S24647">
            <v>-409.58</v>
          </cell>
          <cell r="X24647" t="str">
            <v>Commissions - share RI</v>
          </cell>
        </row>
        <row r="24648">
          <cell r="L24648"/>
          <cell r="S24648">
            <v>-250.79</v>
          </cell>
          <cell r="X24648" t="str">
            <v>Commissions - share RI</v>
          </cell>
        </row>
        <row r="24649">
          <cell r="L24649"/>
          <cell r="S24649">
            <v>-4521.54</v>
          </cell>
          <cell r="X24649" t="str">
            <v>Commissions - share RI</v>
          </cell>
        </row>
        <row r="24650">
          <cell r="L24650"/>
          <cell r="S24650">
            <v>-1411.98</v>
          </cell>
          <cell r="X24650" t="str">
            <v>Commissions - share RI</v>
          </cell>
        </row>
        <row r="24651">
          <cell r="L24651"/>
          <cell r="S24651">
            <v>1428.67</v>
          </cell>
          <cell r="X24651" t="str">
            <v>Commissions - share RI</v>
          </cell>
        </row>
        <row r="24652">
          <cell r="L24652"/>
          <cell r="S24652">
            <v>-401.23</v>
          </cell>
          <cell r="X24652" t="str">
            <v>Commissions - share RI</v>
          </cell>
        </row>
        <row r="24653">
          <cell r="L24653"/>
          <cell r="S24653">
            <v>-314.60000000000002</v>
          </cell>
          <cell r="X24653" t="str">
            <v>Commissions - share RI</v>
          </cell>
        </row>
        <row r="24654">
          <cell r="L24654"/>
          <cell r="S24654">
            <v>135.19</v>
          </cell>
          <cell r="X24654" t="str">
            <v>Commissions - share RI</v>
          </cell>
        </row>
        <row r="24655">
          <cell r="L24655"/>
          <cell r="S24655">
            <v>131.47999999999999</v>
          </cell>
          <cell r="X24655" t="str">
            <v>Commissions - share RI</v>
          </cell>
        </row>
        <row r="24656">
          <cell r="L24656"/>
          <cell r="S24656">
            <v>256.74</v>
          </cell>
          <cell r="X24656" t="str">
            <v>Commissions - share RI</v>
          </cell>
        </row>
        <row r="24657">
          <cell r="L24657"/>
          <cell r="S24657">
            <v>-2.23</v>
          </cell>
          <cell r="X24657" t="str">
            <v>Commissions - share RI</v>
          </cell>
        </row>
        <row r="24658">
          <cell r="L24658"/>
          <cell r="S24658">
            <v>2.23</v>
          </cell>
          <cell r="X24658" t="str">
            <v>Commissions - share RI</v>
          </cell>
        </row>
        <row r="24659">
          <cell r="L24659"/>
          <cell r="S24659">
            <v>394106.92</v>
          </cell>
          <cell r="X24659" t="str">
            <v>Expenses</v>
          </cell>
        </row>
        <row r="24660">
          <cell r="L24660"/>
          <cell r="S24660">
            <v>27.44</v>
          </cell>
          <cell r="X24660" t="str">
            <v>Expenses</v>
          </cell>
        </row>
        <row r="24661">
          <cell r="L24661"/>
          <cell r="S24661">
            <v>-27366.27</v>
          </cell>
          <cell r="X24661" t="str">
            <v>Expenses</v>
          </cell>
        </row>
        <row r="24662">
          <cell r="L24662"/>
          <cell r="S24662">
            <v>-156.29</v>
          </cell>
          <cell r="X24662" t="str">
            <v>Expenses</v>
          </cell>
        </row>
        <row r="24663">
          <cell r="L24663"/>
          <cell r="S24663">
            <v>5197879.79</v>
          </cell>
          <cell r="X24663" t="str">
            <v>Expenses</v>
          </cell>
        </row>
        <row r="24664">
          <cell r="L24664"/>
          <cell r="S24664">
            <v>475717.99</v>
          </cell>
          <cell r="X24664" t="str">
            <v>Expenses</v>
          </cell>
        </row>
        <row r="24665">
          <cell r="L24665"/>
          <cell r="S24665">
            <v>-486450.06</v>
          </cell>
          <cell r="X24665" t="str">
            <v>Expenses</v>
          </cell>
        </row>
        <row r="24666">
          <cell r="L24666"/>
          <cell r="S24666">
            <v>291158.59000000003</v>
          </cell>
          <cell r="X24666" t="str">
            <v>Expenses</v>
          </cell>
        </row>
        <row r="24667">
          <cell r="L24667"/>
          <cell r="S24667">
            <v>355.46</v>
          </cell>
          <cell r="X24667" t="str">
            <v>Expenses</v>
          </cell>
        </row>
        <row r="24668">
          <cell r="L24668"/>
          <cell r="S24668">
            <v>57620.42</v>
          </cell>
          <cell r="X24668" t="str">
            <v>Expenses</v>
          </cell>
        </row>
        <row r="24669">
          <cell r="L24669"/>
          <cell r="S24669">
            <v>7771.88</v>
          </cell>
          <cell r="X24669" t="str">
            <v>Expenses</v>
          </cell>
        </row>
        <row r="24670">
          <cell r="L24670"/>
          <cell r="S24670">
            <v>1748.02</v>
          </cell>
          <cell r="X24670" t="str">
            <v>Expenses</v>
          </cell>
        </row>
        <row r="24671">
          <cell r="L24671"/>
          <cell r="S24671">
            <v>-477669.8</v>
          </cell>
          <cell r="X24671" t="str">
            <v>Expenses</v>
          </cell>
        </row>
        <row r="24672">
          <cell r="L24672"/>
          <cell r="S24672">
            <v>9623.33</v>
          </cell>
          <cell r="X24672" t="str">
            <v>Expenses</v>
          </cell>
        </row>
        <row r="24673">
          <cell r="L24673"/>
          <cell r="S24673">
            <v>-245496.44</v>
          </cell>
          <cell r="X24673" t="str">
            <v>Expenses</v>
          </cell>
        </row>
        <row r="24674">
          <cell r="L24674" t="str">
            <v>Non-proportional</v>
          </cell>
          <cell r="S24674">
            <v>1121.22</v>
          </cell>
          <cell r="X24674" t="str">
            <v>Expenses</v>
          </cell>
        </row>
        <row r="24675">
          <cell r="L24675" t="str">
            <v>Non-proportional</v>
          </cell>
          <cell r="S24675">
            <v>282.41000000000003</v>
          </cell>
          <cell r="X24675" t="str">
            <v>Expenses</v>
          </cell>
        </row>
        <row r="24676">
          <cell r="L24676" t="str">
            <v>Non-proportional</v>
          </cell>
          <cell r="S24676">
            <v>1979.76</v>
          </cell>
          <cell r="X24676" t="str">
            <v>Expenses</v>
          </cell>
        </row>
        <row r="24677">
          <cell r="L24677" t="str">
            <v>Non-proportional</v>
          </cell>
          <cell r="S24677">
            <v>470.87</v>
          </cell>
          <cell r="X24677" t="str">
            <v>Expenses</v>
          </cell>
        </row>
        <row r="24678">
          <cell r="L24678" t="str">
            <v>Non-proportional</v>
          </cell>
          <cell r="S24678">
            <v>1132.95</v>
          </cell>
          <cell r="X24678" t="str">
            <v>Expenses</v>
          </cell>
        </row>
        <row r="24679">
          <cell r="L24679" t="str">
            <v>Non-proportional</v>
          </cell>
          <cell r="S24679">
            <v>331.13</v>
          </cell>
          <cell r="X24679" t="str">
            <v>Expenses</v>
          </cell>
        </row>
        <row r="24680">
          <cell r="L24680" t="str">
            <v>Non-proportional</v>
          </cell>
          <cell r="S24680">
            <v>2240.4299999999998</v>
          </cell>
          <cell r="X24680" t="str">
            <v>Expenses</v>
          </cell>
        </row>
        <row r="24681">
          <cell r="L24681" t="str">
            <v>Non-proportional</v>
          </cell>
          <cell r="S24681">
            <v>522.88</v>
          </cell>
          <cell r="X24681" t="str">
            <v>Expenses</v>
          </cell>
        </row>
        <row r="24682">
          <cell r="L24682" t="str">
            <v>Non-proportional</v>
          </cell>
          <cell r="S24682">
            <v>6280.97</v>
          </cell>
          <cell r="X24682" t="str">
            <v>Expenses</v>
          </cell>
        </row>
        <row r="24683">
          <cell r="L24683" t="str">
            <v>Non-proportional</v>
          </cell>
          <cell r="S24683">
            <v>686.42</v>
          </cell>
          <cell r="X24683" t="str">
            <v>Expenses</v>
          </cell>
        </row>
        <row r="24684">
          <cell r="L24684" t="str">
            <v>Non-proportional</v>
          </cell>
          <cell r="S24684">
            <v>84.72</v>
          </cell>
          <cell r="X24684" t="str">
            <v>Expenses</v>
          </cell>
        </row>
        <row r="24685">
          <cell r="L24685" t="str">
            <v>Proportional</v>
          </cell>
          <cell r="S24685">
            <v>38.17</v>
          </cell>
          <cell r="X24685" t="str">
            <v>Expenses</v>
          </cell>
        </row>
        <row r="24686">
          <cell r="L24686" t="str">
            <v>Non-proportional</v>
          </cell>
          <cell r="S24686">
            <v>822.1</v>
          </cell>
          <cell r="X24686" t="str">
            <v>Expenses</v>
          </cell>
        </row>
        <row r="24687">
          <cell r="L24687" t="str">
            <v>Non-proportional</v>
          </cell>
          <cell r="S24687">
            <v>2294.5300000000002</v>
          </cell>
          <cell r="X24687" t="str">
            <v>Expenses</v>
          </cell>
        </row>
        <row r="24688">
          <cell r="L24688" t="str">
            <v>Non-proportional</v>
          </cell>
          <cell r="S24688">
            <v>522.88</v>
          </cell>
          <cell r="X24688" t="str">
            <v>Expenses</v>
          </cell>
        </row>
        <row r="24689">
          <cell r="L24689" t="str">
            <v>Non-proportional</v>
          </cell>
          <cell r="S24689">
            <v>8284.98</v>
          </cell>
          <cell r="X24689" t="str">
            <v>Expenses</v>
          </cell>
        </row>
        <row r="24690">
          <cell r="L24690" t="str">
            <v>Non-proportional</v>
          </cell>
          <cell r="S24690">
            <v>-84.72</v>
          </cell>
          <cell r="X24690" t="str">
            <v>Expenses</v>
          </cell>
        </row>
        <row r="24691">
          <cell r="L24691" t="str">
            <v>Non-proportional</v>
          </cell>
          <cell r="S24691">
            <v>3374.36</v>
          </cell>
          <cell r="X24691" t="str">
            <v>Expenses</v>
          </cell>
        </row>
        <row r="24692">
          <cell r="L24692" t="str">
            <v>Non-proportional</v>
          </cell>
          <cell r="S24692">
            <v>1131.07</v>
          </cell>
          <cell r="X24692" t="str">
            <v>Expenses</v>
          </cell>
        </row>
        <row r="24693">
          <cell r="L24693" t="str">
            <v>Non-proportional</v>
          </cell>
          <cell r="S24693">
            <v>4075.53</v>
          </cell>
          <cell r="X24693" t="str">
            <v>Expenses</v>
          </cell>
        </row>
        <row r="24694">
          <cell r="L24694" t="str">
            <v>Non-proportional</v>
          </cell>
          <cell r="S24694">
            <v>973.22</v>
          </cell>
          <cell r="X24694" t="str">
            <v>Expenses</v>
          </cell>
        </row>
        <row r="24695">
          <cell r="L24695" t="str">
            <v>Non-proportional</v>
          </cell>
          <cell r="S24695">
            <v>336.52</v>
          </cell>
          <cell r="X24695" t="str">
            <v>Expenses</v>
          </cell>
        </row>
        <row r="24696">
          <cell r="L24696" t="str">
            <v>Non-proportional</v>
          </cell>
          <cell r="S24696">
            <v>3211.53</v>
          </cell>
          <cell r="X24696" t="str">
            <v>Expenses</v>
          </cell>
        </row>
        <row r="24697">
          <cell r="L24697" t="str">
            <v>Non-proportional</v>
          </cell>
          <cell r="S24697">
            <v>795.48</v>
          </cell>
          <cell r="X24697" t="str">
            <v>Expenses</v>
          </cell>
        </row>
        <row r="24698">
          <cell r="L24698" t="str">
            <v>Non-proportional</v>
          </cell>
          <cell r="S24698">
            <v>-522.88</v>
          </cell>
          <cell r="X24698" t="str">
            <v>Expenses</v>
          </cell>
        </row>
        <row r="24699">
          <cell r="L24699" t="str">
            <v>Non-proportional</v>
          </cell>
          <cell r="S24699">
            <v>-99.43</v>
          </cell>
          <cell r="X24699" t="str">
            <v>Expenses</v>
          </cell>
        </row>
        <row r="24700">
          <cell r="L24700" t="str">
            <v>Non-proportional</v>
          </cell>
          <cell r="S24700">
            <v>2604.0300000000002</v>
          </cell>
          <cell r="X24700" t="str">
            <v>Expenses</v>
          </cell>
        </row>
        <row r="24701">
          <cell r="L24701" t="str">
            <v>Non-proportional</v>
          </cell>
          <cell r="S24701">
            <v>1310.17</v>
          </cell>
          <cell r="X24701" t="str">
            <v>Expenses</v>
          </cell>
        </row>
        <row r="24702">
          <cell r="L24702" t="str">
            <v>Non-proportional</v>
          </cell>
          <cell r="S24702">
            <v>-331.13</v>
          </cell>
          <cell r="X24702" t="str">
            <v>Expenses</v>
          </cell>
        </row>
        <row r="24703">
          <cell r="L24703" t="str">
            <v>Non-proportional</v>
          </cell>
          <cell r="S24703">
            <v>-522.88</v>
          </cell>
          <cell r="X24703" t="str">
            <v>Expenses</v>
          </cell>
        </row>
        <row r="24704">
          <cell r="L24704" t="str">
            <v>Non-proportional</v>
          </cell>
          <cell r="S24704">
            <v>497.49</v>
          </cell>
          <cell r="X24704" t="str">
            <v>Expenses</v>
          </cell>
        </row>
        <row r="24705">
          <cell r="L24705" t="str">
            <v>Non-proportional</v>
          </cell>
          <cell r="S24705">
            <v>304.14</v>
          </cell>
          <cell r="X24705" t="str">
            <v>Expenses</v>
          </cell>
        </row>
        <row r="24706">
          <cell r="L24706"/>
          <cell r="S24706">
            <v>23760.92</v>
          </cell>
          <cell r="X24706" t="str">
            <v>Expenses</v>
          </cell>
        </row>
        <row r="24707">
          <cell r="L24707" t="str">
            <v>Non-proportional</v>
          </cell>
          <cell r="S24707">
            <v>2235.1999999999998</v>
          </cell>
          <cell r="X24707" t="str">
            <v>Expenses</v>
          </cell>
        </row>
        <row r="24708">
          <cell r="L24708" t="str">
            <v>Non-proportional</v>
          </cell>
          <cell r="S24708">
            <v>-336.52</v>
          </cell>
          <cell r="X24708" t="str">
            <v>Expenses</v>
          </cell>
        </row>
        <row r="24709">
          <cell r="L24709" t="str">
            <v>Non-proportional</v>
          </cell>
          <cell r="S24709">
            <v>720.9</v>
          </cell>
          <cell r="X24709" t="str">
            <v>Expenses</v>
          </cell>
        </row>
        <row r="24710">
          <cell r="L24710" t="str">
            <v>Non-proportional</v>
          </cell>
          <cell r="S24710">
            <v>99.43</v>
          </cell>
          <cell r="X24710" t="str">
            <v>Expenses</v>
          </cell>
        </row>
        <row r="24711">
          <cell r="L24711" t="str">
            <v>Proportional</v>
          </cell>
          <cell r="S24711">
            <v>58.84</v>
          </cell>
          <cell r="X24711" t="str">
            <v>Expenses</v>
          </cell>
        </row>
        <row r="24712">
          <cell r="L24712" t="str">
            <v>Non-proportional</v>
          </cell>
          <cell r="S24712">
            <v>-282.41000000000003</v>
          </cell>
          <cell r="X24712" t="str">
            <v>Expenses</v>
          </cell>
        </row>
        <row r="24713">
          <cell r="L24713" t="str">
            <v>Proportional</v>
          </cell>
          <cell r="S24713">
            <v>-12247.31</v>
          </cell>
          <cell r="X24713" t="str">
            <v>Expenses</v>
          </cell>
        </row>
        <row r="24714">
          <cell r="L24714" t="str">
            <v>Non-proportional</v>
          </cell>
          <cell r="S24714">
            <v>-796.8</v>
          </cell>
          <cell r="X24714" t="str">
            <v>Expenses</v>
          </cell>
        </row>
        <row r="24715">
          <cell r="L24715" t="str">
            <v>Proportional</v>
          </cell>
          <cell r="S24715">
            <v>12247.31</v>
          </cell>
          <cell r="X24715" t="str">
            <v>Expenses</v>
          </cell>
        </row>
        <row r="24716">
          <cell r="L24716" t="str">
            <v>Non-proportional</v>
          </cell>
          <cell r="S24716">
            <v>-6297.78</v>
          </cell>
          <cell r="X24716" t="str">
            <v>Expenses</v>
          </cell>
        </row>
        <row r="24717">
          <cell r="L24717" t="str">
            <v>Non-proportional</v>
          </cell>
          <cell r="S24717">
            <v>-781.46</v>
          </cell>
          <cell r="X24717" t="str">
            <v>Expenses</v>
          </cell>
        </row>
        <row r="24718">
          <cell r="L24718" t="str">
            <v>Non-proportional</v>
          </cell>
          <cell r="S24718">
            <v>-665.27</v>
          </cell>
          <cell r="X24718" t="str">
            <v>Expenses</v>
          </cell>
        </row>
        <row r="24719">
          <cell r="L24719" t="str">
            <v>Non-proportional</v>
          </cell>
          <cell r="S24719">
            <v>1134.18</v>
          </cell>
          <cell r="X24719" t="str">
            <v>Expenses</v>
          </cell>
        </row>
        <row r="24720">
          <cell r="L24720" t="str">
            <v>Non-proportional</v>
          </cell>
          <cell r="S24720">
            <v>-491.37</v>
          </cell>
          <cell r="X24720" t="str">
            <v>Expenses</v>
          </cell>
        </row>
        <row r="24721">
          <cell r="L24721" t="str">
            <v>Non-proportional</v>
          </cell>
          <cell r="S24721">
            <v>633.54999999999995</v>
          </cell>
          <cell r="X24721" t="str">
            <v>Expenses</v>
          </cell>
        </row>
        <row r="24722">
          <cell r="L24722" t="str">
            <v>Non-proportional</v>
          </cell>
          <cell r="S24722">
            <v>3231.17</v>
          </cell>
          <cell r="X24722" t="str">
            <v>Expenses</v>
          </cell>
        </row>
        <row r="24723">
          <cell r="L24723" t="str">
            <v>Non-proportional</v>
          </cell>
          <cell r="S24723">
            <v>1798.98</v>
          </cell>
          <cell r="X24723" t="str">
            <v>Expenses</v>
          </cell>
        </row>
        <row r="24724">
          <cell r="L24724" t="str">
            <v>Non-proportional</v>
          </cell>
          <cell r="S24724">
            <v>565.45000000000005</v>
          </cell>
          <cell r="X24724" t="str">
            <v>Expenses</v>
          </cell>
        </row>
        <row r="24725">
          <cell r="L24725" t="str">
            <v>Non-proportional</v>
          </cell>
          <cell r="S24725">
            <v>5364</v>
          </cell>
          <cell r="X24725" t="str">
            <v>Expenses</v>
          </cell>
        </row>
        <row r="24726">
          <cell r="L24726" t="str">
            <v>Non-proportional</v>
          </cell>
          <cell r="S24726">
            <v>417.66</v>
          </cell>
          <cell r="X24726" t="str">
            <v>Expenses</v>
          </cell>
        </row>
        <row r="24727">
          <cell r="L24727" t="str">
            <v>Non-proportional</v>
          </cell>
          <cell r="S24727">
            <v>-723.06</v>
          </cell>
          <cell r="X24727" t="str">
            <v>Expenses</v>
          </cell>
        </row>
        <row r="24728">
          <cell r="L24728" t="str">
            <v>Non-proportional</v>
          </cell>
          <cell r="S24728">
            <v>8957.84</v>
          </cell>
          <cell r="X24728" t="str">
            <v>Expenses</v>
          </cell>
        </row>
        <row r="24729">
          <cell r="L24729" t="str">
            <v>Non-proportional</v>
          </cell>
          <cell r="S24729">
            <v>723.06</v>
          </cell>
          <cell r="X24729" t="str">
            <v>Expenses</v>
          </cell>
        </row>
        <row r="24730">
          <cell r="L24730" t="str">
            <v>Non-proportional</v>
          </cell>
          <cell r="S24730">
            <v>-417.66</v>
          </cell>
          <cell r="X24730" t="str">
            <v>Expenses</v>
          </cell>
        </row>
        <row r="24731">
          <cell r="L24731" t="str">
            <v>Non-proportional</v>
          </cell>
          <cell r="S24731">
            <v>565.45000000000005</v>
          </cell>
          <cell r="X24731" t="str">
            <v>Expenses</v>
          </cell>
        </row>
        <row r="24732">
          <cell r="L24732" t="str">
            <v>Non-proportional</v>
          </cell>
          <cell r="S24732">
            <v>4262.18</v>
          </cell>
          <cell r="X24732" t="str">
            <v>Expenses</v>
          </cell>
        </row>
        <row r="24733">
          <cell r="L24733" t="str">
            <v>Non-proportional</v>
          </cell>
          <cell r="S24733">
            <v>1187.93</v>
          </cell>
          <cell r="X24733" t="str">
            <v>Expenses</v>
          </cell>
        </row>
        <row r="24734">
          <cell r="L24734" t="str">
            <v>Non-proportional</v>
          </cell>
          <cell r="S24734">
            <v>633.54999999999995</v>
          </cell>
          <cell r="X24734" t="str">
            <v>Expenses</v>
          </cell>
        </row>
        <row r="24735">
          <cell r="L24735" t="str">
            <v>Non-proportional</v>
          </cell>
          <cell r="S24735">
            <v>6297.78</v>
          </cell>
          <cell r="X24735" t="str">
            <v>Expenses</v>
          </cell>
        </row>
        <row r="24736">
          <cell r="L24736" t="str">
            <v>Non-proportional</v>
          </cell>
          <cell r="S24736">
            <v>-1134.18</v>
          </cell>
          <cell r="X24736" t="str">
            <v>Expenses</v>
          </cell>
        </row>
        <row r="24737">
          <cell r="L24737" t="str">
            <v>Non-proportional</v>
          </cell>
          <cell r="S24737">
            <v>-1798.98</v>
          </cell>
          <cell r="X24737" t="str">
            <v>Expenses</v>
          </cell>
        </row>
        <row r="24738">
          <cell r="L24738" t="str">
            <v>Proportional</v>
          </cell>
          <cell r="S24738">
            <v>5081.6400000000003</v>
          </cell>
          <cell r="X24738" t="str">
            <v>Expenses</v>
          </cell>
        </row>
        <row r="24739">
          <cell r="L24739" t="str">
            <v>Non-proportional</v>
          </cell>
          <cell r="S24739">
            <v>-565.45000000000005</v>
          </cell>
          <cell r="X24739" t="str">
            <v>Expenses</v>
          </cell>
        </row>
        <row r="24740">
          <cell r="L24740" t="str">
            <v>Proportional</v>
          </cell>
          <cell r="S24740">
            <v>-10163.280000000001</v>
          </cell>
          <cell r="X24740" t="str">
            <v>Expenses</v>
          </cell>
        </row>
        <row r="24741">
          <cell r="L24741" t="str">
            <v>Non-proportional</v>
          </cell>
          <cell r="S24741">
            <v>-665.27</v>
          </cell>
          <cell r="X24741" t="str">
            <v>Expenses</v>
          </cell>
        </row>
        <row r="24742">
          <cell r="L24742" t="str">
            <v>Non-proportional</v>
          </cell>
          <cell r="S24742">
            <v>-565.45000000000005</v>
          </cell>
          <cell r="X24742" t="str">
            <v>Expenses</v>
          </cell>
        </row>
        <row r="24743">
          <cell r="L24743" t="str">
            <v>Proportional</v>
          </cell>
          <cell r="S24743">
            <v>0.65</v>
          </cell>
          <cell r="X24743" t="str">
            <v>Expenses</v>
          </cell>
        </row>
        <row r="24744">
          <cell r="L24744" t="str">
            <v>Non-proportional</v>
          </cell>
          <cell r="S24744">
            <v>781.46</v>
          </cell>
          <cell r="X24744" t="str">
            <v>Expenses</v>
          </cell>
        </row>
        <row r="24745">
          <cell r="L24745" t="str">
            <v>Non-proportional</v>
          </cell>
          <cell r="S24745">
            <v>796.8</v>
          </cell>
          <cell r="X24745" t="str">
            <v>Expenses</v>
          </cell>
        </row>
        <row r="24746">
          <cell r="L24746" t="str">
            <v>Non-proportional</v>
          </cell>
          <cell r="S24746">
            <v>-2927.35</v>
          </cell>
          <cell r="X24746" t="str">
            <v>Expenses</v>
          </cell>
        </row>
        <row r="24747">
          <cell r="L24747" t="str">
            <v>Non-proportional</v>
          </cell>
          <cell r="S24747">
            <v>2259.09</v>
          </cell>
          <cell r="X24747" t="str">
            <v>Expenses</v>
          </cell>
        </row>
        <row r="24748">
          <cell r="L24748" t="str">
            <v>Non-proportional</v>
          </cell>
          <cell r="S24748">
            <v>-2088.86</v>
          </cell>
          <cell r="X24748" t="str">
            <v>Expenses</v>
          </cell>
        </row>
        <row r="24749">
          <cell r="L24749" t="str">
            <v>Non-proportional</v>
          </cell>
          <cell r="S24749">
            <v>-1598.54</v>
          </cell>
          <cell r="X24749" t="str">
            <v>Expenses</v>
          </cell>
        </row>
        <row r="24750">
          <cell r="L24750" t="str">
            <v>Non-proportional</v>
          </cell>
          <cell r="S24750">
            <v>-533.98</v>
          </cell>
          <cell r="X24750" t="str">
            <v>Expenses</v>
          </cell>
        </row>
        <row r="24751">
          <cell r="L24751" t="str">
            <v>Non-proportional</v>
          </cell>
          <cell r="S24751">
            <v>150.44999999999999</v>
          </cell>
          <cell r="X24751" t="str">
            <v>Expenses</v>
          </cell>
        </row>
        <row r="24752">
          <cell r="L24752" t="str">
            <v>Non-proportional</v>
          </cell>
          <cell r="S24752">
            <v>479.57</v>
          </cell>
          <cell r="X24752" t="str">
            <v>Expenses</v>
          </cell>
        </row>
        <row r="24753">
          <cell r="L24753" t="str">
            <v>Non-proportional</v>
          </cell>
          <cell r="S24753">
            <v>-73.52</v>
          </cell>
          <cell r="X24753" t="str">
            <v>Expenses</v>
          </cell>
        </row>
        <row r="24754">
          <cell r="L24754" t="str">
            <v>Non-proportional</v>
          </cell>
          <cell r="S24754">
            <v>4520.6899999999996</v>
          </cell>
          <cell r="X24754" t="str">
            <v>Expenses</v>
          </cell>
        </row>
        <row r="24755">
          <cell r="L24755" t="str">
            <v>Non-proportional</v>
          </cell>
          <cell r="S24755">
            <v>139.69999999999999</v>
          </cell>
          <cell r="X24755" t="str">
            <v>Expenses</v>
          </cell>
        </row>
        <row r="24756">
          <cell r="L24756" t="str">
            <v>Non-proportional</v>
          </cell>
          <cell r="S24756">
            <v>-661.68</v>
          </cell>
          <cell r="X24756" t="str">
            <v>Expenses</v>
          </cell>
        </row>
        <row r="24757">
          <cell r="L24757" t="str">
            <v>Non-proportional</v>
          </cell>
          <cell r="S24757">
            <v>3536.07</v>
          </cell>
          <cell r="X24757" t="str">
            <v>Expenses</v>
          </cell>
        </row>
        <row r="24758">
          <cell r="L24758" t="str">
            <v>Non-proportional</v>
          </cell>
          <cell r="S24758">
            <v>-756.54</v>
          </cell>
          <cell r="X24758" t="str">
            <v>Expenses</v>
          </cell>
        </row>
        <row r="24759">
          <cell r="L24759" t="str">
            <v>Non-proportional</v>
          </cell>
          <cell r="S24759">
            <v>7542.89</v>
          </cell>
          <cell r="X24759" t="str">
            <v>Expenses</v>
          </cell>
        </row>
        <row r="24760">
          <cell r="L24760" t="str">
            <v>Non-proportional</v>
          </cell>
          <cell r="S24760">
            <v>1717.5</v>
          </cell>
          <cell r="X24760" t="str">
            <v>Expenses</v>
          </cell>
        </row>
        <row r="24761">
          <cell r="L24761" t="str">
            <v>Non-proportional</v>
          </cell>
          <cell r="S24761">
            <v>-533.98</v>
          </cell>
          <cell r="X24761" t="str">
            <v>Expenses</v>
          </cell>
        </row>
        <row r="24762">
          <cell r="L24762" t="str">
            <v>Non-proportional</v>
          </cell>
          <cell r="S24762">
            <v>-2923.72</v>
          </cell>
          <cell r="X24762" t="str">
            <v>Expenses</v>
          </cell>
        </row>
        <row r="24763">
          <cell r="L24763" t="str">
            <v>Non-proportional</v>
          </cell>
          <cell r="S24763">
            <v>504.34</v>
          </cell>
          <cell r="X24763" t="str">
            <v>Expenses</v>
          </cell>
        </row>
        <row r="24764">
          <cell r="L24764" t="str">
            <v>Non-proportional</v>
          </cell>
          <cell r="S24764">
            <v>756.54</v>
          </cell>
          <cell r="X24764" t="str">
            <v>Expenses</v>
          </cell>
        </row>
        <row r="24765">
          <cell r="L24765" t="str">
            <v>Non-proportional</v>
          </cell>
          <cell r="S24765">
            <v>-50.44</v>
          </cell>
          <cell r="X24765" t="str">
            <v>Expenses</v>
          </cell>
        </row>
        <row r="24766">
          <cell r="L24766" t="str">
            <v>Non-proportional</v>
          </cell>
          <cell r="S24766">
            <v>-479.57</v>
          </cell>
          <cell r="X24766" t="str">
            <v>Expenses</v>
          </cell>
        </row>
        <row r="24767">
          <cell r="L24767" t="str">
            <v>Non-proportional</v>
          </cell>
          <cell r="S24767">
            <v>-1092.21</v>
          </cell>
          <cell r="X24767" t="str">
            <v>Expenses</v>
          </cell>
        </row>
        <row r="24768">
          <cell r="L24768" t="str">
            <v>Non-proportional</v>
          </cell>
          <cell r="S24768">
            <v>-7550.52</v>
          </cell>
          <cell r="X24768" t="str">
            <v>Expenses</v>
          </cell>
        </row>
        <row r="24769">
          <cell r="L24769" t="str">
            <v>Non-proportional</v>
          </cell>
          <cell r="S24769">
            <v>-3536.07</v>
          </cell>
          <cell r="X24769" t="str">
            <v>Expenses</v>
          </cell>
        </row>
        <row r="24770">
          <cell r="L24770" t="str">
            <v>Non-proportional</v>
          </cell>
          <cell r="S24770">
            <v>-4520.6899999999996</v>
          </cell>
          <cell r="X24770" t="str">
            <v>Expenses</v>
          </cell>
        </row>
        <row r="24771">
          <cell r="L24771" t="str">
            <v>Non-proportional</v>
          </cell>
          <cell r="S24771">
            <v>32.58</v>
          </cell>
          <cell r="X24771" t="str">
            <v>Expenses</v>
          </cell>
        </row>
        <row r="24772">
          <cell r="L24772" t="str">
            <v>Non-proportional</v>
          </cell>
          <cell r="S24772">
            <v>-1001.21</v>
          </cell>
          <cell r="X24772" t="str">
            <v>Expenses</v>
          </cell>
        </row>
        <row r="24773">
          <cell r="L24773" t="str">
            <v>Non-proportional</v>
          </cell>
          <cell r="S24773">
            <v>457.36</v>
          </cell>
          <cell r="X24773" t="str">
            <v>Expenses</v>
          </cell>
        </row>
        <row r="24774">
          <cell r="L24774" t="str">
            <v>Non-proportional</v>
          </cell>
          <cell r="S24774">
            <v>-1717.5</v>
          </cell>
          <cell r="X24774" t="str">
            <v>Expenses</v>
          </cell>
        </row>
        <row r="24775">
          <cell r="L24775" t="str">
            <v>Non-proportional</v>
          </cell>
          <cell r="S24775">
            <v>-457.36</v>
          </cell>
          <cell r="X24775" t="str">
            <v>Expenses</v>
          </cell>
        </row>
        <row r="24776">
          <cell r="L24776" t="str">
            <v>Non-proportional</v>
          </cell>
          <cell r="S24776">
            <v>625.09</v>
          </cell>
          <cell r="X24776" t="str">
            <v>Expenses</v>
          </cell>
        </row>
        <row r="24777">
          <cell r="L24777" t="str">
            <v>Non-proportional</v>
          </cell>
          <cell r="S24777">
            <v>-32.58</v>
          </cell>
          <cell r="X24777" t="str">
            <v>Expenses</v>
          </cell>
        </row>
        <row r="24778">
          <cell r="L24778" t="str">
            <v>Non-proportional</v>
          </cell>
          <cell r="S24778">
            <v>533.98</v>
          </cell>
          <cell r="X24778" t="str">
            <v>Expenses</v>
          </cell>
        </row>
        <row r="24779">
          <cell r="L24779" t="str">
            <v>Non-proportional</v>
          </cell>
          <cell r="S24779">
            <v>-1136.6099999999999</v>
          </cell>
          <cell r="X24779" t="str">
            <v>Expenses</v>
          </cell>
        </row>
        <row r="24780">
          <cell r="L24780" t="str">
            <v>Non-proportional</v>
          </cell>
          <cell r="S24780">
            <v>-139.69999999999999</v>
          </cell>
          <cell r="X24780" t="str">
            <v>Expenses</v>
          </cell>
        </row>
        <row r="24781">
          <cell r="L24781" t="str">
            <v>Non-proportional</v>
          </cell>
          <cell r="S24781">
            <v>325.76</v>
          </cell>
          <cell r="X24781" t="str">
            <v>Expenses</v>
          </cell>
        </row>
        <row r="24782">
          <cell r="L24782" t="str">
            <v>Non-proportional</v>
          </cell>
          <cell r="S24782">
            <v>1939.2</v>
          </cell>
          <cell r="X24782" t="str">
            <v>Expenses</v>
          </cell>
        </row>
        <row r="24783">
          <cell r="L24783" t="str">
            <v>Non-proportional</v>
          </cell>
          <cell r="S24783">
            <v>-679.43</v>
          </cell>
          <cell r="X24783" t="str">
            <v>Expenses</v>
          </cell>
        </row>
        <row r="24784">
          <cell r="L24784" t="str">
            <v>Non-proportional</v>
          </cell>
          <cell r="S24784">
            <v>2923.72</v>
          </cell>
          <cell r="X24784" t="str">
            <v>Expenses</v>
          </cell>
        </row>
        <row r="24785">
          <cell r="L24785" t="str">
            <v>Non-proportional</v>
          </cell>
          <cell r="S24785">
            <v>533.98</v>
          </cell>
          <cell r="X24785" t="str">
            <v>Expenses</v>
          </cell>
        </row>
        <row r="24786">
          <cell r="L24786" t="str">
            <v>Non-proportional</v>
          </cell>
          <cell r="S24786">
            <v>-800.83</v>
          </cell>
          <cell r="X24786" t="str">
            <v>Expenses</v>
          </cell>
        </row>
        <row r="24787">
          <cell r="L24787" t="str">
            <v>Non-proportional</v>
          </cell>
          <cell r="S24787">
            <v>1136.6099999999999</v>
          </cell>
          <cell r="X24787" t="str">
            <v>Expenses</v>
          </cell>
        </row>
        <row r="24788">
          <cell r="L24788" t="str">
            <v>Non-proportional</v>
          </cell>
          <cell r="S24788">
            <v>2722.66</v>
          </cell>
          <cell r="X24788" t="str">
            <v>Expenses</v>
          </cell>
        </row>
        <row r="24789">
          <cell r="L24789" t="str">
            <v>Non-proportional</v>
          </cell>
          <cell r="S24789">
            <v>7550.52</v>
          </cell>
          <cell r="X24789" t="str">
            <v>Expenses</v>
          </cell>
        </row>
        <row r="24790">
          <cell r="L24790" t="str">
            <v>Non-proportional</v>
          </cell>
          <cell r="S24790">
            <v>-2259.09</v>
          </cell>
          <cell r="X24790" t="str">
            <v>Expenses</v>
          </cell>
        </row>
        <row r="24791">
          <cell r="L24791" t="str">
            <v>Non-proportional</v>
          </cell>
          <cell r="S24791">
            <v>-625.09</v>
          </cell>
          <cell r="X24791" t="str">
            <v>Expenses</v>
          </cell>
        </row>
        <row r="24792">
          <cell r="L24792" t="str">
            <v>Non-proportional</v>
          </cell>
          <cell r="S24792">
            <v>735.2</v>
          </cell>
          <cell r="X24792" t="str">
            <v>Expenses</v>
          </cell>
        </row>
        <row r="24793">
          <cell r="L24793" t="str">
            <v>Non-proportional</v>
          </cell>
          <cell r="S24793">
            <v>-479.57</v>
          </cell>
          <cell r="X24793" t="str">
            <v>Expenses</v>
          </cell>
        </row>
        <row r="24794">
          <cell r="L24794" t="str">
            <v>Non-proportional</v>
          </cell>
          <cell r="S24794">
            <v>-293.18</v>
          </cell>
          <cell r="X24794" t="str">
            <v>Expenses</v>
          </cell>
        </row>
        <row r="24795">
          <cell r="L24795" t="str">
            <v>Non-proportional</v>
          </cell>
          <cell r="S24795">
            <v>2927.35</v>
          </cell>
          <cell r="X24795" t="str">
            <v>Expenses</v>
          </cell>
        </row>
        <row r="24796">
          <cell r="L24796" t="str">
            <v>Non-proportional</v>
          </cell>
          <cell r="S24796">
            <v>-1103.6400000000001</v>
          </cell>
          <cell r="X24796" t="str">
            <v>Expenses</v>
          </cell>
        </row>
        <row r="24797">
          <cell r="L24797" t="str">
            <v>Non-proportional</v>
          </cell>
          <cell r="S24797">
            <v>50.44</v>
          </cell>
          <cell r="X24797" t="str">
            <v>Expenses</v>
          </cell>
        </row>
        <row r="24798">
          <cell r="L24798" t="str">
            <v>Non-proportional</v>
          </cell>
          <cell r="S24798">
            <v>-453.91</v>
          </cell>
          <cell r="X24798" t="str">
            <v>Expenses</v>
          </cell>
        </row>
        <row r="24799">
          <cell r="L24799" t="str">
            <v>Non-proportional</v>
          </cell>
          <cell r="S24799">
            <v>479.57</v>
          </cell>
          <cell r="X24799" t="str">
            <v>Expenses</v>
          </cell>
        </row>
        <row r="24800">
          <cell r="L24800" t="str">
            <v>Non-proportional</v>
          </cell>
          <cell r="S24800">
            <v>1001.21</v>
          </cell>
          <cell r="X24800" t="str">
            <v>Expenses</v>
          </cell>
        </row>
        <row r="24801">
          <cell r="L24801" t="str">
            <v>Non-proportional</v>
          </cell>
          <cell r="S24801">
            <v>2088.86</v>
          </cell>
          <cell r="X24801" t="str">
            <v>Expenses</v>
          </cell>
        </row>
        <row r="24802">
          <cell r="L24802" t="str">
            <v>Non-proportional</v>
          </cell>
          <cell r="S24802">
            <v>73.52</v>
          </cell>
          <cell r="X24802" t="str">
            <v>Expenses</v>
          </cell>
        </row>
        <row r="24803">
          <cell r="L24803" t="str">
            <v>Non-proportional</v>
          </cell>
          <cell r="S24803">
            <v>-3592.4</v>
          </cell>
          <cell r="X24803" t="str">
            <v>Expenses</v>
          </cell>
        </row>
        <row r="24804">
          <cell r="L24804" t="str">
            <v>Non-proportional</v>
          </cell>
          <cell r="S24804">
            <v>-7542.89</v>
          </cell>
          <cell r="X24804" t="str">
            <v>Expenses</v>
          </cell>
        </row>
        <row r="24805">
          <cell r="L24805" t="str">
            <v>Non-proportional</v>
          </cell>
          <cell r="S24805">
            <v>-150.44999999999999</v>
          </cell>
          <cell r="X24805" t="str">
            <v>Expenses</v>
          </cell>
        </row>
        <row r="24806">
          <cell r="L24806" t="str">
            <v>Non-proportional</v>
          </cell>
          <cell r="S24806">
            <v>-1939.2</v>
          </cell>
          <cell r="X24806" t="str">
            <v>Expenses</v>
          </cell>
        </row>
        <row r="24807">
          <cell r="L24807" t="str">
            <v>Non-proportional</v>
          </cell>
          <cell r="S24807">
            <v>562.87</v>
          </cell>
          <cell r="X24807" t="str">
            <v>Expenses</v>
          </cell>
        </row>
        <row r="24808">
          <cell r="L24808" t="str">
            <v>Non-proportional</v>
          </cell>
          <cell r="S24808">
            <v>-562.87</v>
          </cell>
          <cell r="X24808" t="str">
            <v>Expenses</v>
          </cell>
        </row>
        <row r="24809">
          <cell r="L24809" t="str">
            <v>Non-proportional</v>
          </cell>
          <cell r="S24809">
            <v>3592.4</v>
          </cell>
          <cell r="X24809" t="str">
            <v>Expenses</v>
          </cell>
        </row>
        <row r="24810">
          <cell r="L24810" t="str">
            <v>Non-proportional</v>
          </cell>
          <cell r="S24810">
            <v>562.87</v>
          </cell>
          <cell r="X24810" t="str">
            <v>Expenses</v>
          </cell>
        </row>
        <row r="24811">
          <cell r="L24811" t="str">
            <v>Non-proportional</v>
          </cell>
          <cell r="S24811">
            <v>1598.54</v>
          </cell>
          <cell r="X24811" t="str">
            <v>Expenses</v>
          </cell>
        </row>
        <row r="24812">
          <cell r="L24812" t="str">
            <v>Non-proportional</v>
          </cell>
          <cell r="S24812">
            <v>-2722.66</v>
          </cell>
          <cell r="X24812" t="str">
            <v>Expenses</v>
          </cell>
        </row>
        <row r="24813">
          <cell r="L24813" t="str">
            <v>Non-proportional</v>
          </cell>
          <cell r="S24813">
            <v>-2629.92</v>
          </cell>
          <cell r="X24813" t="str">
            <v>Expenses</v>
          </cell>
        </row>
        <row r="24814">
          <cell r="L24814" t="str">
            <v>Non-proportional</v>
          </cell>
          <cell r="S24814">
            <v>-277.8</v>
          </cell>
          <cell r="X24814" t="str">
            <v>Expenses</v>
          </cell>
        </row>
        <row r="24815">
          <cell r="L24815" t="str">
            <v>Non-proportional</v>
          </cell>
          <cell r="S24815">
            <v>5375.18</v>
          </cell>
          <cell r="X24815" t="str">
            <v>Expenses</v>
          </cell>
        </row>
        <row r="24816">
          <cell r="L24816" t="str">
            <v>Non-proportional</v>
          </cell>
          <cell r="S24816">
            <v>2387.77</v>
          </cell>
          <cell r="X24816" t="str">
            <v>Expenses</v>
          </cell>
        </row>
        <row r="24817">
          <cell r="L24817" t="str">
            <v>Non-proportional</v>
          </cell>
          <cell r="S24817">
            <v>1670.47</v>
          </cell>
          <cell r="X24817" t="str">
            <v>Expenses</v>
          </cell>
        </row>
        <row r="24818">
          <cell r="L24818" t="str">
            <v>Non-proportional</v>
          </cell>
          <cell r="S24818">
            <v>-623.77</v>
          </cell>
          <cell r="X24818" t="str">
            <v>Expenses</v>
          </cell>
        </row>
        <row r="24819">
          <cell r="L24819" t="str">
            <v>Non-proportional</v>
          </cell>
          <cell r="S24819">
            <v>1923.47</v>
          </cell>
          <cell r="X24819" t="str">
            <v>Expenses</v>
          </cell>
        </row>
        <row r="24820">
          <cell r="L24820" t="str">
            <v>Non-proportional</v>
          </cell>
          <cell r="S24820">
            <v>1242.8</v>
          </cell>
          <cell r="X24820" t="str">
            <v>Expenses</v>
          </cell>
        </row>
        <row r="24821">
          <cell r="L24821" t="str">
            <v>Non-proportional</v>
          </cell>
          <cell r="S24821">
            <v>2900</v>
          </cell>
          <cell r="X24821" t="str">
            <v>Expenses</v>
          </cell>
        </row>
        <row r="24822">
          <cell r="L24822" t="str">
            <v>Non-proportional</v>
          </cell>
          <cell r="S24822">
            <v>-0.97</v>
          </cell>
          <cell r="X24822" t="str">
            <v>Expenses</v>
          </cell>
        </row>
        <row r="24823">
          <cell r="L24823" t="str">
            <v>Non-proportional</v>
          </cell>
          <cell r="S24823">
            <v>-573.57000000000005</v>
          </cell>
          <cell r="X24823" t="str">
            <v>Expenses</v>
          </cell>
        </row>
        <row r="24824">
          <cell r="L24824" t="str">
            <v>Non-proportional</v>
          </cell>
          <cell r="S24824">
            <v>633.36</v>
          </cell>
          <cell r="X24824" t="str">
            <v>Expenses</v>
          </cell>
        </row>
        <row r="24825">
          <cell r="L24825" t="str">
            <v>Non-proportional</v>
          </cell>
          <cell r="S24825">
            <v>-395.48</v>
          </cell>
          <cell r="X24825" t="str">
            <v>Expenses</v>
          </cell>
        </row>
        <row r="24826">
          <cell r="L24826" t="str">
            <v>Non-proportional</v>
          </cell>
          <cell r="S24826">
            <v>1294.58</v>
          </cell>
          <cell r="X24826" t="str">
            <v>Expenses</v>
          </cell>
        </row>
        <row r="24827">
          <cell r="L24827" t="str">
            <v>Non-proportional</v>
          </cell>
          <cell r="S24827">
            <v>-198.48</v>
          </cell>
          <cell r="X24827" t="str">
            <v>Expenses</v>
          </cell>
        </row>
        <row r="24828">
          <cell r="L24828" t="str">
            <v>Non-proportional</v>
          </cell>
          <cell r="S24828">
            <v>-190.99</v>
          </cell>
          <cell r="X24828" t="str">
            <v>Expenses</v>
          </cell>
        </row>
        <row r="24829">
          <cell r="L24829" t="str">
            <v>Non-proportional</v>
          </cell>
          <cell r="S24829">
            <v>2670.2</v>
          </cell>
          <cell r="X24829" t="str">
            <v>Expenses</v>
          </cell>
        </row>
        <row r="24830">
          <cell r="L24830" t="str">
            <v>Non-proportional</v>
          </cell>
          <cell r="S24830">
            <v>263.8</v>
          </cell>
          <cell r="X24830" t="str">
            <v>Expenses</v>
          </cell>
        </row>
        <row r="24831">
          <cell r="L24831" t="str">
            <v>Non-proportional</v>
          </cell>
          <cell r="S24831">
            <v>2411.7600000000002</v>
          </cell>
          <cell r="X24831" t="str">
            <v>Expenses</v>
          </cell>
        </row>
        <row r="24832">
          <cell r="L24832" t="str">
            <v>Non-proportional</v>
          </cell>
          <cell r="S24832">
            <v>2619.46</v>
          </cell>
          <cell r="X24832" t="str">
            <v>Expenses</v>
          </cell>
        </row>
        <row r="24833">
          <cell r="L24833" t="str">
            <v>Non-proportional</v>
          </cell>
          <cell r="S24833">
            <v>799.49</v>
          </cell>
          <cell r="X24833" t="str">
            <v>Expenses</v>
          </cell>
        </row>
        <row r="24834">
          <cell r="L24834" t="str">
            <v>Non-proportional</v>
          </cell>
          <cell r="S24834">
            <v>-859.47</v>
          </cell>
          <cell r="X24834" t="str">
            <v>Expenses</v>
          </cell>
        </row>
        <row r="24835">
          <cell r="L24835" t="str">
            <v>Non-proportional</v>
          </cell>
          <cell r="S24835">
            <v>1225.1300000000001</v>
          </cell>
          <cell r="X24835" t="str">
            <v>Expenses</v>
          </cell>
        </row>
        <row r="24836">
          <cell r="L24836" t="str">
            <v>Non-proportional</v>
          </cell>
          <cell r="S24836">
            <v>716.7</v>
          </cell>
          <cell r="X24836" t="str">
            <v>Expenses</v>
          </cell>
        </row>
        <row r="24837">
          <cell r="L24837" t="str">
            <v>Non-proportional</v>
          </cell>
          <cell r="S24837">
            <v>1165.96</v>
          </cell>
          <cell r="X24837" t="str">
            <v>Expenses</v>
          </cell>
        </row>
        <row r="24838">
          <cell r="L24838" t="str">
            <v>Non-proportional</v>
          </cell>
          <cell r="S24838">
            <v>1295.51</v>
          </cell>
          <cell r="X24838" t="str">
            <v>Expenses</v>
          </cell>
        </row>
        <row r="24839">
          <cell r="L24839" t="str">
            <v>Non-proportional</v>
          </cell>
          <cell r="S24839">
            <v>-474.43</v>
          </cell>
          <cell r="X24839" t="str">
            <v>Expenses</v>
          </cell>
        </row>
        <row r="24840">
          <cell r="L24840" t="str">
            <v>Non-proportional</v>
          </cell>
          <cell r="S24840">
            <v>591.45000000000005</v>
          </cell>
          <cell r="X24840" t="str">
            <v>Expenses</v>
          </cell>
        </row>
        <row r="24841">
          <cell r="L24841" t="str">
            <v>Non-proportional</v>
          </cell>
          <cell r="S24841">
            <v>-2234.7399999999998</v>
          </cell>
          <cell r="X24841" t="str">
            <v>Expenses</v>
          </cell>
        </row>
        <row r="24842">
          <cell r="L24842" t="str">
            <v>Non-proportional</v>
          </cell>
          <cell r="S24842">
            <v>722.26</v>
          </cell>
          <cell r="X24842" t="str">
            <v>Expenses</v>
          </cell>
        </row>
        <row r="24843">
          <cell r="L24843" t="str">
            <v>Non-proportional</v>
          </cell>
          <cell r="S24843">
            <v>1617.24</v>
          </cell>
          <cell r="X24843" t="str">
            <v>Expenses</v>
          </cell>
        </row>
        <row r="24844">
          <cell r="L24844" t="str">
            <v>Non-proportional</v>
          </cell>
          <cell r="S24844">
            <v>-1003.22</v>
          </cell>
          <cell r="X24844" t="str">
            <v>Expenses</v>
          </cell>
        </row>
        <row r="24845">
          <cell r="L24845" t="str">
            <v>Non-proportional</v>
          </cell>
          <cell r="S24845">
            <v>2947.65</v>
          </cell>
          <cell r="X24845" t="str">
            <v>Expenses</v>
          </cell>
        </row>
        <row r="24846">
          <cell r="L24846" t="str">
            <v>Non-proportional</v>
          </cell>
          <cell r="S24846">
            <v>1731.14</v>
          </cell>
          <cell r="X24846" t="str">
            <v>Expenses</v>
          </cell>
        </row>
        <row r="24847">
          <cell r="L24847" t="str">
            <v>Non-proportional</v>
          </cell>
          <cell r="S24847">
            <v>4332.05</v>
          </cell>
          <cell r="X24847" t="str">
            <v>Expenses</v>
          </cell>
        </row>
        <row r="24848">
          <cell r="L24848" t="str">
            <v>Non-proportional</v>
          </cell>
          <cell r="S24848">
            <v>-2357.7399999999998</v>
          </cell>
          <cell r="X24848" t="str">
            <v>Expenses</v>
          </cell>
        </row>
        <row r="24849">
          <cell r="L24849" t="str">
            <v>Non-proportional</v>
          </cell>
          <cell r="S24849">
            <v>-198.48</v>
          </cell>
          <cell r="X24849" t="str">
            <v>Expenses</v>
          </cell>
        </row>
        <row r="24850">
          <cell r="L24850" t="str">
            <v>Non-proportional</v>
          </cell>
          <cell r="S24850">
            <v>-1797.25</v>
          </cell>
          <cell r="X24850" t="str">
            <v>Expenses</v>
          </cell>
        </row>
        <row r="24851">
          <cell r="L24851" t="str">
            <v>Non-proportional</v>
          </cell>
          <cell r="S24851">
            <v>277.8</v>
          </cell>
          <cell r="X24851" t="str">
            <v>Expenses</v>
          </cell>
        </row>
        <row r="24852">
          <cell r="L24852" t="str">
            <v>Non-proportional</v>
          </cell>
          <cell r="S24852">
            <v>-241.94</v>
          </cell>
          <cell r="X24852" t="str">
            <v>Expenses</v>
          </cell>
        </row>
        <row r="24853">
          <cell r="L24853" t="str">
            <v>Non-proportional</v>
          </cell>
          <cell r="S24853">
            <v>10.5</v>
          </cell>
          <cell r="X24853" t="str">
            <v>Expenses</v>
          </cell>
        </row>
        <row r="24854">
          <cell r="L24854" t="str">
            <v>Non-proportional</v>
          </cell>
          <cell r="S24854">
            <v>-3682.25</v>
          </cell>
          <cell r="X24854" t="str">
            <v>Expenses</v>
          </cell>
        </row>
        <row r="24855">
          <cell r="L24855" t="str">
            <v>Non-proportional</v>
          </cell>
          <cell r="S24855">
            <v>3121.38</v>
          </cell>
          <cell r="X24855" t="str">
            <v>Expenses</v>
          </cell>
        </row>
        <row r="24856">
          <cell r="L24856" t="str">
            <v>Non-proportional</v>
          </cell>
          <cell r="S24856">
            <v>13254.64</v>
          </cell>
          <cell r="X24856" t="str">
            <v>Expenses</v>
          </cell>
        </row>
        <row r="24857">
          <cell r="L24857" t="str">
            <v>Non-proportional</v>
          </cell>
          <cell r="S24857">
            <v>182.67</v>
          </cell>
          <cell r="X24857" t="str">
            <v>Expenses</v>
          </cell>
        </row>
        <row r="24858">
          <cell r="L24858" t="str">
            <v>Non-proportional</v>
          </cell>
          <cell r="S24858">
            <v>-3451.87</v>
          </cell>
          <cell r="X24858" t="str">
            <v>Expenses</v>
          </cell>
        </row>
        <row r="24859">
          <cell r="L24859" t="str">
            <v>Non-proportional</v>
          </cell>
          <cell r="S24859">
            <v>4836.5600000000004</v>
          </cell>
          <cell r="X24859" t="str">
            <v>Expenses</v>
          </cell>
        </row>
        <row r="24860">
          <cell r="L24860" t="str">
            <v>Non-proportional</v>
          </cell>
          <cell r="S24860">
            <v>925.74</v>
          </cell>
          <cell r="X24860" t="str">
            <v>Expenses</v>
          </cell>
        </row>
        <row r="24861">
          <cell r="L24861" t="str">
            <v>Non-proportional</v>
          </cell>
          <cell r="S24861">
            <v>430.18</v>
          </cell>
          <cell r="X24861" t="str">
            <v>Expenses</v>
          </cell>
        </row>
        <row r="24862">
          <cell r="L24862" t="str">
            <v>Non-proportional</v>
          </cell>
          <cell r="S24862">
            <v>1199.71</v>
          </cell>
          <cell r="X24862" t="str">
            <v>Expenses</v>
          </cell>
        </row>
        <row r="24863">
          <cell r="L24863" t="str">
            <v>Non-proportional</v>
          </cell>
          <cell r="S24863">
            <v>952.67</v>
          </cell>
          <cell r="X24863" t="str">
            <v>Expenses</v>
          </cell>
        </row>
        <row r="24864">
          <cell r="L24864" t="str">
            <v>Non-proportional</v>
          </cell>
          <cell r="S24864">
            <v>2570.52</v>
          </cell>
          <cell r="X24864" t="str">
            <v>Expenses</v>
          </cell>
        </row>
        <row r="24865">
          <cell r="L24865" t="str">
            <v>Non-proportional</v>
          </cell>
          <cell r="S24865">
            <v>553.27</v>
          </cell>
          <cell r="X24865" t="str">
            <v>Expenses</v>
          </cell>
        </row>
        <row r="24866">
          <cell r="L24866" t="str">
            <v>Non-proportional</v>
          </cell>
          <cell r="S24866">
            <v>-611.53</v>
          </cell>
          <cell r="X24866" t="str">
            <v>Expenses</v>
          </cell>
        </row>
        <row r="24867">
          <cell r="L24867" t="str">
            <v>Non-proportional</v>
          </cell>
          <cell r="S24867">
            <v>-1731.14</v>
          </cell>
          <cell r="X24867" t="str">
            <v>Expenses</v>
          </cell>
        </row>
        <row r="24868">
          <cell r="L24868" t="str">
            <v>Non-proportional</v>
          </cell>
          <cell r="S24868">
            <v>73.069999999999993</v>
          </cell>
          <cell r="X24868" t="str">
            <v>Expenses</v>
          </cell>
        </row>
        <row r="24869">
          <cell r="L24869" t="str">
            <v>Non-proportional</v>
          </cell>
          <cell r="S24869">
            <v>-1617.24</v>
          </cell>
          <cell r="X24869" t="str">
            <v>Expenses</v>
          </cell>
        </row>
        <row r="24870">
          <cell r="L24870" t="str">
            <v>Non-proportional</v>
          </cell>
          <cell r="S24870">
            <v>3846.36</v>
          </cell>
          <cell r="X24870" t="str">
            <v>Expenses</v>
          </cell>
        </row>
        <row r="24871">
          <cell r="L24871" t="str">
            <v>Non-proportional</v>
          </cell>
          <cell r="S24871">
            <v>474.43</v>
          </cell>
          <cell r="X24871" t="str">
            <v>Expenses</v>
          </cell>
        </row>
        <row r="24872">
          <cell r="L24872" t="str">
            <v>Non-proportional</v>
          </cell>
          <cell r="S24872">
            <v>3451.87</v>
          </cell>
          <cell r="X24872" t="str">
            <v>Expenses</v>
          </cell>
        </row>
        <row r="24873">
          <cell r="L24873" t="str">
            <v>Non-proportional</v>
          </cell>
          <cell r="S24873">
            <v>-1165.96</v>
          </cell>
          <cell r="X24873" t="str">
            <v>Expenses</v>
          </cell>
        </row>
        <row r="24874">
          <cell r="L24874" t="str">
            <v>Non-proportional</v>
          </cell>
          <cell r="S24874">
            <v>591.45000000000005</v>
          </cell>
          <cell r="X24874" t="str">
            <v>Expenses</v>
          </cell>
        </row>
        <row r="24875">
          <cell r="L24875" t="str">
            <v>Non-proportional</v>
          </cell>
          <cell r="S24875">
            <v>2048.5100000000002</v>
          </cell>
          <cell r="X24875" t="str">
            <v>Expenses</v>
          </cell>
        </row>
        <row r="24876">
          <cell r="L24876" t="str">
            <v>Non-proportional</v>
          </cell>
          <cell r="S24876">
            <v>-716.7</v>
          </cell>
          <cell r="X24876" t="str">
            <v>Expenses</v>
          </cell>
        </row>
        <row r="24877">
          <cell r="L24877" t="str">
            <v>Non-proportional</v>
          </cell>
          <cell r="S24877">
            <v>1789.79</v>
          </cell>
          <cell r="X24877" t="str">
            <v>Expenses</v>
          </cell>
        </row>
        <row r="24878">
          <cell r="L24878" t="str">
            <v>Non-proportional</v>
          </cell>
          <cell r="S24878">
            <v>1198.17</v>
          </cell>
          <cell r="X24878" t="str">
            <v>Expenses</v>
          </cell>
        </row>
        <row r="24879">
          <cell r="L24879" t="str">
            <v>Non-proportional</v>
          </cell>
          <cell r="S24879">
            <v>2160.89</v>
          </cell>
          <cell r="X24879" t="str">
            <v>Expenses</v>
          </cell>
        </row>
        <row r="24880">
          <cell r="L24880" t="str">
            <v>Non-proportional</v>
          </cell>
          <cell r="S24880">
            <v>1003.22</v>
          </cell>
          <cell r="X24880" t="str">
            <v>Expenses</v>
          </cell>
        </row>
        <row r="24881">
          <cell r="L24881" t="str">
            <v>Non-proportional</v>
          </cell>
          <cell r="S24881">
            <v>-2220.89</v>
          </cell>
          <cell r="X24881" t="str">
            <v>Expenses</v>
          </cell>
        </row>
        <row r="24882">
          <cell r="L24882" t="str">
            <v>Non-proportional</v>
          </cell>
          <cell r="S24882">
            <v>-386.66</v>
          </cell>
          <cell r="X24882" t="str">
            <v>Expenses</v>
          </cell>
        </row>
        <row r="24883">
          <cell r="L24883" t="str">
            <v>Non-proportional</v>
          </cell>
          <cell r="S24883">
            <v>573.57000000000005</v>
          </cell>
          <cell r="X24883" t="str">
            <v>Expenses</v>
          </cell>
        </row>
        <row r="24884">
          <cell r="L24884" t="str">
            <v>Non-proportional</v>
          </cell>
          <cell r="S24884">
            <v>-546.61</v>
          </cell>
          <cell r="X24884" t="str">
            <v>Expenses</v>
          </cell>
        </row>
        <row r="24885">
          <cell r="L24885" t="str">
            <v>Non-proportional</v>
          </cell>
          <cell r="S24885">
            <v>-89.39</v>
          </cell>
          <cell r="X24885" t="str">
            <v>Expenses</v>
          </cell>
        </row>
        <row r="24886">
          <cell r="L24886" t="str">
            <v>Non-proportional</v>
          </cell>
          <cell r="S24886">
            <v>-13254.64</v>
          </cell>
          <cell r="X24886" t="str">
            <v>Expenses</v>
          </cell>
        </row>
        <row r="24887">
          <cell r="L24887" t="str">
            <v>Non-proportional</v>
          </cell>
          <cell r="S24887">
            <v>13254.64</v>
          </cell>
          <cell r="X24887" t="str">
            <v>Expenses</v>
          </cell>
        </row>
        <row r="24888">
          <cell r="L24888" t="str">
            <v>Non-proportional</v>
          </cell>
          <cell r="S24888">
            <v>1095.96</v>
          </cell>
          <cell r="X24888" t="str">
            <v>Expenses</v>
          </cell>
        </row>
        <row r="24889">
          <cell r="L24889" t="str">
            <v>Non-proportional</v>
          </cell>
          <cell r="S24889">
            <v>1797.25</v>
          </cell>
          <cell r="X24889" t="str">
            <v>Expenses</v>
          </cell>
        </row>
        <row r="24890">
          <cell r="L24890" t="str">
            <v>Non-proportional</v>
          </cell>
          <cell r="S24890">
            <v>-1412.06</v>
          </cell>
          <cell r="X24890" t="str">
            <v>Expenses</v>
          </cell>
        </row>
        <row r="24891">
          <cell r="L24891" t="str">
            <v>Non-proportional</v>
          </cell>
          <cell r="S24891">
            <v>1789.79</v>
          </cell>
          <cell r="X24891" t="str">
            <v>Expenses</v>
          </cell>
        </row>
        <row r="24892">
          <cell r="L24892" t="str">
            <v>Non-proportional</v>
          </cell>
          <cell r="S24892">
            <v>198.48</v>
          </cell>
          <cell r="X24892" t="str">
            <v>Expenses</v>
          </cell>
        </row>
        <row r="24893">
          <cell r="L24893" t="str">
            <v>Non-proportional</v>
          </cell>
          <cell r="S24893">
            <v>-1295.51</v>
          </cell>
          <cell r="X24893" t="str">
            <v>Expenses</v>
          </cell>
        </row>
        <row r="24894">
          <cell r="L24894" t="str">
            <v>Non-proportional</v>
          </cell>
          <cell r="S24894">
            <v>36.53</v>
          </cell>
          <cell r="X24894" t="str">
            <v>Expenses</v>
          </cell>
        </row>
        <row r="24895">
          <cell r="L24895" t="str">
            <v>Non-proportional</v>
          </cell>
          <cell r="S24895">
            <v>2403.1799999999998</v>
          </cell>
          <cell r="X24895" t="str">
            <v>Expenses</v>
          </cell>
        </row>
        <row r="24896">
          <cell r="L24896" t="str">
            <v>Non-proportional</v>
          </cell>
          <cell r="S24896">
            <v>-1421.36</v>
          </cell>
          <cell r="X24896" t="str">
            <v>Expenses</v>
          </cell>
        </row>
        <row r="24897">
          <cell r="L24897" t="str">
            <v>Non-proportional</v>
          </cell>
          <cell r="S24897">
            <v>1764.27</v>
          </cell>
          <cell r="X24897" t="str">
            <v>Expenses</v>
          </cell>
        </row>
        <row r="24898">
          <cell r="L24898" t="str">
            <v>Non-proportional</v>
          </cell>
          <cell r="S24898">
            <v>-103.5</v>
          </cell>
          <cell r="X24898" t="str">
            <v>Expenses</v>
          </cell>
        </row>
        <row r="24899">
          <cell r="L24899" t="str">
            <v>Non-proportional</v>
          </cell>
          <cell r="S24899">
            <v>-2048.5100000000002</v>
          </cell>
          <cell r="X24899" t="str">
            <v>Expenses</v>
          </cell>
        </row>
        <row r="24900">
          <cell r="L24900" t="str">
            <v>Non-proportional</v>
          </cell>
          <cell r="S24900">
            <v>1252.8499999999999</v>
          </cell>
          <cell r="X24900" t="str">
            <v>Expenses</v>
          </cell>
        </row>
        <row r="24901">
          <cell r="L24901" t="str">
            <v>Non-proportional</v>
          </cell>
          <cell r="S24901">
            <v>-2900</v>
          </cell>
          <cell r="X24901" t="str">
            <v>Expenses</v>
          </cell>
        </row>
        <row r="24902">
          <cell r="L24902" t="str">
            <v>Non-proportional</v>
          </cell>
          <cell r="S24902">
            <v>-4836.5600000000004</v>
          </cell>
          <cell r="X24902" t="str">
            <v>Expenses</v>
          </cell>
        </row>
        <row r="24903">
          <cell r="L24903" t="str">
            <v>Non-proportional</v>
          </cell>
          <cell r="S24903">
            <v>-1095.96</v>
          </cell>
          <cell r="X24903" t="str">
            <v>Expenses</v>
          </cell>
        </row>
        <row r="24904">
          <cell r="L24904" t="str">
            <v>Non-proportional</v>
          </cell>
          <cell r="S24904">
            <v>1903.52</v>
          </cell>
          <cell r="X24904" t="str">
            <v>Expenses</v>
          </cell>
        </row>
        <row r="24905">
          <cell r="L24905" t="str">
            <v>Non-proportional</v>
          </cell>
          <cell r="S24905">
            <v>-298.63</v>
          </cell>
          <cell r="X24905" t="str">
            <v>Expenses</v>
          </cell>
        </row>
        <row r="24906">
          <cell r="L24906" t="str">
            <v>Non-proportional</v>
          </cell>
          <cell r="S24906">
            <v>395.48</v>
          </cell>
          <cell r="X24906" t="str">
            <v>Expenses</v>
          </cell>
        </row>
        <row r="24907">
          <cell r="L24907" t="str">
            <v>Non-proportional</v>
          </cell>
          <cell r="S24907">
            <v>2160.89</v>
          </cell>
          <cell r="X24907" t="str">
            <v>Expenses</v>
          </cell>
        </row>
        <row r="24908">
          <cell r="L24908" t="str">
            <v>Non-proportional</v>
          </cell>
          <cell r="S24908">
            <v>4005.3</v>
          </cell>
          <cell r="X24908" t="str">
            <v>Expenses</v>
          </cell>
        </row>
        <row r="24909">
          <cell r="L24909" t="str">
            <v>Non-proportional</v>
          </cell>
          <cell r="S24909">
            <v>-722.26</v>
          </cell>
          <cell r="X24909" t="str">
            <v>Expenses</v>
          </cell>
        </row>
        <row r="24910">
          <cell r="L24910" t="str">
            <v>Non-proportional</v>
          </cell>
          <cell r="S24910">
            <v>-86.33</v>
          </cell>
          <cell r="X24910" t="str">
            <v>Expenses</v>
          </cell>
        </row>
        <row r="24911">
          <cell r="L24911" t="str">
            <v>Non-proportional</v>
          </cell>
          <cell r="S24911">
            <v>2234.7399999999998</v>
          </cell>
          <cell r="X24911" t="str">
            <v>Expenses</v>
          </cell>
        </row>
        <row r="24912">
          <cell r="L24912" t="str">
            <v>Non-proportional</v>
          </cell>
          <cell r="S24912">
            <v>-518.44000000000005</v>
          </cell>
          <cell r="X24912" t="str">
            <v>Expenses</v>
          </cell>
        </row>
        <row r="24913">
          <cell r="L24913" t="str">
            <v>Non-proportional</v>
          </cell>
          <cell r="S24913">
            <v>553.27</v>
          </cell>
          <cell r="X24913" t="str">
            <v>Expenses</v>
          </cell>
        </row>
        <row r="24914">
          <cell r="L24914" t="str">
            <v>Non-proportional</v>
          </cell>
          <cell r="S24914">
            <v>4017</v>
          </cell>
          <cell r="X24914" t="str">
            <v>Expenses</v>
          </cell>
        </row>
        <row r="24915">
          <cell r="L24915" t="str">
            <v>Non-proportional</v>
          </cell>
          <cell r="S24915">
            <v>-1764.27</v>
          </cell>
          <cell r="X24915" t="str">
            <v>Expenses</v>
          </cell>
        </row>
        <row r="24916">
          <cell r="L24916" t="str">
            <v>Non-proportional</v>
          </cell>
          <cell r="S24916">
            <v>0.97</v>
          </cell>
          <cell r="X24916" t="str">
            <v>Expenses</v>
          </cell>
        </row>
        <row r="24917">
          <cell r="L24917" t="str">
            <v>Non-proportional</v>
          </cell>
          <cell r="S24917">
            <v>-1078.3499999999999</v>
          </cell>
          <cell r="X24917" t="str">
            <v>Expenses</v>
          </cell>
        </row>
        <row r="24918">
          <cell r="L24918" t="str">
            <v>Proportional</v>
          </cell>
          <cell r="S24918">
            <v>5.12</v>
          </cell>
          <cell r="X24918" t="str">
            <v>Expenses</v>
          </cell>
        </row>
        <row r="24919">
          <cell r="L24919" t="str">
            <v>Non-proportional</v>
          </cell>
          <cell r="S24919">
            <v>103.5</v>
          </cell>
          <cell r="X24919" t="str">
            <v>Expenses</v>
          </cell>
        </row>
        <row r="24920">
          <cell r="L24920" t="str">
            <v>Non-proportional</v>
          </cell>
          <cell r="S24920">
            <v>-1923.47</v>
          </cell>
          <cell r="X24920" t="str">
            <v>Expenses</v>
          </cell>
        </row>
        <row r="24921">
          <cell r="L24921" t="str">
            <v>Non-proportional</v>
          </cell>
          <cell r="S24921">
            <v>2670.2</v>
          </cell>
          <cell r="X24921" t="str">
            <v>Expenses</v>
          </cell>
        </row>
        <row r="24922">
          <cell r="L24922" t="str">
            <v>Non-proportional</v>
          </cell>
          <cell r="S24922">
            <v>-2387.77</v>
          </cell>
          <cell r="X24922" t="str">
            <v>Expenses</v>
          </cell>
        </row>
        <row r="24923">
          <cell r="L24923" t="str">
            <v>Non-proportional</v>
          </cell>
          <cell r="S24923">
            <v>-1670.47</v>
          </cell>
          <cell r="X24923" t="str">
            <v>Expenses</v>
          </cell>
        </row>
        <row r="24924">
          <cell r="L24924" t="str">
            <v>Non-proportional</v>
          </cell>
          <cell r="S24924">
            <v>1295.51</v>
          </cell>
          <cell r="X24924" t="str">
            <v>Expenses</v>
          </cell>
        </row>
        <row r="24925">
          <cell r="L24925" t="str">
            <v>Non-proportional</v>
          </cell>
          <cell r="S24925">
            <v>-633.36</v>
          </cell>
          <cell r="X24925" t="str">
            <v>Expenses</v>
          </cell>
        </row>
        <row r="24926">
          <cell r="L24926" t="str">
            <v>Non-proportional</v>
          </cell>
          <cell r="S24926">
            <v>2653.5</v>
          </cell>
          <cell r="X24926" t="str">
            <v>Expenses</v>
          </cell>
        </row>
        <row r="24927">
          <cell r="L24927" t="str">
            <v>Non-proportional</v>
          </cell>
          <cell r="S24927">
            <v>2900</v>
          </cell>
          <cell r="X24927" t="str">
            <v>Expenses</v>
          </cell>
        </row>
        <row r="24928">
          <cell r="L24928" t="str">
            <v>Non-proportional</v>
          </cell>
          <cell r="S24928">
            <v>198.48</v>
          </cell>
          <cell r="X24928" t="str">
            <v>Expenses</v>
          </cell>
        </row>
        <row r="24929">
          <cell r="L24929" t="str">
            <v>Non-proportional</v>
          </cell>
          <cell r="S24929">
            <v>573.57000000000005</v>
          </cell>
          <cell r="X24929" t="str">
            <v>Expenses</v>
          </cell>
        </row>
        <row r="24930">
          <cell r="L24930" t="str">
            <v>Non-proportional</v>
          </cell>
          <cell r="S24930">
            <v>623.77</v>
          </cell>
          <cell r="X24930" t="str">
            <v>Expenses</v>
          </cell>
        </row>
        <row r="24931">
          <cell r="L24931" t="str">
            <v>Non-proportional</v>
          </cell>
          <cell r="S24931">
            <v>-110.61</v>
          </cell>
          <cell r="X24931" t="str">
            <v>Expenses</v>
          </cell>
        </row>
        <row r="24932">
          <cell r="L24932" t="str">
            <v>Non-proportional</v>
          </cell>
          <cell r="S24932">
            <v>3433.66</v>
          </cell>
          <cell r="X24932" t="str">
            <v>Expenses</v>
          </cell>
        </row>
        <row r="24933">
          <cell r="L24933" t="str">
            <v>Non-proportional</v>
          </cell>
          <cell r="S24933">
            <v>-168.55</v>
          </cell>
          <cell r="X24933" t="str">
            <v>Expenses</v>
          </cell>
        </row>
        <row r="24934">
          <cell r="L24934" t="str">
            <v>Non-proportional</v>
          </cell>
          <cell r="S24934">
            <v>1579.36</v>
          </cell>
          <cell r="X24934" t="str">
            <v>Expenses</v>
          </cell>
        </row>
        <row r="24935">
          <cell r="L24935" t="str">
            <v>Non-proportional</v>
          </cell>
          <cell r="S24935">
            <v>1198.17</v>
          </cell>
          <cell r="X24935" t="str">
            <v>Expenses</v>
          </cell>
        </row>
        <row r="24936">
          <cell r="L24936" t="str">
            <v>Non-proportional</v>
          </cell>
          <cell r="S24936">
            <v>-1199.71</v>
          </cell>
          <cell r="X24936" t="str">
            <v>Expenses</v>
          </cell>
        </row>
        <row r="24937">
          <cell r="L24937" t="str">
            <v>Non-proportional</v>
          </cell>
          <cell r="S24937">
            <v>386.66</v>
          </cell>
          <cell r="X24937" t="str">
            <v>Expenses</v>
          </cell>
        </row>
        <row r="24938">
          <cell r="L24938" t="str">
            <v>Non-proportional</v>
          </cell>
          <cell r="S24938">
            <v>-2403.1799999999998</v>
          </cell>
          <cell r="X24938" t="str">
            <v>Expenses</v>
          </cell>
        </row>
        <row r="24939">
          <cell r="L24939" t="str">
            <v>Non-proportional</v>
          </cell>
          <cell r="S24939">
            <v>-553.27</v>
          </cell>
          <cell r="X24939" t="str">
            <v>Expenses</v>
          </cell>
        </row>
        <row r="24940">
          <cell r="L24940" t="str">
            <v>Non-proportional</v>
          </cell>
          <cell r="S24940">
            <v>90.21</v>
          </cell>
          <cell r="X24940" t="str">
            <v>Expenses</v>
          </cell>
        </row>
        <row r="24941">
          <cell r="L24941" t="str">
            <v>Non-proportional</v>
          </cell>
          <cell r="S24941">
            <v>-4005.3</v>
          </cell>
          <cell r="X24941" t="str">
            <v>Expenses</v>
          </cell>
        </row>
        <row r="24942">
          <cell r="L24942" t="str">
            <v>Non-proportional</v>
          </cell>
          <cell r="S24942">
            <v>1331.85</v>
          </cell>
          <cell r="X24942" t="str">
            <v>Expenses</v>
          </cell>
        </row>
        <row r="24943">
          <cell r="L24943" t="str">
            <v>Non-proportional</v>
          </cell>
          <cell r="S24943">
            <v>-2652.28</v>
          </cell>
          <cell r="X24943" t="str">
            <v>Expenses</v>
          </cell>
        </row>
        <row r="24944">
          <cell r="L24944" t="str">
            <v>Non-proportional</v>
          </cell>
          <cell r="S24944">
            <v>198.48</v>
          </cell>
          <cell r="X24944" t="str">
            <v>Expenses</v>
          </cell>
        </row>
        <row r="24945">
          <cell r="L24945" t="str">
            <v>Non-proportional</v>
          </cell>
          <cell r="S24945">
            <v>-198.48</v>
          </cell>
          <cell r="X24945" t="str">
            <v>Expenses</v>
          </cell>
        </row>
        <row r="24946">
          <cell r="L24946" t="str">
            <v>Non-proportional</v>
          </cell>
          <cell r="S24946">
            <v>-14.07</v>
          </cell>
          <cell r="X24946" t="str">
            <v>Expenses</v>
          </cell>
        </row>
        <row r="24947">
          <cell r="L24947" t="str">
            <v>Non-proportional</v>
          </cell>
          <cell r="S24947">
            <v>2220.89</v>
          </cell>
          <cell r="X24947" t="str">
            <v>Expenses</v>
          </cell>
        </row>
        <row r="24948">
          <cell r="L24948" t="str">
            <v>Non-proportional</v>
          </cell>
          <cell r="S24948">
            <v>-3846.36</v>
          </cell>
          <cell r="X24948" t="str">
            <v>Expenses</v>
          </cell>
        </row>
        <row r="24949">
          <cell r="L24949" t="str">
            <v>Non-proportional</v>
          </cell>
          <cell r="S24949">
            <v>430.18</v>
          </cell>
          <cell r="X24949" t="str">
            <v>Expenses</v>
          </cell>
        </row>
        <row r="24950">
          <cell r="L24950" t="str">
            <v>Non-proportional</v>
          </cell>
          <cell r="S24950">
            <v>4272.26</v>
          </cell>
          <cell r="X24950" t="str">
            <v>Expenses</v>
          </cell>
        </row>
        <row r="24951">
          <cell r="L24951" t="str">
            <v>Non-proportional</v>
          </cell>
          <cell r="S24951">
            <v>-4017</v>
          </cell>
          <cell r="X24951" t="str">
            <v>Expenses</v>
          </cell>
        </row>
        <row r="24952">
          <cell r="L24952" t="str">
            <v>Non-proportional</v>
          </cell>
          <cell r="S24952">
            <v>498.39</v>
          </cell>
          <cell r="X24952" t="str">
            <v>Expenses</v>
          </cell>
        </row>
        <row r="24953">
          <cell r="L24953" t="str">
            <v>Non-proportional</v>
          </cell>
          <cell r="S24953">
            <v>1923.47</v>
          </cell>
          <cell r="X24953" t="str">
            <v>Expenses</v>
          </cell>
        </row>
        <row r="24954">
          <cell r="L24954" t="str">
            <v>Non-proportional</v>
          </cell>
          <cell r="S24954">
            <v>1078.3499999999999</v>
          </cell>
          <cell r="X24954" t="str">
            <v>Expenses</v>
          </cell>
        </row>
        <row r="24955">
          <cell r="L24955" t="str">
            <v>Non-proportional</v>
          </cell>
          <cell r="S24955">
            <v>-10.5</v>
          </cell>
          <cell r="X24955" t="str">
            <v>Expenses</v>
          </cell>
        </row>
        <row r="24956">
          <cell r="L24956" t="str">
            <v>Non-proportional</v>
          </cell>
          <cell r="S24956">
            <v>2652.28</v>
          </cell>
          <cell r="X24956" t="str">
            <v>Expenses</v>
          </cell>
        </row>
        <row r="24957">
          <cell r="L24957" t="str">
            <v>Non-proportional</v>
          </cell>
          <cell r="S24957">
            <v>-498.39</v>
          </cell>
          <cell r="X24957" t="str">
            <v>Expenses</v>
          </cell>
        </row>
        <row r="24958">
          <cell r="L24958" t="str">
            <v>Non-proportional</v>
          </cell>
          <cell r="S24958">
            <v>607.39</v>
          </cell>
          <cell r="X24958" t="str">
            <v>Expenses</v>
          </cell>
        </row>
        <row r="24959">
          <cell r="L24959" t="str">
            <v>Non-proportional</v>
          </cell>
          <cell r="S24959">
            <v>-2900</v>
          </cell>
          <cell r="X24959" t="str">
            <v>Expenses</v>
          </cell>
        </row>
        <row r="24960">
          <cell r="L24960" t="str">
            <v>Non-proportional</v>
          </cell>
          <cell r="S24960">
            <v>750.18</v>
          </cell>
          <cell r="X24960" t="str">
            <v>Expenses</v>
          </cell>
        </row>
        <row r="24961">
          <cell r="L24961" t="str">
            <v>Non-proportional</v>
          </cell>
          <cell r="S24961">
            <v>-2570.52</v>
          </cell>
          <cell r="X24961" t="str">
            <v>Expenses</v>
          </cell>
        </row>
        <row r="24962">
          <cell r="L24962" t="str">
            <v>Non-proportional</v>
          </cell>
          <cell r="S24962">
            <v>-2653.5</v>
          </cell>
          <cell r="X24962" t="str">
            <v>Expenses</v>
          </cell>
        </row>
        <row r="24963">
          <cell r="L24963" t="str">
            <v>Non-proportional</v>
          </cell>
          <cell r="S24963">
            <v>-1099.73</v>
          </cell>
          <cell r="X24963" t="str">
            <v>Expenses</v>
          </cell>
        </row>
        <row r="24964">
          <cell r="L24964" t="str">
            <v>Non-proportional</v>
          </cell>
          <cell r="S24964">
            <v>-1331.85</v>
          </cell>
          <cell r="X24964" t="str">
            <v>Expenses</v>
          </cell>
        </row>
        <row r="24965">
          <cell r="L24965" t="str">
            <v>Non-proportional</v>
          </cell>
          <cell r="S24965">
            <v>546.61</v>
          </cell>
          <cell r="X24965" t="str">
            <v>Expenses</v>
          </cell>
        </row>
        <row r="24966">
          <cell r="L24966" t="str">
            <v>Non-proportional</v>
          </cell>
          <cell r="S24966">
            <v>-198.48</v>
          </cell>
          <cell r="X24966" t="str">
            <v>Expenses</v>
          </cell>
        </row>
        <row r="24967">
          <cell r="L24967" t="str">
            <v>Non-proportional</v>
          </cell>
          <cell r="S24967">
            <v>3682.25</v>
          </cell>
          <cell r="X24967" t="str">
            <v>Expenses</v>
          </cell>
        </row>
        <row r="24968">
          <cell r="L24968" t="str">
            <v>Non-proportional</v>
          </cell>
          <cell r="S24968">
            <v>51.76</v>
          </cell>
          <cell r="X24968" t="str">
            <v>Expenses</v>
          </cell>
        </row>
        <row r="24969">
          <cell r="L24969" t="str">
            <v>Non-proportional</v>
          </cell>
          <cell r="S24969">
            <v>-3404.27</v>
          </cell>
          <cell r="X24969" t="str">
            <v>Expenses</v>
          </cell>
        </row>
        <row r="24970">
          <cell r="L24970" t="str">
            <v>Non-proportional</v>
          </cell>
          <cell r="S24970">
            <v>1421.36</v>
          </cell>
          <cell r="X24970" t="str">
            <v>Expenses</v>
          </cell>
        </row>
        <row r="24971">
          <cell r="L24971" t="str">
            <v>Non-proportional</v>
          </cell>
          <cell r="S24971">
            <v>-2076.13</v>
          </cell>
          <cell r="X24971" t="str">
            <v>Expenses</v>
          </cell>
        </row>
        <row r="24972">
          <cell r="L24972" t="str">
            <v>Non-proportional</v>
          </cell>
          <cell r="S24972">
            <v>-23.39</v>
          </cell>
          <cell r="X24972" t="str">
            <v>Expenses</v>
          </cell>
        </row>
        <row r="24973">
          <cell r="L24973" t="str">
            <v>Non-proportional</v>
          </cell>
          <cell r="S24973">
            <v>-750.18</v>
          </cell>
          <cell r="X24973" t="str">
            <v>Expenses</v>
          </cell>
        </row>
        <row r="24974">
          <cell r="L24974" t="str">
            <v>Non-proportional</v>
          </cell>
          <cell r="S24974">
            <v>-21.23</v>
          </cell>
          <cell r="X24974" t="str">
            <v>Expenses</v>
          </cell>
        </row>
        <row r="24975">
          <cell r="L24975" t="str">
            <v>Non-proportional</v>
          </cell>
          <cell r="S24975">
            <v>-222.95</v>
          </cell>
          <cell r="X24975" t="str">
            <v>Expenses</v>
          </cell>
        </row>
        <row r="24976">
          <cell r="L24976" t="str">
            <v>Non-proportional</v>
          </cell>
          <cell r="S24976">
            <v>198.48</v>
          </cell>
          <cell r="X24976" t="str">
            <v>Expenses</v>
          </cell>
        </row>
        <row r="24977">
          <cell r="L24977" t="str">
            <v>Non-proportional</v>
          </cell>
          <cell r="S24977">
            <v>-2670.2</v>
          </cell>
          <cell r="X24977" t="str">
            <v>Expenses</v>
          </cell>
        </row>
        <row r="24978">
          <cell r="L24978" t="str">
            <v>Non-proportional</v>
          </cell>
          <cell r="S24978">
            <v>-11.96</v>
          </cell>
          <cell r="X24978" t="str">
            <v>Expenses</v>
          </cell>
        </row>
        <row r="24979">
          <cell r="L24979" t="str">
            <v>Non-proportional</v>
          </cell>
          <cell r="S24979">
            <v>-16.440000000000001</v>
          </cell>
          <cell r="X24979" t="str">
            <v>Expenses</v>
          </cell>
        </row>
        <row r="24980">
          <cell r="L24980" t="str">
            <v>Non-proportional</v>
          </cell>
          <cell r="S24980">
            <v>3067.39</v>
          </cell>
          <cell r="X24980" t="str">
            <v>Expenses</v>
          </cell>
        </row>
        <row r="24981">
          <cell r="L24981" t="str">
            <v>Non-proportional</v>
          </cell>
          <cell r="S24981">
            <v>198.48</v>
          </cell>
          <cell r="X24981" t="str">
            <v>Expenses</v>
          </cell>
        </row>
        <row r="24982">
          <cell r="L24982" t="str">
            <v>Non-proportional</v>
          </cell>
          <cell r="S24982">
            <v>-27.64</v>
          </cell>
          <cell r="X24982" t="str">
            <v>Expenses</v>
          </cell>
        </row>
        <row r="24983">
          <cell r="L24983" t="str">
            <v>Non-proportional</v>
          </cell>
          <cell r="S24983">
            <v>518.44000000000005</v>
          </cell>
          <cell r="X24983" t="str">
            <v>Expenses</v>
          </cell>
        </row>
        <row r="24984">
          <cell r="L24984" t="str">
            <v>Non-proportional</v>
          </cell>
          <cell r="S24984">
            <v>2357.7399999999998</v>
          </cell>
          <cell r="X24984" t="str">
            <v>Expenses</v>
          </cell>
        </row>
        <row r="24985">
          <cell r="L24985" t="str">
            <v>Non-proportional</v>
          </cell>
          <cell r="S24985">
            <v>-1198.17</v>
          </cell>
          <cell r="X24985" t="str">
            <v>Expenses</v>
          </cell>
        </row>
        <row r="24986">
          <cell r="L24986" t="str">
            <v>Non-proportional</v>
          </cell>
          <cell r="S24986">
            <v>3837</v>
          </cell>
          <cell r="X24986" t="str">
            <v>Expenses</v>
          </cell>
        </row>
        <row r="24987">
          <cell r="L24987" t="str">
            <v>Non-proportional</v>
          </cell>
          <cell r="S24987">
            <v>1755.96</v>
          </cell>
          <cell r="X24987" t="str">
            <v>Expenses</v>
          </cell>
        </row>
        <row r="24988">
          <cell r="L24988" t="str">
            <v>Non-proportional</v>
          </cell>
          <cell r="S24988">
            <v>-18.18</v>
          </cell>
          <cell r="X24988" t="str">
            <v>Expenses</v>
          </cell>
        </row>
        <row r="24989">
          <cell r="L24989" t="str">
            <v>Non-proportional</v>
          </cell>
          <cell r="S24989">
            <v>89.39</v>
          </cell>
          <cell r="X24989" t="str">
            <v>Expenses</v>
          </cell>
        </row>
        <row r="24990">
          <cell r="L24990" t="str">
            <v>Non-proportional</v>
          </cell>
          <cell r="S24990">
            <v>859.47</v>
          </cell>
          <cell r="X24990" t="str">
            <v>Expenses</v>
          </cell>
        </row>
        <row r="24991">
          <cell r="L24991" t="str">
            <v>Non-proportional</v>
          </cell>
          <cell r="S24991">
            <v>1099.73</v>
          </cell>
          <cell r="X24991" t="str">
            <v>Expenses</v>
          </cell>
        </row>
        <row r="24992">
          <cell r="L24992" t="str">
            <v>Non-proportional</v>
          </cell>
          <cell r="S24992">
            <v>-430.18</v>
          </cell>
          <cell r="X24992" t="str">
            <v>Expenses</v>
          </cell>
        </row>
        <row r="24993">
          <cell r="L24993" t="str">
            <v>Non-proportional</v>
          </cell>
          <cell r="S24993">
            <v>439.23</v>
          </cell>
          <cell r="X24993" t="str">
            <v>Expenses</v>
          </cell>
        </row>
        <row r="24994">
          <cell r="L24994" t="str">
            <v>Non-proportional</v>
          </cell>
          <cell r="S24994">
            <v>2893.4</v>
          </cell>
          <cell r="X24994" t="str">
            <v>Expenses</v>
          </cell>
        </row>
        <row r="24995">
          <cell r="L24995" t="str">
            <v>Non-proportional</v>
          </cell>
          <cell r="S24995">
            <v>-2893.4</v>
          </cell>
          <cell r="X24995" t="str">
            <v>Expenses</v>
          </cell>
        </row>
        <row r="24996">
          <cell r="L24996" t="str">
            <v>Non-proportional</v>
          </cell>
          <cell r="S24996">
            <v>611.53</v>
          </cell>
          <cell r="X24996" t="str">
            <v>Expenses</v>
          </cell>
        </row>
        <row r="24997">
          <cell r="L24997" t="str">
            <v>Non-proportional</v>
          </cell>
          <cell r="S24997">
            <v>-4725.22</v>
          </cell>
          <cell r="X24997" t="str">
            <v>Expenses</v>
          </cell>
        </row>
        <row r="24998">
          <cell r="L24998" t="str">
            <v>Non-proportional</v>
          </cell>
          <cell r="S24998">
            <v>3433.66</v>
          </cell>
          <cell r="X24998" t="str">
            <v>Expenses</v>
          </cell>
        </row>
        <row r="24999">
          <cell r="L24999" t="str">
            <v>Non-proportional</v>
          </cell>
          <cell r="S24999">
            <v>-198.48</v>
          </cell>
          <cell r="X24999" t="str">
            <v>Expenses</v>
          </cell>
        </row>
        <row r="25000">
          <cell r="L25000" t="str">
            <v>Non-proportional</v>
          </cell>
          <cell r="S25000">
            <v>-1623.42</v>
          </cell>
          <cell r="X25000" t="str">
            <v>Expenses</v>
          </cell>
        </row>
        <row r="25001">
          <cell r="L25001" t="str">
            <v>Non-proportional</v>
          </cell>
          <cell r="S25001">
            <v>-231.1</v>
          </cell>
          <cell r="X25001" t="str">
            <v>Expenses</v>
          </cell>
        </row>
        <row r="25002">
          <cell r="L25002" t="str">
            <v>Non-proportional</v>
          </cell>
          <cell r="S25002">
            <v>130.47</v>
          </cell>
          <cell r="X25002" t="str">
            <v>Expenses</v>
          </cell>
        </row>
        <row r="25003">
          <cell r="L25003" t="str">
            <v>Non-proportional</v>
          </cell>
          <cell r="S25003">
            <v>-2783.01</v>
          </cell>
          <cell r="X25003" t="str">
            <v>Expenses</v>
          </cell>
        </row>
        <row r="25004">
          <cell r="L25004" t="str">
            <v>Non-proportional</v>
          </cell>
          <cell r="S25004">
            <v>536.72</v>
          </cell>
          <cell r="X25004" t="str">
            <v>Expenses</v>
          </cell>
        </row>
        <row r="25005">
          <cell r="L25005" t="str">
            <v>Non-proportional</v>
          </cell>
          <cell r="S25005">
            <v>-146.65</v>
          </cell>
          <cell r="X25005" t="str">
            <v>Expenses</v>
          </cell>
        </row>
        <row r="25006">
          <cell r="L25006" t="str">
            <v>Non-proportional</v>
          </cell>
          <cell r="S25006">
            <v>-1623.42</v>
          </cell>
          <cell r="X25006" t="str">
            <v>Expenses</v>
          </cell>
        </row>
        <row r="25007">
          <cell r="L25007" t="str">
            <v>Proportional</v>
          </cell>
          <cell r="S25007">
            <v>20925.14</v>
          </cell>
          <cell r="X25007" t="str">
            <v>Expenses</v>
          </cell>
        </row>
        <row r="25008">
          <cell r="L25008" t="str">
            <v>Non-proportional</v>
          </cell>
          <cell r="S25008">
            <v>191.39</v>
          </cell>
          <cell r="X25008" t="str">
            <v>Expenses</v>
          </cell>
        </row>
        <row r="25009">
          <cell r="L25009" t="str">
            <v>Non-proportional</v>
          </cell>
          <cell r="S25009">
            <v>-197.45</v>
          </cell>
          <cell r="X25009" t="str">
            <v>Expenses</v>
          </cell>
        </row>
        <row r="25010">
          <cell r="L25010" t="str">
            <v>Non-proportional</v>
          </cell>
          <cell r="S25010">
            <v>43.48</v>
          </cell>
          <cell r="X25010" t="str">
            <v>Expenses</v>
          </cell>
        </row>
        <row r="25011">
          <cell r="L25011" t="str">
            <v>Proportional</v>
          </cell>
          <cell r="S25011">
            <v>-425.15</v>
          </cell>
          <cell r="X25011" t="str">
            <v>Expenses</v>
          </cell>
        </row>
        <row r="25012">
          <cell r="L25012" t="str">
            <v>Proportional</v>
          </cell>
          <cell r="S25012">
            <v>260.95999999999998</v>
          </cell>
          <cell r="X25012" t="str">
            <v>Expenses</v>
          </cell>
        </row>
        <row r="25013">
          <cell r="L25013" t="str">
            <v>Non-proportional</v>
          </cell>
          <cell r="S25013">
            <v>-517.25</v>
          </cell>
          <cell r="X25013" t="str">
            <v>Expenses</v>
          </cell>
        </row>
        <row r="25014">
          <cell r="L25014" t="str">
            <v>Non-proportional</v>
          </cell>
          <cell r="S25014">
            <v>1623.42</v>
          </cell>
          <cell r="X25014" t="str">
            <v>Expenses</v>
          </cell>
        </row>
        <row r="25015">
          <cell r="L25015" t="str">
            <v>Non-proportional</v>
          </cell>
          <cell r="S25015">
            <v>-73.069999999999993</v>
          </cell>
          <cell r="X25015" t="str">
            <v>Expenses</v>
          </cell>
        </row>
        <row r="25016">
          <cell r="L25016" t="str">
            <v>Non-proportional</v>
          </cell>
          <cell r="S25016">
            <v>223.42</v>
          </cell>
          <cell r="X25016" t="str">
            <v>Expenses</v>
          </cell>
        </row>
        <row r="25017">
          <cell r="L25017" t="str">
            <v>Non-proportional</v>
          </cell>
          <cell r="S25017">
            <v>-3114.32</v>
          </cell>
          <cell r="X25017" t="str">
            <v>Expenses</v>
          </cell>
        </row>
        <row r="25018">
          <cell r="L25018" t="str">
            <v>Non-proportional</v>
          </cell>
          <cell r="S25018">
            <v>60.1</v>
          </cell>
          <cell r="X25018" t="str">
            <v>Expenses</v>
          </cell>
        </row>
        <row r="25019">
          <cell r="L25019" t="str">
            <v>Proportional</v>
          </cell>
          <cell r="S25019">
            <v>2760.61</v>
          </cell>
          <cell r="X25019" t="str">
            <v>Expenses</v>
          </cell>
        </row>
        <row r="25020">
          <cell r="L25020" t="str">
            <v>Non-proportional</v>
          </cell>
          <cell r="S25020">
            <v>-56.33</v>
          </cell>
          <cell r="X25020" t="str">
            <v>Expenses</v>
          </cell>
        </row>
        <row r="25021">
          <cell r="L25021" t="str">
            <v>Non-proportional</v>
          </cell>
          <cell r="S25021">
            <v>-371.42</v>
          </cell>
          <cell r="X25021" t="str">
            <v>Expenses</v>
          </cell>
        </row>
        <row r="25022">
          <cell r="L25022" t="str">
            <v>Non-proportional</v>
          </cell>
          <cell r="S25022">
            <v>-519.52</v>
          </cell>
          <cell r="X25022" t="str">
            <v>Expenses</v>
          </cell>
        </row>
        <row r="25023">
          <cell r="L25023" t="str">
            <v>Proportional</v>
          </cell>
          <cell r="S25023">
            <v>3769.08</v>
          </cell>
          <cell r="X25023" t="str">
            <v>Expenses</v>
          </cell>
        </row>
        <row r="25024">
          <cell r="L25024" t="str">
            <v>Non-proportional</v>
          </cell>
          <cell r="S25024">
            <v>-193.95</v>
          </cell>
          <cell r="X25024" t="str">
            <v>Expenses</v>
          </cell>
        </row>
        <row r="25025">
          <cell r="L25025" t="str">
            <v>Non-proportional</v>
          </cell>
          <cell r="S25025">
            <v>60.1</v>
          </cell>
          <cell r="X25025" t="str">
            <v>Expenses</v>
          </cell>
        </row>
        <row r="25026">
          <cell r="L25026" t="str">
            <v>Non-proportional</v>
          </cell>
          <cell r="S25026">
            <v>-56.33</v>
          </cell>
          <cell r="X25026" t="str">
            <v>Expenses</v>
          </cell>
        </row>
        <row r="25027">
          <cell r="L25027" t="str">
            <v>Non-proportional</v>
          </cell>
          <cell r="S25027">
            <v>-40.75</v>
          </cell>
          <cell r="X25027" t="str">
            <v>Expenses</v>
          </cell>
        </row>
        <row r="25028">
          <cell r="L25028" t="str">
            <v>Non-proportional</v>
          </cell>
          <cell r="S25028">
            <v>-40.75</v>
          </cell>
          <cell r="X25028" t="str">
            <v>Expenses</v>
          </cell>
        </row>
        <row r="25029">
          <cell r="L25029" t="str">
            <v>Non-proportional</v>
          </cell>
          <cell r="S25029">
            <v>-143.57</v>
          </cell>
          <cell r="X25029" t="str">
            <v>Expenses</v>
          </cell>
        </row>
        <row r="25030">
          <cell r="L25030" t="str">
            <v>Non-proportional</v>
          </cell>
          <cell r="S25030">
            <v>-193.88</v>
          </cell>
          <cell r="X25030" t="str">
            <v>Expenses</v>
          </cell>
        </row>
        <row r="25031">
          <cell r="L25031" t="str">
            <v>Non-proportional</v>
          </cell>
          <cell r="S25031">
            <v>-536.72</v>
          </cell>
          <cell r="X25031" t="str">
            <v>Expenses</v>
          </cell>
        </row>
        <row r="25032">
          <cell r="L25032" t="str">
            <v>Proportional</v>
          </cell>
          <cell r="S25032">
            <v>5448.41</v>
          </cell>
          <cell r="X25032" t="str">
            <v>Expenses</v>
          </cell>
        </row>
        <row r="25033">
          <cell r="L25033" t="str">
            <v>Non-proportional</v>
          </cell>
          <cell r="S25033">
            <v>-130.71</v>
          </cell>
          <cell r="X25033" t="str">
            <v>Expenses</v>
          </cell>
        </row>
        <row r="25034">
          <cell r="L25034" t="str">
            <v>Non-proportional</v>
          </cell>
          <cell r="S25034">
            <v>-1127.1199999999999</v>
          </cell>
          <cell r="X25034" t="str">
            <v>Expenses</v>
          </cell>
        </row>
        <row r="25035">
          <cell r="L25035" t="str">
            <v>Non-proportional</v>
          </cell>
          <cell r="S25035">
            <v>95.9</v>
          </cell>
          <cell r="X25035" t="str">
            <v>Expenses</v>
          </cell>
        </row>
        <row r="25036">
          <cell r="L25036" t="str">
            <v>Non-proportional</v>
          </cell>
          <cell r="S25036">
            <v>-56.33</v>
          </cell>
          <cell r="X25036" t="str">
            <v>Expenses</v>
          </cell>
        </row>
        <row r="25037">
          <cell r="L25037" t="str">
            <v>Proportional</v>
          </cell>
          <cell r="S25037">
            <v>1349.12</v>
          </cell>
          <cell r="X25037" t="str">
            <v>Expenses</v>
          </cell>
        </row>
        <row r="25038">
          <cell r="L25038" t="str">
            <v>Non-proportional</v>
          </cell>
          <cell r="S25038">
            <v>-130.71</v>
          </cell>
          <cell r="X25038" t="str">
            <v>Expenses</v>
          </cell>
        </row>
        <row r="25039">
          <cell r="L25039" t="str">
            <v>Non-proportional</v>
          </cell>
          <cell r="S25039">
            <v>3114.32</v>
          </cell>
          <cell r="X25039" t="str">
            <v>Expenses</v>
          </cell>
        </row>
        <row r="25040">
          <cell r="L25040" t="str">
            <v>Non-proportional</v>
          </cell>
          <cell r="S25040">
            <v>242.44</v>
          </cell>
          <cell r="X25040" t="str">
            <v>Expenses</v>
          </cell>
        </row>
        <row r="25041">
          <cell r="L25041" t="str">
            <v>Non-proportional</v>
          </cell>
          <cell r="S25041">
            <v>-146.65</v>
          </cell>
          <cell r="X25041" t="str">
            <v>Expenses</v>
          </cell>
        </row>
        <row r="25042">
          <cell r="L25042" t="str">
            <v>Non-proportional</v>
          </cell>
          <cell r="S25042">
            <v>130.71</v>
          </cell>
          <cell r="X25042" t="str">
            <v>Expenses</v>
          </cell>
        </row>
        <row r="25043">
          <cell r="L25043" t="str">
            <v>Non-proportional</v>
          </cell>
          <cell r="S25043">
            <v>43.48</v>
          </cell>
          <cell r="X25043" t="str">
            <v>Expenses</v>
          </cell>
        </row>
        <row r="25044">
          <cell r="L25044" t="str">
            <v>Proportional</v>
          </cell>
          <cell r="S25044">
            <v>-993.55</v>
          </cell>
          <cell r="X25044" t="str">
            <v>Expenses</v>
          </cell>
        </row>
        <row r="25045">
          <cell r="L25045" t="str">
            <v>Non-proportional</v>
          </cell>
          <cell r="S25045">
            <v>517.25</v>
          </cell>
          <cell r="X25045" t="str">
            <v>Expenses</v>
          </cell>
        </row>
        <row r="25046">
          <cell r="L25046" t="str">
            <v>Non-proportional</v>
          </cell>
          <cell r="S25046">
            <v>1623.42</v>
          </cell>
          <cell r="X25046" t="str">
            <v>Expenses</v>
          </cell>
        </row>
        <row r="25047">
          <cell r="L25047" t="str">
            <v>Non-proportional</v>
          </cell>
          <cell r="S25047">
            <v>168.9</v>
          </cell>
          <cell r="X25047" t="str">
            <v>Expenses</v>
          </cell>
        </row>
        <row r="25048">
          <cell r="L25048" t="str">
            <v>Non-proportional</v>
          </cell>
          <cell r="S25048">
            <v>-3114.32</v>
          </cell>
          <cell r="X25048" t="str">
            <v>Expenses</v>
          </cell>
        </row>
        <row r="25049">
          <cell r="L25049" t="str">
            <v>Non-proportional</v>
          </cell>
          <cell r="S25049">
            <v>-1960.03</v>
          </cell>
          <cell r="X25049" t="str">
            <v>Expenses</v>
          </cell>
        </row>
        <row r="25050">
          <cell r="L25050" t="str">
            <v>Non-proportional</v>
          </cell>
          <cell r="S25050">
            <v>207.5</v>
          </cell>
          <cell r="X25050" t="str">
            <v>Expenses</v>
          </cell>
        </row>
        <row r="25051">
          <cell r="L25051" t="str">
            <v>Non-proportional</v>
          </cell>
          <cell r="S25051">
            <v>259.07</v>
          </cell>
          <cell r="X25051" t="str">
            <v>Expenses</v>
          </cell>
        </row>
        <row r="25052">
          <cell r="L25052" t="str">
            <v>Non-proportional</v>
          </cell>
          <cell r="S25052">
            <v>175.49</v>
          </cell>
          <cell r="X25052" t="str">
            <v>Expenses</v>
          </cell>
        </row>
        <row r="25053">
          <cell r="L25053" t="str">
            <v>Non-proportional</v>
          </cell>
          <cell r="S25053">
            <v>519.52</v>
          </cell>
          <cell r="X25053" t="str">
            <v>Expenses</v>
          </cell>
        </row>
        <row r="25054">
          <cell r="L25054" t="str">
            <v>Non-proportional</v>
          </cell>
          <cell r="S25054">
            <v>-182.67</v>
          </cell>
          <cell r="X25054" t="str">
            <v>Expenses</v>
          </cell>
        </row>
        <row r="25055">
          <cell r="L25055" t="str">
            <v>Non-proportional</v>
          </cell>
          <cell r="S25055">
            <v>231.1</v>
          </cell>
          <cell r="X25055" t="str">
            <v>Expenses</v>
          </cell>
        </row>
        <row r="25056">
          <cell r="L25056" t="str">
            <v>Non-proportional</v>
          </cell>
          <cell r="S25056">
            <v>156.44</v>
          </cell>
          <cell r="X25056" t="str">
            <v>Expenses</v>
          </cell>
        </row>
        <row r="25057">
          <cell r="L25057" t="str">
            <v>Non-proportional</v>
          </cell>
          <cell r="S25057">
            <v>-242.83</v>
          </cell>
          <cell r="X25057" t="str">
            <v>Expenses</v>
          </cell>
        </row>
        <row r="25058">
          <cell r="L25058" t="str">
            <v>Non-proportional</v>
          </cell>
          <cell r="S25058">
            <v>-242.83</v>
          </cell>
          <cell r="X25058" t="str">
            <v>Expenses</v>
          </cell>
        </row>
        <row r="25059">
          <cell r="L25059" t="str">
            <v>Non-proportional</v>
          </cell>
          <cell r="S25059">
            <v>-36.53</v>
          </cell>
          <cell r="X25059" t="str">
            <v>Expenses</v>
          </cell>
        </row>
        <row r="25060">
          <cell r="L25060" t="str">
            <v>Non-proportional</v>
          </cell>
          <cell r="S25060">
            <v>-81.64</v>
          </cell>
          <cell r="X25060" t="str">
            <v>Expenses</v>
          </cell>
        </row>
        <row r="25061">
          <cell r="L25061" t="str">
            <v>Non-proportional</v>
          </cell>
          <cell r="S25061">
            <v>175.35</v>
          </cell>
          <cell r="X25061" t="str">
            <v>Expenses</v>
          </cell>
        </row>
        <row r="25062">
          <cell r="L25062" t="str">
            <v>Proportional</v>
          </cell>
          <cell r="S25062">
            <v>-5448.41</v>
          </cell>
          <cell r="X25062" t="str">
            <v>Expenses</v>
          </cell>
        </row>
        <row r="25063">
          <cell r="L25063" t="str">
            <v>Non-proportional</v>
          </cell>
          <cell r="S25063">
            <v>3114.32</v>
          </cell>
          <cell r="X25063" t="str">
            <v>Expenses</v>
          </cell>
        </row>
        <row r="25064">
          <cell r="L25064" t="str">
            <v>Proportional</v>
          </cell>
          <cell r="S25064">
            <v>-3769.08</v>
          </cell>
          <cell r="X25064" t="str">
            <v>Expenses</v>
          </cell>
        </row>
        <row r="25065">
          <cell r="L25065" t="str">
            <v>Non-proportional</v>
          </cell>
          <cell r="S25065">
            <v>-371.42</v>
          </cell>
          <cell r="X25065" t="str">
            <v>Expenses</v>
          </cell>
        </row>
        <row r="25066">
          <cell r="L25066" t="str">
            <v>Non-proportional</v>
          </cell>
          <cell r="S25066">
            <v>371.42</v>
          </cell>
          <cell r="X25066" t="str">
            <v>Expenses</v>
          </cell>
        </row>
        <row r="25067">
          <cell r="L25067" t="str">
            <v>Non-proportional</v>
          </cell>
          <cell r="S25067">
            <v>-228.76</v>
          </cell>
          <cell r="X25067" t="str">
            <v>Expenses</v>
          </cell>
        </row>
        <row r="25068">
          <cell r="L25068" t="str">
            <v>Proportional</v>
          </cell>
          <cell r="S25068">
            <v>-1.71</v>
          </cell>
          <cell r="X25068" t="str">
            <v>Expenses</v>
          </cell>
        </row>
        <row r="25069">
          <cell r="L25069" t="str">
            <v>Proportional</v>
          </cell>
          <cell r="S25069">
            <v>-1349.12</v>
          </cell>
          <cell r="X25069" t="str">
            <v>Expenses</v>
          </cell>
        </row>
        <row r="25070">
          <cell r="L25070" t="str">
            <v>Proportional</v>
          </cell>
          <cell r="S25070">
            <v>-260.95999999999998</v>
          </cell>
          <cell r="X25070" t="str">
            <v>Expenses</v>
          </cell>
        </row>
        <row r="25071">
          <cell r="L25071" t="str">
            <v>Non-proportional</v>
          </cell>
          <cell r="S25071">
            <v>56.33</v>
          </cell>
          <cell r="X25071" t="str">
            <v>Expenses</v>
          </cell>
        </row>
        <row r="25072">
          <cell r="L25072" t="str">
            <v>Non-proportional</v>
          </cell>
          <cell r="S25072">
            <v>1960.03</v>
          </cell>
          <cell r="X25072" t="str">
            <v>Expenses</v>
          </cell>
        </row>
        <row r="25073">
          <cell r="L25073" t="str">
            <v>Non-proportional</v>
          </cell>
          <cell r="S25073">
            <v>536.72</v>
          </cell>
          <cell r="X25073" t="str">
            <v>Expenses</v>
          </cell>
        </row>
        <row r="25074">
          <cell r="L25074" t="str">
            <v>Non-proportional</v>
          </cell>
          <cell r="S25074">
            <v>299.25</v>
          </cell>
          <cell r="X25074" t="str">
            <v>Expenses</v>
          </cell>
        </row>
        <row r="25075">
          <cell r="L25075" t="str">
            <v>Non-proportional</v>
          </cell>
          <cell r="S25075">
            <v>73.95</v>
          </cell>
          <cell r="X25075" t="str">
            <v>Expenses</v>
          </cell>
        </row>
        <row r="25076">
          <cell r="L25076" t="str">
            <v>Non-proportional</v>
          </cell>
          <cell r="S25076">
            <v>1127.1199999999999</v>
          </cell>
          <cell r="X25076" t="str">
            <v>Expenses</v>
          </cell>
        </row>
        <row r="25077">
          <cell r="L25077" t="str">
            <v>Non-proportional</v>
          </cell>
          <cell r="S25077">
            <v>2783.01</v>
          </cell>
          <cell r="X25077" t="str">
            <v>Expenses</v>
          </cell>
        </row>
        <row r="25078">
          <cell r="L25078" t="str">
            <v>Non-proportional</v>
          </cell>
          <cell r="S25078">
            <v>259.07</v>
          </cell>
          <cell r="X25078" t="str">
            <v>Expenses</v>
          </cell>
        </row>
        <row r="25079">
          <cell r="L25079" t="str">
            <v>Proportional</v>
          </cell>
          <cell r="S25079">
            <v>16.43</v>
          </cell>
          <cell r="X25079" t="str">
            <v>Expenses</v>
          </cell>
        </row>
        <row r="25080">
          <cell r="L25080" t="str">
            <v>Non-proportional</v>
          </cell>
          <cell r="S25080">
            <v>-231.1</v>
          </cell>
          <cell r="X25080" t="str">
            <v>Expenses</v>
          </cell>
        </row>
        <row r="25081">
          <cell r="L25081" t="str">
            <v>Non-proportional</v>
          </cell>
          <cell r="S25081">
            <v>156.44</v>
          </cell>
          <cell r="X25081" t="str">
            <v>Expenses</v>
          </cell>
        </row>
        <row r="25082">
          <cell r="L25082" t="str">
            <v>Proportional</v>
          </cell>
          <cell r="S25082">
            <v>993.55</v>
          </cell>
          <cell r="X25082" t="str">
            <v>Expenses</v>
          </cell>
        </row>
        <row r="25083">
          <cell r="L25083" t="str">
            <v>Non-proportional</v>
          </cell>
          <cell r="S25083">
            <v>210.67</v>
          </cell>
          <cell r="X25083" t="str">
            <v>Expenses</v>
          </cell>
        </row>
        <row r="25084">
          <cell r="L25084" t="str">
            <v>Proportional</v>
          </cell>
          <cell r="S25084">
            <v>-2760.61</v>
          </cell>
          <cell r="X25084" t="str">
            <v>Expenses</v>
          </cell>
        </row>
        <row r="25085">
          <cell r="L25085" t="str">
            <v>Proportional</v>
          </cell>
          <cell r="S25085">
            <v>425.15</v>
          </cell>
          <cell r="X25085" t="str">
            <v>Expenses</v>
          </cell>
        </row>
        <row r="25086">
          <cell r="L25086" t="str">
            <v>Non-proportional</v>
          </cell>
          <cell r="S25086">
            <v>-536.72</v>
          </cell>
          <cell r="X25086" t="str">
            <v>Expenses</v>
          </cell>
        </row>
        <row r="25087">
          <cell r="L25087" t="str">
            <v>Non-proportional</v>
          </cell>
          <cell r="S25087">
            <v>-105.59</v>
          </cell>
          <cell r="X25087" t="str">
            <v>Expenses</v>
          </cell>
        </row>
        <row r="25088">
          <cell r="L25088" t="str">
            <v>Non-proportional</v>
          </cell>
          <cell r="S25088">
            <v>-1094.74</v>
          </cell>
          <cell r="X25088" t="str">
            <v>Expenses</v>
          </cell>
        </row>
        <row r="25089">
          <cell r="L25089" t="str">
            <v>Non-proportional</v>
          </cell>
          <cell r="S25089">
            <v>413.94</v>
          </cell>
          <cell r="X25089" t="str">
            <v>Expenses</v>
          </cell>
        </row>
        <row r="25090">
          <cell r="L25090" t="str">
            <v>Non-proportional</v>
          </cell>
          <cell r="S25090">
            <v>226.78</v>
          </cell>
          <cell r="X25090" t="str">
            <v>Expenses</v>
          </cell>
        </row>
        <row r="25091">
          <cell r="L25091" t="str">
            <v>Non-proportional</v>
          </cell>
          <cell r="S25091">
            <v>1070.21</v>
          </cell>
          <cell r="X25091" t="str">
            <v>Expenses</v>
          </cell>
        </row>
        <row r="25092">
          <cell r="L25092" t="str">
            <v>Non-proportional</v>
          </cell>
          <cell r="S25092">
            <v>-226.78</v>
          </cell>
          <cell r="X25092" t="str">
            <v>Expenses</v>
          </cell>
        </row>
        <row r="25093">
          <cell r="L25093" t="str">
            <v>Non-proportional</v>
          </cell>
          <cell r="S25093">
            <v>461.42</v>
          </cell>
          <cell r="X25093" t="str">
            <v>Expenses</v>
          </cell>
        </row>
        <row r="25094">
          <cell r="L25094" t="str">
            <v>Non-proportional</v>
          </cell>
          <cell r="S25094">
            <v>832.12</v>
          </cell>
          <cell r="X25094" t="str">
            <v>Expenses</v>
          </cell>
        </row>
        <row r="25095">
          <cell r="L25095" t="str">
            <v>Non-proportional</v>
          </cell>
          <cell r="S25095">
            <v>1535.23</v>
          </cell>
          <cell r="X25095" t="str">
            <v>Expenses</v>
          </cell>
        </row>
        <row r="25096">
          <cell r="L25096" t="str">
            <v>Non-proportional</v>
          </cell>
          <cell r="S25096">
            <v>-832.12</v>
          </cell>
          <cell r="X25096" t="str">
            <v>Expenses</v>
          </cell>
        </row>
        <row r="25097">
          <cell r="L25097" t="str">
            <v>Proportional</v>
          </cell>
          <cell r="S25097">
            <v>1525.48</v>
          </cell>
          <cell r="X25097" t="str">
            <v>Expenses</v>
          </cell>
        </row>
        <row r="25098">
          <cell r="L25098" t="str">
            <v>Non-proportional</v>
          </cell>
          <cell r="S25098">
            <v>-78.42</v>
          </cell>
          <cell r="X25098" t="str">
            <v>Expenses</v>
          </cell>
        </row>
        <row r="25099">
          <cell r="L25099" t="str">
            <v>Non-proportional</v>
          </cell>
          <cell r="S25099">
            <v>-84.88</v>
          </cell>
          <cell r="X25099" t="str">
            <v>Expenses</v>
          </cell>
        </row>
        <row r="25100">
          <cell r="L25100" t="str">
            <v>Non-proportional</v>
          </cell>
          <cell r="S25100">
            <v>-1535.23</v>
          </cell>
          <cell r="X25100" t="str">
            <v>Expenses</v>
          </cell>
        </row>
        <row r="25101">
          <cell r="L25101" t="str">
            <v>Non-proportional</v>
          </cell>
          <cell r="S25101">
            <v>8037.65</v>
          </cell>
          <cell r="X25101" t="str">
            <v>Expenses</v>
          </cell>
        </row>
        <row r="25102">
          <cell r="L25102" t="str">
            <v>Non-proportional</v>
          </cell>
          <cell r="S25102">
            <v>-49.63</v>
          </cell>
          <cell r="X25102" t="str">
            <v>Expenses</v>
          </cell>
        </row>
        <row r="25103">
          <cell r="L25103" t="str">
            <v>Non-proportional</v>
          </cell>
          <cell r="S25103">
            <v>512.35</v>
          </cell>
          <cell r="X25103" t="str">
            <v>Expenses</v>
          </cell>
        </row>
        <row r="25104">
          <cell r="L25104" t="str">
            <v>Non-proportional</v>
          </cell>
          <cell r="S25104">
            <v>8602.4599999999991</v>
          </cell>
          <cell r="X25104" t="str">
            <v>Expenses</v>
          </cell>
        </row>
        <row r="25105">
          <cell r="L25105" t="str">
            <v>Proportional</v>
          </cell>
          <cell r="S25105">
            <v>-15907.13</v>
          </cell>
          <cell r="X25105" t="str">
            <v>Expenses</v>
          </cell>
        </row>
        <row r="25106">
          <cell r="L25106" t="str">
            <v>Non-proportional</v>
          </cell>
          <cell r="S25106">
            <v>-39.549999999999997</v>
          </cell>
          <cell r="X25106" t="str">
            <v>Expenses</v>
          </cell>
        </row>
        <row r="25107">
          <cell r="L25107" t="str">
            <v>Non-proportional</v>
          </cell>
          <cell r="S25107">
            <v>1094.74</v>
          </cell>
          <cell r="X25107" t="str">
            <v>Expenses</v>
          </cell>
        </row>
        <row r="25108">
          <cell r="L25108" t="str">
            <v>Proportional</v>
          </cell>
          <cell r="S25108">
            <v>3140.93</v>
          </cell>
          <cell r="X25108" t="str">
            <v>Expenses</v>
          </cell>
        </row>
        <row r="25109">
          <cell r="L25109" t="str">
            <v>Proportional</v>
          </cell>
          <cell r="S25109">
            <v>131.5</v>
          </cell>
          <cell r="X25109" t="str">
            <v>Expenses</v>
          </cell>
        </row>
        <row r="25110">
          <cell r="L25110" t="str">
            <v>Proportional</v>
          </cell>
          <cell r="S25110">
            <v>-131.5</v>
          </cell>
          <cell r="X25110" t="str">
            <v>Expenses</v>
          </cell>
        </row>
        <row r="25111">
          <cell r="L25111" t="str">
            <v>Non-proportional</v>
          </cell>
          <cell r="S25111">
            <v>8602.4599999999991</v>
          </cell>
          <cell r="X25111" t="str">
            <v>Expenses</v>
          </cell>
        </row>
        <row r="25112">
          <cell r="L25112" t="str">
            <v>Non-proportional</v>
          </cell>
          <cell r="S25112">
            <v>8037.65</v>
          </cell>
          <cell r="X25112" t="str">
            <v>Expenses</v>
          </cell>
        </row>
        <row r="25113">
          <cell r="L25113" t="str">
            <v>Non-proportional</v>
          </cell>
          <cell r="S25113">
            <v>-11632.87</v>
          </cell>
          <cell r="X25113" t="str">
            <v>Expenses</v>
          </cell>
        </row>
        <row r="25114">
          <cell r="L25114" t="str">
            <v>Non-proportional</v>
          </cell>
          <cell r="S25114">
            <v>-8602.4599999999991</v>
          </cell>
          <cell r="X25114" t="str">
            <v>Expenses</v>
          </cell>
        </row>
        <row r="25115">
          <cell r="L25115" t="str">
            <v>Non-proportional</v>
          </cell>
          <cell r="S25115">
            <v>-1070.21</v>
          </cell>
          <cell r="X25115" t="str">
            <v>Expenses</v>
          </cell>
        </row>
        <row r="25116">
          <cell r="L25116" t="str">
            <v>Proportional</v>
          </cell>
          <cell r="S25116">
            <v>-12247.31</v>
          </cell>
          <cell r="X25116" t="str">
            <v>Expenses</v>
          </cell>
        </row>
        <row r="25117">
          <cell r="L25117" t="str">
            <v>Non-proportional</v>
          </cell>
          <cell r="S25117">
            <v>11632.87</v>
          </cell>
          <cell r="X25117" t="str">
            <v>Expenses</v>
          </cell>
        </row>
        <row r="25118">
          <cell r="L25118" t="str">
            <v>Proportional</v>
          </cell>
          <cell r="S25118">
            <v>-1525.48</v>
          </cell>
          <cell r="X25118" t="str">
            <v>Expenses</v>
          </cell>
        </row>
        <row r="25119">
          <cell r="L25119" t="str">
            <v>Non-proportional</v>
          </cell>
          <cell r="S25119">
            <v>2936.82</v>
          </cell>
          <cell r="X25119" t="str">
            <v>Expenses</v>
          </cell>
        </row>
        <row r="25120">
          <cell r="L25120" t="str">
            <v>Non-proportional</v>
          </cell>
          <cell r="S25120">
            <v>-61.31</v>
          </cell>
          <cell r="X25120" t="str">
            <v>Expenses</v>
          </cell>
        </row>
        <row r="25121">
          <cell r="L25121" t="str">
            <v>Non-proportional</v>
          </cell>
          <cell r="S25121">
            <v>11632.87</v>
          </cell>
          <cell r="X25121" t="str">
            <v>Expenses</v>
          </cell>
        </row>
        <row r="25122">
          <cell r="L25122" t="str">
            <v>Non-proportional</v>
          </cell>
          <cell r="S25122">
            <v>-8037.65</v>
          </cell>
          <cell r="X25122" t="str">
            <v>Expenses</v>
          </cell>
        </row>
        <row r="25123">
          <cell r="L25123" t="str">
            <v>Non-proportional</v>
          </cell>
          <cell r="S25123">
            <v>-2133.5100000000002</v>
          </cell>
          <cell r="X25123" t="str">
            <v>Expenses</v>
          </cell>
        </row>
        <row r="25124">
          <cell r="L25124" t="str">
            <v>Non-proportional</v>
          </cell>
          <cell r="S25124">
            <v>-36.26</v>
          </cell>
          <cell r="X25124" t="str">
            <v>Expenses</v>
          </cell>
        </row>
        <row r="25125">
          <cell r="L25125" t="str">
            <v>Non-proportional</v>
          </cell>
          <cell r="S25125">
            <v>-1788.83</v>
          </cell>
          <cell r="X25125" t="str">
            <v>Expenses</v>
          </cell>
        </row>
        <row r="25126">
          <cell r="L25126" t="str">
            <v>Non-proportional</v>
          </cell>
          <cell r="S25126">
            <v>738.09</v>
          </cell>
          <cell r="X25126" t="str">
            <v>Expenses</v>
          </cell>
        </row>
        <row r="25127">
          <cell r="L25127" t="str">
            <v>Non-proportional</v>
          </cell>
          <cell r="S25127">
            <v>2470.08</v>
          </cell>
          <cell r="X25127" t="str">
            <v>Expenses</v>
          </cell>
        </row>
        <row r="25128">
          <cell r="L25128" t="str">
            <v>Non-proportional</v>
          </cell>
          <cell r="S25128">
            <v>2082.54</v>
          </cell>
          <cell r="X25128" t="str">
            <v>Expenses</v>
          </cell>
        </row>
        <row r="25129">
          <cell r="L25129" t="str">
            <v>Non-proportional</v>
          </cell>
          <cell r="S25129">
            <v>627.25</v>
          </cell>
          <cell r="X25129" t="str">
            <v>Expenses</v>
          </cell>
        </row>
        <row r="25130">
          <cell r="L25130" t="str">
            <v>Non-proportional</v>
          </cell>
          <cell r="S25130">
            <v>2445.58</v>
          </cell>
          <cell r="X25130" t="str">
            <v>Expenses</v>
          </cell>
        </row>
        <row r="25131">
          <cell r="L25131" t="str">
            <v>Non-proportional</v>
          </cell>
          <cell r="S25131">
            <v>4053.56</v>
          </cell>
          <cell r="X25131" t="str">
            <v>Expenses</v>
          </cell>
        </row>
        <row r="25132">
          <cell r="L25132" t="str">
            <v>Non-proportional</v>
          </cell>
          <cell r="S25132">
            <v>556.16</v>
          </cell>
          <cell r="X25132" t="str">
            <v>Expenses</v>
          </cell>
        </row>
        <row r="25133">
          <cell r="L25133" t="str">
            <v>Non-proportional</v>
          </cell>
          <cell r="S25133">
            <v>-25.64</v>
          </cell>
          <cell r="X25133" t="str">
            <v>Expenses</v>
          </cell>
        </row>
        <row r="25134">
          <cell r="L25134" t="str">
            <v>Non-proportional</v>
          </cell>
          <cell r="S25134">
            <v>540.89</v>
          </cell>
          <cell r="X25134" t="str">
            <v>Expenses</v>
          </cell>
        </row>
        <row r="25135">
          <cell r="L25135" t="str">
            <v>Non-proportional</v>
          </cell>
          <cell r="S25135">
            <v>940.56</v>
          </cell>
          <cell r="X25135" t="str">
            <v>Expenses</v>
          </cell>
        </row>
        <row r="25136">
          <cell r="L25136" t="str">
            <v>Non-proportional</v>
          </cell>
          <cell r="S25136">
            <v>2394.14</v>
          </cell>
          <cell r="X25136" t="str">
            <v>Expenses</v>
          </cell>
        </row>
        <row r="25137">
          <cell r="L25137" t="str">
            <v>Non-proportional</v>
          </cell>
          <cell r="S25137">
            <v>1026.07</v>
          </cell>
          <cell r="X25137" t="str">
            <v>Expenses</v>
          </cell>
        </row>
        <row r="25138">
          <cell r="L25138" t="str">
            <v>Non-proportional</v>
          </cell>
          <cell r="S25138">
            <v>1121.77</v>
          </cell>
          <cell r="X25138" t="str">
            <v>Expenses</v>
          </cell>
        </row>
        <row r="25139">
          <cell r="L25139" t="str">
            <v>Non-proportional</v>
          </cell>
          <cell r="S25139">
            <v>3648.24</v>
          </cell>
          <cell r="X25139" t="str">
            <v>Expenses</v>
          </cell>
        </row>
        <row r="25140">
          <cell r="L25140" t="str">
            <v>Non-proportional</v>
          </cell>
          <cell r="S25140">
            <v>-21.96</v>
          </cell>
          <cell r="X25140" t="str">
            <v>Expenses</v>
          </cell>
        </row>
        <row r="25141">
          <cell r="L25141" t="str">
            <v>Non-proportional</v>
          </cell>
          <cell r="S25141">
            <v>-69.77</v>
          </cell>
          <cell r="X25141" t="str">
            <v>Expenses</v>
          </cell>
        </row>
        <row r="25142">
          <cell r="L25142" t="str">
            <v>Non-proportional</v>
          </cell>
          <cell r="S25142">
            <v>-211.27</v>
          </cell>
          <cell r="X25142" t="str">
            <v>Expenses</v>
          </cell>
        </row>
        <row r="25143">
          <cell r="L25143" t="str">
            <v>Non-proportional</v>
          </cell>
          <cell r="S25143">
            <v>1013.41</v>
          </cell>
          <cell r="X25143" t="str">
            <v>Expenses</v>
          </cell>
        </row>
        <row r="25144">
          <cell r="L25144" t="str">
            <v>Non-proportional</v>
          </cell>
          <cell r="S25144">
            <v>425.63</v>
          </cell>
          <cell r="X25144" t="str">
            <v>Expenses</v>
          </cell>
        </row>
        <row r="25145">
          <cell r="L25145" t="str">
            <v>Non-proportional</v>
          </cell>
          <cell r="S25145">
            <v>-83.61</v>
          </cell>
          <cell r="X25145" t="str">
            <v>Expenses</v>
          </cell>
        </row>
        <row r="25146">
          <cell r="L25146" t="str">
            <v>Non-proportional</v>
          </cell>
          <cell r="S25146">
            <v>-3642.54</v>
          </cell>
          <cell r="X25146" t="str">
            <v>Expenses</v>
          </cell>
        </row>
        <row r="25147">
          <cell r="L25147" t="str">
            <v>Non-proportional</v>
          </cell>
          <cell r="S25147">
            <v>4560.46</v>
          </cell>
          <cell r="X25147" t="str">
            <v>Expenses</v>
          </cell>
        </row>
        <row r="25148">
          <cell r="L25148" t="str">
            <v>Non-proportional</v>
          </cell>
          <cell r="S25148">
            <v>1689</v>
          </cell>
          <cell r="X25148" t="str">
            <v>Expenses</v>
          </cell>
        </row>
        <row r="25149">
          <cell r="L25149" t="str">
            <v>Non-proportional</v>
          </cell>
          <cell r="S25149">
            <v>1473.76</v>
          </cell>
          <cell r="X25149" t="str">
            <v>Expenses</v>
          </cell>
        </row>
        <row r="25150">
          <cell r="L25150" t="str">
            <v>Non-proportional</v>
          </cell>
          <cell r="S25150">
            <v>-76.48</v>
          </cell>
          <cell r="X25150" t="str">
            <v>Expenses</v>
          </cell>
        </row>
        <row r="25151">
          <cell r="L25151" t="str">
            <v>Non-proportional</v>
          </cell>
          <cell r="S25151">
            <v>2660.17</v>
          </cell>
          <cell r="X25151" t="str">
            <v>Expenses</v>
          </cell>
        </row>
        <row r="25152">
          <cell r="L25152" t="str">
            <v>Non-proportional</v>
          </cell>
          <cell r="S25152">
            <v>479.82</v>
          </cell>
          <cell r="X25152" t="str">
            <v>Expenses</v>
          </cell>
        </row>
        <row r="25153">
          <cell r="L25153" t="str">
            <v>Non-proportional</v>
          </cell>
          <cell r="S25153">
            <v>-1026.07</v>
          </cell>
          <cell r="X25153" t="str">
            <v>Expenses</v>
          </cell>
        </row>
        <row r="25154">
          <cell r="L25154" t="str">
            <v>Non-proportional</v>
          </cell>
          <cell r="S25154">
            <v>-190.67</v>
          </cell>
          <cell r="X25154" t="str">
            <v>Expenses</v>
          </cell>
        </row>
        <row r="25155">
          <cell r="L25155" t="str">
            <v>Non-proportional</v>
          </cell>
          <cell r="S25155">
            <v>63.89</v>
          </cell>
          <cell r="X25155" t="str">
            <v>Expenses</v>
          </cell>
        </row>
        <row r="25156">
          <cell r="L25156" t="str">
            <v>Non-proportional</v>
          </cell>
          <cell r="S25156">
            <v>-10.34</v>
          </cell>
          <cell r="X25156" t="str">
            <v>Expenses</v>
          </cell>
        </row>
        <row r="25157">
          <cell r="L25157" t="str">
            <v>Non-proportional</v>
          </cell>
          <cell r="S25157">
            <v>246.51</v>
          </cell>
          <cell r="X25157" t="str">
            <v>Expenses</v>
          </cell>
        </row>
        <row r="25158">
          <cell r="L25158" t="str">
            <v>Non-proportional</v>
          </cell>
          <cell r="S25158">
            <v>459.86</v>
          </cell>
          <cell r="X25158" t="str">
            <v>Expenses</v>
          </cell>
        </row>
        <row r="25159">
          <cell r="L25159" t="str">
            <v>Non-proportional</v>
          </cell>
          <cell r="S25159">
            <v>-912.06</v>
          </cell>
          <cell r="X25159" t="str">
            <v>Expenses</v>
          </cell>
        </row>
        <row r="25160">
          <cell r="L25160" t="str">
            <v>Non-proportional</v>
          </cell>
          <cell r="S25160">
            <v>451.74</v>
          </cell>
          <cell r="X25160" t="str">
            <v>Expenses</v>
          </cell>
        </row>
        <row r="25161">
          <cell r="L25161" t="str">
            <v>Non-proportional</v>
          </cell>
          <cell r="S25161">
            <v>1806.21</v>
          </cell>
          <cell r="X25161" t="str">
            <v>Expenses</v>
          </cell>
        </row>
        <row r="25162">
          <cell r="L25162" t="str">
            <v>Non-proportional</v>
          </cell>
          <cell r="S25162">
            <v>3642.54</v>
          </cell>
          <cell r="X25162" t="str">
            <v>Expenses</v>
          </cell>
        </row>
        <row r="25163">
          <cell r="L25163" t="str">
            <v>Non-proportional</v>
          </cell>
          <cell r="S25163">
            <v>2325.38</v>
          </cell>
          <cell r="X25163" t="str">
            <v>Expenses</v>
          </cell>
        </row>
        <row r="25164">
          <cell r="L25164" t="str">
            <v>Proportional</v>
          </cell>
          <cell r="S25164">
            <v>-979.62</v>
          </cell>
          <cell r="X25164" t="str">
            <v>Expenses</v>
          </cell>
        </row>
        <row r="25165">
          <cell r="L25165" t="str">
            <v>Non-proportional</v>
          </cell>
          <cell r="S25165">
            <v>1156.96</v>
          </cell>
          <cell r="X25165" t="str">
            <v>Expenses</v>
          </cell>
        </row>
        <row r="25166">
          <cell r="L25166" t="str">
            <v>Non-proportional</v>
          </cell>
          <cell r="S25166">
            <v>2969.54</v>
          </cell>
          <cell r="X25166" t="str">
            <v>Expenses</v>
          </cell>
        </row>
        <row r="25167">
          <cell r="L25167" t="str">
            <v>Non-proportional</v>
          </cell>
          <cell r="S25167">
            <v>912.06</v>
          </cell>
          <cell r="X25167" t="str">
            <v>Expenses</v>
          </cell>
        </row>
        <row r="25168">
          <cell r="L25168" t="str">
            <v>Non-proportional</v>
          </cell>
          <cell r="S25168">
            <v>2223.14</v>
          </cell>
          <cell r="X25168" t="str">
            <v>Expenses</v>
          </cell>
        </row>
        <row r="25169">
          <cell r="L25169" t="str">
            <v>Non-proportional</v>
          </cell>
          <cell r="S25169">
            <v>-53.99</v>
          </cell>
          <cell r="X25169" t="str">
            <v>Expenses</v>
          </cell>
        </row>
        <row r="25170">
          <cell r="L25170" t="str">
            <v>Non-proportional</v>
          </cell>
          <cell r="S25170">
            <v>811.31</v>
          </cell>
          <cell r="X25170" t="str">
            <v>Expenses</v>
          </cell>
        </row>
        <row r="25171">
          <cell r="L25171" t="str">
            <v>Non-proportional</v>
          </cell>
          <cell r="S25171">
            <v>-601.24</v>
          </cell>
          <cell r="X25171" t="str">
            <v>Expenses</v>
          </cell>
        </row>
        <row r="25172">
          <cell r="L25172" t="str">
            <v>Non-proportional</v>
          </cell>
          <cell r="S25172">
            <v>1550.84</v>
          </cell>
          <cell r="X25172" t="str">
            <v>Expenses</v>
          </cell>
        </row>
        <row r="25173">
          <cell r="L25173" t="str">
            <v>Non-proportional</v>
          </cell>
          <cell r="S25173">
            <v>141.53</v>
          </cell>
          <cell r="X25173" t="str">
            <v>Expenses</v>
          </cell>
        </row>
        <row r="25174">
          <cell r="L25174" t="str">
            <v>Non-proportional</v>
          </cell>
          <cell r="S25174">
            <v>4104.2700000000004</v>
          </cell>
          <cell r="X25174" t="str">
            <v>Expenses</v>
          </cell>
        </row>
        <row r="25175">
          <cell r="L25175" t="str">
            <v>Non-proportional</v>
          </cell>
          <cell r="S25175">
            <v>479.57</v>
          </cell>
          <cell r="X25175" t="str">
            <v>Expenses</v>
          </cell>
        </row>
        <row r="25176">
          <cell r="L25176" t="str">
            <v>Non-proportional</v>
          </cell>
          <cell r="S25176">
            <v>-19.79</v>
          </cell>
          <cell r="X25176" t="str">
            <v>Expenses</v>
          </cell>
        </row>
        <row r="25177">
          <cell r="L25177" t="str">
            <v>Non-proportional</v>
          </cell>
          <cell r="S25177">
            <v>497.85</v>
          </cell>
          <cell r="X25177" t="str">
            <v>Expenses</v>
          </cell>
        </row>
        <row r="25178">
          <cell r="L25178" t="str">
            <v>Non-proportional</v>
          </cell>
          <cell r="S25178">
            <v>722.42</v>
          </cell>
          <cell r="X25178" t="str">
            <v>Expenses</v>
          </cell>
        </row>
        <row r="25179">
          <cell r="L25179" t="str">
            <v>Non-proportional</v>
          </cell>
          <cell r="S25179">
            <v>953.62</v>
          </cell>
          <cell r="X25179" t="str">
            <v>Expenses</v>
          </cell>
        </row>
        <row r="25180">
          <cell r="L25180" t="str">
            <v>Non-proportional</v>
          </cell>
          <cell r="S25180">
            <v>446.02</v>
          </cell>
          <cell r="X25180" t="str">
            <v>Expenses</v>
          </cell>
        </row>
        <row r="25181">
          <cell r="L25181" t="str">
            <v>Non-proportional</v>
          </cell>
          <cell r="S25181">
            <v>-360.25</v>
          </cell>
          <cell r="X25181" t="str">
            <v>Expenses</v>
          </cell>
        </row>
        <row r="25182">
          <cell r="L25182" t="str">
            <v>Non-proportional</v>
          </cell>
          <cell r="S25182">
            <v>-5315.63</v>
          </cell>
          <cell r="X25182" t="str">
            <v>Expenses</v>
          </cell>
        </row>
        <row r="25183">
          <cell r="L25183" t="str">
            <v>Non-proportional</v>
          </cell>
          <cell r="S25183">
            <v>1140.07</v>
          </cell>
          <cell r="X25183" t="str">
            <v>Expenses</v>
          </cell>
        </row>
        <row r="25184">
          <cell r="L25184" t="str">
            <v>Non-proportional</v>
          </cell>
          <cell r="S25184">
            <v>599.46</v>
          </cell>
          <cell r="X25184" t="str">
            <v>Expenses</v>
          </cell>
        </row>
        <row r="25185">
          <cell r="L25185" t="str">
            <v>Non-proportional</v>
          </cell>
          <cell r="S25185">
            <v>46.35</v>
          </cell>
          <cell r="X25185" t="str">
            <v>Expenses</v>
          </cell>
        </row>
        <row r="25186">
          <cell r="L25186" t="str">
            <v>Non-proportional</v>
          </cell>
          <cell r="S25186">
            <v>1637.17</v>
          </cell>
          <cell r="X25186" t="str">
            <v>Expenses</v>
          </cell>
        </row>
        <row r="25187">
          <cell r="L25187" t="str">
            <v>Non-proportional</v>
          </cell>
          <cell r="S25187">
            <v>10133.48</v>
          </cell>
          <cell r="X25187" t="str">
            <v>Expenses</v>
          </cell>
        </row>
        <row r="25188">
          <cell r="L25188" t="str">
            <v>Non-proportional</v>
          </cell>
          <cell r="S25188">
            <v>361.4</v>
          </cell>
          <cell r="X25188" t="str">
            <v>Expenses</v>
          </cell>
        </row>
        <row r="25189">
          <cell r="L25189" t="str">
            <v>Non-proportional</v>
          </cell>
          <cell r="S25189">
            <v>10373.41</v>
          </cell>
          <cell r="X25189" t="str">
            <v>Expenses</v>
          </cell>
        </row>
        <row r="25190">
          <cell r="L25190" t="str">
            <v>Non-proportional</v>
          </cell>
          <cell r="S25190">
            <v>848.08</v>
          </cell>
          <cell r="X25190" t="str">
            <v>Expenses</v>
          </cell>
        </row>
        <row r="25191">
          <cell r="L25191" t="str">
            <v>Non-proportional</v>
          </cell>
          <cell r="S25191">
            <v>3358.22</v>
          </cell>
          <cell r="X25191" t="str">
            <v>Expenses</v>
          </cell>
        </row>
        <row r="25192">
          <cell r="L25192" t="str">
            <v>Non-proportional</v>
          </cell>
          <cell r="S25192">
            <v>313.77999999999997</v>
          </cell>
          <cell r="X25192" t="str">
            <v>Expenses</v>
          </cell>
        </row>
        <row r="25193">
          <cell r="L25193" t="str">
            <v>Proportional</v>
          </cell>
          <cell r="S25193">
            <v>247.58</v>
          </cell>
          <cell r="X25193" t="str">
            <v>Expenses</v>
          </cell>
        </row>
        <row r="25194">
          <cell r="L25194" t="str">
            <v>Non-proportional</v>
          </cell>
          <cell r="S25194">
            <v>157.26</v>
          </cell>
          <cell r="X25194" t="str">
            <v>Expenses</v>
          </cell>
        </row>
        <row r="25195">
          <cell r="L25195" t="str">
            <v>Non-proportional</v>
          </cell>
          <cell r="S25195">
            <v>198.31</v>
          </cell>
          <cell r="X25195" t="str">
            <v>Expenses</v>
          </cell>
        </row>
        <row r="25196">
          <cell r="L25196" t="str">
            <v>Proportional</v>
          </cell>
          <cell r="S25196">
            <v>979.62</v>
          </cell>
          <cell r="X25196" t="str">
            <v>Expenses</v>
          </cell>
        </row>
        <row r="25197">
          <cell r="L25197" t="str">
            <v>Non-proportional</v>
          </cell>
          <cell r="S25197">
            <v>5906.85</v>
          </cell>
          <cell r="X25197" t="str">
            <v>Expenses</v>
          </cell>
        </row>
        <row r="25198">
          <cell r="L25198" t="str">
            <v>Non-proportional</v>
          </cell>
          <cell r="S25198">
            <v>360.25</v>
          </cell>
          <cell r="X25198" t="str">
            <v>Expenses</v>
          </cell>
        </row>
        <row r="25199">
          <cell r="L25199" t="str">
            <v>Non-proportional</v>
          </cell>
          <cell r="S25199">
            <v>1127.44</v>
          </cell>
          <cell r="X25199" t="str">
            <v>Expenses</v>
          </cell>
        </row>
        <row r="25200">
          <cell r="L25200" t="str">
            <v>Non-proportional</v>
          </cell>
          <cell r="S25200">
            <v>-627.25</v>
          </cell>
          <cell r="X25200" t="str">
            <v>Expenses</v>
          </cell>
        </row>
        <row r="25201">
          <cell r="L25201" t="str">
            <v>Non-proportional</v>
          </cell>
          <cell r="S25201">
            <v>1095.17</v>
          </cell>
          <cell r="X25201" t="str">
            <v>Expenses</v>
          </cell>
        </row>
        <row r="25202">
          <cell r="L25202" t="str">
            <v>Non-proportional</v>
          </cell>
          <cell r="S25202">
            <v>4242.21</v>
          </cell>
          <cell r="X25202" t="str">
            <v>Expenses</v>
          </cell>
        </row>
        <row r="25203">
          <cell r="L25203" t="str">
            <v>Non-proportional</v>
          </cell>
          <cell r="S25203">
            <v>-141.53</v>
          </cell>
          <cell r="X25203" t="str">
            <v>Expenses</v>
          </cell>
        </row>
        <row r="25204">
          <cell r="L25204" t="str">
            <v>Non-proportional</v>
          </cell>
          <cell r="S25204">
            <v>-49.07</v>
          </cell>
          <cell r="X25204" t="str">
            <v>Expenses</v>
          </cell>
        </row>
        <row r="25205">
          <cell r="L25205" t="str">
            <v>Non-proportional</v>
          </cell>
          <cell r="S25205">
            <v>-23.9</v>
          </cell>
          <cell r="X25205" t="str">
            <v>Expenses</v>
          </cell>
        </row>
        <row r="25206">
          <cell r="L25206" t="str">
            <v>Non-proportional</v>
          </cell>
          <cell r="S25206">
            <v>707.18</v>
          </cell>
          <cell r="X25206" t="str">
            <v>Expenses</v>
          </cell>
        </row>
        <row r="25207">
          <cell r="L25207" t="str">
            <v>Non-proportional</v>
          </cell>
          <cell r="S25207">
            <v>501.63</v>
          </cell>
          <cell r="X25207" t="str">
            <v>Expenses</v>
          </cell>
        </row>
        <row r="25208">
          <cell r="L25208" t="str">
            <v>Non-proportional</v>
          </cell>
          <cell r="S25208">
            <v>1703.91</v>
          </cell>
          <cell r="X25208" t="str">
            <v>Expenses</v>
          </cell>
        </row>
        <row r="25209">
          <cell r="L25209" t="str">
            <v>Non-proportional</v>
          </cell>
          <cell r="S25209">
            <v>799.98</v>
          </cell>
          <cell r="X25209" t="str">
            <v>Expenses</v>
          </cell>
        </row>
        <row r="25210">
          <cell r="L25210" t="str">
            <v>Non-proportional</v>
          </cell>
          <cell r="S25210">
            <v>-1473.76</v>
          </cell>
          <cell r="X25210" t="str">
            <v>Expenses</v>
          </cell>
        </row>
        <row r="25211">
          <cell r="L25211" t="str">
            <v>Non-proportional</v>
          </cell>
          <cell r="S25211">
            <v>-1111.58</v>
          </cell>
          <cell r="X25211" t="str">
            <v>Expenses</v>
          </cell>
        </row>
        <row r="25212">
          <cell r="L25212" t="str">
            <v>Non-proportional</v>
          </cell>
          <cell r="S25212">
            <v>552.13</v>
          </cell>
          <cell r="X25212" t="str">
            <v>Expenses</v>
          </cell>
        </row>
        <row r="25213">
          <cell r="L25213" t="str">
            <v>Non-proportional</v>
          </cell>
          <cell r="S25213">
            <v>-19.190000000000001</v>
          </cell>
          <cell r="X25213" t="str">
            <v>Expenses</v>
          </cell>
        </row>
        <row r="25214">
          <cell r="L25214" t="str">
            <v>Non-proportional</v>
          </cell>
          <cell r="S25214">
            <v>441.9</v>
          </cell>
          <cell r="X25214" t="str">
            <v>Expenses</v>
          </cell>
        </row>
        <row r="25215">
          <cell r="L25215" t="str">
            <v>Non-proportional</v>
          </cell>
          <cell r="S25215">
            <v>904.91</v>
          </cell>
          <cell r="X25215" t="str">
            <v>Expenses</v>
          </cell>
        </row>
        <row r="25216">
          <cell r="L25216" t="str">
            <v>Non-proportional</v>
          </cell>
          <cell r="S25216">
            <v>-4605.8999999999996</v>
          </cell>
          <cell r="X25216" t="str">
            <v>Expenses</v>
          </cell>
        </row>
        <row r="25217">
          <cell r="L25217" t="str">
            <v>Non-proportional</v>
          </cell>
          <cell r="S25217">
            <v>-497.85</v>
          </cell>
          <cell r="X25217" t="str">
            <v>Expenses</v>
          </cell>
        </row>
        <row r="25218">
          <cell r="L25218" t="str">
            <v>Non-proportional</v>
          </cell>
          <cell r="S25218">
            <v>-1037.47</v>
          </cell>
          <cell r="X25218" t="str">
            <v>Expenses</v>
          </cell>
        </row>
        <row r="25219">
          <cell r="L25219" t="str">
            <v>Non-proportional</v>
          </cell>
          <cell r="S25219">
            <v>1710.1</v>
          </cell>
          <cell r="X25219" t="str">
            <v>Expenses</v>
          </cell>
        </row>
        <row r="25220">
          <cell r="L25220" t="str">
            <v>Non-proportional</v>
          </cell>
          <cell r="S25220">
            <v>-556.16</v>
          </cell>
          <cell r="X25220" t="str">
            <v>Expenses</v>
          </cell>
        </row>
        <row r="25221">
          <cell r="L25221" t="str">
            <v>Non-proportional</v>
          </cell>
          <cell r="S25221">
            <v>-811.31</v>
          </cell>
          <cell r="X25221" t="str">
            <v>Expenses</v>
          </cell>
        </row>
        <row r="25222">
          <cell r="L25222" t="str">
            <v>Non-proportional</v>
          </cell>
          <cell r="S25222">
            <v>585.71</v>
          </cell>
          <cell r="X25222" t="str">
            <v>Expenses</v>
          </cell>
        </row>
        <row r="25223">
          <cell r="L25223" t="str">
            <v>Non-proportional</v>
          </cell>
          <cell r="S25223">
            <v>601.24</v>
          </cell>
          <cell r="X25223" t="str">
            <v>Expenses</v>
          </cell>
        </row>
        <row r="25224">
          <cell r="L25224" t="str">
            <v>Non-proportional</v>
          </cell>
          <cell r="S25224">
            <v>4605.8999999999996</v>
          </cell>
          <cell r="X25224" t="str">
            <v>Expenses</v>
          </cell>
        </row>
        <row r="25225">
          <cell r="L25225" t="str">
            <v>Non-proportional</v>
          </cell>
          <cell r="S25225">
            <v>6891.01</v>
          </cell>
          <cell r="X25225" t="str">
            <v>Expenses</v>
          </cell>
        </row>
        <row r="25226">
          <cell r="L25226" t="str">
            <v>Non-proportional</v>
          </cell>
          <cell r="S25226">
            <v>118.04</v>
          </cell>
          <cell r="X25226" t="str">
            <v>Expenses</v>
          </cell>
        </row>
        <row r="25227">
          <cell r="L25227" t="str">
            <v>Non-proportional</v>
          </cell>
          <cell r="S25227">
            <v>77.459999999999994</v>
          </cell>
          <cell r="X25227" t="str">
            <v>Expenses</v>
          </cell>
        </row>
        <row r="25228">
          <cell r="L25228" t="str">
            <v>Non-proportional</v>
          </cell>
          <cell r="S25228">
            <v>-2660.17</v>
          </cell>
          <cell r="X25228" t="str">
            <v>Expenses</v>
          </cell>
        </row>
        <row r="25229">
          <cell r="L25229" t="str">
            <v>Non-proportional</v>
          </cell>
          <cell r="S25229">
            <v>-91.06</v>
          </cell>
          <cell r="X25229" t="str">
            <v>Expenses</v>
          </cell>
        </row>
        <row r="25230">
          <cell r="L25230" t="str">
            <v>Non-proportional</v>
          </cell>
          <cell r="S25230">
            <v>-2223.14</v>
          </cell>
          <cell r="X25230" t="str">
            <v>Expenses</v>
          </cell>
        </row>
        <row r="25231">
          <cell r="L25231" t="str">
            <v>Non-proportional</v>
          </cell>
          <cell r="S25231">
            <v>-397.71</v>
          </cell>
          <cell r="X25231" t="str">
            <v>Expenses</v>
          </cell>
        </row>
        <row r="25232">
          <cell r="L25232" t="str">
            <v>Non-proportional</v>
          </cell>
          <cell r="S25232">
            <v>3494.12</v>
          </cell>
          <cell r="X25232" t="str">
            <v>Expenses</v>
          </cell>
        </row>
        <row r="25233">
          <cell r="L25233" t="str">
            <v>Non-proportional</v>
          </cell>
          <cell r="S25233">
            <v>-1761.31</v>
          </cell>
          <cell r="X25233" t="str">
            <v>Expenses</v>
          </cell>
        </row>
        <row r="25234">
          <cell r="L25234" t="str">
            <v>Non-proportional</v>
          </cell>
          <cell r="S25234">
            <v>-1395.73</v>
          </cell>
          <cell r="X25234" t="str">
            <v>Expenses</v>
          </cell>
        </row>
        <row r="25235">
          <cell r="L25235" t="str">
            <v>Proportional</v>
          </cell>
          <cell r="S25235">
            <v>101.27</v>
          </cell>
          <cell r="X25235" t="str">
            <v>Expenses</v>
          </cell>
        </row>
        <row r="25236">
          <cell r="L25236" t="str">
            <v>Non-proportional</v>
          </cell>
          <cell r="S25236">
            <v>2546.84</v>
          </cell>
          <cell r="X25236" t="str">
            <v>Expenses</v>
          </cell>
        </row>
        <row r="25237">
          <cell r="L25237" t="str">
            <v>Non-proportional</v>
          </cell>
          <cell r="S25237">
            <v>9120.59</v>
          </cell>
          <cell r="X25237" t="str">
            <v>Expenses</v>
          </cell>
        </row>
        <row r="25238">
          <cell r="L25238" t="str">
            <v>Non-proportional</v>
          </cell>
          <cell r="S25238">
            <v>709.38</v>
          </cell>
          <cell r="X25238" t="str">
            <v>Expenses</v>
          </cell>
        </row>
        <row r="25239">
          <cell r="L25239" t="str">
            <v>Non-proportional</v>
          </cell>
          <cell r="S25239">
            <v>1037.47</v>
          </cell>
          <cell r="X25239" t="str">
            <v>Expenses</v>
          </cell>
        </row>
        <row r="25240">
          <cell r="L25240" t="str">
            <v>Non-proportional</v>
          </cell>
          <cell r="S25240">
            <v>-3648.24</v>
          </cell>
          <cell r="X25240" t="str">
            <v>Expenses</v>
          </cell>
        </row>
        <row r="25241">
          <cell r="L25241" t="str">
            <v>Non-proportional</v>
          </cell>
          <cell r="S25241">
            <v>2929.35</v>
          </cell>
          <cell r="X25241" t="str">
            <v>Expenses</v>
          </cell>
        </row>
        <row r="25242">
          <cell r="L25242" t="str">
            <v>Non-proportional</v>
          </cell>
          <cell r="S25242">
            <v>2556.0700000000002</v>
          </cell>
          <cell r="X25242" t="str">
            <v>Expenses</v>
          </cell>
        </row>
        <row r="25243">
          <cell r="L25243" t="str">
            <v>Non-proportional</v>
          </cell>
          <cell r="S25243">
            <v>-179.52</v>
          </cell>
          <cell r="X25243" t="str">
            <v>Expenses</v>
          </cell>
        </row>
        <row r="25244">
          <cell r="L25244" t="str">
            <v>Non-proportional</v>
          </cell>
          <cell r="S25244">
            <v>-912.06</v>
          </cell>
          <cell r="X25244" t="str">
            <v>Expenses</v>
          </cell>
        </row>
        <row r="25245">
          <cell r="L25245" t="str">
            <v>Non-proportional</v>
          </cell>
          <cell r="S25245">
            <v>1761.31</v>
          </cell>
          <cell r="X25245" t="str">
            <v>Expenses</v>
          </cell>
        </row>
        <row r="25246">
          <cell r="L25246" t="str">
            <v>Non-proportional</v>
          </cell>
          <cell r="S25246">
            <v>32.11</v>
          </cell>
          <cell r="X25246" t="str">
            <v>Expenses</v>
          </cell>
        </row>
        <row r="25247">
          <cell r="L25247" t="str">
            <v>Non-proportional</v>
          </cell>
          <cell r="S25247">
            <v>-361.4</v>
          </cell>
          <cell r="X25247" t="str">
            <v>Expenses</v>
          </cell>
        </row>
        <row r="25248">
          <cell r="L25248" t="str">
            <v>Non-proportional</v>
          </cell>
          <cell r="S25248">
            <v>-722.42</v>
          </cell>
          <cell r="X25248" t="str">
            <v>Expenses</v>
          </cell>
        </row>
        <row r="25249">
          <cell r="L25249" t="str">
            <v>Non-proportional</v>
          </cell>
          <cell r="S25249">
            <v>1286.7</v>
          </cell>
          <cell r="X25249" t="str">
            <v>Expenses</v>
          </cell>
        </row>
        <row r="25250">
          <cell r="L25250" t="str">
            <v>Non-proportional</v>
          </cell>
          <cell r="S25250">
            <v>253.35</v>
          </cell>
          <cell r="X25250" t="str">
            <v>Expenses</v>
          </cell>
        </row>
        <row r="25251">
          <cell r="L25251" t="str">
            <v>Non-proportional</v>
          </cell>
          <cell r="S25251">
            <v>5117.63</v>
          </cell>
          <cell r="X25251" t="str">
            <v>Expenses</v>
          </cell>
        </row>
        <row r="25252">
          <cell r="L25252" t="str">
            <v>Non-proportional</v>
          </cell>
          <cell r="S25252">
            <v>-1877.32</v>
          </cell>
          <cell r="X25252" t="str">
            <v>Expenses</v>
          </cell>
        </row>
        <row r="25253">
          <cell r="L25253" t="str">
            <v>Non-proportional</v>
          </cell>
          <cell r="S25253">
            <v>-479.57</v>
          </cell>
          <cell r="X25253" t="str">
            <v>Expenses</v>
          </cell>
        </row>
        <row r="25254">
          <cell r="L25254" t="str">
            <v>Non-proportional</v>
          </cell>
          <cell r="S25254">
            <v>1045.04</v>
          </cell>
          <cell r="X25254" t="str">
            <v>Expenses</v>
          </cell>
        </row>
        <row r="25255">
          <cell r="L25255" t="str">
            <v>Non-proportional</v>
          </cell>
          <cell r="S25255">
            <v>1990.65</v>
          </cell>
          <cell r="X25255" t="str">
            <v>Expenses</v>
          </cell>
        </row>
        <row r="25256">
          <cell r="L25256" t="str">
            <v>Non-proportional</v>
          </cell>
          <cell r="S25256">
            <v>-63.35</v>
          </cell>
          <cell r="X25256" t="str">
            <v>Expenses</v>
          </cell>
        </row>
        <row r="25257">
          <cell r="L25257" t="str">
            <v>Non-proportional</v>
          </cell>
          <cell r="S25257">
            <v>926.08</v>
          </cell>
          <cell r="X25257" t="str">
            <v>Expenses</v>
          </cell>
        </row>
        <row r="25258">
          <cell r="L25258" t="str">
            <v>Non-proportional</v>
          </cell>
          <cell r="S25258">
            <v>-383.86</v>
          </cell>
          <cell r="X25258" t="str">
            <v>Expenses</v>
          </cell>
        </row>
        <row r="25259">
          <cell r="L25259" t="str">
            <v>Non-proportional</v>
          </cell>
          <cell r="S25259">
            <v>441.71</v>
          </cell>
          <cell r="X25259" t="str">
            <v>Expenses</v>
          </cell>
        </row>
        <row r="25260">
          <cell r="L25260" t="str">
            <v>Non-proportional</v>
          </cell>
          <cell r="S25260">
            <v>2660.17</v>
          </cell>
          <cell r="X25260" t="str">
            <v>Expenses</v>
          </cell>
        </row>
        <row r="25261">
          <cell r="L25261" t="str">
            <v>Non-proportional</v>
          </cell>
          <cell r="S25261">
            <v>-2556.0700000000002</v>
          </cell>
          <cell r="X25261" t="str">
            <v>Expenses</v>
          </cell>
        </row>
        <row r="25262">
          <cell r="L25262" t="str">
            <v>Non-proportional</v>
          </cell>
          <cell r="S25262">
            <v>-9120.59</v>
          </cell>
          <cell r="X25262" t="str">
            <v>Expenses</v>
          </cell>
        </row>
        <row r="25263">
          <cell r="L25263" t="str">
            <v>Non-proportional</v>
          </cell>
          <cell r="S25263">
            <v>-446.02</v>
          </cell>
          <cell r="X25263" t="str">
            <v>Expenses</v>
          </cell>
        </row>
        <row r="25264">
          <cell r="L25264" t="str">
            <v>Non-proportional</v>
          </cell>
          <cell r="S25264">
            <v>-740.86</v>
          </cell>
          <cell r="X25264" t="str">
            <v>Expenses</v>
          </cell>
        </row>
        <row r="25265">
          <cell r="L25265" t="str">
            <v>Non-proportional</v>
          </cell>
          <cell r="S25265">
            <v>-401.73</v>
          </cell>
          <cell r="X25265" t="str">
            <v>Expenses</v>
          </cell>
        </row>
        <row r="25266">
          <cell r="L25266" t="str">
            <v>Non-proportional</v>
          </cell>
          <cell r="S25266">
            <v>-1625.57</v>
          </cell>
          <cell r="X25266" t="str">
            <v>Expenses</v>
          </cell>
        </row>
        <row r="25267">
          <cell r="L25267" t="str">
            <v>Non-proportional</v>
          </cell>
          <cell r="S25267">
            <v>10373.41</v>
          </cell>
          <cell r="X25267" t="str">
            <v>Expenses</v>
          </cell>
        </row>
        <row r="25268">
          <cell r="L25268" t="str">
            <v>Non-proportional</v>
          </cell>
          <cell r="S25268">
            <v>1625.57</v>
          </cell>
          <cell r="X25268" t="str">
            <v>Expenses</v>
          </cell>
        </row>
        <row r="25269">
          <cell r="L25269" t="str">
            <v>Non-proportional</v>
          </cell>
          <cell r="S25269">
            <v>1877.32</v>
          </cell>
          <cell r="X25269" t="str">
            <v>Expenses</v>
          </cell>
        </row>
        <row r="25270">
          <cell r="L25270" t="str">
            <v>Non-proportional</v>
          </cell>
          <cell r="S25270">
            <v>768.95</v>
          </cell>
          <cell r="X25270" t="str">
            <v>Expenses</v>
          </cell>
        </row>
        <row r="25271">
          <cell r="L25271" t="str">
            <v>Non-proportional</v>
          </cell>
          <cell r="S25271">
            <v>1900.18</v>
          </cell>
          <cell r="X25271" t="str">
            <v>Expenses</v>
          </cell>
        </row>
        <row r="25272">
          <cell r="L25272" t="str">
            <v>Non-proportional</v>
          </cell>
          <cell r="S25272">
            <v>-35.78</v>
          </cell>
          <cell r="X25272" t="str">
            <v>Expenses</v>
          </cell>
        </row>
        <row r="25273">
          <cell r="L25273" t="str">
            <v>Non-proportional</v>
          </cell>
          <cell r="S25273">
            <v>-2394.14</v>
          </cell>
          <cell r="X25273" t="str">
            <v>Expenses</v>
          </cell>
        </row>
        <row r="25274">
          <cell r="L25274" t="str">
            <v>Non-proportional</v>
          </cell>
          <cell r="S25274">
            <v>401.73</v>
          </cell>
          <cell r="X25274" t="str">
            <v>Expenses</v>
          </cell>
        </row>
        <row r="25275">
          <cell r="L25275" t="str">
            <v>Non-proportional</v>
          </cell>
          <cell r="S25275">
            <v>1855.16</v>
          </cell>
          <cell r="X25275" t="str">
            <v>Expenses</v>
          </cell>
        </row>
        <row r="25276">
          <cell r="L25276" t="str">
            <v>Non-proportional</v>
          </cell>
          <cell r="S25276">
            <v>912.06</v>
          </cell>
          <cell r="X25276" t="str">
            <v>Expenses</v>
          </cell>
        </row>
        <row r="25277">
          <cell r="L25277" t="str">
            <v>Non-proportional</v>
          </cell>
          <cell r="S25277">
            <v>1111.58</v>
          </cell>
          <cell r="X25277" t="str">
            <v>Expenses</v>
          </cell>
        </row>
        <row r="25278">
          <cell r="L25278" t="str">
            <v>Non-proportional</v>
          </cell>
          <cell r="S25278">
            <v>383.86</v>
          </cell>
          <cell r="X25278" t="str">
            <v>Expenses</v>
          </cell>
        </row>
        <row r="25279">
          <cell r="L25279" t="str">
            <v>Non-proportional</v>
          </cell>
          <cell r="S25279">
            <v>1788.83</v>
          </cell>
          <cell r="X25279" t="str">
            <v>Expenses</v>
          </cell>
        </row>
        <row r="25280">
          <cell r="L25280" t="str">
            <v>Non-proportional</v>
          </cell>
          <cell r="S25280">
            <v>-501.63</v>
          </cell>
          <cell r="X25280" t="str">
            <v>Expenses</v>
          </cell>
        </row>
        <row r="25281">
          <cell r="L25281" t="str">
            <v>Non-proportional</v>
          </cell>
          <cell r="S25281">
            <v>740.86</v>
          </cell>
          <cell r="X25281" t="str">
            <v>Expenses</v>
          </cell>
        </row>
        <row r="25282">
          <cell r="L25282" t="str">
            <v>Non-proportional</v>
          </cell>
          <cell r="S25282">
            <v>-940.56</v>
          </cell>
          <cell r="X25282" t="str">
            <v>Expenses</v>
          </cell>
        </row>
        <row r="25283">
          <cell r="L25283" t="str">
            <v>Non-proportional</v>
          </cell>
          <cell r="S25283">
            <v>1953.45</v>
          </cell>
          <cell r="X25283" t="str">
            <v>Expenses</v>
          </cell>
        </row>
        <row r="25284">
          <cell r="L25284" t="str">
            <v>Non-proportional</v>
          </cell>
          <cell r="S25284">
            <v>-11.38</v>
          </cell>
          <cell r="X25284" t="str">
            <v>Expenses</v>
          </cell>
        </row>
        <row r="25285">
          <cell r="L25285" t="str">
            <v>Non-proportional</v>
          </cell>
          <cell r="S25285">
            <v>-10373.41</v>
          </cell>
          <cell r="X25285" t="str">
            <v>Expenses</v>
          </cell>
        </row>
        <row r="25286">
          <cell r="L25286" t="str">
            <v>Non-proportional</v>
          </cell>
          <cell r="S25286">
            <v>-441.71</v>
          </cell>
          <cell r="X25286" t="str">
            <v>Expenses</v>
          </cell>
        </row>
        <row r="25287">
          <cell r="L25287" t="str">
            <v>Non-proportional</v>
          </cell>
          <cell r="S25287">
            <v>-10.36</v>
          </cell>
          <cell r="X25287" t="str">
            <v>Expenses</v>
          </cell>
        </row>
        <row r="25288">
          <cell r="L25288" t="str">
            <v>Proportional</v>
          </cell>
          <cell r="S25288">
            <v>3041.23</v>
          </cell>
          <cell r="X25288" t="str">
            <v>Expenses</v>
          </cell>
        </row>
        <row r="25289">
          <cell r="L25289" t="str">
            <v>Non-proportional</v>
          </cell>
          <cell r="S25289">
            <v>5315.63</v>
          </cell>
          <cell r="X25289" t="str">
            <v>Expenses</v>
          </cell>
        </row>
        <row r="25290">
          <cell r="L25290" t="str">
            <v>Non-proportional</v>
          </cell>
          <cell r="S25290">
            <v>557.27</v>
          </cell>
          <cell r="X25290" t="str">
            <v>Expenses</v>
          </cell>
        </row>
        <row r="25291">
          <cell r="L25291" t="str">
            <v>Non-proportional</v>
          </cell>
          <cell r="S25291">
            <v>3830.65</v>
          </cell>
          <cell r="X25291" t="str">
            <v>Expenses</v>
          </cell>
        </row>
        <row r="25292">
          <cell r="L25292" t="str">
            <v>Non-proportional</v>
          </cell>
          <cell r="S25292">
            <v>654.27</v>
          </cell>
          <cell r="X25292" t="str">
            <v>Expenses</v>
          </cell>
        </row>
        <row r="25293">
          <cell r="L25293" t="str">
            <v>Non-proportional</v>
          </cell>
          <cell r="S25293">
            <v>-8.35</v>
          </cell>
          <cell r="X25293" t="str">
            <v>Expenses</v>
          </cell>
        </row>
        <row r="25294">
          <cell r="L25294" t="str">
            <v>Non-proportional</v>
          </cell>
          <cell r="S25294">
            <v>643.23</v>
          </cell>
          <cell r="X25294" t="str">
            <v>Expenses</v>
          </cell>
        </row>
        <row r="25295">
          <cell r="L25295" t="str">
            <v>Proportional</v>
          </cell>
          <cell r="S25295">
            <v>-0.72</v>
          </cell>
          <cell r="X25295" t="str">
            <v>Expenses</v>
          </cell>
        </row>
        <row r="25296">
          <cell r="L25296" t="str">
            <v>Non-proportional</v>
          </cell>
          <cell r="S25296">
            <v>983.58</v>
          </cell>
          <cell r="X25296" t="str">
            <v>Expenses</v>
          </cell>
        </row>
        <row r="25297">
          <cell r="L25297" t="str">
            <v>Non-proportional</v>
          </cell>
          <cell r="S25297">
            <v>-720.96</v>
          </cell>
          <cell r="X25297" t="str">
            <v>Expenses</v>
          </cell>
        </row>
        <row r="25298">
          <cell r="L25298" t="str">
            <v>Non-proportional</v>
          </cell>
          <cell r="S25298">
            <v>-1710.1</v>
          </cell>
          <cell r="X25298" t="str">
            <v>Expenses</v>
          </cell>
        </row>
        <row r="25299">
          <cell r="L25299" t="str">
            <v>Non-proportional</v>
          </cell>
          <cell r="S25299">
            <v>-4104.2700000000004</v>
          </cell>
          <cell r="X25299" t="str">
            <v>Expenses</v>
          </cell>
        </row>
        <row r="25300">
          <cell r="L25300" t="str">
            <v>Non-proportional</v>
          </cell>
          <cell r="S25300">
            <v>1395.73</v>
          </cell>
          <cell r="X25300" t="str">
            <v>Expenses</v>
          </cell>
        </row>
        <row r="25301">
          <cell r="L25301" t="str">
            <v>Non-proportional</v>
          </cell>
          <cell r="S25301">
            <v>4048.04</v>
          </cell>
          <cell r="X25301" t="str">
            <v>Expenses</v>
          </cell>
        </row>
        <row r="25302">
          <cell r="L25302" t="str">
            <v>Non-proportional</v>
          </cell>
          <cell r="S25302">
            <v>-459.86</v>
          </cell>
          <cell r="X25302" t="str">
            <v>Expenses</v>
          </cell>
        </row>
        <row r="25303">
          <cell r="L25303" t="str">
            <v>Proportional</v>
          </cell>
          <cell r="S25303">
            <v>3749.61</v>
          </cell>
          <cell r="X25303" t="str">
            <v>Expenses</v>
          </cell>
        </row>
        <row r="25304">
          <cell r="L25304" t="str">
            <v>Non-proportional</v>
          </cell>
          <cell r="S25304">
            <v>1152.72</v>
          </cell>
          <cell r="X25304" t="str">
            <v>Expenses</v>
          </cell>
        </row>
        <row r="25305">
          <cell r="L25305" t="str">
            <v>Non-proportional</v>
          </cell>
          <cell r="S25305">
            <v>159</v>
          </cell>
          <cell r="X25305" t="str">
            <v>Expenses</v>
          </cell>
        </row>
        <row r="25306">
          <cell r="L25306" t="str">
            <v>Non-proportional</v>
          </cell>
          <cell r="S25306">
            <v>720.96</v>
          </cell>
          <cell r="X25306" t="str">
            <v>Expenses</v>
          </cell>
        </row>
        <row r="25307">
          <cell r="L25307" t="str">
            <v>Non-proportional</v>
          </cell>
          <cell r="S25307">
            <v>397.71</v>
          </cell>
          <cell r="X25307" t="str">
            <v>Expenses</v>
          </cell>
        </row>
        <row r="25308">
          <cell r="L25308" t="str">
            <v>Non-proportional</v>
          </cell>
          <cell r="S25308">
            <v>-768.95</v>
          </cell>
          <cell r="X25308" t="str">
            <v>Expenses</v>
          </cell>
        </row>
        <row r="25309">
          <cell r="L25309" t="str">
            <v>Non-proportional</v>
          </cell>
          <cell r="S25309">
            <v>-41.96</v>
          </cell>
          <cell r="X25309" t="str">
            <v>Expenses</v>
          </cell>
        </row>
        <row r="25310">
          <cell r="L25310" t="str">
            <v>Non-proportional</v>
          </cell>
          <cell r="S25310">
            <v>-3830.65</v>
          </cell>
          <cell r="X25310" t="str">
            <v>Expenses</v>
          </cell>
        </row>
        <row r="25311">
          <cell r="L25311" t="str">
            <v>Non-proportional</v>
          </cell>
          <cell r="S25311">
            <v>162.19</v>
          </cell>
          <cell r="X25311" t="str">
            <v>Expenses</v>
          </cell>
        </row>
        <row r="25312">
          <cell r="L25312" t="str">
            <v>Non-proportional</v>
          </cell>
          <cell r="S25312">
            <v>1235.0999999999999</v>
          </cell>
          <cell r="X25312" t="str">
            <v>Expenses</v>
          </cell>
        </row>
        <row r="25313">
          <cell r="L25313" t="str">
            <v>Non-proportional</v>
          </cell>
          <cell r="S25313">
            <v>1013.59</v>
          </cell>
          <cell r="X25313" t="str">
            <v>Expenses</v>
          </cell>
        </row>
        <row r="25314">
          <cell r="L25314" t="str">
            <v>Non-proportional</v>
          </cell>
          <cell r="S25314">
            <v>-8.8000000000000007</v>
          </cell>
          <cell r="X25314" t="str">
            <v>Expenses</v>
          </cell>
        </row>
        <row r="25315">
          <cell r="L25315" t="str">
            <v>Non-proportional</v>
          </cell>
          <cell r="S25315">
            <v>-54.23</v>
          </cell>
          <cell r="X25315" t="str">
            <v>Expenses</v>
          </cell>
        </row>
        <row r="25316">
          <cell r="L25316" t="str">
            <v>Non-proportional</v>
          </cell>
          <cell r="S25316">
            <v>732.73</v>
          </cell>
          <cell r="X25316" t="str">
            <v>Expenses</v>
          </cell>
        </row>
        <row r="25317">
          <cell r="L25317" t="str">
            <v>Non-proportional</v>
          </cell>
          <cell r="S25317">
            <v>802.27</v>
          </cell>
          <cell r="X25317" t="str">
            <v>Expenses</v>
          </cell>
        </row>
        <row r="25318">
          <cell r="L25318" t="str">
            <v>Non-proportional</v>
          </cell>
          <cell r="S25318">
            <v>138.72</v>
          </cell>
          <cell r="X25318" t="str">
            <v>Expenses</v>
          </cell>
        </row>
        <row r="25319">
          <cell r="L25319" t="str">
            <v>Non-proportional</v>
          </cell>
          <cell r="S25319">
            <v>-74.010000000000005</v>
          </cell>
          <cell r="X25319" t="str">
            <v>Expenses</v>
          </cell>
        </row>
        <row r="25320">
          <cell r="L25320" t="str">
            <v>Non-proportional</v>
          </cell>
          <cell r="S25320">
            <v>-91.79</v>
          </cell>
          <cell r="X25320" t="str">
            <v>Expenses</v>
          </cell>
        </row>
        <row r="25321">
          <cell r="L25321" t="str">
            <v>Non-proportional</v>
          </cell>
          <cell r="S25321">
            <v>-66.17</v>
          </cell>
          <cell r="X25321" t="str">
            <v>Expenses</v>
          </cell>
        </row>
        <row r="25322">
          <cell r="L25322" t="str">
            <v>Non-proportional</v>
          </cell>
          <cell r="S25322">
            <v>1204.52</v>
          </cell>
          <cell r="X25322" t="str">
            <v>Expenses</v>
          </cell>
        </row>
        <row r="25323">
          <cell r="L25323" t="str">
            <v>Non-proportional</v>
          </cell>
          <cell r="S25323">
            <v>116.52</v>
          </cell>
          <cell r="X25323" t="str">
            <v>Expenses</v>
          </cell>
        </row>
        <row r="25324">
          <cell r="L25324" t="str">
            <v>Non-proportional</v>
          </cell>
          <cell r="S25324">
            <v>-239.73</v>
          </cell>
          <cell r="X25324" t="str">
            <v>Expenses</v>
          </cell>
        </row>
        <row r="25325">
          <cell r="L25325" t="str">
            <v>Non-proportional</v>
          </cell>
          <cell r="S25325">
            <v>239.73</v>
          </cell>
          <cell r="X25325" t="str">
            <v>Expenses</v>
          </cell>
        </row>
        <row r="25326">
          <cell r="L25326" t="str">
            <v>Non-proportional</v>
          </cell>
          <cell r="S25326">
            <v>104.83</v>
          </cell>
          <cell r="X25326" t="str">
            <v>Expenses</v>
          </cell>
        </row>
        <row r="25327">
          <cell r="L25327" t="str">
            <v>Non-proportional</v>
          </cell>
          <cell r="S25327">
            <v>-109.66</v>
          </cell>
          <cell r="X25327" t="str">
            <v>Expenses</v>
          </cell>
        </row>
        <row r="25328">
          <cell r="L25328" t="str">
            <v>Non-proportional</v>
          </cell>
          <cell r="S25328">
            <v>64.900000000000006</v>
          </cell>
          <cell r="X25328" t="str">
            <v>Expenses</v>
          </cell>
        </row>
        <row r="25329">
          <cell r="L25329" t="str">
            <v>Non-proportional</v>
          </cell>
          <cell r="S25329">
            <v>6927.32</v>
          </cell>
          <cell r="X25329" t="str">
            <v>Expenses</v>
          </cell>
        </row>
        <row r="25330">
          <cell r="L25330" t="str">
            <v>Non-proportional</v>
          </cell>
          <cell r="S25330">
            <v>50.94</v>
          </cell>
          <cell r="X25330" t="str">
            <v>Expenses</v>
          </cell>
        </row>
        <row r="25331">
          <cell r="L25331" t="str">
            <v>Non-proportional</v>
          </cell>
          <cell r="S25331">
            <v>-1067.48</v>
          </cell>
          <cell r="X25331" t="str">
            <v>Expenses</v>
          </cell>
        </row>
        <row r="25332">
          <cell r="L25332" t="str">
            <v>Non-proportional</v>
          </cell>
          <cell r="S25332">
            <v>3157.31</v>
          </cell>
          <cell r="X25332" t="str">
            <v>Expenses</v>
          </cell>
        </row>
        <row r="25333">
          <cell r="L25333" t="str">
            <v>Non-proportional</v>
          </cell>
          <cell r="S25333">
            <v>-141.01</v>
          </cell>
          <cell r="X25333" t="str">
            <v>Expenses</v>
          </cell>
        </row>
        <row r="25334">
          <cell r="L25334" t="str">
            <v>Non-proportional</v>
          </cell>
          <cell r="S25334">
            <v>-174.47</v>
          </cell>
          <cell r="X25334" t="str">
            <v>Expenses</v>
          </cell>
        </row>
        <row r="25335">
          <cell r="L25335" t="str">
            <v>Non-proportional</v>
          </cell>
          <cell r="S25335">
            <v>-290.74</v>
          </cell>
          <cell r="X25335" t="str">
            <v>Expenses</v>
          </cell>
        </row>
        <row r="25336">
          <cell r="L25336" t="str">
            <v>Non-proportional</v>
          </cell>
          <cell r="S25336">
            <v>-50.99</v>
          </cell>
          <cell r="X25336" t="str">
            <v>Expenses</v>
          </cell>
        </row>
        <row r="25337">
          <cell r="L25337" t="str">
            <v>Non-proportional</v>
          </cell>
          <cell r="S25337">
            <v>-902.9</v>
          </cell>
          <cell r="X25337" t="str">
            <v>Expenses</v>
          </cell>
        </row>
        <row r="25338">
          <cell r="L25338" t="str">
            <v>Non-proportional</v>
          </cell>
          <cell r="S25338">
            <v>1050.0899999999999</v>
          </cell>
          <cell r="X25338" t="str">
            <v>Expenses</v>
          </cell>
        </row>
        <row r="25339">
          <cell r="L25339" t="str">
            <v>Non-proportional</v>
          </cell>
          <cell r="S25339">
            <v>-532.01</v>
          </cell>
          <cell r="X25339" t="str">
            <v>Expenses</v>
          </cell>
        </row>
        <row r="25340">
          <cell r="L25340" t="str">
            <v>Non-proportional</v>
          </cell>
          <cell r="S25340">
            <v>80.489999999999995</v>
          </cell>
          <cell r="X25340" t="str">
            <v>Expenses</v>
          </cell>
        </row>
        <row r="25341">
          <cell r="L25341" t="str">
            <v>Non-proportional</v>
          </cell>
          <cell r="S25341">
            <v>-10310.14</v>
          </cell>
          <cell r="X25341" t="str">
            <v>Expenses</v>
          </cell>
        </row>
        <row r="25342">
          <cell r="L25342" t="str">
            <v>Non-proportional</v>
          </cell>
          <cell r="S25342">
            <v>-21.51</v>
          </cell>
          <cell r="X25342" t="str">
            <v>Expenses</v>
          </cell>
        </row>
        <row r="25343">
          <cell r="L25343" t="str">
            <v>Non-proportional</v>
          </cell>
          <cell r="S25343">
            <v>10310.14</v>
          </cell>
          <cell r="X25343" t="str">
            <v>Expenses</v>
          </cell>
        </row>
        <row r="25344">
          <cell r="L25344" t="str">
            <v>Proportional</v>
          </cell>
          <cell r="S25344">
            <v>1017.3</v>
          </cell>
          <cell r="X25344" t="str">
            <v>Expenses</v>
          </cell>
        </row>
        <row r="25345">
          <cell r="L25345" t="str">
            <v>Non-proportional</v>
          </cell>
          <cell r="S25345">
            <v>126.34</v>
          </cell>
          <cell r="X25345" t="str">
            <v>Expenses</v>
          </cell>
        </row>
        <row r="25346">
          <cell r="L25346" t="str">
            <v>Non-proportional</v>
          </cell>
          <cell r="S25346">
            <v>-302.19</v>
          </cell>
          <cell r="X25346" t="str">
            <v>Expenses</v>
          </cell>
        </row>
        <row r="25347">
          <cell r="L25347" t="str">
            <v>Non-proportional</v>
          </cell>
          <cell r="S25347">
            <v>-73.97</v>
          </cell>
          <cell r="X25347" t="str">
            <v>Expenses</v>
          </cell>
        </row>
        <row r="25348">
          <cell r="L25348" t="str">
            <v>Non-proportional</v>
          </cell>
          <cell r="S25348">
            <v>123.64</v>
          </cell>
          <cell r="X25348" t="str">
            <v>Expenses</v>
          </cell>
        </row>
        <row r="25349">
          <cell r="L25349" t="str">
            <v>Non-proportional</v>
          </cell>
          <cell r="S25349">
            <v>-1062.1099999999999</v>
          </cell>
          <cell r="X25349" t="str">
            <v>Expenses</v>
          </cell>
        </row>
        <row r="25350">
          <cell r="L25350" t="str">
            <v>Non-proportional</v>
          </cell>
          <cell r="S25350">
            <v>-209.27</v>
          </cell>
          <cell r="X25350" t="str">
            <v>Expenses</v>
          </cell>
        </row>
        <row r="25351">
          <cell r="L25351" t="str">
            <v>Non-proportional</v>
          </cell>
          <cell r="S25351">
            <v>-232.86</v>
          </cell>
          <cell r="X25351" t="str">
            <v>Expenses</v>
          </cell>
        </row>
        <row r="25352">
          <cell r="L25352" t="str">
            <v>Non-proportional</v>
          </cell>
          <cell r="S25352">
            <v>-1218.27</v>
          </cell>
          <cell r="X25352" t="str">
            <v>Expenses</v>
          </cell>
        </row>
        <row r="25353">
          <cell r="L25353" t="str">
            <v>Non-proportional</v>
          </cell>
          <cell r="S25353">
            <v>302.19</v>
          </cell>
          <cell r="X25353" t="str">
            <v>Expenses</v>
          </cell>
        </row>
        <row r="25354">
          <cell r="L25354" t="str">
            <v>Non-proportional</v>
          </cell>
          <cell r="S25354">
            <v>-104.83</v>
          </cell>
          <cell r="X25354" t="str">
            <v>Expenses</v>
          </cell>
        </row>
        <row r="25355">
          <cell r="L25355" t="str">
            <v>Non-proportional</v>
          </cell>
          <cell r="S25355">
            <v>44.71</v>
          </cell>
          <cell r="X25355" t="str">
            <v>Expenses</v>
          </cell>
        </row>
        <row r="25356">
          <cell r="L25356" t="str">
            <v>Non-proportional</v>
          </cell>
          <cell r="S25356">
            <v>192.94</v>
          </cell>
          <cell r="X25356" t="str">
            <v>Expenses</v>
          </cell>
        </row>
        <row r="25357">
          <cell r="L25357" t="str">
            <v>Non-proportional</v>
          </cell>
          <cell r="S25357">
            <v>64.87</v>
          </cell>
          <cell r="X25357" t="str">
            <v>Expenses</v>
          </cell>
        </row>
        <row r="25358">
          <cell r="L25358" t="str">
            <v>Non-proportional</v>
          </cell>
          <cell r="S25358">
            <v>-22.5</v>
          </cell>
          <cell r="X25358" t="str">
            <v>Expenses</v>
          </cell>
        </row>
        <row r="25359">
          <cell r="L25359" t="str">
            <v>Non-proportional</v>
          </cell>
          <cell r="S25359">
            <v>-302.19</v>
          </cell>
          <cell r="X25359" t="str">
            <v>Expenses</v>
          </cell>
        </row>
        <row r="25360">
          <cell r="L25360" t="str">
            <v>Non-proportional</v>
          </cell>
          <cell r="S25360">
            <v>-239.73</v>
          </cell>
          <cell r="X25360" t="str">
            <v>Expenses</v>
          </cell>
        </row>
        <row r="25361">
          <cell r="L25361" t="str">
            <v>Non-proportional</v>
          </cell>
          <cell r="S25361">
            <v>239.73</v>
          </cell>
          <cell r="X25361" t="str">
            <v>Expenses</v>
          </cell>
        </row>
        <row r="25362">
          <cell r="L25362" t="str">
            <v>Non-proportional</v>
          </cell>
          <cell r="S25362">
            <v>-339.89</v>
          </cell>
          <cell r="X25362" t="str">
            <v>Expenses</v>
          </cell>
        </row>
        <row r="25363">
          <cell r="L25363" t="str">
            <v>Non-proportional</v>
          </cell>
          <cell r="S25363">
            <v>66.17</v>
          </cell>
          <cell r="X25363" t="str">
            <v>Expenses</v>
          </cell>
        </row>
        <row r="25364">
          <cell r="L25364" t="str">
            <v>Non-proportional</v>
          </cell>
          <cell r="S25364">
            <v>498.08</v>
          </cell>
          <cell r="X25364" t="str">
            <v>Expenses</v>
          </cell>
        </row>
        <row r="25365">
          <cell r="L25365" t="str">
            <v>Non-proportional</v>
          </cell>
          <cell r="S25365">
            <v>66.17</v>
          </cell>
          <cell r="X25365" t="str">
            <v>Expenses</v>
          </cell>
        </row>
        <row r="25366">
          <cell r="L25366" t="str">
            <v>Proportional</v>
          </cell>
          <cell r="S25366">
            <v>-1017.3</v>
          </cell>
          <cell r="X25366" t="str">
            <v>Expenses</v>
          </cell>
        </row>
        <row r="25367">
          <cell r="L25367" t="str">
            <v>Proportional</v>
          </cell>
          <cell r="S25367">
            <v>2130.61</v>
          </cell>
          <cell r="X25367" t="str">
            <v>Expenses</v>
          </cell>
        </row>
        <row r="25368">
          <cell r="L25368" t="str">
            <v>Non-proportional</v>
          </cell>
          <cell r="S25368">
            <v>-49.19</v>
          </cell>
          <cell r="X25368" t="str">
            <v>Expenses</v>
          </cell>
        </row>
        <row r="25369">
          <cell r="L25369" t="str">
            <v>Non-proportional</v>
          </cell>
          <cell r="S25369">
            <v>-35.799999999999997</v>
          </cell>
          <cell r="X25369" t="str">
            <v>Expenses</v>
          </cell>
        </row>
        <row r="25370">
          <cell r="L25370" t="str">
            <v>Non-proportional</v>
          </cell>
          <cell r="S25370">
            <v>74.39</v>
          </cell>
          <cell r="X25370" t="str">
            <v>Expenses</v>
          </cell>
        </row>
        <row r="25371">
          <cell r="L25371" t="str">
            <v>Non-proportional</v>
          </cell>
          <cell r="S25371">
            <v>-10310.14</v>
          </cell>
          <cell r="X25371" t="str">
            <v>Expenses</v>
          </cell>
        </row>
        <row r="25372">
          <cell r="L25372" t="str">
            <v>Non-proportional</v>
          </cell>
          <cell r="S25372">
            <v>-126.34</v>
          </cell>
          <cell r="X25372" t="str">
            <v>Expenses</v>
          </cell>
        </row>
        <row r="25373">
          <cell r="L25373" t="str">
            <v>Non-proportional</v>
          </cell>
          <cell r="S25373">
            <v>500.7</v>
          </cell>
          <cell r="X25373" t="str">
            <v>Expenses</v>
          </cell>
        </row>
        <row r="25374">
          <cell r="L25374" t="str">
            <v>Proportional</v>
          </cell>
          <cell r="S25374">
            <v>-2130.61</v>
          </cell>
          <cell r="X25374" t="str">
            <v>Expenses</v>
          </cell>
        </row>
        <row r="25375">
          <cell r="L25375" t="str">
            <v>Non-proportional</v>
          </cell>
          <cell r="S25375">
            <v>944.69</v>
          </cell>
          <cell r="X25375" t="str">
            <v>Expenses</v>
          </cell>
        </row>
        <row r="25376">
          <cell r="L25376" t="str">
            <v>Non-proportional</v>
          </cell>
          <cell r="S25376">
            <v>174.47</v>
          </cell>
          <cell r="X25376" t="str">
            <v>Expenses</v>
          </cell>
        </row>
        <row r="25377">
          <cell r="L25377" t="str">
            <v>Non-proportional</v>
          </cell>
          <cell r="S25377">
            <v>613.04</v>
          </cell>
          <cell r="X25377" t="str">
            <v>Expenses</v>
          </cell>
        </row>
        <row r="25378">
          <cell r="L25378" t="str">
            <v>Proportional</v>
          </cell>
          <cell r="S25378">
            <v>11.24</v>
          </cell>
          <cell r="X25378" t="str">
            <v>Expenses</v>
          </cell>
        </row>
        <row r="25379">
          <cell r="L25379" t="str">
            <v>Non-proportional</v>
          </cell>
          <cell r="S25379">
            <v>109.66</v>
          </cell>
          <cell r="X25379" t="str">
            <v>Expenses</v>
          </cell>
        </row>
        <row r="25380">
          <cell r="L25380" t="str">
            <v>Proportional</v>
          </cell>
          <cell r="S25380">
            <v>5.28</v>
          </cell>
          <cell r="X25380" t="str">
            <v>Expenses</v>
          </cell>
        </row>
        <row r="25381">
          <cell r="L25381" t="str">
            <v>Non-proportional</v>
          </cell>
          <cell r="S25381">
            <v>1055.3800000000001</v>
          </cell>
          <cell r="X25381" t="str">
            <v>Expenses</v>
          </cell>
        </row>
        <row r="25382">
          <cell r="L25382" t="str">
            <v>Non-proportional</v>
          </cell>
          <cell r="S25382">
            <v>1026.18</v>
          </cell>
          <cell r="X25382" t="str">
            <v>Expenses</v>
          </cell>
        </row>
        <row r="25383">
          <cell r="L25383" t="str">
            <v>Non-proportional</v>
          </cell>
          <cell r="S25383">
            <v>-160.91999999999999</v>
          </cell>
          <cell r="X25383" t="str">
            <v>Expenses</v>
          </cell>
        </row>
        <row r="25384">
          <cell r="L25384" t="str">
            <v>Non-proportional</v>
          </cell>
          <cell r="S25384">
            <v>95.68</v>
          </cell>
          <cell r="X25384" t="str">
            <v>Expenses</v>
          </cell>
        </row>
        <row r="25385">
          <cell r="L25385" t="str">
            <v>Non-proportional</v>
          </cell>
          <cell r="S25385">
            <v>383.11</v>
          </cell>
          <cell r="X25385" t="str">
            <v>Expenses</v>
          </cell>
        </row>
        <row r="25386">
          <cell r="L25386" t="str">
            <v>Non-proportional</v>
          </cell>
          <cell r="S25386">
            <v>2636.72</v>
          </cell>
          <cell r="X25386" t="str">
            <v>Expenses</v>
          </cell>
        </row>
        <row r="25387">
          <cell r="L25387" t="str">
            <v>Non-proportional</v>
          </cell>
          <cell r="S25387">
            <v>160.91999999999999</v>
          </cell>
          <cell r="X25387" t="str">
            <v>Expenses</v>
          </cell>
        </row>
        <row r="25388">
          <cell r="L25388" t="str">
            <v>Non-proportional</v>
          </cell>
          <cell r="S25388">
            <v>-228.04</v>
          </cell>
          <cell r="X25388" t="str">
            <v>Expenses</v>
          </cell>
        </row>
        <row r="25389">
          <cell r="L25389" t="str">
            <v>Non-proportional</v>
          </cell>
          <cell r="S25389">
            <v>3145.06</v>
          </cell>
          <cell r="X25389" t="str">
            <v>Expenses</v>
          </cell>
        </row>
        <row r="25390">
          <cell r="L25390" t="str">
            <v>Proportional</v>
          </cell>
          <cell r="S25390">
            <v>-3242.34</v>
          </cell>
          <cell r="X25390" t="str">
            <v>Expenses</v>
          </cell>
        </row>
        <row r="25391">
          <cell r="L25391" t="str">
            <v>Non-proportional</v>
          </cell>
          <cell r="S25391">
            <v>-1624.88</v>
          </cell>
          <cell r="X25391" t="str">
            <v>Expenses</v>
          </cell>
        </row>
        <row r="25392">
          <cell r="L25392" t="str">
            <v>Non-proportional</v>
          </cell>
          <cell r="S25392">
            <v>228.04</v>
          </cell>
          <cell r="X25392" t="str">
            <v>Expenses</v>
          </cell>
        </row>
        <row r="25393">
          <cell r="L25393" t="str">
            <v>Non-proportional</v>
          </cell>
          <cell r="S25393">
            <v>-3145.06</v>
          </cell>
          <cell r="X25393" t="str">
            <v>Expenses</v>
          </cell>
        </row>
        <row r="25394">
          <cell r="L25394" t="str">
            <v>Non-proportional</v>
          </cell>
          <cell r="S25394">
            <v>-887.94</v>
          </cell>
          <cell r="X25394" t="str">
            <v>Expenses</v>
          </cell>
        </row>
        <row r="25395">
          <cell r="L25395" t="str">
            <v>Non-proportional</v>
          </cell>
          <cell r="S25395">
            <v>137.97999999999999</v>
          </cell>
          <cell r="X25395" t="str">
            <v>Expenses</v>
          </cell>
        </row>
        <row r="25396">
          <cell r="L25396" t="str">
            <v>Non-proportional</v>
          </cell>
          <cell r="S25396">
            <v>-521.29</v>
          </cell>
          <cell r="X25396" t="str">
            <v>Expenses</v>
          </cell>
        </row>
        <row r="25397">
          <cell r="L25397" t="str">
            <v>Non-proportional</v>
          </cell>
          <cell r="S25397">
            <v>-254.33</v>
          </cell>
          <cell r="X25397" t="str">
            <v>Expenses</v>
          </cell>
        </row>
        <row r="25398">
          <cell r="L25398" t="str">
            <v>Non-proportional</v>
          </cell>
          <cell r="S25398">
            <v>-594.41</v>
          </cell>
          <cell r="X25398" t="str">
            <v>Expenses</v>
          </cell>
        </row>
        <row r="25399">
          <cell r="L25399" t="str">
            <v>Non-proportional</v>
          </cell>
          <cell r="S25399">
            <v>521.29</v>
          </cell>
          <cell r="X25399" t="str">
            <v>Expenses</v>
          </cell>
        </row>
        <row r="25400">
          <cell r="L25400" t="str">
            <v>Non-proportional</v>
          </cell>
          <cell r="S25400">
            <v>808.84</v>
          </cell>
          <cell r="X25400" t="str">
            <v>Expenses</v>
          </cell>
        </row>
        <row r="25401">
          <cell r="L25401" t="str">
            <v>Non-proportional</v>
          </cell>
          <cell r="S25401">
            <v>-3202.45</v>
          </cell>
          <cell r="X25401" t="str">
            <v>Expenses</v>
          </cell>
        </row>
        <row r="25402">
          <cell r="L25402" t="str">
            <v>Non-proportional</v>
          </cell>
          <cell r="S25402">
            <v>-1520.27</v>
          </cell>
          <cell r="X25402" t="str">
            <v>Expenses</v>
          </cell>
        </row>
        <row r="25403">
          <cell r="L25403" t="str">
            <v>Non-proportional</v>
          </cell>
          <cell r="S25403">
            <v>-773.67</v>
          </cell>
          <cell r="X25403" t="str">
            <v>Expenses</v>
          </cell>
        </row>
        <row r="25404">
          <cell r="L25404" t="str">
            <v>Proportional</v>
          </cell>
          <cell r="S25404">
            <v>3242.34</v>
          </cell>
          <cell r="X25404" t="str">
            <v>Expenses</v>
          </cell>
        </row>
        <row r="25405">
          <cell r="L25405" t="str">
            <v>Non-proportional</v>
          </cell>
          <cell r="S25405">
            <v>80067.16</v>
          </cell>
          <cell r="X25405" t="str">
            <v>Expenses</v>
          </cell>
        </row>
        <row r="25406">
          <cell r="L25406" t="str">
            <v>Non-proportional</v>
          </cell>
          <cell r="S25406">
            <v>254.33</v>
          </cell>
          <cell r="X25406" t="str">
            <v>Expenses</v>
          </cell>
        </row>
        <row r="25407">
          <cell r="L25407" t="str">
            <v>Non-proportional</v>
          </cell>
          <cell r="S25407">
            <v>3202.69</v>
          </cell>
          <cell r="X25407" t="str">
            <v>Expenses</v>
          </cell>
        </row>
        <row r="25408">
          <cell r="L25408" t="str">
            <v>Non-proportional</v>
          </cell>
          <cell r="S25408">
            <v>-808.84</v>
          </cell>
          <cell r="X25408" t="str">
            <v>Expenses</v>
          </cell>
        </row>
        <row r="25409">
          <cell r="L25409" t="str">
            <v>Non-proportional</v>
          </cell>
          <cell r="S25409">
            <v>1520.27</v>
          </cell>
          <cell r="X25409" t="str">
            <v>Expenses</v>
          </cell>
        </row>
        <row r="25410">
          <cell r="L25410" t="str">
            <v>Non-proportional</v>
          </cell>
          <cell r="S25410">
            <v>1625.35</v>
          </cell>
          <cell r="X25410" t="str">
            <v>Expenses</v>
          </cell>
        </row>
        <row r="25411">
          <cell r="L25411" t="str">
            <v>Non-proportional</v>
          </cell>
          <cell r="S25411">
            <v>-1026.18</v>
          </cell>
          <cell r="X25411" t="str">
            <v>Expenses</v>
          </cell>
        </row>
        <row r="25412">
          <cell r="L25412" t="str">
            <v>Non-proportional</v>
          </cell>
          <cell r="S25412">
            <v>-186.71</v>
          </cell>
          <cell r="X25412" t="str">
            <v>Expenses</v>
          </cell>
        </row>
        <row r="25413">
          <cell r="L25413" t="str">
            <v>Non-proportional</v>
          </cell>
          <cell r="S25413">
            <v>-95.68</v>
          </cell>
          <cell r="X25413" t="str">
            <v>Expenses</v>
          </cell>
        </row>
        <row r="25414">
          <cell r="L25414" t="str">
            <v>Non-proportional</v>
          </cell>
          <cell r="S25414">
            <v>-638.51</v>
          </cell>
          <cell r="X25414" t="str">
            <v>Expenses</v>
          </cell>
        </row>
        <row r="25415">
          <cell r="L25415" t="str">
            <v>Proportional</v>
          </cell>
          <cell r="S25415">
            <v>0.04</v>
          </cell>
          <cell r="X25415" t="str">
            <v>Expenses</v>
          </cell>
        </row>
        <row r="25416">
          <cell r="L25416" t="str">
            <v>Proportional</v>
          </cell>
          <cell r="S25416">
            <v>83.09</v>
          </cell>
          <cell r="X25416" t="str">
            <v>Expenses</v>
          </cell>
        </row>
        <row r="25417">
          <cell r="L25417" t="str">
            <v>Non-proportional</v>
          </cell>
          <cell r="S25417">
            <v>-2636.72</v>
          </cell>
          <cell r="X25417" t="str">
            <v>Expenses</v>
          </cell>
        </row>
        <row r="25418">
          <cell r="L25418" t="str">
            <v>Non-proportional</v>
          </cell>
          <cell r="S25418">
            <v>887.94</v>
          </cell>
          <cell r="X25418" t="str">
            <v>Expenses</v>
          </cell>
        </row>
        <row r="25419">
          <cell r="L25419" t="str">
            <v>Non-proportional</v>
          </cell>
          <cell r="S25419">
            <v>638.51</v>
          </cell>
          <cell r="X25419" t="str">
            <v>Expenses</v>
          </cell>
        </row>
        <row r="25420">
          <cell r="L25420" t="str">
            <v>Proportional</v>
          </cell>
          <cell r="S25420">
            <v>-83.09</v>
          </cell>
          <cell r="X25420" t="str">
            <v>Expenses</v>
          </cell>
        </row>
        <row r="25421">
          <cell r="L25421" t="str">
            <v>Non-proportional</v>
          </cell>
          <cell r="S25421">
            <v>-80067.16</v>
          </cell>
          <cell r="X25421" t="str">
            <v>Expenses</v>
          </cell>
        </row>
        <row r="25422">
          <cell r="L25422" t="str">
            <v>Non-proportional</v>
          </cell>
          <cell r="S25422">
            <v>-383.11</v>
          </cell>
          <cell r="X25422" t="str">
            <v>Expenses</v>
          </cell>
        </row>
        <row r="25423">
          <cell r="L25423" t="str">
            <v>Non-proportional</v>
          </cell>
          <cell r="S25423">
            <v>773.67</v>
          </cell>
          <cell r="X25423" t="str">
            <v>Expenses</v>
          </cell>
        </row>
        <row r="25424">
          <cell r="L25424" t="str">
            <v>Non-proportional</v>
          </cell>
          <cell r="S25424">
            <v>594.41</v>
          </cell>
          <cell r="X25424" t="str">
            <v>Expenses</v>
          </cell>
        </row>
        <row r="25425">
          <cell r="L25425" t="str">
            <v>Non-proportional</v>
          </cell>
          <cell r="S25425">
            <v>-137.97999999999999</v>
          </cell>
          <cell r="X25425" t="str">
            <v>Expenses</v>
          </cell>
        </row>
        <row r="25426">
          <cell r="L25426" t="str">
            <v>Non-proportional</v>
          </cell>
          <cell r="S25426">
            <v>137.97999999999999</v>
          </cell>
          <cell r="X25426" t="str">
            <v>Expenses</v>
          </cell>
        </row>
        <row r="25427">
          <cell r="L25427" t="str">
            <v>Non-proportional</v>
          </cell>
          <cell r="S25427">
            <v>-137.97999999999999</v>
          </cell>
          <cell r="X25427" t="str">
            <v>Expenses</v>
          </cell>
        </row>
        <row r="25428">
          <cell r="L25428" t="str">
            <v>Non-proportional</v>
          </cell>
          <cell r="S25428">
            <v>-113.29</v>
          </cell>
          <cell r="X25428" t="str">
            <v>Expenses</v>
          </cell>
        </row>
        <row r="25429">
          <cell r="L25429" t="str">
            <v>Non-proportional</v>
          </cell>
          <cell r="S25429">
            <v>-27.28</v>
          </cell>
          <cell r="X25429" t="str">
            <v>Expenses</v>
          </cell>
        </row>
        <row r="25430">
          <cell r="L25430" t="str">
            <v>Non-proportional</v>
          </cell>
          <cell r="S25430">
            <v>-1842.89</v>
          </cell>
          <cell r="X25430" t="str">
            <v>Expenses</v>
          </cell>
        </row>
        <row r="25431">
          <cell r="L25431" t="str">
            <v>Non-proportional</v>
          </cell>
          <cell r="S25431">
            <v>209.75</v>
          </cell>
          <cell r="X25431" t="str">
            <v>Expenses</v>
          </cell>
        </row>
        <row r="25432">
          <cell r="L25432" t="str">
            <v>Non-proportional</v>
          </cell>
          <cell r="S25432">
            <v>-220.69</v>
          </cell>
          <cell r="X25432" t="str">
            <v>Expenses</v>
          </cell>
        </row>
        <row r="25433">
          <cell r="L25433" t="str">
            <v>Non-proportional</v>
          </cell>
          <cell r="S25433">
            <v>56.59</v>
          </cell>
          <cell r="X25433" t="str">
            <v>Expenses</v>
          </cell>
        </row>
        <row r="25434">
          <cell r="L25434" t="str">
            <v>Non-proportional</v>
          </cell>
          <cell r="S25434">
            <v>23.27</v>
          </cell>
          <cell r="X25434" t="str">
            <v>Expenses</v>
          </cell>
        </row>
        <row r="25435">
          <cell r="L25435" t="str">
            <v>Non-proportional</v>
          </cell>
          <cell r="S25435">
            <v>2018.43</v>
          </cell>
          <cell r="X25435" t="str">
            <v>Expenses</v>
          </cell>
        </row>
        <row r="25436">
          <cell r="L25436" t="str">
            <v>Non-proportional</v>
          </cell>
          <cell r="S25436">
            <v>-544.88</v>
          </cell>
          <cell r="X25436" t="str">
            <v>Expenses</v>
          </cell>
        </row>
        <row r="25437">
          <cell r="L25437" t="str">
            <v>Non-proportional</v>
          </cell>
          <cell r="S25437">
            <v>-601.66</v>
          </cell>
          <cell r="X25437" t="str">
            <v>Expenses</v>
          </cell>
        </row>
        <row r="25438">
          <cell r="L25438" t="str">
            <v>Non-proportional</v>
          </cell>
          <cell r="S25438">
            <v>106.39</v>
          </cell>
          <cell r="X25438" t="str">
            <v>Expenses</v>
          </cell>
        </row>
        <row r="25439">
          <cell r="L25439" t="str">
            <v>Non-proportional</v>
          </cell>
          <cell r="S25439">
            <v>-211.46</v>
          </cell>
          <cell r="X25439" t="str">
            <v>Expenses</v>
          </cell>
        </row>
        <row r="25440">
          <cell r="L25440" t="str">
            <v>Non-proportional</v>
          </cell>
          <cell r="S25440">
            <v>-118.22</v>
          </cell>
          <cell r="X25440" t="str">
            <v>Expenses</v>
          </cell>
        </row>
        <row r="25441">
          <cell r="L25441" t="str">
            <v>Non-proportional</v>
          </cell>
          <cell r="S25441">
            <v>-68.819999999999993</v>
          </cell>
          <cell r="X25441" t="str">
            <v>Expenses</v>
          </cell>
        </row>
        <row r="25442">
          <cell r="L25442" t="str">
            <v>Non-proportional</v>
          </cell>
          <cell r="S25442">
            <v>-25.39</v>
          </cell>
          <cell r="X25442" t="str">
            <v>Expenses</v>
          </cell>
        </row>
        <row r="25443">
          <cell r="L25443" t="str">
            <v>Non-proportional</v>
          </cell>
          <cell r="S25443">
            <v>775.64</v>
          </cell>
          <cell r="X25443" t="str">
            <v>Expenses</v>
          </cell>
        </row>
        <row r="25444">
          <cell r="L25444" t="str">
            <v>Non-proportional</v>
          </cell>
          <cell r="S25444">
            <v>2902.52</v>
          </cell>
          <cell r="X25444" t="str">
            <v>Expenses</v>
          </cell>
        </row>
        <row r="25445">
          <cell r="L25445" t="str">
            <v>Non-proportional</v>
          </cell>
          <cell r="S25445">
            <v>-1842.89</v>
          </cell>
          <cell r="X25445" t="str">
            <v>Expenses</v>
          </cell>
        </row>
        <row r="25446">
          <cell r="L25446" t="str">
            <v>Non-proportional</v>
          </cell>
          <cell r="S25446">
            <v>-109.8</v>
          </cell>
          <cell r="X25446" t="str">
            <v>Expenses</v>
          </cell>
        </row>
        <row r="25447">
          <cell r="L25447" t="str">
            <v>Proportional</v>
          </cell>
          <cell r="S25447">
            <v>-40742.42</v>
          </cell>
          <cell r="X25447" t="str">
            <v>Expenses</v>
          </cell>
        </row>
        <row r="25448">
          <cell r="L25448" t="str">
            <v>Non-proportional</v>
          </cell>
          <cell r="S25448">
            <v>-504.66</v>
          </cell>
          <cell r="X25448" t="str">
            <v>Expenses</v>
          </cell>
        </row>
        <row r="25449">
          <cell r="L25449" t="str">
            <v>Non-proportional</v>
          </cell>
          <cell r="S25449">
            <v>0.82</v>
          </cell>
          <cell r="X25449" t="str">
            <v>Expenses</v>
          </cell>
        </row>
        <row r="25450">
          <cell r="L25450" t="str">
            <v>Proportional</v>
          </cell>
          <cell r="S25450">
            <v>-41.92</v>
          </cell>
          <cell r="X25450" t="str">
            <v>Expenses</v>
          </cell>
        </row>
        <row r="25451">
          <cell r="L25451" t="str">
            <v>Non-proportional</v>
          </cell>
          <cell r="S25451">
            <v>47.21</v>
          </cell>
          <cell r="X25451" t="str">
            <v>Expenses</v>
          </cell>
        </row>
        <row r="25452">
          <cell r="L25452" t="str">
            <v>Non-proportional</v>
          </cell>
          <cell r="S25452">
            <v>-56.59</v>
          </cell>
          <cell r="X25452" t="str">
            <v>Expenses</v>
          </cell>
        </row>
        <row r="25453">
          <cell r="L25453" t="str">
            <v>Non-proportional</v>
          </cell>
          <cell r="S25453">
            <v>-6991.76</v>
          </cell>
          <cell r="X25453" t="str">
            <v>Expenses</v>
          </cell>
        </row>
        <row r="25454">
          <cell r="L25454" t="str">
            <v>Non-proportional</v>
          </cell>
          <cell r="S25454">
            <v>2288.41</v>
          </cell>
          <cell r="X25454" t="str">
            <v>Expenses</v>
          </cell>
        </row>
        <row r="25455">
          <cell r="L25455" t="str">
            <v>Non-proportional</v>
          </cell>
          <cell r="S25455">
            <v>264.17</v>
          </cell>
          <cell r="X25455" t="str">
            <v>Expenses</v>
          </cell>
        </row>
        <row r="25456">
          <cell r="L25456" t="str">
            <v>Non-proportional</v>
          </cell>
          <cell r="S25456">
            <v>442.71</v>
          </cell>
          <cell r="X25456" t="str">
            <v>Expenses</v>
          </cell>
        </row>
        <row r="25457">
          <cell r="L25457" t="str">
            <v>Non-proportional</v>
          </cell>
          <cell r="S25457">
            <v>4207.28</v>
          </cell>
          <cell r="X25457" t="str">
            <v>Expenses</v>
          </cell>
        </row>
        <row r="25458">
          <cell r="L25458" t="str">
            <v>Non-proportional</v>
          </cell>
          <cell r="S25458">
            <v>-1842.89</v>
          </cell>
          <cell r="X25458" t="str">
            <v>Expenses</v>
          </cell>
        </row>
        <row r="25459">
          <cell r="L25459" t="str">
            <v>Non-proportional</v>
          </cell>
          <cell r="S25459">
            <v>4949.87</v>
          </cell>
          <cell r="X25459" t="str">
            <v>Expenses</v>
          </cell>
        </row>
        <row r="25460">
          <cell r="L25460" t="str">
            <v>Non-proportional</v>
          </cell>
          <cell r="S25460">
            <v>-181.52</v>
          </cell>
          <cell r="X25460" t="str">
            <v>Expenses</v>
          </cell>
        </row>
        <row r="25461">
          <cell r="L25461" t="str">
            <v>Non-proportional</v>
          </cell>
          <cell r="S25461">
            <v>211.46</v>
          </cell>
          <cell r="X25461" t="str">
            <v>Expenses</v>
          </cell>
        </row>
        <row r="25462">
          <cell r="L25462" t="str">
            <v>Non-proportional</v>
          </cell>
          <cell r="S25462">
            <v>-178.64</v>
          </cell>
          <cell r="X25462" t="str">
            <v>Expenses</v>
          </cell>
        </row>
        <row r="25463">
          <cell r="L25463" t="str">
            <v>Non-proportional</v>
          </cell>
          <cell r="S25463">
            <v>-333.22</v>
          </cell>
          <cell r="X25463" t="str">
            <v>Expenses</v>
          </cell>
        </row>
        <row r="25464">
          <cell r="L25464" t="str">
            <v>Non-proportional</v>
          </cell>
          <cell r="S25464">
            <v>6991.76</v>
          </cell>
          <cell r="X25464" t="str">
            <v>Expenses</v>
          </cell>
        </row>
        <row r="25465">
          <cell r="L25465" t="str">
            <v>Non-proportional</v>
          </cell>
          <cell r="S25465">
            <v>-0.82</v>
          </cell>
          <cell r="X25465" t="str">
            <v>Expenses</v>
          </cell>
        </row>
        <row r="25466">
          <cell r="L25466" t="str">
            <v>Non-proportional</v>
          </cell>
          <cell r="S25466">
            <v>-110.92</v>
          </cell>
          <cell r="X25466" t="str">
            <v>Expenses</v>
          </cell>
        </row>
        <row r="25467">
          <cell r="L25467" t="str">
            <v>Non-proportional</v>
          </cell>
          <cell r="S25467">
            <v>1431.5</v>
          </cell>
          <cell r="X25467" t="str">
            <v>Expenses</v>
          </cell>
        </row>
        <row r="25468">
          <cell r="L25468" t="str">
            <v>Non-proportional</v>
          </cell>
          <cell r="S25468">
            <v>-35.729999999999997</v>
          </cell>
          <cell r="X25468" t="str">
            <v>Expenses</v>
          </cell>
        </row>
        <row r="25469">
          <cell r="L25469" t="str">
            <v>Non-proportional</v>
          </cell>
          <cell r="S25469">
            <v>44.88</v>
          </cell>
          <cell r="X25469" t="str">
            <v>Expenses</v>
          </cell>
        </row>
        <row r="25470">
          <cell r="L25470" t="str">
            <v>Non-proportional</v>
          </cell>
          <cell r="S25470">
            <v>245.88</v>
          </cell>
          <cell r="X25470" t="str">
            <v>Expenses</v>
          </cell>
        </row>
        <row r="25471">
          <cell r="L25471" t="str">
            <v>Non-proportional</v>
          </cell>
          <cell r="S25471">
            <v>-160.77000000000001</v>
          </cell>
          <cell r="X25471" t="str">
            <v>Expenses</v>
          </cell>
        </row>
        <row r="25472">
          <cell r="L25472" t="str">
            <v>Non-proportional</v>
          </cell>
          <cell r="S25472">
            <v>352.16</v>
          </cell>
          <cell r="X25472" t="str">
            <v>Expenses</v>
          </cell>
        </row>
        <row r="25473">
          <cell r="L25473" t="str">
            <v>Non-proportional</v>
          </cell>
          <cell r="S25473">
            <v>48.28</v>
          </cell>
          <cell r="X25473" t="str">
            <v>Expenses</v>
          </cell>
        </row>
        <row r="25474">
          <cell r="L25474" t="str">
            <v>Non-proportional</v>
          </cell>
          <cell r="S25474">
            <v>-245.88</v>
          </cell>
          <cell r="X25474" t="str">
            <v>Expenses</v>
          </cell>
        </row>
        <row r="25475">
          <cell r="L25475" t="str">
            <v>Non-proportional</v>
          </cell>
          <cell r="S25475">
            <v>30.78</v>
          </cell>
          <cell r="X25475" t="str">
            <v>Expenses</v>
          </cell>
        </row>
        <row r="25476">
          <cell r="L25476" t="str">
            <v>Non-proportional</v>
          </cell>
          <cell r="S25476">
            <v>-68.819999999999993</v>
          </cell>
          <cell r="X25476" t="str">
            <v>Expenses</v>
          </cell>
        </row>
        <row r="25477">
          <cell r="L25477" t="str">
            <v>Non-proportional</v>
          </cell>
          <cell r="S25477">
            <v>-367.74</v>
          </cell>
          <cell r="X25477" t="str">
            <v>Expenses</v>
          </cell>
        </row>
        <row r="25478">
          <cell r="L25478" t="str">
            <v>Non-proportional</v>
          </cell>
          <cell r="S25478">
            <v>-128.35</v>
          </cell>
          <cell r="X25478" t="str">
            <v>Expenses</v>
          </cell>
        </row>
        <row r="25479">
          <cell r="L25479" t="str">
            <v>Proportional</v>
          </cell>
          <cell r="S25479">
            <v>752.12</v>
          </cell>
          <cell r="X25479" t="str">
            <v>Expenses</v>
          </cell>
        </row>
        <row r="25480">
          <cell r="L25480" t="str">
            <v>Non-proportional</v>
          </cell>
          <cell r="S25480">
            <v>106.39</v>
          </cell>
          <cell r="X25480" t="str">
            <v>Expenses</v>
          </cell>
        </row>
        <row r="25481">
          <cell r="L25481" t="str">
            <v>Non-proportional</v>
          </cell>
          <cell r="S25481">
            <v>-2018.43</v>
          </cell>
          <cell r="X25481" t="str">
            <v>Expenses</v>
          </cell>
        </row>
        <row r="25482">
          <cell r="L25482" t="str">
            <v>Non-proportional</v>
          </cell>
          <cell r="S25482">
            <v>943.09</v>
          </cell>
          <cell r="X25482" t="str">
            <v>Expenses</v>
          </cell>
        </row>
        <row r="25483">
          <cell r="L25483" t="str">
            <v>Non-proportional</v>
          </cell>
          <cell r="S25483">
            <v>90.18</v>
          </cell>
          <cell r="X25483" t="str">
            <v>Expenses</v>
          </cell>
        </row>
        <row r="25484">
          <cell r="L25484" t="str">
            <v>Non-proportional</v>
          </cell>
          <cell r="S25484">
            <v>-27.28</v>
          </cell>
          <cell r="X25484" t="str">
            <v>Expenses</v>
          </cell>
        </row>
        <row r="25485">
          <cell r="L25485" t="str">
            <v>Non-proportional</v>
          </cell>
          <cell r="S25485">
            <v>160.77000000000001</v>
          </cell>
          <cell r="X25485" t="str">
            <v>Expenses</v>
          </cell>
        </row>
        <row r="25486">
          <cell r="L25486" t="str">
            <v>Non-proportional</v>
          </cell>
          <cell r="S25486">
            <v>-943.09</v>
          </cell>
          <cell r="X25486" t="str">
            <v>Expenses</v>
          </cell>
        </row>
        <row r="25487">
          <cell r="L25487" t="str">
            <v>Non-proportional</v>
          </cell>
          <cell r="S25487">
            <v>-5803.38</v>
          </cell>
          <cell r="X25487" t="str">
            <v>Expenses</v>
          </cell>
        </row>
        <row r="25488">
          <cell r="L25488" t="str">
            <v>Non-proportional</v>
          </cell>
          <cell r="S25488">
            <v>24.79</v>
          </cell>
          <cell r="X25488" t="str">
            <v>Expenses</v>
          </cell>
        </row>
        <row r="25489">
          <cell r="L25489" t="str">
            <v>Non-proportional</v>
          </cell>
          <cell r="S25489">
            <v>1442.05</v>
          </cell>
          <cell r="X25489" t="str">
            <v>Expenses</v>
          </cell>
        </row>
        <row r="25490">
          <cell r="L25490" t="str">
            <v>Non-proportional</v>
          </cell>
          <cell r="S25490">
            <v>-442.71</v>
          </cell>
          <cell r="X25490" t="str">
            <v>Expenses</v>
          </cell>
        </row>
        <row r="25491">
          <cell r="L25491" t="str">
            <v>Non-proportional</v>
          </cell>
          <cell r="S25491">
            <v>79.36</v>
          </cell>
          <cell r="X25491" t="str">
            <v>Expenses</v>
          </cell>
        </row>
        <row r="25492">
          <cell r="L25492" t="str">
            <v>Non-proportional</v>
          </cell>
          <cell r="S25492">
            <v>194.64</v>
          </cell>
          <cell r="X25492" t="str">
            <v>Expenses</v>
          </cell>
        </row>
        <row r="25493">
          <cell r="L25493" t="str">
            <v>Non-proportional</v>
          </cell>
          <cell r="S25493">
            <v>79.36</v>
          </cell>
          <cell r="X25493" t="str">
            <v>Expenses</v>
          </cell>
        </row>
        <row r="25494">
          <cell r="L25494" t="str">
            <v>Non-proportional</v>
          </cell>
          <cell r="S25494">
            <v>181.52</v>
          </cell>
          <cell r="X25494" t="str">
            <v>Expenses</v>
          </cell>
        </row>
        <row r="25495">
          <cell r="L25495"/>
          <cell r="S25495">
            <v>-53.92</v>
          </cell>
          <cell r="X25495" t="str">
            <v>Expenses</v>
          </cell>
        </row>
        <row r="25496">
          <cell r="L25496" t="str">
            <v>Non-proportional</v>
          </cell>
          <cell r="S25496">
            <v>1609.27</v>
          </cell>
          <cell r="X25496" t="str">
            <v>Expenses</v>
          </cell>
        </row>
        <row r="25497">
          <cell r="L25497" t="str">
            <v>Proportional</v>
          </cell>
          <cell r="S25497">
            <v>5667.54</v>
          </cell>
          <cell r="X25497" t="str">
            <v>Expenses</v>
          </cell>
        </row>
        <row r="25498">
          <cell r="L25498" t="str">
            <v>Non-proportional</v>
          </cell>
          <cell r="S25498">
            <v>52.93</v>
          </cell>
          <cell r="X25498" t="str">
            <v>Expenses</v>
          </cell>
        </row>
        <row r="25499">
          <cell r="L25499" t="str">
            <v>Non-proportional</v>
          </cell>
          <cell r="S25499">
            <v>-274.01</v>
          </cell>
          <cell r="X25499" t="str">
            <v>Expenses</v>
          </cell>
        </row>
        <row r="25500">
          <cell r="L25500" t="str">
            <v>Non-proportional</v>
          </cell>
          <cell r="S25500">
            <v>544.88</v>
          </cell>
          <cell r="X25500" t="str">
            <v>Expenses</v>
          </cell>
        </row>
        <row r="25501">
          <cell r="L25501" t="str">
            <v>Non-proportional</v>
          </cell>
          <cell r="S25501">
            <v>326.87</v>
          </cell>
          <cell r="X25501" t="str">
            <v>Expenses</v>
          </cell>
        </row>
        <row r="25502">
          <cell r="L25502" t="str">
            <v>Non-proportional</v>
          </cell>
          <cell r="S25502">
            <v>-79.36</v>
          </cell>
          <cell r="X25502" t="str">
            <v>Expenses</v>
          </cell>
        </row>
        <row r="25503">
          <cell r="L25503" t="str">
            <v>Non-proportional</v>
          </cell>
          <cell r="S25503">
            <v>-444.98</v>
          </cell>
          <cell r="X25503" t="str">
            <v>Expenses</v>
          </cell>
        </row>
        <row r="25504">
          <cell r="L25504" t="str">
            <v>Non-proportional</v>
          </cell>
          <cell r="S25504">
            <v>-44.88</v>
          </cell>
          <cell r="X25504" t="str">
            <v>Expenses</v>
          </cell>
        </row>
        <row r="25505">
          <cell r="L25505"/>
          <cell r="S25505">
            <v>-15779.28</v>
          </cell>
          <cell r="X25505" t="str">
            <v>Expenses</v>
          </cell>
        </row>
        <row r="25506">
          <cell r="L25506" t="str">
            <v>Non-proportional</v>
          </cell>
          <cell r="S25506">
            <v>998.48</v>
          </cell>
          <cell r="X25506" t="str">
            <v>Expenses</v>
          </cell>
        </row>
        <row r="25507">
          <cell r="L25507" t="str">
            <v>Non-proportional</v>
          </cell>
          <cell r="S25507">
            <v>-1609.27</v>
          </cell>
          <cell r="X25507" t="str">
            <v>Expenses</v>
          </cell>
        </row>
        <row r="25508">
          <cell r="L25508" t="str">
            <v>Non-proportional</v>
          </cell>
          <cell r="S25508">
            <v>2153.4</v>
          </cell>
          <cell r="X25508" t="str">
            <v>Expenses</v>
          </cell>
        </row>
        <row r="25509">
          <cell r="L25509" t="str">
            <v>Non-proportional</v>
          </cell>
          <cell r="S25509">
            <v>1842.89</v>
          </cell>
          <cell r="X25509" t="str">
            <v>Expenses</v>
          </cell>
        </row>
        <row r="25510">
          <cell r="L25510" t="str">
            <v>Non-proportional</v>
          </cell>
          <cell r="S25510">
            <v>1842.89</v>
          </cell>
          <cell r="X25510" t="str">
            <v>Expenses</v>
          </cell>
        </row>
        <row r="25511">
          <cell r="L25511" t="str">
            <v>Non-proportional</v>
          </cell>
          <cell r="S25511">
            <v>-1216.6300000000001</v>
          </cell>
          <cell r="X25511" t="str">
            <v>Expenses</v>
          </cell>
        </row>
        <row r="25512">
          <cell r="L25512" t="str">
            <v>Proportional</v>
          </cell>
          <cell r="S25512">
            <v>-302.75</v>
          </cell>
          <cell r="X25512" t="str">
            <v>Expenses</v>
          </cell>
        </row>
        <row r="25513">
          <cell r="L25513" t="str">
            <v>Non-proportional</v>
          </cell>
          <cell r="S25513">
            <v>-56.59</v>
          </cell>
          <cell r="X25513" t="str">
            <v>Expenses</v>
          </cell>
        </row>
        <row r="25514">
          <cell r="L25514" t="str">
            <v>Non-proportional</v>
          </cell>
          <cell r="S25514">
            <v>3414.9</v>
          </cell>
          <cell r="X25514" t="str">
            <v>Expenses</v>
          </cell>
        </row>
        <row r="25515">
          <cell r="L25515" t="str">
            <v>Non-proportional</v>
          </cell>
          <cell r="S25515">
            <v>-30.78</v>
          </cell>
          <cell r="X25515" t="str">
            <v>Expenses</v>
          </cell>
        </row>
        <row r="25516">
          <cell r="L25516" t="str">
            <v>Non-proportional</v>
          </cell>
          <cell r="S25516">
            <v>-1830.73</v>
          </cell>
          <cell r="X25516" t="str">
            <v>Expenses</v>
          </cell>
        </row>
        <row r="25517">
          <cell r="L25517" t="str">
            <v>Non-proportional</v>
          </cell>
          <cell r="S25517">
            <v>-234.97</v>
          </cell>
          <cell r="X25517" t="str">
            <v>Expenses</v>
          </cell>
        </row>
        <row r="25518">
          <cell r="L25518" t="str">
            <v>Non-proportional</v>
          </cell>
          <cell r="S25518">
            <v>-938.34</v>
          </cell>
          <cell r="X25518" t="str">
            <v>Expenses</v>
          </cell>
        </row>
        <row r="25519">
          <cell r="L25519" t="str">
            <v>Non-proportional</v>
          </cell>
          <cell r="S25519">
            <v>2692.99</v>
          </cell>
          <cell r="X25519" t="str">
            <v>Expenses</v>
          </cell>
        </row>
        <row r="25520">
          <cell r="L25520" t="str">
            <v>Non-proportional</v>
          </cell>
          <cell r="S25520">
            <v>938.34</v>
          </cell>
          <cell r="X25520" t="str">
            <v>Expenses</v>
          </cell>
        </row>
        <row r="25521">
          <cell r="L25521" t="str">
            <v>Non-proportional</v>
          </cell>
          <cell r="S25521">
            <v>68.819999999999993</v>
          </cell>
          <cell r="X25521" t="str">
            <v>Expenses</v>
          </cell>
        </row>
        <row r="25522">
          <cell r="L25522" t="str">
            <v>Proportional</v>
          </cell>
          <cell r="S25522">
            <v>0.8</v>
          </cell>
          <cell r="X25522" t="str">
            <v>Expenses</v>
          </cell>
        </row>
        <row r="25523">
          <cell r="L25523" t="str">
            <v>Non-proportional</v>
          </cell>
          <cell r="S25523">
            <v>73.75</v>
          </cell>
          <cell r="X25523" t="str">
            <v>Expenses</v>
          </cell>
        </row>
        <row r="25524">
          <cell r="L25524" t="str">
            <v>Non-proportional</v>
          </cell>
          <cell r="S25524">
            <v>1830.73</v>
          </cell>
          <cell r="X25524" t="str">
            <v>Expenses</v>
          </cell>
        </row>
        <row r="25525">
          <cell r="L25525" t="str">
            <v>Non-proportional</v>
          </cell>
          <cell r="S25525">
            <v>827.64</v>
          </cell>
          <cell r="X25525" t="str">
            <v>Expenses</v>
          </cell>
        </row>
        <row r="25526">
          <cell r="L25526" t="str">
            <v>Proportional</v>
          </cell>
          <cell r="S25526">
            <v>332.41</v>
          </cell>
          <cell r="X25526" t="str">
            <v>Expenses</v>
          </cell>
        </row>
        <row r="25527">
          <cell r="L25527" t="str">
            <v>Non-proportional</v>
          </cell>
          <cell r="S25527">
            <v>27.28</v>
          </cell>
          <cell r="X25527" t="str">
            <v>Expenses</v>
          </cell>
        </row>
        <row r="25528">
          <cell r="L25528" t="str">
            <v>Non-proportional</v>
          </cell>
          <cell r="S25528">
            <v>-24.79</v>
          </cell>
          <cell r="X25528" t="str">
            <v>Expenses</v>
          </cell>
        </row>
        <row r="25529">
          <cell r="L25529" t="str">
            <v>Non-proportional</v>
          </cell>
          <cell r="S25529">
            <v>-2288.41</v>
          </cell>
          <cell r="X25529" t="str">
            <v>Expenses</v>
          </cell>
        </row>
        <row r="25530">
          <cell r="L25530" t="str">
            <v>Non-proportional</v>
          </cell>
          <cell r="S25530">
            <v>-827.64</v>
          </cell>
          <cell r="X25530" t="str">
            <v>Expenses</v>
          </cell>
        </row>
        <row r="25531">
          <cell r="L25531"/>
          <cell r="S25531">
            <v>-102.19</v>
          </cell>
          <cell r="X25531" t="str">
            <v>Expenses</v>
          </cell>
        </row>
        <row r="25532">
          <cell r="L25532" t="str">
            <v>Non-proportional</v>
          </cell>
          <cell r="S25532">
            <v>1216.6300000000001</v>
          </cell>
          <cell r="X25532" t="str">
            <v>Expenses</v>
          </cell>
        </row>
        <row r="25533">
          <cell r="L25533" t="str">
            <v>Non-proportional</v>
          </cell>
          <cell r="S25533">
            <v>1842.89</v>
          </cell>
          <cell r="X25533" t="str">
            <v>Expenses</v>
          </cell>
        </row>
        <row r="25534">
          <cell r="L25534" t="str">
            <v>Non-proportional</v>
          </cell>
          <cell r="S25534">
            <v>274.01</v>
          </cell>
          <cell r="X25534" t="str">
            <v>Expenses</v>
          </cell>
        </row>
        <row r="25535">
          <cell r="L25535" t="str">
            <v>Non-proportional</v>
          </cell>
          <cell r="S25535">
            <v>-245.88</v>
          </cell>
          <cell r="X25535" t="str">
            <v>Expenses</v>
          </cell>
        </row>
        <row r="25536">
          <cell r="L25536" t="str">
            <v>Non-proportional</v>
          </cell>
          <cell r="S25536">
            <v>-106.39</v>
          </cell>
          <cell r="X25536" t="str">
            <v>Expenses</v>
          </cell>
        </row>
        <row r="25537">
          <cell r="L25537" t="str">
            <v>Proportional</v>
          </cell>
          <cell r="S25537">
            <v>-5667.54</v>
          </cell>
          <cell r="X25537" t="str">
            <v>Expenses</v>
          </cell>
        </row>
        <row r="25538">
          <cell r="L25538" t="str">
            <v>Non-proportional</v>
          </cell>
          <cell r="S25538">
            <v>1076.31</v>
          </cell>
          <cell r="X25538" t="str">
            <v>Expenses</v>
          </cell>
        </row>
        <row r="25539">
          <cell r="L25539" t="str">
            <v>Non-proportional</v>
          </cell>
          <cell r="S25539">
            <v>-30.49</v>
          </cell>
          <cell r="X25539" t="str">
            <v>Expenses</v>
          </cell>
        </row>
        <row r="25540">
          <cell r="L25540" t="str">
            <v>Non-proportional</v>
          </cell>
          <cell r="S25540">
            <v>-142.94999999999999</v>
          </cell>
          <cell r="X25540" t="str">
            <v>Expenses</v>
          </cell>
        </row>
        <row r="25541">
          <cell r="L25541" t="str">
            <v>Proportional</v>
          </cell>
          <cell r="S25541">
            <v>-0.81</v>
          </cell>
          <cell r="X25541" t="str">
            <v>Expenses</v>
          </cell>
        </row>
        <row r="25542">
          <cell r="L25542" t="str">
            <v>Non-proportional</v>
          </cell>
          <cell r="S25542">
            <v>-201.69</v>
          </cell>
          <cell r="X25542" t="str">
            <v>Expenses</v>
          </cell>
        </row>
        <row r="25543">
          <cell r="L25543" t="str">
            <v>Non-proportional</v>
          </cell>
          <cell r="S25543">
            <v>5803.38</v>
          </cell>
          <cell r="X25543" t="str">
            <v>Expenses</v>
          </cell>
        </row>
        <row r="25544">
          <cell r="L25544" t="str">
            <v>Non-proportional</v>
          </cell>
          <cell r="S25544">
            <v>59.09</v>
          </cell>
          <cell r="X25544" t="str">
            <v>Expenses</v>
          </cell>
        </row>
        <row r="25545">
          <cell r="L25545" t="str">
            <v>Non-proportional</v>
          </cell>
          <cell r="S25545">
            <v>470.34</v>
          </cell>
          <cell r="X25545" t="str">
            <v>Expenses</v>
          </cell>
        </row>
        <row r="25546">
          <cell r="L25546" t="str">
            <v>Non-proportional</v>
          </cell>
          <cell r="S25546">
            <v>-449.5</v>
          </cell>
          <cell r="X25546" t="str">
            <v>Expenses</v>
          </cell>
        </row>
        <row r="25547">
          <cell r="L25547" t="str">
            <v>Non-proportional</v>
          </cell>
          <cell r="S25547">
            <v>-3342.15</v>
          </cell>
          <cell r="X25547" t="str">
            <v>Expenses</v>
          </cell>
        </row>
        <row r="25548">
          <cell r="L25548" t="str">
            <v>Non-proportional</v>
          </cell>
          <cell r="S25548">
            <v>2059.89</v>
          </cell>
          <cell r="X25548" t="str">
            <v>Expenses</v>
          </cell>
        </row>
        <row r="25549">
          <cell r="L25549" t="str">
            <v>Proportional</v>
          </cell>
          <cell r="S25549">
            <v>302.75</v>
          </cell>
          <cell r="X25549" t="str">
            <v>Expenses</v>
          </cell>
        </row>
        <row r="25550">
          <cell r="L25550" t="str">
            <v>Non-proportional</v>
          </cell>
          <cell r="S25550">
            <v>444.98</v>
          </cell>
          <cell r="X25550" t="str">
            <v>Expenses</v>
          </cell>
        </row>
        <row r="25551">
          <cell r="L25551" t="str">
            <v>Non-proportional</v>
          </cell>
          <cell r="S25551">
            <v>-1442.05</v>
          </cell>
          <cell r="X25551" t="str">
            <v>Expenses</v>
          </cell>
        </row>
        <row r="25552">
          <cell r="L25552" t="str">
            <v>Non-proportional</v>
          </cell>
          <cell r="S25552">
            <v>127.13</v>
          </cell>
          <cell r="X25552" t="str">
            <v>Expenses</v>
          </cell>
        </row>
        <row r="25553">
          <cell r="L25553" t="str">
            <v>Non-proportional</v>
          </cell>
          <cell r="S25553">
            <v>330.99</v>
          </cell>
          <cell r="X25553" t="str">
            <v>Expenses</v>
          </cell>
        </row>
        <row r="25554">
          <cell r="L25554" t="str">
            <v>Non-proportional</v>
          </cell>
          <cell r="S25554">
            <v>113.29</v>
          </cell>
          <cell r="X25554" t="str">
            <v>Expenses</v>
          </cell>
        </row>
        <row r="25555">
          <cell r="L25555" t="str">
            <v>Non-proportional</v>
          </cell>
          <cell r="S25555">
            <v>-775.64</v>
          </cell>
          <cell r="X25555" t="str">
            <v>Expenses</v>
          </cell>
        </row>
        <row r="25556">
          <cell r="L25556" t="str">
            <v>Non-proportional</v>
          </cell>
          <cell r="S25556">
            <v>-2841.5</v>
          </cell>
          <cell r="X25556" t="str">
            <v>Expenses</v>
          </cell>
        </row>
        <row r="25557">
          <cell r="L25557"/>
          <cell r="S25557">
            <v>-33236.080000000002</v>
          </cell>
          <cell r="X25557" t="str">
            <v>Expenses</v>
          </cell>
        </row>
        <row r="25558">
          <cell r="L25558" t="str">
            <v>Proportional</v>
          </cell>
          <cell r="S25558">
            <v>1128.19</v>
          </cell>
          <cell r="X25558" t="str">
            <v>Expenses</v>
          </cell>
        </row>
        <row r="25559">
          <cell r="L25559" t="str">
            <v>Non-proportional</v>
          </cell>
          <cell r="S25559">
            <v>-330.99</v>
          </cell>
          <cell r="X25559" t="str">
            <v>Expenses</v>
          </cell>
        </row>
        <row r="25560">
          <cell r="L25560" t="str">
            <v>Non-proportional</v>
          </cell>
          <cell r="S25560">
            <v>355.98</v>
          </cell>
          <cell r="X25560" t="str">
            <v>Expenses</v>
          </cell>
        </row>
        <row r="25561">
          <cell r="L25561" t="str">
            <v>Non-proportional</v>
          </cell>
          <cell r="S25561">
            <v>-44.88</v>
          </cell>
          <cell r="X25561" t="str">
            <v>Expenses</v>
          </cell>
        </row>
        <row r="25562">
          <cell r="L25562" t="str">
            <v>Non-proportional</v>
          </cell>
          <cell r="S25562">
            <v>-30.61</v>
          </cell>
          <cell r="X25562" t="str">
            <v>Expenses</v>
          </cell>
        </row>
        <row r="25563">
          <cell r="L25563" t="str">
            <v>Non-proportional</v>
          </cell>
          <cell r="S25563">
            <v>-136.12</v>
          </cell>
          <cell r="X25563" t="str">
            <v>Expenses</v>
          </cell>
        </row>
        <row r="25564">
          <cell r="L25564" t="str">
            <v>Non-proportional</v>
          </cell>
          <cell r="S25564">
            <v>-304.47000000000003</v>
          </cell>
          <cell r="X25564" t="str">
            <v>Expenses</v>
          </cell>
        </row>
        <row r="25565">
          <cell r="L25565" t="str">
            <v>Non-proportional</v>
          </cell>
          <cell r="S25565">
            <v>-2059.89</v>
          </cell>
          <cell r="X25565" t="str">
            <v>Expenses</v>
          </cell>
        </row>
        <row r="25566">
          <cell r="L25566" t="str">
            <v>Non-proportional</v>
          </cell>
          <cell r="S25566">
            <v>30.61</v>
          </cell>
          <cell r="X25566" t="str">
            <v>Expenses</v>
          </cell>
        </row>
        <row r="25567">
          <cell r="L25567" t="str">
            <v>Non-proportional</v>
          </cell>
          <cell r="S25567">
            <v>-4207.28</v>
          </cell>
          <cell r="X25567" t="str">
            <v>Expenses</v>
          </cell>
        </row>
        <row r="25568">
          <cell r="L25568" t="str">
            <v>Non-proportional</v>
          </cell>
          <cell r="S25568">
            <v>47.99</v>
          </cell>
          <cell r="X25568" t="str">
            <v>Expenses</v>
          </cell>
        </row>
        <row r="25569">
          <cell r="L25569" t="str">
            <v>Non-proportional</v>
          </cell>
          <cell r="S25569">
            <v>2841.5</v>
          </cell>
          <cell r="X25569" t="str">
            <v>Expenses</v>
          </cell>
        </row>
        <row r="25570">
          <cell r="L25570" t="str">
            <v>Non-proportional</v>
          </cell>
          <cell r="S25570">
            <v>-32.369999999999997</v>
          </cell>
          <cell r="X25570" t="str">
            <v>Expenses</v>
          </cell>
        </row>
        <row r="25571">
          <cell r="L25571" t="str">
            <v>Non-proportional</v>
          </cell>
          <cell r="S25571">
            <v>-113.29</v>
          </cell>
          <cell r="X25571" t="str">
            <v>Expenses</v>
          </cell>
        </row>
        <row r="25572">
          <cell r="L25572" t="str">
            <v>Non-proportional</v>
          </cell>
          <cell r="S25572">
            <v>-106.39</v>
          </cell>
          <cell r="X25572" t="str">
            <v>Expenses</v>
          </cell>
        </row>
        <row r="25573">
          <cell r="L25573" t="str">
            <v>Non-proportional</v>
          </cell>
          <cell r="S25573">
            <v>-1076.31</v>
          </cell>
          <cell r="X25573" t="str">
            <v>Expenses</v>
          </cell>
        </row>
        <row r="25574">
          <cell r="L25574" t="str">
            <v>Non-proportional</v>
          </cell>
          <cell r="S25574">
            <v>-39.9</v>
          </cell>
          <cell r="X25574" t="str">
            <v>Expenses</v>
          </cell>
        </row>
        <row r="25575">
          <cell r="L25575" t="str">
            <v>Non-proportional</v>
          </cell>
          <cell r="S25575">
            <v>-2902.52</v>
          </cell>
          <cell r="X25575" t="str">
            <v>Expenses</v>
          </cell>
        </row>
        <row r="25576">
          <cell r="L25576" t="str">
            <v>Non-proportional</v>
          </cell>
          <cell r="S25576">
            <v>-47.21</v>
          </cell>
          <cell r="X25576" t="str">
            <v>Expenses</v>
          </cell>
        </row>
        <row r="25577">
          <cell r="L25577" t="str">
            <v>Non-proportional</v>
          </cell>
          <cell r="S25577">
            <v>101.26</v>
          </cell>
          <cell r="X25577" t="str">
            <v>Expenses</v>
          </cell>
        </row>
        <row r="25578">
          <cell r="L25578" t="str">
            <v>Non-proportional</v>
          </cell>
          <cell r="S25578">
            <v>-164.49</v>
          </cell>
          <cell r="X25578" t="str">
            <v>Expenses</v>
          </cell>
        </row>
        <row r="25579">
          <cell r="L25579" t="str">
            <v>Proportional</v>
          </cell>
          <cell r="S25579">
            <v>486.73</v>
          </cell>
          <cell r="X25579" t="str">
            <v>Expenses</v>
          </cell>
        </row>
        <row r="25580">
          <cell r="L25580" t="str">
            <v>Non-proportional</v>
          </cell>
          <cell r="S25580">
            <v>-47.21</v>
          </cell>
          <cell r="X25580" t="str">
            <v>Expenses</v>
          </cell>
        </row>
        <row r="25581">
          <cell r="L25581" t="str">
            <v>Non-proportional</v>
          </cell>
          <cell r="S25581">
            <v>25.39</v>
          </cell>
          <cell r="X25581" t="str">
            <v>Expenses</v>
          </cell>
        </row>
        <row r="25582">
          <cell r="L25582" t="str">
            <v>Non-proportional</v>
          </cell>
          <cell r="S25582">
            <v>22.48</v>
          </cell>
          <cell r="X25582" t="str">
            <v>Expenses</v>
          </cell>
        </row>
        <row r="25583">
          <cell r="L25583" t="str">
            <v>Non-proportional</v>
          </cell>
          <cell r="S25583">
            <v>140.54</v>
          </cell>
          <cell r="X25583" t="str">
            <v>Expenses</v>
          </cell>
        </row>
        <row r="25584">
          <cell r="L25584" t="str">
            <v>Non-proportional</v>
          </cell>
          <cell r="S25584">
            <v>-304.62</v>
          </cell>
          <cell r="X25584" t="str">
            <v>Expenses</v>
          </cell>
        </row>
        <row r="25585">
          <cell r="L25585" t="str">
            <v>Non-proportional</v>
          </cell>
          <cell r="S25585">
            <v>-40.01</v>
          </cell>
          <cell r="X25585" t="str">
            <v>Expenses</v>
          </cell>
        </row>
        <row r="25586">
          <cell r="L25586" t="str">
            <v>Proportional</v>
          </cell>
          <cell r="S25586">
            <v>-40629.760000000002</v>
          </cell>
          <cell r="X25586" t="str">
            <v>Expenses</v>
          </cell>
        </row>
        <row r="25587">
          <cell r="L25587" t="str">
            <v>Non-proportional</v>
          </cell>
          <cell r="S25587">
            <v>13.63</v>
          </cell>
          <cell r="X25587" t="str">
            <v>Expenses</v>
          </cell>
        </row>
        <row r="25588">
          <cell r="L25588" t="str">
            <v>Non-proportional</v>
          </cell>
          <cell r="S25588">
            <v>-939.45</v>
          </cell>
          <cell r="X25588" t="str">
            <v>Expenses</v>
          </cell>
        </row>
        <row r="25589">
          <cell r="L25589" t="str">
            <v>Non-proportional</v>
          </cell>
          <cell r="S25589">
            <v>-9.75</v>
          </cell>
          <cell r="X25589" t="str">
            <v>Expenses</v>
          </cell>
        </row>
        <row r="25590">
          <cell r="L25590" t="str">
            <v>Non-proportional</v>
          </cell>
          <cell r="S25590">
            <v>-261.14999999999998</v>
          </cell>
          <cell r="X25590" t="str">
            <v>Expenses</v>
          </cell>
        </row>
        <row r="25591">
          <cell r="L25591" t="str">
            <v>Non-proportional</v>
          </cell>
          <cell r="S25591">
            <v>-62.41</v>
          </cell>
          <cell r="X25591" t="str">
            <v>Expenses</v>
          </cell>
        </row>
        <row r="25592">
          <cell r="L25592" t="str">
            <v>Non-proportional</v>
          </cell>
          <cell r="S25592">
            <v>939.45</v>
          </cell>
          <cell r="X25592" t="str">
            <v>Expenses</v>
          </cell>
        </row>
        <row r="25593">
          <cell r="L25593" t="str">
            <v>Non-proportional</v>
          </cell>
          <cell r="S25593">
            <v>-21.08</v>
          </cell>
          <cell r="X25593" t="str">
            <v>Expenses</v>
          </cell>
        </row>
        <row r="25594">
          <cell r="L25594" t="str">
            <v>Non-proportional</v>
          </cell>
          <cell r="S25594">
            <v>219.49</v>
          </cell>
          <cell r="X25594" t="str">
            <v>Expenses</v>
          </cell>
        </row>
        <row r="25595">
          <cell r="L25595" t="str">
            <v>Non-proportional</v>
          </cell>
          <cell r="S25595">
            <v>102.38</v>
          </cell>
          <cell r="X25595" t="str">
            <v>Expenses</v>
          </cell>
        </row>
        <row r="25596">
          <cell r="L25596" t="str">
            <v>Non-proportional</v>
          </cell>
          <cell r="S25596">
            <v>102.74</v>
          </cell>
          <cell r="X25596" t="str">
            <v>Expenses</v>
          </cell>
        </row>
        <row r="25597">
          <cell r="L25597" t="str">
            <v>Non-proportional</v>
          </cell>
          <cell r="S25597">
            <v>2240.37</v>
          </cell>
          <cell r="X25597" t="str">
            <v>Expenses</v>
          </cell>
        </row>
        <row r="25598">
          <cell r="L25598" t="str">
            <v>Non-proportional</v>
          </cell>
          <cell r="S25598">
            <v>2142.36</v>
          </cell>
          <cell r="X25598" t="str">
            <v>Expenses</v>
          </cell>
        </row>
        <row r="25599">
          <cell r="L25599" t="str">
            <v>Non-proportional</v>
          </cell>
          <cell r="S25599">
            <v>77.290000000000006</v>
          </cell>
          <cell r="X25599" t="str">
            <v>Expenses</v>
          </cell>
        </row>
        <row r="25600">
          <cell r="L25600" t="str">
            <v>Non-proportional</v>
          </cell>
          <cell r="S25600">
            <v>39.33</v>
          </cell>
          <cell r="X25600" t="str">
            <v>Expenses</v>
          </cell>
        </row>
        <row r="25601">
          <cell r="L25601" t="str">
            <v>Non-proportional</v>
          </cell>
          <cell r="S25601">
            <v>378.06</v>
          </cell>
          <cell r="X25601" t="str">
            <v>Expenses</v>
          </cell>
        </row>
        <row r="25602">
          <cell r="L25602" t="str">
            <v>Non-proportional</v>
          </cell>
          <cell r="S25602">
            <v>86.81</v>
          </cell>
          <cell r="X25602" t="str">
            <v>Expenses</v>
          </cell>
        </row>
        <row r="25603">
          <cell r="L25603" t="str">
            <v>Non-proportional</v>
          </cell>
          <cell r="S25603">
            <v>-609.65</v>
          </cell>
          <cell r="X25603" t="str">
            <v>Expenses</v>
          </cell>
        </row>
        <row r="25604">
          <cell r="L25604" t="str">
            <v>Non-proportional</v>
          </cell>
          <cell r="S25604">
            <v>-1956.03</v>
          </cell>
          <cell r="X25604" t="str">
            <v>Expenses</v>
          </cell>
        </row>
        <row r="25605">
          <cell r="L25605" t="str">
            <v>Non-proportional</v>
          </cell>
          <cell r="S25605">
            <v>57.74</v>
          </cell>
          <cell r="X25605" t="str">
            <v>Expenses</v>
          </cell>
        </row>
        <row r="25606">
          <cell r="L25606" t="str">
            <v>Non-proportional</v>
          </cell>
          <cell r="S25606">
            <v>-109.74</v>
          </cell>
          <cell r="X25606" t="str">
            <v>Expenses</v>
          </cell>
        </row>
        <row r="25607">
          <cell r="L25607" t="str">
            <v>Non-proportional</v>
          </cell>
          <cell r="S25607">
            <v>8.14</v>
          </cell>
          <cell r="X25607" t="str">
            <v>Expenses</v>
          </cell>
        </row>
        <row r="25608">
          <cell r="L25608" t="str">
            <v>Non-proportional</v>
          </cell>
          <cell r="S25608">
            <v>-307.89</v>
          </cell>
          <cell r="X25608" t="str">
            <v>Expenses</v>
          </cell>
        </row>
        <row r="25609">
          <cell r="L25609" t="str">
            <v>Non-proportional</v>
          </cell>
          <cell r="S25609">
            <v>-190.45</v>
          </cell>
          <cell r="X25609" t="str">
            <v>Expenses</v>
          </cell>
        </row>
        <row r="25610">
          <cell r="L25610" t="str">
            <v>Non-proportional</v>
          </cell>
          <cell r="S25610">
            <v>-57.14</v>
          </cell>
          <cell r="X25610" t="str">
            <v>Expenses</v>
          </cell>
        </row>
        <row r="25611">
          <cell r="L25611" t="str">
            <v>Proportional</v>
          </cell>
          <cell r="S25611">
            <v>621.67999999999995</v>
          </cell>
          <cell r="X25611" t="str">
            <v>Expenses</v>
          </cell>
        </row>
        <row r="25612">
          <cell r="L25612" t="str">
            <v>Non-proportional</v>
          </cell>
          <cell r="S25612">
            <v>-24.3</v>
          </cell>
          <cell r="X25612" t="str">
            <v>Expenses</v>
          </cell>
        </row>
        <row r="25613">
          <cell r="L25613" t="str">
            <v>Non-proportional</v>
          </cell>
          <cell r="S25613">
            <v>-101.17</v>
          </cell>
          <cell r="X25613" t="str">
            <v>Expenses</v>
          </cell>
        </row>
        <row r="25614">
          <cell r="L25614" t="str">
            <v>Non-proportional</v>
          </cell>
          <cell r="S25614">
            <v>104.01</v>
          </cell>
          <cell r="X25614" t="str">
            <v>Expenses</v>
          </cell>
        </row>
        <row r="25615">
          <cell r="L25615" t="str">
            <v>Non-proportional</v>
          </cell>
          <cell r="S25615">
            <v>37.909999999999997</v>
          </cell>
          <cell r="X25615" t="str">
            <v>Expenses</v>
          </cell>
        </row>
        <row r="25616">
          <cell r="L25616" t="str">
            <v>Non-proportional</v>
          </cell>
          <cell r="S25616">
            <v>-77.290000000000006</v>
          </cell>
          <cell r="X25616" t="str">
            <v>Expenses</v>
          </cell>
        </row>
        <row r="25617">
          <cell r="L25617" t="str">
            <v>Non-proportional</v>
          </cell>
          <cell r="S25617">
            <v>36.58</v>
          </cell>
          <cell r="X25617" t="str">
            <v>Expenses</v>
          </cell>
        </row>
        <row r="25618">
          <cell r="L25618" t="str">
            <v>Non-proportional</v>
          </cell>
          <cell r="S25618">
            <v>6.26</v>
          </cell>
          <cell r="X25618" t="str">
            <v>Expenses</v>
          </cell>
        </row>
        <row r="25619">
          <cell r="L25619" t="str">
            <v>Non-proportional</v>
          </cell>
          <cell r="S25619">
            <v>138.41</v>
          </cell>
          <cell r="X25619" t="str">
            <v>Expenses</v>
          </cell>
        </row>
        <row r="25620">
          <cell r="L25620" t="str">
            <v>Non-proportional</v>
          </cell>
          <cell r="S25620">
            <v>-130.78</v>
          </cell>
          <cell r="X25620" t="str">
            <v>Expenses</v>
          </cell>
        </row>
        <row r="25621">
          <cell r="L25621" t="str">
            <v>Proportional</v>
          </cell>
          <cell r="S25621">
            <v>-3504.53</v>
          </cell>
          <cell r="X25621" t="str">
            <v>Expenses</v>
          </cell>
        </row>
        <row r="25622">
          <cell r="L25622" t="str">
            <v>Non-proportional</v>
          </cell>
          <cell r="S25622">
            <v>187.45</v>
          </cell>
          <cell r="X25622" t="str">
            <v>Expenses</v>
          </cell>
        </row>
        <row r="25623">
          <cell r="L25623" t="str">
            <v>Proportional</v>
          </cell>
          <cell r="S25623">
            <v>-1601.69</v>
          </cell>
          <cell r="X25623" t="str">
            <v>Expenses</v>
          </cell>
        </row>
        <row r="25624">
          <cell r="L25624" t="str">
            <v>Non-proportional</v>
          </cell>
          <cell r="S25624">
            <v>-2016.33</v>
          </cell>
          <cell r="X25624" t="str">
            <v>Expenses</v>
          </cell>
        </row>
        <row r="25625">
          <cell r="L25625" t="str">
            <v>Non-proportional</v>
          </cell>
          <cell r="S25625">
            <v>-2.1800000000000002</v>
          </cell>
          <cell r="X25625" t="str">
            <v>Expenses</v>
          </cell>
        </row>
        <row r="25626">
          <cell r="L25626" t="str">
            <v>Non-proportional</v>
          </cell>
          <cell r="S25626">
            <v>-71.209999999999994</v>
          </cell>
          <cell r="X25626" t="str">
            <v>Expenses</v>
          </cell>
        </row>
        <row r="25627">
          <cell r="L25627" t="str">
            <v>Non-proportional</v>
          </cell>
          <cell r="S25627">
            <v>-630.11</v>
          </cell>
          <cell r="X25627" t="str">
            <v>Expenses</v>
          </cell>
        </row>
        <row r="25628">
          <cell r="L25628" t="str">
            <v>Non-proportional</v>
          </cell>
          <cell r="S25628">
            <v>-78.8</v>
          </cell>
          <cell r="X25628" t="str">
            <v>Expenses</v>
          </cell>
        </row>
        <row r="25629">
          <cell r="L25629" t="str">
            <v>Non-proportional</v>
          </cell>
          <cell r="S25629">
            <v>-1840.97</v>
          </cell>
          <cell r="X25629" t="str">
            <v>Expenses</v>
          </cell>
        </row>
        <row r="25630">
          <cell r="L25630" t="str">
            <v>Non-proportional</v>
          </cell>
          <cell r="S25630">
            <v>1956.03</v>
          </cell>
          <cell r="X25630" t="str">
            <v>Expenses</v>
          </cell>
        </row>
        <row r="25631">
          <cell r="L25631" t="str">
            <v>Non-proportional</v>
          </cell>
          <cell r="S25631">
            <v>1840.97</v>
          </cell>
          <cell r="X25631" t="str">
            <v>Expenses</v>
          </cell>
        </row>
        <row r="25632">
          <cell r="L25632" t="str">
            <v>Non-proportional</v>
          </cell>
          <cell r="S25632">
            <v>-207.32</v>
          </cell>
          <cell r="X25632" t="str">
            <v>Expenses</v>
          </cell>
        </row>
        <row r="25633">
          <cell r="L25633" t="str">
            <v>Proportional</v>
          </cell>
          <cell r="S25633">
            <v>40629.760000000002</v>
          </cell>
          <cell r="X25633" t="str">
            <v>Expenses</v>
          </cell>
        </row>
        <row r="25634">
          <cell r="L25634" t="str">
            <v>Non-proportional</v>
          </cell>
          <cell r="S25634">
            <v>131.08000000000001</v>
          </cell>
          <cell r="X25634" t="str">
            <v>Expenses</v>
          </cell>
        </row>
        <row r="25635">
          <cell r="L25635" t="str">
            <v>Non-proportional</v>
          </cell>
          <cell r="S25635">
            <v>75.84</v>
          </cell>
          <cell r="X25635" t="str">
            <v>Expenses</v>
          </cell>
        </row>
        <row r="25636">
          <cell r="L25636" t="str">
            <v>Non-proportional</v>
          </cell>
          <cell r="S25636">
            <v>-2240.37</v>
          </cell>
          <cell r="X25636" t="str">
            <v>Expenses</v>
          </cell>
        </row>
        <row r="25637">
          <cell r="L25637" t="str">
            <v>Non-proportional</v>
          </cell>
          <cell r="S25637">
            <v>-390.42</v>
          </cell>
          <cell r="X25637" t="str">
            <v>Expenses</v>
          </cell>
        </row>
        <row r="25638">
          <cell r="L25638" t="str">
            <v>Non-proportional</v>
          </cell>
          <cell r="S25638">
            <v>277.22000000000003</v>
          </cell>
          <cell r="X25638" t="str">
            <v>Expenses</v>
          </cell>
        </row>
        <row r="25639">
          <cell r="L25639" t="str">
            <v>Non-proportional</v>
          </cell>
          <cell r="S25639">
            <v>-46.72</v>
          </cell>
          <cell r="X25639" t="str">
            <v>Expenses</v>
          </cell>
        </row>
        <row r="25640">
          <cell r="L25640" t="str">
            <v>Proportional</v>
          </cell>
          <cell r="S25640">
            <v>621.67999999999995</v>
          </cell>
          <cell r="X25640" t="str">
            <v>Expenses</v>
          </cell>
        </row>
        <row r="25641">
          <cell r="L25641" t="str">
            <v>Proportional</v>
          </cell>
          <cell r="S25641">
            <v>40629.760000000002</v>
          </cell>
          <cell r="X25641" t="str">
            <v>Expenses</v>
          </cell>
        </row>
        <row r="25642">
          <cell r="L25642" t="str">
            <v>Proportional</v>
          </cell>
          <cell r="S25642">
            <v>1601.69</v>
          </cell>
          <cell r="X25642" t="str">
            <v>Expenses</v>
          </cell>
        </row>
        <row r="25643">
          <cell r="L25643" t="str">
            <v>Non-proportional</v>
          </cell>
          <cell r="S25643">
            <v>32.43</v>
          </cell>
          <cell r="X25643" t="str">
            <v>Expenses</v>
          </cell>
        </row>
        <row r="25644">
          <cell r="L25644" t="str">
            <v>Non-proportional</v>
          </cell>
          <cell r="S25644">
            <v>71.599999999999994</v>
          </cell>
          <cell r="X25644" t="str">
            <v>Expenses</v>
          </cell>
        </row>
        <row r="25645">
          <cell r="L25645" t="str">
            <v>Non-proportional</v>
          </cell>
          <cell r="S25645">
            <v>40.94</v>
          </cell>
          <cell r="X25645" t="str">
            <v>Expenses</v>
          </cell>
        </row>
        <row r="25646">
          <cell r="L25646" t="str">
            <v>Non-proportional</v>
          </cell>
          <cell r="S25646">
            <v>-39.33</v>
          </cell>
          <cell r="X25646" t="str">
            <v>Expenses</v>
          </cell>
        </row>
        <row r="25647">
          <cell r="L25647" t="str">
            <v>Non-proportional</v>
          </cell>
          <cell r="S25647">
            <v>5.45</v>
          </cell>
          <cell r="X25647" t="str">
            <v>Expenses</v>
          </cell>
        </row>
        <row r="25648">
          <cell r="L25648" t="str">
            <v>Proportional</v>
          </cell>
          <cell r="S25648">
            <v>5.1100000000000003</v>
          </cell>
          <cell r="X25648" t="str">
            <v>Expenses</v>
          </cell>
        </row>
        <row r="25649">
          <cell r="L25649" t="str">
            <v>Proportional</v>
          </cell>
          <cell r="S25649">
            <v>621.67999999999995</v>
          </cell>
          <cell r="X25649" t="str">
            <v>Expenses</v>
          </cell>
        </row>
        <row r="25650">
          <cell r="L25650" t="str">
            <v>Non-proportional</v>
          </cell>
          <cell r="S25650">
            <v>149.1</v>
          </cell>
          <cell r="X25650" t="str">
            <v>Expenses</v>
          </cell>
        </row>
        <row r="25651">
          <cell r="L25651" t="str">
            <v>Non-proportional</v>
          </cell>
          <cell r="S25651">
            <v>9.75</v>
          </cell>
          <cell r="X25651" t="str">
            <v>Expenses</v>
          </cell>
        </row>
        <row r="25652">
          <cell r="L25652" t="str">
            <v>Non-proportional</v>
          </cell>
          <cell r="S25652">
            <v>457.21</v>
          </cell>
          <cell r="X25652" t="str">
            <v>Expenses</v>
          </cell>
        </row>
        <row r="25653">
          <cell r="L25653" t="str">
            <v>Non-proportional</v>
          </cell>
          <cell r="S25653">
            <v>-140.54</v>
          </cell>
          <cell r="X25653" t="str">
            <v>Expenses</v>
          </cell>
        </row>
        <row r="25654">
          <cell r="L25654" t="str">
            <v>Non-proportional</v>
          </cell>
          <cell r="S25654">
            <v>101.17</v>
          </cell>
          <cell r="X25654" t="str">
            <v>Expenses</v>
          </cell>
        </row>
        <row r="25655">
          <cell r="L25655" t="str">
            <v>Proportional</v>
          </cell>
          <cell r="S25655">
            <v>-0.59</v>
          </cell>
          <cell r="X25655" t="str">
            <v>Expenses</v>
          </cell>
        </row>
        <row r="25656">
          <cell r="L25656" t="str">
            <v>Non-proportional</v>
          </cell>
          <cell r="S25656">
            <v>89.46</v>
          </cell>
          <cell r="X25656" t="str">
            <v>Expenses</v>
          </cell>
        </row>
        <row r="25657">
          <cell r="L25657" t="str">
            <v>Proportional</v>
          </cell>
          <cell r="S25657">
            <v>-40629.760000000002</v>
          </cell>
          <cell r="X25657" t="str">
            <v>Expenses</v>
          </cell>
        </row>
        <row r="25658">
          <cell r="L25658" t="str">
            <v>Non-proportional</v>
          </cell>
          <cell r="S25658">
            <v>241.04</v>
          </cell>
          <cell r="X25658" t="str">
            <v>Expenses</v>
          </cell>
        </row>
        <row r="25659">
          <cell r="L25659" t="str">
            <v>Non-proportional</v>
          </cell>
          <cell r="S25659">
            <v>-81.260000000000005</v>
          </cell>
          <cell r="X25659" t="str">
            <v>Expenses</v>
          </cell>
        </row>
        <row r="25660">
          <cell r="L25660" t="str">
            <v>Non-proportional</v>
          </cell>
          <cell r="S25660">
            <v>-5.45</v>
          </cell>
          <cell r="X25660" t="str">
            <v>Expenses</v>
          </cell>
        </row>
        <row r="25661">
          <cell r="L25661" t="str">
            <v>Non-proportional</v>
          </cell>
          <cell r="S25661">
            <v>-482.66</v>
          </cell>
          <cell r="X25661" t="str">
            <v>Expenses</v>
          </cell>
        </row>
        <row r="25662">
          <cell r="L25662" t="str">
            <v>Non-proportional</v>
          </cell>
          <cell r="S25662">
            <v>-2016.33</v>
          </cell>
          <cell r="X25662" t="str">
            <v>Expenses</v>
          </cell>
        </row>
        <row r="25663">
          <cell r="L25663" t="str">
            <v>Proportional</v>
          </cell>
          <cell r="S25663">
            <v>3504.53</v>
          </cell>
          <cell r="X25663" t="str">
            <v>Expenses</v>
          </cell>
        </row>
        <row r="25664">
          <cell r="L25664" t="str">
            <v>Non-proportional</v>
          </cell>
          <cell r="S25664">
            <v>0.25</v>
          </cell>
          <cell r="X25664" t="str">
            <v>Expenses</v>
          </cell>
        </row>
        <row r="25665">
          <cell r="L25665" t="str">
            <v>Non-proportional</v>
          </cell>
          <cell r="S25665">
            <v>-5.45</v>
          </cell>
          <cell r="X25665" t="str">
            <v>Expenses</v>
          </cell>
        </row>
        <row r="25666">
          <cell r="L25666" t="str">
            <v>Non-proportional</v>
          </cell>
          <cell r="S25666">
            <v>-17.11</v>
          </cell>
          <cell r="X25666" t="str">
            <v>Expenses</v>
          </cell>
        </row>
        <row r="25667">
          <cell r="L25667" t="str">
            <v>Non-proportional</v>
          </cell>
          <cell r="S25667">
            <v>-86.81</v>
          </cell>
          <cell r="X25667" t="str">
            <v>Expenses</v>
          </cell>
        </row>
        <row r="25668">
          <cell r="L25668" t="str">
            <v>Non-proportional</v>
          </cell>
          <cell r="S25668">
            <v>-229.56</v>
          </cell>
          <cell r="X25668" t="str">
            <v>Expenses</v>
          </cell>
        </row>
        <row r="25669">
          <cell r="L25669" t="str">
            <v>Non-proportional</v>
          </cell>
          <cell r="S25669">
            <v>-40.71</v>
          </cell>
          <cell r="X25669" t="str">
            <v>Expenses</v>
          </cell>
        </row>
        <row r="25670">
          <cell r="L25670" t="str">
            <v>Proportional</v>
          </cell>
          <cell r="S25670">
            <v>38.549999999999997</v>
          </cell>
          <cell r="X25670" t="str">
            <v>Expenses</v>
          </cell>
        </row>
        <row r="25671">
          <cell r="L25671" t="str">
            <v>Non-proportional</v>
          </cell>
          <cell r="S25671">
            <v>-48.46</v>
          </cell>
          <cell r="X25671" t="str">
            <v>Expenses</v>
          </cell>
        </row>
        <row r="25672">
          <cell r="L25672" t="str">
            <v>Non-proportional</v>
          </cell>
          <cell r="S25672">
            <v>-126.99</v>
          </cell>
          <cell r="X25672" t="str">
            <v>Expenses</v>
          </cell>
        </row>
        <row r="25673">
          <cell r="L25673" t="str">
            <v>Non-proportional</v>
          </cell>
          <cell r="S25673">
            <v>44.73</v>
          </cell>
          <cell r="X25673" t="str">
            <v>Expenses</v>
          </cell>
        </row>
        <row r="25674">
          <cell r="L25674" t="str">
            <v>Non-proportional</v>
          </cell>
          <cell r="S25674">
            <v>-71.599999999999994</v>
          </cell>
          <cell r="X25674" t="str">
            <v>Expenses</v>
          </cell>
        </row>
        <row r="25675">
          <cell r="L25675" t="str">
            <v>Non-proportional</v>
          </cell>
          <cell r="S25675">
            <v>2142.36</v>
          </cell>
          <cell r="X25675" t="str">
            <v>Expenses</v>
          </cell>
        </row>
        <row r="25676">
          <cell r="L25676" t="str">
            <v>Non-proportional</v>
          </cell>
          <cell r="S25676">
            <v>-412.52</v>
          </cell>
          <cell r="X25676" t="str">
            <v>Expenses</v>
          </cell>
        </row>
        <row r="25677">
          <cell r="L25677" t="str">
            <v>Non-proportional</v>
          </cell>
          <cell r="S25677">
            <v>-22.4</v>
          </cell>
          <cell r="X25677" t="str">
            <v>Expenses</v>
          </cell>
        </row>
        <row r="25678">
          <cell r="L25678" t="str">
            <v>Non-proportional</v>
          </cell>
          <cell r="S25678">
            <v>-37.909999999999997</v>
          </cell>
          <cell r="X25678" t="str">
            <v>Expenses</v>
          </cell>
        </row>
        <row r="25679">
          <cell r="L25679" t="str">
            <v>Non-proportional</v>
          </cell>
          <cell r="S25679">
            <v>-22.01</v>
          </cell>
          <cell r="X25679" t="str">
            <v>Expenses</v>
          </cell>
        </row>
        <row r="25680">
          <cell r="L25680" t="str">
            <v>Non-proportional</v>
          </cell>
          <cell r="S25680">
            <v>63.61</v>
          </cell>
          <cell r="X25680" t="str">
            <v>Expenses</v>
          </cell>
        </row>
        <row r="25681">
          <cell r="L25681" t="str">
            <v>Non-proportional</v>
          </cell>
          <cell r="S25681">
            <v>109.74</v>
          </cell>
          <cell r="X25681" t="str">
            <v>Expenses</v>
          </cell>
        </row>
        <row r="25682">
          <cell r="L25682" t="str">
            <v>Proportional</v>
          </cell>
          <cell r="S25682">
            <v>6.18</v>
          </cell>
          <cell r="X25682" t="str">
            <v>Expenses</v>
          </cell>
        </row>
        <row r="25683">
          <cell r="L25683" t="str">
            <v>Non-proportional</v>
          </cell>
          <cell r="S25683">
            <v>-228.67</v>
          </cell>
          <cell r="X25683" t="str">
            <v>Expenses</v>
          </cell>
        </row>
        <row r="25684">
          <cell r="L25684" t="str">
            <v>Proportional</v>
          </cell>
          <cell r="S25684">
            <v>2295.6</v>
          </cell>
          <cell r="X25684" t="str">
            <v>Expenses</v>
          </cell>
        </row>
        <row r="25685">
          <cell r="L25685" t="str">
            <v>Proportional</v>
          </cell>
          <cell r="S25685">
            <v>5720.58</v>
          </cell>
          <cell r="X25685" t="str">
            <v>Expenses</v>
          </cell>
        </row>
        <row r="25686">
          <cell r="L25686" t="str">
            <v>Proportional</v>
          </cell>
          <cell r="S25686">
            <v>-2295.6</v>
          </cell>
          <cell r="X25686" t="str">
            <v>Expenses</v>
          </cell>
        </row>
        <row r="25687">
          <cell r="L25687" t="str">
            <v>Proportional</v>
          </cell>
          <cell r="S25687">
            <v>-5720.58</v>
          </cell>
          <cell r="X25687" t="str">
            <v>Expenses</v>
          </cell>
        </row>
        <row r="25688">
          <cell r="S25688">
            <v>-339.88</v>
          </cell>
          <cell r="X25688" t="str">
            <v>Expenses</v>
          </cell>
        </row>
        <row r="25689">
          <cell r="S25689">
            <v>8.9499999999999993</v>
          </cell>
          <cell r="X25689" t="str">
            <v>Expenses</v>
          </cell>
        </row>
        <row r="25690">
          <cell r="S25690">
            <v>-963.47</v>
          </cell>
          <cell r="X25690" t="str">
            <v>Expenses</v>
          </cell>
        </row>
        <row r="25691">
          <cell r="S25691">
            <v>-8.9499999999999993</v>
          </cell>
          <cell r="X25691" t="str">
            <v>Expenses</v>
          </cell>
        </row>
        <row r="25692">
          <cell r="S25692">
            <v>-781.2</v>
          </cell>
          <cell r="X25692" t="str">
            <v>Expenses</v>
          </cell>
        </row>
        <row r="25693">
          <cell r="S25693">
            <v>-670.56</v>
          </cell>
          <cell r="X25693" t="str">
            <v>Expenses</v>
          </cell>
        </row>
        <row r="25694">
          <cell r="S25694">
            <v>-672.13</v>
          </cell>
          <cell r="X25694" t="str">
            <v>Expenses</v>
          </cell>
        </row>
        <row r="25695">
          <cell r="S25695">
            <v>-216.27</v>
          </cell>
          <cell r="X25695" t="str">
            <v>Expenses</v>
          </cell>
        </row>
        <row r="25696">
          <cell r="S25696">
            <v>-336.36</v>
          </cell>
          <cell r="X25696" t="str">
            <v>Expenses</v>
          </cell>
        </row>
        <row r="25697">
          <cell r="S25697">
            <v>-7.62</v>
          </cell>
          <cell r="X25697" t="str">
            <v>Expenses</v>
          </cell>
        </row>
        <row r="25698">
          <cell r="S25698">
            <v>-2485.4899999999998</v>
          </cell>
          <cell r="X25698" t="str">
            <v>Expenses</v>
          </cell>
        </row>
        <row r="25699">
          <cell r="S25699">
            <v>-593.92999999999995</v>
          </cell>
          <cell r="X25699" t="str">
            <v>Expenses</v>
          </cell>
        </row>
        <row r="25700">
          <cell r="S25700">
            <v>-1884.29</v>
          </cell>
          <cell r="X25700" t="str">
            <v>Expenses</v>
          </cell>
        </row>
        <row r="25701">
          <cell r="S25701">
            <v>-91.24</v>
          </cell>
          <cell r="X25701" t="str">
            <v>Expenses</v>
          </cell>
        </row>
        <row r="25702">
          <cell r="S25702">
            <v>-291.95999999999998</v>
          </cell>
          <cell r="X25702" t="str">
            <v>Expenses</v>
          </cell>
        </row>
        <row r="25703">
          <cell r="S25703">
            <v>-339.32</v>
          </cell>
          <cell r="X25703" t="str">
            <v>Expenses</v>
          </cell>
        </row>
        <row r="25704">
          <cell r="S25704">
            <v>-205.92</v>
          </cell>
          <cell r="X25704" t="str">
            <v>Expenses</v>
          </cell>
        </row>
        <row r="25705">
          <cell r="S25705">
            <v>7.62</v>
          </cell>
          <cell r="X25705" t="str">
            <v>Expenses</v>
          </cell>
        </row>
        <row r="25706">
          <cell r="S25706">
            <v>-246.63</v>
          </cell>
          <cell r="X25706" t="str">
            <v>Expenses</v>
          </cell>
        </row>
        <row r="25707">
          <cell r="S25707">
            <v>-149.25</v>
          </cell>
          <cell r="X25707" t="str">
            <v>Expenses</v>
          </cell>
        </row>
        <row r="25708">
          <cell r="S25708">
            <v>-238.64</v>
          </cell>
          <cell r="X25708" t="str">
            <v>Expenses</v>
          </cell>
        </row>
        <row r="25709">
          <cell r="S25709">
            <v>-688.36</v>
          </cell>
          <cell r="X25709" t="str">
            <v>Expenses</v>
          </cell>
        </row>
        <row r="25710">
          <cell r="S25710">
            <v>-25.42</v>
          </cell>
          <cell r="X25710" t="str">
            <v>Expenses</v>
          </cell>
        </row>
        <row r="25711">
          <cell r="S25711">
            <v>-393.05</v>
          </cell>
          <cell r="X25711" t="str">
            <v>Expenses</v>
          </cell>
        </row>
        <row r="25712">
          <cell r="S25712">
            <v>30.29</v>
          </cell>
          <cell r="X25712" t="str">
            <v>Expenses</v>
          </cell>
        </row>
        <row r="25713">
          <cell r="S25713">
            <v>-141.26</v>
          </cell>
          <cell r="X25713" t="str">
            <v>Expenses</v>
          </cell>
        </row>
        <row r="25714">
          <cell r="S25714">
            <v>-1012.31</v>
          </cell>
          <cell r="X25714" t="str">
            <v>Expenses</v>
          </cell>
        </row>
        <row r="25715">
          <cell r="S25715">
            <v>-29.8</v>
          </cell>
          <cell r="X25715" t="str">
            <v>Expenses</v>
          </cell>
        </row>
        <row r="25716">
          <cell r="S25716">
            <v>-1222.67</v>
          </cell>
          <cell r="X25716" t="str">
            <v>Expenses</v>
          </cell>
        </row>
        <row r="25717">
          <cell r="S25717">
            <v>25.42</v>
          </cell>
          <cell r="X25717" t="str">
            <v>Expenses</v>
          </cell>
        </row>
        <row r="25718">
          <cell r="S25718">
            <v>-30.29</v>
          </cell>
          <cell r="X25718" t="str">
            <v>Expenses</v>
          </cell>
        </row>
        <row r="25719">
          <cell r="S25719">
            <v>29.8</v>
          </cell>
          <cell r="X25719" t="str">
            <v>Expenses</v>
          </cell>
        </row>
        <row r="25720">
          <cell r="S25720">
            <v>-37.590000000000003</v>
          </cell>
          <cell r="X25720" t="str">
            <v>Expenses</v>
          </cell>
        </row>
        <row r="25721">
          <cell r="S25721">
            <v>-340.25</v>
          </cell>
          <cell r="X25721" t="str">
            <v>Expenses</v>
          </cell>
        </row>
        <row r="25722">
          <cell r="S25722">
            <v>539.69000000000005</v>
          </cell>
          <cell r="X25722" t="str">
            <v>Expenses</v>
          </cell>
        </row>
        <row r="25723">
          <cell r="S25723">
            <v>-50.88</v>
          </cell>
          <cell r="X25723" t="str">
            <v>Expenses</v>
          </cell>
        </row>
        <row r="25724">
          <cell r="S25724">
            <v>-1609.2</v>
          </cell>
          <cell r="X25724" t="str">
            <v>Expenses</v>
          </cell>
        </row>
        <row r="25725">
          <cell r="S25725">
            <v>-1278.6500000000001</v>
          </cell>
          <cell r="X25725" t="str">
            <v>Expenses</v>
          </cell>
        </row>
        <row r="25726">
          <cell r="S25726">
            <v>50.89</v>
          </cell>
          <cell r="X25726" t="str">
            <v>Expenses</v>
          </cell>
        </row>
        <row r="25727">
          <cell r="S25727">
            <v>-234.44</v>
          </cell>
          <cell r="X25727" t="str">
            <v>Expenses</v>
          </cell>
        </row>
        <row r="25728">
          <cell r="S25728">
            <v>-1889.33</v>
          </cell>
          <cell r="X25728" t="str">
            <v>Expenses</v>
          </cell>
        </row>
        <row r="25729">
          <cell r="S25729">
            <v>-969.35</v>
          </cell>
          <cell r="X25729" t="str">
            <v>Expenses</v>
          </cell>
        </row>
        <row r="25730">
          <cell r="S25730">
            <v>50.89</v>
          </cell>
          <cell r="X25730" t="str">
            <v>Expenses</v>
          </cell>
        </row>
        <row r="25731">
          <cell r="S25731">
            <v>-239.04</v>
          </cell>
          <cell r="X25731" t="str">
            <v>Expenses</v>
          </cell>
        </row>
        <row r="25732">
          <cell r="S25732">
            <v>216.92</v>
          </cell>
          <cell r="X25732" t="str">
            <v>Expenses</v>
          </cell>
        </row>
        <row r="25733">
          <cell r="S25733">
            <v>1889.33</v>
          </cell>
          <cell r="X25733" t="str">
            <v>Expenses</v>
          </cell>
        </row>
        <row r="25734">
          <cell r="S25734">
            <v>-216.92</v>
          </cell>
          <cell r="X25734" t="str">
            <v>Expenses</v>
          </cell>
        </row>
        <row r="25735">
          <cell r="S25735">
            <v>44.22</v>
          </cell>
          <cell r="X25735" t="str">
            <v>Expenses</v>
          </cell>
        </row>
        <row r="25736">
          <cell r="S25736">
            <v>-50.88</v>
          </cell>
          <cell r="X25736" t="str">
            <v>Expenses</v>
          </cell>
        </row>
        <row r="25737">
          <cell r="S25737">
            <v>340.25</v>
          </cell>
          <cell r="X25737" t="str">
            <v>Expenses</v>
          </cell>
        </row>
        <row r="25738">
          <cell r="S25738">
            <v>59.86</v>
          </cell>
          <cell r="X25738" t="str">
            <v>Expenses</v>
          </cell>
        </row>
        <row r="25739">
          <cell r="S25739">
            <v>37.590000000000003</v>
          </cell>
          <cell r="X25739" t="str">
            <v>Expenses</v>
          </cell>
        </row>
        <row r="25740">
          <cell r="S25740">
            <v>234.44</v>
          </cell>
          <cell r="X25740" t="str">
            <v>Expenses</v>
          </cell>
        </row>
        <row r="25741">
          <cell r="S25741">
            <v>-2687.36</v>
          </cell>
          <cell r="X25741" t="str">
            <v>Expenses</v>
          </cell>
        </row>
        <row r="25742">
          <cell r="S25742">
            <v>239.04</v>
          </cell>
          <cell r="X25742" t="str">
            <v>Expenses</v>
          </cell>
        </row>
        <row r="25743">
          <cell r="S25743">
            <v>-539.69000000000005</v>
          </cell>
          <cell r="X25743" t="str">
            <v>Expenses</v>
          </cell>
        </row>
        <row r="25744">
          <cell r="S25744">
            <v>59.86</v>
          </cell>
          <cell r="X25744" t="str">
            <v>Expenses</v>
          </cell>
        </row>
        <row r="25745">
          <cell r="S25745">
            <v>143.88</v>
          </cell>
          <cell r="X25745" t="str">
            <v>Expenses</v>
          </cell>
        </row>
        <row r="25746">
          <cell r="S25746">
            <v>143.88</v>
          </cell>
          <cell r="X25746" t="str">
            <v>Expenses</v>
          </cell>
        </row>
        <row r="25747">
          <cell r="S25747">
            <v>-56.26</v>
          </cell>
          <cell r="X25747" t="str">
            <v>Expenses</v>
          </cell>
        </row>
        <row r="25748">
          <cell r="S25748">
            <v>-9.77</v>
          </cell>
          <cell r="X25748" t="str">
            <v>Expenses</v>
          </cell>
        </row>
        <row r="25749">
          <cell r="S25749">
            <v>15.13</v>
          </cell>
          <cell r="X25749" t="str">
            <v>Expenses</v>
          </cell>
        </row>
        <row r="25750">
          <cell r="S25750">
            <v>331.09</v>
          </cell>
          <cell r="X25750" t="str">
            <v>Expenses</v>
          </cell>
        </row>
        <row r="25751">
          <cell r="S25751">
            <v>-1356.21</v>
          </cell>
          <cell r="X25751" t="str">
            <v>Expenses</v>
          </cell>
        </row>
        <row r="25752">
          <cell r="S25752">
            <v>56.26</v>
          </cell>
          <cell r="X25752" t="str">
            <v>Expenses</v>
          </cell>
        </row>
        <row r="25753">
          <cell r="S25753">
            <v>626.66</v>
          </cell>
          <cell r="X25753" t="str">
            <v>Expenses</v>
          </cell>
        </row>
        <row r="25754">
          <cell r="S25754">
            <v>-220.57</v>
          </cell>
          <cell r="X25754" t="str">
            <v>Expenses</v>
          </cell>
        </row>
        <row r="25755">
          <cell r="S25755">
            <v>677.72</v>
          </cell>
          <cell r="X25755" t="str">
            <v>Expenses</v>
          </cell>
        </row>
        <row r="25756">
          <cell r="S25756">
            <v>-15.13</v>
          </cell>
          <cell r="X25756" t="str">
            <v>Expenses</v>
          </cell>
        </row>
        <row r="25757">
          <cell r="S25757">
            <v>479.58</v>
          </cell>
          <cell r="X25757" t="str">
            <v>Expenses</v>
          </cell>
        </row>
        <row r="25758">
          <cell r="S25758">
            <v>-479.58</v>
          </cell>
          <cell r="X25758" t="str">
            <v>Expenses</v>
          </cell>
        </row>
        <row r="25759">
          <cell r="S25759">
            <v>41.16</v>
          </cell>
          <cell r="X25759" t="str">
            <v>Expenses</v>
          </cell>
        </row>
        <row r="25760">
          <cell r="S25760">
            <v>1356.22</v>
          </cell>
          <cell r="X25760" t="str">
            <v>Expenses</v>
          </cell>
        </row>
        <row r="25761">
          <cell r="S25761">
            <v>-2262.86</v>
          </cell>
          <cell r="X25761" t="str">
            <v>Expenses</v>
          </cell>
        </row>
        <row r="25762">
          <cell r="S25762">
            <v>9.77</v>
          </cell>
          <cell r="X25762" t="str">
            <v>Expenses</v>
          </cell>
        </row>
        <row r="25763">
          <cell r="S25763">
            <v>-97.73</v>
          </cell>
          <cell r="X25763" t="str">
            <v>Expenses</v>
          </cell>
        </row>
        <row r="25764">
          <cell r="S25764">
            <v>-877.12</v>
          </cell>
          <cell r="X25764" t="str">
            <v>Expenses</v>
          </cell>
        </row>
        <row r="25765">
          <cell r="S25765">
            <v>61.15</v>
          </cell>
          <cell r="X25765" t="str">
            <v>Expenses</v>
          </cell>
        </row>
        <row r="25766">
          <cell r="S25766">
            <v>-50.66</v>
          </cell>
          <cell r="X25766" t="str">
            <v>Expenses</v>
          </cell>
        </row>
        <row r="25767">
          <cell r="S25767">
            <v>240.25</v>
          </cell>
          <cell r="X25767" t="str">
            <v>Expenses</v>
          </cell>
        </row>
        <row r="25768">
          <cell r="S25768">
            <v>-2265.16</v>
          </cell>
          <cell r="X25768" t="str">
            <v>Expenses</v>
          </cell>
        </row>
        <row r="25769">
          <cell r="S25769">
            <v>-22.05</v>
          </cell>
          <cell r="X25769" t="str">
            <v>Expenses</v>
          </cell>
        </row>
        <row r="25770">
          <cell r="S25770">
            <v>878.22</v>
          </cell>
          <cell r="X25770" t="str">
            <v>Expenses</v>
          </cell>
        </row>
        <row r="25771">
          <cell r="S25771">
            <v>2262.86</v>
          </cell>
          <cell r="X25771" t="str">
            <v>Expenses</v>
          </cell>
        </row>
        <row r="25772">
          <cell r="S25772">
            <v>327.67</v>
          </cell>
          <cell r="X25772" t="str">
            <v>Expenses</v>
          </cell>
        </row>
        <row r="25773">
          <cell r="S25773">
            <v>-13.54</v>
          </cell>
          <cell r="X25773" t="str">
            <v>Expenses</v>
          </cell>
        </row>
        <row r="25774">
          <cell r="S25774">
            <v>-340.98</v>
          </cell>
          <cell r="X25774" t="str">
            <v>Expenses</v>
          </cell>
        </row>
        <row r="25775">
          <cell r="S25775">
            <v>198.51</v>
          </cell>
          <cell r="X25775" t="str">
            <v>Expenses</v>
          </cell>
        </row>
        <row r="25776">
          <cell r="S25776">
            <v>-143.88</v>
          </cell>
          <cell r="X25776" t="str">
            <v>Expenses</v>
          </cell>
        </row>
        <row r="25777">
          <cell r="S25777">
            <v>-151.30000000000001</v>
          </cell>
          <cell r="X25777" t="str">
            <v>Expenses</v>
          </cell>
        </row>
        <row r="25778">
          <cell r="S25778">
            <v>581.76</v>
          </cell>
          <cell r="X25778" t="str">
            <v>Expenses</v>
          </cell>
        </row>
        <row r="25779">
          <cell r="S25779">
            <v>12.58</v>
          </cell>
          <cell r="X25779" t="str">
            <v>Expenses</v>
          </cell>
        </row>
        <row r="25780">
          <cell r="S25780">
            <v>-626.66</v>
          </cell>
          <cell r="X25780" t="str">
            <v>Expenses</v>
          </cell>
        </row>
        <row r="25781">
          <cell r="S25781">
            <v>-677.72</v>
          </cell>
          <cell r="X25781" t="str">
            <v>Expenses</v>
          </cell>
        </row>
        <row r="25782">
          <cell r="S25782">
            <v>68.09</v>
          </cell>
          <cell r="X25782" t="str">
            <v>Expenses</v>
          </cell>
        </row>
        <row r="25783">
          <cell r="S25783">
            <v>1077.71</v>
          </cell>
          <cell r="X25783" t="str">
            <v>Expenses</v>
          </cell>
        </row>
        <row r="25784">
          <cell r="S25784">
            <v>-50.66</v>
          </cell>
          <cell r="X25784" t="str">
            <v>Expenses</v>
          </cell>
        </row>
        <row r="25785">
          <cell r="S25785">
            <v>13.54</v>
          </cell>
          <cell r="X25785" t="str">
            <v>Expenses</v>
          </cell>
        </row>
        <row r="25786">
          <cell r="S25786">
            <v>816.8</v>
          </cell>
          <cell r="X25786" t="str">
            <v>Expenses</v>
          </cell>
        </row>
        <row r="25787">
          <cell r="S25787">
            <v>-1060.83</v>
          </cell>
          <cell r="X25787" t="str">
            <v>Expenses</v>
          </cell>
        </row>
        <row r="25788">
          <cell r="S25788">
            <v>-12.58</v>
          </cell>
          <cell r="X25788" t="str">
            <v>Expenses</v>
          </cell>
        </row>
        <row r="25789">
          <cell r="S25789">
            <v>-41.16</v>
          </cell>
          <cell r="X25789" t="str">
            <v>Expenses</v>
          </cell>
        </row>
        <row r="25790">
          <cell r="S25790">
            <v>-515.25</v>
          </cell>
          <cell r="X25790" t="str">
            <v>Expenses</v>
          </cell>
        </row>
        <row r="25791">
          <cell r="S25791">
            <v>340.98</v>
          </cell>
          <cell r="X25791" t="str">
            <v>Expenses</v>
          </cell>
        </row>
        <row r="25792">
          <cell r="S25792">
            <v>87.95</v>
          </cell>
          <cell r="X25792" t="str">
            <v>Expenses</v>
          </cell>
        </row>
        <row r="25793">
          <cell r="S25793">
            <v>22.05</v>
          </cell>
          <cell r="X25793" t="str">
            <v>Expenses</v>
          </cell>
        </row>
        <row r="25794">
          <cell r="S25794">
            <v>2265.16</v>
          </cell>
          <cell r="X25794" t="str">
            <v>Expenses</v>
          </cell>
        </row>
        <row r="25795">
          <cell r="S25795">
            <v>50.66</v>
          </cell>
          <cell r="X25795" t="str">
            <v>Expenses</v>
          </cell>
        </row>
        <row r="25796">
          <cell r="S25796">
            <v>1060.83</v>
          </cell>
          <cell r="X25796" t="str">
            <v>Expenses</v>
          </cell>
        </row>
        <row r="25797">
          <cell r="S25797">
            <v>877.12</v>
          </cell>
          <cell r="X25797" t="str">
            <v>Expenses</v>
          </cell>
        </row>
        <row r="25798">
          <cell r="S25798">
            <v>-581.76</v>
          </cell>
          <cell r="X25798" t="str">
            <v>Expenses</v>
          </cell>
        </row>
        <row r="25799">
          <cell r="S25799">
            <v>-878.21</v>
          </cell>
          <cell r="X25799" t="str">
            <v>Expenses</v>
          </cell>
        </row>
        <row r="25800">
          <cell r="S25800">
            <v>136.18</v>
          </cell>
          <cell r="X25800" t="str">
            <v>Expenses</v>
          </cell>
        </row>
        <row r="25801">
          <cell r="S25801">
            <v>515.25</v>
          </cell>
          <cell r="X25801" t="str">
            <v>Expenses</v>
          </cell>
        </row>
        <row r="25802">
          <cell r="S25802">
            <v>-816.8</v>
          </cell>
          <cell r="X25802" t="str">
            <v>Expenses</v>
          </cell>
        </row>
        <row r="25803">
          <cell r="S25803">
            <v>-68.09</v>
          </cell>
          <cell r="X25803" t="str">
            <v>Expenses</v>
          </cell>
        </row>
        <row r="25804">
          <cell r="S25804">
            <v>-1077.7</v>
          </cell>
          <cell r="X25804" t="str">
            <v>Expenses</v>
          </cell>
        </row>
        <row r="25805">
          <cell r="S25805">
            <v>-143.88</v>
          </cell>
          <cell r="X25805" t="str">
            <v>Expenses</v>
          </cell>
        </row>
        <row r="25806">
          <cell r="S25806">
            <v>-323.51</v>
          </cell>
          <cell r="X25806" t="str">
            <v>Expenses</v>
          </cell>
        </row>
        <row r="25807">
          <cell r="S25807">
            <v>-801.06</v>
          </cell>
          <cell r="X25807" t="str">
            <v>Expenses</v>
          </cell>
        </row>
        <row r="25808">
          <cell r="S25808">
            <v>771.16</v>
          </cell>
          <cell r="X25808" t="str">
            <v>Expenses</v>
          </cell>
        </row>
        <row r="25809">
          <cell r="S25809">
            <v>186.86</v>
          </cell>
          <cell r="X25809" t="str">
            <v>Expenses</v>
          </cell>
        </row>
        <row r="25810">
          <cell r="S25810">
            <v>-115.99</v>
          </cell>
          <cell r="X25810" t="str">
            <v>Expenses</v>
          </cell>
        </row>
        <row r="25811">
          <cell r="S25811">
            <v>183.47</v>
          </cell>
          <cell r="X25811" t="str">
            <v>Expenses</v>
          </cell>
        </row>
        <row r="25812">
          <cell r="S25812">
            <v>-720.95</v>
          </cell>
          <cell r="X25812" t="str">
            <v>Expenses</v>
          </cell>
        </row>
        <row r="25813">
          <cell r="S25813">
            <v>-217.06</v>
          </cell>
          <cell r="X25813" t="str">
            <v>Expenses</v>
          </cell>
        </row>
        <row r="25814">
          <cell r="S25814">
            <v>-116.52</v>
          </cell>
          <cell r="X25814" t="str">
            <v>Expenses</v>
          </cell>
        </row>
        <row r="25815">
          <cell r="S25815">
            <v>-375.86</v>
          </cell>
          <cell r="X25815" t="str">
            <v>Expenses</v>
          </cell>
        </row>
        <row r="25816">
          <cell r="S25816">
            <v>83.34</v>
          </cell>
          <cell r="X25816" t="str">
            <v>Expenses</v>
          </cell>
        </row>
        <row r="25817">
          <cell r="S25817">
            <v>-367.53</v>
          </cell>
          <cell r="X25817" t="str">
            <v>Expenses</v>
          </cell>
        </row>
        <row r="25818">
          <cell r="S25818">
            <v>-59.54</v>
          </cell>
          <cell r="X25818" t="str">
            <v>Expenses</v>
          </cell>
        </row>
        <row r="25819">
          <cell r="S25819">
            <v>165.97</v>
          </cell>
          <cell r="X25819" t="str">
            <v>Expenses</v>
          </cell>
        </row>
        <row r="25820">
          <cell r="S25820">
            <v>-183.47</v>
          </cell>
          <cell r="X25820" t="str">
            <v>Expenses</v>
          </cell>
        </row>
        <row r="25821">
          <cell r="S25821">
            <v>-539.16999999999996</v>
          </cell>
          <cell r="X25821" t="str">
            <v>Expenses</v>
          </cell>
        </row>
        <row r="25822">
          <cell r="S25822">
            <v>-771.16</v>
          </cell>
          <cell r="X25822" t="str">
            <v>Expenses</v>
          </cell>
        </row>
        <row r="25823">
          <cell r="S25823">
            <v>-577.04</v>
          </cell>
          <cell r="X25823" t="str">
            <v>Expenses</v>
          </cell>
        </row>
        <row r="25824">
          <cell r="S25824">
            <v>-285.8</v>
          </cell>
          <cell r="X25824" t="str">
            <v>Expenses</v>
          </cell>
        </row>
        <row r="25825">
          <cell r="S25825">
            <v>-129.05000000000001</v>
          </cell>
          <cell r="X25825" t="str">
            <v>Expenses</v>
          </cell>
        </row>
        <row r="25826">
          <cell r="S25826">
            <v>716.33</v>
          </cell>
          <cell r="X25826" t="str">
            <v>Expenses</v>
          </cell>
        </row>
        <row r="25827">
          <cell r="S25827">
            <v>-870</v>
          </cell>
          <cell r="X25827" t="str">
            <v>Expenses</v>
          </cell>
        </row>
        <row r="25828">
          <cell r="S25828">
            <v>98.98</v>
          </cell>
          <cell r="X25828" t="str">
            <v>Expenses</v>
          </cell>
        </row>
        <row r="25829">
          <cell r="S25829">
            <v>-172.08</v>
          </cell>
          <cell r="X25829" t="str">
            <v>Expenses</v>
          </cell>
        </row>
        <row r="25830">
          <cell r="S25830">
            <v>116</v>
          </cell>
          <cell r="X25830" t="str">
            <v>Expenses</v>
          </cell>
        </row>
        <row r="25831">
          <cell r="S25831">
            <v>-158.78</v>
          </cell>
          <cell r="X25831" t="str">
            <v>Expenses</v>
          </cell>
        </row>
        <row r="25832">
          <cell r="S25832">
            <v>119.85</v>
          </cell>
          <cell r="X25832" t="str">
            <v>Expenses</v>
          </cell>
        </row>
        <row r="25833">
          <cell r="S25833">
            <v>-155.54</v>
          </cell>
          <cell r="X25833" t="str">
            <v>Expenses</v>
          </cell>
        </row>
        <row r="25834">
          <cell r="S25834">
            <v>-59.54</v>
          </cell>
          <cell r="X25834" t="str">
            <v>Expenses</v>
          </cell>
        </row>
        <row r="25835">
          <cell r="S25835">
            <v>107.97</v>
          </cell>
          <cell r="X25835" t="str">
            <v>Expenses</v>
          </cell>
        </row>
        <row r="25836">
          <cell r="S25836">
            <v>145.55000000000001</v>
          </cell>
          <cell r="X25836" t="str">
            <v>Expenses</v>
          </cell>
        </row>
        <row r="25837">
          <cell r="S25837">
            <v>539.16999999999996</v>
          </cell>
          <cell r="X25837" t="str">
            <v>Expenses</v>
          </cell>
        </row>
        <row r="25838">
          <cell r="S25838">
            <v>215.01</v>
          </cell>
          <cell r="X25838" t="str">
            <v>Expenses</v>
          </cell>
        </row>
        <row r="25839">
          <cell r="S25839">
            <v>-107.97</v>
          </cell>
          <cell r="X25839" t="str">
            <v>Expenses</v>
          </cell>
        </row>
        <row r="25840">
          <cell r="S25840">
            <v>-349.79</v>
          </cell>
          <cell r="X25840" t="str">
            <v>Expenses</v>
          </cell>
        </row>
        <row r="25841">
          <cell r="S25841">
            <v>98.64</v>
          </cell>
          <cell r="X25841" t="str">
            <v>Expenses</v>
          </cell>
        </row>
        <row r="25842">
          <cell r="S25842">
            <v>1201.5899999999999</v>
          </cell>
          <cell r="X25842" t="str">
            <v>Expenses</v>
          </cell>
        </row>
        <row r="25843">
          <cell r="S25843">
            <v>184.37</v>
          </cell>
          <cell r="X25843" t="str">
            <v>Expenses</v>
          </cell>
        </row>
        <row r="25844">
          <cell r="S25844">
            <v>425.26</v>
          </cell>
          <cell r="X25844" t="str">
            <v>Expenses</v>
          </cell>
        </row>
        <row r="25845">
          <cell r="S25845">
            <v>361.53</v>
          </cell>
          <cell r="X25845" t="str">
            <v>Expenses</v>
          </cell>
        </row>
        <row r="25846">
          <cell r="S25846">
            <v>-79.13</v>
          </cell>
          <cell r="X25846" t="str">
            <v>Expenses</v>
          </cell>
        </row>
        <row r="25847">
          <cell r="S25847">
            <v>-83.35</v>
          </cell>
          <cell r="X25847" t="str">
            <v>Expenses</v>
          </cell>
        </row>
        <row r="25848">
          <cell r="S25848">
            <v>-98.98</v>
          </cell>
          <cell r="X25848" t="str">
            <v>Expenses</v>
          </cell>
        </row>
        <row r="25849">
          <cell r="S25849">
            <v>-90.29</v>
          </cell>
          <cell r="X25849" t="str">
            <v>Expenses</v>
          </cell>
        </row>
        <row r="25850">
          <cell r="S25850">
            <v>190.01</v>
          </cell>
          <cell r="X25850" t="str">
            <v>Expenses</v>
          </cell>
        </row>
        <row r="25851">
          <cell r="S25851">
            <v>59.54</v>
          </cell>
          <cell r="X25851" t="str">
            <v>Expenses</v>
          </cell>
        </row>
        <row r="25852">
          <cell r="S25852">
            <v>59.54</v>
          </cell>
          <cell r="X25852" t="str">
            <v>Expenses</v>
          </cell>
        </row>
        <row r="25853">
          <cell r="S25853">
            <v>-501.14</v>
          </cell>
          <cell r="X25853" t="str">
            <v>Expenses</v>
          </cell>
        </row>
        <row r="25854">
          <cell r="S25854">
            <v>-666.27</v>
          </cell>
          <cell r="X25854" t="str">
            <v>Expenses</v>
          </cell>
        </row>
        <row r="25855">
          <cell r="S25855">
            <v>-870</v>
          </cell>
          <cell r="X25855" t="str">
            <v>Expenses</v>
          </cell>
        </row>
        <row r="25856">
          <cell r="S25856">
            <v>-59.54</v>
          </cell>
          <cell r="X25856" t="str">
            <v>Expenses</v>
          </cell>
        </row>
        <row r="25857">
          <cell r="S25857">
            <v>-716.33</v>
          </cell>
          <cell r="X25857" t="str">
            <v>Expenses</v>
          </cell>
        </row>
        <row r="25858">
          <cell r="S25858">
            <v>359.45</v>
          </cell>
          <cell r="X25858" t="str">
            <v>Expenses</v>
          </cell>
        </row>
        <row r="25859">
          <cell r="S25859">
            <v>-519.34</v>
          </cell>
          <cell r="X25859" t="str">
            <v>Expenses</v>
          </cell>
        </row>
        <row r="25860">
          <cell r="S25860">
            <v>-389.88</v>
          </cell>
          <cell r="X25860" t="str">
            <v>Expenses</v>
          </cell>
        </row>
        <row r="25861">
          <cell r="S25861">
            <v>15.17</v>
          </cell>
          <cell r="X25861" t="str">
            <v>Expenses</v>
          </cell>
        </row>
        <row r="25862">
          <cell r="S25862">
            <v>-526.79</v>
          </cell>
          <cell r="X25862" t="str">
            <v>Expenses</v>
          </cell>
        </row>
        <row r="25863">
          <cell r="S25863">
            <v>-4.6500000000000004</v>
          </cell>
          <cell r="X25863" t="str">
            <v>Expenses</v>
          </cell>
        </row>
        <row r="25864">
          <cell r="S25864">
            <v>-145.55000000000001</v>
          </cell>
          <cell r="X25864" t="str">
            <v>Expenses</v>
          </cell>
        </row>
        <row r="25865">
          <cell r="S25865">
            <v>-577.04</v>
          </cell>
          <cell r="X25865" t="str">
            <v>Expenses</v>
          </cell>
        </row>
        <row r="25866">
          <cell r="S25866">
            <v>519.35</v>
          </cell>
          <cell r="X25866" t="str">
            <v>Expenses</v>
          </cell>
        </row>
        <row r="25867">
          <cell r="S25867">
            <v>201.13</v>
          </cell>
          <cell r="X25867" t="str">
            <v>Expenses</v>
          </cell>
        </row>
        <row r="25868">
          <cell r="S25868">
            <v>-796.05</v>
          </cell>
          <cell r="X25868" t="str">
            <v>Expenses</v>
          </cell>
        </row>
        <row r="25869">
          <cell r="S25869">
            <v>870</v>
          </cell>
          <cell r="X25869" t="str">
            <v>Expenses</v>
          </cell>
        </row>
        <row r="25870">
          <cell r="S25870">
            <v>-884.29</v>
          </cell>
          <cell r="X25870" t="str">
            <v>Expenses</v>
          </cell>
        </row>
        <row r="25871">
          <cell r="S25871">
            <v>306.38</v>
          </cell>
          <cell r="X25871" t="str">
            <v>Expenses</v>
          </cell>
        </row>
        <row r="25872">
          <cell r="S25872">
            <v>-0.95</v>
          </cell>
          <cell r="X25872" t="str">
            <v>Expenses</v>
          </cell>
        </row>
        <row r="25873">
          <cell r="S25873">
            <v>388.65</v>
          </cell>
          <cell r="X25873" t="str">
            <v>Expenses</v>
          </cell>
        </row>
        <row r="25874">
          <cell r="S25874">
            <v>2.48</v>
          </cell>
          <cell r="X25874" t="str">
            <v>Expenses</v>
          </cell>
        </row>
        <row r="25875">
          <cell r="S25875">
            <v>172.08</v>
          </cell>
          <cell r="X25875" t="str">
            <v>Expenses</v>
          </cell>
        </row>
        <row r="25876">
          <cell r="S25876">
            <v>323.51</v>
          </cell>
          <cell r="X25876" t="str">
            <v>Expenses</v>
          </cell>
        </row>
        <row r="25877">
          <cell r="S25877">
            <v>260.39999999999998</v>
          </cell>
          <cell r="X25877" t="str">
            <v>Expenses</v>
          </cell>
        </row>
        <row r="25878">
          <cell r="S25878">
            <v>59.54</v>
          </cell>
          <cell r="X25878" t="str">
            <v>Expenses</v>
          </cell>
        </row>
        <row r="25879">
          <cell r="S25879">
            <v>-59.54</v>
          </cell>
          <cell r="X25879" t="str">
            <v>Expenses</v>
          </cell>
        </row>
        <row r="25880">
          <cell r="S25880">
            <v>-359.45</v>
          </cell>
          <cell r="X25880" t="str">
            <v>Expenses</v>
          </cell>
        </row>
        <row r="25881">
          <cell r="S25881">
            <v>2.11</v>
          </cell>
          <cell r="X25881" t="str">
            <v>Expenses</v>
          </cell>
        </row>
        <row r="25882">
          <cell r="S25882">
            <v>142.33000000000001</v>
          </cell>
          <cell r="X25882" t="str">
            <v>Expenses</v>
          </cell>
        </row>
        <row r="25883">
          <cell r="S25883">
            <v>-184.36</v>
          </cell>
          <cell r="X25883" t="str">
            <v>Expenses</v>
          </cell>
        </row>
        <row r="25884">
          <cell r="S25884">
            <v>-359.45</v>
          </cell>
          <cell r="X25884" t="str">
            <v>Expenses</v>
          </cell>
        </row>
        <row r="25885">
          <cell r="S25885">
            <v>666.27</v>
          </cell>
          <cell r="X25885" t="str">
            <v>Expenses</v>
          </cell>
        </row>
        <row r="25886">
          <cell r="S25886">
            <v>9.9499999999999993</v>
          </cell>
          <cell r="X25886" t="str">
            <v>Expenses</v>
          </cell>
        </row>
        <row r="25887">
          <cell r="S25887">
            <v>77.349999999999994</v>
          </cell>
          <cell r="X25887" t="str">
            <v>Expenses</v>
          </cell>
        </row>
        <row r="25888">
          <cell r="S25888">
            <v>501.14</v>
          </cell>
          <cell r="X25888" t="str">
            <v>Expenses</v>
          </cell>
        </row>
        <row r="25889">
          <cell r="S25889">
            <v>-388.65</v>
          </cell>
          <cell r="X25889" t="str">
            <v>Expenses</v>
          </cell>
        </row>
        <row r="25890">
          <cell r="S25890">
            <v>67.510000000000005</v>
          </cell>
          <cell r="X25890" t="str">
            <v>Expenses</v>
          </cell>
        </row>
        <row r="25891">
          <cell r="S25891">
            <v>577.04</v>
          </cell>
          <cell r="X25891" t="str">
            <v>Expenses</v>
          </cell>
        </row>
        <row r="25892">
          <cell r="S25892">
            <v>-388.65</v>
          </cell>
          <cell r="X25892" t="str">
            <v>Expenses</v>
          </cell>
        </row>
        <row r="25893">
          <cell r="S25893">
            <v>-119.85</v>
          </cell>
          <cell r="X25893" t="str">
            <v>Expenses</v>
          </cell>
        </row>
        <row r="25894">
          <cell r="S25894">
            <v>-201.14</v>
          </cell>
          <cell r="X25894" t="str">
            <v>Expenses</v>
          </cell>
        </row>
        <row r="25895">
          <cell r="S25895">
            <v>238.7</v>
          </cell>
          <cell r="X25895" t="str">
            <v>Expenses</v>
          </cell>
        </row>
        <row r="25896">
          <cell r="S25896">
            <v>-8.1199999999999992</v>
          </cell>
          <cell r="X25896" t="str">
            <v>Expenses</v>
          </cell>
        </row>
        <row r="25897">
          <cell r="S25897">
            <v>-801.06</v>
          </cell>
          <cell r="X25897" t="str">
            <v>Expenses</v>
          </cell>
        </row>
        <row r="25898">
          <cell r="S25898">
            <v>90.29</v>
          </cell>
          <cell r="X25898" t="str">
            <v>Expenses</v>
          </cell>
        </row>
        <row r="25899">
          <cell r="S25899">
            <v>1.48</v>
          </cell>
          <cell r="X25899" t="str">
            <v>Expenses</v>
          </cell>
        </row>
        <row r="25900">
          <cell r="S25900">
            <v>-190.01</v>
          </cell>
          <cell r="X25900" t="str">
            <v>Expenses</v>
          </cell>
        </row>
        <row r="25901">
          <cell r="S25901">
            <v>-77.349999999999994</v>
          </cell>
          <cell r="X25901" t="str">
            <v>Expenses</v>
          </cell>
        </row>
        <row r="25902">
          <cell r="S25902">
            <v>-361.53</v>
          </cell>
          <cell r="X25902" t="str">
            <v>Expenses</v>
          </cell>
        </row>
        <row r="25903">
          <cell r="S25903">
            <v>0.95</v>
          </cell>
          <cell r="X25903" t="str">
            <v>Expenses</v>
          </cell>
        </row>
        <row r="25904">
          <cell r="S25904">
            <v>1.26</v>
          </cell>
          <cell r="X25904" t="str">
            <v>Expenses</v>
          </cell>
        </row>
        <row r="25905">
          <cell r="S25905">
            <v>-260.41000000000003</v>
          </cell>
          <cell r="X25905" t="str">
            <v>Expenses</v>
          </cell>
        </row>
        <row r="25906">
          <cell r="S25906">
            <v>129.05000000000001</v>
          </cell>
          <cell r="X25906" t="str">
            <v>Expenses</v>
          </cell>
        </row>
        <row r="25907">
          <cell r="S25907">
            <v>-165.97</v>
          </cell>
          <cell r="X25907" t="str">
            <v>Expenses</v>
          </cell>
        </row>
        <row r="25908">
          <cell r="S25908">
            <v>-0.09</v>
          </cell>
          <cell r="X25908" t="str">
            <v>Expenses</v>
          </cell>
        </row>
        <row r="25909">
          <cell r="S25909">
            <v>-280.92</v>
          </cell>
          <cell r="X25909" t="str">
            <v>Expenses</v>
          </cell>
        </row>
        <row r="25910">
          <cell r="S25910">
            <v>59.54</v>
          </cell>
          <cell r="X25910" t="str">
            <v>Expenses</v>
          </cell>
        </row>
        <row r="25911">
          <cell r="S25911">
            <v>236.7</v>
          </cell>
          <cell r="X25911" t="str">
            <v>Expenses</v>
          </cell>
        </row>
        <row r="25912">
          <cell r="S25912">
            <v>-149.51</v>
          </cell>
          <cell r="X25912" t="str">
            <v>Expenses</v>
          </cell>
        </row>
        <row r="25913">
          <cell r="S25913">
            <v>-98.64</v>
          </cell>
          <cell r="X25913" t="str">
            <v>Expenses</v>
          </cell>
        </row>
        <row r="25914">
          <cell r="S25914">
            <v>26.87</v>
          </cell>
          <cell r="X25914" t="str">
            <v>Expenses</v>
          </cell>
        </row>
        <row r="25915">
          <cell r="S25915">
            <v>-67.510000000000005</v>
          </cell>
          <cell r="X25915" t="str">
            <v>Expenses</v>
          </cell>
        </row>
        <row r="25916">
          <cell r="S25916">
            <v>1.08</v>
          </cell>
          <cell r="X25916" t="str">
            <v>Expenses</v>
          </cell>
        </row>
        <row r="25917">
          <cell r="S25917">
            <v>-1201.5899999999999</v>
          </cell>
          <cell r="X25917" t="str">
            <v>Expenses</v>
          </cell>
        </row>
        <row r="25918">
          <cell r="S25918">
            <v>-129.05000000000001</v>
          </cell>
          <cell r="X25918" t="str">
            <v>Expenses</v>
          </cell>
        </row>
        <row r="25919">
          <cell r="S25919">
            <v>796.05</v>
          </cell>
          <cell r="X25919" t="str">
            <v>Expenses</v>
          </cell>
        </row>
        <row r="25920">
          <cell r="S25920">
            <v>-142.33000000000001</v>
          </cell>
          <cell r="X25920" t="str">
            <v>Expenses</v>
          </cell>
        </row>
        <row r="25921">
          <cell r="S25921">
            <v>-215.01</v>
          </cell>
          <cell r="X25921" t="str">
            <v>Expenses</v>
          </cell>
        </row>
        <row r="25922">
          <cell r="S25922">
            <v>-172.08</v>
          </cell>
          <cell r="X25922" t="str">
            <v>Expenses</v>
          </cell>
        </row>
        <row r="25923">
          <cell r="S25923">
            <v>17.190000000000001</v>
          </cell>
          <cell r="X25923" t="str">
            <v>Expenses</v>
          </cell>
        </row>
        <row r="25924">
          <cell r="S25924">
            <v>1.63</v>
          </cell>
          <cell r="X25924" t="str">
            <v>Expenses</v>
          </cell>
        </row>
        <row r="25925">
          <cell r="S25925">
            <v>-171.32</v>
          </cell>
          <cell r="X25925" t="str">
            <v>Expenses</v>
          </cell>
        </row>
        <row r="25926">
          <cell r="S25926">
            <v>349.79</v>
          </cell>
          <cell r="X25926" t="str">
            <v>Expenses</v>
          </cell>
        </row>
        <row r="25927">
          <cell r="S25927">
            <v>155.54</v>
          </cell>
          <cell r="X25927" t="str">
            <v>Expenses</v>
          </cell>
        </row>
        <row r="25928">
          <cell r="S25928">
            <v>149.5</v>
          </cell>
          <cell r="X25928" t="str">
            <v>Expenses</v>
          </cell>
        </row>
        <row r="25929">
          <cell r="S25929">
            <v>0.09</v>
          </cell>
          <cell r="X25929" t="str">
            <v>Expenses</v>
          </cell>
        </row>
        <row r="25930">
          <cell r="S25930">
            <v>-59.54</v>
          </cell>
          <cell r="X25930" t="str">
            <v>Expenses</v>
          </cell>
        </row>
        <row r="25931">
          <cell r="S25931">
            <v>801.06</v>
          </cell>
          <cell r="X25931" t="str">
            <v>Expenses</v>
          </cell>
        </row>
        <row r="25932">
          <cell r="S25932">
            <v>870</v>
          </cell>
          <cell r="X25932" t="str">
            <v>Expenses</v>
          </cell>
        </row>
        <row r="25933">
          <cell r="S25933">
            <v>21.77</v>
          </cell>
          <cell r="X25933" t="str">
            <v>Expenses</v>
          </cell>
        </row>
        <row r="25934">
          <cell r="S25934">
            <v>331.41</v>
          </cell>
          <cell r="X25934" t="str">
            <v>Expenses</v>
          </cell>
        </row>
        <row r="25935">
          <cell r="S25935">
            <v>-238.71</v>
          </cell>
          <cell r="X25935" t="str">
            <v>Expenses</v>
          </cell>
        </row>
        <row r="25936">
          <cell r="S25936">
            <v>20.07</v>
          </cell>
          <cell r="X25936" t="str">
            <v>Expenses</v>
          </cell>
        </row>
        <row r="25937">
          <cell r="S25937">
            <v>1.91</v>
          </cell>
          <cell r="X25937" t="str">
            <v>Expenses</v>
          </cell>
        </row>
        <row r="25938">
          <cell r="S25938">
            <v>-331.41</v>
          </cell>
          <cell r="X25938" t="str">
            <v>Expenses</v>
          </cell>
        </row>
        <row r="25939">
          <cell r="S25939">
            <v>-165.97</v>
          </cell>
          <cell r="X25939" t="str">
            <v>Expenses</v>
          </cell>
        </row>
        <row r="25940">
          <cell r="S25940">
            <v>158.78</v>
          </cell>
          <cell r="X25940" t="str">
            <v>Expenses</v>
          </cell>
        </row>
        <row r="25941">
          <cell r="S25941">
            <v>59.54</v>
          </cell>
          <cell r="X25941" t="str">
            <v>Expenses</v>
          </cell>
        </row>
        <row r="25942">
          <cell r="S25942">
            <v>127.08</v>
          </cell>
          <cell r="X25942" t="str">
            <v>Expenses</v>
          </cell>
        </row>
        <row r="25943">
          <cell r="S25943">
            <v>720.95</v>
          </cell>
          <cell r="X25943" t="str">
            <v>Expenses</v>
          </cell>
        </row>
        <row r="25944">
          <cell r="S25944">
            <v>-26.93</v>
          </cell>
          <cell r="X25944" t="str">
            <v>Expenses</v>
          </cell>
        </row>
        <row r="25945">
          <cell r="S25945">
            <v>-21.82</v>
          </cell>
          <cell r="X25945" t="str">
            <v>Expenses</v>
          </cell>
        </row>
        <row r="25946">
          <cell r="S25946">
            <v>-20.100000000000001</v>
          </cell>
          <cell r="X25946" t="str">
            <v>Expenses</v>
          </cell>
        </row>
        <row r="25947">
          <cell r="S25947">
            <v>-17.23</v>
          </cell>
          <cell r="X25947" t="str">
            <v>Expenses</v>
          </cell>
        </row>
        <row r="25948">
          <cell r="S25948">
            <v>155.19</v>
          </cell>
          <cell r="X25948" t="str">
            <v>Expenses</v>
          </cell>
        </row>
        <row r="25949">
          <cell r="S25949">
            <v>-155.86000000000001</v>
          </cell>
          <cell r="X25949" t="str">
            <v>Expenses</v>
          </cell>
        </row>
        <row r="25950">
          <cell r="S25950">
            <v>-155.19</v>
          </cell>
          <cell r="X25950" t="str">
            <v>Expenses</v>
          </cell>
        </row>
        <row r="25951">
          <cell r="S25951">
            <v>-15.21</v>
          </cell>
          <cell r="X25951" t="str">
            <v>Expenses</v>
          </cell>
        </row>
        <row r="25952">
          <cell r="S25952">
            <v>155.86000000000001</v>
          </cell>
          <cell r="X25952" t="str">
            <v>Expenses</v>
          </cell>
        </row>
        <row r="25953">
          <cell r="S25953">
            <v>4.4800000000000004</v>
          </cell>
          <cell r="X25953" t="str">
            <v>Expenses</v>
          </cell>
        </row>
        <row r="25954">
          <cell r="S25954">
            <v>1359.72</v>
          </cell>
          <cell r="X25954" t="str">
            <v>Expenses</v>
          </cell>
        </row>
        <row r="25955">
          <cell r="S25955">
            <v>7.06</v>
          </cell>
          <cell r="X25955" t="str">
            <v>Expenses</v>
          </cell>
        </row>
        <row r="25956">
          <cell r="S25956">
            <v>3.56</v>
          </cell>
          <cell r="X25956" t="str">
            <v>Expenses</v>
          </cell>
        </row>
        <row r="25957">
          <cell r="S25957">
            <v>7.64</v>
          </cell>
          <cell r="X25957" t="str">
            <v>Expenses</v>
          </cell>
        </row>
        <row r="25958">
          <cell r="S25958">
            <v>5.52</v>
          </cell>
          <cell r="X25958" t="str">
            <v>Expenses</v>
          </cell>
        </row>
        <row r="25959">
          <cell r="S25959">
            <v>-1359.69</v>
          </cell>
          <cell r="X25959" t="str">
            <v>Expenses</v>
          </cell>
        </row>
        <row r="25960">
          <cell r="S25960">
            <v>68.040000000000006</v>
          </cell>
          <cell r="X25960" t="str">
            <v>Expenses</v>
          </cell>
        </row>
        <row r="25961">
          <cell r="S25961">
            <v>-68.040000000000006</v>
          </cell>
          <cell r="X25961" t="str">
            <v>Expenses</v>
          </cell>
        </row>
        <row r="25962">
          <cell r="L25962"/>
          <cell r="S25962">
            <v>0.79</v>
          </cell>
          <cell r="X25962" t="str">
            <v>Expenses</v>
          </cell>
        </row>
        <row r="25963">
          <cell r="L25963"/>
          <cell r="S25963">
            <v>4.8600000000000003</v>
          </cell>
          <cell r="X25963" t="str">
            <v>Expenses</v>
          </cell>
        </row>
        <row r="25964">
          <cell r="L25964"/>
          <cell r="S25964">
            <v>180.37</v>
          </cell>
          <cell r="X25964" t="str">
            <v>Expenses</v>
          </cell>
        </row>
        <row r="25965">
          <cell r="L25965"/>
          <cell r="S25965">
            <v>-74.650000000000006</v>
          </cell>
          <cell r="X25965" t="str">
            <v>Expenses</v>
          </cell>
        </row>
        <row r="25966">
          <cell r="L25966"/>
          <cell r="S25966">
            <v>1.73</v>
          </cell>
          <cell r="X25966" t="str">
            <v>Expenses</v>
          </cell>
        </row>
        <row r="25967">
          <cell r="L25967"/>
          <cell r="S25967">
            <v>-491.15</v>
          </cell>
          <cell r="X25967" t="str">
            <v>Expenses</v>
          </cell>
        </row>
        <row r="25968">
          <cell r="L25968"/>
          <cell r="S25968">
            <v>-175.72</v>
          </cell>
          <cell r="X25968" t="str">
            <v>Expenses</v>
          </cell>
        </row>
        <row r="25969">
          <cell r="L25969"/>
          <cell r="S25969">
            <v>-764.05</v>
          </cell>
          <cell r="X25969" t="str">
            <v>Expenses</v>
          </cell>
        </row>
        <row r="25970">
          <cell r="L25970"/>
          <cell r="S25970">
            <v>3.78</v>
          </cell>
          <cell r="X25970" t="str">
            <v>Expenses</v>
          </cell>
        </row>
        <row r="25971">
          <cell r="L25971"/>
          <cell r="S25971">
            <v>-733.67</v>
          </cell>
          <cell r="X25971" t="str">
            <v>Expenses</v>
          </cell>
        </row>
        <row r="25972">
          <cell r="L25972"/>
          <cell r="S25972">
            <v>-143.87</v>
          </cell>
          <cell r="X25972" t="str">
            <v>Expenses</v>
          </cell>
        </row>
        <row r="25973">
          <cell r="L25973"/>
          <cell r="S25973">
            <v>1.78</v>
          </cell>
          <cell r="X25973" t="str">
            <v>Expenses</v>
          </cell>
        </row>
        <row r="25974">
          <cell r="L25974"/>
          <cell r="S25974">
            <v>-216.72</v>
          </cell>
          <cell r="X25974" t="str">
            <v>Expenses</v>
          </cell>
        </row>
        <row r="25975">
          <cell r="L25975"/>
          <cell r="S25975">
            <v>-336.53</v>
          </cell>
          <cell r="X25975" t="str">
            <v>Expenses</v>
          </cell>
        </row>
        <row r="25976">
          <cell r="L25976"/>
          <cell r="S25976">
            <v>0.75</v>
          </cell>
          <cell r="X25976" t="str">
            <v>Expenses</v>
          </cell>
        </row>
        <row r="25977">
          <cell r="L25977"/>
          <cell r="S25977">
            <v>-442.13</v>
          </cell>
          <cell r="X25977" t="str">
            <v>Expenses</v>
          </cell>
        </row>
        <row r="25978">
          <cell r="L25978"/>
          <cell r="S25978">
            <v>-192.97</v>
          </cell>
          <cell r="X25978" t="str">
            <v>Expenses</v>
          </cell>
        </row>
        <row r="25979">
          <cell r="L25979"/>
          <cell r="S25979">
            <v>2.2999999999999998</v>
          </cell>
          <cell r="X25979" t="str">
            <v>Expenses</v>
          </cell>
        </row>
        <row r="25980">
          <cell r="L25980"/>
          <cell r="S25980">
            <v>243.39</v>
          </cell>
          <cell r="X25980" t="str">
            <v>Expenses</v>
          </cell>
        </row>
        <row r="25981">
          <cell r="L25981"/>
          <cell r="S25981">
            <v>-240</v>
          </cell>
          <cell r="X25981" t="str">
            <v>Expenses</v>
          </cell>
        </row>
        <row r="25982">
          <cell r="L25982"/>
          <cell r="S25982">
            <v>149.36000000000001</v>
          </cell>
          <cell r="X25982" t="str">
            <v>Expenses</v>
          </cell>
        </row>
        <row r="25983">
          <cell r="L25983"/>
          <cell r="S25983">
            <v>-179.84</v>
          </cell>
          <cell r="X25983" t="str">
            <v>Expenses</v>
          </cell>
        </row>
        <row r="25984">
          <cell r="L25984"/>
          <cell r="S25984">
            <v>-14.83</v>
          </cell>
          <cell r="X25984" t="str">
            <v>Expenses</v>
          </cell>
        </row>
        <row r="25985">
          <cell r="L25985"/>
          <cell r="S25985">
            <v>-162.27000000000001</v>
          </cell>
          <cell r="X25985" t="str">
            <v>Expenses</v>
          </cell>
        </row>
        <row r="25986">
          <cell r="L25986"/>
          <cell r="S25986">
            <v>-230.68</v>
          </cell>
          <cell r="X25986" t="str">
            <v>Expenses</v>
          </cell>
        </row>
        <row r="25987">
          <cell r="L25987"/>
          <cell r="S25987">
            <v>-132.51</v>
          </cell>
          <cell r="X25987" t="str">
            <v>Expenses</v>
          </cell>
        </row>
        <row r="25988">
          <cell r="L25988"/>
          <cell r="S25988">
            <v>-243.39</v>
          </cell>
          <cell r="X25988" t="str">
            <v>Expenses</v>
          </cell>
        </row>
        <row r="25989">
          <cell r="L25989"/>
          <cell r="S25989">
            <v>-108.41</v>
          </cell>
          <cell r="X25989" t="str">
            <v>Expenses</v>
          </cell>
        </row>
        <row r="25990">
          <cell r="L25990"/>
          <cell r="S25990">
            <v>-254.43</v>
          </cell>
          <cell r="X25990" t="str">
            <v>Expenses</v>
          </cell>
        </row>
        <row r="25991">
          <cell r="L25991"/>
          <cell r="S25991">
            <v>-295.06</v>
          </cell>
          <cell r="X25991" t="str">
            <v>Expenses</v>
          </cell>
        </row>
        <row r="25992">
          <cell r="L25992"/>
          <cell r="S25992">
            <v>216.29</v>
          </cell>
          <cell r="X25992" t="str">
            <v>Expenses</v>
          </cell>
        </row>
        <row r="25993">
          <cell r="L25993"/>
          <cell r="S25993">
            <v>-180.37</v>
          </cell>
          <cell r="X25993" t="str">
            <v>Expenses</v>
          </cell>
        </row>
        <row r="25994">
          <cell r="L25994"/>
          <cell r="S25994">
            <v>-59.49</v>
          </cell>
          <cell r="X25994" t="str">
            <v>Expenses</v>
          </cell>
        </row>
        <row r="25995">
          <cell r="L25995"/>
          <cell r="S25995">
            <v>-196.28</v>
          </cell>
          <cell r="X25995" t="str">
            <v>Expenses</v>
          </cell>
        </row>
        <row r="25996">
          <cell r="L25996"/>
          <cell r="S25996">
            <v>108.41</v>
          </cell>
          <cell r="X25996" t="str">
            <v>Expenses</v>
          </cell>
        </row>
        <row r="25997">
          <cell r="L25997"/>
          <cell r="S25997">
            <v>1.02</v>
          </cell>
          <cell r="X25997" t="str">
            <v>Expenses</v>
          </cell>
        </row>
        <row r="25998">
          <cell r="L25998"/>
          <cell r="S25998">
            <v>-120.52</v>
          </cell>
          <cell r="X25998" t="str">
            <v>Expenses</v>
          </cell>
        </row>
        <row r="25999">
          <cell r="L25999"/>
          <cell r="S25999">
            <v>-697.61</v>
          </cell>
          <cell r="X25999" t="str">
            <v>Expenses</v>
          </cell>
        </row>
        <row r="26000">
          <cell r="L26000"/>
          <cell r="S26000">
            <v>115.16</v>
          </cell>
          <cell r="X26000" t="str">
            <v>Expenses</v>
          </cell>
        </row>
        <row r="26001">
          <cell r="L26001"/>
          <cell r="S26001">
            <v>-143.94999999999999</v>
          </cell>
          <cell r="X26001" t="str">
            <v>Expenses</v>
          </cell>
        </row>
        <row r="26002">
          <cell r="L26002"/>
          <cell r="S26002">
            <v>0.94</v>
          </cell>
          <cell r="X26002" t="str">
            <v>Expenses</v>
          </cell>
        </row>
        <row r="26003">
          <cell r="L26003"/>
          <cell r="S26003">
            <v>7.52</v>
          </cell>
          <cell r="X26003" t="str">
            <v>Expenses</v>
          </cell>
        </row>
        <row r="26004">
          <cell r="L26004"/>
          <cell r="S26004">
            <v>-61.66</v>
          </cell>
          <cell r="X26004" t="str">
            <v>Expenses</v>
          </cell>
        </row>
        <row r="26005">
          <cell r="L26005"/>
          <cell r="S26005">
            <v>-1328.43</v>
          </cell>
          <cell r="X26005" t="str">
            <v>Expenses</v>
          </cell>
        </row>
        <row r="26006">
          <cell r="L26006"/>
          <cell r="S26006">
            <v>-212.16</v>
          </cell>
          <cell r="X26006" t="str">
            <v>Expenses</v>
          </cell>
        </row>
        <row r="26007">
          <cell r="L26007"/>
          <cell r="S26007">
            <v>766.81</v>
          </cell>
          <cell r="X26007" t="str">
            <v>Expenses</v>
          </cell>
        </row>
        <row r="26008">
          <cell r="L26008"/>
          <cell r="S26008">
            <v>-216.29</v>
          </cell>
          <cell r="X26008" t="str">
            <v>Expenses</v>
          </cell>
        </row>
        <row r="26009">
          <cell r="L26009"/>
          <cell r="S26009">
            <v>-277.83</v>
          </cell>
          <cell r="X26009" t="str">
            <v>Expenses</v>
          </cell>
        </row>
        <row r="26010">
          <cell r="L26010"/>
          <cell r="S26010">
            <v>108.06</v>
          </cell>
          <cell r="X26010" t="str">
            <v>Expenses</v>
          </cell>
        </row>
        <row r="26011">
          <cell r="L26011"/>
          <cell r="S26011">
            <v>-166.85</v>
          </cell>
          <cell r="X26011" t="str">
            <v>Expenses</v>
          </cell>
        </row>
        <row r="26012">
          <cell r="L26012"/>
          <cell r="S26012">
            <v>-386.01</v>
          </cell>
          <cell r="X26012" t="str">
            <v>Expenses</v>
          </cell>
        </row>
        <row r="26013">
          <cell r="L26013"/>
          <cell r="S26013">
            <v>-149.36000000000001</v>
          </cell>
          <cell r="X26013" t="str">
            <v>Expenses</v>
          </cell>
        </row>
        <row r="26014">
          <cell r="L26014"/>
          <cell r="S26014">
            <v>1.97</v>
          </cell>
          <cell r="X26014" t="str">
            <v>Expenses</v>
          </cell>
        </row>
        <row r="26015">
          <cell r="L26015"/>
          <cell r="S26015">
            <v>-1007.47</v>
          </cell>
          <cell r="X26015" t="str">
            <v>Expenses</v>
          </cell>
        </row>
        <row r="26016">
          <cell r="L26016"/>
          <cell r="S26016">
            <v>3.22</v>
          </cell>
          <cell r="X26016" t="str">
            <v>Expenses</v>
          </cell>
        </row>
        <row r="26017">
          <cell r="L26017"/>
          <cell r="S26017">
            <v>-271.48</v>
          </cell>
          <cell r="X26017" t="str">
            <v>Expenses</v>
          </cell>
        </row>
        <row r="26018">
          <cell r="L26018"/>
          <cell r="S26018">
            <v>-511.17</v>
          </cell>
          <cell r="X26018" t="str">
            <v>Expenses</v>
          </cell>
        </row>
        <row r="26019">
          <cell r="L26019"/>
          <cell r="S26019">
            <v>-2067.31</v>
          </cell>
          <cell r="X26019" t="str">
            <v>Expenses</v>
          </cell>
        </row>
        <row r="26020">
          <cell r="L26020"/>
          <cell r="S26020">
            <v>-137.96</v>
          </cell>
          <cell r="X26020" t="str">
            <v>Expenses</v>
          </cell>
        </row>
        <row r="26021">
          <cell r="L26021"/>
          <cell r="S26021">
            <v>143.87</v>
          </cell>
          <cell r="X26021" t="str">
            <v>Expenses</v>
          </cell>
        </row>
        <row r="26022">
          <cell r="L26022"/>
          <cell r="S26022">
            <v>-1772.05</v>
          </cell>
          <cell r="X26022" t="str">
            <v>Expenses</v>
          </cell>
        </row>
        <row r="26023">
          <cell r="L26023"/>
          <cell r="S26023">
            <v>-338.23</v>
          </cell>
          <cell r="X26023" t="str">
            <v>Expenses</v>
          </cell>
        </row>
        <row r="26024">
          <cell r="L26024"/>
          <cell r="S26024">
            <v>-528.4</v>
          </cell>
          <cell r="X26024" t="str">
            <v>Expenses</v>
          </cell>
        </row>
        <row r="26025">
          <cell r="L26025"/>
          <cell r="S26025">
            <v>5.7</v>
          </cell>
          <cell r="X26025" t="str">
            <v>Expenses</v>
          </cell>
        </row>
        <row r="26026">
          <cell r="L26026"/>
          <cell r="S26026">
            <v>442.12</v>
          </cell>
          <cell r="X26026" t="str">
            <v>Expenses</v>
          </cell>
        </row>
        <row r="26027">
          <cell r="L26027"/>
          <cell r="S26027">
            <v>4.41</v>
          </cell>
          <cell r="X26027" t="str">
            <v>Expenses</v>
          </cell>
        </row>
        <row r="26028">
          <cell r="L26028"/>
          <cell r="S26028">
            <v>-1594.69</v>
          </cell>
          <cell r="X26028" t="str">
            <v>Expenses</v>
          </cell>
        </row>
        <row r="26029">
          <cell r="L26029"/>
          <cell r="S26029">
            <v>-328.55</v>
          </cell>
          <cell r="X26029" t="str">
            <v>Expenses</v>
          </cell>
        </row>
        <row r="26030">
          <cell r="L26030"/>
          <cell r="S26030">
            <v>-94.13</v>
          </cell>
          <cell r="X26030" t="str">
            <v>Expenses</v>
          </cell>
        </row>
        <row r="26031">
          <cell r="L26031"/>
          <cell r="S26031">
            <v>1594.69</v>
          </cell>
          <cell r="X26031" t="str">
            <v>Expenses</v>
          </cell>
        </row>
        <row r="26032">
          <cell r="L26032"/>
          <cell r="S26032">
            <v>-13.78</v>
          </cell>
          <cell r="X26032" t="str">
            <v>Expenses</v>
          </cell>
        </row>
        <row r="26033">
          <cell r="L26033"/>
          <cell r="S26033">
            <v>6.28</v>
          </cell>
          <cell r="X26033" t="str">
            <v>Expenses</v>
          </cell>
        </row>
        <row r="26034">
          <cell r="L26034"/>
          <cell r="S26034">
            <v>4.88</v>
          </cell>
          <cell r="X26034" t="str">
            <v>Expenses</v>
          </cell>
        </row>
        <row r="26035">
          <cell r="L26035"/>
          <cell r="S26035">
            <v>216.72</v>
          </cell>
          <cell r="X26035" t="str">
            <v>Expenses</v>
          </cell>
        </row>
        <row r="26036">
          <cell r="L26036"/>
          <cell r="S26036">
            <v>137.96</v>
          </cell>
          <cell r="X26036" t="str">
            <v>Expenses</v>
          </cell>
        </row>
        <row r="26037">
          <cell r="L26037"/>
          <cell r="S26037">
            <v>133.80000000000001</v>
          </cell>
          <cell r="X26037" t="str">
            <v>Expenses</v>
          </cell>
        </row>
        <row r="26038">
          <cell r="L26038"/>
          <cell r="S26038">
            <v>-219.81</v>
          </cell>
          <cell r="X26038" t="str">
            <v>Expenses</v>
          </cell>
        </row>
        <row r="26039">
          <cell r="L26039"/>
          <cell r="S26039">
            <v>-222.25</v>
          </cell>
          <cell r="X26039" t="str">
            <v>Expenses</v>
          </cell>
        </row>
        <row r="26040">
          <cell r="L26040"/>
          <cell r="S26040">
            <v>-108.07</v>
          </cell>
          <cell r="X26040" t="str">
            <v>Expenses</v>
          </cell>
        </row>
        <row r="26041">
          <cell r="L26041"/>
          <cell r="S26041">
            <v>-286.08</v>
          </cell>
          <cell r="X26041" t="str">
            <v>Expenses</v>
          </cell>
        </row>
        <row r="26042">
          <cell r="L26042"/>
          <cell r="S26042">
            <v>2.15</v>
          </cell>
          <cell r="X26042" t="str">
            <v>Expenses</v>
          </cell>
        </row>
        <row r="26043">
          <cell r="L26043"/>
          <cell r="S26043">
            <v>-221.43</v>
          </cell>
          <cell r="X26043" t="str">
            <v>Expenses</v>
          </cell>
        </row>
        <row r="26044">
          <cell r="L26044"/>
          <cell r="S26044">
            <v>-766.82</v>
          </cell>
          <cell r="X26044" t="str">
            <v>Expenses</v>
          </cell>
        </row>
        <row r="26045">
          <cell r="L26045"/>
          <cell r="S26045">
            <v>188.17</v>
          </cell>
          <cell r="X26045" t="str">
            <v>Expenses</v>
          </cell>
        </row>
        <row r="26046">
          <cell r="L26046"/>
          <cell r="S26046">
            <v>-536.65</v>
          </cell>
          <cell r="X26046" t="str">
            <v>Expenses</v>
          </cell>
        </row>
        <row r="26047">
          <cell r="L26047"/>
          <cell r="S26047">
            <v>0.93</v>
          </cell>
          <cell r="X26047" t="str">
            <v>Expenses</v>
          </cell>
        </row>
        <row r="26048">
          <cell r="L26048"/>
          <cell r="S26048">
            <v>-165.64</v>
          </cell>
          <cell r="X26048" t="str">
            <v>Expenses</v>
          </cell>
        </row>
        <row r="26049">
          <cell r="L26049"/>
          <cell r="S26049">
            <v>-586.04</v>
          </cell>
          <cell r="X26049" t="str">
            <v>Expenses</v>
          </cell>
        </row>
        <row r="26050">
          <cell r="L26050"/>
          <cell r="S26050">
            <v>222.25</v>
          </cell>
          <cell r="X26050" t="str">
            <v>Expenses</v>
          </cell>
        </row>
        <row r="26051">
          <cell r="L26051"/>
          <cell r="S26051">
            <v>-135.52000000000001</v>
          </cell>
          <cell r="X26051" t="str">
            <v>Expenses</v>
          </cell>
        </row>
        <row r="26052">
          <cell r="L26052"/>
          <cell r="S26052">
            <v>-133.80000000000001</v>
          </cell>
          <cell r="X26052" t="str">
            <v>Expenses</v>
          </cell>
        </row>
        <row r="26053">
          <cell r="L26053"/>
          <cell r="S26053">
            <v>-45.12</v>
          </cell>
          <cell r="X26053" t="str">
            <v>Expenses</v>
          </cell>
        </row>
        <row r="26054">
          <cell r="L26054"/>
          <cell r="S26054">
            <v>528.4</v>
          </cell>
          <cell r="X26054" t="str">
            <v>Expenses</v>
          </cell>
        </row>
        <row r="26055">
          <cell r="L26055"/>
          <cell r="S26055">
            <v>536.65</v>
          </cell>
          <cell r="X26055" t="str">
            <v>Expenses</v>
          </cell>
        </row>
        <row r="26056">
          <cell r="L26056"/>
          <cell r="S26056">
            <v>132.51</v>
          </cell>
          <cell r="X26056" t="str">
            <v>Expenses</v>
          </cell>
        </row>
        <row r="26057">
          <cell r="L26057"/>
          <cell r="S26057">
            <v>230.68</v>
          </cell>
          <cell r="X26057" t="str">
            <v>Expenses</v>
          </cell>
        </row>
        <row r="26058">
          <cell r="L26058"/>
          <cell r="S26058">
            <v>-115.16</v>
          </cell>
          <cell r="X26058" t="str">
            <v>Expenses</v>
          </cell>
        </row>
        <row r="26059">
          <cell r="L26059"/>
          <cell r="S26059">
            <v>-35.409999999999997</v>
          </cell>
          <cell r="X26059" t="str">
            <v>Expenses</v>
          </cell>
        </row>
        <row r="26060">
          <cell r="L26060"/>
          <cell r="S26060">
            <v>-597.19000000000005</v>
          </cell>
          <cell r="X26060" t="str">
            <v>Expenses</v>
          </cell>
        </row>
        <row r="26061">
          <cell r="L26061"/>
          <cell r="S26061">
            <v>-188.17</v>
          </cell>
          <cell r="X26061" t="str">
            <v>Expenses</v>
          </cell>
        </row>
        <row r="26062">
          <cell r="L26062"/>
          <cell r="S26062">
            <v>120.52</v>
          </cell>
          <cell r="X26062" t="str">
            <v>Expenses</v>
          </cell>
        </row>
        <row r="26063">
          <cell r="L26063"/>
          <cell r="S26063">
            <v>166.85</v>
          </cell>
          <cell r="X26063" t="str">
            <v>Expenses</v>
          </cell>
        </row>
        <row r="26064">
          <cell r="L26064"/>
          <cell r="S26064">
            <v>-183.91</v>
          </cell>
          <cell r="X26064" t="str">
            <v>Expenses</v>
          </cell>
        </row>
        <row r="26065">
          <cell r="L26065"/>
          <cell r="S26065">
            <v>3.22</v>
          </cell>
          <cell r="X26065" t="str">
            <v>Expenses</v>
          </cell>
        </row>
        <row r="26066">
          <cell r="L26066"/>
          <cell r="S26066">
            <v>21.58</v>
          </cell>
          <cell r="X26066" t="str">
            <v>Expenses</v>
          </cell>
        </row>
        <row r="26067">
          <cell r="L26067"/>
          <cell r="S26067">
            <v>-9.43</v>
          </cell>
          <cell r="X26067" t="str">
            <v>Expenses</v>
          </cell>
        </row>
        <row r="26068">
          <cell r="L26068"/>
          <cell r="S26068">
            <v>-9.86</v>
          </cell>
          <cell r="X26068" t="str">
            <v>Expenses</v>
          </cell>
        </row>
        <row r="26069">
          <cell r="L26069"/>
          <cell r="S26069">
            <v>2.0299999999999998</v>
          </cell>
          <cell r="X26069" t="str">
            <v>Expenses</v>
          </cell>
        </row>
        <row r="26070">
          <cell r="L26070"/>
          <cell r="S26070">
            <v>-21.58</v>
          </cell>
          <cell r="X26070" t="str">
            <v>Expenses</v>
          </cell>
        </row>
        <row r="26071">
          <cell r="L26071"/>
          <cell r="S26071">
            <v>318.63</v>
          </cell>
          <cell r="X26071" t="str">
            <v>Expenses</v>
          </cell>
        </row>
        <row r="26072">
          <cell r="L26072"/>
          <cell r="S26072">
            <v>-315.02999999999997</v>
          </cell>
          <cell r="X26072" t="str">
            <v>Expenses</v>
          </cell>
        </row>
        <row r="26073">
          <cell r="L26073"/>
          <cell r="S26073">
            <v>270.87</v>
          </cell>
          <cell r="X26073" t="str">
            <v>Expenses</v>
          </cell>
        </row>
        <row r="26074">
          <cell r="L26074"/>
          <cell r="S26074">
            <v>9.43</v>
          </cell>
          <cell r="X26074" t="str">
            <v>Expenses</v>
          </cell>
        </row>
        <row r="26075">
          <cell r="L26075"/>
          <cell r="S26075">
            <v>21.58</v>
          </cell>
          <cell r="X26075" t="str">
            <v>Expenses</v>
          </cell>
        </row>
        <row r="26076">
          <cell r="L26076"/>
          <cell r="S26076">
            <v>-11.38</v>
          </cell>
          <cell r="X26076" t="str">
            <v>Expenses</v>
          </cell>
        </row>
        <row r="26077">
          <cell r="L26077"/>
          <cell r="S26077">
            <v>-21.58</v>
          </cell>
          <cell r="X26077" t="str">
            <v>Expenses</v>
          </cell>
        </row>
        <row r="26078">
          <cell r="L26078"/>
          <cell r="S26078">
            <v>1.93</v>
          </cell>
          <cell r="X26078" t="str">
            <v>Expenses</v>
          </cell>
        </row>
        <row r="26079">
          <cell r="L26079"/>
          <cell r="S26079">
            <v>320.24</v>
          </cell>
          <cell r="X26079" t="str">
            <v>Expenses</v>
          </cell>
        </row>
        <row r="26080">
          <cell r="L26080"/>
          <cell r="S26080">
            <v>-316.61</v>
          </cell>
          <cell r="X26080" t="str">
            <v>Expenses</v>
          </cell>
        </row>
        <row r="26081">
          <cell r="L26081"/>
          <cell r="S26081">
            <v>-150.21</v>
          </cell>
          <cell r="X26081" t="str">
            <v>Expenses</v>
          </cell>
        </row>
        <row r="26082">
          <cell r="L26082"/>
          <cell r="S26082">
            <v>11.38</v>
          </cell>
          <cell r="X26082" t="str">
            <v>Expenses</v>
          </cell>
        </row>
        <row r="26083">
          <cell r="L26083"/>
          <cell r="S26083">
            <v>-149.43</v>
          </cell>
          <cell r="X26083" t="str">
            <v>Expenses</v>
          </cell>
        </row>
        <row r="26084">
          <cell r="L26084"/>
          <cell r="S26084">
            <v>365.48</v>
          </cell>
          <cell r="X26084" t="str">
            <v>Expenses</v>
          </cell>
        </row>
        <row r="26085">
          <cell r="L26085"/>
          <cell r="S26085">
            <v>4.43</v>
          </cell>
          <cell r="X26085" t="str">
            <v>Expenses</v>
          </cell>
        </row>
        <row r="26086">
          <cell r="L26086"/>
          <cell r="S26086">
            <v>-283.39999999999998</v>
          </cell>
          <cell r="X26086" t="str">
            <v>Expenses</v>
          </cell>
        </row>
        <row r="26087">
          <cell r="L26087"/>
          <cell r="S26087">
            <v>9.86</v>
          </cell>
          <cell r="X26087" t="str">
            <v>Expenses</v>
          </cell>
        </row>
        <row r="26088">
          <cell r="L26088"/>
          <cell r="S26088">
            <v>-361.36</v>
          </cell>
          <cell r="X26088" t="str">
            <v>Expenses</v>
          </cell>
        </row>
        <row r="26089">
          <cell r="L26089"/>
          <cell r="S26089">
            <v>15.71</v>
          </cell>
          <cell r="X26089" t="str">
            <v>Expenses</v>
          </cell>
        </row>
        <row r="26090">
          <cell r="L26090"/>
          <cell r="S26090">
            <v>-15.7</v>
          </cell>
          <cell r="X26090" t="str">
            <v>Expenses</v>
          </cell>
        </row>
        <row r="26091">
          <cell r="L26091"/>
          <cell r="S26091">
            <v>76.290000000000006</v>
          </cell>
          <cell r="X26091" t="str">
            <v>Expenses</v>
          </cell>
        </row>
        <row r="26092">
          <cell r="L26092"/>
          <cell r="S26092">
            <v>16.8</v>
          </cell>
          <cell r="X26092" t="str">
            <v>Expenses</v>
          </cell>
        </row>
        <row r="26093">
          <cell r="L26093"/>
          <cell r="S26093">
            <v>487.47</v>
          </cell>
          <cell r="X26093" t="str">
            <v>Expenses</v>
          </cell>
        </row>
        <row r="26094">
          <cell r="L26094"/>
          <cell r="S26094">
            <v>-242.65</v>
          </cell>
          <cell r="X26094" t="str">
            <v>Expenses</v>
          </cell>
        </row>
        <row r="26095">
          <cell r="L26095"/>
          <cell r="S26095">
            <v>-266.39</v>
          </cell>
          <cell r="X26095" t="str">
            <v>Expenses</v>
          </cell>
        </row>
        <row r="26096">
          <cell r="L26096"/>
          <cell r="S26096">
            <v>-24020.15</v>
          </cell>
          <cell r="X26096" t="str">
            <v>Expenses</v>
          </cell>
        </row>
        <row r="26097">
          <cell r="L26097"/>
          <cell r="S26097">
            <v>28.71</v>
          </cell>
          <cell r="X26097" t="str">
            <v>Expenses</v>
          </cell>
        </row>
        <row r="26098">
          <cell r="L26098"/>
          <cell r="S26098">
            <v>-960.8</v>
          </cell>
          <cell r="X26098" t="str">
            <v>Expenses</v>
          </cell>
        </row>
        <row r="26099">
          <cell r="L26099"/>
          <cell r="S26099">
            <v>960.73</v>
          </cell>
          <cell r="X26099" t="str">
            <v>Expenses</v>
          </cell>
        </row>
        <row r="26100">
          <cell r="L26100"/>
          <cell r="S26100">
            <v>156.38999999999999</v>
          </cell>
          <cell r="X26100" t="str">
            <v>Expenses</v>
          </cell>
        </row>
        <row r="26101">
          <cell r="L26101"/>
          <cell r="S26101">
            <v>-178.32</v>
          </cell>
          <cell r="X26101" t="str">
            <v>Expenses</v>
          </cell>
        </row>
        <row r="26102">
          <cell r="L26102"/>
          <cell r="S26102">
            <v>232.11</v>
          </cell>
          <cell r="X26102" t="str">
            <v>Expenses</v>
          </cell>
        </row>
        <row r="26103">
          <cell r="L26103"/>
          <cell r="S26103">
            <v>242.65</v>
          </cell>
          <cell r="X26103" t="str">
            <v>Expenses</v>
          </cell>
        </row>
        <row r="26104">
          <cell r="L26104"/>
          <cell r="S26104">
            <v>-28.71</v>
          </cell>
          <cell r="X26104" t="str">
            <v>Expenses</v>
          </cell>
        </row>
        <row r="26105">
          <cell r="L26105"/>
          <cell r="S26105">
            <v>-156.38999999999999</v>
          </cell>
          <cell r="X26105" t="str">
            <v>Expenses</v>
          </cell>
        </row>
        <row r="26106">
          <cell r="L26106"/>
          <cell r="S26106">
            <v>-48.28</v>
          </cell>
          <cell r="X26106" t="str">
            <v>Expenses</v>
          </cell>
        </row>
        <row r="26107">
          <cell r="L26107"/>
          <cell r="S26107">
            <v>178.32</v>
          </cell>
          <cell r="X26107" t="str">
            <v>Expenses</v>
          </cell>
        </row>
        <row r="26108">
          <cell r="L26108"/>
          <cell r="S26108">
            <v>24020.15</v>
          </cell>
          <cell r="X26108" t="str">
            <v>Expenses</v>
          </cell>
        </row>
        <row r="26109">
          <cell r="L26109"/>
          <cell r="S26109">
            <v>-487.6</v>
          </cell>
          <cell r="X26109" t="str">
            <v>Expenses</v>
          </cell>
        </row>
        <row r="26110">
          <cell r="L26110"/>
          <cell r="S26110">
            <v>48.28</v>
          </cell>
          <cell r="X26110" t="str">
            <v>Expenses</v>
          </cell>
        </row>
        <row r="26111">
          <cell r="L26111"/>
          <cell r="S26111">
            <v>266.39</v>
          </cell>
          <cell r="X26111" t="str">
            <v>Expenses</v>
          </cell>
        </row>
        <row r="26112">
          <cell r="L26112"/>
          <cell r="S26112">
            <v>-76.3</v>
          </cell>
          <cell r="X26112" t="str">
            <v>Expenses</v>
          </cell>
        </row>
        <row r="26113">
          <cell r="L26113"/>
          <cell r="S26113">
            <v>-232.11</v>
          </cell>
          <cell r="X26113" t="str">
            <v>Expenses</v>
          </cell>
        </row>
        <row r="26114">
          <cell r="L26114"/>
          <cell r="S26114">
            <v>54.45</v>
          </cell>
          <cell r="X26114" t="str">
            <v>Expenses</v>
          </cell>
        </row>
        <row r="26115">
          <cell r="L26115"/>
          <cell r="S26115">
            <v>-10.199999999999999</v>
          </cell>
          <cell r="X26115" t="str">
            <v>Expenses</v>
          </cell>
        </row>
        <row r="26116">
          <cell r="L26116"/>
          <cell r="S26116">
            <v>91.35</v>
          </cell>
          <cell r="X26116" t="str">
            <v>Expenses</v>
          </cell>
        </row>
        <row r="26117">
          <cell r="L26117"/>
          <cell r="S26117">
            <v>14.17</v>
          </cell>
          <cell r="X26117" t="str">
            <v>Expenses</v>
          </cell>
        </row>
        <row r="26118">
          <cell r="L26118"/>
          <cell r="S26118">
            <v>-248.29</v>
          </cell>
          <cell r="X26118" t="str">
            <v>Expenses</v>
          </cell>
        </row>
        <row r="26119">
          <cell r="L26119"/>
          <cell r="S26119">
            <v>7.14</v>
          </cell>
          <cell r="X26119" t="str">
            <v>Expenses</v>
          </cell>
        </row>
        <row r="26120">
          <cell r="L26120"/>
          <cell r="S26120">
            <v>60.51</v>
          </cell>
          <cell r="X26120" t="str">
            <v>Expenses</v>
          </cell>
        </row>
        <row r="26121">
          <cell r="L26121"/>
          <cell r="S26121">
            <v>605.53</v>
          </cell>
          <cell r="X26121" t="str">
            <v>Expenses</v>
          </cell>
        </row>
        <row r="26122">
          <cell r="L26122"/>
          <cell r="S26122">
            <v>-1262.18</v>
          </cell>
          <cell r="X26122" t="str">
            <v>Expenses</v>
          </cell>
        </row>
        <row r="26123">
          <cell r="L26123"/>
          <cell r="S26123">
            <v>-7.0000000000000007E-2</v>
          </cell>
          <cell r="X26123" t="str">
            <v>Expenses</v>
          </cell>
        </row>
        <row r="26124">
          <cell r="L26124"/>
          <cell r="S26124">
            <v>-646.02</v>
          </cell>
          <cell r="X26124" t="str">
            <v>Expenses</v>
          </cell>
        </row>
        <row r="26125">
          <cell r="L26125"/>
          <cell r="S26125">
            <v>-82.22</v>
          </cell>
          <cell r="X26125" t="str">
            <v>Expenses</v>
          </cell>
        </row>
        <row r="26126">
          <cell r="L26126"/>
          <cell r="S26126">
            <v>-31.92</v>
          </cell>
          <cell r="X26126" t="str">
            <v>Expenses</v>
          </cell>
        </row>
        <row r="26127">
          <cell r="L26127"/>
          <cell r="S26127">
            <v>-14.17</v>
          </cell>
          <cell r="X26127" t="str">
            <v>Expenses</v>
          </cell>
        </row>
        <row r="26128">
          <cell r="L26128"/>
          <cell r="S26128">
            <v>-132.81</v>
          </cell>
          <cell r="X26128" t="str">
            <v>Expenses</v>
          </cell>
        </row>
        <row r="26129">
          <cell r="L26129"/>
          <cell r="S26129">
            <v>-2.2799999999999998</v>
          </cell>
          <cell r="X26129" t="str">
            <v>Expenses</v>
          </cell>
        </row>
        <row r="26130">
          <cell r="L26130"/>
          <cell r="S26130">
            <v>617.97</v>
          </cell>
          <cell r="X26130" t="str">
            <v>Expenses</v>
          </cell>
        </row>
        <row r="26131">
          <cell r="L26131"/>
          <cell r="S26131">
            <v>-552.85</v>
          </cell>
          <cell r="X26131" t="str">
            <v>Expenses</v>
          </cell>
        </row>
        <row r="26132">
          <cell r="L26132"/>
          <cell r="S26132">
            <v>-7.14</v>
          </cell>
          <cell r="X26132" t="str">
            <v>Expenses</v>
          </cell>
        </row>
        <row r="26133">
          <cell r="L26133"/>
          <cell r="S26133">
            <v>35.479999999999997</v>
          </cell>
          <cell r="X26133" t="str">
            <v>Expenses</v>
          </cell>
        </row>
        <row r="26134">
          <cell r="L26134"/>
          <cell r="S26134">
            <v>1741.01</v>
          </cell>
          <cell r="X26134" t="str">
            <v>Expenses</v>
          </cell>
        </row>
        <row r="26135">
          <cell r="L26135"/>
          <cell r="S26135">
            <v>-9.18</v>
          </cell>
          <cell r="X26135" t="str">
            <v>Expenses</v>
          </cell>
        </row>
        <row r="26136">
          <cell r="L26136"/>
          <cell r="S26136">
            <v>-99.3</v>
          </cell>
          <cell r="X26136" t="str">
            <v>Expenses</v>
          </cell>
        </row>
        <row r="26137">
          <cell r="L26137"/>
          <cell r="S26137">
            <v>2.46</v>
          </cell>
          <cell r="X26137" t="str">
            <v>Expenses</v>
          </cell>
        </row>
        <row r="26138">
          <cell r="L26138"/>
          <cell r="S26138">
            <v>9.8800000000000008</v>
          </cell>
          <cell r="X26138" t="str">
            <v>Expenses</v>
          </cell>
        </row>
        <row r="26139">
          <cell r="L26139"/>
          <cell r="S26139">
            <v>-282.92</v>
          </cell>
          <cell r="X26139" t="str">
            <v>Expenses</v>
          </cell>
        </row>
        <row r="26140">
          <cell r="L26140"/>
          <cell r="S26140">
            <v>82.21</v>
          </cell>
          <cell r="X26140" t="str">
            <v>Expenses</v>
          </cell>
        </row>
        <row r="26141">
          <cell r="L26141"/>
          <cell r="S26141">
            <v>-2.1</v>
          </cell>
          <cell r="X26141" t="str">
            <v>Expenses</v>
          </cell>
        </row>
        <row r="26142">
          <cell r="L26142"/>
          <cell r="S26142">
            <v>13.47</v>
          </cell>
          <cell r="X26142" t="str">
            <v>Expenses</v>
          </cell>
        </row>
        <row r="26143">
          <cell r="L26143"/>
          <cell r="S26143">
            <v>110.32</v>
          </cell>
          <cell r="X26143" t="str">
            <v>Expenses</v>
          </cell>
        </row>
        <row r="26144">
          <cell r="L26144"/>
          <cell r="S26144">
            <v>-32.04</v>
          </cell>
          <cell r="X26144" t="str">
            <v>Expenses</v>
          </cell>
        </row>
        <row r="26145">
          <cell r="L26145"/>
          <cell r="S26145">
            <v>432.61</v>
          </cell>
          <cell r="X26145" t="str">
            <v>Expenses</v>
          </cell>
        </row>
        <row r="26146">
          <cell r="L26146"/>
          <cell r="S26146">
            <v>-429.46</v>
          </cell>
          <cell r="X26146" t="str">
            <v>Expenses</v>
          </cell>
        </row>
        <row r="26147">
          <cell r="L26147"/>
          <cell r="S26147">
            <v>70.48</v>
          </cell>
          <cell r="X26147" t="str">
            <v>Expenses</v>
          </cell>
        </row>
        <row r="26148">
          <cell r="L26148"/>
          <cell r="S26148">
            <v>-686.53</v>
          </cell>
          <cell r="X26148" t="str">
            <v>Expenses</v>
          </cell>
        </row>
        <row r="26149">
          <cell r="L26149"/>
          <cell r="S26149">
            <v>552.85</v>
          </cell>
          <cell r="X26149" t="str">
            <v>Expenses</v>
          </cell>
        </row>
        <row r="26150">
          <cell r="L26150"/>
          <cell r="S26150">
            <v>7.0000000000000007E-2</v>
          </cell>
          <cell r="X26150" t="str">
            <v>Expenses</v>
          </cell>
        </row>
        <row r="26151">
          <cell r="L26151"/>
          <cell r="S26151">
            <v>2.91</v>
          </cell>
          <cell r="X26151" t="str">
            <v>Expenses</v>
          </cell>
        </row>
        <row r="26152">
          <cell r="L26152"/>
          <cell r="S26152">
            <v>48.25</v>
          </cell>
          <cell r="X26152" t="str">
            <v>Expenses</v>
          </cell>
        </row>
        <row r="26153">
          <cell r="L26153"/>
          <cell r="S26153">
            <v>-807.89</v>
          </cell>
          <cell r="X26153" t="str">
            <v>Expenses</v>
          </cell>
        </row>
        <row r="26154">
          <cell r="L26154"/>
          <cell r="S26154">
            <v>-1024.47</v>
          </cell>
          <cell r="X26154" t="str">
            <v>Expenses</v>
          </cell>
        </row>
        <row r="26155">
          <cell r="L26155"/>
          <cell r="S26155">
            <v>-281.51</v>
          </cell>
          <cell r="X26155" t="str">
            <v>Expenses</v>
          </cell>
        </row>
        <row r="26156">
          <cell r="L26156"/>
          <cell r="S26156">
            <v>-4.76</v>
          </cell>
          <cell r="X26156" t="str">
            <v>Expenses</v>
          </cell>
        </row>
        <row r="26157">
          <cell r="L26157"/>
          <cell r="S26157">
            <v>322.89</v>
          </cell>
          <cell r="X26157" t="str">
            <v>Expenses</v>
          </cell>
        </row>
        <row r="26158">
          <cell r="L26158"/>
          <cell r="S26158">
            <v>5.09</v>
          </cell>
          <cell r="X26158" t="str">
            <v>Expenses</v>
          </cell>
        </row>
        <row r="26159">
          <cell r="L26159"/>
          <cell r="S26159">
            <v>63.45</v>
          </cell>
          <cell r="X26159" t="str">
            <v>Expenses</v>
          </cell>
        </row>
        <row r="26160">
          <cell r="L26160"/>
          <cell r="S26160">
            <v>5.09</v>
          </cell>
          <cell r="X26160" t="str">
            <v>Expenses</v>
          </cell>
        </row>
        <row r="26161">
          <cell r="L26161"/>
          <cell r="S26161">
            <v>-549.22</v>
          </cell>
          <cell r="X26161" t="str">
            <v>Expenses</v>
          </cell>
        </row>
        <row r="26162">
          <cell r="L26162"/>
          <cell r="S26162">
            <v>12.25</v>
          </cell>
          <cell r="X26162" t="str">
            <v>Expenses</v>
          </cell>
        </row>
        <row r="26163">
          <cell r="L26163"/>
          <cell r="S26163">
            <v>-552.86</v>
          </cell>
          <cell r="X26163" t="str">
            <v>Expenses</v>
          </cell>
        </row>
        <row r="26164">
          <cell r="L26164"/>
          <cell r="S26164">
            <v>-7.14</v>
          </cell>
          <cell r="X26164" t="str">
            <v>Expenses</v>
          </cell>
        </row>
        <row r="26165">
          <cell r="L26165"/>
          <cell r="S26165">
            <v>13.47</v>
          </cell>
          <cell r="X26165" t="str">
            <v>Expenses</v>
          </cell>
        </row>
        <row r="26166">
          <cell r="L26166"/>
          <cell r="S26166">
            <v>144.83000000000001</v>
          </cell>
          <cell r="X26166" t="str">
            <v>Expenses</v>
          </cell>
        </row>
        <row r="26167">
          <cell r="L26167"/>
          <cell r="S26167">
            <v>686.53</v>
          </cell>
          <cell r="X26167" t="str">
            <v>Expenses</v>
          </cell>
        </row>
        <row r="26168">
          <cell r="L26168"/>
          <cell r="S26168">
            <v>-4.34</v>
          </cell>
          <cell r="X26168" t="str">
            <v>Expenses</v>
          </cell>
        </row>
        <row r="26169">
          <cell r="L26169"/>
          <cell r="S26169">
            <v>132.81</v>
          </cell>
          <cell r="X26169" t="str">
            <v>Expenses</v>
          </cell>
        </row>
        <row r="26170">
          <cell r="L26170"/>
          <cell r="S26170">
            <v>552.85</v>
          </cell>
          <cell r="X26170" t="str">
            <v>Expenses</v>
          </cell>
        </row>
        <row r="26171">
          <cell r="L26171"/>
          <cell r="S26171">
            <v>53.59</v>
          </cell>
          <cell r="X26171" t="str">
            <v>Expenses</v>
          </cell>
        </row>
        <row r="26172">
          <cell r="L26172"/>
          <cell r="S26172">
            <v>22.13</v>
          </cell>
          <cell r="X26172" t="str">
            <v>Expenses</v>
          </cell>
        </row>
        <row r="26173">
          <cell r="L26173"/>
          <cell r="S26173">
            <v>22.13</v>
          </cell>
          <cell r="X26173" t="str">
            <v>Expenses</v>
          </cell>
        </row>
        <row r="26174">
          <cell r="L26174"/>
          <cell r="S26174">
            <v>2.23</v>
          </cell>
          <cell r="X26174" t="str">
            <v>Expenses</v>
          </cell>
        </row>
        <row r="26175">
          <cell r="L26175"/>
          <cell r="S26175">
            <v>-48.24</v>
          </cell>
          <cell r="X26175" t="str">
            <v>Expenses</v>
          </cell>
        </row>
        <row r="26176">
          <cell r="L26176"/>
          <cell r="S26176">
            <v>-364.99</v>
          </cell>
          <cell r="X26176" t="str">
            <v>Expenses</v>
          </cell>
        </row>
        <row r="26177">
          <cell r="L26177"/>
          <cell r="S26177">
            <v>-54.45</v>
          </cell>
          <cell r="X26177" t="str">
            <v>Expenses</v>
          </cell>
        </row>
        <row r="26178">
          <cell r="L26178"/>
          <cell r="S26178">
            <v>-13.47</v>
          </cell>
          <cell r="X26178" t="str">
            <v>Expenses</v>
          </cell>
        </row>
        <row r="26179">
          <cell r="L26179"/>
          <cell r="S26179">
            <v>99.3</v>
          </cell>
          <cell r="X26179" t="str">
            <v>Expenses</v>
          </cell>
        </row>
        <row r="26180">
          <cell r="L26180"/>
          <cell r="S26180">
            <v>-9.11</v>
          </cell>
          <cell r="X26180" t="str">
            <v>Expenses</v>
          </cell>
        </row>
        <row r="26181">
          <cell r="L26181"/>
          <cell r="S26181">
            <v>1262.18</v>
          </cell>
          <cell r="X26181" t="str">
            <v>Expenses</v>
          </cell>
        </row>
        <row r="26182">
          <cell r="L26182"/>
          <cell r="S26182">
            <v>3.22</v>
          </cell>
          <cell r="X26182" t="str">
            <v>Expenses</v>
          </cell>
        </row>
        <row r="26183">
          <cell r="L26183"/>
          <cell r="S26183">
            <v>-5.31</v>
          </cell>
          <cell r="X26183" t="str">
            <v>Expenses</v>
          </cell>
        </row>
        <row r="26184">
          <cell r="L26184"/>
          <cell r="S26184">
            <v>2.77</v>
          </cell>
          <cell r="X26184" t="str">
            <v>Expenses</v>
          </cell>
        </row>
        <row r="26185">
          <cell r="L26185"/>
          <cell r="S26185">
            <v>10.199999999999999</v>
          </cell>
          <cell r="X26185" t="str">
            <v>Expenses</v>
          </cell>
        </row>
        <row r="26186">
          <cell r="L26186"/>
          <cell r="S26186">
            <v>-69.8</v>
          </cell>
          <cell r="X26186" t="str">
            <v>Expenses</v>
          </cell>
        </row>
        <row r="26187">
          <cell r="L26187"/>
          <cell r="S26187">
            <v>-18.88</v>
          </cell>
          <cell r="X26187" t="str">
            <v>Expenses</v>
          </cell>
        </row>
        <row r="26188">
          <cell r="L26188"/>
          <cell r="S26188">
            <v>19.87</v>
          </cell>
          <cell r="X26188" t="str">
            <v>Expenses</v>
          </cell>
        </row>
        <row r="26189">
          <cell r="L26189"/>
          <cell r="S26189">
            <v>3.59</v>
          </cell>
          <cell r="X26189" t="str">
            <v>Expenses</v>
          </cell>
        </row>
        <row r="26190">
          <cell r="L26190"/>
          <cell r="S26190">
            <v>-22.13</v>
          </cell>
          <cell r="X26190" t="str">
            <v>Expenses</v>
          </cell>
        </row>
        <row r="26191">
          <cell r="L26191"/>
          <cell r="S26191">
            <v>10.199999999999999</v>
          </cell>
          <cell r="X26191" t="str">
            <v>Expenses</v>
          </cell>
        </row>
        <row r="26192">
          <cell r="L26192"/>
          <cell r="S26192">
            <v>2.46</v>
          </cell>
          <cell r="X26192" t="str">
            <v>Expenses</v>
          </cell>
        </row>
        <row r="26193">
          <cell r="L26193"/>
          <cell r="S26193">
            <v>629.26</v>
          </cell>
          <cell r="X26193" t="str">
            <v>Expenses</v>
          </cell>
        </row>
        <row r="26194">
          <cell r="L26194"/>
          <cell r="S26194">
            <v>364.99</v>
          </cell>
          <cell r="X26194" t="str">
            <v>Expenses</v>
          </cell>
        </row>
        <row r="26195">
          <cell r="L26195"/>
          <cell r="S26195">
            <v>133.49</v>
          </cell>
          <cell r="X26195" t="str">
            <v>Expenses</v>
          </cell>
        </row>
        <row r="26196">
          <cell r="L26196"/>
          <cell r="S26196">
            <v>-1484.96</v>
          </cell>
          <cell r="X26196" t="str">
            <v>Expenses</v>
          </cell>
        </row>
        <row r="26197">
          <cell r="L26197"/>
          <cell r="S26197">
            <v>-870.75</v>
          </cell>
          <cell r="X26197" t="str">
            <v>Expenses</v>
          </cell>
        </row>
        <row r="26198">
          <cell r="L26198"/>
          <cell r="S26198">
            <v>552.86</v>
          </cell>
          <cell r="X26198" t="str">
            <v>Expenses</v>
          </cell>
        </row>
        <row r="26199">
          <cell r="L26199"/>
          <cell r="S26199">
            <v>9.98</v>
          </cell>
          <cell r="X26199" t="str">
            <v>Expenses</v>
          </cell>
        </row>
        <row r="26200">
          <cell r="L26200"/>
          <cell r="S26200">
            <v>282.92</v>
          </cell>
          <cell r="X26200" t="str">
            <v>Expenses</v>
          </cell>
        </row>
        <row r="26201">
          <cell r="L26201"/>
          <cell r="S26201">
            <v>9.18</v>
          </cell>
          <cell r="X26201" t="str">
            <v>Expenses</v>
          </cell>
        </row>
        <row r="26202">
          <cell r="L26202"/>
          <cell r="S26202">
            <v>20.64</v>
          </cell>
          <cell r="X26202" t="str">
            <v>Expenses</v>
          </cell>
        </row>
        <row r="26203">
          <cell r="L26203"/>
          <cell r="S26203">
            <v>248.29</v>
          </cell>
          <cell r="X26203" t="str">
            <v>Expenses</v>
          </cell>
        </row>
        <row r="26204">
          <cell r="L26204"/>
          <cell r="S26204">
            <v>-2.46</v>
          </cell>
          <cell r="X26204" t="str">
            <v>Expenses</v>
          </cell>
        </row>
        <row r="26205">
          <cell r="L26205"/>
          <cell r="S26205">
            <v>-5.09</v>
          </cell>
          <cell r="X26205" t="str">
            <v>Expenses</v>
          </cell>
        </row>
        <row r="26206">
          <cell r="L26206"/>
          <cell r="S26206">
            <v>-1741.01</v>
          </cell>
          <cell r="X26206" t="str">
            <v>Expenses</v>
          </cell>
        </row>
        <row r="26207">
          <cell r="L26207"/>
          <cell r="S26207">
            <v>-144.83000000000001</v>
          </cell>
          <cell r="X26207" t="str">
            <v>Expenses</v>
          </cell>
        </row>
        <row r="26208">
          <cell r="L26208"/>
          <cell r="S26208">
            <v>-29.41</v>
          </cell>
          <cell r="X26208" t="str">
            <v>Expenses</v>
          </cell>
        </row>
        <row r="26209">
          <cell r="L26209"/>
          <cell r="S26209">
            <v>31.92</v>
          </cell>
          <cell r="X26209" t="str">
            <v>Expenses</v>
          </cell>
        </row>
        <row r="26210">
          <cell r="L26210"/>
          <cell r="S26210">
            <v>-20.64</v>
          </cell>
          <cell r="X26210" t="str">
            <v>Expenses</v>
          </cell>
        </row>
        <row r="26211">
          <cell r="L26211"/>
          <cell r="S26211">
            <v>12.87</v>
          </cell>
          <cell r="X26211" t="str">
            <v>Expenses</v>
          </cell>
        </row>
        <row r="26212">
          <cell r="L26212"/>
          <cell r="S26212">
            <v>-2.23</v>
          </cell>
          <cell r="X26212" t="str">
            <v>Expenses</v>
          </cell>
        </row>
        <row r="26213">
          <cell r="L26213"/>
          <cell r="S26213">
            <v>-605.53</v>
          </cell>
          <cell r="X26213" t="str">
            <v>Expenses</v>
          </cell>
        </row>
        <row r="26214">
          <cell r="L26214"/>
          <cell r="S26214">
            <v>-629.26</v>
          </cell>
          <cell r="X26214" t="str">
            <v>Expenses</v>
          </cell>
        </row>
        <row r="26215">
          <cell r="L26215"/>
          <cell r="S26215">
            <v>-22.12</v>
          </cell>
          <cell r="X26215" t="str">
            <v>Expenses</v>
          </cell>
        </row>
        <row r="26216">
          <cell r="L26216"/>
          <cell r="S26216">
            <v>-58.39</v>
          </cell>
          <cell r="X26216" t="str">
            <v>Expenses</v>
          </cell>
        </row>
        <row r="26217">
          <cell r="L26217"/>
          <cell r="S26217">
            <v>45.42</v>
          </cell>
          <cell r="X26217" t="str">
            <v>Expenses</v>
          </cell>
        </row>
        <row r="26218">
          <cell r="L26218"/>
          <cell r="S26218">
            <v>-552.86</v>
          </cell>
          <cell r="X26218" t="str">
            <v>Expenses</v>
          </cell>
        </row>
        <row r="26219">
          <cell r="L26219"/>
          <cell r="S26219">
            <v>549.22</v>
          </cell>
          <cell r="X26219" t="str">
            <v>Expenses</v>
          </cell>
        </row>
        <row r="26220">
          <cell r="L26220"/>
          <cell r="S26220">
            <v>-322.89</v>
          </cell>
          <cell r="X26220" t="str">
            <v>Expenses</v>
          </cell>
        </row>
        <row r="26221">
          <cell r="L26221"/>
          <cell r="S26221">
            <v>163.47</v>
          </cell>
          <cell r="X26221" t="str">
            <v>Expenses</v>
          </cell>
        </row>
        <row r="26222">
          <cell r="L26222"/>
          <cell r="S26222">
            <v>69.8</v>
          </cell>
          <cell r="X26222" t="str">
            <v>Expenses</v>
          </cell>
        </row>
        <row r="26223">
          <cell r="L26223"/>
          <cell r="S26223">
            <v>2.2799999999999998</v>
          </cell>
          <cell r="X26223" t="str">
            <v>Expenses</v>
          </cell>
        </row>
        <row r="26224">
          <cell r="L26224"/>
          <cell r="S26224">
            <v>-617.97</v>
          </cell>
          <cell r="X26224" t="str">
            <v>Expenses</v>
          </cell>
        </row>
        <row r="26225">
          <cell r="L26225"/>
          <cell r="S26225">
            <v>11.56</v>
          </cell>
          <cell r="X26225" t="str">
            <v>Expenses</v>
          </cell>
        </row>
        <row r="26226">
          <cell r="L26226"/>
          <cell r="S26226">
            <v>-133.49</v>
          </cell>
          <cell r="X26226" t="str">
            <v>Expenses</v>
          </cell>
        </row>
        <row r="26227">
          <cell r="L26227"/>
          <cell r="S26227">
            <v>-163.47</v>
          </cell>
          <cell r="X26227" t="str">
            <v>Expenses</v>
          </cell>
        </row>
        <row r="26228">
          <cell r="L26228"/>
          <cell r="S26228">
            <v>-432.61</v>
          </cell>
          <cell r="X26228" t="str">
            <v>Expenses</v>
          </cell>
        </row>
        <row r="26229">
          <cell r="L26229"/>
          <cell r="S26229">
            <v>870.75</v>
          </cell>
          <cell r="X26229" t="str">
            <v>Expenses</v>
          </cell>
        </row>
        <row r="26230">
          <cell r="L26230"/>
          <cell r="S26230">
            <v>20.65</v>
          </cell>
          <cell r="X26230" t="str">
            <v>Expenses</v>
          </cell>
        </row>
        <row r="26231">
          <cell r="L26231"/>
          <cell r="S26231">
            <v>852.45</v>
          </cell>
          <cell r="X26231" t="str">
            <v>Expenses</v>
          </cell>
        </row>
        <row r="26232">
          <cell r="L26232"/>
          <cell r="S26232">
            <v>-8.1199999999999992</v>
          </cell>
          <cell r="X26232" t="str">
            <v>Expenses</v>
          </cell>
        </row>
        <row r="26233">
          <cell r="L26233"/>
          <cell r="S26233">
            <v>-299.55</v>
          </cell>
          <cell r="X26233" t="str">
            <v>Expenses</v>
          </cell>
        </row>
        <row r="26234">
          <cell r="L26234"/>
          <cell r="S26234">
            <v>-2.77</v>
          </cell>
          <cell r="X26234" t="str">
            <v>Expenses</v>
          </cell>
        </row>
        <row r="26235">
          <cell r="L26235"/>
          <cell r="S26235">
            <v>-63.45</v>
          </cell>
          <cell r="X26235" t="str">
            <v>Expenses</v>
          </cell>
        </row>
        <row r="26236">
          <cell r="L26236"/>
          <cell r="S26236">
            <v>-31.92</v>
          </cell>
          <cell r="X26236" t="str">
            <v>Expenses</v>
          </cell>
        </row>
        <row r="26237">
          <cell r="L26237"/>
          <cell r="S26237">
            <v>281.51</v>
          </cell>
          <cell r="X26237" t="str">
            <v>Expenses</v>
          </cell>
        </row>
        <row r="26238">
          <cell r="L26238"/>
          <cell r="S26238">
            <v>9.14</v>
          </cell>
          <cell r="X26238" t="str">
            <v>Expenses</v>
          </cell>
        </row>
        <row r="26239">
          <cell r="L26239"/>
          <cell r="S26239">
            <v>-852.45</v>
          </cell>
          <cell r="X26239" t="str">
            <v>Expenses</v>
          </cell>
        </row>
        <row r="26240">
          <cell r="L26240"/>
          <cell r="S26240">
            <v>31.92</v>
          </cell>
          <cell r="X26240" t="str">
            <v>Expenses</v>
          </cell>
        </row>
        <row r="26241">
          <cell r="L26241"/>
          <cell r="S26241">
            <v>14.17</v>
          </cell>
          <cell r="X26241" t="str">
            <v>Expenses</v>
          </cell>
        </row>
        <row r="26242">
          <cell r="L26242"/>
          <cell r="S26242">
            <v>-4.32</v>
          </cell>
          <cell r="X26242" t="str">
            <v>Expenses</v>
          </cell>
        </row>
        <row r="26243">
          <cell r="L26243"/>
          <cell r="S26243">
            <v>3.41</v>
          </cell>
          <cell r="X26243" t="str">
            <v>Expenses</v>
          </cell>
        </row>
        <row r="26244">
          <cell r="L26244"/>
          <cell r="S26244">
            <v>586.82000000000005</v>
          </cell>
          <cell r="X26244" t="str">
            <v>Expenses</v>
          </cell>
        </row>
        <row r="26245">
          <cell r="L26245"/>
          <cell r="S26245">
            <v>-12.65</v>
          </cell>
          <cell r="X26245" t="str">
            <v>Expenses</v>
          </cell>
        </row>
        <row r="26246">
          <cell r="L26246"/>
          <cell r="S26246">
            <v>3.54</v>
          </cell>
          <cell r="X26246" t="str">
            <v>Expenses</v>
          </cell>
        </row>
        <row r="26247">
          <cell r="L26247"/>
          <cell r="S26247">
            <v>0.88</v>
          </cell>
          <cell r="X26247" t="str">
            <v>Expenses</v>
          </cell>
        </row>
        <row r="26248">
          <cell r="L26248"/>
          <cell r="S26248">
            <v>-281.83999999999997</v>
          </cell>
          <cell r="X26248" t="str">
            <v>Expenses</v>
          </cell>
        </row>
        <row r="26249">
          <cell r="L26249"/>
          <cell r="S26249">
            <v>-7.81</v>
          </cell>
          <cell r="X26249" t="str">
            <v>Expenses</v>
          </cell>
        </row>
        <row r="26250">
          <cell r="L26250"/>
          <cell r="S26250">
            <v>3.6</v>
          </cell>
          <cell r="X26250" t="str">
            <v>Expenses</v>
          </cell>
        </row>
        <row r="26251">
          <cell r="L26251"/>
          <cell r="S26251">
            <v>552.29</v>
          </cell>
          <cell r="X26251" t="str">
            <v>Expenses</v>
          </cell>
        </row>
        <row r="26252">
          <cell r="L26252"/>
          <cell r="S26252">
            <v>-6.44</v>
          </cell>
          <cell r="X26252" t="str">
            <v>Expenses</v>
          </cell>
        </row>
        <row r="26253">
          <cell r="L26253"/>
          <cell r="S26253">
            <v>604.9</v>
          </cell>
          <cell r="X26253" t="str">
            <v>Expenses</v>
          </cell>
        </row>
        <row r="26254">
          <cell r="L26254"/>
          <cell r="S26254">
            <v>1.54</v>
          </cell>
          <cell r="X26254" t="str">
            <v>Expenses</v>
          </cell>
        </row>
        <row r="26255">
          <cell r="L26255"/>
          <cell r="S26255">
            <v>0.49</v>
          </cell>
          <cell r="X26255" t="str">
            <v>Expenses</v>
          </cell>
        </row>
        <row r="26256">
          <cell r="L26256"/>
          <cell r="S26256">
            <v>1.9</v>
          </cell>
          <cell r="X26256" t="str">
            <v>Expenses</v>
          </cell>
        </row>
        <row r="26257">
          <cell r="L26257"/>
          <cell r="S26257">
            <v>2.02</v>
          </cell>
          <cell r="X26257" t="str">
            <v>Expenses</v>
          </cell>
        </row>
        <row r="26258">
          <cell r="L26258"/>
          <cell r="S26258">
            <v>9.11</v>
          </cell>
          <cell r="X26258" t="str">
            <v>Expenses</v>
          </cell>
        </row>
        <row r="26259">
          <cell r="L26259"/>
          <cell r="S26259">
            <v>-3.54</v>
          </cell>
          <cell r="X26259" t="str">
            <v>Expenses</v>
          </cell>
        </row>
        <row r="26260">
          <cell r="L26260"/>
          <cell r="S26260">
            <v>-552.28</v>
          </cell>
          <cell r="X26260" t="str">
            <v>Expenses</v>
          </cell>
        </row>
        <row r="26261">
          <cell r="L26261"/>
          <cell r="S26261">
            <v>7.81</v>
          </cell>
          <cell r="X26261" t="str">
            <v>Expenses</v>
          </cell>
        </row>
        <row r="26262">
          <cell r="L26262"/>
          <cell r="S26262">
            <v>-9.11</v>
          </cell>
          <cell r="X26262" t="str">
            <v>Expenses</v>
          </cell>
        </row>
        <row r="26263">
          <cell r="L26263"/>
          <cell r="S26263">
            <v>-642.71</v>
          </cell>
          <cell r="X26263" t="str">
            <v>Expenses</v>
          </cell>
        </row>
        <row r="26264">
          <cell r="L26264"/>
          <cell r="S26264">
            <v>-0.88</v>
          </cell>
          <cell r="X26264" t="str">
            <v>Expenses</v>
          </cell>
        </row>
        <row r="26265">
          <cell r="L26265"/>
          <cell r="S26265">
            <v>6.44</v>
          </cell>
          <cell r="X26265" t="str">
            <v>Expenses</v>
          </cell>
        </row>
        <row r="26266">
          <cell r="L26266"/>
          <cell r="S26266">
            <v>12.65</v>
          </cell>
          <cell r="X26266" t="str">
            <v>Expenses</v>
          </cell>
        </row>
        <row r="26267">
          <cell r="L26267"/>
          <cell r="S26267">
            <v>-3.41</v>
          </cell>
          <cell r="X26267" t="str">
            <v>Expenses</v>
          </cell>
        </row>
        <row r="26268">
          <cell r="L26268"/>
          <cell r="S26268">
            <v>-9.8800000000000008</v>
          </cell>
          <cell r="X26268" t="str">
            <v>Expenses</v>
          </cell>
        </row>
        <row r="26269">
          <cell r="L26269"/>
          <cell r="S26269">
            <v>-642.71</v>
          </cell>
          <cell r="X26269" t="str">
            <v>Expenses</v>
          </cell>
        </row>
        <row r="26270">
          <cell r="L26270"/>
          <cell r="S26270">
            <v>281.83999999999997</v>
          </cell>
          <cell r="X26270" t="str">
            <v>Expenses</v>
          </cell>
        </row>
        <row r="26271">
          <cell r="L26271"/>
          <cell r="S26271">
            <v>-586.82000000000005</v>
          </cell>
          <cell r="X26271" t="str">
            <v>Expenses</v>
          </cell>
        </row>
        <row r="26272">
          <cell r="L26272"/>
          <cell r="S26272">
            <v>1.98</v>
          </cell>
          <cell r="X26272" t="str">
            <v>Expenses</v>
          </cell>
        </row>
        <row r="26273">
          <cell r="L26273"/>
          <cell r="S26273">
            <v>-0.49</v>
          </cell>
          <cell r="X26273" t="str">
            <v>Expenses</v>
          </cell>
        </row>
        <row r="26274">
          <cell r="L26274"/>
          <cell r="S26274">
            <v>7.09</v>
          </cell>
          <cell r="X26274" t="str">
            <v>Expenses</v>
          </cell>
        </row>
        <row r="26275">
          <cell r="L26275"/>
          <cell r="S26275">
            <v>604.9</v>
          </cell>
          <cell r="X26275" t="str">
            <v>Expenses</v>
          </cell>
        </row>
        <row r="26276">
          <cell r="L26276"/>
          <cell r="S26276">
            <v>4.3600000000000003</v>
          </cell>
          <cell r="X26276" t="str">
            <v>Expenses</v>
          </cell>
        </row>
        <row r="26277">
          <cell r="L26277"/>
          <cell r="S26277">
            <v>-113.43</v>
          </cell>
          <cell r="X26277" t="str">
            <v>Expenses</v>
          </cell>
        </row>
        <row r="26278">
          <cell r="L26278"/>
          <cell r="S26278">
            <v>2.1800000000000002</v>
          </cell>
          <cell r="X26278" t="str">
            <v>Expenses</v>
          </cell>
        </row>
        <row r="26279">
          <cell r="L26279"/>
          <cell r="S26279">
            <v>672.11</v>
          </cell>
          <cell r="X26279" t="str">
            <v>Expenses</v>
          </cell>
        </row>
        <row r="26280">
          <cell r="L26280"/>
          <cell r="S26280">
            <v>189.03</v>
          </cell>
          <cell r="X26280" t="str">
            <v>Expenses</v>
          </cell>
        </row>
        <row r="26281">
          <cell r="L26281"/>
          <cell r="S26281">
            <v>6.96</v>
          </cell>
          <cell r="X26281" t="str">
            <v>Expenses</v>
          </cell>
        </row>
        <row r="26282">
          <cell r="L26282"/>
          <cell r="S26282">
            <v>0.49</v>
          </cell>
          <cell r="X26282" t="str">
            <v>Expenses</v>
          </cell>
        </row>
        <row r="26283">
          <cell r="L26283"/>
          <cell r="S26283">
            <v>-672.11</v>
          </cell>
          <cell r="X26283" t="str">
            <v>Expenses</v>
          </cell>
        </row>
        <row r="26284">
          <cell r="L26284"/>
          <cell r="S26284">
            <v>-6.96</v>
          </cell>
          <cell r="X26284" t="str">
            <v>Expenses</v>
          </cell>
        </row>
        <row r="26285">
          <cell r="L26285"/>
          <cell r="S26285">
            <v>9.8800000000000008</v>
          </cell>
          <cell r="X26285" t="str">
            <v>Expenses</v>
          </cell>
        </row>
        <row r="26286">
          <cell r="L26286" t="str">
            <v>Non-proportional</v>
          </cell>
          <cell r="S26286">
            <v>-2.2599999999999998</v>
          </cell>
          <cell r="X26286" t="str">
            <v>Expenses</v>
          </cell>
        </row>
        <row r="26287">
          <cell r="L26287" t="str">
            <v>Non-proportional</v>
          </cell>
          <cell r="S26287">
            <v>87.14</v>
          </cell>
          <cell r="X26287" t="str">
            <v>Expenses</v>
          </cell>
        </row>
        <row r="26288">
          <cell r="L26288" t="str">
            <v>Non-proportional</v>
          </cell>
          <cell r="S26288">
            <v>186.87</v>
          </cell>
          <cell r="X26288" t="str">
            <v>Expenses</v>
          </cell>
        </row>
        <row r="26289">
          <cell r="L26289" t="str">
            <v>Non-proportional</v>
          </cell>
          <cell r="S26289">
            <v>968.93</v>
          </cell>
          <cell r="X26289" t="str">
            <v>Expenses</v>
          </cell>
        </row>
        <row r="26290">
          <cell r="L26290" t="str">
            <v>Non-proportional</v>
          </cell>
          <cell r="S26290">
            <v>-3849.11</v>
          </cell>
          <cell r="X26290" t="str">
            <v>Expenses</v>
          </cell>
        </row>
        <row r="26291">
          <cell r="L26291" t="str">
            <v>Non-proportional</v>
          </cell>
          <cell r="S26291">
            <v>468.99</v>
          </cell>
          <cell r="X26291" t="str">
            <v>Expenses</v>
          </cell>
        </row>
        <row r="26292">
          <cell r="L26292" t="str">
            <v>Non-proportional</v>
          </cell>
          <cell r="S26292">
            <v>35.69</v>
          </cell>
          <cell r="X26292" t="str">
            <v>Expenses</v>
          </cell>
        </row>
        <row r="26293">
          <cell r="L26293" t="str">
            <v>Non-proportional</v>
          </cell>
          <cell r="S26293">
            <v>13.02</v>
          </cell>
          <cell r="X26293" t="str">
            <v>Expenses</v>
          </cell>
        </row>
        <row r="26294">
          <cell r="L26294" t="str">
            <v>Non-proportional</v>
          </cell>
          <cell r="S26294">
            <v>119.61</v>
          </cell>
          <cell r="X26294" t="str">
            <v>Expenses</v>
          </cell>
        </row>
        <row r="26295">
          <cell r="L26295" t="str">
            <v>Non-proportional</v>
          </cell>
          <cell r="S26295">
            <v>337.89</v>
          </cell>
          <cell r="X26295" t="str">
            <v>Expenses</v>
          </cell>
        </row>
        <row r="26296">
          <cell r="L26296" t="str">
            <v>Non-proportional</v>
          </cell>
          <cell r="S26296">
            <v>97.31</v>
          </cell>
          <cell r="X26296" t="str">
            <v>Expenses</v>
          </cell>
        </row>
        <row r="26297">
          <cell r="L26297" t="str">
            <v>Non-proportional</v>
          </cell>
          <cell r="S26297">
            <v>-1.67</v>
          </cell>
          <cell r="X26297" t="str">
            <v>Expenses</v>
          </cell>
        </row>
        <row r="26298">
          <cell r="L26298" t="str">
            <v>Non-proportional</v>
          </cell>
          <cell r="S26298">
            <v>62.82</v>
          </cell>
          <cell r="X26298" t="str">
            <v>Expenses</v>
          </cell>
        </row>
        <row r="26299">
          <cell r="L26299" t="str">
            <v>Non-proportional</v>
          </cell>
          <cell r="S26299">
            <v>212.77</v>
          </cell>
          <cell r="X26299" t="str">
            <v>Expenses</v>
          </cell>
        </row>
        <row r="26300">
          <cell r="L26300" t="str">
            <v>Non-proportional</v>
          </cell>
          <cell r="S26300">
            <v>-660.83</v>
          </cell>
          <cell r="X26300" t="str">
            <v>Expenses</v>
          </cell>
        </row>
        <row r="26301">
          <cell r="L26301" t="str">
            <v>Non-proportional</v>
          </cell>
          <cell r="S26301">
            <v>76.86</v>
          </cell>
          <cell r="X26301" t="str">
            <v>Expenses</v>
          </cell>
        </row>
        <row r="26302">
          <cell r="L26302" t="str">
            <v>Non-proportional</v>
          </cell>
          <cell r="S26302">
            <v>0</v>
          </cell>
          <cell r="X26302" t="str">
            <v>Expenses</v>
          </cell>
        </row>
        <row r="26303">
          <cell r="L26303" t="str">
            <v>Non-proportional</v>
          </cell>
          <cell r="S26303">
            <v>137.63999999999999</v>
          </cell>
          <cell r="X26303" t="str">
            <v>Expenses</v>
          </cell>
        </row>
        <row r="26304">
          <cell r="L26304" t="str">
            <v>Non-proportional</v>
          </cell>
          <cell r="S26304">
            <v>207.48</v>
          </cell>
          <cell r="X26304" t="str">
            <v>Expenses</v>
          </cell>
        </row>
        <row r="26305">
          <cell r="L26305" t="str">
            <v>Non-proportional</v>
          </cell>
          <cell r="S26305">
            <v>135.85</v>
          </cell>
          <cell r="X26305" t="str">
            <v>Expenses</v>
          </cell>
        </row>
        <row r="26306">
          <cell r="L26306" t="str">
            <v>Non-proportional</v>
          </cell>
          <cell r="S26306">
            <v>0</v>
          </cell>
          <cell r="X26306" t="str">
            <v>Expenses</v>
          </cell>
        </row>
        <row r="26307">
          <cell r="L26307" t="str">
            <v>Non-proportional</v>
          </cell>
          <cell r="S26307">
            <v>-1038.54</v>
          </cell>
          <cell r="X26307" t="str">
            <v>Expenses</v>
          </cell>
        </row>
        <row r="26308">
          <cell r="L26308" t="str">
            <v>Non-proportional</v>
          </cell>
          <cell r="S26308">
            <v>168.23</v>
          </cell>
          <cell r="X26308" t="str">
            <v>Expenses</v>
          </cell>
        </row>
        <row r="26309">
          <cell r="L26309" t="str">
            <v>Non-proportional</v>
          </cell>
          <cell r="S26309">
            <v>38.44</v>
          </cell>
          <cell r="X26309" t="str">
            <v>Expenses</v>
          </cell>
        </row>
        <row r="26310">
          <cell r="L26310" t="str">
            <v>Non-proportional</v>
          </cell>
          <cell r="S26310">
            <v>17.079999999999998</v>
          </cell>
          <cell r="X26310" t="str">
            <v>Expenses</v>
          </cell>
        </row>
        <row r="26311">
          <cell r="L26311" t="str">
            <v>Non-proportional</v>
          </cell>
          <cell r="S26311">
            <v>75.56</v>
          </cell>
          <cell r="X26311" t="str">
            <v>Expenses</v>
          </cell>
        </row>
        <row r="26312">
          <cell r="L26312" t="str">
            <v>Non-proportional</v>
          </cell>
          <cell r="S26312">
            <v>112.15</v>
          </cell>
          <cell r="X26312" t="str">
            <v>Expenses</v>
          </cell>
        </row>
        <row r="26313">
          <cell r="L26313" t="str">
            <v>Non-proportional</v>
          </cell>
          <cell r="S26313">
            <v>114.35</v>
          </cell>
          <cell r="X26313" t="str">
            <v>Expenses</v>
          </cell>
        </row>
        <row r="26314">
          <cell r="L26314" t="str">
            <v>Non-proportional</v>
          </cell>
          <cell r="S26314">
            <v>76.16</v>
          </cell>
          <cell r="X26314" t="str">
            <v>Expenses</v>
          </cell>
        </row>
        <row r="26315">
          <cell r="L26315" t="str">
            <v>Non-proportional</v>
          </cell>
          <cell r="S26315">
            <v>49.33</v>
          </cell>
          <cell r="X26315" t="str">
            <v>Expenses</v>
          </cell>
        </row>
        <row r="26316">
          <cell r="L26316" t="str">
            <v>Non-proportional</v>
          </cell>
          <cell r="S26316">
            <v>149.41999999999999</v>
          </cell>
          <cell r="X26316" t="str">
            <v>Expenses</v>
          </cell>
        </row>
        <row r="26317">
          <cell r="L26317" t="str">
            <v>Non-proportional</v>
          </cell>
          <cell r="S26317">
            <v>-1237.3800000000001</v>
          </cell>
          <cell r="X26317" t="str">
            <v>Expenses</v>
          </cell>
        </row>
        <row r="26318">
          <cell r="L26318" t="str">
            <v>Non-proportional</v>
          </cell>
          <cell r="S26318">
            <v>4.3600000000000003</v>
          </cell>
          <cell r="X26318" t="str">
            <v>Expenses</v>
          </cell>
        </row>
        <row r="26319">
          <cell r="L26319" t="str">
            <v>Non-proportional</v>
          </cell>
          <cell r="S26319">
            <v>-1.33</v>
          </cell>
          <cell r="X26319" t="str">
            <v>Expenses</v>
          </cell>
        </row>
        <row r="26320">
          <cell r="L26320" t="str">
            <v>Non-proportional</v>
          </cell>
          <cell r="S26320">
            <v>37.78</v>
          </cell>
          <cell r="X26320" t="str">
            <v>Expenses</v>
          </cell>
        </row>
        <row r="26321">
          <cell r="L26321" t="str">
            <v>Non-proportional</v>
          </cell>
          <cell r="S26321">
            <v>81.760000000000005</v>
          </cell>
          <cell r="X26321" t="str">
            <v>Expenses</v>
          </cell>
        </row>
        <row r="26322">
          <cell r="L26322" t="str">
            <v>Non-proportional</v>
          </cell>
          <cell r="S26322">
            <v>130.29</v>
          </cell>
          <cell r="X26322" t="str">
            <v>Expenses</v>
          </cell>
        </row>
        <row r="26323">
          <cell r="L26323" t="str">
            <v>Non-proportional</v>
          </cell>
          <cell r="S26323">
            <v>185.39</v>
          </cell>
          <cell r="X26323" t="str">
            <v>Expenses</v>
          </cell>
        </row>
        <row r="26324">
          <cell r="L26324" t="str">
            <v>Non-proportional</v>
          </cell>
          <cell r="S26324">
            <v>173.77</v>
          </cell>
          <cell r="X26324" t="str">
            <v>Expenses</v>
          </cell>
        </row>
        <row r="26325">
          <cell r="L26325" t="str">
            <v>Non-proportional</v>
          </cell>
          <cell r="S26325">
            <v>52.6</v>
          </cell>
          <cell r="X26325" t="str">
            <v>Expenses</v>
          </cell>
        </row>
        <row r="26326">
          <cell r="L26326" t="str">
            <v>Non-proportional</v>
          </cell>
          <cell r="S26326">
            <v>173.67</v>
          </cell>
          <cell r="X26326" t="str">
            <v>Expenses</v>
          </cell>
        </row>
        <row r="26327">
          <cell r="L26327" t="str">
            <v>Non-proportional</v>
          </cell>
          <cell r="S26327">
            <v>0</v>
          </cell>
          <cell r="X26327" t="str">
            <v>Expenses</v>
          </cell>
        </row>
        <row r="26328">
          <cell r="L26328" t="str">
            <v>Non-proportional</v>
          </cell>
          <cell r="S26328">
            <v>0</v>
          </cell>
          <cell r="X26328" t="str">
            <v>Expenses</v>
          </cell>
        </row>
        <row r="26329">
          <cell r="L26329" t="str">
            <v>Non-proportional</v>
          </cell>
          <cell r="S26329">
            <v>14.06</v>
          </cell>
          <cell r="X26329" t="str">
            <v>Expenses</v>
          </cell>
        </row>
        <row r="26330">
          <cell r="L26330" t="str">
            <v>Non-proportional</v>
          </cell>
          <cell r="S26330">
            <v>122.25</v>
          </cell>
          <cell r="X26330" t="str">
            <v>Expenses</v>
          </cell>
        </row>
        <row r="26331">
          <cell r="L26331" t="str">
            <v>Non-proportional</v>
          </cell>
          <cell r="S26331">
            <v>150.76</v>
          </cell>
          <cell r="X26331" t="str">
            <v>Expenses</v>
          </cell>
        </row>
        <row r="26332">
          <cell r="L26332" t="str">
            <v>Non-proportional</v>
          </cell>
          <cell r="S26332">
            <v>62.89</v>
          </cell>
          <cell r="X26332" t="str">
            <v>Expenses</v>
          </cell>
        </row>
        <row r="26333">
          <cell r="L26333" t="str">
            <v>Non-proportional</v>
          </cell>
          <cell r="S26333">
            <v>65.89</v>
          </cell>
          <cell r="X26333" t="str">
            <v>Expenses</v>
          </cell>
        </row>
        <row r="26334">
          <cell r="L26334" t="str">
            <v>Non-proportional</v>
          </cell>
          <cell r="S26334">
            <v>0</v>
          </cell>
          <cell r="X26334" t="str">
            <v>Expenses</v>
          </cell>
        </row>
        <row r="26335">
          <cell r="L26335" t="str">
            <v>Non-proportional</v>
          </cell>
          <cell r="S26335">
            <v>0</v>
          </cell>
          <cell r="X26335" t="str">
            <v>Expenses</v>
          </cell>
        </row>
        <row r="26336">
          <cell r="L26336" t="str">
            <v>Non-proportional</v>
          </cell>
          <cell r="S26336">
            <v>40.92</v>
          </cell>
          <cell r="X26336" t="str">
            <v>Expenses</v>
          </cell>
        </row>
        <row r="26337">
          <cell r="L26337" t="str">
            <v>Non-proportional</v>
          </cell>
          <cell r="S26337">
            <v>90.43</v>
          </cell>
          <cell r="X26337" t="str">
            <v>Expenses</v>
          </cell>
        </row>
        <row r="26338">
          <cell r="L26338" t="str">
            <v>Non-proportional</v>
          </cell>
          <cell r="S26338">
            <v>54.54</v>
          </cell>
          <cell r="X26338" t="str">
            <v>Expenses</v>
          </cell>
        </row>
        <row r="26339">
          <cell r="L26339" t="str">
            <v>Non-proportional</v>
          </cell>
          <cell r="S26339">
            <v>-0.3</v>
          </cell>
          <cell r="X26339" t="str">
            <v>Expenses</v>
          </cell>
        </row>
        <row r="26340">
          <cell r="L26340" t="str">
            <v>Non-proportional</v>
          </cell>
          <cell r="S26340">
            <v>86.26</v>
          </cell>
          <cell r="X26340" t="str">
            <v>Expenses</v>
          </cell>
        </row>
        <row r="26341">
          <cell r="L26341" t="str">
            <v>Non-proportional</v>
          </cell>
          <cell r="S26341">
            <v>529.94000000000005</v>
          </cell>
          <cell r="X26341" t="str">
            <v>Expenses</v>
          </cell>
        </row>
        <row r="26342">
          <cell r="L26342" t="str">
            <v>Non-proportional</v>
          </cell>
          <cell r="S26342">
            <v>13.55</v>
          </cell>
          <cell r="X26342" t="str">
            <v>Expenses</v>
          </cell>
        </row>
        <row r="26343">
          <cell r="L26343" t="str">
            <v>Non-proportional</v>
          </cell>
          <cell r="S26343">
            <v>106.93</v>
          </cell>
          <cell r="X26343" t="str">
            <v>Expenses</v>
          </cell>
        </row>
        <row r="26344">
          <cell r="L26344" t="str">
            <v>Non-proportional</v>
          </cell>
          <cell r="S26344">
            <v>151.84</v>
          </cell>
          <cell r="X26344" t="str">
            <v>Expenses</v>
          </cell>
        </row>
        <row r="26345">
          <cell r="L26345" t="str">
            <v>Non-proportional</v>
          </cell>
          <cell r="S26345">
            <v>-17.16</v>
          </cell>
          <cell r="X26345" t="str">
            <v>Expenses</v>
          </cell>
        </row>
        <row r="26346">
          <cell r="L26346" t="str">
            <v>Non-proportional</v>
          </cell>
          <cell r="S26346">
            <v>0.49</v>
          </cell>
          <cell r="X26346" t="str">
            <v>Expenses</v>
          </cell>
        </row>
        <row r="26347">
          <cell r="L26347" t="str">
            <v>Non-proportional</v>
          </cell>
          <cell r="S26347">
            <v>-2.87</v>
          </cell>
          <cell r="X26347" t="str">
            <v>Expenses</v>
          </cell>
        </row>
        <row r="26348">
          <cell r="L26348" t="str">
            <v>Non-proportional</v>
          </cell>
          <cell r="S26348">
            <v>302.81</v>
          </cell>
          <cell r="X26348" t="str">
            <v>Expenses</v>
          </cell>
        </row>
        <row r="26349">
          <cell r="L26349" t="str">
            <v>Non-proportional</v>
          </cell>
          <cell r="S26349">
            <v>687.57</v>
          </cell>
          <cell r="X26349" t="str">
            <v>Expenses</v>
          </cell>
        </row>
        <row r="26350">
          <cell r="L26350" t="str">
            <v>Non-proportional</v>
          </cell>
          <cell r="S26350">
            <v>24.56</v>
          </cell>
          <cell r="X26350" t="str">
            <v>Expenses</v>
          </cell>
        </row>
        <row r="26351">
          <cell r="L26351" t="str">
            <v>Non-proportional</v>
          </cell>
          <cell r="S26351">
            <v>-3.21</v>
          </cell>
          <cell r="X26351" t="str">
            <v>Expenses</v>
          </cell>
        </row>
        <row r="26352">
          <cell r="L26352" t="str">
            <v>Non-proportional</v>
          </cell>
          <cell r="S26352">
            <v>202.83</v>
          </cell>
          <cell r="X26352" t="str">
            <v>Expenses</v>
          </cell>
        </row>
        <row r="26353">
          <cell r="L26353" t="str">
            <v>Non-proportional</v>
          </cell>
          <cell r="S26353">
            <v>-3.88</v>
          </cell>
          <cell r="X26353" t="str">
            <v>Expenses</v>
          </cell>
        </row>
        <row r="26354">
          <cell r="L26354" t="str">
            <v>Non-proportional</v>
          </cell>
          <cell r="S26354">
            <v>2.74</v>
          </cell>
          <cell r="X26354" t="str">
            <v>Expenses</v>
          </cell>
        </row>
        <row r="26355">
          <cell r="L26355" t="str">
            <v>Non-proportional</v>
          </cell>
          <cell r="S26355">
            <v>249.19</v>
          </cell>
          <cell r="X26355" t="str">
            <v>Expenses</v>
          </cell>
        </row>
        <row r="26356">
          <cell r="L26356" t="str">
            <v>Non-proportional</v>
          </cell>
          <cell r="S26356">
            <v>54.83</v>
          </cell>
          <cell r="X26356" t="str">
            <v>Expenses</v>
          </cell>
        </row>
        <row r="26357">
          <cell r="L26357" t="str">
            <v>Non-proportional</v>
          </cell>
          <cell r="S26357">
            <v>261.48</v>
          </cell>
          <cell r="X26357" t="str">
            <v>Expenses</v>
          </cell>
        </row>
        <row r="26358">
          <cell r="L26358" t="str">
            <v>Non-proportional</v>
          </cell>
          <cell r="S26358">
            <v>-1.47</v>
          </cell>
          <cell r="X26358" t="str">
            <v>Expenses</v>
          </cell>
        </row>
        <row r="26359">
          <cell r="L26359" t="str">
            <v>Non-proportional</v>
          </cell>
          <cell r="S26359">
            <v>0</v>
          </cell>
          <cell r="X26359" t="str">
            <v>Expenses</v>
          </cell>
        </row>
        <row r="26360">
          <cell r="L26360" t="str">
            <v>Non-proportional</v>
          </cell>
          <cell r="S26360">
            <v>37.78</v>
          </cell>
          <cell r="X26360" t="str">
            <v>Expenses</v>
          </cell>
        </row>
        <row r="26361">
          <cell r="L26361" t="str">
            <v>Non-proportional</v>
          </cell>
          <cell r="S26361">
            <v>-0.66</v>
          </cell>
          <cell r="X26361" t="str">
            <v>Expenses</v>
          </cell>
        </row>
        <row r="26362">
          <cell r="L26362" t="str">
            <v>Non-proportional</v>
          </cell>
          <cell r="S26362">
            <v>65.95</v>
          </cell>
          <cell r="X26362" t="str">
            <v>Expenses</v>
          </cell>
        </row>
        <row r="26363">
          <cell r="L26363" t="str">
            <v>Non-proportional</v>
          </cell>
          <cell r="S26363">
            <v>36.82</v>
          </cell>
          <cell r="X26363" t="str">
            <v>Expenses</v>
          </cell>
        </row>
        <row r="26364">
          <cell r="L26364" t="str">
            <v>Non-proportional</v>
          </cell>
          <cell r="S26364">
            <v>-1027.78</v>
          </cell>
          <cell r="X26364" t="str">
            <v>Expenses</v>
          </cell>
        </row>
        <row r="26365">
          <cell r="L26365" t="str">
            <v>Non-proportional</v>
          </cell>
          <cell r="S26365">
            <v>-0.77</v>
          </cell>
          <cell r="X26365" t="str">
            <v>Expenses</v>
          </cell>
        </row>
        <row r="26366">
          <cell r="L26366" t="str">
            <v>Non-proportional</v>
          </cell>
          <cell r="S26366">
            <v>-1869.78</v>
          </cell>
          <cell r="X26366" t="str">
            <v>Expenses</v>
          </cell>
        </row>
        <row r="26367">
          <cell r="L26367" t="str">
            <v>Non-proportional</v>
          </cell>
          <cell r="S26367">
            <v>-2.37</v>
          </cell>
          <cell r="X26367" t="str">
            <v>Expenses</v>
          </cell>
        </row>
        <row r="26368">
          <cell r="L26368" t="str">
            <v>Non-proportional</v>
          </cell>
          <cell r="S26368">
            <v>15.14</v>
          </cell>
          <cell r="X26368" t="str">
            <v>Expenses</v>
          </cell>
        </row>
        <row r="26369">
          <cell r="L26369" t="str">
            <v>Non-proportional</v>
          </cell>
          <cell r="S26369">
            <v>198.48</v>
          </cell>
          <cell r="X26369" t="str">
            <v>Expenses</v>
          </cell>
        </row>
        <row r="26370">
          <cell r="L26370" t="str">
            <v>Non-proportional</v>
          </cell>
          <cell r="S26370">
            <v>-0.91</v>
          </cell>
          <cell r="X26370" t="str">
            <v>Expenses</v>
          </cell>
        </row>
        <row r="26371">
          <cell r="L26371" t="str">
            <v>Non-proportional</v>
          </cell>
          <cell r="S26371">
            <v>17.98</v>
          </cell>
          <cell r="X26371" t="str">
            <v>Expenses</v>
          </cell>
        </row>
        <row r="26372">
          <cell r="L26372" t="str">
            <v>Non-proportional</v>
          </cell>
          <cell r="S26372">
            <v>103.81</v>
          </cell>
          <cell r="X26372" t="str">
            <v>Expenses</v>
          </cell>
        </row>
        <row r="26373">
          <cell r="L26373" t="str">
            <v>Non-proportional</v>
          </cell>
          <cell r="S26373">
            <v>0</v>
          </cell>
          <cell r="X26373" t="str">
            <v>Expenses</v>
          </cell>
        </row>
        <row r="26374">
          <cell r="L26374" t="str">
            <v>Non-proportional</v>
          </cell>
          <cell r="S26374">
            <v>18.350000000000001</v>
          </cell>
          <cell r="X26374" t="str">
            <v>Expenses</v>
          </cell>
        </row>
        <row r="26375">
          <cell r="L26375" t="str">
            <v>Non-proportional</v>
          </cell>
          <cell r="S26375">
            <v>100.08</v>
          </cell>
          <cell r="X26375" t="str">
            <v>Expenses</v>
          </cell>
        </row>
        <row r="26376">
          <cell r="L26376" t="str">
            <v>Non-proportional</v>
          </cell>
          <cell r="S26376">
            <v>62.37</v>
          </cell>
          <cell r="X26376" t="str">
            <v>Expenses</v>
          </cell>
        </row>
        <row r="26377">
          <cell r="L26377" t="str">
            <v>Non-proportional</v>
          </cell>
          <cell r="S26377">
            <v>344.87</v>
          </cell>
          <cell r="X26377" t="str">
            <v>Expenses</v>
          </cell>
        </row>
        <row r="26378">
          <cell r="L26378" t="str">
            <v>Non-proportional</v>
          </cell>
          <cell r="S26378">
            <v>0</v>
          </cell>
          <cell r="X26378" t="str">
            <v>Expenses</v>
          </cell>
        </row>
        <row r="26379">
          <cell r="L26379" t="str">
            <v>Non-proportional</v>
          </cell>
          <cell r="S26379">
            <v>9.52</v>
          </cell>
          <cell r="X26379" t="str">
            <v>Expenses</v>
          </cell>
        </row>
        <row r="26380">
          <cell r="L26380" t="str">
            <v>Non-proportional</v>
          </cell>
          <cell r="S26380">
            <v>-4.3499999999999996</v>
          </cell>
          <cell r="X26380" t="str">
            <v>Expenses</v>
          </cell>
        </row>
        <row r="26381">
          <cell r="L26381" t="str">
            <v>Non-proportional</v>
          </cell>
          <cell r="S26381">
            <v>115.52</v>
          </cell>
          <cell r="X26381" t="str">
            <v>Expenses</v>
          </cell>
        </row>
        <row r="26382">
          <cell r="L26382" t="str">
            <v>Non-proportional</v>
          </cell>
          <cell r="S26382">
            <v>55.39</v>
          </cell>
          <cell r="X26382" t="str">
            <v>Expenses</v>
          </cell>
        </row>
        <row r="26383">
          <cell r="L26383" t="str">
            <v>Non-proportional</v>
          </cell>
          <cell r="S26383">
            <v>214.02</v>
          </cell>
          <cell r="X26383" t="str">
            <v>Expenses</v>
          </cell>
        </row>
        <row r="26384">
          <cell r="L26384" t="str">
            <v>Non-proportional</v>
          </cell>
          <cell r="S26384">
            <v>9.0500000000000007</v>
          </cell>
          <cell r="X26384" t="str">
            <v>Expenses</v>
          </cell>
        </row>
        <row r="26385">
          <cell r="L26385" t="str">
            <v>Non-proportional</v>
          </cell>
          <cell r="S26385">
            <v>-3186.89</v>
          </cell>
          <cell r="X26385" t="str">
            <v>Expenses</v>
          </cell>
        </row>
        <row r="26386">
          <cell r="L26386" t="str">
            <v>Non-proportional</v>
          </cell>
          <cell r="S26386">
            <v>84.64</v>
          </cell>
          <cell r="X26386" t="str">
            <v>Expenses</v>
          </cell>
        </row>
        <row r="26387">
          <cell r="L26387" t="str">
            <v>Non-proportional</v>
          </cell>
          <cell r="S26387">
            <v>173.28</v>
          </cell>
          <cell r="X26387" t="str">
            <v>Expenses</v>
          </cell>
        </row>
        <row r="26388">
          <cell r="L26388" t="str">
            <v>Non-proportional</v>
          </cell>
          <cell r="S26388">
            <v>45.42</v>
          </cell>
          <cell r="X26388" t="str">
            <v>Expenses</v>
          </cell>
        </row>
        <row r="26389">
          <cell r="L26389" t="str">
            <v>Non-proportional</v>
          </cell>
          <cell r="S26389">
            <v>0</v>
          </cell>
          <cell r="X26389" t="str">
            <v>Expenses</v>
          </cell>
        </row>
        <row r="26390">
          <cell r="L26390" t="str">
            <v>Non-proportional</v>
          </cell>
          <cell r="S26390">
            <v>538.36</v>
          </cell>
          <cell r="X26390" t="str">
            <v>Expenses</v>
          </cell>
        </row>
        <row r="26391">
          <cell r="L26391" t="str">
            <v>Non-proportional</v>
          </cell>
          <cell r="S26391">
            <v>41.27</v>
          </cell>
          <cell r="X26391" t="str">
            <v>Expenses</v>
          </cell>
        </row>
        <row r="26392">
          <cell r="L26392" t="str">
            <v>Non-proportional</v>
          </cell>
          <cell r="S26392">
            <v>171.63</v>
          </cell>
          <cell r="X26392" t="str">
            <v>Expenses</v>
          </cell>
        </row>
        <row r="26393">
          <cell r="L26393" t="str">
            <v>Non-proportional</v>
          </cell>
          <cell r="S26393">
            <v>338.28</v>
          </cell>
          <cell r="X26393" t="str">
            <v>Expenses</v>
          </cell>
        </row>
        <row r="26394">
          <cell r="L26394" t="str">
            <v>Non-proportional</v>
          </cell>
          <cell r="S26394">
            <v>30.13</v>
          </cell>
          <cell r="X26394" t="str">
            <v>Expenses</v>
          </cell>
        </row>
        <row r="26395">
          <cell r="L26395" t="str">
            <v>Non-proportional</v>
          </cell>
          <cell r="S26395">
            <v>-2943.91</v>
          </cell>
          <cell r="X26395" t="str">
            <v>Expenses</v>
          </cell>
        </row>
        <row r="26396">
          <cell r="L26396" t="str">
            <v>Non-proportional</v>
          </cell>
          <cell r="S26396">
            <v>-1.75</v>
          </cell>
          <cell r="X26396" t="str">
            <v>Expenses</v>
          </cell>
        </row>
        <row r="26397">
          <cell r="L26397" t="str">
            <v>Non-proportional</v>
          </cell>
          <cell r="S26397">
            <v>-0.24</v>
          </cell>
          <cell r="X26397" t="str">
            <v>Expenses</v>
          </cell>
        </row>
        <row r="26398">
          <cell r="L26398" t="str">
            <v>Non-proportional</v>
          </cell>
          <cell r="S26398">
            <v>201.89</v>
          </cell>
          <cell r="X26398" t="str">
            <v>Expenses</v>
          </cell>
        </row>
        <row r="26399">
          <cell r="L26399" t="str">
            <v>Non-proportional</v>
          </cell>
          <cell r="S26399">
            <v>43.24</v>
          </cell>
          <cell r="X26399" t="str">
            <v>Expenses</v>
          </cell>
        </row>
        <row r="26400">
          <cell r="L26400" t="str">
            <v>Non-proportional</v>
          </cell>
          <cell r="S26400">
            <v>0</v>
          </cell>
          <cell r="X26400" t="str">
            <v>Expenses</v>
          </cell>
        </row>
        <row r="26401">
          <cell r="L26401" t="str">
            <v>Non-proportional</v>
          </cell>
          <cell r="S26401">
            <v>62</v>
          </cell>
          <cell r="X26401" t="str">
            <v>Expenses</v>
          </cell>
        </row>
        <row r="26402">
          <cell r="L26402" t="str">
            <v>Non-proportional</v>
          </cell>
          <cell r="S26402">
            <v>43.31</v>
          </cell>
          <cell r="X26402" t="str">
            <v>Expenses</v>
          </cell>
        </row>
        <row r="26403">
          <cell r="L26403" t="str">
            <v>Non-proportional</v>
          </cell>
          <cell r="S26403">
            <v>-13.25</v>
          </cell>
          <cell r="X26403" t="str">
            <v>Expenses</v>
          </cell>
        </row>
        <row r="26404">
          <cell r="L26404" t="str">
            <v>Non-proportional</v>
          </cell>
          <cell r="S26404">
            <v>259.07</v>
          </cell>
          <cell r="X26404" t="str">
            <v>Expenses</v>
          </cell>
        </row>
        <row r="26405">
          <cell r="L26405" t="str">
            <v>Non-proportional</v>
          </cell>
          <cell r="S26405">
            <v>35.69</v>
          </cell>
          <cell r="X26405" t="str">
            <v>Expenses</v>
          </cell>
        </row>
        <row r="26406">
          <cell r="L26406" t="str">
            <v>Non-proportional</v>
          </cell>
          <cell r="S26406">
            <v>-2.92</v>
          </cell>
          <cell r="X26406" t="str">
            <v>Expenses</v>
          </cell>
        </row>
        <row r="26407">
          <cell r="L26407" t="str">
            <v>Non-proportional</v>
          </cell>
          <cell r="S26407">
            <v>-3.93</v>
          </cell>
          <cell r="X26407" t="str">
            <v>Expenses</v>
          </cell>
        </row>
        <row r="26408">
          <cell r="L26408" t="str">
            <v>Non-proportional</v>
          </cell>
          <cell r="S26408">
            <v>56.05</v>
          </cell>
          <cell r="X26408" t="str">
            <v>Expenses</v>
          </cell>
        </row>
        <row r="26409">
          <cell r="L26409" t="str">
            <v>Non-proportional</v>
          </cell>
          <cell r="S26409">
            <v>0</v>
          </cell>
          <cell r="X26409" t="str">
            <v>Expenses</v>
          </cell>
        </row>
        <row r="26410">
          <cell r="L26410" t="str">
            <v>Non-proportional</v>
          </cell>
          <cell r="S26410">
            <v>474.68</v>
          </cell>
          <cell r="X26410" t="str">
            <v>Expenses</v>
          </cell>
        </row>
        <row r="26411">
          <cell r="L26411" t="str">
            <v>Non-proportional</v>
          </cell>
          <cell r="S26411">
            <v>-2103.33</v>
          </cell>
          <cell r="X26411" t="str">
            <v>Expenses</v>
          </cell>
        </row>
        <row r="26412">
          <cell r="L26412" t="str">
            <v>Non-proportional</v>
          </cell>
          <cell r="S26412">
            <v>271.98</v>
          </cell>
          <cell r="X26412" t="str">
            <v>Expenses</v>
          </cell>
        </row>
        <row r="26413">
          <cell r="L26413" t="str">
            <v>Non-proportional</v>
          </cell>
          <cell r="S26413">
            <v>0</v>
          </cell>
          <cell r="X26413" t="str">
            <v>Expenses</v>
          </cell>
        </row>
        <row r="26414">
          <cell r="L26414" t="str">
            <v>Non-proportional</v>
          </cell>
          <cell r="S26414">
            <v>0</v>
          </cell>
          <cell r="X26414" t="str">
            <v>Expenses</v>
          </cell>
        </row>
        <row r="26415">
          <cell r="L26415" t="str">
            <v>Non-proportional</v>
          </cell>
          <cell r="S26415">
            <v>5.99</v>
          </cell>
          <cell r="X26415" t="str">
            <v>Expenses</v>
          </cell>
        </row>
        <row r="26416">
          <cell r="L26416" t="str">
            <v>Non-proportional</v>
          </cell>
          <cell r="S26416">
            <v>278.68</v>
          </cell>
          <cell r="X26416" t="str">
            <v>Expenses</v>
          </cell>
        </row>
        <row r="26417">
          <cell r="L26417" t="str">
            <v>Non-proportional</v>
          </cell>
          <cell r="S26417">
            <v>-0.23</v>
          </cell>
          <cell r="X26417" t="str">
            <v>Expenses</v>
          </cell>
        </row>
        <row r="26418">
          <cell r="L26418" t="str">
            <v>Non-proportional</v>
          </cell>
          <cell r="S26418">
            <v>-648.28</v>
          </cell>
          <cell r="X26418" t="str">
            <v>Expenses</v>
          </cell>
        </row>
        <row r="26419">
          <cell r="L26419" t="str">
            <v>Non-proportional</v>
          </cell>
          <cell r="S26419">
            <v>-4.1900000000000004</v>
          </cell>
          <cell r="X26419" t="str">
            <v>Expenses</v>
          </cell>
        </row>
        <row r="26420">
          <cell r="L26420" t="str">
            <v>Non-proportional</v>
          </cell>
          <cell r="S26420">
            <v>27.56</v>
          </cell>
          <cell r="X26420" t="str">
            <v>Expenses</v>
          </cell>
        </row>
        <row r="26421">
          <cell r="L26421" t="str">
            <v>Non-proportional</v>
          </cell>
          <cell r="S26421">
            <v>190.3</v>
          </cell>
          <cell r="X26421" t="str">
            <v>Expenses</v>
          </cell>
        </row>
        <row r="26422">
          <cell r="L26422" t="str">
            <v>Non-proportional</v>
          </cell>
          <cell r="S26422">
            <v>-2.4500000000000002</v>
          </cell>
          <cell r="X26422" t="str">
            <v>Expenses</v>
          </cell>
        </row>
        <row r="26423">
          <cell r="L26423" t="str">
            <v>Non-proportional</v>
          </cell>
          <cell r="S26423">
            <v>55.39</v>
          </cell>
          <cell r="X26423" t="str">
            <v>Expenses</v>
          </cell>
        </row>
        <row r="26424">
          <cell r="L26424" t="str">
            <v>Non-proportional</v>
          </cell>
          <cell r="S26424">
            <v>140.15</v>
          </cell>
          <cell r="X26424" t="str">
            <v>Expenses</v>
          </cell>
        </row>
        <row r="26425">
          <cell r="L26425" t="str">
            <v>Non-proportional</v>
          </cell>
          <cell r="S26425">
            <v>-1036.81</v>
          </cell>
          <cell r="X26425" t="str">
            <v>Expenses</v>
          </cell>
        </row>
        <row r="26426">
          <cell r="L26426" t="str">
            <v>Non-proportional</v>
          </cell>
          <cell r="S26426">
            <v>0</v>
          </cell>
          <cell r="X26426" t="str">
            <v>Expenses</v>
          </cell>
        </row>
        <row r="26427">
          <cell r="L26427" t="str">
            <v>Non-proportional</v>
          </cell>
          <cell r="S26427">
            <v>-3.93</v>
          </cell>
          <cell r="X26427" t="str">
            <v>Expenses</v>
          </cell>
        </row>
        <row r="26428">
          <cell r="L26428" t="str">
            <v>Non-proportional</v>
          </cell>
          <cell r="S26428">
            <v>-753.59</v>
          </cell>
          <cell r="X26428" t="str">
            <v>Expenses</v>
          </cell>
        </row>
        <row r="26429">
          <cell r="L26429" t="str">
            <v>Non-proportional</v>
          </cell>
          <cell r="S26429">
            <v>-0.81</v>
          </cell>
          <cell r="X26429" t="str">
            <v>Expenses</v>
          </cell>
        </row>
        <row r="26430">
          <cell r="L26430" t="str">
            <v>Non-proportional</v>
          </cell>
          <cell r="S26430">
            <v>0</v>
          </cell>
          <cell r="X26430" t="str">
            <v>Expenses</v>
          </cell>
        </row>
        <row r="26431">
          <cell r="L26431" t="str">
            <v>Non-proportional</v>
          </cell>
          <cell r="S26431">
            <v>0</v>
          </cell>
          <cell r="X26431" t="str">
            <v>Expenses</v>
          </cell>
        </row>
        <row r="26432">
          <cell r="L26432" t="str">
            <v>Non-proportional</v>
          </cell>
          <cell r="S26432">
            <v>-7594.56</v>
          </cell>
          <cell r="X26432" t="str">
            <v>Expenses</v>
          </cell>
        </row>
        <row r="26433">
          <cell r="L26433" t="str">
            <v>Non-proportional</v>
          </cell>
          <cell r="S26433">
            <v>-0.74</v>
          </cell>
          <cell r="X26433" t="str">
            <v>Expenses</v>
          </cell>
        </row>
        <row r="26434">
          <cell r="L26434" t="str">
            <v>Non-proportional</v>
          </cell>
          <cell r="S26434">
            <v>715.52</v>
          </cell>
          <cell r="X26434" t="str">
            <v>Expenses</v>
          </cell>
        </row>
        <row r="26435">
          <cell r="L26435" t="str">
            <v>Non-proportional</v>
          </cell>
          <cell r="S26435">
            <v>128.27000000000001</v>
          </cell>
          <cell r="X26435" t="str">
            <v>Expenses</v>
          </cell>
        </row>
        <row r="26436">
          <cell r="L26436" t="str">
            <v>Non-proportional</v>
          </cell>
          <cell r="S26436">
            <v>212.77</v>
          </cell>
          <cell r="X26436" t="str">
            <v>Expenses</v>
          </cell>
        </row>
        <row r="26437">
          <cell r="L26437" t="str">
            <v>Non-proportional</v>
          </cell>
          <cell r="S26437">
            <v>-3.2</v>
          </cell>
          <cell r="X26437" t="str">
            <v>Expenses</v>
          </cell>
        </row>
        <row r="26438">
          <cell r="L26438" t="str">
            <v>Non-proportional</v>
          </cell>
          <cell r="S26438">
            <v>221.43</v>
          </cell>
          <cell r="X26438" t="str">
            <v>Expenses</v>
          </cell>
        </row>
        <row r="26439">
          <cell r="L26439" t="str">
            <v>Non-proportional</v>
          </cell>
          <cell r="S26439">
            <v>12.31</v>
          </cell>
          <cell r="X26439" t="str">
            <v>Expenses</v>
          </cell>
        </row>
        <row r="26440">
          <cell r="L26440" t="str">
            <v>Non-proportional</v>
          </cell>
          <cell r="S26440">
            <v>-1.03</v>
          </cell>
          <cell r="X26440" t="str">
            <v>Expenses</v>
          </cell>
        </row>
        <row r="26441">
          <cell r="L26441" t="str">
            <v>Non-proportional</v>
          </cell>
          <cell r="S26441">
            <v>-469.86</v>
          </cell>
          <cell r="X26441" t="str">
            <v>Expenses</v>
          </cell>
        </row>
        <row r="26442">
          <cell r="L26442" t="str">
            <v>Non-proportional</v>
          </cell>
          <cell r="S26442">
            <v>0</v>
          </cell>
          <cell r="X26442" t="str">
            <v>Expenses</v>
          </cell>
        </row>
        <row r="26443">
          <cell r="L26443" t="str">
            <v>Non-proportional</v>
          </cell>
          <cell r="S26443">
            <v>71.78</v>
          </cell>
          <cell r="X26443" t="str">
            <v>Expenses</v>
          </cell>
        </row>
        <row r="26444">
          <cell r="L26444" t="str">
            <v>Non-proportional</v>
          </cell>
          <cell r="S26444">
            <v>491.03</v>
          </cell>
          <cell r="X26444" t="str">
            <v>Expenses</v>
          </cell>
        </row>
        <row r="26445">
          <cell r="L26445" t="str">
            <v>Non-proportional</v>
          </cell>
          <cell r="S26445">
            <v>269.17</v>
          </cell>
          <cell r="X26445" t="str">
            <v>Expenses</v>
          </cell>
        </row>
        <row r="26446">
          <cell r="L26446" t="str">
            <v>Non-proportional</v>
          </cell>
          <cell r="S26446">
            <v>261.02999999999997</v>
          </cell>
          <cell r="X26446" t="str">
            <v>Expenses</v>
          </cell>
        </row>
        <row r="26447">
          <cell r="L26447" t="str">
            <v>Non-proportional</v>
          </cell>
          <cell r="S26447">
            <v>364.49</v>
          </cell>
          <cell r="X26447" t="str">
            <v>Expenses</v>
          </cell>
        </row>
        <row r="26448">
          <cell r="L26448" t="str">
            <v>Non-proportional</v>
          </cell>
          <cell r="S26448">
            <v>-3.66</v>
          </cell>
          <cell r="X26448" t="str">
            <v>Expenses</v>
          </cell>
        </row>
        <row r="26449">
          <cell r="L26449" t="str">
            <v>Non-proportional</v>
          </cell>
          <cell r="S26449">
            <v>-2.37</v>
          </cell>
          <cell r="X26449" t="str">
            <v>Expenses</v>
          </cell>
        </row>
        <row r="26450">
          <cell r="L26450" t="str">
            <v>Non-proportional</v>
          </cell>
          <cell r="S26450">
            <v>226.16</v>
          </cell>
          <cell r="X26450" t="str">
            <v>Expenses</v>
          </cell>
        </row>
        <row r="26451">
          <cell r="L26451" t="str">
            <v>Non-proportional</v>
          </cell>
          <cell r="S26451">
            <v>46.03</v>
          </cell>
          <cell r="X26451" t="str">
            <v>Expenses</v>
          </cell>
        </row>
        <row r="26452">
          <cell r="L26452" t="str">
            <v>Non-proportional</v>
          </cell>
          <cell r="S26452">
            <v>-892.12</v>
          </cell>
          <cell r="X26452" t="str">
            <v>Expenses</v>
          </cell>
        </row>
        <row r="26453">
          <cell r="L26453" t="str">
            <v>Non-proportional</v>
          </cell>
          <cell r="S26453">
            <v>50.47</v>
          </cell>
          <cell r="X26453" t="str">
            <v>Expenses</v>
          </cell>
        </row>
        <row r="26454">
          <cell r="L26454" t="str">
            <v>Non-proportional</v>
          </cell>
          <cell r="S26454">
            <v>392.88</v>
          </cell>
          <cell r="X26454" t="str">
            <v>Expenses</v>
          </cell>
        </row>
        <row r="26455">
          <cell r="L26455" t="str">
            <v>Non-proportional</v>
          </cell>
          <cell r="S26455">
            <v>-2111.02</v>
          </cell>
          <cell r="X26455" t="str">
            <v>Expenses</v>
          </cell>
        </row>
        <row r="26456">
          <cell r="L26456" t="str">
            <v>Non-proportional</v>
          </cell>
          <cell r="S26456">
            <v>-2053.7199999999998</v>
          </cell>
          <cell r="X26456" t="str">
            <v>Expenses</v>
          </cell>
        </row>
        <row r="26457">
          <cell r="L26457" t="str">
            <v>Non-proportional</v>
          </cell>
          <cell r="S26457">
            <v>269.52</v>
          </cell>
          <cell r="X26457" t="str">
            <v>Expenses</v>
          </cell>
        </row>
        <row r="26458">
          <cell r="L26458" t="str">
            <v>Non-proportional</v>
          </cell>
          <cell r="S26458">
            <v>44.21</v>
          </cell>
          <cell r="X26458" t="str">
            <v>Expenses</v>
          </cell>
        </row>
        <row r="26459">
          <cell r="L26459" t="str">
            <v>Non-proportional</v>
          </cell>
          <cell r="S26459">
            <v>22</v>
          </cell>
          <cell r="X26459" t="str">
            <v>Expenses</v>
          </cell>
        </row>
        <row r="26460">
          <cell r="L26460" t="str">
            <v>Non-proportional</v>
          </cell>
          <cell r="S26460">
            <v>35.950000000000003</v>
          </cell>
          <cell r="X26460" t="str">
            <v>Expenses</v>
          </cell>
        </row>
        <row r="26461">
          <cell r="L26461" t="str">
            <v>Non-proportional</v>
          </cell>
          <cell r="S26461">
            <v>0</v>
          </cell>
          <cell r="X26461" t="str">
            <v>Expenses</v>
          </cell>
        </row>
        <row r="26462">
          <cell r="L26462" t="str">
            <v>Proportional</v>
          </cell>
          <cell r="S26462">
            <v>2418.6</v>
          </cell>
          <cell r="X26462" t="str">
            <v>Expenses</v>
          </cell>
        </row>
        <row r="26463">
          <cell r="L26463" t="str">
            <v>Non-proportional</v>
          </cell>
          <cell r="S26463">
            <v>16.420000000000002</v>
          </cell>
          <cell r="X26463" t="str">
            <v>Expenses</v>
          </cell>
        </row>
        <row r="26464">
          <cell r="L26464" t="str">
            <v>Non-proportional</v>
          </cell>
          <cell r="S26464">
            <v>90.49</v>
          </cell>
          <cell r="X26464" t="str">
            <v>Expenses</v>
          </cell>
        </row>
        <row r="26465">
          <cell r="L26465" t="str">
            <v>Non-proportional</v>
          </cell>
          <cell r="S26465">
            <v>2.62</v>
          </cell>
          <cell r="X26465" t="str">
            <v>Expenses</v>
          </cell>
        </row>
        <row r="26466">
          <cell r="L26466" t="str">
            <v>Non-proportional</v>
          </cell>
          <cell r="S26466">
            <v>-0.86</v>
          </cell>
          <cell r="X26466" t="str">
            <v>Expenses</v>
          </cell>
        </row>
        <row r="26467">
          <cell r="L26467" t="str">
            <v>Non-proportional</v>
          </cell>
          <cell r="S26467">
            <v>-0.21</v>
          </cell>
          <cell r="X26467" t="str">
            <v>Expenses</v>
          </cell>
        </row>
        <row r="26468">
          <cell r="L26468" t="str">
            <v>Non-proportional</v>
          </cell>
          <cell r="S26468">
            <v>91.57</v>
          </cell>
          <cell r="X26468" t="str">
            <v>Expenses</v>
          </cell>
        </row>
        <row r="26469">
          <cell r="L26469" t="str">
            <v>Non-proportional</v>
          </cell>
          <cell r="S26469">
            <v>-3.05</v>
          </cell>
          <cell r="X26469" t="str">
            <v>Expenses</v>
          </cell>
        </row>
        <row r="26470">
          <cell r="L26470" t="str">
            <v>Non-proportional</v>
          </cell>
          <cell r="S26470">
            <v>-287.23</v>
          </cell>
          <cell r="X26470" t="str">
            <v>Expenses</v>
          </cell>
        </row>
        <row r="26471">
          <cell r="L26471" t="str">
            <v>Non-proportional</v>
          </cell>
          <cell r="S26471">
            <v>-2459.36</v>
          </cell>
          <cell r="X26471" t="str">
            <v>Expenses</v>
          </cell>
        </row>
        <row r="26472">
          <cell r="L26472" t="str">
            <v>Non-proportional</v>
          </cell>
          <cell r="S26472">
            <v>269.16000000000003</v>
          </cell>
          <cell r="X26472" t="str">
            <v>Expenses</v>
          </cell>
        </row>
        <row r="26473">
          <cell r="L26473" t="str">
            <v>Non-proportional</v>
          </cell>
          <cell r="S26473">
            <v>85.25</v>
          </cell>
          <cell r="X26473" t="str">
            <v>Expenses</v>
          </cell>
        </row>
        <row r="26474">
          <cell r="L26474" t="str">
            <v>Non-proportional</v>
          </cell>
          <cell r="S26474">
            <v>10.6</v>
          </cell>
          <cell r="X26474" t="str">
            <v>Expenses</v>
          </cell>
        </row>
        <row r="26475">
          <cell r="L26475" t="str">
            <v>Non-proportional</v>
          </cell>
          <cell r="S26475">
            <v>206.07</v>
          </cell>
          <cell r="X26475" t="str">
            <v>Expenses</v>
          </cell>
        </row>
        <row r="26476">
          <cell r="L26476" t="str">
            <v>Non-proportional</v>
          </cell>
          <cell r="S26476">
            <v>13.61</v>
          </cell>
          <cell r="X26476" t="str">
            <v>Expenses</v>
          </cell>
        </row>
        <row r="26477">
          <cell r="L26477" t="str">
            <v>Non-proportional</v>
          </cell>
          <cell r="S26477">
            <v>-729.19</v>
          </cell>
          <cell r="X26477" t="str">
            <v>Expenses</v>
          </cell>
        </row>
        <row r="26478">
          <cell r="L26478" t="str">
            <v>Non-proportional</v>
          </cell>
          <cell r="S26478">
            <v>0</v>
          </cell>
          <cell r="X26478" t="str">
            <v>Expenses</v>
          </cell>
        </row>
        <row r="26479">
          <cell r="L26479" t="str">
            <v>Non-proportional</v>
          </cell>
          <cell r="S26479">
            <v>42.58</v>
          </cell>
          <cell r="X26479" t="str">
            <v>Expenses</v>
          </cell>
        </row>
        <row r="26480">
          <cell r="L26480" t="str">
            <v>Non-proportional</v>
          </cell>
          <cell r="S26480">
            <v>-5757.55</v>
          </cell>
          <cell r="X26480" t="str">
            <v>Expenses</v>
          </cell>
        </row>
        <row r="26481">
          <cell r="L26481" t="str">
            <v>Non-proportional</v>
          </cell>
          <cell r="S26481">
            <v>-3.17</v>
          </cell>
          <cell r="X26481" t="str">
            <v>Expenses</v>
          </cell>
        </row>
        <row r="26482">
          <cell r="L26482" t="str">
            <v>Non-proportional</v>
          </cell>
          <cell r="S26482">
            <v>426.21</v>
          </cell>
          <cell r="X26482" t="str">
            <v>Expenses</v>
          </cell>
        </row>
        <row r="26483">
          <cell r="L26483" t="str">
            <v>Non-proportional</v>
          </cell>
          <cell r="S26483">
            <v>-444.72</v>
          </cell>
          <cell r="X26483" t="str">
            <v>Expenses</v>
          </cell>
        </row>
        <row r="26484">
          <cell r="L26484" t="str">
            <v>Non-proportional</v>
          </cell>
          <cell r="S26484">
            <v>57.32</v>
          </cell>
          <cell r="X26484" t="str">
            <v>Expenses</v>
          </cell>
        </row>
        <row r="26485">
          <cell r="L26485" t="str">
            <v>Non-proportional</v>
          </cell>
          <cell r="S26485">
            <v>37.96</v>
          </cell>
          <cell r="X26485" t="str">
            <v>Expenses</v>
          </cell>
        </row>
        <row r="26486">
          <cell r="L26486" t="str">
            <v>Non-proportional</v>
          </cell>
          <cell r="S26486">
            <v>71.91</v>
          </cell>
          <cell r="X26486" t="str">
            <v>Expenses</v>
          </cell>
        </row>
        <row r="26487">
          <cell r="L26487" t="str">
            <v>Non-proportional</v>
          </cell>
          <cell r="S26487">
            <v>144.03</v>
          </cell>
          <cell r="X26487" t="str">
            <v>Expenses</v>
          </cell>
        </row>
        <row r="26488">
          <cell r="L26488" t="str">
            <v>Non-proportional</v>
          </cell>
          <cell r="S26488">
            <v>115.34</v>
          </cell>
          <cell r="X26488" t="str">
            <v>Expenses</v>
          </cell>
        </row>
        <row r="26489">
          <cell r="L26489" t="str">
            <v>Non-proportional</v>
          </cell>
          <cell r="S26489">
            <v>118.39</v>
          </cell>
          <cell r="X26489" t="str">
            <v>Expenses</v>
          </cell>
        </row>
        <row r="26490">
          <cell r="L26490" t="str">
            <v>Non-proportional</v>
          </cell>
          <cell r="S26490">
            <v>35.299999999999997</v>
          </cell>
          <cell r="X26490" t="str">
            <v>Expenses</v>
          </cell>
        </row>
        <row r="26491">
          <cell r="L26491" t="str">
            <v>Non-proportional</v>
          </cell>
          <cell r="S26491">
            <v>-0.85</v>
          </cell>
          <cell r="X26491" t="str">
            <v>Expenses</v>
          </cell>
        </row>
        <row r="26492">
          <cell r="L26492" t="str">
            <v>Non-proportional</v>
          </cell>
          <cell r="S26492">
            <v>0</v>
          </cell>
          <cell r="X26492" t="str">
            <v>Expenses</v>
          </cell>
        </row>
        <row r="26493">
          <cell r="L26493" t="str">
            <v>Non-proportional</v>
          </cell>
          <cell r="S26493">
            <v>69.89</v>
          </cell>
          <cell r="X26493" t="str">
            <v>Expenses</v>
          </cell>
        </row>
        <row r="26494">
          <cell r="L26494" t="str">
            <v>Non-proportional</v>
          </cell>
          <cell r="S26494">
            <v>19.97</v>
          </cell>
          <cell r="X26494" t="str">
            <v>Expenses</v>
          </cell>
        </row>
        <row r="26495">
          <cell r="L26495" t="str">
            <v>Non-proportional</v>
          </cell>
          <cell r="S26495">
            <v>125.61</v>
          </cell>
          <cell r="X26495" t="str">
            <v>Expenses</v>
          </cell>
        </row>
        <row r="26496">
          <cell r="L26496" t="str">
            <v>Non-proportional</v>
          </cell>
          <cell r="S26496">
            <v>27.68</v>
          </cell>
          <cell r="X26496" t="str">
            <v>Expenses</v>
          </cell>
        </row>
        <row r="26497">
          <cell r="L26497" t="str">
            <v>Non-proportional</v>
          </cell>
          <cell r="S26497">
            <v>101.39</v>
          </cell>
          <cell r="X26497" t="str">
            <v>Expenses</v>
          </cell>
        </row>
        <row r="26498">
          <cell r="L26498" t="str">
            <v>Non-proportional</v>
          </cell>
          <cell r="S26498">
            <v>128.27000000000001</v>
          </cell>
          <cell r="X26498" t="str">
            <v>Expenses</v>
          </cell>
        </row>
        <row r="26499">
          <cell r="L26499" t="str">
            <v>Non-proportional</v>
          </cell>
          <cell r="S26499">
            <v>186.94</v>
          </cell>
          <cell r="X26499" t="str">
            <v>Expenses</v>
          </cell>
        </row>
        <row r="26500">
          <cell r="L26500" t="str">
            <v>Non-proportional</v>
          </cell>
          <cell r="S26500">
            <v>12.87</v>
          </cell>
          <cell r="X26500" t="str">
            <v>Expenses</v>
          </cell>
        </row>
        <row r="26501">
          <cell r="L26501" t="str">
            <v>Non-proportional</v>
          </cell>
          <cell r="S26501">
            <v>-2.29</v>
          </cell>
          <cell r="X26501" t="str">
            <v>Expenses</v>
          </cell>
        </row>
        <row r="26502">
          <cell r="L26502" t="str">
            <v>Non-proportional</v>
          </cell>
          <cell r="S26502">
            <v>-0.66</v>
          </cell>
          <cell r="X26502" t="str">
            <v>Expenses</v>
          </cell>
        </row>
        <row r="26503">
          <cell r="L26503" t="str">
            <v>Non-proportional</v>
          </cell>
          <cell r="S26503">
            <v>0</v>
          </cell>
          <cell r="X26503" t="str">
            <v>Expenses</v>
          </cell>
        </row>
        <row r="26504">
          <cell r="L26504" t="str">
            <v>Non-proportional</v>
          </cell>
          <cell r="S26504">
            <v>62.51</v>
          </cell>
          <cell r="X26504" t="str">
            <v>Expenses</v>
          </cell>
        </row>
        <row r="26505">
          <cell r="L26505" t="str">
            <v>Non-proportional</v>
          </cell>
          <cell r="S26505">
            <v>-0.81</v>
          </cell>
          <cell r="X26505" t="str">
            <v>Expenses</v>
          </cell>
        </row>
        <row r="26506">
          <cell r="L26506" t="str">
            <v>Non-proportional</v>
          </cell>
          <cell r="S26506">
            <v>166.32</v>
          </cell>
          <cell r="X26506" t="str">
            <v>Expenses</v>
          </cell>
        </row>
        <row r="26507">
          <cell r="L26507" t="str">
            <v>Non-proportional</v>
          </cell>
          <cell r="S26507">
            <v>13.54</v>
          </cell>
          <cell r="X26507" t="str">
            <v>Expenses</v>
          </cell>
        </row>
        <row r="26508">
          <cell r="L26508" t="str">
            <v>Non-proportional</v>
          </cell>
          <cell r="S26508">
            <v>168.84</v>
          </cell>
          <cell r="X26508" t="str">
            <v>Expenses</v>
          </cell>
        </row>
        <row r="26509">
          <cell r="L26509" t="str">
            <v>Non-proportional</v>
          </cell>
          <cell r="S26509">
            <v>66.19</v>
          </cell>
          <cell r="X26509" t="str">
            <v>Expenses</v>
          </cell>
        </row>
        <row r="26510">
          <cell r="L26510" t="str">
            <v>Non-proportional</v>
          </cell>
          <cell r="S26510">
            <v>188.1</v>
          </cell>
          <cell r="X26510" t="str">
            <v>Expenses</v>
          </cell>
        </row>
        <row r="26511">
          <cell r="L26511" t="str">
            <v>Non-proportional</v>
          </cell>
          <cell r="S26511">
            <v>43.59</v>
          </cell>
          <cell r="X26511" t="str">
            <v>Expenses</v>
          </cell>
        </row>
        <row r="26512">
          <cell r="L26512" t="str">
            <v>Non-proportional</v>
          </cell>
          <cell r="S26512">
            <v>270.14999999999998</v>
          </cell>
          <cell r="X26512" t="str">
            <v>Expenses</v>
          </cell>
        </row>
        <row r="26513">
          <cell r="L26513" t="str">
            <v>Non-proportional</v>
          </cell>
          <cell r="S26513">
            <v>198.31</v>
          </cell>
          <cell r="X26513" t="str">
            <v>Expenses</v>
          </cell>
        </row>
        <row r="26514">
          <cell r="L26514" t="str">
            <v>Non-proportional</v>
          </cell>
          <cell r="S26514">
            <v>171.49</v>
          </cell>
          <cell r="X26514" t="str">
            <v>Expenses</v>
          </cell>
        </row>
        <row r="26515">
          <cell r="L26515" t="str">
            <v>Non-proportional</v>
          </cell>
          <cell r="S26515">
            <v>0</v>
          </cell>
          <cell r="X26515" t="str">
            <v>Expenses</v>
          </cell>
        </row>
        <row r="26516">
          <cell r="L26516" t="str">
            <v>Non-proportional</v>
          </cell>
          <cell r="S26516">
            <v>492.81</v>
          </cell>
          <cell r="X26516" t="str">
            <v>Expenses</v>
          </cell>
        </row>
        <row r="26517">
          <cell r="L26517" t="str">
            <v>Non-proportional</v>
          </cell>
          <cell r="S26517">
            <v>0</v>
          </cell>
          <cell r="X26517" t="str">
            <v>Expenses</v>
          </cell>
        </row>
        <row r="26518">
          <cell r="L26518" t="str">
            <v>Non-proportional</v>
          </cell>
          <cell r="S26518">
            <v>262.44</v>
          </cell>
          <cell r="X26518" t="str">
            <v>Expenses</v>
          </cell>
        </row>
        <row r="26519">
          <cell r="L26519" t="str">
            <v>Non-proportional</v>
          </cell>
          <cell r="S26519">
            <v>147.83000000000001</v>
          </cell>
          <cell r="X26519" t="str">
            <v>Expenses</v>
          </cell>
        </row>
        <row r="26520">
          <cell r="L26520" t="str">
            <v>Non-proportional</v>
          </cell>
          <cell r="S26520">
            <v>41.42</v>
          </cell>
          <cell r="X26520" t="str">
            <v>Expenses</v>
          </cell>
        </row>
        <row r="26521">
          <cell r="L26521" t="str">
            <v>Non-proportional</v>
          </cell>
          <cell r="S26521">
            <v>27.66</v>
          </cell>
          <cell r="X26521" t="str">
            <v>Expenses</v>
          </cell>
        </row>
        <row r="26522">
          <cell r="L26522" t="str">
            <v>Non-proportional</v>
          </cell>
          <cell r="S26522">
            <v>102.7</v>
          </cell>
          <cell r="X26522" t="str">
            <v>Expenses</v>
          </cell>
        </row>
        <row r="26523">
          <cell r="L26523" t="str">
            <v>Non-proportional</v>
          </cell>
          <cell r="S26523">
            <v>0</v>
          </cell>
          <cell r="X26523" t="str">
            <v>Expenses</v>
          </cell>
        </row>
        <row r="26524">
          <cell r="L26524" t="str">
            <v>Non-proportional</v>
          </cell>
          <cell r="S26524">
            <v>-580.76</v>
          </cell>
          <cell r="X26524" t="str">
            <v>Expenses</v>
          </cell>
        </row>
        <row r="26525">
          <cell r="L26525" t="str">
            <v>Non-proportional</v>
          </cell>
          <cell r="S26525">
            <v>63.05</v>
          </cell>
          <cell r="X26525" t="str">
            <v>Expenses</v>
          </cell>
        </row>
        <row r="26526">
          <cell r="L26526" t="str">
            <v>Non-proportional</v>
          </cell>
          <cell r="S26526">
            <v>214.18</v>
          </cell>
          <cell r="X26526" t="str">
            <v>Expenses</v>
          </cell>
        </row>
        <row r="26527">
          <cell r="L26527" t="str">
            <v>Non-proportional</v>
          </cell>
          <cell r="S26527">
            <v>115.76</v>
          </cell>
          <cell r="X26527" t="str">
            <v>Expenses</v>
          </cell>
        </row>
        <row r="26528">
          <cell r="L26528" t="str">
            <v>Non-proportional</v>
          </cell>
          <cell r="S26528">
            <v>91.9</v>
          </cell>
          <cell r="X26528" t="str">
            <v>Expenses</v>
          </cell>
        </row>
        <row r="26529">
          <cell r="L26529" t="str">
            <v>Non-proportional</v>
          </cell>
          <cell r="S26529">
            <v>63.4</v>
          </cell>
          <cell r="X26529" t="str">
            <v>Expenses</v>
          </cell>
        </row>
        <row r="26530">
          <cell r="L26530" t="str">
            <v>Non-proportional</v>
          </cell>
          <cell r="S26530">
            <v>22.02</v>
          </cell>
          <cell r="X26530" t="str">
            <v>Expenses</v>
          </cell>
        </row>
        <row r="26531">
          <cell r="L26531" t="str">
            <v>Non-proportional</v>
          </cell>
          <cell r="S26531">
            <v>151.96</v>
          </cell>
          <cell r="X26531" t="str">
            <v>Expenses</v>
          </cell>
        </row>
        <row r="26532">
          <cell r="L26532" t="str">
            <v>Non-proportional</v>
          </cell>
          <cell r="S26532">
            <v>16.899999999999999</v>
          </cell>
          <cell r="X26532" t="str">
            <v>Expenses</v>
          </cell>
        </row>
        <row r="26533">
          <cell r="L26533" t="str">
            <v>Non-proportional</v>
          </cell>
          <cell r="S26533">
            <v>-3.2</v>
          </cell>
          <cell r="X26533" t="str">
            <v>Expenses</v>
          </cell>
        </row>
        <row r="26534">
          <cell r="L26534" t="str">
            <v>Non-proportional</v>
          </cell>
          <cell r="S26534">
            <v>77.38</v>
          </cell>
          <cell r="X26534" t="str">
            <v>Expenses</v>
          </cell>
        </row>
        <row r="26535">
          <cell r="L26535" t="str">
            <v>Non-proportional</v>
          </cell>
          <cell r="S26535">
            <v>191.35</v>
          </cell>
          <cell r="X26535" t="str">
            <v>Expenses</v>
          </cell>
        </row>
        <row r="26536">
          <cell r="L26536" t="str">
            <v>Non-proportional</v>
          </cell>
          <cell r="S26536">
            <v>-0.74</v>
          </cell>
          <cell r="X26536" t="str">
            <v>Expenses</v>
          </cell>
        </row>
        <row r="26537">
          <cell r="L26537" t="str">
            <v>Non-proportional</v>
          </cell>
          <cell r="S26537">
            <v>226.59</v>
          </cell>
          <cell r="X26537" t="str">
            <v>Expenses</v>
          </cell>
        </row>
        <row r="26538">
          <cell r="L26538" t="str">
            <v>Non-proportional</v>
          </cell>
          <cell r="S26538">
            <v>50.65</v>
          </cell>
          <cell r="X26538" t="str">
            <v>Expenses</v>
          </cell>
        </row>
        <row r="26539">
          <cell r="L26539" t="str">
            <v>Non-proportional</v>
          </cell>
          <cell r="S26539">
            <v>-2.89</v>
          </cell>
          <cell r="X26539" t="str">
            <v>Expenses</v>
          </cell>
        </row>
        <row r="26540">
          <cell r="L26540" t="str">
            <v>Non-proportional</v>
          </cell>
          <cell r="S26540">
            <v>-1.73</v>
          </cell>
          <cell r="X26540" t="str">
            <v>Expenses</v>
          </cell>
        </row>
        <row r="26541">
          <cell r="L26541" t="str">
            <v>Non-proportional</v>
          </cell>
          <cell r="S26541">
            <v>72.84</v>
          </cell>
          <cell r="X26541" t="str">
            <v>Expenses</v>
          </cell>
        </row>
        <row r="26542">
          <cell r="L26542" t="str">
            <v>Non-proportional</v>
          </cell>
          <cell r="S26542">
            <v>187.55</v>
          </cell>
          <cell r="X26542" t="str">
            <v>Expenses</v>
          </cell>
        </row>
        <row r="26543">
          <cell r="L26543" t="str">
            <v>Non-proportional</v>
          </cell>
          <cell r="S26543">
            <v>346.13</v>
          </cell>
          <cell r="X26543" t="str">
            <v>Expenses</v>
          </cell>
        </row>
        <row r="26544">
          <cell r="L26544" t="str">
            <v>Non-proportional</v>
          </cell>
          <cell r="S26544">
            <v>208.24</v>
          </cell>
          <cell r="X26544" t="str">
            <v>Expenses</v>
          </cell>
        </row>
        <row r="26545">
          <cell r="L26545" t="str">
            <v>Non-proportional</v>
          </cell>
          <cell r="S26545">
            <v>35.659999999999997</v>
          </cell>
          <cell r="X26545" t="str">
            <v>Expenses</v>
          </cell>
        </row>
        <row r="26546">
          <cell r="L26546" t="str">
            <v>Non-proportional</v>
          </cell>
          <cell r="S26546">
            <v>-1088.94</v>
          </cell>
          <cell r="X26546" t="str">
            <v>Expenses</v>
          </cell>
        </row>
        <row r="26547">
          <cell r="L26547" t="str">
            <v>Non-proportional</v>
          </cell>
          <cell r="S26547">
            <v>2.02</v>
          </cell>
          <cell r="X26547" t="str">
            <v>Expenses</v>
          </cell>
        </row>
        <row r="26548">
          <cell r="L26548" t="str">
            <v>Non-proportional</v>
          </cell>
          <cell r="S26548">
            <v>0.23</v>
          </cell>
          <cell r="X26548" t="str">
            <v>Expenses</v>
          </cell>
        </row>
        <row r="26549">
          <cell r="L26549" t="str">
            <v>Non-proportional</v>
          </cell>
          <cell r="S26549">
            <v>6.01</v>
          </cell>
          <cell r="X26549" t="str">
            <v>Expenses</v>
          </cell>
        </row>
        <row r="26550">
          <cell r="L26550" t="str">
            <v>Non-proportional</v>
          </cell>
          <cell r="S26550">
            <v>-0.24</v>
          </cell>
          <cell r="X26550" t="str">
            <v>Expenses</v>
          </cell>
        </row>
        <row r="26551">
          <cell r="L26551" t="str">
            <v>Non-proportional</v>
          </cell>
          <cell r="S26551">
            <v>89.47</v>
          </cell>
          <cell r="X26551" t="str">
            <v>Expenses</v>
          </cell>
        </row>
        <row r="26552">
          <cell r="L26552" t="str">
            <v>Non-proportional</v>
          </cell>
          <cell r="S26552">
            <v>260.01</v>
          </cell>
          <cell r="X26552" t="str">
            <v>Expenses</v>
          </cell>
        </row>
        <row r="26553">
          <cell r="L26553" t="str">
            <v>Non-proportional</v>
          </cell>
          <cell r="S26553">
            <v>35.659999999999997</v>
          </cell>
          <cell r="X26553" t="str">
            <v>Expenses</v>
          </cell>
        </row>
        <row r="26554">
          <cell r="L26554" t="str">
            <v>Non-proportional</v>
          </cell>
          <cell r="S26554">
            <v>151.31</v>
          </cell>
          <cell r="X26554" t="str">
            <v>Expenses</v>
          </cell>
        </row>
        <row r="26555">
          <cell r="L26555" t="str">
            <v>Non-proportional</v>
          </cell>
          <cell r="S26555">
            <v>0</v>
          </cell>
          <cell r="X26555" t="str">
            <v>Expenses</v>
          </cell>
        </row>
        <row r="26556">
          <cell r="L26556" t="str">
            <v>Non-proportional</v>
          </cell>
          <cell r="S26556">
            <v>42.93</v>
          </cell>
          <cell r="X26556" t="str">
            <v>Expenses</v>
          </cell>
        </row>
        <row r="26557">
          <cell r="L26557" t="str">
            <v>Non-proportional</v>
          </cell>
          <cell r="S26557">
            <v>72.040000000000006</v>
          </cell>
          <cell r="X26557" t="str">
            <v>Expenses</v>
          </cell>
        </row>
        <row r="26558">
          <cell r="L26558" t="str">
            <v>Non-proportional</v>
          </cell>
          <cell r="S26558">
            <v>2.63</v>
          </cell>
          <cell r="X26558" t="str">
            <v>Expenses</v>
          </cell>
        </row>
        <row r="26559">
          <cell r="L26559" t="str">
            <v>Non-proportional</v>
          </cell>
          <cell r="S26559">
            <v>-3.2</v>
          </cell>
          <cell r="X26559" t="str">
            <v>Expenses</v>
          </cell>
        </row>
        <row r="26560">
          <cell r="L26560" t="str">
            <v>Non-proportional</v>
          </cell>
          <cell r="S26560">
            <v>687</v>
          </cell>
          <cell r="X26560" t="str">
            <v>Expenses</v>
          </cell>
        </row>
        <row r="26561">
          <cell r="L26561" t="str">
            <v>Non-proportional</v>
          </cell>
          <cell r="S26561">
            <v>117.13</v>
          </cell>
          <cell r="X26561" t="str">
            <v>Expenses</v>
          </cell>
        </row>
        <row r="26562">
          <cell r="L26562" t="str">
            <v>Non-proportional</v>
          </cell>
          <cell r="S26562">
            <v>66.239999999999995</v>
          </cell>
          <cell r="X26562" t="str">
            <v>Expenses</v>
          </cell>
        </row>
        <row r="26563">
          <cell r="L26563" t="str">
            <v>Non-proportional</v>
          </cell>
          <cell r="S26563">
            <v>54.99</v>
          </cell>
          <cell r="X26563" t="str">
            <v>Expenses</v>
          </cell>
        </row>
        <row r="26564">
          <cell r="L26564" t="str">
            <v>Non-proportional</v>
          </cell>
          <cell r="S26564">
            <v>62.42</v>
          </cell>
          <cell r="X26564" t="str">
            <v>Expenses</v>
          </cell>
        </row>
        <row r="26565">
          <cell r="L26565" t="str">
            <v>Non-proportional</v>
          </cell>
          <cell r="S26565">
            <v>142.49</v>
          </cell>
          <cell r="X26565" t="str">
            <v>Expenses</v>
          </cell>
        </row>
        <row r="26566">
          <cell r="L26566" t="str">
            <v>Non-proportional</v>
          </cell>
          <cell r="S26566">
            <v>269.72000000000003</v>
          </cell>
          <cell r="X26566" t="str">
            <v>Expenses</v>
          </cell>
        </row>
        <row r="26567">
          <cell r="L26567" t="str">
            <v>Non-proportional</v>
          </cell>
          <cell r="S26567">
            <v>71.849999999999994</v>
          </cell>
          <cell r="X26567" t="str">
            <v>Expenses</v>
          </cell>
        </row>
        <row r="26568">
          <cell r="L26568" t="str">
            <v>Non-proportional</v>
          </cell>
          <cell r="S26568">
            <v>14.17</v>
          </cell>
          <cell r="X26568" t="str">
            <v>Expenses</v>
          </cell>
        </row>
        <row r="26569">
          <cell r="L26569" t="str">
            <v>Non-proportional</v>
          </cell>
          <cell r="S26569">
            <v>303.91000000000003</v>
          </cell>
          <cell r="X26569" t="str">
            <v>Expenses</v>
          </cell>
        </row>
        <row r="26570">
          <cell r="L26570" t="str">
            <v>Non-proportional</v>
          </cell>
          <cell r="S26570">
            <v>110.07</v>
          </cell>
          <cell r="X26570" t="str">
            <v>Expenses</v>
          </cell>
        </row>
        <row r="26571">
          <cell r="L26571" t="str">
            <v>Non-proportional</v>
          </cell>
          <cell r="S26571">
            <v>-0.31</v>
          </cell>
          <cell r="X26571" t="str">
            <v>Expenses</v>
          </cell>
        </row>
        <row r="26572">
          <cell r="L26572" t="str">
            <v>Non-proportional</v>
          </cell>
          <cell r="S26572">
            <v>56.71</v>
          </cell>
          <cell r="X26572" t="str">
            <v>Expenses</v>
          </cell>
        </row>
        <row r="26573">
          <cell r="L26573" t="str">
            <v>Non-proportional</v>
          </cell>
          <cell r="S26573">
            <v>0</v>
          </cell>
          <cell r="X26573" t="str">
            <v>Expenses</v>
          </cell>
        </row>
        <row r="26574">
          <cell r="L26574" t="str">
            <v>Non-proportional</v>
          </cell>
          <cell r="S26574">
            <v>0</v>
          </cell>
          <cell r="X26574" t="str">
            <v>Expenses</v>
          </cell>
        </row>
        <row r="26575">
          <cell r="L26575" t="str">
            <v>Non-proportional</v>
          </cell>
          <cell r="S26575">
            <v>-2.37</v>
          </cell>
          <cell r="X26575" t="str">
            <v>Expenses</v>
          </cell>
        </row>
        <row r="26576">
          <cell r="L26576" t="str">
            <v>Non-proportional</v>
          </cell>
          <cell r="S26576">
            <v>261.23</v>
          </cell>
          <cell r="X26576" t="str">
            <v>Expenses</v>
          </cell>
        </row>
        <row r="26577">
          <cell r="L26577" t="str">
            <v>Non-proportional</v>
          </cell>
          <cell r="S26577">
            <v>38.69</v>
          </cell>
          <cell r="X26577" t="str">
            <v>Expenses</v>
          </cell>
        </row>
        <row r="26578">
          <cell r="L26578" t="str">
            <v>Non-proportional</v>
          </cell>
          <cell r="S26578">
            <v>338.54</v>
          </cell>
          <cell r="X26578" t="str">
            <v>Expenses</v>
          </cell>
        </row>
        <row r="26579">
          <cell r="L26579" t="str">
            <v>Non-proportional</v>
          </cell>
          <cell r="S26579">
            <v>4.38</v>
          </cell>
          <cell r="X26579" t="str">
            <v>Expenses</v>
          </cell>
        </row>
        <row r="26580">
          <cell r="L26580" t="str">
            <v>Non-proportional</v>
          </cell>
          <cell r="S26580">
            <v>43.66</v>
          </cell>
          <cell r="X26580" t="str">
            <v>Expenses</v>
          </cell>
        </row>
        <row r="26581">
          <cell r="L26581" t="str">
            <v>Non-proportional</v>
          </cell>
          <cell r="S26581">
            <v>90.41</v>
          </cell>
          <cell r="X26581" t="str">
            <v>Expenses</v>
          </cell>
        </row>
        <row r="26582">
          <cell r="L26582" t="str">
            <v>Non-proportional</v>
          </cell>
          <cell r="S26582">
            <v>-1.04</v>
          </cell>
          <cell r="X26582" t="str">
            <v>Expenses</v>
          </cell>
        </row>
        <row r="26583">
          <cell r="L26583" t="str">
            <v>Non-proportional</v>
          </cell>
          <cell r="S26583">
            <v>36.42</v>
          </cell>
          <cell r="X26583" t="str">
            <v>Expenses</v>
          </cell>
        </row>
        <row r="26584">
          <cell r="L26584" t="str">
            <v>Non-proportional</v>
          </cell>
          <cell r="S26584">
            <v>81.709999999999994</v>
          </cell>
          <cell r="X26584" t="str">
            <v>Expenses</v>
          </cell>
        </row>
        <row r="26585">
          <cell r="L26585" t="str">
            <v>Non-proportional</v>
          </cell>
          <cell r="S26585">
            <v>0</v>
          </cell>
          <cell r="X26585" t="str">
            <v>Expenses</v>
          </cell>
        </row>
        <row r="26586">
          <cell r="L26586" t="str">
            <v>Non-proportional</v>
          </cell>
          <cell r="S26586">
            <v>0</v>
          </cell>
          <cell r="X26586" t="str">
            <v>Expenses</v>
          </cell>
        </row>
        <row r="26587">
          <cell r="L26587" t="str">
            <v>Non-proportional</v>
          </cell>
          <cell r="S26587">
            <v>2.75</v>
          </cell>
          <cell r="X26587" t="str">
            <v>Expenses</v>
          </cell>
        </row>
        <row r="26588">
          <cell r="L26588" t="str">
            <v>Non-proportional</v>
          </cell>
          <cell r="S26588">
            <v>968.12</v>
          </cell>
          <cell r="X26588" t="str">
            <v>Expenses</v>
          </cell>
        </row>
        <row r="26589">
          <cell r="L26589" t="str">
            <v>Non-proportional</v>
          </cell>
          <cell r="S26589">
            <v>-3.91</v>
          </cell>
          <cell r="X26589" t="str">
            <v>Expenses</v>
          </cell>
        </row>
        <row r="26590">
          <cell r="L26590" t="str">
            <v>Non-proportional</v>
          </cell>
          <cell r="S26590">
            <v>212.59</v>
          </cell>
          <cell r="X26590" t="str">
            <v>Expenses</v>
          </cell>
        </row>
        <row r="26591">
          <cell r="L26591" t="str">
            <v>Non-proportional</v>
          </cell>
          <cell r="S26591">
            <v>30.38</v>
          </cell>
          <cell r="X26591" t="str">
            <v>Expenses</v>
          </cell>
        </row>
        <row r="26592">
          <cell r="L26592" t="str">
            <v>Non-proportional</v>
          </cell>
          <cell r="S26592">
            <v>0</v>
          </cell>
          <cell r="X26592" t="str">
            <v>Expenses</v>
          </cell>
        </row>
        <row r="26593">
          <cell r="L26593" t="str">
            <v>Non-proportional</v>
          </cell>
          <cell r="S26593">
            <v>226.34</v>
          </cell>
          <cell r="X26593" t="str">
            <v>Expenses</v>
          </cell>
        </row>
        <row r="26594">
          <cell r="L26594" t="str">
            <v>Non-proportional</v>
          </cell>
          <cell r="S26594">
            <v>206.22</v>
          </cell>
          <cell r="X26594" t="str">
            <v>Expenses</v>
          </cell>
        </row>
        <row r="26595">
          <cell r="L26595" t="str">
            <v>Non-proportional</v>
          </cell>
          <cell r="S26595">
            <v>94.2</v>
          </cell>
          <cell r="X26595" t="str">
            <v>Expenses</v>
          </cell>
        </row>
        <row r="26596">
          <cell r="L26596" t="str">
            <v>Non-proportional</v>
          </cell>
          <cell r="S26596">
            <v>0</v>
          </cell>
          <cell r="X26596" t="str">
            <v>Expenses</v>
          </cell>
        </row>
        <row r="26597">
          <cell r="L26597" t="str">
            <v>Non-proportional</v>
          </cell>
          <cell r="S26597">
            <v>173.53</v>
          </cell>
          <cell r="X26597" t="str">
            <v>Expenses</v>
          </cell>
        </row>
        <row r="26598">
          <cell r="L26598" t="str">
            <v>Non-proportional</v>
          </cell>
          <cell r="S26598">
            <v>10.69</v>
          </cell>
          <cell r="X26598" t="str">
            <v>Expenses</v>
          </cell>
        </row>
        <row r="26599">
          <cell r="L26599" t="str">
            <v>Proportional</v>
          </cell>
          <cell r="S26599">
            <v>3039.59</v>
          </cell>
          <cell r="X26599" t="str">
            <v>Expenses</v>
          </cell>
        </row>
        <row r="26600">
          <cell r="L26600" t="str">
            <v>Non-proportional</v>
          </cell>
          <cell r="S26600">
            <v>27.39</v>
          </cell>
          <cell r="X26600" t="str">
            <v>Expenses</v>
          </cell>
        </row>
        <row r="26601">
          <cell r="L26601" t="str">
            <v>Non-proportional</v>
          </cell>
          <cell r="S26601">
            <v>128.16</v>
          </cell>
          <cell r="X26601" t="str">
            <v>Expenses</v>
          </cell>
        </row>
        <row r="26602">
          <cell r="L26602" t="str">
            <v>Non-proportional</v>
          </cell>
          <cell r="S26602">
            <v>16.55</v>
          </cell>
          <cell r="X26602" t="str">
            <v>Expenses</v>
          </cell>
        </row>
        <row r="26603">
          <cell r="L26603" t="str">
            <v>Non-proportional</v>
          </cell>
          <cell r="S26603">
            <v>690.95</v>
          </cell>
          <cell r="X26603" t="str">
            <v>Expenses</v>
          </cell>
        </row>
        <row r="26604">
          <cell r="L26604" t="str">
            <v>Non-proportional</v>
          </cell>
          <cell r="S26604">
            <v>122.15</v>
          </cell>
          <cell r="X26604" t="str">
            <v>Expenses</v>
          </cell>
        </row>
        <row r="26605">
          <cell r="L26605" t="str">
            <v>Non-proportional</v>
          </cell>
          <cell r="S26605">
            <v>69.14</v>
          </cell>
          <cell r="X26605" t="str">
            <v>Expenses</v>
          </cell>
        </row>
        <row r="26606">
          <cell r="L26606" t="str">
            <v>Non-proportional</v>
          </cell>
          <cell r="S26606">
            <v>279.69</v>
          </cell>
          <cell r="X26606" t="str">
            <v>Expenses</v>
          </cell>
        </row>
        <row r="26607">
          <cell r="L26607" t="str">
            <v>Non-proportional</v>
          </cell>
          <cell r="S26607">
            <v>166.32</v>
          </cell>
          <cell r="X26607" t="str">
            <v>Expenses</v>
          </cell>
        </row>
        <row r="26608">
          <cell r="L26608" t="str">
            <v>Non-proportional</v>
          </cell>
          <cell r="S26608">
            <v>0</v>
          </cell>
          <cell r="X26608" t="str">
            <v>Expenses</v>
          </cell>
        </row>
        <row r="26609">
          <cell r="L26609" t="str">
            <v>Non-proportional</v>
          </cell>
          <cell r="S26609">
            <v>-1.08</v>
          </cell>
          <cell r="X26609" t="str">
            <v>Expenses</v>
          </cell>
        </row>
        <row r="26610">
          <cell r="L26610" t="str">
            <v>Non-proportional</v>
          </cell>
          <cell r="S26610">
            <v>46.4</v>
          </cell>
          <cell r="X26610" t="str">
            <v>Expenses</v>
          </cell>
        </row>
        <row r="26611">
          <cell r="L26611" t="str">
            <v>Non-proportional</v>
          </cell>
          <cell r="S26611">
            <v>-0.71</v>
          </cell>
          <cell r="X26611" t="str">
            <v>Expenses</v>
          </cell>
        </row>
        <row r="26612">
          <cell r="L26612" t="str">
            <v>Non-proportional</v>
          </cell>
          <cell r="S26612">
            <v>27.66</v>
          </cell>
          <cell r="X26612" t="str">
            <v>Expenses</v>
          </cell>
        </row>
        <row r="26613">
          <cell r="L26613" t="str">
            <v>Non-proportional</v>
          </cell>
          <cell r="S26613">
            <v>60.03</v>
          </cell>
          <cell r="X26613" t="str">
            <v>Expenses</v>
          </cell>
        </row>
        <row r="26614">
          <cell r="L26614" t="str">
            <v>Non-proportional</v>
          </cell>
          <cell r="S26614">
            <v>-3907</v>
          </cell>
          <cell r="X26614" t="str">
            <v>Expenses</v>
          </cell>
        </row>
        <row r="26615">
          <cell r="L26615" t="str">
            <v>Non-proportional</v>
          </cell>
          <cell r="S26615">
            <v>122.84</v>
          </cell>
          <cell r="X26615" t="str">
            <v>Expenses</v>
          </cell>
        </row>
        <row r="26616">
          <cell r="L26616" t="str">
            <v>Non-proportional</v>
          </cell>
          <cell r="S26616">
            <v>0</v>
          </cell>
          <cell r="X26616" t="str">
            <v>Expenses</v>
          </cell>
        </row>
        <row r="26617">
          <cell r="L26617" t="str">
            <v>Non-proportional</v>
          </cell>
          <cell r="S26617">
            <v>-1.33</v>
          </cell>
          <cell r="X26617" t="str">
            <v>Expenses</v>
          </cell>
        </row>
        <row r="26618">
          <cell r="L26618" t="str">
            <v>Non-proportional</v>
          </cell>
          <cell r="S26618">
            <v>-2.37</v>
          </cell>
          <cell r="X26618" t="str">
            <v>Expenses</v>
          </cell>
        </row>
        <row r="26619">
          <cell r="L26619" t="str">
            <v>Non-proportional</v>
          </cell>
          <cell r="S26619">
            <v>-2.95</v>
          </cell>
          <cell r="X26619" t="str">
            <v>Expenses</v>
          </cell>
        </row>
        <row r="26620">
          <cell r="L26620" t="str">
            <v>Non-proportional</v>
          </cell>
          <cell r="S26620">
            <v>128.9</v>
          </cell>
          <cell r="X26620" t="str">
            <v>Expenses</v>
          </cell>
        </row>
        <row r="26621">
          <cell r="L26621" t="str">
            <v>Non-proportional</v>
          </cell>
          <cell r="S26621">
            <v>38.69</v>
          </cell>
          <cell r="X26621" t="str">
            <v>Expenses</v>
          </cell>
        </row>
        <row r="26622">
          <cell r="L26622" t="str">
            <v>Non-proportional</v>
          </cell>
          <cell r="S26622">
            <v>-0.66</v>
          </cell>
          <cell r="X26622" t="str">
            <v>Expenses</v>
          </cell>
        </row>
        <row r="26623">
          <cell r="L26623" t="str">
            <v>Non-proportional</v>
          </cell>
          <cell r="S26623">
            <v>0.36</v>
          </cell>
          <cell r="X26623" t="str">
            <v>Expenses</v>
          </cell>
        </row>
        <row r="26624">
          <cell r="L26624" t="str">
            <v>Non-proportional</v>
          </cell>
          <cell r="S26624">
            <v>-4.3</v>
          </cell>
          <cell r="X26624" t="str">
            <v>Expenses</v>
          </cell>
        </row>
        <row r="26625">
          <cell r="L26625" t="str">
            <v>Non-proportional</v>
          </cell>
          <cell r="S26625">
            <v>126.07</v>
          </cell>
          <cell r="X26625" t="str">
            <v>Expenses</v>
          </cell>
        </row>
        <row r="26626">
          <cell r="L26626" t="str">
            <v>Non-proportional</v>
          </cell>
          <cell r="S26626">
            <v>9.42</v>
          </cell>
          <cell r="X26626" t="str">
            <v>Expenses</v>
          </cell>
        </row>
        <row r="26627">
          <cell r="L26627" t="str">
            <v>Non-proportional</v>
          </cell>
          <cell r="S26627">
            <v>531.87</v>
          </cell>
          <cell r="X26627" t="str">
            <v>Expenses</v>
          </cell>
        </row>
        <row r="26628">
          <cell r="L26628" t="str">
            <v>Non-proportional</v>
          </cell>
          <cell r="S26628">
            <v>-3.17</v>
          </cell>
          <cell r="X26628" t="str">
            <v>Expenses</v>
          </cell>
        </row>
        <row r="26629">
          <cell r="L26629" t="str">
            <v>Non-proportional</v>
          </cell>
          <cell r="S26629">
            <v>-0.78</v>
          </cell>
          <cell r="X26629" t="str">
            <v>Expenses</v>
          </cell>
        </row>
        <row r="26630">
          <cell r="L26630" t="str">
            <v>Non-proportional</v>
          </cell>
          <cell r="S26630">
            <v>0</v>
          </cell>
          <cell r="X26630" t="str">
            <v>Expenses</v>
          </cell>
        </row>
        <row r="26631">
          <cell r="L26631" t="str">
            <v>Non-proportional</v>
          </cell>
          <cell r="S26631">
            <v>212.59</v>
          </cell>
          <cell r="X26631" t="str">
            <v>Expenses</v>
          </cell>
        </row>
        <row r="26632">
          <cell r="L26632" t="str">
            <v>Non-proportional</v>
          </cell>
          <cell r="S26632">
            <v>85.34</v>
          </cell>
          <cell r="X26632" t="str">
            <v>Expenses</v>
          </cell>
        </row>
        <row r="26633">
          <cell r="L26633" t="str">
            <v>Non-proportional</v>
          </cell>
          <cell r="S26633">
            <v>-3.92</v>
          </cell>
          <cell r="X26633" t="str">
            <v>Expenses</v>
          </cell>
        </row>
        <row r="26634">
          <cell r="L26634" t="str">
            <v>Non-proportional</v>
          </cell>
          <cell r="S26634">
            <v>144.78</v>
          </cell>
          <cell r="X26634" t="str">
            <v>Expenses</v>
          </cell>
        </row>
        <row r="26635">
          <cell r="L26635" t="str">
            <v>Non-proportional</v>
          </cell>
          <cell r="S26635">
            <v>-0.21</v>
          </cell>
          <cell r="X26635" t="str">
            <v>Expenses</v>
          </cell>
        </row>
        <row r="26636">
          <cell r="L26636" t="str">
            <v>Non-proportional</v>
          </cell>
          <cell r="S26636">
            <v>0.49</v>
          </cell>
          <cell r="X26636" t="str">
            <v>Expenses</v>
          </cell>
        </row>
        <row r="26637">
          <cell r="L26637" t="str">
            <v>Non-proportional</v>
          </cell>
          <cell r="S26637">
            <v>191</v>
          </cell>
          <cell r="X26637" t="str">
            <v>Expenses</v>
          </cell>
        </row>
        <row r="26638">
          <cell r="L26638" t="str">
            <v>Non-proportional</v>
          </cell>
          <cell r="S26638">
            <v>9.1300000000000008</v>
          </cell>
          <cell r="X26638" t="str">
            <v>Expenses</v>
          </cell>
        </row>
        <row r="26639">
          <cell r="L26639" t="str">
            <v>Non-proportional</v>
          </cell>
          <cell r="S26639">
            <v>101.76</v>
          </cell>
          <cell r="X26639" t="str">
            <v>Expenses</v>
          </cell>
        </row>
        <row r="26640">
          <cell r="L26640" t="str">
            <v>Non-proportional</v>
          </cell>
          <cell r="S26640">
            <v>173.14</v>
          </cell>
          <cell r="X26640" t="str">
            <v>Expenses</v>
          </cell>
        </row>
        <row r="26641">
          <cell r="L26641" t="str">
            <v>Non-proportional</v>
          </cell>
          <cell r="S26641">
            <v>365.82</v>
          </cell>
          <cell r="X26641" t="str">
            <v>Expenses</v>
          </cell>
        </row>
        <row r="26642">
          <cell r="L26642" t="str">
            <v>Non-proportional</v>
          </cell>
          <cell r="S26642">
            <v>0</v>
          </cell>
          <cell r="X26642" t="str">
            <v>Expenses</v>
          </cell>
        </row>
        <row r="26643">
          <cell r="L26643" t="str">
            <v>Non-proportional</v>
          </cell>
          <cell r="S26643">
            <v>38.03</v>
          </cell>
          <cell r="X26643" t="str">
            <v>Expenses</v>
          </cell>
        </row>
        <row r="26644">
          <cell r="L26644" t="str">
            <v>Non-proportional</v>
          </cell>
          <cell r="S26644">
            <v>18.05</v>
          </cell>
          <cell r="X26644" t="str">
            <v>Expenses</v>
          </cell>
        </row>
        <row r="26645">
          <cell r="L26645" t="str">
            <v>Non-proportional</v>
          </cell>
          <cell r="S26645">
            <v>18.34</v>
          </cell>
          <cell r="X26645" t="str">
            <v>Expenses</v>
          </cell>
        </row>
        <row r="26646">
          <cell r="L26646" t="str">
            <v>Non-proportional</v>
          </cell>
          <cell r="S26646">
            <v>38.17</v>
          </cell>
          <cell r="X26646" t="str">
            <v>Expenses</v>
          </cell>
        </row>
        <row r="26647">
          <cell r="L26647" t="str">
            <v>Non-proportional</v>
          </cell>
          <cell r="S26647">
            <v>-8211.35</v>
          </cell>
          <cell r="X26647" t="str">
            <v>Expenses</v>
          </cell>
        </row>
        <row r="26648">
          <cell r="L26648" t="str">
            <v>Non-proportional</v>
          </cell>
          <cell r="S26648">
            <v>15.26</v>
          </cell>
          <cell r="X26648" t="str">
            <v>Expenses</v>
          </cell>
        </row>
        <row r="26649">
          <cell r="L26649" t="str">
            <v>Non-proportional</v>
          </cell>
          <cell r="S26649">
            <v>469.35</v>
          </cell>
          <cell r="X26649" t="str">
            <v>Expenses</v>
          </cell>
        </row>
        <row r="26650">
          <cell r="L26650" t="str">
            <v>Non-proportional</v>
          </cell>
          <cell r="S26650">
            <v>24.57</v>
          </cell>
          <cell r="X26650" t="str">
            <v>Expenses</v>
          </cell>
        </row>
        <row r="26651">
          <cell r="L26651" t="str">
            <v>Non-proportional</v>
          </cell>
          <cell r="S26651">
            <v>-2.27</v>
          </cell>
          <cell r="X26651" t="str">
            <v>Expenses</v>
          </cell>
        </row>
        <row r="26652">
          <cell r="L26652" t="str">
            <v>Non-proportional</v>
          </cell>
          <cell r="S26652">
            <v>-0.86</v>
          </cell>
          <cell r="X26652" t="str">
            <v>Expenses</v>
          </cell>
        </row>
        <row r="26653">
          <cell r="L26653" t="str">
            <v>Non-proportional</v>
          </cell>
          <cell r="S26653">
            <v>202.99</v>
          </cell>
          <cell r="X26653" t="str">
            <v>Expenses</v>
          </cell>
        </row>
        <row r="26654">
          <cell r="L26654" t="str">
            <v>Non-proportional</v>
          </cell>
          <cell r="S26654">
            <v>246.53</v>
          </cell>
          <cell r="X26654" t="str">
            <v>Expenses</v>
          </cell>
        </row>
        <row r="26655">
          <cell r="L26655" t="str">
            <v>Non-proportional</v>
          </cell>
          <cell r="S26655">
            <v>-2.25</v>
          </cell>
          <cell r="X26655" t="str">
            <v>Expenses</v>
          </cell>
        </row>
        <row r="26656">
          <cell r="L26656" t="str">
            <v>Non-proportional</v>
          </cell>
          <cell r="S26656">
            <v>394.31</v>
          </cell>
          <cell r="X26656" t="str">
            <v>Expenses</v>
          </cell>
        </row>
        <row r="26657">
          <cell r="L26657" t="str">
            <v>Non-proportional</v>
          </cell>
          <cell r="S26657">
            <v>76.78</v>
          </cell>
          <cell r="X26657" t="str">
            <v>Expenses</v>
          </cell>
        </row>
        <row r="26658">
          <cell r="L26658" t="str">
            <v>Non-proportional</v>
          </cell>
          <cell r="S26658">
            <v>-0.91</v>
          </cell>
          <cell r="X26658" t="str">
            <v>Expenses</v>
          </cell>
        </row>
        <row r="26659">
          <cell r="L26659" t="str">
            <v>Non-proportional</v>
          </cell>
          <cell r="S26659">
            <v>26.18</v>
          </cell>
          <cell r="X26659" t="str">
            <v>Expenses</v>
          </cell>
        </row>
        <row r="26660">
          <cell r="L26660" t="str">
            <v>Non-proportional</v>
          </cell>
          <cell r="S26660">
            <v>114.77</v>
          </cell>
          <cell r="X26660" t="str">
            <v>Expenses</v>
          </cell>
        </row>
        <row r="26661">
          <cell r="L26661" t="str">
            <v>Non-proportional</v>
          </cell>
          <cell r="S26661">
            <v>12.41</v>
          </cell>
          <cell r="X26661" t="str">
            <v>Expenses</v>
          </cell>
        </row>
        <row r="26662">
          <cell r="L26662" t="str">
            <v>Non-proportional</v>
          </cell>
          <cell r="S26662">
            <v>-0.87</v>
          </cell>
          <cell r="X26662" t="str">
            <v>Expenses</v>
          </cell>
        </row>
        <row r="26663">
          <cell r="L26663" t="str">
            <v>Non-proportional</v>
          </cell>
          <cell r="S26663">
            <v>120.05</v>
          </cell>
          <cell r="X26663" t="str">
            <v>Expenses</v>
          </cell>
        </row>
        <row r="26664">
          <cell r="L26664" t="str">
            <v>Non-proportional</v>
          </cell>
          <cell r="S26664">
            <v>136.16999999999999</v>
          </cell>
          <cell r="X26664" t="str">
            <v>Expenses</v>
          </cell>
        </row>
        <row r="26665">
          <cell r="L26665" t="str">
            <v>Non-proportional</v>
          </cell>
          <cell r="S26665">
            <v>267.83</v>
          </cell>
          <cell r="X26665" t="str">
            <v>Expenses</v>
          </cell>
        </row>
        <row r="26666">
          <cell r="L26666" t="str">
            <v>Non-proportional</v>
          </cell>
          <cell r="S26666">
            <v>69.069999999999993</v>
          </cell>
          <cell r="X26666" t="str">
            <v>Expenses</v>
          </cell>
        </row>
        <row r="26667">
          <cell r="L26667" t="str">
            <v>Non-proportional</v>
          </cell>
          <cell r="S26667">
            <v>-2961.91</v>
          </cell>
          <cell r="X26667" t="str">
            <v>Expenses</v>
          </cell>
        </row>
        <row r="26668">
          <cell r="L26668" t="str">
            <v>Non-proportional</v>
          </cell>
          <cell r="S26668">
            <v>-0.66</v>
          </cell>
          <cell r="X26668" t="str">
            <v>Expenses</v>
          </cell>
        </row>
        <row r="26669">
          <cell r="L26669" t="str">
            <v>Non-proportional</v>
          </cell>
          <cell r="S26669">
            <v>100.16</v>
          </cell>
          <cell r="X26669" t="str">
            <v>Expenses</v>
          </cell>
        </row>
        <row r="26670">
          <cell r="L26670" t="str">
            <v>Non-proportional</v>
          </cell>
          <cell r="S26670">
            <v>135.96</v>
          </cell>
          <cell r="X26670" t="str">
            <v>Expenses</v>
          </cell>
        </row>
        <row r="26671">
          <cell r="L26671" t="str">
            <v>Non-proportional</v>
          </cell>
          <cell r="S26671">
            <v>-0.23</v>
          </cell>
          <cell r="X26671" t="str">
            <v>Expenses</v>
          </cell>
        </row>
        <row r="26672">
          <cell r="L26672" t="str">
            <v>Non-proportional</v>
          </cell>
          <cell r="S26672">
            <v>-13.11</v>
          </cell>
          <cell r="X26672" t="str">
            <v>Expenses</v>
          </cell>
        </row>
        <row r="26673">
          <cell r="L26673" t="str">
            <v>Non-proportional</v>
          </cell>
          <cell r="S26673">
            <v>13.72</v>
          </cell>
          <cell r="X26673" t="str">
            <v>Expenses</v>
          </cell>
        </row>
        <row r="26674">
          <cell r="L26674" t="str">
            <v>Non-proportional</v>
          </cell>
          <cell r="S26674">
            <v>0</v>
          </cell>
          <cell r="X26674" t="str">
            <v>Expenses</v>
          </cell>
        </row>
        <row r="26675">
          <cell r="L26675" t="str">
            <v>Non-proportional</v>
          </cell>
          <cell r="S26675">
            <v>-1.46</v>
          </cell>
          <cell r="X26675" t="str">
            <v>Expenses</v>
          </cell>
        </row>
        <row r="26676">
          <cell r="L26676" t="str">
            <v>Non-proportional</v>
          </cell>
          <cell r="S26676">
            <v>523</v>
          </cell>
          <cell r="X26676" t="str">
            <v>Expenses</v>
          </cell>
        </row>
        <row r="26677">
          <cell r="L26677" t="str">
            <v>Non-proportional</v>
          </cell>
          <cell r="S26677">
            <v>13.01</v>
          </cell>
          <cell r="X26677" t="str">
            <v>Expenses</v>
          </cell>
        </row>
        <row r="26678">
          <cell r="L26678" t="str">
            <v>Non-proportional</v>
          </cell>
          <cell r="S26678">
            <v>12.98</v>
          </cell>
          <cell r="X26678" t="str">
            <v>Expenses</v>
          </cell>
        </row>
        <row r="26679">
          <cell r="L26679" t="str">
            <v>Non-proportional</v>
          </cell>
          <cell r="S26679">
            <v>45.59</v>
          </cell>
          <cell r="X26679" t="str">
            <v>Expenses</v>
          </cell>
        </row>
        <row r="26680">
          <cell r="L26680" t="str">
            <v>Non-proportional</v>
          </cell>
          <cell r="S26680">
            <v>-3.66</v>
          </cell>
          <cell r="X26680" t="str">
            <v>Expenses</v>
          </cell>
        </row>
        <row r="26681">
          <cell r="L26681" t="str">
            <v>Non-proportional</v>
          </cell>
          <cell r="S26681">
            <v>338.15</v>
          </cell>
          <cell r="X26681" t="str">
            <v>Expenses</v>
          </cell>
        </row>
        <row r="26682">
          <cell r="L26682" t="str">
            <v>Non-proportional</v>
          </cell>
          <cell r="S26682">
            <v>140.26</v>
          </cell>
          <cell r="X26682" t="str">
            <v>Expenses</v>
          </cell>
        </row>
        <row r="26683">
          <cell r="L26683" t="str">
            <v>Non-proportional</v>
          </cell>
          <cell r="S26683">
            <v>0.26</v>
          </cell>
          <cell r="X26683" t="str">
            <v>Expenses</v>
          </cell>
        </row>
        <row r="26684">
          <cell r="L26684" t="str">
            <v>Non-proportional</v>
          </cell>
          <cell r="S26684">
            <v>475.05</v>
          </cell>
          <cell r="X26684" t="str">
            <v>Expenses</v>
          </cell>
        </row>
        <row r="26685">
          <cell r="L26685" t="str">
            <v>Non-proportional</v>
          </cell>
          <cell r="S26685">
            <v>-0.3</v>
          </cell>
          <cell r="X26685" t="str">
            <v>Expenses</v>
          </cell>
        </row>
        <row r="26686">
          <cell r="L26686" t="str">
            <v>Non-proportional</v>
          </cell>
          <cell r="S26686">
            <v>44.24</v>
          </cell>
          <cell r="X26686" t="str">
            <v>Expenses</v>
          </cell>
        </row>
        <row r="26687">
          <cell r="L26687" t="str">
            <v>Non-proportional</v>
          </cell>
          <cell r="S26687">
            <v>270.14</v>
          </cell>
          <cell r="X26687" t="str">
            <v>Expenses</v>
          </cell>
        </row>
        <row r="26688">
          <cell r="L26688" t="str">
            <v>Non-proportional</v>
          </cell>
          <cell r="S26688">
            <v>183.42</v>
          </cell>
          <cell r="X26688" t="str">
            <v>Expenses</v>
          </cell>
        </row>
        <row r="26689">
          <cell r="L26689" t="str">
            <v>Non-proportional</v>
          </cell>
          <cell r="S26689">
            <v>-2.4700000000000002</v>
          </cell>
          <cell r="X26689" t="str">
            <v>Expenses</v>
          </cell>
        </row>
        <row r="26690">
          <cell r="L26690" t="str">
            <v>Non-proportional</v>
          </cell>
          <cell r="S26690">
            <v>124.27</v>
          </cell>
          <cell r="X26690" t="str">
            <v>Expenses</v>
          </cell>
        </row>
        <row r="26691">
          <cell r="L26691" t="str">
            <v>Non-proportional</v>
          </cell>
          <cell r="S26691">
            <v>128.16</v>
          </cell>
          <cell r="X26691" t="str">
            <v>Expenses</v>
          </cell>
        </row>
        <row r="26692">
          <cell r="L26692" t="str">
            <v>Non-proportional</v>
          </cell>
          <cell r="S26692">
            <v>221.6</v>
          </cell>
          <cell r="X26692" t="str">
            <v>Expenses</v>
          </cell>
        </row>
        <row r="26693">
          <cell r="L26693" t="str">
            <v>Non-proportional</v>
          </cell>
          <cell r="S26693">
            <v>-580.76</v>
          </cell>
          <cell r="X26693" t="str">
            <v>Expenses</v>
          </cell>
        </row>
        <row r="26694">
          <cell r="L26694" t="str">
            <v>Non-proportional</v>
          </cell>
          <cell r="S26694">
            <v>97.39</v>
          </cell>
          <cell r="X26694" t="str">
            <v>Expenses</v>
          </cell>
        </row>
        <row r="26695">
          <cell r="L26695" t="str">
            <v>Non-proportional</v>
          </cell>
          <cell r="S26695">
            <v>54.87</v>
          </cell>
          <cell r="X26695" t="str">
            <v>Expenses</v>
          </cell>
        </row>
        <row r="26696">
          <cell r="L26696" t="str">
            <v>Non-proportional</v>
          </cell>
          <cell r="S26696">
            <v>66.13</v>
          </cell>
          <cell r="X26696" t="str">
            <v>Expenses</v>
          </cell>
        </row>
        <row r="26697">
          <cell r="L26697" t="str">
            <v>Non-proportional</v>
          </cell>
          <cell r="S26697">
            <v>-3.92</v>
          </cell>
          <cell r="X26697" t="str">
            <v>Expenses</v>
          </cell>
        </row>
        <row r="26698">
          <cell r="L26698" t="str">
            <v>Non-proportional</v>
          </cell>
          <cell r="S26698">
            <v>83.74</v>
          </cell>
          <cell r="X26698" t="str">
            <v>Expenses</v>
          </cell>
        </row>
        <row r="26699">
          <cell r="L26699" t="str">
            <v>Non-proportional</v>
          </cell>
          <cell r="S26699">
            <v>540.32000000000005</v>
          </cell>
          <cell r="X26699" t="str">
            <v>Expenses</v>
          </cell>
        </row>
        <row r="26700">
          <cell r="L26700" t="str">
            <v>Non-proportional</v>
          </cell>
          <cell r="S26700">
            <v>86.21</v>
          </cell>
          <cell r="X26700" t="str">
            <v>Expenses</v>
          </cell>
        </row>
        <row r="26701">
          <cell r="L26701" t="str">
            <v>Non-proportional</v>
          </cell>
          <cell r="S26701">
            <v>187.61</v>
          </cell>
          <cell r="X26701" t="str">
            <v>Expenses</v>
          </cell>
        </row>
        <row r="26702">
          <cell r="L26702" t="str">
            <v>Non-proportional</v>
          </cell>
          <cell r="S26702">
            <v>94.18</v>
          </cell>
          <cell r="X26702" t="str">
            <v>Expenses</v>
          </cell>
        </row>
        <row r="26703">
          <cell r="L26703" t="str">
            <v>Non-proportional</v>
          </cell>
          <cell r="S26703">
            <v>85.32</v>
          </cell>
          <cell r="X26703" t="str">
            <v>Expenses</v>
          </cell>
        </row>
        <row r="26704">
          <cell r="L26704" t="str">
            <v>Non-proportional</v>
          </cell>
          <cell r="S26704">
            <v>56.09</v>
          </cell>
          <cell r="X26704" t="str">
            <v>Expenses</v>
          </cell>
        </row>
        <row r="26705">
          <cell r="L26705" t="str">
            <v>Non-proportional</v>
          </cell>
          <cell r="S26705">
            <v>-3.01</v>
          </cell>
          <cell r="X26705" t="str">
            <v>Expenses</v>
          </cell>
        </row>
        <row r="26706">
          <cell r="L26706" t="str">
            <v>Non-proportional</v>
          </cell>
          <cell r="S26706">
            <v>-17.23</v>
          </cell>
          <cell r="X26706" t="str">
            <v>Expenses</v>
          </cell>
        </row>
        <row r="26707">
          <cell r="L26707" t="str">
            <v>Non-proportional</v>
          </cell>
          <cell r="S26707">
            <v>38.270000000000003</v>
          </cell>
          <cell r="X26707" t="str">
            <v>Expenses</v>
          </cell>
        </row>
        <row r="26708">
          <cell r="L26708" t="str">
            <v>Non-proportional</v>
          </cell>
          <cell r="S26708">
            <v>36.24</v>
          </cell>
          <cell r="X26708" t="str">
            <v>Expenses</v>
          </cell>
        </row>
        <row r="26709">
          <cell r="L26709" t="str">
            <v>Non-proportional</v>
          </cell>
          <cell r="S26709">
            <v>187.62</v>
          </cell>
          <cell r="X26709" t="str">
            <v>Expenses</v>
          </cell>
        </row>
        <row r="26710">
          <cell r="L26710" t="str">
            <v>Non-proportional</v>
          </cell>
          <cell r="S26710">
            <v>0</v>
          </cell>
          <cell r="X26710" t="str">
            <v>Expenses</v>
          </cell>
        </row>
        <row r="26711">
          <cell r="L26711" t="str">
            <v>Non-proportional</v>
          </cell>
          <cell r="S26711">
            <v>115.94</v>
          </cell>
          <cell r="X26711" t="str">
            <v>Expenses</v>
          </cell>
        </row>
        <row r="26712">
          <cell r="L26712" t="str">
            <v>Non-proportional</v>
          </cell>
          <cell r="S26712">
            <v>19.989999999999998</v>
          </cell>
          <cell r="X26712" t="str">
            <v>Expenses</v>
          </cell>
        </row>
        <row r="26713">
          <cell r="L26713" t="str">
            <v>Non-proportional</v>
          </cell>
          <cell r="S26713">
            <v>427.76</v>
          </cell>
          <cell r="X26713" t="str">
            <v>Expenses</v>
          </cell>
        </row>
        <row r="26714">
          <cell r="L26714" t="str">
            <v>Non-proportional</v>
          </cell>
          <cell r="S26714">
            <v>714.92</v>
          </cell>
          <cell r="X26714" t="str">
            <v>Expenses</v>
          </cell>
        </row>
        <row r="26715">
          <cell r="L26715" t="str">
            <v>Non-proportional</v>
          </cell>
          <cell r="S26715">
            <v>49.29</v>
          </cell>
          <cell r="X26715" t="str">
            <v>Expenses</v>
          </cell>
        </row>
        <row r="26716">
          <cell r="L26716" t="str">
            <v>Non-proportional</v>
          </cell>
          <cell r="S26716">
            <v>17.100000000000001</v>
          </cell>
          <cell r="X26716" t="str">
            <v>Expenses</v>
          </cell>
        </row>
        <row r="26717">
          <cell r="L26717" t="str">
            <v>Non-proportional</v>
          </cell>
          <cell r="S26717">
            <v>105.79</v>
          </cell>
          <cell r="X26717" t="str">
            <v>Expenses</v>
          </cell>
        </row>
        <row r="26718">
          <cell r="L26718" t="str">
            <v>Non-proportional</v>
          </cell>
          <cell r="S26718">
            <v>35.590000000000003</v>
          </cell>
          <cell r="X26718" t="str">
            <v>Expenses</v>
          </cell>
        </row>
        <row r="26719">
          <cell r="L26719" t="str">
            <v>Non-proportional</v>
          </cell>
          <cell r="S26719">
            <v>76.92</v>
          </cell>
          <cell r="X26719" t="str">
            <v>Expenses</v>
          </cell>
        </row>
        <row r="26720">
          <cell r="L26720" t="str">
            <v>Non-proportional</v>
          </cell>
          <cell r="S26720">
            <v>-1.67</v>
          </cell>
          <cell r="X26720" t="str">
            <v>Expenses</v>
          </cell>
        </row>
        <row r="26721">
          <cell r="L26721" t="str">
            <v>Non-proportional</v>
          </cell>
          <cell r="S26721">
            <v>-4917.01</v>
          </cell>
          <cell r="X26721" t="str">
            <v>Expenses</v>
          </cell>
        </row>
        <row r="26722">
          <cell r="L26722" t="str">
            <v>Non-proportional</v>
          </cell>
          <cell r="S26722">
            <v>49.46</v>
          </cell>
          <cell r="X26722" t="str">
            <v>Expenses</v>
          </cell>
        </row>
        <row r="26723">
          <cell r="L26723" t="str">
            <v>Non-proportional</v>
          </cell>
          <cell r="S26723">
            <v>112.56</v>
          </cell>
          <cell r="X26723" t="str">
            <v>Expenses</v>
          </cell>
        </row>
        <row r="26724">
          <cell r="L26724" t="str">
            <v>Non-proportional</v>
          </cell>
          <cell r="S26724">
            <v>202.62</v>
          </cell>
          <cell r="X26724" t="str">
            <v>Expenses</v>
          </cell>
        </row>
        <row r="26725">
          <cell r="L26725" t="str">
            <v>Non-proportional</v>
          </cell>
          <cell r="S26725">
            <v>82.06</v>
          </cell>
          <cell r="X26725" t="str">
            <v>Expenses</v>
          </cell>
        </row>
        <row r="26726">
          <cell r="L26726" t="str">
            <v>Non-proportional</v>
          </cell>
          <cell r="S26726">
            <v>272.97000000000003</v>
          </cell>
          <cell r="X26726" t="str">
            <v>Expenses</v>
          </cell>
        </row>
        <row r="26727">
          <cell r="L26727" t="str">
            <v>Non-proportional</v>
          </cell>
          <cell r="S26727">
            <v>95.18</v>
          </cell>
          <cell r="X26727" t="str">
            <v>Expenses</v>
          </cell>
        </row>
        <row r="26728">
          <cell r="L26728" t="str">
            <v>Non-proportional</v>
          </cell>
          <cell r="S26728">
            <v>173.9</v>
          </cell>
          <cell r="X26728" t="str">
            <v>Expenses</v>
          </cell>
        </row>
        <row r="26729">
          <cell r="L26729" t="str">
            <v>Non-proportional</v>
          </cell>
          <cell r="S26729">
            <v>110.49</v>
          </cell>
          <cell r="X26729" t="str">
            <v>Expenses</v>
          </cell>
        </row>
        <row r="26730">
          <cell r="L26730" t="str">
            <v>Non-proportional</v>
          </cell>
          <cell r="S26730">
            <v>93.8</v>
          </cell>
          <cell r="X26730" t="str">
            <v>Expenses</v>
          </cell>
        </row>
        <row r="26731">
          <cell r="L26731" t="str">
            <v>Non-proportional</v>
          </cell>
          <cell r="S26731">
            <v>57.75</v>
          </cell>
          <cell r="X26731" t="str">
            <v>Expenses</v>
          </cell>
        </row>
        <row r="26732">
          <cell r="L26732" t="str">
            <v>Non-proportional</v>
          </cell>
          <cell r="S26732">
            <v>50.86</v>
          </cell>
          <cell r="X26732" t="str">
            <v>Expenses</v>
          </cell>
        </row>
        <row r="26733">
          <cell r="L26733" t="str">
            <v>Non-proportional</v>
          </cell>
          <cell r="S26733">
            <v>111.62</v>
          </cell>
          <cell r="X26733" t="str">
            <v>Expenses</v>
          </cell>
        </row>
        <row r="26734">
          <cell r="L26734" t="str">
            <v>Non-proportional</v>
          </cell>
          <cell r="S26734">
            <v>50.86</v>
          </cell>
          <cell r="X26734" t="str">
            <v>Expenses</v>
          </cell>
        </row>
        <row r="26735">
          <cell r="L26735" t="str">
            <v>Non-proportional</v>
          </cell>
          <cell r="S26735">
            <v>-0.88</v>
          </cell>
          <cell r="X26735" t="str">
            <v>Expenses</v>
          </cell>
        </row>
        <row r="26736">
          <cell r="L26736" t="str">
            <v>Non-proportional</v>
          </cell>
          <cell r="S26736">
            <v>47.77</v>
          </cell>
          <cell r="X26736" t="str">
            <v>Expenses</v>
          </cell>
        </row>
        <row r="26737">
          <cell r="L26737" t="str">
            <v>Non-proportional</v>
          </cell>
          <cell r="S26737">
            <v>-0.64</v>
          </cell>
          <cell r="X26737" t="str">
            <v>Expenses</v>
          </cell>
        </row>
        <row r="26738">
          <cell r="L26738" t="str">
            <v>Non-proportional</v>
          </cell>
          <cell r="S26738">
            <v>-2.16</v>
          </cell>
          <cell r="X26738" t="str">
            <v>Expenses</v>
          </cell>
        </row>
        <row r="26739">
          <cell r="L26739" t="str">
            <v>Non-proportional</v>
          </cell>
          <cell r="S26739">
            <v>0</v>
          </cell>
          <cell r="X26739" t="str">
            <v>Expenses</v>
          </cell>
        </row>
        <row r="26740">
          <cell r="L26740" t="str">
            <v>Non-proportional</v>
          </cell>
          <cell r="S26740">
            <v>140.88</v>
          </cell>
          <cell r="X26740" t="str">
            <v>Expenses</v>
          </cell>
        </row>
        <row r="26741">
          <cell r="L26741" t="str">
            <v>Non-proportional</v>
          </cell>
          <cell r="S26741">
            <v>-2.87</v>
          </cell>
          <cell r="X26741" t="str">
            <v>Expenses</v>
          </cell>
        </row>
        <row r="26742">
          <cell r="L26742" t="str">
            <v>Non-proportional</v>
          </cell>
          <cell r="S26742">
            <v>69.930000000000007</v>
          </cell>
          <cell r="X26742" t="str">
            <v>Expenses</v>
          </cell>
        </row>
        <row r="26743">
          <cell r="L26743" t="str">
            <v>Non-proportional</v>
          </cell>
          <cell r="S26743">
            <v>259.85000000000002</v>
          </cell>
          <cell r="X26743" t="str">
            <v>Expenses</v>
          </cell>
        </row>
        <row r="26744">
          <cell r="L26744" t="str">
            <v>Non-proportional</v>
          </cell>
          <cell r="S26744">
            <v>2.5299999999999998</v>
          </cell>
          <cell r="X26744" t="str">
            <v>Expenses</v>
          </cell>
        </row>
        <row r="26745">
          <cell r="L26745" t="str">
            <v>Non-proportional</v>
          </cell>
          <cell r="S26745">
            <v>63.66</v>
          </cell>
          <cell r="X26745" t="str">
            <v>Expenses</v>
          </cell>
        </row>
        <row r="26746">
          <cell r="L26746" t="str">
            <v>Non-proportional</v>
          </cell>
          <cell r="S26746">
            <v>42.62</v>
          </cell>
          <cell r="X26746" t="str">
            <v>Expenses</v>
          </cell>
        </row>
        <row r="26747">
          <cell r="L26747" t="str">
            <v>Non-proportional</v>
          </cell>
          <cell r="S26747">
            <v>198.64</v>
          </cell>
          <cell r="X26747" t="str">
            <v>Expenses</v>
          </cell>
        </row>
        <row r="26748">
          <cell r="L26748" t="str">
            <v>Non-proportional</v>
          </cell>
          <cell r="S26748">
            <v>292.32</v>
          </cell>
          <cell r="X26748" t="str">
            <v>Expenses</v>
          </cell>
        </row>
        <row r="26749">
          <cell r="L26749" t="str">
            <v>Non-proportional</v>
          </cell>
          <cell r="S26749">
            <v>4.21</v>
          </cell>
          <cell r="X26749" t="str">
            <v>Expenses</v>
          </cell>
        </row>
        <row r="26750">
          <cell r="L26750" t="str">
            <v>Non-proportional</v>
          </cell>
          <cell r="S26750">
            <v>79.8</v>
          </cell>
          <cell r="X26750" t="str">
            <v>Expenses</v>
          </cell>
        </row>
        <row r="26751">
          <cell r="L26751" t="str">
            <v>Non-proportional</v>
          </cell>
          <cell r="S26751">
            <v>70.16</v>
          </cell>
          <cell r="X26751" t="str">
            <v>Expenses</v>
          </cell>
        </row>
        <row r="26752">
          <cell r="L26752" t="str">
            <v>Non-proportional</v>
          </cell>
          <cell r="S26752">
            <v>-0.28999999999999998</v>
          </cell>
          <cell r="X26752" t="str">
            <v>Expenses</v>
          </cell>
        </row>
        <row r="26753">
          <cell r="L26753" t="str">
            <v>Non-proportional</v>
          </cell>
          <cell r="S26753">
            <v>43.85</v>
          </cell>
          <cell r="X26753" t="str">
            <v>Expenses</v>
          </cell>
        </row>
        <row r="26754">
          <cell r="L26754" t="str">
            <v>Non-proportional</v>
          </cell>
          <cell r="S26754">
            <v>184.32</v>
          </cell>
          <cell r="X26754" t="str">
            <v>Expenses</v>
          </cell>
        </row>
        <row r="26755">
          <cell r="L26755" t="str">
            <v>Non-proportional</v>
          </cell>
          <cell r="S26755">
            <v>106.02</v>
          </cell>
          <cell r="X26755" t="str">
            <v>Expenses</v>
          </cell>
        </row>
        <row r="26756">
          <cell r="L26756" t="str">
            <v>Non-proportional</v>
          </cell>
          <cell r="S26756">
            <v>60.4</v>
          </cell>
          <cell r="X26756" t="str">
            <v>Expenses</v>
          </cell>
        </row>
        <row r="26757">
          <cell r="L26757" t="str">
            <v>Non-proportional</v>
          </cell>
          <cell r="S26757">
            <v>665.87</v>
          </cell>
          <cell r="X26757" t="str">
            <v>Expenses</v>
          </cell>
        </row>
        <row r="26758">
          <cell r="L26758" t="str">
            <v>Non-proportional</v>
          </cell>
          <cell r="S26758">
            <v>-3.81</v>
          </cell>
          <cell r="X26758" t="str">
            <v>Expenses</v>
          </cell>
        </row>
        <row r="26759">
          <cell r="L26759" t="str">
            <v>Non-proportional</v>
          </cell>
          <cell r="S26759">
            <v>183.88</v>
          </cell>
          <cell r="X26759" t="str">
            <v>Expenses</v>
          </cell>
        </row>
        <row r="26760">
          <cell r="L26760" t="str">
            <v>Non-proportional</v>
          </cell>
          <cell r="S26760">
            <v>194.9</v>
          </cell>
          <cell r="X26760" t="str">
            <v>Expenses</v>
          </cell>
        </row>
        <row r="26761">
          <cell r="L26761" t="str">
            <v>Non-proportional</v>
          </cell>
          <cell r="S26761">
            <v>52.85</v>
          </cell>
          <cell r="X26761" t="str">
            <v>Expenses</v>
          </cell>
        </row>
        <row r="26762">
          <cell r="L26762" t="str">
            <v>Non-proportional</v>
          </cell>
          <cell r="S26762">
            <v>16.47</v>
          </cell>
          <cell r="X26762" t="str">
            <v>Expenses</v>
          </cell>
        </row>
        <row r="26763">
          <cell r="L26763" t="str">
            <v>Non-proportional</v>
          </cell>
          <cell r="S26763">
            <v>74.09</v>
          </cell>
          <cell r="X26763" t="str">
            <v>Expenses</v>
          </cell>
        </row>
        <row r="26764">
          <cell r="L26764" t="str">
            <v>Non-proportional</v>
          </cell>
          <cell r="S26764">
            <v>78.66</v>
          </cell>
          <cell r="X26764" t="str">
            <v>Expenses</v>
          </cell>
        </row>
        <row r="26765">
          <cell r="L26765" t="str">
            <v>Non-proportional</v>
          </cell>
          <cell r="S26765">
            <v>135.1</v>
          </cell>
          <cell r="X26765" t="str">
            <v>Expenses</v>
          </cell>
        </row>
        <row r="26766">
          <cell r="L26766" t="str">
            <v>Non-proportional</v>
          </cell>
          <cell r="S26766">
            <v>95.36</v>
          </cell>
          <cell r="X26766" t="str">
            <v>Expenses</v>
          </cell>
        </row>
        <row r="26767">
          <cell r="L26767" t="str">
            <v>Non-proportional</v>
          </cell>
          <cell r="S26767">
            <v>42.12</v>
          </cell>
          <cell r="X26767" t="str">
            <v>Expenses</v>
          </cell>
        </row>
        <row r="26768">
          <cell r="L26768" t="str">
            <v>Non-proportional</v>
          </cell>
          <cell r="S26768">
            <v>168.19</v>
          </cell>
          <cell r="X26768" t="str">
            <v>Expenses</v>
          </cell>
        </row>
        <row r="26769">
          <cell r="L26769" t="str">
            <v>Non-proportional</v>
          </cell>
          <cell r="S26769">
            <v>53.13</v>
          </cell>
          <cell r="X26769" t="str">
            <v>Expenses</v>
          </cell>
        </row>
        <row r="26770">
          <cell r="L26770" t="str">
            <v>Non-proportional</v>
          </cell>
          <cell r="S26770">
            <v>2.58</v>
          </cell>
          <cell r="X26770" t="str">
            <v>Expenses</v>
          </cell>
        </row>
        <row r="26771">
          <cell r="L26771" t="str">
            <v>Non-proportional</v>
          </cell>
          <cell r="S26771">
            <v>430.56</v>
          </cell>
          <cell r="X26771" t="str">
            <v>Expenses</v>
          </cell>
        </row>
        <row r="26772">
          <cell r="L26772" t="str">
            <v>Non-proportional</v>
          </cell>
          <cell r="S26772">
            <v>100.82</v>
          </cell>
          <cell r="X26772" t="str">
            <v>Expenses</v>
          </cell>
        </row>
        <row r="26773">
          <cell r="L26773" t="str">
            <v>Non-proportional</v>
          </cell>
          <cell r="S26773">
            <v>259.81</v>
          </cell>
          <cell r="X26773" t="str">
            <v>Expenses</v>
          </cell>
        </row>
        <row r="26774">
          <cell r="L26774" t="str">
            <v>Non-proportional</v>
          </cell>
          <cell r="S26774">
            <v>-3.11</v>
          </cell>
          <cell r="X26774" t="str">
            <v>Expenses</v>
          </cell>
        </row>
        <row r="26775">
          <cell r="L26775" t="str">
            <v>Non-proportional</v>
          </cell>
          <cell r="S26775">
            <v>-1.05</v>
          </cell>
          <cell r="X26775" t="str">
            <v>Expenses</v>
          </cell>
        </row>
        <row r="26776">
          <cell r="L26776" t="str">
            <v>Non-proportional</v>
          </cell>
          <cell r="S26776">
            <v>23.67</v>
          </cell>
          <cell r="X26776" t="str">
            <v>Expenses</v>
          </cell>
        </row>
        <row r="26777">
          <cell r="L26777" t="str">
            <v>Non-proportional</v>
          </cell>
          <cell r="S26777">
            <v>36.979999999999997</v>
          </cell>
          <cell r="X26777" t="str">
            <v>Expenses</v>
          </cell>
        </row>
        <row r="26778">
          <cell r="L26778" t="str">
            <v>Non-proportional</v>
          </cell>
          <cell r="S26778">
            <v>13.13</v>
          </cell>
          <cell r="X26778" t="str">
            <v>Expenses</v>
          </cell>
        </row>
        <row r="26779">
          <cell r="L26779" t="str">
            <v>Non-proportional</v>
          </cell>
          <cell r="S26779">
            <v>-3.78</v>
          </cell>
          <cell r="X26779" t="str">
            <v>Expenses</v>
          </cell>
        </row>
        <row r="26780">
          <cell r="L26780" t="str">
            <v>Non-proportional</v>
          </cell>
          <cell r="S26780">
            <v>-4.0999999999999996</v>
          </cell>
          <cell r="X26780" t="str">
            <v>Expenses</v>
          </cell>
        </row>
        <row r="26781">
          <cell r="L26781" t="str">
            <v>Non-proportional</v>
          </cell>
          <cell r="S26781">
            <v>82.16</v>
          </cell>
          <cell r="X26781" t="str">
            <v>Expenses</v>
          </cell>
        </row>
        <row r="26782">
          <cell r="L26782" t="str">
            <v>Non-proportional</v>
          </cell>
          <cell r="S26782">
            <v>21.21</v>
          </cell>
          <cell r="X26782" t="str">
            <v>Expenses</v>
          </cell>
        </row>
        <row r="26783">
          <cell r="L26783" t="str">
            <v>Non-proportional</v>
          </cell>
          <cell r="S26783">
            <v>-3.81</v>
          </cell>
          <cell r="X26783" t="str">
            <v>Expenses</v>
          </cell>
        </row>
        <row r="26784">
          <cell r="L26784" t="str">
            <v>Non-proportional</v>
          </cell>
          <cell r="S26784">
            <v>-2.19</v>
          </cell>
          <cell r="X26784" t="str">
            <v>Expenses</v>
          </cell>
        </row>
        <row r="26785">
          <cell r="L26785" t="str">
            <v>Non-proportional</v>
          </cell>
          <cell r="S26785">
            <v>41.48</v>
          </cell>
          <cell r="X26785" t="str">
            <v>Expenses</v>
          </cell>
        </row>
        <row r="26786">
          <cell r="L26786" t="str">
            <v>Non-proportional</v>
          </cell>
          <cell r="S26786">
            <v>259.83</v>
          </cell>
          <cell r="X26786" t="str">
            <v>Expenses</v>
          </cell>
        </row>
        <row r="26787">
          <cell r="L26787" t="str">
            <v>Non-proportional</v>
          </cell>
          <cell r="S26787">
            <v>-2.39</v>
          </cell>
          <cell r="X26787" t="str">
            <v>Expenses</v>
          </cell>
        </row>
        <row r="26788">
          <cell r="L26788" t="str">
            <v>Non-proportional</v>
          </cell>
          <cell r="S26788">
            <v>97.88</v>
          </cell>
          <cell r="X26788" t="str">
            <v>Expenses</v>
          </cell>
        </row>
        <row r="26789">
          <cell r="L26789" t="str">
            <v>Non-proportional</v>
          </cell>
          <cell r="S26789">
            <v>-12.49</v>
          </cell>
          <cell r="X26789" t="str">
            <v>Expenses</v>
          </cell>
        </row>
        <row r="26790">
          <cell r="L26790" t="str">
            <v>Non-proportional</v>
          </cell>
          <cell r="S26790">
            <v>42.26</v>
          </cell>
          <cell r="X26790" t="str">
            <v>Expenses</v>
          </cell>
        </row>
        <row r="26791">
          <cell r="L26791" t="str">
            <v>Non-proportional</v>
          </cell>
          <cell r="S26791">
            <v>0</v>
          </cell>
          <cell r="X26791" t="str">
            <v>Expenses</v>
          </cell>
        </row>
        <row r="26792">
          <cell r="L26792" t="str">
            <v>Non-proportional</v>
          </cell>
          <cell r="S26792">
            <v>218.26</v>
          </cell>
          <cell r="X26792" t="str">
            <v>Expenses</v>
          </cell>
        </row>
        <row r="26793">
          <cell r="L26793" t="str">
            <v>Non-proportional</v>
          </cell>
          <cell r="S26793">
            <v>78.930000000000007</v>
          </cell>
          <cell r="X26793" t="str">
            <v>Expenses</v>
          </cell>
        </row>
        <row r="26794">
          <cell r="L26794" t="str">
            <v>Non-proportional</v>
          </cell>
          <cell r="S26794">
            <v>-1.39</v>
          </cell>
          <cell r="X26794" t="str">
            <v>Expenses</v>
          </cell>
        </row>
        <row r="26795">
          <cell r="L26795" t="str">
            <v>Non-proportional</v>
          </cell>
          <cell r="S26795">
            <v>17.79</v>
          </cell>
          <cell r="X26795" t="str">
            <v>Expenses</v>
          </cell>
        </row>
        <row r="26796">
          <cell r="L26796" t="str">
            <v>Non-proportional</v>
          </cell>
          <cell r="S26796">
            <v>13.26</v>
          </cell>
          <cell r="X26796" t="str">
            <v>Expenses</v>
          </cell>
        </row>
        <row r="26797">
          <cell r="L26797" t="str">
            <v>Non-proportional</v>
          </cell>
          <cell r="S26797">
            <v>180.4</v>
          </cell>
          <cell r="X26797" t="str">
            <v>Expenses</v>
          </cell>
        </row>
        <row r="26798">
          <cell r="L26798" t="str">
            <v>Non-proportional</v>
          </cell>
          <cell r="S26798">
            <v>19.25</v>
          </cell>
          <cell r="X26798" t="str">
            <v>Expenses</v>
          </cell>
        </row>
        <row r="26799">
          <cell r="L26799" t="str">
            <v>Non-proportional</v>
          </cell>
          <cell r="S26799">
            <v>8.98</v>
          </cell>
          <cell r="X26799" t="str">
            <v>Expenses</v>
          </cell>
        </row>
        <row r="26800">
          <cell r="L26800" t="str">
            <v>Non-proportional</v>
          </cell>
          <cell r="S26800">
            <v>81.319999999999993</v>
          </cell>
          <cell r="X26800" t="str">
            <v>Expenses</v>
          </cell>
        </row>
        <row r="26801">
          <cell r="L26801" t="str">
            <v>Non-proportional</v>
          </cell>
          <cell r="S26801">
            <v>519.71</v>
          </cell>
          <cell r="X26801" t="str">
            <v>Expenses</v>
          </cell>
        </row>
        <row r="26802">
          <cell r="L26802" t="str">
            <v>Non-proportional</v>
          </cell>
          <cell r="S26802">
            <v>457.58</v>
          </cell>
          <cell r="X26802" t="str">
            <v>Expenses</v>
          </cell>
        </row>
        <row r="26803">
          <cell r="L26803" t="str">
            <v>Non-proportional</v>
          </cell>
          <cell r="S26803">
            <v>910.17</v>
          </cell>
          <cell r="X26803" t="str">
            <v>Expenses</v>
          </cell>
        </row>
        <row r="26804">
          <cell r="L26804" t="str">
            <v>Proportional</v>
          </cell>
          <cell r="S26804">
            <v>4088.77</v>
          </cell>
          <cell r="X26804" t="str">
            <v>Expenses</v>
          </cell>
        </row>
        <row r="26805">
          <cell r="L26805" t="str">
            <v>Non-proportional</v>
          </cell>
          <cell r="S26805">
            <v>0</v>
          </cell>
          <cell r="X26805" t="str">
            <v>Expenses</v>
          </cell>
        </row>
        <row r="26806">
          <cell r="L26806" t="str">
            <v>Non-proportional</v>
          </cell>
          <cell r="S26806">
            <v>351.87</v>
          </cell>
          <cell r="X26806" t="str">
            <v>Expenses</v>
          </cell>
        </row>
        <row r="26807">
          <cell r="L26807" t="str">
            <v>Non-proportional</v>
          </cell>
          <cell r="S26807">
            <v>938.36</v>
          </cell>
          <cell r="X26807" t="str">
            <v>Expenses</v>
          </cell>
        </row>
        <row r="26808">
          <cell r="L26808" t="str">
            <v>Non-proportional</v>
          </cell>
          <cell r="S26808">
            <v>0</v>
          </cell>
          <cell r="X26808" t="str">
            <v>Expenses</v>
          </cell>
        </row>
        <row r="26809">
          <cell r="L26809" t="str">
            <v>Non-proportional</v>
          </cell>
          <cell r="S26809">
            <v>34.39</v>
          </cell>
          <cell r="X26809" t="str">
            <v>Expenses</v>
          </cell>
        </row>
        <row r="26810">
          <cell r="L26810" t="str">
            <v>Non-proportional</v>
          </cell>
          <cell r="S26810">
            <v>124.22</v>
          </cell>
          <cell r="X26810" t="str">
            <v>Expenses</v>
          </cell>
        </row>
        <row r="26811">
          <cell r="L26811" t="str">
            <v>Non-proportional</v>
          </cell>
          <cell r="S26811">
            <v>-3.1</v>
          </cell>
          <cell r="X26811" t="str">
            <v>Expenses</v>
          </cell>
        </row>
        <row r="26812">
          <cell r="L26812" t="str">
            <v>Non-proportional</v>
          </cell>
          <cell r="S26812">
            <v>692.94</v>
          </cell>
          <cell r="X26812" t="str">
            <v>Expenses</v>
          </cell>
        </row>
        <row r="26813">
          <cell r="L26813" t="str">
            <v>Non-proportional</v>
          </cell>
          <cell r="S26813">
            <v>667.35</v>
          </cell>
          <cell r="X26813" t="str">
            <v>Expenses</v>
          </cell>
        </row>
        <row r="26814">
          <cell r="L26814" t="str">
            <v>Non-proportional</v>
          </cell>
          <cell r="S26814">
            <v>206.31</v>
          </cell>
          <cell r="X26814" t="str">
            <v>Expenses</v>
          </cell>
        </row>
        <row r="26815">
          <cell r="L26815" t="str">
            <v>Non-proportional</v>
          </cell>
          <cell r="S26815">
            <v>213.45</v>
          </cell>
          <cell r="X26815" t="str">
            <v>Expenses</v>
          </cell>
        </row>
        <row r="26816">
          <cell r="L26816" t="str">
            <v>Non-proportional</v>
          </cell>
          <cell r="S26816">
            <v>-0.2</v>
          </cell>
          <cell r="X26816" t="str">
            <v>Expenses</v>
          </cell>
        </row>
        <row r="26817">
          <cell r="L26817" t="str">
            <v>Non-proportional</v>
          </cell>
          <cell r="S26817">
            <v>17.36</v>
          </cell>
          <cell r="X26817" t="str">
            <v>Expenses</v>
          </cell>
        </row>
        <row r="26818">
          <cell r="L26818" t="str">
            <v>Non-proportional</v>
          </cell>
          <cell r="S26818">
            <v>1.97</v>
          </cell>
          <cell r="X26818" t="str">
            <v>Expenses</v>
          </cell>
        </row>
        <row r="26819">
          <cell r="L26819" t="str">
            <v>Non-proportional</v>
          </cell>
          <cell r="S26819">
            <v>26.61</v>
          </cell>
          <cell r="X26819" t="str">
            <v>Expenses</v>
          </cell>
        </row>
        <row r="26820">
          <cell r="L26820" t="str">
            <v>Non-proportional</v>
          </cell>
          <cell r="S26820">
            <v>139.44999999999999</v>
          </cell>
          <cell r="X26820" t="str">
            <v>Expenses</v>
          </cell>
        </row>
        <row r="26821">
          <cell r="L26821" t="str">
            <v>Non-proportional</v>
          </cell>
          <cell r="S26821">
            <v>34.56</v>
          </cell>
          <cell r="X26821" t="str">
            <v>Expenses</v>
          </cell>
        </row>
        <row r="26822">
          <cell r="L26822" t="str">
            <v>Non-proportional</v>
          </cell>
          <cell r="S26822">
            <v>135.79</v>
          </cell>
          <cell r="X26822" t="str">
            <v>Expenses</v>
          </cell>
        </row>
        <row r="26823">
          <cell r="L26823" t="str">
            <v>Non-proportional</v>
          </cell>
          <cell r="S26823">
            <v>269.02</v>
          </cell>
          <cell r="X26823" t="str">
            <v>Expenses</v>
          </cell>
        </row>
        <row r="26824">
          <cell r="L26824" t="str">
            <v>Non-proportional</v>
          </cell>
          <cell r="S26824">
            <v>60.12</v>
          </cell>
          <cell r="X26824" t="str">
            <v>Expenses</v>
          </cell>
        </row>
        <row r="26825">
          <cell r="L26825" t="str">
            <v>Non-proportional</v>
          </cell>
          <cell r="S26825">
            <v>130.96</v>
          </cell>
          <cell r="X26825" t="str">
            <v>Expenses</v>
          </cell>
        </row>
        <row r="26826">
          <cell r="L26826" t="str">
            <v>Non-proportional</v>
          </cell>
          <cell r="S26826">
            <v>257.98</v>
          </cell>
          <cell r="X26826" t="str">
            <v>Expenses</v>
          </cell>
        </row>
        <row r="26827">
          <cell r="L26827" t="str">
            <v>Non-proportional</v>
          </cell>
          <cell r="S26827">
            <v>38.68</v>
          </cell>
          <cell r="X26827" t="str">
            <v>Expenses</v>
          </cell>
        </row>
        <row r="26828">
          <cell r="L26828" t="str">
            <v>Non-proportional</v>
          </cell>
          <cell r="S26828">
            <v>121.26</v>
          </cell>
          <cell r="X26828" t="str">
            <v>Expenses</v>
          </cell>
        </row>
        <row r="26829">
          <cell r="L26829" t="str">
            <v>Non-proportional</v>
          </cell>
          <cell r="S26829">
            <v>200.29</v>
          </cell>
          <cell r="X26829" t="str">
            <v>Expenses</v>
          </cell>
        </row>
        <row r="26830">
          <cell r="L26830" t="str">
            <v>Non-proportional</v>
          </cell>
          <cell r="S26830">
            <v>8.82</v>
          </cell>
          <cell r="X26830" t="str">
            <v>Expenses</v>
          </cell>
        </row>
        <row r="26831">
          <cell r="L26831" t="str">
            <v>Non-proportional</v>
          </cell>
          <cell r="S26831">
            <v>-0.64</v>
          </cell>
          <cell r="X26831" t="str">
            <v>Expenses</v>
          </cell>
        </row>
        <row r="26832">
          <cell r="L26832" t="str">
            <v>Non-proportional</v>
          </cell>
          <cell r="S26832">
            <v>146.37</v>
          </cell>
          <cell r="X26832" t="str">
            <v>Expenses</v>
          </cell>
        </row>
        <row r="26833">
          <cell r="L26833" t="str">
            <v>Non-proportional</v>
          </cell>
          <cell r="S26833">
            <v>26.1</v>
          </cell>
          <cell r="X26833" t="str">
            <v>Expenses</v>
          </cell>
        </row>
        <row r="26834">
          <cell r="L26834" t="str">
            <v>Non-proportional</v>
          </cell>
          <cell r="S26834">
            <v>332.93</v>
          </cell>
          <cell r="X26834" t="str">
            <v>Expenses</v>
          </cell>
        </row>
        <row r="26835">
          <cell r="L26835" t="str">
            <v>Non-proportional</v>
          </cell>
          <cell r="S26835">
            <v>4.26</v>
          </cell>
          <cell r="X26835" t="str">
            <v>Expenses</v>
          </cell>
        </row>
        <row r="26836">
          <cell r="L26836" t="str">
            <v>Non-proportional</v>
          </cell>
          <cell r="S26836">
            <v>0</v>
          </cell>
          <cell r="X26836" t="str">
            <v>Expenses</v>
          </cell>
        </row>
        <row r="26837">
          <cell r="L26837" t="str">
            <v>Non-proportional</v>
          </cell>
          <cell r="S26837">
            <v>218.01</v>
          </cell>
          <cell r="X26837" t="str">
            <v>Expenses</v>
          </cell>
        </row>
        <row r="26838">
          <cell r="L26838" t="str">
            <v>Non-proportional</v>
          </cell>
          <cell r="S26838">
            <v>0.85</v>
          </cell>
          <cell r="X26838" t="str">
            <v>Expenses</v>
          </cell>
        </row>
        <row r="26839">
          <cell r="L26839" t="str">
            <v>Non-proportional</v>
          </cell>
          <cell r="S26839">
            <v>26.64</v>
          </cell>
          <cell r="X26839" t="str">
            <v>Expenses</v>
          </cell>
        </row>
        <row r="26840">
          <cell r="L26840" t="str">
            <v>Non-proportional</v>
          </cell>
          <cell r="S26840">
            <v>-10.86</v>
          </cell>
          <cell r="X26840" t="str">
            <v>Expenses</v>
          </cell>
        </row>
        <row r="26841">
          <cell r="L26841" t="str">
            <v>Non-proportional</v>
          </cell>
          <cell r="S26841">
            <v>124.22</v>
          </cell>
          <cell r="X26841" t="str">
            <v>Expenses</v>
          </cell>
        </row>
        <row r="26842">
          <cell r="L26842" t="str">
            <v>Non-proportional</v>
          </cell>
          <cell r="S26842">
            <v>-16.809999999999999</v>
          </cell>
          <cell r="X26842" t="str">
            <v>Expenses</v>
          </cell>
        </row>
        <row r="26843">
          <cell r="L26843" t="str">
            <v>Non-proportional</v>
          </cell>
          <cell r="S26843">
            <v>166.21</v>
          </cell>
          <cell r="X26843" t="str">
            <v>Expenses</v>
          </cell>
        </row>
        <row r="26844">
          <cell r="L26844" t="str">
            <v>Non-proportional</v>
          </cell>
          <cell r="S26844">
            <v>511.58</v>
          </cell>
          <cell r="X26844" t="str">
            <v>Expenses</v>
          </cell>
        </row>
        <row r="26845">
          <cell r="L26845" t="str">
            <v>Non-proportional</v>
          </cell>
          <cell r="S26845">
            <v>474.02</v>
          </cell>
          <cell r="X26845" t="str">
            <v>Expenses</v>
          </cell>
        </row>
        <row r="26846">
          <cell r="L26846" t="str">
            <v>Non-proportional</v>
          </cell>
          <cell r="S26846">
            <v>63.61</v>
          </cell>
          <cell r="X26846" t="str">
            <v>Expenses</v>
          </cell>
        </row>
        <row r="26847">
          <cell r="L26847" t="str">
            <v>Non-proportional</v>
          </cell>
          <cell r="S26847">
            <v>206.05</v>
          </cell>
          <cell r="X26847" t="str">
            <v>Expenses</v>
          </cell>
        </row>
        <row r="26848">
          <cell r="L26848" t="str">
            <v>Non-proportional</v>
          </cell>
          <cell r="S26848">
            <v>36.25</v>
          </cell>
          <cell r="X26848" t="str">
            <v>Expenses</v>
          </cell>
        </row>
        <row r="26849">
          <cell r="L26849" t="str">
            <v>Non-proportional</v>
          </cell>
          <cell r="S26849">
            <v>0</v>
          </cell>
          <cell r="X26849" t="str">
            <v>Expenses</v>
          </cell>
        </row>
        <row r="26850">
          <cell r="L26850" t="str">
            <v>Non-proportional</v>
          </cell>
          <cell r="S26850">
            <v>-0.68</v>
          </cell>
          <cell r="X26850" t="str">
            <v>Expenses</v>
          </cell>
        </row>
        <row r="26851">
          <cell r="L26851" t="str">
            <v>Non-proportional</v>
          </cell>
          <cell r="S26851">
            <v>174.79</v>
          </cell>
          <cell r="X26851" t="str">
            <v>Expenses</v>
          </cell>
        </row>
        <row r="26852">
          <cell r="L26852" t="str">
            <v>Non-proportional</v>
          </cell>
          <cell r="S26852">
            <v>85.26</v>
          </cell>
          <cell r="X26852" t="str">
            <v>Expenses</v>
          </cell>
        </row>
        <row r="26853">
          <cell r="L26853" t="str">
            <v>Non-proportional</v>
          </cell>
          <cell r="S26853">
            <v>379.27</v>
          </cell>
          <cell r="X26853" t="str">
            <v>Expenses</v>
          </cell>
        </row>
        <row r="26854">
          <cell r="L26854" t="str">
            <v>Non-proportional</v>
          </cell>
          <cell r="S26854">
            <v>192.21</v>
          </cell>
          <cell r="X26854" t="str">
            <v>Expenses</v>
          </cell>
        </row>
        <row r="26855">
          <cell r="L26855" t="str">
            <v>Non-proportional</v>
          </cell>
          <cell r="S26855">
            <v>0</v>
          </cell>
          <cell r="X26855" t="str">
            <v>Expenses</v>
          </cell>
        </row>
        <row r="26856">
          <cell r="L26856" t="str">
            <v>Non-proportional</v>
          </cell>
          <cell r="S26856">
            <v>87.63</v>
          </cell>
          <cell r="X26856" t="str">
            <v>Expenses</v>
          </cell>
        </row>
        <row r="26857">
          <cell r="L26857" t="str">
            <v>Non-proportional</v>
          </cell>
          <cell r="S26857">
            <v>35.020000000000003</v>
          </cell>
          <cell r="X26857" t="str">
            <v>Expenses</v>
          </cell>
        </row>
        <row r="26858">
          <cell r="L26858" t="str">
            <v>Non-proportional</v>
          </cell>
          <cell r="S26858">
            <v>181.09</v>
          </cell>
          <cell r="X26858" t="str">
            <v>Expenses</v>
          </cell>
        </row>
        <row r="26859">
          <cell r="L26859" t="str">
            <v>Non-proportional</v>
          </cell>
          <cell r="S26859">
            <v>206.05</v>
          </cell>
          <cell r="X26859" t="str">
            <v>Expenses</v>
          </cell>
        </row>
        <row r="26860">
          <cell r="L26860" t="str">
            <v>Non-proportional</v>
          </cell>
          <cell r="S26860">
            <v>167.81</v>
          </cell>
          <cell r="X26860" t="str">
            <v>Expenses</v>
          </cell>
        </row>
        <row r="26861">
          <cell r="L26861" t="str">
            <v>Non-proportional</v>
          </cell>
          <cell r="S26861">
            <v>-0.84</v>
          </cell>
          <cell r="X26861" t="str">
            <v>Expenses</v>
          </cell>
        </row>
        <row r="26862">
          <cell r="L26862" t="str">
            <v>Non-proportional</v>
          </cell>
          <cell r="S26862">
            <v>97.87</v>
          </cell>
          <cell r="X26862" t="str">
            <v>Expenses</v>
          </cell>
        </row>
        <row r="26863">
          <cell r="L26863" t="str">
            <v>Non-proportional</v>
          </cell>
          <cell r="S26863">
            <v>-0.83</v>
          </cell>
          <cell r="X26863" t="str">
            <v>Expenses</v>
          </cell>
        </row>
        <row r="26864">
          <cell r="L26864" t="str">
            <v>Non-proportional</v>
          </cell>
          <cell r="S26864">
            <v>195.52</v>
          </cell>
          <cell r="X26864" t="str">
            <v>Expenses</v>
          </cell>
        </row>
        <row r="26865">
          <cell r="L26865" t="str">
            <v>Non-proportional</v>
          </cell>
          <cell r="S26865">
            <v>119.7</v>
          </cell>
          <cell r="X26865" t="str">
            <v>Expenses</v>
          </cell>
        </row>
        <row r="26866">
          <cell r="L26866" t="str">
            <v>Non-proportional</v>
          </cell>
          <cell r="S26866">
            <v>54.03</v>
          </cell>
          <cell r="X26866" t="str">
            <v>Expenses</v>
          </cell>
        </row>
        <row r="26867">
          <cell r="L26867" t="str">
            <v>Non-proportional</v>
          </cell>
          <cell r="S26867">
            <v>-3.55</v>
          </cell>
          <cell r="X26867" t="str">
            <v>Expenses</v>
          </cell>
        </row>
        <row r="26868">
          <cell r="L26868" t="str">
            <v>Non-proportional</v>
          </cell>
          <cell r="S26868">
            <v>29.35</v>
          </cell>
          <cell r="X26868" t="str">
            <v>Expenses</v>
          </cell>
        </row>
        <row r="26869">
          <cell r="L26869" t="str">
            <v>Non-proportional</v>
          </cell>
          <cell r="S26869">
            <v>162.4</v>
          </cell>
          <cell r="X26869" t="str">
            <v>Expenses</v>
          </cell>
        </row>
        <row r="26870">
          <cell r="L26870" t="str">
            <v>Non-proportional</v>
          </cell>
          <cell r="S26870">
            <v>259.36</v>
          </cell>
          <cell r="X26870" t="str">
            <v>Expenses</v>
          </cell>
        </row>
        <row r="26871">
          <cell r="L26871" t="str">
            <v>Non-proportional</v>
          </cell>
          <cell r="S26871">
            <v>82.18</v>
          </cell>
          <cell r="X26871" t="str">
            <v>Expenses</v>
          </cell>
        </row>
        <row r="26872">
          <cell r="L26872" t="str">
            <v>Non-proportional</v>
          </cell>
          <cell r="S26872">
            <v>251.62</v>
          </cell>
          <cell r="X26872" t="str">
            <v>Expenses</v>
          </cell>
        </row>
        <row r="26873">
          <cell r="L26873" t="str">
            <v>Non-proportional</v>
          </cell>
          <cell r="S26873">
            <v>0</v>
          </cell>
          <cell r="X26873" t="str">
            <v>Expenses</v>
          </cell>
        </row>
        <row r="26874">
          <cell r="L26874" t="str">
            <v>Non-proportional</v>
          </cell>
          <cell r="S26874">
            <v>-0.79</v>
          </cell>
          <cell r="X26874" t="str">
            <v>Expenses</v>
          </cell>
        </row>
        <row r="26875">
          <cell r="L26875" t="str">
            <v>Non-proportional</v>
          </cell>
          <cell r="S26875">
            <v>-0.3</v>
          </cell>
          <cell r="X26875" t="str">
            <v>Expenses</v>
          </cell>
        </row>
        <row r="26876">
          <cell r="L26876" t="str">
            <v>Non-proportional</v>
          </cell>
          <cell r="S26876">
            <v>64.58</v>
          </cell>
          <cell r="X26876" t="str">
            <v>Expenses</v>
          </cell>
        </row>
        <row r="26877">
          <cell r="L26877" t="str">
            <v>Non-proportional</v>
          </cell>
          <cell r="S26877">
            <v>-1</v>
          </cell>
          <cell r="X26877" t="str">
            <v>Expenses</v>
          </cell>
        </row>
        <row r="26878">
          <cell r="L26878" t="str">
            <v>Non-proportional</v>
          </cell>
          <cell r="S26878">
            <v>39.840000000000003</v>
          </cell>
          <cell r="X26878" t="str">
            <v>Expenses</v>
          </cell>
        </row>
        <row r="26879">
          <cell r="L26879" t="str">
            <v>Non-proportional</v>
          </cell>
          <cell r="S26879">
            <v>111.51</v>
          </cell>
          <cell r="X26879" t="str">
            <v>Expenses</v>
          </cell>
        </row>
        <row r="26880">
          <cell r="L26880" t="str">
            <v>Non-proportional</v>
          </cell>
          <cell r="S26880">
            <v>0.23</v>
          </cell>
          <cell r="X26880" t="str">
            <v>Expenses</v>
          </cell>
        </row>
        <row r="26881">
          <cell r="L26881" t="str">
            <v>Non-proportional</v>
          </cell>
          <cell r="S26881">
            <v>91.83</v>
          </cell>
          <cell r="X26881" t="str">
            <v>Expenses</v>
          </cell>
        </row>
        <row r="26882">
          <cell r="L26882" t="str">
            <v>Non-proportional</v>
          </cell>
          <cell r="S26882">
            <v>12.54</v>
          </cell>
          <cell r="X26882" t="str">
            <v>Expenses</v>
          </cell>
        </row>
        <row r="26883">
          <cell r="L26883" t="str">
            <v>Non-proportional</v>
          </cell>
          <cell r="S26883">
            <v>342.12</v>
          </cell>
          <cell r="X26883" t="str">
            <v>Expenses</v>
          </cell>
        </row>
        <row r="26884">
          <cell r="L26884" t="str">
            <v>Non-proportional</v>
          </cell>
          <cell r="S26884">
            <v>-1.29</v>
          </cell>
          <cell r="X26884" t="str">
            <v>Expenses</v>
          </cell>
        </row>
        <row r="26885">
          <cell r="L26885" t="str">
            <v>Non-proportional</v>
          </cell>
          <cell r="S26885">
            <v>180.71</v>
          </cell>
          <cell r="X26885" t="str">
            <v>Expenses</v>
          </cell>
        </row>
        <row r="26886">
          <cell r="L26886" t="str">
            <v>Non-proportional</v>
          </cell>
          <cell r="S26886">
            <v>-3.07</v>
          </cell>
          <cell r="X26886" t="str">
            <v>Expenses</v>
          </cell>
        </row>
        <row r="26887">
          <cell r="L26887" t="str">
            <v>Non-proportional</v>
          </cell>
          <cell r="S26887">
            <v>145.54</v>
          </cell>
          <cell r="X26887" t="str">
            <v>Expenses</v>
          </cell>
        </row>
        <row r="26888">
          <cell r="L26888" t="str">
            <v>Non-proportional</v>
          </cell>
          <cell r="S26888">
            <v>411.44</v>
          </cell>
          <cell r="X26888" t="str">
            <v>Expenses</v>
          </cell>
        </row>
        <row r="26889">
          <cell r="L26889" t="str">
            <v>Non-proportional</v>
          </cell>
          <cell r="S26889">
            <v>0</v>
          </cell>
          <cell r="X26889" t="str">
            <v>Expenses</v>
          </cell>
        </row>
        <row r="26890">
          <cell r="L26890" t="str">
            <v>Non-proportional</v>
          </cell>
          <cell r="S26890">
            <v>719.04</v>
          </cell>
          <cell r="X26890" t="str">
            <v>Expenses</v>
          </cell>
        </row>
        <row r="26891">
          <cell r="L26891" t="str">
            <v>Non-proportional</v>
          </cell>
          <cell r="S26891">
            <v>-0.75</v>
          </cell>
          <cell r="X26891" t="str">
            <v>Expenses</v>
          </cell>
        </row>
        <row r="26892">
          <cell r="L26892" t="str">
            <v>Non-proportional</v>
          </cell>
          <cell r="S26892">
            <v>47.94</v>
          </cell>
          <cell r="X26892" t="str">
            <v>Expenses</v>
          </cell>
        </row>
        <row r="26893">
          <cell r="L26893" t="str">
            <v>Non-proportional</v>
          </cell>
          <cell r="S26893">
            <v>111.34</v>
          </cell>
          <cell r="X26893" t="str">
            <v>Expenses</v>
          </cell>
        </row>
        <row r="26894">
          <cell r="L26894" t="str">
            <v>Non-proportional</v>
          </cell>
          <cell r="S26894">
            <v>34.71</v>
          </cell>
          <cell r="X26894" t="str">
            <v>Expenses</v>
          </cell>
        </row>
        <row r="26895">
          <cell r="L26895" t="str">
            <v>Non-proportional</v>
          </cell>
          <cell r="S26895">
            <v>-16.57</v>
          </cell>
          <cell r="X26895" t="str">
            <v>Expenses</v>
          </cell>
        </row>
        <row r="26896">
          <cell r="L26896" t="str">
            <v>Non-proportional</v>
          </cell>
          <cell r="S26896">
            <v>262.55</v>
          </cell>
          <cell r="X26896" t="str">
            <v>Expenses</v>
          </cell>
        </row>
        <row r="26897">
          <cell r="L26897" t="str">
            <v>Non-proportional</v>
          </cell>
          <cell r="S26897">
            <v>-2.85</v>
          </cell>
          <cell r="X26897" t="str">
            <v>Expenses</v>
          </cell>
        </row>
        <row r="26898">
          <cell r="L26898" t="str">
            <v>Non-proportional</v>
          </cell>
          <cell r="S26898">
            <v>34.56</v>
          </cell>
          <cell r="X26898" t="str">
            <v>Expenses</v>
          </cell>
        </row>
        <row r="26899">
          <cell r="L26899" t="str">
            <v>Non-proportional</v>
          </cell>
          <cell r="S26899">
            <v>88.39</v>
          </cell>
          <cell r="X26899" t="str">
            <v>Expenses</v>
          </cell>
        </row>
        <row r="26900">
          <cell r="L26900" t="str">
            <v>Non-proportional</v>
          </cell>
          <cell r="S26900">
            <v>-0.23</v>
          </cell>
          <cell r="X26900" t="str">
            <v>Expenses</v>
          </cell>
        </row>
        <row r="26901">
          <cell r="L26901" t="str">
            <v>Non-proportional</v>
          </cell>
          <cell r="S26901">
            <v>0</v>
          </cell>
          <cell r="X26901" t="str">
            <v>Expenses</v>
          </cell>
        </row>
        <row r="26902">
          <cell r="L26902" t="str">
            <v>Non-proportional</v>
          </cell>
          <cell r="S26902">
            <v>54.04</v>
          </cell>
          <cell r="X26902" t="str">
            <v>Expenses</v>
          </cell>
        </row>
        <row r="26903">
          <cell r="L26903" t="str">
            <v>Non-proportional</v>
          </cell>
          <cell r="S26903">
            <v>167.51</v>
          </cell>
          <cell r="X26903" t="str">
            <v>Expenses</v>
          </cell>
        </row>
        <row r="26904">
          <cell r="L26904" t="str">
            <v>Non-proportional</v>
          </cell>
          <cell r="S26904">
            <v>3.52</v>
          </cell>
          <cell r="X26904" t="str">
            <v>Expenses</v>
          </cell>
        </row>
        <row r="26905">
          <cell r="L26905" t="str">
            <v>Non-proportional</v>
          </cell>
          <cell r="S26905">
            <v>326.08999999999997</v>
          </cell>
          <cell r="X26905" t="str">
            <v>Expenses</v>
          </cell>
        </row>
        <row r="26906">
          <cell r="L26906" t="str">
            <v>Non-proportional</v>
          </cell>
          <cell r="S26906">
            <v>13.9</v>
          </cell>
          <cell r="X26906" t="str">
            <v>Expenses</v>
          </cell>
        </row>
        <row r="26907">
          <cell r="L26907" t="str">
            <v>Non-proportional</v>
          </cell>
          <cell r="S26907">
            <v>118.39</v>
          </cell>
          <cell r="X26907" t="str">
            <v>Expenses</v>
          </cell>
        </row>
        <row r="26908">
          <cell r="L26908" t="str">
            <v>Non-proportional</v>
          </cell>
          <cell r="S26908">
            <v>252.66</v>
          </cell>
          <cell r="X26908" t="str">
            <v>Expenses</v>
          </cell>
        </row>
        <row r="26909">
          <cell r="L26909" t="str">
            <v>Non-proportional</v>
          </cell>
          <cell r="S26909">
            <v>12.91</v>
          </cell>
          <cell r="X26909" t="str">
            <v>Expenses</v>
          </cell>
        </row>
        <row r="26910">
          <cell r="L26910" t="str">
            <v>Non-proportional</v>
          </cell>
          <cell r="S26910">
            <v>665.54</v>
          </cell>
          <cell r="X26910" t="str">
            <v>Expenses</v>
          </cell>
        </row>
        <row r="26911">
          <cell r="L26911" t="str">
            <v>Non-proportional</v>
          </cell>
          <cell r="S26911">
            <v>-1.65</v>
          </cell>
          <cell r="X26911" t="str">
            <v>Expenses</v>
          </cell>
        </row>
        <row r="26912">
          <cell r="L26912" t="str">
            <v>Non-proportional</v>
          </cell>
          <cell r="S26912">
            <v>69.650000000000006</v>
          </cell>
          <cell r="X26912" t="str">
            <v>Expenses</v>
          </cell>
        </row>
        <row r="26913">
          <cell r="L26913" t="str">
            <v>Non-proportional</v>
          </cell>
          <cell r="S26913">
            <v>0.79</v>
          </cell>
          <cell r="X26913" t="str">
            <v>Expenses</v>
          </cell>
        </row>
        <row r="26914">
          <cell r="L26914" t="str">
            <v>Non-proportional</v>
          </cell>
          <cell r="S26914">
            <v>-1.62</v>
          </cell>
          <cell r="X26914" t="str">
            <v>Expenses</v>
          </cell>
        </row>
        <row r="26915">
          <cell r="L26915" t="str">
            <v>Non-proportional</v>
          </cell>
          <cell r="S26915">
            <v>77.36</v>
          </cell>
          <cell r="X26915" t="str">
            <v>Expenses</v>
          </cell>
        </row>
        <row r="26916">
          <cell r="L26916" t="str">
            <v>Non-proportional</v>
          </cell>
          <cell r="S26916">
            <v>0.25</v>
          </cell>
          <cell r="X26916" t="str">
            <v>Expenses</v>
          </cell>
        </row>
        <row r="26917">
          <cell r="L26917" t="str">
            <v>Non-proportional</v>
          </cell>
          <cell r="S26917">
            <v>180.46</v>
          </cell>
          <cell r="X26917" t="str">
            <v>Expenses</v>
          </cell>
        </row>
        <row r="26918">
          <cell r="L26918" t="str">
            <v>Non-proportional</v>
          </cell>
          <cell r="S26918">
            <v>-2.2999999999999998</v>
          </cell>
          <cell r="X26918" t="str">
            <v>Expenses</v>
          </cell>
        </row>
        <row r="26919">
          <cell r="L26919" t="str">
            <v>Non-proportional</v>
          </cell>
          <cell r="S26919">
            <v>-0.23</v>
          </cell>
          <cell r="X26919" t="str">
            <v>Expenses</v>
          </cell>
        </row>
        <row r="26920">
          <cell r="L26920" t="str">
            <v>Non-proportional</v>
          </cell>
          <cell r="S26920">
            <v>0</v>
          </cell>
          <cell r="X26920" t="str">
            <v>Expenses</v>
          </cell>
        </row>
        <row r="26921">
          <cell r="L26921" t="str">
            <v>Non-proportional</v>
          </cell>
          <cell r="S26921">
            <v>10.33</v>
          </cell>
          <cell r="X26921" t="str">
            <v>Expenses</v>
          </cell>
        </row>
        <row r="26922">
          <cell r="L26922" t="str">
            <v>Non-proportional</v>
          </cell>
          <cell r="S26922">
            <v>-0.72</v>
          </cell>
          <cell r="X26922" t="str">
            <v>Expenses</v>
          </cell>
        </row>
        <row r="26923">
          <cell r="L26923" t="str">
            <v>Non-proportional</v>
          </cell>
          <cell r="S26923">
            <v>65.89</v>
          </cell>
          <cell r="X26923" t="str">
            <v>Expenses</v>
          </cell>
        </row>
        <row r="26924">
          <cell r="L26924" t="str">
            <v>Non-proportional</v>
          </cell>
          <cell r="S26924">
            <v>38.68</v>
          </cell>
          <cell r="X26924" t="str">
            <v>Expenses</v>
          </cell>
        </row>
        <row r="26925">
          <cell r="L26925" t="str">
            <v>Non-proportional</v>
          </cell>
          <cell r="S26925">
            <v>0</v>
          </cell>
          <cell r="X26925" t="str">
            <v>Expenses</v>
          </cell>
        </row>
        <row r="26926">
          <cell r="L26926" t="str">
            <v>Non-proportional</v>
          </cell>
          <cell r="S26926">
            <v>48.72</v>
          </cell>
          <cell r="X26926" t="str">
            <v>Expenses</v>
          </cell>
        </row>
        <row r="26927">
          <cell r="L26927" t="str">
            <v>Non-proportional</v>
          </cell>
          <cell r="S26927">
            <v>0.36</v>
          </cell>
          <cell r="X26927" t="str">
            <v>Expenses</v>
          </cell>
        </row>
        <row r="26928">
          <cell r="L26928" t="str">
            <v>Non-proportional</v>
          </cell>
          <cell r="S26928">
            <v>325.70999999999998</v>
          </cell>
          <cell r="X26928" t="str">
            <v>Expenses</v>
          </cell>
        </row>
        <row r="26929">
          <cell r="L26929" t="str">
            <v>Non-proportional</v>
          </cell>
          <cell r="S26929">
            <v>60.64</v>
          </cell>
          <cell r="X26929" t="str">
            <v>Expenses</v>
          </cell>
        </row>
        <row r="26930">
          <cell r="L26930" t="str">
            <v>Non-proportional</v>
          </cell>
          <cell r="S26930">
            <v>108.27</v>
          </cell>
          <cell r="X26930" t="str">
            <v>Expenses</v>
          </cell>
        </row>
        <row r="26931">
          <cell r="L26931" t="str">
            <v>Non-proportional</v>
          </cell>
          <cell r="S26931">
            <v>-24.5</v>
          </cell>
          <cell r="X26931" t="str">
            <v>Expenses</v>
          </cell>
        </row>
        <row r="26932">
          <cell r="L26932" t="str">
            <v>Non-proportional</v>
          </cell>
          <cell r="S26932">
            <v>0.48</v>
          </cell>
          <cell r="X26932" t="str">
            <v>Expenses</v>
          </cell>
        </row>
        <row r="26933">
          <cell r="L26933" t="str">
            <v>Non-proportional</v>
          </cell>
          <cell r="S26933">
            <v>42.19</v>
          </cell>
          <cell r="X26933" t="str">
            <v>Expenses</v>
          </cell>
        </row>
        <row r="26934">
          <cell r="L26934" t="str">
            <v>Non-proportional</v>
          </cell>
          <cell r="S26934">
            <v>250.09</v>
          </cell>
          <cell r="X26934" t="str">
            <v>Expenses</v>
          </cell>
        </row>
        <row r="26935">
          <cell r="L26935" t="str">
            <v>Non-proportional</v>
          </cell>
          <cell r="S26935">
            <v>-2.8</v>
          </cell>
          <cell r="X26935" t="str">
            <v>Expenses</v>
          </cell>
        </row>
        <row r="26936">
          <cell r="L26936" t="str">
            <v>Non-proportional</v>
          </cell>
          <cell r="S26936">
            <v>12.62</v>
          </cell>
          <cell r="X26936" t="str">
            <v>Expenses</v>
          </cell>
        </row>
        <row r="26937">
          <cell r="L26937" t="str">
            <v>Non-proportional</v>
          </cell>
          <cell r="S26937">
            <v>5.79</v>
          </cell>
          <cell r="X26937" t="str">
            <v>Expenses</v>
          </cell>
        </row>
        <row r="26938">
          <cell r="L26938" t="str">
            <v>Non-proportional</v>
          </cell>
          <cell r="S26938">
            <v>15.99</v>
          </cell>
          <cell r="X26938" t="str">
            <v>Expenses</v>
          </cell>
        </row>
        <row r="26939">
          <cell r="L26939" t="str">
            <v>Non-proportional</v>
          </cell>
          <cell r="S26939">
            <v>919.7</v>
          </cell>
          <cell r="X26939" t="str">
            <v>Expenses</v>
          </cell>
        </row>
        <row r="26940">
          <cell r="L26940" t="str">
            <v>Non-proportional</v>
          </cell>
          <cell r="S26940">
            <v>58.53</v>
          </cell>
          <cell r="X26940" t="str">
            <v>Expenses</v>
          </cell>
        </row>
        <row r="26941">
          <cell r="L26941" t="str">
            <v>Non-proportional</v>
          </cell>
          <cell r="S26941">
            <v>96.48</v>
          </cell>
          <cell r="X26941" t="str">
            <v>Expenses</v>
          </cell>
        </row>
        <row r="26942">
          <cell r="L26942" t="str">
            <v>Non-proportional</v>
          </cell>
          <cell r="S26942">
            <v>129.77000000000001</v>
          </cell>
          <cell r="X26942" t="str">
            <v>Expenses</v>
          </cell>
        </row>
        <row r="26943">
          <cell r="L26943" t="str">
            <v>Non-proportional</v>
          </cell>
          <cell r="S26943">
            <v>115.58</v>
          </cell>
          <cell r="X26943" t="str">
            <v>Expenses</v>
          </cell>
        </row>
        <row r="26944">
          <cell r="L26944" t="str">
            <v>Non-proportional</v>
          </cell>
          <cell r="S26944">
            <v>509.92</v>
          </cell>
          <cell r="X26944" t="str">
            <v>Expenses</v>
          </cell>
        </row>
        <row r="26945">
          <cell r="L26945" t="str">
            <v>Non-proportional</v>
          </cell>
          <cell r="S26945">
            <v>2.65</v>
          </cell>
          <cell r="X26945" t="str">
            <v>Expenses</v>
          </cell>
        </row>
        <row r="26946">
          <cell r="L26946" t="str">
            <v>Non-proportional</v>
          </cell>
          <cell r="S26946">
            <v>452.09</v>
          </cell>
          <cell r="X26946" t="str">
            <v>Expenses</v>
          </cell>
        </row>
        <row r="26947">
          <cell r="L26947" t="str">
            <v>Non-proportional</v>
          </cell>
          <cell r="S26947">
            <v>-2.2999999999999998</v>
          </cell>
          <cell r="X26947" t="str">
            <v>Expenses</v>
          </cell>
        </row>
        <row r="26948">
          <cell r="L26948" t="str">
            <v>Non-proportional</v>
          </cell>
          <cell r="S26948">
            <v>122.84</v>
          </cell>
          <cell r="X26948" t="str">
            <v>Expenses</v>
          </cell>
        </row>
        <row r="26949">
          <cell r="L26949" t="str">
            <v>Non-proportional</v>
          </cell>
          <cell r="S26949">
            <v>234.94</v>
          </cell>
          <cell r="X26949" t="str">
            <v>Expenses</v>
          </cell>
        </row>
        <row r="26950">
          <cell r="L26950" t="str">
            <v>Non-proportional</v>
          </cell>
          <cell r="S26950">
            <v>69.290000000000006</v>
          </cell>
          <cell r="X26950" t="str">
            <v>Expenses</v>
          </cell>
        </row>
        <row r="26951">
          <cell r="L26951" t="str">
            <v>Non-proportional</v>
          </cell>
          <cell r="S26951">
            <v>11.99</v>
          </cell>
          <cell r="X26951" t="str">
            <v>Expenses</v>
          </cell>
        </row>
        <row r="26952">
          <cell r="L26952" t="str">
            <v>Non-proportional</v>
          </cell>
          <cell r="S26952">
            <v>434.78</v>
          </cell>
          <cell r="X26952" t="str">
            <v>Expenses</v>
          </cell>
        </row>
        <row r="26953">
          <cell r="L26953" t="str">
            <v>Non-proportional</v>
          </cell>
          <cell r="S26953">
            <v>-4931.34</v>
          </cell>
          <cell r="X26953" t="str">
            <v>Expenses</v>
          </cell>
        </row>
        <row r="26954">
          <cell r="L26954" t="str">
            <v>Non-proportional</v>
          </cell>
          <cell r="S26954">
            <v>-1640.64</v>
          </cell>
          <cell r="X26954" t="str">
            <v>Expenses</v>
          </cell>
        </row>
        <row r="26955">
          <cell r="L26955" t="str">
            <v>Non-proportional</v>
          </cell>
          <cell r="S26955">
            <v>3.95</v>
          </cell>
          <cell r="X26955" t="str">
            <v>Expenses</v>
          </cell>
        </row>
        <row r="26956">
          <cell r="L26956" t="str">
            <v>Non-proportional</v>
          </cell>
          <cell r="S26956">
            <v>-525.78</v>
          </cell>
          <cell r="X26956" t="str">
            <v>Expenses</v>
          </cell>
        </row>
        <row r="26957">
          <cell r="L26957" t="str">
            <v>Non-proportional</v>
          </cell>
          <cell r="S26957">
            <v>78.09</v>
          </cell>
          <cell r="X26957" t="str">
            <v>Expenses</v>
          </cell>
        </row>
        <row r="26958">
          <cell r="L26958" t="str">
            <v>Non-proportional</v>
          </cell>
          <cell r="S26958">
            <v>267.2</v>
          </cell>
          <cell r="X26958" t="str">
            <v>Expenses</v>
          </cell>
        </row>
        <row r="26959">
          <cell r="L26959" t="str">
            <v>Non-proportional</v>
          </cell>
          <cell r="S26959">
            <v>-2.93</v>
          </cell>
          <cell r="X26959" t="str">
            <v>Expenses</v>
          </cell>
        </row>
        <row r="26960">
          <cell r="L26960" t="str">
            <v>Non-proportional</v>
          </cell>
          <cell r="S26960">
            <v>0.21</v>
          </cell>
          <cell r="X26960" t="str">
            <v>Expenses</v>
          </cell>
        </row>
        <row r="26961">
          <cell r="L26961" t="str">
            <v>Non-proportional</v>
          </cell>
          <cell r="S26961">
            <v>3.26</v>
          </cell>
          <cell r="X26961" t="str">
            <v>Expenses</v>
          </cell>
        </row>
        <row r="26962">
          <cell r="L26962" t="str">
            <v>Non-proportional</v>
          </cell>
          <cell r="S26962">
            <v>-0.21</v>
          </cell>
          <cell r="X26962" t="str">
            <v>Expenses</v>
          </cell>
        </row>
        <row r="26963">
          <cell r="L26963" t="str">
            <v>Non-proportional</v>
          </cell>
          <cell r="S26963">
            <v>124.43</v>
          </cell>
          <cell r="X26963" t="str">
            <v>Expenses</v>
          </cell>
        </row>
        <row r="26964">
          <cell r="L26964" t="str">
            <v>Non-proportional</v>
          </cell>
          <cell r="S26964">
            <v>-882.25</v>
          </cell>
          <cell r="X26964" t="str">
            <v>Expenses</v>
          </cell>
        </row>
        <row r="26965">
          <cell r="L26965" t="str">
            <v>Non-proportional</v>
          </cell>
          <cell r="S26965">
            <v>117.82</v>
          </cell>
          <cell r="X26965" t="str">
            <v>Expenses</v>
          </cell>
        </row>
        <row r="26966">
          <cell r="L26966" t="str">
            <v>Non-proportional</v>
          </cell>
          <cell r="S26966">
            <v>-1980.82</v>
          </cell>
          <cell r="X26966" t="str">
            <v>Expenses</v>
          </cell>
        </row>
        <row r="26967">
          <cell r="L26967" t="str">
            <v>Non-proportional</v>
          </cell>
          <cell r="S26967">
            <v>-2.64</v>
          </cell>
          <cell r="X26967" t="str">
            <v>Expenses</v>
          </cell>
        </row>
        <row r="26968">
          <cell r="L26968" t="str">
            <v>Non-proportional</v>
          </cell>
          <cell r="S26968">
            <v>102.76</v>
          </cell>
          <cell r="X26968" t="str">
            <v>Expenses</v>
          </cell>
        </row>
        <row r="26969">
          <cell r="L26969" t="str">
            <v>Non-proportional</v>
          </cell>
          <cell r="S26969">
            <v>255.1</v>
          </cell>
          <cell r="X26969" t="str">
            <v>Expenses</v>
          </cell>
        </row>
        <row r="26970">
          <cell r="L26970" t="str">
            <v>Non-proportional</v>
          </cell>
          <cell r="S26970">
            <v>86.29</v>
          </cell>
          <cell r="X26970" t="str">
            <v>Expenses</v>
          </cell>
        </row>
        <row r="26971">
          <cell r="L26971" t="str">
            <v>Non-proportional</v>
          </cell>
          <cell r="S26971">
            <v>-1098.8900000000001</v>
          </cell>
          <cell r="X26971" t="str">
            <v>Expenses</v>
          </cell>
        </row>
        <row r="26972">
          <cell r="L26972" t="str">
            <v>Non-proportional</v>
          </cell>
          <cell r="S26972">
            <v>-16.100000000000001</v>
          </cell>
          <cell r="X26972" t="str">
            <v>Expenses</v>
          </cell>
        </row>
        <row r="26973">
          <cell r="L26973" t="str">
            <v>Non-proportional</v>
          </cell>
          <cell r="S26973">
            <v>0.33</v>
          </cell>
          <cell r="X26973" t="str">
            <v>Expenses</v>
          </cell>
        </row>
        <row r="26974">
          <cell r="L26974" t="str">
            <v>Non-proportional</v>
          </cell>
          <cell r="S26974">
            <v>368.5</v>
          </cell>
          <cell r="X26974" t="str">
            <v>Expenses</v>
          </cell>
        </row>
        <row r="26975">
          <cell r="L26975" t="str">
            <v>Non-proportional</v>
          </cell>
          <cell r="S26975">
            <v>13.04</v>
          </cell>
          <cell r="X26975" t="str">
            <v>Expenses</v>
          </cell>
        </row>
        <row r="26976">
          <cell r="L26976" t="str">
            <v>Non-proportional</v>
          </cell>
          <cell r="S26976">
            <v>58.92</v>
          </cell>
          <cell r="X26976" t="str">
            <v>Expenses</v>
          </cell>
        </row>
        <row r="26977">
          <cell r="L26977" t="str">
            <v>Non-proportional</v>
          </cell>
          <cell r="S26977">
            <v>90.61</v>
          </cell>
          <cell r="X26977" t="str">
            <v>Expenses</v>
          </cell>
        </row>
        <row r="26978">
          <cell r="L26978" t="str">
            <v>Non-proportional</v>
          </cell>
          <cell r="S26978">
            <v>125.21</v>
          </cell>
          <cell r="X26978" t="str">
            <v>Expenses</v>
          </cell>
        </row>
        <row r="26979">
          <cell r="L26979" t="str">
            <v>Non-proportional</v>
          </cell>
          <cell r="S26979">
            <v>38.71</v>
          </cell>
          <cell r="X26979" t="str">
            <v>Expenses</v>
          </cell>
        </row>
        <row r="26980">
          <cell r="L26980" t="str">
            <v>Proportional</v>
          </cell>
          <cell r="S26980">
            <v>4459.59</v>
          </cell>
          <cell r="X26980" t="str">
            <v>Expenses</v>
          </cell>
        </row>
        <row r="26981">
          <cell r="L26981" t="str">
            <v>Non-proportional</v>
          </cell>
          <cell r="S26981">
            <v>64.86</v>
          </cell>
          <cell r="X26981" t="str">
            <v>Expenses</v>
          </cell>
        </row>
        <row r="26982">
          <cell r="L26982" t="str">
            <v>Non-proportional</v>
          </cell>
          <cell r="S26982">
            <v>-682.79</v>
          </cell>
          <cell r="X26982" t="str">
            <v>Expenses</v>
          </cell>
        </row>
        <row r="26983">
          <cell r="L26983" t="str">
            <v>Non-proportional</v>
          </cell>
          <cell r="S26983">
            <v>0.44</v>
          </cell>
          <cell r="X26983" t="str">
            <v>Expenses</v>
          </cell>
        </row>
        <row r="26984">
          <cell r="L26984" t="str">
            <v>Non-proportional</v>
          </cell>
          <cell r="S26984">
            <v>38.47</v>
          </cell>
          <cell r="X26984" t="str">
            <v>Expenses</v>
          </cell>
        </row>
        <row r="26985">
          <cell r="L26985" t="str">
            <v>Non-proportional</v>
          </cell>
          <cell r="S26985">
            <v>-2702.01</v>
          </cell>
          <cell r="X26985" t="str">
            <v>Expenses</v>
          </cell>
        </row>
        <row r="26986">
          <cell r="L26986" t="str">
            <v>Non-proportional</v>
          </cell>
          <cell r="S26986">
            <v>53.56</v>
          </cell>
          <cell r="X26986" t="str">
            <v>Expenses</v>
          </cell>
        </row>
        <row r="26987">
          <cell r="L26987" t="str">
            <v>Non-proportional</v>
          </cell>
          <cell r="S26987">
            <v>38.81</v>
          </cell>
          <cell r="X26987" t="str">
            <v>Expenses</v>
          </cell>
        </row>
        <row r="26988">
          <cell r="L26988" t="str">
            <v>Non-proportional</v>
          </cell>
          <cell r="S26988">
            <v>48.32</v>
          </cell>
          <cell r="X26988" t="str">
            <v>Expenses</v>
          </cell>
        </row>
        <row r="26989">
          <cell r="L26989" t="str">
            <v>Non-proportional</v>
          </cell>
          <cell r="S26989">
            <v>89.13</v>
          </cell>
          <cell r="X26989" t="str">
            <v>Expenses</v>
          </cell>
        </row>
        <row r="26990">
          <cell r="L26990" t="str">
            <v>Non-proportional</v>
          </cell>
          <cell r="S26990">
            <v>132.27000000000001</v>
          </cell>
          <cell r="X26990" t="str">
            <v>Expenses</v>
          </cell>
        </row>
        <row r="26991">
          <cell r="L26991" t="str">
            <v>Non-proportional</v>
          </cell>
          <cell r="S26991">
            <v>81.34</v>
          </cell>
          <cell r="X26991" t="str">
            <v>Expenses</v>
          </cell>
        </row>
        <row r="26992">
          <cell r="L26992" t="str">
            <v>Non-proportional</v>
          </cell>
          <cell r="S26992">
            <v>497.06</v>
          </cell>
          <cell r="X26992" t="str">
            <v>Expenses</v>
          </cell>
        </row>
        <row r="26993">
          <cell r="L26993" t="str">
            <v>Non-proportional</v>
          </cell>
          <cell r="S26993">
            <v>-3147.52</v>
          </cell>
          <cell r="X26993" t="str">
            <v>Expenses</v>
          </cell>
        </row>
        <row r="26994">
          <cell r="L26994" t="str">
            <v>Non-proportional</v>
          </cell>
          <cell r="S26994">
            <v>48.32</v>
          </cell>
          <cell r="X26994" t="str">
            <v>Expenses</v>
          </cell>
        </row>
        <row r="26995">
          <cell r="L26995" t="str">
            <v>Non-proportional</v>
          </cell>
          <cell r="S26995">
            <v>20.149999999999999</v>
          </cell>
          <cell r="X26995" t="str">
            <v>Expenses</v>
          </cell>
        </row>
        <row r="26996">
          <cell r="L26996" t="str">
            <v>Non-proportional</v>
          </cell>
          <cell r="S26996">
            <v>83.74</v>
          </cell>
          <cell r="X26996" t="str">
            <v>Expenses</v>
          </cell>
        </row>
        <row r="26997">
          <cell r="L26997" t="str">
            <v>Non-proportional</v>
          </cell>
          <cell r="S26997">
            <v>60.69</v>
          </cell>
          <cell r="X26997" t="str">
            <v>Expenses</v>
          </cell>
        </row>
        <row r="26998">
          <cell r="L26998" t="str">
            <v>Non-proportional</v>
          </cell>
          <cell r="S26998">
            <v>0</v>
          </cell>
          <cell r="X26998" t="str">
            <v>Expenses</v>
          </cell>
        </row>
        <row r="26999">
          <cell r="L26999" t="str">
            <v>Non-proportional</v>
          </cell>
          <cell r="S26999">
            <v>26.6</v>
          </cell>
          <cell r="X26999" t="str">
            <v>Expenses</v>
          </cell>
        </row>
        <row r="27000">
          <cell r="L27000" t="str">
            <v>Non-proportional</v>
          </cell>
          <cell r="S27000">
            <v>27.22</v>
          </cell>
          <cell r="X27000" t="str">
            <v>Expenses</v>
          </cell>
        </row>
        <row r="27001">
          <cell r="L27001" t="str">
            <v>Non-proportional</v>
          </cell>
          <cell r="S27001">
            <v>157.79</v>
          </cell>
          <cell r="X27001" t="str">
            <v>Expenses</v>
          </cell>
        </row>
        <row r="27002">
          <cell r="L27002" t="str">
            <v>Non-proportional</v>
          </cell>
          <cell r="S27002">
            <v>409.1</v>
          </cell>
          <cell r="X27002" t="str">
            <v>Expenses</v>
          </cell>
        </row>
        <row r="27003">
          <cell r="L27003" t="str">
            <v>Non-proportional</v>
          </cell>
          <cell r="S27003">
            <v>18.29</v>
          </cell>
          <cell r="X27003" t="str">
            <v>Expenses</v>
          </cell>
        </row>
        <row r="27004">
          <cell r="L27004" t="str">
            <v>Non-proportional</v>
          </cell>
          <cell r="S27004">
            <v>91.67</v>
          </cell>
          <cell r="X27004" t="str">
            <v>Expenses</v>
          </cell>
        </row>
        <row r="27005">
          <cell r="L27005" t="str">
            <v>Non-proportional</v>
          </cell>
          <cell r="S27005">
            <v>25.31</v>
          </cell>
          <cell r="X27005" t="str">
            <v>Expenses</v>
          </cell>
        </row>
        <row r="27006">
          <cell r="L27006" t="str">
            <v>Non-proportional</v>
          </cell>
          <cell r="S27006">
            <v>-1640.64</v>
          </cell>
          <cell r="X27006" t="str">
            <v>Expenses</v>
          </cell>
        </row>
        <row r="27007">
          <cell r="L27007" t="str">
            <v>Non-proportional</v>
          </cell>
          <cell r="S27007">
            <v>-1148.44</v>
          </cell>
          <cell r="X27007" t="str">
            <v>Expenses</v>
          </cell>
        </row>
        <row r="27008">
          <cell r="L27008" t="str">
            <v>Non-proportional</v>
          </cell>
          <cell r="S27008">
            <v>-3520.17</v>
          </cell>
          <cell r="X27008" t="str">
            <v>Expenses</v>
          </cell>
        </row>
        <row r="27009">
          <cell r="L27009" t="str">
            <v>Non-proportional</v>
          </cell>
          <cell r="S27009">
            <v>32.479999999999997</v>
          </cell>
          <cell r="X27009" t="str">
            <v>Expenses</v>
          </cell>
        </row>
        <row r="27010">
          <cell r="L27010" t="str">
            <v>Non-proportional</v>
          </cell>
          <cell r="S27010">
            <v>-1188.17</v>
          </cell>
          <cell r="X27010" t="str">
            <v>Expenses</v>
          </cell>
        </row>
        <row r="27011">
          <cell r="L27011" t="str">
            <v>Non-proportional</v>
          </cell>
          <cell r="S27011">
            <v>9.15</v>
          </cell>
          <cell r="X27011" t="str">
            <v>Expenses</v>
          </cell>
        </row>
        <row r="27012">
          <cell r="L27012" t="str">
            <v>Non-proportional</v>
          </cell>
          <cell r="S27012">
            <v>55</v>
          </cell>
          <cell r="X27012" t="str">
            <v>Expenses</v>
          </cell>
        </row>
        <row r="27013">
          <cell r="L27013" t="str">
            <v>Non-proportional</v>
          </cell>
          <cell r="S27013">
            <v>325.07</v>
          </cell>
          <cell r="X27013" t="str">
            <v>Expenses</v>
          </cell>
        </row>
        <row r="27014">
          <cell r="L27014" t="str">
            <v>Non-proportional</v>
          </cell>
          <cell r="S27014">
            <v>-1123.03</v>
          </cell>
          <cell r="X27014" t="str">
            <v>Expenses</v>
          </cell>
        </row>
        <row r="27015">
          <cell r="L27015" t="str">
            <v>Non-proportional</v>
          </cell>
          <cell r="S27015">
            <v>66.67</v>
          </cell>
          <cell r="X27015" t="str">
            <v>Expenses</v>
          </cell>
        </row>
        <row r="27016">
          <cell r="L27016" t="str">
            <v>Non-proportional</v>
          </cell>
          <cell r="S27016">
            <v>73.069999999999993</v>
          </cell>
          <cell r="X27016" t="str">
            <v>Expenses</v>
          </cell>
        </row>
        <row r="27017">
          <cell r="L27017" t="str">
            <v>Non-proportional</v>
          </cell>
          <cell r="S27017">
            <v>175.34</v>
          </cell>
          <cell r="X27017" t="str">
            <v>Expenses</v>
          </cell>
        </row>
        <row r="27018">
          <cell r="L27018" t="str">
            <v>Non-proportional</v>
          </cell>
          <cell r="S27018">
            <v>76.180000000000007</v>
          </cell>
          <cell r="X27018" t="str">
            <v>Expenses</v>
          </cell>
        </row>
        <row r="27019">
          <cell r="L27019" t="str">
            <v>Non-proportional</v>
          </cell>
          <cell r="S27019">
            <v>76.69</v>
          </cell>
          <cell r="X27019" t="str">
            <v>Expenses</v>
          </cell>
        </row>
        <row r="27020">
          <cell r="L27020" t="str">
            <v>Non-proportional</v>
          </cell>
          <cell r="S27020">
            <v>-542.16</v>
          </cell>
          <cell r="X27020" t="str">
            <v>Expenses</v>
          </cell>
        </row>
        <row r="27021">
          <cell r="L27021" t="str">
            <v>Non-proportional</v>
          </cell>
          <cell r="S27021">
            <v>132.51</v>
          </cell>
          <cell r="X27021" t="str">
            <v>Expenses</v>
          </cell>
        </row>
        <row r="27022">
          <cell r="L27022" t="str">
            <v>Non-proportional</v>
          </cell>
          <cell r="S27022">
            <v>138.41</v>
          </cell>
          <cell r="X27022" t="str">
            <v>Expenses</v>
          </cell>
        </row>
        <row r="27023">
          <cell r="L27023" t="str">
            <v>Non-proportional</v>
          </cell>
          <cell r="S27023">
            <v>-0.65</v>
          </cell>
          <cell r="X27023" t="str">
            <v>Expenses</v>
          </cell>
        </row>
        <row r="27024">
          <cell r="L27024" t="str">
            <v>Non-proportional</v>
          </cell>
          <cell r="S27024">
            <v>0.79</v>
          </cell>
          <cell r="X27024" t="str">
            <v>Expenses</v>
          </cell>
        </row>
        <row r="27025">
          <cell r="L27025" t="str">
            <v>Non-proportional</v>
          </cell>
          <cell r="S27025">
            <v>4.09</v>
          </cell>
          <cell r="X27025" t="str">
            <v>Expenses</v>
          </cell>
        </row>
        <row r="27026">
          <cell r="L27026" t="str">
            <v>Non-proportional</v>
          </cell>
          <cell r="S27026">
            <v>-0.27</v>
          </cell>
          <cell r="X27026" t="str">
            <v>Expenses</v>
          </cell>
        </row>
        <row r="27027">
          <cell r="L27027" t="str">
            <v>Non-proportional</v>
          </cell>
          <cell r="S27027">
            <v>113.78</v>
          </cell>
          <cell r="X27027" t="str">
            <v>Expenses</v>
          </cell>
        </row>
        <row r="27028">
          <cell r="L27028" t="str">
            <v>Non-proportional</v>
          </cell>
          <cell r="S27028">
            <v>-3919.49</v>
          </cell>
          <cell r="X27028" t="str">
            <v>Expenses</v>
          </cell>
        </row>
        <row r="27029">
          <cell r="L27029" t="str">
            <v>Non-proportional</v>
          </cell>
          <cell r="S27029">
            <v>74.91</v>
          </cell>
          <cell r="X27029" t="str">
            <v>Expenses</v>
          </cell>
        </row>
        <row r="27030">
          <cell r="L27030" t="str">
            <v>Non-proportional</v>
          </cell>
          <cell r="S27030">
            <v>196.03</v>
          </cell>
          <cell r="X27030" t="str">
            <v>Expenses</v>
          </cell>
        </row>
        <row r="27031">
          <cell r="L27031" t="str">
            <v>Non-proportional</v>
          </cell>
          <cell r="S27031">
            <v>34.299999999999997</v>
          </cell>
          <cell r="X27031" t="str">
            <v>Expenses</v>
          </cell>
        </row>
        <row r="27032">
          <cell r="L27032" t="str">
            <v>Non-proportional</v>
          </cell>
          <cell r="S27032">
            <v>1.27</v>
          </cell>
          <cell r="X27032" t="str">
            <v>Expenses</v>
          </cell>
        </row>
        <row r="27033">
          <cell r="L27033" t="str">
            <v>Non-proportional</v>
          </cell>
          <cell r="S27033">
            <v>141.41</v>
          </cell>
          <cell r="X27033" t="str">
            <v>Expenses</v>
          </cell>
        </row>
        <row r="27034">
          <cell r="L27034" t="str">
            <v>Non-proportional</v>
          </cell>
          <cell r="S27034">
            <v>-542.16</v>
          </cell>
          <cell r="X27034" t="str">
            <v>Expenses</v>
          </cell>
        </row>
        <row r="27035">
          <cell r="L27035" t="str">
            <v>Non-proportional</v>
          </cell>
          <cell r="S27035">
            <v>-873.28</v>
          </cell>
          <cell r="X27035" t="str">
            <v>Expenses</v>
          </cell>
        </row>
        <row r="27036">
          <cell r="L27036" t="str">
            <v>Non-proportional</v>
          </cell>
          <cell r="S27036">
            <v>67.16</v>
          </cell>
          <cell r="X27036" t="str">
            <v>Expenses</v>
          </cell>
        </row>
        <row r="27037">
          <cell r="L27037" t="str">
            <v>Non-proportional</v>
          </cell>
          <cell r="S27037">
            <v>262.83</v>
          </cell>
          <cell r="X27037" t="str">
            <v>Expenses</v>
          </cell>
        </row>
        <row r="27038">
          <cell r="L27038" t="str">
            <v>Non-proportional</v>
          </cell>
          <cell r="S27038">
            <v>207.39</v>
          </cell>
          <cell r="X27038" t="str">
            <v>Expenses</v>
          </cell>
        </row>
        <row r="27039">
          <cell r="L27039" t="str">
            <v>Non-proportional</v>
          </cell>
          <cell r="S27039">
            <v>99.76</v>
          </cell>
          <cell r="X27039" t="str">
            <v>Expenses</v>
          </cell>
        </row>
        <row r="27040">
          <cell r="L27040" t="str">
            <v>Non-proportional</v>
          </cell>
          <cell r="S27040">
            <v>39.07</v>
          </cell>
          <cell r="X27040" t="str">
            <v>Expenses</v>
          </cell>
        </row>
        <row r="27041">
          <cell r="L27041" t="str">
            <v>Non-proportional</v>
          </cell>
          <cell r="S27041">
            <v>47.34</v>
          </cell>
          <cell r="X27041" t="str">
            <v>Expenses</v>
          </cell>
        </row>
        <row r="27042">
          <cell r="L27042" t="str">
            <v>Non-proportional</v>
          </cell>
          <cell r="S27042">
            <v>100.74</v>
          </cell>
          <cell r="X27042" t="str">
            <v>Expenses</v>
          </cell>
        </row>
        <row r="27043">
          <cell r="L27043" t="str">
            <v>Non-proportional</v>
          </cell>
          <cell r="S27043">
            <v>688.29</v>
          </cell>
          <cell r="X27043" t="str">
            <v>Expenses</v>
          </cell>
        </row>
        <row r="27044">
          <cell r="L27044" t="str">
            <v>Non-proportional</v>
          </cell>
          <cell r="S27044">
            <v>36.53</v>
          </cell>
          <cell r="X27044" t="str">
            <v>Expenses</v>
          </cell>
        </row>
        <row r="27045">
          <cell r="L27045" t="str">
            <v>Non-proportional</v>
          </cell>
          <cell r="S27045">
            <v>61.8</v>
          </cell>
          <cell r="X27045" t="str">
            <v>Expenses</v>
          </cell>
        </row>
        <row r="27046">
          <cell r="L27046" t="str">
            <v>Non-proportional</v>
          </cell>
          <cell r="S27046">
            <v>12.77</v>
          </cell>
          <cell r="X27046" t="str">
            <v>Expenses</v>
          </cell>
        </row>
        <row r="27047">
          <cell r="L27047" t="str">
            <v>Non-proportional</v>
          </cell>
          <cell r="S27047">
            <v>26.62</v>
          </cell>
          <cell r="X27047" t="str">
            <v>Expenses</v>
          </cell>
        </row>
        <row r="27048">
          <cell r="L27048" t="str">
            <v>Non-proportional</v>
          </cell>
          <cell r="S27048">
            <v>632.37</v>
          </cell>
          <cell r="X27048" t="str">
            <v>Expenses</v>
          </cell>
        </row>
        <row r="27049">
          <cell r="L27049" t="str">
            <v>Non-proportional</v>
          </cell>
          <cell r="S27049">
            <v>252.46</v>
          </cell>
          <cell r="X27049" t="str">
            <v>Expenses</v>
          </cell>
        </row>
        <row r="27050">
          <cell r="L27050" t="str">
            <v>Non-proportional</v>
          </cell>
          <cell r="S27050">
            <v>-1.41</v>
          </cell>
          <cell r="X27050" t="str">
            <v>Expenses</v>
          </cell>
        </row>
        <row r="27051">
          <cell r="L27051" t="str">
            <v>Non-proportional</v>
          </cell>
          <cell r="S27051">
            <v>172.44</v>
          </cell>
          <cell r="X27051" t="str">
            <v>Expenses</v>
          </cell>
        </row>
        <row r="27052">
          <cell r="L27052" t="str">
            <v>Non-proportional</v>
          </cell>
          <cell r="S27052">
            <v>171.71</v>
          </cell>
          <cell r="X27052" t="str">
            <v>Expenses</v>
          </cell>
        </row>
        <row r="27053">
          <cell r="L27053" t="str">
            <v>Non-proportional</v>
          </cell>
          <cell r="S27053">
            <v>9.58</v>
          </cell>
          <cell r="X27053" t="str">
            <v>Expenses</v>
          </cell>
        </row>
        <row r="27054">
          <cell r="L27054" t="str">
            <v>Non-proportional</v>
          </cell>
          <cell r="S27054">
            <v>243.14</v>
          </cell>
          <cell r="X27054" t="str">
            <v>Expenses</v>
          </cell>
        </row>
        <row r="27055">
          <cell r="L27055" t="str">
            <v>Non-proportional</v>
          </cell>
          <cell r="S27055">
            <v>-1.68</v>
          </cell>
          <cell r="X27055" t="str">
            <v>Expenses</v>
          </cell>
        </row>
        <row r="27056">
          <cell r="L27056" t="str">
            <v>Non-proportional</v>
          </cell>
          <cell r="S27056">
            <v>0.56999999999999995</v>
          </cell>
          <cell r="X27056" t="str">
            <v>Expenses</v>
          </cell>
        </row>
        <row r="27057">
          <cell r="L27057" t="str">
            <v>Non-proportional</v>
          </cell>
          <cell r="S27057">
            <v>296.63</v>
          </cell>
          <cell r="X27057" t="str">
            <v>Expenses</v>
          </cell>
        </row>
        <row r="27058">
          <cell r="L27058" t="str">
            <v>Non-proportional</v>
          </cell>
          <cell r="S27058">
            <v>194.61</v>
          </cell>
          <cell r="X27058" t="str">
            <v>Expenses</v>
          </cell>
        </row>
        <row r="27059">
          <cell r="L27059" t="str">
            <v>Non-proportional</v>
          </cell>
          <cell r="S27059">
            <v>25.85</v>
          </cell>
          <cell r="X27059" t="str">
            <v>Expenses</v>
          </cell>
        </row>
        <row r="27060">
          <cell r="L27060" t="str">
            <v>Non-proportional</v>
          </cell>
          <cell r="S27060">
            <v>29.06</v>
          </cell>
          <cell r="X27060" t="str">
            <v>Expenses</v>
          </cell>
        </row>
        <row r="27061">
          <cell r="L27061" t="str">
            <v>Non-proportional</v>
          </cell>
          <cell r="S27061">
            <v>661.41</v>
          </cell>
          <cell r="X27061" t="str">
            <v>Expenses</v>
          </cell>
        </row>
        <row r="27062">
          <cell r="L27062" t="str">
            <v>Non-proportional</v>
          </cell>
          <cell r="S27062">
            <v>22.49</v>
          </cell>
          <cell r="X27062" t="str">
            <v>Expenses</v>
          </cell>
        </row>
        <row r="27063">
          <cell r="L27063" t="str">
            <v>Non-proportional</v>
          </cell>
          <cell r="S27063">
            <v>55.08</v>
          </cell>
          <cell r="X27063" t="str">
            <v>Expenses</v>
          </cell>
        </row>
        <row r="27064">
          <cell r="L27064" t="str">
            <v>Non-proportional</v>
          </cell>
          <cell r="S27064">
            <v>-2811.78</v>
          </cell>
          <cell r="X27064" t="str">
            <v>Expenses</v>
          </cell>
        </row>
        <row r="27065">
          <cell r="L27065" t="str">
            <v>Non-proportional</v>
          </cell>
          <cell r="S27065">
            <v>504.96</v>
          </cell>
          <cell r="X27065" t="str">
            <v>Expenses</v>
          </cell>
        </row>
        <row r="27066">
          <cell r="L27066" t="str">
            <v>Non-proportional</v>
          </cell>
          <cell r="S27066">
            <v>0.23</v>
          </cell>
          <cell r="X27066" t="str">
            <v>Expenses</v>
          </cell>
        </row>
        <row r="27067">
          <cell r="L27067" t="str">
            <v>Non-proportional</v>
          </cell>
          <cell r="S27067">
            <v>17.190000000000001</v>
          </cell>
          <cell r="X27067" t="str">
            <v>Expenses</v>
          </cell>
        </row>
        <row r="27068">
          <cell r="L27068" t="str">
            <v>Non-proportional</v>
          </cell>
          <cell r="S27068">
            <v>35.380000000000003</v>
          </cell>
          <cell r="X27068" t="str">
            <v>Expenses</v>
          </cell>
        </row>
        <row r="27069">
          <cell r="L27069" t="str">
            <v>Non-proportional</v>
          </cell>
          <cell r="S27069">
            <v>338.25</v>
          </cell>
          <cell r="X27069" t="str">
            <v>Expenses</v>
          </cell>
        </row>
        <row r="27070">
          <cell r="L27070" t="str">
            <v>Non-proportional</v>
          </cell>
          <cell r="S27070">
            <v>31.9</v>
          </cell>
          <cell r="X27070" t="str">
            <v>Expenses</v>
          </cell>
        </row>
        <row r="27071">
          <cell r="L27071" t="str">
            <v>Non-proportional</v>
          </cell>
          <cell r="S27071">
            <v>95.1</v>
          </cell>
          <cell r="X27071" t="str">
            <v>Expenses</v>
          </cell>
        </row>
        <row r="27072">
          <cell r="L27072" t="str">
            <v>Non-proportional</v>
          </cell>
          <cell r="S27072">
            <v>-1139.24</v>
          </cell>
          <cell r="X27072" t="str">
            <v>Expenses</v>
          </cell>
        </row>
        <row r="27073">
          <cell r="L27073" t="str">
            <v>Non-proportional</v>
          </cell>
          <cell r="S27073">
            <v>67.33</v>
          </cell>
          <cell r="X27073" t="str">
            <v>Expenses</v>
          </cell>
        </row>
        <row r="27074">
          <cell r="L27074" t="str">
            <v>Non-proportional</v>
          </cell>
          <cell r="S27074">
            <v>284.02</v>
          </cell>
          <cell r="X27074" t="str">
            <v>Expenses</v>
          </cell>
        </row>
        <row r="27075">
          <cell r="L27075" t="str">
            <v>Non-proportional</v>
          </cell>
          <cell r="S27075">
            <v>-415.4</v>
          </cell>
          <cell r="X27075" t="str">
            <v>Expenses</v>
          </cell>
        </row>
        <row r="27076">
          <cell r="L27076" t="str">
            <v>Non-proportional</v>
          </cell>
          <cell r="S27076">
            <v>-6890.15</v>
          </cell>
          <cell r="X27076" t="str">
            <v>Expenses</v>
          </cell>
        </row>
        <row r="27077">
          <cell r="L27077" t="str">
            <v>Non-proportional</v>
          </cell>
          <cell r="S27077">
            <v>8.18</v>
          </cell>
          <cell r="X27077" t="str">
            <v>Expenses</v>
          </cell>
        </row>
        <row r="27078">
          <cell r="L27078" t="str">
            <v>Non-proportional</v>
          </cell>
          <cell r="S27078">
            <v>11.97</v>
          </cell>
          <cell r="X27078" t="str">
            <v>Expenses</v>
          </cell>
        </row>
        <row r="27079">
          <cell r="L27079" t="str">
            <v>Non-proportional</v>
          </cell>
          <cell r="S27079">
            <v>479.2</v>
          </cell>
          <cell r="X27079" t="str">
            <v>Expenses</v>
          </cell>
        </row>
        <row r="27080">
          <cell r="L27080" t="str">
            <v>Non-proportional</v>
          </cell>
          <cell r="S27080">
            <v>460.56</v>
          </cell>
          <cell r="X27080" t="str">
            <v>Expenses</v>
          </cell>
        </row>
        <row r="27081">
          <cell r="L27081" t="str">
            <v>Non-proportional</v>
          </cell>
          <cell r="S27081">
            <v>16.86</v>
          </cell>
          <cell r="X27081" t="str">
            <v>Expenses</v>
          </cell>
        </row>
        <row r="27082">
          <cell r="L27082" t="str">
            <v>Non-proportional</v>
          </cell>
          <cell r="S27082">
            <v>932.06</v>
          </cell>
          <cell r="X27082" t="str">
            <v>Expenses</v>
          </cell>
        </row>
        <row r="27083">
          <cell r="L27083" t="str">
            <v>Non-proportional</v>
          </cell>
          <cell r="S27083">
            <v>-0.78</v>
          </cell>
          <cell r="X27083" t="str">
            <v>Expenses</v>
          </cell>
        </row>
        <row r="27084">
          <cell r="L27084" t="str">
            <v>Non-proportional</v>
          </cell>
          <cell r="S27084">
            <v>-241.82</v>
          </cell>
          <cell r="X27084" t="str">
            <v>Expenses</v>
          </cell>
        </row>
        <row r="27085">
          <cell r="L27085" t="str">
            <v>Non-proportional</v>
          </cell>
          <cell r="S27085">
            <v>108.18</v>
          </cell>
          <cell r="X27085" t="str">
            <v>Expenses</v>
          </cell>
        </row>
        <row r="27086">
          <cell r="L27086" t="str">
            <v>Non-proportional</v>
          </cell>
          <cell r="S27086">
            <v>-507.16</v>
          </cell>
          <cell r="X27086" t="str">
            <v>Expenses</v>
          </cell>
        </row>
        <row r="27087">
          <cell r="L27087" t="str">
            <v>Non-proportional</v>
          </cell>
          <cell r="S27087">
            <v>143.6</v>
          </cell>
          <cell r="X27087" t="str">
            <v>Expenses</v>
          </cell>
        </row>
        <row r="27088">
          <cell r="L27088" t="str">
            <v>Non-proportional</v>
          </cell>
          <cell r="S27088">
            <v>239.47</v>
          </cell>
          <cell r="X27088" t="str">
            <v>Expenses</v>
          </cell>
        </row>
        <row r="27089">
          <cell r="L27089" t="str">
            <v>Non-proportional</v>
          </cell>
          <cell r="S27089">
            <v>82.89</v>
          </cell>
          <cell r="X27089" t="str">
            <v>Expenses</v>
          </cell>
        </row>
        <row r="27090">
          <cell r="L27090" t="str">
            <v>Non-proportional</v>
          </cell>
          <cell r="S27090">
            <v>-394.34</v>
          </cell>
          <cell r="X27090" t="str">
            <v>Expenses</v>
          </cell>
        </row>
        <row r="27091">
          <cell r="L27091" t="str">
            <v>Non-proportional</v>
          </cell>
          <cell r="S27091">
            <v>175.13</v>
          </cell>
          <cell r="X27091" t="str">
            <v>Expenses</v>
          </cell>
        </row>
        <row r="27092">
          <cell r="L27092" t="str">
            <v>Non-proportional</v>
          </cell>
          <cell r="S27092">
            <v>683.21</v>
          </cell>
          <cell r="X27092" t="str">
            <v>Expenses</v>
          </cell>
        </row>
        <row r="27093">
          <cell r="L27093" t="str">
            <v>Non-proportional</v>
          </cell>
          <cell r="S27093">
            <v>15.65</v>
          </cell>
          <cell r="X27093" t="str">
            <v>Expenses</v>
          </cell>
        </row>
        <row r="27094">
          <cell r="L27094" t="str">
            <v>Non-proportional</v>
          </cell>
          <cell r="S27094">
            <v>-1764.09</v>
          </cell>
          <cell r="X27094" t="str">
            <v>Expenses</v>
          </cell>
        </row>
        <row r="27095">
          <cell r="L27095" t="str">
            <v>Non-proportional</v>
          </cell>
          <cell r="S27095">
            <v>178.16</v>
          </cell>
          <cell r="X27095" t="str">
            <v>Expenses</v>
          </cell>
        </row>
        <row r="27096">
          <cell r="L27096" t="str">
            <v>Non-proportional</v>
          </cell>
          <cell r="S27096">
            <v>61.85</v>
          </cell>
          <cell r="X27096" t="str">
            <v>Expenses</v>
          </cell>
        </row>
        <row r="27097">
          <cell r="L27097" t="str">
            <v>Non-proportional</v>
          </cell>
          <cell r="S27097">
            <v>175.28</v>
          </cell>
          <cell r="X27097" t="str">
            <v>Expenses</v>
          </cell>
        </row>
        <row r="27098">
          <cell r="L27098" t="str">
            <v>Non-proportional</v>
          </cell>
          <cell r="S27098">
            <v>2.92</v>
          </cell>
          <cell r="X27098" t="str">
            <v>Expenses</v>
          </cell>
        </row>
        <row r="27099">
          <cell r="L27099" t="str">
            <v>Non-proportional</v>
          </cell>
          <cell r="S27099">
            <v>-2448.9499999999998</v>
          </cell>
          <cell r="X27099" t="str">
            <v>Expenses</v>
          </cell>
        </row>
        <row r="27100">
          <cell r="L27100" t="str">
            <v>Non-proportional</v>
          </cell>
          <cell r="S27100">
            <v>-1980.82</v>
          </cell>
          <cell r="X27100" t="str">
            <v>Expenses</v>
          </cell>
        </row>
        <row r="27101">
          <cell r="L27101" t="str">
            <v>Non-proportional</v>
          </cell>
          <cell r="S27101">
            <v>222.94</v>
          </cell>
          <cell r="X27101" t="str">
            <v>Expenses</v>
          </cell>
        </row>
        <row r="27102">
          <cell r="L27102" t="str">
            <v>Non-proportional</v>
          </cell>
          <cell r="S27102">
            <v>-0.21</v>
          </cell>
          <cell r="X27102" t="str">
            <v>Expenses</v>
          </cell>
        </row>
        <row r="27103">
          <cell r="L27103" t="str">
            <v>Non-proportional</v>
          </cell>
          <cell r="S27103">
            <v>190.99</v>
          </cell>
          <cell r="X27103" t="str">
            <v>Expenses</v>
          </cell>
        </row>
        <row r="27104">
          <cell r="L27104" t="str">
            <v>Non-proportional</v>
          </cell>
          <cell r="S27104">
            <v>189.36</v>
          </cell>
          <cell r="X27104" t="str">
            <v>Expenses</v>
          </cell>
        </row>
        <row r="27105">
          <cell r="L27105" t="str">
            <v>Non-proportional</v>
          </cell>
          <cell r="S27105">
            <v>39.200000000000003</v>
          </cell>
          <cell r="X27105" t="str">
            <v>Expenses</v>
          </cell>
        </row>
        <row r="27106">
          <cell r="L27106" t="str">
            <v>Non-proportional</v>
          </cell>
          <cell r="S27106">
            <v>341.88</v>
          </cell>
          <cell r="X27106" t="str">
            <v>Expenses</v>
          </cell>
        </row>
        <row r="27107">
          <cell r="L27107" t="str">
            <v>Non-proportional</v>
          </cell>
          <cell r="S27107">
            <v>108.35</v>
          </cell>
          <cell r="X27107" t="str">
            <v>Expenses</v>
          </cell>
        </row>
        <row r="27108">
          <cell r="L27108" t="str">
            <v>Non-proportional</v>
          </cell>
          <cell r="S27108">
            <v>105.2</v>
          </cell>
          <cell r="X27108" t="str">
            <v>Expenses</v>
          </cell>
        </row>
        <row r="27109">
          <cell r="L27109" t="str">
            <v>Non-proportional</v>
          </cell>
          <cell r="S27109">
            <v>167.17</v>
          </cell>
          <cell r="X27109" t="str">
            <v>Expenses</v>
          </cell>
        </row>
        <row r="27110">
          <cell r="L27110" t="str">
            <v>Non-proportional</v>
          </cell>
          <cell r="S27110">
            <v>45.93</v>
          </cell>
          <cell r="X27110" t="str">
            <v>Expenses</v>
          </cell>
        </row>
        <row r="27111">
          <cell r="L27111" t="str">
            <v>Non-proportional</v>
          </cell>
          <cell r="S27111">
            <v>3.26</v>
          </cell>
          <cell r="X27111" t="str">
            <v>Expenses</v>
          </cell>
        </row>
        <row r="27112">
          <cell r="L27112" t="str">
            <v>Non-proportional</v>
          </cell>
          <cell r="S27112">
            <v>113.74</v>
          </cell>
          <cell r="X27112" t="str">
            <v>Expenses</v>
          </cell>
        </row>
        <row r="27113">
          <cell r="L27113" t="str">
            <v>Non-proportional</v>
          </cell>
          <cell r="S27113">
            <v>42.61</v>
          </cell>
          <cell r="X27113" t="str">
            <v>Expenses</v>
          </cell>
        </row>
        <row r="27114">
          <cell r="L27114" t="str">
            <v>Non-proportional</v>
          </cell>
          <cell r="S27114">
            <v>86.9</v>
          </cell>
          <cell r="X27114" t="str">
            <v>Expenses</v>
          </cell>
        </row>
        <row r="27115">
          <cell r="L27115" t="str">
            <v>Non-proportional</v>
          </cell>
          <cell r="S27115">
            <v>246.44</v>
          </cell>
          <cell r="X27115" t="str">
            <v>Expenses</v>
          </cell>
        </row>
        <row r="27116">
          <cell r="L27116" t="str">
            <v>Non-proportional</v>
          </cell>
          <cell r="S27116">
            <v>17.66</v>
          </cell>
          <cell r="X27116" t="str">
            <v>Expenses</v>
          </cell>
        </row>
        <row r="27117">
          <cell r="L27117" t="str">
            <v>Non-proportional</v>
          </cell>
          <cell r="S27117">
            <v>-0.66</v>
          </cell>
          <cell r="X27117" t="str">
            <v>Expenses</v>
          </cell>
        </row>
        <row r="27118">
          <cell r="L27118" t="str">
            <v>Non-proportional</v>
          </cell>
          <cell r="S27118">
            <v>12.89</v>
          </cell>
          <cell r="X27118" t="str">
            <v>Expenses</v>
          </cell>
        </row>
        <row r="27119">
          <cell r="L27119" t="str">
            <v>Non-proportional</v>
          </cell>
          <cell r="S27119">
            <v>36.94</v>
          </cell>
          <cell r="X27119" t="str">
            <v>Expenses</v>
          </cell>
        </row>
        <row r="27120">
          <cell r="L27120" t="str">
            <v>Non-proportional</v>
          </cell>
          <cell r="S27120">
            <v>399.76</v>
          </cell>
          <cell r="X27120" t="str">
            <v>Expenses</v>
          </cell>
        </row>
        <row r="27121">
          <cell r="L27121" t="str">
            <v>Non-proportional</v>
          </cell>
          <cell r="S27121">
            <v>323.47000000000003</v>
          </cell>
          <cell r="X27121" t="str">
            <v>Expenses</v>
          </cell>
        </row>
        <row r="27122">
          <cell r="L27122" t="str">
            <v>Non-proportional</v>
          </cell>
          <cell r="S27122">
            <v>242.99</v>
          </cell>
          <cell r="X27122" t="str">
            <v>Expenses</v>
          </cell>
        </row>
        <row r="27123">
          <cell r="L27123" t="str">
            <v>Non-proportional</v>
          </cell>
          <cell r="S27123">
            <v>-2477.34</v>
          </cell>
          <cell r="X27123" t="str">
            <v>Expenses</v>
          </cell>
        </row>
        <row r="27124">
          <cell r="L27124" t="str">
            <v>Non-proportional</v>
          </cell>
          <cell r="S27124">
            <v>33.659999999999997</v>
          </cell>
          <cell r="X27124" t="str">
            <v>Expenses</v>
          </cell>
        </row>
        <row r="27125">
          <cell r="L27125" t="str">
            <v>Non-proportional</v>
          </cell>
          <cell r="S27125">
            <v>-574.42999999999995</v>
          </cell>
          <cell r="X27125" t="str">
            <v>Expenses</v>
          </cell>
        </row>
        <row r="27126">
          <cell r="L27126" t="str">
            <v>Non-proportional</v>
          </cell>
          <cell r="S27126">
            <v>438.06</v>
          </cell>
          <cell r="X27126" t="str">
            <v>Expenses</v>
          </cell>
        </row>
        <row r="27127">
          <cell r="L27127" t="str">
            <v>Non-proportional</v>
          </cell>
          <cell r="S27127">
            <v>252.47</v>
          </cell>
          <cell r="X27127" t="str">
            <v>Expenses</v>
          </cell>
        </row>
        <row r="27128">
          <cell r="L27128" t="str">
            <v>Non-proportional</v>
          </cell>
          <cell r="S27128">
            <v>-2.2000000000000002</v>
          </cell>
          <cell r="X27128" t="str">
            <v>Expenses</v>
          </cell>
        </row>
        <row r="27129">
          <cell r="L27129" t="str">
            <v>Non-proportional</v>
          </cell>
          <cell r="S27129">
            <v>245.13</v>
          </cell>
          <cell r="X27129" t="str">
            <v>Expenses</v>
          </cell>
        </row>
        <row r="27130">
          <cell r="L27130" t="str">
            <v>Non-proportional</v>
          </cell>
          <cell r="S27130">
            <v>17.649999999999999</v>
          </cell>
          <cell r="X27130" t="str">
            <v>Expenses</v>
          </cell>
        </row>
        <row r="27131">
          <cell r="L27131" t="str">
            <v>Non-proportional</v>
          </cell>
          <cell r="S27131">
            <v>-0.19</v>
          </cell>
          <cell r="X27131" t="str">
            <v>Expenses</v>
          </cell>
        </row>
        <row r="27132">
          <cell r="L27132" t="str">
            <v>Non-proportional</v>
          </cell>
          <cell r="S27132">
            <v>-1609.63</v>
          </cell>
          <cell r="X27132" t="str">
            <v>Expenses</v>
          </cell>
        </row>
        <row r="27133">
          <cell r="L27133" t="str">
            <v>Non-proportional</v>
          </cell>
          <cell r="S27133">
            <v>36.53</v>
          </cell>
          <cell r="X27133" t="str">
            <v>Expenses</v>
          </cell>
        </row>
        <row r="27134">
          <cell r="L27134" t="str">
            <v>Non-proportional</v>
          </cell>
          <cell r="S27134">
            <v>-4.18</v>
          </cell>
          <cell r="X27134" t="str">
            <v>Expenses</v>
          </cell>
        </row>
        <row r="27135">
          <cell r="L27135" t="str">
            <v>Non-proportional</v>
          </cell>
          <cell r="S27135">
            <v>181.77</v>
          </cell>
          <cell r="X27135" t="str">
            <v>Expenses</v>
          </cell>
        </row>
        <row r="27136">
          <cell r="L27136" t="str">
            <v>Non-proportional</v>
          </cell>
          <cell r="S27136">
            <v>85.88</v>
          </cell>
          <cell r="X27136" t="str">
            <v>Expenses</v>
          </cell>
        </row>
        <row r="27137">
          <cell r="L27137" t="str">
            <v>Non-proportional</v>
          </cell>
          <cell r="S27137">
            <v>608.27</v>
          </cell>
          <cell r="X27137" t="str">
            <v>Expenses</v>
          </cell>
        </row>
        <row r="27138">
          <cell r="L27138" t="str">
            <v>Non-proportional</v>
          </cell>
          <cell r="S27138">
            <v>49.28</v>
          </cell>
          <cell r="X27138" t="str">
            <v>Expenses</v>
          </cell>
        </row>
        <row r="27139">
          <cell r="L27139" t="str">
            <v>Non-proportional</v>
          </cell>
          <cell r="S27139">
            <v>261.38</v>
          </cell>
          <cell r="X27139" t="str">
            <v>Expenses</v>
          </cell>
        </row>
        <row r="27140">
          <cell r="L27140" t="str">
            <v>Non-proportional</v>
          </cell>
          <cell r="S27140">
            <v>0.73</v>
          </cell>
          <cell r="X27140" t="str">
            <v>Expenses</v>
          </cell>
        </row>
        <row r="27141">
          <cell r="L27141" t="str">
            <v>Non-proportional</v>
          </cell>
          <cell r="S27141">
            <v>-0.28000000000000003</v>
          </cell>
          <cell r="X27141" t="str">
            <v>Expenses</v>
          </cell>
        </row>
        <row r="27142">
          <cell r="L27142" t="str">
            <v>Non-proportional</v>
          </cell>
          <cell r="S27142">
            <v>0.91</v>
          </cell>
          <cell r="X27142" t="str">
            <v>Expenses</v>
          </cell>
        </row>
        <row r="27143">
          <cell r="L27143" t="str">
            <v>Non-proportional</v>
          </cell>
          <cell r="S27143">
            <v>12.52</v>
          </cell>
          <cell r="X27143" t="str">
            <v>Expenses</v>
          </cell>
        </row>
        <row r="27144">
          <cell r="L27144" t="str">
            <v>Non-proportional</v>
          </cell>
          <cell r="S27144">
            <v>-2.59</v>
          </cell>
          <cell r="X27144" t="str">
            <v>Expenses</v>
          </cell>
        </row>
        <row r="27145">
          <cell r="L27145" t="str">
            <v>Non-proportional</v>
          </cell>
          <cell r="S27145">
            <v>-1493.67</v>
          </cell>
          <cell r="X27145" t="str">
            <v>Expenses</v>
          </cell>
        </row>
        <row r="27146">
          <cell r="L27146" t="str">
            <v>Non-proportional</v>
          </cell>
          <cell r="S27146">
            <v>-12.73</v>
          </cell>
          <cell r="X27146" t="str">
            <v>Expenses</v>
          </cell>
        </row>
        <row r="27147">
          <cell r="L27147" t="str">
            <v>Non-proportional</v>
          </cell>
          <cell r="S27147">
            <v>0.61</v>
          </cell>
          <cell r="X27147" t="str">
            <v>Expenses</v>
          </cell>
        </row>
        <row r="27148">
          <cell r="L27148" t="str">
            <v>Non-proportional</v>
          </cell>
          <cell r="S27148">
            <v>2.39</v>
          </cell>
          <cell r="X27148" t="str">
            <v>Expenses</v>
          </cell>
        </row>
        <row r="27149">
          <cell r="L27149" t="str">
            <v>Non-proportional</v>
          </cell>
          <cell r="S27149">
            <v>39.130000000000003</v>
          </cell>
          <cell r="X27149" t="str">
            <v>Expenses</v>
          </cell>
        </row>
        <row r="27150">
          <cell r="L27150" t="str">
            <v>Non-proportional</v>
          </cell>
          <cell r="S27150">
            <v>-3147.52</v>
          </cell>
          <cell r="X27150" t="str">
            <v>Expenses</v>
          </cell>
        </row>
        <row r="27151">
          <cell r="L27151" t="str">
            <v>Non-proportional</v>
          </cell>
          <cell r="S27151">
            <v>-2.21</v>
          </cell>
          <cell r="X27151" t="str">
            <v>Expenses</v>
          </cell>
        </row>
        <row r="27152">
          <cell r="L27152" t="str">
            <v>Non-proportional</v>
          </cell>
          <cell r="S27152">
            <v>1.86</v>
          </cell>
          <cell r="X27152" t="str">
            <v>Expenses</v>
          </cell>
        </row>
        <row r="27153">
          <cell r="L27153" t="str">
            <v>Non-proportional</v>
          </cell>
          <cell r="S27153">
            <v>50.62</v>
          </cell>
          <cell r="X27153" t="str">
            <v>Expenses</v>
          </cell>
        </row>
        <row r="27154">
          <cell r="L27154" t="str">
            <v>Non-proportional</v>
          </cell>
          <cell r="S27154">
            <v>-1.68</v>
          </cell>
          <cell r="X27154" t="str">
            <v>Expenses</v>
          </cell>
        </row>
        <row r="27155">
          <cell r="L27155" t="str">
            <v>Non-proportional</v>
          </cell>
          <cell r="S27155">
            <v>-0.22</v>
          </cell>
          <cell r="X27155" t="str">
            <v>Expenses</v>
          </cell>
        </row>
        <row r="27156">
          <cell r="L27156" t="str">
            <v>Non-proportional</v>
          </cell>
          <cell r="S27156">
            <v>0.21</v>
          </cell>
          <cell r="X27156" t="str">
            <v>Expenses</v>
          </cell>
        </row>
        <row r="27157">
          <cell r="L27157" t="str">
            <v>Non-proportional</v>
          </cell>
          <cell r="S27157">
            <v>62.74</v>
          </cell>
          <cell r="X27157" t="str">
            <v>Expenses</v>
          </cell>
        </row>
        <row r="27158">
          <cell r="L27158" t="str">
            <v>Non-proportional</v>
          </cell>
          <cell r="S27158">
            <v>268.35000000000002</v>
          </cell>
          <cell r="X27158" t="str">
            <v>Expenses</v>
          </cell>
        </row>
        <row r="27159">
          <cell r="L27159" t="str">
            <v>Non-proportional</v>
          </cell>
          <cell r="S27159">
            <v>0</v>
          </cell>
          <cell r="X27159" t="str">
            <v>Expenses</v>
          </cell>
        </row>
        <row r="27160">
          <cell r="L27160" t="str">
            <v>Non-proportional</v>
          </cell>
          <cell r="S27160">
            <v>18.329999999999998</v>
          </cell>
          <cell r="X27160" t="str">
            <v>Expenses</v>
          </cell>
        </row>
        <row r="27161">
          <cell r="L27161" t="str">
            <v>Non-proportional</v>
          </cell>
          <cell r="S27161">
            <v>239.35</v>
          </cell>
          <cell r="X27161" t="str">
            <v>Expenses</v>
          </cell>
        </row>
        <row r="27162">
          <cell r="L27162" t="str">
            <v>Non-proportional</v>
          </cell>
          <cell r="S27162">
            <v>36.93</v>
          </cell>
          <cell r="X27162" t="str">
            <v>Expenses</v>
          </cell>
        </row>
        <row r="27163">
          <cell r="L27163" t="str">
            <v>Non-proportional</v>
          </cell>
          <cell r="S27163">
            <v>148.93</v>
          </cell>
          <cell r="X27163" t="str">
            <v>Expenses</v>
          </cell>
        </row>
        <row r="27164">
          <cell r="L27164" t="str">
            <v>Non-proportional</v>
          </cell>
          <cell r="S27164">
            <v>100.95</v>
          </cell>
          <cell r="X27164" t="str">
            <v>Expenses</v>
          </cell>
        </row>
        <row r="27165">
          <cell r="L27165" t="str">
            <v>Non-proportional</v>
          </cell>
          <cell r="S27165">
            <v>156.58000000000001</v>
          </cell>
          <cell r="X27165" t="str">
            <v>Expenses</v>
          </cell>
        </row>
        <row r="27166">
          <cell r="L27166" t="str">
            <v>Non-proportional</v>
          </cell>
          <cell r="S27166">
            <v>-12.02</v>
          </cell>
          <cell r="X27166" t="str">
            <v>Expenses</v>
          </cell>
        </row>
        <row r="27167">
          <cell r="L27167" t="str">
            <v>Non-proportional</v>
          </cell>
          <cell r="S27167">
            <v>67.13</v>
          </cell>
          <cell r="X27167" t="str">
            <v>Expenses</v>
          </cell>
        </row>
        <row r="27168">
          <cell r="L27168" t="str">
            <v>Non-proportional</v>
          </cell>
          <cell r="S27168">
            <v>0</v>
          </cell>
          <cell r="X27168" t="str">
            <v>Expenses</v>
          </cell>
        </row>
        <row r="27169">
          <cell r="L27169" t="str">
            <v>Non-proportional</v>
          </cell>
          <cell r="S27169">
            <v>51.74</v>
          </cell>
          <cell r="X27169" t="str">
            <v>Expenses</v>
          </cell>
        </row>
        <row r="27170">
          <cell r="L27170" t="str">
            <v>Non-proportional</v>
          </cell>
          <cell r="S27170">
            <v>48.42</v>
          </cell>
          <cell r="X27170" t="str">
            <v>Expenses</v>
          </cell>
        </row>
        <row r="27171">
          <cell r="L27171" t="str">
            <v>Non-proportional</v>
          </cell>
          <cell r="S27171">
            <v>0.81</v>
          </cell>
          <cell r="X27171" t="str">
            <v>Expenses</v>
          </cell>
        </row>
        <row r="27172">
          <cell r="L27172" t="str">
            <v>Non-proportional</v>
          </cell>
          <cell r="S27172">
            <v>173.32</v>
          </cell>
          <cell r="X27172" t="str">
            <v>Expenses</v>
          </cell>
        </row>
        <row r="27173">
          <cell r="L27173" t="str">
            <v>Non-proportional</v>
          </cell>
          <cell r="S27173">
            <v>113.72</v>
          </cell>
          <cell r="X27173" t="str">
            <v>Expenses</v>
          </cell>
        </row>
        <row r="27174">
          <cell r="L27174" t="str">
            <v>Non-proportional</v>
          </cell>
          <cell r="S27174">
            <v>81.069999999999993</v>
          </cell>
          <cell r="X27174" t="str">
            <v>Expenses</v>
          </cell>
        </row>
        <row r="27175">
          <cell r="L27175" t="str">
            <v>Non-proportional</v>
          </cell>
          <cell r="S27175">
            <v>-6.98</v>
          </cell>
          <cell r="X27175" t="str">
            <v>Expenses</v>
          </cell>
        </row>
        <row r="27176">
          <cell r="L27176" t="str">
            <v>Non-proportional</v>
          </cell>
          <cell r="S27176">
            <v>132.78</v>
          </cell>
          <cell r="X27176" t="str">
            <v>Expenses</v>
          </cell>
        </row>
        <row r="27177">
          <cell r="L27177" t="str">
            <v>Non-proportional</v>
          </cell>
          <cell r="S27177">
            <v>-2.93</v>
          </cell>
          <cell r="X27177" t="str">
            <v>Expenses</v>
          </cell>
        </row>
        <row r="27178">
          <cell r="L27178" t="str">
            <v>Non-proportional</v>
          </cell>
          <cell r="S27178">
            <v>26.68</v>
          </cell>
          <cell r="X27178" t="str">
            <v>Expenses</v>
          </cell>
        </row>
        <row r="27179">
          <cell r="L27179" t="str">
            <v>Non-proportional</v>
          </cell>
          <cell r="S27179">
            <v>4.0599999999999996</v>
          </cell>
          <cell r="X27179" t="str">
            <v>Expenses</v>
          </cell>
        </row>
        <row r="27180">
          <cell r="L27180" t="str">
            <v>Non-proportional</v>
          </cell>
          <cell r="S27180">
            <v>-12.02</v>
          </cell>
          <cell r="X27180" t="str">
            <v>Expenses</v>
          </cell>
        </row>
        <row r="27181">
          <cell r="L27181" t="str">
            <v>Non-proportional</v>
          </cell>
          <cell r="S27181">
            <v>73.069999999999993</v>
          </cell>
          <cell r="X27181" t="str">
            <v>Expenses</v>
          </cell>
        </row>
        <row r="27182">
          <cell r="L27182" t="str">
            <v>Non-proportional</v>
          </cell>
          <cell r="S27182">
            <v>-7.57</v>
          </cell>
          <cell r="X27182" t="str">
            <v>Expenses</v>
          </cell>
        </row>
        <row r="27183">
          <cell r="L27183" t="str">
            <v>Non-proportional</v>
          </cell>
          <cell r="S27183">
            <v>55.02</v>
          </cell>
          <cell r="X27183" t="str">
            <v>Expenses</v>
          </cell>
        </row>
        <row r="27184">
          <cell r="L27184" t="str">
            <v>Non-proportional</v>
          </cell>
          <cell r="S27184">
            <v>22.54</v>
          </cell>
          <cell r="X27184" t="str">
            <v>Expenses</v>
          </cell>
        </row>
        <row r="27185">
          <cell r="L27185" t="str">
            <v>Non-proportional</v>
          </cell>
          <cell r="S27185">
            <v>684.62</v>
          </cell>
          <cell r="X27185" t="str">
            <v>Expenses</v>
          </cell>
        </row>
        <row r="27186">
          <cell r="L27186" t="str">
            <v>Non-proportional</v>
          </cell>
          <cell r="S27186">
            <v>8.4</v>
          </cell>
          <cell r="X27186" t="str">
            <v>Expenses</v>
          </cell>
        </row>
        <row r="27187">
          <cell r="L27187" t="str">
            <v>Non-proportional</v>
          </cell>
          <cell r="S27187">
            <v>181.48</v>
          </cell>
          <cell r="X27187" t="str">
            <v>Expenses</v>
          </cell>
        </row>
        <row r="27188">
          <cell r="L27188" t="str">
            <v>Non-proportional</v>
          </cell>
          <cell r="S27188">
            <v>196.43</v>
          </cell>
          <cell r="X27188" t="str">
            <v>Expenses</v>
          </cell>
        </row>
        <row r="27189">
          <cell r="L27189" t="str">
            <v>Non-proportional</v>
          </cell>
          <cell r="S27189">
            <v>-1.62</v>
          </cell>
          <cell r="X27189" t="str">
            <v>Expenses</v>
          </cell>
        </row>
        <row r="27190">
          <cell r="L27190" t="str">
            <v>Non-proportional</v>
          </cell>
          <cell r="S27190">
            <v>-0.08</v>
          </cell>
          <cell r="X27190" t="str">
            <v>Expenses</v>
          </cell>
        </row>
        <row r="27191">
          <cell r="L27191" t="str">
            <v>Non-proportional</v>
          </cell>
          <cell r="S27191">
            <v>36.53</v>
          </cell>
          <cell r="X27191" t="str">
            <v>Expenses</v>
          </cell>
        </row>
        <row r="27192">
          <cell r="L27192" t="str">
            <v>Non-proportional</v>
          </cell>
          <cell r="S27192">
            <v>15.68</v>
          </cell>
          <cell r="X27192" t="str">
            <v>Expenses</v>
          </cell>
        </row>
        <row r="27193">
          <cell r="L27193" t="str">
            <v>Non-proportional</v>
          </cell>
          <cell r="S27193">
            <v>502.4</v>
          </cell>
          <cell r="X27193" t="str">
            <v>Expenses</v>
          </cell>
        </row>
        <row r="27194">
          <cell r="L27194" t="str">
            <v>Non-proportional</v>
          </cell>
          <cell r="S27194">
            <v>119.09</v>
          </cell>
          <cell r="X27194" t="str">
            <v>Expenses</v>
          </cell>
        </row>
        <row r="27195">
          <cell r="L27195" t="str">
            <v>Non-proportional</v>
          </cell>
          <cell r="S27195">
            <v>35.24</v>
          </cell>
          <cell r="X27195" t="str">
            <v>Expenses</v>
          </cell>
        </row>
        <row r="27196">
          <cell r="L27196" t="str">
            <v>Non-proportional</v>
          </cell>
          <cell r="S27196">
            <v>38.89</v>
          </cell>
          <cell r="X27196" t="str">
            <v>Expenses</v>
          </cell>
        </row>
        <row r="27197">
          <cell r="L27197" t="str">
            <v>Non-proportional</v>
          </cell>
          <cell r="S27197">
            <v>246.95</v>
          </cell>
          <cell r="X27197" t="str">
            <v>Expenses</v>
          </cell>
        </row>
        <row r="27198">
          <cell r="L27198" t="str">
            <v>Non-proportional</v>
          </cell>
          <cell r="S27198">
            <v>22.58</v>
          </cell>
          <cell r="X27198" t="str">
            <v>Expenses</v>
          </cell>
        </row>
        <row r="27199">
          <cell r="L27199" t="str">
            <v>Non-proportional</v>
          </cell>
          <cell r="S27199">
            <v>0</v>
          </cell>
          <cell r="X27199" t="str">
            <v>Expenses</v>
          </cell>
        </row>
        <row r="27200">
          <cell r="L27200" t="str">
            <v>Non-proportional</v>
          </cell>
          <cell r="S27200">
            <v>284.35000000000002</v>
          </cell>
          <cell r="X27200" t="str">
            <v>Expenses</v>
          </cell>
        </row>
        <row r="27201">
          <cell r="L27201" t="str">
            <v>Non-proportional</v>
          </cell>
          <cell r="S27201">
            <v>-1.17</v>
          </cell>
          <cell r="X27201" t="str">
            <v>Expenses</v>
          </cell>
        </row>
        <row r="27202">
          <cell r="L27202" t="str">
            <v>Non-proportional</v>
          </cell>
          <cell r="S27202">
            <v>162.84</v>
          </cell>
          <cell r="X27202" t="str">
            <v>Expenses</v>
          </cell>
        </row>
        <row r="27203">
          <cell r="L27203" t="str">
            <v>Non-proportional</v>
          </cell>
          <cell r="S27203">
            <v>693.65</v>
          </cell>
          <cell r="X27203" t="str">
            <v>Expenses</v>
          </cell>
        </row>
        <row r="27204">
          <cell r="L27204" t="str">
            <v>Non-proportional</v>
          </cell>
          <cell r="S27204">
            <v>-0.06</v>
          </cell>
          <cell r="X27204" t="str">
            <v>Expenses</v>
          </cell>
        </row>
        <row r="27205">
          <cell r="L27205" t="str">
            <v>Non-proportional</v>
          </cell>
          <cell r="S27205">
            <v>-6.27</v>
          </cell>
          <cell r="X27205" t="str">
            <v>Expenses</v>
          </cell>
        </row>
        <row r="27206">
          <cell r="L27206" t="str">
            <v>Non-proportional</v>
          </cell>
          <cell r="S27206">
            <v>477.91</v>
          </cell>
          <cell r="X27206" t="str">
            <v>Expenses</v>
          </cell>
        </row>
        <row r="27207">
          <cell r="L27207" t="str">
            <v>Non-proportional</v>
          </cell>
          <cell r="S27207">
            <v>113.97</v>
          </cell>
          <cell r="X27207" t="str">
            <v>Expenses</v>
          </cell>
        </row>
        <row r="27208">
          <cell r="L27208" t="str">
            <v>Non-proportional</v>
          </cell>
          <cell r="S27208">
            <v>35.36</v>
          </cell>
          <cell r="X27208" t="str">
            <v>Expenses</v>
          </cell>
        </row>
        <row r="27209">
          <cell r="L27209" t="str">
            <v>Non-proportional</v>
          </cell>
          <cell r="S27209">
            <v>136.85</v>
          </cell>
          <cell r="X27209" t="str">
            <v>Expenses</v>
          </cell>
        </row>
        <row r="27210">
          <cell r="L27210" t="str">
            <v>Non-proportional</v>
          </cell>
          <cell r="S27210">
            <v>2.4500000000000002</v>
          </cell>
          <cell r="X27210" t="str">
            <v>Expenses</v>
          </cell>
        </row>
        <row r="27211">
          <cell r="L27211" t="str">
            <v>Non-proportional</v>
          </cell>
          <cell r="S27211">
            <v>40.130000000000003</v>
          </cell>
          <cell r="X27211" t="str">
            <v>Expenses</v>
          </cell>
        </row>
        <row r="27212">
          <cell r="L27212" t="str">
            <v>Proportional</v>
          </cell>
          <cell r="S27212">
            <v>-20851.91</v>
          </cell>
          <cell r="X27212" t="str">
            <v>Expenses</v>
          </cell>
        </row>
        <row r="27213">
          <cell r="L27213" t="str">
            <v>Non-proportional</v>
          </cell>
          <cell r="S27213">
            <v>0.33</v>
          </cell>
          <cell r="X27213" t="str">
            <v>Expenses</v>
          </cell>
        </row>
        <row r="27214">
          <cell r="L27214" t="str">
            <v>Non-proportional</v>
          </cell>
          <cell r="S27214">
            <v>326.95</v>
          </cell>
          <cell r="X27214" t="str">
            <v>Expenses</v>
          </cell>
        </row>
        <row r="27215">
          <cell r="L27215" t="str">
            <v>Non-proportional</v>
          </cell>
          <cell r="S27215">
            <v>138.34</v>
          </cell>
          <cell r="X27215" t="str">
            <v>Expenses</v>
          </cell>
        </row>
        <row r="27216">
          <cell r="L27216" t="str">
            <v>Non-proportional</v>
          </cell>
          <cell r="S27216">
            <v>245.61</v>
          </cell>
          <cell r="X27216" t="str">
            <v>Expenses</v>
          </cell>
        </row>
        <row r="27217">
          <cell r="L27217" t="str">
            <v>Non-proportional</v>
          </cell>
          <cell r="S27217">
            <v>108.56</v>
          </cell>
          <cell r="X27217" t="str">
            <v>Expenses</v>
          </cell>
        </row>
        <row r="27218">
          <cell r="L27218" t="str">
            <v>Non-proportional</v>
          </cell>
          <cell r="S27218">
            <v>-2.27</v>
          </cell>
          <cell r="X27218" t="str">
            <v>Expenses</v>
          </cell>
        </row>
        <row r="27219">
          <cell r="L27219" t="str">
            <v>Non-proportional</v>
          </cell>
          <cell r="S27219">
            <v>32.770000000000003</v>
          </cell>
          <cell r="X27219" t="str">
            <v>Expenses</v>
          </cell>
        </row>
        <row r="27220">
          <cell r="L27220" t="str">
            <v>Non-proportional</v>
          </cell>
          <cell r="S27220">
            <v>17.05</v>
          </cell>
          <cell r="X27220" t="str">
            <v>Expenses</v>
          </cell>
        </row>
        <row r="27221">
          <cell r="L27221" t="str">
            <v>Non-proportional</v>
          </cell>
          <cell r="S27221">
            <v>451.8</v>
          </cell>
          <cell r="X27221" t="str">
            <v>Expenses</v>
          </cell>
        </row>
        <row r="27222">
          <cell r="L27222" t="str">
            <v>Non-proportional</v>
          </cell>
          <cell r="S27222">
            <v>82.85</v>
          </cell>
          <cell r="X27222" t="str">
            <v>Expenses</v>
          </cell>
        </row>
        <row r="27223">
          <cell r="L27223" t="str">
            <v>Non-proportional</v>
          </cell>
          <cell r="S27223">
            <v>43.06</v>
          </cell>
          <cell r="X27223" t="str">
            <v>Expenses</v>
          </cell>
        </row>
        <row r="27224">
          <cell r="L27224" t="str">
            <v>Non-proportional</v>
          </cell>
          <cell r="S27224">
            <v>0</v>
          </cell>
          <cell r="X27224" t="str">
            <v>Expenses</v>
          </cell>
        </row>
        <row r="27225">
          <cell r="L27225" t="str">
            <v>Non-proportional</v>
          </cell>
          <cell r="S27225">
            <v>257.83999999999997</v>
          </cell>
          <cell r="X27225" t="str">
            <v>Expenses</v>
          </cell>
        </row>
        <row r="27226">
          <cell r="L27226" t="str">
            <v>Non-proportional</v>
          </cell>
          <cell r="S27226">
            <v>172.06</v>
          </cell>
          <cell r="X27226" t="str">
            <v>Expenses</v>
          </cell>
        </row>
        <row r="27227">
          <cell r="L27227" t="str">
            <v>Non-proportional</v>
          </cell>
          <cell r="S27227">
            <v>90.79</v>
          </cell>
          <cell r="X27227" t="str">
            <v>Expenses</v>
          </cell>
        </row>
        <row r="27228">
          <cell r="L27228" t="str">
            <v>Non-proportional</v>
          </cell>
          <cell r="S27228">
            <v>-0.68</v>
          </cell>
          <cell r="X27228" t="str">
            <v>Expenses</v>
          </cell>
        </row>
        <row r="27229">
          <cell r="L27229" t="str">
            <v>Non-proportional</v>
          </cell>
          <cell r="S27229">
            <v>75.290000000000006</v>
          </cell>
          <cell r="X27229" t="str">
            <v>Expenses</v>
          </cell>
        </row>
        <row r="27230">
          <cell r="L27230" t="str">
            <v>Non-proportional</v>
          </cell>
          <cell r="S27230">
            <v>48.42</v>
          </cell>
          <cell r="X27230" t="str">
            <v>Expenses</v>
          </cell>
        </row>
        <row r="27231">
          <cell r="L27231" t="str">
            <v>Non-proportional</v>
          </cell>
          <cell r="S27231">
            <v>46.2</v>
          </cell>
          <cell r="X27231" t="str">
            <v>Expenses</v>
          </cell>
        </row>
        <row r="27232">
          <cell r="L27232" t="str">
            <v>Non-proportional</v>
          </cell>
          <cell r="S27232">
            <v>-0.05</v>
          </cell>
          <cell r="X27232" t="str">
            <v>Expenses</v>
          </cell>
        </row>
        <row r="27233">
          <cell r="L27233" t="str">
            <v>Non-proportional</v>
          </cell>
          <cell r="S27233">
            <v>226.97</v>
          </cell>
          <cell r="X27233" t="str">
            <v>Expenses</v>
          </cell>
        </row>
        <row r="27234">
          <cell r="L27234" t="str">
            <v>Non-proportional</v>
          </cell>
          <cell r="S27234">
            <v>161.19</v>
          </cell>
          <cell r="X27234" t="str">
            <v>Expenses</v>
          </cell>
        </row>
        <row r="27235">
          <cell r="L27235" t="str">
            <v>Non-proportional</v>
          </cell>
          <cell r="S27235">
            <v>33.369999999999997</v>
          </cell>
          <cell r="X27235" t="str">
            <v>Expenses</v>
          </cell>
        </row>
        <row r="27236">
          <cell r="L27236" t="str">
            <v>Non-proportional</v>
          </cell>
          <cell r="S27236">
            <v>117.94</v>
          </cell>
          <cell r="X27236" t="str">
            <v>Expenses</v>
          </cell>
        </row>
        <row r="27237">
          <cell r="L27237" t="str">
            <v>Non-proportional</v>
          </cell>
          <cell r="S27237">
            <v>394.64</v>
          </cell>
          <cell r="X27237" t="str">
            <v>Expenses</v>
          </cell>
        </row>
        <row r="27238">
          <cell r="L27238" t="str">
            <v>Non-proportional</v>
          </cell>
          <cell r="S27238">
            <v>146.63999999999999</v>
          </cell>
          <cell r="X27238" t="str">
            <v>Expenses</v>
          </cell>
        </row>
        <row r="27239">
          <cell r="L27239" t="str">
            <v>Non-proportional</v>
          </cell>
          <cell r="S27239">
            <v>159.49</v>
          </cell>
          <cell r="X27239" t="str">
            <v>Expenses</v>
          </cell>
        </row>
        <row r="27240">
          <cell r="L27240" t="str">
            <v>Proportional</v>
          </cell>
          <cell r="S27240">
            <v>5997.45</v>
          </cell>
          <cell r="X27240" t="str">
            <v>Expenses</v>
          </cell>
        </row>
        <row r="27241">
          <cell r="L27241" t="str">
            <v>Non-proportional</v>
          </cell>
          <cell r="S27241">
            <v>26.13</v>
          </cell>
          <cell r="X27241" t="str">
            <v>Expenses</v>
          </cell>
        </row>
        <row r="27242">
          <cell r="L27242" t="str">
            <v>Non-proportional</v>
          </cell>
          <cell r="S27242">
            <v>124.69</v>
          </cell>
          <cell r="X27242" t="str">
            <v>Expenses</v>
          </cell>
        </row>
        <row r="27243">
          <cell r="L27243" t="str">
            <v>Non-proportional</v>
          </cell>
          <cell r="S27243">
            <v>287.08</v>
          </cell>
          <cell r="X27243" t="str">
            <v>Expenses</v>
          </cell>
        </row>
        <row r="27244">
          <cell r="L27244" t="str">
            <v>Non-proportional</v>
          </cell>
          <cell r="S27244">
            <v>0</v>
          </cell>
          <cell r="X27244" t="str">
            <v>Expenses</v>
          </cell>
        </row>
        <row r="27245">
          <cell r="L27245" t="str">
            <v>Non-proportional</v>
          </cell>
          <cell r="S27245">
            <v>196.7</v>
          </cell>
          <cell r="X27245" t="str">
            <v>Expenses</v>
          </cell>
        </row>
        <row r="27246">
          <cell r="L27246" t="str">
            <v>Non-proportional</v>
          </cell>
          <cell r="S27246">
            <v>197.5</v>
          </cell>
          <cell r="X27246" t="str">
            <v>Expenses</v>
          </cell>
        </row>
        <row r="27247">
          <cell r="L27247" t="str">
            <v>Non-proportional</v>
          </cell>
          <cell r="S27247">
            <v>-6.27</v>
          </cell>
          <cell r="X27247" t="str">
            <v>Expenses</v>
          </cell>
        </row>
        <row r="27248">
          <cell r="L27248" t="str">
            <v>Non-proportional</v>
          </cell>
          <cell r="S27248">
            <v>17.23</v>
          </cell>
          <cell r="X27248" t="str">
            <v>Expenses</v>
          </cell>
        </row>
        <row r="27249">
          <cell r="L27249" t="str">
            <v>Non-proportional</v>
          </cell>
          <cell r="S27249">
            <v>175.5</v>
          </cell>
          <cell r="X27249" t="str">
            <v>Expenses</v>
          </cell>
        </row>
        <row r="27250">
          <cell r="L27250" t="str">
            <v>Non-proportional</v>
          </cell>
          <cell r="S27250">
            <v>127.59</v>
          </cell>
          <cell r="X27250" t="str">
            <v>Expenses</v>
          </cell>
        </row>
        <row r="27251">
          <cell r="L27251" t="str">
            <v>Non-proportional</v>
          </cell>
          <cell r="S27251">
            <v>0</v>
          </cell>
          <cell r="X27251" t="str">
            <v>Expenses</v>
          </cell>
        </row>
        <row r="27252">
          <cell r="L27252" t="str">
            <v>Non-proportional</v>
          </cell>
          <cell r="S27252">
            <v>35.92</v>
          </cell>
          <cell r="X27252" t="str">
            <v>Expenses</v>
          </cell>
        </row>
        <row r="27253">
          <cell r="L27253" t="str">
            <v>Non-proportional</v>
          </cell>
          <cell r="S27253">
            <v>0.45</v>
          </cell>
          <cell r="X27253" t="str">
            <v>Expenses</v>
          </cell>
        </row>
        <row r="27254">
          <cell r="L27254" t="str">
            <v>Non-proportional</v>
          </cell>
          <cell r="S27254">
            <v>-10.74</v>
          </cell>
          <cell r="X27254" t="str">
            <v>Expenses</v>
          </cell>
        </row>
        <row r="27255">
          <cell r="L27255" t="str">
            <v>Non-proportional</v>
          </cell>
          <cell r="S27255">
            <v>359.09</v>
          </cell>
          <cell r="X27255" t="str">
            <v>Expenses</v>
          </cell>
        </row>
        <row r="27256">
          <cell r="L27256" t="str">
            <v>Non-proportional</v>
          </cell>
          <cell r="S27256">
            <v>38.06</v>
          </cell>
          <cell r="X27256" t="str">
            <v>Expenses</v>
          </cell>
        </row>
        <row r="27257">
          <cell r="L27257" t="str">
            <v>Non-proportional</v>
          </cell>
          <cell r="S27257">
            <v>465.51</v>
          </cell>
          <cell r="X27257" t="str">
            <v>Expenses</v>
          </cell>
        </row>
        <row r="27258">
          <cell r="L27258" t="str">
            <v>Non-proportional</v>
          </cell>
          <cell r="S27258">
            <v>207.82</v>
          </cell>
          <cell r="X27258" t="str">
            <v>Expenses</v>
          </cell>
        </row>
        <row r="27259">
          <cell r="L27259" t="str">
            <v>Non-proportional</v>
          </cell>
          <cell r="S27259">
            <v>-0.8</v>
          </cell>
          <cell r="X27259" t="str">
            <v>Expenses</v>
          </cell>
        </row>
        <row r="27260">
          <cell r="L27260" t="str">
            <v>Non-proportional</v>
          </cell>
          <cell r="S27260">
            <v>86.06</v>
          </cell>
          <cell r="X27260" t="str">
            <v>Expenses</v>
          </cell>
        </row>
        <row r="27261">
          <cell r="L27261" t="str">
            <v>Non-proportional</v>
          </cell>
          <cell r="S27261">
            <v>60.53</v>
          </cell>
          <cell r="X27261" t="str">
            <v>Expenses</v>
          </cell>
        </row>
        <row r="27262">
          <cell r="L27262" t="str">
            <v>Non-proportional</v>
          </cell>
          <cell r="S27262">
            <v>109.34</v>
          </cell>
          <cell r="X27262" t="str">
            <v>Expenses</v>
          </cell>
        </row>
        <row r="27263">
          <cell r="L27263" t="str">
            <v>Non-proportional</v>
          </cell>
          <cell r="S27263">
            <v>666.56</v>
          </cell>
          <cell r="X27263" t="str">
            <v>Expenses</v>
          </cell>
        </row>
        <row r="27264">
          <cell r="L27264" t="str">
            <v>Non-proportional</v>
          </cell>
          <cell r="S27264">
            <v>13.24</v>
          </cell>
          <cell r="X27264" t="str">
            <v>Expenses</v>
          </cell>
        </row>
        <row r="27265">
          <cell r="L27265" t="str">
            <v>Non-proportional</v>
          </cell>
          <cell r="S27265">
            <v>404.06</v>
          </cell>
          <cell r="X27265" t="str">
            <v>Expenses</v>
          </cell>
        </row>
        <row r="27266">
          <cell r="L27266" t="str">
            <v>Non-proportional</v>
          </cell>
          <cell r="S27266">
            <v>0</v>
          </cell>
          <cell r="X27266" t="str">
            <v>Expenses</v>
          </cell>
        </row>
        <row r="27267">
          <cell r="L27267" t="str">
            <v>Non-proportional</v>
          </cell>
          <cell r="S27267">
            <v>-4.21</v>
          </cell>
          <cell r="X27267" t="str">
            <v>Expenses</v>
          </cell>
        </row>
        <row r="27268">
          <cell r="L27268" t="str">
            <v>Non-proportional</v>
          </cell>
          <cell r="S27268">
            <v>173.41</v>
          </cell>
          <cell r="X27268" t="str">
            <v>Expenses</v>
          </cell>
        </row>
        <row r="27269">
          <cell r="L27269" t="str">
            <v>Non-proportional</v>
          </cell>
          <cell r="S27269">
            <v>939.32</v>
          </cell>
          <cell r="X27269" t="str">
            <v>Expenses</v>
          </cell>
        </row>
        <row r="27270">
          <cell r="L27270" t="str">
            <v>Non-proportional</v>
          </cell>
          <cell r="S27270">
            <v>-2.71</v>
          </cell>
          <cell r="X27270" t="str">
            <v>Expenses</v>
          </cell>
        </row>
        <row r="27271">
          <cell r="L27271" t="str">
            <v>Non-proportional</v>
          </cell>
          <cell r="S27271">
            <v>100.41</v>
          </cell>
          <cell r="X27271" t="str">
            <v>Expenses</v>
          </cell>
        </row>
        <row r="27272">
          <cell r="L27272" t="str">
            <v>Non-proportional</v>
          </cell>
          <cell r="S27272">
            <v>99.71</v>
          </cell>
          <cell r="X27272" t="str">
            <v>Expenses</v>
          </cell>
        </row>
        <row r="27273">
          <cell r="L27273" t="str">
            <v>Non-proportional</v>
          </cell>
          <cell r="S27273">
            <v>1.85</v>
          </cell>
          <cell r="X27273" t="str">
            <v>Expenses</v>
          </cell>
        </row>
        <row r="27274">
          <cell r="L27274" t="str">
            <v>Proportional</v>
          </cell>
          <cell r="S27274">
            <v>-549.91</v>
          </cell>
          <cell r="X27274" t="str">
            <v>Expenses</v>
          </cell>
        </row>
        <row r="27275">
          <cell r="L27275" t="str">
            <v>Non-proportional</v>
          </cell>
          <cell r="S27275">
            <v>255.18</v>
          </cell>
          <cell r="X27275" t="str">
            <v>Expenses</v>
          </cell>
        </row>
        <row r="27276">
          <cell r="L27276" t="str">
            <v>Non-proportional</v>
          </cell>
          <cell r="S27276">
            <v>83.7</v>
          </cell>
          <cell r="X27276" t="str">
            <v>Expenses</v>
          </cell>
        </row>
        <row r="27277">
          <cell r="L27277" t="str">
            <v>Non-proportional</v>
          </cell>
          <cell r="S27277">
            <v>12.3</v>
          </cell>
          <cell r="X27277" t="str">
            <v>Expenses</v>
          </cell>
        </row>
        <row r="27278">
          <cell r="L27278" t="str">
            <v>Non-proportional</v>
          </cell>
          <cell r="S27278">
            <v>-0.19</v>
          </cell>
          <cell r="X27278" t="str">
            <v>Expenses</v>
          </cell>
        </row>
        <row r="27279">
          <cell r="L27279" t="str">
            <v>Non-proportional</v>
          </cell>
          <cell r="S27279">
            <v>0.75</v>
          </cell>
          <cell r="X27279" t="str">
            <v>Expenses</v>
          </cell>
        </row>
        <row r="27280">
          <cell r="L27280" t="str">
            <v>Non-proportional</v>
          </cell>
          <cell r="S27280">
            <v>345.55</v>
          </cell>
          <cell r="X27280" t="str">
            <v>Expenses</v>
          </cell>
        </row>
        <row r="27281">
          <cell r="L27281" t="str">
            <v>Non-proportional</v>
          </cell>
          <cell r="S27281">
            <v>142.93</v>
          </cell>
          <cell r="X27281" t="str">
            <v>Expenses</v>
          </cell>
        </row>
        <row r="27282">
          <cell r="L27282" t="str">
            <v>Non-proportional</v>
          </cell>
          <cell r="S27282">
            <v>102.31</v>
          </cell>
          <cell r="X27282" t="str">
            <v>Expenses</v>
          </cell>
        </row>
        <row r="27283">
          <cell r="L27283" t="str">
            <v>Non-proportional</v>
          </cell>
          <cell r="S27283">
            <v>62.47</v>
          </cell>
          <cell r="X27283" t="str">
            <v>Expenses</v>
          </cell>
        </row>
        <row r="27284">
          <cell r="L27284" t="str">
            <v>Non-proportional</v>
          </cell>
          <cell r="S27284">
            <v>39.520000000000003</v>
          </cell>
          <cell r="X27284" t="str">
            <v>Expenses</v>
          </cell>
        </row>
        <row r="27285">
          <cell r="L27285" t="str">
            <v>Non-proportional</v>
          </cell>
          <cell r="S27285">
            <v>246.15</v>
          </cell>
          <cell r="X27285" t="str">
            <v>Expenses</v>
          </cell>
        </row>
        <row r="27286">
          <cell r="L27286" t="str">
            <v>Non-proportional</v>
          </cell>
          <cell r="S27286">
            <v>25.36</v>
          </cell>
          <cell r="X27286" t="str">
            <v>Expenses</v>
          </cell>
        </row>
        <row r="27287">
          <cell r="L27287" t="str">
            <v>Non-proportional</v>
          </cell>
          <cell r="S27287">
            <v>39.130000000000003</v>
          </cell>
          <cell r="X27287" t="str">
            <v>Expenses</v>
          </cell>
        </row>
        <row r="27288">
          <cell r="L27288" t="str">
            <v>Non-proportional</v>
          </cell>
          <cell r="S27288">
            <v>-2.0699999999999998</v>
          </cell>
          <cell r="X27288" t="str">
            <v>Expenses</v>
          </cell>
        </row>
        <row r="27289">
          <cell r="L27289" t="str">
            <v>Non-proportional</v>
          </cell>
          <cell r="S27289">
            <v>9.84</v>
          </cell>
          <cell r="X27289" t="str">
            <v>Expenses</v>
          </cell>
        </row>
        <row r="27290">
          <cell r="L27290" t="str">
            <v>Non-proportional</v>
          </cell>
          <cell r="S27290">
            <v>325.74</v>
          </cell>
          <cell r="X27290" t="str">
            <v>Expenses</v>
          </cell>
        </row>
        <row r="27291">
          <cell r="L27291" t="str">
            <v>Non-proportional</v>
          </cell>
          <cell r="S27291">
            <v>47.84</v>
          </cell>
          <cell r="X27291" t="str">
            <v>Expenses</v>
          </cell>
        </row>
        <row r="27292">
          <cell r="L27292" t="str">
            <v>Non-proportional</v>
          </cell>
          <cell r="S27292">
            <v>322.51</v>
          </cell>
          <cell r="X27292" t="str">
            <v>Expenses</v>
          </cell>
        </row>
        <row r="27293">
          <cell r="L27293" t="str">
            <v>Non-proportional</v>
          </cell>
          <cell r="S27293">
            <v>-12.73</v>
          </cell>
          <cell r="X27293" t="str">
            <v>Expenses</v>
          </cell>
        </row>
        <row r="27294">
          <cell r="L27294" t="str">
            <v>Non-proportional</v>
          </cell>
          <cell r="S27294">
            <v>104.62</v>
          </cell>
          <cell r="X27294" t="str">
            <v>Expenses</v>
          </cell>
        </row>
        <row r="27295">
          <cell r="L27295" t="str">
            <v>Non-proportional</v>
          </cell>
          <cell r="S27295">
            <v>-1.41</v>
          </cell>
          <cell r="X27295" t="str">
            <v>Expenses</v>
          </cell>
        </row>
        <row r="27296">
          <cell r="L27296" t="str">
            <v>Non-proportional</v>
          </cell>
          <cell r="S27296">
            <v>-4.18</v>
          </cell>
          <cell r="X27296" t="str">
            <v>Expenses</v>
          </cell>
        </row>
        <row r="27297">
          <cell r="L27297" t="str">
            <v>Non-proportional</v>
          </cell>
          <cell r="S27297">
            <v>62.52</v>
          </cell>
          <cell r="X27297" t="str">
            <v>Expenses</v>
          </cell>
        </row>
        <row r="27298">
          <cell r="L27298" t="str">
            <v>Non-proportional</v>
          </cell>
          <cell r="S27298">
            <v>55.05</v>
          </cell>
          <cell r="X27298" t="str">
            <v>Expenses</v>
          </cell>
        </row>
        <row r="27299">
          <cell r="L27299" t="str">
            <v>Non-proportional</v>
          </cell>
          <cell r="S27299">
            <v>178.07</v>
          </cell>
          <cell r="X27299" t="str">
            <v>Expenses</v>
          </cell>
        </row>
        <row r="27300">
          <cell r="L27300" t="str">
            <v>Non-proportional</v>
          </cell>
          <cell r="S27300">
            <v>132.19999999999999</v>
          </cell>
          <cell r="X27300" t="str">
            <v>Expenses</v>
          </cell>
        </row>
        <row r="27301">
          <cell r="L27301" t="str">
            <v>Non-proportional</v>
          </cell>
          <cell r="S27301">
            <v>125.14</v>
          </cell>
          <cell r="X27301" t="str">
            <v>Expenses</v>
          </cell>
        </row>
        <row r="27302">
          <cell r="L27302" t="str">
            <v>Non-proportional</v>
          </cell>
          <cell r="S27302">
            <v>27.97</v>
          </cell>
          <cell r="X27302" t="str">
            <v>Expenses</v>
          </cell>
        </row>
        <row r="27303">
          <cell r="L27303" t="str">
            <v>Non-proportional</v>
          </cell>
          <cell r="S27303">
            <v>0</v>
          </cell>
          <cell r="X27303" t="str">
            <v>Expenses</v>
          </cell>
        </row>
        <row r="27304">
          <cell r="L27304" t="str">
            <v>Non-proportional</v>
          </cell>
          <cell r="S27304">
            <v>78.25</v>
          </cell>
          <cell r="X27304" t="str">
            <v>Expenses</v>
          </cell>
        </row>
        <row r="27305">
          <cell r="L27305" t="str">
            <v>Non-proportional</v>
          </cell>
          <cell r="S27305">
            <v>26.59</v>
          </cell>
          <cell r="X27305" t="str">
            <v>Expenses</v>
          </cell>
        </row>
        <row r="27306">
          <cell r="L27306" t="str">
            <v>Non-proportional</v>
          </cell>
          <cell r="S27306">
            <v>81.3</v>
          </cell>
          <cell r="X27306" t="str">
            <v>Expenses</v>
          </cell>
        </row>
        <row r="27307">
          <cell r="L27307" t="str">
            <v>Non-proportional</v>
          </cell>
          <cell r="S27307">
            <v>86.86</v>
          </cell>
          <cell r="X27307" t="str">
            <v>Expenses</v>
          </cell>
        </row>
        <row r="27308">
          <cell r="L27308" t="str">
            <v>Non-proportional</v>
          </cell>
          <cell r="S27308">
            <v>106.33</v>
          </cell>
          <cell r="X27308" t="str">
            <v>Expenses</v>
          </cell>
        </row>
        <row r="27309">
          <cell r="L27309" t="str">
            <v>Non-proportional</v>
          </cell>
          <cell r="S27309">
            <v>20.2</v>
          </cell>
          <cell r="X27309" t="str">
            <v>Expenses</v>
          </cell>
        </row>
        <row r="27310">
          <cell r="L27310" t="str">
            <v>Non-proportional</v>
          </cell>
          <cell r="S27310">
            <v>264.2</v>
          </cell>
          <cell r="X27310" t="str">
            <v>Expenses</v>
          </cell>
        </row>
        <row r="27311">
          <cell r="L27311" t="str">
            <v>Non-proportional</v>
          </cell>
          <cell r="S27311">
            <v>66.63</v>
          </cell>
          <cell r="X27311" t="str">
            <v>Expenses</v>
          </cell>
        </row>
        <row r="27312">
          <cell r="L27312" t="str">
            <v>Non-proportional</v>
          </cell>
          <cell r="S27312">
            <v>-0.28000000000000003</v>
          </cell>
          <cell r="X27312" t="str">
            <v>Expenses</v>
          </cell>
        </row>
        <row r="27313">
          <cell r="L27313" t="str">
            <v>Non-proportional</v>
          </cell>
          <cell r="S27313">
            <v>3.35</v>
          </cell>
          <cell r="X27313" t="str">
            <v>Expenses</v>
          </cell>
        </row>
        <row r="27314">
          <cell r="L27314" t="str">
            <v>Non-proportional</v>
          </cell>
          <cell r="S27314">
            <v>111.22</v>
          </cell>
          <cell r="X27314" t="str">
            <v>Expenses</v>
          </cell>
        </row>
        <row r="27315">
          <cell r="L27315" t="str">
            <v>Non-proportional</v>
          </cell>
          <cell r="S27315">
            <v>0</v>
          </cell>
          <cell r="X27315" t="str">
            <v>Expenses</v>
          </cell>
        </row>
        <row r="27316">
          <cell r="L27316" t="str">
            <v>Non-proportional</v>
          </cell>
          <cell r="S27316">
            <v>-3.1</v>
          </cell>
          <cell r="X27316" t="str">
            <v>Expenses</v>
          </cell>
        </row>
        <row r="27317">
          <cell r="L27317" t="str">
            <v>Non-proportional</v>
          </cell>
          <cell r="S27317">
            <v>59.55</v>
          </cell>
          <cell r="X27317" t="str">
            <v>Expenses</v>
          </cell>
        </row>
        <row r="27318">
          <cell r="L27318" t="str">
            <v>Non-proportional</v>
          </cell>
          <cell r="S27318">
            <v>13.14</v>
          </cell>
          <cell r="X27318" t="str">
            <v>Expenses</v>
          </cell>
        </row>
        <row r="27319">
          <cell r="L27319" t="str">
            <v>Non-proportional</v>
          </cell>
          <cell r="S27319">
            <v>0.23</v>
          </cell>
          <cell r="X27319" t="str">
            <v>Expenses</v>
          </cell>
        </row>
        <row r="27320">
          <cell r="L27320" t="str">
            <v>Non-proportional</v>
          </cell>
          <cell r="S27320">
            <v>-2.67</v>
          </cell>
          <cell r="X27320" t="str">
            <v>Expenses</v>
          </cell>
        </row>
        <row r="27321">
          <cell r="L27321" t="str">
            <v>Non-proportional</v>
          </cell>
          <cell r="S27321">
            <v>510.39</v>
          </cell>
          <cell r="X27321" t="str">
            <v>Expenses</v>
          </cell>
        </row>
        <row r="27322">
          <cell r="L27322" t="str">
            <v>Non-proportional</v>
          </cell>
          <cell r="S27322">
            <v>52.63</v>
          </cell>
          <cell r="X27322" t="str">
            <v>Expenses</v>
          </cell>
        </row>
        <row r="27323">
          <cell r="L27323" t="str">
            <v>Non-proportional</v>
          </cell>
          <cell r="S27323">
            <v>47.89</v>
          </cell>
          <cell r="X27323" t="str">
            <v>Expenses</v>
          </cell>
        </row>
        <row r="27324">
          <cell r="L27324" t="str">
            <v>Non-proportional</v>
          </cell>
          <cell r="S27324">
            <v>-132.83000000000001</v>
          </cell>
          <cell r="X27324" t="str">
            <v>Expenses</v>
          </cell>
        </row>
        <row r="27325">
          <cell r="L27325" t="str">
            <v>Non-proportional</v>
          </cell>
          <cell r="S27325">
            <v>372.47</v>
          </cell>
          <cell r="X27325" t="str">
            <v>Expenses</v>
          </cell>
        </row>
        <row r="27326">
          <cell r="L27326" t="str">
            <v>Non-proportional</v>
          </cell>
          <cell r="S27326">
            <v>245.64</v>
          </cell>
          <cell r="X27326" t="str">
            <v>Expenses</v>
          </cell>
        </row>
        <row r="27327">
          <cell r="L27327" t="str">
            <v>Non-proportional</v>
          </cell>
          <cell r="S27327">
            <v>191.4</v>
          </cell>
          <cell r="X27327" t="str">
            <v>Expenses</v>
          </cell>
        </row>
        <row r="27328">
          <cell r="L27328" t="str">
            <v>Non-proportional</v>
          </cell>
          <cell r="S27328">
            <v>156.58000000000001</v>
          </cell>
          <cell r="X27328" t="str">
            <v>Expenses</v>
          </cell>
        </row>
        <row r="27329">
          <cell r="L27329" t="str">
            <v>Non-proportional</v>
          </cell>
          <cell r="S27329">
            <v>89.32</v>
          </cell>
          <cell r="X27329" t="str">
            <v>Expenses</v>
          </cell>
        </row>
        <row r="27330">
          <cell r="L27330" t="str">
            <v>Non-proportional</v>
          </cell>
          <cell r="S27330">
            <v>96.13</v>
          </cell>
          <cell r="X27330" t="str">
            <v>Expenses</v>
          </cell>
        </row>
        <row r="27331">
          <cell r="L27331" t="str">
            <v>Non-proportional</v>
          </cell>
          <cell r="S27331">
            <v>143.52000000000001</v>
          </cell>
          <cell r="X27331" t="str">
            <v>Expenses</v>
          </cell>
        </row>
        <row r="27332">
          <cell r="L27332" t="str">
            <v>Non-proportional</v>
          </cell>
          <cell r="S27332">
            <v>91.86</v>
          </cell>
          <cell r="X27332" t="str">
            <v>Expenses</v>
          </cell>
        </row>
        <row r="27333">
          <cell r="L27333" t="str">
            <v>Non-proportional</v>
          </cell>
          <cell r="S27333">
            <v>255.17</v>
          </cell>
          <cell r="X27333" t="str">
            <v>Expenses</v>
          </cell>
        </row>
        <row r="27334">
          <cell r="L27334" t="str">
            <v>Non-proportional</v>
          </cell>
          <cell r="S27334">
            <v>66.8</v>
          </cell>
          <cell r="X27334" t="str">
            <v>Expenses</v>
          </cell>
        </row>
        <row r="27335">
          <cell r="L27335" t="str">
            <v>Non-proportional</v>
          </cell>
          <cell r="S27335">
            <v>54.85</v>
          </cell>
          <cell r="X27335" t="str">
            <v>Expenses</v>
          </cell>
        </row>
        <row r="27336">
          <cell r="L27336" t="str">
            <v>Non-proportional</v>
          </cell>
          <cell r="S27336">
            <v>409.95</v>
          </cell>
          <cell r="X27336" t="str">
            <v>Expenses</v>
          </cell>
        </row>
        <row r="27337">
          <cell r="L27337" t="str">
            <v>Non-proportional</v>
          </cell>
          <cell r="S27337">
            <v>102.71</v>
          </cell>
          <cell r="X27337" t="str">
            <v>Expenses</v>
          </cell>
        </row>
        <row r="27338">
          <cell r="L27338" t="str">
            <v>Non-proportional</v>
          </cell>
          <cell r="S27338">
            <v>86.81</v>
          </cell>
          <cell r="X27338" t="str">
            <v>Expenses</v>
          </cell>
        </row>
        <row r="27339">
          <cell r="L27339" t="str">
            <v>Non-proportional</v>
          </cell>
          <cell r="S27339">
            <v>-0.12</v>
          </cell>
          <cell r="X27339" t="str">
            <v>Expenses</v>
          </cell>
        </row>
        <row r="27340">
          <cell r="L27340" t="str">
            <v>Non-proportional</v>
          </cell>
          <cell r="S27340">
            <v>17.8</v>
          </cell>
          <cell r="X27340" t="str">
            <v>Expenses</v>
          </cell>
        </row>
        <row r="27341">
          <cell r="L27341" t="str">
            <v>Non-proportional</v>
          </cell>
          <cell r="S27341">
            <v>68.05</v>
          </cell>
          <cell r="X27341" t="str">
            <v>Expenses</v>
          </cell>
        </row>
        <row r="27342">
          <cell r="L27342" t="str">
            <v>Non-proportional</v>
          </cell>
          <cell r="S27342">
            <v>-2.0699999999999998</v>
          </cell>
          <cell r="X27342" t="str">
            <v>Expenses</v>
          </cell>
        </row>
        <row r="27343">
          <cell r="L27343" t="str">
            <v>Non-proportional</v>
          </cell>
          <cell r="S27343">
            <v>-4.3499999999999996</v>
          </cell>
          <cell r="X27343" t="str">
            <v>Expenses</v>
          </cell>
        </row>
        <row r="27344">
          <cell r="L27344" t="str">
            <v>Non-proportional</v>
          </cell>
          <cell r="S27344">
            <v>-0.65</v>
          </cell>
          <cell r="X27344" t="str">
            <v>Expenses</v>
          </cell>
        </row>
        <row r="27345">
          <cell r="L27345" t="str">
            <v>Non-proportional</v>
          </cell>
          <cell r="S27345">
            <v>51.74</v>
          </cell>
          <cell r="X27345" t="str">
            <v>Expenses</v>
          </cell>
        </row>
        <row r="27346">
          <cell r="L27346" t="str">
            <v>Non-proportional</v>
          </cell>
          <cell r="S27346">
            <v>9.15</v>
          </cell>
          <cell r="X27346" t="str">
            <v>Expenses</v>
          </cell>
        </row>
        <row r="27347">
          <cell r="L27347" t="str">
            <v>Non-proportional</v>
          </cell>
          <cell r="S27347">
            <v>633.67999999999995</v>
          </cell>
          <cell r="X27347" t="str">
            <v>Expenses</v>
          </cell>
        </row>
        <row r="27348">
          <cell r="L27348" t="str">
            <v>Non-proportional</v>
          </cell>
          <cell r="S27348">
            <v>108.73</v>
          </cell>
          <cell r="X27348" t="str">
            <v>Expenses</v>
          </cell>
        </row>
        <row r="27349">
          <cell r="L27349" t="str">
            <v>Non-proportional</v>
          </cell>
          <cell r="S27349">
            <v>300.39</v>
          </cell>
          <cell r="X27349" t="str">
            <v>Expenses</v>
          </cell>
        </row>
        <row r="27350">
          <cell r="L27350" t="str">
            <v>Non-proportional</v>
          </cell>
          <cell r="S27350">
            <v>79.55</v>
          </cell>
          <cell r="X27350" t="str">
            <v>Expenses</v>
          </cell>
        </row>
        <row r="27351">
          <cell r="L27351" t="str">
            <v>Non-proportional</v>
          </cell>
          <cell r="S27351">
            <v>12.63</v>
          </cell>
          <cell r="X27351" t="str">
            <v>Expenses</v>
          </cell>
        </row>
        <row r="27352">
          <cell r="L27352" t="str">
            <v>Non-proportional</v>
          </cell>
          <cell r="S27352">
            <v>40.200000000000003</v>
          </cell>
          <cell r="X27352" t="str">
            <v>Expenses</v>
          </cell>
        </row>
        <row r="27353">
          <cell r="L27353" t="str">
            <v>Non-proportional</v>
          </cell>
          <cell r="S27353">
            <v>223.76</v>
          </cell>
          <cell r="X27353" t="str">
            <v>Expenses</v>
          </cell>
        </row>
        <row r="27354">
          <cell r="L27354" t="str">
            <v>Non-proportional</v>
          </cell>
          <cell r="S27354">
            <v>300.39</v>
          </cell>
          <cell r="X27354" t="str">
            <v>Expenses</v>
          </cell>
        </row>
        <row r="27355">
          <cell r="L27355" t="str">
            <v>Non-proportional</v>
          </cell>
          <cell r="S27355">
            <v>-0.22</v>
          </cell>
          <cell r="X27355" t="str">
            <v>Expenses</v>
          </cell>
        </row>
        <row r="27356">
          <cell r="L27356" t="str">
            <v>Non-proportional</v>
          </cell>
          <cell r="S27356">
            <v>177.16</v>
          </cell>
          <cell r="X27356" t="str">
            <v>Expenses</v>
          </cell>
        </row>
        <row r="27357">
          <cell r="L27357" t="str">
            <v>Non-proportional</v>
          </cell>
          <cell r="S27357">
            <v>36.53</v>
          </cell>
          <cell r="X27357" t="str">
            <v>Expenses</v>
          </cell>
        </row>
        <row r="27358">
          <cell r="L27358" t="str">
            <v>Non-proportional</v>
          </cell>
          <cell r="S27358">
            <v>219.71</v>
          </cell>
          <cell r="X27358" t="str">
            <v>Expenses</v>
          </cell>
        </row>
        <row r="27359">
          <cell r="L27359" t="str">
            <v>Non-proportional</v>
          </cell>
          <cell r="S27359">
            <v>189.05</v>
          </cell>
          <cell r="X27359" t="str">
            <v>Expenses</v>
          </cell>
        </row>
        <row r="27360">
          <cell r="L27360" t="str">
            <v>Non-proportional</v>
          </cell>
          <cell r="S27360">
            <v>435.68</v>
          </cell>
          <cell r="X27360" t="str">
            <v>Expenses</v>
          </cell>
        </row>
        <row r="27361">
          <cell r="L27361" t="str">
            <v>Non-proportional</v>
          </cell>
          <cell r="S27361">
            <v>-0.28000000000000003</v>
          </cell>
          <cell r="X27361" t="str">
            <v>Expenses</v>
          </cell>
        </row>
        <row r="27362">
          <cell r="L27362" t="str">
            <v>Non-proportional</v>
          </cell>
          <cell r="S27362">
            <v>-2.66</v>
          </cell>
          <cell r="X27362" t="str">
            <v>Expenses</v>
          </cell>
        </row>
        <row r="27363">
          <cell r="L27363" t="str">
            <v>Non-proportional</v>
          </cell>
          <cell r="S27363">
            <v>177.22</v>
          </cell>
          <cell r="X27363" t="str">
            <v>Expenses</v>
          </cell>
        </row>
        <row r="27364">
          <cell r="L27364" t="str">
            <v>Non-proportional</v>
          </cell>
          <cell r="S27364">
            <v>-16.28</v>
          </cell>
          <cell r="X27364" t="str">
            <v>Expenses</v>
          </cell>
        </row>
        <row r="27365">
          <cell r="L27365" t="str">
            <v>Non-proportional</v>
          </cell>
          <cell r="S27365">
            <v>77.510000000000005</v>
          </cell>
          <cell r="X27365" t="str">
            <v>Expenses</v>
          </cell>
        </row>
        <row r="27366">
          <cell r="L27366" t="str">
            <v>Non-proportional</v>
          </cell>
          <cell r="S27366">
            <v>109.51</v>
          </cell>
          <cell r="X27366" t="str">
            <v>Expenses</v>
          </cell>
        </row>
        <row r="27367">
          <cell r="L27367" t="str">
            <v>Non-proportional</v>
          </cell>
          <cell r="S27367">
            <v>40.270000000000003</v>
          </cell>
          <cell r="X27367" t="str">
            <v>Expenses</v>
          </cell>
        </row>
        <row r="27368">
          <cell r="L27368" t="str">
            <v>Non-proportional</v>
          </cell>
          <cell r="S27368">
            <v>-2.2000000000000002</v>
          </cell>
          <cell r="X27368" t="str">
            <v>Expenses</v>
          </cell>
        </row>
        <row r="27369">
          <cell r="L27369" t="str">
            <v>Non-proportional</v>
          </cell>
          <cell r="S27369">
            <v>3482.12</v>
          </cell>
          <cell r="X27369" t="str">
            <v>Expenses</v>
          </cell>
        </row>
        <row r="27370">
          <cell r="L27370" t="str">
            <v>Non-proportional</v>
          </cell>
          <cell r="S27370">
            <v>-130.5</v>
          </cell>
          <cell r="X27370" t="str">
            <v>Expenses</v>
          </cell>
        </row>
        <row r="27371">
          <cell r="L27371" t="str">
            <v>Non-proportional</v>
          </cell>
          <cell r="S27371">
            <v>196.97</v>
          </cell>
          <cell r="X27371" t="str">
            <v>Expenses</v>
          </cell>
        </row>
        <row r="27372">
          <cell r="L27372" t="str">
            <v>Non-proportional</v>
          </cell>
          <cell r="S27372">
            <v>89.03</v>
          </cell>
          <cell r="X27372" t="str">
            <v>Expenses</v>
          </cell>
        </row>
        <row r="27373">
          <cell r="L27373" t="str">
            <v>Non-proportional</v>
          </cell>
          <cell r="S27373">
            <v>8.7799999999999994</v>
          </cell>
          <cell r="X27373" t="str">
            <v>Expenses</v>
          </cell>
        </row>
        <row r="27374">
          <cell r="L27374" t="str">
            <v>Non-proportional</v>
          </cell>
          <cell r="S27374">
            <v>32.869999999999997</v>
          </cell>
          <cell r="X27374" t="str">
            <v>Expenses</v>
          </cell>
        </row>
        <row r="27375">
          <cell r="L27375" t="str">
            <v>Non-proportional</v>
          </cell>
          <cell r="S27375">
            <v>16.7</v>
          </cell>
          <cell r="X27375" t="str">
            <v>Expenses</v>
          </cell>
        </row>
        <row r="27376">
          <cell r="L27376" t="str">
            <v>Non-proportional</v>
          </cell>
          <cell r="S27376">
            <v>4</v>
          </cell>
          <cell r="X27376" t="str">
            <v>Expenses</v>
          </cell>
        </row>
        <row r="27377">
          <cell r="L27377" t="str">
            <v>Non-proportional</v>
          </cell>
          <cell r="S27377">
            <v>0.23</v>
          </cell>
          <cell r="X27377" t="str">
            <v>Expenses</v>
          </cell>
        </row>
        <row r="27378">
          <cell r="L27378" t="str">
            <v>Non-proportional</v>
          </cell>
          <cell r="S27378">
            <v>154.57</v>
          </cell>
          <cell r="X27378" t="str">
            <v>Expenses</v>
          </cell>
        </row>
        <row r="27379">
          <cell r="L27379" t="str">
            <v>Non-proportional</v>
          </cell>
          <cell r="S27379">
            <v>167.69</v>
          </cell>
          <cell r="X27379" t="str">
            <v>Expenses</v>
          </cell>
        </row>
        <row r="27380">
          <cell r="L27380" t="str">
            <v>Non-proportional</v>
          </cell>
          <cell r="S27380">
            <v>-2.63</v>
          </cell>
          <cell r="X27380" t="str">
            <v>Expenses</v>
          </cell>
        </row>
        <row r="27381">
          <cell r="L27381" t="str">
            <v>Non-proportional</v>
          </cell>
          <cell r="S27381">
            <v>97.83</v>
          </cell>
          <cell r="X27381" t="str">
            <v>Expenses</v>
          </cell>
        </row>
        <row r="27382">
          <cell r="L27382" t="str">
            <v>Non-proportional</v>
          </cell>
          <cell r="S27382">
            <v>132.81</v>
          </cell>
          <cell r="X27382" t="str">
            <v>Expenses</v>
          </cell>
        </row>
        <row r="27383">
          <cell r="L27383" t="str">
            <v>Non-proportional</v>
          </cell>
          <cell r="S27383">
            <v>156.69999999999999</v>
          </cell>
          <cell r="X27383" t="str">
            <v>Expenses</v>
          </cell>
        </row>
        <row r="27384">
          <cell r="L27384" t="str">
            <v>Non-proportional</v>
          </cell>
          <cell r="S27384">
            <v>24.58</v>
          </cell>
          <cell r="X27384" t="str">
            <v>Expenses</v>
          </cell>
        </row>
        <row r="27385">
          <cell r="L27385" t="str">
            <v>Non-proportional</v>
          </cell>
          <cell r="S27385">
            <v>140.43</v>
          </cell>
          <cell r="X27385" t="str">
            <v>Expenses</v>
          </cell>
        </row>
        <row r="27386">
          <cell r="L27386" t="str">
            <v>Non-proportional</v>
          </cell>
          <cell r="S27386">
            <v>154</v>
          </cell>
          <cell r="X27386" t="str">
            <v>Expenses</v>
          </cell>
        </row>
        <row r="27387">
          <cell r="L27387" t="str">
            <v>Non-proportional</v>
          </cell>
          <cell r="S27387">
            <v>-4.1399999999999997</v>
          </cell>
          <cell r="X27387" t="str">
            <v>Expenses</v>
          </cell>
        </row>
        <row r="27388">
          <cell r="L27388" t="str">
            <v>Non-proportional</v>
          </cell>
          <cell r="S27388">
            <v>-82.87</v>
          </cell>
          <cell r="X27388" t="str">
            <v>Expenses</v>
          </cell>
        </row>
        <row r="27389">
          <cell r="L27389" t="str">
            <v>Non-proportional</v>
          </cell>
          <cell r="S27389">
            <v>250.72</v>
          </cell>
          <cell r="X27389" t="str">
            <v>Expenses</v>
          </cell>
        </row>
        <row r="27390">
          <cell r="L27390" t="str">
            <v>Non-proportional</v>
          </cell>
          <cell r="S27390">
            <v>0</v>
          </cell>
          <cell r="X27390" t="str">
            <v>Expenses</v>
          </cell>
        </row>
        <row r="27391">
          <cell r="L27391" t="str">
            <v>Non-proportional</v>
          </cell>
          <cell r="S27391">
            <v>174.13</v>
          </cell>
          <cell r="X27391" t="str">
            <v>Expenses</v>
          </cell>
        </row>
        <row r="27392">
          <cell r="L27392" t="str">
            <v>Non-proportional</v>
          </cell>
          <cell r="S27392">
            <v>34.71</v>
          </cell>
          <cell r="X27392" t="str">
            <v>Expenses</v>
          </cell>
        </row>
        <row r="27393">
          <cell r="L27393" t="str">
            <v>Non-proportional</v>
          </cell>
          <cell r="S27393">
            <v>65.64</v>
          </cell>
          <cell r="X27393" t="str">
            <v>Expenses</v>
          </cell>
        </row>
        <row r="27394">
          <cell r="L27394" t="str">
            <v>Non-proportional</v>
          </cell>
          <cell r="S27394">
            <v>-1.1499999999999999</v>
          </cell>
          <cell r="X27394" t="str">
            <v>Expenses</v>
          </cell>
        </row>
        <row r="27395">
          <cell r="L27395" t="str">
            <v>Non-proportional</v>
          </cell>
          <cell r="S27395">
            <v>295.44</v>
          </cell>
          <cell r="X27395" t="str">
            <v>Expenses</v>
          </cell>
        </row>
        <row r="27396">
          <cell r="L27396" t="str">
            <v>Non-proportional</v>
          </cell>
          <cell r="S27396">
            <v>-12.22</v>
          </cell>
          <cell r="X27396" t="str">
            <v>Expenses</v>
          </cell>
        </row>
        <row r="27397">
          <cell r="L27397" t="str">
            <v>Proportional</v>
          </cell>
          <cell r="S27397">
            <v>6454.68</v>
          </cell>
          <cell r="X27397" t="str">
            <v>Expenses</v>
          </cell>
        </row>
        <row r="27398">
          <cell r="L27398" t="str">
            <v>Non-proportional</v>
          </cell>
          <cell r="S27398">
            <v>-0.74</v>
          </cell>
          <cell r="X27398" t="str">
            <v>Expenses</v>
          </cell>
        </row>
        <row r="27399">
          <cell r="L27399" t="str">
            <v>Non-proportional</v>
          </cell>
          <cell r="S27399">
            <v>25.53</v>
          </cell>
          <cell r="X27399" t="str">
            <v>Expenses</v>
          </cell>
        </row>
        <row r="27400">
          <cell r="L27400" t="str">
            <v>Non-proportional</v>
          </cell>
          <cell r="S27400">
            <v>-0.05</v>
          </cell>
          <cell r="X27400" t="str">
            <v>Expenses</v>
          </cell>
        </row>
        <row r="27401">
          <cell r="L27401" t="str">
            <v>Non-proportional</v>
          </cell>
          <cell r="S27401">
            <v>25.85</v>
          </cell>
          <cell r="X27401" t="str">
            <v>Expenses</v>
          </cell>
        </row>
        <row r="27402">
          <cell r="L27402" t="str">
            <v>Non-proportional</v>
          </cell>
          <cell r="S27402">
            <v>466.41</v>
          </cell>
          <cell r="X27402" t="str">
            <v>Expenses</v>
          </cell>
        </row>
        <row r="27403">
          <cell r="L27403" t="str">
            <v>Non-proportional</v>
          </cell>
          <cell r="S27403">
            <v>-0.08</v>
          </cell>
          <cell r="X27403" t="str">
            <v>Expenses</v>
          </cell>
        </row>
        <row r="27404">
          <cell r="L27404" t="str">
            <v>Non-proportional</v>
          </cell>
          <cell r="S27404">
            <v>-7290.41</v>
          </cell>
          <cell r="X27404" t="str">
            <v>Expenses</v>
          </cell>
        </row>
        <row r="27405">
          <cell r="L27405" t="str">
            <v>Non-proportional</v>
          </cell>
          <cell r="S27405">
            <v>0</v>
          </cell>
          <cell r="X27405" t="str">
            <v>Expenses</v>
          </cell>
        </row>
        <row r="27406">
          <cell r="L27406" t="str">
            <v>Non-proportional</v>
          </cell>
          <cell r="S27406">
            <v>193.26</v>
          </cell>
          <cell r="X27406" t="str">
            <v>Expenses</v>
          </cell>
        </row>
        <row r="27407">
          <cell r="L27407" t="str">
            <v>Non-proportional</v>
          </cell>
          <cell r="S27407">
            <v>64.45</v>
          </cell>
          <cell r="X27407" t="str">
            <v>Expenses</v>
          </cell>
        </row>
        <row r="27408">
          <cell r="L27408" t="str">
            <v>Non-proportional</v>
          </cell>
          <cell r="S27408">
            <v>47.01</v>
          </cell>
          <cell r="X27408" t="str">
            <v>Expenses</v>
          </cell>
        </row>
        <row r="27409">
          <cell r="L27409" t="str">
            <v>Non-proportional</v>
          </cell>
          <cell r="S27409">
            <v>38.44</v>
          </cell>
          <cell r="X27409" t="str">
            <v>Expenses</v>
          </cell>
        </row>
        <row r="27410">
          <cell r="L27410" t="str">
            <v>Non-proportional</v>
          </cell>
          <cell r="S27410">
            <v>2.42</v>
          </cell>
          <cell r="X27410" t="str">
            <v>Expenses</v>
          </cell>
        </row>
        <row r="27411">
          <cell r="L27411" t="str">
            <v>Non-proportional</v>
          </cell>
          <cell r="S27411">
            <v>114.3</v>
          </cell>
          <cell r="X27411" t="str">
            <v>Expenses</v>
          </cell>
        </row>
        <row r="27412">
          <cell r="L27412" t="str">
            <v>Non-proportional</v>
          </cell>
          <cell r="S27412">
            <v>0</v>
          </cell>
          <cell r="X27412" t="str">
            <v>Expenses</v>
          </cell>
        </row>
        <row r="27413">
          <cell r="L27413" t="str">
            <v>Non-proportional</v>
          </cell>
          <cell r="S27413">
            <v>-0.27</v>
          </cell>
          <cell r="X27413" t="str">
            <v>Expenses</v>
          </cell>
        </row>
        <row r="27414">
          <cell r="L27414" t="str">
            <v>Non-proportional</v>
          </cell>
          <cell r="S27414">
            <v>-422.97</v>
          </cell>
          <cell r="X27414" t="str">
            <v>Expenses</v>
          </cell>
        </row>
        <row r="27415">
          <cell r="L27415" t="str">
            <v>Non-proportional</v>
          </cell>
          <cell r="S27415">
            <v>83.99</v>
          </cell>
          <cell r="X27415" t="str">
            <v>Expenses</v>
          </cell>
        </row>
        <row r="27416">
          <cell r="L27416" t="str">
            <v>Non-proportional</v>
          </cell>
          <cell r="S27416">
            <v>-0.63</v>
          </cell>
          <cell r="X27416" t="str">
            <v>Expenses</v>
          </cell>
        </row>
        <row r="27417">
          <cell r="L27417" t="str">
            <v>Non-proportional</v>
          </cell>
          <cell r="S27417">
            <v>397.31</v>
          </cell>
          <cell r="X27417" t="str">
            <v>Expenses</v>
          </cell>
        </row>
        <row r="27418">
          <cell r="L27418" t="str">
            <v>Non-proportional</v>
          </cell>
          <cell r="S27418">
            <v>0</v>
          </cell>
          <cell r="X27418" t="str">
            <v>Expenses</v>
          </cell>
        </row>
        <row r="27419">
          <cell r="L27419" t="str">
            <v>Non-proportional</v>
          </cell>
          <cell r="S27419">
            <v>-15.99</v>
          </cell>
          <cell r="X27419" t="str">
            <v>Expenses</v>
          </cell>
        </row>
        <row r="27420">
          <cell r="L27420" t="str">
            <v>Non-proportional</v>
          </cell>
          <cell r="S27420">
            <v>457.38</v>
          </cell>
          <cell r="X27420" t="str">
            <v>Expenses</v>
          </cell>
        </row>
        <row r="27421">
          <cell r="L27421" t="str">
            <v>Non-proportional</v>
          </cell>
          <cell r="S27421">
            <v>-2.04</v>
          </cell>
          <cell r="X27421" t="str">
            <v>Expenses</v>
          </cell>
        </row>
        <row r="27422">
          <cell r="L27422" t="str">
            <v>Non-proportional</v>
          </cell>
          <cell r="S27422">
            <v>0</v>
          </cell>
          <cell r="X27422" t="str">
            <v>Expenses</v>
          </cell>
        </row>
        <row r="27423">
          <cell r="L27423" t="str">
            <v>Non-proportional</v>
          </cell>
          <cell r="S27423">
            <v>126.92</v>
          </cell>
          <cell r="X27423" t="str">
            <v>Expenses</v>
          </cell>
        </row>
        <row r="27424">
          <cell r="L27424" t="str">
            <v>Non-proportional</v>
          </cell>
          <cell r="S27424">
            <v>-7.44</v>
          </cell>
          <cell r="X27424" t="str">
            <v>Expenses</v>
          </cell>
        </row>
        <row r="27425">
          <cell r="L27425" t="str">
            <v>Non-proportional</v>
          </cell>
          <cell r="S27425">
            <v>52.85</v>
          </cell>
          <cell r="X27425" t="str">
            <v>Expenses</v>
          </cell>
        </row>
        <row r="27426">
          <cell r="L27426" t="str">
            <v>Non-proportional</v>
          </cell>
          <cell r="S27426">
            <v>107.43</v>
          </cell>
          <cell r="X27426" t="str">
            <v>Expenses</v>
          </cell>
        </row>
        <row r="27427">
          <cell r="L27427" t="str">
            <v>Non-proportional</v>
          </cell>
          <cell r="S27427">
            <v>50.89</v>
          </cell>
          <cell r="X27427" t="str">
            <v>Expenses</v>
          </cell>
        </row>
        <row r="27428">
          <cell r="L27428" t="str">
            <v>Non-proportional</v>
          </cell>
          <cell r="S27428">
            <v>-2.04</v>
          </cell>
          <cell r="X27428" t="str">
            <v>Expenses</v>
          </cell>
        </row>
        <row r="27429">
          <cell r="L27429" t="str">
            <v>Non-proportional</v>
          </cell>
          <cell r="S27429">
            <v>94.45</v>
          </cell>
          <cell r="X27429" t="str">
            <v>Expenses</v>
          </cell>
        </row>
        <row r="27430">
          <cell r="L27430" t="str">
            <v>Non-proportional</v>
          </cell>
          <cell r="S27430">
            <v>444.35</v>
          </cell>
          <cell r="X27430" t="str">
            <v>Expenses</v>
          </cell>
        </row>
        <row r="27431">
          <cell r="L27431" t="str">
            <v>Non-proportional</v>
          </cell>
          <cell r="S27431">
            <v>34.81</v>
          </cell>
          <cell r="X27431" t="str">
            <v>Expenses</v>
          </cell>
        </row>
        <row r="27432">
          <cell r="L27432" t="str">
            <v>Non-proportional</v>
          </cell>
          <cell r="S27432">
            <v>188.05</v>
          </cell>
          <cell r="X27432" t="str">
            <v>Expenses</v>
          </cell>
        </row>
        <row r="27433">
          <cell r="L27433" t="str">
            <v>Non-proportional</v>
          </cell>
          <cell r="S27433">
            <v>99.16</v>
          </cell>
          <cell r="X27433" t="str">
            <v>Expenses</v>
          </cell>
        </row>
        <row r="27434">
          <cell r="L27434" t="str">
            <v>Non-proportional</v>
          </cell>
          <cell r="S27434">
            <v>-2.62</v>
          </cell>
          <cell r="X27434" t="str">
            <v>Expenses</v>
          </cell>
        </row>
        <row r="27435">
          <cell r="L27435" t="str">
            <v>Non-proportional</v>
          </cell>
          <cell r="S27435">
            <v>-6.86</v>
          </cell>
          <cell r="X27435" t="str">
            <v>Expenses</v>
          </cell>
        </row>
        <row r="27436">
          <cell r="L27436" t="str">
            <v>Non-proportional</v>
          </cell>
          <cell r="S27436">
            <v>190.38</v>
          </cell>
          <cell r="X27436" t="str">
            <v>Expenses</v>
          </cell>
        </row>
        <row r="27437">
          <cell r="L27437" t="str">
            <v>Non-proportional</v>
          </cell>
          <cell r="S27437">
            <v>0.32</v>
          </cell>
          <cell r="X27437" t="str">
            <v>Expenses</v>
          </cell>
        </row>
        <row r="27438">
          <cell r="L27438" t="str">
            <v>Non-proportional</v>
          </cell>
          <cell r="S27438">
            <v>83.39</v>
          </cell>
          <cell r="X27438" t="str">
            <v>Expenses</v>
          </cell>
        </row>
        <row r="27439">
          <cell r="L27439" t="str">
            <v>Non-proportional</v>
          </cell>
          <cell r="S27439">
            <v>39.54</v>
          </cell>
          <cell r="X27439" t="str">
            <v>Expenses</v>
          </cell>
        </row>
        <row r="27440">
          <cell r="L27440" t="str">
            <v>Non-proportional</v>
          </cell>
          <cell r="S27440">
            <v>85.29</v>
          </cell>
          <cell r="X27440" t="str">
            <v>Expenses</v>
          </cell>
        </row>
        <row r="27441">
          <cell r="L27441" t="str">
            <v>Non-proportional</v>
          </cell>
          <cell r="S27441">
            <v>-0.05</v>
          </cell>
          <cell r="X27441" t="str">
            <v>Expenses</v>
          </cell>
        </row>
        <row r="27442">
          <cell r="L27442" t="str">
            <v>Non-proportional</v>
          </cell>
          <cell r="S27442">
            <v>117</v>
          </cell>
          <cell r="X27442" t="str">
            <v>Expenses</v>
          </cell>
        </row>
        <row r="27443">
          <cell r="L27443" t="str">
            <v>Non-proportional</v>
          </cell>
          <cell r="S27443">
            <v>0</v>
          </cell>
          <cell r="X27443" t="str">
            <v>Expenses</v>
          </cell>
        </row>
        <row r="27444">
          <cell r="L27444" t="str">
            <v>Non-proportional</v>
          </cell>
          <cell r="S27444">
            <v>1.8</v>
          </cell>
          <cell r="X27444" t="str">
            <v>Expenses</v>
          </cell>
        </row>
        <row r="27445">
          <cell r="L27445" t="str">
            <v>Non-proportional</v>
          </cell>
          <cell r="S27445">
            <v>241.31</v>
          </cell>
          <cell r="X27445" t="str">
            <v>Expenses</v>
          </cell>
        </row>
        <row r="27446">
          <cell r="L27446" t="str">
            <v>Non-proportional</v>
          </cell>
          <cell r="S27446">
            <v>42.31</v>
          </cell>
          <cell r="X27446" t="str">
            <v>Expenses</v>
          </cell>
        </row>
        <row r="27447">
          <cell r="L27447" t="str">
            <v>Non-proportional</v>
          </cell>
          <cell r="S27447">
            <v>3421.26</v>
          </cell>
          <cell r="X27447" t="str">
            <v>Expenses</v>
          </cell>
        </row>
        <row r="27448">
          <cell r="L27448" t="str">
            <v>Non-proportional</v>
          </cell>
          <cell r="S27448">
            <v>-1.62</v>
          </cell>
          <cell r="X27448" t="str">
            <v>Expenses</v>
          </cell>
        </row>
        <row r="27449">
          <cell r="L27449" t="str">
            <v>Non-proportional</v>
          </cell>
          <cell r="S27449">
            <v>32.28</v>
          </cell>
          <cell r="X27449" t="str">
            <v>Expenses</v>
          </cell>
        </row>
        <row r="27450">
          <cell r="L27450" t="str">
            <v>Non-proportional</v>
          </cell>
          <cell r="S27450">
            <v>0.79</v>
          </cell>
          <cell r="X27450" t="str">
            <v>Expenses</v>
          </cell>
        </row>
        <row r="27451">
          <cell r="L27451" t="str">
            <v>Non-proportional</v>
          </cell>
          <cell r="S27451">
            <v>-0.79</v>
          </cell>
          <cell r="X27451" t="str">
            <v>Expenses</v>
          </cell>
        </row>
        <row r="27452">
          <cell r="L27452" t="str">
            <v>Non-proportional</v>
          </cell>
          <cell r="S27452">
            <v>0.45</v>
          </cell>
          <cell r="X27452" t="str">
            <v>Expenses</v>
          </cell>
        </row>
        <row r="27453">
          <cell r="L27453" t="str">
            <v>Non-proportional</v>
          </cell>
          <cell r="S27453">
            <v>27.55</v>
          </cell>
          <cell r="X27453" t="str">
            <v>Expenses</v>
          </cell>
        </row>
        <row r="27454">
          <cell r="L27454" t="str">
            <v>Non-proportional</v>
          </cell>
          <cell r="S27454">
            <v>321.24</v>
          </cell>
          <cell r="X27454" t="str">
            <v>Expenses</v>
          </cell>
        </row>
        <row r="27455">
          <cell r="L27455" t="str">
            <v>Non-proportional</v>
          </cell>
          <cell r="S27455">
            <v>212.94</v>
          </cell>
          <cell r="X27455" t="str">
            <v>Expenses</v>
          </cell>
        </row>
        <row r="27456">
          <cell r="L27456" t="str">
            <v>Non-proportional</v>
          </cell>
          <cell r="S27456">
            <v>106.94</v>
          </cell>
          <cell r="X27456" t="str">
            <v>Expenses</v>
          </cell>
        </row>
        <row r="27457">
          <cell r="L27457" t="str">
            <v>Non-proportional</v>
          </cell>
          <cell r="S27457">
            <v>166.76</v>
          </cell>
          <cell r="X27457" t="str">
            <v>Expenses</v>
          </cell>
        </row>
        <row r="27458">
          <cell r="L27458" t="str">
            <v>Non-proportional</v>
          </cell>
          <cell r="S27458">
            <v>12.12</v>
          </cell>
          <cell r="X27458" t="str">
            <v>Expenses</v>
          </cell>
        </row>
        <row r="27459">
          <cell r="L27459" t="str">
            <v>Non-proportional</v>
          </cell>
          <cell r="S27459">
            <v>-10551.39</v>
          </cell>
          <cell r="X27459" t="str">
            <v>Expenses</v>
          </cell>
        </row>
        <row r="27460">
          <cell r="L27460" t="str">
            <v>Non-proportional</v>
          </cell>
          <cell r="S27460">
            <v>13.05</v>
          </cell>
          <cell r="X27460" t="str">
            <v>Expenses</v>
          </cell>
        </row>
        <row r="27461">
          <cell r="L27461" t="str">
            <v>Non-proportional</v>
          </cell>
          <cell r="S27461">
            <v>22.61</v>
          </cell>
          <cell r="X27461" t="str">
            <v>Expenses</v>
          </cell>
        </row>
        <row r="27462">
          <cell r="L27462" t="str">
            <v>Non-proportional</v>
          </cell>
          <cell r="S27462">
            <v>0</v>
          </cell>
          <cell r="X27462" t="str">
            <v>Expenses</v>
          </cell>
        </row>
        <row r="27463">
          <cell r="L27463" t="str">
            <v>Non-proportional</v>
          </cell>
          <cell r="S27463">
            <v>-77.430000000000007</v>
          </cell>
          <cell r="X27463" t="str">
            <v>Expenses</v>
          </cell>
        </row>
        <row r="27464">
          <cell r="L27464" t="str">
            <v>Non-proportional</v>
          </cell>
          <cell r="S27464">
            <v>134.59</v>
          </cell>
          <cell r="X27464" t="str">
            <v>Expenses</v>
          </cell>
        </row>
        <row r="27465">
          <cell r="L27465" t="str">
            <v>Non-proportional</v>
          </cell>
          <cell r="S27465">
            <v>109.18</v>
          </cell>
          <cell r="X27465" t="str">
            <v>Expenses</v>
          </cell>
        </row>
        <row r="27466">
          <cell r="L27466" t="str">
            <v>Non-proportional</v>
          </cell>
          <cell r="S27466">
            <v>39.6</v>
          </cell>
          <cell r="X27466" t="str">
            <v>Expenses</v>
          </cell>
        </row>
        <row r="27467">
          <cell r="L27467" t="str">
            <v>Non-proportional</v>
          </cell>
          <cell r="S27467">
            <v>137.79</v>
          </cell>
          <cell r="X27467" t="str">
            <v>Expenses</v>
          </cell>
        </row>
        <row r="27468">
          <cell r="L27468" t="str">
            <v>Non-proportional</v>
          </cell>
          <cell r="S27468">
            <v>61.43</v>
          </cell>
          <cell r="X27468" t="str">
            <v>Expenses</v>
          </cell>
        </row>
        <row r="27469">
          <cell r="L27469" t="str">
            <v>Non-proportional</v>
          </cell>
          <cell r="S27469">
            <v>76.16</v>
          </cell>
          <cell r="X27469" t="str">
            <v>Expenses</v>
          </cell>
        </row>
        <row r="27470">
          <cell r="L27470" t="str">
            <v>Non-proportional</v>
          </cell>
          <cell r="S27470">
            <v>37.43</v>
          </cell>
          <cell r="X27470" t="str">
            <v>Expenses</v>
          </cell>
        </row>
        <row r="27471">
          <cell r="L27471" t="str">
            <v>Non-proportional</v>
          </cell>
          <cell r="S27471">
            <v>-7802.71</v>
          </cell>
          <cell r="X27471" t="str">
            <v>Expenses</v>
          </cell>
        </row>
        <row r="27472">
          <cell r="L27472" t="str">
            <v>Non-proportional</v>
          </cell>
          <cell r="S27472">
            <v>37.69</v>
          </cell>
          <cell r="X27472" t="str">
            <v>Expenses</v>
          </cell>
        </row>
        <row r="27473">
          <cell r="L27473" t="str">
            <v>Non-proportional</v>
          </cell>
          <cell r="S27473">
            <v>58.51</v>
          </cell>
          <cell r="X27473" t="str">
            <v>Expenses</v>
          </cell>
        </row>
        <row r="27474">
          <cell r="L27474" t="str">
            <v>Non-proportional</v>
          </cell>
          <cell r="S27474">
            <v>49.87</v>
          </cell>
          <cell r="X27474" t="str">
            <v>Expenses</v>
          </cell>
        </row>
        <row r="27475">
          <cell r="L27475" t="str">
            <v>Proportional</v>
          </cell>
          <cell r="S27475">
            <v>213.82</v>
          </cell>
          <cell r="X27475" t="str">
            <v>Expenses</v>
          </cell>
        </row>
        <row r="27476">
          <cell r="L27476" t="str">
            <v>Non-proportional</v>
          </cell>
          <cell r="S27476">
            <v>51.76</v>
          </cell>
          <cell r="X27476" t="str">
            <v>Expenses</v>
          </cell>
        </row>
        <row r="27477">
          <cell r="L27477" t="str">
            <v>Non-proportional</v>
          </cell>
          <cell r="S27477">
            <v>263.93</v>
          </cell>
          <cell r="X27477" t="str">
            <v>Expenses</v>
          </cell>
        </row>
        <row r="27478">
          <cell r="L27478" t="str">
            <v>Non-proportional</v>
          </cell>
          <cell r="S27478">
            <v>-379.45</v>
          </cell>
          <cell r="X27478" t="str">
            <v>Expenses</v>
          </cell>
        </row>
        <row r="27479">
          <cell r="L27479" t="str">
            <v>Non-proportional</v>
          </cell>
          <cell r="S27479">
            <v>77.099999999999994</v>
          </cell>
          <cell r="X27479" t="str">
            <v>Expenses</v>
          </cell>
        </row>
        <row r="27480">
          <cell r="L27480" t="str">
            <v>Non-proportional</v>
          </cell>
          <cell r="S27480">
            <v>282.06</v>
          </cell>
          <cell r="X27480" t="str">
            <v>Expenses</v>
          </cell>
        </row>
        <row r="27481">
          <cell r="L27481" t="str">
            <v>Non-proportional</v>
          </cell>
          <cell r="S27481">
            <v>250.71</v>
          </cell>
          <cell r="X27481" t="str">
            <v>Expenses</v>
          </cell>
        </row>
        <row r="27482">
          <cell r="L27482" t="str">
            <v>Non-proportional</v>
          </cell>
          <cell r="S27482">
            <v>46.93</v>
          </cell>
          <cell r="X27482" t="str">
            <v>Expenses</v>
          </cell>
        </row>
        <row r="27483">
          <cell r="L27483" t="str">
            <v>Non-proportional</v>
          </cell>
          <cell r="S27483">
            <v>-1.59</v>
          </cell>
          <cell r="X27483" t="str">
            <v>Expenses</v>
          </cell>
        </row>
        <row r="27484">
          <cell r="L27484" t="str">
            <v>Non-proportional</v>
          </cell>
          <cell r="S27484">
            <v>259.58</v>
          </cell>
          <cell r="X27484" t="str">
            <v>Expenses</v>
          </cell>
        </row>
        <row r="27485">
          <cell r="L27485" t="str">
            <v>Non-proportional</v>
          </cell>
          <cell r="S27485">
            <v>46.93</v>
          </cell>
          <cell r="X27485" t="str">
            <v>Expenses</v>
          </cell>
        </row>
        <row r="27486">
          <cell r="L27486" t="str">
            <v>Non-proportional</v>
          </cell>
          <cell r="S27486">
            <v>46.42</v>
          </cell>
          <cell r="X27486" t="str">
            <v>Expenses</v>
          </cell>
        </row>
        <row r="27487">
          <cell r="L27487" t="str">
            <v>Non-proportional</v>
          </cell>
          <cell r="S27487">
            <v>39.67</v>
          </cell>
          <cell r="X27487" t="str">
            <v>Expenses</v>
          </cell>
        </row>
        <row r="27488">
          <cell r="L27488" t="str">
            <v>Non-proportional</v>
          </cell>
          <cell r="S27488">
            <v>-0.27</v>
          </cell>
          <cell r="X27488" t="str">
            <v>Expenses</v>
          </cell>
        </row>
        <row r="27489">
          <cell r="L27489" t="str">
            <v>Non-proportional</v>
          </cell>
          <cell r="S27489">
            <v>229.79</v>
          </cell>
          <cell r="X27489" t="str">
            <v>Expenses</v>
          </cell>
        </row>
        <row r="27490">
          <cell r="L27490" t="str">
            <v>Non-proportional</v>
          </cell>
          <cell r="S27490">
            <v>339.51</v>
          </cell>
          <cell r="X27490" t="str">
            <v>Expenses</v>
          </cell>
        </row>
        <row r="27491">
          <cell r="L27491" t="str">
            <v>Non-proportional</v>
          </cell>
          <cell r="S27491">
            <v>-4.28</v>
          </cell>
          <cell r="X27491" t="str">
            <v>Expenses</v>
          </cell>
        </row>
        <row r="27492">
          <cell r="L27492" t="str">
            <v>Non-proportional</v>
          </cell>
          <cell r="S27492">
            <v>-0.53</v>
          </cell>
          <cell r="X27492" t="str">
            <v>Expenses</v>
          </cell>
        </row>
        <row r="27493">
          <cell r="L27493" t="str">
            <v>Non-proportional</v>
          </cell>
          <cell r="S27493">
            <v>38.93</v>
          </cell>
          <cell r="X27493" t="str">
            <v>Expenses</v>
          </cell>
        </row>
        <row r="27494">
          <cell r="L27494" t="str">
            <v>Non-proportional</v>
          </cell>
          <cell r="S27494">
            <v>201.41</v>
          </cell>
          <cell r="X27494" t="str">
            <v>Expenses</v>
          </cell>
        </row>
        <row r="27495">
          <cell r="L27495" t="str">
            <v>Non-proportional</v>
          </cell>
          <cell r="S27495">
            <v>61.64</v>
          </cell>
          <cell r="X27495" t="str">
            <v>Expenses</v>
          </cell>
        </row>
        <row r="27496">
          <cell r="L27496" t="str">
            <v>Non-proportional</v>
          </cell>
          <cell r="S27496">
            <v>223.23</v>
          </cell>
          <cell r="X27496" t="str">
            <v>Expenses</v>
          </cell>
        </row>
        <row r="27497">
          <cell r="L27497" t="str">
            <v>Non-proportional</v>
          </cell>
          <cell r="S27497">
            <v>-2.2400000000000002</v>
          </cell>
          <cell r="X27497" t="str">
            <v>Expenses</v>
          </cell>
        </row>
        <row r="27498">
          <cell r="L27498" t="str">
            <v>Non-proportional</v>
          </cell>
          <cell r="S27498">
            <v>79.650000000000006</v>
          </cell>
          <cell r="X27498" t="str">
            <v>Expenses</v>
          </cell>
        </row>
        <row r="27499">
          <cell r="L27499" t="str">
            <v>Non-proportional</v>
          </cell>
          <cell r="S27499">
            <v>315.7</v>
          </cell>
          <cell r="X27499" t="str">
            <v>Expenses</v>
          </cell>
        </row>
        <row r="27500">
          <cell r="L27500" t="str">
            <v>Non-proportional</v>
          </cell>
          <cell r="S27500">
            <v>493.62</v>
          </cell>
          <cell r="X27500" t="str">
            <v>Expenses</v>
          </cell>
        </row>
        <row r="27501">
          <cell r="L27501" t="str">
            <v>Non-proportional</v>
          </cell>
          <cell r="S27501">
            <v>-2.81</v>
          </cell>
          <cell r="X27501" t="str">
            <v>Expenses</v>
          </cell>
        </row>
        <row r="27502">
          <cell r="L27502" t="str">
            <v>Non-proportional</v>
          </cell>
          <cell r="S27502">
            <v>64.739999999999995</v>
          </cell>
          <cell r="X27502" t="str">
            <v>Expenses</v>
          </cell>
        </row>
        <row r="27503">
          <cell r="L27503" t="str">
            <v>Proportional</v>
          </cell>
          <cell r="S27503">
            <v>-541.66</v>
          </cell>
          <cell r="X27503" t="str">
            <v>Expenses</v>
          </cell>
        </row>
        <row r="27504">
          <cell r="L27504" t="str">
            <v>Non-proportional</v>
          </cell>
          <cell r="S27504">
            <v>-11.83</v>
          </cell>
          <cell r="X27504" t="str">
            <v>Expenses</v>
          </cell>
        </row>
        <row r="27505">
          <cell r="L27505" t="str">
            <v>Non-proportional</v>
          </cell>
          <cell r="S27505">
            <v>86.56</v>
          </cell>
          <cell r="X27505" t="str">
            <v>Expenses</v>
          </cell>
        </row>
        <row r="27506">
          <cell r="L27506" t="str">
            <v>Non-proportional</v>
          </cell>
          <cell r="S27506">
            <v>-0.67</v>
          </cell>
          <cell r="X27506" t="str">
            <v>Expenses</v>
          </cell>
        </row>
        <row r="27507">
          <cell r="L27507" t="str">
            <v>Non-proportional</v>
          </cell>
          <cell r="S27507">
            <v>170.09</v>
          </cell>
          <cell r="X27507" t="str">
            <v>Expenses</v>
          </cell>
        </row>
        <row r="27508">
          <cell r="L27508" t="str">
            <v>Non-proportional</v>
          </cell>
          <cell r="S27508">
            <v>168.06</v>
          </cell>
          <cell r="X27508" t="str">
            <v>Expenses</v>
          </cell>
        </row>
        <row r="27509">
          <cell r="L27509" t="str">
            <v>Non-proportional</v>
          </cell>
          <cell r="S27509">
            <v>-112.07</v>
          </cell>
          <cell r="X27509" t="str">
            <v>Expenses</v>
          </cell>
        </row>
        <row r="27510">
          <cell r="L27510" t="str">
            <v>Non-proportional</v>
          </cell>
          <cell r="S27510">
            <v>142.12</v>
          </cell>
          <cell r="X27510" t="str">
            <v>Expenses</v>
          </cell>
        </row>
        <row r="27511">
          <cell r="L27511" t="str">
            <v>Non-proportional</v>
          </cell>
          <cell r="S27511">
            <v>53.53</v>
          </cell>
          <cell r="X27511" t="str">
            <v>Expenses</v>
          </cell>
        </row>
        <row r="27512">
          <cell r="L27512" t="str">
            <v>Non-proportional</v>
          </cell>
          <cell r="S27512">
            <v>422.24</v>
          </cell>
          <cell r="X27512" t="str">
            <v>Expenses</v>
          </cell>
        </row>
        <row r="27513">
          <cell r="L27513" t="str">
            <v>Non-proportional</v>
          </cell>
          <cell r="S27513">
            <v>16.75</v>
          </cell>
          <cell r="X27513" t="str">
            <v>Expenses</v>
          </cell>
        </row>
        <row r="27514">
          <cell r="L27514" t="str">
            <v>Non-proportional</v>
          </cell>
          <cell r="S27514">
            <v>174.06</v>
          </cell>
          <cell r="X27514" t="str">
            <v>Expenses</v>
          </cell>
        </row>
        <row r="27515">
          <cell r="L27515" t="str">
            <v>Non-proportional</v>
          </cell>
          <cell r="S27515">
            <v>-469.66</v>
          </cell>
          <cell r="X27515" t="str">
            <v>Expenses</v>
          </cell>
        </row>
        <row r="27516">
          <cell r="L27516" t="str">
            <v>Non-proportional</v>
          </cell>
          <cell r="S27516">
            <v>54.21</v>
          </cell>
          <cell r="X27516" t="str">
            <v>Expenses</v>
          </cell>
        </row>
        <row r="27517">
          <cell r="L27517" t="str">
            <v>Non-proportional</v>
          </cell>
          <cell r="S27517">
            <v>110.46</v>
          </cell>
          <cell r="X27517" t="str">
            <v>Expenses</v>
          </cell>
        </row>
        <row r="27518">
          <cell r="L27518" t="str">
            <v>Non-proportional</v>
          </cell>
          <cell r="S27518">
            <v>78.05</v>
          </cell>
          <cell r="X27518" t="str">
            <v>Expenses</v>
          </cell>
        </row>
        <row r="27519">
          <cell r="L27519" t="str">
            <v>Non-proportional</v>
          </cell>
          <cell r="S27519">
            <v>-4.01</v>
          </cell>
          <cell r="X27519" t="str">
            <v>Expenses</v>
          </cell>
        </row>
        <row r="27520">
          <cell r="L27520" t="str">
            <v>Non-proportional</v>
          </cell>
          <cell r="S27520">
            <v>-0.11</v>
          </cell>
          <cell r="X27520" t="str">
            <v>Expenses</v>
          </cell>
        </row>
        <row r="27521">
          <cell r="L27521" t="str">
            <v>Non-proportional</v>
          </cell>
          <cell r="S27521">
            <v>-3.04</v>
          </cell>
          <cell r="X27521" t="str">
            <v>Expenses</v>
          </cell>
        </row>
        <row r="27522">
          <cell r="L27522" t="str">
            <v>Non-proportional</v>
          </cell>
          <cell r="S27522">
            <v>317.19</v>
          </cell>
          <cell r="X27522" t="str">
            <v>Expenses</v>
          </cell>
        </row>
        <row r="27523">
          <cell r="L27523" t="str">
            <v>Non-proportional</v>
          </cell>
          <cell r="S27523">
            <v>50.89</v>
          </cell>
          <cell r="X27523" t="str">
            <v>Expenses</v>
          </cell>
        </row>
        <row r="27524">
          <cell r="L27524" t="str">
            <v>Non-proportional</v>
          </cell>
          <cell r="S27524">
            <v>8.2799999999999994</v>
          </cell>
          <cell r="X27524" t="str">
            <v>Expenses</v>
          </cell>
        </row>
        <row r="27525">
          <cell r="L27525" t="str">
            <v>Non-proportional</v>
          </cell>
          <cell r="S27525">
            <v>663.52</v>
          </cell>
          <cell r="X27525" t="str">
            <v>Expenses</v>
          </cell>
        </row>
        <row r="27526">
          <cell r="L27526" t="str">
            <v>Non-proportional</v>
          </cell>
          <cell r="S27526">
            <v>75.84</v>
          </cell>
          <cell r="X27526" t="str">
            <v>Expenses</v>
          </cell>
        </row>
        <row r="27527">
          <cell r="L27527" t="str">
            <v>Non-proportional</v>
          </cell>
          <cell r="S27527">
            <v>216.5</v>
          </cell>
          <cell r="X27527" t="str">
            <v>Expenses</v>
          </cell>
        </row>
        <row r="27528">
          <cell r="L27528" t="str">
            <v>Non-proportional</v>
          </cell>
          <cell r="S27528">
            <v>365.96</v>
          </cell>
          <cell r="X27528" t="str">
            <v>Expenses</v>
          </cell>
        </row>
        <row r="27529">
          <cell r="L27529" t="str">
            <v>Non-proportional</v>
          </cell>
          <cell r="S27529">
            <v>80.36</v>
          </cell>
          <cell r="X27529" t="str">
            <v>Expenses</v>
          </cell>
        </row>
        <row r="27530">
          <cell r="L27530" t="str">
            <v>Non-proportional</v>
          </cell>
          <cell r="S27530">
            <v>-6.17</v>
          </cell>
          <cell r="X27530" t="str">
            <v>Expenses</v>
          </cell>
        </row>
        <row r="27531">
          <cell r="L27531" t="str">
            <v>Non-proportional</v>
          </cell>
          <cell r="S27531">
            <v>154</v>
          </cell>
          <cell r="X27531" t="str">
            <v>Expenses</v>
          </cell>
        </row>
        <row r="27532">
          <cell r="L27532" t="str">
            <v>Non-proportional</v>
          </cell>
          <cell r="S27532">
            <v>238.56</v>
          </cell>
          <cell r="X27532" t="str">
            <v>Expenses</v>
          </cell>
        </row>
        <row r="27533">
          <cell r="L27533" t="str">
            <v>Non-proportional</v>
          </cell>
          <cell r="S27533">
            <v>-1.36</v>
          </cell>
          <cell r="X27533" t="str">
            <v>Expenses</v>
          </cell>
        </row>
        <row r="27534">
          <cell r="L27534" t="str">
            <v>Non-proportional</v>
          </cell>
          <cell r="S27534">
            <v>135.07</v>
          </cell>
          <cell r="X27534" t="str">
            <v>Expenses</v>
          </cell>
        </row>
        <row r="27535">
          <cell r="L27535" t="str">
            <v>Non-proportional</v>
          </cell>
          <cell r="S27535">
            <v>120.14</v>
          </cell>
          <cell r="X27535" t="str">
            <v>Expenses</v>
          </cell>
        </row>
        <row r="27536">
          <cell r="L27536" t="str">
            <v>Non-proportional</v>
          </cell>
          <cell r="S27536">
            <v>59.07</v>
          </cell>
          <cell r="X27536" t="str">
            <v>Expenses</v>
          </cell>
        </row>
        <row r="27537">
          <cell r="L27537" t="str">
            <v>Non-proportional</v>
          </cell>
          <cell r="S27537">
            <v>-0.37</v>
          </cell>
          <cell r="X27537" t="str">
            <v>Expenses</v>
          </cell>
        </row>
        <row r="27538">
          <cell r="L27538" t="str">
            <v>Non-proportional</v>
          </cell>
          <cell r="S27538">
            <v>614.15</v>
          </cell>
          <cell r="X27538" t="str">
            <v>Expenses</v>
          </cell>
        </row>
        <row r="27539">
          <cell r="L27539" t="str">
            <v>Non-proportional</v>
          </cell>
          <cell r="S27539">
            <v>0</v>
          </cell>
          <cell r="X27539" t="str">
            <v>Expenses</v>
          </cell>
        </row>
        <row r="27540">
          <cell r="L27540" t="str">
            <v>Non-proportional</v>
          </cell>
          <cell r="S27540">
            <v>-6.17</v>
          </cell>
          <cell r="X27540" t="str">
            <v>Expenses</v>
          </cell>
        </row>
        <row r="27541">
          <cell r="L27541" t="str">
            <v>Non-proportional</v>
          </cell>
          <cell r="S27541">
            <v>101.39</v>
          </cell>
          <cell r="X27541" t="str">
            <v>Expenses</v>
          </cell>
        </row>
        <row r="27542">
          <cell r="L27542" t="str">
            <v>Non-proportional</v>
          </cell>
          <cell r="S27542">
            <v>97.15</v>
          </cell>
          <cell r="X27542" t="str">
            <v>Expenses</v>
          </cell>
        </row>
        <row r="27543">
          <cell r="L27543" t="str">
            <v>Non-proportional</v>
          </cell>
          <cell r="S27543">
            <v>-2692.08</v>
          </cell>
          <cell r="X27543" t="str">
            <v>Expenses</v>
          </cell>
        </row>
        <row r="27544">
          <cell r="L27544" t="str">
            <v>Non-proportional</v>
          </cell>
          <cell r="S27544">
            <v>-0.19</v>
          </cell>
          <cell r="X27544" t="str">
            <v>Expenses</v>
          </cell>
        </row>
        <row r="27545">
          <cell r="L27545" t="str">
            <v>Non-proportional</v>
          </cell>
          <cell r="S27545">
            <v>275.58</v>
          </cell>
          <cell r="X27545" t="str">
            <v>Expenses</v>
          </cell>
        </row>
        <row r="27546">
          <cell r="L27546" t="str">
            <v>Non-proportional</v>
          </cell>
          <cell r="S27546">
            <v>9.6999999999999993</v>
          </cell>
          <cell r="X27546" t="str">
            <v>Expenses</v>
          </cell>
        </row>
        <row r="27547">
          <cell r="L27547" t="str">
            <v>Non-proportional</v>
          </cell>
          <cell r="S27547">
            <v>170.96</v>
          </cell>
          <cell r="X27547" t="str">
            <v>Expenses</v>
          </cell>
        </row>
        <row r="27548">
          <cell r="L27548" t="str">
            <v>Non-proportional</v>
          </cell>
          <cell r="S27548">
            <v>180.43</v>
          </cell>
          <cell r="X27548" t="str">
            <v>Expenses</v>
          </cell>
        </row>
        <row r="27549">
          <cell r="L27549" t="str">
            <v>Non-proportional</v>
          </cell>
          <cell r="S27549">
            <v>25.67</v>
          </cell>
          <cell r="X27549" t="str">
            <v>Expenses</v>
          </cell>
        </row>
        <row r="27550">
          <cell r="L27550" t="str">
            <v>Non-proportional</v>
          </cell>
          <cell r="S27550">
            <v>397</v>
          </cell>
          <cell r="X27550" t="str">
            <v>Expenses</v>
          </cell>
        </row>
        <row r="27551">
          <cell r="L27551" t="str">
            <v>Non-proportional</v>
          </cell>
          <cell r="S27551">
            <v>0.74</v>
          </cell>
          <cell r="X27551" t="str">
            <v>Expenses</v>
          </cell>
        </row>
        <row r="27552">
          <cell r="L27552" t="str">
            <v>Non-proportional</v>
          </cell>
          <cell r="S27552">
            <v>501.47</v>
          </cell>
          <cell r="X27552" t="str">
            <v>Expenses</v>
          </cell>
        </row>
        <row r="27553">
          <cell r="L27553" t="str">
            <v>Non-proportional</v>
          </cell>
          <cell r="S27553">
            <v>253.34</v>
          </cell>
          <cell r="X27553" t="str">
            <v>Expenses</v>
          </cell>
        </row>
        <row r="27554">
          <cell r="L27554" t="str">
            <v>Proportional</v>
          </cell>
          <cell r="S27554">
            <v>-3129.94</v>
          </cell>
          <cell r="X27554" t="str">
            <v>Expenses</v>
          </cell>
        </row>
        <row r="27555">
          <cell r="L27555" t="str">
            <v>Non-proportional</v>
          </cell>
          <cell r="S27555">
            <v>382.47</v>
          </cell>
          <cell r="X27555" t="str">
            <v>Expenses</v>
          </cell>
        </row>
        <row r="27556">
          <cell r="L27556" t="str">
            <v>Non-proportional</v>
          </cell>
          <cell r="S27556">
            <v>33.950000000000003</v>
          </cell>
          <cell r="X27556" t="str">
            <v>Expenses</v>
          </cell>
        </row>
        <row r="27557">
          <cell r="L27557" t="str">
            <v>Non-proportional</v>
          </cell>
          <cell r="S27557">
            <v>107.6</v>
          </cell>
          <cell r="X27557" t="str">
            <v>Expenses</v>
          </cell>
        </row>
        <row r="27558">
          <cell r="L27558" t="str">
            <v>Non-proportional</v>
          </cell>
          <cell r="S27558">
            <v>44.78</v>
          </cell>
          <cell r="X27558" t="str">
            <v>Expenses</v>
          </cell>
        </row>
        <row r="27559">
          <cell r="L27559" t="str">
            <v>Non-proportional</v>
          </cell>
          <cell r="S27559">
            <v>0.21</v>
          </cell>
          <cell r="X27559" t="str">
            <v>Expenses</v>
          </cell>
        </row>
        <row r="27560">
          <cell r="L27560" t="str">
            <v>Non-proportional</v>
          </cell>
          <cell r="S27560">
            <v>95.73</v>
          </cell>
          <cell r="X27560" t="str">
            <v>Expenses</v>
          </cell>
        </row>
        <row r="27561">
          <cell r="L27561" t="str">
            <v>Non-proportional</v>
          </cell>
          <cell r="S27561">
            <v>295.44</v>
          </cell>
          <cell r="X27561" t="str">
            <v>Expenses</v>
          </cell>
        </row>
        <row r="27562">
          <cell r="L27562" t="str">
            <v>Non-proportional</v>
          </cell>
          <cell r="S27562">
            <v>87.99</v>
          </cell>
          <cell r="X27562" t="str">
            <v>Expenses</v>
          </cell>
        </row>
        <row r="27563">
          <cell r="L27563" t="str">
            <v>Non-proportional</v>
          </cell>
          <cell r="S27563">
            <v>-0.59</v>
          </cell>
          <cell r="X27563" t="str">
            <v>Expenses</v>
          </cell>
        </row>
        <row r="27564">
          <cell r="L27564" t="str">
            <v>Non-proportional</v>
          </cell>
          <cell r="S27564">
            <v>353.18</v>
          </cell>
          <cell r="X27564" t="str">
            <v>Expenses</v>
          </cell>
        </row>
        <row r="27565">
          <cell r="L27565" t="str">
            <v>Non-proportional</v>
          </cell>
          <cell r="S27565">
            <v>238.06</v>
          </cell>
          <cell r="X27565" t="str">
            <v>Expenses</v>
          </cell>
        </row>
        <row r="27566">
          <cell r="L27566" t="str">
            <v>Non-proportional</v>
          </cell>
          <cell r="S27566">
            <v>79.540000000000006</v>
          </cell>
          <cell r="X27566" t="str">
            <v>Expenses</v>
          </cell>
        </row>
        <row r="27567">
          <cell r="L27567" t="str">
            <v>Non-proportional</v>
          </cell>
          <cell r="S27567">
            <v>-10.56</v>
          </cell>
          <cell r="X27567" t="str">
            <v>Expenses</v>
          </cell>
        </row>
        <row r="27568">
          <cell r="L27568" t="str">
            <v>Non-proportional</v>
          </cell>
          <cell r="S27568">
            <v>72.84</v>
          </cell>
          <cell r="X27568" t="str">
            <v>Expenses</v>
          </cell>
        </row>
        <row r="27569">
          <cell r="L27569" t="str">
            <v>Non-proportional</v>
          </cell>
          <cell r="S27569">
            <v>178.49</v>
          </cell>
          <cell r="X27569" t="str">
            <v>Expenses</v>
          </cell>
        </row>
        <row r="27570">
          <cell r="L27570" t="str">
            <v>Non-proportional</v>
          </cell>
          <cell r="S27570">
            <v>61.38</v>
          </cell>
          <cell r="X27570" t="str">
            <v>Expenses</v>
          </cell>
        </row>
        <row r="27571">
          <cell r="L27571" t="str">
            <v>Non-proportional</v>
          </cell>
          <cell r="S27571">
            <v>104.47</v>
          </cell>
          <cell r="X27571" t="str">
            <v>Expenses</v>
          </cell>
        </row>
        <row r="27572">
          <cell r="L27572" t="str">
            <v>Non-proportional</v>
          </cell>
          <cell r="S27572">
            <v>105.04</v>
          </cell>
          <cell r="X27572" t="str">
            <v>Expenses</v>
          </cell>
        </row>
        <row r="27573">
          <cell r="L27573" t="str">
            <v>Non-proportional</v>
          </cell>
          <cell r="S27573">
            <v>98.61</v>
          </cell>
          <cell r="X27573" t="str">
            <v>Expenses</v>
          </cell>
        </row>
        <row r="27574">
          <cell r="L27574" t="str">
            <v>Non-proportional</v>
          </cell>
          <cell r="S27574">
            <v>-2.67</v>
          </cell>
          <cell r="X27574" t="str">
            <v>Expenses</v>
          </cell>
        </row>
        <row r="27575">
          <cell r="L27575" t="str">
            <v>Non-proportional</v>
          </cell>
          <cell r="S27575">
            <v>-2.12</v>
          </cell>
          <cell r="X27575" t="str">
            <v>Expenses</v>
          </cell>
        </row>
        <row r="27576">
          <cell r="L27576" t="str">
            <v>Non-proportional</v>
          </cell>
          <cell r="S27576">
            <v>-0.22</v>
          </cell>
          <cell r="X27576" t="str">
            <v>Expenses</v>
          </cell>
        </row>
        <row r="27577">
          <cell r="L27577" t="str">
            <v>Non-proportional</v>
          </cell>
          <cell r="S27577">
            <v>-0.21</v>
          </cell>
          <cell r="X27577" t="str">
            <v>Expenses</v>
          </cell>
        </row>
        <row r="27578">
          <cell r="L27578" t="str">
            <v>Non-proportional</v>
          </cell>
          <cell r="S27578">
            <v>15.2</v>
          </cell>
          <cell r="X27578" t="str">
            <v>Expenses</v>
          </cell>
        </row>
        <row r="27579">
          <cell r="L27579" t="str">
            <v>Non-proportional</v>
          </cell>
          <cell r="S27579">
            <v>-11.83</v>
          </cell>
          <cell r="X27579" t="str">
            <v>Expenses</v>
          </cell>
        </row>
        <row r="27580">
          <cell r="L27580" t="str">
            <v>Non-proportional</v>
          </cell>
          <cell r="S27580">
            <v>239.74</v>
          </cell>
          <cell r="X27580" t="str">
            <v>Expenses</v>
          </cell>
        </row>
        <row r="27581">
          <cell r="L27581" t="str">
            <v>Non-proportional</v>
          </cell>
          <cell r="S27581">
            <v>155.94999999999999</v>
          </cell>
          <cell r="X27581" t="str">
            <v>Expenses</v>
          </cell>
        </row>
        <row r="27582">
          <cell r="L27582" t="str">
            <v>Non-proportional</v>
          </cell>
          <cell r="S27582">
            <v>128.69</v>
          </cell>
          <cell r="X27582" t="str">
            <v>Expenses</v>
          </cell>
        </row>
        <row r="27583">
          <cell r="L27583" t="str">
            <v>Non-proportional</v>
          </cell>
          <cell r="S27583">
            <v>35.450000000000003</v>
          </cell>
          <cell r="X27583" t="str">
            <v>Expenses</v>
          </cell>
        </row>
        <row r="27584">
          <cell r="L27584" t="str">
            <v>Non-proportional</v>
          </cell>
          <cell r="S27584">
            <v>0</v>
          </cell>
          <cell r="X27584" t="str">
            <v>Expenses</v>
          </cell>
        </row>
        <row r="27585">
          <cell r="L27585" t="str">
            <v>Non-proportional</v>
          </cell>
          <cell r="S27585">
            <v>0</v>
          </cell>
          <cell r="X27585" t="str">
            <v>Expenses</v>
          </cell>
        </row>
        <row r="27586">
          <cell r="L27586" t="str">
            <v>Non-proportional</v>
          </cell>
          <cell r="S27586">
            <v>66.86</v>
          </cell>
          <cell r="X27586" t="str">
            <v>Expenses</v>
          </cell>
        </row>
        <row r="27587">
          <cell r="L27587" t="str">
            <v>Non-proportional</v>
          </cell>
          <cell r="S27587">
            <v>185.93</v>
          </cell>
          <cell r="X27587" t="str">
            <v>Expenses</v>
          </cell>
        </row>
        <row r="27588">
          <cell r="L27588" t="str">
            <v>Non-proportional</v>
          </cell>
          <cell r="S27588">
            <v>239.33</v>
          </cell>
          <cell r="X27588" t="str">
            <v>Expenses</v>
          </cell>
        </row>
        <row r="27589">
          <cell r="L27589" t="str">
            <v>Non-proportional</v>
          </cell>
          <cell r="S27589">
            <v>3.3</v>
          </cell>
          <cell r="X27589" t="str">
            <v>Expenses</v>
          </cell>
        </row>
        <row r="27590">
          <cell r="L27590" t="str">
            <v>Non-proportional</v>
          </cell>
          <cell r="S27590">
            <v>-1655.7</v>
          </cell>
          <cell r="X27590" t="str">
            <v>Expenses</v>
          </cell>
        </row>
        <row r="27591">
          <cell r="L27591" t="str">
            <v>Non-proportional</v>
          </cell>
          <cell r="S27591">
            <v>100.17</v>
          </cell>
          <cell r="X27591" t="str">
            <v>Expenses</v>
          </cell>
        </row>
        <row r="27592">
          <cell r="L27592" t="str">
            <v>Non-proportional</v>
          </cell>
          <cell r="S27592">
            <v>-589.63</v>
          </cell>
          <cell r="X27592" t="str">
            <v>Expenses</v>
          </cell>
        </row>
        <row r="27593">
          <cell r="L27593" t="str">
            <v>Non-proportional</v>
          </cell>
          <cell r="S27593">
            <v>-0.78</v>
          </cell>
          <cell r="X27593" t="str">
            <v>Expenses</v>
          </cell>
        </row>
        <row r="27594">
          <cell r="L27594" t="str">
            <v>Non-proportional</v>
          </cell>
          <cell r="S27594">
            <v>476.97</v>
          </cell>
          <cell r="X27594" t="str">
            <v>Expenses</v>
          </cell>
        </row>
        <row r="27595">
          <cell r="L27595" t="str">
            <v>Non-proportional</v>
          </cell>
          <cell r="S27595">
            <v>131.77000000000001</v>
          </cell>
          <cell r="X27595" t="str">
            <v>Expenses</v>
          </cell>
        </row>
        <row r="27596">
          <cell r="L27596" t="str">
            <v>Non-proportional</v>
          </cell>
          <cell r="S27596">
            <v>-536.91</v>
          </cell>
          <cell r="X27596" t="str">
            <v>Expenses</v>
          </cell>
        </row>
        <row r="27597">
          <cell r="L27597" t="str">
            <v>Non-proportional</v>
          </cell>
          <cell r="S27597">
            <v>-3.07</v>
          </cell>
          <cell r="X27597" t="str">
            <v>Expenses</v>
          </cell>
        </row>
        <row r="27598">
          <cell r="L27598" t="str">
            <v>Non-proportional</v>
          </cell>
          <cell r="S27598">
            <v>39.380000000000003</v>
          </cell>
          <cell r="X27598" t="str">
            <v>Expenses</v>
          </cell>
        </row>
        <row r="27599">
          <cell r="L27599" t="str">
            <v>Non-proportional</v>
          </cell>
          <cell r="S27599">
            <v>-0.08</v>
          </cell>
          <cell r="X27599" t="str">
            <v>Expenses</v>
          </cell>
        </row>
        <row r="27600">
          <cell r="L27600" t="str">
            <v>Non-proportional</v>
          </cell>
          <cell r="S27600">
            <v>-1.1499999999999999</v>
          </cell>
          <cell r="X27600" t="str">
            <v>Expenses</v>
          </cell>
        </row>
        <row r="27601">
          <cell r="L27601" t="str">
            <v>Non-proportional</v>
          </cell>
          <cell r="S27601">
            <v>48.05</v>
          </cell>
          <cell r="X27601" t="str">
            <v>Expenses</v>
          </cell>
        </row>
        <row r="27602">
          <cell r="L27602" t="str">
            <v>Non-proportional</v>
          </cell>
          <cell r="S27602">
            <v>661.36</v>
          </cell>
          <cell r="X27602" t="str">
            <v>Expenses</v>
          </cell>
        </row>
        <row r="27603">
          <cell r="L27603" t="str">
            <v>Non-proportional</v>
          </cell>
          <cell r="S27603">
            <v>38.590000000000003</v>
          </cell>
          <cell r="X27603" t="str">
            <v>Expenses</v>
          </cell>
        </row>
        <row r="27604">
          <cell r="L27604" t="str">
            <v>Non-proportional</v>
          </cell>
          <cell r="S27604">
            <v>-287.63</v>
          </cell>
          <cell r="X27604" t="str">
            <v>Expenses</v>
          </cell>
        </row>
        <row r="27605">
          <cell r="L27605" t="str">
            <v>Non-proportional</v>
          </cell>
          <cell r="S27605">
            <v>-549.5</v>
          </cell>
          <cell r="X27605" t="str">
            <v>Expenses</v>
          </cell>
        </row>
        <row r="27606">
          <cell r="L27606" t="str">
            <v>Non-proportional</v>
          </cell>
          <cell r="S27606">
            <v>-6.15</v>
          </cell>
          <cell r="X27606" t="str">
            <v>Expenses</v>
          </cell>
        </row>
        <row r="27607">
          <cell r="L27607" t="str">
            <v>Non-proportional</v>
          </cell>
          <cell r="S27607">
            <v>-1824.77</v>
          </cell>
          <cell r="X27607" t="str">
            <v>Expenses</v>
          </cell>
        </row>
        <row r="27608">
          <cell r="L27608" t="str">
            <v>Non-proportional</v>
          </cell>
          <cell r="S27608">
            <v>-0.11</v>
          </cell>
          <cell r="X27608" t="str">
            <v>Expenses</v>
          </cell>
        </row>
        <row r="27609">
          <cell r="L27609" t="str">
            <v>Non-proportional</v>
          </cell>
          <cell r="S27609">
            <v>-733.32</v>
          </cell>
          <cell r="X27609" t="str">
            <v>Expenses</v>
          </cell>
        </row>
        <row r="27610">
          <cell r="L27610" t="str">
            <v>Non-proportional</v>
          </cell>
          <cell r="S27610">
            <v>628.85</v>
          </cell>
          <cell r="X27610" t="str">
            <v>Expenses</v>
          </cell>
        </row>
        <row r="27611">
          <cell r="L27611" t="str">
            <v>Non-proportional</v>
          </cell>
          <cell r="S27611">
            <v>12.95</v>
          </cell>
          <cell r="X27611" t="str">
            <v>Expenses</v>
          </cell>
        </row>
        <row r="27612">
          <cell r="L27612" t="str">
            <v>Non-proportional</v>
          </cell>
          <cell r="S27612">
            <v>243.76</v>
          </cell>
          <cell r="X27612" t="str">
            <v>Expenses</v>
          </cell>
        </row>
        <row r="27613">
          <cell r="L27613" t="str">
            <v>Non-proportional</v>
          </cell>
          <cell r="S27613">
            <v>178.11</v>
          </cell>
          <cell r="X27613" t="str">
            <v>Expenses</v>
          </cell>
        </row>
        <row r="27614">
          <cell r="L27614" t="str">
            <v>Non-proportional</v>
          </cell>
          <cell r="S27614">
            <v>-506.12</v>
          </cell>
          <cell r="X27614" t="str">
            <v>Expenses</v>
          </cell>
        </row>
        <row r="27615">
          <cell r="L27615" t="str">
            <v>Proportional</v>
          </cell>
          <cell r="S27615">
            <v>7727.88</v>
          </cell>
          <cell r="X27615" t="str">
            <v>Expenses</v>
          </cell>
        </row>
        <row r="27616">
          <cell r="L27616" t="str">
            <v>Non-proportional</v>
          </cell>
          <cell r="S27616">
            <v>-848.91</v>
          </cell>
          <cell r="X27616" t="str">
            <v>Expenses</v>
          </cell>
        </row>
        <row r="27617">
          <cell r="L27617" t="str">
            <v>Non-proportional</v>
          </cell>
          <cell r="S27617">
            <v>2.4</v>
          </cell>
          <cell r="X27617" t="str">
            <v>Expenses</v>
          </cell>
        </row>
        <row r="27618">
          <cell r="L27618" t="str">
            <v>Non-proportional</v>
          </cell>
          <cell r="S27618">
            <v>-1908.99</v>
          </cell>
          <cell r="X27618" t="str">
            <v>Expenses</v>
          </cell>
        </row>
        <row r="27619">
          <cell r="L27619" t="str">
            <v>Non-proportional</v>
          </cell>
          <cell r="S27619">
            <v>50.78</v>
          </cell>
          <cell r="X27619" t="str">
            <v>Expenses</v>
          </cell>
        </row>
        <row r="27620">
          <cell r="L27620" t="str">
            <v>Non-proportional</v>
          </cell>
          <cell r="S27620">
            <v>153.66999999999999</v>
          </cell>
          <cell r="X27620" t="str">
            <v>Expenses</v>
          </cell>
        </row>
        <row r="27621">
          <cell r="L27621" t="str">
            <v>Non-proportional</v>
          </cell>
          <cell r="S27621">
            <v>-874.15</v>
          </cell>
          <cell r="X27621" t="str">
            <v>Expenses</v>
          </cell>
        </row>
        <row r="27622">
          <cell r="L27622" t="str">
            <v>Non-proportional</v>
          </cell>
          <cell r="S27622">
            <v>50.78</v>
          </cell>
          <cell r="X27622" t="str">
            <v>Expenses</v>
          </cell>
        </row>
        <row r="27623">
          <cell r="L27623" t="str">
            <v>Non-proportional</v>
          </cell>
          <cell r="S27623">
            <v>160.24</v>
          </cell>
          <cell r="X27623" t="str">
            <v>Expenses</v>
          </cell>
        </row>
        <row r="27624">
          <cell r="L27624" t="str">
            <v>Non-proportional</v>
          </cell>
          <cell r="S27624">
            <v>0</v>
          </cell>
          <cell r="X27624" t="str">
            <v>Expenses</v>
          </cell>
        </row>
        <row r="27625">
          <cell r="L27625" t="str">
            <v>Non-proportional</v>
          </cell>
          <cell r="S27625">
            <v>170.75</v>
          </cell>
          <cell r="X27625" t="str">
            <v>Expenses</v>
          </cell>
        </row>
        <row r="27626">
          <cell r="L27626" t="str">
            <v>Non-proportional</v>
          </cell>
          <cell r="S27626">
            <v>-2722.08</v>
          </cell>
          <cell r="X27626" t="str">
            <v>Expenses</v>
          </cell>
        </row>
        <row r="27627">
          <cell r="L27627" t="str">
            <v>Non-proportional</v>
          </cell>
          <cell r="S27627">
            <v>-676.58</v>
          </cell>
          <cell r="X27627" t="str">
            <v>Expenses</v>
          </cell>
        </row>
        <row r="27628">
          <cell r="L27628" t="str">
            <v>Non-proportional</v>
          </cell>
          <cell r="S27628">
            <v>-1060.54</v>
          </cell>
          <cell r="X27628" t="str">
            <v>Expenses</v>
          </cell>
        </row>
        <row r="27629">
          <cell r="L27629" t="str">
            <v>Non-proportional</v>
          </cell>
          <cell r="S27629">
            <v>8.2200000000000006</v>
          </cell>
          <cell r="X27629" t="str">
            <v>Expenses</v>
          </cell>
        </row>
        <row r="27630">
          <cell r="L27630" t="str">
            <v>Non-proportional</v>
          </cell>
          <cell r="S27630">
            <v>-6.85</v>
          </cell>
          <cell r="X27630" t="str">
            <v>Expenses</v>
          </cell>
        </row>
        <row r="27631">
          <cell r="L27631" t="str">
            <v>Proportional</v>
          </cell>
          <cell r="S27631">
            <v>-84.04</v>
          </cell>
          <cell r="X27631" t="str">
            <v>Expenses</v>
          </cell>
        </row>
        <row r="27632">
          <cell r="L27632" t="str">
            <v>Non-proportional</v>
          </cell>
          <cell r="S27632">
            <v>-1548.25</v>
          </cell>
          <cell r="X27632" t="str">
            <v>Expenses</v>
          </cell>
        </row>
        <row r="27633">
          <cell r="L27633" t="str">
            <v>Non-proportional</v>
          </cell>
          <cell r="S27633">
            <v>-495.82</v>
          </cell>
          <cell r="X27633" t="str">
            <v>Expenses</v>
          </cell>
        </row>
        <row r="27634">
          <cell r="L27634" t="str">
            <v>Non-proportional</v>
          </cell>
          <cell r="S27634">
            <v>3.28</v>
          </cell>
          <cell r="X27634" t="str">
            <v>Expenses</v>
          </cell>
        </row>
        <row r="27635">
          <cell r="L27635" t="str">
            <v>Non-proportional</v>
          </cell>
          <cell r="S27635">
            <v>3.97</v>
          </cell>
          <cell r="X27635" t="str">
            <v>Expenses</v>
          </cell>
        </row>
        <row r="27636">
          <cell r="L27636" t="str">
            <v>Non-proportional</v>
          </cell>
          <cell r="S27636">
            <v>7.51</v>
          </cell>
          <cell r="X27636" t="str">
            <v>Expenses</v>
          </cell>
        </row>
        <row r="27637">
          <cell r="L27637" t="str">
            <v>Non-proportional</v>
          </cell>
          <cell r="S27637">
            <v>-3710.7</v>
          </cell>
          <cell r="X27637" t="str">
            <v>Expenses</v>
          </cell>
        </row>
        <row r="27638">
          <cell r="L27638" t="str">
            <v>Non-proportional</v>
          </cell>
          <cell r="S27638">
            <v>0.73</v>
          </cell>
          <cell r="X27638" t="str">
            <v>Expenses</v>
          </cell>
        </row>
        <row r="27639">
          <cell r="L27639" t="str">
            <v>Non-proportional</v>
          </cell>
          <cell r="S27639">
            <v>-0.65</v>
          </cell>
          <cell r="X27639" t="str">
            <v>Expenses</v>
          </cell>
        </row>
        <row r="27640">
          <cell r="L27640" t="str">
            <v>Non-proportional</v>
          </cell>
          <cell r="S27640">
            <v>-7.43</v>
          </cell>
          <cell r="X27640" t="str">
            <v>Expenses</v>
          </cell>
        </row>
        <row r="27641">
          <cell r="L27641" t="str">
            <v>Non-proportional</v>
          </cell>
          <cell r="S27641">
            <v>-957.96</v>
          </cell>
          <cell r="X27641" t="str">
            <v>Expenses</v>
          </cell>
        </row>
        <row r="27642">
          <cell r="L27642" t="str">
            <v>Non-proportional</v>
          </cell>
          <cell r="S27642">
            <v>-8574.48</v>
          </cell>
          <cell r="X27642" t="str">
            <v>Expenses</v>
          </cell>
        </row>
        <row r="27643">
          <cell r="L27643" t="str">
            <v>Non-proportional</v>
          </cell>
          <cell r="S27643">
            <v>103.82</v>
          </cell>
          <cell r="X27643" t="str">
            <v>Expenses</v>
          </cell>
        </row>
        <row r="27644">
          <cell r="L27644" t="str">
            <v>Proportional</v>
          </cell>
          <cell r="S27644">
            <v>33.44</v>
          </cell>
          <cell r="X27644" t="str">
            <v>Expenses</v>
          </cell>
        </row>
        <row r="27645">
          <cell r="L27645" t="str">
            <v>Non-proportional</v>
          </cell>
          <cell r="S27645">
            <v>-599.74</v>
          </cell>
          <cell r="X27645" t="str">
            <v>Expenses</v>
          </cell>
        </row>
        <row r="27646">
          <cell r="L27646" t="str">
            <v>Non-proportional</v>
          </cell>
          <cell r="S27646">
            <v>66.290000000000006</v>
          </cell>
          <cell r="X27646" t="str">
            <v>Expenses</v>
          </cell>
        </row>
        <row r="27647">
          <cell r="L27647" t="str">
            <v>Non-proportional</v>
          </cell>
          <cell r="S27647">
            <v>679.4</v>
          </cell>
          <cell r="X27647" t="str">
            <v>Expenses</v>
          </cell>
        </row>
        <row r="27648">
          <cell r="L27648" t="str">
            <v>Non-proportional</v>
          </cell>
          <cell r="S27648">
            <v>117.04</v>
          </cell>
          <cell r="X27648" t="str">
            <v>Expenses</v>
          </cell>
        </row>
        <row r="27649">
          <cell r="L27649" t="str">
            <v>Non-proportional</v>
          </cell>
          <cell r="S27649">
            <v>-1045.06</v>
          </cell>
          <cell r="X27649" t="str">
            <v>Expenses</v>
          </cell>
        </row>
        <row r="27650">
          <cell r="L27650" t="str">
            <v>Non-proportional</v>
          </cell>
          <cell r="S27650">
            <v>-928.96</v>
          </cell>
          <cell r="X27650" t="str">
            <v>Expenses</v>
          </cell>
        </row>
        <row r="27651">
          <cell r="L27651" t="str">
            <v>Non-proportional</v>
          </cell>
          <cell r="S27651">
            <v>80.489999999999995</v>
          </cell>
          <cell r="X27651" t="str">
            <v>Expenses</v>
          </cell>
        </row>
        <row r="27652">
          <cell r="L27652" t="str">
            <v>Proportional</v>
          </cell>
          <cell r="S27652">
            <v>-3736.48</v>
          </cell>
          <cell r="X27652" t="str">
            <v>Expenses</v>
          </cell>
        </row>
        <row r="27653">
          <cell r="L27653" t="str">
            <v>Non-proportional</v>
          </cell>
          <cell r="S27653">
            <v>22.45</v>
          </cell>
          <cell r="X27653" t="str">
            <v>Expenses</v>
          </cell>
        </row>
        <row r="27654">
          <cell r="L27654" t="str">
            <v>Non-proportional</v>
          </cell>
          <cell r="S27654">
            <v>-2685.24</v>
          </cell>
          <cell r="X27654" t="str">
            <v>Expenses</v>
          </cell>
        </row>
        <row r="27655">
          <cell r="L27655" t="str">
            <v>Non-proportional</v>
          </cell>
          <cell r="S27655">
            <v>-439.83</v>
          </cell>
          <cell r="X27655" t="str">
            <v>Expenses</v>
          </cell>
        </row>
        <row r="27656">
          <cell r="L27656" t="str">
            <v>Non-proportional</v>
          </cell>
          <cell r="S27656">
            <v>-650.26</v>
          </cell>
          <cell r="X27656" t="str">
            <v>Expenses</v>
          </cell>
        </row>
        <row r="27657">
          <cell r="L27657" t="str">
            <v>Non-proportional</v>
          </cell>
          <cell r="S27657">
            <v>107.93</v>
          </cell>
          <cell r="X27657" t="str">
            <v>Expenses</v>
          </cell>
        </row>
        <row r="27658">
          <cell r="L27658" t="str">
            <v>Non-proportional</v>
          </cell>
          <cell r="S27658">
            <v>-2.61</v>
          </cell>
          <cell r="X27658" t="str">
            <v>Expenses</v>
          </cell>
        </row>
        <row r="27659">
          <cell r="L27659" t="str">
            <v>Non-proportional</v>
          </cell>
          <cell r="S27659">
            <v>0.33</v>
          </cell>
          <cell r="X27659" t="str">
            <v>Expenses</v>
          </cell>
        </row>
        <row r="27660">
          <cell r="L27660" t="str">
            <v>Non-proportional</v>
          </cell>
          <cell r="S27660">
            <v>-1028.28</v>
          </cell>
          <cell r="X27660" t="str">
            <v>Expenses</v>
          </cell>
        </row>
        <row r="27661">
          <cell r="L27661" t="str">
            <v>Non-proportional</v>
          </cell>
          <cell r="S27661">
            <v>-5414.61</v>
          </cell>
          <cell r="X27661" t="str">
            <v>Expenses</v>
          </cell>
        </row>
        <row r="27662">
          <cell r="L27662" t="str">
            <v>Non-proportional</v>
          </cell>
          <cell r="S27662">
            <v>-1003.91</v>
          </cell>
          <cell r="X27662" t="str">
            <v>Expenses</v>
          </cell>
        </row>
        <row r="27663">
          <cell r="L27663" t="str">
            <v>Non-proportional</v>
          </cell>
          <cell r="S27663">
            <v>-4691.17</v>
          </cell>
          <cell r="X27663" t="str">
            <v>Expenses</v>
          </cell>
        </row>
        <row r="27664">
          <cell r="L27664" t="str">
            <v>Non-proportional</v>
          </cell>
          <cell r="S27664">
            <v>-648.25</v>
          </cell>
          <cell r="X27664" t="str">
            <v>Expenses</v>
          </cell>
        </row>
        <row r="27665">
          <cell r="L27665" t="str">
            <v>Proportional</v>
          </cell>
          <cell r="S27665">
            <v>359.4</v>
          </cell>
          <cell r="X27665" t="str">
            <v>Expenses</v>
          </cell>
        </row>
        <row r="27666">
          <cell r="L27666" t="str">
            <v>Non-proportional</v>
          </cell>
          <cell r="S27666">
            <v>43.72</v>
          </cell>
          <cell r="X27666" t="str">
            <v>Expenses</v>
          </cell>
        </row>
        <row r="27667">
          <cell r="L27667" t="str">
            <v>Non-proportional</v>
          </cell>
          <cell r="S27667">
            <v>-10.54</v>
          </cell>
          <cell r="X27667" t="str">
            <v>Expenses</v>
          </cell>
        </row>
        <row r="27668">
          <cell r="L27668" t="str">
            <v>Non-proportional</v>
          </cell>
          <cell r="S27668">
            <v>-6.15</v>
          </cell>
          <cell r="X27668" t="str">
            <v>Expenses</v>
          </cell>
        </row>
        <row r="27669">
          <cell r="L27669" t="str">
            <v>Non-proportional</v>
          </cell>
          <cell r="S27669">
            <v>0</v>
          </cell>
          <cell r="X27669" t="str">
            <v>Expenses</v>
          </cell>
        </row>
        <row r="27670">
          <cell r="L27670" t="str">
            <v>Non-proportional</v>
          </cell>
          <cell r="S27670">
            <v>-2241.7800000000002</v>
          </cell>
          <cell r="X27670" t="str">
            <v>Expenses</v>
          </cell>
        </row>
        <row r="27671">
          <cell r="L27671" t="str">
            <v>Non-proportional</v>
          </cell>
          <cell r="S27671">
            <v>-1741.83</v>
          </cell>
          <cell r="X27671" t="str">
            <v>Expenses</v>
          </cell>
        </row>
        <row r="27672">
          <cell r="L27672" t="str">
            <v>Non-proportional</v>
          </cell>
          <cell r="S27672">
            <v>-777.4</v>
          </cell>
          <cell r="X27672" t="str">
            <v>Expenses</v>
          </cell>
        </row>
        <row r="27673">
          <cell r="L27673" t="str">
            <v>Non-proportional</v>
          </cell>
          <cell r="S27673">
            <v>-671.67</v>
          </cell>
          <cell r="X27673" t="str">
            <v>Expenses</v>
          </cell>
        </row>
        <row r="27674">
          <cell r="L27674" t="str">
            <v>Non-proportional</v>
          </cell>
          <cell r="S27674">
            <v>53.8</v>
          </cell>
          <cell r="X27674" t="str">
            <v>Expenses</v>
          </cell>
        </row>
        <row r="27675">
          <cell r="L27675" t="str">
            <v>Non-proportional</v>
          </cell>
          <cell r="S27675">
            <v>54.74</v>
          </cell>
          <cell r="X27675" t="str">
            <v>Expenses</v>
          </cell>
        </row>
        <row r="27676">
          <cell r="L27676" t="str">
            <v>Non-proportional</v>
          </cell>
          <cell r="S27676">
            <v>-0.28000000000000003</v>
          </cell>
          <cell r="X27676" t="str">
            <v>Expenses</v>
          </cell>
        </row>
        <row r="27677">
          <cell r="L27677" t="str">
            <v>Non-proportional</v>
          </cell>
          <cell r="S27677">
            <v>35.32</v>
          </cell>
          <cell r="X27677" t="str">
            <v>Expenses</v>
          </cell>
        </row>
        <row r="27678">
          <cell r="L27678" t="str">
            <v>Non-proportional</v>
          </cell>
          <cell r="S27678">
            <v>-1.59</v>
          </cell>
          <cell r="X27678" t="str">
            <v>Expenses</v>
          </cell>
        </row>
        <row r="27679">
          <cell r="L27679" t="str">
            <v>Non-proportional</v>
          </cell>
          <cell r="S27679">
            <v>707.83</v>
          </cell>
          <cell r="X27679" t="str">
            <v>Expenses</v>
          </cell>
        </row>
        <row r="27680">
          <cell r="L27680" t="str">
            <v>Non-proportional</v>
          </cell>
          <cell r="S27680">
            <v>51.65</v>
          </cell>
          <cell r="X27680" t="str">
            <v>Expenses</v>
          </cell>
        </row>
        <row r="27681">
          <cell r="L27681" t="str">
            <v>Non-proportional</v>
          </cell>
          <cell r="S27681">
            <v>45.85</v>
          </cell>
          <cell r="X27681" t="str">
            <v>Expenses</v>
          </cell>
        </row>
        <row r="27682">
          <cell r="L27682" t="str">
            <v>Non-proportional</v>
          </cell>
          <cell r="S27682">
            <v>185.54</v>
          </cell>
          <cell r="X27682" t="str">
            <v>Expenses</v>
          </cell>
        </row>
        <row r="27683">
          <cell r="L27683" t="str">
            <v>Non-proportional</v>
          </cell>
          <cell r="S27683">
            <v>134.31</v>
          </cell>
          <cell r="X27683" t="str">
            <v>Expenses</v>
          </cell>
        </row>
        <row r="27684">
          <cell r="L27684" t="str">
            <v>Non-proportional</v>
          </cell>
          <cell r="S27684">
            <v>-2334.6</v>
          </cell>
          <cell r="X27684" t="str">
            <v>Expenses</v>
          </cell>
        </row>
        <row r="27685">
          <cell r="L27685" t="str">
            <v>Non-proportional</v>
          </cell>
          <cell r="S27685">
            <v>222.45</v>
          </cell>
          <cell r="X27685" t="str">
            <v>Expenses</v>
          </cell>
        </row>
        <row r="27686">
          <cell r="L27686" t="str">
            <v>Non-proportional</v>
          </cell>
          <cell r="S27686">
            <v>-2.65</v>
          </cell>
          <cell r="X27686" t="str">
            <v>Expenses</v>
          </cell>
        </row>
        <row r="27687">
          <cell r="L27687" t="str">
            <v>Non-proportional</v>
          </cell>
          <cell r="S27687">
            <v>7.02</v>
          </cell>
          <cell r="X27687" t="str">
            <v>Expenses</v>
          </cell>
        </row>
        <row r="27688">
          <cell r="L27688" t="str">
            <v>Non-proportional</v>
          </cell>
          <cell r="S27688">
            <v>32.630000000000003</v>
          </cell>
          <cell r="X27688" t="str">
            <v>Expenses</v>
          </cell>
        </row>
        <row r="27689">
          <cell r="L27689" t="str">
            <v>Non-proportional</v>
          </cell>
          <cell r="S27689">
            <v>113.11</v>
          </cell>
          <cell r="X27689" t="str">
            <v>Expenses</v>
          </cell>
        </row>
        <row r="27690">
          <cell r="L27690" t="str">
            <v>Non-proportional</v>
          </cell>
          <cell r="S27690">
            <v>-1056.67</v>
          </cell>
          <cell r="X27690" t="str">
            <v>Expenses</v>
          </cell>
        </row>
        <row r="27691">
          <cell r="L27691" t="str">
            <v>Non-proportional</v>
          </cell>
          <cell r="S27691">
            <v>60.41</v>
          </cell>
          <cell r="X27691" t="str">
            <v>Expenses</v>
          </cell>
        </row>
        <row r="27692">
          <cell r="L27692" t="str">
            <v>Non-proportional</v>
          </cell>
          <cell r="S27692">
            <v>-181.79</v>
          </cell>
          <cell r="X27692" t="str">
            <v>Expenses</v>
          </cell>
        </row>
        <row r="27693">
          <cell r="L27693" t="str">
            <v>Non-proportional</v>
          </cell>
          <cell r="S27693">
            <v>-510.84</v>
          </cell>
          <cell r="X27693" t="str">
            <v>Expenses</v>
          </cell>
        </row>
        <row r="27694">
          <cell r="L27694" t="str">
            <v>Non-proportional</v>
          </cell>
          <cell r="S27694">
            <v>-1179.47</v>
          </cell>
          <cell r="X27694" t="str">
            <v>Expenses</v>
          </cell>
        </row>
        <row r="27695">
          <cell r="L27695" t="str">
            <v>Non-proportional</v>
          </cell>
          <cell r="S27695">
            <v>-11.8</v>
          </cell>
          <cell r="X27695" t="str">
            <v>Expenses</v>
          </cell>
        </row>
        <row r="27696">
          <cell r="L27696" t="str">
            <v>Non-proportional</v>
          </cell>
          <cell r="S27696">
            <v>-232.24</v>
          </cell>
          <cell r="X27696" t="str">
            <v>Expenses</v>
          </cell>
        </row>
        <row r="27697">
          <cell r="L27697" t="str">
            <v>Non-proportional</v>
          </cell>
          <cell r="S27697">
            <v>-0.05</v>
          </cell>
          <cell r="X27697" t="str">
            <v>Expenses</v>
          </cell>
        </row>
        <row r="27698">
          <cell r="L27698" t="str">
            <v>Non-proportional</v>
          </cell>
          <cell r="S27698">
            <v>0</v>
          </cell>
          <cell r="X27698" t="str">
            <v>Expenses</v>
          </cell>
        </row>
        <row r="27699">
          <cell r="L27699" t="str">
            <v>Non-proportional</v>
          </cell>
          <cell r="S27699">
            <v>-390.16</v>
          </cell>
          <cell r="X27699" t="str">
            <v>Expenses</v>
          </cell>
        </row>
        <row r="27700">
          <cell r="L27700" t="str">
            <v>Non-proportional</v>
          </cell>
          <cell r="S27700">
            <v>-1790.66</v>
          </cell>
          <cell r="X27700" t="str">
            <v>Expenses</v>
          </cell>
        </row>
        <row r="27701">
          <cell r="L27701" t="str">
            <v>Non-proportional</v>
          </cell>
          <cell r="S27701">
            <v>172.3</v>
          </cell>
          <cell r="X27701" t="str">
            <v>Expenses</v>
          </cell>
        </row>
        <row r="27702">
          <cell r="L27702" t="str">
            <v>Non-proportional</v>
          </cell>
          <cell r="S27702">
            <v>106.71</v>
          </cell>
          <cell r="X27702" t="str">
            <v>Expenses</v>
          </cell>
        </row>
        <row r="27703">
          <cell r="L27703" t="str">
            <v>Proportional</v>
          </cell>
          <cell r="S27703">
            <v>-767.3</v>
          </cell>
          <cell r="X27703" t="str">
            <v>Expenses</v>
          </cell>
        </row>
        <row r="27704">
          <cell r="L27704" t="str">
            <v>Non-proportional</v>
          </cell>
          <cell r="S27704">
            <v>-0.05</v>
          </cell>
          <cell r="X27704" t="str">
            <v>Expenses</v>
          </cell>
        </row>
        <row r="27705">
          <cell r="L27705" t="str">
            <v>Non-proportional</v>
          </cell>
          <cell r="S27705">
            <v>32.04</v>
          </cell>
          <cell r="X27705" t="str">
            <v>Expenses</v>
          </cell>
        </row>
        <row r="27706">
          <cell r="L27706" t="str">
            <v>Non-proportional</v>
          </cell>
          <cell r="S27706">
            <v>323.26</v>
          </cell>
          <cell r="X27706" t="str">
            <v>Expenses</v>
          </cell>
        </row>
        <row r="27707">
          <cell r="L27707" t="str">
            <v>Non-proportional</v>
          </cell>
          <cell r="S27707">
            <v>-1132.18</v>
          </cell>
          <cell r="X27707" t="str">
            <v>Expenses</v>
          </cell>
        </row>
        <row r="27708">
          <cell r="L27708" t="str">
            <v>Non-proportional</v>
          </cell>
          <cell r="S27708">
            <v>-3078.37</v>
          </cell>
          <cell r="X27708" t="str">
            <v>Expenses</v>
          </cell>
        </row>
        <row r="27709">
          <cell r="L27709" t="str">
            <v>Non-proportional</v>
          </cell>
          <cell r="S27709">
            <v>-2438.5</v>
          </cell>
          <cell r="X27709" t="str">
            <v>Expenses</v>
          </cell>
        </row>
        <row r="27710">
          <cell r="L27710" t="str">
            <v>Non-proportional</v>
          </cell>
          <cell r="S27710">
            <v>48.05</v>
          </cell>
          <cell r="X27710" t="str">
            <v>Expenses</v>
          </cell>
        </row>
        <row r="27711">
          <cell r="L27711" t="str">
            <v>Non-proportional</v>
          </cell>
          <cell r="S27711">
            <v>-929.12</v>
          </cell>
          <cell r="X27711" t="str">
            <v>Expenses</v>
          </cell>
        </row>
        <row r="27712">
          <cell r="L27712" t="str">
            <v>Non-proportional</v>
          </cell>
          <cell r="S27712">
            <v>172.09</v>
          </cell>
          <cell r="X27712" t="str">
            <v>Expenses</v>
          </cell>
        </row>
        <row r="27713">
          <cell r="L27713" t="str">
            <v>Non-proportional</v>
          </cell>
          <cell r="S27713">
            <v>-2264.2399999999998</v>
          </cell>
          <cell r="X27713" t="str">
            <v>Expenses</v>
          </cell>
        </row>
        <row r="27714">
          <cell r="L27714" t="str">
            <v>Non-proportional</v>
          </cell>
          <cell r="S27714">
            <v>10.16</v>
          </cell>
          <cell r="X27714" t="str">
            <v>Expenses</v>
          </cell>
        </row>
        <row r="27715">
          <cell r="L27715" t="str">
            <v>Non-proportional</v>
          </cell>
          <cell r="S27715">
            <v>99.82</v>
          </cell>
          <cell r="X27715" t="str">
            <v>Expenses</v>
          </cell>
        </row>
        <row r="27716">
          <cell r="L27716" t="str">
            <v>Non-proportional</v>
          </cell>
          <cell r="S27716">
            <v>-414.1</v>
          </cell>
          <cell r="X27716" t="str">
            <v>Expenses</v>
          </cell>
        </row>
        <row r="27717">
          <cell r="L27717" t="str">
            <v>Non-proportional</v>
          </cell>
          <cell r="S27717">
            <v>74.849999999999994</v>
          </cell>
          <cell r="X27717" t="str">
            <v>Expenses</v>
          </cell>
        </row>
        <row r="27718">
          <cell r="L27718" t="str">
            <v>Non-proportional</v>
          </cell>
          <cell r="S27718">
            <v>-1500.74</v>
          </cell>
          <cell r="X27718" t="str">
            <v>Expenses</v>
          </cell>
        </row>
        <row r="27719">
          <cell r="L27719" t="str">
            <v>Non-proportional</v>
          </cell>
          <cell r="S27719">
            <v>294.82</v>
          </cell>
          <cell r="X27719" t="str">
            <v>Expenses</v>
          </cell>
        </row>
        <row r="27720">
          <cell r="L27720" t="str">
            <v>Non-proportional</v>
          </cell>
          <cell r="S27720">
            <v>-3888.69</v>
          </cell>
          <cell r="X27720" t="str">
            <v>Expenses</v>
          </cell>
        </row>
        <row r="27721">
          <cell r="L27721" t="str">
            <v>Non-proportional</v>
          </cell>
          <cell r="S27721">
            <v>218.03</v>
          </cell>
          <cell r="X27721" t="str">
            <v>Expenses</v>
          </cell>
        </row>
        <row r="27722">
          <cell r="L27722" t="str">
            <v>Non-proportional</v>
          </cell>
          <cell r="S27722">
            <v>174.16</v>
          </cell>
          <cell r="X27722" t="str">
            <v>Expenses</v>
          </cell>
        </row>
        <row r="27723">
          <cell r="L27723" t="str">
            <v>Non-proportional</v>
          </cell>
          <cell r="S27723">
            <v>957.19</v>
          </cell>
          <cell r="X27723" t="str">
            <v>Expenses</v>
          </cell>
        </row>
        <row r="27724">
          <cell r="L27724" t="str">
            <v>Non-proportional</v>
          </cell>
          <cell r="S27724">
            <v>206.23</v>
          </cell>
          <cell r="X27724" t="str">
            <v>Expenses</v>
          </cell>
        </row>
        <row r="27725">
          <cell r="L27725" t="str">
            <v>Non-proportional</v>
          </cell>
          <cell r="S27725">
            <v>-108.21</v>
          </cell>
          <cell r="X27725" t="str">
            <v>Expenses</v>
          </cell>
        </row>
        <row r="27726">
          <cell r="L27726" t="str">
            <v>Proportional</v>
          </cell>
          <cell r="S27726">
            <v>-205.47</v>
          </cell>
          <cell r="X27726" t="str">
            <v>Expenses</v>
          </cell>
        </row>
        <row r="27727">
          <cell r="L27727" t="str">
            <v>Non-proportional</v>
          </cell>
          <cell r="S27727">
            <v>391.63</v>
          </cell>
          <cell r="X27727" t="str">
            <v>Expenses</v>
          </cell>
        </row>
        <row r="27728">
          <cell r="L27728" t="str">
            <v>Non-proportional</v>
          </cell>
          <cell r="S27728">
            <v>153.66999999999999</v>
          </cell>
          <cell r="X27728" t="str">
            <v>Expenses</v>
          </cell>
        </row>
        <row r="27729">
          <cell r="L27729" t="str">
            <v>Proportional</v>
          </cell>
          <cell r="S27729">
            <v>-3030.59</v>
          </cell>
          <cell r="X27729" t="str">
            <v>Expenses</v>
          </cell>
        </row>
        <row r="27730">
          <cell r="L27730" t="str">
            <v>Non-proportional</v>
          </cell>
          <cell r="S27730">
            <v>12.03</v>
          </cell>
          <cell r="X27730" t="str">
            <v>Expenses</v>
          </cell>
        </row>
        <row r="27731">
          <cell r="L27731" t="str">
            <v>Non-proportional</v>
          </cell>
          <cell r="S27731">
            <v>35.65</v>
          </cell>
          <cell r="X27731" t="str">
            <v>Expenses</v>
          </cell>
        </row>
        <row r="27732">
          <cell r="L27732" t="str">
            <v>Non-proportional</v>
          </cell>
          <cell r="S27732">
            <v>263.37</v>
          </cell>
          <cell r="X27732" t="str">
            <v>Expenses</v>
          </cell>
        </row>
        <row r="27733">
          <cell r="L27733" t="str">
            <v>Non-proportional</v>
          </cell>
          <cell r="S27733">
            <v>-2.0299999999999998</v>
          </cell>
          <cell r="X27733" t="str">
            <v>Expenses</v>
          </cell>
        </row>
        <row r="27734">
          <cell r="L27734" t="str">
            <v>Non-proportional</v>
          </cell>
          <cell r="S27734">
            <v>294.82</v>
          </cell>
          <cell r="X27734" t="str">
            <v>Expenses</v>
          </cell>
        </row>
        <row r="27735">
          <cell r="L27735" t="str">
            <v>Non-proportional</v>
          </cell>
          <cell r="S27735">
            <v>-2.0299999999999998</v>
          </cell>
          <cell r="X27735" t="str">
            <v>Expenses</v>
          </cell>
        </row>
        <row r="27736">
          <cell r="L27736" t="str">
            <v>Non-proportional</v>
          </cell>
          <cell r="S27736">
            <v>-2131.6</v>
          </cell>
          <cell r="X27736" t="str">
            <v>Expenses</v>
          </cell>
        </row>
        <row r="27737">
          <cell r="L27737" t="str">
            <v>Non-proportional</v>
          </cell>
          <cell r="S27737">
            <v>-1561.92</v>
          </cell>
          <cell r="X27737" t="str">
            <v>Expenses</v>
          </cell>
        </row>
        <row r="27738">
          <cell r="L27738" t="str">
            <v>Non-proportional</v>
          </cell>
          <cell r="S27738">
            <v>39.380000000000003</v>
          </cell>
          <cell r="X27738" t="str">
            <v>Expenses</v>
          </cell>
        </row>
        <row r="27739">
          <cell r="L27739" t="str">
            <v>Non-proportional</v>
          </cell>
          <cell r="S27739">
            <v>-470.3</v>
          </cell>
          <cell r="X27739" t="str">
            <v>Expenses</v>
          </cell>
        </row>
        <row r="27740">
          <cell r="L27740" t="str">
            <v>Non-proportional</v>
          </cell>
          <cell r="S27740">
            <v>17.100000000000001</v>
          </cell>
          <cell r="X27740" t="str">
            <v>Expenses</v>
          </cell>
        </row>
        <row r="27741">
          <cell r="L27741" t="str">
            <v>Non-proportional</v>
          </cell>
          <cell r="S27741">
            <v>-901.62</v>
          </cell>
          <cell r="X27741" t="str">
            <v>Expenses</v>
          </cell>
        </row>
        <row r="27742">
          <cell r="L27742" t="str">
            <v>Non-proportional</v>
          </cell>
          <cell r="S27742">
            <v>-11.8</v>
          </cell>
          <cell r="X27742" t="str">
            <v>Expenses</v>
          </cell>
        </row>
        <row r="27743">
          <cell r="L27743" t="str">
            <v>Non-proportional</v>
          </cell>
          <cell r="S27743">
            <v>244.27</v>
          </cell>
          <cell r="X27743" t="str">
            <v>Expenses</v>
          </cell>
        </row>
        <row r="27744">
          <cell r="L27744" t="str">
            <v>Non-proportional</v>
          </cell>
          <cell r="S27744">
            <v>-1421.61</v>
          </cell>
          <cell r="X27744" t="str">
            <v>Expenses</v>
          </cell>
        </row>
        <row r="27745">
          <cell r="L27745" t="str">
            <v>Non-proportional</v>
          </cell>
          <cell r="S27745">
            <v>101.53</v>
          </cell>
          <cell r="X27745" t="str">
            <v>Expenses</v>
          </cell>
        </row>
        <row r="27746">
          <cell r="L27746" t="str">
            <v>Non-proportional</v>
          </cell>
          <cell r="S27746">
            <v>37.35</v>
          </cell>
          <cell r="X27746" t="str">
            <v>Expenses</v>
          </cell>
        </row>
        <row r="27747">
          <cell r="L27747" t="str">
            <v>Non-proportional</v>
          </cell>
          <cell r="S27747">
            <v>443.41</v>
          </cell>
          <cell r="X27747" t="str">
            <v>Expenses</v>
          </cell>
        </row>
        <row r="27748">
          <cell r="L27748" t="str">
            <v>Non-proportional</v>
          </cell>
          <cell r="S27748">
            <v>0.23</v>
          </cell>
          <cell r="X27748" t="str">
            <v>Expenses</v>
          </cell>
        </row>
        <row r="27749">
          <cell r="L27749" t="str">
            <v>Non-proportional</v>
          </cell>
          <cell r="S27749">
            <v>-1033.48</v>
          </cell>
          <cell r="X27749" t="str">
            <v>Expenses</v>
          </cell>
        </row>
        <row r="27750">
          <cell r="L27750" t="str">
            <v>Non-proportional</v>
          </cell>
          <cell r="S27750">
            <v>9.6199999999999992</v>
          </cell>
          <cell r="X27750" t="str">
            <v>Expenses</v>
          </cell>
        </row>
        <row r="27751">
          <cell r="L27751" t="str">
            <v>Non-proportional</v>
          </cell>
          <cell r="S27751">
            <v>-8777.5</v>
          </cell>
          <cell r="X27751" t="str">
            <v>Expenses</v>
          </cell>
        </row>
        <row r="27752">
          <cell r="L27752" t="str">
            <v>Non-proportional</v>
          </cell>
          <cell r="S27752">
            <v>-4.91</v>
          </cell>
          <cell r="X27752" t="str">
            <v>Expenses</v>
          </cell>
        </row>
        <row r="27753">
          <cell r="L27753" t="str">
            <v>Non-proportional</v>
          </cell>
          <cell r="S27753">
            <v>0</v>
          </cell>
          <cell r="X27753" t="str">
            <v>Expenses</v>
          </cell>
        </row>
        <row r="27754">
          <cell r="L27754" t="str">
            <v>Non-proportional</v>
          </cell>
          <cell r="S27754">
            <v>250.59</v>
          </cell>
          <cell r="X27754" t="str">
            <v>Expenses</v>
          </cell>
        </row>
        <row r="27755">
          <cell r="L27755" t="str">
            <v>Non-proportional</v>
          </cell>
          <cell r="S27755">
            <v>145.52000000000001</v>
          </cell>
          <cell r="X27755" t="str">
            <v>Expenses</v>
          </cell>
        </row>
        <row r="27756">
          <cell r="L27756" t="str">
            <v>Non-proportional</v>
          </cell>
          <cell r="S27756">
            <v>222.76</v>
          </cell>
          <cell r="X27756" t="str">
            <v>Expenses</v>
          </cell>
        </row>
        <row r="27757">
          <cell r="L27757" t="str">
            <v>Non-proportional</v>
          </cell>
          <cell r="S27757">
            <v>282.18</v>
          </cell>
          <cell r="X27757" t="str">
            <v>Expenses</v>
          </cell>
        </row>
        <row r="27758">
          <cell r="L27758" t="str">
            <v>Non-proportional</v>
          </cell>
          <cell r="S27758">
            <v>65.150000000000006</v>
          </cell>
          <cell r="X27758" t="str">
            <v>Expenses</v>
          </cell>
        </row>
        <row r="27759">
          <cell r="L27759" t="str">
            <v>Non-proportional</v>
          </cell>
          <cell r="S27759">
            <v>25.17</v>
          </cell>
          <cell r="X27759" t="str">
            <v>Expenses</v>
          </cell>
        </row>
        <row r="27760">
          <cell r="L27760" t="str">
            <v>Non-proportional</v>
          </cell>
          <cell r="S27760">
            <v>352.43</v>
          </cell>
          <cell r="X27760" t="str">
            <v>Expenses</v>
          </cell>
        </row>
        <row r="27761">
          <cell r="L27761" t="str">
            <v>Non-proportional</v>
          </cell>
          <cell r="S27761">
            <v>-2.2200000000000002</v>
          </cell>
          <cell r="X27761" t="str">
            <v>Expenses</v>
          </cell>
        </row>
        <row r="27762">
          <cell r="L27762" t="str">
            <v>Non-proportional</v>
          </cell>
          <cell r="S27762">
            <v>0.79</v>
          </cell>
          <cell r="X27762" t="str">
            <v>Expenses</v>
          </cell>
        </row>
        <row r="27763">
          <cell r="L27763" t="str">
            <v>Non-proportional</v>
          </cell>
          <cell r="S27763">
            <v>-3858.85</v>
          </cell>
          <cell r="X27763" t="str">
            <v>Expenses</v>
          </cell>
        </row>
        <row r="27764">
          <cell r="L27764" t="str">
            <v>Non-proportional</v>
          </cell>
          <cell r="S27764">
            <v>-405.08</v>
          </cell>
          <cell r="X27764" t="str">
            <v>Expenses</v>
          </cell>
        </row>
        <row r="27765">
          <cell r="L27765" t="str">
            <v>Non-proportional</v>
          </cell>
          <cell r="S27765">
            <v>47.53</v>
          </cell>
          <cell r="X27765" t="str">
            <v>Expenses</v>
          </cell>
        </row>
        <row r="27766">
          <cell r="L27766" t="str">
            <v>Non-proportional</v>
          </cell>
          <cell r="S27766">
            <v>-0.67</v>
          </cell>
          <cell r="X27766" t="str">
            <v>Expenses</v>
          </cell>
        </row>
        <row r="27767">
          <cell r="L27767" t="str">
            <v>Non-proportional</v>
          </cell>
          <cell r="S27767">
            <v>-829.5</v>
          </cell>
          <cell r="X27767" t="str">
            <v>Expenses</v>
          </cell>
        </row>
        <row r="27768">
          <cell r="L27768" t="str">
            <v>Non-proportional</v>
          </cell>
          <cell r="S27768">
            <v>-4.2699999999999996</v>
          </cell>
          <cell r="X27768" t="str">
            <v>Expenses</v>
          </cell>
        </row>
        <row r="27769">
          <cell r="L27769" t="str">
            <v>Non-proportional</v>
          </cell>
          <cell r="S27769">
            <v>-3202.94</v>
          </cell>
          <cell r="X27769" t="str">
            <v>Expenses</v>
          </cell>
        </row>
        <row r="27770">
          <cell r="L27770" t="str">
            <v>Non-proportional</v>
          </cell>
          <cell r="S27770">
            <v>78.94</v>
          </cell>
          <cell r="X27770" t="str">
            <v>Expenses</v>
          </cell>
        </row>
        <row r="27771">
          <cell r="L27771" t="str">
            <v>Non-proportional</v>
          </cell>
          <cell r="S27771">
            <v>1.85</v>
          </cell>
          <cell r="X27771" t="str">
            <v>Expenses</v>
          </cell>
        </row>
        <row r="27772">
          <cell r="L27772" t="str">
            <v>Non-proportional</v>
          </cell>
          <cell r="S27772">
            <v>90.1</v>
          </cell>
          <cell r="X27772" t="str">
            <v>Expenses</v>
          </cell>
        </row>
        <row r="27773">
          <cell r="L27773" t="str">
            <v>Non-proportional</v>
          </cell>
          <cell r="S27773">
            <v>-144.16</v>
          </cell>
          <cell r="X27773" t="str">
            <v>Expenses</v>
          </cell>
        </row>
        <row r="27774">
          <cell r="L27774" t="str">
            <v>Non-proportional</v>
          </cell>
          <cell r="S27774">
            <v>316.52</v>
          </cell>
          <cell r="X27774" t="str">
            <v>Expenses</v>
          </cell>
        </row>
        <row r="27775">
          <cell r="L27775" t="str">
            <v>Non-proportional</v>
          </cell>
          <cell r="S27775">
            <v>85.89</v>
          </cell>
          <cell r="X27775" t="str">
            <v>Expenses</v>
          </cell>
        </row>
        <row r="27776">
          <cell r="L27776" t="str">
            <v>Non-proportional</v>
          </cell>
          <cell r="S27776">
            <v>406.82</v>
          </cell>
          <cell r="X27776" t="str">
            <v>Expenses</v>
          </cell>
        </row>
        <row r="27777">
          <cell r="L27777" t="str">
            <v>Non-proportional</v>
          </cell>
          <cell r="S27777">
            <v>245.06</v>
          </cell>
          <cell r="X27777" t="str">
            <v>Expenses</v>
          </cell>
        </row>
        <row r="27778">
          <cell r="L27778" t="str">
            <v>Non-proportional</v>
          </cell>
          <cell r="S27778">
            <v>-0.36</v>
          </cell>
          <cell r="X27778" t="str">
            <v>Expenses</v>
          </cell>
        </row>
        <row r="27779">
          <cell r="L27779" t="str">
            <v>Non-proportional</v>
          </cell>
          <cell r="S27779">
            <v>-4.12</v>
          </cell>
          <cell r="X27779" t="str">
            <v>Expenses</v>
          </cell>
        </row>
        <row r="27780">
          <cell r="L27780" t="str">
            <v>Non-proportional</v>
          </cell>
          <cell r="S27780">
            <v>27.35</v>
          </cell>
          <cell r="X27780" t="str">
            <v>Expenses</v>
          </cell>
        </row>
        <row r="27781">
          <cell r="L27781" t="str">
            <v>Non-proportional</v>
          </cell>
          <cell r="S27781">
            <v>0.21</v>
          </cell>
          <cell r="X27781" t="str">
            <v>Expenses</v>
          </cell>
        </row>
        <row r="27782">
          <cell r="L27782" t="str">
            <v>Non-proportional</v>
          </cell>
          <cell r="S27782">
            <v>26.47</v>
          </cell>
          <cell r="X27782" t="str">
            <v>Expenses</v>
          </cell>
        </row>
        <row r="27783">
          <cell r="L27783" t="str">
            <v>Non-proportional</v>
          </cell>
          <cell r="S27783">
            <v>-6316.76</v>
          </cell>
          <cell r="X27783" t="str">
            <v>Expenses</v>
          </cell>
        </row>
        <row r="27784">
          <cell r="L27784" t="str">
            <v>Non-proportional</v>
          </cell>
          <cell r="S27784">
            <v>-3715.77</v>
          </cell>
          <cell r="X27784" t="str">
            <v>Expenses</v>
          </cell>
        </row>
        <row r="27785">
          <cell r="L27785" t="str">
            <v>Non-proportional</v>
          </cell>
          <cell r="S27785">
            <v>220.33</v>
          </cell>
          <cell r="X27785" t="str">
            <v>Expenses</v>
          </cell>
        </row>
        <row r="27786">
          <cell r="L27786" t="str">
            <v>Non-proportional</v>
          </cell>
          <cell r="S27786">
            <v>95.47</v>
          </cell>
          <cell r="X27786" t="str">
            <v>Expenses</v>
          </cell>
        </row>
        <row r="27787">
          <cell r="L27787" t="str">
            <v>Non-proportional</v>
          </cell>
          <cell r="S27787">
            <v>423.87</v>
          </cell>
          <cell r="X27787" t="str">
            <v>Expenses</v>
          </cell>
        </row>
        <row r="27788">
          <cell r="L27788" t="str">
            <v>Non-proportional</v>
          </cell>
          <cell r="S27788">
            <v>2.44</v>
          </cell>
          <cell r="X27788" t="str">
            <v>Expenses</v>
          </cell>
        </row>
        <row r="27789">
          <cell r="L27789" t="str">
            <v>Non-proportional</v>
          </cell>
          <cell r="S27789">
            <v>36.479999999999997</v>
          </cell>
          <cell r="X27789" t="str">
            <v>Expenses</v>
          </cell>
        </row>
        <row r="27790">
          <cell r="L27790" t="str">
            <v>Non-proportional</v>
          </cell>
          <cell r="S27790">
            <v>-0.28000000000000003</v>
          </cell>
          <cell r="X27790" t="str">
            <v>Expenses</v>
          </cell>
        </row>
        <row r="27791">
          <cell r="L27791" t="str">
            <v>Non-proportional</v>
          </cell>
          <cell r="S27791">
            <v>46.55</v>
          </cell>
          <cell r="X27791" t="str">
            <v>Expenses</v>
          </cell>
        </row>
        <row r="27792">
          <cell r="L27792" t="str">
            <v>Non-proportional</v>
          </cell>
          <cell r="S27792">
            <v>129.06</v>
          </cell>
          <cell r="X27792" t="str">
            <v>Expenses</v>
          </cell>
        </row>
        <row r="27793">
          <cell r="L27793" t="str">
            <v>Non-proportional</v>
          </cell>
          <cell r="S27793">
            <v>142.53</v>
          </cell>
          <cell r="X27793" t="str">
            <v>Expenses</v>
          </cell>
        </row>
        <row r="27794">
          <cell r="L27794" t="str">
            <v>Non-proportional</v>
          </cell>
          <cell r="S27794">
            <v>38.25</v>
          </cell>
          <cell r="X27794" t="str">
            <v>Expenses</v>
          </cell>
        </row>
        <row r="27795">
          <cell r="L27795" t="str">
            <v>Non-proportional</v>
          </cell>
          <cell r="S27795">
            <v>34.909999999999997</v>
          </cell>
          <cell r="X27795" t="str">
            <v>Expenses</v>
          </cell>
        </row>
        <row r="27796">
          <cell r="L27796" t="str">
            <v>Non-proportional</v>
          </cell>
          <cell r="S27796">
            <v>168.55</v>
          </cell>
          <cell r="X27796" t="str">
            <v>Expenses</v>
          </cell>
        </row>
        <row r="27797">
          <cell r="L27797" t="str">
            <v>Non-proportional</v>
          </cell>
          <cell r="S27797">
            <v>80</v>
          </cell>
          <cell r="X27797" t="str">
            <v>Expenses</v>
          </cell>
        </row>
        <row r="27798">
          <cell r="L27798" t="str">
            <v>Non-proportional</v>
          </cell>
          <cell r="S27798">
            <v>287.92</v>
          </cell>
          <cell r="X27798" t="str">
            <v>Expenses</v>
          </cell>
        </row>
        <row r="27799">
          <cell r="L27799" t="str">
            <v>Non-proportional</v>
          </cell>
          <cell r="S27799">
            <v>86.41</v>
          </cell>
          <cell r="X27799" t="str">
            <v>Expenses</v>
          </cell>
        </row>
        <row r="27800">
          <cell r="L27800" t="str">
            <v>Non-proportional</v>
          </cell>
          <cell r="S27800">
            <v>238.76</v>
          </cell>
          <cell r="X27800" t="str">
            <v>Expenses</v>
          </cell>
        </row>
        <row r="27801">
          <cell r="L27801" t="str">
            <v>Non-proportional</v>
          </cell>
          <cell r="S27801">
            <v>0.74</v>
          </cell>
          <cell r="X27801" t="str">
            <v>Expenses</v>
          </cell>
        </row>
        <row r="27802">
          <cell r="L27802" t="str">
            <v>Non-proportional</v>
          </cell>
          <cell r="S27802">
            <v>0</v>
          </cell>
          <cell r="X27802" t="str">
            <v>Expenses</v>
          </cell>
        </row>
        <row r="27803">
          <cell r="L27803" t="str">
            <v>Non-proportional</v>
          </cell>
          <cell r="S27803">
            <v>98.12</v>
          </cell>
          <cell r="X27803" t="str">
            <v>Expenses</v>
          </cell>
        </row>
        <row r="27804">
          <cell r="L27804" t="str">
            <v>Non-proportional</v>
          </cell>
          <cell r="S27804">
            <v>59.03</v>
          </cell>
          <cell r="X27804" t="str">
            <v>Expenses</v>
          </cell>
        </row>
        <row r="27805">
          <cell r="L27805" t="str">
            <v>Non-proportional</v>
          </cell>
          <cell r="S27805">
            <v>-7.25</v>
          </cell>
          <cell r="X27805" t="str">
            <v>Expenses</v>
          </cell>
        </row>
        <row r="27806">
          <cell r="L27806" t="str">
            <v>Non-proportional</v>
          </cell>
          <cell r="S27806">
            <v>665.45</v>
          </cell>
          <cell r="X27806" t="str">
            <v>Expenses</v>
          </cell>
        </row>
        <row r="27807">
          <cell r="L27807" t="str">
            <v>Non-proportional</v>
          </cell>
          <cell r="S27807">
            <v>24.65</v>
          </cell>
          <cell r="X27807" t="str">
            <v>Expenses</v>
          </cell>
        </row>
        <row r="27808">
          <cell r="L27808" t="str">
            <v>Non-proportional</v>
          </cell>
          <cell r="S27808">
            <v>335.74</v>
          </cell>
          <cell r="X27808" t="str">
            <v>Expenses</v>
          </cell>
        </row>
        <row r="27809">
          <cell r="L27809" t="str">
            <v>Non-proportional</v>
          </cell>
          <cell r="S27809">
            <v>40.630000000000003</v>
          </cell>
          <cell r="X27809" t="str">
            <v>Expenses</v>
          </cell>
        </row>
        <row r="27810">
          <cell r="L27810" t="str">
            <v>Non-proportional</v>
          </cell>
          <cell r="S27810">
            <v>482.13</v>
          </cell>
          <cell r="X27810" t="str">
            <v>Expenses</v>
          </cell>
        </row>
        <row r="27811">
          <cell r="L27811" t="str">
            <v>Non-proportional</v>
          </cell>
          <cell r="S27811">
            <v>645.89</v>
          </cell>
          <cell r="X27811" t="str">
            <v>Expenses</v>
          </cell>
        </row>
        <row r="27812">
          <cell r="L27812" t="str">
            <v>Non-proportional</v>
          </cell>
          <cell r="S27812">
            <v>-18.61</v>
          </cell>
          <cell r="X27812" t="str">
            <v>Expenses</v>
          </cell>
        </row>
        <row r="27813">
          <cell r="L27813" t="str">
            <v>Non-proportional</v>
          </cell>
          <cell r="S27813">
            <v>0</v>
          </cell>
          <cell r="X27813" t="str">
            <v>Expenses</v>
          </cell>
        </row>
        <row r="27814">
          <cell r="L27814" t="str">
            <v>Non-proportional</v>
          </cell>
          <cell r="S27814">
            <v>83.95</v>
          </cell>
          <cell r="X27814" t="str">
            <v>Expenses</v>
          </cell>
        </row>
        <row r="27815">
          <cell r="L27815" t="str">
            <v>Non-proportional</v>
          </cell>
          <cell r="S27815">
            <v>-0.63</v>
          </cell>
          <cell r="X27815" t="str">
            <v>Expenses</v>
          </cell>
        </row>
        <row r="27816">
          <cell r="L27816" t="str">
            <v>Non-proportional</v>
          </cell>
          <cell r="S27816">
            <v>-1.99</v>
          </cell>
          <cell r="X27816" t="str">
            <v>Expenses</v>
          </cell>
        </row>
        <row r="27817">
          <cell r="L27817" t="str">
            <v>Non-proportional</v>
          </cell>
          <cell r="S27817">
            <v>-0.05</v>
          </cell>
          <cell r="X27817" t="str">
            <v>Expenses</v>
          </cell>
        </row>
        <row r="27818">
          <cell r="L27818" t="str">
            <v>Non-proportional</v>
          </cell>
          <cell r="S27818">
            <v>-0.72</v>
          </cell>
          <cell r="X27818" t="str">
            <v>Expenses</v>
          </cell>
        </row>
        <row r="27819">
          <cell r="L27819" t="str">
            <v>Proportional</v>
          </cell>
          <cell r="S27819">
            <v>503.81</v>
          </cell>
          <cell r="X27819" t="str">
            <v>Expenses</v>
          </cell>
        </row>
        <row r="27820">
          <cell r="L27820" t="str">
            <v>Non-proportional</v>
          </cell>
          <cell r="S27820">
            <v>934.8</v>
          </cell>
          <cell r="X27820" t="str">
            <v>Expenses</v>
          </cell>
        </row>
        <row r="27821">
          <cell r="L27821" t="str">
            <v>Non-proportional</v>
          </cell>
          <cell r="S27821">
            <v>189.8</v>
          </cell>
          <cell r="X27821" t="str">
            <v>Expenses</v>
          </cell>
        </row>
        <row r="27822">
          <cell r="L27822" t="str">
            <v>Non-proportional</v>
          </cell>
          <cell r="S27822">
            <v>0</v>
          </cell>
          <cell r="X27822" t="str">
            <v>Expenses</v>
          </cell>
        </row>
        <row r="27823">
          <cell r="L27823" t="str">
            <v>Non-proportional</v>
          </cell>
          <cell r="S27823">
            <v>0</v>
          </cell>
          <cell r="X27823" t="str">
            <v>Expenses</v>
          </cell>
        </row>
        <row r="27824">
          <cell r="L27824" t="str">
            <v>Non-proportional</v>
          </cell>
          <cell r="S27824">
            <v>0</v>
          </cell>
          <cell r="X27824" t="str">
            <v>Expenses</v>
          </cell>
        </row>
        <row r="27825">
          <cell r="L27825" t="str">
            <v>Non-proportional</v>
          </cell>
          <cell r="S27825">
            <v>46.21</v>
          </cell>
          <cell r="X27825" t="str">
            <v>Expenses</v>
          </cell>
        </row>
        <row r="27826">
          <cell r="L27826" t="str">
            <v>Non-proportional</v>
          </cell>
          <cell r="S27826">
            <v>-4.17</v>
          </cell>
          <cell r="X27826" t="str">
            <v>Expenses</v>
          </cell>
        </row>
        <row r="27827">
          <cell r="L27827" t="str">
            <v>Non-proportional</v>
          </cell>
          <cell r="S27827">
            <v>-0.37</v>
          </cell>
          <cell r="X27827" t="str">
            <v>Expenses</v>
          </cell>
        </row>
        <row r="27828">
          <cell r="L27828" t="str">
            <v>Non-proportional</v>
          </cell>
          <cell r="S27828">
            <v>65.3</v>
          </cell>
          <cell r="X27828" t="str">
            <v>Expenses</v>
          </cell>
        </row>
        <row r="27829">
          <cell r="L27829" t="str">
            <v>Non-proportional</v>
          </cell>
          <cell r="S27829">
            <v>257.20999999999998</v>
          </cell>
          <cell r="X27829" t="str">
            <v>Expenses</v>
          </cell>
        </row>
        <row r="27830">
          <cell r="L27830" t="str">
            <v>Non-proportional</v>
          </cell>
          <cell r="S27830">
            <v>-6.69</v>
          </cell>
          <cell r="X27830" t="str">
            <v>Expenses</v>
          </cell>
        </row>
        <row r="27831">
          <cell r="L27831" t="str">
            <v>Non-proportional</v>
          </cell>
          <cell r="S27831">
            <v>-6.01</v>
          </cell>
          <cell r="X27831" t="str">
            <v>Expenses</v>
          </cell>
        </row>
        <row r="27832">
          <cell r="L27832" t="str">
            <v>Non-proportional</v>
          </cell>
          <cell r="S27832">
            <v>49.59</v>
          </cell>
          <cell r="X27832" t="str">
            <v>Expenses</v>
          </cell>
        </row>
        <row r="27833">
          <cell r="L27833" t="str">
            <v>Non-proportional</v>
          </cell>
          <cell r="S27833">
            <v>59.16</v>
          </cell>
          <cell r="X27833" t="str">
            <v>Expenses</v>
          </cell>
        </row>
        <row r="27834">
          <cell r="L27834" t="str">
            <v>Non-proportional</v>
          </cell>
          <cell r="S27834">
            <v>46.75</v>
          </cell>
          <cell r="X27834" t="str">
            <v>Expenses</v>
          </cell>
        </row>
        <row r="27835">
          <cell r="L27835" t="str">
            <v>Non-proportional</v>
          </cell>
          <cell r="S27835">
            <v>0</v>
          </cell>
          <cell r="X27835" t="str">
            <v>Expenses</v>
          </cell>
        </row>
        <row r="27836">
          <cell r="L27836" t="str">
            <v>Non-proportional</v>
          </cell>
          <cell r="S27836">
            <v>217.55</v>
          </cell>
          <cell r="X27836" t="str">
            <v>Expenses</v>
          </cell>
        </row>
        <row r="27837">
          <cell r="L27837" t="str">
            <v>Non-proportional</v>
          </cell>
          <cell r="S27837">
            <v>309.12</v>
          </cell>
          <cell r="X27837" t="str">
            <v>Expenses</v>
          </cell>
        </row>
        <row r="27838">
          <cell r="L27838" t="str">
            <v>Non-proportional</v>
          </cell>
          <cell r="S27838">
            <v>0</v>
          </cell>
          <cell r="X27838" t="str">
            <v>Expenses</v>
          </cell>
        </row>
        <row r="27839">
          <cell r="L27839" t="str">
            <v>Non-proportional</v>
          </cell>
          <cell r="S27839">
            <v>-0.51</v>
          </cell>
          <cell r="X27839" t="str">
            <v>Expenses</v>
          </cell>
        </row>
        <row r="27840">
          <cell r="L27840" t="str">
            <v>Non-proportional</v>
          </cell>
          <cell r="S27840">
            <v>1.8</v>
          </cell>
          <cell r="X27840" t="str">
            <v>Expenses</v>
          </cell>
        </row>
        <row r="27841">
          <cell r="L27841" t="str">
            <v>Non-proportional</v>
          </cell>
          <cell r="S27841">
            <v>-6.01</v>
          </cell>
          <cell r="X27841" t="str">
            <v>Expenses</v>
          </cell>
        </row>
        <row r="27842">
          <cell r="L27842" t="str">
            <v>Non-proportional</v>
          </cell>
          <cell r="S27842">
            <v>105.67</v>
          </cell>
          <cell r="X27842" t="str">
            <v>Expenses</v>
          </cell>
        </row>
        <row r="27843">
          <cell r="L27843" t="str">
            <v>Non-proportional</v>
          </cell>
          <cell r="S27843">
            <v>12.22</v>
          </cell>
          <cell r="X27843" t="str">
            <v>Expenses</v>
          </cell>
        </row>
        <row r="27844">
          <cell r="L27844" t="str">
            <v>Non-proportional</v>
          </cell>
          <cell r="S27844">
            <v>264.97000000000003</v>
          </cell>
          <cell r="X27844" t="str">
            <v>Expenses</v>
          </cell>
        </row>
        <row r="27845">
          <cell r="L27845" t="str">
            <v>Non-proportional</v>
          </cell>
          <cell r="S27845">
            <v>0</v>
          </cell>
          <cell r="X27845" t="str">
            <v>Expenses</v>
          </cell>
        </row>
        <row r="27846">
          <cell r="L27846" t="str">
            <v>Non-proportional</v>
          </cell>
          <cell r="S27846">
            <v>156.88</v>
          </cell>
          <cell r="X27846" t="str">
            <v>Expenses</v>
          </cell>
        </row>
        <row r="27847">
          <cell r="L27847" t="str">
            <v>Non-proportional</v>
          </cell>
          <cell r="S27847">
            <v>-561.95000000000005</v>
          </cell>
          <cell r="X27847" t="str">
            <v>Expenses</v>
          </cell>
        </row>
        <row r="27848">
          <cell r="L27848" t="str">
            <v>Non-proportional</v>
          </cell>
          <cell r="S27848">
            <v>433.04</v>
          </cell>
          <cell r="X27848" t="str">
            <v>Expenses</v>
          </cell>
        </row>
        <row r="27849">
          <cell r="L27849" t="str">
            <v>Non-proportional</v>
          </cell>
          <cell r="S27849">
            <v>130.61000000000001</v>
          </cell>
          <cell r="X27849" t="str">
            <v>Expenses</v>
          </cell>
        </row>
        <row r="27850">
          <cell r="L27850" t="str">
            <v>Non-proportional</v>
          </cell>
          <cell r="S27850">
            <v>0.8</v>
          </cell>
          <cell r="X27850" t="str">
            <v>Expenses</v>
          </cell>
        </row>
        <row r="27851">
          <cell r="L27851" t="str">
            <v>Non-proportional</v>
          </cell>
          <cell r="S27851">
            <v>173.95</v>
          </cell>
          <cell r="X27851" t="str">
            <v>Expenses</v>
          </cell>
        </row>
        <row r="27852">
          <cell r="L27852" t="str">
            <v>Non-proportional</v>
          </cell>
          <cell r="S27852">
            <v>50.76</v>
          </cell>
          <cell r="X27852" t="str">
            <v>Expenses</v>
          </cell>
        </row>
        <row r="27853">
          <cell r="L27853" t="str">
            <v>Non-proportional</v>
          </cell>
          <cell r="S27853">
            <v>120.41</v>
          </cell>
          <cell r="X27853" t="str">
            <v>Expenses</v>
          </cell>
        </row>
        <row r="27854">
          <cell r="L27854" t="str">
            <v>Non-proportional</v>
          </cell>
          <cell r="S27854">
            <v>398.47</v>
          </cell>
          <cell r="X27854" t="str">
            <v>Expenses</v>
          </cell>
        </row>
        <row r="27855">
          <cell r="L27855" t="str">
            <v>Non-proportional</v>
          </cell>
          <cell r="S27855">
            <v>-11.53</v>
          </cell>
          <cell r="X27855" t="str">
            <v>Expenses</v>
          </cell>
        </row>
        <row r="27856">
          <cell r="L27856" t="str">
            <v>Non-proportional</v>
          </cell>
          <cell r="S27856">
            <v>121.04</v>
          </cell>
          <cell r="X27856" t="str">
            <v>Expenses</v>
          </cell>
        </row>
        <row r="27857">
          <cell r="L27857" t="str">
            <v>Non-proportional</v>
          </cell>
          <cell r="S27857">
            <v>348.67</v>
          </cell>
          <cell r="X27857" t="str">
            <v>Expenses</v>
          </cell>
        </row>
        <row r="27858">
          <cell r="L27858" t="str">
            <v>Non-proportional</v>
          </cell>
          <cell r="S27858">
            <v>167.25</v>
          </cell>
          <cell r="X27858" t="str">
            <v>Expenses</v>
          </cell>
        </row>
        <row r="27859">
          <cell r="L27859" t="str">
            <v>Non-proportional</v>
          </cell>
          <cell r="S27859">
            <v>467.08</v>
          </cell>
          <cell r="X27859" t="str">
            <v>Expenses</v>
          </cell>
        </row>
        <row r="27860">
          <cell r="L27860" t="str">
            <v>Non-proportional</v>
          </cell>
          <cell r="S27860">
            <v>57.81</v>
          </cell>
          <cell r="X27860" t="str">
            <v>Expenses</v>
          </cell>
        </row>
        <row r="27861">
          <cell r="L27861" t="str">
            <v>Non-proportional</v>
          </cell>
          <cell r="S27861">
            <v>0</v>
          </cell>
          <cell r="X27861" t="str">
            <v>Expenses</v>
          </cell>
        </row>
        <row r="27862">
          <cell r="L27862" t="str">
            <v>Non-proportional</v>
          </cell>
          <cell r="S27862">
            <v>-0.56999999999999995</v>
          </cell>
          <cell r="X27862" t="str">
            <v>Expenses</v>
          </cell>
        </row>
        <row r="27863">
          <cell r="L27863" t="str">
            <v>Non-proportional</v>
          </cell>
          <cell r="S27863">
            <v>138.09</v>
          </cell>
          <cell r="X27863" t="str">
            <v>Expenses</v>
          </cell>
        </row>
        <row r="27864">
          <cell r="L27864" t="str">
            <v>Proportional</v>
          </cell>
          <cell r="S27864">
            <v>54.49</v>
          </cell>
          <cell r="X27864" t="str">
            <v>Expenses</v>
          </cell>
        </row>
        <row r="27865">
          <cell r="L27865" t="str">
            <v>Non-proportional</v>
          </cell>
          <cell r="S27865">
            <v>58.24</v>
          </cell>
          <cell r="X27865" t="str">
            <v>Expenses</v>
          </cell>
        </row>
        <row r="27866">
          <cell r="L27866" t="str">
            <v>Non-proportional</v>
          </cell>
          <cell r="S27866">
            <v>159.44999999999999</v>
          </cell>
          <cell r="X27866" t="str">
            <v>Expenses</v>
          </cell>
        </row>
        <row r="27867">
          <cell r="L27867" t="str">
            <v>Non-proportional</v>
          </cell>
          <cell r="S27867">
            <v>0</v>
          </cell>
          <cell r="X27867" t="str">
            <v>Expenses</v>
          </cell>
        </row>
        <row r="27868">
          <cell r="L27868" t="str">
            <v>Proportional</v>
          </cell>
          <cell r="S27868">
            <v>-746.92</v>
          </cell>
          <cell r="X27868" t="str">
            <v>Expenses</v>
          </cell>
        </row>
        <row r="27869">
          <cell r="L27869" t="str">
            <v>Non-proportional</v>
          </cell>
          <cell r="S27869">
            <v>131.16999999999999</v>
          </cell>
          <cell r="X27869" t="str">
            <v>Expenses</v>
          </cell>
        </row>
        <row r="27870">
          <cell r="L27870" t="str">
            <v>Non-proportional</v>
          </cell>
          <cell r="S27870">
            <v>77.319999999999993</v>
          </cell>
          <cell r="X27870" t="str">
            <v>Expenses</v>
          </cell>
        </row>
        <row r="27871">
          <cell r="L27871" t="str">
            <v>Non-proportional</v>
          </cell>
          <cell r="S27871">
            <v>181.2</v>
          </cell>
          <cell r="X27871" t="str">
            <v>Expenses</v>
          </cell>
        </row>
        <row r="27872">
          <cell r="L27872" t="str">
            <v>Non-proportional</v>
          </cell>
          <cell r="S27872">
            <v>691.28</v>
          </cell>
          <cell r="X27872" t="str">
            <v>Expenses</v>
          </cell>
        </row>
        <row r="27873">
          <cell r="L27873" t="str">
            <v>Non-proportional</v>
          </cell>
          <cell r="S27873">
            <v>80.290000000000006</v>
          </cell>
          <cell r="X27873" t="str">
            <v>Expenses</v>
          </cell>
        </row>
        <row r="27874">
          <cell r="L27874" t="str">
            <v>Non-proportional</v>
          </cell>
          <cell r="S27874">
            <v>7.34</v>
          </cell>
          <cell r="X27874" t="str">
            <v>Expenses</v>
          </cell>
        </row>
        <row r="27875">
          <cell r="L27875" t="str">
            <v>Non-proportional</v>
          </cell>
          <cell r="S27875">
            <v>0</v>
          </cell>
          <cell r="X27875" t="str">
            <v>Expenses</v>
          </cell>
        </row>
        <row r="27876">
          <cell r="L27876" t="str">
            <v>Non-proportional</v>
          </cell>
          <cell r="S27876">
            <v>51.62</v>
          </cell>
          <cell r="X27876" t="str">
            <v>Expenses</v>
          </cell>
        </row>
        <row r="27877">
          <cell r="L27877" t="str">
            <v>Non-proportional</v>
          </cell>
          <cell r="S27877">
            <v>207.88</v>
          </cell>
          <cell r="X27877" t="str">
            <v>Expenses</v>
          </cell>
        </row>
        <row r="27878">
          <cell r="L27878" t="str">
            <v>Non-proportional</v>
          </cell>
          <cell r="S27878">
            <v>46.16</v>
          </cell>
          <cell r="X27878" t="str">
            <v>Expenses</v>
          </cell>
        </row>
        <row r="27879">
          <cell r="L27879" t="str">
            <v>Non-proportional</v>
          </cell>
          <cell r="S27879">
            <v>64.930000000000007</v>
          </cell>
          <cell r="X27879" t="str">
            <v>Expenses</v>
          </cell>
        </row>
        <row r="27880">
          <cell r="L27880" t="str">
            <v>Non-proportional</v>
          </cell>
          <cell r="S27880">
            <v>0</v>
          </cell>
          <cell r="X27880" t="str">
            <v>Expenses</v>
          </cell>
        </row>
        <row r="27881">
          <cell r="L27881" t="str">
            <v>Non-proportional</v>
          </cell>
          <cell r="S27881">
            <v>980.09</v>
          </cell>
          <cell r="X27881" t="str">
            <v>Expenses</v>
          </cell>
        </row>
        <row r="27882">
          <cell r="L27882" t="str">
            <v>Non-proportional</v>
          </cell>
          <cell r="S27882">
            <v>-4.04</v>
          </cell>
          <cell r="X27882" t="str">
            <v>Expenses</v>
          </cell>
        </row>
        <row r="27883">
          <cell r="L27883" t="str">
            <v>Non-proportional</v>
          </cell>
          <cell r="S27883">
            <v>287.92</v>
          </cell>
          <cell r="X27883" t="str">
            <v>Expenses</v>
          </cell>
        </row>
        <row r="27884">
          <cell r="L27884" t="str">
            <v>Non-proportional</v>
          </cell>
          <cell r="S27884">
            <v>22.81</v>
          </cell>
          <cell r="X27884" t="str">
            <v>Expenses</v>
          </cell>
        </row>
        <row r="27885">
          <cell r="L27885" t="str">
            <v>Proportional</v>
          </cell>
          <cell r="S27885">
            <v>8312.8700000000008</v>
          </cell>
          <cell r="X27885" t="str">
            <v>Expenses</v>
          </cell>
        </row>
        <row r="27886">
          <cell r="L27886" t="str">
            <v>Non-proportional</v>
          </cell>
          <cell r="S27886">
            <v>53.61</v>
          </cell>
          <cell r="X27886" t="str">
            <v>Expenses</v>
          </cell>
        </row>
        <row r="27887">
          <cell r="L27887" t="str">
            <v>Non-proportional</v>
          </cell>
          <cell r="S27887">
            <v>134.44</v>
          </cell>
          <cell r="X27887" t="str">
            <v>Expenses</v>
          </cell>
        </row>
        <row r="27888">
          <cell r="L27888" t="str">
            <v>Non-proportional</v>
          </cell>
          <cell r="S27888">
            <v>0</v>
          </cell>
          <cell r="X27888" t="str">
            <v>Expenses</v>
          </cell>
        </row>
        <row r="27889">
          <cell r="L27889" t="str">
            <v>Non-proportional</v>
          </cell>
          <cell r="S27889">
            <v>42.68</v>
          </cell>
          <cell r="X27889" t="str">
            <v>Expenses</v>
          </cell>
        </row>
        <row r="27890">
          <cell r="L27890" t="str">
            <v>Non-proportional</v>
          </cell>
          <cell r="S27890">
            <v>38.57</v>
          </cell>
          <cell r="X27890" t="str">
            <v>Expenses</v>
          </cell>
        </row>
        <row r="27891">
          <cell r="L27891" t="str">
            <v>Non-proportional</v>
          </cell>
          <cell r="S27891">
            <v>615.94000000000005</v>
          </cell>
          <cell r="X27891" t="str">
            <v>Expenses</v>
          </cell>
        </row>
        <row r="27892">
          <cell r="L27892" t="str">
            <v>Non-proportional</v>
          </cell>
          <cell r="S27892">
            <v>202</v>
          </cell>
          <cell r="X27892" t="str">
            <v>Expenses</v>
          </cell>
        </row>
        <row r="27893">
          <cell r="L27893" t="str">
            <v>Non-proportional</v>
          </cell>
          <cell r="S27893">
            <v>9.92</v>
          </cell>
          <cell r="X27893" t="str">
            <v>Expenses</v>
          </cell>
        </row>
        <row r="27894">
          <cell r="L27894" t="str">
            <v>Non-proportional</v>
          </cell>
          <cell r="S27894">
            <v>157.38</v>
          </cell>
          <cell r="X27894" t="str">
            <v>Expenses</v>
          </cell>
        </row>
        <row r="27895">
          <cell r="L27895" t="str">
            <v>Non-proportional</v>
          </cell>
          <cell r="S27895">
            <v>213.56</v>
          </cell>
          <cell r="X27895" t="str">
            <v>Expenses</v>
          </cell>
        </row>
        <row r="27896">
          <cell r="L27896" t="str">
            <v>Non-proportional</v>
          </cell>
          <cell r="S27896">
            <v>-3.06</v>
          </cell>
          <cell r="X27896" t="str">
            <v>Expenses</v>
          </cell>
        </row>
        <row r="27897">
          <cell r="L27897" t="str">
            <v>Non-proportional</v>
          </cell>
          <cell r="S27897">
            <v>-11.53</v>
          </cell>
          <cell r="X27897" t="str">
            <v>Expenses</v>
          </cell>
        </row>
        <row r="27898">
          <cell r="L27898" t="str">
            <v>Non-proportional</v>
          </cell>
          <cell r="S27898">
            <v>-456.58</v>
          </cell>
          <cell r="X27898" t="str">
            <v>Expenses</v>
          </cell>
        </row>
        <row r="27899">
          <cell r="L27899" t="str">
            <v>Non-proportional</v>
          </cell>
          <cell r="S27899">
            <v>44.91</v>
          </cell>
          <cell r="X27899" t="str">
            <v>Expenses</v>
          </cell>
        </row>
        <row r="27900">
          <cell r="L27900" t="str">
            <v>Non-proportional</v>
          </cell>
          <cell r="S27900">
            <v>35.25</v>
          </cell>
          <cell r="X27900" t="str">
            <v>Expenses</v>
          </cell>
        </row>
        <row r="27901">
          <cell r="L27901" t="str">
            <v>Non-proportional</v>
          </cell>
          <cell r="S27901">
            <v>24.76</v>
          </cell>
          <cell r="X27901" t="str">
            <v>Expenses</v>
          </cell>
        </row>
        <row r="27902">
          <cell r="L27902" t="str">
            <v>Proportional</v>
          </cell>
          <cell r="S27902">
            <v>30.98</v>
          </cell>
          <cell r="X27902" t="str">
            <v>Expenses</v>
          </cell>
        </row>
        <row r="27903">
          <cell r="L27903" t="str">
            <v>Non-proportional</v>
          </cell>
          <cell r="S27903">
            <v>16.75</v>
          </cell>
          <cell r="X27903" t="str">
            <v>Expenses</v>
          </cell>
        </row>
        <row r="27904">
          <cell r="L27904" t="str">
            <v>Non-proportional</v>
          </cell>
          <cell r="S27904">
            <v>58.75</v>
          </cell>
          <cell r="X27904" t="str">
            <v>Expenses</v>
          </cell>
        </row>
        <row r="27905">
          <cell r="L27905" t="str">
            <v>Non-proportional</v>
          </cell>
          <cell r="S27905">
            <v>245.95</v>
          </cell>
          <cell r="X27905" t="str">
            <v>Expenses</v>
          </cell>
        </row>
        <row r="27906">
          <cell r="L27906" t="str">
            <v>Non-proportional</v>
          </cell>
          <cell r="S27906">
            <v>0.33</v>
          </cell>
          <cell r="X27906" t="str">
            <v>Expenses</v>
          </cell>
        </row>
        <row r="27907">
          <cell r="L27907" t="str">
            <v>Non-proportional</v>
          </cell>
          <cell r="S27907">
            <v>66.91</v>
          </cell>
          <cell r="X27907" t="str">
            <v>Expenses</v>
          </cell>
        </row>
        <row r="27908">
          <cell r="L27908" t="str">
            <v>Non-proportional</v>
          </cell>
          <cell r="S27908">
            <v>-1.55</v>
          </cell>
          <cell r="X27908" t="str">
            <v>Expenses</v>
          </cell>
        </row>
        <row r="27909">
          <cell r="L27909" t="str">
            <v>Non-proportional</v>
          </cell>
          <cell r="S27909">
            <v>25.93</v>
          </cell>
          <cell r="X27909" t="str">
            <v>Expenses</v>
          </cell>
        </row>
        <row r="27910">
          <cell r="L27910" t="str">
            <v>Non-proportional</v>
          </cell>
          <cell r="S27910">
            <v>102.3</v>
          </cell>
          <cell r="X27910" t="str">
            <v>Expenses</v>
          </cell>
        </row>
        <row r="27911">
          <cell r="L27911" t="str">
            <v>Non-proportional</v>
          </cell>
          <cell r="S27911">
            <v>34.6</v>
          </cell>
          <cell r="X27911" t="str">
            <v>Expenses</v>
          </cell>
        </row>
        <row r="27912">
          <cell r="L27912" t="str">
            <v>Non-proportional</v>
          </cell>
          <cell r="S27912">
            <v>40.01</v>
          </cell>
          <cell r="X27912" t="str">
            <v>Expenses</v>
          </cell>
        </row>
        <row r="27913">
          <cell r="L27913" t="str">
            <v>Non-proportional</v>
          </cell>
          <cell r="S27913">
            <v>73.28</v>
          </cell>
          <cell r="X27913" t="str">
            <v>Expenses</v>
          </cell>
        </row>
        <row r="27914">
          <cell r="L27914" t="str">
            <v>Proportional</v>
          </cell>
          <cell r="S27914">
            <v>12.63</v>
          </cell>
          <cell r="X27914" t="str">
            <v>Expenses</v>
          </cell>
        </row>
        <row r="27915">
          <cell r="L27915" t="str">
            <v>Non-proportional</v>
          </cell>
          <cell r="S27915">
            <v>562.47</v>
          </cell>
          <cell r="X27915" t="str">
            <v>Expenses</v>
          </cell>
        </row>
        <row r="27916">
          <cell r="L27916" t="str">
            <v>Non-proportional</v>
          </cell>
          <cell r="S27916">
            <v>-21.89</v>
          </cell>
          <cell r="X27916" t="str">
            <v>Expenses</v>
          </cell>
        </row>
        <row r="27917">
          <cell r="L27917" t="str">
            <v>Non-proportional</v>
          </cell>
          <cell r="S27917">
            <v>335.28</v>
          </cell>
          <cell r="X27917" t="str">
            <v>Expenses</v>
          </cell>
        </row>
        <row r="27918">
          <cell r="L27918" t="str">
            <v>Non-proportional</v>
          </cell>
          <cell r="S27918">
            <v>240.03</v>
          </cell>
          <cell r="X27918" t="str">
            <v>Expenses</v>
          </cell>
        </row>
        <row r="27919">
          <cell r="L27919" t="str">
            <v>Proportional</v>
          </cell>
          <cell r="S27919">
            <v>5.17</v>
          </cell>
          <cell r="X27919" t="str">
            <v>Expenses</v>
          </cell>
        </row>
        <row r="27920">
          <cell r="L27920" t="str">
            <v>Non-proportional</v>
          </cell>
          <cell r="S27920">
            <v>3.33</v>
          </cell>
          <cell r="X27920" t="str">
            <v>Expenses</v>
          </cell>
        </row>
        <row r="27921">
          <cell r="L27921" t="str">
            <v>Non-proportional</v>
          </cell>
          <cell r="S27921">
            <v>50.75</v>
          </cell>
          <cell r="X27921" t="str">
            <v>Expenses</v>
          </cell>
        </row>
        <row r="27922">
          <cell r="L27922" t="str">
            <v>Non-proportional</v>
          </cell>
          <cell r="S27922">
            <v>95.83</v>
          </cell>
          <cell r="X27922" t="str">
            <v>Expenses</v>
          </cell>
        </row>
        <row r="27923">
          <cell r="L27923" t="str">
            <v>Non-proportional</v>
          </cell>
          <cell r="S27923">
            <v>239.26</v>
          </cell>
          <cell r="X27923" t="str">
            <v>Expenses</v>
          </cell>
        </row>
        <row r="27924">
          <cell r="L27924" t="str">
            <v>Non-proportional</v>
          </cell>
          <cell r="S27924">
            <v>0</v>
          </cell>
          <cell r="X27924" t="str">
            <v>Expenses</v>
          </cell>
        </row>
        <row r="27925">
          <cell r="L27925" t="str">
            <v>Non-proportional</v>
          </cell>
          <cell r="S27925">
            <v>351.36</v>
          </cell>
          <cell r="X27925" t="str">
            <v>Expenses</v>
          </cell>
        </row>
        <row r="27926">
          <cell r="L27926" t="str">
            <v>Non-proportional</v>
          </cell>
          <cell r="S27926">
            <v>94.43</v>
          </cell>
          <cell r="X27926" t="str">
            <v>Expenses</v>
          </cell>
        </row>
        <row r="27927">
          <cell r="L27927" t="str">
            <v>Non-proportional</v>
          </cell>
          <cell r="S27927">
            <v>0.23</v>
          </cell>
          <cell r="X27927" t="str">
            <v>Expenses</v>
          </cell>
        </row>
        <row r="27928">
          <cell r="L27928" t="str">
            <v>Non-proportional</v>
          </cell>
          <cell r="S27928">
            <v>47.07</v>
          </cell>
          <cell r="X27928" t="str">
            <v>Expenses</v>
          </cell>
        </row>
        <row r="27929">
          <cell r="L27929" t="str">
            <v>Non-proportional</v>
          </cell>
          <cell r="S27929">
            <v>-1.1200000000000001</v>
          </cell>
          <cell r="X27929" t="str">
            <v>Expenses</v>
          </cell>
        </row>
        <row r="27930">
          <cell r="L27930" t="str">
            <v>Non-proportional</v>
          </cell>
          <cell r="S27930">
            <v>133.63</v>
          </cell>
          <cell r="X27930" t="str">
            <v>Expenses</v>
          </cell>
        </row>
        <row r="27931">
          <cell r="L27931" t="str">
            <v>Non-proportional</v>
          </cell>
          <cell r="S27931">
            <v>204.58</v>
          </cell>
          <cell r="X27931" t="str">
            <v>Expenses</v>
          </cell>
        </row>
        <row r="27932">
          <cell r="L27932" t="str">
            <v>Non-proportional</v>
          </cell>
          <cell r="S27932">
            <v>-0.11</v>
          </cell>
          <cell r="X27932" t="str">
            <v>Expenses</v>
          </cell>
        </row>
        <row r="27933">
          <cell r="L27933" t="str">
            <v>Non-proportional</v>
          </cell>
          <cell r="S27933">
            <v>147.43</v>
          </cell>
          <cell r="X27933" t="str">
            <v>Expenses</v>
          </cell>
        </row>
        <row r="27934">
          <cell r="L27934" t="str">
            <v>Non-proportional</v>
          </cell>
          <cell r="S27934">
            <v>289.39999999999998</v>
          </cell>
          <cell r="X27934" t="str">
            <v>Expenses</v>
          </cell>
        </row>
        <row r="27935">
          <cell r="L27935" t="str">
            <v>Non-proportional</v>
          </cell>
          <cell r="S27935">
            <v>168.69</v>
          </cell>
          <cell r="X27935" t="str">
            <v>Expenses</v>
          </cell>
        </row>
        <row r="27936">
          <cell r="L27936" t="str">
            <v>Non-proportional</v>
          </cell>
          <cell r="S27936">
            <v>150.08000000000001</v>
          </cell>
          <cell r="X27936" t="str">
            <v>Expenses</v>
          </cell>
        </row>
        <row r="27937">
          <cell r="L27937" t="str">
            <v>Non-proportional</v>
          </cell>
          <cell r="S27937">
            <v>6.86</v>
          </cell>
          <cell r="X27937" t="str">
            <v>Expenses</v>
          </cell>
        </row>
        <row r="27938">
          <cell r="L27938" t="str">
            <v>Non-proportional</v>
          </cell>
          <cell r="S27938">
            <v>55.8</v>
          </cell>
          <cell r="X27938" t="str">
            <v>Expenses</v>
          </cell>
        </row>
        <row r="27939">
          <cell r="L27939" t="str">
            <v>Non-proportional</v>
          </cell>
          <cell r="S27939">
            <v>242.62</v>
          </cell>
          <cell r="X27939" t="str">
            <v>Expenses</v>
          </cell>
        </row>
        <row r="27940">
          <cell r="L27940" t="str">
            <v>Non-proportional</v>
          </cell>
          <cell r="S27940">
            <v>-0.05</v>
          </cell>
          <cell r="X27940" t="str">
            <v>Expenses</v>
          </cell>
        </row>
        <row r="27941">
          <cell r="L27941" t="str">
            <v>Non-proportional</v>
          </cell>
          <cell r="S27941">
            <v>344.19</v>
          </cell>
          <cell r="X27941" t="str">
            <v>Expenses</v>
          </cell>
        </row>
        <row r="27942">
          <cell r="L27942" t="str">
            <v>Non-proportional</v>
          </cell>
          <cell r="S27942">
            <v>86.55</v>
          </cell>
          <cell r="X27942" t="str">
            <v>Expenses</v>
          </cell>
        </row>
        <row r="27943">
          <cell r="L27943" t="str">
            <v>Non-proportional</v>
          </cell>
          <cell r="S27943">
            <v>0</v>
          </cell>
          <cell r="X27943" t="str">
            <v>Expenses</v>
          </cell>
        </row>
        <row r="27944">
          <cell r="L27944" t="str">
            <v>Non-proportional</v>
          </cell>
          <cell r="S27944">
            <v>0</v>
          </cell>
          <cell r="X27944" t="str">
            <v>Expenses</v>
          </cell>
        </row>
        <row r="27945">
          <cell r="L27945" t="str">
            <v>Non-proportional</v>
          </cell>
          <cell r="S27945">
            <v>101.69</v>
          </cell>
          <cell r="X27945" t="str">
            <v>Expenses</v>
          </cell>
        </row>
        <row r="27946">
          <cell r="L27946" t="str">
            <v>Non-proportional</v>
          </cell>
          <cell r="S27946">
            <v>-1.99</v>
          </cell>
          <cell r="X27946" t="str">
            <v>Expenses</v>
          </cell>
        </row>
        <row r="27947">
          <cell r="L27947" t="str">
            <v>Non-proportional</v>
          </cell>
          <cell r="S27947">
            <v>12.84</v>
          </cell>
          <cell r="X27947" t="str">
            <v>Expenses</v>
          </cell>
        </row>
        <row r="27948">
          <cell r="L27948" t="str">
            <v>Non-proportional</v>
          </cell>
          <cell r="S27948">
            <v>47.07</v>
          </cell>
          <cell r="X27948" t="str">
            <v>Expenses</v>
          </cell>
        </row>
        <row r="27949">
          <cell r="L27949" t="str">
            <v>Non-proportional</v>
          </cell>
          <cell r="S27949">
            <v>36.07</v>
          </cell>
          <cell r="X27949" t="str">
            <v>Expenses</v>
          </cell>
        </row>
        <row r="27950">
          <cell r="L27950" t="str">
            <v>Proportional</v>
          </cell>
          <cell r="S27950">
            <v>38.19</v>
          </cell>
          <cell r="X27950" t="str">
            <v>Expenses</v>
          </cell>
        </row>
        <row r="27951">
          <cell r="L27951" t="str">
            <v>Non-proportional</v>
          </cell>
          <cell r="S27951">
            <v>0.21</v>
          </cell>
          <cell r="X27951" t="str">
            <v>Expenses</v>
          </cell>
        </row>
        <row r="27952">
          <cell r="L27952" t="str">
            <v>Non-proportional</v>
          </cell>
          <cell r="S27952">
            <v>172.49</v>
          </cell>
          <cell r="X27952" t="str">
            <v>Expenses</v>
          </cell>
        </row>
        <row r="27953">
          <cell r="L27953" t="str">
            <v>Non-proportional</v>
          </cell>
          <cell r="S27953">
            <v>66.2</v>
          </cell>
          <cell r="X27953" t="str">
            <v>Expenses</v>
          </cell>
        </row>
        <row r="27954">
          <cell r="L27954" t="str">
            <v>Non-proportional</v>
          </cell>
          <cell r="S27954">
            <v>114.63</v>
          </cell>
          <cell r="X27954" t="str">
            <v>Expenses</v>
          </cell>
        </row>
        <row r="27955">
          <cell r="L27955" t="str">
            <v>Non-proportional</v>
          </cell>
          <cell r="S27955">
            <v>0</v>
          </cell>
          <cell r="X27955" t="str">
            <v>Expenses</v>
          </cell>
        </row>
        <row r="27956">
          <cell r="L27956" t="str">
            <v>Non-proportional</v>
          </cell>
          <cell r="S27956">
            <v>20.98</v>
          </cell>
          <cell r="X27956" t="str">
            <v>Expenses</v>
          </cell>
        </row>
        <row r="27957">
          <cell r="L27957" t="str">
            <v>Non-proportional</v>
          </cell>
          <cell r="S27957">
            <v>774.75</v>
          </cell>
          <cell r="X27957" t="str">
            <v>Expenses</v>
          </cell>
        </row>
        <row r="27958">
          <cell r="L27958" t="str">
            <v>Non-proportional</v>
          </cell>
          <cell r="S27958">
            <v>88.25</v>
          </cell>
          <cell r="X27958" t="str">
            <v>Expenses</v>
          </cell>
        </row>
        <row r="27959">
          <cell r="L27959" t="str">
            <v>Non-proportional</v>
          </cell>
          <cell r="S27959">
            <v>49.59</v>
          </cell>
          <cell r="X27959" t="str">
            <v>Expenses</v>
          </cell>
        </row>
        <row r="27960">
          <cell r="L27960" t="str">
            <v>Non-proportional</v>
          </cell>
          <cell r="S27960">
            <v>-10.3</v>
          </cell>
          <cell r="X27960" t="str">
            <v>Expenses</v>
          </cell>
        </row>
        <row r="27961">
          <cell r="L27961" t="str">
            <v>Non-proportional</v>
          </cell>
          <cell r="S27961">
            <v>15.65</v>
          </cell>
          <cell r="X27961" t="str">
            <v>Expenses</v>
          </cell>
        </row>
        <row r="27962">
          <cell r="L27962" t="str">
            <v>Non-proportional</v>
          </cell>
          <cell r="S27962">
            <v>4.04</v>
          </cell>
          <cell r="X27962" t="str">
            <v>Expenses</v>
          </cell>
        </row>
        <row r="27963">
          <cell r="L27963" t="str">
            <v>Non-proportional</v>
          </cell>
          <cell r="S27963">
            <v>150.08000000000001</v>
          </cell>
          <cell r="X27963" t="str">
            <v>Expenses</v>
          </cell>
        </row>
        <row r="27964">
          <cell r="L27964" t="str">
            <v>Non-proportional</v>
          </cell>
          <cell r="S27964">
            <v>199.62</v>
          </cell>
          <cell r="X27964" t="str">
            <v>Expenses</v>
          </cell>
        </row>
        <row r="27965">
          <cell r="L27965" t="str">
            <v>Non-proportional</v>
          </cell>
          <cell r="S27965">
            <v>71.400000000000006</v>
          </cell>
          <cell r="X27965" t="str">
            <v>Expenses</v>
          </cell>
        </row>
        <row r="27966">
          <cell r="L27966" t="str">
            <v>Non-proportional</v>
          </cell>
          <cell r="S27966">
            <v>-0.08</v>
          </cell>
          <cell r="X27966" t="str">
            <v>Expenses</v>
          </cell>
        </row>
        <row r="27967">
          <cell r="L27967" t="str">
            <v>Non-proportional</v>
          </cell>
          <cell r="S27967">
            <v>-4.8899999999999997</v>
          </cell>
          <cell r="X27967" t="str">
            <v>Expenses</v>
          </cell>
        </row>
        <row r="27968">
          <cell r="L27968" t="str">
            <v>Non-proportional</v>
          </cell>
          <cell r="S27968">
            <v>139.88999999999999</v>
          </cell>
          <cell r="X27968" t="str">
            <v>Expenses</v>
          </cell>
        </row>
        <row r="27969">
          <cell r="L27969" t="str">
            <v>Non-proportional</v>
          </cell>
          <cell r="S27969">
            <v>54.67</v>
          </cell>
          <cell r="X27969" t="str">
            <v>Expenses</v>
          </cell>
        </row>
        <row r="27970">
          <cell r="L27970" t="str">
            <v>Non-proportional</v>
          </cell>
          <cell r="S27970">
            <v>9.31</v>
          </cell>
          <cell r="X27970" t="str">
            <v>Expenses</v>
          </cell>
        </row>
        <row r="27971">
          <cell r="L27971" t="str">
            <v>Non-proportional</v>
          </cell>
          <cell r="S27971">
            <v>0</v>
          </cell>
          <cell r="X27971" t="str">
            <v>Expenses</v>
          </cell>
        </row>
        <row r="27972">
          <cell r="L27972" t="str">
            <v>Non-proportional</v>
          </cell>
          <cell r="S27972">
            <v>217.79</v>
          </cell>
          <cell r="X27972" t="str">
            <v>Expenses</v>
          </cell>
        </row>
        <row r="27973">
          <cell r="L27973" t="str">
            <v>Non-proportional</v>
          </cell>
          <cell r="S27973">
            <v>383.59</v>
          </cell>
          <cell r="X27973" t="str">
            <v>Expenses</v>
          </cell>
        </row>
        <row r="27974">
          <cell r="L27974" t="str">
            <v>Non-proportional</v>
          </cell>
          <cell r="S27974">
            <v>276.39</v>
          </cell>
          <cell r="X27974" t="str">
            <v>Expenses</v>
          </cell>
        </row>
        <row r="27975">
          <cell r="L27975" t="str">
            <v>Non-proportional</v>
          </cell>
          <cell r="S27975">
            <v>99.45</v>
          </cell>
          <cell r="X27975" t="str">
            <v>Expenses</v>
          </cell>
        </row>
        <row r="27976">
          <cell r="L27976" t="str">
            <v>Non-proportional</v>
          </cell>
          <cell r="S27976">
            <v>162.49</v>
          </cell>
          <cell r="X27976" t="str">
            <v>Expenses</v>
          </cell>
        </row>
        <row r="27977">
          <cell r="L27977" t="str">
            <v>Non-proportional</v>
          </cell>
          <cell r="S27977">
            <v>-25.11</v>
          </cell>
          <cell r="X27977" t="str">
            <v>Expenses</v>
          </cell>
        </row>
        <row r="27978">
          <cell r="L27978" t="str">
            <v>Non-proportional</v>
          </cell>
          <cell r="S27978">
            <v>110.78</v>
          </cell>
          <cell r="X27978" t="str">
            <v>Expenses</v>
          </cell>
        </row>
        <row r="27979">
          <cell r="L27979" t="str">
            <v>Non-proportional</v>
          </cell>
          <cell r="S27979">
            <v>0</v>
          </cell>
          <cell r="X27979" t="str">
            <v>Expenses</v>
          </cell>
        </row>
        <row r="27980">
          <cell r="L27980" t="str">
            <v>Non-proportional</v>
          </cell>
          <cell r="S27980">
            <v>37.799999999999997</v>
          </cell>
          <cell r="X27980" t="str">
            <v>Expenses</v>
          </cell>
        </row>
        <row r="27981">
          <cell r="L27981" t="str">
            <v>Non-proportional</v>
          </cell>
          <cell r="S27981">
            <v>-13.52</v>
          </cell>
          <cell r="X27981" t="str">
            <v>Expenses</v>
          </cell>
        </row>
        <row r="27982">
          <cell r="L27982" t="str">
            <v>Non-proportional</v>
          </cell>
          <cell r="S27982">
            <v>97.73</v>
          </cell>
          <cell r="X27982" t="str">
            <v>Expenses</v>
          </cell>
        </row>
        <row r="27983">
          <cell r="L27983" t="str">
            <v>Non-proportional</v>
          </cell>
          <cell r="S27983">
            <v>316.62</v>
          </cell>
          <cell r="X27983" t="str">
            <v>Expenses</v>
          </cell>
        </row>
        <row r="27984">
          <cell r="L27984" t="str">
            <v>Non-proportional</v>
          </cell>
          <cell r="S27984">
            <v>126.58</v>
          </cell>
          <cell r="X27984" t="str">
            <v>Expenses</v>
          </cell>
        </row>
        <row r="27985">
          <cell r="L27985" t="str">
            <v>Non-proportional</v>
          </cell>
          <cell r="S27985">
            <v>-458.97</v>
          </cell>
          <cell r="X27985" t="str">
            <v>Expenses</v>
          </cell>
        </row>
        <row r="27986">
          <cell r="L27986" t="str">
            <v>Non-proportional</v>
          </cell>
          <cell r="S27986">
            <v>84.11</v>
          </cell>
          <cell r="X27986" t="str">
            <v>Expenses</v>
          </cell>
        </row>
        <row r="27987">
          <cell r="L27987" t="str">
            <v>Non-proportional</v>
          </cell>
          <cell r="S27987">
            <v>-22</v>
          </cell>
          <cell r="X27987" t="str">
            <v>Expenses</v>
          </cell>
        </row>
        <row r="27988">
          <cell r="L27988" t="str">
            <v>Non-proportional</v>
          </cell>
          <cell r="S27988">
            <v>78.42</v>
          </cell>
          <cell r="X27988" t="str">
            <v>Expenses</v>
          </cell>
        </row>
        <row r="27989">
          <cell r="L27989" t="str">
            <v>Non-proportional</v>
          </cell>
          <cell r="S27989">
            <v>170.58</v>
          </cell>
          <cell r="X27989" t="str">
            <v>Expenses</v>
          </cell>
        </row>
        <row r="27990">
          <cell r="L27990" t="str">
            <v>Non-proportional</v>
          </cell>
          <cell r="S27990">
            <v>13.16</v>
          </cell>
          <cell r="X27990" t="str">
            <v>Expenses</v>
          </cell>
        </row>
        <row r="27991">
          <cell r="L27991" t="str">
            <v>Non-proportional</v>
          </cell>
          <cell r="S27991">
            <v>42.82</v>
          </cell>
          <cell r="X27991" t="str">
            <v>Expenses</v>
          </cell>
        </row>
        <row r="27992">
          <cell r="L27992" t="str">
            <v>Non-proportional</v>
          </cell>
          <cell r="S27992">
            <v>83.93</v>
          </cell>
          <cell r="X27992" t="str">
            <v>Expenses</v>
          </cell>
        </row>
        <row r="27993">
          <cell r="L27993" t="str">
            <v>Non-proportional</v>
          </cell>
          <cell r="S27993">
            <v>245.45</v>
          </cell>
          <cell r="X27993" t="str">
            <v>Expenses</v>
          </cell>
        </row>
        <row r="27994">
          <cell r="L27994" t="str">
            <v>Non-proportional</v>
          </cell>
          <cell r="S27994">
            <v>50.44</v>
          </cell>
          <cell r="X27994" t="str">
            <v>Expenses</v>
          </cell>
        </row>
        <row r="27995">
          <cell r="L27995" t="str">
            <v>Non-proportional</v>
          </cell>
          <cell r="S27995">
            <v>104.21</v>
          </cell>
          <cell r="X27995" t="str">
            <v>Expenses</v>
          </cell>
        </row>
        <row r="27996">
          <cell r="L27996" t="str">
            <v>Non-proportional</v>
          </cell>
          <cell r="S27996">
            <v>337.08</v>
          </cell>
          <cell r="X27996" t="str">
            <v>Expenses</v>
          </cell>
        </row>
        <row r="27997">
          <cell r="L27997" t="str">
            <v>Non-proportional</v>
          </cell>
          <cell r="S27997">
            <v>0.77</v>
          </cell>
          <cell r="X27997" t="str">
            <v>Expenses</v>
          </cell>
        </row>
        <row r="27998">
          <cell r="L27998" t="str">
            <v>Non-proportional</v>
          </cell>
          <cell r="S27998">
            <v>142.51</v>
          </cell>
          <cell r="X27998" t="str">
            <v>Expenses</v>
          </cell>
        </row>
        <row r="27999">
          <cell r="L27999" t="str">
            <v>Non-proportional</v>
          </cell>
          <cell r="S27999">
            <v>3.44</v>
          </cell>
          <cell r="X27999" t="str">
            <v>Expenses</v>
          </cell>
        </row>
        <row r="28000">
          <cell r="L28000" t="str">
            <v>Non-proportional</v>
          </cell>
          <cell r="S28000">
            <v>156.27000000000001</v>
          </cell>
          <cell r="X28000" t="str">
            <v>Expenses</v>
          </cell>
        </row>
        <row r="28001">
          <cell r="L28001" t="str">
            <v>Non-proportional</v>
          </cell>
          <cell r="S28001">
            <v>-3.95</v>
          </cell>
          <cell r="X28001" t="str">
            <v>Expenses</v>
          </cell>
        </row>
        <row r="28002">
          <cell r="L28002" t="str">
            <v>Non-proportional</v>
          </cell>
          <cell r="S28002">
            <v>72.989999999999995</v>
          </cell>
          <cell r="X28002" t="str">
            <v>Expenses</v>
          </cell>
        </row>
        <row r="28003">
          <cell r="L28003" t="str">
            <v>Non-proportional</v>
          </cell>
          <cell r="S28003">
            <v>-160.57</v>
          </cell>
          <cell r="X28003" t="str">
            <v>Expenses</v>
          </cell>
        </row>
        <row r="28004">
          <cell r="L28004" t="str">
            <v>Non-proportional</v>
          </cell>
          <cell r="S28004">
            <v>662.33</v>
          </cell>
          <cell r="X28004" t="str">
            <v>Expenses</v>
          </cell>
        </row>
        <row r="28005">
          <cell r="L28005" t="str">
            <v>Non-proportional</v>
          </cell>
          <cell r="S28005">
            <v>43.07</v>
          </cell>
          <cell r="X28005" t="str">
            <v>Expenses</v>
          </cell>
        </row>
        <row r="28006">
          <cell r="L28006" t="str">
            <v>Non-proportional</v>
          </cell>
          <cell r="S28006">
            <v>34.75</v>
          </cell>
          <cell r="X28006" t="str">
            <v>Expenses</v>
          </cell>
        </row>
        <row r="28007">
          <cell r="L28007" t="str">
            <v>Non-proportional</v>
          </cell>
          <cell r="S28007">
            <v>-3.07</v>
          </cell>
          <cell r="X28007" t="str">
            <v>Expenses</v>
          </cell>
        </row>
        <row r="28008">
          <cell r="L28008" t="str">
            <v>Non-proportional</v>
          </cell>
          <cell r="S28008">
            <v>42.85</v>
          </cell>
          <cell r="X28008" t="str">
            <v>Expenses</v>
          </cell>
        </row>
        <row r="28009">
          <cell r="L28009" t="str">
            <v>Non-proportional</v>
          </cell>
          <cell r="S28009">
            <v>-0.73</v>
          </cell>
          <cell r="X28009" t="str">
            <v>Expenses</v>
          </cell>
        </row>
        <row r="28010">
          <cell r="L28010" t="str">
            <v>Non-proportional</v>
          </cell>
          <cell r="S28010">
            <v>59.85</v>
          </cell>
          <cell r="X28010" t="str">
            <v>Expenses</v>
          </cell>
        </row>
        <row r="28011">
          <cell r="L28011" t="str">
            <v>Non-proportional</v>
          </cell>
          <cell r="S28011">
            <v>41.94</v>
          </cell>
          <cell r="X28011" t="str">
            <v>Expenses</v>
          </cell>
        </row>
        <row r="28012">
          <cell r="L28012" t="str">
            <v>Non-proportional</v>
          </cell>
          <cell r="S28012">
            <v>56.44</v>
          </cell>
          <cell r="X28012" t="str">
            <v>Expenses</v>
          </cell>
        </row>
        <row r="28013">
          <cell r="L28013" t="str">
            <v>Non-proportional</v>
          </cell>
          <cell r="S28013">
            <v>46.55</v>
          </cell>
          <cell r="X28013" t="str">
            <v>Expenses</v>
          </cell>
        </row>
        <row r="28014">
          <cell r="L28014" t="str">
            <v>Non-proportional</v>
          </cell>
          <cell r="S28014">
            <v>35.909999999999997</v>
          </cell>
          <cell r="X28014" t="str">
            <v>Expenses</v>
          </cell>
        </row>
        <row r="28015">
          <cell r="L28015" t="str">
            <v>Non-proportional</v>
          </cell>
          <cell r="S28015">
            <v>146.72999999999999</v>
          </cell>
          <cell r="X28015" t="str">
            <v>Expenses</v>
          </cell>
        </row>
        <row r="28016">
          <cell r="L28016" t="str">
            <v>Non-proportional</v>
          </cell>
          <cell r="S28016">
            <v>0.83</v>
          </cell>
          <cell r="X28016" t="str">
            <v>Expenses</v>
          </cell>
        </row>
        <row r="28017">
          <cell r="L28017" t="str">
            <v>Non-proportional</v>
          </cell>
          <cell r="S28017">
            <v>479.87</v>
          </cell>
          <cell r="X28017" t="str">
            <v>Expenses</v>
          </cell>
        </row>
        <row r="28018">
          <cell r="L28018" t="str">
            <v>Non-proportional</v>
          </cell>
          <cell r="S28018">
            <v>466.11</v>
          </cell>
          <cell r="X28018" t="str">
            <v>Expenses</v>
          </cell>
        </row>
        <row r="28019">
          <cell r="L28019" t="str">
            <v>Non-proportional</v>
          </cell>
          <cell r="S28019">
            <v>-13.61</v>
          </cell>
          <cell r="X28019" t="str">
            <v>Expenses</v>
          </cell>
        </row>
        <row r="28020">
          <cell r="L28020" t="str">
            <v>Non-proportional</v>
          </cell>
          <cell r="S28020">
            <v>167.76</v>
          </cell>
          <cell r="X28020" t="str">
            <v>Expenses</v>
          </cell>
        </row>
        <row r="28021">
          <cell r="L28021" t="str">
            <v>Non-proportional</v>
          </cell>
          <cell r="S28021">
            <v>315.13</v>
          </cell>
          <cell r="X28021" t="str">
            <v>Expenses</v>
          </cell>
        </row>
        <row r="28022">
          <cell r="L28022" t="str">
            <v>Non-proportional</v>
          </cell>
          <cell r="S28022">
            <v>51.99</v>
          </cell>
          <cell r="X28022" t="str">
            <v>Expenses</v>
          </cell>
        </row>
        <row r="28023">
          <cell r="L28023" t="str">
            <v>Non-proportional</v>
          </cell>
          <cell r="S28023">
            <v>779.59</v>
          </cell>
          <cell r="X28023" t="str">
            <v>Expenses</v>
          </cell>
        </row>
        <row r="28024">
          <cell r="L28024" t="str">
            <v>Non-proportional</v>
          </cell>
          <cell r="S28024">
            <v>275.08999999999997</v>
          </cell>
          <cell r="X28024" t="str">
            <v>Expenses</v>
          </cell>
        </row>
        <row r="28025">
          <cell r="L28025" t="str">
            <v>Non-proportional</v>
          </cell>
          <cell r="S28025">
            <v>88.58</v>
          </cell>
          <cell r="X28025" t="str">
            <v>Expenses</v>
          </cell>
        </row>
        <row r="28026">
          <cell r="L28026" t="str">
            <v>Non-proportional</v>
          </cell>
          <cell r="S28026">
            <v>-0.56000000000000005</v>
          </cell>
          <cell r="X28026" t="str">
            <v>Expenses</v>
          </cell>
        </row>
        <row r="28027">
          <cell r="L28027" t="str">
            <v>Non-proportional</v>
          </cell>
          <cell r="S28027">
            <v>79.290000000000006</v>
          </cell>
          <cell r="X28027" t="str">
            <v>Expenses</v>
          </cell>
        </row>
        <row r="28028">
          <cell r="L28028" t="str">
            <v>Non-proportional</v>
          </cell>
          <cell r="S28028">
            <v>141.86000000000001</v>
          </cell>
          <cell r="X28028" t="str">
            <v>Expenses</v>
          </cell>
        </row>
        <row r="28029">
          <cell r="L28029" t="str">
            <v>Non-proportional</v>
          </cell>
          <cell r="S28029">
            <v>216.94</v>
          </cell>
          <cell r="X28029" t="str">
            <v>Expenses</v>
          </cell>
        </row>
        <row r="28030">
          <cell r="L28030" t="str">
            <v>Non-proportional</v>
          </cell>
          <cell r="S28030">
            <v>-0.27</v>
          </cell>
          <cell r="X28030" t="str">
            <v>Expenses</v>
          </cell>
        </row>
        <row r="28031">
          <cell r="L28031" t="str">
            <v>Non-proportional</v>
          </cell>
          <cell r="S28031">
            <v>131.41999999999999</v>
          </cell>
          <cell r="X28031" t="str">
            <v>Expenses</v>
          </cell>
        </row>
        <row r="28032">
          <cell r="L28032" t="str">
            <v>Non-proportional</v>
          </cell>
          <cell r="S28032">
            <v>56.2</v>
          </cell>
          <cell r="X28032" t="str">
            <v>Expenses</v>
          </cell>
        </row>
        <row r="28033">
          <cell r="L28033" t="str">
            <v>Non-proportional</v>
          </cell>
          <cell r="S28033">
            <v>0.21</v>
          </cell>
          <cell r="X28033" t="str">
            <v>Expenses</v>
          </cell>
        </row>
        <row r="28034">
          <cell r="L28034" t="str">
            <v>Non-proportional</v>
          </cell>
          <cell r="S28034">
            <v>-0.08</v>
          </cell>
          <cell r="X28034" t="str">
            <v>Expenses</v>
          </cell>
        </row>
        <row r="28035">
          <cell r="L28035" t="str">
            <v>Non-proportional</v>
          </cell>
          <cell r="S28035">
            <v>97.66</v>
          </cell>
          <cell r="X28035" t="str">
            <v>Expenses</v>
          </cell>
        </row>
        <row r="28036">
          <cell r="L28036" t="str">
            <v>Non-proportional</v>
          </cell>
          <cell r="S28036">
            <v>102.06</v>
          </cell>
          <cell r="X28036" t="str">
            <v>Expenses</v>
          </cell>
        </row>
        <row r="28037">
          <cell r="L28037" t="str">
            <v>Non-proportional</v>
          </cell>
          <cell r="S28037">
            <v>247.16</v>
          </cell>
          <cell r="X28037" t="str">
            <v>Expenses</v>
          </cell>
        </row>
        <row r="28038">
          <cell r="L28038" t="str">
            <v>Non-proportional</v>
          </cell>
          <cell r="S28038">
            <v>59.03</v>
          </cell>
          <cell r="X28038" t="str">
            <v>Expenses</v>
          </cell>
        </row>
        <row r="28039">
          <cell r="L28039" t="str">
            <v>Non-proportional</v>
          </cell>
          <cell r="S28039">
            <v>213.06</v>
          </cell>
          <cell r="X28039" t="str">
            <v>Expenses</v>
          </cell>
        </row>
        <row r="28040">
          <cell r="L28040" t="str">
            <v>Non-proportional</v>
          </cell>
          <cell r="S28040">
            <v>37.619999999999997</v>
          </cell>
          <cell r="X28040" t="str">
            <v>Expenses</v>
          </cell>
        </row>
        <row r="28041">
          <cell r="L28041" t="str">
            <v>Non-proportional</v>
          </cell>
          <cell r="S28041">
            <v>76.959999999999994</v>
          </cell>
          <cell r="X28041" t="str">
            <v>Expenses</v>
          </cell>
        </row>
        <row r="28042">
          <cell r="L28042" t="str">
            <v>Non-proportional</v>
          </cell>
          <cell r="S28042">
            <v>-1.31</v>
          </cell>
          <cell r="X28042" t="str">
            <v>Expenses</v>
          </cell>
        </row>
        <row r="28043">
          <cell r="L28043" t="str">
            <v>Non-proportional</v>
          </cell>
          <cell r="S28043">
            <v>201.05</v>
          </cell>
          <cell r="X28043" t="str">
            <v>Expenses</v>
          </cell>
        </row>
        <row r="28044">
          <cell r="L28044" t="str">
            <v>Non-proportional</v>
          </cell>
          <cell r="S28044">
            <v>146.97999999999999</v>
          </cell>
          <cell r="X28044" t="str">
            <v>Expenses</v>
          </cell>
        </row>
        <row r="28045">
          <cell r="L28045" t="str">
            <v>Non-proportional</v>
          </cell>
          <cell r="S28045">
            <v>-3.59</v>
          </cell>
          <cell r="X28045" t="str">
            <v>Expenses</v>
          </cell>
        </row>
        <row r="28046">
          <cell r="L28046" t="str">
            <v>Non-proportional</v>
          </cell>
          <cell r="S28046">
            <v>84.46</v>
          </cell>
          <cell r="X28046" t="str">
            <v>Expenses</v>
          </cell>
        </row>
        <row r="28047">
          <cell r="L28047" t="str">
            <v>Non-proportional</v>
          </cell>
          <cell r="S28047">
            <v>613.04999999999995</v>
          </cell>
          <cell r="X28047" t="str">
            <v>Expenses</v>
          </cell>
        </row>
        <row r="28048">
          <cell r="L28048" t="str">
            <v>Non-proportional</v>
          </cell>
          <cell r="S28048">
            <v>0</v>
          </cell>
          <cell r="X28048" t="str">
            <v>Expenses</v>
          </cell>
        </row>
        <row r="28049">
          <cell r="L28049" t="str">
            <v>Proportional</v>
          </cell>
          <cell r="S28049">
            <v>63.24</v>
          </cell>
          <cell r="X28049" t="str">
            <v>Expenses</v>
          </cell>
        </row>
        <row r="28050">
          <cell r="L28050" t="str">
            <v>Non-proportional</v>
          </cell>
          <cell r="S28050">
            <v>1.8</v>
          </cell>
          <cell r="X28050" t="str">
            <v>Expenses</v>
          </cell>
        </row>
        <row r="28051">
          <cell r="L28051" t="str">
            <v>Non-proportional</v>
          </cell>
          <cell r="S28051">
            <v>87.09</v>
          </cell>
          <cell r="X28051" t="str">
            <v>Expenses</v>
          </cell>
        </row>
        <row r="28052">
          <cell r="L28052" t="str">
            <v>Non-proportional</v>
          </cell>
          <cell r="S28052">
            <v>59.54</v>
          </cell>
          <cell r="X28052" t="str">
            <v>Expenses</v>
          </cell>
        </row>
        <row r="28053">
          <cell r="L28053" t="str">
            <v>Non-proportional</v>
          </cell>
          <cell r="S28053">
            <v>9.73</v>
          </cell>
          <cell r="X28053" t="str">
            <v>Expenses</v>
          </cell>
        </row>
        <row r="28054">
          <cell r="L28054" t="str">
            <v>Non-proportional</v>
          </cell>
          <cell r="S28054">
            <v>-5.88</v>
          </cell>
          <cell r="X28054" t="str">
            <v>Expenses</v>
          </cell>
        </row>
        <row r="28055">
          <cell r="L28055" t="str">
            <v>Non-proportional</v>
          </cell>
          <cell r="S28055">
            <v>46.45</v>
          </cell>
          <cell r="X28055" t="str">
            <v>Expenses</v>
          </cell>
        </row>
        <row r="28056">
          <cell r="L28056" t="str">
            <v>Non-proportional</v>
          </cell>
          <cell r="S28056">
            <v>177.46</v>
          </cell>
          <cell r="X28056" t="str">
            <v>Expenses</v>
          </cell>
        </row>
        <row r="28057">
          <cell r="L28057" t="str">
            <v>Proportional</v>
          </cell>
          <cell r="S28057">
            <v>14.24</v>
          </cell>
          <cell r="X28057" t="str">
            <v>Expenses</v>
          </cell>
        </row>
        <row r="28058">
          <cell r="L28058" t="str">
            <v>Non-proportional</v>
          </cell>
          <cell r="S28058">
            <v>158.69999999999999</v>
          </cell>
          <cell r="X28058" t="str">
            <v>Expenses</v>
          </cell>
        </row>
        <row r="28059">
          <cell r="L28059" t="str">
            <v>Non-proportional</v>
          </cell>
          <cell r="S28059">
            <v>79.91</v>
          </cell>
          <cell r="X28059" t="str">
            <v>Expenses</v>
          </cell>
        </row>
        <row r="28060">
          <cell r="L28060" t="str">
            <v>Non-proportional</v>
          </cell>
          <cell r="S28060">
            <v>0</v>
          </cell>
          <cell r="X28060" t="str">
            <v>Expenses</v>
          </cell>
        </row>
        <row r="28061">
          <cell r="L28061" t="str">
            <v>Proportional</v>
          </cell>
          <cell r="S28061">
            <v>5.83</v>
          </cell>
          <cell r="X28061" t="str">
            <v>Expenses</v>
          </cell>
        </row>
        <row r="28062">
          <cell r="L28062" t="str">
            <v>Non-proportional</v>
          </cell>
          <cell r="S28062">
            <v>58.65</v>
          </cell>
          <cell r="X28062" t="str">
            <v>Expenses</v>
          </cell>
        </row>
        <row r="28063">
          <cell r="L28063" t="str">
            <v>Proportional</v>
          </cell>
          <cell r="S28063">
            <v>648.24</v>
          </cell>
          <cell r="X28063" t="str">
            <v>Expenses</v>
          </cell>
        </row>
        <row r="28064">
          <cell r="L28064" t="str">
            <v>Non-proportional</v>
          </cell>
          <cell r="S28064">
            <v>-0.38</v>
          </cell>
          <cell r="X28064" t="str">
            <v>Expenses</v>
          </cell>
        </row>
        <row r="28065">
          <cell r="L28065" t="str">
            <v>Non-proportional</v>
          </cell>
          <cell r="S28065">
            <v>96.19</v>
          </cell>
          <cell r="X28065" t="str">
            <v>Expenses</v>
          </cell>
        </row>
        <row r="28066">
          <cell r="L28066" t="str">
            <v>Proportional</v>
          </cell>
          <cell r="S28066">
            <v>-864.49</v>
          </cell>
          <cell r="X28066" t="str">
            <v>Expenses</v>
          </cell>
        </row>
        <row r="28067">
          <cell r="L28067" t="str">
            <v>Non-proportional</v>
          </cell>
          <cell r="S28067">
            <v>84.48</v>
          </cell>
          <cell r="X28067" t="str">
            <v>Expenses</v>
          </cell>
        </row>
        <row r="28068">
          <cell r="L28068" t="str">
            <v>Non-proportional</v>
          </cell>
          <cell r="S28068">
            <v>238.13</v>
          </cell>
          <cell r="X28068" t="str">
            <v>Expenses</v>
          </cell>
        </row>
        <row r="28069">
          <cell r="L28069" t="str">
            <v>Non-proportional</v>
          </cell>
          <cell r="S28069">
            <v>212.55</v>
          </cell>
          <cell r="X28069" t="str">
            <v>Expenses</v>
          </cell>
        </row>
        <row r="28070">
          <cell r="L28070" t="str">
            <v>Proportional</v>
          </cell>
          <cell r="S28070">
            <v>51.29</v>
          </cell>
          <cell r="X28070" t="str">
            <v>Expenses</v>
          </cell>
        </row>
        <row r="28071">
          <cell r="L28071" t="str">
            <v>Non-proportional</v>
          </cell>
          <cell r="S28071">
            <v>0</v>
          </cell>
          <cell r="X28071" t="str">
            <v>Expenses</v>
          </cell>
        </row>
        <row r="28072">
          <cell r="L28072" t="str">
            <v>Non-proportional</v>
          </cell>
          <cell r="S28072">
            <v>39.49</v>
          </cell>
          <cell r="X28072" t="str">
            <v>Expenses</v>
          </cell>
        </row>
        <row r="28073">
          <cell r="L28073" t="str">
            <v>Non-proportional</v>
          </cell>
          <cell r="S28073">
            <v>68.34</v>
          </cell>
          <cell r="X28073" t="str">
            <v>Expenses</v>
          </cell>
        </row>
        <row r="28074">
          <cell r="L28074" t="str">
            <v>Non-proportional</v>
          </cell>
          <cell r="S28074">
            <v>48.57</v>
          </cell>
          <cell r="X28074" t="str">
            <v>Expenses</v>
          </cell>
        </row>
        <row r="28075">
          <cell r="L28075" t="str">
            <v>Non-proportional</v>
          </cell>
          <cell r="S28075">
            <v>251.9</v>
          </cell>
          <cell r="X28075" t="str">
            <v>Expenses</v>
          </cell>
        </row>
        <row r="28076">
          <cell r="L28076" t="str">
            <v>Non-proportional</v>
          </cell>
          <cell r="S28076">
            <v>52.27</v>
          </cell>
          <cell r="X28076" t="str">
            <v>Expenses</v>
          </cell>
        </row>
        <row r="28077">
          <cell r="L28077" t="str">
            <v>Non-proportional</v>
          </cell>
          <cell r="S28077">
            <v>48.26</v>
          </cell>
          <cell r="X28077" t="str">
            <v>Expenses</v>
          </cell>
        </row>
        <row r="28078">
          <cell r="L28078" t="str">
            <v>Non-proportional</v>
          </cell>
          <cell r="S28078">
            <v>49.4</v>
          </cell>
          <cell r="X28078" t="str">
            <v>Expenses</v>
          </cell>
        </row>
        <row r="28079">
          <cell r="L28079" t="str">
            <v>Non-proportional</v>
          </cell>
          <cell r="S28079">
            <v>42.98</v>
          </cell>
          <cell r="X28079" t="str">
            <v>Expenses</v>
          </cell>
        </row>
        <row r="28080">
          <cell r="L28080" t="str">
            <v>Non-proportional</v>
          </cell>
          <cell r="S28080">
            <v>46.84</v>
          </cell>
          <cell r="X28080" t="str">
            <v>Expenses</v>
          </cell>
        </row>
        <row r="28081">
          <cell r="L28081" t="str">
            <v>Non-proportional</v>
          </cell>
          <cell r="S28081">
            <v>559.82000000000005</v>
          </cell>
          <cell r="X28081" t="str">
            <v>Expenses</v>
          </cell>
        </row>
        <row r="28082">
          <cell r="L28082" t="str">
            <v>Non-proportional</v>
          </cell>
          <cell r="S28082">
            <v>426.52</v>
          </cell>
          <cell r="X28082" t="str">
            <v>Expenses</v>
          </cell>
        </row>
        <row r="28083">
          <cell r="L28083" t="str">
            <v>Non-proportional</v>
          </cell>
          <cell r="S28083">
            <v>114.1</v>
          </cell>
          <cell r="X28083" t="str">
            <v>Expenses</v>
          </cell>
        </row>
        <row r="28084">
          <cell r="L28084" t="str">
            <v>Non-proportional</v>
          </cell>
          <cell r="S28084">
            <v>-4.92</v>
          </cell>
          <cell r="X28084" t="str">
            <v>Expenses</v>
          </cell>
        </row>
        <row r="28085">
          <cell r="L28085" t="str">
            <v>Non-proportional</v>
          </cell>
          <cell r="S28085">
            <v>294.81</v>
          </cell>
          <cell r="X28085" t="str">
            <v>Expenses</v>
          </cell>
        </row>
        <row r="28086">
          <cell r="L28086" t="str">
            <v>Non-proportional</v>
          </cell>
          <cell r="S28086">
            <v>13.58</v>
          </cell>
          <cell r="X28086" t="str">
            <v>Expenses</v>
          </cell>
        </row>
        <row r="28087">
          <cell r="L28087" t="str">
            <v>Non-proportional</v>
          </cell>
          <cell r="S28087">
            <v>337.84</v>
          </cell>
          <cell r="X28087" t="str">
            <v>Expenses</v>
          </cell>
        </row>
        <row r="28088">
          <cell r="L28088" t="str">
            <v>Non-proportional</v>
          </cell>
          <cell r="S28088">
            <v>0</v>
          </cell>
          <cell r="X28088" t="str">
            <v>Expenses</v>
          </cell>
        </row>
        <row r="28089">
          <cell r="L28089" t="str">
            <v>Non-proportional</v>
          </cell>
          <cell r="S28089">
            <v>221.71</v>
          </cell>
          <cell r="X28089" t="str">
            <v>Expenses</v>
          </cell>
        </row>
        <row r="28090">
          <cell r="L28090" t="str">
            <v>Non-proportional</v>
          </cell>
          <cell r="S28090">
            <v>64.989999999999995</v>
          </cell>
          <cell r="X28090" t="str">
            <v>Expenses</v>
          </cell>
        </row>
        <row r="28091">
          <cell r="L28091" t="str">
            <v>Non-proportional</v>
          </cell>
          <cell r="S28091">
            <v>238.91</v>
          </cell>
          <cell r="X28091" t="str">
            <v>Expenses</v>
          </cell>
        </row>
        <row r="28092">
          <cell r="L28092" t="str">
            <v>Non-proportional</v>
          </cell>
          <cell r="S28092">
            <v>-10.09</v>
          </cell>
          <cell r="X28092" t="str">
            <v>Expenses</v>
          </cell>
        </row>
        <row r="28093">
          <cell r="L28093" t="str">
            <v>Non-proportional</v>
          </cell>
          <cell r="S28093">
            <v>133</v>
          </cell>
          <cell r="X28093" t="str">
            <v>Expenses</v>
          </cell>
        </row>
        <row r="28094">
          <cell r="L28094" t="str">
            <v>Non-proportional</v>
          </cell>
          <cell r="S28094">
            <v>281.98</v>
          </cell>
          <cell r="X28094" t="str">
            <v>Expenses</v>
          </cell>
        </row>
        <row r="28095">
          <cell r="L28095" t="str">
            <v>Non-proportional</v>
          </cell>
          <cell r="S28095">
            <v>25.5</v>
          </cell>
          <cell r="X28095" t="str">
            <v>Expenses</v>
          </cell>
        </row>
        <row r="28096">
          <cell r="L28096" t="str">
            <v>Non-proportional</v>
          </cell>
          <cell r="S28096">
            <v>42.62</v>
          </cell>
          <cell r="X28096" t="str">
            <v>Expenses</v>
          </cell>
        </row>
        <row r="28097">
          <cell r="L28097" t="str">
            <v>Non-proportional</v>
          </cell>
          <cell r="S28097">
            <v>12.62</v>
          </cell>
          <cell r="X28097" t="str">
            <v>Expenses</v>
          </cell>
        </row>
        <row r="28098">
          <cell r="L28098" t="str">
            <v>Non-proportional</v>
          </cell>
          <cell r="S28098">
            <v>21.37</v>
          </cell>
          <cell r="X28098" t="str">
            <v>Expenses</v>
          </cell>
        </row>
        <row r="28099">
          <cell r="L28099" t="str">
            <v>Non-proportional</v>
          </cell>
          <cell r="S28099">
            <v>-81.47</v>
          </cell>
          <cell r="X28099" t="str">
            <v>Expenses</v>
          </cell>
        </row>
        <row r="28100">
          <cell r="L28100" t="str">
            <v>Non-proportional</v>
          </cell>
          <cell r="S28100">
            <v>-11.28</v>
          </cell>
          <cell r="X28100" t="str">
            <v>Expenses</v>
          </cell>
        </row>
        <row r="28101">
          <cell r="L28101" t="str">
            <v>Non-proportional</v>
          </cell>
          <cell r="S28101">
            <v>281.98</v>
          </cell>
          <cell r="X28101" t="str">
            <v>Expenses</v>
          </cell>
        </row>
        <row r="28102">
          <cell r="L28102" t="str">
            <v>Proportional</v>
          </cell>
          <cell r="S28102">
            <v>9089.6299999999992</v>
          </cell>
          <cell r="X28102" t="str">
            <v>Expenses</v>
          </cell>
        </row>
        <row r="28103">
          <cell r="L28103" t="str">
            <v>Non-proportional</v>
          </cell>
          <cell r="S28103">
            <v>381.79</v>
          </cell>
          <cell r="X28103" t="str">
            <v>Expenses</v>
          </cell>
        </row>
        <row r="28104">
          <cell r="L28104" t="str">
            <v>Non-proportional</v>
          </cell>
          <cell r="S28104">
            <v>216.52</v>
          </cell>
          <cell r="X28104" t="str">
            <v>Expenses</v>
          </cell>
        </row>
        <row r="28105">
          <cell r="L28105" t="str">
            <v>Non-proportional</v>
          </cell>
          <cell r="S28105">
            <v>48.57</v>
          </cell>
          <cell r="X28105" t="str">
            <v>Expenses</v>
          </cell>
        </row>
        <row r="28106">
          <cell r="L28106" t="str">
            <v>Non-proportional</v>
          </cell>
          <cell r="S28106">
            <v>101.1</v>
          </cell>
          <cell r="X28106" t="str">
            <v>Expenses</v>
          </cell>
        </row>
        <row r="28107">
          <cell r="L28107" t="str">
            <v>Non-proportional</v>
          </cell>
          <cell r="S28107">
            <v>35.729999999999997</v>
          </cell>
          <cell r="X28107" t="str">
            <v>Expenses</v>
          </cell>
        </row>
        <row r="28108">
          <cell r="L28108" t="str">
            <v>Non-proportional</v>
          </cell>
          <cell r="S28108">
            <v>-7.1</v>
          </cell>
          <cell r="X28108" t="str">
            <v>Expenses</v>
          </cell>
        </row>
        <row r="28109">
          <cell r="L28109" t="str">
            <v>Non-proportional</v>
          </cell>
          <cell r="S28109">
            <v>46.84</v>
          </cell>
          <cell r="X28109" t="str">
            <v>Expenses</v>
          </cell>
        </row>
        <row r="28110">
          <cell r="L28110" t="str">
            <v>Non-proportional</v>
          </cell>
          <cell r="S28110">
            <v>0</v>
          </cell>
          <cell r="X28110" t="str">
            <v>Expenses</v>
          </cell>
        </row>
        <row r="28111">
          <cell r="L28111" t="str">
            <v>Non-proportional</v>
          </cell>
          <cell r="S28111">
            <v>632.57000000000005</v>
          </cell>
          <cell r="X28111" t="str">
            <v>Expenses</v>
          </cell>
        </row>
        <row r="28112">
          <cell r="L28112" t="str">
            <v>Non-proportional</v>
          </cell>
          <cell r="S28112">
            <v>105.25</v>
          </cell>
          <cell r="X28112" t="str">
            <v>Expenses</v>
          </cell>
        </row>
        <row r="28113">
          <cell r="L28113" t="str">
            <v>Non-proportional</v>
          </cell>
          <cell r="S28113">
            <v>96.42</v>
          </cell>
          <cell r="X28113" t="str">
            <v>Expenses</v>
          </cell>
        </row>
        <row r="28114">
          <cell r="L28114" t="str">
            <v>Non-proportional</v>
          </cell>
          <cell r="S28114">
            <v>-4.09</v>
          </cell>
          <cell r="X28114" t="str">
            <v>Expenses</v>
          </cell>
        </row>
        <row r="28115">
          <cell r="L28115" t="str">
            <v>Non-proportional</v>
          </cell>
          <cell r="S28115">
            <v>915.51</v>
          </cell>
          <cell r="X28115" t="str">
            <v>Expenses</v>
          </cell>
        </row>
        <row r="28116">
          <cell r="L28116" t="str">
            <v>Non-proportional</v>
          </cell>
          <cell r="S28116">
            <v>23.54</v>
          </cell>
          <cell r="X28116" t="str">
            <v>Expenses</v>
          </cell>
        </row>
        <row r="28117">
          <cell r="L28117" t="str">
            <v>Non-proportional</v>
          </cell>
          <cell r="S28117">
            <v>424.11</v>
          </cell>
          <cell r="X28117" t="str">
            <v>Expenses</v>
          </cell>
        </row>
        <row r="28118">
          <cell r="L28118" t="str">
            <v>Non-proportional</v>
          </cell>
          <cell r="S28118">
            <v>-0.63</v>
          </cell>
          <cell r="X28118" t="str">
            <v>Expenses</v>
          </cell>
        </row>
        <row r="28119">
          <cell r="L28119" t="str">
            <v>Non-proportional</v>
          </cell>
          <cell r="S28119">
            <v>206.91</v>
          </cell>
          <cell r="X28119" t="str">
            <v>Expenses</v>
          </cell>
        </row>
        <row r="28120">
          <cell r="L28120" t="str">
            <v>Non-proportional</v>
          </cell>
          <cell r="S28120">
            <v>34.43</v>
          </cell>
          <cell r="X28120" t="str">
            <v>Expenses</v>
          </cell>
        </row>
        <row r="28121">
          <cell r="L28121" t="str">
            <v>Non-proportional</v>
          </cell>
          <cell r="S28121">
            <v>0</v>
          </cell>
          <cell r="X28121" t="str">
            <v>Expenses</v>
          </cell>
        </row>
        <row r="28122">
          <cell r="L28122" t="str">
            <v>Non-proportional</v>
          </cell>
          <cell r="S28122">
            <v>350.84</v>
          </cell>
          <cell r="X28122" t="str">
            <v>Expenses</v>
          </cell>
        </row>
        <row r="28123">
          <cell r="L28123" t="str">
            <v>Non-proportional</v>
          </cell>
          <cell r="S28123">
            <v>12.78</v>
          </cell>
          <cell r="X28123" t="str">
            <v>Expenses</v>
          </cell>
        </row>
        <row r="28124">
          <cell r="L28124" t="str">
            <v>Non-proportional</v>
          </cell>
          <cell r="S28124">
            <v>794.2</v>
          </cell>
          <cell r="X28124" t="str">
            <v>Expenses</v>
          </cell>
        </row>
        <row r="28125">
          <cell r="L28125" t="str">
            <v>Non-proportional</v>
          </cell>
          <cell r="S28125">
            <v>168.04</v>
          </cell>
          <cell r="X28125" t="str">
            <v>Expenses</v>
          </cell>
        </row>
        <row r="28126">
          <cell r="L28126" t="str">
            <v>Non-proportional</v>
          </cell>
          <cell r="S28126">
            <v>198.68</v>
          </cell>
          <cell r="X28126" t="str">
            <v>Expenses</v>
          </cell>
        </row>
        <row r="28127">
          <cell r="L28127" t="str">
            <v>Non-proportional</v>
          </cell>
          <cell r="S28127">
            <v>-6.55</v>
          </cell>
          <cell r="X28127" t="str">
            <v>Expenses</v>
          </cell>
        </row>
        <row r="28128">
          <cell r="L28128" t="str">
            <v>Non-proportional</v>
          </cell>
          <cell r="S28128">
            <v>-1.73</v>
          </cell>
          <cell r="X28128" t="str">
            <v>Expenses</v>
          </cell>
        </row>
        <row r="28129">
          <cell r="L28129" t="str">
            <v>Non-proportional</v>
          </cell>
          <cell r="S28129">
            <v>71.91</v>
          </cell>
          <cell r="X28129" t="str">
            <v>Expenses</v>
          </cell>
        </row>
        <row r="28130">
          <cell r="L28130" t="str">
            <v>Non-proportional</v>
          </cell>
          <cell r="S28130">
            <v>0</v>
          </cell>
          <cell r="X28130" t="str">
            <v>Expenses</v>
          </cell>
        </row>
        <row r="28131">
          <cell r="L28131" t="str">
            <v>Non-proportional</v>
          </cell>
          <cell r="S28131">
            <v>146.97999999999999</v>
          </cell>
          <cell r="X28131" t="str">
            <v>Expenses</v>
          </cell>
        </row>
        <row r="28132">
          <cell r="L28132" t="str">
            <v>Non-proportional</v>
          </cell>
          <cell r="S28132">
            <v>-3.02</v>
          </cell>
          <cell r="X28132" t="str">
            <v>Expenses</v>
          </cell>
        </row>
        <row r="28133">
          <cell r="L28133" t="str">
            <v>Non-proportional</v>
          </cell>
          <cell r="S28133">
            <v>302.74</v>
          </cell>
          <cell r="X28133" t="str">
            <v>Expenses</v>
          </cell>
        </row>
        <row r="28134">
          <cell r="L28134" t="str">
            <v>Non-proportional</v>
          </cell>
          <cell r="S28134">
            <v>-1.1000000000000001</v>
          </cell>
          <cell r="X28134" t="str">
            <v>Expenses</v>
          </cell>
        </row>
        <row r="28135">
          <cell r="L28135" t="str">
            <v>Non-proportional</v>
          </cell>
          <cell r="S28135">
            <v>-1.18</v>
          </cell>
          <cell r="X28135" t="str">
            <v>Expenses</v>
          </cell>
        </row>
        <row r="28136">
          <cell r="L28136" t="str">
            <v>Non-proportional</v>
          </cell>
          <cell r="S28136">
            <v>80.95</v>
          </cell>
          <cell r="X28136" t="str">
            <v>Expenses</v>
          </cell>
        </row>
        <row r="28137">
          <cell r="L28137" t="str">
            <v>Non-proportional</v>
          </cell>
          <cell r="S28137">
            <v>88.14</v>
          </cell>
          <cell r="X28137" t="str">
            <v>Expenses</v>
          </cell>
        </row>
        <row r="28138">
          <cell r="L28138" t="str">
            <v>Non-proportional</v>
          </cell>
          <cell r="S28138">
            <v>128.46</v>
          </cell>
          <cell r="X28138" t="str">
            <v>Expenses</v>
          </cell>
        </row>
        <row r="28139">
          <cell r="L28139" t="str">
            <v>Non-proportional</v>
          </cell>
          <cell r="S28139">
            <v>97.35</v>
          </cell>
          <cell r="X28139" t="str">
            <v>Expenses</v>
          </cell>
        </row>
        <row r="28140">
          <cell r="L28140" t="str">
            <v>Non-proportional</v>
          </cell>
          <cell r="S28140">
            <v>2.52</v>
          </cell>
          <cell r="X28140" t="str">
            <v>Expenses</v>
          </cell>
        </row>
        <row r="28141">
          <cell r="L28141" t="str">
            <v>Non-proportional</v>
          </cell>
          <cell r="S28141">
            <v>16.670000000000002</v>
          </cell>
          <cell r="X28141" t="str">
            <v>Expenses</v>
          </cell>
        </row>
        <row r="28142">
          <cell r="L28142" t="str">
            <v>Non-proportional</v>
          </cell>
          <cell r="S28142">
            <v>173.56</v>
          </cell>
          <cell r="X28142" t="str">
            <v>Expenses</v>
          </cell>
        </row>
        <row r="28143">
          <cell r="L28143" t="str">
            <v>Non-proportional</v>
          </cell>
          <cell r="S28143">
            <v>-1.52</v>
          </cell>
          <cell r="X28143" t="str">
            <v>Expenses</v>
          </cell>
        </row>
        <row r="28144">
          <cell r="L28144" t="str">
            <v>Non-proportional</v>
          </cell>
          <cell r="S28144">
            <v>44.7</v>
          </cell>
          <cell r="X28144" t="str">
            <v>Expenses</v>
          </cell>
        </row>
        <row r="28145">
          <cell r="L28145" t="str">
            <v>Non-proportional</v>
          </cell>
          <cell r="S28145">
            <v>-0.05</v>
          </cell>
          <cell r="X28145" t="str">
            <v>Expenses</v>
          </cell>
        </row>
        <row r="28146">
          <cell r="L28146" t="str">
            <v>Non-proportional</v>
          </cell>
          <cell r="S28146">
            <v>35.9</v>
          </cell>
          <cell r="X28146" t="str">
            <v>Expenses</v>
          </cell>
        </row>
        <row r="28147">
          <cell r="L28147" t="str">
            <v>Non-proportional</v>
          </cell>
          <cell r="S28147">
            <v>244.3</v>
          </cell>
          <cell r="X28147" t="str">
            <v>Expenses</v>
          </cell>
        </row>
        <row r="28148">
          <cell r="L28148" t="str">
            <v>Non-proportional</v>
          </cell>
          <cell r="S28148">
            <v>52.4</v>
          </cell>
          <cell r="X28148" t="str">
            <v>Expenses</v>
          </cell>
        </row>
        <row r="28149">
          <cell r="L28149" t="str">
            <v>Non-proportional</v>
          </cell>
          <cell r="S28149">
            <v>125.99</v>
          </cell>
          <cell r="X28149" t="str">
            <v>Expenses</v>
          </cell>
        </row>
        <row r="28150">
          <cell r="L28150" t="str">
            <v>Non-proportional</v>
          </cell>
          <cell r="S28150">
            <v>-43.85</v>
          </cell>
          <cell r="X28150" t="str">
            <v>Expenses</v>
          </cell>
        </row>
        <row r="28151">
          <cell r="L28151" t="str">
            <v>Non-proportional</v>
          </cell>
          <cell r="S28151">
            <v>64.63</v>
          </cell>
          <cell r="X28151" t="str">
            <v>Expenses</v>
          </cell>
        </row>
        <row r="28152">
          <cell r="L28152" t="str">
            <v>Non-proportional</v>
          </cell>
          <cell r="S28152">
            <v>6.72</v>
          </cell>
          <cell r="X28152" t="str">
            <v>Expenses</v>
          </cell>
        </row>
        <row r="28153">
          <cell r="L28153" t="str">
            <v>Non-proportional</v>
          </cell>
          <cell r="S28153">
            <v>677.02</v>
          </cell>
          <cell r="X28153" t="str">
            <v>Expenses</v>
          </cell>
        </row>
        <row r="28154">
          <cell r="L28154" t="str">
            <v>Non-proportional</v>
          </cell>
          <cell r="S28154">
            <v>158.37</v>
          </cell>
          <cell r="X28154" t="str">
            <v>Expenses</v>
          </cell>
        </row>
        <row r="28155">
          <cell r="L28155" t="str">
            <v>Non-proportional</v>
          </cell>
          <cell r="S28155">
            <v>7.2</v>
          </cell>
          <cell r="X28155" t="str">
            <v>Expenses</v>
          </cell>
        </row>
        <row r="28156">
          <cell r="L28156" t="str">
            <v>Non-proportional</v>
          </cell>
          <cell r="S28156">
            <v>353.56</v>
          </cell>
          <cell r="X28156" t="str">
            <v>Expenses</v>
          </cell>
        </row>
        <row r="28157">
          <cell r="L28157" t="str">
            <v>Non-proportional</v>
          </cell>
          <cell r="S28157">
            <v>-5.88</v>
          </cell>
          <cell r="X28157" t="str">
            <v>Expenses</v>
          </cell>
        </row>
        <row r="28158">
          <cell r="L28158" t="str">
            <v>Non-proportional</v>
          </cell>
          <cell r="S28158">
            <v>169.78</v>
          </cell>
          <cell r="X28158" t="str">
            <v>Expenses</v>
          </cell>
        </row>
        <row r="28159">
          <cell r="L28159" t="str">
            <v>Non-proportional</v>
          </cell>
          <cell r="S28159">
            <v>396.6</v>
          </cell>
          <cell r="X28159" t="str">
            <v>Expenses</v>
          </cell>
        </row>
        <row r="28160">
          <cell r="L28160" t="str">
            <v>Non-proportional</v>
          </cell>
          <cell r="S28160">
            <v>337.38</v>
          </cell>
          <cell r="X28160" t="str">
            <v>Expenses</v>
          </cell>
        </row>
        <row r="28161">
          <cell r="L28161" t="str">
            <v>Non-proportional</v>
          </cell>
          <cell r="S28161">
            <v>-0.35</v>
          </cell>
          <cell r="X28161" t="str">
            <v>Expenses</v>
          </cell>
        </row>
        <row r="28162">
          <cell r="L28162" t="str">
            <v>Non-proportional</v>
          </cell>
          <cell r="S28162">
            <v>205.86</v>
          </cell>
          <cell r="X28162" t="str">
            <v>Expenses</v>
          </cell>
        </row>
        <row r="28163">
          <cell r="L28163" t="str">
            <v>Non-proportional</v>
          </cell>
          <cell r="S28163">
            <v>87.84</v>
          </cell>
          <cell r="X28163" t="str">
            <v>Expenses</v>
          </cell>
        </row>
        <row r="28164">
          <cell r="L28164" t="str">
            <v>Non-proportional</v>
          </cell>
          <cell r="S28164">
            <v>-1.1499999999999999</v>
          </cell>
          <cell r="X28164" t="str">
            <v>Expenses</v>
          </cell>
        </row>
        <row r="28165">
          <cell r="L28165" t="str">
            <v>Non-proportional</v>
          </cell>
          <cell r="S28165">
            <v>38.39</v>
          </cell>
          <cell r="X28165" t="str">
            <v>Expenses</v>
          </cell>
        </row>
        <row r="28166">
          <cell r="L28166" t="str">
            <v>Non-proportional</v>
          </cell>
          <cell r="S28166">
            <v>9.59</v>
          </cell>
          <cell r="X28166" t="str">
            <v>Expenses</v>
          </cell>
        </row>
        <row r="28167">
          <cell r="L28167" t="str">
            <v>Non-proportional</v>
          </cell>
          <cell r="S28167">
            <v>83.94</v>
          </cell>
          <cell r="X28167" t="str">
            <v>Expenses</v>
          </cell>
        </row>
        <row r="28168">
          <cell r="L28168" t="str">
            <v>Non-proportional</v>
          </cell>
          <cell r="S28168">
            <v>-1.95</v>
          </cell>
          <cell r="X28168" t="str">
            <v>Expenses</v>
          </cell>
        </row>
        <row r="28169">
          <cell r="L28169" t="str">
            <v>Non-proportional</v>
          </cell>
          <cell r="S28169">
            <v>110.26</v>
          </cell>
          <cell r="X28169" t="str">
            <v>Expenses</v>
          </cell>
        </row>
        <row r="28170">
          <cell r="L28170" t="str">
            <v>Proportional</v>
          </cell>
          <cell r="S28170">
            <v>76.5</v>
          </cell>
          <cell r="X28170" t="str">
            <v>Expenses</v>
          </cell>
        </row>
        <row r="28171">
          <cell r="L28171" t="str">
            <v>Non-proportional</v>
          </cell>
          <cell r="S28171">
            <v>237.64</v>
          </cell>
          <cell r="X28171" t="str">
            <v>Expenses</v>
          </cell>
        </row>
        <row r="28172">
          <cell r="L28172" t="str">
            <v>Non-proportional</v>
          </cell>
          <cell r="S28172">
            <v>247.49</v>
          </cell>
          <cell r="X28172" t="str">
            <v>Expenses</v>
          </cell>
        </row>
        <row r="28173">
          <cell r="L28173" t="str">
            <v>Non-proportional</v>
          </cell>
          <cell r="S28173">
            <v>-0.21</v>
          </cell>
          <cell r="X28173" t="str">
            <v>Expenses</v>
          </cell>
        </row>
        <row r="28174">
          <cell r="L28174" t="str">
            <v>Non-proportional</v>
          </cell>
          <cell r="S28174">
            <v>4.16</v>
          </cell>
          <cell r="X28174" t="str">
            <v>Expenses</v>
          </cell>
        </row>
        <row r="28175">
          <cell r="L28175" t="str">
            <v>Non-proportional</v>
          </cell>
          <cell r="S28175">
            <v>67.39</v>
          </cell>
          <cell r="X28175" t="str">
            <v>Expenses</v>
          </cell>
        </row>
        <row r="28176">
          <cell r="L28176" t="str">
            <v>Non-proportional</v>
          </cell>
          <cell r="S28176">
            <v>427.26</v>
          </cell>
          <cell r="X28176" t="str">
            <v>Expenses</v>
          </cell>
        </row>
        <row r="28177">
          <cell r="L28177" t="str">
            <v>Non-proportional</v>
          </cell>
          <cell r="S28177">
            <v>-1.96</v>
          </cell>
          <cell r="X28177" t="str">
            <v>Expenses</v>
          </cell>
        </row>
        <row r="28178">
          <cell r="L28178" t="str">
            <v>Non-proportional</v>
          </cell>
          <cell r="S28178">
            <v>128.46</v>
          </cell>
          <cell r="X28178" t="str">
            <v>Expenses</v>
          </cell>
        </row>
        <row r="28179">
          <cell r="L28179" t="str">
            <v>Non-proportional</v>
          </cell>
          <cell r="S28179">
            <v>170.36</v>
          </cell>
          <cell r="X28179" t="str">
            <v>Expenses</v>
          </cell>
        </row>
        <row r="28180">
          <cell r="L28180" t="str">
            <v>Non-proportional</v>
          </cell>
          <cell r="S28180">
            <v>24.54</v>
          </cell>
          <cell r="X28180" t="str">
            <v>Expenses</v>
          </cell>
        </row>
        <row r="28181">
          <cell r="L28181" t="str">
            <v>Non-proportional</v>
          </cell>
          <cell r="S28181">
            <v>80.5</v>
          </cell>
          <cell r="X28181" t="str">
            <v>Expenses</v>
          </cell>
        </row>
        <row r="28182">
          <cell r="L28182" t="str">
            <v>Non-proportional</v>
          </cell>
          <cell r="S28182">
            <v>96.07</v>
          </cell>
          <cell r="X28182" t="str">
            <v>Expenses</v>
          </cell>
        </row>
        <row r="28183">
          <cell r="L28183" t="str">
            <v>Non-proportional</v>
          </cell>
          <cell r="S28183">
            <v>16.11</v>
          </cell>
          <cell r="X28183" t="str">
            <v>Expenses</v>
          </cell>
        </row>
        <row r="28184">
          <cell r="L28184" t="str">
            <v>Non-proportional</v>
          </cell>
          <cell r="S28184">
            <v>-0.11</v>
          </cell>
          <cell r="X28184" t="str">
            <v>Expenses</v>
          </cell>
        </row>
        <row r="28185">
          <cell r="L28185" t="str">
            <v>Non-proportional</v>
          </cell>
          <cell r="S28185">
            <v>102.94</v>
          </cell>
          <cell r="X28185" t="str">
            <v>Expenses</v>
          </cell>
        </row>
        <row r="28186">
          <cell r="L28186" t="str">
            <v>Non-proportional</v>
          </cell>
          <cell r="S28186">
            <v>161.72</v>
          </cell>
          <cell r="X28186" t="str">
            <v>Expenses</v>
          </cell>
        </row>
        <row r="28187">
          <cell r="L28187" t="str">
            <v>Non-proportional</v>
          </cell>
          <cell r="S28187">
            <v>0.23</v>
          </cell>
          <cell r="X28187" t="str">
            <v>Expenses</v>
          </cell>
        </row>
        <row r="28188">
          <cell r="L28188" t="str">
            <v>Non-proportional</v>
          </cell>
          <cell r="S28188">
            <v>-1.95</v>
          </cell>
          <cell r="X28188" t="str">
            <v>Expenses</v>
          </cell>
        </row>
        <row r="28189">
          <cell r="L28189" t="str">
            <v>Non-proportional</v>
          </cell>
          <cell r="S28189">
            <v>-11.28</v>
          </cell>
          <cell r="X28189" t="str">
            <v>Expenses</v>
          </cell>
        </row>
        <row r="28190">
          <cell r="L28190" t="str">
            <v>Non-proportional</v>
          </cell>
          <cell r="S28190">
            <v>0</v>
          </cell>
          <cell r="X28190" t="str">
            <v>Expenses</v>
          </cell>
        </row>
        <row r="28191">
          <cell r="L28191" t="str">
            <v>Non-proportional</v>
          </cell>
          <cell r="S28191">
            <v>25.81</v>
          </cell>
          <cell r="X28191" t="str">
            <v>Expenses</v>
          </cell>
        </row>
        <row r="28192">
          <cell r="L28192" t="str">
            <v>Non-proportional</v>
          </cell>
          <cell r="S28192">
            <v>0.32</v>
          </cell>
          <cell r="X28192" t="str">
            <v>Expenses</v>
          </cell>
        </row>
        <row r="28193">
          <cell r="L28193" t="str">
            <v>Non-proportional</v>
          </cell>
          <cell r="S28193">
            <v>0</v>
          </cell>
          <cell r="X28193" t="str">
            <v>Expenses</v>
          </cell>
        </row>
        <row r="28194">
          <cell r="L28194" t="str">
            <v>Non-proportional</v>
          </cell>
          <cell r="S28194">
            <v>188.91</v>
          </cell>
          <cell r="X28194" t="str">
            <v>Expenses</v>
          </cell>
        </row>
        <row r="28195">
          <cell r="L28195" t="str">
            <v>Non-proportional</v>
          </cell>
          <cell r="S28195">
            <v>98.98</v>
          </cell>
          <cell r="X28195" t="str">
            <v>Expenses</v>
          </cell>
        </row>
        <row r="28196">
          <cell r="L28196" t="str">
            <v>Non-proportional</v>
          </cell>
          <cell r="S28196">
            <v>46.33</v>
          </cell>
          <cell r="X28196" t="str">
            <v>Expenses</v>
          </cell>
        </row>
        <row r="28197">
          <cell r="L28197" t="str">
            <v>Non-proportional</v>
          </cell>
          <cell r="S28197">
            <v>-0.05</v>
          </cell>
          <cell r="X28197" t="str">
            <v>Expenses</v>
          </cell>
        </row>
        <row r="28198">
          <cell r="L28198" t="str">
            <v>Non-proportional</v>
          </cell>
          <cell r="S28198">
            <v>88.99</v>
          </cell>
          <cell r="X28198" t="str">
            <v>Expenses</v>
          </cell>
        </row>
        <row r="28199">
          <cell r="L28199" t="str">
            <v>Non-proportional</v>
          </cell>
          <cell r="S28199">
            <v>53.5</v>
          </cell>
          <cell r="X28199" t="str">
            <v>Expenses</v>
          </cell>
        </row>
        <row r="28200">
          <cell r="L28200" t="str">
            <v>Non-proportional</v>
          </cell>
          <cell r="S28200">
            <v>101.21</v>
          </cell>
          <cell r="X28200" t="str">
            <v>Expenses</v>
          </cell>
        </row>
        <row r="28201">
          <cell r="L28201" t="str">
            <v>Non-proportional</v>
          </cell>
          <cell r="S28201">
            <v>166.46</v>
          </cell>
          <cell r="X28201" t="str">
            <v>Expenses</v>
          </cell>
        </row>
        <row r="28202">
          <cell r="L28202" t="str">
            <v>Non-proportional</v>
          </cell>
          <cell r="S28202">
            <v>41.3</v>
          </cell>
          <cell r="X28202" t="str">
            <v>Expenses</v>
          </cell>
        </row>
        <row r="28203">
          <cell r="L28203" t="str">
            <v>Non-proportional</v>
          </cell>
          <cell r="S28203">
            <v>52.74</v>
          </cell>
          <cell r="X28203" t="str">
            <v>Expenses</v>
          </cell>
        </row>
        <row r="28204">
          <cell r="L28204" t="str">
            <v>Non-proportional</v>
          </cell>
          <cell r="S28204">
            <v>252.46</v>
          </cell>
          <cell r="X28204" t="str">
            <v>Expenses</v>
          </cell>
        </row>
        <row r="28205">
          <cell r="L28205" t="str">
            <v>Non-proportional</v>
          </cell>
          <cell r="S28205">
            <v>678.52</v>
          </cell>
          <cell r="X28205" t="str">
            <v>Expenses</v>
          </cell>
        </row>
        <row r="28206">
          <cell r="L28206" t="str">
            <v>Non-proportional</v>
          </cell>
          <cell r="S28206">
            <v>-0.11</v>
          </cell>
          <cell r="X28206" t="str">
            <v>Expenses</v>
          </cell>
        </row>
        <row r="28207">
          <cell r="L28207" t="str">
            <v>Non-proportional</v>
          </cell>
          <cell r="S28207">
            <v>0</v>
          </cell>
          <cell r="X28207" t="str">
            <v>Expenses</v>
          </cell>
        </row>
        <row r="28208">
          <cell r="L28208" t="str">
            <v>Non-proportional</v>
          </cell>
          <cell r="S28208">
            <v>85.4</v>
          </cell>
          <cell r="X28208" t="str">
            <v>Expenses</v>
          </cell>
        </row>
        <row r="28209">
          <cell r="L28209" t="str">
            <v>Non-proportional</v>
          </cell>
          <cell r="S28209">
            <v>263.10000000000002</v>
          </cell>
          <cell r="X28209" t="str">
            <v>Expenses</v>
          </cell>
        </row>
        <row r="28210">
          <cell r="L28210" t="str">
            <v>Non-proportional</v>
          </cell>
          <cell r="S28210">
            <v>-1.1000000000000001</v>
          </cell>
          <cell r="X28210" t="str">
            <v>Expenses</v>
          </cell>
        </row>
        <row r="28211">
          <cell r="L28211" t="str">
            <v>Non-proportional</v>
          </cell>
          <cell r="S28211">
            <v>39.01</v>
          </cell>
          <cell r="X28211" t="str">
            <v>Expenses</v>
          </cell>
        </row>
        <row r="28212">
          <cell r="L28212" t="str">
            <v>Non-proportional</v>
          </cell>
          <cell r="S28212">
            <v>234.97</v>
          </cell>
          <cell r="X28212" t="str">
            <v>Expenses</v>
          </cell>
        </row>
        <row r="28213">
          <cell r="L28213" t="str">
            <v>Proportional</v>
          </cell>
          <cell r="S28213">
            <v>99.4</v>
          </cell>
          <cell r="X28213" t="str">
            <v>Expenses</v>
          </cell>
        </row>
        <row r="28214">
          <cell r="L28214" t="str">
            <v>Non-proportional</v>
          </cell>
          <cell r="S28214">
            <v>103.33</v>
          </cell>
          <cell r="X28214" t="str">
            <v>Expenses</v>
          </cell>
        </row>
        <row r="28215">
          <cell r="L28215" t="str">
            <v>Proportional</v>
          </cell>
          <cell r="S28215">
            <v>-311.12</v>
          </cell>
          <cell r="X28215" t="str">
            <v>Expenses</v>
          </cell>
        </row>
        <row r="28216">
          <cell r="L28216" t="str">
            <v>Non-proportional</v>
          </cell>
          <cell r="S28216">
            <v>82.02</v>
          </cell>
          <cell r="X28216" t="str">
            <v>Expenses</v>
          </cell>
        </row>
        <row r="28217">
          <cell r="L28217" t="str">
            <v>Non-proportional</v>
          </cell>
          <cell r="S28217">
            <v>917.55</v>
          </cell>
          <cell r="X28217" t="str">
            <v>Expenses</v>
          </cell>
        </row>
        <row r="28218">
          <cell r="L28218" t="str">
            <v>Non-proportional</v>
          </cell>
          <cell r="S28218">
            <v>-10.1</v>
          </cell>
          <cell r="X28218" t="str">
            <v>Expenses</v>
          </cell>
        </row>
        <row r="28219">
          <cell r="L28219" t="str">
            <v>Non-proportional</v>
          </cell>
          <cell r="S28219">
            <v>144.16</v>
          </cell>
          <cell r="X28219" t="str">
            <v>Expenses</v>
          </cell>
        </row>
        <row r="28220">
          <cell r="L28220" t="str">
            <v>Non-proportional</v>
          </cell>
          <cell r="S28220">
            <v>-0.05</v>
          </cell>
          <cell r="X28220" t="str">
            <v>Expenses</v>
          </cell>
        </row>
        <row r="28221">
          <cell r="L28221" t="str">
            <v>Non-proportional</v>
          </cell>
          <cell r="S28221">
            <v>-4.9400000000000004</v>
          </cell>
          <cell r="X28221" t="str">
            <v>Expenses</v>
          </cell>
        </row>
        <row r="28222">
          <cell r="L28222" t="str">
            <v>Non-proportional</v>
          </cell>
          <cell r="S28222">
            <v>80.900000000000006</v>
          </cell>
          <cell r="X28222" t="str">
            <v>Expenses</v>
          </cell>
        </row>
        <row r="28223">
          <cell r="L28223" t="str">
            <v>Non-proportional</v>
          </cell>
          <cell r="S28223">
            <v>90.09</v>
          </cell>
          <cell r="X28223" t="str">
            <v>Expenses</v>
          </cell>
        </row>
        <row r="28224">
          <cell r="L28224" t="str">
            <v>Proportional</v>
          </cell>
          <cell r="S28224">
            <v>73.52</v>
          </cell>
          <cell r="X28224" t="str">
            <v>Expenses</v>
          </cell>
        </row>
        <row r="28225">
          <cell r="L28225" t="str">
            <v>Non-proportional</v>
          </cell>
          <cell r="S28225">
            <v>-3130.32</v>
          </cell>
          <cell r="X28225" t="str">
            <v>Expenses</v>
          </cell>
        </row>
        <row r="28226">
          <cell r="L28226" t="str">
            <v>Non-proportional</v>
          </cell>
          <cell r="S28226">
            <v>96.55</v>
          </cell>
          <cell r="X28226" t="str">
            <v>Expenses</v>
          </cell>
        </row>
        <row r="28227">
          <cell r="L28227" t="str">
            <v>Non-proportional</v>
          </cell>
          <cell r="S28227">
            <v>128.02000000000001</v>
          </cell>
          <cell r="X28227" t="str">
            <v>Expenses</v>
          </cell>
        </row>
        <row r="28228">
          <cell r="L28228" t="str">
            <v>Non-proportional</v>
          </cell>
          <cell r="S28228">
            <v>12.98</v>
          </cell>
          <cell r="X28228" t="str">
            <v>Expenses</v>
          </cell>
        </row>
        <row r="28229">
          <cell r="L28229" t="str">
            <v>Non-proportional</v>
          </cell>
          <cell r="S28229">
            <v>-3.08</v>
          </cell>
          <cell r="X28229" t="str">
            <v>Expenses</v>
          </cell>
        </row>
        <row r="28230">
          <cell r="L28230" t="str">
            <v>Non-proportional</v>
          </cell>
          <cell r="S28230">
            <v>57.82</v>
          </cell>
          <cell r="X28230" t="str">
            <v>Expenses</v>
          </cell>
        </row>
        <row r="28231">
          <cell r="L28231" t="str">
            <v>Non-proportional</v>
          </cell>
          <cell r="S28231">
            <v>96.9</v>
          </cell>
          <cell r="X28231" t="str">
            <v>Expenses</v>
          </cell>
        </row>
        <row r="28232">
          <cell r="L28232" t="str">
            <v>Non-proportional</v>
          </cell>
          <cell r="S28232">
            <v>-0.74</v>
          </cell>
          <cell r="X28232" t="str">
            <v>Expenses</v>
          </cell>
        </row>
        <row r="28233">
          <cell r="L28233" t="str">
            <v>Non-proportional</v>
          </cell>
          <cell r="S28233">
            <v>46.68</v>
          </cell>
          <cell r="X28233" t="str">
            <v>Expenses</v>
          </cell>
        </row>
        <row r="28234">
          <cell r="L28234" t="str">
            <v>Non-proportional</v>
          </cell>
          <cell r="S28234">
            <v>170.74</v>
          </cell>
          <cell r="X28234" t="str">
            <v>Expenses</v>
          </cell>
        </row>
        <row r="28235">
          <cell r="L28235" t="str">
            <v>Non-proportional</v>
          </cell>
          <cell r="S28235">
            <v>1.57</v>
          </cell>
          <cell r="X28235" t="str">
            <v>Expenses</v>
          </cell>
        </row>
        <row r="28236">
          <cell r="L28236" t="str">
            <v>Non-proportional</v>
          </cell>
          <cell r="S28236">
            <v>-1.1299999999999999</v>
          </cell>
          <cell r="X28236" t="str">
            <v>Expenses</v>
          </cell>
        </row>
        <row r="28237">
          <cell r="L28237" t="str">
            <v>Non-proportional</v>
          </cell>
          <cell r="S28237">
            <v>0</v>
          </cell>
          <cell r="X28237" t="str">
            <v>Expenses</v>
          </cell>
        </row>
        <row r="28238">
          <cell r="L28238" t="str">
            <v>Non-proportional</v>
          </cell>
          <cell r="S28238">
            <v>-0.05</v>
          </cell>
          <cell r="X28238" t="str">
            <v>Expenses</v>
          </cell>
        </row>
        <row r="28239">
          <cell r="L28239" t="str">
            <v>Non-proportional</v>
          </cell>
          <cell r="S28239">
            <v>9.4600000000000009</v>
          </cell>
          <cell r="X28239" t="str">
            <v>Expenses</v>
          </cell>
        </row>
        <row r="28240">
          <cell r="L28240" t="str">
            <v>Non-proportional</v>
          </cell>
          <cell r="S28240">
            <v>222.81</v>
          </cell>
          <cell r="X28240" t="str">
            <v>Expenses</v>
          </cell>
        </row>
        <row r="28241">
          <cell r="L28241" t="str">
            <v>Non-proportional</v>
          </cell>
          <cell r="S28241">
            <v>-3.62</v>
          </cell>
          <cell r="X28241" t="str">
            <v>Expenses</v>
          </cell>
        </row>
        <row r="28242">
          <cell r="L28242" t="str">
            <v>Non-proportional</v>
          </cell>
          <cell r="S28242">
            <v>106.73</v>
          </cell>
          <cell r="X28242" t="str">
            <v>Expenses</v>
          </cell>
        </row>
        <row r="28243">
          <cell r="L28243" t="str">
            <v>Proportional</v>
          </cell>
          <cell r="S28243">
            <v>797.63</v>
          </cell>
          <cell r="X28243" t="str">
            <v>Expenses</v>
          </cell>
        </row>
        <row r="28244">
          <cell r="L28244" t="str">
            <v>Non-proportional</v>
          </cell>
          <cell r="S28244">
            <v>68.819999999999993</v>
          </cell>
          <cell r="X28244" t="str">
            <v>Expenses</v>
          </cell>
        </row>
        <row r="28245">
          <cell r="L28245" t="str">
            <v>Non-proportional</v>
          </cell>
          <cell r="S28245">
            <v>13.76</v>
          </cell>
          <cell r="X28245" t="str">
            <v>Expenses</v>
          </cell>
        </row>
        <row r="28246">
          <cell r="L28246" t="str">
            <v>Non-proportional</v>
          </cell>
          <cell r="S28246">
            <v>-4.09</v>
          </cell>
          <cell r="X28246" t="str">
            <v>Expenses</v>
          </cell>
        </row>
        <row r="28247">
          <cell r="L28247"/>
          <cell r="S28247">
            <v>109.25</v>
          </cell>
          <cell r="X28247" t="str">
            <v>Expenses</v>
          </cell>
        </row>
        <row r="28248">
          <cell r="L28248" t="str">
            <v>Non-proportional</v>
          </cell>
          <cell r="S28248">
            <v>60.15</v>
          </cell>
          <cell r="X28248" t="str">
            <v>Expenses</v>
          </cell>
        </row>
        <row r="28249">
          <cell r="L28249" t="str">
            <v>Non-proportional</v>
          </cell>
          <cell r="S28249">
            <v>41.85</v>
          </cell>
          <cell r="X28249" t="str">
            <v>Expenses</v>
          </cell>
        </row>
        <row r="28250">
          <cell r="L28250" t="str">
            <v>Non-proportional</v>
          </cell>
          <cell r="S28250">
            <v>-0.5</v>
          </cell>
          <cell r="X28250" t="str">
            <v>Expenses</v>
          </cell>
        </row>
        <row r="28251">
          <cell r="L28251" t="str">
            <v>Non-proportional</v>
          </cell>
          <cell r="S28251">
            <v>128.75</v>
          </cell>
          <cell r="X28251" t="str">
            <v>Expenses</v>
          </cell>
        </row>
        <row r="28252">
          <cell r="L28252" t="str">
            <v>Non-proportional</v>
          </cell>
          <cell r="S28252">
            <v>-5.9</v>
          </cell>
          <cell r="X28252" t="str">
            <v>Expenses</v>
          </cell>
        </row>
        <row r="28253">
          <cell r="L28253" t="str">
            <v>Non-proportional</v>
          </cell>
          <cell r="S28253">
            <v>673.05</v>
          </cell>
          <cell r="X28253" t="str">
            <v>Expenses</v>
          </cell>
        </row>
        <row r="28254">
          <cell r="L28254" t="str">
            <v>Non-proportional</v>
          </cell>
          <cell r="S28254">
            <v>143.22</v>
          </cell>
          <cell r="X28254" t="str">
            <v>Expenses</v>
          </cell>
        </row>
        <row r="28255">
          <cell r="L28255" t="str">
            <v>Non-proportional</v>
          </cell>
          <cell r="S28255">
            <v>78.209999999999994</v>
          </cell>
          <cell r="X28255" t="str">
            <v>Expenses</v>
          </cell>
        </row>
        <row r="28256">
          <cell r="L28256" t="str">
            <v>Non-proportional</v>
          </cell>
          <cell r="S28256">
            <v>622.97</v>
          </cell>
          <cell r="X28256" t="str">
            <v>Expenses</v>
          </cell>
        </row>
        <row r="28257">
          <cell r="L28257" t="str">
            <v>Non-proportional</v>
          </cell>
          <cell r="S28257">
            <v>36.090000000000003</v>
          </cell>
          <cell r="X28257" t="str">
            <v>Expenses</v>
          </cell>
        </row>
        <row r="28258">
          <cell r="L28258" t="str">
            <v>Non-proportional</v>
          </cell>
          <cell r="S28258">
            <v>43.31</v>
          </cell>
          <cell r="X28258" t="str">
            <v>Expenses</v>
          </cell>
        </row>
        <row r="28259">
          <cell r="L28259" t="str">
            <v>Non-proportional</v>
          </cell>
          <cell r="S28259">
            <v>23.86</v>
          </cell>
          <cell r="X28259" t="str">
            <v>Expenses</v>
          </cell>
        </row>
        <row r="28260">
          <cell r="L28260" t="str">
            <v>Non-proportional</v>
          </cell>
          <cell r="S28260">
            <v>30.49</v>
          </cell>
          <cell r="X28260" t="str">
            <v>Expenses</v>
          </cell>
        </row>
        <row r="28261">
          <cell r="L28261" t="str">
            <v>Non-proportional</v>
          </cell>
          <cell r="S28261">
            <v>35.81</v>
          </cell>
          <cell r="X28261" t="str">
            <v>Expenses</v>
          </cell>
        </row>
        <row r="28262">
          <cell r="L28262" t="str">
            <v>Non-proportional</v>
          </cell>
          <cell r="S28262">
            <v>337.83</v>
          </cell>
          <cell r="X28262" t="str">
            <v>Expenses</v>
          </cell>
        </row>
        <row r="28263">
          <cell r="L28263" t="str">
            <v>Non-proportional</v>
          </cell>
          <cell r="S28263">
            <v>-3.22</v>
          </cell>
          <cell r="X28263" t="str">
            <v>Expenses</v>
          </cell>
        </row>
        <row r="28264">
          <cell r="L28264" t="str">
            <v>Non-proportional</v>
          </cell>
          <cell r="S28264">
            <v>-0.08</v>
          </cell>
          <cell r="X28264" t="str">
            <v>Expenses</v>
          </cell>
        </row>
        <row r="28265">
          <cell r="L28265" t="str">
            <v>Non-proportional</v>
          </cell>
          <cell r="S28265">
            <v>-5.9</v>
          </cell>
          <cell r="X28265" t="str">
            <v>Expenses</v>
          </cell>
        </row>
        <row r="28266">
          <cell r="L28266" t="str">
            <v>Non-proportional</v>
          </cell>
          <cell r="S28266">
            <v>0.21</v>
          </cell>
          <cell r="X28266" t="str">
            <v>Expenses</v>
          </cell>
        </row>
        <row r="28267">
          <cell r="L28267" t="str">
            <v>Non-proportional</v>
          </cell>
          <cell r="S28267">
            <v>248.25</v>
          </cell>
          <cell r="X28267" t="str">
            <v>Expenses</v>
          </cell>
        </row>
        <row r="28268">
          <cell r="L28268" t="str">
            <v>Non-proportional</v>
          </cell>
          <cell r="S28268">
            <v>25.13</v>
          </cell>
          <cell r="X28268" t="str">
            <v>Expenses</v>
          </cell>
        </row>
        <row r="28269">
          <cell r="L28269" t="str">
            <v>Non-proportional</v>
          </cell>
          <cell r="S28269">
            <v>87.53</v>
          </cell>
          <cell r="X28269" t="str">
            <v>Expenses</v>
          </cell>
        </row>
        <row r="28270">
          <cell r="L28270" t="str">
            <v>Non-proportional</v>
          </cell>
          <cell r="S28270">
            <v>248.39</v>
          </cell>
          <cell r="X28270" t="str">
            <v>Expenses</v>
          </cell>
        </row>
        <row r="28271">
          <cell r="L28271" t="str">
            <v>Non-proportional</v>
          </cell>
          <cell r="S28271">
            <v>-1973.95</v>
          </cell>
          <cell r="X28271" t="str">
            <v>Expenses</v>
          </cell>
        </row>
        <row r="28272">
          <cell r="L28272" t="str">
            <v>Non-proportional</v>
          </cell>
          <cell r="S28272">
            <v>425.05</v>
          </cell>
          <cell r="X28272" t="str">
            <v>Expenses</v>
          </cell>
        </row>
        <row r="28273">
          <cell r="L28273" t="str">
            <v>Non-proportional</v>
          </cell>
          <cell r="S28273">
            <v>403.02</v>
          </cell>
          <cell r="X28273" t="str">
            <v>Expenses</v>
          </cell>
        </row>
        <row r="28274">
          <cell r="L28274" t="str">
            <v>Non-proportional</v>
          </cell>
          <cell r="S28274">
            <v>36.479999999999997</v>
          </cell>
          <cell r="X28274" t="str">
            <v>Expenses</v>
          </cell>
        </row>
        <row r="28275">
          <cell r="L28275" t="str">
            <v>Non-proportional</v>
          </cell>
          <cell r="S28275">
            <v>-3.2</v>
          </cell>
          <cell r="X28275" t="str">
            <v>Expenses</v>
          </cell>
        </row>
        <row r="28276">
          <cell r="L28276" t="str">
            <v>Non-proportional</v>
          </cell>
          <cell r="S28276">
            <v>45.42</v>
          </cell>
          <cell r="X28276" t="str">
            <v>Expenses</v>
          </cell>
        </row>
        <row r="28277">
          <cell r="L28277" t="str">
            <v>Non-proportional</v>
          </cell>
          <cell r="S28277">
            <v>98.71</v>
          </cell>
          <cell r="X28277" t="str">
            <v>Expenses</v>
          </cell>
        </row>
        <row r="28278">
          <cell r="L28278" t="str">
            <v>Non-proportional</v>
          </cell>
          <cell r="S28278">
            <v>60.06</v>
          </cell>
          <cell r="X28278" t="str">
            <v>Expenses</v>
          </cell>
        </row>
        <row r="28279">
          <cell r="L28279" t="str">
            <v>Non-proportional</v>
          </cell>
          <cell r="S28279">
            <v>-0.35</v>
          </cell>
          <cell r="X28279" t="str">
            <v>Expenses</v>
          </cell>
        </row>
        <row r="28280">
          <cell r="L28280" t="str">
            <v>Non-proportional</v>
          </cell>
          <cell r="S28280">
            <v>158.46</v>
          </cell>
          <cell r="X28280" t="str">
            <v>Expenses</v>
          </cell>
        </row>
        <row r="28281">
          <cell r="L28281" t="str">
            <v>Non-proportional</v>
          </cell>
          <cell r="S28281">
            <v>191.97</v>
          </cell>
          <cell r="X28281" t="str">
            <v>Expenses</v>
          </cell>
        </row>
        <row r="28282">
          <cell r="L28282" t="str">
            <v>Non-proportional</v>
          </cell>
          <cell r="S28282">
            <v>54.43</v>
          </cell>
          <cell r="X28282" t="str">
            <v>Expenses</v>
          </cell>
        </row>
        <row r="28283">
          <cell r="L28283" t="str">
            <v>Non-proportional</v>
          </cell>
          <cell r="S28283">
            <v>47.6</v>
          </cell>
          <cell r="X28283" t="str">
            <v>Expenses</v>
          </cell>
        </row>
        <row r="28284">
          <cell r="L28284" t="str">
            <v>Non-proportional</v>
          </cell>
          <cell r="S28284">
            <v>1.92</v>
          </cell>
          <cell r="X28284" t="str">
            <v>Expenses</v>
          </cell>
        </row>
        <row r="28285">
          <cell r="L28285" t="str">
            <v>Non-proportional</v>
          </cell>
          <cell r="S28285">
            <v>133.52000000000001</v>
          </cell>
          <cell r="X28285" t="str">
            <v>Expenses</v>
          </cell>
        </row>
        <row r="28286">
          <cell r="L28286" t="str">
            <v>Non-proportional</v>
          </cell>
          <cell r="S28286">
            <v>-0.64</v>
          </cell>
          <cell r="X28286" t="str">
            <v>Expenses</v>
          </cell>
        </row>
        <row r="28287">
          <cell r="L28287" t="str">
            <v>Non-proportional</v>
          </cell>
          <cell r="S28287">
            <v>242.77</v>
          </cell>
          <cell r="X28287" t="str">
            <v>Expenses</v>
          </cell>
        </row>
        <row r="28288">
          <cell r="L28288" t="str">
            <v>Non-proportional</v>
          </cell>
          <cell r="S28288">
            <v>-0.88</v>
          </cell>
          <cell r="X28288" t="str">
            <v>Expenses</v>
          </cell>
        </row>
        <row r="28289">
          <cell r="L28289" t="str">
            <v>Non-proportional</v>
          </cell>
          <cell r="S28289">
            <v>100.58</v>
          </cell>
          <cell r="X28289" t="str">
            <v>Expenses</v>
          </cell>
        </row>
        <row r="28290">
          <cell r="L28290" t="str">
            <v>Non-proportional</v>
          </cell>
          <cell r="S28290">
            <v>241.48</v>
          </cell>
          <cell r="X28290" t="str">
            <v>Expenses</v>
          </cell>
        </row>
        <row r="28291">
          <cell r="L28291" t="str">
            <v>Non-proportional</v>
          </cell>
          <cell r="S28291">
            <v>66.44</v>
          </cell>
          <cell r="X28291" t="str">
            <v>Expenses</v>
          </cell>
        </row>
        <row r="28292">
          <cell r="L28292" t="str">
            <v>Non-proportional</v>
          </cell>
          <cell r="S28292">
            <v>51.52</v>
          </cell>
          <cell r="X28292" t="str">
            <v>Expenses</v>
          </cell>
        </row>
        <row r="28293">
          <cell r="L28293" t="str">
            <v>Non-proportional</v>
          </cell>
          <cell r="S28293">
            <v>48.68</v>
          </cell>
          <cell r="X28293" t="str">
            <v>Expenses</v>
          </cell>
        </row>
        <row r="28294">
          <cell r="L28294" t="str">
            <v>Non-proportional</v>
          </cell>
          <cell r="S28294">
            <v>177.85</v>
          </cell>
          <cell r="X28294" t="str">
            <v>Expenses</v>
          </cell>
        </row>
        <row r="28295">
          <cell r="L28295" t="str">
            <v>Non-proportional</v>
          </cell>
          <cell r="S28295">
            <v>-1.52</v>
          </cell>
          <cell r="X28295" t="str">
            <v>Expenses</v>
          </cell>
        </row>
        <row r="28296">
          <cell r="L28296" t="str">
            <v>Non-proportional</v>
          </cell>
          <cell r="S28296">
            <v>339.06</v>
          </cell>
          <cell r="X28296" t="str">
            <v>Expenses</v>
          </cell>
        </row>
        <row r="28297">
          <cell r="L28297" t="str">
            <v>Non-proportional</v>
          </cell>
          <cell r="S28297">
            <v>164.34</v>
          </cell>
          <cell r="X28297" t="str">
            <v>Expenses</v>
          </cell>
        </row>
        <row r="28298">
          <cell r="L28298" t="str">
            <v>Non-proportional</v>
          </cell>
          <cell r="S28298">
            <v>135.16</v>
          </cell>
          <cell r="X28298" t="str">
            <v>Expenses</v>
          </cell>
        </row>
        <row r="28299">
          <cell r="L28299" t="str">
            <v>Non-proportional</v>
          </cell>
          <cell r="S28299">
            <v>87.72</v>
          </cell>
          <cell r="X28299" t="str">
            <v>Expenses</v>
          </cell>
        </row>
        <row r="28300">
          <cell r="L28300" t="str">
            <v>Non-proportional</v>
          </cell>
          <cell r="S28300">
            <v>-1.75</v>
          </cell>
          <cell r="X28300" t="str">
            <v>Expenses</v>
          </cell>
        </row>
        <row r="28301">
          <cell r="L28301" t="str">
            <v>Non-proportional</v>
          </cell>
          <cell r="S28301">
            <v>-798.78</v>
          </cell>
          <cell r="X28301" t="str">
            <v>Expenses</v>
          </cell>
        </row>
        <row r="28302">
          <cell r="L28302" t="str">
            <v>Non-proportional</v>
          </cell>
          <cell r="S28302">
            <v>201.9</v>
          </cell>
          <cell r="X28302" t="str">
            <v>Expenses</v>
          </cell>
        </row>
        <row r="28303">
          <cell r="L28303" t="str">
            <v>Non-proportional</v>
          </cell>
          <cell r="S28303">
            <v>21.48</v>
          </cell>
          <cell r="X28303" t="str">
            <v>Expenses</v>
          </cell>
        </row>
        <row r="28304">
          <cell r="L28304" t="str">
            <v>Non-proportional</v>
          </cell>
          <cell r="S28304">
            <v>-13.68</v>
          </cell>
          <cell r="X28304" t="str">
            <v>Expenses</v>
          </cell>
        </row>
        <row r="28305">
          <cell r="L28305" t="str">
            <v>Non-proportional</v>
          </cell>
          <cell r="S28305">
            <v>-1.95</v>
          </cell>
          <cell r="X28305" t="str">
            <v>Expenses</v>
          </cell>
        </row>
        <row r="28306">
          <cell r="L28306" t="str">
            <v>Non-proportional</v>
          </cell>
          <cell r="S28306">
            <v>296.27999999999997</v>
          </cell>
          <cell r="X28306" t="str">
            <v>Expenses</v>
          </cell>
        </row>
        <row r="28307">
          <cell r="L28307" t="str">
            <v>Non-proportional</v>
          </cell>
          <cell r="S28307">
            <v>0</v>
          </cell>
          <cell r="X28307" t="str">
            <v>Expenses</v>
          </cell>
        </row>
        <row r="28308">
          <cell r="L28308" t="str">
            <v>Non-proportional</v>
          </cell>
          <cell r="S28308">
            <v>0</v>
          </cell>
          <cell r="X28308" t="str">
            <v>Expenses</v>
          </cell>
        </row>
        <row r="28309">
          <cell r="L28309" t="str">
            <v>Non-proportional</v>
          </cell>
          <cell r="S28309">
            <v>213.53</v>
          </cell>
          <cell r="X28309" t="str">
            <v>Expenses</v>
          </cell>
        </row>
        <row r="28310">
          <cell r="L28310" t="str">
            <v>Non-proportional</v>
          </cell>
          <cell r="S28310">
            <v>206.89</v>
          </cell>
          <cell r="X28310" t="str">
            <v>Expenses</v>
          </cell>
        </row>
        <row r="28311">
          <cell r="L28311" t="str">
            <v>Non-proportional</v>
          </cell>
          <cell r="S28311">
            <v>102.85</v>
          </cell>
          <cell r="X28311" t="str">
            <v>Expenses</v>
          </cell>
        </row>
        <row r="28312">
          <cell r="L28312" t="str">
            <v>Non-proportional</v>
          </cell>
          <cell r="S28312">
            <v>118.22</v>
          </cell>
          <cell r="X28312" t="str">
            <v>Expenses</v>
          </cell>
        </row>
        <row r="28313">
          <cell r="L28313" t="str">
            <v>Non-proportional</v>
          </cell>
          <cell r="S28313">
            <v>159.16</v>
          </cell>
          <cell r="X28313" t="str">
            <v>Expenses</v>
          </cell>
        </row>
        <row r="28314">
          <cell r="L28314" t="str">
            <v>Non-proportional</v>
          </cell>
          <cell r="S28314">
            <v>42.37</v>
          </cell>
          <cell r="X28314" t="str">
            <v>Expenses</v>
          </cell>
        </row>
        <row r="28315">
          <cell r="L28315" t="str">
            <v>Non-proportional</v>
          </cell>
          <cell r="S28315">
            <v>48.68</v>
          </cell>
          <cell r="X28315" t="str">
            <v>Expenses</v>
          </cell>
        </row>
        <row r="28316">
          <cell r="L28316" t="str">
            <v>Non-proportional</v>
          </cell>
          <cell r="S28316">
            <v>428.64</v>
          </cell>
          <cell r="X28316" t="str">
            <v>Expenses</v>
          </cell>
        </row>
        <row r="28317">
          <cell r="L28317" t="str">
            <v>Non-proportional</v>
          </cell>
          <cell r="S28317">
            <v>633.97</v>
          </cell>
          <cell r="X28317" t="str">
            <v>Expenses</v>
          </cell>
        </row>
        <row r="28318">
          <cell r="L28318" t="str">
            <v>Non-proportional</v>
          </cell>
          <cell r="S28318">
            <v>84.9</v>
          </cell>
          <cell r="X28318" t="str">
            <v>Expenses</v>
          </cell>
        </row>
        <row r="28319">
          <cell r="L28319" t="str">
            <v>Non-proportional</v>
          </cell>
          <cell r="S28319">
            <v>103.45</v>
          </cell>
          <cell r="X28319" t="str">
            <v>Expenses</v>
          </cell>
        </row>
        <row r="28320">
          <cell r="L28320" t="str">
            <v>Non-proportional</v>
          </cell>
          <cell r="S28320">
            <v>-1.18</v>
          </cell>
          <cell r="X28320" t="str">
            <v>Expenses</v>
          </cell>
        </row>
        <row r="28321">
          <cell r="L28321" t="str">
            <v>Non-proportional</v>
          </cell>
          <cell r="S28321">
            <v>2.5499999999999998</v>
          </cell>
          <cell r="X28321" t="str">
            <v>Expenses</v>
          </cell>
        </row>
        <row r="28322">
          <cell r="L28322" t="str">
            <v>Non-proportional</v>
          </cell>
          <cell r="S28322">
            <v>-11.31</v>
          </cell>
          <cell r="X28322" t="str">
            <v>Expenses</v>
          </cell>
        </row>
        <row r="28323">
          <cell r="L28323" t="str">
            <v>Proportional</v>
          </cell>
          <cell r="S28323">
            <v>27.37</v>
          </cell>
          <cell r="X28323" t="str">
            <v>Expenses</v>
          </cell>
        </row>
        <row r="28324">
          <cell r="L28324" t="str">
            <v>Non-proportional</v>
          </cell>
          <cell r="S28324">
            <v>0.33</v>
          </cell>
          <cell r="X28324" t="str">
            <v>Expenses</v>
          </cell>
        </row>
        <row r="28325">
          <cell r="L28325" t="str">
            <v>Proportional</v>
          </cell>
          <cell r="S28325">
            <v>-200.28</v>
          </cell>
          <cell r="X28325" t="str">
            <v>Expenses</v>
          </cell>
        </row>
        <row r="28326">
          <cell r="L28326" t="str">
            <v>Non-proportional</v>
          </cell>
          <cell r="S28326">
            <v>0</v>
          </cell>
          <cell r="X28326" t="str">
            <v>Expenses</v>
          </cell>
        </row>
        <row r="28327">
          <cell r="L28327" t="str">
            <v>Non-proportional</v>
          </cell>
          <cell r="S28327">
            <v>487.63</v>
          </cell>
          <cell r="X28327" t="str">
            <v>Expenses</v>
          </cell>
        </row>
        <row r="28328">
          <cell r="L28328" t="str">
            <v>Non-proportional</v>
          </cell>
          <cell r="S28328">
            <v>-3.96</v>
          </cell>
          <cell r="X28328" t="str">
            <v>Expenses</v>
          </cell>
        </row>
        <row r="28329">
          <cell r="L28329" t="str">
            <v>Non-proportional</v>
          </cell>
          <cell r="S28329">
            <v>-0.7</v>
          </cell>
          <cell r="X28329" t="str">
            <v>Expenses</v>
          </cell>
        </row>
        <row r="28330">
          <cell r="L28330" t="str">
            <v>Proportional</v>
          </cell>
          <cell r="S28330">
            <v>-1124.24</v>
          </cell>
          <cell r="X28330" t="str">
            <v>Expenses</v>
          </cell>
        </row>
        <row r="28331">
          <cell r="L28331" t="str">
            <v>Non-proportional</v>
          </cell>
          <cell r="S28331">
            <v>798.16</v>
          </cell>
          <cell r="X28331" t="str">
            <v>Expenses</v>
          </cell>
        </row>
        <row r="28332">
          <cell r="L28332" t="str">
            <v>Non-proportional</v>
          </cell>
          <cell r="S28332">
            <v>12.78</v>
          </cell>
          <cell r="X28332" t="str">
            <v>Expenses</v>
          </cell>
        </row>
        <row r="28333">
          <cell r="L28333" t="str">
            <v>Non-proportional</v>
          </cell>
          <cell r="S28333">
            <v>9.74</v>
          </cell>
          <cell r="X28333" t="str">
            <v>Expenses</v>
          </cell>
        </row>
        <row r="28334">
          <cell r="L28334" t="str">
            <v>Proportional</v>
          </cell>
          <cell r="S28334">
            <v>90.64</v>
          </cell>
          <cell r="X28334" t="str">
            <v>Expenses</v>
          </cell>
        </row>
        <row r="28335">
          <cell r="L28335" t="str">
            <v>Non-proportional</v>
          </cell>
          <cell r="S28335">
            <v>0</v>
          </cell>
          <cell r="X28335" t="str">
            <v>Expenses</v>
          </cell>
        </row>
        <row r="28336">
          <cell r="L28336" t="str">
            <v>Non-proportional</v>
          </cell>
          <cell r="S28336">
            <v>6.73</v>
          </cell>
          <cell r="X28336" t="str">
            <v>Expenses</v>
          </cell>
        </row>
        <row r="28337">
          <cell r="L28337" t="str">
            <v>Non-proportional</v>
          </cell>
          <cell r="S28337">
            <v>81.2</v>
          </cell>
          <cell r="X28337" t="str">
            <v>Expenses</v>
          </cell>
        </row>
        <row r="28338">
          <cell r="L28338" t="str">
            <v>Non-proportional</v>
          </cell>
          <cell r="S28338">
            <v>102.29</v>
          </cell>
          <cell r="X28338" t="str">
            <v>Expenses</v>
          </cell>
        </row>
        <row r="28339">
          <cell r="L28339" t="str">
            <v>Non-proportional</v>
          </cell>
          <cell r="S28339">
            <v>4.22</v>
          </cell>
          <cell r="X28339" t="str">
            <v>Expenses</v>
          </cell>
        </row>
        <row r="28340">
          <cell r="L28340" t="str">
            <v>Non-proportional</v>
          </cell>
          <cell r="S28340">
            <v>84.88</v>
          </cell>
          <cell r="X28340" t="str">
            <v>Expenses</v>
          </cell>
        </row>
        <row r="28341">
          <cell r="L28341" t="str">
            <v>Non-proportional</v>
          </cell>
          <cell r="S28341">
            <v>3.49</v>
          </cell>
          <cell r="X28341" t="str">
            <v>Expenses</v>
          </cell>
        </row>
        <row r="28342">
          <cell r="L28342" t="str">
            <v>Non-proportional</v>
          </cell>
          <cell r="S28342">
            <v>241.99</v>
          </cell>
          <cell r="X28342" t="str">
            <v>Expenses</v>
          </cell>
        </row>
        <row r="28343">
          <cell r="L28343" t="str">
            <v>Non-proportional</v>
          </cell>
          <cell r="S28343">
            <v>0.78</v>
          </cell>
          <cell r="X28343" t="str">
            <v>Expenses</v>
          </cell>
        </row>
        <row r="28344">
          <cell r="L28344" t="str">
            <v>Non-proportional</v>
          </cell>
          <cell r="S28344">
            <v>1.84</v>
          </cell>
          <cell r="X28344" t="str">
            <v>Expenses</v>
          </cell>
        </row>
        <row r="28345">
          <cell r="L28345" t="str">
            <v>Non-proportional</v>
          </cell>
          <cell r="S28345">
            <v>1.56</v>
          </cell>
          <cell r="X28345" t="str">
            <v>Expenses</v>
          </cell>
        </row>
        <row r="28346">
          <cell r="L28346" t="str">
            <v>Non-proportional</v>
          </cell>
          <cell r="S28346">
            <v>41.85</v>
          </cell>
          <cell r="X28346" t="str">
            <v>Expenses</v>
          </cell>
        </row>
        <row r="28347">
          <cell r="L28347" t="str">
            <v>Non-proportional</v>
          </cell>
          <cell r="S28347">
            <v>-0.56000000000000005</v>
          </cell>
          <cell r="X28347" t="str">
            <v>Expenses</v>
          </cell>
        </row>
        <row r="28348">
          <cell r="L28348" t="str">
            <v>Non-proportional</v>
          </cell>
          <cell r="S28348">
            <v>55.4</v>
          </cell>
          <cell r="X28348" t="str">
            <v>Expenses</v>
          </cell>
        </row>
        <row r="28349">
          <cell r="L28349" t="str">
            <v>Non-proportional</v>
          </cell>
          <cell r="S28349">
            <v>90.54</v>
          </cell>
          <cell r="X28349" t="str">
            <v>Expenses</v>
          </cell>
        </row>
        <row r="28350">
          <cell r="L28350" t="str">
            <v>Non-proportional</v>
          </cell>
          <cell r="S28350">
            <v>-0.21</v>
          </cell>
          <cell r="X28350" t="str">
            <v>Expenses</v>
          </cell>
        </row>
        <row r="28351">
          <cell r="L28351" t="str">
            <v>Proportional</v>
          </cell>
          <cell r="S28351">
            <v>-884.27</v>
          </cell>
          <cell r="X28351" t="str">
            <v>Expenses</v>
          </cell>
        </row>
        <row r="28352">
          <cell r="L28352" t="str">
            <v>Non-proportional</v>
          </cell>
          <cell r="S28352">
            <v>0.23</v>
          </cell>
          <cell r="X28352" t="str">
            <v>Expenses</v>
          </cell>
        </row>
        <row r="28353">
          <cell r="L28353" t="str">
            <v>Non-proportional</v>
          </cell>
          <cell r="S28353">
            <v>7.2</v>
          </cell>
          <cell r="X28353" t="str">
            <v>Expenses</v>
          </cell>
        </row>
        <row r="28354">
          <cell r="L28354" t="str">
            <v>Non-proportional</v>
          </cell>
          <cell r="S28354">
            <v>42.07</v>
          </cell>
          <cell r="X28354" t="str">
            <v>Expenses</v>
          </cell>
        </row>
        <row r="28355">
          <cell r="L28355" t="str">
            <v>Non-proportional</v>
          </cell>
          <cell r="S28355">
            <v>172.53</v>
          </cell>
          <cell r="X28355" t="str">
            <v>Expenses</v>
          </cell>
        </row>
        <row r="28356">
          <cell r="L28356" t="str">
            <v>Non-proportional</v>
          </cell>
          <cell r="S28356">
            <v>132.08000000000001</v>
          </cell>
          <cell r="X28356" t="str">
            <v>Expenses</v>
          </cell>
        </row>
        <row r="28357">
          <cell r="L28357" t="str">
            <v>Non-proportional</v>
          </cell>
          <cell r="S28357">
            <v>339.52</v>
          </cell>
          <cell r="X28357" t="str">
            <v>Expenses</v>
          </cell>
        </row>
        <row r="28358">
          <cell r="L28358" t="str">
            <v>Non-proportional</v>
          </cell>
          <cell r="S28358">
            <v>-178.42</v>
          </cell>
          <cell r="X28358" t="str">
            <v>Expenses</v>
          </cell>
        </row>
        <row r="28359">
          <cell r="L28359" t="str">
            <v>Non-proportional</v>
          </cell>
          <cell r="S28359">
            <v>51.51</v>
          </cell>
          <cell r="X28359" t="str">
            <v>Expenses</v>
          </cell>
        </row>
        <row r="28360">
          <cell r="L28360" t="str">
            <v>Non-proportional</v>
          </cell>
          <cell r="S28360">
            <v>783.47</v>
          </cell>
          <cell r="X28360" t="str">
            <v>Expenses</v>
          </cell>
        </row>
        <row r="28361">
          <cell r="L28361" t="str">
            <v>Non-proportional</v>
          </cell>
          <cell r="S28361">
            <v>147.31</v>
          </cell>
          <cell r="X28361" t="str">
            <v>Expenses</v>
          </cell>
        </row>
        <row r="28362">
          <cell r="L28362" t="str">
            <v>Non-proportional</v>
          </cell>
          <cell r="S28362">
            <v>40.01</v>
          </cell>
          <cell r="X28362" t="str">
            <v>Expenses</v>
          </cell>
        </row>
        <row r="28363">
          <cell r="L28363" t="str">
            <v>Non-proportional</v>
          </cell>
          <cell r="S28363">
            <v>-3.67</v>
          </cell>
          <cell r="X28363" t="str">
            <v>Expenses</v>
          </cell>
        </row>
        <row r="28364">
          <cell r="L28364" t="str">
            <v>Non-proportional</v>
          </cell>
          <cell r="S28364">
            <v>-1.95</v>
          </cell>
          <cell r="X28364" t="str">
            <v>Expenses</v>
          </cell>
        </row>
        <row r="28365">
          <cell r="L28365" t="str">
            <v>Non-proportional</v>
          </cell>
          <cell r="S28365">
            <v>174.43</v>
          </cell>
          <cell r="X28365" t="str">
            <v>Expenses</v>
          </cell>
        </row>
        <row r="28366">
          <cell r="L28366" t="str">
            <v>Non-proportional</v>
          </cell>
          <cell r="S28366">
            <v>89.26</v>
          </cell>
          <cell r="X28366" t="str">
            <v>Expenses</v>
          </cell>
        </row>
        <row r="28367">
          <cell r="L28367" t="str">
            <v>Non-proportional</v>
          </cell>
          <cell r="S28367">
            <v>219.98</v>
          </cell>
          <cell r="X28367" t="str">
            <v>Expenses</v>
          </cell>
        </row>
        <row r="28368">
          <cell r="L28368" t="str">
            <v>Proportional</v>
          </cell>
          <cell r="S28368">
            <v>28648.51</v>
          </cell>
          <cell r="X28368" t="str">
            <v>Expenses</v>
          </cell>
        </row>
        <row r="28369">
          <cell r="L28369" t="str">
            <v>Non-proportional</v>
          </cell>
          <cell r="S28369">
            <v>210.26</v>
          </cell>
          <cell r="X28369" t="str">
            <v>Expenses</v>
          </cell>
        </row>
        <row r="28370">
          <cell r="L28370" t="str">
            <v>Non-proportional</v>
          </cell>
          <cell r="S28370">
            <v>149.11000000000001</v>
          </cell>
          <cell r="X28370" t="str">
            <v>Expenses</v>
          </cell>
        </row>
        <row r="28371">
          <cell r="L28371" t="str">
            <v>Non-proportional</v>
          </cell>
          <cell r="S28371">
            <v>70.89</v>
          </cell>
          <cell r="X28371" t="str">
            <v>Expenses</v>
          </cell>
        </row>
        <row r="28372">
          <cell r="L28372" t="str">
            <v>Non-proportional</v>
          </cell>
          <cell r="S28372">
            <v>-0.55000000000000004</v>
          </cell>
          <cell r="X28372" t="str">
            <v>Expenses</v>
          </cell>
        </row>
        <row r="28373">
          <cell r="L28373" t="str">
            <v>Non-proportional</v>
          </cell>
          <cell r="S28373">
            <v>367.74</v>
          </cell>
          <cell r="X28373" t="str">
            <v>Expenses</v>
          </cell>
        </row>
        <row r="28374">
          <cell r="L28374" t="str">
            <v>Non-proportional</v>
          </cell>
          <cell r="S28374">
            <v>-2468.5700000000002</v>
          </cell>
          <cell r="X28374" t="str">
            <v>Expenses</v>
          </cell>
        </row>
        <row r="28375">
          <cell r="L28375" t="str">
            <v>Non-proportional</v>
          </cell>
          <cell r="S28375">
            <v>352.59</v>
          </cell>
          <cell r="X28375" t="str">
            <v>Expenses</v>
          </cell>
        </row>
        <row r="28376">
          <cell r="L28376" t="str">
            <v>Non-proportional</v>
          </cell>
          <cell r="S28376">
            <v>66.05</v>
          </cell>
          <cell r="X28376" t="str">
            <v>Expenses</v>
          </cell>
        </row>
        <row r="28377">
          <cell r="L28377" t="str">
            <v>Non-proportional</v>
          </cell>
          <cell r="S28377">
            <v>-7.11</v>
          </cell>
          <cell r="X28377" t="str">
            <v>Expenses</v>
          </cell>
        </row>
        <row r="28378">
          <cell r="L28378" t="str">
            <v>Non-proportional</v>
          </cell>
          <cell r="S28378">
            <v>0</v>
          </cell>
          <cell r="X28378" t="str">
            <v>Expenses</v>
          </cell>
        </row>
        <row r="28379">
          <cell r="L28379" t="str">
            <v>Non-proportional</v>
          </cell>
          <cell r="S28379">
            <v>-0.28000000000000003</v>
          </cell>
          <cell r="X28379" t="str">
            <v>Expenses</v>
          </cell>
        </row>
        <row r="28380">
          <cell r="L28380" t="str">
            <v>Non-proportional</v>
          </cell>
          <cell r="S28380">
            <v>-1.93</v>
          </cell>
          <cell r="X28380" t="str">
            <v>Expenses</v>
          </cell>
        </row>
        <row r="28381">
          <cell r="L28381" t="str">
            <v>Non-proportional</v>
          </cell>
          <cell r="S28381">
            <v>44.88</v>
          </cell>
          <cell r="X28381" t="str">
            <v>Expenses</v>
          </cell>
        </row>
        <row r="28382">
          <cell r="L28382" t="str">
            <v>Proportional</v>
          </cell>
          <cell r="S28382">
            <v>-0.52</v>
          </cell>
          <cell r="X28382" t="str">
            <v>Expenses</v>
          </cell>
        </row>
        <row r="28383">
          <cell r="L28383" t="str">
            <v>Non-proportional</v>
          </cell>
          <cell r="S28383">
            <v>568.89</v>
          </cell>
          <cell r="X28383" t="str">
            <v>Expenses</v>
          </cell>
        </row>
        <row r="28384">
          <cell r="L28384" t="str">
            <v>Non-proportional</v>
          </cell>
          <cell r="S28384">
            <v>-1312.2</v>
          </cell>
          <cell r="X28384" t="str">
            <v>Expenses</v>
          </cell>
        </row>
        <row r="28385">
          <cell r="L28385" t="str">
            <v>Non-proportional</v>
          </cell>
          <cell r="S28385">
            <v>47.21</v>
          </cell>
          <cell r="X28385" t="str">
            <v>Expenses</v>
          </cell>
        </row>
        <row r="28386">
          <cell r="L28386" t="str">
            <v>Non-proportional</v>
          </cell>
          <cell r="S28386">
            <v>35.31</v>
          </cell>
          <cell r="X28386" t="str">
            <v>Expenses</v>
          </cell>
        </row>
        <row r="28387">
          <cell r="L28387" t="str">
            <v>Non-proportional</v>
          </cell>
          <cell r="S28387">
            <v>-3.03</v>
          </cell>
          <cell r="X28387" t="str">
            <v>Expenses</v>
          </cell>
        </row>
        <row r="28388">
          <cell r="L28388" t="str">
            <v>Non-proportional</v>
          </cell>
          <cell r="S28388">
            <v>47.6</v>
          </cell>
          <cell r="X28388" t="str">
            <v>Expenses</v>
          </cell>
        </row>
        <row r="28389">
          <cell r="L28389" t="str">
            <v>Non-proportional</v>
          </cell>
          <cell r="S28389">
            <v>248.72</v>
          </cell>
          <cell r="X28389" t="str">
            <v>Expenses</v>
          </cell>
        </row>
        <row r="28390">
          <cell r="L28390" t="str">
            <v>Non-proportional</v>
          </cell>
          <cell r="S28390">
            <v>53.09</v>
          </cell>
          <cell r="X28390" t="str">
            <v>Expenses</v>
          </cell>
        </row>
        <row r="28391">
          <cell r="L28391" t="str">
            <v>Non-proportional</v>
          </cell>
          <cell r="S28391">
            <v>-1.29</v>
          </cell>
          <cell r="X28391" t="str">
            <v>Expenses</v>
          </cell>
        </row>
        <row r="28392">
          <cell r="L28392" t="str">
            <v>Non-proportional</v>
          </cell>
          <cell r="S28392">
            <v>57.19</v>
          </cell>
          <cell r="X28392" t="str">
            <v>Expenses</v>
          </cell>
        </row>
        <row r="28393">
          <cell r="L28393" t="str">
            <v>Non-proportional</v>
          </cell>
          <cell r="S28393">
            <v>78.16</v>
          </cell>
          <cell r="X28393" t="str">
            <v>Expenses</v>
          </cell>
        </row>
        <row r="28394">
          <cell r="L28394" t="str">
            <v>Non-proportional</v>
          </cell>
          <cell r="S28394">
            <v>-11.31</v>
          </cell>
          <cell r="X28394" t="str">
            <v>Expenses</v>
          </cell>
        </row>
        <row r="28395">
          <cell r="L28395" t="str">
            <v>Non-proportional</v>
          </cell>
          <cell r="S28395">
            <v>282.61</v>
          </cell>
          <cell r="X28395" t="str">
            <v>Expenses</v>
          </cell>
        </row>
        <row r="28396">
          <cell r="L28396" t="str">
            <v>Non-proportional</v>
          </cell>
          <cell r="S28396">
            <v>-0.39</v>
          </cell>
          <cell r="X28396" t="str">
            <v>Expenses</v>
          </cell>
        </row>
        <row r="28397">
          <cell r="L28397" t="str">
            <v>Non-proportional</v>
          </cell>
          <cell r="S28397">
            <v>0.84</v>
          </cell>
          <cell r="X28397" t="str">
            <v>Expenses</v>
          </cell>
        </row>
        <row r="28398">
          <cell r="L28398" t="str">
            <v>Non-proportional</v>
          </cell>
          <cell r="S28398">
            <v>74.02</v>
          </cell>
          <cell r="X28398" t="str">
            <v>Expenses</v>
          </cell>
        </row>
        <row r="28399">
          <cell r="L28399" t="str">
            <v>Non-proportional</v>
          </cell>
          <cell r="S28399">
            <v>69.25</v>
          </cell>
          <cell r="X28399" t="str">
            <v>Expenses</v>
          </cell>
        </row>
        <row r="28400">
          <cell r="L28400" t="str">
            <v>Non-proportional</v>
          </cell>
          <cell r="S28400">
            <v>-6.57</v>
          </cell>
          <cell r="X28400" t="str">
            <v>Expenses</v>
          </cell>
        </row>
        <row r="28401">
          <cell r="L28401" t="str">
            <v>Non-proportional</v>
          </cell>
          <cell r="S28401">
            <v>303.41000000000003</v>
          </cell>
          <cell r="X28401" t="str">
            <v>Expenses</v>
          </cell>
        </row>
        <row r="28402">
          <cell r="L28402" t="str">
            <v>Non-proportional</v>
          </cell>
          <cell r="S28402">
            <v>282.61</v>
          </cell>
          <cell r="X28402" t="str">
            <v>Expenses</v>
          </cell>
        </row>
        <row r="28403">
          <cell r="L28403" t="str">
            <v>Non-proportional</v>
          </cell>
          <cell r="S28403">
            <v>320.24</v>
          </cell>
          <cell r="X28403" t="str">
            <v>Expenses</v>
          </cell>
        </row>
        <row r="28404">
          <cell r="L28404" t="str">
            <v>Non-proportional</v>
          </cell>
          <cell r="S28404">
            <v>49.51</v>
          </cell>
          <cell r="X28404" t="str">
            <v>Expenses</v>
          </cell>
        </row>
        <row r="28405">
          <cell r="L28405" t="str">
            <v>Non-proportional</v>
          </cell>
          <cell r="S28405">
            <v>147.31</v>
          </cell>
          <cell r="X28405" t="str">
            <v>Expenses</v>
          </cell>
        </row>
        <row r="28406">
          <cell r="L28406" t="str">
            <v>Non-proportional</v>
          </cell>
          <cell r="S28406">
            <v>96.67</v>
          </cell>
          <cell r="X28406" t="str">
            <v>Expenses</v>
          </cell>
        </row>
        <row r="28407">
          <cell r="L28407" t="str">
            <v>Non-proportional</v>
          </cell>
          <cell r="S28407">
            <v>45.88</v>
          </cell>
          <cell r="X28407" t="str">
            <v>Expenses</v>
          </cell>
        </row>
        <row r="28408">
          <cell r="L28408" t="str">
            <v>Non-proportional</v>
          </cell>
          <cell r="S28408">
            <v>51.25</v>
          </cell>
          <cell r="X28408" t="str">
            <v>Expenses</v>
          </cell>
        </row>
        <row r="28409">
          <cell r="L28409" t="str">
            <v>Non-proportional</v>
          </cell>
          <cell r="S28409">
            <v>201.69</v>
          </cell>
          <cell r="X28409" t="str">
            <v>Expenses</v>
          </cell>
        </row>
        <row r="28410">
          <cell r="L28410" t="str">
            <v>Non-proportional</v>
          </cell>
          <cell r="S28410">
            <v>474.23</v>
          </cell>
          <cell r="X28410" t="str">
            <v>Expenses</v>
          </cell>
        </row>
        <row r="28411">
          <cell r="L28411" t="str">
            <v>Non-proportional</v>
          </cell>
          <cell r="S28411">
            <v>355.32</v>
          </cell>
          <cell r="X28411" t="str">
            <v>Expenses</v>
          </cell>
        </row>
        <row r="28412">
          <cell r="L28412" t="str">
            <v>Non-proportional</v>
          </cell>
          <cell r="S28412">
            <v>-67.599999999999994</v>
          </cell>
          <cell r="X28412" t="str">
            <v>Expenses</v>
          </cell>
        </row>
        <row r="28413">
          <cell r="L28413" t="str">
            <v>Non-proportional</v>
          </cell>
          <cell r="S28413">
            <v>161.27000000000001</v>
          </cell>
          <cell r="X28413" t="str">
            <v>Expenses</v>
          </cell>
        </row>
        <row r="28414">
          <cell r="L28414" t="str">
            <v>Non-proportional</v>
          </cell>
          <cell r="S28414">
            <v>42.5</v>
          </cell>
          <cell r="X28414" t="str">
            <v>Expenses</v>
          </cell>
        </row>
        <row r="28415">
          <cell r="L28415" t="str">
            <v>Non-proportional</v>
          </cell>
          <cell r="S28415">
            <v>48.9</v>
          </cell>
          <cell r="X28415" t="str">
            <v>Expenses</v>
          </cell>
        </row>
        <row r="28416">
          <cell r="L28416" t="str">
            <v>Proportional</v>
          </cell>
          <cell r="S28416">
            <v>-749.49</v>
          </cell>
          <cell r="X28416" t="str">
            <v>Expenses</v>
          </cell>
        </row>
        <row r="28417">
          <cell r="L28417" t="str">
            <v>Non-proportional</v>
          </cell>
          <cell r="S28417">
            <v>170.39</v>
          </cell>
          <cell r="X28417" t="str">
            <v>Expenses</v>
          </cell>
        </row>
        <row r="28418">
          <cell r="L28418" t="str">
            <v>Non-proportional</v>
          </cell>
          <cell r="S28418">
            <v>178.64</v>
          </cell>
          <cell r="X28418" t="str">
            <v>Expenses</v>
          </cell>
        </row>
        <row r="28419">
          <cell r="L28419" t="str">
            <v>Non-proportional</v>
          </cell>
          <cell r="S28419">
            <v>15.89</v>
          </cell>
          <cell r="X28419" t="str">
            <v>Expenses</v>
          </cell>
        </row>
        <row r="28420">
          <cell r="L28420" t="str">
            <v>Non-proportional</v>
          </cell>
          <cell r="S28420">
            <v>58.69</v>
          </cell>
          <cell r="X28420" t="str">
            <v>Expenses</v>
          </cell>
        </row>
        <row r="28421">
          <cell r="L28421" t="str">
            <v>Non-proportional</v>
          </cell>
          <cell r="S28421">
            <v>47.08</v>
          </cell>
          <cell r="X28421" t="str">
            <v>Expenses</v>
          </cell>
        </row>
        <row r="28422">
          <cell r="L28422" t="str">
            <v>Non-proportional</v>
          </cell>
          <cell r="S28422">
            <v>304.47000000000003</v>
          </cell>
          <cell r="X28422" t="str">
            <v>Expenses</v>
          </cell>
        </row>
        <row r="28423">
          <cell r="L28423" t="str">
            <v>Non-proportional</v>
          </cell>
          <cell r="S28423">
            <v>34.99</v>
          </cell>
          <cell r="X28423" t="str">
            <v>Expenses</v>
          </cell>
        </row>
        <row r="28424">
          <cell r="L28424" t="str">
            <v>Non-proportional</v>
          </cell>
          <cell r="S28424">
            <v>0</v>
          </cell>
          <cell r="X28424" t="str">
            <v>Expenses</v>
          </cell>
        </row>
        <row r="28425">
          <cell r="L28425" t="str">
            <v>Non-proportional</v>
          </cell>
          <cell r="S28425">
            <v>-4537.38</v>
          </cell>
          <cell r="X28425" t="str">
            <v>Expenses</v>
          </cell>
        </row>
        <row r="28426">
          <cell r="L28426" t="str">
            <v>Non-proportional</v>
          </cell>
          <cell r="S28426">
            <v>48.59</v>
          </cell>
          <cell r="X28426" t="str">
            <v>Expenses</v>
          </cell>
        </row>
        <row r="28427">
          <cell r="L28427" t="str">
            <v>Non-proportional</v>
          </cell>
          <cell r="S28427">
            <v>173.95</v>
          </cell>
          <cell r="X28427" t="str">
            <v>Expenses</v>
          </cell>
        </row>
        <row r="28428">
          <cell r="L28428" t="str">
            <v>Non-proportional</v>
          </cell>
          <cell r="S28428">
            <v>1.64</v>
          </cell>
          <cell r="X28428" t="str">
            <v>Expenses</v>
          </cell>
        </row>
        <row r="28429">
          <cell r="L28429" t="str">
            <v>Non-proportional</v>
          </cell>
          <cell r="S28429">
            <v>568.29999999999995</v>
          </cell>
          <cell r="X28429" t="str">
            <v>Expenses</v>
          </cell>
        </row>
        <row r="28430">
          <cell r="L28430" t="str">
            <v>Non-proportional</v>
          </cell>
          <cell r="S28430">
            <v>-5.89</v>
          </cell>
          <cell r="X28430" t="str">
            <v>Expenses</v>
          </cell>
        </row>
        <row r="28431">
          <cell r="L28431" t="str">
            <v>Non-proportional</v>
          </cell>
          <cell r="S28431">
            <v>92.05</v>
          </cell>
          <cell r="X28431" t="str">
            <v>Expenses</v>
          </cell>
        </row>
        <row r="28432">
          <cell r="L28432" t="str">
            <v>Non-proportional</v>
          </cell>
          <cell r="S28432">
            <v>338.58</v>
          </cell>
          <cell r="X28432" t="str">
            <v>Expenses</v>
          </cell>
        </row>
        <row r="28433">
          <cell r="L28433" t="str">
            <v>Non-proportional</v>
          </cell>
          <cell r="S28433">
            <v>-1.97</v>
          </cell>
          <cell r="X28433" t="str">
            <v>Expenses</v>
          </cell>
        </row>
        <row r="28434">
          <cell r="L28434" t="str">
            <v>Non-proportional</v>
          </cell>
          <cell r="S28434">
            <v>201.69</v>
          </cell>
          <cell r="X28434" t="str">
            <v>Expenses</v>
          </cell>
        </row>
        <row r="28435">
          <cell r="L28435" t="str">
            <v>Non-proportional</v>
          </cell>
          <cell r="S28435">
            <v>179.27</v>
          </cell>
          <cell r="X28435" t="str">
            <v>Expenses</v>
          </cell>
        </row>
        <row r="28436">
          <cell r="L28436" t="str">
            <v>Non-proportional</v>
          </cell>
          <cell r="S28436">
            <v>119.17</v>
          </cell>
          <cell r="X28436" t="str">
            <v>Expenses</v>
          </cell>
        </row>
        <row r="28437">
          <cell r="L28437" t="str">
            <v>Non-proportional</v>
          </cell>
          <cell r="S28437">
            <v>351.62</v>
          </cell>
          <cell r="X28437" t="str">
            <v>Expenses</v>
          </cell>
        </row>
        <row r="28438">
          <cell r="L28438" t="str">
            <v>Non-proportional</v>
          </cell>
          <cell r="S28438">
            <v>46.55</v>
          </cell>
          <cell r="X28438" t="str">
            <v>Expenses</v>
          </cell>
        </row>
        <row r="28439">
          <cell r="L28439" t="str">
            <v>Non-proportional</v>
          </cell>
          <cell r="S28439">
            <v>52.64</v>
          </cell>
          <cell r="X28439" t="str">
            <v>Expenses</v>
          </cell>
        </row>
        <row r="28440">
          <cell r="L28440" t="str">
            <v>Non-proportional</v>
          </cell>
          <cell r="S28440">
            <v>-11.3</v>
          </cell>
          <cell r="X28440" t="str">
            <v>Expenses</v>
          </cell>
        </row>
        <row r="28441">
          <cell r="L28441" t="str">
            <v>Non-proportional</v>
          </cell>
          <cell r="S28441">
            <v>6.14</v>
          </cell>
          <cell r="X28441" t="str">
            <v>Expenses</v>
          </cell>
        </row>
        <row r="28442">
          <cell r="L28442" t="str">
            <v>Non-proportional</v>
          </cell>
          <cell r="S28442">
            <v>210.04</v>
          </cell>
          <cell r="X28442" t="str">
            <v>Expenses</v>
          </cell>
        </row>
        <row r="28443">
          <cell r="L28443" t="str">
            <v>Non-proportional</v>
          </cell>
          <cell r="S28443">
            <v>147.05000000000001</v>
          </cell>
          <cell r="X28443" t="str">
            <v>Expenses</v>
          </cell>
        </row>
        <row r="28444">
          <cell r="L28444" t="str">
            <v>Non-proportional</v>
          </cell>
          <cell r="S28444">
            <v>219.86</v>
          </cell>
          <cell r="X28444" t="str">
            <v>Expenses</v>
          </cell>
        </row>
        <row r="28445">
          <cell r="L28445" t="str">
            <v>Proportional</v>
          </cell>
          <cell r="S28445">
            <v>-318.5</v>
          </cell>
          <cell r="X28445" t="str">
            <v>Expenses</v>
          </cell>
        </row>
        <row r="28446">
          <cell r="L28446" t="str">
            <v>Non-proportional</v>
          </cell>
          <cell r="S28446">
            <v>72.430000000000007</v>
          </cell>
          <cell r="X28446" t="str">
            <v>Expenses</v>
          </cell>
        </row>
        <row r="28447">
          <cell r="L28447" t="str">
            <v>Non-proportional</v>
          </cell>
          <cell r="S28447">
            <v>135.02000000000001</v>
          </cell>
          <cell r="X28447" t="str">
            <v>Expenses</v>
          </cell>
        </row>
        <row r="28448">
          <cell r="L28448" t="str">
            <v>Non-proportional</v>
          </cell>
          <cell r="S28448">
            <v>12.97</v>
          </cell>
          <cell r="X28448" t="str">
            <v>Expenses</v>
          </cell>
        </row>
        <row r="28449">
          <cell r="L28449" t="str">
            <v>Non-proportional</v>
          </cell>
          <cell r="S28449">
            <v>677.35</v>
          </cell>
          <cell r="X28449" t="str">
            <v>Expenses</v>
          </cell>
        </row>
        <row r="28450">
          <cell r="L28450" t="str">
            <v>Non-proportional</v>
          </cell>
          <cell r="S28450">
            <v>89.23</v>
          </cell>
          <cell r="X28450" t="str">
            <v>Expenses</v>
          </cell>
        </row>
        <row r="28451">
          <cell r="L28451" t="str">
            <v>Non-proportional</v>
          </cell>
          <cell r="S28451">
            <v>-4.93</v>
          </cell>
          <cell r="X28451" t="str">
            <v>Expenses</v>
          </cell>
        </row>
        <row r="28452">
          <cell r="L28452" t="str">
            <v>Non-proportional</v>
          </cell>
          <cell r="S28452">
            <v>402.6</v>
          </cell>
          <cell r="X28452" t="str">
            <v>Expenses</v>
          </cell>
        </row>
        <row r="28453">
          <cell r="L28453" t="str">
            <v>Non-proportional</v>
          </cell>
          <cell r="S28453">
            <v>-6.55</v>
          </cell>
          <cell r="X28453" t="str">
            <v>Expenses</v>
          </cell>
        </row>
        <row r="28454">
          <cell r="L28454" t="str">
            <v>Non-proportional</v>
          </cell>
          <cell r="S28454">
            <v>80.67</v>
          </cell>
          <cell r="X28454" t="str">
            <v>Expenses</v>
          </cell>
        </row>
        <row r="28455">
          <cell r="L28455" t="str">
            <v>Non-proportional</v>
          </cell>
          <cell r="S28455">
            <v>632.88</v>
          </cell>
          <cell r="X28455" t="str">
            <v>Expenses</v>
          </cell>
        </row>
        <row r="28456">
          <cell r="L28456" t="str">
            <v>Non-proportional</v>
          </cell>
          <cell r="S28456">
            <v>104.68</v>
          </cell>
          <cell r="X28456" t="str">
            <v>Expenses</v>
          </cell>
        </row>
        <row r="28457">
          <cell r="L28457" t="str">
            <v>Non-proportional</v>
          </cell>
          <cell r="S28457">
            <v>-0.73</v>
          </cell>
          <cell r="X28457" t="str">
            <v>Expenses</v>
          </cell>
        </row>
        <row r="28458">
          <cell r="L28458" t="str">
            <v>Non-proportional</v>
          </cell>
          <cell r="S28458">
            <v>96.4</v>
          </cell>
          <cell r="X28458" t="str">
            <v>Expenses</v>
          </cell>
        </row>
        <row r="28459">
          <cell r="L28459" t="str">
            <v>Non-proportional</v>
          </cell>
          <cell r="S28459">
            <v>-1.18</v>
          </cell>
          <cell r="X28459" t="str">
            <v>Expenses</v>
          </cell>
        </row>
        <row r="28460">
          <cell r="L28460" t="str">
            <v>Non-proportional</v>
          </cell>
          <cell r="S28460">
            <v>-3.95</v>
          </cell>
          <cell r="X28460" t="str">
            <v>Expenses</v>
          </cell>
        </row>
        <row r="28461">
          <cell r="L28461" t="str">
            <v>Non-proportional</v>
          </cell>
          <cell r="S28461">
            <v>-1.95</v>
          </cell>
          <cell r="X28461" t="str">
            <v>Expenses</v>
          </cell>
        </row>
        <row r="28462">
          <cell r="L28462" t="str">
            <v>Non-proportional</v>
          </cell>
          <cell r="S28462">
            <v>34.96</v>
          </cell>
          <cell r="X28462" t="str">
            <v>Expenses</v>
          </cell>
        </row>
        <row r="28463">
          <cell r="L28463" t="str">
            <v>Non-proportional</v>
          </cell>
          <cell r="S28463">
            <v>354.34</v>
          </cell>
          <cell r="X28463" t="str">
            <v>Expenses</v>
          </cell>
        </row>
        <row r="28464">
          <cell r="L28464" t="str">
            <v>Non-proportional</v>
          </cell>
          <cell r="S28464">
            <v>-3.02</v>
          </cell>
          <cell r="X28464" t="str">
            <v>Expenses</v>
          </cell>
        </row>
        <row r="28465">
          <cell r="L28465" t="str">
            <v>Non-proportional</v>
          </cell>
          <cell r="S28465">
            <v>242.52</v>
          </cell>
          <cell r="X28465" t="str">
            <v>Expenses</v>
          </cell>
        </row>
        <row r="28466">
          <cell r="L28466" t="str">
            <v>Non-proportional</v>
          </cell>
          <cell r="S28466">
            <v>-4.09</v>
          </cell>
          <cell r="X28466" t="str">
            <v>Expenses</v>
          </cell>
        </row>
        <row r="28467">
          <cell r="L28467" t="str">
            <v>Non-proportional</v>
          </cell>
          <cell r="S28467">
            <v>-0.64</v>
          </cell>
          <cell r="X28467" t="str">
            <v>Expenses</v>
          </cell>
        </row>
        <row r="28468">
          <cell r="L28468" t="str">
            <v>Non-proportional</v>
          </cell>
          <cell r="S28468">
            <v>222.19</v>
          </cell>
          <cell r="X28468" t="str">
            <v>Expenses</v>
          </cell>
        </row>
        <row r="28469">
          <cell r="L28469" t="str">
            <v>Non-proportional</v>
          </cell>
          <cell r="S28469">
            <v>131.71</v>
          </cell>
          <cell r="X28469" t="str">
            <v>Expenses</v>
          </cell>
        </row>
        <row r="28470">
          <cell r="L28470" t="str">
            <v>Non-proportional</v>
          </cell>
          <cell r="S28470">
            <v>23.58</v>
          </cell>
          <cell r="X28470" t="str">
            <v>Expenses</v>
          </cell>
        </row>
        <row r="28471">
          <cell r="L28471" t="str">
            <v>Non-proportional</v>
          </cell>
          <cell r="S28471">
            <v>-11.3</v>
          </cell>
          <cell r="X28471" t="str">
            <v>Expenses</v>
          </cell>
        </row>
        <row r="28472">
          <cell r="L28472" t="str">
            <v>Non-proportional</v>
          </cell>
          <cell r="S28472">
            <v>268.83</v>
          </cell>
          <cell r="X28472" t="str">
            <v>Expenses</v>
          </cell>
        </row>
        <row r="28473">
          <cell r="L28473" t="str">
            <v>Non-proportional</v>
          </cell>
          <cell r="S28473">
            <v>43.98</v>
          </cell>
          <cell r="X28473" t="str">
            <v>Expenses</v>
          </cell>
        </row>
        <row r="28474">
          <cell r="L28474" t="str">
            <v>Non-proportional</v>
          </cell>
          <cell r="S28474">
            <v>85.95</v>
          </cell>
          <cell r="X28474" t="str">
            <v>Expenses</v>
          </cell>
        </row>
        <row r="28475">
          <cell r="L28475" t="str">
            <v>Non-proportional</v>
          </cell>
          <cell r="S28475">
            <v>16.23</v>
          </cell>
          <cell r="X28475" t="str">
            <v>Expenses</v>
          </cell>
        </row>
        <row r="28476">
          <cell r="L28476" t="str">
            <v>Non-proportional</v>
          </cell>
          <cell r="S28476">
            <v>105.58</v>
          </cell>
          <cell r="X28476" t="str">
            <v>Expenses</v>
          </cell>
        </row>
        <row r="28477">
          <cell r="L28477" t="str">
            <v>Non-proportional</v>
          </cell>
          <cell r="S28477">
            <v>0.23</v>
          </cell>
          <cell r="X28477" t="str">
            <v>Expenses</v>
          </cell>
        </row>
        <row r="28478">
          <cell r="L28478" t="str">
            <v>Non-proportional</v>
          </cell>
          <cell r="S28478">
            <v>284.27999999999997</v>
          </cell>
          <cell r="X28478" t="str">
            <v>Expenses</v>
          </cell>
        </row>
        <row r="28479">
          <cell r="L28479" t="str">
            <v>Non-proportional</v>
          </cell>
          <cell r="S28479">
            <v>0</v>
          </cell>
          <cell r="X28479" t="str">
            <v>Expenses</v>
          </cell>
        </row>
        <row r="28480">
          <cell r="L28480" t="str">
            <v>Non-proportional</v>
          </cell>
          <cell r="S28480">
            <v>-0.21</v>
          </cell>
          <cell r="X28480" t="str">
            <v>Expenses</v>
          </cell>
        </row>
        <row r="28481">
          <cell r="L28481" t="str">
            <v>Non-proportional</v>
          </cell>
          <cell r="S28481">
            <v>0.21</v>
          </cell>
          <cell r="X28481" t="str">
            <v>Expenses</v>
          </cell>
        </row>
        <row r="28482">
          <cell r="L28482" t="str">
            <v>Non-proportional</v>
          </cell>
          <cell r="S28482">
            <v>224.18</v>
          </cell>
          <cell r="X28482" t="str">
            <v>Expenses</v>
          </cell>
        </row>
        <row r="28483">
          <cell r="L28483" t="str">
            <v>Non-proportional</v>
          </cell>
          <cell r="S28483">
            <v>21.42</v>
          </cell>
          <cell r="X28483" t="str">
            <v>Expenses</v>
          </cell>
        </row>
        <row r="28484">
          <cell r="L28484" t="str">
            <v>Non-proportional</v>
          </cell>
          <cell r="S28484">
            <v>79.86</v>
          </cell>
          <cell r="X28484" t="str">
            <v>Expenses</v>
          </cell>
        </row>
        <row r="28485">
          <cell r="L28485" t="str">
            <v>Non-proportional</v>
          </cell>
          <cell r="S28485">
            <v>52.37</v>
          </cell>
          <cell r="X28485" t="str">
            <v>Expenses</v>
          </cell>
        </row>
        <row r="28486">
          <cell r="L28486" t="str">
            <v>Non-proportional</v>
          </cell>
          <cell r="S28486">
            <v>35.99</v>
          </cell>
          <cell r="X28486" t="str">
            <v>Expenses</v>
          </cell>
        </row>
        <row r="28487">
          <cell r="L28487" t="str">
            <v>Non-proportional</v>
          </cell>
          <cell r="S28487">
            <v>117.36</v>
          </cell>
          <cell r="X28487" t="str">
            <v>Expenses</v>
          </cell>
        </row>
        <row r="28488">
          <cell r="L28488" t="str">
            <v>Non-proportional</v>
          </cell>
          <cell r="S28488">
            <v>338.12</v>
          </cell>
          <cell r="X28488" t="str">
            <v>Expenses</v>
          </cell>
        </row>
        <row r="28489">
          <cell r="L28489" t="str">
            <v>Non-proportional</v>
          </cell>
          <cell r="S28489">
            <v>85.75</v>
          </cell>
          <cell r="X28489" t="str">
            <v>Expenses</v>
          </cell>
        </row>
        <row r="28490">
          <cell r="L28490" t="str">
            <v>Non-proportional</v>
          </cell>
          <cell r="S28490">
            <v>0.33</v>
          </cell>
          <cell r="X28490" t="str">
            <v>Expenses</v>
          </cell>
        </row>
        <row r="28491">
          <cell r="L28491" t="str">
            <v>Non-proportional</v>
          </cell>
          <cell r="S28491">
            <v>-3.29</v>
          </cell>
          <cell r="X28491" t="str">
            <v>Expenses</v>
          </cell>
        </row>
        <row r="28492">
          <cell r="L28492" t="str">
            <v>Non-proportional</v>
          </cell>
          <cell r="S28492">
            <v>59.04</v>
          </cell>
          <cell r="X28492" t="str">
            <v>Expenses</v>
          </cell>
        </row>
        <row r="28493">
          <cell r="L28493" t="str">
            <v>Non-proportional</v>
          </cell>
          <cell r="S28493">
            <v>781.3</v>
          </cell>
          <cell r="X28493" t="str">
            <v>Expenses</v>
          </cell>
        </row>
        <row r="28494">
          <cell r="L28494" t="str">
            <v>Non-proportional</v>
          </cell>
          <cell r="S28494">
            <v>96.28</v>
          </cell>
          <cell r="X28494" t="str">
            <v>Expenses</v>
          </cell>
        </row>
        <row r="28495">
          <cell r="L28495" t="str">
            <v>Non-proportional</v>
          </cell>
          <cell r="S28495">
            <v>96.64</v>
          </cell>
          <cell r="X28495" t="str">
            <v>Expenses</v>
          </cell>
        </row>
        <row r="28496">
          <cell r="L28496" t="str">
            <v>Non-proportional</v>
          </cell>
          <cell r="S28496">
            <v>81.12</v>
          </cell>
          <cell r="X28496" t="str">
            <v>Expenses</v>
          </cell>
        </row>
        <row r="28497">
          <cell r="L28497" t="str">
            <v>Non-proportional</v>
          </cell>
          <cell r="S28497">
            <v>47.55</v>
          </cell>
          <cell r="X28497" t="str">
            <v>Expenses</v>
          </cell>
        </row>
        <row r="28498">
          <cell r="L28498" t="str">
            <v>Non-proportional</v>
          </cell>
          <cell r="S28498">
            <v>319.89999999999998</v>
          </cell>
          <cell r="X28498" t="str">
            <v>Expenses</v>
          </cell>
        </row>
        <row r="28499">
          <cell r="L28499" t="str">
            <v>Non-proportional</v>
          </cell>
          <cell r="S28499">
            <v>22.42</v>
          </cell>
          <cell r="X28499" t="str">
            <v>Expenses</v>
          </cell>
        </row>
        <row r="28500">
          <cell r="L28500" t="str">
            <v>Non-proportional</v>
          </cell>
          <cell r="S28500">
            <v>0</v>
          </cell>
          <cell r="X28500" t="str">
            <v>Expenses</v>
          </cell>
        </row>
        <row r="28501">
          <cell r="L28501" t="str">
            <v>Non-proportional</v>
          </cell>
          <cell r="S28501">
            <v>-1.32</v>
          </cell>
          <cell r="X28501" t="str">
            <v>Expenses</v>
          </cell>
        </row>
        <row r="28502">
          <cell r="L28502" t="str">
            <v>Non-proportional</v>
          </cell>
          <cell r="S28502">
            <v>295.45999999999998</v>
          </cell>
          <cell r="X28502" t="str">
            <v>Expenses</v>
          </cell>
        </row>
        <row r="28503">
          <cell r="L28503" t="str">
            <v>Non-proportional</v>
          </cell>
          <cell r="S28503">
            <v>24.94</v>
          </cell>
          <cell r="X28503" t="str">
            <v>Expenses</v>
          </cell>
        </row>
        <row r="28504">
          <cell r="L28504" t="str">
            <v>Non-proportional</v>
          </cell>
          <cell r="S28504">
            <v>102.11</v>
          </cell>
          <cell r="X28504" t="str">
            <v>Expenses</v>
          </cell>
        </row>
        <row r="28505">
          <cell r="L28505" t="str">
            <v>Non-proportional</v>
          </cell>
          <cell r="S28505">
            <v>59.08</v>
          </cell>
          <cell r="X28505" t="str">
            <v>Expenses</v>
          </cell>
        </row>
        <row r="28506">
          <cell r="L28506" t="str">
            <v>Non-proportional</v>
          </cell>
          <cell r="S28506">
            <v>128.52000000000001</v>
          </cell>
          <cell r="X28506" t="str">
            <v>Expenses</v>
          </cell>
        </row>
        <row r="28507">
          <cell r="L28507" t="str">
            <v>Proportional</v>
          </cell>
          <cell r="S28507">
            <v>7.82</v>
          </cell>
          <cell r="X28507" t="str">
            <v>Expenses</v>
          </cell>
        </row>
        <row r="28508">
          <cell r="L28508" t="str">
            <v>Non-proportional</v>
          </cell>
          <cell r="S28508">
            <v>-0.4</v>
          </cell>
          <cell r="X28508" t="str">
            <v>Expenses</v>
          </cell>
        </row>
        <row r="28509">
          <cell r="L28509" t="str">
            <v>Non-proportional</v>
          </cell>
          <cell r="S28509">
            <v>158.37</v>
          </cell>
          <cell r="X28509" t="str">
            <v>Expenses</v>
          </cell>
        </row>
        <row r="28510">
          <cell r="L28510" t="str">
            <v>Non-proportional</v>
          </cell>
          <cell r="S28510">
            <v>282.12</v>
          </cell>
          <cell r="X28510" t="str">
            <v>Expenses</v>
          </cell>
        </row>
        <row r="28511">
          <cell r="L28511" t="str">
            <v>Non-proportional</v>
          </cell>
          <cell r="S28511">
            <v>247.99</v>
          </cell>
          <cell r="X28511" t="str">
            <v>Expenses</v>
          </cell>
        </row>
        <row r="28512">
          <cell r="L28512" t="str">
            <v>Non-proportional</v>
          </cell>
          <cell r="S28512">
            <v>-3.08</v>
          </cell>
          <cell r="X28512" t="str">
            <v>Expenses</v>
          </cell>
        </row>
        <row r="28513">
          <cell r="L28513" t="str">
            <v>Non-proportional</v>
          </cell>
          <cell r="S28513">
            <v>9.7200000000000006</v>
          </cell>
          <cell r="X28513" t="str">
            <v>Expenses</v>
          </cell>
        </row>
        <row r="28514">
          <cell r="L28514" t="str">
            <v>Non-proportional</v>
          </cell>
          <cell r="S28514">
            <v>-3.61</v>
          </cell>
          <cell r="X28514" t="str">
            <v>Expenses</v>
          </cell>
        </row>
        <row r="28515">
          <cell r="L28515" t="str">
            <v>Non-proportional</v>
          </cell>
          <cell r="S28515">
            <v>35.74</v>
          </cell>
          <cell r="X28515" t="str">
            <v>Expenses</v>
          </cell>
        </row>
        <row r="28516">
          <cell r="L28516" t="str">
            <v>Non-proportional</v>
          </cell>
          <cell r="S28516">
            <v>302.89</v>
          </cell>
          <cell r="X28516" t="str">
            <v>Expenses</v>
          </cell>
        </row>
        <row r="28517">
          <cell r="L28517" t="str">
            <v>Non-proportional</v>
          </cell>
          <cell r="S28517">
            <v>-0.36</v>
          </cell>
          <cell r="X28517" t="str">
            <v>Expenses</v>
          </cell>
        </row>
        <row r="28518">
          <cell r="L28518" t="str">
            <v>Non-proportional</v>
          </cell>
          <cell r="S28518">
            <v>144.01</v>
          </cell>
          <cell r="X28518" t="str">
            <v>Expenses</v>
          </cell>
        </row>
        <row r="28519">
          <cell r="L28519" t="str">
            <v>Non-proportional</v>
          </cell>
          <cell r="S28519">
            <v>-0.78</v>
          </cell>
          <cell r="X28519" t="str">
            <v>Expenses</v>
          </cell>
        </row>
        <row r="28520">
          <cell r="L28520" t="str">
            <v>Non-proportional</v>
          </cell>
          <cell r="S28520">
            <v>46.88</v>
          </cell>
          <cell r="X28520" t="str">
            <v>Expenses</v>
          </cell>
        </row>
        <row r="28521">
          <cell r="L28521" t="str">
            <v>Non-proportional</v>
          </cell>
          <cell r="S28521">
            <v>9.66</v>
          </cell>
          <cell r="X28521" t="str">
            <v>Expenses</v>
          </cell>
        </row>
        <row r="28522">
          <cell r="L28522" t="str">
            <v>Non-proportional</v>
          </cell>
          <cell r="S28522">
            <v>424.31</v>
          </cell>
          <cell r="X28522" t="str">
            <v>Expenses</v>
          </cell>
        </row>
        <row r="28523">
          <cell r="L28523" t="str">
            <v>Non-proportional</v>
          </cell>
          <cell r="S28523">
            <v>241.73</v>
          </cell>
          <cell r="X28523" t="str">
            <v>Expenses</v>
          </cell>
        </row>
        <row r="28524">
          <cell r="L28524" t="str">
            <v>Non-proportional</v>
          </cell>
          <cell r="S28524">
            <v>43.75</v>
          </cell>
          <cell r="X28524" t="str">
            <v>Expenses</v>
          </cell>
        </row>
        <row r="28525">
          <cell r="L28525" t="str">
            <v>Non-proportional</v>
          </cell>
          <cell r="S28525">
            <v>177.55</v>
          </cell>
          <cell r="X28525" t="str">
            <v>Expenses</v>
          </cell>
        </row>
        <row r="28526">
          <cell r="L28526" t="str">
            <v>Non-proportional</v>
          </cell>
          <cell r="S28526">
            <v>282.12</v>
          </cell>
          <cell r="X28526" t="str">
            <v>Expenses</v>
          </cell>
        </row>
        <row r="28527">
          <cell r="L28527" t="str">
            <v>Non-proportional</v>
          </cell>
          <cell r="S28527">
            <v>477.29</v>
          </cell>
          <cell r="X28527" t="str">
            <v>Expenses</v>
          </cell>
        </row>
        <row r="28528">
          <cell r="L28528" t="str">
            <v>Non-proportional</v>
          </cell>
          <cell r="S28528">
            <v>47.03</v>
          </cell>
          <cell r="X28528" t="str">
            <v>Expenses</v>
          </cell>
        </row>
        <row r="28529">
          <cell r="L28529" t="str">
            <v>Non-proportional</v>
          </cell>
          <cell r="S28529">
            <v>106.67</v>
          </cell>
          <cell r="X28529" t="str">
            <v>Expenses</v>
          </cell>
        </row>
        <row r="28530">
          <cell r="L28530" t="str">
            <v>Non-proportional</v>
          </cell>
          <cell r="S28530">
            <v>158.72</v>
          </cell>
          <cell r="X28530" t="str">
            <v>Expenses</v>
          </cell>
        </row>
        <row r="28531">
          <cell r="L28531" t="str">
            <v>Non-proportional</v>
          </cell>
          <cell r="S28531">
            <v>170.44</v>
          </cell>
          <cell r="X28531" t="str">
            <v>Expenses</v>
          </cell>
        </row>
        <row r="28532">
          <cell r="L28532" t="str">
            <v>Proportional</v>
          </cell>
          <cell r="S28532">
            <v>939.11</v>
          </cell>
          <cell r="X28532" t="str">
            <v>Expenses</v>
          </cell>
        </row>
        <row r="28533">
          <cell r="L28533" t="str">
            <v>Non-proportional</v>
          </cell>
          <cell r="S28533">
            <v>92.51</v>
          </cell>
          <cell r="X28533" t="str">
            <v>Expenses</v>
          </cell>
        </row>
        <row r="28534">
          <cell r="L28534" t="str">
            <v>Non-proportional</v>
          </cell>
          <cell r="S28534">
            <v>25.68</v>
          </cell>
          <cell r="X28534" t="str">
            <v>Expenses</v>
          </cell>
        </row>
        <row r="28535">
          <cell r="L28535" t="str">
            <v>Non-proportional</v>
          </cell>
          <cell r="S28535">
            <v>7.19</v>
          </cell>
          <cell r="X28535" t="str">
            <v>Expenses</v>
          </cell>
        </row>
        <row r="28536">
          <cell r="L28536" t="str">
            <v>Non-proportional</v>
          </cell>
          <cell r="S28536">
            <v>49.42</v>
          </cell>
          <cell r="X28536" t="str">
            <v>Expenses</v>
          </cell>
        </row>
        <row r="28537">
          <cell r="L28537" t="str">
            <v>Non-proportional</v>
          </cell>
          <cell r="S28537">
            <v>-0.05</v>
          </cell>
          <cell r="X28537" t="str">
            <v>Expenses</v>
          </cell>
        </row>
        <row r="28538">
          <cell r="L28538" t="str">
            <v>Non-proportional</v>
          </cell>
          <cell r="S28538">
            <v>54.78</v>
          </cell>
          <cell r="X28538" t="str">
            <v>Expenses</v>
          </cell>
        </row>
        <row r="28539">
          <cell r="L28539" t="str">
            <v>Non-proportional</v>
          </cell>
          <cell r="S28539">
            <v>84.65</v>
          </cell>
          <cell r="X28539" t="str">
            <v>Expenses</v>
          </cell>
        </row>
        <row r="28540">
          <cell r="L28540" t="str">
            <v>Non-proportional</v>
          </cell>
          <cell r="S28540">
            <v>98.65</v>
          </cell>
          <cell r="X28540" t="str">
            <v>Expenses</v>
          </cell>
        </row>
        <row r="28541">
          <cell r="L28541" t="str">
            <v>Non-proportional</v>
          </cell>
          <cell r="S28541">
            <v>127.89</v>
          </cell>
          <cell r="X28541" t="str">
            <v>Expenses</v>
          </cell>
        </row>
        <row r="28542">
          <cell r="L28542" t="str">
            <v>Non-proportional</v>
          </cell>
          <cell r="S28542">
            <v>0</v>
          </cell>
          <cell r="X28542" t="str">
            <v>Expenses</v>
          </cell>
        </row>
        <row r="28543">
          <cell r="L28543" t="str">
            <v>Non-proportional</v>
          </cell>
          <cell r="S28543">
            <v>-0.3</v>
          </cell>
          <cell r="X28543" t="str">
            <v>Expenses</v>
          </cell>
        </row>
        <row r="28544">
          <cell r="L28544" t="str">
            <v>Non-proportional</v>
          </cell>
          <cell r="S28544">
            <v>1.84</v>
          </cell>
          <cell r="X28544" t="str">
            <v>Expenses</v>
          </cell>
        </row>
        <row r="28545">
          <cell r="L28545" t="str">
            <v>Non-proportional</v>
          </cell>
          <cell r="S28545">
            <v>241.23</v>
          </cell>
          <cell r="X28545" t="str">
            <v>Expenses</v>
          </cell>
        </row>
        <row r="28546">
          <cell r="L28546" t="str">
            <v>Non-proportional</v>
          </cell>
          <cell r="S28546">
            <v>170.29</v>
          </cell>
          <cell r="X28546" t="str">
            <v>Expenses</v>
          </cell>
        </row>
        <row r="28547">
          <cell r="L28547" t="str">
            <v>Non-proportional</v>
          </cell>
          <cell r="S28547">
            <v>59.99</v>
          </cell>
          <cell r="X28547" t="str">
            <v>Expenses</v>
          </cell>
        </row>
        <row r="28548">
          <cell r="L28548" t="str">
            <v>Non-proportional</v>
          </cell>
          <cell r="S28548">
            <v>103.17</v>
          </cell>
          <cell r="X28548" t="str">
            <v>Expenses</v>
          </cell>
        </row>
        <row r="28549">
          <cell r="L28549" t="str">
            <v>Non-proportional</v>
          </cell>
          <cell r="S28549">
            <v>-0.56000000000000005</v>
          </cell>
          <cell r="X28549" t="str">
            <v>Expenses</v>
          </cell>
        </row>
        <row r="28550">
          <cell r="L28550" t="str">
            <v>Non-proportional</v>
          </cell>
          <cell r="S28550">
            <v>100.73</v>
          </cell>
          <cell r="X28550" t="str">
            <v>Expenses</v>
          </cell>
        </row>
        <row r="28551">
          <cell r="L28551" t="str">
            <v>Non-proportional</v>
          </cell>
          <cell r="S28551">
            <v>48.59</v>
          </cell>
          <cell r="X28551" t="str">
            <v>Expenses</v>
          </cell>
        </row>
        <row r="28552">
          <cell r="L28552" t="str">
            <v>Non-proportional</v>
          </cell>
          <cell r="S28552">
            <v>60.45</v>
          </cell>
          <cell r="X28552" t="str">
            <v>Expenses</v>
          </cell>
        </row>
        <row r="28553">
          <cell r="L28553" t="str">
            <v>Non-proportional</v>
          </cell>
          <cell r="S28553">
            <v>43.3</v>
          </cell>
          <cell r="X28553" t="str">
            <v>Expenses</v>
          </cell>
        </row>
        <row r="28554">
          <cell r="L28554" t="str">
            <v>Non-proportional</v>
          </cell>
          <cell r="S28554">
            <v>36.44</v>
          </cell>
          <cell r="X28554" t="str">
            <v>Expenses</v>
          </cell>
        </row>
        <row r="28555">
          <cell r="L28555" t="str">
            <v>Non-proportional</v>
          </cell>
          <cell r="S28555">
            <v>915.96</v>
          </cell>
          <cell r="X28555" t="str">
            <v>Expenses</v>
          </cell>
        </row>
        <row r="28556">
          <cell r="L28556" t="str">
            <v>Non-proportional</v>
          </cell>
          <cell r="S28556">
            <v>6.72</v>
          </cell>
          <cell r="X28556" t="str">
            <v>Expenses</v>
          </cell>
        </row>
        <row r="28557">
          <cell r="L28557" t="str">
            <v>Proportional</v>
          </cell>
          <cell r="S28557">
            <v>115.77</v>
          </cell>
          <cell r="X28557" t="str">
            <v>Expenses</v>
          </cell>
        </row>
        <row r="28558">
          <cell r="L28558" t="str">
            <v>Non-proportional</v>
          </cell>
          <cell r="S28558">
            <v>172.35</v>
          </cell>
          <cell r="X28558" t="str">
            <v>Expenses</v>
          </cell>
        </row>
        <row r="28559">
          <cell r="L28559" t="str">
            <v>Proportional</v>
          </cell>
          <cell r="S28559">
            <v>-786.68</v>
          </cell>
          <cell r="X28559" t="str">
            <v>Expenses</v>
          </cell>
        </row>
        <row r="28560">
          <cell r="L28560" t="str">
            <v>Non-proportional</v>
          </cell>
          <cell r="S28560">
            <v>191.77</v>
          </cell>
          <cell r="X28560" t="str">
            <v>Expenses</v>
          </cell>
        </row>
        <row r="28561">
          <cell r="L28561" t="str">
            <v>Non-proportional</v>
          </cell>
          <cell r="S28561">
            <v>89.63</v>
          </cell>
          <cell r="X28561" t="str">
            <v>Expenses</v>
          </cell>
        </row>
        <row r="28562">
          <cell r="L28562" t="str">
            <v>Non-proportional</v>
          </cell>
          <cell r="S28562">
            <v>0</v>
          </cell>
          <cell r="X28562" t="str">
            <v>Expenses</v>
          </cell>
        </row>
        <row r="28563">
          <cell r="L28563" t="str">
            <v>Non-proportional</v>
          </cell>
          <cell r="S28563">
            <v>-0.28000000000000003</v>
          </cell>
          <cell r="X28563" t="str">
            <v>Expenses</v>
          </cell>
        </row>
        <row r="28564">
          <cell r="L28564" t="str">
            <v>Non-proportional</v>
          </cell>
          <cell r="S28564">
            <v>247.7</v>
          </cell>
          <cell r="X28564" t="str">
            <v>Expenses</v>
          </cell>
        </row>
        <row r="28565">
          <cell r="L28565" t="str">
            <v>Non-proportional</v>
          </cell>
          <cell r="S28565">
            <v>-1.74</v>
          </cell>
          <cell r="X28565" t="str">
            <v>Expenses</v>
          </cell>
        </row>
        <row r="28566">
          <cell r="L28566" t="str">
            <v>Non-proportional</v>
          </cell>
          <cell r="S28566">
            <v>-10.09</v>
          </cell>
          <cell r="X28566" t="str">
            <v>Expenses</v>
          </cell>
        </row>
        <row r="28567">
          <cell r="L28567" t="str">
            <v>Non-proportional</v>
          </cell>
          <cell r="S28567">
            <v>35.28</v>
          </cell>
          <cell r="X28567" t="str">
            <v>Expenses</v>
          </cell>
        </row>
        <row r="28568">
          <cell r="L28568" t="str">
            <v>Non-proportional</v>
          </cell>
          <cell r="S28568">
            <v>45.37</v>
          </cell>
          <cell r="X28568" t="str">
            <v>Expenses</v>
          </cell>
        </row>
        <row r="28569">
          <cell r="L28569" t="str">
            <v>Non-proportional</v>
          </cell>
          <cell r="S28569">
            <v>16.2</v>
          </cell>
          <cell r="X28569" t="str">
            <v>Expenses</v>
          </cell>
        </row>
        <row r="28570">
          <cell r="L28570" t="str">
            <v>Non-proportional</v>
          </cell>
          <cell r="S28570">
            <v>34.380000000000003</v>
          </cell>
          <cell r="X28570" t="str">
            <v>Expenses</v>
          </cell>
        </row>
        <row r="28571">
          <cell r="L28571" t="str">
            <v>Non-proportional</v>
          </cell>
          <cell r="S28571">
            <v>15.23</v>
          </cell>
          <cell r="X28571" t="str">
            <v>Expenses</v>
          </cell>
        </row>
        <row r="28572">
          <cell r="L28572" t="str">
            <v>Non-proportional</v>
          </cell>
          <cell r="S28572">
            <v>-1.1599999999999999</v>
          </cell>
          <cell r="X28572" t="str">
            <v>Expenses</v>
          </cell>
        </row>
        <row r="28573">
          <cell r="L28573" t="str">
            <v>Non-proportional</v>
          </cell>
          <cell r="S28573">
            <v>152.08000000000001</v>
          </cell>
          <cell r="X28573" t="str">
            <v>Expenses</v>
          </cell>
        </row>
        <row r="28574">
          <cell r="L28574" t="str">
            <v>Non-proportional</v>
          </cell>
          <cell r="S28574">
            <v>78.13</v>
          </cell>
          <cell r="X28574" t="str">
            <v>Expenses</v>
          </cell>
        </row>
        <row r="28575">
          <cell r="L28575" t="str">
            <v>Non-proportional</v>
          </cell>
          <cell r="S28575">
            <v>84.66</v>
          </cell>
          <cell r="X28575" t="str">
            <v>Expenses</v>
          </cell>
        </row>
        <row r="28576">
          <cell r="L28576" t="str">
            <v>Non-proportional</v>
          </cell>
          <cell r="S28576">
            <v>213.16</v>
          </cell>
          <cell r="X28576" t="str">
            <v>Expenses</v>
          </cell>
        </row>
        <row r="28577">
          <cell r="L28577" t="str">
            <v>Non-proportional</v>
          </cell>
          <cell r="S28577">
            <v>1.63</v>
          </cell>
          <cell r="X28577" t="str">
            <v>Expenses</v>
          </cell>
        </row>
        <row r="28578">
          <cell r="L28578" t="str">
            <v>Non-proportional</v>
          </cell>
          <cell r="S28578">
            <v>53.85</v>
          </cell>
          <cell r="X28578" t="str">
            <v>Expenses</v>
          </cell>
        </row>
        <row r="28579">
          <cell r="L28579" t="str">
            <v>Non-proportional</v>
          </cell>
          <cell r="S28579">
            <v>427.46</v>
          </cell>
          <cell r="X28579" t="str">
            <v>Expenses</v>
          </cell>
        </row>
        <row r="28580">
          <cell r="L28580" t="str">
            <v>Non-proportional</v>
          </cell>
          <cell r="S28580">
            <v>164.17</v>
          </cell>
          <cell r="X28580" t="str">
            <v>Expenses</v>
          </cell>
        </row>
        <row r="28581">
          <cell r="L28581" t="str">
            <v>Non-proportional</v>
          </cell>
          <cell r="S28581">
            <v>672.35</v>
          </cell>
          <cell r="X28581" t="str">
            <v>Expenses</v>
          </cell>
        </row>
        <row r="28582">
          <cell r="L28582" t="str">
            <v>Non-proportional</v>
          </cell>
          <cell r="S28582">
            <v>38.97</v>
          </cell>
          <cell r="X28582" t="str">
            <v>Expenses</v>
          </cell>
        </row>
        <row r="28583">
          <cell r="L28583" t="str">
            <v>Non-proportional</v>
          </cell>
          <cell r="S28583">
            <v>-1.1000000000000001</v>
          </cell>
          <cell r="X28583" t="str">
            <v>Expenses</v>
          </cell>
        </row>
        <row r="28584">
          <cell r="L28584" t="str">
            <v>Non-proportional</v>
          </cell>
          <cell r="S28584">
            <v>-1.52</v>
          </cell>
          <cell r="X28584" t="str">
            <v>Expenses</v>
          </cell>
        </row>
        <row r="28585">
          <cell r="L28585" t="str">
            <v>Non-proportional</v>
          </cell>
          <cell r="S28585">
            <v>206.31</v>
          </cell>
          <cell r="X28585" t="str">
            <v>Expenses</v>
          </cell>
        </row>
        <row r="28586">
          <cell r="L28586" t="str">
            <v>Non-proportional</v>
          </cell>
          <cell r="S28586">
            <v>41.83</v>
          </cell>
          <cell r="X28586" t="str">
            <v>Expenses</v>
          </cell>
        </row>
        <row r="28587">
          <cell r="L28587" t="str">
            <v>Proportional</v>
          </cell>
          <cell r="S28587">
            <v>6010.28</v>
          </cell>
          <cell r="X28587" t="str">
            <v>Expenses</v>
          </cell>
        </row>
        <row r="28588">
          <cell r="L28588" t="str">
            <v>Non-proportional</v>
          </cell>
          <cell r="S28588">
            <v>136.43</v>
          </cell>
          <cell r="X28588" t="str">
            <v>Expenses</v>
          </cell>
        </row>
        <row r="28589">
          <cell r="L28589" t="str">
            <v>Non-proportional</v>
          </cell>
          <cell r="S28589">
            <v>252.03</v>
          </cell>
          <cell r="X28589" t="str">
            <v>Expenses</v>
          </cell>
        </row>
        <row r="28590">
          <cell r="L28590" t="str">
            <v>Non-proportional</v>
          </cell>
          <cell r="S28590">
            <v>-3.27</v>
          </cell>
          <cell r="X28590" t="str">
            <v>Expenses</v>
          </cell>
        </row>
        <row r="28591">
          <cell r="L28591" t="str">
            <v>Non-proportional</v>
          </cell>
          <cell r="S28591">
            <v>487.13</v>
          </cell>
          <cell r="X28591" t="str">
            <v>Expenses</v>
          </cell>
        </row>
        <row r="28592">
          <cell r="L28592" t="str">
            <v>Non-proportional</v>
          </cell>
          <cell r="S28592">
            <v>148.94999999999999</v>
          </cell>
          <cell r="X28592" t="str">
            <v>Expenses</v>
          </cell>
        </row>
        <row r="28593">
          <cell r="L28593" t="str">
            <v>Non-proportional</v>
          </cell>
          <cell r="S28593">
            <v>87.29</v>
          </cell>
          <cell r="X28593" t="str">
            <v>Expenses</v>
          </cell>
        </row>
        <row r="28594">
          <cell r="L28594" t="str">
            <v>Non-proportional</v>
          </cell>
          <cell r="S28594">
            <v>73.97</v>
          </cell>
          <cell r="X28594" t="str">
            <v>Expenses</v>
          </cell>
        </row>
        <row r="28595">
          <cell r="L28595" t="str">
            <v>Non-proportional</v>
          </cell>
          <cell r="S28595">
            <v>412.06</v>
          </cell>
          <cell r="X28595" t="str">
            <v>Expenses</v>
          </cell>
        </row>
        <row r="28596">
          <cell r="L28596" t="str">
            <v>Non-proportional</v>
          </cell>
          <cell r="S28596">
            <v>-13.64</v>
          </cell>
          <cell r="X28596" t="str">
            <v>Expenses</v>
          </cell>
        </row>
        <row r="28597">
          <cell r="L28597" t="str">
            <v>Non-proportional</v>
          </cell>
          <cell r="S28597">
            <v>2.0099999999999998</v>
          </cell>
          <cell r="X28597" t="str">
            <v>Expenses</v>
          </cell>
        </row>
        <row r="28598">
          <cell r="L28598" t="str">
            <v>Proportional</v>
          </cell>
          <cell r="S28598">
            <v>42.75</v>
          </cell>
          <cell r="X28598" t="str">
            <v>Expenses</v>
          </cell>
        </row>
        <row r="28599">
          <cell r="L28599" t="str">
            <v>Non-proportional</v>
          </cell>
          <cell r="S28599">
            <v>-0.11</v>
          </cell>
          <cell r="X28599" t="str">
            <v>Expenses</v>
          </cell>
        </row>
        <row r="28600">
          <cell r="L28600" t="str">
            <v>Non-proportional</v>
          </cell>
          <cell r="S28600">
            <v>161.1</v>
          </cell>
          <cell r="X28600" t="str">
            <v>Expenses</v>
          </cell>
        </row>
        <row r="28601">
          <cell r="L28601" t="str">
            <v>Non-proportional</v>
          </cell>
          <cell r="S28601">
            <v>-1.95</v>
          </cell>
          <cell r="X28601" t="str">
            <v>Expenses</v>
          </cell>
        </row>
        <row r="28602">
          <cell r="L28602" t="str">
            <v>Non-proportional</v>
          </cell>
          <cell r="S28602">
            <v>56.61</v>
          </cell>
          <cell r="X28602" t="str">
            <v>Expenses</v>
          </cell>
        </row>
        <row r="28603">
          <cell r="L28603" t="str">
            <v>Non-proportional</v>
          </cell>
          <cell r="S28603">
            <v>0</v>
          </cell>
          <cell r="X28603" t="str">
            <v>Expenses</v>
          </cell>
        </row>
        <row r="28604">
          <cell r="L28604" t="str">
            <v>Non-proportional</v>
          </cell>
          <cell r="S28604">
            <v>795.95</v>
          </cell>
          <cell r="X28604" t="str">
            <v>Expenses</v>
          </cell>
        </row>
        <row r="28605">
          <cell r="L28605" t="str">
            <v>Proportional</v>
          </cell>
          <cell r="S28605">
            <v>121.58</v>
          </cell>
          <cell r="X28605" t="str">
            <v>Expenses</v>
          </cell>
        </row>
        <row r="28606">
          <cell r="L28606" t="str">
            <v>Proportional</v>
          </cell>
          <cell r="S28606">
            <v>-3.05</v>
          </cell>
          <cell r="X28606" t="str">
            <v>Expenses</v>
          </cell>
        </row>
        <row r="28607">
          <cell r="L28607" t="str">
            <v>Non-proportional</v>
          </cell>
          <cell r="S28607">
            <v>337.25</v>
          </cell>
          <cell r="X28607" t="str">
            <v>Expenses</v>
          </cell>
        </row>
        <row r="28608">
          <cell r="L28608" t="str">
            <v>Non-proportional</v>
          </cell>
          <cell r="S28608">
            <v>248.03</v>
          </cell>
          <cell r="X28608" t="str">
            <v>Expenses</v>
          </cell>
        </row>
        <row r="28609">
          <cell r="L28609" t="str">
            <v>Non-proportional</v>
          </cell>
          <cell r="S28609">
            <v>51.12</v>
          </cell>
          <cell r="X28609" t="str">
            <v>Expenses</v>
          </cell>
        </row>
        <row r="28610">
          <cell r="L28610" t="str">
            <v>Non-proportional</v>
          </cell>
          <cell r="S28610">
            <v>-3.75</v>
          </cell>
          <cell r="X28610" t="str">
            <v>Expenses</v>
          </cell>
        </row>
        <row r="28611">
          <cell r="L28611" t="str">
            <v>Non-proportional</v>
          </cell>
          <cell r="S28611">
            <v>-5.89</v>
          </cell>
          <cell r="X28611" t="str">
            <v>Expenses</v>
          </cell>
        </row>
        <row r="28612">
          <cell r="L28612" t="str">
            <v>Non-proportional</v>
          </cell>
          <cell r="S28612">
            <v>43.26</v>
          </cell>
          <cell r="X28612" t="str">
            <v>Expenses</v>
          </cell>
        </row>
        <row r="28613">
          <cell r="L28613" t="str">
            <v>Non-proportional</v>
          </cell>
          <cell r="S28613">
            <v>67.88</v>
          </cell>
          <cell r="X28613" t="str">
            <v>Expenses</v>
          </cell>
        </row>
        <row r="28614">
          <cell r="L28614" t="str">
            <v>Non-proportional</v>
          </cell>
          <cell r="S28614">
            <v>-7.11</v>
          </cell>
          <cell r="X28614" t="str">
            <v>Expenses</v>
          </cell>
        </row>
        <row r="28615">
          <cell r="L28615" t="str">
            <v>Proportional</v>
          </cell>
          <cell r="S28615">
            <v>93.9</v>
          </cell>
          <cell r="X28615" t="str">
            <v>Expenses</v>
          </cell>
        </row>
        <row r="28616">
          <cell r="L28616" t="str">
            <v>Non-proportional</v>
          </cell>
          <cell r="S28616">
            <v>47.55</v>
          </cell>
          <cell r="X28616" t="str">
            <v>Expenses</v>
          </cell>
        </row>
        <row r="28617">
          <cell r="L28617" t="str">
            <v>Non-proportional</v>
          </cell>
          <cell r="S28617">
            <v>0</v>
          </cell>
          <cell r="X28617" t="str">
            <v>Expenses</v>
          </cell>
        </row>
        <row r="28618">
          <cell r="L28618" t="str">
            <v>Proportional</v>
          </cell>
          <cell r="S28618">
            <v>11.72</v>
          </cell>
          <cell r="X28618" t="str">
            <v>Expenses</v>
          </cell>
        </row>
        <row r="28619">
          <cell r="L28619" t="str">
            <v>Non-proportional</v>
          </cell>
          <cell r="S28619">
            <v>622.32000000000005</v>
          </cell>
          <cell r="X28619" t="str">
            <v>Expenses</v>
          </cell>
        </row>
        <row r="28620">
          <cell r="L28620" t="str">
            <v>Non-proportional</v>
          </cell>
          <cell r="S28620">
            <v>55.51</v>
          </cell>
          <cell r="X28620" t="str">
            <v>Expenses</v>
          </cell>
        </row>
        <row r="28621">
          <cell r="L28621" t="str">
            <v>Non-proportional</v>
          </cell>
          <cell r="S28621">
            <v>147.05000000000001</v>
          </cell>
          <cell r="X28621" t="str">
            <v>Expenses</v>
          </cell>
        </row>
        <row r="28622">
          <cell r="L28622" t="str">
            <v>Non-proportional</v>
          </cell>
          <cell r="S28622">
            <v>100.48</v>
          </cell>
          <cell r="X28622" t="str">
            <v>Expenses</v>
          </cell>
        </row>
        <row r="28623">
          <cell r="L28623" t="str">
            <v>Non-proportional</v>
          </cell>
          <cell r="S28623">
            <v>142.82</v>
          </cell>
          <cell r="X28623" t="str">
            <v>Expenses</v>
          </cell>
        </row>
        <row r="28624">
          <cell r="L28624" t="str">
            <v>Non-proportional</v>
          </cell>
          <cell r="S28624">
            <v>102.74</v>
          </cell>
          <cell r="X28624" t="str">
            <v>Expenses</v>
          </cell>
        </row>
        <row r="28625">
          <cell r="L28625" t="str">
            <v>Non-proportional</v>
          </cell>
          <cell r="S28625">
            <v>-0.06</v>
          </cell>
          <cell r="X28625" t="str">
            <v>Expenses</v>
          </cell>
        </row>
        <row r="28626">
          <cell r="L28626" t="str">
            <v>Non-proportional</v>
          </cell>
          <cell r="S28626">
            <v>89.17</v>
          </cell>
          <cell r="X28626" t="str">
            <v>Expenses</v>
          </cell>
        </row>
        <row r="28627">
          <cell r="L28627" t="str">
            <v>Non-proportional</v>
          </cell>
          <cell r="S28627">
            <v>59.97</v>
          </cell>
          <cell r="X28627" t="str">
            <v>Expenses</v>
          </cell>
        </row>
        <row r="28628">
          <cell r="L28628" t="str">
            <v>Non-proportional</v>
          </cell>
          <cell r="S28628">
            <v>44.43</v>
          </cell>
          <cell r="X28628" t="str">
            <v>Expenses</v>
          </cell>
        </row>
        <row r="28629">
          <cell r="L28629" t="str">
            <v>Proportional</v>
          </cell>
          <cell r="S28629">
            <v>-22.3</v>
          </cell>
          <cell r="X28629" t="str">
            <v>Expenses</v>
          </cell>
        </row>
        <row r="28630">
          <cell r="L28630" t="str">
            <v>Non-proportional</v>
          </cell>
          <cell r="S28630">
            <v>0</v>
          </cell>
          <cell r="X28630" t="str">
            <v>Expenses</v>
          </cell>
        </row>
        <row r="28631">
          <cell r="L28631" t="str">
            <v>Non-proportional</v>
          </cell>
          <cell r="S28631">
            <v>-0.08</v>
          </cell>
          <cell r="X28631" t="str">
            <v>Expenses</v>
          </cell>
        </row>
        <row r="28632">
          <cell r="L28632" t="str">
            <v>Non-proportional</v>
          </cell>
          <cell r="S28632">
            <v>65.98</v>
          </cell>
          <cell r="X28632" t="str">
            <v>Expenses</v>
          </cell>
        </row>
        <row r="28633">
          <cell r="L28633" t="str">
            <v>Non-proportional</v>
          </cell>
          <cell r="S28633">
            <v>183.68</v>
          </cell>
          <cell r="X28633" t="str">
            <v>Expenses</v>
          </cell>
        </row>
        <row r="28634">
          <cell r="L28634" t="str">
            <v>Non-proportional</v>
          </cell>
          <cell r="S28634">
            <v>156.18</v>
          </cell>
          <cell r="X28634" t="str">
            <v>Expenses</v>
          </cell>
        </row>
        <row r="28635">
          <cell r="L28635" t="str">
            <v>Non-proportional</v>
          </cell>
          <cell r="S28635">
            <v>85.34</v>
          </cell>
          <cell r="X28635" t="str">
            <v>Expenses</v>
          </cell>
        </row>
        <row r="28636">
          <cell r="L28636" t="str">
            <v>Non-proportional</v>
          </cell>
          <cell r="S28636">
            <v>54.18</v>
          </cell>
          <cell r="X28636" t="str">
            <v>Expenses</v>
          </cell>
        </row>
        <row r="28637">
          <cell r="L28637" t="str">
            <v>Non-proportional</v>
          </cell>
          <cell r="S28637">
            <v>59.79</v>
          </cell>
          <cell r="X28637" t="str">
            <v>Expenses</v>
          </cell>
        </row>
        <row r="28638">
          <cell r="L28638" t="str">
            <v>Non-proportional</v>
          </cell>
          <cell r="S28638">
            <v>198.53</v>
          </cell>
          <cell r="X28638" t="str">
            <v>Expenses</v>
          </cell>
        </row>
        <row r="28639">
          <cell r="L28639" t="str">
            <v>Non-proportional</v>
          </cell>
          <cell r="S28639">
            <v>220.67</v>
          </cell>
          <cell r="X28639" t="str">
            <v>Expenses</v>
          </cell>
        </row>
        <row r="28640">
          <cell r="L28640" t="str">
            <v>Non-proportional</v>
          </cell>
          <cell r="S28640">
            <v>133.24</v>
          </cell>
          <cell r="X28640" t="str">
            <v>Expenses</v>
          </cell>
        </row>
        <row r="28641">
          <cell r="L28641" t="str">
            <v>Non-proportional</v>
          </cell>
          <cell r="S28641">
            <v>101.13</v>
          </cell>
          <cell r="X28641" t="str">
            <v>Expenses</v>
          </cell>
        </row>
        <row r="28642">
          <cell r="L28642" t="str">
            <v>Non-proportional</v>
          </cell>
          <cell r="S28642">
            <v>-5.84</v>
          </cell>
          <cell r="X28642" t="str">
            <v>Expenses</v>
          </cell>
        </row>
        <row r="28643">
          <cell r="L28643" t="str">
            <v>Proportional</v>
          </cell>
          <cell r="S28643">
            <v>-3.29</v>
          </cell>
          <cell r="X28643" t="str">
            <v>Expenses</v>
          </cell>
        </row>
        <row r="28644">
          <cell r="L28644" t="str">
            <v>Non-proportional</v>
          </cell>
          <cell r="S28644">
            <v>24.2</v>
          </cell>
          <cell r="X28644" t="str">
            <v>Expenses</v>
          </cell>
        </row>
        <row r="28645">
          <cell r="L28645" t="str">
            <v>Non-proportional</v>
          </cell>
          <cell r="S28645">
            <v>42.67</v>
          </cell>
          <cell r="X28645" t="str">
            <v>Expenses</v>
          </cell>
        </row>
        <row r="28646">
          <cell r="L28646" t="str">
            <v>Non-proportional</v>
          </cell>
          <cell r="S28646">
            <v>357.16</v>
          </cell>
          <cell r="X28646" t="str">
            <v>Expenses</v>
          </cell>
        </row>
        <row r="28647">
          <cell r="L28647" t="str">
            <v>Non-proportional</v>
          </cell>
          <cell r="S28647">
            <v>52.24</v>
          </cell>
          <cell r="X28647" t="str">
            <v>Expenses</v>
          </cell>
        </row>
        <row r="28648">
          <cell r="L28648" t="str">
            <v>Non-proportional</v>
          </cell>
          <cell r="S28648">
            <v>238.72</v>
          </cell>
          <cell r="X28648" t="str">
            <v>Expenses</v>
          </cell>
        </row>
        <row r="28649">
          <cell r="L28649" t="str">
            <v>Non-proportional</v>
          </cell>
          <cell r="S28649">
            <v>49.1</v>
          </cell>
          <cell r="X28649" t="str">
            <v>Expenses</v>
          </cell>
        </row>
        <row r="28650">
          <cell r="L28650" t="str">
            <v>Non-proportional</v>
          </cell>
          <cell r="S28650">
            <v>125.89</v>
          </cell>
          <cell r="X28650" t="str">
            <v>Expenses</v>
          </cell>
        </row>
        <row r="28651">
          <cell r="L28651" t="str">
            <v>Non-proportional</v>
          </cell>
          <cell r="S28651">
            <v>33.840000000000003</v>
          </cell>
          <cell r="X28651" t="str">
            <v>Expenses</v>
          </cell>
        </row>
        <row r="28652">
          <cell r="L28652" t="str">
            <v>Non-proportional</v>
          </cell>
          <cell r="S28652">
            <v>297.81</v>
          </cell>
          <cell r="X28652" t="str">
            <v>Expenses</v>
          </cell>
        </row>
        <row r="28653">
          <cell r="L28653" t="str">
            <v>Non-proportional</v>
          </cell>
          <cell r="S28653">
            <v>0</v>
          </cell>
          <cell r="X28653" t="str">
            <v>Expenses</v>
          </cell>
        </row>
        <row r="28654">
          <cell r="L28654" t="str">
            <v>Non-proportional</v>
          </cell>
          <cell r="S28654">
            <v>101.45</v>
          </cell>
          <cell r="X28654" t="str">
            <v>Expenses</v>
          </cell>
        </row>
        <row r="28655">
          <cell r="L28655" t="str">
            <v>Non-proportional</v>
          </cell>
          <cell r="S28655">
            <v>87.83</v>
          </cell>
          <cell r="X28655" t="str">
            <v>Expenses</v>
          </cell>
        </row>
        <row r="28656">
          <cell r="L28656" t="str">
            <v>Non-proportional</v>
          </cell>
          <cell r="S28656">
            <v>341.28</v>
          </cell>
          <cell r="X28656" t="str">
            <v>Expenses</v>
          </cell>
        </row>
        <row r="28657">
          <cell r="L28657" t="str">
            <v>Non-proportional</v>
          </cell>
          <cell r="S28657">
            <v>127.68</v>
          </cell>
          <cell r="X28657" t="str">
            <v>Expenses</v>
          </cell>
        </row>
        <row r="28658">
          <cell r="L28658" t="str">
            <v>Non-proportional</v>
          </cell>
          <cell r="S28658">
            <v>188.77</v>
          </cell>
          <cell r="X28658" t="str">
            <v>Expenses</v>
          </cell>
        </row>
        <row r="28659">
          <cell r="L28659" t="str">
            <v>Non-proportional</v>
          </cell>
          <cell r="S28659">
            <v>0</v>
          </cell>
          <cell r="X28659" t="str">
            <v>Expenses</v>
          </cell>
        </row>
        <row r="28660">
          <cell r="L28660" t="str">
            <v>Non-proportional</v>
          </cell>
          <cell r="S28660">
            <v>167.93</v>
          </cell>
          <cell r="X28660" t="str">
            <v>Expenses</v>
          </cell>
        </row>
        <row r="28661">
          <cell r="L28661" t="str">
            <v>Non-proportional</v>
          </cell>
          <cell r="S28661">
            <v>15</v>
          </cell>
          <cell r="X28661" t="str">
            <v>Expenses</v>
          </cell>
        </row>
        <row r="28662">
          <cell r="L28662" t="str">
            <v>Non-proportional</v>
          </cell>
          <cell r="S28662">
            <v>21.59</v>
          </cell>
          <cell r="X28662" t="str">
            <v>Expenses</v>
          </cell>
        </row>
        <row r="28663">
          <cell r="L28663" t="str">
            <v>Non-proportional</v>
          </cell>
          <cell r="S28663">
            <v>159.97999999999999</v>
          </cell>
          <cell r="X28663" t="str">
            <v>Expenses</v>
          </cell>
        </row>
        <row r="28664">
          <cell r="L28664" t="str">
            <v>Non-proportional</v>
          </cell>
          <cell r="S28664">
            <v>314.89</v>
          </cell>
          <cell r="X28664" t="str">
            <v>Expenses</v>
          </cell>
        </row>
        <row r="28665">
          <cell r="L28665" t="str">
            <v>Proportional</v>
          </cell>
          <cell r="S28665">
            <v>3.14</v>
          </cell>
          <cell r="X28665" t="str">
            <v>Expenses</v>
          </cell>
        </row>
        <row r="28666">
          <cell r="L28666" t="str">
            <v>Non-proportional</v>
          </cell>
          <cell r="S28666">
            <v>12.77</v>
          </cell>
          <cell r="X28666" t="str">
            <v>Expenses</v>
          </cell>
        </row>
        <row r="28667">
          <cell r="L28667" t="str">
            <v>Non-proportional</v>
          </cell>
          <cell r="S28667">
            <v>42.59</v>
          </cell>
          <cell r="X28667" t="str">
            <v>Expenses</v>
          </cell>
        </row>
        <row r="28668">
          <cell r="L28668" t="str">
            <v>Non-proportional</v>
          </cell>
          <cell r="S28668">
            <v>-3.63</v>
          </cell>
          <cell r="X28668" t="str">
            <v>Expenses</v>
          </cell>
        </row>
        <row r="28669">
          <cell r="L28669" t="str">
            <v>Non-proportional</v>
          </cell>
          <cell r="S28669">
            <v>0</v>
          </cell>
          <cell r="X28669" t="str">
            <v>Expenses</v>
          </cell>
        </row>
        <row r="28670">
          <cell r="L28670" t="str">
            <v>Non-proportional</v>
          </cell>
          <cell r="S28670">
            <v>176.46</v>
          </cell>
          <cell r="X28670" t="str">
            <v>Expenses</v>
          </cell>
        </row>
        <row r="28671">
          <cell r="L28671" t="str">
            <v>Proportional</v>
          </cell>
          <cell r="S28671">
            <v>5700.47</v>
          </cell>
          <cell r="X28671" t="str">
            <v>Expenses</v>
          </cell>
        </row>
        <row r="28672">
          <cell r="L28672" t="str">
            <v>Non-proportional</v>
          </cell>
          <cell r="S28672">
            <v>58.57</v>
          </cell>
          <cell r="X28672" t="str">
            <v>Expenses</v>
          </cell>
        </row>
        <row r="28673">
          <cell r="L28673" t="str">
            <v>Non-proportional</v>
          </cell>
          <cell r="S28673">
            <v>103.12</v>
          </cell>
          <cell r="X28673" t="str">
            <v>Expenses</v>
          </cell>
        </row>
        <row r="28674">
          <cell r="L28674" t="str">
            <v>Non-proportional</v>
          </cell>
          <cell r="S28674">
            <v>15.95</v>
          </cell>
          <cell r="X28674" t="str">
            <v>Expenses</v>
          </cell>
        </row>
        <row r="28675">
          <cell r="L28675" t="str">
            <v>Non-proportional</v>
          </cell>
          <cell r="S28675">
            <v>0</v>
          </cell>
          <cell r="X28675" t="str">
            <v>Expenses</v>
          </cell>
        </row>
        <row r="28676">
          <cell r="L28676" t="str">
            <v>Non-proportional</v>
          </cell>
          <cell r="S28676">
            <v>-0.56000000000000005</v>
          </cell>
          <cell r="X28676" t="str">
            <v>Expenses</v>
          </cell>
        </row>
        <row r="28677">
          <cell r="L28677" t="str">
            <v>Non-proportional</v>
          </cell>
          <cell r="S28677">
            <v>46.92</v>
          </cell>
          <cell r="X28677" t="str">
            <v>Expenses</v>
          </cell>
        </row>
        <row r="28678">
          <cell r="L28678" t="str">
            <v>Non-proportional</v>
          </cell>
          <cell r="S28678">
            <v>223.96</v>
          </cell>
          <cell r="X28678" t="str">
            <v>Expenses</v>
          </cell>
        </row>
        <row r="28679">
          <cell r="L28679" t="str">
            <v>Non-proportional</v>
          </cell>
          <cell r="S28679">
            <v>430.86</v>
          </cell>
          <cell r="X28679" t="str">
            <v>Expenses</v>
          </cell>
        </row>
        <row r="28680">
          <cell r="L28680" t="str">
            <v>Proportional</v>
          </cell>
          <cell r="S28680">
            <v>113.17</v>
          </cell>
          <cell r="X28680" t="str">
            <v>Expenses</v>
          </cell>
        </row>
        <row r="28681">
          <cell r="L28681" t="str">
            <v>Non-proportional</v>
          </cell>
          <cell r="S28681">
            <v>-0.74</v>
          </cell>
          <cell r="X28681" t="str">
            <v>Expenses</v>
          </cell>
        </row>
        <row r="28682">
          <cell r="L28682" t="str">
            <v>Non-proportional</v>
          </cell>
          <cell r="S28682">
            <v>-0.08</v>
          </cell>
          <cell r="X28682" t="str">
            <v>Expenses</v>
          </cell>
        </row>
        <row r="28683">
          <cell r="L28683" t="str">
            <v>Non-proportional</v>
          </cell>
          <cell r="S28683">
            <v>-1.51</v>
          </cell>
          <cell r="X28683" t="str">
            <v>Expenses</v>
          </cell>
        </row>
        <row r="28684">
          <cell r="L28684" t="str">
            <v>Non-proportional</v>
          </cell>
          <cell r="S28684">
            <v>85.01</v>
          </cell>
          <cell r="X28684" t="str">
            <v>Expenses</v>
          </cell>
        </row>
        <row r="28685">
          <cell r="L28685" t="str">
            <v>Non-proportional</v>
          </cell>
          <cell r="S28685">
            <v>-1.93</v>
          </cell>
          <cell r="X28685" t="str">
            <v>Expenses</v>
          </cell>
        </row>
        <row r="28686">
          <cell r="L28686" t="str">
            <v>Non-proportional</v>
          </cell>
          <cell r="S28686">
            <v>-0.39</v>
          </cell>
          <cell r="X28686" t="str">
            <v>Expenses</v>
          </cell>
        </row>
        <row r="28687">
          <cell r="L28687" t="str">
            <v>Non-proportional</v>
          </cell>
          <cell r="S28687">
            <v>280.27999999999997</v>
          </cell>
          <cell r="X28687" t="str">
            <v>Expenses</v>
          </cell>
        </row>
        <row r="28688">
          <cell r="L28688" t="str">
            <v>Non-proportional</v>
          </cell>
          <cell r="S28688">
            <v>628.75</v>
          </cell>
          <cell r="X28688" t="str">
            <v>Expenses</v>
          </cell>
        </row>
        <row r="28689">
          <cell r="L28689" t="str">
            <v>Non-proportional</v>
          </cell>
          <cell r="S28689">
            <v>89.9</v>
          </cell>
          <cell r="X28689" t="str">
            <v>Expenses</v>
          </cell>
        </row>
        <row r="28690">
          <cell r="L28690" t="str">
            <v>Non-proportional</v>
          </cell>
          <cell r="S28690">
            <v>161.6</v>
          </cell>
          <cell r="X28690" t="str">
            <v>Expenses</v>
          </cell>
        </row>
        <row r="28691">
          <cell r="L28691" t="str">
            <v>Non-proportional</v>
          </cell>
          <cell r="S28691">
            <v>49.6</v>
          </cell>
          <cell r="X28691" t="str">
            <v>Expenses</v>
          </cell>
        </row>
        <row r="28692">
          <cell r="L28692" t="str">
            <v>Non-proportional</v>
          </cell>
          <cell r="S28692">
            <v>-7.06</v>
          </cell>
          <cell r="X28692" t="str">
            <v>Expenses</v>
          </cell>
        </row>
        <row r="28693">
          <cell r="L28693" t="str">
            <v>Non-proportional</v>
          </cell>
          <cell r="S28693">
            <v>-0.63</v>
          </cell>
          <cell r="X28693" t="str">
            <v>Expenses</v>
          </cell>
        </row>
        <row r="28694">
          <cell r="L28694" t="str">
            <v>Non-proportional</v>
          </cell>
          <cell r="S28694">
            <v>-0.27</v>
          </cell>
          <cell r="X28694" t="str">
            <v>Expenses</v>
          </cell>
        </row>
        <row r="28695">
          <cell r="L28695" t="str">
            <v>Non-proportional</v>
          </cell>
          <cell r="S28695">
            <v>396.3</v>
          </cell>
          <cell r="X28695" t="str">
            <v>Expenses</v>
          </cell>
        </row>
        <row r="28696">
          <cell r="L28696" t="str">
            <v>Non-proportional</v>
          </cell>
          <cell r="S28696">
            <v>25.08</v>
          </cell>
          <cell r="X28696" t="str">
            <v>Expenses</v>
          </cell>
        </row>
        <row r="28697">
          <cell r="L28697" t="str">
            <v>Non-proportional</v>
          </cell>
          <cell r="S28697">
            <v>40.58</v>
          </cell>
          <cell r="X28697" t="str">
            <v>Expenses</v>
          </cell>
        </row>
        <row r="28698">
          <cell r="L28698" t="str">
            <v>Non-proportional</v>
          </cell>
          <cell r="S28698">
            <v>-0.35</v>
          </cell>
          <cell r="X28698" t="str">
            <v>Expenses</v>
          </cell>
        </row>
        <row r="28699">
          <cell r="L28699" t="str">
            <v>Non-proportional</v>
          </cell>
          <cell r="S28699">
            <v>105.19</v>
          </cell>
          <cell r="X28699" t="str">
            <v>Expenses</v>
          </cell>
        </row>
        <row r="28700">
          <cell r="L28700" t="str">
            <v>Non-proportional</v>
          </cell>
          <cell r="S28700">
            <v>58.12</v>
          </cell>
          <cell r="X28700" t="str">
            <v>Expenses</v>
          </cell>
        </row>
        <row r="28701">
          <cell r="L28701" t="str">
            <v>Non-proportional</v>
          </cell>
          <cell r="S28701">
            <v>175.33</v>
          </cell>
          <cell r="X28701" t="str">
            <v>Expenses</v>
          </cell>
        </row>
        <row r="28702">
          <cell r="L28702" t="str">
            <v>Non-proportional</v>
          </cell>
          <cell r="S28702">
            <v>146.62</v>
          </cell>
          <cell r="X28702" t="str">
            <v>Expenses</v>
          </cell>
        </row>
        <row r="28703">
          <cell r="L28703" t="str">
            <v>Non-proportional</v>
          </cell>
          <cell r="S28703">
            <v>90.35</v>
          </cell>
          <cell r="X28703" t="str">
            <v>Expenses</v>
          </cell>
        </row>
        <row r="28704">
          <cell r="L28704" t="str">
            <v>Non-proportional</v>
          </cell>
          <cell r="S28704">
            <v>211.77</v>
          </cell>
          <cell r="X28704" t="str">
            <v>Expenses</v>
          </cell>
        </row>
        <row r="28705">
          <cell r="L28705" t="str">
            <v>Non-proportional</v>
          </cell>
          <cell r="S28705">
            <v>354.42</v>
          </cell>
          <cell r="X28705" t="str">
            <v>Expenses</v>
          </cell>
        </row>
        <row r="28706">
          <cell r="L28706" t="str">
            <v>Non-proportional</v>
          </cell>
          <cell r="S28706">
            <v>85.32</v>
          </cell>
          <cell r="X28706" t="str">
            <v>Expenses</v>
          </cell>
        </row>
        <row r="28707">
          <cell r="L28707" t="str">
            <v>Non-proportional</v>
          </cell>
          <cell r="S28707">
            <v>421.55</v>
          </cell>
          <cell r="X28707" t="str">
            <v>Expenses</v>
          </cell>
        </row>
        <row r="28708">
          <cell r="L28708" t="str">
            <v>Non-proportional</v>
          </cell>
          <cell r="S28708">
            <v>169.33</v>
          </cell>
          <cell r="X28708" t="str">
            <v>Expenses</v>
          </cell>
        </row>
        <row r="28709">
          <cell r="L28709" t="str">
            <v>Non-proportional</v>
          </cell>
          <cell r="S28709">
            <v>132.76</v>
          </cell>
          <cell r="X28709" t="str">
            <v>Expenses</v>
          </cell>
        </row>
        <row r="28710">
          <cell r="L28710" t="str">
            <v>Non-proportional</v>
          </cell>
          <cell r="S28710">
            <v>0</v>
          </cell>
          <cell r="X28710" t="str">
            <v>Expenses</v>
          </cell>
        </row>
        <row r="28711">
          <cell r="L28711" t="str">
            <v>Non-proportional</v>
          </cell>
          <cell r="S28711">
            <v>0</v>
          </cell>
          <cell r="X28711" t="str">
            <v>Expenses</v>
          </cell>
        </row>
        <row r="28712">
          <cell r="L28712" t="str">
            <v>Non-proportional</v>
          </cell>
          <cell r="S28712">
            <v>-1.18</v>
          </cell>
          <cell r="X28712" t="str">
            <v>Expenses</v>
          </cell>
        </row>
        <row r="28713">
          <cell r="L28713" t="str">
            <v>Non-proportional</v>
          </cell>
          <cell r="S28713">
            <v>7.15</v>
          </cell>
          <cell r="X28713" t="str">
            <v>Expenses</v>
          </cell>
        </row>
        <row r="28714">
          <cell r="L28714" t="str">
            <v>Non-proportional</v>
          </cell>
          <cell r="S28714">
            <v>103.99</v>
          </cell>
          <cell r="X28714" t="str">
            <v>Expenses</v>
          </cell>
        </row>
        <row r="28715">
          <cell r="L28715" t="str">
            <v>Non-proportional</v>
          </cell>
          <cell r="S28715">
            <v>207.96</v>
          </cell>
          <cell r="X28715" t="str">
            <v>Expenses</v>
          </cell>
        </row>
        <row r="28716">
          <cell r="L28716" t="str">
            <v>Non-proportional</v>
          </cell>
          <cell r="S28716">
            <v>34.409999999999997</v>
          </cell>
          <cell r="X28716" t="str">
            <v>Expenses</v>
          </cell>
        </row>
        <row r="28717">
          <cell r="L28717" t="str">
            <v>Non-proportional</v>
          </cell>
          <cell r="S28717">
            <v>-3.21</v>
          </cell>
          <cell r="X28717" t="str">
            <v>Expenses</v>
          </cell>
        </row>
        <row r="28718">
          <cell r="L28718" t="str">
            <v>Non-proportional</v>
          </cell>
          <cell r="S28718">
            <v>98.9</v>
          </cell>
          <cell r="X28718" t="str">
            <v>Expenses</v>
          </cell>
        </row>
        <row r="28719">
          <cell r="L28719" t="str">
            <v>Non-proportional</v>
          </cell>
          <cell r="S28719">
            <v>35.51</v>
          </cell>
          <cell r="X28719" t="str">
            <v>Expenses</v>
          </cell>
        </row>
        <row r="28720">
          <cell r="L28720" t="str">
            <v>Non-proportional</v>
          </cell>
          <cell r="S28720">
            <v>244.11</v>
          </cell>
          <cell r="X28720" t="str">
            <v>Expenses</v>
          </cell>
        </row>
        <row r="28721">
          <cell r="L28721" t="str">
            <v>Non-proportional</v>
          </cell>
          <cell r="S28721">
            <v>661.82</v>
          </cell>
          <cell r="X28721" t="str">
            <v>Expenses</v>
          </cell>
        </row>
        <row r="28722">
          <cell r="L28722" t="str">
            <v>Non-proportional</v>
          </cell>
          <cell r="S28722">
            <v>672.93</v>
          </cell>
          <cell r="X28722" t="str">
            <v>Expenses</v>
          </cell>
        </row>
        <row r="28723">
          <cell r="L28723" t="str">
            <v>Proportional</v>
          </cell>
          <cell r="S28723">
            <v>12.79</v>
          </cell>
          <cell r="X28723" t="str">
            <v>Expenses</v>
          </cell>
        </row>
        <row r="28724">
          <cell r="L28724" t="str">
            <v>Non-proportional</v>
          </cell>
          <cell r="S28724">
            <v>81.319999999999993</v>
          </cell>
          <cell r="X28724" t="str">
            <v>Expenses</v>
          </cell>
        </row>
        <row r="28725">
          <cell r="L28725" t="str">
            <v>Non-proportional</v>
          </cell>
          <cell r="S28725">
            <v>-4.97</v>
          </cell>
          <cell r="X28725" t="str">
            <v>Expenses</v>
          </cell>
        </row>
        <row r="28726">
          <cell r="L28726" t="str">
            <v>Non-proportional</v>
          </cell>
          <cell r="S28726">
            <v>-3.05</v>
          </cell>
          <cell r="X28726" t="str">
            <v>Expenses</v>
          </cell>
        </row>
        <row r="28727">
          <cell r="L28727" t="str">
            <v>Non-proportional</v>
          </cell>
          <cell r="S28727">
            <v>169.65</v>
          </cell>
          <cell r="X28727" t="str">
            <v>Expenses</v>
          </cell>
        </row>
        <row r="28728">
          <cell r="L28728" t="str">
            <v>Non-proportional</v>
          </cell>
          <cell r="S28728">
            <v>206.75</v>
          </cell>
          <cell r="X28728" t="str">
            <v>Expenses</v>
          </cell>
        </row>
        <row r="28729">
          <cell r="L28729" t="str">
            <v>Non-proportional</v>
          </cell>
          <cell r="S28729">
            <v>87.77</v>
          </cell>
          <cell r="X28729" t="str">
            <v>Expenses</v>
          </cell>
        </row>
        <row r="28730">
          <cell r="L28730" t="str">
            <v>Non-proportional</v>
          </cell>
          <cell r="S28730">
            <v>262.55</v>
          </cell>
          <cell r="X28730" t="str">
            <v>Expenses</v>
          </cell>
        </row>
        <row r="28731">
          <cell r="L28731" t="str">
            <v>Non-proportional</v>
          </cell>
          <cell r="S28731">
            <v>1.95</v>
          </cell>
          <cell r="X28731" t="str">
            <v>Expenses</v>
          </cell>
        </row>
        <row r="28732">
          <cell r="L28732" t="str">
            <v>Non-proportional</v>
          </cell>
          <cell r="S28732">
            <v>-0.5</v>
          </cell>
          <cell r="X28732" t="str">
            <v>Expenses</v>
          </cell>
        </row>
        <row r="28733">
          <cell r="L28733" t="str">
            <v>Non-proportional</v>
          </cell>
          <cell r="S28733">
            <v>46.3</v>
          </cell>
          <cell r="X28733" t="str">
            <v>Expenses</v>
          </cell>
        </row>
        <row r="28734">
          <cell r="L28734" t="str">
            <v>Non-proportional</v>
          </cell>
          <cell r="S28734">
            <v>0</v>
          </cell>
          <cell r="X28734" t="str">
            <v>Expenses</v>
          </cell>
        </row>
        <row r="28735">
          <cell r="L28735" t="str">
            <v>Non-proportional</v>
          </cell>
          <cell r="S28735">
            <v>117.3</v>
          </cell>
          <cell r="X28735" t="str">
            <v>Expenses</v>
          </cell>
        </row>
        <row r="28736">
          <cell r="L28736" t="str">
            <v>Non-proportional</v>
          </cell>
          <cell r="S28736">
            <v>280.27999999999997</v>
          </cell>
          <cell r="X28736" t="str">
            <v>Expenses</v>
          </cell>
        </row>
        <row r="28737">
          <cell r="L28737" t="str">
            <v>Non-proportional</v>
          </cell>
          <cell r="S28737">
            <v>146.09</v>
          </cell>
          <cell r="X28737" t="str">
            <v>Expenses</v>
          </cell>
        </row>
        <row r="28738">
          <cell r="L28738" t="str">
            <v>Non-proportional</v>
          </cell>
          <cell r="S28738">
            <v>0.21</v>
          </cell>
          <cell r="X28738" t="str">
            <v>Expenses</v>
          </cell>
        </row>
        <row r="28739">
          <cell r="L28739" t="str">
            <v>Non-proportional</v>
          </cell>
          <cell r="S28739">
            <v>34.72</v>
          </cell>
          <cell r="X28739" t="str">
            <v>Expenses</v>
          </cell>
        </row>
        <row r="28740">
          <cell r="L28740" t="str">
            <v>Non-proportional</v>
          </cell>
          <cell r="S28740">
            <v>46.81</v>
          </cell>
          <cell r="X28740" t="str">
            <v>Expenses</v>
          </cell>
        </row>
        <row r="28741">
          <cell r="L28741" t="str">
            <v>Non-proportional</v>
          </cell>
          <cell r="S28741">
            <v>479.5</v>
          </cell>
          <cell r="X28741" t="str">
            <v>Expenses</v>
          </cell>
        </row>
        <row r="28742">
          <cell r="L28742" t="str">
            <v>Non-proportional</v>
          </cell>
          <cell r="S28742">
            <v>909.99</v>
          </cell>
          <cell r="X28742" t="str">
            <v>Expenses</v>
          </cell>
        </row>
        <row r="28743">
          <cell r="L28743" t="str">
            <v>Non-proportional</v>
          </cell>
          <cell r="S28743">
            <v>83.19</v>
          </cell>
          <cell r="X28743" t="str">
            <v>Expenses</v>
          </cell>
        </row>
        <row r="28744">
          <cell r="L28744" t="str">
            <v>Non-proportional</v>
          </cell>
          <cell r="S28744">
            <v>612.58000000000004</v>
          </cell>
          <cell r="X28744" t="str">
            <v>Expenses</v>
          </cell>
        </row>
        <row r="28745">
          <cell r="L28745" t="str">
            <v>Non-proportional</v>
          </cell>
          <cell r="S28745">
            <v>1.59</v>
          </cell>
          <cell r="X28745" t="str">
            <v>Expenses</v>
          </cell>
        </row>
        <row r="28746">
          <cell r="L28746" t="str">
            <v>Non-proportional</v>
          </cell>
          <cell r="S28746">
            <v>0</v>
          </cell>
          <cell r="X28746" t="str">
            <v>Expenses</v>
          </cell>
        </row>
        <row r="28747">
          <cell r="L28747" t="str">
            <v>Non-proportional</v>
          </cell>
          <cell r="S28747">
            <v>53.85</v>
          </cell>
          <cell r="X28747" t="str">
            <v>Expenses</v>
          </cell>
        </row>
        <row r="28748">
          <cell r="L28748" t="str">
            <v>Non-proportional</v>
          </cell>
          <cell r="S28748">
            <v>-1.0900000000000001</v>
          </cell>
          <cell r="X28748" t="str">
            <v>Expenses</v>
          </cell>
        </row>
        <row r="28749">
          <cell r="L28749" t="str">
            <v>Non-proportional</v>
          </cell>
          <cell r="S28749">
            <v>472.07</v>
          </cell>
          <cell r="X28749" t="str">
            <v>Expenses</v>
          </cell>
        </row>
        <row r="28750">
          <cell r="L28750" t="str">
            <v>Non-proportional</v>
          </cell>
          <cell r="S28750">
            <v>216.81</v>
          </cell>
          <cell r="X28750" t="str">
            <v>Expenses</v>
          </cell>
        </row>
        <row r="28751">
          <cell r="L28751" t="str">
            <v>Non-proportional</v>
          </cell>
          <cell r="S28751">
            <v>149.69</v>
          </cell>
          <cell r="X28751" t="str">
            <v>Expenses</v>
          </cell>
        </row>
        <row r="28752">
          <cell r="L28752" t="str">
            <v>Non-proportional</v>
          </cell>
          <cell r="S28752">
            <v>45.79</v>
          </cell>
          <cell r="X28752" t="str">
            <v>Expenses</v>
          </cell>
        </row>
        <row r="28753">
          <cell r="L28753" t="str">
            <v>Non-proportional</v>
          </cell>
          <cell r="S28753">
            <v>78</v>
          </cell>
          <cell r="X28753" t="str">
            <v>Expenses</v>
          </cell>
        </row>
        <row r="28754">
          <cell r="L28754" t="str">
            <v>Proportional</v>
          </cell>
          <cell r="S28754">
            <v>1093.5</v>
          </cell>
          <cell r="X28754" t="str">
            <v>Expenses</v>
          </cell>
        </row>
        <row r="28755">
          <cell r="L28755" t="str">
            <v>Non-proportional</v>
          </cell>
          <cell r="S28755">
            <v>51.42</v>
          </cell>
          <cell r="X28755" t="str">
            <v>Expenses</v>
          </cell>
        </row>
        <row r="28756">
          <cell r="L28756" t="str">
            <v>Non-proportional</v>
          </cell>
          <cell r="S28756">
            <v>36.28</v>
          </cell>
          <cell r="X28756" t="str">
            <v>Expenses</v>
          </cell>
        </row>
        <row r="28757">
          <cell r="L28757" t="str">
            <v>Non-proportional</v>
          </cell>
          <cell r="S28757">
            <v>87.98</v>
          </cell>
          <cell r="X28757" t="str">
            <v>Expenses</v>
          </cell>
        </row>
        <row r="28758">
          <cell r="L28758" t="str">
            <v>Non-proportional</v>
          </cell>
          <cell r="S28758">
            <v>249.67</v>
          </cell>
          <cell r="X28758" t="str">
            <v>Expenses</v>
          </cell>
        </row>
        <row r="28759">
          <cell r="L28759" t="str">
            <v>Non-proportional</v>
          </cell>
          <cell r="S28759">
            <v>-11.22</v>
          </cell>
          <cell r="X28759" t="str">
            <v>Expenses</v>
          </cell>
        </row>
        <row r="28760">
          <cell r="L28760" t="str">
            <v>Non-proportional</v>
          </cell>
          <cell r="S28760">
            <v>-5.84</v>
          </cell>
          <cell r="X28760" t="str">
            <v>Expenses</v>
          </cell>
        </row>
        <row r="28761">
          <cell r="L28761" t="str">
            <v>Non-proportional</v>
          </cell>
          <cell r="S28761">
            <v>279.83</v>
          </cell>
          <cell r="X28761" t="str">
            <v>Expenses</v>
          </cell>
        </row>
        <row r="28762">
          <cell r="L28762" t="str">
            <v>Non-proportional</v>
          </cell>
          <cell r="S28762">
            <v>66.3</v>
          </cell>
          <cell r="X28762" t="str">
            <v>Expenses</v>
          </cell>
        </row>
        <row r="28763">
          <cell r="L28763" t="str">
            <v>Non-proportional</v>
          </cell>
          <cell r="S28763">
            <v>802.29</v>
          </cell>
          <cell r="X28763" t="str">
            <v>Expenses</v>
          </cell>
        </row>
        <row r="28764">
          <cell r="L28764" t="str">
            <v>Non-proportional</v>
          </cell>
          <cell r="S28764">
            <v>99.16</v>
          </cell>
          <cell r="X28764" t="str">
            <v>Expenses</v>
          </cell>
        </row>
        <row r="28765">
          <cell r="L28765" t="str">
            <v>Proportional</v>
          </cell>
          <cell r="S28765">
            <v>141.29</v>
          </cell>
          <cell r="X28765" t="str">
            <v>Expenses</v>
          </cell>
        </row>
        <row r="28766">
          <cell r="L28766" t="str">
            <v>Non-proportional</v>
          </cell>
          <cell r="S28766">
            <v>-0.55000000000000004</v>
          </cell>
          <cell r="X28766" t="str">
            <v>Expenses</v>
          </cell>
        </row>
        <row r="28767">
          <cell r="L28767" t="str">
            <v>Non-proportional</v>
          </cell>
          <cell r="S28767">
            <v>-3.67</v>
          </cell>
          <cell r="X28767" t="str">
            <v>Expenses</v>
          </cell>
        </row>
        <row r="28768">
          <cell r="L28768" t="str">
            <v>Non-proportional</v>
          </cell>
          <cell r="S28768">
            <v>-6.52</v>
          </cell>
          <cell r="X28768" t="str">
            <v>Expenses</v>
          </cell>
        </row>
        <row r="28769">
          <cell r="L28769" t="str">
            <v>Non-proportional</v>
          </cell>
          <cell r="S28769">
            <v>64.94</v>
          </cell>
          <cell r="X28769" t="str">
            <v>Expenses</v>
          </cell>
        </row>
        <row r="28770">
          <cell r="L28770" t="str">
            <v>Proportional</v>
          </cell>
          <cell r="S28770">
            <v>139.53</v>
          </cell>
          <cell r="X28770" t="str">
            <v>Expenses</v>
          </cell>
        </row>
        <row r="28771">
          <cell r="L28771" t="str">
            <v>Proportional</v>
          </cell>
          <cell r="S28771">
            <v>46.12</v>
          </cell>
          <cell r="X28771" t="str">
            <v>Expenses</v>
          </cell>
        </row>
        <row r="28772">
          <cell r="L28772" t="str">
            <v>Non-proportional</v>
          </cell>
          <cell r="S28772">
            <v>-4.0599999999999996</v>
          </cell>
          <cell r="X28772" t="str">
            <v>Expenses</v>
          </cell>
        </row>
        <row r="28773">
          <cell r="L28773" t="str">
            <v>Non-proportional</v>
          </cell>
          <cell r="S28773">
            <v>0.33</v>
          </cell>
          <cell r="X28773" t="str">
            <v>Expenses</v>
          </cell>
        </row>
        <row r="28774">
          <cell r="L28774" t="str">
            <v>Non-proportional</v>
          </cell>
          <cell r="S28774">
            <v>237.46</v>
          </cell>
          <cell r="X28774" t="str">
            <v>Expenses</v>
          </cell>
        </row>
        <row r="28775">
          <cell r="L28775" t="str">
            <v>Non-proportional</v>
          </cell>
          <cell r="S28775">
            <v>-3.1</v>
          </cell>
          <cell r="X28775" t="str">
            <v>Expenses</v>
          </cell>
        </row>
        <row r="28776">
          <cell r="L28776" t="str">
            <v>Non-proportional</v>
          </cell>
          <cell r="S28776">
            <v>-11.22</v>
          </cell>
          <cell r="X28776" t="str">
            <v>Expenses</v>
          </cell>
        </row>
        <row r="28777">
          <cell r="L28777" t="str">
            <v>Proportional</v>
          </cell>
          <cell r="S28777">
            <v>-746.04</v>
          </cell>
          <cell r="X28777" t="str">
            <v>Expenses</v>
          </cell>
        </row>
        <row r="28778">
          <cell r="L28778" t="str">
            <v>Non-proportional</v>
          </cell>
          <cell r="S28778">
            <v>97.41</v>
          </cell>
          <cell r="X28778" t="str">
            <v>Expenses</v>
          </cell>
        </row>
        <row r="28779">
          <cell r="L28779" t="str">
            <v>Non-proportional</v>
          </cell>
          <cell r="S28779">
            <v>57.7</v>
          </cell>
          <cell r="X28779" t="str">
            <v>Expenses</v>
          </cell>
        </row>
        <row r="28780">
          <cell r="L28780" t="str">
            <v>Non-proportional</v>
          </cell>
          <cell r="S28780">
            <v>115.52</v>
          </cell>
          <cell r="X28780" t="str">
            <v>Expenses</v>
          </cell>
        </row>
        <row r="28781">
          <cell r="L28781" t="str">
            <v>Non-proportional</v>
          </cell>
          <cell r="S28781">
            <v>-1.29</v>
          </cell>
          <cell r="X28781" t="str">
            <v>Expenses</v>
          </cell>
        </row>
        <row r="28782">
          <cell r="L28782" t="str">
            <v>Non-proportional</v>
          </cell>
          <cell r="S28782">
            <v>-0.11</v>
          </cell>
          <cell r="X28782" t="str">
            <v>Expenses</v>
          </cell>
        </row>
        <row r="28783">
          <cell r="L28783" t="str">
            <v>Non-proportional</v>
          </cell>
          <cell r="S28783">
            <v>6.68</v>
          </cell>
          <cell r="X28783" t="str">
            <v>Expenses</v>
          </cell>
        </row>
        <row r="28784">
          <cell r="L28784" t="str">
            <v>Non-proportional</v>
          </cell>
          <cell r="S28784">
            <v>-1.93</v>
          </cell>
          <cell r="X28784" t="str">
            <v>Expenses</v>
          </cell>
        </row>
        <row r="28785">
          <cell r="L28785" t="str">
            <v>Non-proportional</v>
          </cell>
          <cell r="S28785">
            <v>72.95</v>
          </cell>
          <cell r="X28785" t="str">
            <v>Expenses</v>
          </cell>
        </row>
        <row r="28786">
          <cell r="L28786" t="str">
            <v>Non-proportional</v>
          </cell>
          <cell r="S28786">
            <v>405.61</v>
          </cell>
          <cell r="X28786" t="str">
            <v>Expenses</v>
          </cell>
        </row>
        <row r="28787">
          <cell r="L28787" t="str">
            <v>Non-proportional</v>
          </cell>
          <cell r="S28787">
            <v>22.07</v>
          </cell>
          <cell r="X28787" t="str">
            <v>Expenses</v>
          </cell>
        </row>
        <row r="28788">
          <cell r="L28788" t="str">
            <v>Non-proportional</v>
          </cell>
          <cell r="S28788">
            <v>48.28</v>
          </cell>
          <cell r="X28788" t="str">
            <v>Expenses</v>
          </cell>
        </row>
        <row r="28789">
          <cell r="L28789" t="str">
            <v>Non-proportional</v>
          </cell>
          <cell r="S28789">
            <v>559.4</v>
          </cell>
          <cell r="X28789" t="str">
            <v>Expenses</v>
          </cell>
        </row>
        <row r="28790">
          <cell r="L28790" t="str">
            <v>Non-proportional</v>
          </cell>
          <cell r="S28790">
            <v>97.05</v>
          </cell>
          <cell r="X28790" t="str">
            <v>Expenses</v>
          </cell>
        </row>
        <row r="28791">
          <cell r="L28791" t="str">
            <v>Non-proportional</v>
          </cell>
          <cell r="S28791">
            <v>250.38</v>
          </cell>
          <cell r="X28791" t="str">
            <v>Expenses</v>
          </cell>
        </row>
        <row r="28792">
          <cell r="L28792" t="str">
            <v>Proportional</v>
          </cell>
          <cell r="S28792">
            <v>19.190000000000001</v>
          </cell>
          <cell r="X28792" t="str">
            <v>Expenses</v>
          </cell>
        </row>
        <row r="28793">
          <cell r="L28793" t="str">
            <v>Non-proportional</v>
          </cell>
          <cell r="S28793">
            <v>0</v>
          </cell>
          <cell r="X28793" t="str">
            <v>Expenses</v>
          </cell>
        </row>
        <row r="28794">
          <cell r="L28794" t="str">
            <v>Non-proportional</v>
          </cell>
          <cell r="S28794">
            <v>-3.93</v>
          </cell>
          <cell r="X28794" t="str">
            <v>Expenses</v>
          </cell>
        </row>
        <row r="28795">
          <cell r="L28795" t="str">
            <v>Non-proportional</v>
          </cell>
          <cell r="S28795">
            <v>0</v>
          </cell>
          <cell r="X28795" t="str">
            <v>Expenses</v>
          </cell>
        </row>
        <row r="28796">
          <cell r="L28796" t="str">
            <v>Non-proportional</v>
          </cell>
          <cell r="S28796">
            <v>0</v>
          </cell>
          <cell r="X28796" t="str">
            <v>Expenses</v>
          </cell>
        </row>
        <row r="28797">
          <cell r="L28797" t="str">
            <v>Non-proportional</v>
          </cell>
          <cell r="S28797">
            <v>42.29</v>
          </cell>
          <cell r="X28797" t="str">
            <v>Expenses</v>
          </cell>
        </row>
        <row r="28798">
          <cell r="L28798" t="str">
            <v>Non-proportional</v>
          </cell>
          <cell r="S28798">
            <v>6.04</v>
          </cell>
          <cell r="X28798" t="str">
            <v>Expenses</v>
          </cell>
        </row>
        <row r="28799">
          <cell r="L28799" t="str">
            <v>Non-proportional</v>
          </cell>
          <cell r="S28799">
            <v>-0.05</v>
          </cell>
          <cell r="X28799" t="str">
            <v>Expenses</v>
          </cell>
        </row>
        <row r="28800">
          <cell r="L28800" t="str">
            <v>Non-proportional</v>
          </cell>
          <cell r="S28800">
            <v>146.09</v>
          </cell>
          <cell r="X28800" t="str">
            <v>Expenses</v>
          </cell>
        </row>
        <row r="28801">
          <cell r="L28801" t="str">
            <v>Non-proportional</v>
          </cell>
          <cell r="S28801">
            <v>-0.21</v>
          </cell>
          <cell r="X28801" t="str">
            <v>Expenses</v>
          </cell>
        </row>
        <row r="28802">
          <cell r="L28802" t="str">
            <v>Non-proportional</v>
          </cell>
          <cell r="S28802">
            <v>158.58000000000001</v>
          </cell>
          <cell r="X28802" t="str">
            <v>Expenses</v>
          </cell>
        </row>
        <row r="28803">
          <cell r="L28803" t="str">
            <v>Non-proportional</v>
          </cell>
          <cell r="S28803">
            <v>15.85</v>
          </cell>
          <cell r="X28803" t="str">
            <v>Expenses</v>
          </cell>
        </row>
        <row r="28804">
          <cell r="L28804" t="str">
            <v>Non-proportional</v>
          </cell>
          <cell r="S28804">
            <v>43.1</v>
          </cell>
          <cell r="X28804" t="str">
            <v>Expenses</v>
          </cell>
        </row>
        <row r="28805">
          <cell r="L28805" t="str">
            <v>Non-proportional</v>
          </cell>
          <cell r="S28805">
            <v>-0.88</v>
          </cell>
          <cell r="X28805" t="str">
            <v>Expenses</v>
          </cell>
        </row>
        <row r="28806">
          <cell r="L28806" t="str">
            <v>Non-proportional</v>
          </cell>
          <cell r="S28806">
            <v>76.900000000000006</v>
          </cell>
          <cell r="X28806" t="str">
            <v>Expenses</v>
          </cell>
        </row>
        <row r="28807">
          <cell r="L28807" t="str">
            <v>Non-proportional</v>
          </cell>
          <cell r="S28807">
            <v>132.9</v>
          </cell>
          <cell r="X28807" t="str">
            <v>Expenses</v>
          </cell>
        </row>
        <row r="28808">
          <cell r="L28808" t="str">
            <v>Non-proportional</v>
          </cell>
          <cell r="S28808">
            <v>-1.1299999999999999</v>
          </cell>
          <cell r="X28808" t="str">
            <v>Expenses</v>
          </cell>
        </row>
        <row r="28809">
          <cell r="L28809" t="str">
            <v>Non-proportional</v>
          </cell>
          <cell r="S28809">
            <v>1.82</v>
          </cell>
          <cell r="X28809" t="str">
            <v>Expenses</v>
          </cell>
        </row>
        <row r="28810">
          <cell r="L28810" t="str">
            <v>Non-proportional</v>
          </cell>
          <cell r="S28810">
            <v>-10.02</v>
          </cell>
          <cell r="X28810" t="str">
            <v>Expenses</v>
          </cell>
        </row>
        <row r="28811">
          <cell r="L28811" t="str">
            <v>Proportional</v>
          </cell>
          <cell r="S28811">
            <v>94.22</v>
          </cell>
          <cell r="X28811" t="str">
            <v>Expenses</v>
          </cell>
        </row>
        <row r="28812">
          <cell r="L28812" t="str">
            <v>Non-proportional</v>
          </cell>
          <cell r="S28812">
            <v>42.45</v>
          </cell>
          <cell r="X28812" t="str">
            <v>Expenses</v>
          </cell>
        </row>
        <row r="28813">
          <cell r="L28813" t="str">
            <v>Non-proportional</v>
          </cell>
          <cell r="S28813">
            <v>51.15</v>
          </cell>
          <cell r="X28813" t="str">
            <v>Expenses</v>
          </cell>
        </row>
        <row r="28814">
          <cell r="L28814" t="str">
            <v>Non-proportional</v>
          </cell>
          <cell r="S28814">
            <v>180.8</v>
          </cell>
          <cell r="X28814" t="str">
            <v>Expenses</v>
          </cell>
        </row>
        <row r="28815">
          <cell r="L28815" t="str">
            <v>Non-proportional</v>
          </cell>
          <cell r="S28815">
            <v>35.869999999999997</v>
          </cell>
          <cell r="X28815" t="str">
            <v>Expenses</v>
          </cell>
        </row>
        <row r="28816">
          <cell r="L28816" t="str">
            <v>Non-proportional</v>
          </cell>
          <cell r="S28816">
            <v>-1.76</v>
          </cell>
          <cell r="X28816" t="str">
            <v>Expenses</v>
          </cell>
        </row>
        <row r="28817">
          <cell r="L28817" t="str">
            <v>Non-proportional</v>
          </cell>
          <cell r="S28817">
            <v>-0.7</v>
          </cell>
          <cell r="X28817" t="str">
            <v>Expenses</v>
          </cell>
        </row>
        <row r="28818">
          <cell r="L28818" t="str">
            <v>Non-proportional</v>
          </cell>
          <cell r="S28818">
            <v>44.66</v>
          </cell>
          <cell r="X28818" t="str">
            <v>Expenses</v>
          </cell>
        </row>
        <row r="28819">
          <cell r="L28819" t="str">
            <v>Non-proportional</v>
          </cell>
          <cell r="S28819">
            <v>250.01</v>
          </cell>
          <cell r="X28819" t="str">
            <v>Expenses</v>
          </cell>
        </row>
        <row r="28820">
          <cell r="L28820" t="str">
            <v>Non-proportional</v>
          </cell>
          <cell r="S28820">
            <v>335.05</v>
          </cell>
          <cell r="X28820" t="str">
            <v>Expenses</v>
          </cell>
        </row>
        <row r="28821">
          <cell r="L28821" t="str">
            <v>Non-proportional</v>
          </cell>
          <cell r="S28821">
            <v>-13.75</v>
          </cell>
          <cell r="X28821" t="str">
            <v>Expenses</v>
          </cell>
        </row>
        <row r="28822">
          <cell r="L28822" t="str">
            <v>Non-proportional</v>
          </cell>
          <cell r="S28822">
            <v>48.28</v>
          </cell>
          <cell r="X28822" t="str">
            <v>Expenses</v>
          </cell>
        </row>
        <row r="28823">
          <cell r="L28823" t="str">
            <v>Non-proportional</v>
          </cell>
          <cell r="S28823">
            <v>176.39</v>
          </cell>
          <cell r="X28823" t="str">
            <v>Expenses</v>
          </cell>
        </row>
        <row r="28824">
          <cell r="L28824" t="str">
            <v>Non-proportional</v>
          </cell>
          <cell r="S28824">
            <v>237.95</v>
          </cell>
          <cell r="X28824" t="str">
            <v>Expenses</v>
          </cell>
        </row>
        <row r="28825">
          <cell r="L28825" t="str">
            <v>Non-proportional</v>
          </cell>
          <cell r="S28825">
            <v>79.849999999999994</v>
          </cell>
          <cell r="X28825" t="str">
            <v>Expenses</v>
          </cell>
        </row>
        <row r="28826">
          <cell r="L28826" t="str">
            <v>Non-proportional</v>
          </cell>
          <cell r="S28826">
            <v>87.54</v>
          </cell>
          <cell r="X28826" t="str">
            <v>Expenses</v>
          </cell>
        </row>
        <row r="28827">
          <cell r="L28827" t="str">
            <v>Non-proportional</v>
          </cell>
          <cell r="S28827">
            <v>300.91000000000003</v>
          </cell>
          <cell r="X28827" t="str">
            <v>Expenses</v>
          </cell>
        </row>
        <row r="28828">
          <cell r="L28828" t="str">
            <v>Non-proportional</v>
          </cell>
          <cell r="S28828">
            <v>97.17</v>
          </cell>
          <cell r="X28828" t="str">
            <v>Expenses</v>
          </cell>
        </row>
        <row r="28829">
          <cell r="L28829" t="str">
            <v>Non-proportional</v>
          </cell>
          <cell r="S28829">
            <v>143.96</v>
          </cell>
          <cell r="X28829" t="str">
            <v>Expenses</v>
          </cell>
        </row>
        <row r="28830">
          <cell r="L28830" t="str">
            <v>Non-proportional</v>
          </cell>
          <cell r="S28830">
            <v>0</v>
          </cell>
          <cell r="X28830" t="str">
            <v>Expenses</v>
          </cell>
        </row>
        <row r="28831">
          <cell r="L28831" t="str">
            <v>Non-proportional</v>
          </cell>
          <cell r="S28831">
            <v>9.68</v>
          </cell>
          <cell r="X28831" t="str">
            <v>Expenses</v>
          </cell>
        </row>
        <row r="28832">
          <cell r="L28832" t="str">
            <v>Non-proportional</v>
          </cell>
          <cell r="S28832">
            <v>9.44</v>
          </cell>
          <cell r="X28832" t="str">
            <v>Expenses</v>
          </cell>
        </row>
        <row r="28833">
          <cell r="L28833" t="str">
            <v>Non-proportional</v>
          </cell>
          <cell r="S28833">
            <v>101.55</v>
          </cell>
          <cell r="X28833" t="str">
            <v>Expenses</v>
          </cell>
        </row>
        <row r="28834">
          <cell r="L28834" t="str">
            <v>Non-proportional</v>
          </cell>
          <cell r="S28834">
            <v>23.21</v>
          </cell>
          <cell r="X28834" t="str">
            <v>Expenses</v>
          </cell>
        </row>
        <row r="28835">
          <cell r="L28835" t="str">
            <v>Non-proportional</v>
          </cell>
          <cell r="S28835">
            <v>38.36</v>
          </cell>
          <cell r="X28835" t="str">
            <v>Expenses</v>
          </cell>
        </row>
        <row r="28836">
          <cell r="L28836" t="str">
            <v>Non-proportional</v>
          </cell>
          <cell r="S28836">
            <v>1.59</v>
          </cell>
          <cell r="X28836" t="str">
            <v>Expenses</v>
          </cell>
        </row>
        <row r="28837">
          <cell r="L28837" t="str">
            <v>Non-proportional</v>
          </cell>
          <cell r="S28837">
            <v>-0.05</v>
          </cell>
          <cell r="X28837" t="str">
            <v>Expenses</v>
          </cell>
        </row>
        <row r="28838">
          <cell r="L28838" t="str">
            <v>Non-proportional</v>
          </cell>
          <cell r="S28838">
            <v>46.81</v>
          </cell>
          <cell r="X28838" t="str">
            <v>Expenses</v>
          </cell>
        </row>
        <row r="28839">
          <cell r="L28839" t="str">
            <v>Non-proportional</v>
          </cell>
          <cell r="S28839">
            <v>70.739999999999995</v>
          </cell>
          <cell r="X28839" t="str">
            <v>Expenses</v>
          </cell>
        </row>
        <row r="28840">
          <cell r="L28840" t="str">
            <v>Non-proportional</v>
          </cell>
          <cell r="S28840">
            <v>55.28</v>
          </cell>
          <cell r="X28840" t="str">
            <v>Expenses</v>
          </cell>
        </row>
        <row r="28841">
          <cell r="L28841" t="str">
            <v>Non-proportional</v>
          </cell>
          <cell r="S28841">
            <v>-0.28999999999999998</v>
          </cell>
          <cell r="X28841" t="str">
            <v>Expenses</v>
          </cell>
        </row>
        <row r="28842">
          <cell r="L28842" t="str">
            <v>Non-proportional</v>
          </cell>
          <cell r="S28842">
            <v>-1.93</v>
          </cell>
          <cell r="X28842" t="str">
            <v>Expenses</v>
          </cell>
        </row>
        <row r="28843">
          <cell r="L28843" t="str">
            <v>Non-proportional</v>
          </cell>
          <cell r="S28843">
            <v>787.53</v>
          </cell>
          <cell r="X28843" t="str">
            <v>Expenses</v>
          </cell>
        </row>
        <row r="28844">
          <cell r="L28844" t="str">
            <v>Non-proportional</v>
          </cell>
          <cell r="S28844">
            <v>141.75</v>
          </cell>
          <cell r="X28844" t="str">
            <v>Expenses</v>
          </cell>
        </row>
        <row r="28845">
          <cell r="L28845" t="str">
            <v>Non-proportional</v>
          </cell>
          <cell r="S28845">
            <v>0.23</v>
          </cell>
          <cell r="X28845" t="str">
            <v>Expenses</v>
          </cell>
        </row>
        <row r="28846">
          <cell r="L28846" t="str">
            <v>Non-proportional</v>
          </cell>
          <cell r="S28846">
            <v>340.81</v>
          </cell>
          <cell r="X28846" t="str">
            <v>Expenses</v>
          </cell>
        </row>
        <row r="28847">
          <cell r="L28847" t="str">
            <v>Non-proportional</v>
          </cell>
          <cell r="S28847">
            <v>-3.2</v>
          </cell>
          <cell r="X28847" t="str">
            <v>Expenses</v>
          </cell>
        </row>
        <row r="28848">
          <cell r="L28848" t="str">
            <v>Non-proportional</v>
          </cell>
          <cell r="S28848">
            <v>97.29</v>
          </cell>
          <cell r="X28848" t="str">
            <v>Expenses</v>
          </cell>
        </row>
        <row r="28849">
          <cell r="L28849" t="str">
            <v>Non-proportional</v>
          </cell>
          <cell r="S28849">
            <v>60.46</v>
          </cell>
          <cell r="X28849" t="str">
            <v>Expenses</v>
          </cell>
        </row>
        <row r="28850">
          <cell r="S28850">
            <v>-59.02</v>
          </cell>
          <cell r="X28850" t="str">
            <v>Expenses</v>
          </cell>
        </row>
        <row r="28851">
          <cell r="S28851">
            <v>12888.73</v>
          </cell>
          <cell r="X28851" t="str">
            <v>Expenses</v>
          </cell>
        </row>
        <row r="28852">
          <cell r="S28852">
            <v>-1380.55</v>
          </cell>
          <cell r="X28852" t="str">
            <v>Expenses</v>
          </cell>
        </row>
        <row r="28853">
          <cell r="S28853">
            <v>-43.91</v>
          </cell>
          <cell r="X28853" t="str">
            <v>Expenses</v>
          </cell>
        </row>
        <row r="28854">
          <cell r="S28854">
            <v>4986.1400000000003</v>
          </cell>
          <cell r="X28854" t="str">
            <v>Expenses</v>
          </cell>
        </row>
        <row r="28855">
          <cell r="S28855">
            <v>-713.1</v>
          </cell>
          <cell r="X28855" t="str">
            <v>Expenses</v>
          </cell>
        </row>
        <row r="28856">
          <cell r="S28856">
            <v>-2088.35</v>
          </cell>
          <cell r="X28856" t="str">
            <v>Expenses</v>
          </cell>
        </row>
        <row r="28857">
          <cell r="S28857">
            <v>-43.91</v>
          </cell>
          <cell r="X28857" t="str">
            <v>Expenses</v>
          </cell>
        </row>
        <row r="28858">
          <cell r="S28858">
            <v>-647.39</v>
          </cell>
          <cell r="X28858" t="str">
            <v>Expenses</v>
          </cell>
        </row>
        <row r="28859">
          <cell r="S28859">
            <v>543.71</v>
          </cell>
          <cell r="X28859" t="str">
            <v>Expenses</v>
          </cell>
        </row>
        <row r="28860">
          <cell r="S28860">
            <v>-543.71</v>
          </cell>
          <cell r="X28860" t="str">
            <v>Expenses</v>
          </cell>
        </row>
        <row r="28861">
          <cell r="S28861">
            <v>43.91</v>
          </cell>
          <cell r="X28861" t="str">
            <v>Expenses</v>
          </cell>
        </row>
        <row r="28862">
          <cell r="S28862">
            <v>3322.51</v>
          </cell>
          <cell r="X28862" t="str">
            <v>Expenses</v>
          </cell>
        </row>
        <row r="28863">
          <cell r="S28863">
            <v>-43.91</v>
          </cell>
          <cell r="X28863" t="str">
            <v>Expenses</v>
          </cell>
        </row>
        <row r="28864">
          <cell r="S28864">
            <v>-997.66</v>
          </cell>
          <cell r="X28864" t="str">
            <v>Expenses</v>
          </cell>
        </row>
        <row r="28865">
          <cell r="S28865">
            <v>-87.83</v>
          </cell>
          <cell r="X28865" t="str">
            <v>Expenses</v>
          </cell>
        </row>
        <row r="28866">
          <cell r="S28866">
            <v>-1792.3</v>
          </cell>
          <cell r="X28866" t="str">
            <v>Expenses</v>
          </cell>
        </row>
        <row r="28867">
          <cell r="S28867">
            <v>-439.01</v>
          </cell>
          <cell r="X28867" t="str">
            <v>Expenses</v>
          </cell>
        </row>
        <row r="28868">
          <cell r="S28868">
            <v>-29.33</v>
          </cell>
          <cell r="X28868" t="str">
            <v>Expenses</v>
          </cell>
        </row>
        <row r="28869">
          <cell r="S28869">
            <v>-1737.03</v>
          </cell>
          <cell r="X28869" t="str">
            <v>Expenses</v>
          </cell>
        </row>
        <row r="28870">
          <cell r="L28870"/>
          <cell r="S28870">
            <v>-23.64</v>
          </cell>
          <cell r="X28870" t="str">
            <v>Expenses</v>
          </cell>
        </row>
        <row r="28871">
          <cell r="L28871"/>
          <cell r="S28871">
            <v>12696.49</v>
          </cell>
          <cell r="X28871" t="str">
            <v>Expenses</v>
          </cell>
        </row>
        <row r="28872">
          <cell r="L28872"/>
          <cell r="S28872">
            <v>-132.29</v>
          </cell>
          <cell r="X28872" t="str">
            <v>Expenses</v>
          </cell>
        </row>
        <row r="28873">
          <cell r="L28873"/>
          <cell r="S28873">
            <v>191.86</v>
          </cell>
          <cell r="X28873" t="str">
            <v>Expenses</v>
          </cell>
        </row>
        <row r="28874">
          <cell r="L28874"/>
          <cell r="S28874">
            <v>-8024.22</v>
          </cell>
          <cell r="X28874" t="str">
            <v>Expenses</v>
          </cell>
        </row>
        <row r="28875">
          <cell r="L28875"/>
          <cell r="S28875">
            <v>-97.29</v>
          </cell>
          <cell r="X28875" t="str">
            <v>Expenses</v>
          </cell>
        </row>
        <row r="28876">
          <cell r="L28876"/>
          <cell r="S28876">
            <v>5221.2299999999996</v>
          </cell>
          <cell r="X28876" t="str">
            <v>Expenses</v>
          </cell>
        </row>
        <row r="28877">
          <cell r="L28877"/>
          <cell r="S28877">
            <v>-142.1</v>
          </cell>
          <cell r="X28877" t="str">
            <v>Expenses</v>
          </cell>
        </row>
        <row r="28878">
          <cell r="L28878"/>
          <cell r="S28878">
            <v>3.95</v>
          </cell>
          <cell r="X28878" t="str">
            <v>Expenses</v>
          </cell>
        </row>
        <row r="28879">
          <cell r="L28879"/>
          <cell r="S28879">
            <v>-3127.06</v>
          </cell>
          <cell r="X28879" t="str">
            <v>Expenses</v>
          </cell>
        </row>
        <row r="28880">
          <cell r="L28880"/>
          <cell r="S28880">
            <v>-1.47</v>
          </cell>
          <cell r="X28880" t="str">
            <v>Expenses</v>
          </cell>
        </row>
        <row r="28881">
          <cell r="L28881"/>
          <cell r="S28881">
            <v>-6096.71</v>
          </cell>
          <cell r="X28881" t="str">
            <v>Expenses</v>
          </cell>
        </row>
        <row r="28882">
          <cell r="L28882"/>
          <cell r="S28882">
            <v>-119.88</v>
          </cell>
          <cell r="X28882" t="str">
            <v>Expenses</v>
          </cell>
        </row>
        <row r="28883">
          <cell r="L28883"/>
          <cell r="S28883">
            <v>-263.98</v>
          </cell>
          <cell r="X28883" t="str">
            <v>Expenses</v>
          </cell>
        </row>
        <row r="28884">
          <cell r="L28884"/>
          <cell r="S28884">
            <v>4229.7299999999996</v>
          </cell>
          <cell r="X28884" t="str">
            <v>Expenses</v>
          </cell>
        </row>
        <row r="28885">
          <cell r="L28885"/>
          <cell r="S28885">
            <v>7218.16</v>
          </cell>
          <cell r="X28885" t="str">
            <v>Expenses</v>
          </cell>
        </row>
        <row r="28886">
          <cell r="L28886"/>
          <cell r="S28886">
            <v>-139.74</v>
          </cell>
          <cell r="X28886" t="str">
            <v>Expenses</v>
          </cell>
        </row>
        <row r="28887">
          <cell r="L28887"/>
          <cell r="S28887">
            <v>-15.02</v>
          </cell>
          <cell r="X28887" t="str">
            <v>Expenses</v>
          </cell>
        </row>
        <row r="28888">
          <cell r="L28888"/>
          <cell r="S28888">
            <v>-3477.7</v>
          </cell>
          <cell r="X28888" t="str">
            <v>Expenses</v>
          </cell>
        </row>
        <row r="28889">
          <cell r="L28889"/>
          <cell r="S28889">
            <v>-3423.24</v>
          </cell>
          <cell r="X28889" t="str">
            <v>Expenses</v>
          </cell>
        </row>
        <row r="28890">
          <cell r="L28890"/>
          <cell r="S28890">
            <v>-3.89</v>
          </cell>
          <cell r="X28890" t="str">
            <v>Expenses</v>
          </cell>
        </row>
        <row r="28891">
          <cell r="L28891"/>
          <cell r="S28891">
            <v>-49.75</v>
          </cell>
          <cell r="X28891" t="str">
            <v>Expenses</v>
          </cell>
        </row>
        <row r="28892">
          <cell r="S28892">
            <v>20961.900000000001</v>
          </cell>
          <cell r="X28892" t="str">
            <v>Financial income</v>
          </cell>
        </row>
        <row r="28893">
          <cell r="S28893">
            <v>18907.84</v>
          </cell>
          <cell r="X28893" t="str">
            <v>Financial income</v>
          </cell>
        </row>
        <row r="28894">
          <cell r="S28894">
            <v>20918.57</v>
          </cell>
          <cell r="X28894" t="str">
            <v>Financial income</v>
          </cell>
        </row>
        <row r="28895">
          <cell r="S28895">
            <v>41244.57</v>
          </cell>
          <cell r="X28895" t="str">
            <v>Financial income</v>
          </cell>
        </row>
        <row r="28896">
          <cell r="S28896">
            <v>20675.43</v>
          </cell>
          <cell r="X28896" t="str">
            <v>Financial income</v>
          </cell>
        </row>
        <row r="28897">
          <cell r="S28897">
            <v>18563.330000000002</v>
          </cell>
          <cell r="X28897" t="str">
            <v>Financial income</v>
          </cell>
        </row>
        <row r="28898">
          <cell r="L28898"/>
          <cell r="S28898">
            <v>19209.25</v>
          </cell>
          <cell r="X28898" t="str">
            <v>Financial income</v>
          </cell>
        </row>
        <row r="28899">
          <cell r="L28899"/>
          <cell r="S28899">
            <v>19169.64</v>
          </cell>
          <cell r="X28899" t="str">
            <v>Financial income</v>
          </cell>
        </row>
        <row r="28900">
          <cell r="L28900"/>
          <cell r="S28900">
            <v>18513.48</v>
          </cell>
          <cell r="X28900" t="str">
            <v>Financial income</v>
          </cell>
        </row>
        <row r="28901">
          <cell r="L28901"/>
          <cell r="S28901">
            <v>-2788.68</v>
          </cell>
          <cell r="X28901" t="str">
            <v>Financial income</v>
          </cell>
        </row>
        <row r="28902">
          <cell r="L28902"/>
          <cell r="S28902">
            <v>19091.63</v>
          </cell>
          <cell r="X28902" t="str">
            <v>Financial income</v>
          </cell>
        </row>
        <row r="28903">
          <cell r="L28903"/>
          <cell r="S28903">
            <v>-37051.64</v>
          </cell>
          <cell r="X28903" t="str">
            <v>Financial income</v>
          </cell>
        </row>
        <row r="28904">
          <cell r="L28904"/>
          <cell r="S28904">
            <v>18437.88</v>
          </cell>
          <cell r="X28904" t="str">
            <v>Financial income</v>
          </cell>
        </row>
        <row r="28905">
          <cell r="L28905"/>
          <cell r="S28905">
            <v>-86179.57</v>
          </cell>
          <cell r="X28905" t="str">
            <v>Financial income</v>
          </cell>
        </row>
        <row r="28906">
          <cell r="L28906"/>
          <cell r="S28906">
            <v>19013.189999999999</v>
          </cell>
          <cell r="X28906" t="str">
            <v>Financial income</v>
          </cell>
        </row>
        <row r="28907">
          <cell r="L28907"/>
          <cell r="S28907">
            <v>-154768.43</v>
          </cell>
          <cell r="X28907" t="str">
            <v>Financial income</v>
          </cell>
        </row>
        <row r="28908">
          <cell r="S28908">
            <v>72595.98</v>
          </cell>
          <cell r="X28908" t="str">
            <v>Financial income</v>
          </cell>
        </row>
        <row r="28909">
          <cell r="L28909"/>
          <cell r="S28909">
            <v>23463.68</v>
          </cell>
          <cell r="X28909" t="str">
            <v>Financial income</v>
          </cell>
        </row>
        <row r="28910">
          <cell r="L28910"/>
          <cell r="S28910">
            <v>280.43</v>
          </cell>
          <cell r="X28910" t="str">
            <v>Financial income</v>
          </cell>
        </row>
        <row r="28911">
          <cell r="S28911">
            <v>-21945.22</v>
          </cell>
          <cell r="X28911" t="str">
            <v>Financial income</v>
          </cell>
        </row>
        <row r="28912">
          <cell r="S28912">
            <v>-3301.15</v>
          </cell>
          <cell r="X28912" t="str">
            <v>Financial income</v>
          </cell>
        </row>
        <row r="28913">
          <cell r="S28913">
            <v>-3490.69</v>
          </cell>
          <cell r="X28913" t="str">
            <v>Financial income</v>
          </cell>
        </row>
        <row r="28914">
          <cell r="S28914">
            <v>-5079.51</v>
          </cell>
          <cell r="X28914" t="str">
            <v>Financial income</v>
          </cell>
        </row>
        <row r="28915">
          <cell r="S28915">
            <v>-5889.11</v>
          </cell>
          <cell r="X28915" t="str">
            <v>Financial income</v>
          </cell>
        </row>
        <row r="28916">
          <cell r="S28916">
            <v>-13516.52</v>
          </cell>
          <cell r="X28916" t="str">
            <v>Financial income</v>
          </cell>
        </row>
        <row r="28917">
          <cell r="S28917">
            <v>-15053.77</v>
          </cell>
          <cell r="X28917" t="str">
            <v>Financial income</v>
          </cell>
        </row>
        <row r="28918">
          <cell r="S28918">
            <v>-5032.43</v>
          </cell>
          <cell r="X28918" t="str">
            <v>Financial income</v>
          </cell>
        </row>
        <row r="28919">
          <cell r="S28919">
            <v>-10293.209999999999</v>
          </cell>
          <cell r="X28919" t="str">
            <v>Financial income</v>
          </cell>
        </row>
        <row r="28920">
          <cell r="S28920">
            <v>-4795.3500000000004</v>
          </cell>
          <cell r="X28920" t="str">
            <v>Financial income</v>
          </cell>
        </row>
        <row r="28921">
          <cell r="S28921">
            <v>-28474.69</v>
          </cell>
          <cell r="X28921" t="str">
            <v>Financial income</v>
          </cell>
        </row>
        <row r="28922">
          <cell r="S28922">
            <v>-3638.04</v>
          </cell>
          <cell r="X28922" t="str">
            <v>Financial income</v>
          </cell>
        </row>
        <row r="28923">
          <cell r="L28923"/>
          <cell r="S28923">
            <v>-8016.89</v>
          </cell>
          <cell r="X28923" t="str">
            <v>Financial income</v>
          </cell>
        </row>
        <row r="28924">
          <cell r="L28924"/>
          <cell r="S28924">
            <v>-47582.47</v>
          </cell>
          <cell r="X28924" t="str">
            <v>Financial income</v>
          </cell>
        </row>
        <row r="28925">
          <cell r="L28925"/>
          <cell r="S28925">
            <v>-7070.12</v>
          </cell>
          <cell r="X28925" t="str">
            <v>Financial income</v>
          </cell>
        </row>
        <row r="28926">
          <cell r="L28926"/>
          <cell r="S28926">
            <v>-41599.85</v>
          </cell>
          <cell r="X28926" t="str">
            <v>Financial income</v>
          </cell>
        </row>
        <row r="28927">
          <cell r="L28927"/>
          <cell r="S28927">
            <v>-14161.44</v>
          </cell>
          <cell r="X28927" t="str">
            <v>Financial income</v>
          </cell>
        </row>
        <row r="28928">
          <cell r="L28928"/>
          <cell r="S28928">
            <v>-34908.800000000003</v>
          </cell>
          <cell r="X28928" t="str">
            <v>Financial income</v>
          </cell>
        </row>
        <row r="28929">
          <cell r="L28929"/>
          <cell r="S28929">
            <v>-2281</v>
          </cell>
          <cell r="X28929" t="str">
            <v>Financial income</v>
          </cell>
        </row>
        <row r="28930">
          <cell r="L28930"/>
          <cell r="S28930">
            <v>-21282.36</v>
          </cell>
          <cell r="X28930" t="str">
            <v>Financial income</v>
          </cell>
        </row>
        <row r="28931">
          <cell r="L28931"/>
          <cell r="S28931">
            <v>-37742.410000000003</v>
          </cell>
          <cell r="X28931" t="str">
            <v>Financial income</v>
          </cell>
        </row>
        <row r="28932">
          <cell r="L28932"/>
          <cell r="S28932">
            <v>-13541.82</v>
          </cell>
          <cell r="X28932" t="str">
            <v>Financial income</v>
          </cell>
        </row>
        <row r="28933">
          <cell r="L28933"/>
          <cell r="S28933">
            <v>-13996.84</v>
          </cell>
          <cell r="X28933" t="str">
            <v>Financial income</v>
          </cell>
        </row>
        <row r="28934">
          <cell r="L28934"/>
          <cell r="S28934">
            <v>-39917.47</v>
          </cell>
          <cell r="X28934" t="str">
            <v>Financial income</v>
          </cell>
        </row>
        <row r="28935">
          <cell r="L28935"/>
          <cell r="S28935">
            <v>-30253.73</v>
          </cell>
          <cell r="X28935" t="str">
            <v>Financial income</v>
          </cell>
        </row>
        <row r="28936">
          <cell r="L28936"/>
          <cell r="S28936">
            <v>-14431.61</v>
          </cell>
          <cell r="X28936" t="str">
            <v>Financial income</v>
          </cell>
        </row>
        <row r="28937">
          <cell r="L28937"/>
          <cell r="S28937">
            <v>-35292.86</v>
          </cell>
          <cell r="X28937" t="str">
            <v>Financial income</v>
          </cell>
        </row>
        <row r="28938">
          <cell r="L28938"/>
          <cell r="S28938">
            <v>-49252.35</v>
          </cell>
          <cell r="X28938" t="str">
            <v>Financial income</v>
          </cell>
        </row>
        <row r="28939">
          <cell r="L28939"/>
          <cell r="S28939">
            <v>-3613.54</v>
          </cell>
          <cell r="X28939" t="str">
            <v>Financial income</v>
          </cell>
        </row>
        <row r="28940">
          <cell r="L28940"/>
          <cell r="S28940">
            <v>-55640.7</v>
          </cell>
          <cell r="X28940" t="str">
            <v>Financial income</v>
          </cell>
        </row>
        <row r="28941">
          <cell r="S28941">
            <v>-165404.16</v>
          </cell>
          <cell r="X28941" t="str">
            <v>Financial income</v>
          </cell>
        </row>
        <row r="28942">
          <cell r="S28942">
            <v>3829.12</v>
          </cell>
          <cell r="X28942" t="str">
            <v>Financial income</v>
          </cell>
        </row>
        <row r="28943">
          <cell r="S28943">
            <v>27448.77</v>
          </cell>
          <cell r="X28943" t="str">
            <v>Financial income</v>
          </cell>
        </row>
        <row r="28944">
          <cell r="S28944">
            <v>28871.8</v>
          </cell>
          <cell r="X28944" t="str">
            <v>Financial income</v>
          </cell>
        </row>
        <row r="28945">
          <cell r="S28945">
            <v>22910.06</v>
          </cell>
          <cell r="X28945" t="str">
            <v>Financial income</v>
          </cell>
        </row>
        <row r="28946">
          <cell r="S28946">
            <v>86253.5</v>
          </cell>
          <cell r="X28946" t="str">
            <v>Financial income</v>
          </cell>
        </row>
        <row r="28947">
          <cell r="S28947">
            <v>295940.56</v>
          </cell>
          <cell r="X28947" t="str">
            <v>Financial income</v>
          </cell>
        </row>
        <row r="28948">
          <cell r="S28948">
            <v>35342.76</v>
          </cell>
          <cell r="X28948" t="str">
            <v>Financial income</v>
          </cell>
        </row>
        <row r="28949">
          <cell r="S28949">
            <v>67319.149999999994</v>
          </cell>
          <cell r="X28949" t="str">
            <v>Financial income</v>
          </cell>
        </row>
        <row r="28950">
          <cell r="S28950">
            <v>-459523.05</v>
          </cell>
          <cell r="X28950" t="str">
            <v>Financial income</v>
          </cell>
        </row>
        <row r="28951">
          <cell r="S28951">
            <v>41088.5</v>
          </cell>
          <cell r="X28951" t="str">
            <v>Financial income</v>
          </cell>
        </row>
        <row r="28952">
          <cell r="S28952">
            <v>22869.22</v>
          </cell>
          <cell r="X28952" t="str">
            <v>Financial income</v>
          </cell>
        </row>
        <row r="28953">
          <cell r="S28953">
            <v>128412.12</v>
          </cell>
          <cell r="X28953" t="str">
            <v>Financial income</v>
          </cell>
        </row>
        <row r="28954">
          <cell r="S28954">
            <v>70190.179999999993</v>
          </cell>
          <cell r="X28954" t="str">
            <v>Financial income</v>
          </cell>
        </row>
        <row r="28955">
          <cell r="S28955">
            <v>10887.07</v>
          </cell>
          <cell r="X28955" t="str">
            <v>Financial income</v>
          </cell>
        </row>
        <row r="28956">
          <cell r="S28956">
            <v>96390.04</v>
          </cell>
          <cell r="X28956" t="str">
            <v>Financial income</v>
          </cell>
        </row>
        <row r="28957">
          <cell r="S28957">
            <v>-127610.96</v>
          </cell>
          <cell r="X28957" t="str">
            <v>Financial income</v>
          </cell>
        </row>
        <row r="28958">
          <cell r="S28958">
            <v>-70190.179999999993</v>
          </cell>
          <cell r="X28958" t="str">
            <v>Financial income</v>
          </cell>
        </row>
        <row r="28959">
          <cell r="S28959">
            <v>-17579.98</v>
          </cell>
          <cell r="X28959" t="str">
            <v>Financial income</v>
          </cell>
        </row>
        <row r="28960">
          <cell r="S28960">
            <v>183750.2</v>
          </cell>
          <cell r="X28960" t="str">
            <v>Financial income</v>
          </cell>
        </row>
        <row r="28961">
          <cell r="S28961">
            <v>326198.71000000002</v>
          </cell>
          <cell r="X28961" t="str">
            <v>Financial income</v>
          </cell>
        </row>
        <row r="28962">
          <cell r="S28962">
            <v>-584722.82999999996</v>
          </cell>
          <cell r="X28962" t="str">
            <v>Financial income</v>
          </cell>
        </row>
        <row r="28963">
          <cell r="S28963">
            <v>31503.759999999998</v>
          </cell>
          <cell r="X28963" t="str">
            <v>Financial income</v>
          </cell>
        </row>
        <row r="28964">
          <cell r="S28964">
            <v>-336093.82</v>
          </cell>
          <cell r="X28964" t="str">
            <v>Financial income</v>
          </cell>
        </row>
        <row r="28965">
          <cell r="S28965">
            <v>641.91</v>
          </cell>
          <cell r="X28965" t="str">
            <v>Financial income</v>
          </cell>
        </row>
        <row r="28966">
          <cell r="S28966">
            <v>464543.36</v>
          </cell>
          <cell r="X28966" t="str">
            <v>Financial income</v>
          </cell>
        </row>
        <row r="28967">
          <cell r="S28967">
            <v>32661.71</v>
          </cell>
          <cell r="X28967" t="str">
            <v>Financial income</v>
          </cell>
        </row>
        <row r="28968">
          <cell r="S28968">
            <v>7387.03</v>
          </cell>
          <cell r="X28968" t="str">
            <v>Financial income</v>
          </cell>
        </row>
        <row r="28969">
          <cell r="S28969">
            <v>54291.54</v>
          </cell>
          <cell r="X28969" t="str">
            <v>Financial income</v>
          </cell>
        </row>
        <row r="28970">
          <cell r="S28970">
            <v>70774.960000000006</v>
          </cell>
          <cell r="X28970" t="str">
            <v>Financial income</v>
          </cell>
        </row>
        <row r="28971">
          <cell r="S28971">
            <v>-0.03</v>
          </cell>
          <cell r="X28971" t="str">
            <v>Financial income</v>
          </cell>
        </row>
        <row r="28972">
          <cell r="S28972">
            <v>-96390.04</v>
          </cell>
          <cell r="X28972" t="str">
            <v>Financial income</v>
          </cell>
        </row>
        <row r="28973">
          <cell r="S28973">
            <v>23033.35</v>
          </cell>
          <cell r="X28973" t="str">
            <v>Financial income</v>
          </cell>
        </row>
        <row r="28974">
          <cell r="S28974">
            <v>206195.66</v>
          </cell>
          <cell r="X28974" t="str">
            <v>Financial income</v>
          </cell>
        </row>
        <row r="28975">
          <cell r="S28975">
            <v>108504.8</v>
          </cell>
          <cell r="X28975" t="str">
            <v>Financial income</v>
          </cell>
        </row>
        <row r="28976">
          <cell r="S28976">
            <v>62635.58</v>
          </cell>
          <cell r="X28976" t="str">
            <v>Financial income</v>
          </cell>
        </row>
        <row r="28977">
          <cell r="S28977">
            <v>24758.58</v>
          </cell>
          <cell r="X28977" t="str">
            <v>Financial income</v>
          </cell>
        </row>
        <row r="28978">
          <cell r="S28978">
            <v>4041</v>
          </cell>
          <cell r="X28978" t="str">
            <v>Financial income</v>
          </cell>
        </row>
        <row r="28979">
          <cell r="S28979">
            <v>4555.97</v>
          </cell>
          <cell r="X28979" t="str">
            <v>Financial income</v>
          </cell>
        </row>
        <row r="28980">
          <cell r="S28980">
            <v>35330.769999999997</v>
          </cell>
          <cell r="X28980" t="str">
            <v>Financial income</v>
          </cell>
        </row>
        <row r="28981">
          <cell r="S28981">
            <v>-221626.13</v>
          </cell>
          <cell r="X28981" t="str">
            <v>Financial income</v>
          </cell>
        </row>
        <row r="28982">
          <cell r="S28982">
            <v>4095.36</v>
          </cell>
          <cell r="X28982" t="str">
            <v>Financial income</v>
          </cell>
        </row>
        <row r="28983">
          <cell r="S28983">
            <v>-14447.26</v>
          </cell>
          <cell r="X28983" t="str">
            <v>Financial income</v>
          </cell>
        </row>
        <row r="28984">
          <cell r="S28984">
            <v>330951.90999999997</v>
          </cell>
          <cell r="X28984" t="str">
            <v>Financial income</v>
          </cell>
        </row>
        <row r="28985">
          <cell r="S28985">
            <v>-311611.78999999998</v>
          </cell>
          <cell r="X28985" t="str">
            <v>Financial income</v>
          </cell>
        </row>
        <row r="28986">
          <cell r="S28986">
            <v>91194.98</v>
          </cell>
          <cell r="X28986" t="str">
            <v>Financial income</v>
          </cell>
        </row>
        <row r="28987">
          <cell r="S28987">
            <v>43150.720000000001</v>
          </cell>
          <cell r="X28987" t="str">
            <v>Financial income</v>
          </cell>
        </row>
        <row r="28988">
          <cell r="S28988">
            <v>0.01</v>
          </cell>
          <cell r="X28988" t="str">
            <v>Financial income</v>
          </cell>
        </row>
        <row r="28989">
          <cell r="S28989">
            <v>170135.54</v>
          </cell>
          <cell r="X28989" t="str">
            <v>Financial income</v>
          </cell>
        </row>
        <row r="28990">
          <cell r="S28990">
            <v>52518.91</v>
          </cell>
          <cell r="X28990" t="str">
            <v>Financial income</v>
          </cell>
        </row>
        <row r="28991">
          <cell r="S28991">
            <v>28660.66</v>
          </cell>
          <cell r="X28991" t="str">
            <v>Financial income</v>
          </cell>
        </row>
        <row r="28992">
          <cell r="S28992">
            <v>30663.279999999999</v>
          </cell>
          <cell r="X28992" t="str">
            <v>Financial income</v>
          </cell>
        </row>
        <row r="28993">
          <cell r="S28993">
            <v>-172076.94</v>
          </cell>
          <cell r="X28993" t="str">
            <v>Financial income</v>
          </cell>
        </row>
        <row r="28994">
          <cell r="S28994">
            <v>132374.57</v>
          </cell>
          <cell r="X28994" t="str">
            <v>Financial income</v>
          </cell>
        </row>
        <row r="28995">
          <cell r="S28995">
            <v>115959.97</v>
          </cell>
          <cell r="X28995" t="str">
            <v>Financial income</v>
          </cell>
        </row>
        <row r="28996">
          <cell r="L28996"/>
          <cell r="S28996">
            <v>33377.26</v>
          </cell>
          <cell r="X28996" t="str">
            <v>Financial income</v>
          </cell>
        </row>
        <row r="28997">
          <cell r="L28997"/>
          <cell r="S28997">
            <v>117890.53</v>
          </cell>
          <cell r="X28997" t="str">
            <v>Financial income</v>
          </cell>
        </row>
        <row r="28998">
          <cell r="L28998"/>
          <cell r="S28998">
            <v>190833.28</v>
          </cell>
          <cell r="X28998" t="str">
            <v>Financial income</v>
          </cell>
        </row>
        <row r="28999">
          <cell r="L28999"/>
          <cell r="S28999">
            <v>91863.1</v>
          </cell>
          <cell r="X28999" t="str">
            <v>Financial income</v>
          </cell>
        </row>
        <row r="29000">
          <cell r="L29000"/>
          <cell r="S29000">
            <v>125656.5</v>
          </cell>
          <cell r="X29000" t="str">
            <v>Financial income</v>
          </cell>
        </row>
        <row r="29001">
          <cell r="L29001"/>
          <cell r="S29001">
            <v>-559361.44999999995</v>
          </cell>
          <cell r="X29001" t="str">
            <v>Financial income</v>
          </cell>
        </row>
        <row r="29002">
          <cell r="L29002"/>
          <cell r="S29002">
            <v>994.02</v>
          </cell>
          <cell r="X29002" t="str">
            <v>Financial income</v>
          </cell>
        </row>
        <row r="29003">
          <cell r="L29003"/>
          <cell r="S29003">
            <v>49151.39</v>
          </cell>
          <cell r="X29003" t="str">
            <v>Financial income</v>
          </cell>
        </row>
        <row r="29004">
          <cell r="L29004"/>
          <cell r="S29004">
            <v>-1536.57</v>
          </cell>
          <cell r="X29004" t="str">
            <v>Financial income</v>
          </cell>
        </row>
        <row r="29005">
          <cell r="L29005"/>
          <cell r="S29005">
            <v>49009.68</v>
          </cell>
          <cell r="X29005" t="str">
            <v>Financial income</v>
          </cell>
        </row>
        <row r="29006">
          <cell r="L29006"/>
          <cell r="S29006">
            <v>-103047.3</v>
          </cell>
          <cell r="X29006" t="str">
            <v>Financial income</v>
          </cell>
        </row>
        <row r="29007">
          <cell r="L29007"/>
          <cell r="S29007">
            <v>56713.59</v>
          </cell>
          <cell r="X29007" t="str">
            <v>Financial income</v>
          </cell>
        </row>
        <row r="29008">
          <cell r="L29008"/>
          <cell r="S29008">
            <v>0.01</v>
          </cell>
          <cell r="X29008" t="str">
            <v>Financial income</v>
          </cell>
        </row>
        <row r="29009">
          <cell r="L29009"/>
          <cell r="S29009">
            <v>-319089.28999999998</v>
          </cell>
          <cell r="X29009" t="str">
            <v>Financial income</v>
          </cell>
        </row>
        <row r="29010">
          <cell r="L29010"/>
          <cell r="S29010">
            <v>75144.350000000006</v>
          </cell>
          <cell r="X29010" t="str">
            <v>Financial income</v>
          </cell>
        </row>
        <row r="29011">
          <cell r="L29011"/>
          <cell r="S29011">
            <v>32673.89</v>
          </cell>
          <cell r="X29011" t="str">
            <v>Financial income</v>
          </cell>
        </row>
        <row r="29012">
          <cell r="L29012"/>
          <cell r="S29012">
            <v>103002.27</v>
          </cell>
          <cell r="X29012" t="str">
            <v>Financial income</v>
          </cell>
        </row>
        <row r="29013">
          <cell r="L29013"/>
          <cell r="S29013">
            <v>6745.98</v>
          </cell>
          <cell r="X29013" t="str">
            <v>Financial income</v>
          </cell>
        </row>
        <row r="29014">
          <cell r="L29014"/>
          <cell r="S29014">
            <v>111803.51</v>
          </cell>
          <cell r="X29014" t="str">
            <v>Financial income</v>
          </cell>
        </row>
        <row r="29015">
          <cell r="L29015"/>
          <cell r="S29015">
            <v>147758.88</v>
          </cell>
          <cell r="X29015" t="str">
            <v>Financial income</v>
          </cell>
        </row>
        <row r="29016">
          <cell r="L29016"/>
          <cell r="S29016">
            <v>6538.12</v>
          </cell>
          <cell r="X29016" t="str">
            <v>Financial income</v>
          </cell>
        </row>
        <row r="29017">
          <cell r="L29017"/>
          <cell r="S29017">
            <v>1335.91</v>
          </cell>
          <cell r="X29017" t="str">
            <v>Financial income</v>
          </cell>
        </row>
        <row r="29018">
          <cell r="L29018"/>
          <cell r="S29018">
            <v>-111678.76</v>
          </cell>
          <cell r="X29018" t="str">
            <v>Financial income</v>
          </cell>
        </row>
        <row r="29019">
          <cell r="L29019"/>
          <cell r="S29019">
            <v>8653.59</v>
          </cell>
          <cell r="X29019" t="str">
            <v>Financial income</v>
          </cell>
        </row>
        <row r="29020">
          <cell r="L29020"/>
          <cell r="S29020">
            <v>30643.17</v>
          </cell>
          <cell r="X29020" t="str">
            <v>Financial income</v>
          </cell>
        </row>
        <row r="29021">
          <cell r="L29021"/>
          <cell r="S29021">
            <v>168743.04000000001</v>
          </cell>
          <cell r="X29021" t="str">
            <v>Financial income</v>
          </cell>
        </row>
        <row r="29022">
          <cell r="L29022"/>
          <cell r="S29022">
            <v>11558.9</v>
          </cell>
          <cell r="X29022" t="str">
            <v>Financial income</v>
          </cell>
        </row>
        <row r="29023">
          <cell r="L29023"/>
          <cell r="S29023">
            <v>93312.03</v>
          </cell>
          <cell r="X29023" t="str">
            <v>Financial income</v>
          </cell>
        </row>
        <row r="29024">
          <cell r="L29024"/>
          <cell r="S29024">
            <v>32289.81</v>
          </cell>
          <cell r="X29024" t="str">
            <v>Financial income</v>
          </cell>
        </row>
        <row r="29025">
          <cell r="L29025"/>
          <cell r="S29025">
            <v>185144.52</v>
          </cell>
          <cell r="X29025" t="str">
            <v>Financial income</v>
          </cell>
        </row>
        <row r="29026">
          <cell r="L29026"/>
          <cell r="S29026">
            <v>-319679.34999999998</v>
          </cell>
          <cell r="X29026" t="str">
            <v>Financial income</v>
          </cell>
        </row>
        <row r="29027">
          <cell r="L29027"/>
          <cell r="S29027">
            <v>2193.9699999999998</v>
          </cell>
          <cell r="X29027" t="str">
            <v>Financial income</v>
          </cell>
        </row>
        <row r="29028">
          <cell r="L29028"/>
          <cell r="S29028">
            <v>26879.66</v>
          </cell>
          <cell r="X29028" t="str">
            <v>Financial income</v>
          </cell>
        </row>
        <row r="29029">
          <cell r="L29029"/>
          <cell r="S29029">
            <v>112629.23</v>
          </cell>
          <cell r="X29029" t="str">
            <v>Financial income</v>
          </cell>
        </row>
        <row r="29030">
          <cell r="L29030"/>
          <cell r="S29030">
            <v>33057.07</v>
          </cell>
          <cell r="X29030" t="str">
            <v>Financial income</v>
          </cell>
        </row>
        <row r="29031">
          <cell r="L29031"/>
          <cell r="S29031">
            <v>98853.37</v>
          </cell>
          <cell r="X29031" t="str">
            <v>Financial income</v>
          </cell>
        </row>
        <row r="29032">
          <cell r="L29032"/>
          <cell r="S29032">
            <v>54771.14</v>
          </cell>
          <cell r="X29032" t="str">
            <v>Financial income</v>
          </cell>
        </row>
        <row r="29033">
          <cell r="L29033"/>
          <cell r="S29033">
            <v>-300551.90000000002</v>
          </cell>
          <cell r="X29033" t="str">
            <v>Financial income</v>
          </cell>
        </row>
        <row r="29034">
          <cell r="L29034"/>
          <cell r="S29034">
            <v>48830.95</v>
          </cell>
          <cell r="X29034" t="str">
            <v>Financial income</v>
          </cell>
        </row>
        <row r="29035">
          <cell r="L29035"/>
          <cell r="S29035">
            <v>-113830.46</v>
          </cell>
          <cell r="X29035" t="str">
            <v>Financial income</v>
          </cell>
        </row>
        <row r="29036">
          <cell r="L29036"/>
          <cell r="S29036">
            <v>16590.669999999998</v>
          </cell>
          <cell r="X29036" t="str">
            <v>Financial income</v>
          </cell>
        </row>
        <row r="29037">
          <cell r="L29037"/>
          <cell r="S29037">
            <v>26771.11</v>
          </cell>
          <cell r="X29037" t="str">
            <v>Financial income</v>
          </cell>
        </row>
        <row r="29038">
          <cell r="L29038"/>
          <cell r="S29038">
            <v>26135.78</v>
          </cell>
          <cell r="X29038" t="str">
            <v>Financial income</v>
          </cell>
        </row>
        <row r="29039">
          <cell r="L29039"/>
          <cell r="S29039">
            <v>11034.71</v>
          </cell>
          <cell r="X29039" t="str">
            <v>Financial income</v>
          </cell>
        </row>
        <row r="29040">
          <cell r="L29040"/>
          <cell r="S29040">
            <v>31034.959999999999</v>
          </cell>
          <cell r="X29040" t="str">
            <v>Financial income</v>
          </cell>
        </row>
        <row r="29041">
          <cell r="L29041"/>
          <cell r="S29041">
            <v>-253407.07</v>
          </cell>
          <cell r="X29041" t="str">
            <v>Financial income</v>
          </cell>
        </row>
        <row r="29042">
          <cell r="L29042"/>
          <cell r="S29042">
            <v>-3919.06</v>
          </cell>
          <cell r="X29042" t="str">
            <v>Financial income</v>
          </cell>
        </row>
        <row r="29043">
          <cell r="L29043"/>
          <cell r="S29043">
            <v>11749.25</v>
          </cell>
          <cell r="X29043" t="str">
            <v>Financial income</v>
          </cell>
        </row>
        <row r="29044">
          <cell r="L29044"/>
          <cell r="S29044">
            <v>43982.9</v>
          </cell>
          <cell r="X29044" t="str">
            <v>Financial income</v>
          </cell>
        </row>
        <row r="29045">
          <cell r="L29045"/>
          <cell r="S29045">
            <v>24910.71</v>
          </cell>
          <cell r="X29045" t="str">
            <v>Financial income</v>
          </cell>
        </row>
        <row r="29046">
          <cell r="L29046"/>
          <cell r="S29046">
            <v>135265.1</v>
          </cell>
          <cell r="X29046" t="str">
            <v>Financial income</v>
          </cell>
        </row>
        <row r="29047">
          <cell r="L29047"/>
          <cell r="S29047">
            <v>16578.13</v>
          </cell>
          <cell r="X29047" t="str">
            <v>Financial income</v>
          </cell>
        </row>
        <row r="29048">
          <cell r="S29048">
            <v>1386726.17</v>
          </cell>
          <cell r="X29048" t="str">
            <v>Financial income</v>
          </cell>
        </row>
        <row r="29049">
          <cell r="S29049">
            <v>-1386726.17</v>
          </cell>
          <cell r="X29049" t="str">
            <v>Financial income</v>
          </cell>
        </row>
        <row r="29050">
          <cell r="S29050">
            <v>-12749298.65</v>
          </cell>
          <cell r="X29050" t="str">
            <v>Financial income</v>
          </cell>
        </row>
        <row r="29051">
          <cell r="S29051">
            <v>1446.34</v>
          </cell>
          <cell r="X29051" t="str">
            <v>Financial income</v>
          </cell>
        </row>
        <row r="29052">
          <cell r="S29052">
            <v>7.92</v>
          </cell>
          <cell r="X29052" t="str">
            <v>Financial income</v>
          </cell>
        </row>
        <row r="29053">
          <cell r="S29053">
            <v>-383.84</v>
          </cell>
          <cell r="X29053" t="str">
            <v>Financial income</v>
          </cell>
        </row>
        <row r="29054">
          <cell r="S29054">
            <v>-750.46</v>
          </cell>
          <cell r="X29054" t="str">
            <v>Financial income</v>
          </cell>
        </row>
        <row r="29055">
          <cell r="S29055">
            <v>-4992.3599999999997</v>
          </cell>
          <cell r="X29055" t="str">
            <v>Financial income</v>
          </cell>
        </row>
        <row r="29056">
          <cell r="S29056">
            <v>-1061.1099999999999</v>
          </cell>
          <cell r="X29056" t="str">
            <v>Financial income</v>
          </cell>
        </row>
        <row r="29057">
          <cell r="S29057">
            <v>537.05999999999995</v>
          </cell>
          <cell r="X29057" t="str">
            <v>Financial income</v>
          </cell>
        </row>
        <row r="29058">
          <cell r="S29058">
            <v>11737.29</v>
          </cell>
          <cell r="X29058" t="str">
            <v>Financial income</v>
          </cell>
        </row>
        <row r="29059">
          <cell r="S29059">
            <v>-1004.39</v>
          </cell>
          <cell r="X29059" t="str">
            <v>Financial income</v>
          </cell>
        </row>
        <row r="29060">
          <cell r="S29060">
            <v>3292.47</v>
          </cell>
          <cell r="X29060" t="str">
            <v>Financial income</v>
          </cell>
        </row>
        <row r="29061">
          <cell r="S29061">
            <v>-4814.62</v>
          </cell>
          <cell r="X29061" t="str">
            <v>Financial income</v>
          </cell>
        </row>
        <row r="29062">
          <cell r="S29062">
            <v>3039.91</v>
          </cell>
          <cell r="X29062" t="str">
            <v>Financial income</v>
          </cell>
        </row>
        <row r="29063">
          <cell r="S29063">
            <v>1424.69</v>
          </cell>
          <cell r="X29063" t="str">
            <v>Financial income</v>
          </cell>
        </row>
        <row r="29064">
          <cell r="S29064">
            <v>-872.44</v>
          </cell>
          <cell r="X29064" t="str">
            <v>Financial income</v>
          </cell>
        </row>
        <row r="29065">
          <cell r="S29065">
            <v>-3292.47</v>
          </cell>
          <cell r="X29065" t="str">
            <v>Financial income</v>
          </cell>
        </row>
        <row r="29066">
          <cell r="S29066">
            <v>15218.66</v>
          </cell>
          <cell r="X29066" t="str">
            <v>Financial income</v>
          </cell>
        </row>
        <row r="29067">
          <cell r="S29067">
            <v>12325774.92</v>
          </cell>
          <cell r="X29067" t="str">
            <v>Financial income</v>
          </cell>
        </row>
        <row r="29068">
          <cell r="S29068">
            <v>5000000</v>
          </cell>
          <cell r="X29068" t="str">
            <v>Financial income</v>
          </cell>
        </row>
        <row r="29069">
          <cell r="S29069">
            <v>332322.3</v>
          </cell>
          <cell r="X29069" t="str">
            <v>Financial income</v>
          </cell>
        </row>
        <row r="29070">
          <cell r="S29070">
            <v>-4827433.5999999996</v>
          </cell>
          <cell r="X29070" t="str">
            <v>Financial income</v>
          </cell>
        </row>
        <row r="29071">
          <cell r="S29071">
            <v>-332322.3</v>
          </cell>
          <cell r="X29071" t="str">
            <v>Financial income</v>
          </cell>
        </row>
        <row r="29072">
          <cell r="S29072">
            <v>-12325774.92</v>
          </cell>
          <cell r="X29072" t="str">
            <v>Financial income</v>
          </cell>
        </row>
        <row r="29073">
          <cell r="S29073">
            <v>500922.85</v>
          </cell>
          <cell r="X29073" t="str">
            <v>Financial income</v>
          </cell>
        </row>
        <row r="29074">
          <cell r="S29074">
            <v>-5000000</v>
          </cell>
          <cell r="X29074" t="str">
            <v>Financial income</v>
          </cell>
        </row>
        <row r="29075">
          <cell r="S29075">
            <v>4827433.5999999996</v>
          </cell>
          <cell r="X29075" t="str">
            <v>Financial income</v>
          </cell>
        </row>
        <row r="29076">
          <cell r="S29076">
            <v>901557.48</v>
          </cell>
          <cell r="X29076" t="str">
            <v>Financial income</v>
          </cell>
        </row>
        <row r="29077">
          <cell r="S29077">
            <v>-477393.46</v>
          </cell>
          <cell r="X29077" t="str">
            <v>Financial income</v>
          </cell>
        </row>
        <row r="29078">
          <cell r="S29078">
            <v>-901557.48</v>
          </cell>
          <cell r="X29078" t="str">
            <v>Financial income</v>
          </cell>
        </row>
        <row r="29079">
          <cell r="S29079">
            <v>15686047.17</v>
          </cell>
          <cell r="X29079" t="str">
            <v>Financial income</v>
          </cell>
        </row>
        <row r="29080">
          <cell r="S29080">
            <v>-15686047.17</v>
          </cell>
          <cell r="X29080" t="str">
            <v>Financial income</v>
          </cell>
        </row>
        <row r="29081">
          <cell r="S29081">
            <v>13656710.109999999</v>
          </cell>
          <cell r="X29081" t="str">
            <v>Financial income</v>
          </cell>
        </row>
        <row r="29082">
          <cell r="S29082">
            <v>-1437778.09</v>
          </cell>
          <cell r="X29082" t="str">
            <v>Financial income</v>
          </cell>
        </row>
        <row r="29083">
          <cell r="S29083">
            <v>1627601.26</v>
          </cell>
          <cell r="X29083" t="str">
            <v>Financial income</v>
          </cell>
        </row>
        <row r="29084">
          <cell r="S29084">
            <v>1370683.05</v>
          </cell>
          <cell r="X29084" t="str">
            <v>Financial income</v>
          </cell>
        </row>
        <row r="29085">
          <cell r="L29085"/>
          <cell r="S29085">
            <v>-13656710.109999999</v>
          </cell>
          <cell r="X29085" t="str">
            <v>Financial income</v>
          </cell>
        </row>
        <row r="29086">
          <cell r="L29086"/>
          <cell r="S29086">
            <v>-1627601.26</v>
          </cell>
          <cell r="X29086" t="str">
            <v>Financial income</v>
          </cell>
        </row>
        <row r="29087">
          <cell r="L29087"/>
          <cell r="S29087">
            <v>-1370683.05</v>
          </cell>
          <cell r="X29087" t="str">
            <v>Financial income</v>
          </cell>
        </row>
        <row r="29088">
          <cell r="L29088"/>
          <cell r="S29088">
            <v>1437778.09</v>
          </cell>
          <cell r="X29088" t="str">
            <v>Financial income</v>
          </cell>
        </row>
        <row r="29089">
          <cell r="L29089"/>
          <cell r="S29089">
            <v>1623162.74</v>
          </cell>
          <cell r="X29089" t="str">
            <v>Financial income</v>
          </cell>
        </row>
        <row r="29090">
          <cell r="L29090"/>
          <cell r="S29090">
            <v>-1623162.74</v>
          </cell>
          <cell r="X29090" t="str">
            <v>Financial income</v>
          </cell>
        </row>
        <row r="29091">
          <cell r="L29091"/>
          <cell r="S29091">
            <v>-1625989.7</v>
          </cell>
          <cell r="X29091" t="str">
            <v>Financial income</v>
          </cell>
        </row>
        <row r="29092">
          <cell r="L29092"/>
          <cell r="S29092">
            <v>19062695.699999999</v>
          </cell>
          <cell r="X29092" t="str">
            <v>Financial income</v>
          </cell>
        </row>
        <row r="29093">
          <cell r="L29093"/>
          <cell r="S29093">
            <v>1625989.7</v>
          </cell>
          <cell r="X29093" t="str">
            <v>Financial income</v>
          </cell>
        </row>
        <row r="29094">
          <cell r="L29094"/>
          <cell r="S29094">
            <v>-19062695.699999999</v>
          </cell>
          <cell r="X29094" t="str">
            <v>Financial income</v>
          </cell>
        </row>
        <row r="29095">
          <cell r="L29095"/>
          <cell r="S29095">
            <v>7419890.0199999996</v>
          </cell>
          <cell r="X29095" t="str">
            <v>Financial income</v>
          </cell>
        </row>
        <row r="29096">
          <cell r="L29096"/>
          <cell r="S29096">
            <v>11976311.01</v>
          </cell>
          <cell r="X29096" t="str">
            <v>Financial income</v>
          </cell>
        </row>
        <row r="29097">
          <cell r="L29097"/>
          <cell r="S29097">
            <v>-2080179.48</v>
          </cell>
          <cell r="X29097" t="str">
            <v>Financial income</v>
          </cell>
        </row>
        <row r="29098">
          <cell r="L29098"/>
          <cell r="S29098">
            <v>1600688.24</v>
          </cell>
          <cell r="X29098" t="str">
            <v>Financial income</v>
          </cell>
        </row>
        <row r="29099">
          <cell r="L29099"/>
          <cell r="S29099">
            <v>77619.61</v>
          </cell>
          <cell r="X29099" t="str">
            <v>Financial income</v>
          </cell>
        </row>
        <row r="29100">
          <cell r="L29100"/>
          <cell r="S29100">
            <v>-7419890.0199999996</v>
          </cell>
          <cell r="X29100" t="str">
            <v>Financial income</v>
          </cell>
        </row>
        <row r="29101">
          <cell r="L29101"/>
          <cell r="S29101">
            <v>2080179.48</v>
          </cell>
          <cell r="X29101" t="str">
            <v>Financial income</v>
          </cell>
        </row>
        <row r="29102">
          <cell r="L29102"/>
          <cell r="S29102">
            <v>-1600688.24</v>
          </cell>
          <cell r="X29102" t="str">
            <v>Financial income</v>
          </cell>
        </row>
        <row r="29103">
          <cell r="L29103"/>
          <cell r="S29103">
            <v>-77619.61</v>
          </cell>
          <cell r="X29103" t="str">
            <v>Financial income</v>
          </cell>
        </row>
        <row r="29104">
          <cell r="L29104"/>
          <cell r="S29104">
            <v>-11976311.01</v>
          </cell>
          <cell r="X29104" t="str">
            <v>Financial income</v>
          </cell>
        </row>
        <row r="29105">
          <cell r="L29105"/>
          <cell r="S29105">
            <v>375643.39</v>
          </cell>
          <cell r="X29105" t="str">
            <v>Financial income</v>
          </cell>
        </row>
        <row r="29106">
          <cell r="L29106"/>
          <cell r="S29106">
            <v>21112256</v>
          </cell>
          <cell r="X29106" t="str">
            <v>Financial income</v>
          </cell>
        </row>
        <row r="29107">
          <cell r="L29107"/>
          <cell r="S29107">
            <v>-21112256</v>
          </cell>
          <cell r="X29107" t="str">
            <v>Financial income</v>
          </cell>
        </row>
        <row r="29108">
          <cell r="L29108"/>
          <cell r="S29108">
            <v>-375643.39</v>
          </cell>
          <cell r="X29108" t="str">
            <v>Financial income</v>
          </cell>
        </row>
        <row r="29109">
          <cell r="L29109"/>
          <cell r="S29109">
            <v>19576184</v>
          </cell>
          <cell r="X29109" t="str">
            <v>Financial income</v>
          </cell>
        </row>
        <row r="29110">
          <cell r="L29110"/>
          <cell r="S29110">
            <v>-19576184</v>
          </cell>
          <cell r="X29110" t="str">
            <v>Financial income</v>
          </cell>
        </row>
        <row r="29111">
          <cell r="L29111"/>
          <cell r="S29111">
            <v>2619441.0499999998</v>
          </cell>
          <cell r="X29111" t="str">
            <v>Financial income</v>
          </cell>
        </row>
        <row r="29112">
          <cell r="L29112"/>
          <cell r="S29112">
            <v>-2111036.17</v>
          </cell>
          <cell r="X29112" t="str">
            <v>Financial income</v>
          </cell>
        </row>
        <row r="29113">
          <cell r="L29113"/>
          <cell r="S29113">
            <v>1633423</v>
          </cell>
          <cell r="X29113" t="str">
            <v>Financial income</v>
          </cell>
        </row>
        <row r="29114">
          <cell r="L29114"/>
          <cell r="S29114">
            <v>15964794.800000001</v>
          </cell>
          <cell r="X29114" t="str">
            <v>Financial income</v>
          </cell>
        </row>
        <row r="29115">
          <cell r="S29115">
            <v>-0.92</v>
          </cell>
          <cell r="X29115" t="str">
            <v>Financial income</v>
          </cell>
        </row>
        <row r="29116">
          <cell r="S29116">
            <v>0.01</v>
          </cell>
          <cell r="X29116" t="str">
            <v>Financial income</v>
          </cell>
        </row>
        <row r="29117">
          <cell r="S29117">
            <v>0.01</v>
          </cell>
          <cell r="X29117" t="str">
            <v>Financial income</v>
          </cell>
        </row>
        <row r="29118">
          <cell r="S29118">
            <v>-0.19</v>
          </cell>
          <cell r="X29118" t="str">
            <v>Financial income</v>
          </cell>
        </row>
        <row r="29119">
          <cell r="S29119">
            <v>-74.260000000000005</v>
          </cell>
          <cell r="X29119" t="str">
            <v>Financial income</v>
          </cell>
        </row>
        <row r="29120">
          <cell r="S29120">
            <v>-0.2</v>
          </cell>
          <cell r="X29120" t="str">
            <v>Financial income</v>
          </cell>
        </row>
        <row r="29121">
          <cell r="S29121">
            <v>-0.12</v>
          </cell>
          <cell r="X29121" t="str">
            <v>Financial income</v>
          </cell>
        </row>
        <row r="29122">
          <cell r="S29122">
            <v>-0.28000000000000003</v>
          </cell>
          <cell r="X29122" t="str">
            <v>Financial income</v>
          </cell>
        </row>
        <row r="29123">
          <cell r="S29123">
            <v>-79.47</v>
          </cell>
          <cell r="X29123" t="str">
            <v>Financial income</v>
          </cell>
        </row>
        <row r="29124">
          <cell r="S29124">
            <v>0.22</v>
          </cell>
          <cell r="X29124" t="str">
            <v>Financial income</v>
          </cell>
        </row>
        <row r="29125">
          <cell r="S29125">
            <v>654.5</v>
          </cell>
          <cell r="X29125" t="str">
            <v>Financial income</v>
          </cell>
        </row>
        <row r="29126">
          <cell r="S29126">
            <v>-0.2</v>
          </cell>
          <cell r="X29126" t="str">
            <v>Financial income</v>
          </cell>
        </row>
        <row r="29127">
          <cell r="S29127">
            <v>0.26</v>
          </cell>
          <cell r="X29127" t="str">
            <v>Financial income</v>
          </cell>
        </row>
        <row r="29128">
          <cell r="S29128">
            <v>1.7</v>
          </cell>
          <cell r="X29128" t="str">
            <v>Financial income</v>
          </cell>
        </row>
        <row r="29129">
          <cell r="S29129">
            <v>0.01</v>
          </cell>
          <cell r="X29129" t="str">
            <v>Financial income</v>
          </cell>
        </row>
        <row r="29130">
          <cell r="S29130">
            <v>4.42</v>
          </cell>
          <cell r="X29130" t="str">
            <v>Financial income</v>
          </cell>
        </row>
        <row r="29131">
          <cell r="L29131"/>
          <cell r="S29131">
            <v>-0.13</v>
          </cell>
          <cell r="X29131" t="str">
            <v>Financial income</v>
          </cell>
        </row>
        <row r="29132">
          <cell r="S29132">
            <v>9.68</v>
          </cell>
          <cell r="X29132" t="str">
            <v>Financial income</v>
          </cell>
        </row>
        <row r="29133">
          <cell r="S29133">
            <v>14.04</v>
          </cell>
          <cell r="X29133" t="str">
            <v>Financial income</v>
          </cell>
        </row>
        <row r="29134">
          <cell r="S29134">
            <v>32.159999999999997</v>
          </cell>
          <cell r="X29134" t="str">
            <v>Financial income</v>
          </cell>
        </row>
        <row r="29135">
          <cell r="S29135">
            <v>145.19999999999999</v>
          </cell>
          <cell r="X29135" t="str">
            <v>Financial income</v>
          </cell>
        </row>
        <row r="29136">
          <cell r="S29136">
            <v>90</v>
          </cell>
          <cell r="X29136" t="str">
            <v>Financial income</v>
          </cell>
        </row>
        <row r="29137">
          <cell r="S29137">
            <v>207.37</v>
          </cell>
          <cell r="X29137" t="str">
            <v>Financial income</v>
          </cell>
        </row>
        <row r="29138">
          <cell r="S29138">
            <v>33.880000000000003</v>
          </cell>
          <cell r="X29138" t="str">
            <v>Financial income</v>
          </cell>
        </row>
        <row r="29139">
          <cell r="S29139">
            <v>290.39999999999998</v>
          </cell>
          <cell r="X29139" t="str">
            <v>Financial income</v>
          </cell>
        </row>
        <row r="29140">
          <cell r="S29140">
            <v>157.30000000000001</v>
          </cell>
          <cell r="X29140" t="str">
            <v>Financial income</v>
          </cell>
        </row>
        <row r="29141">
          <cell r="S29141">
            <v>31.63</v>
          </cell>
          <cell r="X29141" t="str">
            <v>Financial income</v>
          </cell>
        </row>
        <row r="29142">
          <cell r="S29142">
            <v>145.19999999999999</v>
          </cell>
          <cell r="X29142" t="str">
            <v>Financial income</v>
          </cell>
        </row>
        <row r="29143">
          <cell r="S29143">
            <v>9.68</v>
          </cell>
          <cell r="X29143" t="str">
            <v>Financial income</v>
          </cell>
        </row>
        <row r="29144">
          <cell r="S29144">
            <v>22.71</v>
          </cell>
          <cell r="X29144" t="str">
            <v>Financial income</v>
          </cell>
        </row>
        <row r="29145">
          <cell r="S29145">
            <v>17.440000000000001</v>
          </cell>
          <cell r="X29145" t="str">
            <v>Financial income</v>
          </cell>
        </row>
        <row r="29146">
          <cell r="S29146">
            <v>32.69</v>
          </cell>
          <cell r="X29146" t="str">
            <v>Financial income</v>
          </cell>
        </row>
        <row r="29147">
          <cell r="S29147">
            <v>14.3</v>
          </cell>
          <cell r="X29147" t="str">
            <v>Financial income</v>
          </cell>
        </row>
        <row r="29148">
          <cell r="S29148">
            <v>145.19999999999999</v>
          </cell>
          <cell r="X29148" t="str">
            <v>Financial income</v>
          </cell>
        </row>
        <row r="29149">
          <cell r="S29149">
            <v>135.82</v>
          </cell>
          <cell r="X29149" t="str">
            <v>Financial income</v>
          </cell>
        </row>
        <row r="29150">
          <cell r="S29150">
            <v>80.709999999999994</v>
          </cell>
          <cell r="X29150" t="str">
            <v>Financial income</v>
          </cell>
        </row>
        <row r="29151">
          <cell r="S29151">
            <v>302.5</v>
          </cell>
          <cell r="X29151" t="str">
            <v>Financial income</v>
          </cell>
        </row>
        <row r="29152">
          <cell r="S29152">
            <v>21.37</v>
          </cell>
          <cell r="X29152" t="str">
            <v>Financial income</v>
          </cell>
        </row>
        <row r="29153">
          <cell r="S29153">
            <v>372.12</v>
          </cell>
          <cell r="X29153" t="str">
            <v>Financial income</v>
          </cell>
        </row>
        <row r="29154">
          <cell r="S29154">
            <v>38.72</v>
          </cell>
          <cell r="X29154" t="str">
            <v>Financial income</v>
          </cell>
        </row>
        <row r="29155">
          <cell r="S29155">
            <v>1386.65</v>
          </cell>
          <cell r="X29155" t="str">
            <v>Financial income</v>
          </cell>
        </row>
        <row r="29156">
          <cell r="S29156">
            <v>145.19999999999999</v>
          </cell>
          <cell r="X29156" t="str">
            <v>Financial income</v>
          </cell>
        </row>
        <row r="29157">
          <cell r="S29157">
            <v>38.72</v>
          </cell>
          <cell r="X29157" t="str">
            <v>Financial income</v>
          </cell>
        </row>
        <row r="29158">
          <cell r="S29158">
            <v>263.77</v>
          </cell>
          <cell r="X29158" t="str">
            <v>Financial income</v>
          </cell>
        </row>
        <row r="29159">
          <cell r="S29159">
            <v>4551.2</v>
          </cell>
          <cell r="X29159" t="str">
            <v>Financial income</v>
          </cell>
        </row>
        <row r="29160">
          <cell r="S29160">
            <v>8417.85</v>
          </cell>
          <cell r="X29160" t="str">
            <v>Financial income</v>
          </cell>
        </row>
        <row r="29161">
          <cell r="S29161">
            <v>-734.2</v>
          </cell>
          <cell r="X29161" t="str">
            <v>Financial income</v>
          </cell>
        </row>
        <row r="29162">
          <cell r="S29162">
            <v>-1289.1199999999999</v>
          </cell>
          <cell r="X29162" t="str">
            <v>Financial income</v>
          </cell>
        </row>
        <row r="29163">
          <cell r="S29163">
            <v>1956.65</v>
          </cell>
          <cell r="X29163" t="str">
            <v>Financial income</v>
          </cell>
        </row>
        <row r="29164">
          <cell r="S29164">
            <v>396</v>
          </cell>
          <cell r="X29164" t="str">
            <v>Financial income</v>
          </cell>
        </row>
        <row r="29165">
          <cell r="S29165">
            <v>-18.53</v>
          </cell>
          <cell r="X29165" t="str">
            <v>Financial income</v>
          </cell>
        </row>
        <row r="29166">
          <cell r="S29166">
            <v>1339.39</v>
          </cell>
          <cell r="X29166" t="str">
            <v>Financial income</v>
          </cell>
        </row>
        <row r="29167">
          <cell r="S29167">
            <v>-175.45</v>
          </cell>
          <cell r="X29167" t="str">
            <v>Financial income</v>
          </cell>
        </row>
        <row r="29168">
          <cell r="S29168">
            <v>-51.47</v>
          </cell>
          <cell r="X29168" t="str">
            <v>Financial income</v>
          </cell>
        </row>
        <row r="29169">
          <cell r="S29169">
            <v>176.37</v>
          </cell>
          <cell r="X29169" t="str">
            <v>Financial income</v>
          </cell>
        </row>
        <row r="29170">
          <cell r="S29170">
            <v>16.64</v>
          </cell>
          <cell r="X29170" t="str">
            <v>Financial income</v>
          </cell>
        </row>
        <row r="29171">
          <cell r="S29171">
            <v>45.65</v>
          </cell>
          <cell r="X29171" t="str">
            <v>Financial income</v>
          </cell>
        </row>
        <row r="29172">
          <cell r="S29172">
            <v>28.23</v>
          </cell>
          <cell r="X29172" t="str">
            <v>Financial income</v>
          </cell>
        </row>
        <row r="29173">
          <cell r="S29173">
            <v>22.93</v>
          </cell>
          <cell r="X29173" t="str">
            <v>Financial income</v>
          </cell>
        </row>
        <row r="29174">
          <cell r="S29174">
            <v>145.19999999999999</v>
          </cell>
          <cell r="X29174" t="str">
            <v>Financial income</v>
          </cell>
        </row>
        <row r="29175">
          <cell r="S29175">
            <v>109.64</v>
          </cell>
          <cell r="X29175" t="str">
            <v>Financial income</v>
          </cell>
        </row>
        <row r="29176">
          <cell r="S29176">
            <v>69.84</v>
          </cell>
          <cell r="X29176" t="str">
            <v>Financial income</v>
          </cell>
        </row>
        <row r="29177">
          <cell r="S29177">
            <v>166.98</v>
          </cell>
          <cell r="X29177" t="str">
            <v>Financial income</v>
          </cell>
        </row>
        <row r="29178">
          <cell r="S29178">
            <v>169.4</v>
          </cell>
          <cell r="X29178" t="str">
            <v>Financial income</v>
          </cell>
        </row>
        <row r="29179">
          <cell r="S29179">
            <v>145.19999999999999</v>
          </cell>
          <cell r="X29179" t="str">
            <v>Financial income</v>
          </cell>
        </row>
        <row r="29180">
          <cell r="S29180">
            <v>88.6</v>
          </cell>
          <cell r="X29180" t="str">
            <v>Financial income</v>
          </cell>
        </row>
        <row r="29181">
          <cell r="S29181">
            <v>41.9</v>
          </cell>
          <cell r="X29181" t="str">
            <v>Financial income</v>
          </cell>
        </row>
        <row r="29182">
          <cell r="S29182">
            <v>10.6</v>
          </cell>
          <cell r="X29182" t="str">
            <v>Financial income</v>
          </cell>
        </row>
        <row r="29183">
          <cell r="S29183">
            <v>21.78</v>
          </cell>
          <cell r="X29183" t="str">
            <v>Financial income</v>
          </cell>
        </row>
        <row r="29184">
          <cell r="S29184">
            <v>64.77</v>
          </cell>
          <cell r="X29184" t="str">
            <v>Financial income</v>
          </cell>
        </row>
        <row r="29185">
          <cell r="S29185">
            <v>9.68</v>
          </cell>
          <cell r="X29185" t="str">
            <v>Financial income</v>
          </cell>
        </row>
        <row r="29186">
          <cell r="S29186">
            <v>38.54</v>
          </cell>
          <cell r="X29186" t="str">
            <v>Financial income</v>
          </cell>
        </row>
        <row r="29187">
          <cell r="S29187">
            <v>175.45</v>
          </cell>
          <cell r="X29187" t="str">
            <v>Financial income</v>
          </cell>
        </row>
        <row r="29188">
          <cell r="S29188">
            <v>13.35</v>
          </cell>
          <cell r="X29188" t="str">
            <v>Financial income</v>
          </cell>
        </row>
        <row r="29189">
          <cell r="S29189">
            <v>116.01</v>
          </cell>
          <cell r="X29189" t="str">
            <v>Financial income</v>
          </cell>
        </row>
        <row r="29190">
          <cell r="S29190">
            <v>145.19999999999999</v>
          </cell>
          <cell r="X29190" t="str">
            <v>Financial income</v>
          </cell>
        </row>
        <row r="29191">
          <cell r="S29191">
            <v>145.19999999999999</v>
          </cell>
          <cell r="X29191" t="str">
            <v>Financial income</v>
          </cell>
        </row>
        <row r="29192">
          <cell r="S29192">
            <v>0</v>
          </cell>
          <cell r="X29192" t="str">
            <v>Financial income</v>
          </cell>
        </row>
        <row r="29193">
          <cell r="S29193">
            <v>183.74</v>
          </cell>
          <cell r="X29193" t="str">
            <v>Financial income</v>
          </cell>
        </row>
        <row r="29194">
          <cell r="S29194">
            <v>157.30000000000001</v>
          </cell>
          <cell r="X29194" t="str">
            <v>Financial income</v>
          </cell>
        </row>
        <row r="29195">
          <cell r="S29195">
            <v>-7.17</v>
          </cell>
          <cell r="X29195" t="str">
            <v>Financial income</v>
          </cell>
        </row>
        <row r="29196">
          <cell r="S29196">
            <v>-205.81</v>
          </cell>
          <cell r="X29196" t="str">
            <v>Financial income</v>
          </cell>
        </row>
        <row r="29197">
          <cell r="S29197">
            <v>290.39999999999998</v>
          </cell>
          <cell r="X29197" t="str">
            <v>Financial income</v>
          </cell>
        </row>
        <row r="29198">
          <cell r="S29198">
            <v>48.16</v>
          </cell>
          <cell r="X29198" t="str">
            <v>Financial income</v>
          </cell>
        </row>
        <row r="29199">
          <cell r="S29199">
            <v>11.88</v>
          </cell>
          <cell r="X29199" t="str">
            <v>Financial income</v>
          </cell>
        </row>
        <row r="29200">
          <cell r="S29200">
            <v>13.27</v>
          </cell>
          <cell r="X29200" t="str">
            <v>Financial income</v>
          </cell>
        </row>
        <row r="29201">
          <cell r="S29201">
            <v>151.25</v>
          </cell>
          <cell r="X29201" t="str">
            <v>Financial income</v>
          </cell>
        </row>
        <row r="29202">
          <cell r="S29202">
            <v>145.19999999999999</v>
          </cell>
          <cell r="X29202" t="str">
            <v>Financial income</v>
          </cell>
        </row>
        <row r="29203">
          <cell r="S29203">
            <v>145.19999999999999</v>
          </cell>
          <cell r="X29203" t="str">
            <v>Financial income</v>
          </cell>
        </row>
        <row r="29204">
          <cell r="S29204">
            <v>145.19999999999999</v>
          </cell>
          <cell r="X29204" t="str">
            <v>Financial income</v>
          </cell>
        </row>
        <row r="29205">
          <cell r="S29205">
            <v>54.89</v>
          </cell>
          <cell r="X29205" t="str">
            <v>Financial income</v>
          </cell>
        </row>
        <row r="29206">
          <cell r="S29206">
            <v>166.98</v>
          </cell>
          <cell r="X29206" t="str">
            <v>Financial income</v>
          </cell>
        </row>
        <row r="29207">
          <cell r="S29207">
            <v>145.19999999999999</v>
          </cell>
          <cell r="X29207" t="str">
            <v>Financial income</v>
          </cell>
        </row>
        <row r="29208">
          <cell r="S29208">
            <v>157.30000000000001</v>
          </cell>
          <cell r="X29208" t="str">
            <v>Financial income</v>
          </cell>
        </row>
        <row r="29209">
          <cell r="S29209">
            <v>33.880000000000003</v>
          </cell>
          <cell r="X29209" t="str">
            <v>Financial income</v>
          </cell>
        </row>
        <row r="29210">
          <cell r="S29210">
            <v>85.68</v>
          </cell>
          <cell r="X29210" t="str">
            <v>Financial income</v>
          </cell>
        </row>
        <row r="29211">
          <cell r="S29211">
            <v>151.25</v>
          </cell>
          <cell r="X29211" t="str">
            <v>Financial income</v>
          </cell>
        </row>
        <row r="29212">
          <cell r="S29212">
            <v>26.47</v>
          </cell>
          <cell r="X29212" t="str">
            <v>Financial income</v>
          </cell>
        </row>
        <row r="29213">
          <cell r="S29213">
            <v>26.46</v>
          </cell>
          <cell r="X29213" t="str">
            <v>Financial income</v>
          </cell>
        </row>
        <row r="29214">
          <cell r="S29214">
            <v>145.19999999999999</v>
          </cell>
          <cell r="X29214" t="str">
            <v>Financial income</v>
          </cell>
        </row>
        <row r="29215">
          <cell r="S29215">
            <v>28.19</v>
          </cell>
          <cell r="X29215" t="str">
            <v>Financial income</v>
          </cell>
        </row>
        <row r="29216">
          <cell r="S29216">
            <v>57.49</v>
          </cell>
          <cell r="X29216" t="str">
            <v>Financial income</v>
          </cell>
        </row>
        <row r="29217">
          <cell r="S29217">
            <v>145.19999999999999</v>
          </cell>
          <cell r="X29217" t="str">
            <v>Financial income</v>
          </cell>
        </row>
        <row r="29218">
          <cell r="S29218">
            <v>61.94</v>
          </cell>
          <cell r="X29218" t="str">
            <v>Financial income</v>
          </cell>
        </row>
        <row r="29219">
          <cell r="S29219">
            <v>145.19999999999999</v>
          </cell>
          <cell r="X29219" t="str">
            <v>Financial income</v>
          </cell>
        </row>
        <row r="29220">
          <cell r="S29220">
            <v>145.19999999999999</v>
          </cell>
          <cell r="X29220" t="str">
            <v>Financial income</v>
          </cell>
        </row>
        <row r="29221">
          <cell r="S29221">
            <v>21.8</v>
          </cell>
          <cell r="X29221" t="str">
            <v>Financial income</v>
          </cell>
        </row>
        <row r="29222">
          <cell r="S29222">
            <v>145.19999999999999</v>
          </cell>
          <cell r="X29222" t="str">
            <v>Financial income</v>
          </cell>
        </row>
        <row r="29223">
          <cell r="S29223">
            <v>-35.96</v>
          </cell>
          <cell r="X29223" t="str">
            <v>Financial income</v>
          </cell>
        </row>
        <row r="29224">
          <cell r="S29224">
            <v>105.55</v>
          </cell>
          <cell r="X29224" t="str">
            <v>Financial income</v>
          </cell>
        </row>
        <row r="29225">
          <cell r="S29225">
            <v>-69.59</v>
          </cell>
          <cell r="X29225" t="str">
            <v>Financial income</v>
          </cell>
        </row>
        <row r="29226">
          <cell r="S29226">
            <v>2755.19</v>
          </cell>
          <cell r="X29226" t="str">
            <v>Financial income</v>
          </cell>
        </row>
        <row r="29227">
          <cell r="S29227">
            <v>210.16</v>
          </cell>
          <cell r="X29227" t="str">
            <v>Financial income</v>
          </cell>
        </row>
        <row r="29228">
          <cell r="S29228">
            <v>45.4</v>
          </cell>
          <cell r="X29228" t="str">
            <v>Financial income</v>
          </cell>
        </row>
        <row r="29229">
          <cell r="S29229">
            <v>180.15</v>
          </cell>
          <cell r="X29229" t="str">
            <v>Financial income</v>
          </cell>
        </row>
        <row r="29230">
          <cell r="S29230">
            <v>90</v>
          </cell>
          <cell r="X29230" t="str">
            <v>Financial income</v>
          </cell>
        </row>
        <row r="29231">
          <cell r="S29231">
            <v>169.4</v>
          </cell>
          <cell r="X29231" t="str">
            <v>Financial income</v>
          </cell>
        </row>
        <row r="29232">
          <cell r="S29232">
            <v>205.59</v>
          </cell>
          <cell r="X29232" t="str">
            <v>Financial income</v>
          </cell>
        </row>
        <row r="29233">
          <cell r="S29233">
            <v>341.11</v>
          </cell>
          <cell r="X29233" t="str">
            <v>Financial income</v>
          </cell>
        </row>
        <row r="29234">
          <cell r="S29234">
            <v>169.4</v>
          </cell>
          <cell r="X29234" t="str">
            <v>Financial income</v>
          </cell>
        </row>
        <row r="29235">
          <cell r="S29235">
            <v>9.68</v>
          </cell>
          <cell r="X29235" t="str">
            <v>Financial income</v>
          </cell>
        </row>
        <row r="29236">
          <cell r="S29236">
            <v>166.98</v>
          </cell>
          <cell r="X29236" t="str">
            <v>Financial income</v>
          </cell>
        </row>
        <row r="29237">
          <cell r="S29237">
            <v>57.51</v>
          </cell>
          <cell r="X29237" t="str">
            <v>Financial income</v>
          </cell>
        </row>
        <row r="29238">
          <cell r="S29238">
            <v>86.48</v>
          </cell>
          <cell r="X29238" t="str">
            <v>Financial income</v>
          </cell>
        </row>
        <row r="29239">
          <cell r="S29239">
            <v>145.19999999999999</v>
          </cell>
          <cell r="X29239" t="str">
            <v>Financial income</v>
          </cell>
        </row>
        <row r="29240">
          <cell r="S29240">
            <v>23</v>
          </cell>
          <cell r="X29240" t="str">
            <v>Financial income</v>
          </cell>
        </row>
        <row r="29241">
          <cell r="S29241">
            <v>145.19999999999999</v>
          </cell>
          <cell r="X29241" t="str">
            <v>Financial income</v>
          </cell>
        </row>
        <row r="29242">
          <cell r="S29242">
            <v>180.35</v>
          </cell>
          <cell r="X29242" t="str">
            <v>Financial income</v>
          </cell>
        </row>
        <row r="29243">
          <cell r="S29243">
            <v>145.19999999999999</v>
          </cell>
          <cell r="X29243" t="str">
            <v>Financial income</v>
          </cell>
        </row>
        <row r="29244">
          <cell r="S29244">
            <v>135.51</v>
          </cell>
          <cell r="X29244" t="str">
            <v>Financial income</v>
          </cell>
        </row>
        <row r="29245">
          <cell r="S29245">
            <v>2505.8000000000002</v>
          </cell>
          <cell r="X29245" t="str">
            <v>Financial income</v>
          </cell>
        </row>
        <row r="29246">
          <cell r="S29246">
            <v>-66.73</v>
          </cell>
          <cell r="X29246" t="str">
            <v>Financial income</v>
          </cell>
        </row>
        <row r="29247">
          <cell r="S29247">
            <v>152.72</v>
          </cell>
          <cell r="X29247" t="str">
            <v>Financial income</v>
          </cell>
        </row>
        <row r="29248">
          <cell r="S29248">
            <v>699.73</v>
          </cell>
          <cell r="X29248" t="str">
            <v>Financial income</v>
          </cell>
        </row>
        <row r="29249">
          <cell r="S29249">
            <v>371.81</v>
          </cell>
          <cell r="X29249" t="str">
            <v>Financial income</v>
          </cell>
        </row>
        <row r="29250">
          <cell r="L29250" t="str">
            <v>Non-proportional</v>
          </cell>
          <cell r="S29250">
            <v>-13.18</v>
          </cell>
          <cell r="X29250" t="str">
            <v>Financial income</v>
          </cell>
        </row>
        <row r="29251">
          <cell r="S29251">
            <v>38.97</v>
          </cell>
          <cell r="X29251" t="str">
            <v>Financial income</v>
          </cell>
        </row>
        <row r="29252">
          <cell r="S29252">
            <v>-291.89999999999998</v>
          </cell>
          <cell r="X29252" t="str">
            <v>Financial income</v>
          </cell>
        </row>
        <row r="29253">
          <cell r="S29253">
            <v>45.11</v>
          </cell>
          <cell r="X29253" t="str">
            <v>Financial income</v>
          </cell>
        </row>
        <row r="29254">
          <cell r="S29254">
            <v>63.22</v>
          </cell>
          <cell r="X29254" t="str">
            <v>Financial income</v>
          </cell>
        </row>
        <row r="29255">
          <cell r="S29255">
            <v>185.08</v>
          </cell>
          <cell r="X29255" t="str">
            <v>Financial income</v>
          </cell>
        </row>
        <row r="29256">
          <cell r="S29256">
            <v>157.30000000000001</v>
          </cell>
          <cell r="X29256" t="str">
            <v>Financial income</v>
          </cell>
        </row>
        <row r="29257">
          <cell r="S29257">
            <v>145.19999999999999</v>
          </cell>
          <cell r="X29257" t="str">
            <v>Financial income</v>
          </cell>
        </row>
        <row r="29258">
          <cell r="S29258">
            <v>59.1</v>
          </cell>
          <cell r="X29258" t="str">
            <v>Financial income</v>
          </cell>
        </row>
        <row r="29259">
          <cell r="S29259">
            <v>234.47</v>
          </cell>
          <cell r="X29259" t="str">
            <v>Financial income</v>
          </cell>
        </row>
        <row r="29260">
          <cell r="S29260">
            <v>145.19999999999999</v>
          </cell>
          <cell r="X29260" t="str">
            <v>Financial income</v>
          </cell>
        </row>
        <row r="29261">
          <cell r="S29261">
            <v>290.39999999999998</v>
          </cell>
          <cell r="X29261" t="str">
            <v>Financial income</v>
          </cell>
        </row>
        <row r="29262">
          <cell r="S29262">
            <v>145.19999999999999</v>
          </cell>
          <cell r="X29262" t="str">
            <v>Financial income</v>
          </cell>
        </row>
        <row r="29263">
          <cell r="S29263">
            <v>9.7799999999999994</v>
          </cell>
          <cell r="X29263" t="str">
            <v>Financial income</v>
          </cell>
        </row>
        <row r="29264">
          <cell r="S29264">
            <v>145.19999999999999</v>
          </cell>
          <cell r="X29264" t="str">
            <v>Financial income</v>
          </cell>
        </row>
        <row r="29265">
          <cell r="S29265">
            <v>9.68</v>
          </cell>
          <cell r="X29265" t="str">
            <v>Financial income</v>
          </cell>
        </row>
        <row r="29266">
          <cell r="S29266">
            <v>99.49</v>
          </cell>
          <cell r="X29266" t="str">
            <v>Financial income</v>
          </cell>
        </row>
        <row r="29267">
          <cell r="S29267">
            <v>287.38</v>
          </cell>
          <cell r="X29267" t="str">
            <v>Financial income</v>
          </cell>
        </row>
        <row r="29268">
          <cell r="S29268">
            <v>1248.1300000000001</v>
          </cell>
          <cell r="X29268" t="str">
            <v>Financial income</v>
          </cell>
        </row>
        <row r="29269">
          <cell r="S29269">
            <v>-52</v>
          </cell>
          <cell r="X29269" t="str">
            <v>Financial income</v>
          </cell>
        </row>
        <row r="29270">
          <cell r="S29270">
            <v>-1772.74</v>
          </cell>
          <cell r="X29270" t="str">
            <v>Financial income</v>
          </cell>
        </row>
        <row r="29271">
          <cell r="S29271">
            <v>1230.69</v>
          </cell>
          <cell r="X29271" t="str">
            <v>Financial income</v>
          </cell>
        </row>
        <row r="29272">
          <cell r="S29272">
            <v>-26.96</v>
          </cell>
          <cell r="X29272" t="str">
            <v>Financial income</v>
          </cell>
        </row>
        <row r="29273">
          <cell r="S29273">
            <v>-273.02999999999997</v>
          </cell>
          <cell r="X29273" t="str">
            <v>Financial income</v>
          </cell>
        </row>
        <row r="29274">
          <cell r="S29274">
            <v>272.91000000000003</v>
          </cell>
          <cell r="X29274" t="str">
            <v>Financial income</v>
          </cell>
        </row>
        <row r="29275">
          <cell r="S29275">
            <v>178</v>
          </cell>
          <cell r="X29275" t="str">
            <v>Financial income</v>
          </cell>
        </row>
        <row r="29276">
          <cell r="S29276">
            <v>52.53</v>
          </cell>
          <cell r="X29276" t="str">
            <v>Financial income</v>
          </cell>
        </row>
        <row r="29277">
          <cell r="S29277">
            <v>239.82</v>
          </cell>
          <cell r="X29277" t="str">
            <v>Financial income</v>
          </cell>
        </row>
        <row r="29278">
          <cell r="S29278">
            <v>145.19999999999999</v>
          </cell>
          <cell r="X29278" t="str">
            <v>Financial income</v>
          </cell>
        </row>
        <row r="29279">
          <cell r="S29279">
            <v>-241.38</v>
          </cell>
          <cell r="X29279" t="str">
            <v>Financial income</v>
          </cell>
        </row>
        <row r="29280">
          <cell r="S29280">
            <v>360.17</v>
          </cell>
          <cell r="X29280" t="str">
            <v>Financial income</v>
          </cell>
        </row>
        <row r="29281">
          <cell r="S29281">
            <v>25.33</v>
          </cell>
          <cell r="X29281" t="str">
            <v>Financial income</v>
          </cell>
        </row>
        <row r="29282">
          <cell r="S29282">
            <v>225.36</v>
          </cell>
          <cell r="X29282" t="str">
            <v>Financial income</v>
          </cell>
        </row>
        <row r="29283">
          <cell r="S29283">
            <v>18.5</v>
          </cell>
          <cell r="X29283" t="str">
            <v>Financial income</v>
          </cell>
        </row>
        <row r="29284">
          <cell r="S29284">
            <v>315.38</v>
          </cell>
          <cell r="X29284" t="str">
            <v>Financial income</v>
          </cell>
        </row>
        <row r="29285">
          <cell r="S29285">
            <v>205.36</v>
          </cell>
          <cell r="X29285" t="str">
            <v>Financial income</v>
          </cell>
        </row>
        <row r="29286">
          <cell r="S29286">
            <v>66.97</v>
          </cell>
          <cell r="X29286" t="str">
            <v>Financial income</v>
          </cell>
        </row>
        <row r="29287">
          <cell r="S29287">
            <v>487.63</v>
          </cell>
          <cell r="X29287" t="str">
            <v>Financial income</v>
          </cell>
        </row>
        <row r="29288">
          <cell r="S29288">
            <v>170.04</v>
          </cell>
          <cell r="X29288" t="str">
            <v>Financial income</v>
          </cell>
        </row>
        <row r="29289">
          <cell r="S29289">
            <v>552.83000000000004</v>
          </cell>
          <cell r="X29289" t="str">
            <v>Financial income</v>
          </cell>
        </row>
        <row r="29290">
          <cell r="S29290">
            <v>53.37</v>
          </cell>
          <cell r="X29290" t="str">
            <v>Financial income</v>
          </cell>
        </row>
        <row r="29291">
          <cell r="S29291">
            <v>87.39</v>
          </cell>
          <cell r="X29291" t="str">
            <v>Financial income</v>
          </cell>
        </row>
        <row r="29292">
          <cell r="S29292">
            <v>435.6</v>
          </cell>
          <cell r="X29292" t="str">
            <v>Financial income</v>
          </cell>
        </row>
        <row r="29293">
          <cell r="S29293">
            <v>318.23</v>
          </cell>
          <cell r="X29293" t="str">
            <v>Financial income</v>
          </cell>
        </row>
        <row r="29294">
          <cell r="S29294">
            <v>1164.75</v>
          </cell>
          <cell r="X29294" t="str">
            <v>Financial income</v>
          </cell>
        </row>
        <row r="29295">
          <cell r="S29295">
            <v>1303.1199999999999</v>
          </cell>
          <cell r="X29295" t="str">
            <v>Financial income</v>
          </cell>
        </row>
        <row r="29296">
          <cell r="S29296">
            <v>-175.45</v>
          </cell>
          <cell r="X29296" t="str">
            <v>Financial income</v>
          </cell>
        </row>
        <row r="29297">
          <cell r="S29297">
            <v>297.14</v>
          </cell>
          <cell r="X29297" t="str">
            <v>Financial income</v>
          </cell>
        </row>
        <row r="29298">
          <cell r="S29298">
            <v>-111.81</v>
          </cell>
          <cell r="X29298" t="str">
            <v>Financial income</v>
          </cell>
        </row>
        <row r="29299">
          <cell r="S29299">
            <v>287.26</v>
          </cell>
          <cell r="X29299" t="str">
            <v>Financial income</v>
          </cell>
        </row>
        <row r="29300">
          <cell r="L29300"/>
          <cell r="S29300">
            <v>72.900000000000006</v>
          </cell>
          <cell r="X29300" t="str">
            <v>Financial income</v>
          </cell>
        </row>
        <row r="29301">
          <cell r="L29301"/>
          <cell r="S29301">
            <v>1509.41</v>
          </cell>
          <cell r="X29301" t="str">
            <v>Financial income</v>
          </cell>
        </row>
        <row r="29302">
          <cell r="L29302"/>
          <cell r="S29302">
            <v>263.63</v>
          </cell>
          <cell r="X29302" t="str">
            <v>Financial income</v>
          </cell>
        </row>
        <row r="29303">
          <cell r="L29303"/>
          <cell r="S29303">
            <v>100.61</v>
          </cell>
          <cell r="X29303" t="str">
            <v>Financial income</v>
          </cell>
        </row>
        <row r="29304">
          <cell r="L29304"/>
          <cell r="S29304">
            <v>145.19999999999999</v>
          </cell>
          <cell r="X29304" t="str">
            <v>Financial income</v>
          </cell>
        </row>
        <row r="29305">
          <cell r="L29305"/>
          <cell r="S29305">
            <v>90</v>
          </cell>
          <cell r="X29305" t="str">
            <v>Financial income</v>
          </cell>
        </row>
        <row r="29306">
          <cell r="L29306"/>
          <cell r="S29306">
            <v>179.54</v>
          </cell>
          <cell r="X29306" t="str">
            <v>Financial income</v>
          </cell>
        </row>
        <row r="29307">
          <cell r="L29307"/>
          <cell r="S29307">
            <v>9.68</v>
          </cell>
          <cell r="X29307" t="str">
            <v>Financial income</v>
          </cell>
        </row>
        <row r="29308">
          <cell r="L29308"/>
          <cell r="S29308">
            <v>145.19999999999999</v>
          </cell>
          <cell r="X29308" t="str">
            <v>Financial income</v>
          </cell>
        </row>
        <row r="29309">
          <cell r="L29309"/>
          <cell r="S29309">
            <v>212.23</v>
          </cell>
          <cell r="X29309" t="str">
            <v>Financial income</v>
          </cell>
        </row>
        <row r="29310">
          <cell r="L29310"/>
          <cell r="S29310">
            <v>223.92</v>
          </cell>
          <cell r="X29310" t="str">
            <v>Financial income</v>
          </cell>
        </row>
        <row r="29311">
          <cell r="L29311"/>
          <cell r="S29311">
            <v>214.5</v>
          </cell>
          <cell r="X29311" t="str">
            <v>Financial income</v>
          </cell>
        </row>
        <row r="29312">
          <cell r="L29312"/>
          <cell r="S29312">
            <v>157.30000000000001</v>
          </cell>
          <cell r="X29312" t="str">
            <v>Financial income</v>
          </cell>
        </row>
        <row r="29313">
          <cell r="L29313"/>
          <cell r="S29313">
            <v>122.02</v>
          </cell>
          <cell r="X29313" t="str">
            <v>Financial income</v>
          </cell>
        </row>
        <row r="29314">
          <cell r="L29314"/>
          <cell r="S29314">
            <v>145.19999999999999</v>
          </cell>
          <cell r="X29314" t="str">
            <v>Financial income</v>
          </cell>
        </row>
        <row r="29315">
          <cell r="L29315"/>
          <cell r="S29315">
            <v>308.17</v>
          </cell>
          <cell r="X29315" t="str">
            <v>Financial income</v>
          </cell>
        </row>
        <row r="29316">
          <cell r="L29316"/>
          <cell r="S29316">
            <v>21.78</v>
          </cell>
          <cell r="X29316" t="str">
            <v>Financial income</v>
          </cell>
        </row>
        <row r="29317">
          <cell r="L29317"/>
          <cell r="S29317">
            <v>39.93</v>
          </cell>
          <cell r="X29317" t="str">
            <v>Financial income</v>
          </cell>
        </row>
        <row r="29318">
          <cell r="L29318"/>
          <cell r="S29318">
            <v>158.69</v>
          </cell>
          <cell r="X29318" t="str">
            <v>Financial income</v>
          </cell>
        </row>
        <row r="29319">
          <cell r="L29319"/>
          <cell r="S29319">
            <v>307.11</v>
          </cell>
          <cell r="X29319" t="str">
            <v>Financial income</v>
          </cell>
        </row>
        <row r="29320">
          <cell r="L29320"/>
          <cell r="S29320">
            <v>178.93</v>
          </cell>
          <cell r="X29320" t="str">
            <v>Financial income</v>
          </cell>
        </row>
        <row r="29321">
          <cell r="L29321"/>
          <cell r="S29321">
            <v>-148.66</v>
          </cell>
          <cell r="X29321" t="str">
            <v>Financial income</v>
          </cell>
        </row>
        <row r="29322">
          <cell r="L29322"/>
          <cell r="S29322">
            <v>287.69</v>
          </cell>
          <cell r="X29322" t="str">
            <v>Financial income</v>
          </cell>
        </row>
        <row r="29323">
          <cell r="L29323"/>
          <cell r="S29323">
            <v>618.29</v>
          </cell>
          <cell r="X29323" t="str">
            <v>Financial income</v>
          </cell>
        </row>
        <row r="29324">
          <cell r="L29324"/>
          <cell r="S29324">
            <v>41.7</v>
          </cell>
          <cell r="X29324" t="str">
            <v>Financial income</v>
          </cell>
        </row>
        <row r="29325">
          <cell r="L29325"/>
          <cell r="S29325">
            <v>-139.03</v>
          </cell>
          <cell r="X29325" t="str">
            <v>Financial income</v>
          </cell>
        </row>
        <row r="29326">
          <cell r="L29326"/>
          <cell r="S29326">
            <v>-1249.8800000000001</v>
          </cell>
          <cell r="X29326" t="str">
            <v>Financial income</v>
          </cell>
        </row>
        <row r="29327">
          <cell r="L29327"/>
          <cell r="S29327">
            <v>1249.8800000000001</v>
          </cell>
          <cell r="X29327" t="str">
            <v>Financial income</v>
          </cell>
        </row>
        <row r="29328">
          <cell r="L29328"/>
          <cell r="S29328">
            <v>101.01</v>
          </cell>
          <cell r="X29328" t="str">
            <v>Financial income</v>
          </cell>
        </row>
        <row r="29329">
          <cell r="L29329"/>
          <cell r="S29329">
            <v>338</v>
          </cell>
          <cell r="X29329" t="str">
            <v>Financial income</v>
          </cell>
        </row>
        <row r="29330">
          <cell r="L29330"/>
          <cell r="S29330">
            <v>112.4</v>
          </cell>
          <cell r="X29330" t="str">
            <v>Financial income</v>
          </cell>
        </row>
        <row r="29331">
          <cell r="L29331"/>
          <cell r="S29331">
            <v>405.01</v>
          </cell>
          <cell r="X29331" t="str">
            <v>Financial income</v>
          </cell>
        </row>
        <row r="29332">
          <cell r="L29332"/>
          <cell r="S29332">
            <v>145.19999999999999</v>
          </cell>
          <cell r="X29332" t="str">
            <v>Financial income</v>
          </cell>
        </row>
        <row r="29333">
          <cell r="L29333"/>
          <cell r="S29333">
            <v>102.24</v>
          </cell>
          <cell r="X29333" t="str">
            <v>Financial income</v>
          </cell>
        </row>
        <row r="29334">
          <cell r="L29334"/>
          <cell r="S29334">
            <v>98.2</v>
          </cell>
          <cell r="X29334" t="str">
            <v>Financial income</v>
          </cell>
        </row>
        <row r="29335">
          <cell r="L29335"/>
          <cell r="S29335">
            <v>18.23</v>
          </cell>
          <cell r="X29335" t="str">
            <v>Financial income</v>
          </cell>
        </row>
        <row r="29336">
          <cell r="L29336"/>
          <cell r="S29336">
            <v>302.5</v>
          </cell>
          <cell r="X29336" t="str">
            <v>Financial income</v>
          </cell>
        </row>
        <row r="29337">
          <cell r="L29337"/>
          <cell r="S29337">
            <v>159.56</v>
          </cell>
          <cell r="X29337" t="str">
            <v>Financial income</v>
          </cell>
        </row>
        <row r="29338">
          <cell r="L29338"/>
          <cell r="S29338">
            <v>1982.91</v>
          </cell>
          <cell r="X29338" t="str">
            <v>Financial income</v>
          </cell>
        </row>
        <row r="29339">
          <cell r="L29339"/>
          <cell r="S29339">
            <v>-316.97000000000003</v>
          </cell>
          <cell r="X29339" t="str">
            <v>Financial income</v>
          </cell>
        </row>
        <row r="29340">
          <cell r="L29340"/>
          <cell r="S29340">
            <v>1390.05</v>
          </cell>
          <cell r="X29340" t="str">
            <v>Financial income</v>
          </cell>
        </row>
        <row r="29341">
          <cell r="L29341"/>
          <cell r="S29341">
            <v>-6.82</v>
          </cell>
          <cell r="X29341" t="str">
            <v>Financial income</v>
          </cell>
        </row>
        <row r="29342">
          <cell r="L29342"/>
          <cell r="S29342">
            <v>323.79000000000002</v>
          </cell>
          <cell r="X29342" t="str">
            <v>Financial income</v>
          </cell>
        </row>
        <row r="29343">
          <cell r="L29343"/>
          <cell r="S29343">
            <v>227.47</v>
          </cell>
          <cell r="X29343" t="str">
            <v>Financial income</v>
          </cell>
        </row>
        <row r="29344">
          <cell r="L29344"/>
          <cell r="S29344">
            <v>200.18</v>
          </cell>
          <cell r="X29344" t="str">
            <v>Financial income</v>
          </cell>
        </row>
        <row r="29345">
          <cell r="L29345"/>
          <cell r="S29345">
            <v>9.68</v>
          </cell>
          <cell r="X29345" t="str">
            <v>Financial income</v>
          </cell>
        </row>
        <row r="29346">
          <cell r="L29346"/>
          <cell r="S29346">
            <v>12.89</v>
          </cell>
          <cell r="X29346" t="str">
            <v>Financial income</v>
          </cell>
        </row>
        <row r="29347">
          <cell r="L29347"/>
          <cell r="S29347">
            <v>103</v>
          </cell>
          <cell r="X29347" t="str">
            <v>Financial income</v>
          </cell>
        </row>
        <row r="29348">
          <cell r="L29348"/>
          <cell r="S29348">
            <v>403.09</v>
          </cell>
          <cell r="X29348" t="str">
            <v>Financial income</v>
          </cell>
        </row>
        <row r="29349">
          <cell r="L29349"/>
          <cell r="S29349">
            <v>39.57</v>
          </cell>
          <cell r="X29349" t="str">
            <v>Financial income</v>
          </cell>
        </row>
        <row r="29350">
          <cell r="L29350"/>
          <cell r="S29350">
            <v>145.19999999999999</v>
          </cell>
          <cell r="X29350" t="str">
            <v>Financial income</v>
          </cell>
        </row>
        <row r="29351">
          <cell r="L29351"/>
          <cell r="S29351">
            <v>173.42</v>
          </cell>
          <cell r="X29351" t="str">
            <v>Financial income</v>
          </cell>
        </row>
        <row r="29352">
          <cell r="L29352"/>
          <cell r="S29352">
            <v>78.59</v>
          </cell>
          <cell r="X29352" t="str">
            <v>Financial income</v>
          </cell>
        </row>
        <row r="29353">
          <cell r="L29353"/>
          <cell r="S29353">
            <v>61.52</v>
          </cell>
          <cell r="X29353" t="str">
            <v>Financial income</v>
          </cell>
        </row>
        <row r="29354">
          <cell r="L29354"/>
          <cell r="S29354">
            <v>174.6</v>
          </cell>
          <cell r="X29354" t="str">
            <v>Financial income</v>
          </cell>
        </row>
        <row r="29355">
          <cell r="L29355"/>
          <cell r="S29355">
            <v>184.82</v>
          </cell>
          <cell r="X29355" t="str">
            <v>Financial income</v>
          </cell>
        </row>
        <row r="29356">
          <cell r="L29356"/>
          <cell r="S29356">
            <v>189.04</v>
          </cell>
          <cell r="X29356" t="str">
            <v>Financial income</v>
          </cell>
        </row>
        <row r="29357">
          <cell r="L29357"/>
          <cell r="S29357">
            <v>56.7</v>
          </cell>
          <cell r="X29357" t="str">
            <v>Financial income</v>
          </cell>
        </row>
        <row r="29358">
          <cell r="L29358"/>
          <cell r="S29358">
            <v>611.98</v>
          </cell>
          <cell r="X29358" t="str">
            <v>Financial income</v>
          </cell>
        </row>
        <row r="29359">
          <cell r="L29359"/>
          <cell r="S29359">
            <v>-68.209999999999994</v>
          </cell>
          <cell r="X29359" t="str">
            <v>Financial income</v>
          </cell>
        </row>
        <row r="29360">
          <cell r="L29360"/>
          <cell r="S29360">
            <v>253.25</v>
          </cell>
          <cell r="X29360" t="str">
            <v>Financial income</v>
          </cell>
        </row>
        <row r="29361">
          <cell r="L29361"/>
          <cell r="S29361">
            <v>-9.59</v>
          </cell>
          <cell r="X29361" t="str">
            <v>Financial income</v>
          </cell>
        </row>
        <row r="29362">
          <cell r="L29362"/>
          <cell r="S29362">
            <v>-175.45</v>
          </cell>
          <cell r="X29362" t="str">
            <v>Financial income</v>
          </cell>
        </row>
        <row r="29363">
          <cell r="L29363"/>
          <cell r="S29363">
            <v>443.68</v>
          </cell>
          <cell r="X29363" t="str">
            <v>Financial income</v>
          </cell>
        </row>
        <row r="29364">
          <cell r="L29364"/>
          <cell r="S29364">
            <v>176.66</v>
          </cell>
          <cell r="X29364" t="str">
            <v>Financial income</v>
          </cell>
        </row>
        <row r="29365">
          <cell r="L29365"/>
          <cell r="S29365">
            <v>384.57</v>
          </cell>
          <cell r="X29365" t="str">
            <v>Financial income</v>
          </cell>
        </row>
        <row r="29366">
          <cell r="L29366"/>
          <cell r="S29366">
            <v>1004.78</v>
          </cell>
          <cell r="X29366" t="str">
            <v>Financial income</v>
          </cell>
        </row>
        <row r="29367">
          <cell r="L29367"/>
          <cell r="S29367">
            <v>98.46</v>
          </cell>
          <cell r="X29367" t="str">
            <v>Financial income</v>
          </cell>
        </row>
        <row r="29368">
          <cell r="L29368"/>
          <cell r="S29368">
            <v>158.27000000000001</v>
          </cell>
          <cell r="X29368" t="str">
            <v>Financial income</v>
          </cell>
        </row>
        <row r="29369">
          <cell r="L29369"/>
          <cell r="S29369">
            <v>264.77</v>
          </cell>
          <cell r="X29369" t="str">
            <v>Financial income</v>
          </cell>
        </row>
        <row r="29370">
          <cell r="L29370"/>
          <cell r="S29370">
            <v>89.45</v>
          </cell>
          <cell r="X29370" t="str">
            <v>Financial income</v>
          </cell>
        </row>
        <row r="29371">
          <cell r="L29371"/>
          <cell r="S29371">
            <v>64.45</v>
          </cell>
          <cell r="X29371" t="str">
            <v>Financial income</v>
          </cell>
        </row>
        <row r="29372">
          <cell r="L29372"/>
          <cell r="S29372">
            <v>61.88</v>
          </cell>
          <cell r="X29372" t="str">
            <v>Financial income</v>
          </cell>
        </row>
        <row r="29373">
          <cell r="L29373"/>
          <cell r="S29373">
            <v>321.08999999999997</v>
          </cell>
          <cell r="X29373" t="str">
            <v>Financial income</v>
          </cell>
        </row>
        <row r="29374">
          <cell r="L29374"/>
          <cell r="S29374">
            <v>468.9</v>
          </cell>
          <cell r="X29374" t="str">
            <v>Financial income</v>
          </cell>
        </row>
        <row r="29375">
          <cell r="L29375"/>
          <cell r="S29375">
            <v>80.83</v>
          </cell>
          <cell r="X29375" t="str">
            <v>Financial income</v>
          </cell>
        </row>
        <row r="29376">
          <cell r="L29376"/>
          <cell r="S29376">
            <v>164.56</v>
          </cell>
          <cell r="X29376" t="str">
            <v>Financial income</v>
          </cell>
        </row>
        <row r="29377">
          <cell r="L29377"/>
          <cell r="S29377">
            <v>88.6</v>
          </cell>
          <cell r="X29377" t="str">
            <v>Financial income</v>
          </cell>
        </row>
        <row r="29378">
          <cell r="L29378"/>
          <cell r="S29378">
            <v>319.86</v>
          </cell>
          <cell r="X29378" t="str">
            <v>Financial income</v>
          </cell>
        </row>
        <row r="29379">
          <cell r="L29379"/>
          <cell r="S29379">
            <v>1178.44</v>
          </cell>
          <cell r="X29379" t="str">
            <v>Financial income</v>
          </cell>
        </row>
        <row r="29380">
          <cell r="L29380"/>
          <cell r="S29380">
            <v>-148.62</v>
          </cell>
          <cell r="X29380" t="str">
            <v>Financial income</v>
          </cell>
        </row>
        <row r="29381">
          <cell r="L29381"/>
          <cell r="S29381">
            <v>-62.58</v>
          </cell>
          <cell r="X29381" t="str">
            <v>Financial income</v>
          </cell>
        </row>
        <row r="29382">
          <cell r="L29382"/>
          <cell r="S29382">
            <v>-22.27</v>
          </cell>
          <cell r="X29382" t="str">
            <v>Financial income</v>
          </cell>
        </row>
        <row r="29383">
          <cell r="L29383"/>
          <cell r="S29383">
            <v>76.5</v>
          </cell>
          <cell r="X29383" t="str">
            <v>Financial income</v>
          </cell>
        </row>
        <row r="29384">
          <cell r="L29384"/>
          <cell r="S29384">
            <v>-74.42</v>
          </cell>
          <cell r="X29384" t="str">
            <v>Financial income</v>
          </cell>
        </row>
        <row r="29385">
          <cell r="L29385"/>
          <cell r="S29385">
            <v>1419.63</v>
          </cell>
          <cell r="X29385" t="str">
            <v>Financial income</v>
          </cell>
        </row>
        <row r="29386">
          <cell r="L29386"/>
          <cell r="S29386">
            <v>245.31</v>
          </cell>
          <cell r="X29386" t="str">
            <v>Financial income</v>
          </cell>
        </row>
        <row r="29387">
          <cell r="L29387"/>
          <cell r="S29387">
            <v>164.56</v>
          </cell>
          <cell r="X29387" t="str">
            <v>Financial income</v>
          </cell>
        </row>
        <row r="29388">
          <cell r="L29388"/>
          <cell r="S29388">
            <v>106.12</v>
          </cell>
          <cell r="X29388" t="str">
            <v>Financial income</v>
          </cell>
        </row>
        <row r="29389">
          <cell r="L29389"/>
          <cell r="S29389">
            <v>120.41</v>
          </cell>
          <cell r="X29389" t="str">
            <v>Financial income</v>
          </cell>
        </row>
        <row r="29390">
          <cell r="L29390"/>
          <cell r="S29390">
            <v>107.6</v>
          </cell>
          <cell r="X29390" t="str">
            <v>Financial income</v>
          </cell>
        </row>
        <row r="29391">
          <cell r="L29391"/>
          <cell r="S29391">
            <v>18.39</v>
          </cell>
          <cell r="X29391" t="str">
            <v>Financial income</v>
          </cell>
        </row>
        <row r="29392">
          <cell r="L29392"/>
          <cell r="S29392">
            <v>250.39</v>
          </cell>
          <cell r="X29392" t="str">
            <v>Financial income</v>
          </cell>
        </row>
        <row r="29393">
          <cell r="L29393"/>
          <cell r="S29393">
            <v>145.19999999999999</v>
          </cell>
          <cell r="X29393" t="str">
            <v>Financial income</v>
          </cell>
        </row>
        <row r="29394">
          <cell r="L29394"/>
          <cell r="S29394">
            <v>145.19999999999999</v>
          </cell>
          <cell r="X29394" t="str">
            <v>Financial income</v>
          </cell>
        </row>
        <row r="29395">
          <cell r="L29395"/>
          <cell r="S29395">
            <v>157.30000000000001</v>
          </cell>
          <cell r="X29395" t="str">
            <v>Financial income</v>
          </cell>
        </row>
        <row r="29396">
          <cell r="L29396"/>
          <cell r="S29396">
            <v>40.32</v>
          </cell>
          <cell r="X29396" t="str">
            <v>Financial income</v>
          </cell>
        </row>
        <row r="29397">
          <cell r="L29397"/>
          <cell r="S29397">
            <v>132.38</v>
          </cell>
          <cell r="X29397" t="str">
            <v>Financial income</v>
          </cell>
        </row>
        <row r="29398">
          <cell r="L29398"/>
          <cell r="S29398">
            <v>166.69</v>
          </cell>
          <cell r="X29398" t="str">
            <v>Financial income</v>
          </cell>
        </row>
        <row r="29399">
          <cell r="L29399"/>
          <cell r="S29399">
            <v>33.71</v>
          </cell>
          <cell r="X29399" t="str">
            <v>Financial income</v>
          </cell>
        </row>
        <row r="29400">
          <cell r="L29400"/>
          <cell r="S29400">
            <v>145.19999999999999</v>
          </cell>
          <cell r="X29400" t="str">
            <v>Financial income</v>
          </cell>
        </row>
        <row r="29401">
          <cell r="L29401"/>
          <cell r="S29401">
            <v>29.58</v>
          </cell>
          <cell r="X29401" t="str">
            <v>Financial income</v>
          </cell>
        </row>
        <row r="29402">
          <cell r="L29402"/>
          <cell r="S29402">
            <v>1356.73</v>
          </cell>
          <cell r="X29402" t="str">
            <v>Financial income</v>
          </cell>
        </row>
        <row r="29403">
          <cell r="L29403"/>
          <cell r="S29403">
            <v>1740.86</v>
          </cell>
          <cell r="X29403" t="str">
            <v>Financial income</v>
          </cell>
        </row>
        <row r="29404">
          <cell r="L29404"/>
          <cell r="S29404">
            <v>-69.59</v>
          </cell>
          <cell r="X29404" t="str">
            <v>Financial income</v>
          </cell>
        </row>
        <row r="29405">
          <cell r="L29405"/>
          <cell r="S29405">
            <v>1617.26</v>
          </cell>
          <cell r="X29405" t="str">
            <v>Financial income</v>
          </cell>
        </row>
        <row r="29406">
          <cell r="L29406"/>
          <cell r="S29406">
            <v>22.25</v>
          </cell>
          <cell r="X29406" t="str">
            <v>Financial income</v>
          </cell>
        </row>
        <row r="29407">
          <cell r="L29407"/>
          <cell r="S29407">
            <v>-28.45</v>
          </cell>
          <cell r="X29407" t="str">
            <v>Financial income</v>
          </cell>
        </row>
        <row r="29408">
          <cell r="L29408"/>
          <cell r="S29408">
            <v>98.04</v>
          </cell>
          <cell r="X29408" t="str">
            <v>Financial income</v>
          </cell>
        </row>
        <row r="29409">
          <cell r="L29409"/>
          <cell r="S29409">
            <v>644.89</v>
          </cell>
          <cell r="X29409" t="str">
            <v>Financial income</v>
          </cell>
        </row>
        <row r="29410">
          <cell r="L29410"/>
          <cell r="S29410">
            <v>-7.14</v>
          </cell>
          <cell r="X29410" t="str">
            <v>Financial income</v>
          </cell>
        </row>
        <row r="29411">
          <cell r="L29411"/>
          <cell r="S29411">
            <v>150.62</v>
          </cell>
          <cell r="X29411" t="str">
            <v>Financial income</v>
          </cell>
        </row>
        <row r="29412">
          <cell r="L29412"/>
          <cell r="S29412">
            <v>31.07</v>
          </cell>
          <cell r="X29412" t="str">
            <v>Financial income</v>
          </cell>
        </row>
        <row r="29413">
          <cell r="L29413"/>
          <cell r="S29413">
            <v>30.02</v>
          </cell>
          <cell r="X29413" t="str">
            <v>Financial income</v>
          </cell>
        </row>
        <row r="29414">
          <cell r="L29414"/>
          <cell r="S29414">
            <v>14.79</v>
          </cell>
          <cell r="X29414" t="str">
            <v>Financial income</v>
          </cell>
        </row>
        <row r="29415">
          <cell r="L29415"/>
          <cell r="S29415">
            <v>95.36</v>
          </cell>
          <cell r="X29415" t="str">
            <v>Financial income</v>
          </cell>
        </row>
        <row r="29416">
          <cell r="L29416"/>
          <cell r="S29416">
            <v>32.869999999999997</v>
          </cell>
          <cell r="X29416" t="str">
            <v>Financial income</v>
          </cell>
        </row>
        <row r="29417">
          <cell r="L29417"/>
          <cell r="S29417">
            <v>196.27</v>
          </cell>
          <cell r="X29417" t="str">
            <v>Financial income</v>
          </cell>
        </row>
        <row r="29418">
          <cell r="L29418"/>
          <cell r="S29418">
            <v>185.13</v>
          </cell>
          <cell r="X29418" t="str">
            <v>Financial income</v>
          </cell>
        </row>
        <row r="29419">
          <cell r="L29419"/>
          <cell r="S29419">
            <v>165.64</v>
          </cell>
          <cell r="X29419" t="str">
            <v>Financial income</v>
          </cell>
        </row>
        <row r="29420">
          <cell r="L29420"/>
          <cell r="S29420">
            <v>34.799999999999997</v>
          </cell>
          <cell r="X29420" t="str">
            <v>Financial income</v>
          </cell>
        </row>
        <row r="29421">
          <cell r="L29421"/>
          <cell r="S29421">
            <v>15.73</v>
          </cell>
          <cell r="X29421" t="str">
            <v>Financial income</v>
          </cell>
        </row>
        <row r="29422">
          <cell r="L29422"/>
          <cell r="S29422">
            <v>161.01</v>
          </cell>
          <cell r="X29422" t="str">
            <v>Financial income</v>
          </cell>
        </row>
        <row r="29423">
          <cell r="L29423"/>
          <cell r="S29423">
            <v>567.42999999999995</v>
          </cell>
          <cell r="X29423" t="str">
            <v>Financial income</v>
          </cell>
        </row>
        <row r="29424">
          <cell r="L29424"/>
          <cell r="S29424">
            <v>364.16</v>
          </cell>
          <cell r="X29424" t="str">
            <v>Financial income</v>
          </cell>
        </row>
        <row r="29425">
          <cell r="L29425"/>
          <cell r="S29425">
            <v>56.76</v>
          </cell>
          <cell r="X29425" t="str">
            <v>Financial income</v>
          </cell>
        </row>
        <row r="29426">
          <cell r="L29426"/>
          <cell r="S29426">
            <v>123.9</v>
          </cell>
          <cell r="X29426" t="str">
            <v>Financial income</v>
          </cell>
        </row>
        <row r="29427">
          <cell r="L29427"/>
          <cell r="S29427">
            <v>170.71</v>
          </cell>
          <cell r="X29427" t="str">
            <v>Financial income</v>
          </cell>
        </row>
        <row r="29428">
          <cell r="L29428"/>
          <cell r="S29428">
            <v>1615.87</v>
          </cell>
          <cell r="X29428" t="str">
            <v>Financial income</v>
          </cell>
        </row>
        <row r="29429">
          <cell r="L29429"/>
          <cell r="S29429">
            <v>154.01</v>
          </cell>
          <cell r="X29429" t="str">
            <v>Financial income</v>
          </cell>
        </row>
        <row r="29430">
          <cell r="L29430"/>
          <cell r="S29430">
            <v>1060.56</v>
          </cell>
          <cell r="X29430" t="str">
            <v>Financial income</v>
          </cell>
        </row>
        <row r="29431">
          <cell r="L29431"/>
          <cell r="S29431">
            <v>-29.16</v>
          </cell>
          <cell r="X29431" t="str">
            <v>Financial income</v>
          </cell>
        </row>
        <row r="29432">
          <cell r="L29432"/>
          <cell r="S29432">
            <v>-37.46</v>
          </cell>
          <cell r="X29432" t="str">
            <v>Financial income</v>
          </cell>
        </row>
        <row r="29433">
          <cell r="L29433"/>
          <cell r="S29433">
            <v>0.01</v>
          </cell>
          <cell r="X29433" t="str">
            <v>Financial income</v>
          </cell>
        </row>
        <row r="29434">
          <cell r="L29434"/>
          <cell r="S29434">
            <v>250.72</v>
          </cell>
          <cell r="X29434" t="str">
            <v>Financial income</v>
          </cell>
        </row>
        <row r="29435">
          <cell r="L29435" t="str">
            <v>Non-proportional</v>
          </cell>
          <cell r="S29435">
            <v>-28.29</v>
          </cell>
          <cell r="X29435" t="str">
            <v>Financial income</v>
          </cell>
        </row>
        <row r="29436">
          <cell r="L29436"/>
          <cell r="S29436">
            <v>-153.19999999999999</v>
          </cell>
          <cell r="X29436" t="str">
            <v>Financial income</v>
          </cell>
        </row>
        <row r="29437">
          <cell r="L29437"/>
          <cell r="S29437">
            <v>53.44</v>
          </cell>
          <cell r="X29437" t="str">
            <v>Financial income</v>
          </cell>
        </row>
        <row r="29438">
          <cell r="L29438"/>
          <cell r="S29438">
            <v>-2997.32</v>
          </cell>
          <cell r="X29438" t="str">
            <v>Financial income</v>
          </cell>
        </row>
        <row r="29439">
          <cell r="L29439"/>
          <cell r="S29439">
            <v>2997.32</v>
          </cell>
          <cell r="X29439" t="str">
            <v>Financial income</v>
          </cell>
        </row>
        <row r="29440">
          <cell r="L29440"/>
          <cell r="S29440">
            <v>2997.32</v>
          </cell>
          <cell r="X29440" t="str">
            <v>Financial income</v>
          </cell>
        </row>
        <row r="29441">
          <cell r="L29441"/>
          <cell r="S29441">
            <v>-2997.32</v>
          </cell>
          <cell r="X29441" t="str">
            <v>Financial income</v>
          </cell>
        </row>
        <row r="29442">
          <cell r="L29442" t="str">
            <v>Non-proportional</v>
          </cell>
          <cell r="S29442">
            <v>-46747.72</v>
          </cell>
          <cell r="X29442" t="str">
            <v>GWP - gross</v>
          </cell>
          <cell r="Y29442" t="str">
            <v>THAILAND</v>
          </cell>
        </row>
        <row r="29443">
          <cell r="L29443" t="str">
            <v>Non-proportional</v>
          </cell>
          <cell r="S29443">
            <v>-360000</v>
          </cell>
          <cell r="X29443" t="str">
            <v>GWP - gross</v>
          </cell>
          <cell r="Y29443" t="str">
            <v>FRANCE</v>
          </cell>
        </row>
        <row r="29444">
          <cell r="L29444" t="str">
            <v>Non-proportional</v>
          </cell>
          <cell r="S29444">
            <v>48012</v>
          </cell>
          <cell r="X29444" t="str">
            <v>GWP - gross</v>
          </cell>
          <cell r="Y29444" t="str">
            <v>ITALY</v>
          </cell>
        </row>
        <row r="29445">
          <cell r="L29445" t="str">
            <v>Non-proportional</v>
          </cell>
          <cell r="S29445">
            <v>-11221.24</v>
          </cell>
          <cell r="X29445" t="str">
            <v>GWP - gross</v>
          </cell>
          <cell r="Y29445" t="str">
            <v>ISRAEL</v>
          </cell>
        </row>
        <row r="29446">
          <cell r="L29446" t="str">
            <v>Non-proportional</v>
          </cell>
          <cell r="S29446">
            <v>-59329.8</v>
          </cell>
          <cell r="X29446" t="str">
            <v>GWP - gross</v>
          </cell>
          <cell r="Y29446" t="str">
            <v>CYPRUS</v>
          </cell>
        </row>
        <row r="29447">
          <cell r="L29447" t="str">
            <v>Proportional</v>
          </cell>
          <cell r="S29447">
            <v>-271980</v>
          </cell>
          <cell r="X29447" t="str">
            <v>GWP - gross</v>
          </cell>
          <cell r="Y29447" t="str">
            <v>EUROPE</v>
          </cell>
        </row>
        <row r="29448">
          <cell r="L29448" t="str">
            <v>Non-proportional</v>
          </cell>
          <cell r="S29448">
            <v>-40582.080000000002</v>
          </cell>
          <cell r="X29448" t="str">
            <v>GWP - gross</v>
          </cell>
          <cell r="Y29448" t="str">
            <v>ITALY</v>
          </cell>
        </row>
        <row r="29449">
          <cell r="L29449" t="str">
            <v>Non-proportional</v>
          </cell>
          <cell r="S29449">
            <v>-20996.7</v>
          </cell>
          <cell r="X29449" t="str">
            <v>GWP - gross</v>
          </cell>
          <cell r="Y29449" t="str">
            <v>NETHERLANDS</v>
          </cell>
        </row>
        <row r="29450">
          <cell r="L29450" t="str">
            <v>Non-proportional</v>
          </cell>
          <cell r="S29450">
            <v>-34500</v>
          </cell>
          <cell r="X29450" t="str">
            <v>GWP - gross</v>
          </cell>
          <cell r="Y29450" t="str">
            <v>GREECE</v>
          </cell>
        </row>
        <row r="29451">
          <cell r="L29451" t="str">
            <v>Non-proportional</v>
          </cell>
          <cell r="S29451">
            <v>-105535.26</v>
          </cell>
          <cell r="X29451" t="str">
            <v>GWP - gross</v>
          </cell>
          <cell r="Y29451" t="str">
            <v>ISRAEL</v>
          </cell>
        </row>
        <row r="29452">
          <cell r="L29452" t="str">
            <v>Non-proportional</v>
          </cell>
          <cell r="S29452">
            <v>-61041.5</v>
          </cell>
          <cell r="X29452" t="str">
            <v>GWP - gross</v>
          </cell>
          <cell r="Y29452" t="str">
            <v>ISRAEL</v>
          </cell>
        </row>
        <row r="29453">
          <cell r="L29453" t="str">
            <v>Non-proportional</v>
          </cell>
          <cell r="S29453">
            <v>-23689.97</v>
          </cell>
          <cell r="X29453" t="str">
            <v>GWP - gross</v>
          </cell>
          <cell r="Y29453" t="str">
            <v>PERU</v>
          </cell>
        </row>
        <row r="29454">
          <cell r="L29454" t="str">
            <v>Non-proportional</v>
          </cell>
          <cell r="S29454">
            <v>-1791207.54</v>
          </cell>
          <cell r="X29454" t="str">
            <v>GWP - gross</v>
          </cell>
          <cell r="Y29454" t="str">
            <v>BELGIUM</v>
          </cell>
        </row>
        <row r="29455">
          <cell r="L29455" t="str">
            <v>Non-proportional</v>
          </cell>
          <cell r="S29455">
            <v>14250</v>
          </cell>
          <cell r="X29455" t="str">
            <v>GWP - gross</v>
          </cell>
          <cell r="Y29455" t="str">
            <v>ITALY</v>
          </cell>
        </row>
        <row r="29456">
          <cell r="L29456" t="str">
            <v>Non-proportional</v>
          </cell>
          <cell r="S29456">
            <v>-22103.25</v>
          </cell>
          <cell r="X29456" t="str">
            <v>GWP - gross</v>
          </cell>
          <cell r="Y29456" t="str">
            <v>UNITED KINGDOM</v>
          </cell>
        </row>
        <row r="29457">
          <cell r="L29457" t="str">
            <v>Non-proportional</v>
          </cell>
          <cell r="S29457">
            <v>-128484.94</v>
          </cell>
          <cell r="X29457" t="str">
            <v>GWP - gross</v>
          </cell>
          <cell r="Y29457" t="str">
            <v>FRANCE</v>
          </cell>
        </row>
        <row r="29458">
          <cell r="L29458" t="str">
            <v>Non-proportional</v>
          </cell>
          <cell r="S29458">
            <v>-12732772</v>
          </cell>
          <cell r="X29458" t="str">
            <v>GWP - gross</v>
          </cell>
          <cell r="Y29458" t="str">
            <v>BELGIUM</v>
          </cell>
        </row>
        <row r="29459">
          <cell r="L29459" t="str">
            <v>Non-proportional</v>
          </cell>
          <cell r="S29459">
            <v>-1783692.99</v>
          </cell>
          <cell r="X29459" t="str">
            <v>GWP - gross</v>
          </cell>
          <cell r="Y29459" t="str">
            <v>BELGIUM</v>
          </cell>
        </row>
        <row r="29460">
          <cell r="L29460" t="str">
            <v>Non-proportional</v>
          </cell>
          <cell r="S29460">
            <v>17064</v>
          </cell>
          <cell r="X29460" t="str">
            <v>GWP - gross</v>
          </cell>
          <cell r="Y29460" t="str">
            <v>GREECE</v>
          </cell>
        </row>
        <row r="29461">
          <cell r="L29461" t="str">
            <v>Non-proportional</v>
          </cell>
          <cell r="S29461">
            <v>-281188.01</v>
          </cell>
          <cell r="X29461" t="str">
            <v>GWP - gross</v>
          </cell>
          <cell r="Y29461" t="str">
            <v>FRANCE</v>
          </cell>
        </row>
        <row r="29462">
          <cell r="L29462" t="str">
            <v>Proportional</v>
          </cell>
          <cell r="S29462">
            <v>-143.78</v>
          </cell>
          <cell r="X29462" t="str">
            <v>GWP - gross</v>
          </cell>
          <cell r="Y29462" t="str">
            <v>Hong Kong</v>
          </cell>
        </row>
        <row r="29463">
          <cell r="L29463" t="str">
            <v>Non-proportional</v>
          </cell>
          <cell r="S29463">
            <v>-19974.75</v>
          </cell>
          <cell r="X29463" t="str">
            <v>GWP - gross</v>
          </cell>
          <cell r="Y29463" t="str">
            <v>FRANCE</v>
          </cell>
        </row>
        <row r="29464">
          <cell r="L29464" t="str">
            <v>Non-proportional</v>
          </cell>
          <cell r="S29464">
            <v>-157546.59</v>
          </cell>
          <cell r="X29464" t="str">
            <v>GWP - gross</v>
          </cell>
          <cell r="Y29464" t="str">
            <v>SOUTH KOREA</v>
          </cell>
        </row>
        <row r="29465">
          <cell r="L29465" t="str">
            <v>Non-proportional</v>
          </cell>
          <cell r="S29465">
            <v>-128772</v>
          </cell>
          <cell r="X29465" t="str">
            <v>GWP - gross</v>
          </cell>
          <cell r="Y29465" t="str">
            <v>BELGIUM</v>
          </cell>
        </row>
        <row r="29466">
          <cell r="L29466" t="str">
            <v>Non-proportional</v>
          </cell>
          <cell r="S29466">
            <v>-49140</v>
          </cell>
          <cell r="X29466" t="str">
            <v>GWP - gross</v>
          </cell>
          <cell r="Y29466" t="str">
            <v>FRANCE</v>
          </cell>
        </row>
        <row r="29467">
          <cell r="L29467" t="str">
            <v>Non-proportional</v>
          </cell>
          <cell r="S29467">
            <v>-1082400</v>
          </cell>
          <cell r="X29467" t="str">
            <v>GWP - gross</v>
          </cell>
          <cell r="Y29467" t="str">
            <v>EUROPE</v>
          </cell>
        </row>
        <row r="29468">
          <cell r="L29468" t="str">
            <v>Non-proportional</v>
          </cell>
          <cell r="S29468">
            <v>1311964.56</v>
          </cell>
          <cell r="X29468" t="str">
            <v>GWP - gross</v>
          </cell>
          <cell r="Y29468" t="str">
            <v>FRANCE</v>
          </cell>
        </row>
        <row r="29469">
          <cell r="L29469" t="str">
            <v>Non-proportional</v>
          </cell>
          <cell r="S29469">
            <v>-53227</v>
          </cell>
          <cell r="X29469" t="str">
            <v>GWP - gross</v>
          </cell>
          <cell r="Y29469" t="str">
            <v>UNITED KINGDOM</v>
          </cell>
        </row>
        <row r="29470">
          <cell r="L29470" t="str">
            <v>Non-proportional</v>
          </cell>
          <cell r="S29470">
            <v>-45557.47</v>
          </cell>
          <cell r="X29470" t="str">
            <v>GWP - gross</v>
          </cell>
          <cell r="Y29470" t="str">
            <v>ITALY</v>
          </cell>
        </row>
        <row r="29471">
          <cell r="L29471" t="str">
            <v>Non-proportional</v>
          </cell>
          <cell r="S29471">
            <v>-22849.93</v>
          </cell>
          <cell r="X29471" t="str">
            <v>GWP - gross</v>
          </cell>
          <cell r="Y29471" t="str">
            <v>COSTA RICA</v>
          </cell>
        </row>
        <row r="29472">
          <cell r="L29472" t="str">
            <v>Non-proportional</v>
          </cell>
          <cell r="S29472">
            <v>-2109</v>
          </cell>
          <cell r="X29472" t="str">
            <v>GWP - gross</v>
          </cell>
          <cell r="Y29472" t="str">
            <v>PORTUGAL</v>
          </cell>
        </row>
        <row r="29473">
          <cell r="L29473" t="str">
            <v>Non-proportional</v>
          </cell>
          <cell r="S29473">
            <v>-30212</v>
          </cell>
          <cell r="X29473" t="str">
            <v>GWP - gross</v>
          </cell>
          <cell r="Y29473" t="str">
            <v>ITALY</v>
          </cell>
        </row>
        <row r="29474">
          <cell r="L29474" t="str">
            <v>Non-proportional</v>
          </cell>
          <cell r="S29474">
            <v>-14667565.23</v>
          </cell>
          <cell r="X29474" t="str">
            <v>GWP - gross</v>
          </cell>
          <cell r="Y29474" t="str">
            <v>UNITED KINGDOM</v>
          </cell>
        </row>
        <row r="29475">
          <cell r="L29475" t="str">
            <v>Non-proportional</v>
          </cell>
          <cell r="S29475">
            <v>1311964.56</v>
          </cell>
          <cell r="X29475" t="str">
            <v>GWP - gross</v>
          </cell>
          <cell r="Y29475" t="str">
            <v>FRANCE</v>
          </cell>
        </row>
        <row r="29476">
          <cell r="L29476" t="str">
            <v>Non-proportional</v>
          </cell>
          <cell r="S29476">
            <v>-108638.55</v>
          </cell>
          <cell r="X29476" t="str">
            <v>GWP - gross</v>
          </cell>
          <cell r="Y29476" t="str">
            <v>ITALY</v>
          </cell>
        </row>
        <row r="29477">
          <cell r="L29477" t="str">
            <v>Non-proportional</v>
          </cell>
          <cell r="S29477">
            <v>-106438.13</v>
          </cell>
          <cell r="X29477" t="str">
            <v>GWP - gross</v>
          </cell>
          <cell r="Y29477" t="str">
            <v>PERU</v>
          </cell>
        </row>
        <row r="29478">
          <cell r="L29478" t="str">
            <v>Non-proportional</v>
          </cell>
          <cell r="S29478">
            <v>-195344.1</v>
          </cell>
          <cell r="X29478" t="str">
            <v>GWP - gross</v>
          </cell>
          <cell r="Y29478" t="str">
            <v>ITALY</v>
          </cell>
        </row>
        <row r="29479">
          <cell r="L29479" t="str">
            <v>Non-proportional</v>
          </cell>
          <cell r="S29479">
            <v>7182.53</v>
          </cell>
          <cell r="X29479" t="str">
            <v>GWP - gross</v>
          </cell>
          <cell r="Y29479" t="str">
            <v>FRANCE</v>
          </cell>
        </row>
        <row r="29480">
          <cell r="L29480" t="str">
            <v>Non-proportional</v>
          </cell>
          <cell r="S29480">
            <v>-109301.4</v>
          </cell>
          <cell r="X29480" t="str">
            <v>GWP - gross</v>
          </cell>
          <cell r="Y29480" t="str">
            <v>ITALY</v>
          </cell>
        </row>
        <row r="29481">
          <cell r="L29481" t="str">
            <v>Non-proportional</v>
          </cell>
          <cell r="S29481">
            <v>-80356.800000000003</v>
          </cell>
          <cell r="X29481" t="str">
            <v>GWP - gross</v>
          </cell>
          <cell r="Y29481" t="str">
            <v>ISRAEL</v>
          </cell>
        </row>
        <row r="29482">
          <cell r="L29482" t="str">
            <v>Non-proportional</v>
          </cell>
          <cell r="S29482">
            <v>-46873.95</v>
          </cell>
          <cell r="X29482" t="str">
            <v>GWP - gross</v>
          </cell>
          <cell r="Y29482" t="str">
            <v>EUROPE</v>
          </cell>
        </row>
        <row r="29483">
          <cell r="L29483" t="str">
            <v>Non-proportional</v>
          </cell>
          <cell r="S29483">
            <v>-5012</v>
          </cell>
          <cell r="X29483" t="str">
            <v>GWP - gross</v>
          </cell>
          <cell r="Y29483" t="str">
            <v>NETHERLANDS</v>
          </cell>
        </row>
        <row r="29484">
          <cell r="L29484" t="str">
            <v>Proportional</v>
          </cell>
          <cell r="S29484">
            <v>769065.68</v>
          </cell>
          <cell r="X29484" t="str">
            <v>GWP - gross</v>
          </cell>
          <cell r="Y29484" t="str">
            <v>CANADA</v>
          </cell>
        </row>
        <row r="29485">
          <cell r="L29485" t="str">
            <v>Non-proportional</v>
          </cell>
          <cell r="S29485">
            <v>-79906.679999999993</v>
          </cell>
          <cell r="X29485" t="str">
            <v>GWP - gross</v>
          </cell>
          <cell r="Y29485" t="str">
            <v>CYPRUS</v>
          </cell>
        </row>
        <row r="29486">
          <cell r="L29486" t="str">
            <v>Non-proportional</v>
          </cell>
          <cell r="S29486">
            <v>-16091.91</v>
          </cell>
          <cell r="X29486" t="str">
            <v>GWP - gross</v>
          </cell>
          <cell r="Y29486" t="str">
            <v>PERU</v>
          </cell>
        </row>
        <row r="29487">
          <cell r="L29487" t="str">
            <v>Non-proportional</v>
          </cell>
          <cell r="S29487">
            <v>-223014.46</v>
          </cell>
          <cell r="X29487" t="str">
            <v>GWP - gross</v>
          </cell>
          <cell r="Y29487" t="str">
            <v>MEXICO</v>
          </cell>
        </row>
        <row r="29488">
          <cell r="L29488" t="str">
            <v>Non-proportional</v>
          </cell>
          <cell r="S29488">
            <v>-133530.01999999999</v>
          </cell>
          <cell r="X29488" t="str">
            <v>GWP - gross</v>
          </cell>
          <cell r="Y29488" t="str">
            <v>EUROPE</v>
          </cell>
        </row>
        <row r="29489">
          <cell r="L29489" t="str">
            <v>Non-proportional</v>
          </cell>
          <cell r="S29489">
            <v>77000</v>
          </cell>
          <cell r="X29489" t="str">
            <v>GWP - gross</v>
          </cell>
          <cell r="Y29489" t="str">
            <v>BELGIUM</v>
          </cell>
        </row>
        <row r="29490">
          <cell r="L29490" t="str">
            <v>Non-proportional</v>
          </cell>
          <cell r="S29490">
            <v>-15093.6</v>
          </cell>
          <cell r="X29490" t="str">
            <v>GWP - gross</v>
          </cell>
          <cell r="Y29490" t="str">
            <v>ITALY</v>
          </cell>
        </row>
        <row r="29491">
          <cell r="L29491" t="str">
            <v>Non-proportional</v>
          </cell>
          <cell r="S29491">
            <v>-35137.69</v>
          </cell>
          <cell r="X29491" t="str">
            <v>GWP - gross</v>
          </cell>
          <cell r="Y29491" t="str">
            <v>UNITED ARAB EMIRATES</v>
          </cell>
        </row>
        <row r="29492">
          <cell r="L29492" t="str">
            <v>Non-proportional</v>
          </cell>
          <cell r="S29492">
            <v>-190625.55</v>
          </cell>
          <cell r="X29492" t="str">
            <v>GWP - gross</v>
          </cell>
          <cell r="Y29492" t="str">
            <v>EUROPE</v>
          </cell>
        </row>
        <row r="29493">
          <cell r="L29493" t="str">
            <v>Non-proportional</v>
          </cell>
          <cell r="S29493">
            <v>-9288</v>
          </cell>
          <cell r="X29493" t="str">
            <v>GWP - gross</v>
          </cell>
          <cell r="Y29493" t="str">
            <v>GREECE</v>
          </cell>
        </row>
        <row r="29494">
          <cell r="L29494" t="str">
            <v>Non-proportional</v>
          </cell>
          <cell r="S29494">
            <v>-117025.38</v>
          </cell>
          <cell r="X29494" t="str">
            <v>GWP - gross</v>
          </cell>
          <cell r="Y29494" t="str">
            <v>ISRAEL</v>
          </cell>
        </row>
        <row r="29495">
          <cell r="L29495" t="str">
            <v>Non-proportional</v>
          </cell>
          <cell r="S29495">
            <v>-629503.87</v>
          </cell>
          <cell r="X29495" t="str">
            <v>GWP - gross</v>
          </cell>
          <cell r="Y29495" t="str">
            <v>EUROPE</v>
          </cell>
        </row>
        <row r="29496">
          <cell r="L29496" t="str">
            <v>Non-proportional</v>
          </cell>
          <cell r="S29496">
            <v>-38098.089999999997</v>
          </cell>
          <cell r="X29496" t="str">
            <v>GWP - gross</v>
          </cell>
          <cell r="Y29496" t="str">
            <v>ISRAEL</v>
          </cell>
        </row>
        <row r="29497">
          <cell r="L29497" t="str">
            <v>Non-proportional</v>
          </cell>
          <cell r="S29497">
            <v>-121875.49</v>
          </cell>
          <cell r="X29497" t="str">
            <v>GWP - gross</v>
          </cell>
          <cell r="Y29497" t="str">
            <v>EUROPE</v>
          </cell>
        </row>
        <row r="29498">
          <cell r="L29498" t="str">
            <v>Non-proportional</v>
          </cell>
          <cell r="S29498">
            <v>-55998</v>
          </cell>
          <cell r="X29498" t="str">
            <v>GWP - gross</v>
          </cell>
          <cell r="Y29498" t="str">
            <v>TURKEY</v>
          </cell>
        </row>
        <row r="29499">
          <cell r="L29499" t="str">
            <v>Non-proportional</v>
          </cell>
          <cell r="S29499">
            <v>-12736228.859999999</v>
          </cell>
          <cell r="X29499" t="str">
            <v>GWP - gross</v>
          </cell>
          <cell r="Y29499" t="str">
            <v>BELGIUM</v>
          </cell>
        </row>
        <row r="29500">
          <cell r="L29500" t="str">
            <v>Non-proportional</v>
          </cell>
          <cell r="S29500">
            <v>-5872.5</v>
          </cell>
          <cell r="X29500" t="str">
            <v>GWP - gross</v>
          </cell>
          <cell r="Y29500" t="str">
            <v>GREECE</v>
          </cell>
        </row>
        <row r="29501">
          <cell r="L29501" t="str">
            <v>Non-proportional</v>
          </cell>
          <cell r="S29501">
            <v>384000.25</v>
          </cell>
          <cell r="X29501" t="str">
            <v>GWP - gross</v>
          </cell>
          <cell r="Y29501" t="str">
            <v>TURKEY</v>
          </cell>
        </row>
        <row r="29502">
          <cell r="L29502" t="str">
            <v>Proportional</v>
          </cell>
          <cell r="S29502">
            <v>-11852.87</v>
          </cell>
          <cell r="X29502" t="str">
            <v>GWP - gross</v>
          </cell>
          <cell r="Y29502" t="str">
            <v>HONG KONG</v>
          </cell>
        </row>
        <row r="29503">
          <cell r="L29503" t="str">
            <v>Non-proportional</v>
          </cell>
          <cell r="S29503">
            <v>-7350</v>
          </cell>
          <cell r="X29503" t="str">
            <v>GWP - gross</v>
          </cell>
          <cell r="Y29503" t="str">
            <v>GREECE</v>
          </cell>
        </row>
        <row r="29504">
          <cell r="L29504" t="str">
            <v>Non-proportional</v>
          </cell>
          <cell r="S29504">
            <v>-281250.03000000003</v>
          </cell>
          <cell r="X29504" t="str">
            <v>GWP - gross</v>
          </cell>
          <cell r="Y29504" t="str">
            <v>FRANCE</v>
          </cell>
        </row>
        <row r="29505">
          <cell r="L29505" t="str">
            <v>Non-proportional</v>
          </cell>
          <cell r="S29505">
            <v>-38562.75</v>
          </cell>
          <cell r="X29505" t="str">
            <v>GWP - gross</v>
          </cell>
          <cell r="Y29505" t="str">
            <v>GREECE</v>
          </cell>
        </row>
        <row r="29506">
          <cell r="L29506" t="str">
            <v>Proportional</v>
          </cell>
          <cell r="S29506">
            <v>-155956.16</v>
          </cell>
          <cell r="X29506" t="str">
            <v>GWP - gross</v>
          </cell>
          <cell r="Y29506" t="str">
            <v>JAPAN</v>
          </cell>
        </row>
        <row r="29507">
          <cell r="L29507" t="str">
            <v>Non-proportional</v>
          </cell>
          <cell r="S29507">
            <v>-37499.839999999997</v>
          </cell>
          <cell r="X29507" t="str">
            <v>GWP - gross</v>
          </cell>
          <cell r="Y29507" t="str">
            <v>ISRAEL</v>
          </cell>
        </row>
        <row r="29508">
          <cell r="L29508" t="str">
            <v>Non-proportional</v>
          </cell>
          <cell r="S29508">
            <v>-126030.79</v>
          </cell>
          <cell r="X29508" t="str">
            <v>GWP - gross</v>
          </cell>
          <cell r="Y29508" t="str">
            <v>CHINA</v>
          </cell>
        </row>
        <row r="29509">
          <cell r="L29509" t="str">
            <v>Non-proportional</v>
          </cell>
          <cell r="S29509">
            <v>40976.400000000001</v>
          </cell>
          <cell r="X29509" t="str">
            <v>GWP - gross</v>
          </cell>
          <cell r="Y29509" t="str">
            <v>THAILAND</v>
          </cell>
        </row>
        <row r="29510">
          <cell r="L29510" t="str">
            <v>Non-proportional</v>
          </cell>
          <cell r="S29510">
            <v>-89907.53</v>
          </cell>
          <cell r="X29510" t="str">
            <v>GWP - gross</v>
          </cell>
          <cell r="Y29510" t="str">
            <v>FRANCE</v>
          </cell>
        </row>
        <row r="29511">
          <cell r="L29511" t="str">
            <v>Non-proportional</v>
          </cell>
          <cell r="S29511">
            <v>-34090.129999999997</v>
          </cell>
          <cell r="X29511" t="str">
            <v>GWP - gross</v>
          </cell>
          <cell r="Y29511" t="str">
            <v>EUROPE</v>
          </cell>
        </row>
        <row r="29512">
          <cell r="L29512" t="str">
            <v>Non-proportional</v>
          </cell>
          <cell r="S29512">
            <v>33651.9</v>
          </cell>
          <cell r="X29512" t="str">
            <v>GWP - gross</v>
          </cell>
          <cell r="Y29512" t="str">
            <v>COLOMBIA</v>
          </cell>
        </row>
        <row r="29513">
          <cell r="L29513" t="str">
            <v>Non-proportional</v>
          </cell>
          <cell r="S29513">
            <v>-74338.39</v>
          </cell>
          <cell r="X29513" t="str">
            <v>GWP - gross</v>
          </cell>
          <cell r="Y29513" t="str">
            <v>SINGAPORE</v>
          </cell>
        </row>
        <row r="29514">
          <cell r="L29514" t="str">
            <v>Non-proportional</v>
          </cell>
          <cell r="S29514">
            <v>-96245.71</v>
          </cell>
          <cell r="X29514" t="str">
            <v>GWP - gross</v>
          </cell>
          <cell r="Y29514" t="str">
            <v>TURKEY</v>
          </cell>
        </row>
        <row r="29515">
          <cell r="L29515" t="str">
            <v>Non-proportional</v>
          </cell>
          <cell r="S29515">
            <v>-15463.42</v>
          </cell>
          <cell r="X29515" t="str">
            <v>GWP - gross</v>
          </cell>
          <cell r="Y29515" t="str">
            <v>ISRAEL</v>
          </cell>
        </row>
        <row r="29516">
          <cell r="L29516" t="str">
            <v>Non-proportional</v>
          </cell>
          <cell r="S29516">
            <v>14456627.15</v>
          </cell>
          <cell r="X29516" t="str">
            <v>GWP - gross</v>
          </cell>
          <cell r="Y29516" t="str">
            <v>UNITED KINGDOM</v>
          </cell>
        </row>
        <row r="29517">
          <cell r="L29517" t="str">
            <v>Non-proportional</v>
          </cell>
          <cell r="S29517">
            <v>-75347.8</v>
          </cell>
          <cell r="X29517" t="str">
            <v>GWP - gross</v>
          </cell>
          <cell r="Y29517" t="str">
            <v>FRANCE</v>
          </cell>
        </row>
        <row r="29518">
          <cell r="L29518" t="str">
            <v>Non-proportional</v>
          </cell>
          <cell r="S29518">
            <v>75900</v>
          </cell>
          <cell r="X29518" t="str">
            <v>GWP - gross</v>
          </cell>
          <cell r="Y29518" t="str">
            <v>ITALY</v>
          </cell>
        </row>
        <row r="29519">
          <cell r="L29519" t="str">
            <v>Non-proportional</v>
          </cell>
          <cell r="S29519">
            <v>14080.82</v>
          </cell>
          <cell r="X29519" t="str">
            <v>GWP - gross</v>
          </cell>
          <cell r="Y29519" t="str">
            <v>CYPRUS</v>
          </cell>
        </row>
        <row r="29520">
          <cell r="L29520" t="str">
            <v>Non-proportional</v>
          </cell>
          <cell r="S29520">
            <v>-15964</v>
          </cell>
          <cell r="X29520" t="str">
            <v>GWP - gross</v>
          </cell>
          <cell r="Y29520" t="str">
            <v>FRANCE</v>
          </cell>
        </row>
        <row r="29521">
          <cell r="L29521" t="str">
            <v>Non-proportional</v>
          </cell>
          <cell r="S29521">
            <v>114450</v>
          </cell>
          <cell r="X29521" t="str">
            <v>GWP - gross</v>
          </cell>
          <cell r="Y29521" t="str">
            <v>FRANCE</v>
          </cell>
        </row>
        <row r="29522">
          <cell r="L29522" t="str">
            <v>Non-proportional</v>
          </cell>
          <cell r="S29522">
            <v>155790</v>
          </cell>
          <cell r="X29522" t="str">
            <v>GWP - gross</v>
          </cell>
          <cell r="Y29522" t="str">
            <v>FRANCE</v>
          </cell>
        </row>
        <row r="29523">
          <cell r="L29523" t="str">
            <v>Non-proportional</v>
          </cell>
          <cell r="S29523">
            <v>-12660.84</v>
          </cell>
          <cell r="X29523" t="str">
            <v>GWP - gross</v>
          </cell>
          <cell r="Y29523" t="str">
            <v>FRANCE</v>
          </cell>
        </row>
        <row r="29524">
          <cell r="L29524" t="str">
            <v>Non-proportional</v>
          </cell>
          <cell r="S29524">
            <v>11304.51</v>
          </cell>
          <cell r="X29524" t="str">
            <v>GWP - gross</v>
          </cell>
          <cell r="Y29524" t="str">
            <v>CYPRUS</v>
          </cell>
        </row>
        <row r="29525">
          <cell r="L29525" t="str">
            <v>Non-proportional</v>
          </cell>
          <cell r="S29525">
            <v>-26250</v>
          </cell>
          <cell r="X29525" t="str">
            <v>GWP - gross</v>
          </cell>
          <cell r="Y29525" t="str">
            <v>GERMANY</v>
          </cell>
        </row>
        <row r="29526">
          <cell r="L29526" t="str">
            <v>Non-proportional</v>
          </cell>
          <cell r="S29526">
            <v>8640</v>
          </cell>
          <cell r="X29526" t="str">
            <v>GWP - gross</v>
          </cell>
          <cell r="Y29526" t="str">
            <v>ITALY</v>
          </cell>
        </row>
        <row r="29527">
          <cell r="L29527" t="str">
            <v>Non-proportional</v>
          </cell>
          <cell r="S29527">
            <v>-66152.100000000006</v>
          </cell>
          <cell r="X29527" t="str">
            <v>GWP - gross</v>
          </cell>
          <cell r="Y29527" t="str">
            <v>NETHERLANDS</v>
          </cell>
        </row>
        <row r="29528">
          <cell r="L29528" t="str">
            <v>Proportional</v>
          </cell>
          <cell r="S29528">
            <v>-50000</v>
          </cell>
          <cell r="X29528" t="str">
            <v>GWP - gross</v>
          </cell>
          <cell r="Y29528" t="str">
            <v>ITALY</v>
          </cell>
        </row>
        <row r="29529">
          <cell r="L29529" t="str">
            <v>Non-proportional</v>
          </cell>
          <cell r="S29529">
            <v>-39106.980000000003</v>
          </cell>
          <cell r="X29529" t="str">
            <v>GWP - gross</v>
          </cell>
          <cell r="Y29529" t="str">
            <v>ISRAEL</v>
          </cell>
        </row>
        <row r="29530">
          <cell r="L29530" t="str">
            <v>Non-proportional</v>
          </cell>
          <cell r="S29530">
            <v>38098.089999999997</v>
          </cell>
          <cell r="X29530" t="str">
            <v>GWP - gross</v>
          </cell>
          <cell r="Y29530" t="str">
            <v>ISRAEL</v>
          </cell>
        </row>
        <row r="29531">
          <cell r="L29531" t="str">
            <v>Non-proportional</v>
          </cell>
          <cell r="S29531">
            <v>-112177.63</v>
          </cell>
          <cell r="X29531" t="str">
            <v>GWP - gross</v>
          </cell>
          <cell r="Y29531" t="str">
            <v>NETHERLANDS</v>
          </cell>
        </row>
        <row r="29532">
          <cell r="L29532" t="str">
            <v>Non-proportional</v>
          </cell>
          <cell r="S29532">
            <v>-8662500</v>
          </cell>
          <cell r="X29532" t="str">
            <v>GWP - gross</v>
          </cell>
          <cell r="Y29532" t="str">
            <v>BELGIUM</v>
          </cell>
        </row>
        <row r="29533">
          <cell r="L29533" t="str">
            <v>Non-proportional</v>
          </cell>
          <cell r="S29533">
            <v>281250.03000000003</v>
          </cell>
          <cell r="X29533" t="str">
            <v>GWP - gross</v>
          </cell>
          <cell r="Y29533" t="str">
            <v>FRANCE</v>
          </cell>
        </row>
        <row r="29534">
          <cell r="L29534" t="str">
            <v>Proportional</v>
          </cell>
          <cell r="S29534">
            <v>-13569.46</v>
          </cell>
          <cell r="X29534" t="str">
            <v>GWP - gross</v>
          </cell>
          <cell r="Y29534" t="str">
            <v>HONG KONG</v>
          </cell>
        </row>
        <row r="29535">
          <cell r="L29535" t="str">
            <v>Non-proportional</v>
          </cell>
          <cell r="S29535">
            <v>27190.799999999999</v>
          </cell>
          <cell r="X29535" t="str">
            <v>GWP - gross</v>
          </cell>
          <cell r="Y29535" t="str">
            <v>ITALY</v>
          </cell>
        </row>
        <row r="29536">
          <cell r="L29536" t="str">
            <v>Non-proportional</v>
          </cell>
          <cell r="S29536">
            <v>-63753.4</v>
          </cell>
          <cell r="X29536" t="str">
            <v>GWP - gross</v>
          </cell>
          <cell r="Y29536" t="str">
            <v>NETHERLANDS</v>
          </cell>
        </row>
        <row r="29537">
          <cell r="L29537" t="str">
            <v>Non-proportional</v>
          </cell>
          <cell r="S29537">
            <v>-104500.04</v>
          </cell>
          <cell r="X29537" t="str">
            <v>GWP - gross</v>
          </cell>
          <cell r="Y29537" t="str">
            <v>TURKEY</v>
          </cell>
        </row>
        <row r="29538">
          <cell r="L29538" t="str">
            <v>Non-proportional</v>
          </cell>
          <cell r="S29538">
            <v>-15750</v>
          </cell>
          <cell r="X29538" t="str">
            <v>GWP - gross</v>
          </cell>
          <cell r="Y29538" t="str">
            <v>GREECE</v>
          </cell>
        </row>
        <row r="29539">
          <cell r="L29539" t="str">
            <v>Non-proportional</v>
          </cell>
          <cell r="S29539">
            <v>-21600</v>
          </cell>
          <cell r="X29539" t="str">
            <v>GWP - gross</v>
          </cell>
          <cell r="Y29539" t="str">
            <v>PORTUGAL</v>
          </cell>
        </row>
        <row r="29540">
          <cell r="L29540" t="str">
            <v>Non-proportional</v>
          </cell>
          <cell r="S29540">
            <v>-1659604</v>
          </cell>
          <cell r="X29540" t="str">
            <v>GWP - gross</v>
          </cell>
          <cell r="Y29540" t="str">
            <v>PORTUGAL</v>
          </cell>
        </row>
        <row r="29541">
          <cell r="L29541" t="str">
            <v>Non-proportional</v>
          </cell>
          <cell r="S29541">
            <v>-56964.5</v>
          </cell>
          <cell r="X29541" t="str">
            <v>GWP - gross</v>
          </cell>
          <cell r="Y29541" t="str">
            <v>CYPRUS</v>
          </cell>
        </row>
        <row r="29542">
          <cell r="L29542" t="str">
            <v>Non-proportional</v>
          </cell>
          <cell r="S29542">
            <v>-58420</v>
          </cell>
          <cell r="X29542" t="str">
            <v>GWP - gross</v>
          </cell>
          <cell r="Y29542" t="str">
            <v>ITALY</v>
          </cell>
        </row>
        <row r="29543">
          <cell r="L29543" t="str">
            <v>Non-proportional</v>
          </cell>
          <cell r="S29543">
            <v>-219284.34</v>
          </cell>
          <cell r="X29543" t="str">
            <v>GWP - gross</v>
          </cell>
          <cell r="Y29543" t="str">
            <v>HONG KONG</v>
          </cell>
        </row>
        <row r="29544">
          <cell r="L29544" t="str">
            <v>Non-proportional</v>
          </cell>
          <cell r="S29544">
            <v>-7456.43</v>
          </cell>
          <cell r="X29544" t="str">
            <v>GWP - gross</v>
          </cell>
          <cell r="Y29544" t="str">
            <v>ITALY</v>
          </cell>
        </row>
        <row r="29545">
          <cell r="L29545" t="str">
            <v>Proportional</v>
          </cell>
          <cell r="S29545">
            <v>-1506.83</v>
          </cell>
          <cell r="X29545" t="str">
            <v>GWP - gross</v>
          </cell>
          <cell r="Y29545" t="str">
            <v>UNITED STATES</v>
          </cell>
        </row>
        <row r="29546">
          <cell r="L29546" t="str">
            <v>Non-proportional</v>
          </cell>
          <cell r="S29546">
            <v>-14250</v>
          </cell>
          <cell r="X29546" t="str">
            <v>GWP - gross</v>
          </cell>
          <cell r="Y29546" t="str">
            <v>ITALY</v>
          </cell>
        </row>
        <row r="29547">
          <cell r="L29547" t="str">
            <v>Non-proportional</v>
          </cell>
          <cell r="S29547">
            <v>-96873.99</v>
          </cell>
          <cell r="X29547" t="str">
            <v>GWP - gross</v>
          </cell>
          <cell r="Y29547" t="str">
            <v>BELGIUM</v>
          </cell>
        </row>
        <row r="29548">
          <cell r="L29548" t="str">
            <v>Non-proportional</v>
          </cell>
          <cell r="S29548">
            <v>-156876.51999999999</v>
          </cell>
          <cell r="X29548" t="str">
            <v>GWP - gross</v>
          </cell>
          <cell r="Y29548" t="str">
            <v>FRANCE</v>
          </cell>
        </row>
        <row r="29549">
          <cell r="L29549" t="str">
            <v>Non-proportional</v>
          </cell>
          <cell r="S29549">
            <v>-91037.96</v>
          </cell>
          <cell r="X29549" t="str">
            <v>GWP - gross</v>
          </cell>
          <cell r="Y29549" t="str">
            <v>FRANCE</v>
          </cell>
        </row>
        <row r="29550">
          <cell r="L29550" t="str">
            <v>Non-proportional</v>
          </cell>
          <cell r="S29550">
            <v>-8640</v>
          </cell>
          <cell r="X29550" t="str">
            <v>GWP - gross</v>
          </cell>
          <cell r="Y29550" t="str">
            <v>ITALY</v>
          </cell>
        </row>
        <row r="29551">
          <cell r="L29551" t="str">
            <v>Non-proportional</v>
          </cell>
          <cell r="S29551">
            <v>1184495</v>
          </cell>
          <cell r="X29551" t="str">
            <v>GWP - gross</v>
          </cell>
          <cell r="Y29551" t="str">
            <v>EUROPE</v>
          </cell>
        </row>
        <row r="29552">
          <cell r="L29552" t="str">
            <v>Proportional</v>
          </cell>
          <cell r="S29552">
            <v>-3769677.79</v>
          </cell>
          <cell r="X29552" t="str">
            <v>GWP - gross</v>
          </cell>
          <cell r="Y29552" t="str">
            <v>UNITED STATES</v>
          </cell>
        </row>
        <row r="29553">
          <cell r="L29553" t="str">
            <v>Non-proportional</v>
          </cell>
          <cell r="S29553">
            <v>-36963.199999999997</v>
          </cell>
          <cell r="X29553" t="str">
            <v>GWP - gross</v>
          </cell>
          <cell r="Y29553" t="str">
            <v>UNITED KINGDOM</v>
          </cell>
        </row>
        <row r="29554">
          <cell r="L29554" t="str">
            <v>Non-proportional</v>
          </cell>
          <cell r="S29554">
            <v>26785.599999999999</v>
          </cell>
          <cell r="X29554" t="str">
            <v>GWP - gross</v>
          </cell>
          <cell r="Y29554" t="str">
            <v>ISRAEL</v>
          </cell>
        </row>
        <row r="29555">
          <cell r="L29555" t="str">
            <v>Non-proportional</v>
          </cell>
          <cell r="S29555">
            <v>-97562.83</v>
          </cell>
          <cell r="X29555" t="str">
            <v>GWP - gross</v>
          </cell>
          <cell r="Y29555" t="str">
            <v>UNITED KINGDOM</v>
          </cell>
        </row>
        <row r="29556">
          <cell r="L29556" t="str">
            <v>Non-proportional</v>
          </cell>
          <cell r="S29556">
            <v>193896</v>
          </cell>
          <cell r="X29556" t="str">
            <v>GWP - gross</v>
          </cell>
          <cell r="Y29556" t="str">
            <v>ITALY</v>
          </cell>
        </row>
        <row r="29557">
          <cell r="L29557" t="str">
            <v>Non-proportional</v>
          </cell>
          <cell r="S29557">
            <v>35739.980000000003</v>
          </cell>
          <cell r="X29557" t="str">
            <v>GWP - gross</v>
          </cell>
          <cell r="Y29557" t="str">
            <v>ISRAEL</v>
          </cell>
        </row>
        <row r="29558">
          <cell r="L29558" t="str">
            <v>Non-proportional</v>
          </cell>
          <cell r="S29558">
            <v>117379.44</v>
          </cell>
          <cell r="X29558" t="str">
            <v>GWP - gross</v>
          </cell>
          <cell r="Y29558" t="str">
            <v>ITALY</v>
          </cell>
        </row>
        <row r="29559">
          <cell r="L29559" t="str">
            <v>Non-proportional</v>
          </cell>
          <cell r="S29559">
            <v>-29309.4</v>
          </cell>
          <cell r="X29559" t="str">
            <v>GWP - gross</v>
          </cell>
          <cell r="Y29559" t="str">
            <v>CYPRUS</v>
          </cell>
        </row>
        <row r="29560">
          <cell r="L29560" t="str">
            <v>Non-proportional</v>
          </cell>
          <cell r="S29560">
            <v>-32842.65</v>
          </cell>
          <cell r="X29560" t="str">
            <v>GWP - gross</v>
          </cell>
          <cell r="Y29560" t="str">
            <v>ISRAEL</v>
          </cell>
        </row>
        <row r="29561">
          <cell r="L29561" t="str">
            <v>Non-proportional</v>
          </cell>
          <cell r="S29561">
            <v>108000</v>
          </cell>
          <cell r="X29561" t="str">
            <v>GWP - gross</v>
          </cell>
          <cell r="Y29561" t="str">
            <v>ITALY</v>
          </cell>
        </row>
        <row r="29562">
          <cell r="L29562" t="str">
            <v>Non-proportional</v>
          </cell>
          <cell r="S29562">
            <v>-16725.419999999998</v>
          </cell>
          <cell r="X29562" t="str">
            <v>GWP - gross</v>
          </cell>
          <cell r="Y29562" t="str">
            <v>ISRAEL</v>
          </cell>
        </row>
        <row r="29563">
          <cell r="L29563" t="str">
            <v>Non-proportional</v>
          </cell>
          <cell r="S29563">
            <v>-87212.49</v>
          </cell>
          <cell r="X29563" t="str">
            <v>GWP - gross</v>
          </cell>
          <cell r="Y29563" t="str">
            <v>FRANCE</v>
          </cell>
        </row>
        <row r="29564">
          <cell r="L29564" t="str">
            <v>Non-proportional</v>
          </cell>
          <cell r="S29564">
            <v>-24525</v>
          </cell>
          <cell r="X29564" t="str">
            <v>GWP - gross</v>
          </cell>
          <cell r="Y29564" t="str">
            <v>GREECE</v>
          </cell>
        </row>
        <row r="29565">
          <cell r="L29565" t="str">
            <v>Non-proportional</v>
          </cell>
          <cell r="S29565">
            <v>3780203</v>
          </cell>
          <cell r="X29565" t="str">
            <v>GWP - gross</v>
          </cell>
          <cell r="Y29565" t="str">
            <v>EUROPE</v>
          </cell>
        </row>
        <row r="29566">
          <cell r="L29566" t="str">
            <v>Non-proportional</v>
          </cell>
          <cell r="S29566">
            <v>-71367.360000000001</v>
          </cell>
          <cell r="X29566" t="str">
            <v>GWP - gross</v>
          </cell>
          <cell r="Y29566" t="str">
            <v>ECUADOR</v>
          </cell>
        </row>
        <row r="29567">
          <cell r="L29567" t="str">
            <v>Non-proportional</v>
          </cell>
          <cell r="S29567">
            <v>-1378729.15</v>
          </cell>
          <cell r="X29567" t="str">
            <v>GWP - gross</v>
          </cell>
          <cell r="Y29567" t="str">
            <v>HONG KONG</v>
          </cell>
        </row>
        <row r="29568">
          <cell r="L29568" t="str">
            <v>Proportional</v>
          </cell>
          <cell r="S29568">
            <v>1506.83</v>
          </cell>
          <cell r="X29568" t="str">
            <v>GWP - gross</v>
          </cell>
          <cell r="Y29568" t="str">
            <v>UNITED STATES</v>
          </cell>
        </row>
        <row r="29569">
          <cell r="L29569" t="str">
            <v>Non-proportional</v>
          </cell>
          <cell r="S29569">
            <v>4442.3999999999996</v>
          </cell>
          <cell r="X29569" t="str">
            <v>GWP - gross</v>
          </cell>
          <cell r="Y29569" t="str">
            <v>FRANCE</v>
          </cell>
        </row>
        <row r="29570">
          <cell r="L29570" t="str">
            <v>Non-proportional</v>
          </cell>
          <cell r="S29570">
            <v>-12163.95</v>
          </cell>
          <cell r="X29570" t="str">
            <v>GWP - gross</v>
          </cell>
          <cell r="Y29570" t="str">
            <v>ISRAEL</v>
          </cell>
        </row>
        <row r="29571">
          <cell r="L29571" t="str">
            <v>Non-proportional</v>
          </cell>
          <cell r="S29571">
            <v>-297000</v>
          </cell>
          <cell r="X29571" t="str">
            <v>GWP - gross</v>
          </cell>
          <cell r="Y29571" t="str">
            <v>GREECE</v>
          </cell>
        </row>
        <row r="29572">
          <cell r="L29572" t="str">
            <v>Non-proportional</v>
          </cell>
          <cell r="S29572">
            <v>-15187.5</v>
          </cell>
          <cell r="X29572" t="str">
            <v>GWP - gross</v>
          </cell>
          <cell r="Y29572" t="str">
            <v>GREECE</v>
          </cell>
        </row>
        <row r="29573">
          <cell r="L29573" t="str">
            <v>Proportional</v>
          </cell>
          <cell r="S29573">
            <v>-49341.69</v>
          </cell>
          <cell r="X29573" t="str">
            <v>GWP - gross</v>
          </cell>
          <cell r="Y29573" t="str">
            <v>CHILE</v>
          </cell>
        </row>
        <row r="29574">
          <cell r="L29574" t="str">
            <v>Non-proportional</v>
          </cell>
          <cell r="S29574">
            <v>-60013.52</v>
          </cell>
          <cell r="X29574" t="str">
            <v>GWP - gross</v>
          </cell>
          <cell r="Y29574" t="str">
            <v>ITALY</v>
          </cell>
        </row>
        <row r="29575">
          <cell r="L29575" t="str">
            <v>Non-proportional</v>
          </cell>
          <cell r="S29575">
            <v>-2179298.0699999998</v>
          </cell>
          <cell r="X29575" t="str">
            <v>GWP - gross</v>
          </cell>
          <cell r="Y29575" t="str">
            <v>BELGIUM</v>
          </cell>
        </row>
        <row r="29576">
          <cell r="L29576" t="str">
            <v>Non-proportional</v>
          </cell>
          <cell r="S29576">
            <v>-50800</v>
          </cell>
          <cell r="X29576" t="str">
            <v>GWP - gross</v>
          </cell>
          <cell r="Y29576" t="str">
            <v>FRANCE</v>
          </cell>
        </row>
        <row r="29577">
          <cell r="L29577" t="str">
            <v>Non-proportional</v>
          </cell>
          <cell r="S29577">
            <v>-114450</v>
          </cell>
          <cell r="X29577" t="str">
            <v>GWP - gross</v>
          </cell>
          <cell r="Y29577" t="str">
            <v>FRANCE</v>
          </cell>
        </row>
        <row r="29578">
          <cell r="L29578" t="str">
            <v>Non-proportional</v>
          </cell>
          <cell r="S29578">
            <v>-38831</v>
          </cell>
          <cell r="X29578" t="str">
            <v>GWP - gross</v>
          </cell>
          <cell r="Y29578" t="str">
            <v>UNITED KINGDOM</v>
          </cell>
        </row>
        <row r="29579">
          <cell r="L29579" t="str">
            <v>Non-proportional</v>
          </cell>
          <cell r="S29579">
            <v>-45359.98</v>
          </cell>
          <cell r="X29579" t="str">
            <v>GWP - gross</v>
          </cell>
          <cell r="Y29579" t="str">
            <v>GREECE</v>
          </cell>
        </row>
        <row r="29580">
          <cell r="L29580" t="str">
            <v>Non-proportional</v>
          </cell>
          <cell r="S29580">
            <v>-120000</v>
          </cell>
          <cell r="X29580" t="str">
            <v>GWP - gross</v>
          </cell>
          <cell r="Y29580" t="str">
            <v>EUROPE</v>
          </cell>
        </row>
        <row r="29581">
          <cell r="L29581" t="str">
            <v>Non-proportional</v>
          </cell>
          <cell r="S29581">
            <v>-111015.08</v>
          </cell>
          <cell r="X29581" t="str">
            <v>GWP - gross</v>
          </cell>
          <cell r="Y29581" t="str">
            <v>ITALY</v>
          </cell>
        </row>
        <row r="29582">
          <cell r="L29582" t="str">
            <v>Non-proportional</v>
          </cell>
          <cell r="S29582">
            <v>-242370.18</v>
          </cell>
          <cell r="X29582" t="str">
            <v>GWP - gross</v>
          </cell>
          <cell r="Y29582" t="str">
            <v>ITALY</v>
          </cell>
        </row>
        <row r="29583">
          <cell r="L29583" t="str">
            <v>Proportional</v>
          </cell>
          <cell r="S29583">
            <v>-160218.23000000001</v>
          </cell>
          <cell r="X29583" t="str">
            <v>GWP - gross</v>
          </cell>
          <cell r="Y29583" t="str">
            <v>JAPAN</v>
          </cell>
        </row>
        <row r="29584">
          <cell r="L29584" t="str">
            <v>Non-proportional</v>
          </cell>
          <cell r="S29584">
            <v>-16328.5</v>
          </cell>
          <cell r="X29584" t="str">
            <v>GWP - gross</v>
          </cell>
          <cell r="Y29584" t="str">
            <v>ISRAEL</v>
          </cell>
        </row>
        <row r="29585">
          <cell r="L29585" t="str">
            <v>Non-proportional</v>
          </cell>
          <cell r="S29585">
            <v>-68874.98</v>
          </cell>
          <cell r="X29585" t="str">
            <v>GWP - gross</v>
          </cell>
          <cell r="Y29585" t="str">
            <v>THAILAND</v>
          </cell>
        </row>
        <row r="29586">
          <cell r="L29586" t="str">
            <v>Non-proportional</v>
          </cell>
          <cell r="S29586">
            <v>-16699488</v>
          </cell>
          <cell r="X29586" t="str">
            <v>GWP - gross</v>
          </cell>
          <cell r="Y29586" t="str">
            <v>BELGIUM</v>
          </cell>
        </row>
        <row r="29587">
          <cell r="L29587" t="str">
            <v>Non-proportional</v>
          </cell>
          <cell r="S29587">
            <v>-18554986.98</v>
          </cell>
          <cell r="X29587" t="str">
            <v>GWP - gross</v>
          </cell>
          <cell r="Y29587" t="str">
            <v>BELGIUM</v>
          </cell>
        </row>
        <row r="29588">
          <cell r="L29588" t="str">
            <v>Non-proportional</v>
          </cell>
          <cell r="S29588">
            <v>-2102.0500000000002</v>
          </cell>
          <cell r="X29588" t="str">
            <v>GWP - gross</v>
          </cell>
          <cell r="Y29588" t="str">
            <v>UNITED KINGDOM</v>
          </cell>
        </row>
        <row r="29589">
          <cell r="L29589" t="str">
            <v>Non-proportional</v>
          </cell>
          <cell r="S29589">
            <v>-33651.9</v>
          </cell>
          <cell r="X29589" t="str">
            <v>GWP - gross</v>
          </cell>
          <cell r="Y29589" t="str">
            <v>COLOMBIA</v>
          </cell>
        </row>
        <row r="29590">
          <cell r="L29590" t="str">
            <v>Non-proportional</v>
          </cell>
          <cell r="S29590">
            <v>32842.65</v>
          </cell>
          <cell r="X29590" t="str">
            <v>GWP - gross</v>
          </cell>
          <cell r="Y29590" t="str">
            <v>ISRAEL</v>
          </cell>
        </row>
        <row r="29591">
          <cell r="L29591" t="str">
            <v>Non-proportional</v>
          </cell>
          <cell r="S29591">
            <v>-4185</v>
          </cell>
          <cell r="X29591" t="str">
            <v>GWP - gross</v>
          </cell>
          <cell r="Y29591" t="str">
            <v>ITALY</v>
          </cell>
        </row>
        <row r="29592">
          <cell r="L29592" t="str">
            <v>Non-proportional</v>
          </cell>
          <cell r="S29592">
            <v>-9707.15</v>
          </cell>
          <cell r="X29592" t="str">
            <v>GWP - gross</v>
          </cell>
          <cell r="Y29592" t="str">
            <v>ISRAEL</v>
          </cell>
        </row>
        <row r="29593">
          <cell r="L29593" t="str">
            <v>Non-proportional</v>
          </cell>
          <cell r="S29593">
            <v>-24358.92</v>
          </cell>
          <cell r="X29593" t="str">
            <v>GWP - gross</v>
          </cell>
          <cell r="Y29593" t="str">
            <v>CYPRUS</v>
          </cell>
        </row>
        <row r="29594">
          <cell r="L29594" t="str">
            <v>Non-proportional</v>
          </cell>
          <cell r="S29594">
            <v>-83594.41</v>
          </cell>
          <cell r="X29594" t="str">
            <v>GWP - gross</v>
          </cell>
          <cell r="Y29594" t="str">
            <v>MEXICO</v>
          </cell>
        </row>
        <row r="29595">
          <cell r="L29595" t="str">
            <v>Proportional</v>
          </cell>
          <cell r="S29595">
            <v>-750450.75</v>
          </cell>
          <cell r="X29595" t="str">
            <v>GWP - gross</v>
          </cell>
          <cell r="Y29595" t="str">
            <v>THAILAND</v>
          </cell>
        </row>
        <row r="29596">
          <cell r="L29596" t="str">
            <v>Non-proportional</v>
          </cell>
          <cell r="S29596">
            <v>-21730</v>
          </cell>
          <cell r="X29596" t="str">
            <v>GWP - gross</v>
          </cell>
          <cell r="Y29596" t="str">
            <v>ITALY</v>
          </cell>
        </row>
        <row r="29597">
          <cell r="L29597" t="str">
            <v>Non-proportional</v>
          </cell>
          <cell r="S29597">
            <v>-94770</v>
          </cell>
          <cell r="X29597" t="str">
            <v>GWP - gross</v>
          </cell>
          <cell r="Y29597" t="str">
            <v>ITALY</v>
          </cell>
        </row>
        <row r="29598">
          <cell r="L29598" t="str">
            <v>Non-proportional</v>
          </cell>
          <cell r="S29598">
            <v>-3815.4</v>
          </cell>
          <cell r="X29598" t="str">
            <v>GWP - gross</v>
          </cell>
          <cell r="Y29598" t="str">
            <v>MEXICO</v>
          </cell>
        </row>
        <row r="29599">
          <cell r="L29599" t="str">
            <v>Non-proportional</v>
          </cell>
          <cell r="S29599">
            <v>-70461.38</v>
          </cell>
          <cell r="X29599" t="str">
            <v>GWP - gross</v>
          </cell>
          <cell r="Y29599" t="str">
            <v>ISRAEL</v>
          </cell>
        </row>
        <row r="29600">
          <cell r="L29600" t="str">
            <v>Non-proportional</v>
          </cell>
          <cell r="S29600">
            <v>1595</v>
          </cell>
          <cell r="X29600" t="str">
            <v>GWP - gross</v>
          </cell>
          <cell r="Y29600" t="str">
            <v>ITALY</v>
          </cell>
        </row>
        <row r="29601">
          <cell r="L29601" t="str">
            <v>Non-proportional</v>
          </cell>
          <cell r="S29601">
            <v>-44808.59</v>
          </cell>
          <cell r="X29601" t="str">
            <v>GWP - gross</v>
          </cell>
          <cell r="Y29601" t="str">
            <v>GUATEMALA</v>
          </cell>
        </row>
        <row r="29602">
          <cell r="L29602" t="str">
            <v>Non-proportional</v>
          </cell>
          <cell r="S29602">
            <v>6615</v>
          </cell>
          <cell r="X29602" t="str">
            <v>GWP - gross</v>
          </cell>
          <cell r="Y29602" t="str">
            <v>GREECE</v>
          </cell>
        </row>
        <row r="29603">
          <cell r="L29603" t="str">
            <v>Non-proportional</v>
          </cell>
          <cell r="S29603">
            <v>-3815.4</v>
          </cell>
          <cell r="X29603" t="str">
            <v>GWP - gross</v>
          </cell>
          <cell r="Y29603" t="str">
            <v>MEXICO</v>
          </cell>
        </row>
        <row r="29604">
          <cell r="L29604" t="str">
            <v>Non-proportional</v>
          </cell>
          <cell r="S29604">
            <v>-59389.5</v>
          </cell>
          <cell r="X29604" t="str">
            <v>GWP - gross</v>
          </cell>
          <cell r="Y29604" t="str">
            <v>NETHERLANDS</v>
          </cell>
        </row>
        <row r="29605">
          <cell r="L29605" t="str">
            <v>Non-proportional</v>
          </cell>
          <cell r="S29605">
            <v>-22072.5</v>
          </cell>
          <cell r="X29605" t="str">
            <v>GWP - gross</v>
          </cell>
          <cell r="Y29605" t="str">
            <v>GREECE</v>
          </cell>
        </row>
        <row r="29606">
          <cell r="L29606" t="str">
            <v>Proportional</v>
          </cell>
          <cell r="S29606">
            <v>-1654628.63</v>
          </cell>
          <cell r="X29606" t="str">
            <v>GWP - gross</v>
          </cell>
          <cell r="Y29606" t="str">
            <v>SWITZERLAND</v>
          </cell>
        </row>
        <row r="29607">
          <cell r="L29607" t="str">
            <v>Non-proportional</v>
          </cell>
          <cell r="S29607">
            <v>-25692.75</v>
          </cell>
          <cell r="X29607" t="str">
            <v>GWP - gross</v>
          </cell>
          <cell r="Y29607" t="str">
            <v>ISRAEL</v>
          </cell>
        </row>
        <row r="29608">
          <cell r="L29608" t="str">
            <v>Non-proportional</v>
          </cell>
          <cell r="S29608">
            <v>-500</v>
          </cell>
          <cell r="X29608" t="str">
            <v>GWP - gross</v>
          </cell>
          <cell r="Y29608" t="str">
            <v>PORTUGAL</v>
          </cell>
        </row>
        <row r="29609">
          <cell r="L29609" t="str">
            <v>Non-proportional</v>
          </cell>
          <cell r="S29609">
            <v>2109</v>
          </cell>
          <cell r="X29609" t="str">
            <v>GWP - gross</v>
          </cell>
          <cell r="Y29609" t="str">
            <v>PORTUGAL</v>
          </cell>
        </row>
        <row r="29610">
          <cell r="L29610" t="str">
            <v>Non-proportional</v>
          </cell>
          <cell r="S29610">
            <v>-100960</v>
          </cell>
          <cell r="X29610" t="str">
            <v>GWP - gross</v>
          </cell>
          <cell r="Y29610" t="str">
            <v>NETHERLANDS</v>
          </cell>
        </row>
        <row r="29611">
          <cell r="L29611" t="str">
            <v>Non-proportional</v>
          </cell>
          <cell r="S29611">
            <v>-27190.799999999999</v>
          </cell>
          <cell r="X29611" t="str">
            <v>GWP - gross</v>
          </cell>
          <cell r="Y29611" t="str">
            <v>ITALY</v>
          </cell>
        </row>
        <row r="29612">
          <cell r="L29612" t="str">
            <v>Non-proportional</v>
          </cell>
          <cell r="S29612">
            <v>-51976.959999999999</v>
          </cell>
          <cell r="X29612" t="str">
            <v>GWP - gross</v>
          </cell>
          <cell r="Y29612" t="str">
            <v>UNITED KINGDOM</v>
          </cell>
        </row>
        <row r="29613">
          <cell r="L29613" t="str">
            <v>Non-proportional</v>
          </cell>
          <cell r="S29613">
            <v>-38937.19</v>
          </cell>
          <cell r="X29613" t="str">
            <v>GWP - gross</v>
          </cell>
          <cell r="Y29613" t="str">
            <v>FRANCE</v>
          </cell>
        </row>
        <row r="29614">
          <cell r="L29614" t="str">
            <v>Proportional</v>
          </cell>
          <cell r="S29614">
            <v>-232540.65</v>
          </cell>
          <cell r="X29614" t="str">
            <v>GWP - gross</v>
          </cell>
          <cell r="Y29614" t="str">
            <v>CHILE</v>
          </cell>
        </row>
        <row r="29615">
          <cell r="L29615" t="str">
            <v>Non-proportional</v>
          </cell>
          <cell r="S29615">
            <v>32466</v>
          </cell>
          <cell r="X29615" t="str">
            <v>GWP - gross</v>
          </cell>
          <cell r="Y29615" t="str">
            <v>ITALY</v>
          </cell>
        </row>
        <row r="29616">
          <cell r="L29616" t="str">
            <v>Proportional</v>
          </cell>
          <cell r="S29616">
            <v>-1904</v>
          </cell>
          <cell r="X29616" t="str">
            <v>GWP - gross</v>
          </cell>
          <cell r="Y29616" t="str">
            <v>HONG KONG</v>
          </cell>
        </row>
        <row r="29617">
          <cell r="L29617" t="str">
            <v>Non-proportional</v>
          </cell>
          <cell r="S29617">
            <v>-802972.3</v>
          </cell>
          <cell r="X29617" t="str">
            <v>GWP - gross</v>
          </cell>
          <cell r="Y29617" t="str">
            <v>UNITED KINGDOM</v>
          </cell>
        </row>
        <row r="29618">
          <cell r="L29618" t="str">
            <v>Non-proportional</v>
          </cell>
          <cell r="S29618">
            <v>-45222.400000000001</v>
          </cell>
          <cell r="X29618" t="str">
            <v>GWP - gross</v>
          </cell>
          <cell r="Y29618" t="str">
            <v>ISRAEL</v>
          </cell>
        </row>
        <row r="29619">
          <cell r="L29619" t="str">
            <v>Non-proportional</v>
          </cell>
          <cell r="S29619">
            <v>-82892.23</v>
          </cell>
          <cell r="X29619" t="str">
            <v>GWP - gross</v>
          </cell>
          <cell r="Y29619" t="str">
            <v>GREECE</v>
          </cell>
        </row>
        <row r="29620">
          <cell r="L29620" t="str">
            <v>Non-proportional</v>
          </cell>
          <cell r="S29620">
            <v>197853.16</v>
          </cell>
          <cell r="X29620" t="str">
            <v>GWP - gross</v>
          </cell>
          <cell r="Y29620" t="str">
            <v>UNITED KINGDOM</v>
          </cell>
        </row>
        <row r="29621">
          <cell r="L29621" t="str">
            <v>Non-proportional</v>
          </cell>
          <cell r="S29621">
            <v>-20401.62</v>
          </cell>
          <cell r="X29621" t="str">
            <v>GWP - gross</v>
          </cell>
          <cell r="Y29621" t="str">
            <v>CHILE</v>
          </cell>
        </row>
        <row r="29622">
          <cell r="L29622" t="str">
            <v>Non-proportional</v>
          </cell>
          <cell r="S29622">
            <v>-34947.019999999997</v>
          </cell>
          <cell r="X29622" t="str">
            <v>GWP - gross</v>
          </cell>
          <cell r="Y29622" t="str">
            <v>UNITED KINGDOM</v>
          </cell>
        </row>
        <row r="29623">
          <cell r="L29623" t="str">
            <v>Non-proportional</v>
          </cell>
          <cell r="S29623">
            <v>3614156.79</v>
          </cell>
          <cell r="X29623" t="str">
            <v>GWP - gross</v>
          </cell>
          <cell r="Y29623" t="str">
            <v>UNITED KINGDOM</v>
          </cell>
        </row>
        <row r="29624">
          <cell r="L29624" t="str">
            <v>Non-proportional</v>
          </cell>
          <cell r="S29624">
            <v>-45000</v>
          </cell>
          <cell r="X29624" t="str">
            <v>GWP - gross</v>
          </cell>
          <cell r="Y29624" t="str">
            <v>FRANCE</v>
          </cell>
        </row>
        <row r="29625">
          <cell r="L29625" t="str">
            <v>Non-proportional</v>
          </cell>
          <cell r="S29625">
            <v>-25766.49</v>
          </cell>
          <cell r="X29625" t="str">
            <v>GWP - gross</v>
          </cell>
          <cell r="Y29625" t="str">
            <v>CHILE</v>
          </cell>
        </row>
        <row r="29626">
          <cell r="L29626" t="str">
            <v>Non-proportional</v>
          </cell>
          <cell r="S29626">
            <v>-20757</v>
          </cell>
          <cell r="X29626" t="str">
            <v>GWP - gross</v>
          </cell>
          <cell r="Y29626" t="str">
            <v>BRAZIL</v>
          </cell>
        </row>
        <row r="29627">
          <cell r="L29627" t="str">
            <v>Non-proportional</v>
          </cell>
          <cell r="S29627">
            <v>-10667.38</v>
          </cell>
          <cell r="X29627" t="str">
            <v>GWP - gross</v>
          </cell>
          <cell r="Y29627" t="str">
            <v>UNITED KINGDOM</v>
          </cell>
        </row>
        <row r="29628">
          <cell r="L29628" t="str">
            <v>Non-proportional</v>
          </cell>
          <cell r="S29628">
            <v>351738.94</v>
          </cell>
          <cell r="X29628" t="str">
            <v>GWP - gross</v>
          </cell>
          <cell r="Y29628" t="str">
            <v>UNITED KINGDOM</v>
          </cell>
        </row>
        <row r="29629">
          <cell r="L29629" t="str">
            <v>Non-proportional</v>
          </cell>
          <cell r="S29629">
            <v>84571.79</v>
          </cell>
          <cell r="X29629" t="str">
            <v>GWP - gross</v>
          </cell>
          <cell r="Y29629" t="str">
            <v>UNITED KINGDOM</v>
          </cell>
        </row>
        <row r="29630">
          <cell r="L29630" t="str">
            <v>Non-proportional</v>
          </cell>
          <cell r="S29630">
            <v>39375</v>
          </cell>
          <cell r="X29630" t="str">
            <v>GWP - gross</v>
          </cell>
          <cell r="Y29630" t="str">
            <v>ITALY</v>
          </cell>
        </row>
        <row r="29631">
          <cell r="L29631" t="str">
            <v>Non-proportional</v>
          </cell>
          <cell r="S29631">
            <v>-278250.03999999998</v>
          </cell>
          <cell r="X29631" t="str">
            <v>GWP - gross</v>
          </cell>
          <cell r="Y29631" t="str">
            <v>ITALY</v>
          </cell>
        </row>
        <row r="29632">
          <cell r="L29632" t="str">
            <v>Non-proportional</v>
          </cell>
          <cell r="S29632">
            <v>-1538682.96</v>
          </cell>
          <cell r="X29632" t="str">
            <v>GWP - gross</v>
          </cell>
          <cell r="Y29632" t="str">
            <v>BELGIUM</v>
          </cell>
        </row>
        <row r="29633">
          <cell r="L29633" t="str">
            <v>Non-proportional</v>
          </cell>
          <cell r="S29633">
            <v>-54997.86</v>
          </cell>
          <cell r="X29633" t="str">
            <v>GWP - gross</v>
          </cell>
          <cell r="Y29633" t="str">
            <v>THAILAND</v>
          </cell>
        </row>
        <row r="29634">
          <cell r="L29634" t="str">
            <v>Non-proportional</v>
          </cell>
          <cell r="S29634">
            <v>440640</v>
          </cell>
          <cell r="X29634" t="str">
            <v>GWP - gross</v>
          </cell>
          <cell r="Y29634" t="str">
            <v>TURKEY</v>
          </cell>
        </row>
        <row r="29635">
          <cell r="L29635" t="str">
            <v>Non-proportional</v>
          </cell>
          <cell r="S29635">
            <v>-44890.79</v>
          </cell>
          <cell r="X29635" t="str">
            <v>GWP - gross</v>
          </cell>
          <cell r="Y29635" t="str">
            <v>SINGAPORE</v>
          </cell>
        </row>
        <row r="29636">
          <cell r="L29636" t="str">
            <v>Proportional</v>
          </cell>
          <cell r="S29636">
            <v>-2601562.6</v>
          </cell>
          <cell r="X29636" t="str">
            <v>GWP - gross</v>
          </cell>
          <cell r="Y29636" t="str">
            <v>THAILAND</v>
          </cell>
        </row>
        <row r="29637">
          <cell r="L29637" t="str">
            <v>Non-proportional</v>
          </cell>
          <cell r="S29637">
            <v>-494190</v>
          </cell>
          <cell r="X29637" t="str">
            <v>GWP - gross</v>
          </cell>
          <cell r="Y29637" t="str">
            <v>TURKEY</v>
          </cell>
        </row>
        <row r="29638">
          <cell r="L29638" t="str">
            <v>Proportional</v>
          </cell>
          <cell r="S29638">
            <v>-875000</v>
          </cell>
          <cell r="X29638" t="str">
            <v>GWP - gross</v>
          </cell>
          <cell r="Y29638" t="str">
            <v>ITALY</v>
          </cell>
        </row>
        <row r="29639">
          <cell r="L29639" t="str">
            <v>Non-proportional</v>
          </cell>
          <cell r="S29639">
            <v>-105000</v>
          </cell>
          <cell r="X29639" t="str">
            <v>GWP - gross</v>
          </cell>
          <cell r="Y29639" t="str">
            <v>FRANCE</v>
          </cell>
        </row>
        <row r="29640">
          <cell r="L29640" t="str">
            <v>Non-proportional</v>
          </cell>
          <cell r="S29640">
            <v>-33112.99</v>
          </cell>
          <cell r="X29640" t="str">
            <v>GWP - gross</v>
          </cell>
          <cell r="Y29640" t="str">
            <v>COLOMBIA</v>
          </cell>
        </row>
        <row r="29641">
          <cell r="L29641" t="str">
            <v>Non-proportional</v>
          </cell>
          <cell r="S29641">
            <v>101718.32</v>
          </cell>
          <cell r="X29641" t="str">
            <v>GWP - gross</v>
          </cell>
          <cell r="Y29641" t="str">
            <v>ISRAEL</v>
          </cell>
        </row>
        <row r="29642">
          <cell r="L29642" t="str">
            <v>Non-proportional</v>
          </cell>
          <cell r="S29642">
            <v>61500</v>
          </cell>
          <cell r="X29642" t="str">
            <v>GWP - gross</v>
          </cell>
          <cell r="Y29642" t="str">
            <v>ITALY</v>
          </cell>
        </row>
        <row r="29643">
          <cell r="L29643" t="str">
            <v>Non-proportional</v>
          </cell>
          <cell r="S29643">
            <v>2400000</v>
          </cell>
          <cell r="X29643" t="str">
            <v>GWP - gross</v>
          </cell>
          <cell r="Y29643" t="str">
            <v>BELGIUM</v>
          </cell>
        </row>
        <row r="29644">
          <cell r="L29644" t="str">
            <v>Non-proportional</v>
          </cell>
          <cell r="S29644">
            <v>-17064</v>
          </cell>
          <cell r="X29644" t="str">
            <v>GWP - gross</v>
          </cell>
          <cell r="Y29644" t="str">
            <v>GREECE</v>
          </cell>
        </row>
        <row r="29645">
          <cell r="L29645" t="str">
            <v>Non-proportional</v>
          </cell>
          <cell r="S29645">
            <v>1240912.22</v>
          </cell>
          <cell r="X29645" t="str">
            <v>GWP - gross</v>
          </cell>
          <cell r="Y29645" t="str">
            <v>UNITED KINGDOM</v>
          </cell>
        </row>
        <row r="29646">
          <cell r="L29646" t="str">
            <v>Proportional</v>
          </cell>
          <cell r="S29646">
            <v>-333.28</v>
          </cell>
          <cell r="X29646" t="str">
            <v>GWP - gross</v>
          </cell>
          <cell r="Y29646" t="str">
            <v>HONG KONG</v>
          </cell>
        </row>
        <row r="29647">
          <cell r="L29647" t="str">
            <v>Proportional</v>
          </cell>
          <cell r="S29647">
            <v>-4982.87</v>
          </cell>
          <cell r="X29647" t="str">
            <v>GWP - gross</v>
          </cell>
          <cell r="Y29647" t="str">
            <v>Hong Kong</v>
          </cell>
        </row>
        <row r="29648">
          <cell r="L29648" t="str">
            <v>Proportional</v>
          </cell>
          <cell r="S29648">
            <v>-15388375</v>
          </cell>
          <cell r="X29648" t="str">
            <v>GWP - gross</v>
          </cell>
          <cell r="Y29648" t="str">
            <v>HONG KONG</v>
          </cell>
        </row>
        <row r="29649">
          <cell r="L29649" t="str">
            <v>Non-proportional</v>
          </cell>
          <cell r="S29649">
            <v>22585.16</v>
          </cell>
          <cell r="X29649" t="str">
            <v>GWP - gross</v>
          </cell>
          <cell r="Y29649" t="str">
            <v>TURKEY</v>
          </cell>
        </row>
        <row r="29650">
          <cell r="L29650" t="str">
            <v>Non-proportional</v>
          </cell>
          <cell r="S29650">
            <v>-7848.4</v>
          </cell>
          <cell r="X29650" t="str">
            <v>GWP - gross</v>
          </cell>
          <cell r="Y29650" t="str">
            <v>MEXICO</v>
          </cell>
        </row>
        <row r="29651">
          <cell r="L29651" t="str">
            <v>Non-proportional</v>
          </cell>
          <cell r="S29651">
            <v>-54116.959999999999</v>
          </cell>
          <cell r="X29651" t="str">
            <v>GWP - gross</v>
          </cell>
          <cell r="Y29651" t="str">
            <v>FRANCE</v>
          </cell>
        </row>
        <row r="29652">
          <cell r="L29652" t="str">
            <v>Non-proportional</v>
          </cell>
          <cell r="S29652">
            <v>-40800</v>
          </cell>
          <cell r="X29652" t="str">
            <v>GWP - gross</v>
          </cell>
          <cell r="Y29652" t="str">
            <v>ITALY</v>
          </cell>
        </row>
        <row r="29653">
          <cell r="L29653" t="str">
            <v>Non-proportional</v>
          </cell>
          <cell r="S29653">
            <v>-84571.79</v>
          </cell>
          <cell r="X29653" t="str">
            <v>GWP - gross</v>
          </cell>
          <cell r="Y29653" t="str">
            <v>UNITED KINGDOM</v>
          </cell>
        </row>
        <row r="29654">
          <cell r="L29654" t="str">
            <v>Non-proportional</v>
          </cell>
          <cell r="S29654">
            <v>-80200.11</v>
          </cell>
          <cell r="X29654" t="str">
            <v>GWP - gross</v>
          </cell>
          <cell r="Y29654" t="str">
            <v>FRANCE</v>
          </cell>
        </row>
        <row r="29655">
          <cell r="L29655" t="str">
            <v>Non-proportional</v>
          </cell>
          <cell r="S29655">
            <v>31985.279999999999</v>
          </cell>
          <cell r="X29655" t="str">
            <v>GWP - gross</v>
          </cell>
          <cell r="Y29655" t="str">
            <v>FRANCE</v>
          </cell>
        </row>
        <row r="29656">
          <cell r="L29656" t="str">
            <v>Non-proportional</v>
          </cell>
          <cell r="S29656">
            <v>-151975.67000000001</v>
          </cell>
          <cell r="X29656" t="str">
            <v>GWP - gross</v>
          </cell>
          <cell r="Y29656" t="str">
            <v>FRANCE</v>
          </cell>
        </row>
        <row r="29657">
          <cell r="L29657" t="str">
            <v>Non-proportional</v>
          </cell>
          <cell r="S29657">
            <v>-17255958.84</v>
          </cell>
          <cell r="X29657" t="str">
            <v>GWP - gross</v>
          </cell>
          <cell r="Y29657" t="str">
            <v>UNITED KINGDOM</v>
          </cell>
        </row>
        <row r="29658">
          <cell r="L29658" t="str">
            <v>Non-proportional</v>
          </cell>
          <cell r="S29658">
            <v>-455882.92</v>
          </cell>
          <cell r="X29658" t="str">
            <v>GWP - gross</v>
          </cell>
          <cell r="Y29658" t="str">
            <v>UNITED STATES</v>
          </cell>
        </row>
        <row r="29659">
          <cell r="L29659" t="str">
            <v>Non-proportional</v>
          </cell>
          <cell r="S29659">
            <v>16328.5</v>
          </cell>
          <cell r="X29659" t="str">
            <v>GWP - gross</v>
          </cell>
          <cell r="Y29659" t="str">
            <v>ISRAEL</v>
          </cell>
        </row>
        <row r="29660">
          <cell r="L29660" t="str">
            <v>Non-proportional</v>
          </cell>
          <cell r="S29660">
            <v>-1316105.7</v>
          </cell>
          <cell r="X29660" t="str">
            <v>GWP - gross</v>
          </cell>
          <cell r="Y29660" t="str">
            <v>EUROPE</v>
          </cell>
        </row>
        <row r="29661">
          <cell r="L29661" t="str">
            <v>Non-proportional</v>
          </cell>
          <cell r="S29661">
            <v>-36491.839999999997</v>
          </cell>
          <cell r="X29661" t="str">
            <v>GWP - gross</v>
          </cell>
          <cell r="Y29661" t="str">
            <v>ISRAEL</v>
          </cell>
        </row>
        <row r="29662">
          <cell r="L29662" t="str">
            <v>Non-proportional</v>
          </cell>
          <cell r="S29662">
            <v>21505.4</v>
          </cell>
          <cell r="X29662" t="str">
            <v>GWP - gross</v>
          </cell>
          <cell r="Y29662" t="str">
            <v>BELGIUM</v>
          </cell>
        </row>
        <row r="29663">
          <cell r="L29663" t="str">
            <v>Non-proportional</v>
          </cell>
          <cell r="S29663">
            <v>-91344.15</v>
          </cell>
          <cell r="X29663" t="str">
            <v>GWP - gross</v>
          </cell>
          <cell r="Y29663" t="str">
            <v>COLOMBIA</v>
          </cell>
        </row>
        <row r="29664">
          <cell r="L29664" t="str">
            <v>Proportional</v>
          </cell>
          <cell r="S29664">
            <v>-8863054.1999999993</v>
          </cell>
          <cell r="X29664" t="str">
            <v>GWP - gross</v>
          </cell>
          <cell r="Y29664" t="str">
            <v>UNITED STATES</v>
          </cell>
        </row>
        <row r="29665">
          <cell r="L29665" t="str">
            <v>Non-proportional</v>
          </cell>
          <cell r="S29665">
            <v>103188</v>
          </cell>
          <cell r="X29665" t="str">
            <v>GWP - gross</v>
          </cell>
          <cell r="Y29665" t="str">
            <v>ITALY</v>
          </cell>
        </row>
        <row r="29666">
          <cell r="L29666" t="str">
            <v>Non-proportional</v>
          </cell>
          <cell r="S29666">
            <v>59329.8</v>
          </cell>
          <cell r="X29666" t="str">
            <v>GWP - gross</v>
          </cell>
          <cell r="Y29666" t="str">
            <v>CYPRUS</v>
          </cell>
        </row>
        <row r="29667">
          <cell r="L29667" t="str">
            <v>Proportional</v>
          </cell>
          <cell r="S29667">
            <v>9094.52</v>
          </cell>
          <cell r="X29667" t="str">
            <v>GWP - gross</v>
          </cell>
          <cell r="Y29667" t="str">
            <v>UNITED STATES</v>
          </cell>
        </row>
        <row r="29668">
          <cell r="L29668" t="str">
            <v>Non-proportional</v>
          </cell>
          <cell r="S29668">
            <v>-11304.51</v>
          </cell>
          <cell r="X29668" t="str">
            <v>GWP - gross</v>
          </cell>
          <cell r="Y29668" t="str">
            <v>CYPRUS</v>
          </cell>
        </row>
        <row r="29669">
          <cell r="L29669" t="str">
            <v>Non-proportional</v>
          </cell>
          <cell r="S29669">
            <v>-59140.09</v>
          </cell>
          <cell r="X29669" t="str">
            <v>GWP - gross</v>
          </cell>
          <cell r="Y29669" t="str">
            <v>UNITED KINGDOM</v>
          </cell>
        </row>
        <row r="29670">
          <cell r="L29670" t="str">
            <v>Non-proportional</v>
          </cell>
          <cell r="S29670">
            <v>-2669.95</v>
          </cell>
          <cell r="X29670" t="str">
            <v>GWP - gross</v>
          </cell>
          <cell r="Y29670" t="str">
            <v>UNITED KINGDOM</v>
          </cell>
        </row>
        <row r="29671">
          <cell r="L29671" t="str">
            <v>Non-proportional</v>
          </cell>
          <cell r="S29671">
            <v>-107047.33</v>
          </cell>
          <cell r="X29671" t="str">
            <v>GWP - gross</v>
          </cell>
          <cell r="Y29671" t="str">
            <v>MEXICO</v>
          </cell>
        </row>
        <row r="29672">
          <cell r="L29672" t="str">
            <v>Non-proportional</v>
          </cell>
          <cell r="S29672">
            <v>-43392.62</v>
          </cell>
          <cell r="X29672" t="str">
            <v>GWP - gross</v>
          </cell>
          <cell r="Y29672" t="str">
            <v>ISRAEL</v>
          </cell>
        </row>
        <row r="29673">
          <cell r="L29673" t="str">
            <v>Non-proportional</v>
          </cell>
          <cell r="S29673">
            <v>-163104.24</v>
          </cell>
          <cell r="X29673" t="str">
            <v>GWP - gross</v>
          </cell>
          <cell r="Y29673" t="str">
            <v>EUROPE</v>
          </cell>
        </row>
        <row r="29674">
          <cell r="L29674" t="str">
            <v>Non-proportional</v>
          </cell>
          <cell r="S29674">
            <v>34947.019999999997</v>
          </cell>
          <cell r="X29674" t="str">
            <v>GWP - gross</v>
          </cell>
          <cell r="Y29674" t="str">
            <v>UNITED KINGDOM</v>
          </cell>
        </row>
        <row r="29675">
          <cell r="L29675" t="str">
            <v>Non-proportional</v>
          </cell>
          <cell r="S29675">
            <v>25321.68</v>
          </cell>
          <cell r="X29675" t="str">
            <v>GWP - gross</v>
          </cell>
          <cell r="Y29675" t="str">
            <v>FRANCE</v>
          </cell>
        </row>
        <row r="29676">
          <cell r="L29676" t="str">
            <v>Non-proportional</v>
          </cell>
          <cell r="S29676">
            <v>-108000</v>
          </cell>
          <cell r="X29676" t="str">
            <v>GWP - gross</v>
          </cell>
          <cell r="Y29676" t="str">
            <v>ITALY</v>
          </cell>
        </row>
        <row r="29677">
          <cell r="L29677" t="str">
            <v>Non-proportional</v>
          </cell>
          <cell r="S29677">
            <v>-112912.02</v>
          </cell>
          <cell r="X29677" t="str">
            <v>GWP - gross</v>
          </cell>
          <cell r="Y29677" t="str">
            <v>ISRAEL</v>
          </cell>
        </row>
        <row r="29678">
          <cell r="L29678" t="str">
            <v>Non-proportional</v>
          </cell>
          <cell r="S29678">
            <v>-130908.9</v>
          </cell>
          <cell r="X29678" t="str">
            <v>GWP - gross</v>
          </cell>
          <cell r="Y29678" t="str">
            <v>ITALY</v>
          </cell>
        </row>
        <row r="29679">
          <cell r="L29679" t="str">
            <v>Non-proportional</v>
          </cell>
          <cell r="S29679">
            <v>-31962.53</v>
          </cell>
          <cell r="X29679" t="str">
            <v>GWP - gross</v>
          </cell>
          <cell r="Y29679" t="str">
            <v>CHILE</v>
          </cell>
        </row>
        <row r="29680">
          <cell r="L29680" t="str">
            <v>Non-proportional</v>
          </cell>
          <cell r="S29680">
            <v>-19754.46</v>
          </cell>
          <cell r="X29680" t="str">
            <v>GWP - gross</v>
          </cell>
          <cell r="Y29680" t="str">
            <v>TURKEY</v>
          </cell>
        </row>
        <row r="29681">
          <cell r="L29681" t="str">
            <v>Non-proportional</v>
          </cell>
          <cell r="S29681">
            <v>11284.25</v>
          </cell>
          <cell r="X29681" t="str">
            <v>GWP - gross</v>
          </cell>
          <cell r="Y29681" t="str">
            <v>CYPRUS</v>
          </cell>
        </row>
        <row r="29682">
          <cell r="L29682" t="str">
            <v>Non-proportional</v>
          </cell>
          <cell r="S29682">
            <v>-72659.5</v>
          </cell>
          <cell r="X29682" t="str">
            <v>GWP - gross</v>
          </cell>
          <cell r="Y29682" t="str">
            <v>FRANCE</v>
          </cell>
        </row>
        <row r="29683">
          <cell r="L29683" t="str">
            <v>Proportional</v>
          </cell>
          <cell r="S29683">
            <v>1519.04</v>
          </cell>
          <cell r="X29683" t="str">
            <v>GWP - gross</v>
          </cell>
          <cell r="Y29683" t="str">
            <v>UNITED STATES</v>
          </cell>
        </row>
        <row r="29684">
          <cell r="L29684" t="str">
            <v>Non-proportional</v>
          </cell>
          <cell r="S29684">
            <v>-52812.87</v>
          </cell>
          <cell r="X29684" t="str">
            <v>GWP - gross</v>
          </cell>
          <cell r="Y29684" t="str">
            <v>FRANCE</v>
          </cell>
        </row>
        <row r="29685">
          <cell r="L29685" t="str">
            <v>Non-proportional</v>
          </cell>
          <cell r="S29685">
            <v>-19102.32</v>
          </cell>
          <cell r="X29685" t="str">
            <v>GWP - gross</v>
          </cell>
          <cell r="Y29685" t="str">
            <v>FRANCE</v>
          </cell>
        </row>
        <row r="29686">
          <cell r="L29686" t="str">
            <v>Non-proportional</v>
          </cell>
          <cell r="S29686">
            <v>-12973.13</v>
          </cell>
          <cell r="X29686" t="str">
            <v>GWP - gross</v>
          </cell>
          <cell r="Y29686" t="str">
            <v>BRAZIL</v>
          </cell>
        </row>
        <row r="29687">
          <cell r="L29687" t="str">
            <v>Non-proportional</v>
          </cell>
          <cell r="S29687">
            <v>-4567380.6900000004</v>
          </cell>
          <cell r="X29687" t="str">
            <v>GWP - gross</v>
          </cell>
          <cell r="Y29687" t="str">
            <v>UNITED KINGDOM</v>
          </cell>
        </row>
        <row r="29688">
          <cell r="L29688" t="str">
            <v>Non-proportional</v>
          </cell>
          <cell r="S29688">
            <v>-67833.59</v>
          </cell>
          <cell r="X29688" t="str">
            <v>GWP - gross</v>
          </cell>
          <cell r="Y29688" t="str">
            <v>ISRAEL</v>
          </cell>
        </row>
        <row r="29689">
          <cell r="L29689" t="str">
            <v>Proportional</v>
          </cell>
          <cell r="S29689">
            <v>-141.27000000000001</v>
          </cell>
          <cell r="X29689" t="str">
            <v>GWP - gross</v>
          </cell>
          <cell r="Y29689" t="str">
            <v>Malaysia</v>
          </cell>
        </row>
        <row r="29690">
          <cell r="L29690" t="str">
            <v>Non-proportional</v>
          </cell>
          <cell r="S29690">
            <v>75235.240000000005</v>
          </cell>
          <cell r="X29690" t="str">
            <v>GWP - gross</v>
          </cell>
          <cell r="Y29690" t="str">
            <v>MEXICO</v>
          </cell>
        </row>
        <row r="29691">
          <cell r="L29691" t="str">
            <v>Proportional</v>
          </cell>
          <cell r="S29691">
            <v>-60432.51</v>
          </cell>
          <cell r="X29691" t="str">
            <v>GWP - gross</v>
          </cell>
          <cell r="Y29691" t="str">
            <v>ITALY</v>
          </cell>
        </row>
        <row r="29692">
          <cell r="L29692" t="str">
            <v>Proportional</v>
          </cell>
          <cell r="S29692">
            <v>-4400000</v>
          </cell>
          <cell r="X29692" t="str">
            <v>GWP - gross</v>
          </cell>
          <cell r="Y29692" t="str">
            <v>PORTUGAL</v>
          </cell>
        </row>
        <row r="29693">
          <cell r="L29693" t="str">
            <v>Non-proportional</v>
          </cell>
          <cell r="S29693">
            <v>-35000</v>
          </cell>
          <cell r="X29693" t="str">
            <v>GWP - gross</v>
          </cell>
          <cell r="Y29693" t="str">
            <v>ITALY</v>
          </cell>
        </row>
        <row r="29694">
          <cell r="L29694" t="str">
            <v>Non-proportional</v>
          </cell>
          <cell r="S29694">
            <v>-53105.48</v>
          </cell>
          <cell r="X29694" t="str">
            <v>GWP - gross</v>
          </cell>
          <cell r="Y29694" t="str">
            <v>FRANCE</v>
          </cell>
        </row>
        <row r="29695">
          <cell r="L29695" t="str">
            <v>Proportional</v>
          </cell>
          <cell r="S29695">
            <v>1326046.45</v>
          </cell>
          <cell r="X29695" t="str">
            <v>GWP - gross</v>
          </cell>
          <cell r="Y29695" t="str">
            <v>HONG KONG</v>
          </cell>
        </row>
        <row r="29696">
          <cell r="L29696" t="str">
            <v>Non-proportional</v>
          </cell>
          <cell r="S29696">
            <v>-20577.78</v>
          </cell>
          <cell r="X29696" t="str">
            <v>GWP - gross</v>
          </cell>
          <cell r="Y29696" t="str">
            <v>TURKEY</v>
          </cell>
        </row>
        <row r="29697">
          <cell r="L29697" t="str">
            <v>Non-proportional</v>
          </cell>
          <cell r="S29697">
            <v>-1240912.22</v>
          </cell>
          <cell r="X29697" t="str">
            <v>GWP - gross</v>
          </cell>
          <cell r="Y29697" t="str">
            <v>UNITED KINGDOM</v>
          </cell>
        </row>
        <row r="29698">
          <cell r="L29698" t="str">
            <v>Non-proportional</v>
          </cell>
          <cell r="S29698">
            <v>-51972.5</v>
          </cell>
          <cell r="X29698" t="str">
            <v>GWP - gross</v>
          </cell>
          <cell r="Y29698" t="str">
            <v>UNITED KINGDOM</v>
          </cell>
        </row>
        <row r="29699">
          <cell r="L29699" t="str">
            <v>Non-proportional</v>
          </cell>
          <cell r="S29699">
            <v>-31765.58</v>
          </cell>
          <cell r="X29699" t="str">
            <v>GWP - gross</v>
          </cell>
          <cell r="Y29699" t="str">
            <v>ISRAEL</v>
          </cell>
        </row>
        <row r="29700">
          <cell r="L29700" t="str">
            <v>Proportional</v>
          </cell>
          <cell r="S29700">
            <v>-25015.03</v>
          </cell>
          <cell r="X29700" t="str">
            <v>GWP - gross</v>
          </cell>
          <cell r="Y29700" t="str">
            <v>THAILAND</v>
          </cell>
        </row>
        <row r="29701">
          <cell r="L29701" t="str">
            <v>Proportional</v>
          </cell>
          <cell r="S29701">
            <v>-2128860.11</v>
          </cell>
          <cell r="X29701" t="str">
            <v>GWP - gross</v>
          </cell>
          <cell r="Y29701" t="str">
            <v>UNITED STATES</v>
          </cell>
        </row>
        <row r="29702">
          <cell r="L29702" t="str">
            <v>Non-proportional</v>
          </cell>
          <cell r="S29702">
            <v>3815.4</v>
          </cell>
          <cell r="X29702" t="str">
            <v>GWP - gross</v>
          </cell>
          <cell r="Y29702" t="str">
            <v>MEXICO</v>
          </cell>
        </row>
        <row r="29703">
          <cell r="L29703" t="str">
            <v>Non-proportional</v>
          </cell>
          <cell r="S29703">
            <v>-13995.48</v>
          </cell>
          <cell r="X29703" t="str">
            <v>GWP - gross</v>
          </cell>
          <cell r="Y29703" t="str">
            <v>ISRAEL</v>
          </cell>
        </row>
        <row r="29704">
          <cell r="L29704" t="str">
            <v>Proportional</v>
          </cell>
          <cell r="S29704">
            <v>-875000</v>
          </cell>
          <cell r="X29704" t="str">
            <v>GWP - gross</v>
          </cell>
          <cell r="Y29704" t="str">
            <v>ITALY</v>
          </cell>
        </row>
        <row r="29705">
          <cell r="L29705" t="str">
            <v>Non-proportional</v>
          </cell>
          <cell r="S29705">
            <v>4478.55</v>
          </cell>
          <cell r="X29705" t="str">
            <v>GWP - gross</v>
          </cell>
          <cell r="Y29705" t="str">
            <v>ISRAEL</v>
          </cell>
        </row>
        <row r="29706">
          <cell r="L29706" t="str">
            <v>Proportional</v>
          </cell>
          <cell r="S29706">
            <v>-39197.449999999997</v>
          </cell>
          <cell r="X29706" t="str">
            <v>GWP - gross</v>
          </cell>
          <cell r="Y29706" t="str">
            <v>HONG KONG</v>
          </cell>
        </row>
        <row r="29707">
          <cell r="L29707" t="str">
            <v>Non-proportional</v>
          </cell>
          <cell r="S29707">
            <v>-4921.22</v>
          </cell>
          <cell r="X29707" t="str">
            <v>GWP - gross</v>
          </cell>
          <cell r="Y29707" t="str">
            <v>UNITED KINGDOM</v>
          </cell>
        </row>
        <row r="29708">
          <cell r="L29708" t="str">
            <v>Non-proportional</v>
          </cell>
          <cell r="S29708">
            <v>-1233.52</v>
          </cell>
          <cell r="X29708" t="str">
            <v>GWP - gross</v>
          </cell>
          <cell r="Y29708" t="str">
            <v>CYPRUS</v>
          </cell>
        </row>
        <row r="29709">
          <cell r="L29709" t="str">
            <v>Proportional</v>
          </cell>
          <cell r="S29709">
            <v>-4903.6499999999996</v>
          </cell>
          <cell r="X29709" t="str">
            <v>GWP - gross</v>
          </cell>
          <cell r="Y29709" t="str">
            <v>MALAYSIA</v>
          </cell>
        </row>
        <row r="29710">
          <cell r="L29710" t="str">
            <v>Non-proportional</v>
          </cell>
          <cell r="S29710">
            <v>-18674.32</v>
          </cell>
          <cell r="X29710" t="str">
            <v>GWP - gross</v>
          </cell>
          <cell r="Y29710" t="str">
            <v>NEW ZEALAND</v>
          </cell>
        </row>
        <row r="29711">
          <cell r="L29711" t="str">
            <v>Non-proportional</v>
          </cell>
          <cell r="S29711">
            <v>11221.24</v>
          </cell>
          <cell r="X29711" t="str">
            <v>GWP - gross</v>
          </cell>
          <cell r="Y29711" t="str">
            <v>ISRAEL</v>
          </cell>
        </row>
        <row r="29712">
          <cell r="L29712" t="str">
            <v>Non-proportional</v>
          </cell>
          <cell r="S29712">
            <v>-243751.86</v>
          </cell>
          <cell r="X29712" t="str">
            <v>GWP - gross</v>
          </cell>
          <cell r="Y29712" t="str">
            <v>CHINA</v>
          </cell>
        </row>
        <row r="29713">
          <cell r="L29713" t="str">
            <v>Non-proportional</v>
          </cell>
          <cell r="S29713">
            <v>-55178.34</v>
          </cell>
          <cell r="X29713" t="str">
            <v>GWP - gross</v>
          </cell>
          <cell r="Y29713" t="str">
            <v>ISRAEL</v>
          </cell>
        </row>
        <row r="29714">
          <cell r="L29714" t="str">
            <v>Non-proportional</v>
          </cell>
          <cell r="S29714">
            <v>52812.87</v>
          </cell>
          <cell r="X29714" t="str">
            <v>GWP - gross</v>
          </cell>
          <cell r="Y29714" t="str">
            <v>FRANCE</v>
          </cell>
        </row>
        <row r="29715">
          <cell r="L29715" t="str">
            <v>Non-proportional</v>
          </cell>
          <cell r="S29715">
            <v>-61050.239999999998</v>
          </cell>
          <cell r="X29715" t="str">
            <v>GWP - gross</v>
          </cell>
          <cell r="Y29715" t="str">
            <v>ISRAEL</v>
          </cell>
        </row>
        <row r="29716">
          <cell r="L29716" t="str">
            <v>Proportional</v>
          </cell>
          <cell r="S29716">
            <v>333.28</v>
          </cell>
          <cell r="X29716" t="str">
            <v>GWP - gross</v>
          </cell>
          <cell r="Y29716" t="str">
            <v>HONG KONG</v>
          </cell>
        </row>
        <row r="29717">
          <cell r="L29717" t="str">
            <v>Proportional</v>
          </cell>
          <cell r="S29717">
            <v>-2424.96</v>
          </cell>
          <cell r="X29717" t="str">
            <v>GWP - gross</v>
          </cell>
          <cell r="Y29717" t="str">
            <v>Hong Kong</v>
          </cell>
        </row>
        <row r="29718">
          <cell r="L29718" t="str">
            <v>Proportional</v>
          </cell>
          <cell r="S29718">
            <v>-299000</v>
          </cell>
          <cell r="X29718" t="str">
            <v>GWP - gross</v>
          </cell>
          <cell r="Y29718" t="str">
            <v>ITALY</v>
          </cell>
        </row>
        <row r="29719">
          <cell r="L29719" t="str">
            <v>Non-proportional</v>
          </cell>
          <cell r="S29719">
            <v>-5044.5</v>
          </cell>
          <cell r="X29719" t="str">
            <v>GWP - gross</v>
          </cell>
          <cell r="Y29719" t="str">
            <v>PORTUGAL</v>
          </cell>
        </row>
        <row r="29720">
          <cell r="L29720" t="str">
            <v>Non-proportional</v>
          </cell>
          <cell r="S29720">
            <v>-63293.919999999998</v>
          </cell>
          <cell r="X29720" t="str">
            <v>GWP - gross</v>
          </cell>
          <cell r="Y29720" t="str">
            <v>CYPRUS</v>
          </cell>
        </row>
        <row r="29721">
          <cell r="L29721" t="str">
            <v>Non-proportional</v>
          </cell>
          <cell r="S29721">
            <v>-114001.68</v>
          </cell>
          <cell r="X29721" t="str">
            <v>GWP - gross</v>
          </cell>
          <cell r="Y29721" t="str">
            <v>TURKEY</v>
          </cell>
        </row>
        <row r="29722">
          <cell r="L29722" t="str">
            <v>Non-proportional</v>
          </cell>
          <cell r="S29722">
            <v>-11462606</v>
          </cell>
          <cell r="X29722" t="str">
            <v>GWP - gross</v>
          </cell>
          <cell r="Y29722" t="str">
            <v>BELGIUM</v>
          </cell>
        </row>
        <row r="29723">
          <cell r="L29723" t="str">
            <v>Non-proportional</v>
          </cell>
          <cell r="S29723">
            <v>-4650</v>
          </cell>
          <cell r="X29723" t="str">
            <v>GWP - gross</v>
          </cell>
          <cell r="Y29723" t="str">
            <v>ITALY</v>
          </cell>
        </row>
        <row r="29724">
          <cell r="L29724" t="str">
            <v>Non-proportional</v>
          </cell>
          <cell r="S29724">
            <v>-81032.399999999994</v>
          </cell>
          <cell r="X29724" t="str">
            <v>GWP - gross</v>
          </cell>
          <cell r="Y29724" t="str">
            <v>CYPRUS</v>
          </cell>
        </row>
        <row r="29725">
          <cell r="L29725" t="str">
            <v>Non-proportional</v>
          </cell>
          <cell r="S29725">
            <v>-35218.89</v>
          </cell>
          <cell r="X29725" t="str">
            <v>GWP - gross</v>
          </cell>
          <cell r="Y29725" t="str">
            <v>ISRAEL</v>
          </cell>
        </row>
        <row r="29726">
          <cell r="L29726" t="str">
            <v>Non-proportional</v>
          </cell>
          <cell r="S29726">
            <v>-4963649.03</v>
          </cell>
          <cell r="X29726" t="str">
            <v>GWP - gross</v>
          </cell>
          <cell r="Y29726" t="str">
            <v>UNITED KINGDOM</v>
          </cell>
        </row>
        <row r="29727">
          <cell r="L29727" t="str">
            <v>Non-proportional</v>
          </cell>
          <cell r="S29727">
            <v>-24914.1</v>
          </cell>
          <cell r="X29727" t="str">
            <v>GWP - gross</v>
          </cell>
          <cell r="Y29727" t="str">
            <v>PERU</v>
          </cell>
        </row>
        <row r="29728">
          <cell r="L29728" t="str">
            <v>Non-proportional</v>
          </cell>
          <cell r="S29728">
            <v>-12660.84</v>
          </cell>
          <cell r="X29728" t="str">
            <v>GWP - gross</v>
          </cell>
          <cell r="Y29728" t="str">
            <v>FRANCE</v>
          </cell>
        </row>
        <row r="29729">
          <cell r="L29729" t="str">
            <v>Non-proportional</v>
          </cell>
          <cell r="S29729">
            <v>18822.18</v>
          </cell>
          <cell r="X29729" t="str">
            <v>GWP - gross</v>
          </cell>
          <cell r="Y29729" t="str">
            <v>TURKEY</v>
          </cell>
        </row>
        <row r="29730">
          <cell r="L29730" t="str">
            <v>Non-proportional</v>
          </cell>
          <cell r="S29730">
            <v>-46250</v>
          </cell>
          <cell r="X29730" t="str">
            <v>GWP - gross</v>
          </cell>
          <cell r="Y29730" t="str">
            <v>FRANCE</v>
          </cell>
        </row>
        <row r="29731">
          <cell r="L29731" t="str">
            <v>Non-proportional</v>
          </cell>
          <cell r="S29731">
            <v>-38098.089999999997</v>
          </cell>
          <cell r="X29731" t="str">
            <v>GWP - gross</v>
          </cell>
          <cell r="Y29731" t="str">
            <v>ISRAEL</v>
          </cell>
        </row>
        <row r="29732">
          <cell r="L29732" t="str">
            <v>Proportional</v>
          </cell>
          <cell r="S29732">
            <v>-186524.04</v>
          </cell>
          <cell r="X29732" t="str">
            <v>GWP - gross</v>
          </cell>
          <cell r="Y29732" t="str">
            <v>JAPAN</v>
          </cell>
        </row>
        <row r="29733">
          <cell r="L29733" t="str">
            <v>Non-proportional</v>
          </cell>
          <cell r="S29733">
            <v>-85293</v>
          </cell>
          <cell r="X29733" t="str">
            <v>GWP - gross</v>
          </cell>
          <cell r="Y29733" t="str">
            <v>ITALY</v>
          </cell>
        </row>
        <row r="29734">
          <cell r="L29734" t="str">
            <v>Non-proportional</v>
          </cell>
          <cell r="S29734">
            <v>-36969.31</v>
          </cell>
          <cell r="X29734" t="str">
            <v>GWP - gross</v>
          </cell>
          <cell r="Y29734" t="str">
            <v>UNITED KINGDOM</v>
          </cell>
        </row>
        <row r="29735">
          <cell r="L29735" t="str">
            <v>Non-proportional</v>
          </cell>
          <cell r="S29735">
            <v>-102375</v>
          </cell>
          <cell r="X29735" t="str">
            <v>GWP - gross</v>
          </cell>
          <cell r="Y29735" t="str">
            <v>TURKEY</v>
          </cell>
        </row>
        <row r="29736">
          <cell r="L29736" t="str">
            <v>Non-proportional</v>
          </cell>
          <cell r="S29736">
            <v>107090</v>
          </cell>
          <cell r="X29736" t="str">
            <v>GWP - gross</v>
          </cell>
          <cell r="Y29736" t="str">
            <v>NETHERLANDS</v>
          </cell>
        </row>
        <row r="29737">
          <cell r="L29737" t="str">
            <v>Proportional</v>
          </cell>
          <cell r="S29737">
            <v>1519.04</v>
          </cell>
          <cell r="X29737" t="str">
            <v>GWP - gross</v>
          </cell>
          <cell r="Y29737" t="str">
            <v>UNITED STATES</v>
          </cell>
        </row>
        <row r="29738">
          <cell r="L29738" t="str">
            <v>Non-proportional</v>
          </cell>
          <cell r="S29738">
            <v>100960</v>
          </cell>
          <cell r="X29738" t="str">
            <v>GWP - gross</v>
          </cell>
          <cell r="Y29738" t="str">
            <v>NETHERLANDS</v>
          </cell>
        </row>
        <row r="29739">
          <cell r="L29739" t="str">
            <v>Non-proportional</v>
          </cell>
          <cell r="S29739">
            <v>-193896</v>
          </cell>
          <cell r="X29739" t="str">
            <v>GWP - gross</v>
          </cell>
          <cell r="Y29739" t="str">
            <v>ITALY</v>
          </cell>
        </row>
        <row r="29740">
          <cell r="L29740" t="str">
            <v>Non-proportional</v>
          </cell>
          <cell r="S29740">
            <v>-21982.2</v>
          </cell>
          <cell r="X29740" t="str">
            <v>GWP - gross</v>
          </cell>
          <cell r="Y29740" t="str">
            <v>CYPRUS</v>
          </cell>
        </row>
        <row r="29741">
          <cell r="L29741" t="str">
            <v>Non-proportional</v>
          </cell>
          <cell r="S29741">
            <v>-4798.16</v>
          </cell>
          <cell r="X29741" t="str">
            <v>GWP - gross</v>
          </cell>
          <cell r="Y29741" t="str">
            <v>CHILE</v>
          </cell>
        </row>
        <row r="29742">
          <cell r="L29742" t="str">
            <v>Non-proportional</v>
          </cell>
          <cell r="S29742">
            <v>-65631.42</v>
          </cell>
          <cell r="X29742" t="str">
            <v>GWP - gross</v>
          </cell>
          <cell r="Y29742" t="str">
            <v>ISRAEL</v>
          </cell>
        </row>
        <row r="29743">
          <cell r="L29743" t="str">
            <v>Proportional</v>
          </cell>
          <cell r="S29743">
            <v>-210.84</v>
          </cell>
          <cell r="X29743" t="str">
            <v>GWP - gross</v>
          </cell>
          <cell r="Y29743" t="str">
            <v>HONG KONG</v>
          </cell>
        </row>
        <row r="29744">
          <cell r="L29744" t="str">
            <v>Non-proportional</v>
          </cell>
          <cell r="S29744">
            <v>-155790</v>
          </cell>
          <cell r="X29744" t="str">
            <v>GWP - gross</v>
          </cell>
          <cell r="Y29744" t="str">
            <v>FRANCE</v>
          </cell>
        </row>
        <row r="29745">
          <cell r="L29745" t="str">
            <v>Proportional</v>
          </cell>
          <cell r="S29745">
            <v>13569.46</v>
          </cell>
          <cell r="X29745" t="str">
            <v>GWP - gross</v>
          </cell>
          <cell r="Y29745" t="str">
            <v>HONG KONG</v>
          </cell>
        </row>
        <row r="29746">
          <cell r="L29746" t="str">
            <v>Non-proportional</v>
          </cell>
          <cell r="S29746">
            <v>-32319.41</v>
          </cell>
          <cell r="X29746" t="str">
            <v>GWP - gross</v>
          </cell>
          <cell r="Y29746" t="str">
            <v>THAILAND</v>
          </cell>
        </row>
        <row r="29747">
          <cell r="L29747" t="str">
            <v>Non-proportional</v>
          </cell>
          <cell r="S29747">
            <v>-40976.400000000001</v>
          </cell>
          <cell r="X29747" t="str">
            <v>GWP - gross</v>
          </cell>
          <cell r="Y29747" t="str">
            <v>THAILAND</v>
          </cell>
        </row>
        <row r="29748">
          <cell r="L29748" t="str">
            <v>Non-proportional</v>
          </cell>
          <cell r="S29748">
            <v>-33020.339999999997</v>
          </cell>
          <cell r="X29748" t="str">
            <v>GWP - gross</v>
          </cell>
          <cell r="Y29748" t="str">
            <v>MEXICO</v>
          </cell>
        </row>
        <row r="29749">
          <cell r="L29749" t="str">
            <v>Non-proportional</v>
          </cell>
          <cell r="S29749">
            <v>299999.49</v>
          </cell>
          <cell r="X29749" t="str">
            <v>GWP - gross</v>
          </cell>
          <cell r="Y29749" t="str">
            <v>FRANCE</v>
          </cell>
        </row>
        <row r="29750">
          <cell r="L29750" t="str">
            <v>Non-proportional</v>
          </cell>
          <cell r="S29750">
            <v>-4442.3999999999996</v>
          </cell>
          <cell r="X29750" t="str">
            <v>GWP - gross</v>
          </cell>
          <cell r="Y29750" t="str">
            <v>FRANCE</v>
          </cell>
        </row>
        <row r="29751">
          <cell r="L29751" t="str">
            <v>Non-proportional</v>
          </cell>
          <cell r="S29751">
            <v>-115650</v>
          </cell>
          <cell r="X29751" t="str">
            <v>GWP - gross</v>
          </cell>
          <cell r="Y29751" t="str">
            <v>FRANCE</v>
          </cell>
        </row>
        <row r="29752">
          <cell r="L29752" t="str">
            <v>Non-proportional</v>
          </cell>
          <cell r="S29752">
            <v>-114001.68</v>
          </cell>
          <cell r="X29752" t="str">
            <v>GWP - gross</v>
          </cell>
          <cell r="Y29752" t="str">
            <v>TURKEY</v>
          </cell>
        </row>
        <row r="29753">
          <cell r="L29753" t="str">
            <v>Non-proportional</v>
          </cell>
          <cell r="S29753">
            <v>-4511743.5</v>
          </cell>
          <cell r="X29753" t="str">
            <v>GWP - gross</v>
          </cell>
          <cell r="Y29753" t="str">
            <v>PORTUGAL</v>
          </cell>
        </row>
        <row r="29754">
          <cell r="L29754" t="str">
            <v>Proportional</v>
          </cell>
          <cell r="S29754">
            <v>-36193.980000000003</v>
          </cell>
          <cell r="X29754" t="str">
            <v>GWP - gross</v>
          </cell>
          <cell r="Y29754" t="str">
            <v>CHILE</v>
          </cell>
        </row>
        <row r="29755">
          <cell r="L29755" t="str">
            <v>Non-proportional</v>
          </cell>
          <cell r="S29755">
            <v>-4505</v>
          </cell>
          <cell r="X29755" t="str">
            <v>GWP - gross</v>
          </cell>
          <cell r="Y29755" t="str">
            <v>ITALY</v>
          </cell>
        </row>
        <row r="29756">
          <cell r="L29756" t="str">
            <v>Non-proportional</v>
          </cell>
          <cell r="S29756">
            <v>-98859.15</v>
          </cell>
          <cell r="X29756" t="str">
            <v>GWP - gross</v>
          </cell>
          <cell r="Y29756" t="str">
            <v>ITALY</v>
          </cell>
        </row>
        <row r="29757">
          <cell r="L29757" t="str">
            <v>Non-proportional</v>
          </cell>
          <cell r="S29757">
            <v>16328.5</v>
          </cell>
          <cell r="X29757" t="str">
            <v>GWP - gross</v>
          </cell>
          <cell r="Y29757" t="str">
            <v>ISRAEL</v>
          </cell>
        </row>
        <row r="29758">
          <cell r="L29758" t="str">
            <v>Non-proportional</v>
          </cell>
          <cell r="S29758">
            <v>109301.4</v>
          </cell>
          <cell r="X29758" t="str">
            <v>GWP - gross</v>
          </cell>
          <cell r="Y29758" t="str">
            <v>ITALY</v>
          </cell>
        </row>
        <row r="29759">
          <cell r="L29759" t="str">
            <v>Non-proportional</v>
          </cell>
          <cell r="S29759">
            <v>-17625</v>
          </cell>
          <cell r="X29759" t="str">
            <v>GWP - gross</v>
          </cell>
          <cell r="Y29759" t="str">
            <v>GREECE</v>
          </cell>
        </row>
        <row r="29760">
          <cell r="L29760" t="str">
            <v>Non-proportional</v>
          </cell>
          <cell r="S29760">
            <v>-16875</v>
          </cell>
          <cell r="X29760" t="str">
            <v>GWP - gross</v>
          </cell>
          <cell r="Y29760" t="str">
            <v>GREECE</v>
          </cell>
        </row>
        <row r="29761">
          <cell r="L29761" t="str">
            <v>Non-proportional</v>
          </cell>
          <cell r="S29761">
            <v>-103188</v>
          </cell>
          <cell r="X29761" t="str">
            <v>GWP - gross</v>
          </cell>
          <cell r="Y29761" t="str">
            <v>ITALY</v>
          </cell>
        </row>
        <row r="29762">
          <cell r="L29762" t="str">
            <v>Non-proportional</v>
          </cell>
          <cell r="S29762">
            <v>-33482</v>
          </cell>
          <cell r="X29762" t="str">
            <v>GWP - gross</v>
          </cell>
          <cell r="Y29762" t="str">
            <v>ISRAEL</v>
          </cell>
        </row>
        <row r="29763">
          <cell r="L29763" t="str">
            <v>Non-proportional</v>
          </cell>
          <cell r="S29763">
            <v>17869.990000000002</v>
          </cell>
          <cell r="X29763" t="str">
            <v>GWP - gross</v>
          </cell>
          <cell r="Y29763" t="str">
            <v>ISRAEL</v>
          </cell>
        </row>
        <row r="29764">
          <cell r="L29764" t="str">
            <v>Non-proportional</v>
          </cell>
          <cell r="S29764">
            <v>11462606</v>
          </cell>
          <cell r="X29764" t="str">
            <v>GWP - gross</v>
          </cell>
          <cell r="Y29764" t="str">
            <v>BELGIUM</v>
          </cell>
        </row>
        <row r="29765">
          <cell r="L29765" t="str">
            <v>Non-proportional</v>
          </cell>
          <cell r="S29765">
            <v>16699488</v>
          </cell>
          <cell r="X29765" t="str">
            <v>GWP - gross</v>
          </cell>
          <cell r="Y29765" t="str">
            <v>BELGIUM</v>
          </cell>
        </row>
        <row r="29766">
          <cell r="L29766" t="str">
            <v>Non-proportional</v>
          </cell>
          <cell r="S29766">
            <v>121540</v>
          </cell>
          <cell r="X29766" t="str">
            <v>GWP - gross</v>
          </cell>
          <cell r="Y29766" t="str">
            <v>ITALY</v>
          </cell>
        </row>
        <row r="29767">
          <cell r="L29767" t="str">
            <v>Proportional</v>
          </cell>
          <cell r="S29767">
            <v>-1429430</v>
          </cell>
          <cell r="X29767" t="str">
            <v>GWP - gross</v>
          </cell>
          <cell r="Y29767" t="str">
            <v>THAILAND</v>
          </cell>
        </row>
        <row r="29768">
          <cell r="L29768" t="str">
            <v>Non-proportional</v>
          </cell>
          <cell r="S29768">
            <v>-480000</v>
          </cell>
          <cell r="X29768" t="str">
            <v>GWP - gross</v>
          </cell>
          <cell r="Y29768" t="str">
            <v>PORTUGAL</v>
          </cell>
        </row>
        <row r="29769">
          <cell r="L29769" t="str">
            <v>Non-proportional</v>
          </cell>
          <cell r="S29769">
            <v>-118988.42</v>
          </cell>
          <cell r="X29769" t="str">
            <v>GWP - gross</v>
          </cell>
          <cell r="Y29769" t="str">
            <v>NETHERLANDS</v>
          </cell>
        </row>
        <row r="29770">
          <cell r="L29770" t="str">
            <v>Proportional</v>
          </cell>
          <cell r="S29770">
            <v>-4837.8</v>
          </cell>
          <cell r="X29770" t="str">
            <v>GWP - gross</v>
          </cell>
          <cell r="Y29770" t="str">
            <v>Hong Kong</v>
          </cell>
        </row>
        <row r="29771">
          <cell r="L29771" t="str">
            <v>Non-proportional</v>
          </cell>
          <cell r="S29771">
            <v>45000</v>
          </cell>
          <cell r="X29771" t="str">
            <v>GWP - gross</v>
          </cell>
          <cell r="Y29771" t="str">
            <v>FRANCE</v>
          </cell>
        </row>
        <row r="29772">
          <cell r="L29772" t="str">
            <v>Non-proportional</v>
          </cell>
          <cell r="S29772">
            <v>260000</v>
          </cell>
          <cell r="X29772" t="str">
            <v>GWP - gross</v>
          </cell>
          <cell r="Y29772" t="str">
            <v>FRANCE</v>
          </cell>
        </row>
        <row r="29773">
          <cell r="L29773" t="str">
            <v>Non-proportional</v>
          </cell>
          <cell r="S29773">
            <v>1233.52</v>
          </cell>
          <cell r="X29773" t="str">
            <v>GWP - gross</v>
          </cell>
          <cell r="Y29773" t="str">
            <v>CYPRUS</v>
          </cell>
        </row>
        <row r="29774">
          <cell r="L29774" t="str">
            <v>Non-proportional</v>
          </cell>
          <cell r="S29774">
            <v>-175000.9</v>
          </cell>
          <cell r="X29774" t="str">
            <v>GWP - gross</v>
          </cell>
          <cell r="Y29774" t="str">
            <v>EUROPE</v>
          </cell>
        </row>
        <row r="29775">
          <cell r="L29775" t="str">
            <v>Non-proportional</v>
          </cell>
          <cell r="S29775">
            <v>-48736.39</v>
          </cell>
          <cell r="X29775" t="str">
            <v>GWP - gross</v>
          </cell>
          <cell r="Y29775" t="str">
            <v>FRANCE</v>
          </cell>
        </row>
        <row r="29776">
          <cell r="L29776" t="str">
            <v>Proportional</v>
          </cell>
          <cell r="S29776">
            <v>-2630228.7000000002</v>
          </cell>
          <cell r="X29776" t="str">
            <v>GWP - gross</v>
          </cell>
          <cell r="Y29776" t="str">
            <v>FRANCE</v>
          </cell>
        </row>
        <row r="29777">
          <cell r="L29777" t="str">
            <v>Non-proportional</v>
          </cell>
          <cell r="S29777">
            <v>-2500</v>
          </cell>
          <cell r="X29777" t="str">
            <v>GWP - gross</v>
          </cell>
          <cell r="Y29777" t="str">
            <v>PORTUGAL</v>
          </cell>
        </row>
        <row r="29778">
          <cell r="L29778" t="str">
            <v>Non-proportional</v>
          </cell>
          <cell r="S29778">
            <v>-79095</v>
          </cell>
          <cell r="X29778" t="str">
            <v>GWP - gross</v>
          </cell>
          <cell r="Y29778" t="str">
            <v>ITALY</v>
          </cell>
        </row>
        <row r="29779">
          <cell r="L29779" t="str">
            <v>Non-proportional</v>
          </cell>
          <cell r="S29779">
            <v>-44531.06</v>
          </cell>
          <cell r="X29779" t="str">
            <v>GWP - gross</v>
          </cell>
          <cell r="Y29779" t="str">
            <v>ISRAEL</v>
          </cell>
        </row>
        <row r="29780">
          <cell r="L29780" t="str">
            <v>Non-proportional</v>
          </cell>
          <cell r="S29780">
            <v>-1268680</v>
          </cell>
          <cell r="X29780" t="str">
            <v>GWP - gross</v>
          </cell>
          <cell r="Y29780" t="str">
            <v>FRANCE</v>
          </cell>
        </row>
        <row r="29781">
          <cell r="L29781" t="str">
            <v>Non-proportional</v>
          </cell>
          <cell r="S29781">
            <v>46200</v>
          </cell>
          <cell r="X29781" t="str">
            <v>GWP - gross</v>
          </cell>
          <cell r="Y29781" t="str">
            <v>BELGIUM</v>
          </cell>
        </row>
        <row r="29782">
          <cell r="L29782" t="str">
            <v>Non-proportional</v>
          </cell>
          <cell r="S29782">
            <v>-89250</v>
          </cell>
          <cell r="X29782" t="str">
            <v>GWP - gross</v>
          </cell>
          <cell r="Y29782" t="str">
            <v>ITALY</v>
          </cell>
        </row>
        <row r="29783">
          <cell r="L29783" t="str">
            <v>Non-proportional</v>
          </cell>
          <cell r="S29783">
            <v>-14507.63</v>
          </cell>
          <cell r="X29783" t="str">
            <v>GWP - gross</v>
          </cell>
          <cell r="Y29783" t="str">
            <v>UNITED KINGDOM</v>
          </cell>
        </row>
        <row r="29784">
          <cell r="L29784" t="str">
            <v>Non-proportional</v>
          </cell>
          <cell r="S29784">
            <v>15187.5</v>
          </cell>
          <cell r="X29784" t="str">
            <v>GWP - gross</v>
          </cell>
          <cell r="Y29784" t="str">
            <v>GREECE</v>
          </cell>
        </row>
        <row r="29785">
          <cell r="L29785" t="str">
            <v>Non-proportional</v>
          </cell>
          <cell r="S29785">
            <v>-55055</v>
          </cell>
          <cell r="X29785" t="str">
            <v>GWP - gross</v>
          </cell>
          <cell r="Y29785" t="str">
            <v>UNITED KINGDOM</v>
          </cell>
        </row>
        <row r="29786">
          <cell r="L29786" t="str">
            <v>Non-proportional</v>
          </cell>
          <cell r="S29786">
            <v>-62388.85</v>
          </cell>
          <cell r="X29786" t="str">
            <v>GWP - gross</v>
          </cell>
          <cell r="Y29786" t="str">
            <v>PERU</v>
          </cell>
        </row>
        <row r="29787">
          <cell r="L29787" t="str">
            <v>Non-proportional</v>
          </cell>
          <cell r="S29787">
            <v>-93636.32</v>
          </cell>
          <cell r="X29787" t="str">
            <v>GWP - gross</v>
          </cell>
          <cell r="Y29787" t="str">
            <v>EUROPE</v>
          </cell>
        </row>
        <row r="29788">
          <cell r="L29788" t="str">
            <v>Non-proportional</v>
          </cell>
          <cell r="S29788">
            <v>-76721.490000000005</v>
          </cell>
          <cell r="X29788" t="str">
            <v>GWP - gross</v>
          </cell>
          <cell r="Y29788" t="str">
            <v>NETHERLANDS</v>
          </cell>
        </row>
        <row r="29789">
          <cell r="L29789" t="str">
            <v>Non-proportional</v>
          </cell>
          <cell r="S29789">
            <v>-24107.040000000001</v>
          </cell>
          <cell r="X29789" t="str">
            <v>GWP - gross</v>
          </cell>
          <cell r="Y29789" t="str">
            <v>ISRAEL</v>
          </cell>
        </row>
        <row r="29790">
          <cell r="L29790" t="str">
            <v>Non-proportional</v>
          </cell>
          <cell r="S29790">
            <v>45501.120000000003</v>
          </cell>
          <cell r="X29790" t="str">
            <v>GWP - gross</v>
          </cell>
          <cell r="Y29790" t="str">
            <v>THAILAND</v>
          </cell>
        </row>
        <row r="29791">
          <cell r="L29791" t="str">
            <v>Non-proportional</v>
          </cell>
          <cell r="S29791">
            <v>-93970.5</v>
          </cell>
          <cell r="X29791" t="str">
            <v>GWP - gross</v>
          </cell>
          <cell r="Y29791" t="str">
            <v>UNITED KINGDOM</v>
          </cell>
        </row>
        <row r="29792">
          <cell r="L29792" t="str">
            <v>Proportional</v>
          </cell>
          <cell r="S29792">
            <v>-769065.68</v>
          </cell>
          <cell r="X29792" t="str">
            <v>GWP - gross</v>
          </cell>
          <cell r="Y29792" t="str">
            <v>CANADA</v>
          </cell>
        </row>
        <row r="29793">
          <cell r="L29793" t="str">
            <v>Non-proportional</v>
          </cell>
          <cell r="S29793">
            <v>-14563.69</v>
          </cell>
          <cell r="X29793" t="str">
            <v>GWP - gross</v>
          </cell>
          <cell r="Y29793" t="str">
            <v>COSTA RICA</v>
          </cell>
        </row>
        <row r="29794">
          <cell r="L29794" t="str">
            <v>Non-proportional</v>
          </cell>
          <cell r="S29794">
            <v>9112.5</v>
          </cell>
          <cell r="X29794" t="str">
            <v>GWP - gross</v>
          </cell>
          <cell r="Y29794" t="str">
            <v>GREECE</v>
          </cell>
        </row>
        <row r="29795">
          <cell r="L29795" t="str">
            <v>Non-proportional</v>
          </cell>
          <cell r="S29795">
            <v>21982.2</v>
          </cell>
          <cell r="X29795" t="str">
            <v>GWP - gross</v>
          </cell>
          <cell r="Y29795" t="str">
            <v>CYPRUS</v>
          </cell>
        </row>
        <row r="29796">
          <cell r="L29796" t="str">
            <v>Non-proportional</v>
          </cell>
          <cell r="S29796">
            <v>-440640</v>
          </cell>
          <cell r="X29796" t="str">
            <v>GWP - gross</v>
          </cell>
          <cell r="Y29796" t="str">
            <v>TURKEY</v>
          </cell>
        </row>
        <row r="29797">
          <cell r="L29797" t="str">
            <v>Non-proportional</v>
          </cell>
          <cell r="S29797">
            <v>-107090</v>
          </cell>
          <cell r="X29797" t="str">
            <v>GWP - gross</v>
          </cell>
          <cell r="Y29797" t="str">
            <v>NETHERLANDS</v>
          </cell>
        </row>
        <row r="29798">
          <cell r="L29798" t="str">
            <v>Non-proportional</v>
          </cell>
          <cell r="S29798">
            <v>105000</v>
          </cell>
          <cell r="X29798" t="str">
            <v>GWP - gross</v>
          </cell>
          <cell r="Y29798" t="str">
            <v>FRANCE</v>
          </cell>
        </row>
        <row r="29799">
          <cell r="L29799" t="str">
            <v>Non-proportional</v>
          </cell>
          <cell r="S29799">
            <v>-125883.32</v>
          </cell>
          <cell r="X29799" t="str">
            <v>GWP - gross</v>
          </cell>
          <cell r="Y29799" t="str">
            <v>COLOMBIA</v>
          </cell>
        </row>
        <row r="29800">
          <cell r="L29800" t="str">
            <v>Non-proportional</v>
          </cell>
          <cell r="S29800">
            <v>-28188</v>
          </cell>
          <cell r="X29800" t="str">
            <v>GWP - gross</v>
          </cell>
          <cell r="Y29800" t="str">
            <v>GREECE</v>
          </cell>
        </row>
        <row r="29801">
          <cell r="L29801" t="str">
            <v>Non-proportional</v>
          </cell>
          <cell r="S29801">
            <v>-39375</v>
          </cell>
          <cell r="X29801" t="str">
            <v>GWP - gross</v>
          </cell>
          <cell r="Y29801" t="str">
            <v>ITALY</v>
          </cell>
        </row>
        <row r="29802">
          <cell r="L29802" t="str">
            <v>Non-proportional</v>
          </cell>
          <cell r="S29802">
            <v>-25321.68</v>
          </cell>
          <cell r="X29802" t="str">
            <v>GWP - gross</v>
          </cell>
          <cell r="Y29802" t="str">
            <v>FRANCE</v>
          </cell>
        </row>
        <row r="29803">
          <cell r="L29803" t="str">
            <v>Non-proportional</v>
          </cell>
          <cell r="S29803">
            <v>-8736.44</v>
          </cell>
          <cell r="X29803" t="str">
            <v>GWP - gross</v>
          </cell>
          <cell r="Y29803" t="str">
            <v>ISRAEL</v>
          </cell>
        </row>
        <row r="29804">
          <cell r="L29804" t="str">
            <v>Non-proportional</v>
          </cell>
          <cell r="S29804">
            <v>-61500</v>
          </cell>
          <cell r="X29804" t="str">
            <v>GWP - gross</v>
          </cell>
          <cell r="Y29804" t="str">
            <v>ITALY</v>
          </cell>
        </row>
        <row r="29805">
          <cell r="L29805" t="str">
            <v>Non-proportional</v>
          </cell>
          <cell r="S29805">
            <v>-22297.71</v>
          </cell>
          <cell r="X29805" t="str">
            <v>GWP - gross</v>
          </cell>
          <cell r="Y29805" t="str">
            <v>UNITED KINGDOM</v>
          </cell>
        </row>
        <row r="29806">
          <cell r="L29806" t="str">
            <v>Non-proportional</v>
          </cell>
          <cell r="S29806">
            <v>-17383.53</v>
          </cell>
          <cell r="X29806" t="str">
            <v>GWP - gross</v>
          </cell>
          <cell r="Y29806" t="str">
            <v>UNITED ARAB EMIRATES</v>
          </cell>
        </row>
        <row r="29807">
          <cell r="L29807" t="str">
            <v>Non-proportional</v>
          </cell>
          <cell r="S29807">
            <v>-119830.42</v>
          </cell>
          <cell r="X29807" t="str">
            <v>GWP - gross</v>
          </cell>
          <cell r="Y29807" t="str">
            <v>FRANCE</v>
          </cell>
        </row>
        <row r="29808">
          <cell r="L29808" t="str">
            <v>Non-proportional</v>
          </cell>
          <cell r="S29808">
            <v>-19358230.66</v>
          </cell>
          <cell r="X29808" t="str">
            <v>GWP - gross</v>
          </cell>
          <cell r="Y29808" t="str">
            <v>UNITED KINGDOM</v>
          </cell>
        </row>
        <row r="29809">
          <cell r="L29809" t="str">
            <v>Non-proportional</v>
          </cell>
          <cell r="S29809">
            <v>-117993.37</v>
          </cell>
          <cell r="X29809" t="str">
            <v>GWP - gross</v>
          </cell>
          <cell r="Y29809" t="str">
            <v>FRANCE</v>
          </cell>
        </row>
        <row r="29810">
          <cell r="L29810" t="str">
            <v>Non-proportional</v>
          </cell>
          <cell r="S29810">
            <v>-2311223.5</v>
          </cell>
          <cell r="X29810" t="str">
            <v>GWP - gross</v>
          </cell>
          <cell r="Y29810" t="str">
            <v>PORTUGAL</v>
          </cell>
        </row>
        <row r="29811">
          <cell r="L29811" t="str">
            <v>Proportional</v>
          </cell>
          <cell r="S29811">
            <v>-250150.25</v>
          </cell>
          <cell r="X29811" t="str">
            <v>GWP - gross</v>
          </cell>
          <cell r="Y29811" t="str">
            <v>THAILAND</v>
          </cell>
        </row>
        <row r="29812">
          <cell r="L29812" t="str">
            <v>Non-proportional</v>
          </cell>
          <cell r="S29812">
            <v>71529.919999999998</v>
          </cell>
          <cell r="X29812" t="str">
            <v>GWP - gross</v>
          </cell>
          <cell r="Y29812" t="str">
            <v>CYPRUS</v>
          </cell>
        </row>
        <row r="29813">
          <cell r="L29813" t="str">
            <v>Non-proportional</v>
          </cell>
          <cell r="S29813">
            <v>-66062.080000000002</v>
          </cell>
          <cell r="X29813" t="str">
            <v>GWP - gross</v>
          </cell>
          <cell r="Y29813" t="str">
            <v>ISRAEL</v>
          </cell>
        </row>
        <row r="29814">
          <cell r="L29814" t="str">
            <v>Non-proportional</v>
          </cell>
          <cell r="S29814">
            <v>-15645.38</v>
          </cell>
          <cell r="X29814" t="str">
            <v>GWP - gross</v>
          </cell>
          <cell r="Y29814" t="str">
            <v>CYPRUS</v>
          </cell>
        </row>
        <row r="29815">
          <cell r="L29815" t="str">
            <v>Non-proportional</v>
          </cell>
          <cell r="S29815">
            <v>517997.2</v>
          </cell>
          <cell r="X29815" t="str">
            <v>GWP - gross</v>
          </cell>
          <cell r="Y29815" t="str">
            <v>EUROPE</v>
          </cell>
        </row>
        <row r="29816">
          <cell r="L29816" t="str">
            <v>Non-proportional</v>
          </cell>
          <cell r="S29816">
            <v>-16070.28</v>
          </cell>
          <cell r="X29816" t="str">
            <v>GWP - gross</v>
          </cell>
          <cell r="Y29816" t="str">
            <v>COSTA RICA</v>
          </cell>
        </row>
        <row r="29817">
          <cell r="L29817" t="str">
            <v>Non-proportional</v>
          </cell>
          <cell r="S29817">
            <v>5872.5</v>
          </cell>
          <cell r="X29817" t="str">
            <v>GWP - gross</v>
          </cell>
          <cell r="Y29817" t="str">
            <v>GREECE</v>
          </cell>
        </row>
        <row r="29818">
          <cell r="L29818" t="str">
            <v>Non-proportional</v>
          </cell>
          <cell r="S29818">
            <v>-171973.93</v>
          </cell>
          <cell r="X29818" t="str">
            <v>GWP - gross</v>
          </cell>
          <cell r="Y29818" t="str">
            <v>FRANCE</v>
          </cell>
        </row>
        <row r="29819">
          <cell r="L29819" t="str">
            <v>Non-proportional</v>
          </cell>
          <cell r="S29819">
            <v>-7646707.2599999998</v>
          </cell>
          <cell r="X29819" t="str">
            <v>GWP - gross</v>
          </cell>
          <cell r="Y29819" t="str">
            <v>BELGIUM</v>
          </cell>
        </row>
        <row r="29820">
          <cell r="L29820" t="str">
            <v>Non-proportional</v>
          </cell>
          <cell r="S29820">
            <v>-110140.53</v>
          </cell>
          <cell r="X29820" t="str">
            <v>GWP - gross</v>
          </cell>
          <cell r="Y29820" t="str">
            <v>FRANCE</v>
          </cell>
        </row>
        <row r="29821">
          <cell r="L29821" t="str">
            <v>Non-proportional</v>
          </cell>
          <cell r="S29821">
            <v>-120000</v>
          </cell>
          <cell r="X29821" t="str">
            <v>GWP - gross</v>
          </cell>
          <cell r="Y29821" t="str">
            <v>ITALY</v>
          </cell>
        </row>
        <row r="29822">
          <cell r="L29822" t="str">
            <v>Non-proportional</v>
          </cell>
          <cell r="S29822">
            <v>53227</v>
          </cell>
          <cell r="X29822" t="str">
            <v>GWP - gross</v>
          </cell>
          <cell r="Y29822" t="str">
            <v>UNITED KINGDOM</v>
          </cell>
        </row>
        <row r="29823">
          <cell r="L29823" t="str">
            <v>Non-proportional</v>
          </cell>
          <cell r="S29823">
            <v>-2184260</v>
          </cell>
          <cell r="X29823" t="str">
            <v>GWP - gross</v>
          </cell>
          <cell r="Y29823" t="str">
            <v>PORTUGAL</v>
          </cell>
        </row>
        <row r="29824">
          <cell r="L29824" t="str">
            <v>Non-proportional</v>
          </cell>
          <cell r="S29824">
            <v>-17769.599999999999</v>
          </cell>
          <cell r="X29824" t="str">
            <v>GWP - gross</v>
          </cell>
          <cell r="Y29824" t="str">
            <v>FRANCE</v>
          </cell>
        </row>
        <row r="29825">
          <cell r="L29825" t="str">
            <v>Proportional</v>
          </cell>
          <cell r="S29825">
            <v>-1519.04</v>
          </cell>
          <cell r="X29825" t="str">
            <v>GWP - gross</v>
          </cell>
          <cell r="Y29825" t="str">
            <v>UNITED STATES</v>
          </cell>
        </row>
        <row r="29826">
          <cell r="L29826" t="str">
            <v>Non-proportional</v>
          </cell>
          <cell r="S29826">
            <v>15463.42</v>
          </cell>
          <cell r="X29826" t="str">
            <v>GWP - gross</v>
          </cell>
          <cell r="Y29826" t="str">
            <v>ISRAEL</v>
          </cell>
        </row>
        <row r="29827">
          <cell r="L29827" t="str">
            <v>Non-proportional</v>
          </cell>
          <cell r="S29827">
            <v>-83494</v>
          </cell>
          <cell r="X29827" t="str">
            <v>GWP - gross</v>
          </cell>
          <cell r="Y29827" t="str">
            <v>ITALY</v>
          </cell>
        </row>
        <row r="29828">
          <cell r="L29828" t="str">
            <v>Non-proportional</v>
          </cell>
          <cell r="S29828">
            <v>40700.160000000003</v>
          </cell>
          <cell r="X29828" t="str">
            <v>GWP - gross</v>
          </cell>
          <cell r="Y29828" t="str">
            <v>ISRAEL</v>
          </cell>
        </row>
        <row r="29829">
          <cell r="L29829" t="str">
            <v>Non-proportional</v>
          </cell>
          <cell r="S29829">
            <v>-60713.7</v>
          </cell>
          <cell r="X29829" t="str">
            <v>GWP - gross</v>
          </cell>
          <cell r="Y29829" t="str">
            <v>CHILE</v>
          </cell>
        </row>
        <row r="29830">
          <cell r="L29830" t="str">
            <v>Non-proportional</v>
          </cell>
          <cell r="S29830">
            <v>-16328.5</v>
          </cell>
          <cell r="X29830" t="str">
            <v>GWP - gross</v>
          </cell>
          <cell r="Y29830" t="str">
            <v>ISRAEL</v>
          </cell>
        </row>
        <row r="29831">
          <cell r="L29831" t="str">
            <v>Non-proportional</v>
          </cell>
          <cell r="S29831">
            <v>46747.72</v>
          </cell>
          <cell r="X29831" t="str">
            <v>GWP - gross</v>
          </cell>
          <cell r="Y29831" t="str">
            <v>THAILAND</v>
          </cell>
        </row>
        <row r="29832">
          <cell r="L29832" t="str">
            <v>Non-proportional</v>
          </cell>
          <cell r="S29832">
            <v>6882037</v>
          </cell>
          <cell r="X29832" t="str">
            <v>GWP - gross</v>
          </cell>
          <cell r="Y29832" t="str">
            <v>BELGIUM</v>
          </cell>
        </row>
        <row r="29833">
          <cell r="L29833" t="str">
            <v>Non-proportional</v>
          </cell>
          <cell r="S29833">
            <v>-299999.49</v>
          </cell>
          <cell r="X29833" t="str">
            <v>GWP - gross</v>
          </cell>
          <cell r="Y29833" t="str">
            <v>FRANCE</v>
          </cell>
        </row>
        <row r="29834">
          <cell r="L29834" t="str">
            <v>Non-proportional</v>
          </cell>
          <cell r="S29834">
            <v>28188</v>
          </cell>
          <cell r="X29834" t="str">
            <v>GWP - gross</v>
          </cell>
          <cell r="Y29834" t="str">
            <v>GREECE</v>
          </cell>
        </row>
        <row r="29835">
          <cell r="L29835" t="str">
            <v>Non-proportional</v>
          </cell>
          <cell r="S29835">
            <v>-29999.87</v>
          </cell>
          <cell r="X29835" t="str">
            <v>GWP - gross</v>
          </cell>
          <cell r="Y29835" t="str">
            <v>ISRAEL</v>
          </cell>
        </row>
        <row r="29836">
          <cell r="L29836" t="str">
            <v>Non-proportional</v>
          </cell>
          <cell r="S29836">
            <v>14249.94</v>
          </cell>
          <cell r="X29836" t="str">
            <v>GWP - gross</v>
          </cell>
          <cell r="Y29836" t="str">
            <v>ISRAEL</v>
          </cell>
        </row>
        <row r="29837">
          <cell r="L29837" t="str">
            <v>Non-proportional</v>
          </cell>
          <cell r="S29837">
            <v>-22162.18</v>
          </cell>
          <cell r="X29837" t="str">
            <v>GWP - gross</v>
          </cell>
          <cell r="Y29837" t="str">
            <v>FRANCE</v>
          </cell>
        </row>
        <row r="29838">
          <cell r="L29838" t="str">
            <v>Non-proportional</v>
          </cell>
          <cell r="S29838">
            <v>-36440</v>
          </cell>
          <cell r="X29838" t="str">
            <v>GWP - gross</v>
          </cell>
          <cell r="Y29838" t="str">
            <v>ITALY</v>
          </cell>
        </row>
        <row r="29839">
          <cell r="L29839" t="str">
            <v>Non-proportional</v>
          </cell>
          <cell r="S29839">
            <v>35250</v>
          </cell>
          <cell r="X29839" t="str">
            <v>GWP - gross</v>
          </cell>
          <cell r="Y29839" t="str">
            <v>FRANCE</v>
          </cell>
        </row>
        <row r="29840">
          <cell r="L29840" t="str">
            <v>Non-proportional</v>
          </cell>
          <cell r="S29840">
            <v>-17869.990000000002</v>
          </cell>
          <cell r="X29840" t="str">
            <v>GWP - gross</v>
          </cell>
          <cell r="Y29840" t="str">
            <v>ISRAEL</v>
          </cell>
        </row>
        <row r="29841">
          <cell r="L29841" t="str">
            <v>Non-proportional</v>
          </cell>
          <cell r="S29841">
            <v>-9600</v>
          </cell>
          <cell r="X29841" t="str">
            <v>GWP - gross</v>
          </cell>
          <cell r="Y29841" t="str">
            <v>ITALY</v>
          </cell>
        </row>
        <row r="29842">
          <cell r="L29842" t="str">
            <v>Non-proportional</v>
          </cell>
          <cell r="S29842">
            <v>-20615.990000000002</v>
          </cell>
          <cell r="X29842" t="str">
            <v>GWP - gross</v>
          </cell>
          <cell r="Y29842" t="str">
            <v>FRANCE</v>
          </cell>
        </row>
        <row r="29843">
          <cell r="L29843" t="str">
            <v>Non-proportional</v>
          </cell>
          <cell r="S29843">
            <v>-346182.99</v>
          </cell>
          <cell r="X29843" t="str">
            <v>GWP - gross</v>
          </cell>
          <cell r="Y29843" t="str">
            <v>FRANCE</v>
          </cell>
        </row>
        <row r="29844">
          <cell r="L29844" t="str">
            <v>Non-proportional</v>
          </cell>
          <cell r="S29844">
            <v>-14456627.380000001</v>
          </cell>
          <cell r="X29844" t="str">
            <v>GWP - gross</v>
          </cell>
          <cell r="Y29844" t="str">
            <v>UNITED KINGDOM</v>
          </cell>
        </row>
        <row r="29845">
          <cell r="L29845" t="str">
            <v>Non-proportional</v>
          </cell>
          <cell r="S29845">
            <v>-11700</v>
          </cell>
          <cell r="X29845" t="str">
            <v>GWP - gross</v>
          </cell>
          <cell r="Y29845" t="str">
            <v>GREECE</v>
          </cell>
        </row>
        <row r="29846">
          <cell r="L29846" t="str">
            <v>Non-proportional</v>
          </cell>
          <cell r="S29846">
            <v>1783692.99</v>
          </cell>
          <cell r="X29846" t="str">
            <v>GWP - gross</v>
          </cell>
          <cell r="Y29846" t="str">
            <v>BELGIUM</v>
          </cell>
        </row>
        <row r="29847">
          <cell r="L29847" t="str">
            <v>Non-proportional</v>
          </cell>
          <cell r="S29847">
            <v>134212.89000000001</v>
          </cell>
          <cell r="X29847" t="str">
            <v>GWP - gross</v>
          </cell>
          <cell r="Y29847" t="str">
            <v>EUROPE</v>
          </cell>
        </row>
        <row r="29848">
          <cell r="L29848" t="str">
            <v>Non-proportional</v>
          </cell>
          <cell r="S29848">
            <v>12824.95</v>
          </cell>
          <cell r="X29848" t="str">
            <v>GWP - gross</v>
          </cell>
          <cell r="Y29848" t="str">
            <v>ISRAEL</v>
          </cell>
        </row>
        <row r="29849">
          <cell r="L29849" t="str">
            <v>Non-proportional</v>
          </cell>
          <cell r="S29849">
            <v>-974160</v>
          </cell>
          <cell r="X29849" t="str">
            <v>GWP - gross</v>
          </cell>
          <cell r="Y29849" t="str">
            <v>EUROPE</v>
          </cell>
        </row>
        <row r="29850">
          <cell r="L29850" t="str">
            <v>Non-proportional</v>
          </cell>
          <cell r="S29850">
            <v>-14356.69</v>
          </cell>
          <cell r="X29850" t="str">
            <v>GWP - gross</v>
          </cell>
          <cell r="Y29850" t="str">
            <v>CHILE</v>
          </cell>
        </row>
        <row r="29851">
          <cell r="L29851" t="str">
            <v>Non-proportional</v>
          </cell>
          <cell r="S29851">
            <v>-549101.69999999995</v>
          </cell>
          <cell r="X29851" t="str">
            <v>GWP - gross</v>
          </cell>
          <cell r="Y29851" t="str">
            <v>TURKEY</v>
          </cell>
        </row>
        <row r="29852">
          <cell r="L29852" t="str">
            <v>Non-proportional</v>
          </cell>
          <cell r="S29852">
            <v>-63415.25</v>
          </cell>
          <cell r="X29852" t="str">
            <v>GWP - gross</v>
          </cell>
          <cell r="Y29852" t="str">
            <v>ISRAEL</v>
          </cell>
        </row>
        <row r="29853">
          <cell r="L29853" t="str">
            <v>Non-proportional</v>
          </cell>
          <cell r="S29853">
            <v>-4839557.7</v>
          </cell>
          <cell r="X29853" t="str">
            <v>GWP - gross</v>
          </cell>
          <cell r="Y29853" t="str">
            <v>UNITED KINGDOM</v>
          </cell>
        </row>
        <row r="29854">
          <cell r="L29854" t="str">
            <v>Proportional</v>
          </cell>
          <cell r="S29854">
            <v>-6924768.75</v>
          </cell>
          <cell r="X29854" t="str">
            <v>GWP - gross</v>
          </cell>
          <cell r="Y29854" t="str">
            <v>HONG KONG</v>
          </cell>
        </row>
        <row r="29855">
          <cell r="L29855" t="str">
            <v>Non-proportional</v>
          </cell>
          <cell r="S29855">
            <v>-79477.679999999993</v>
          </cell>
          <cell r="X29855" t="str">
            <v>GWP - gross</v>
          </cell>
          <cell r="Y29855" t="str">
            <v>CYPRUS</v>
          </cell>
        </row>
        <row r="29856">
          <cell r="L29856" t="str">
            <v>Non-proportional</v>
          </cell>
          <cell r="S29856">
            <v>-37522.19</v>
          </cell>
          <cell r="X29856" t="str">
            <v>GWP - gross</v>
          </cell>
          <cell r="Y29856" t="str">
            <v>FRANCE</v>
          </cell>
        </row>
        <row r="29857">
          <cell r="L29857" t="str">
            <v>Non-proportional</v>
          </cell>
          <cell r="S29857">
            <v>109854</v>
          </cell>
          <cell r="X29857" t="str">
            <v>GWP - gross</v>
          </cell>
          <cell r="Y29857" t="str">
            <v>EUROPE</v>
          </cell>
        </row>
        <row r="29858">
          <cell r="L29858" t="str">
            <v>Proportional</v>
          </cell>
          <cell r="S29858">
            <v>-3138305.55</v>
          </cell>
          <cell r="X29858" t="str">
            <v>GWP - gross</v>
          </cell>
          <cell r="Y29858" t="str">
            <v>CANADA</v>
          </cell>
        </row>
        <row r="29859">
          <cell r="L29859" t="str">
            <v>Non-proportional</v>
          </cell>
          <cell r="S29859">
            <v>-86910</v>
          </cell>
          <cell r="X29859" t="str">
            <v>GWP - gross</v>
          </cell>
          <cell r="Y29859" t="str">
            <v>ITALY</v>
          </cell>
        </row>
        <row r="29860">
          <cell r="L29860" t="str">
            <v>Non-proportional</v>
          </cell>
          <cell r="S29860">
            <v>-2500</v>
          </cell>
          <cell r="X29860" t="str">
            <v>GWP - gross</v>
          </cell>
          <cell r="Y29860" t="str">
            <v>PORTUGAL</v>
          </cell>
        </row>
        <row r="29861">
          <cell r="L29861" t="str">
            <v>Non-proportional</v>
          </cell>
          <cell r="S29861">
            <v>348010.01</v>
          </cell>
          <cell r="X29861" t="str">
            <v>GWP - gross</v>
          </cell>
          <cell r="Y29861" t="str">
            <v>TURKEY</v>
          </cell>
        </row>
        <row r="29862">
          <cell r="L29862" t="str">
            <v>Non-proportional</v>
          </cell>
          <cell r="S29862">
            <v>7848.4</v>
          </cell>
          <cell r="X29862" t="str">
            <v>GWP - gross</v>
          </cell>
          <cell r="Y29862" t="str">
            <v>MEXICO</v>
          </cell>
        </row>
        <row r="29863">
          <cell r="L29863" t="str">
            <v>Non-proportional</v>
          </cell>
          <cell r="S29863">
            <v>-20410.63</v>
          </cell>
          <cell r="X29863" t="str">
            <v>GWP - gross</v>
          </cell>
          <cell r="Y29863" t="str">
            <v>ISRAEL</v>
          </cell>
        </row>
        <row r="29864">
          <cell r="L29864" t="str">
            <v>Non-proportional</v>
          </cell>
          <cell r="S29864">
            <v>-50230.9</v>
          </cell>
          <cell r="X29864" t="str">
            <v>GWP - gross</v>
          </cell>
          <cell r="Y29864" t="str">
            <v>FRANCE</v>
          </cell>
        </row>
        <row r="29865">
          <cell r="L29865" t="str">
            <v>Non-proportional</v>
          </cell>
          <cell r="S29865">
            <v>-87804.4</v>
          </cell>
          <cell r="X29865" t="str">
            <v>GWP - gross</v>
          </cell>
          <cell r="Y29865" t="str">
            <v>UNITED KINGDOM</v>
          </cell>
        </row>
        <row r="29866">
          <cell r="L29866" t="str">
            <v>Non-proportional</v>
          </cell>
          <cell r="S29866">
            <v>4963648.88</v>
          </cell>
          <cell r="X29866" t="str">
            <v>GWP - gross</v>
          </cell>
          <cell r="Y29866" t="str">
            <v>UNITED KINGDOM</v>
          </cell>
        </row>
        <row r="29867">
          <cell r="L29867" t="str">
            <v>Proportional</v>
          </cell>
          <cell r="S29867">
            <v>-210.87</v>
          </cell>
          <cell r="X29867" t="str">
            <v>GWP - gross</v>
          </cell>
          <cell r="Y29867" t="str">
            <v>HONG KONG</v>
          </cell>
        </row>
        <row r="29868">
          <cell r="L29868" t="str">
            <v>Non-proportional</v>
          </cell>
          <cell r="S29868">
            <v>85293</v>
          </cell>
          <cell r="X29868" t="str">
            <v>GWP - gross</v>
          </cell>
          <cell r="Y29868" t="str">
            <v>ITALY</v>
          </cell>
        </row>
        <row r="29869">
          <cell r="L29869" t="str">
            <v>Non-proportional</v>
          </cell>
          <cell r="S29869">
            <v>87804.4</v>
          </cell>
          <cell r="X29869" t="str">
            <v>GWP - gross</v>
          </cell>
          <cell r="Y29869" t="str">
            <v>UNITED KINGDOM</v>
          </cell>
        </row>
        <row r="29870">
          <cell r="L29870" t="str">
            <v>Non-proportional</v>
          </cell>
          <cell r="S29870">
            <v>-36159.589999999997</v>
          </cell>
          <cell r="X29870" t="str">
            <v>GWP - gross</v>
          </cell>
          <cell r="Y29870" t="str">
            <v>ISRAEL</v>
          </cell>
        </row>
        <row r="29871">
          <cell r="L29871" t="str">
            <v>Non-proportional</v>
          </cell>
          <cell r="S29871">
            <v>-83558.429999999993</v>
          </cell>
          <cell r="X29871" t="str">
            <v>GWP - gross</v>
          </cell>
          <cell r="Y29871" t="str">
            <v>FRANCE</v>
          </cell>
        </row>
        <row r="29872">
          <cell r="L29872" t="str">
            <v>Non-proportional</v>
          </cell>
          <cell r="S29872">
            <v>-63084.81</v>
          </cell>
          <cell r="X29872" t="str">
            <v>GWP - gross</v>
          </cell>
          <cell r="Y29872" t="str">
            <v>UNITED KINGDOM</v>
          </cell>
        </row>
        <row r="29873">
          <cell r="L29873" t="str">
            <v>Non-proportional</v>
          </cell>
          <cell r="S29873">
            <v>-1557880</v>
          </cell>
          <cell r="X29873" t="str">
            <v>GWP - gross</v>
          </cell>
          <cell r="Y29873" t="str">
            <v>PORTUGAL</v>
          </cell>
        </row>
        <row r="29874">
          <cell r="L29874" t="str">
            <v>Non-proportional</v>
          </cell>
          <cell r="S29874">
            <v>-50989.54</v>
          </cell>
          <cell r="X29874" t="str">
            <v>GWP - gross</v>
          </cell>
          <cell r="Y29874" t="str">
            <v>ECUADOR</v>
          </cell>
        </row>
        <row r="29875">
          <cell r="L29875" t="str">
            <v>Non-proportional</v>
          </cell>
          <cell r="S29875">
            <v>-384000.25</v>
          </cell>
          <cell r="X29875" t="str">
            <v>GWP - gross</v>
          </cell>
          <cell r="Y29875" t="str">
            <v>TURKEY</v>
          </cell>
        </row>
        <row r="29876">
          <cell r="L29876" t="str">
            <v>Non-proportional</v>
          </cell>
          <cell r="S29876">
            <v>-18817.63</v>
          </cell>
          <cell r="X29876" t="str">
            <v>GWP - gross</v>
          </cell>
          <cell r="Y29876" t="str">
            <v>UNITED KINGDOM</v>
          </cell>
        </row>
        <row r="29877">
          <cell r="L29877" t="str">
            <v>Non-proportional</v>
          </cell>
          <cell r="S29877">
            <v>12660.84</v>
          </cell>
          <cell r="X29877" t="str">
            <v>GWP - gross</v>
          </cell>
          <cell r="Y29877" t="str">
            <v>FRANCE</v>
          </cell>
        </row>
        <row r="29878">
          <cell r="L29878" t="str">
            <v>Non-proportional</v>
          </cell>
          <cell r="S29878">
            <v>-57015.17</v>
          </cell>
          <cell r="X29878" t="str">
            <v>GWP - gross</v>
          </cell>
          <cell r="Y29878" t="str">
            <v>FRANCE</v>
          </cell>
        </row>
        <row r="29879">
          <cell r="L29879" t="str">
            <v>Non-proportional</v>
          </cell>
          <cell r="S29879">
            <v>24500</v>
          </cell>
          <cell r="X29879" t="str">
            <v>GWP - gross</v>
          </cell>
          <cell r="Y29879" t="str">
            <v>ITALY</v>
          </cell>
        </row>
        <row r="29880">
          <cell r="L29880" t="str">
            <v>Non-proportional</v>
          </cell>
          <cell r="S29880">
            <v>69050</v>
          </cell>
          <cell r="X29880" t="str">
            <v>GWP - gross</v>
          </cell>
          <cell r="Y29880" t="str">
            <v>NETHERLANDS</v>
          </cell>
        </row>
        <row r="29881">
          <cell r="L29881" t="str">
            <v>Proportional</v>
          </cell>
          <cell r="S29881">
            <v>-8354864.8300000001</v>
          </cell>
          <cell r="X29881" t="str">
            <v>GWP - gross</v>
          </cell>
          <cell r="Y29881" t="str">
            <v>UNITED STATES</v>
          </cell>
        </row>
        <row r="29882">
          <cell r="L29882" t="str">
            <v>Non-proportional</v>
          </cell>
          <cell r="S29882">
            <v>107757</v>
          </cell>
          <cell r="X29882" t="str">
            <v>GWP - gross</v>
          </cell>
          <cell r="Y29882" t="str">
            <v>ITALY</v>
          </cell>
        </row>
        <row r="29883">
          <cell r="L29883" t="str">
            <v>Non-proportional</v>
          </cell>
          <cell r="S29883">
            <v>-68402.31</v>
          </cell>
          <cell r="X29883" t="str">
            <v>GWP - gross</v>
          </cell>
          <cell r="Y29883" t="str">
            <v>ITALY</v>
          </cell>
        </row>
        <row r="29884">
          <cell r="L29884" t="str">
            <v>Non-proportional</v>
          </cell>
          <cell r="S29884">
            <v>-48937.5</v>
          </cell>
          <cell r="X29884" t="str">
            <v>GWP - gross</v>
          </cell>
          <cell r="Y29884" t="str">
            <v>GREECE</v>
          </cell>
        </row>
        <row r="29885">
          <cell r="L29885" t="str">
            <v>Non-proportional</v>
          </cell>
          <cell r="S29885">
            <v>-173807.31</v>
          </cell>
          <cell r="X29885" t="str">
            <v>GWP - gross</v>
          </cell>
          <cell r="Y29885" t="str">
            <v>FRANCE</v>
          </cell>
        </row>
        <row r="29886">
          <cell r="L29886" t="str">
            <v>Non-proportional</v>
          </cell>
          <cell r="S29886">
            <v>-16991.18</v>
          </cell>
          <cell r="X29886" t="str">
            <v>GWP - gross</v>
          </cell>
          <cell r="Y29886" t="str">
            <v>FRANCE</v>
          </cell>
        </row>
        <row r="29887">
          <cell r="L29887" t="str">
            <v>Non-proportional</v>
          </cell>
          <cell r="S29887">
            <v>40800</v>
          </cell>
          <cell r="X29887" t="str">
            <v>GWP - gross</v>
          </cell>
          <cell r="Y29887" t="str">
            <v>ITALY</v>
          </cell>
        </row>
        <row r="29888">
          <cell r="L29888" t="str">
            <v>Non-proportional</v>
          </cell>
          <cell r="S29888">
            <v>22072.5</v>
          </cell>
          <cell r="X29888" t="str">
            <v>GWP - gross</v>
          </cell>
          <cell r="Y29888" t="str">
            <v>GREECE</v>
          </cell>
        </row>
        <row r="29889">
          <cell r="L29889" t="str">
            <v>Non-proportional</v>
          </cell>
          <cell r="S29889">
            <v>-9360</v>
          </cell>
          <cell r="X29889" t="str">
            <v>GWP - gross</v>
          </cell>
          <cell r="Y29889" t="str">
            <v>GREECE</v>
          </cell>
        </row>
        <row r="29890">
          <cell r="L29890" t="str">
            <v>Non-proportional</v>
          </cell>
          <cell r="S29890">
            <v>-60000</v>
          </cell>
          <cell r="X29890" t="str">
            <v>GWP - gross</v>
          </cell>
          <cell r="Y29890" t="str">
            <v>FRANCE</v>
          </cell>
        </row>
        <row r="29891">
          <cell r="L29891" t="str">
            <v>Non-proportional</v>
          </cell>
          <cell r="S29891">
            <v>14667565.23</v>
          </cell>
          <cell r="X29891" t="str">
            <v>GWP - gross</v>
          </cell>
          <cell r="Y29891" t="str">
            <v>UNITED KINGDOM</v>
          </cell>
        </row>
        <row r="29892">
          <cell r="L29892" t="str">
            <v>Non-proportional</v>
          </cell>
          <cell r="S29892">
            <v>-79017.52</v>
          </cell>
          <cell r="X29892" t="str">
            <v>GWP - gross</v>
          </cell>
          <cell r="Y29892" t="str">
            <v>ISRAEL</v>
          </cell>
        </row>
        <row r="29893">
          <cell r="L29893" t="str">
            <v>Non-proportional</v>
          </cell>
          <cell r="S29893">
            <v>32319.41</v>
          </cell>
          <cell r="X29893" t="str">
            <v>GWP - gross</v>
          </cell>
          <cell r="Y29893" t="str">
            <v>THAILAND</v>
          </cell>
        </row>
        <row r="29894">
          <cell r="L29894" t="str">
            <v>Non-proportional</v>
          </cell>
          <cell r="S29894">
            <v>-51002.22</v>
          </cell>
          <cell r="X29894" t="str">
            <v>GWP - gross</v>
          </cell>
          <cell r="Y29894" t="str">
            <v>ITALY</v>
          </cell>
        </row>
        <row r="29895">
          <cell r="L29895" t="str">
            <v>Non-proportional</v>
          </cell>
          <cell r="S29895">
            <v>-31320</v>
          </cell>
          <cell r="X29895" t="str">
            <v>GWP - gross</v>
          </cell>
          <cell r="Y29895" t="str">
            <v>GREECE</v>
          </cell>
        </row>
        <row r="29896">
          <cell r="L29896" t="str">
            <v>Non-proportional</v>
          </cell>
          <cell r="S29896">
            <v>-196933.24</v>
          </cell>
          <cell r="X29896" t="str">
            <v>GWP - gross</v>
          </cell>
          <cell r="Y29896" t="str">
            <v>SOUTH KOREA</v>
          </cell>
        </row>
        <row r="29897">
          <cell r="L29897" t="str">
            <v>Non-proportional</v>
          </cell>
          <cell r="S29897">
            <v>-59657.78</v>
          </cell>
          <cell r="X29897" t="str">
            <v>GWP - gross</v>
          </cell>
          <cell r="Y29897" t="str">
            <v>EUROPE</v>
          </cell>
        </row>
        <row r="29898">
          <cell r="L29898" t="str">
            <v>Non-proportional</v>
          </cell>
          <cell r="S29898">
            <v>-128984.29</v>
          </cell>
          <cell r="X29898" t="str">
            <v>GWP - gross</v>
          </cell>
          <cell r="Y29898" t="str">
            <v>ITALY</v>
          </cell>
        </row>
        <row r="29899">
          <cell r="L29899" t="str">
            <v>Non-proportional</v>
          </cell>
          <cell r="S29899">
            <v>-14100</v>
          </cell>
          <cell r="X29899" t="str">
            <v>GWP - gross</v>
          </cell>
          <cell r="Y29899" t="str">
            <v>GREECE</v>
          </cell>
        </row>
        <row r="29900">
          <cell r="L29900" t="str">
            <v>Non-proportional</v>
          </cell>
          <cell r="S29900">
            <v>10180.799999999999</v>
          </cell>
          <cell r="X29900" t="str">
            <v>GWP - gross</v>
          </cell>
          <cell r="Y29900" t="str">
            <v>CYPRUS</v>
          </cell>
        </row>
        <row r="29901">
          <cell r="L29901" t="str">
            <v>Proportional</v>
          </cell>
          <cell r="S29901">
            <v>2128860.11</v>
          </cell>
          <cell r="X29901" t="str">
            <v>GWP - gross</v>
          </cell>
          <cell r="Y29901" t="str">
            <v>UNITED STATES</v>
          </cell>
        </row>
        <row r="29902">
          <cell r="L29902" t="str">
            <v>Proportional</v>
          </cell>
          <cell r="S29902">
            <v>-71166.539999999994</v>
          </cell>
          <cell r="X29902" t="str">
            <v>GWP - gross</v>
          </cell>
          <cell r="Y29902" t="str">
            <v>CANADA</v>
          </cell>
        </row>
        <row r="29903">
          <cell r="L29903" t="str">
            <v>Non-proportional</v>
          </cell>
          <cell r="S29903">
            <v>-35739.980000000003</v>
          </cell>
          <cell r="X29903" t="str">
            <v>GWP - gross</v>
          </cell>
          <cell r="Y29903" t="str">
            <v>ISRAEL</v>
          </cell>
        </row>
        <row r="29904">
          <cell r="L29904" t="str">
            <v>Non-proportional</v>
          </cell>
          <cell r="S29904">
            <v>-24691.74</v>
          </cell>
          <cell r="X29904" t="str">
            <v>GWP - gross</v>
          </cell>
          <cell r="Y29904" t="str">
            <v>TURKEY</v>
          </cell>
        </row>
        <row r="29905">
          <cell r="L29905" t="str">
            <v>Non-proportional</v>
          </cell>
          <cell r="S29905">
            <v>-12027224.369999999</v>
          </cell>
          <cell r="X29905" t="str">
            <v>GWP - gross</v>
          </cell>
          <cell r="Y29905" t="str">
            <v>UNITED KINGDOM</v>
          </cell>
        </row>
        <row r="29906">
          <cell r="L29906" t="str">
            <v>Non-proportional</v>
          </cell>
          <cell r="S29906">
            <v>-19855.54</v>
          </cell>
          <cell r="X29906" t="str">
            <v>GWP - gross</v>
          </cell>
          <cell r="Y29906" t="str">
            <v>ISRAEL</v>
          </cell>
        </row>
        <row r="29907">
          <cell r="L29907" t="str">
            <v>Non-proportional</v>
          </cell>
          <cell r="S29907">
            <v>79095</v>
          </cell>
          <cell r="X29907" t="str">
            <v>GWP - gross</v>
          </cell>
          <cell r="Y29907" t="str">
            <v>ITALY</v>
          </cell>
        </row>
        <row r="29908">
          <cell r="L29908" t="str">
            <v>Proportional</v>
          </cell>
          <cell r="S29908">
            <v>161493.79</v>
          </cell>
          <cell r="X29908" t="str">
            <v>GWP - gross</v>
          </cell>
          <cell r="Y29908" t="str">
            <v>JAPAN</v>
          </cell>
        </row>
        <row r="29909">
          <cell r="L29909" t="str">
            <v>Non-proportional</v>
          </cell>
          <cell r="S29909">
            <v>-21923.040000000001</v>
          </cell>
          <cell r="X29909" t="str">
            <v>GWP - gross</v>
          </cell>
          <cell r="Y29909" t="str">
            <v>CYPRUS</v>
          </cell>
        </row>
        <row r="29910">
          <cell r="L29910" t="str">
            <v>Non-proportional</v>
          </cell>
          <cell r="S29910">
            <v>-160683.71</v>
          </cell>
          <cell r="X29910" t="str">
            <v>GWP - gross</v>
          </cell>
          <cell r="Y29910" t="str">
            <v>PERU</v>
          </cell>
        </row>
        <row r="29911">
          <cell r="L29911" t="str">
            <v>Non-proportional</v>
          </cell>
          <cell r="S29911">
            <v>128772</v>
          </cell>
          <cell r="X29911" t="str">
            <v>GWP - gross</v>
          </cell>
          <cell r="Y29911" t="str">
            <v>BELGIUM</v>
          </cell>
        </row>
        <row r="29912">
          <cell r="L29912" t="str">
            <v>Non-proportional</v>
          </cell>
          <cell r="S29912">
            <v>-61822.83</v>
          </cell>
          <cell r="X29912" t="str">
            <v>GWP - gross</v>
          </cell>
          <cell r="Y29912" t="str">
            <v>ITALY</v>
          </cell>
        </row>
        <row r="29913">
          <cell r="L29913" t="str">
            <v>Non-proportional</v>
          </cell>
          <cell r="S29913">
            <v>29999.87</v>
          </cell>
          <cell r="X29913" t="str">
            <v>GWP - gross</v>
          </cell>
          <cell r="Y29913" t="str">
            <v>ISRAEL</v>
          </cell>
        </row>
        <row r="29914">
          <cell r="L29914" t="str">
            <v>Non-proportional</v>
          </cell>
          <cell r="S29914">
            <v>-28970.9</v>
          </cell>
          <cell r="X29914" t="str">
            <v>GWP - gross</v>
          </cell>
          <cell r="Y29914" t="str">
            <v>MEXICO</v>
          </cell>
        </row>
        <row r="29915">
          <cell r="L29915" t="str">
            <v>Non-proportional</v>
          </cell>
          <cell r="S29915">
            <v>-13574.88</v>
          </cell>
          <cell r="X29915" t="str">
            <v>GWP - gross</v>
          </cell>
          <cell r="Y29915" t="str">
            <v>CYPRUS</v>
          </cell>
        </row>
        <row r="29916">
          <cell r="L29916" t="str">
            <v>Proportional</v>
          </cell>
          <cell r="S29916">
            <v>-1112000</v>
          </cell>
          <cell r="X29916" t="str">
            <v>GWP - gross</v>
          </cell>
          <cell r="Y29916" t="str">
            <v>FRANCE</v>
          </cell>
        </row>
        <row r="29917">
          <cell r="L29917" t="str">
            <v>Non-proportional</v>
          </cell>
          <cell r="S29917">
            <v>-75000</v>
          </cell>
          <cell r="X29917" t="str">
            <v>GWP - gross</v>
          </cell>
          <cell r="Y29917" t="str">
            <v>FRANCE</v>
          </cell>
        </row>
        <row r="29918">
          <cell r="L29918" t="str">
            <v>Non-proportional</v>
          </cell>
          <cell r="S29918">
            <v>-260000</v>
          </cell>
          <cell r="X29918" t="str">
            <v>GWP - gross</v>
          </cell>
          <cell r="Y29918" t="str">
            <v>FRANCE</v>
          </cell>
        </row>
        <row r="29919">
          <cell r="L29919" t="str">
            <v>Non-proportional</v>
          </cell>
          <cell r="S29919">
            <v>-48206.87</v>
          </cell>
          <cell r="X29919" t="str">
            <v>GWP - gross</v>
          </cell>
          <cell r="Y29919" t="str">
            <v>THAILAND</v>
          </cell>
        </row>
        <row r="29920">
          <cell r="L29920" t="str">
            <v>Non-proportional</v>
          </cell>
          <cell r="S29920">
            <v>-52274.14</v>
          </cell>
          <cell r="X29920" t="str">
            <v>GWP - gross</v>
          </cell>
          <cell r="Y29920" t="str">
            <v>UNITED KINGDOM</v>
          </cell>
        </row>
        <row r="29921">
          <cell r="L29921" t="str">
            <v>Non-proportional</v>
          </cell>
          <cell r="S29921">
            <v>-61173.96</v>
          </cell>
          <cell r="X29921" t="str">
            <v>GWP - gross</v>
          </cell>
          <cell r="Y29921" t="str">
            <v>UNITED KINGDOM</v>
          </cell>
        </row>
        <row r="29922">
          <cell r="L29922" t="str">
            <v>Non-proportional</v>
          </cell>
          <cell r="S29922">
            <v>-106126.55</v>
          </cell>
          <cell r="X29922" t="str">
            <v>GWP - gross</v>
          </cell>
          <cell r="Y29922" t="str">
            <v>TURKEY</v>
          </cell>
        </row>
        <row r="29923">
          <cell r="L29923" t="str">
            <v>Non-proportional</v>
          </cell>
          <cell r="S29923">
            <v>53020.49</v>
          </cell>
          <cell r="X29923" t="str">
            <v>GWP - gross</v>
          </cell>
          <cell r="Y29923" t="str">
            <v>ISRAEL</v>
          </cell>
        </row>
        <row r="29924">
          <cell r="L29924" t="str">
            <v>Non-proportional</v>
          </cell>
          <cell r="S29924">
            <v>-14456627.15</v>
          </cell>
          <cell r="X29924" t="str">
            <v>GWP - gross</v>
          </cell>
          <cell r="Y29924" t="str">
            <v>UNITED KINGDOM</v>
          </cell>
        </row>
        <row r="29925">
          <cell r="L29925" t="str">
            <v>Non-proportional</v>
          </cell>
          <cell r="S29925">
            <v>-16328.5</v>
          </cell>
          <cell r="X29925" t="str">
            <v>GWP - gross</v>
          </cell>
          <cell r="Y29925" t="str">
            <v>ISRAEL</v>
          </cell>
        </row>
        <row r="29926">
          <cell r="L29926" t="str">
            <v>Non-proportional</v>
          </cell>
          <cell r="S29926">
            <v>-19358230.82</v>
          </cell>
          <cell r="X29926" t="str">
            <v>GWP - gross</v>
          </cell>
          <cell r="Y29926" t="str">
            <v>UNITED KINGDOM</v>
          </cell>
        </row>
        <row r="29927">
          <cell r="L29927" t="str">
            <v>Proportional</v>
          </cell>
          <cell r="S29927">
            <v>-18928.169999999998</v>
          </cell>
          <cell r="X29927" t="str">
            <v>GWP - gross</v>
          </cell>
          <cell r="Y29927" t="str">
            <v>CHILE</v>
          </cell>
        </row>
        <row r="29928">
          <cell r="L29928" t="str">
            <v>Non-proportional</v>
          </cell>
          <cell r="S29928">
            <v>-102000</v>
          </cell>
          <cell r="X29928" t="str">
            <v>GWP - gross</v>
          </cell>
          <cell r="Y29928" t="str">
            <v>ITALY</v>
          </cell>
        </row>
        <row r="29929">
          <cell r="L29929" t="str">
            <v>Non-proportional</v>
          </cell>
          <cell r="S29929">
            <v>-6615</v>
          </cell>
          <cell r="X29929" t="str">
            <v>GWP - gross</v>
          </cell>
          <cell r="Y29929" t="str">
            <v>GREECE</v>
          </cell>
        </row>
        <row r="29930">
          <cell r="L29930" t="str">
            <v>Non-proportional</v>
          </cell>
          <cell r="S29930">
            <v>-21224.799999999999</v>
          </cell>
          <cell r="X29930" t="str">
            <v>GWP - gross</v>
          </cell>
          <cell r="Y29930" t="str">
            <v>FRANCE</v>
          </cell>
        </row>
        <row r="29931">
          <cell r="L29931" t="str">
            <v>Non-proportional</v>
          </cell>
          <cell r="S29931">
            <v>-144143.44</v>
          </cell>
          <cell r="X29931" t="str">
            <v>GWP - gross</v>
          </cell>
          <cell r="Y29931" t="str">
            <v>FRANCE</v>
          </cell>
        </row>
        <row r="29932">
          <cell r="L29932" t="str">
            <v>Non-proportional</v>
          </cell>
          <cell r="S29932">
            <v>61500</v>
          </cell>
          <cell r="X29932" t="str">
            <v>GWP - gross</v>
          </cell>
          <cell r="Y29932" t="str">
            <v>ITALY</v>
          </cell>
        </row>
        <row r="29933">
          <cell r="L29933" t="str">
            <v>Non-proportional</v>
          </cell>
          <cell r="S29933">
            <v>32543.63</v>
          </cell>
          <cell r="X29933" t="str">
            <v>GWP - gross</v>
          </cell>
          <cell r="Y29933" t="str">
            <v>ISRAEL</v>
          </cell>
        </row>
        <row r="29934">
          <cell r="L29934" t="str">
            <v>Proportional</v>
          </cell>
          <cell r="S29934">
            <v>-332801.75</v>
          </cell>
          <cell r="X29934" t="str">
            <v>GWP - gross</v>
          </cell>
          <cell r="Y29934" t="str">
            <v>BELGIUM</v>
          </cell>
        </row>
        <row r="29935">
          <cell r="L29935" t="str">
            <v>Non-proportional</v>
          </cell>
          <cell r="S29935">
            <v>12732772</v>
          </cell>
          <cell r="X29935" t="str">
            <v>GWP - gross</v>
          </cell>
          <cell r="Y29935" t="str">
            <v>BELGIUM</v>
          </cell>
        </row>
        <row r="29936">
          <cell r="L29936" t="str">
            <v>Non-proportional</v>
          </cell>
          <cell r="S29936">
            <v>-3780203</v>
          </cell>
          <cell r="X29936" t="str">
            <v>GWP - gross</v>
          </cell>
          <cell r="Y29936" t="str">
            <v>EUROPE</v>
          </cell>
        </row>
        <row r="29937">
          <cell r="L29937" t="str">
            <v>Non-proportional</v>
          </cell>
          <cell r="S29937">
            <v>1783692.99</v>
          </cell>
          <cell r="X29937" t="str">
            <v>GWP - gross</v>
          </cell>
          <cell r="Y29937" t="str">
            <v>BELGIUM</v>
          </cell>
        </row>
        <row r="29938">
          <cell r="L29938" t="str">
            <v>Non-proportional</v>
          </cell>
          <cell r="S29938">
            <v>34500</v>
          </cell>
          <cell r="X29938" t="str">
            <v>GWP - gross</v>
          </cell>
          <cell r="Y29938" t="str">
            <v>GREECE</v>
          </cell>
        </row>
        <row r="29939">
          <cell r="L29939" t="str">
            <v>Non-proportional</v>
          </cell>
          <cell r="S29939">
            <v>31765.58</v>
          </cell>
          <cell r="X29939" t="str">
            <v>GWP - gross</v>
          </cell>
          <cell r="Y29939" t="str">
            <v>ISRAEL</v>
          </cell>
        </row>
        <row r="29940">
          <cell r="L29940" t="str">
            <v>Non-proportional</v>
          </cell>
          <cell r="S29940">
            <v>-32115.93</v>
          </cell>
          <cell r="X29940" t="str">
            <v>GWP - gross</v>
          </cell>
          <cell r="Y29940" t="str">
            <v>ISRAEL</v>
          </cell>
        </row>
        <row r="29941">
          <cell r="L29941" t="str">
            <v>Non-proportional</v>
          </cell>
          <cell r="S29941">
            <v>-74334.7</v>
          </cell>
          <cell r="X29941" t="str">
            <v>GWP - gross</v>
          </cell>
          <cell r="Y29941" t="str">
            <v>SINGAPORE</v>
          </cell>
        </row>
        <row r="29942">
          <cell r="L29942" t="str">
            <v>Non-proportional</v>
          </cell>
          <cell r="S29942">
            <v>-288771.56</v>
          </cell>
          <cell r="X29942" t="str">
            <v>GWP - gross</v>
          </cell>
          <cell r="Y29942" t="str">
            <v>UNITED KINGDOM</v>
          </cell>
        </row>
        <row r="29943">
          <cell r="L29943" t="str">
            <v>Non-proportional</v>
          </cell>
          <cell r="S29943">
            <v>5256.99</v>
          </cell>
          <cell r="X29943" t="str">
            <v>GWP - gross</v>
          </cell>
          <cell r="Y29943" t="str">
            <v>UNITED KINGDOM</v>
          </cell>
        </row>
        <row r="29944">
          <cell r="L29944" t="str">
            <v>Non-proportional</v>
          </cell>
          <cell r="S29944">
            <v>-16765.88</v>
          </cell>
          <cell r="X29944" t="str">
            <v>GWP - gross</v>
          </cell>
          <cell r="Y29944" t="str">
            <v>ITALY</v>
          </cell>
        </row>
        <row r="29945">
          <cell r="L29945" t="str">
            <v>Non-proportional</v>
          </cell>
          <cell r="S29945">
            <v>-22525</v>
          </cell>
          <cell r="X29945" t="str">
            <v>GWP - gross</v>
          </cell>
          <cell r="Y29945" t="str">
            <v>ITALY</v>
          </cell>
        </row>
        <row r="29946">
          <cell r="L29946" t="str">
            <v>Non-proportional</v>
          </cell>
          <cell r="S29946">
            <v>-197570.79</v>
          </cell>
          <cell r="X29946" t="str">
            <v>GWP - gross</v>
          </cell>
          <cell r="Y29946" t="str">
            <v>TURKEY</v>
          </cell>
        </row>
        <row r="29947">
          <cell r="L29947" t="str">
            <v>Proportional</v>
          </cell>
          <cell r="S29947">
            <v>-827314.31</v>
          </cell>
          <cell r="X29947" t="str">
            <v>GWP - gross</v>
          </cell>
          <cell r="Y29947" t="str">
            <v>UNITED ARAB EMIRATES</v>
          </cell>
        </row>
        <row r="29948">
          <cell r="L29948" t="str">
            <v>Non-proportional</v>
          </cell>
          <cell r="S29948">
            <v>-88108.73</v>
          </cell>
          <cell r="X29948" t="str">
            <v>GWP - gross</v>
          </cell>
          <cell r="Y29948" t="str">
            <v>FRANCE</v>
          </cell>
        </row>
        <row r="29949">
          <cell r="L29949" t="str">
            <v>Non-proportional</v>
          </cell>
          <cell r="S29949">
            <v>-32466</v>
          </cell>
          <cell r="X29949" t="str">
            <v>GWP - gross</v>
          </cell>
          <cell r="Y29949" t="str">
            <v>ITALY</v>
          </cell>
        </row>
        <row r="29950">
          <cell r="L29950" t="str">
            <v>Non-proportional</v>
          </cell>
          <cell r="S29950">
            <v>-40077.949999999997</v>
          </cell>
          <cell r="X29950" t="str">
            <v>GWP - gross</v>
          </cell>
          <cell r="Y29950" t="str">
            <v>ISRAEL</v>
          </cell>
        </row>
        <row r="29951">
          <cell r="L29951" t="str">
            <v>Non-proportional</v>
          </cell>
          <cell r="S29951">
            <v>-38022.47</v>
          </cell>
          <cell r="X29951" t="str">
            <v>GWP - gross</v>
          </cell>
          <cell r="Y29951" t="str">
            <v>THAILAND</v>
          </cell>
        </row>
        <row r="29952">
          <cell r="L29952" t="str">
            <v>Non-proportional</v>
          </cell>
          <cell r="S29952">
            <v>-86625</v>
          </cell>
          <cell r="X29952" t="str">
            <v>GWP - gross</v>
          </cell>
          <cell r="Y29952" t="str">
            <v>BELGIUM</v>
          </cell>
        </row>
        <row r="29953">
          <cell r="L29953" t="str">
            <v>Non-proportional</v>
          </cell>
          <cell r="S29953">
            <v>-6726</v>
          </cell>
          <cell r="X29953" t="str">
            <v>GWP - gross</v>
          </cell>
          <cell r="Y29953" t="str">
            <v>PORTUGAL</v>
          </cell>
        </row>
        <row r="29954">
          <cell r="L29954" t="str">
            <v>Non-proportional</v>
          </cell>
          <cell r="S29954">
            <v>-2141848.5</v>
          </cell>
          <cell r="X29954" t="str">
            <v>GWP - gross</v>
          </cell>
          <cell r="Y29954" t="str">
            <v>PORTUGAL</v>
          </cell>
        </row>
        <row r="29955">
          <cell r="L29955" t="str">
            <v>Non-proportional</v>
          </cell>
          <cell r="S29955">
            <v>56775.47</v>
          </cell>
          <cell r="X29955" t="str">
            <v>GWP - gross</v>
          </cell>
          <cell r="Y29955" t="str">
            <v>UNITED KINGDOM</v>
          </cell>
        </row>
        <row r="29956">
          <cell r="L29956" t="str">
            <v>Non-proportional</v>
          </cell>
          <cell r="S29956">
            <v>15000</v>
          </cell>
          <cell r="X29956" t="str">
            <v>GWP - gross</v>
          </cell>
          <cell r="Y29956" t="str">
            <v>PORTUGAL</v>
          </cell>
        </row>
        <row r="29957">
          <cell r="L29957" t="str">
            <v>Non-proportional</v>
          </cell>
          <cell r="S29957">
            <v>-125998.54</v>
          </cell>
          <cell r="X29957" t="str">
            <v>GWP - gross</v>
          </cell>
          <cell r="Y29957" t="str">
            <v>ITALY</v>
          </cell>
        </row>
        <row r="29958">
          <cell r="L29958" t="str">
            <v>Non-proportional</v>
          </cell>
          <cell r="S29958">
            <v>-32240.16</v>
          </cell>
          <cell r="X29958" t="str">
            <v>GWP - gross</v>
          </cell>
          <cell r="Y29958" t="str">
            <v>MALTA</v>
          </cell>
        </row>
        <row r="29959">
          <cell r="L29959" t="str">
            <v>Non-proportional</v>
          </cell>
          <cell r="S29959">
            <v>36440</v>
          </cell>
          <cell r="X29959" t="str">
            <v>GWP - gross</v>
          </cell>
          <cell r="Y29959" t="str">
            <v>ITALY</v>
          </cell>
        </row>
        <row r="29960">
          <cell r="L29960" t="str">
            <v>Proportional</v>
          </cell>
          <cell r="S29960">
            <v>-2546689.2799999998</v>
          </cell>
          <cell r="X29960" t="str">
            <v>GWP - gross</v>
          </cell>
          <cell r="Y29960" t="str">
            <v>SWITZERLAND</v>
          </cell>
        </row>
        <row r="29961">
          <cell r="L29961" t="str">
            <v>Non-proportional</v>
          </cell>
          <cell r="S29961">
            <v>8472.41</v>
          </cell>
          <cell r="X29961" t="str">
            <v>GWP - gross</v>
          </cell>
          <cell r="Y29961" t="str">
            <v>COLOMBIA</v>
          </cell>
        </row>
        <row r="29962">
          <cell r="L29962" t="str">
            <v>Non-proportional</v>
          </cell>
          <cell r="S29962">
            <v>-481800</v>
          </cell>
          <cell r="X29962" t="str">
            <v>GWP - gross</v>
          </cell>
          <cell r="Y29962" t="str">
            <v>PORTUGAL</v>
          </cell>
        </row>
        <row r="29963">
          <cell r="L29963" t="str">
            <v>Proportional</v>
          </cell>
          <cell r="S29963">
            <v>-4500000</v>
          </cell>
          <cell r="X29963" t="str">
            <v>GWP - gross</v>
          </cell>
          <cell r="Y29963" t="str">
            <v>PORTUGAL</v>
          </cell>
        </row>
        <row r="29964">
          <cell r="L29964" t="str">
            <v>Proportional</v>
          </cell>
          <cell r="S29964">
            <v>-9062.23</v>
          </cell>
          <cell r="X29964" t="str">
            <v>GWP - gross</v>
          </cell>
          <cell r="Y29964" t="str">
            <v>UNITED STATES</v>
          </cell>
        </row>
        <row r="29965">
          <cell r="L29965" t="str">
            <v>Non-proportional</v>
          </cell>
          <cell r="S29965">
            <v>-24500</v>
          </cell>
          <cell r="X29965" t="str">
            <v>GWP - gross</v>
          </cell>
          <cell r="Y29965" t="str">
            <v>ITALY</v>
          </cell>
        </row>
        <row r="29966">
          <cell r="L29966" t="str">
            <v>Non-proportional</v>
          </cell>
          <cell r="S29966">
            <v>-32543.63</v>
          </cell>
          <cell r="X29966" t="str">
            <v>GWP - gross</v>
          </cell>
          <cell r="Y29966" t="str">
            <v>ISRAEL</v>
          </cell>
        </row>
        <row r="29967">
          <cell r="L29967" t="str">
            <v>Non-proportional</v>
          </cell>
          <cell r="S29967">
            <v>-15256.4</v>
          </cell>
          <cell r="X29967" t="str">
            <v>GWP - gross</v>
          </cell>
          <cell r="Y29967" t="str">
            <v>BRAZIL</v>
          </cell>
        </row>
        <row r="29968">
          <cell r="L29968" t="str">
            <v>Non-proportional</v>
          </cell>
          <cell r="S29968">
            <v>-63214.02</v>
          </cell>
          <cell r="X29968" t="str">
            <v>GWP - gross</v>
          </cell>
          <cell r="Y29968" t="str">
            <v>ISRAEL</v>
          </cell>
        </row>
        <row r="29969">
          <cell r="L29969" t="str">
            <v>Non-proportional</v>
          </cell>
          <cell r="S29969">
            <v>-49876.54</v>
          </cell>
          <cell r="X29969" t="str">
            <v>GWP - gross</v>
          </cell>
          <cell r="Y29969" t="str">
            <v>SINGAPORE</v>
          </cell>
        </row>
        <row r="29970">
          <cell r="L29970" t="str">
            <v>Non-proportional</v>
          </cell>
          <cell r="S29970">
            <v>-39375</v>
          </cell>
          <cell r="X29970" t="str">
            <v>GWP - gross</v>
          </cell>
          <cell r="Y29970" t="str">
            <v>ITALY</v>
          </cell>
        </row>
        <row r="29971">
          <cell r="L29971" t="str">
            <v>Non-proportional</v>
          </cell>
          <cell r="S29971">
            <v>38562.75</v>
          </cell>
          <cell r="X29971" t="str">
            <v>GWP - gross</v>
          </cell>
          <cell r="Y29971" t="str">
            <v>GREECE</v>
          </cell>
        </row>
        <row r="29972">
          <cell r="L29972" t="str">
            <v>Proportional</v>
          </cell>
          <cell r="S29972">
            <v>-325195.33</v>
          </cell>
          <cell r="X29972" t="str">
            <v>GWP - gross</v>
          </cell>
          <cell r="Y29972" t="str">
            <v>THAILAND</v>
          </cell>
        </row>
        <row r="29973">
          <cell r="L29973" t="str">
            <v>Non-proportional</v>
          </cell>
          <cell r="S29973">
            <v>-144015.9</v>
          </cell>
          <cell r="X29973" t="str">
            <v>GWP - gross</v>
          </cell>
          <cell r="Y29973" t="str">
            <v>ITALY</v>
          </cell>
        </row>
        <row r="29974">
          <cell r="L29974" t="str">
            <v>Proportional</v>
          </cell>
          <cell r="S29974">
            <v>8863054.1999999993</v>
          </cell>
          <cell r="X29974" t="str">
            <v>GWP - gross</v>
          </cell>
          <cell r="Y29974" t="str">
            <v>UNITED STATES</v>
          </cell>
        </row>
        <row r="29975">
          <cell r="L29975" t="str">
            <v>Non-proportional</v>
          </cell>
          <cell r="S29975">
            <v>68874.98</v>
          </cell>
          <cell r="X29975" t="str">
            <v>GWP - gross</v>
          </cell>
          <cell r="Y29975" t="str">
            <v>THAILAND</v>
          </cell>
        </row>
        <row r="29976">
          <cell r="L29976" t="str">
            <v>Non-proportional</v>
          </cell>
          <cell r="S29976">
            <v>-562376.02</v>
          </cell>
          <cell r="X29976" t="str">
            <v>GWP - gross</v>
          </cell>
          <cell r="Y29976" t="str">
            <v>FRANCE</v>
          </cell>
        </row>
        <row r="29977">
          <cell r="L29977" t="str">
            <v>Non-proportional</v>
          </cell>
          <cell r="S29977">
            <v>-21330</v>
          </cell>
          <cell r="X29977" t="str">
            <v>GWP - gross</v>
          </cell>
          <cell r="Y29977" t="str">
            <v>GREECE</v>
          </cell>
        </row>
        <row r="29978">
          <cell r="L29978" t="str">
            <v>Proportional</v>
          </cell>
          <cell r="S29978">
            <v>-150090.15</v>
          </cell>
          <cell r="X29978" t="str">
            <v>GWP - gross</v>
          </cell>
          <cell r="Y29978" t="str">
            <v>THAILAND</v>
          </cell>
        </row>
        <row r="29979">
          <cell r="L29979" t="str">
            <v>Non-proportional</v>
          </cell>
          <cell r="S29979">
            <v>-45207.82</v>
          </cell>
          <cell r="X29979" t="str">
            <v>GWP - gross</v>
          </cell>
          <cell r="Y29979" t="str">
            <v>FRANCE</v>
          </cell>
        </row>
        <row r="29980">
          <cell r="L29980" t="str">
            <v>Non-proportional</v>
          </cell>
          <cell r="S29980">
            <v>-4680</v>
          </cell>
          <cell r="X29980" t="str">
            <v>GWP - gross</v>
          </cell>
          <cell r="Y29980" t="str">
            <v>ITALY</v>
          </cell>
        </row>
        <row r="29981">
          <cell r="L29981" t="str">
            <v>Non-proportional</v>
          </cell>
          <cell r="S29981">
            <v>51972.5</v>
          </cell>
          <cell r="X29981" t="str">
            <v>GWP - gross</v>
          </cell>
          <cell r="Y29981" t="str">
            <v>UNITED KINGDOM</v>
          </cell>
        </row>
        <row r="29982">
          <cell r="L29982" t="str">
            <v>Non-proportional</v>
          </cell>
          <cell r="S29982">
            <v>-8472.41</v>
          </cell>
          <cell r="X29982" t="str">
            <v>GWP - gross</v>
          </cell>
          <cell r="Y29982" t="str">
            <v>COLOMBIA</v>
          </cell>
        </row>
        <row r="29983">
          <cell r="L29983" t="str">
            <v>Non-proportional</v>
          </cell>
          <cell r="S29983">
            <v>55055</v>
          </cell>
          <cell r="X29983" t="str">
            <v>GWP - gross</v>
          </cell>
          <cell r="Y29983" t="str">
            <v>UNITED KINGDOM</v>
          </cell>
        </row>
        <row r="29984">
          <cell r="L29984" t="str">
            <v>Non-proportional</v>
          </cell>
          <cell r="S29984">
            <v>-24500</v>
          </cell>
          <cell r="X29984" t="str">
            <v>GWP - gross</v>
          </cell>
          <cell r="Y29984" t="str">
            <v>ITALY</v>
          </cell>
        </row>
        <row r="29985">
          <cell r="L29985" t="str">
            <v>Non-proportional</v>
          </cell>
          <cell r="S29985">
            <v>44043.75</v>
          </cell>
          <cell r="X29985" t="str">
            <v>GWP - gross</v>
          </cell>
          <cell r="Y29985" t="str">
            <v>GREECE</v>
          </cell>
        </row>
        <row r="29986">
          <cell r="L29986" t="str">
            <v>Proportional</v>
          </cell>
          <cell r="S29986">
            <v>71166.539999999994</v>
          </cell>
          <cell r="X29986" t="str">
            <v>GWP - gross</v>
          </cell>
          <cell r="Y29986" t="str">
            <v>CANADA</v>
          </cell>
        </row>
        <row r="29987">
          <cell r="L29987" t="str">
            <v>Non-proportional</v>
          </cell>
          <cell r="S29987">
            <v>-513371.68</v>
          </cell>
          <cell r="X29987" t="str">
            <v>GWP - gross</v>
          </cell>
          <cell r="Y29987" t="str">
            <v>UNITED KINGDOM</v>
          </cell>
        </row>
        <row r="29988">
          <cell r="L29988" t="str">
            <v>Non-proportional</v>
          </cell>
          <cell r="S29988">
            <v>-12824.95</v>
          </cell>
          <cell r="X29988" t="str">
            <v>GWP - gross</v>
          </cell>
          <cell r="Y29988" t="str">
            <v>ISRAEL</v>
          </cell>
        </row>
        <row r="29989">
          <cell r="L29989" t="str">
            <v>Non-proportional</v>
          </cell>
          <cell r="S29989">
            <v>4839557.67</v>
          </cell>
          <cell r="X29989" t="str">
            <v>GWP - gross</v>
          </cell>
          <cell r="Y29989" t="str">
            <v>UNITED KINGDOM</v>
          </cell>
        </row>
        <row r="29990">
          <cell r="L29990" t="str">
            <v>Non-proportional</v>
          </cell>
          <cell r="S29990">
            <v>-91673.52</v>
          </cell>
          <cell r="X29990" t="str">
            <v>GWP - gross</v>
          </cell>
          <cell r="Y29990" t="str">
            <v>UNITED KINGDOM</v>
          </cell>
        </row>
        <row r="29991">
          <cell r="L29991" t="str">
            <v>Non-proportional</v>
          </cell>
          <cell r="S29991">
            <v>-1595</v>
          </cell>
          <cell r="X29991" t="str">
            <v>GWP - gross</v>
          </cell>
          <cell r="Y29991" t="str">
            <v>ITALY</v>
          </cell>
        </row>
        <row r="29992">
          <cell r="L29992" t="str">
            <v>Non-proportional</v>
          </cell>
          <cell r="S29992">
            <v>52271.19</v>
          </cell>
          <cell r="X29992" t="str">
            <v>GWP - gross</v>
          </cell>
          <cell r="Y29992" t="str">
            <v>UNITED KINGDOM</v>
          </cell>
        </row>
        <row r="29993">
          <cell r="L29993" t="str">
            <v>Non-proportional</v>
          </cell>
          <cell r="S29993">
            <v>-28241.35</v>
          </cell>
          <cell r="X29993" t="str">
            <v>GWP - gross</v>
          </cell>
          <cell r="Y29993" t="str">
            <v>COLOMBIA</v>
          </cell>
        </row>
        <row r="29994">
          <cell r="L29994" t="str">
            <v>Non-proportional</v>
          </cell>
          <cell r="S29994">
            <v>-4219.92</v>
          </cell>
          <cell r="X29994" t="str">
            <v>GWP - gross</v>
          </cell>
          <cell r="Y29994" t="str">
            <v>BELGIUM</v>
          </cell>
        </row>
        <row r="29995">
          <cell r="L29995" t="str">
            <v>Non-proportional</v>
          </cell>
          <cell r="S29995">
            <v>-15500</v>
          </cell>
          <cell r="X29995" t="str">
            <v>GWP - gross</v>
          </cell>
          <cell r="Y29995" t="str">
            <v>PORTUGAL</v>
          </cell>
        </row>
        <row r="29996">
          <cell r="L29996" t="str">
            <v>Non-proportional</v>
          </cell>
          <cell r="S29996">
            <v>-143880.75</v>
          </cell>
          <cell r="X29996" t="str">
            <v>GWP - gross</v>
          </cell>
          <cell r="Y29996" t="str">
            <v>CHILE</v>
          </cell>
        </row>
        <row r="29997">
          <cell r="L29997" t="str">
            <v>Non-proportional</v>
          </cell>
          <cell r="S29997">
            <v>494190</v>
          </cell>
          <cell r="X29997" t="str">
            <v>GWP - gross</v>
          </cell>
          <cell r="Y29997" t="str">
            <v>TURKEY</v>
          </cell>
        </row>
        <row r="29998">
          <cell r="L29998" t="str">
            <v>Proportional</v>
          </cell>
          <cell r="S29998">
            <v>-277570.73</v>
          </cell>
          <cell r="X29998" t="str">
            <v>GWP - gross</v>
          </cell>
          <cell r="Y29998" t="str">
            <v>JAPAN</v>
          </cell>
        </row>
        <row r="29999">
          <cell r="L29999" t="str">
            <v>Non-proportional</v>
          </cell>
          <cell r="S29999">
            <v>-4478.55</v>
          </cell>
          <cell r="X29999" t="str">
            <v>GWP - gross</v>
          </cell>
          <cell r="Y29999" t="str">
            <v>ISRAEL</v>
          </cell>
        </row>
        <row r="30000">
          <cell r="L30000" t="str">
            <v>Non-proportional</v>
          </cell>
          <cell r="S30000">
            <v>8662500</v>
          </cell>
          <cell r="X30000" t="str">
            <v>GWP - gross</v>
          </cell>
          <cell r="Y30000" t="str">
            <v>BELGIUM</v>
          </cell>
        </row>
        <row r="30001">
          <cell r="L30001" t="str">
            <v>Non-proportional</v>
          </cell>
          <cell r="S30001">
            <v>-1313517.7</v>
          </cell>
          <cell r="X30001" t="str">
            <v>GWP - gross</v>
          </cell>
          <cell r="Y30001" t="str">
            <v>FRANCE</v>
          </cell>
        </row>
        <row r="30002">
          <cell r="L30002" t="str">
            <v>Non-proportional</v>
          </cell>
          <cell r="S30002">
            <v>-25542.71</v>
          </cell>
          <cell r="X30002" t="str">
            <v>GWP - gross</v>
          </cell>
          <cell r="Y30002" t="str">
            <v>UNITED KINGDOM</v>
          </cell>
        </row>
        <row r="30003">
          <cell r="L30003" t="str">
            <v>Non-proportional</v>
          </cell>
          <cell r="S30003">
            <v>-6882037</v>
          </cell>
          <cell r="X30003" t="str">
            <v>GWP - gross</v>
          </cell>
          <cell r="Y30003" t="str">
            <v>BELGIUM</v>
          </cell>
        </row>
        <row r="30004">
          <cell r="L30004" t="str">
            <v>Non-proportional</v>
          </cell>
          <cell r="S30004">
            <v>-184110.57</v>
          </cell>
          <cell r="X30004" t="str">
            <v>GWP - gross</v>
          </cell>
          <cell r="Y30004" t="str">
            <v>ECUADOR</v>
          </cell>
        </row>
        <row r="30005">
          <cell r="L30005" t="str">
            <v>Non-proportional</v>
          </cell>
          <cell r="S30005">
            <v>-19464.37</v>
          </cell>
          <cell r="X30005" t="str">
            <v>GWP - gross</v>
          </cell>
          <cell r="Y30005" t="str">
            <v>GUATEMALA</v>
          </cell>
        </row>
        <row r="30006">
          <cell r="L30006" t="str">
            <v>Non-proportional</v>
          </cell>
          <cell r="S30006">
            <v>-1311964.56</v>
          </cell>
          <cell r="X30006" t="str">
            <v>GWP - gross</v>
          </cell>
          <cell r="Y30006" t="str">
            <v>FRANCE</v>
          </cell>
        </row>
        <row r="30007">
          <cell r="L30007" t="str">
            <v>Proportional</v>
          </cell>
          <cell r="S30007">
            <v>875000</v>
          </cell>
          <cell r="X30007" t="str">
            <v>GWP - gross</v>
          </cell>
          <cell r="Y30007" t="str">
            <v>ITALY</v>
          </cell>
        </row>
        <row r="30008">
          <cell r="L30008" t="str">
            <v>Non-proportional</v>
          </cell>
          <cell r="S30008">
            <v>18674.32</v>
          </cell>
          <cell r="X30008" t="str">
            <v>GWP - gross</v>
          </cell>
          <cell r="Y30008" t="str">
            <v>NEW ZEALAND</v>
          </cell>
        </row>
        <row r="30009">
          <cell r="L30009" t="str">
            <v>Non-proportional</v>
          </cell>
          <cell r="S30009">
            <v>24893.15</v>
          </cell>
          <cell r="X30009" t="str">
            <v>GWP - gross</v>
          </cell>
          <cell r="Y30009" t="str">
            <v>TURKEY</v>
          </cell>
        </row>
        <row r="30010">
          <cell r="L30010" t="str">
            <v>Non-proportional</v>
          </cell>
          <cell r="S30010">
            <v>813442</v>
          </cell>
          <cell r="X30010" t="str">
            <v>GWP - gross</v>
          </cell>
          <cell r="Y30010" t="str">
            <v>BELGIUM</v>
          </cell>
        </row>
        <row r="30011">
          <cell r="L30011" t="str">
            <v>Non-proportional</v>
          </cell>
          <cell r="S30011">
            <v>-294261.24</v>
          </cell>
          <cell r="X30011" t="str">
            <v>GWP - gross</v>
          </cell>
          <cell r="Y30011" t="str">
            <v>ISRAEL</v>
          </cell>
        </row>
        <row r="30012">
          <cell r="L30012" t="str">
            <v>Non-proportional</v>
          </cell>
          <cell r="S30012">
            <v>2500</v>
          </cell>
          <cell r="X30012" t="str">
            <v>GWP - gross</v>
          </cell>
          <cell r="Y30012" t="str">
            <v>PORTUGAL</v>
          </cell>
        </row>
        <row r="30013">
          <cell r="L30013" t="str">
            <v>Non-proportional</v>
          </cell>
          <cell r="S30013">
            <v>-98154.45</v>
          </cell>
          <cell r="X30013" t="str">
            <v>GWP - gross</v>
          </cell>
          <cell r="Y30013" t="str">
            <v>CHILE</v>
          </cell>
        </row>
        <row r="30014">
          <cell r="L30014" t="str">
            <v>Proportional</v>
          </cell>
          <cell r="S30014">
            <v>-864000</v>
          </cell>
          <cell r="X30014" t="str">
            <v>GWP - gross</v>
          </cell>
          <cell r="Y30014" t="str">
            <v>FRANCE</v>
          </cell>
        </row>
        <row r="30015">
          <cell r="L30015" t="str">
            <v>Non-proportional</v>
          </cell>
          <cell r="S30015">
            <v>-1079260</v>
          </cell>
          <cell r="X30015" t="str">
            <v>GWP - gross</v>
          </cell>
          <cell r="Y30015" t="str">
            <v>PORTUGAL</v>
          </cell>
        </row>
        <row r="30016">
          <cell r="L30016" t="str">
            <v>Non-proportional</v>
          </cell>
          <cell r="S30016">
            <v>-81028.61</v>
          </cell>
          <cell r="X30016" t="str">
            <v>GWP - gross</v>
          </cell>
          <cell r="Y30016" t="str">
            <v>THAILAND</v>
          </cell>
        </row>
        <row r="30017">
          <cell r="L30017" t="str">
            <v>Non-proportional</v>
          </cell>
          <cell r="S30017">
            <v>-4680</v>
          </cell>
          <cell r="X30017" t="str">
            <v>GWP - gross</v>
          </cell>
          <cell r="Y30017" t="str">
            <v>ITALY</v>
          </cell>
        </row>
        <row r="30018">
          <cell r="L30018" t="str">
            <v>Proportional</v>
          </cell>
          <cell r="S30018">
            <v>155956.16</v>
          </cell>
          <cell r="X30018" t="str">
            <v>GWP - gross</v>
          </cell>
          <cell r="Y30018" t="str">
            <v>JAPAN</v>
          </cell>
        </row>
        <row r="30019">
          <cell r="L30019" t="str">
            <v>Non-proportional</v>
          </cell>
          <cell r="S30019">
            <v>-36318.379999999997</v>
          </cell>
          <cell r="X30019" t="str">
            <v>GWP - gross</v>
          </cell>
          <cell r="Y30019" t="str">
            <v>PERU</v>
          </cell>
        </row>
        <row r="30020">
          <cell r="L30020" t="str">
            <v>Non-proportional</v>
          </cell>
          <cell r="S30020">
            <v>-10271.52</v>
          </cell>
          <cell r="X30020" t="str">
            <v>GWP - gross</v>
          </cell>
          <cell r="Y30020" t="str">
            <v>FRANCE</v>
          </cell>
        </row>
        <row r="30021">
          <cell r="L30021" t="str">
            <v>Non-proportional</v>
          </cell>
          <cell r="S30021">
            <v>-107757</v>
          </cell>
          <cell r="X30021" t="str">
            <v>GWP - gross</v>
          </cell>
          <cell r="Y30021" t="str">
            <v>ITALY</v>
          </cell>
        </row>
        <row r="30022">
          <cell r="L30022" t="str">
            <v>Non-proportional</v>
          </cell>
          <cell r="S30022">
            <v>-50861.65</v>
          </cell>
          <cell r="X30022" t="str">
            <v>GWP - gross</v>
          </cell>
          <cell r="Y30022" t="str">
            <v>FRANCE</v>
          </cell>
        </row>
        <row r="30023">
          <cell r="L30023" t="str">
            <v>Non-proportional</v>
          </cell>
          <cell r="S30023">
            <v>-117379.44</v>
          </cell>
          <cell r="X30023" t="str">
            <v>GWP - gross</v>
          </cell>
          <cell r="Y30023" t="str">
            <v>ITALY</v>
          </cell>
        </row>
        <row r="30024">
          <cell r="L30024" t="str">
            <v>Non-proportional</v>
          </cell>
          <cell r="S30024">
            <v>-44999.31</v>
          </cell>
          <cell r="X30024" t="str">
            <v>GWP - gross</v>
          </cell>
          <cell r="Y30024" t="str">
            <v>EUROPE</v>
          </cell>
        </row>
        <row r="30025">
          <cell r="L30025" t="str">
            <v>Non-proportional</v>
          </cell>
          <cell r="S30025">
            <v>500</v>
          </cell>
          <cell r="X30025" t="str">
            <v>GWP - gross</v>
          </cell>
          <cell r="Y30025" t="str">
            <v>PORTUGAL</v>
          </cell>
        </row>
        <row r="30026">
          <cell r="L30026" t="str">
            <v>Non-proportional</v>
          </cell>
          <cell r="S30026">
            <v>-2109</v>
          </cell>
          <cell r="X30026" t="str">
            <v>GWP - gross</v>
          </cell>
          <cell r="Y30026" t="str">
            <v>PORTUGAL</v>
          </cell>
        </row>
        <row r="30027">
          <cell r="L30027" t="str">
            <v>Non-proportional</v>
          </cell>
          <cell r="S30027">
            <v>-46809.57</v>
          </cell>
          <cell r="X30027" t="str">
            <v>GWP - gross</v>
          </cell>
          <cell r="Y30027" t="str">
            <v>EUROPE</v>
          </cell>
        </row>
        <row r="30028">
          <cell r="L30028" t="str">
            <v>Non-proportional</v>
          </cell>
          <cell r="S30028">
            <v>166786.57</v>
          </cell>
          <cell r="X30028" t="str">
            <v>GWP - gross</v>
          </cell>
          <cell r="Y30028" t="str">
            <v>ISRAEL</v>
          </cell>
        </row>
        <row r="30029">
          <cell r="L30029" t="str">
            <v>Proportional</v>
          </cell>
          <cell r="S30029">
            <v>-9062.23</v>
          </cell>
          <cell r="X30029" t="str">
            <v>GWP - gross</v>
          </cell>
          <cell r="Y30029" t="str">
            <v>UNITED STATES</v>
          </cell>
        </row>
        <row r="30030">
          <cell r="L30030" t="str">
            <v>Non-proportional</v>
          </cell>
          <cell r="S30030">
            <v>56964.5</v>
          </cell>
          <cell r="X30030" t="str">
            <v>GWP - gross</v>
          </cell>
          <cell r="Y30030" t="str">
            <v>CYPRUS</v>
          </cell>
        </row>
        <row r="30031">
          <cell r="L30031" t="str">
            <v>Non-proportional</v>
          </cell>
          <cell r="S30031">
            <v>19358230.66</v>
          </cell>
          <cell r="X30031" t="str">
            <v>GWP - gross</v>
          </cell>
          <cell r="Y30031" t="str">
            <v>UNITED KINGDOM</v>
          </cell>
        </row>
        <row r="30032">
          <cell r="L30032" t="str">
            <v>Non-proportional</v>
          </cell>
          <cell r="S30032">
            <v>-14147524.800000001</v>
          </cell>
          <cell r="X30032" t="str">
            <v>GWP - gross</v>
          </cell>
          <cell r="Y30032" t="str">
            <v>BELGIUM</v>
          </cell>
        </row>
        <row r="30033">
          <cell r="L30033" t="str">
            <v>Non-proportional</v>
          </cell>
          <cell r="S30033">
            <v>18069.099999999999</v>
          </cell>
          <cell r="X30033" t="str">
            <v>GWP - gross</v>
          </cell>
          <cell r="Y30033" t="str">
            <v>TURKEY</v>
          </cell>
        </row>
        <row r="30034">
          <cell r="L30034" t="str">
            <v>Non-proportional</v>
          </cell>
          <cell r="S30034">
            <v>-127153.49</v>
          </cell>
          <cell r="X30034" t="str">
            <v>GWP - gross</v>
          </cell>
          <cell r="Y30034" t="str">
            <v>FRANCE</v>
          </cell>
        </row>
        <row r="30035">
          <cell r="L30035" t="str">
            <v>Non-proportional</v>
          </cell>
          <cell r="S30035">
            <v>-4963648.88</v>
          </cell>
          <cell r="X30035" t="str">
            <v>GWP - gross</v>
          </cell>
          <cell r="Y30035" t="str">
            <v>UNITED KINGDOM</v>
          </cell>
        </row>
        <row r="30036">
          <cell r="L30036" t="str">
            <v>Non-proportional</v>
          </cell>
          <cell r="S30036">
            <v>-1267.2</v>
          </cell>
          <cell r="X30036" t="str">
            <v>GWP - gross</v>
          </cell>
          <cell r="Y30036" t="str">
            <v>UNITED KINGDOM</v>
          </cell>
        </row>
        <row r="30037">
          <cell r="L30037" t="str">
            <v>Non-proportional</v>
          </cell>
          <cell r="S30037">
            <v>-108527.24</v>
          </cell>
          <cell r="X30037" t="str">
            <v>GWP - gross</v>
          </cell>
          <cell r="Y30037" t="str">
            <v>FRANCE</v>
          </cell>
        </row>
        <row r="30038">
          <cell r="L30038" t="str">
            <v>Non-proportional</v>
          </cell>
          <cell r="S30038">
            <v>-802885.44</v>
          </cell>
          <cell r="X30038" t="str">
            <v>GWP - gross</v>
          </cell>
          <cell r="Y30038" t="str">
            <v>UNITED KINGDOM</v>
          </cell>
        </row>
        <row r="30039">
          <cell r="L30039" t="str">
            <v>Non-proportional</v>
          </cell>
          <cell r="S30039">
            <v>-35250</v>
          </cell>
          <cell r="X30039" t="str">
            <v>GWP - gross</v>
          </cell>
          <cell r="Y30039" t="str">
            <v>FRANCE</v>
          </cell>
        </row>
        <row r="30040">
          <cell r="L30040" t="str">
            <v>Non-proportional</v>
          </cell>
          <cell r="S30040">
            <v>-10125</v>
          </cell>
          <cell r="X30040" t="str">
            <v>GWP - gross</v>
          </cell>
          <cell r="Y30040" t="str">
            <v>GREECE</v>
          </cell>
        </row>
        <row r="30041">
          <cell r="L30041" t="str">
            <v>Non-proportional</v>
          </cell>
          <cell r="S30041">
            <v>88820</v>
          </cell>
          <cell r="X30041" t="str">
            <v>GWP - gross</v>
          </cell>
          <cell r="Y30041" t="str">
            <v>ITALY</v>
          </cell>
        </row>
        <row r="30042">
          <cell r="L30042" t="str">
            <v>Non-proportional</v>
          </cell>
          <cell r="S30042">
            <v>-20999.14</v>
          </cell>
          <cell r="X30042" t="str">
            <v>GWP - gross</v>
          </cell>
          <cell r="Y30042" t="str">
            <v>EUROPE</v>
          </cell>
        </row>
        <row r="30043">
          <cell r="L30043" t="str">
            <v>Non-proportional</v>
          </cell>
          <cell r="S30043">
            <v>197570.79</v>
          </cell>
          <cell r="X30043" t="str">
            <v>GWP - gross</v>
          </cell>
          <cell r="Y30043" t="str">
            <v>TURKEY</v>
          </cell>
        </row>
        <row r="30044">
          <cell r="L30044" t="str">
            <v>Non-proportional</v>
          </cell>
          <cell r="S30044">
            <v>-18674.32</v>
          </cell>
          <cell r="X30044" t="str">
            <v>GWP - gross</v>
          </cell>
          <cell r="Y30044" t="str">
            <v>NEW ZEALAND</v>
          </cell>
        </row>
        <row r="30045">
          <cell r="L30045" t="str">
            <v>Non-proportional</v>
          </cell>
          <cell r="S30045">
            <v>36963.199999999997</v>
          </cell>
          <cell r="X30045" t="str">
            <v>GWP - gross</v>
          </cell>
          <cell r="Y30045" t="str">
            <v>UNITED KINGDOM</v>
          </cell>
        </row>
        <row r="30046">
          <cell r="L30046" t="str">
            <v>Proportional</v>
          </cell>
          <cell r="S30046">
            <v>5375.81</v>
          </cell>
          <cell r="X30046" t="str">
            <v>GWP - gross</v>
          </cell>
          <cell r="Y30046" t="str">
            <v>JAPAN</v>
          </cell>
        </row>
        <row r="30047">
          <cell r="L30047" t="str">
            <v>Non-proportional</v>
          </cell>
          <cell r="S30047">
            <v>-32383.37</v>
          </cell>
          <cell r="X30047" t="str">
            <v>GWP - gross</v>
          </cell>
          <cell r="Y30047" t="str">
            <v>ISRAEL</v>
          </cell>
        </row>
        <row r="30048">
          <cell r="L30048" t="str">
            <v>Non-proportional</v>
          </cell>
          <cell r="S30048">
            <v>-35539.199999999997</v>
          </cell>
          <cell r="X30048" t="str">
            <v>GWP - gross</v>
          </cell>
          <cell r="Y30048" t="str">
            <v>FRANCE</v>
          </cell>
        </row>
        <row r="30049">
          <cell r="L30049" t="str">
            <v>Non-proportional</v>
          </cell>
          <cell r="S30049">
            <v>-14080.82</v>
          </cell>
          <cell r="X30049" t="str">
            <v>GWP - gross</v>
          </cell>
          <cell r="Y30049" t="str">
            <v>CYPRUS</v>
          </cell>
        </row>
        <row r="30050">
          <cell r="L30050" t="str">
            <v>Non-proportional</v>
          </cell>
          <cell r="S30050">
            <v>-993855.21</v>
          </cell>
          <cell r="X30050" t="str">
            <v>GWP - gross</v>
          </cell>
          <cell r="Y30050" t="str">
            <v>BELGIUM</v>
          </cell>
        </row>
        <row r="30051">
          <cell r="L30051" t="str">
            <v>Proportional</v>
          </cell>
          <cell r="S30051">
            <v>-1326046.45</v>
          </cell>
          <cell r="X30051" t="str">
            <v>GWP - gross</v>
          </cell>
          <cell r="Y30051" t="str">
            <v>HONG KONG</v>
          </cell>
        </row>
        <row r="30052">
          <cell r="L30052" t="str">
            <v>Non-proportional</v>
          </cell>
          <cell r="S30052">
            <v>-360000</v>
          </cell>
          <cell r="X30052" t="str">
            <v>GWP - gross</v>
          </cell>
          <cell r="Y30052" t="str">
            <v>FRANCE</v>
          </cell>
        </row>
        <row r="30053">
          <cell r="L30053" t="str">
            <v>Non-proportional</v>
          </cell>
          <cell r="S30053">
            <v>-77000</v>
          </cell>
          <cell r="X30053" t="str">
            <v>GWP - gross</v>
          </cell>
          <cell r="Y30053" t="str">
            <v>BELGIUM</v>
          </cell>
        </row>
        <row r="30054">
          <cell r="L30054" t="str">
            <v>Non-proportional</v>
          </cell>
          <cell r="S30054">
            <v>-4936</v>
          </cell>
          <cell r="X30054" t="str">
            <v>GWP - gross</v>
          </cell>
          <cell r="Y30054" t="str">
            <v>FRANCE</v>
          </cell>
        </row>
        <row r="30055">
          <cell r="L30055" t="str">
            <v>Non-proportional</v>
          </cell>
          <cell r="S30055">
            <v>802885.44</v>
          </cell>
          <cell r="X30055" t="str">
            <v>GWP - gross</v>
          </cell>
          <cell r="Y30055" t="str">
            <v>UNITED KINGDOM</v>
          </cell>
        </row>
        <row r="30056">
          <cell r="L30056" t="str">
            <v>Proportional</v>
          </cell>
          <cell r="S30056">
            <v>9062.23</v>
          </cell>
          <cell r="X30056" t="str">
            <v>GWP - gross</v>
          </cell>
          <cell r="Y30056" t="str">
            <v>UNITED STATES</v>
          </cell>
        </row>
        <row r="30057">
          <cell r="L30057" t="str">
            <v>Non-proportional</v>
          </cell>
          <cell r="S30057">
            <v>-489598.73</v>
          </cell>
          <cell r="X30057" t="str">
            <v>GWP - gross</v>
          </cell>
          <cell r="Y30057" t="str">
            <v>TURKEY</v>
          </cell>
        </row>
        <row r="30058">
          <cell r="L30058" t="str">
            <v>Non-proportional</v>
          </cell>
          <cell r="S30058">
            <v>-7182.53</v>
          </cell>
          <cell r="X30058" t="str">
            <v>GWP - gross</v>
          </cell>
          <cell r="Y30058" t="str">
            <v>FRANCE</v>
          </cell>
        </row>
        <row r="30059">
          <cell r="L30059" t="str">
            <v>Non-proportional</v>
          </cell>
          <cell r="S30059">
            <v>75000</v>
          </cell>
          <cell r="X30059" t="str">
            <v>GWP - gross</v>
          </cell>
          <cell r="Y30059" t="str">
            <v>FRANCE</v>
          </cell>
        </row>
        <row r="30060">
          <cell r="L30060" t="str">
            <v>Non-proportional</v>
          </cell>
          <cell r="S30060">
            <v>-53530.720000000001</v>
          </cell>
          <cell r="X30060" t="str">
            <v>GWP - gross</v>
          </cell>
          <cell r="Y30060" t="str">
            <v>THAILAND</v>
          </cell>
        </row>
        <row r="30061">
          <cell r="L30061" t="str">
            <v>Non-proportional</v>
          </cell>
          <cell r="S30061">
            <v>-79998</v>
          </cell>
          <cell r="X30061" t="str">
            <v>GWP - gross</v>
          </cell>
          <cell r="Y30061" t="str">
            <v>ITALY</v>
          </cell>
        </row>
        <row r="30062">
          <cell r="L30062" t="str">
            <v>Non-proportional</v>
          </cell>
          <cell r="S30062">
            <v>-56775.47</v>
          </cell>
          <cell r="X30062" t="str">
            <v>GWP - gross</v>
          </cell>
          <cell r="Y30062" t="str">
            <v>UNITED KINGDOM</v>
          </cell>
        </row>
        <row r="30063">
          <cell r="L30063" t="str">
            <v>Non-proportional</v>
          </cell>
          <cell r="S30063">
            <v>81032.399999999994</v>
          </cell>
          <cell r="X30063" t="str">
            <v>GWP - gross</v>
          </cell>
          <cell r="Y30063" t="str">
            <v>CYPRUS</v>
          </cell>
        </row>
        <row r="30064">
          <cell r="L30064" t="str">
            <v>Non-proportional</v>
          </cell>
          <cell r="S30064">
            <v>21923.040000000001</v>
          </cell>
          <cell r="X30064" t="str">
            <v>GWP - gross</v>
          </cell>
          <cell r="Y30064" t="str">
            <v>CYPRUS</v>
          </cell>
        </row>
        <row r="30065">
          <cell r="L30065" t="str">
            <v>Non-proportional</v>
          </cell>
          <cell r="S30065">
            <v>39106.980000000003</v>
          </cell>
          <cell r="X30065" t="str">
            <v>GWP - gross</v>
          </cell>
          <cell r="Y30065" t="str">
            <v>ISRAEL</v>
          </cell>
        </row>
        <row r="30066">
          <cell r="L30066" t="str">
            <v>Non-proportional</v>
          </cell>
          <cell r="S30066">
            <v>-4200226.0999999996</v>
          </cell>
          <cell r="X30066" t="str">
            <v>GWP - gross</v>
          </cell>
          <cell r="Y30066" t="str">
            <v>EUROPE</v>
          </cell>
        </row>
        <row r="30067">
          <cell r="L30067" t="str">
            <v>Proportional</v>
          </cell>
          <cell r="S30067">
            <v>-246800</v>
          </cell>
          <cell r="X30067" t="str">
            <v>GWP - gross</v>
          </cell>
          <cell r="Y30067" t="str">
            <v>FRANCE</v>
          </cell>
        </row>
        <row r="30068">
          <cell r="L30068" t="str">
            <v>Non-proportional</v>
          </cell>
          <cell r="S30068">
            <v>-427015.1</v>
          </cell>
          <cell r="X30068" t="str">
            <v>GWP - gross</v>
          </cell>
          <cell r="Y30068" t="str">
            <v>HONG KONG</v>
          </cell>
        </row>
        <row r="30069">
          <cell r="L30069" t="str">
            <v>Non-proportional</v>
          </cell>
          <cell r="S30069">
            <v>-28135.200000000001</v>
          </cell>
          <cell r="X30069" t="str">
            <v>GWP - gross</v>
          </cell>
          <cell r="Y30069" t="str">
            <v>FRANCE</v>
          </cell>
        </row>
        <row r="30070">
          <cell r="L30070" t="str">
            <v>Non-proportional</v>
          </cell>
          <cell r="S30070">
            <v>3882273.69</v>
          </cell>
          <cell r="X30070" t="str">
            <v>GWP - gross</v>
          </cell>
          <cell r="Y30070" t="str">
            <v>UNITED KINGDOM</v>
          </cell>
        </row>
        <row r="30071">
          <cell r="L30071" t="str">
            <v>Non-proportional</v>
          </cell>
          <cell r="S30071">
            <v>-78000</v>
          </cell>
          <cell r="X30071" t="str">
            <v>GWP - gross</v>
          </cell>
          <cell r="Y30071" t="str">
            <v>FRANCE</v>
          </cell>
        </row>
        <row r="30072">
          <cell r="L30072" t="str">
            <v>Non-proportional</v>
          </cell>
          <cell r="S30072">
            <v>-6525</v>
          </cell>
          <cell r="X30072" t="str">
            <v>GWP - gross</v>
          </cell>
          <cell r="Y30072" t="str">
            <v>GREECE</v>
          </cell>
        </row>
        <row r="30073">
          <cell r="L30073" t="str">
            <v>Non-proportional</v>
          </cell>
          <cell r="S30073">
            <v>-73036.23</v>
          </cell>
          <cell r="X30073" t="str">
            <v>GWP - gross</v>
          </cell>
          <cell r="Y30073" t="str">
            <v>ITALY</v>
          </cell>
        </row>
        <row r="30074">
          <cell r="L30074" t="str">
            <v>Proportional</v>
          </cell>
          <cell r="S30074">
            <v>-6488241.2699999996</v>
          </cell>
          <cell r="X30074" t="str">
            <v>GWP - gross</v>
          </cell>
          <cell r="Y30074" t="str">
            <v>SWITZERLAND</v>
          </cell>
        </row>
        <row r="30075">
          <cell r="L30075" t="str">
            <v>Non-proportional</v>
          </cell>
          <cell r="S30075">
            <v>74334.7</v>
          </cell>
          <cell r="X30075" t="str">
            <v>GWP - gross</v>
          </cell>
          <cell r="Y30075" t="str">
            <v>SINGAPORE</v>
          </cell>
        </row>
        <row r="30076">
          <cell r="L30076" t="str">
            <v>Non-proportional</v>
          </cell>
          <cell r="S30076">
            <v>28241.35</v>
          </cell>
          <cell r="X30076" t="str">
            <v>GWP - gross</v>
          </cell>
          <cell r="Y30076" t="str">
            <v>COLOMBIA</v>
          </cell>
        </row>
        <row r="30077">
          <cell r="L30077" t="str">
            <v>Non-proportional</v>
          </cell>
          <cell r="S30077">
            <v>-54400</v>
          </cell>
          <cell r="X30077" t="str">
            <v>GWP - gross</v>
          </cell>
          <cell r="Y30077" t="str">
            <v>PORTUGAL</v>
          </cell>
        </row>
        <row r="30078">
          <cell r="L30078" t="str">
            <v>Proportional</v>
          </cell>
          <cell r="S30078">
            <v>-136.30000000000001</v>
          </cell>
          <cell r="X30078" t="str">
            <v>GWP - gross</v>
          </cell>
          <cell r="Y30078" t="str">
            <v>Hong Kong</v>
          </cell>
        </row>
        <row r="30079">
          <cell r="L30079" t="str">
            <v>Non-proportional</v>
          </cell>
          <cell r="S30079">
            <v>-29635.48</v>
          </cell>
          <cell r="X30079" t="str">
            <v>GWP - gross</v>
          </cell>
          <cell r="Y30079" t="str">
            <v>FRANCE</v>
          </cell>
        </row>
        <row r="30080">
          <cell r="L30080" t="str">
            <v>Non-proportional</v>
          </cell>
          <cell r="S30080">
            <v>-194072.69</v>
          </cell>
          <cell r="X30080" t="str">
            <v>GWP - gross</v>
          </cell>
          <cell r="Y30080" t="str">
            <v>PERU</v>
          </cell>
        </row>
        <row r="30081">
          <cell r="L30081" t="str">
            <v>Non-proportional</v>
          </cell>
          <cell r="S30081">
            <v>-77720.100000000006</v>
          </cell>
          <cell r="X30081" t="str">
            <v>GWP - gross</v>
          </cell>
          <cell r="Y30081" t="str">
            <v>ISRAEL</v>
          </cell>
        </row>
        <row r="30082">
          <cell r="L30082" t="str">
            <v>Non-proportional</v>
          </cell>
          <cell r="S30082">
            <v>-151915.37</v>
          </cell>
          <cell r="X30082" t="str">
            <v>GWP - gross</v>
          </cell>
          <cell r="Y30082" t="str">
            <v>ITALY</v>
          </cell>
        </row>
        <row r="30083">
          <cell r="L30083" t="str">
            <v>Non-proportional</v>
          </cell>
          <cell r="S30083">
            <v>-15000</v>
          </cell>
          <cell r="X30083" t="str">
            <v>GWP - gross</v>
          </cell>
          <cell r="Y30083" t="str">
            <v>PORTUGAL</v>
          </cell>
        </row>
        <row r="30084">
          <cell r="L30084" t="str">
            <v>Non-proportional</v>
          </cell>
          <cell r="S30084">
            <v>-364151.85</v>
          </cell>
          <cell r="X30084" t="str">
            <v>GWP - gross</v>
          </cell>
          <cell r="Y30084" t="str">
            <v>FRANCE</v>
          </cell>
        </row>
        <row r="30085">
          <cell r="L30085" t="str">
            <v>Non-proportional</v>
          </cell>
          <cell r="S30085">
            <v>61050.239999999998</v>
          </cell>
          <cell r="X30085" t="str">
            <v>GWP - gross</v>
          </cell>
          <cell r="Y30085" t="str">
            <v>ISRAEL</v>
          </cell>
        </row>
        <row r="30086">
          <cell r="L30086" t="str">
            <v>Non-proportional</v>
          </cell>
          <cell r="S30086">
            <v>-40700.160000000003</v>
          </cell>
          <cell r="X30086" t="str">
            <v>GWP - gross</v>
          </cell>
          <cell r="Y30086" t="str">
            <v>ISRAEL</v>
          </cell>
        </row>
        <row r="30087">
          <cell r="L30087" t="str">
            <v>Non-proportional</v>
          </cell>
          <cell r="S30087">
            <v>-35245.1</v>
          </cell>
          <cell r="X30087" t="str">
            <v>GWP - gross</v>
          </cell>
          <cell r="Y30087" t="str">
            <v>NETHERLANDS</v>
          </cell>
        </row>
        <row r="30088">
          <cell r="L30088" t="str">
            <v>Non-proportional</v>
          </cell>
          <cell r="S30088">
            <v>-265311.37</v>
          </cell>
          <cell r="X30088" t="str">
            <v>GWP - gross</v>
          </cell>
          <cell r="Y30088" t="str">
            <v>ISRAEL</v>
          </cell>
        </row>
        <row r="30089">
          <cell r="L30089" t="str">
            <v>Non-proportional</v>
          </cell>
          <cell r="S30089">
            <v>25538.21</v>
          </cell>
          <cell r="X30089" t="str">
            <v>GWP - gross</v>
          </cell>
          <cell r="Y30089" t="str">
            <v>UNITED KINGDOM</v>
          </cell>
        </row>
        <row r="30090">
          <cell r="L30090" t="str">
            <v>Non-proportional</v>
          </cell>
          <cell r="S30090">
            <v>-180515.45</v>
          </cell>
          <cell r="X30090" t="str">
            <v>GWP - gross</v>
          </cell>
          <cell r="Y30090" t="str">
            <v>FRANCE</v>
          </cell>
        </row>
        <row r="30091">
          <cell r="L30091" t="str">
            <v>Non-proportional</v>
          </cell>
          <cell r="S30091">
            <v>941094</v>
          </cell>
          <cell r="X30091" t="str">
            <v>GWP - gross</v>
          </cell>
          <cell r="Y30091" t="str">
            <v>EUROPE</v>
          </cell>
        </row>
        <row r="30092">
          <cell r="L30092" t="str">
            <v>Non-proportional</v>
          </cell>
          <cell r="S30092">
            <v>-1595</v>
          </cell>
          <cell r="X30092" t="str">
            <v>GWP - gross</v>
          </cell>
          <cell r="Y30092" t="str">
            <v>ITALY</v>
          </cell>
        </row>
        <row r="30093">
          <cell r="L30093" t="str">
            <v>Proportional</v>
          </cell>
          <cell r="S30093">
            <v>-24500000</v>
          </cell>
          <cell r="X30093" t="str">
            <v>GWP - gross</v>
          </cell>
          <cell r="Y30093" t="str">
            <v>PORTUGAL</v>
          </cell>
        </row>
        <row r="30094">
          <cell r="L30094" t="str">
            <v>Non-proportional</v>
          </cell>
          <cell r="S30094">
            <v>1259367.99</v>
          </cell>
          <cell r="X30094" t="str">
            <v>GWP - gross</v>
          </cell>
          <cell r="Y30094" t="str">
            <v>BELGIUM</v>
          </cell>
        </row>
        <row r="30095">
          <cell r="L30095" t="str">
            <v>Non-proportional</v>
          </cell>
          <cell r="S30095">
            <v>-88820</v>
          </cell>
          <cell r="X30095" t="str">
            <v>GWP - gross</v>
          </cell>
          <cell r="Y30095" t="str">
            <v>ITALY</v>
          </cell>
        </row>
        <row r="30096">
          <cell r="L30096" t="str">
            <v>Non-proportional</v>
          </cell>
          <cell r="S30096">
            <v>-105300.68</v>
          </cell>
          <cell r="X30096" t="str">
            <v>GWP - gross</v>
          </cell>
          <cell r="Y30096" t="str">
            <v>FRANCE</v>
          </cell>
        </row>
        <row r="30097">
          <cell r="L30097" t="str">
            <v>Non-proportional</v>
          </cell>
          <cell r="S30097">
            <v>-105000</v>
          </cell>
          <cell r="X30097" t="str">
            <v>GWP - gross</v>
          </cell>
          <cell r="Y30097" t="str">
            <v>EUROPE</v>
          </cell>
        </row>
        <row r="30098">
          <cell r="L30098" t="str">
            <v>Non-proportional</v>
          </cell>
          <cell r="S30098">
            <v>-126888.26</v>
          </cell>
          <cell r="X30098" t="str">
            <v>GWP - gross</v>
          </cell>
          <cell r="Y30098" t="str">
            <v>COSTA RICA</v>
          </cell>
        </row>
        <row r="30099">
          <cell r="L30099" t="str">
            <v>Non-proportional</v>
          </cell>
          <cell r="S30099">
            <v>-119730</v>
          </cell>
          <cell r="X30099" t="str">
            <v>GWP - gross</v>
          </cell>
          <cell r="Y30099" t="str">
            <v>ITALY</v>
          </cell>
        </row>
        <row r="30100">
          <cell r="L30100" t="str">
            <v>Non-proportional</v>
          </cell>
          <cell r="S30100">
            <v>-121446</v>
          </cell>
          <cell r="X30100" t="str">
            <v>GWP - gross</v>
          </cell>
          <cell r="Y30100" t="str">
            <v>ITALY</v>
          </cell>
        </row>
        <row r="30101">
          <cell r="L30101" t="str">
            <v>Non-proportional</v>
          </cell>
          <cell r="S30101">
            <v>-53020.49</v>
          </cell>
          <cell r="X30101" t="str">
            <v>GWP - gross</v>
          </cell>
          <cell r="Y30101" t="str">
            <v>ISRAEL</v>
          </cell>
        </row>
        <row r="30102">
          <cell r="L30102" t="str">
            <v>Proportional</v>
          </cell>
          <cell r="S30102">
            <v>-89283.9</v>
          </cell>
          <cell r="X30102" t="str">
            <v>GWP - gross</v>
          </cell>
          <cell r="Y30102" t="str">
            <v>UNITED STATES</v>
          </cell>
        </row>
        <row r="30103">
          <cell r="L30103" t="str">
            <v>Non-proportional</v>
          </cell>
          <cell r="S30103">
            <v>-47731.94</v>
          </cell>
          <cell r="X30103" t="str">
            <v>GWP - gross</v>
          </cell>
          <cell r="Y30103" t="str">
            <v>ISRAEL</v>
          </cell>
        </row>
        <row r="30104">
          <cell r="L30104" t="str">
            <v>Non-proportional</v>
          </cell>
          <cell r="S30104">
            <v>-38185.550000000003</v>
          </cell>
          <cell r="X30104" t="str">
            <v>GWP - gross</v>
          </cell>
          <cell r="Y30104" t="str">
            <v>ISRAEL</v>
          </cell>
        </row>
        <row r="30105">
          <cell r="L30105" t="str">
            <v>Non-proportional</v>
          </cell>
          <cell r="S30105">
            <v>-14375</v>
          </cell>
          <cell r="X30105" t="str">
            <v>GWP - gross</v>
          </cell>
          <cell r="Y30105" t="str">
            <v>GERMANY</v>
          </cell>
        </row>
        <row r="30106">
          <cell r="L30106" t="str">
            <v>Non-proportional</v>
          </cell>
          <cell r="S30106">
            <v>-11284.25</v>
          </cell>
          <cell r="X30106" t="str">
            <v>GWP - gross</v>
          </cell>
          <cell r="Y30106" t="str">
            <v>CYPRUS</v>
          </cell>
        </row>
        <row r="30107">
          <cell r="L30107" t="str">
            <v>Non-proportional</v>
          </cell>
          <cell r="S30107">
            <v>-239612.77</v>
          </cell>
          <cell r="X30107" t="str">
            <v>GWP - gross</v>
          </cell>
          <cell r="Y30107" t="str">
            <v>FRANCE</v>
          </cell>
        </row>
        <row r="30108">
          <cell r="L30108" t="str">
            <v>Non-proportional</v>
          </cell>
          <cell r="S30108">
            <v>4798.16</v>
          </cell>
          <cell r="X30108" t="str">
            <v>GWP - gross</v>
          </cell>
          <cell r="Y30108" t="str">
            <v>CHILE</v>
          </cell>
        </row>
        <row r="30109">
          <cell r="L30109" t="str">
            <v>Non-proportional</v>
          </cell>
          <cell r="S30109">
            <v>15992.64</v>
          </cell>
          <cell r="X30109" t="str">
            <v>GWP - gross</v>
          </cell>
          <cell r="Y30109" t="str">
            <v>FRANCE</v>
          </cell>
        </row>
        <row r="30110">
          <cell r="L30110" t="str">
            <v>Non-proportional</v>
          </cell>
          <cell r="S30110">
            <v>-124579.95</v>
          </cell>
          <cell r="X30110" t="str">
            <v>GWP - gross</v>
          </cell>
          <cell r="Y30110" t="str">
            <v>COLOMBIA</v>
          </cell>
        </row>
        <row r="30111">
          <cell r="L30111" t="str">
            <v>Non-proportional</v>
          </cell>
          <cell r="S30111">
            <v>-456321.03</v>
          </cell>
          <cell r="X30111" t="str">
            <v>GWP - gross</v>
          </cell>
          <cell r="Y30111" t="str">
            <v>FRANCE</v>
          </cell>
        </row>
        <row r="30112">
          <cell r="L30112" t="str">
            <v>Non-proportional</v>
          </cell>
          <cell r="S30112">
            <v>-66275.61</v>
          </cell>
          <cell r="X30112" t="str">
            <v>GWP - gross</v>
          </cell>
          <cell r="Y30112" t="str">
            <v>ISRAEL</v>
          </cell>
        </row>
        <row r="30113">
          <cell r="L30113" t="str">
            <v>Non-proportional</v>
          </cell>
          <cell r="S30113">
            <v>-260000</v>
          </cell>
          <cell r="X30113" t="str">
            <v>GWP - gross</v>
          </cell>
          <cell r="Y30113" t="str">
            <v>FRANCE</v>
          </cell>
        </row>
        <row r="30114">
          <cell r="L30114" t="str">
            <v>Non-proportional</v>
          </cell>
          <cell r="S30114">
            <v>12186.65</v>
          </cell>
          <cell r="X30114" t="str">
            <v>GWP - gross</v>
          </cell>
          <cell r="Y30114" t="str">
            <v>UNITED KINGDOM</v>
          </cell>
        </row>
        <row r="30115">
          <cell r="L30115" t="str">
            <v>Non-proportional</v>
          </cell>
          <cell r="S30115">
            <v>1466052.01</v>
          </cell>
          <cell r="X30115" t="str">
            <v>GWP - gross</v>
          </cell>
          <cell r="Y30115" t="str">
            <v>BELGIUM</v>
          </cell>
        </row>
        <row r="30116">
          <cell r="L30116" t="str">
            <v>Non-proportional</v>
          </cell>
          <cell r="S30116">
            <v>9360</v>
          </cell>
          <cell r="X30116" t="str">
            <v>GWP - gross</v>
          </cell>
          <cell r="Y30116" t="str">
            <v>GREECE</v>
          </cell>
        </row>
        <row r="30117">
          <cell r="L30117" t="str">
            <v>Non-proportional</v>
          </cell>
          <cell r="S30117">
            <v>-10223140.310000001</v>
          </cell>
          <cell r="X30117" t="str">
            <v>GWP - gross</v>
          </cell>
          <cell r="Y30117" t="str">
            <v>UNITED KINGDOM</v>
          </cell>
        </row>
        <row r="30118">
          <cell r="L30118" t="str">
            <v>Non-proportional</v>
          </cell>
          <cell r="S30118">
            <v>-6350</v>
          </cell>
          <cell r="X30118" t="str">
            <v>GWP - gross</v>
          </cell>
          <cell r="Y30118" t="str">
            <v>ITALY</v>
          </cell>
        </row>
        <row r="30119">
          <cell r="L30119" t="str">
            <v>Non-proportional</v>
          </cell>
          <cell r="S30119">
            <v>-14249.94</v>
          </cell>
          <cell r="X30119" t="str">
            <v>GWP - gross</v>
          </cell>
          <cell r="Y30119" t="str">
            <v>ISRAEL</v>
          </cell>
        </row>
        <row r="30120">
          <cell r="L30120" t="str">
            <v>Non-proportional</v>
          </cell>
          <cell r="S30120">
            <v>-12538.03</v>
          </cell>
          <cell r="X30120" t="str">
            <v>GWP - gross</v>
          </cell>
          <cell r="Y30120" t="str">
            <v>CYPRUS</v>
          </cell>
        </row>
        <row r="30121">
          <cell r="L30121" t="str">
            <v>Non-proportional</v>
          </cell>
          <cell r="S30121">
            <v>8960.7800000000007</v>
          </cell>
          <cell r="X30121" t="str">
            <v>GWP - gross</v>
          </cell>
          <cell r="Y30121" t="str">
            <v>UNITED KINGDOM</v>
          </cell>
        </row>
        <row r="30122">
          <cell r="L30122" t="str">
            <v>Proportional</v>
          </cell>
          <cell r="S30122">
            <v>210.87</v>
          </cell>
          <cell r="X30122" t="str">
            <v>GWP - gross</v>
          </cell>
          <cell r="Y30122" t="str">
            <v>HONG KONG</v>
          </cell>
        </row>
        <row r="30123">
          <cell r="L30123" t="str">
            <v>Non-proportional</v>
          </cell>
          <cell r="S30123">
            <v>-26785.599999999999</v>
          </cell>
          <cell r="X30123" t="str">
            <v>GWP - gross</v>
          </cell>
          <cell r="Y30123" t="str">
            <v>ISRAEL</v>
          </cell>
        </row>
        <row r="30124">
          <cell r="L30124" t="str">
            <v>Non-proportional</v>
          </cell>
          <cell r="S30124">
            <v>-101718.32</v>
          </cell>
          <cell r="X30124" t="str">
            <v>GWP - gross</v>
          </cell>
          <cell r="Y30124" t="str">
            <v>ISRAEL</v>
          </cell>
        </row>
        <row r="30125">
          <cell r="L30125" t="str">
            <v>Non-proportional</v>
          </cell>
          <cell r="S30125">
            <v>-72367.03</v>
          </cell>
          <cell r="X30125" t="str">
            <v>GWP - gross</v>
          </cell>
          <cell r="Y30125" t="str">
            <v>ITALY</v>
          </cell>
        </row>
        <row r="30126">
          <cell r="L30126" t="str">
            <v>Non-proportional</v>
          </cell>
          <cell r="S30126">
            <v>-75235.240000000005</v>
          </cell>
          <cell r="X30126" t="str">
            <v>GWP - gross</v>
          </cell>
          <cell r="Y30126" t="str">
            <v>MEXICO</v>
          </cell>
        </row>
        <row r="30127">
          <cell r="L30127" t="str">
            <v>Non-proportional</v>
          </cell>
          <cell r="S30127">
            <v>-9244.36</v>
          </cell>
          <cell r="X30127" t="str">
            <v>GWP - gross</v>
          </cell>
          <cell r="Y30127" t="str">
            <v>FRANCE</v>
          </cell>
        </row>
        <row r="30128">
          <cell r="L30128" t="str">
            <v>Non-proportional</v>
          </cell>
          <cell r="S30128">
            <v>96873.99</v>
          </cell>
          <cell r="X30128" t="str">
            <v>GWP - gross</v>
          </cell>
          <cell r="Y30128" t="str">
            <v>BELGIUM</v>
          </cell>
        </row>
        <row r="30129">
          <cell r="L30129" t="str">
            <v>Non-proportional</v>
          </cell>
          <cell r="S30129">
            <v>-9258</v>
          </cell>
          <cell r="X30129" t="str">
            <v>GWP - gross</v>
          </cell>
          <cell r="Y30129" t="str">
            <v>GERMANY</v>
          </cell>
        </row>
        <row r="30130">
          <cell r="L30130" t="str">
            <v>Non-proportional</v>
          </cell>
          <cell r="S30130">
            <v>9288</v>
          </cell>
          <cell r="X30130" t="str">
            <v>GWP - gross</v>
          </cell>
          <cell r="Y30130" t="str">
            <v>GREECE</v>
          </cell>
        </row>
        <row r="30131">
          <cell r="L30131" t="str">
            <v>Proportional</v>
          </cell>
          <cell r="S30131">
            <v>-175105.18</v>
          </cell>
          <cell r="X30131" t="str">
            <v>GWP - gross</v>
          </cell>
          <cell r="Y30131" t="str">
            <v>THAILAND</v>
          </cell>
        </row>
        <row r="30132">
          <cell r="L30132" t="str">
            <v>Non-proportional</v>
          </cell>
          <cell r="S30132">
            <v>68303.28</v>
          </cell>
          <cell r="X30132" t="str">
            <v>GWP - gross</v>
          </cell>
          <cell r="Y30132" t="str">
            <v>ISRAEL</v>
          </cell>
        </row>
        <row r="30133">
          <cell r="L30133" t="str">
            <v>Non-proportional</v>
          </cell>
          <cell r="S30133">
            <v>-10180.799999999999</v>
          </cell>
          <cell r="X30133" t="str">
            <v>GWP - gross</v>
          </cell>
          <cell r="Y30133" t="str">
            <v>CYPRUS</v>
          </cell>
        </row>
        <row r="30134">
          <cell r="L30134" t="str">
            <v>Non-proportional</v>
          </cell>
          <cell r="S30134">
            <v>6350</v>
          </cell>
          <cell r="X30134" t="str">
            <v>GWP - gross</v>
          </cell>
          <cell r="Y30134" t="str">
            <v>ITALY</v>
          </cell>
        </row>
        <row r="30135">
          <cell r="L30135" t="str">
            <v>Non-proportional</v>
          </cell>
          <cell r="S30135">
            <v>-1240912.26</v>
          </cell>
          <cell r="X30135" t="str">
            <v>GWP - gross</v>
          </cell>
          <cell r="Y30135" t="str">
            <v>UNITED KINGDOM</v>
          </cell>
        </row>
        <row r="30136">
          <cell r="L30136" t="str">
            <v>Non-proportional</v>
          </cell>
          <cell r="S30136">
            <v>-27215</v>
          </cell>
          <cell r="X30136" t="str">
            <v>GWP - gross</v>
          </cell>
          <cell r="Y30136" t="str">
            <v>TURKEY</v>
          </cell>
        </row>
        <row r="30137">
          <cell r="L30137" t="str">
            <v>Non-proportional</v>
          </cell>
          <cell r="S30137">
            <v>-173088.52</v>
          </cell>
          <cell r="X30137" t="str">
            <v>GWP - gross</v>
          </cell>
          <cell r="Y30137" t="str">
            <v>FRANCE</v>
          </cell>
        </row>
        <row r="30138">
          <cell r="L30138" t="str">
            <v>Proportional</v>
          </cell>
          <cell r="S30138">
            <v>-34592206</v>
          </cell>
          <cell r="X30138" t="str">
            <v>GWP - gross</v>
          </cell>
          <cell r="Y30138" t="str">
            <v>THAILAND</v>
          </cell>
        </row>
        <row r="30139">
          <cell r="L30139" t="str">
            <v>Non-proportional</v>
          </cell>
          <cell r="S30139">
            <v>9244.36</v>
          </cell>
          <cell r="X30139" t="str">
            <v>GWP - gross</v>
          </cell>
          <cell r="Y30139" t="str">
            <v>FRANCE</v>
          </cell>
        </row>
        <row r="30140">
          <cell r="L30140" t="str">
            <v>Non-proportional</v>
          </cell>
          <cell r="S30140">
            <v>-4231.45</v>
          </cell>
          <cell r="X30140" t="str">
            <v>GWP - gross</v>
          </cell>
          <cell r="Y30140" t="str">
            <v>CHILE</v>
          </cell>
        </row>
        <row r="30141">
          <cell r="L30141" t="str">
            <v>Non-proportional</v>
          </cell>
          <cell r="S30141">
            <v>-41332.17</v>
          </cell>
          <cell r="X30141" t="str">
            <v>GWP - gross</v>
          </cell>
          <cell r="Y30141" t="str">
            <v>CHILE</v>
          </cell>
        </row>
        <row r="30142">
          <cell r="L30142" t="str">
            <v>Proportional</v>
          </cell>
          <cell r="S30142">
            <v>39197.449999999997</v>
          </cell>
          <cell r="X30142" t="str">
            <v>GWP - gross</v>
          </cell>
          <cell r="Y30142" t="str">
            <v>HONG KONG</v>
          </cell>
        </row>
        <row r="30143">
          <cell r="L30143" t="str">
            <v>Non-proportional</v>
          </cell>
          <cell r="S30143">
            <v>-1045660</v>
          </cell>
          <cell r="X30143" t="str">
            <v>GWP - gross</v>
          </cell>
          <cell r="Y30143" t="str">
            <v>EUROPE</v>
          </cell>
        </row>
        <row r="30144">
          <cell r="L30144" t="str">
            <v>Non-proportional</v>
          </cell>
          <cell r="S30144">
            <v>-39711.089999999997</v>
          </cell>
          <cell r="X30144" t="str">
            <v>GWP - gross</v>
          </cell>
          <cell r="Y30144" t="str">
            <v>ISRAEL</v>
          </cell>
        </row>
        <row r="30145">
          <cell r="L30145" t="str">
            <v>Non-proportional</v>
          </cell>
          <cell r="S30145">
            <v>-17500</v>
          </cell>
          <cell r="X30145" t="str">
            <v>GWP - gross</v>
          </cell>
          <cell r="Y30145" t="str">
            <v>GREECE</v>
          </cell>
        </row>
        <row r="30146">
          <cell r="L30146" t="str">
            <v>Non-proportional</v>
          </cell>
          <cell r="S30146">
            <v>-54503.13</v>
          </cell>
          <cell r="X30146" t="str">
            <v>GWP - gross</v>
          </cell>
          <cell r="Y30146" t="str">
            <v>TURKEY</v>
          </cell>
        </row>
        <row r="30147">
          <cell r="L30147" t="str">
            <v>Non-proportional</v>
          </cell>
          <cell r="S30147">
            <v>-48012</v>
          </cell>
          <cell r="X30147" t="str">
            <v>GWP - gross</v>
          </cell>
          <cell r="Y30147" t="str">
            <v>ITALY</v>
          </cell>
        </row>
        <row r="30148">
          <cell r="L30148" t="str">
            <v>Non-proportional</v>
          </cell>
          <cell r="S30148">
            <v>35218.89</v>
          </cell>
          <cell r="X30148" t="str">
            <v>GWP - gross</v>
          </cell>
          <cell r="Y30148" t="str">
            <v>ISRAEL</v>
          </cell>
        </row>
        <row r="30149">
          <cell r="L30149" t="str">
            <v>Proportional</v>
          </cell>
          <cell r="S30149">
            <v>-169272.13</v>
          </cell>
          <cell r="X30149" t="str">
            <v>GWP - gross</v>
          </cell>
          <cell r="Y30149" t="str">
            <v>HONG KONG</v>
          </cell>
        </row>
        <row r="30150">
          <cell r="L30150" t="str">
            <v>Non-proportional</v>
          </cell>
          <cell r="S30150">
            <v>-7848.4</v>
          </cell>
          <cell r="X30150" t="str">
            <v>GWP - gross</v>
          </cell>
          <cell r="Y30150" t="str">
            <v>MEXICO</v>
          </cell>
        </row>
        <row r="30151">
          <cell r="L30151" t="str">
            <v>Non-proportional</v>
          </cell>
          <cell r="S30151">
            <v>18674.32</v>
          </cell>
          <cell r="X30151" t="str">
            <v>GWP - gross</v>
          </cell>
          <cell r="Y30151" t="str">
            <v>NEW ZEALAND</v>
          </cell>
        </row>
        <row r="30152">
          <cell r="L30152" t="str">
            <v>Non-proportional</v>
          </cell>
          <cell r="S30152">
            <v>-1184495</v>
          </cell>
          <cell r="X30152" t="str">
            <v>GWP - gross</v>
          </cell>
          <cell r="Y30152" t="str">
            <v>EUROPE</v>
          </cell>
        </row>
        <row r="30153">
          <cell r="L30153" t="str">
            <v>Non-proportional</v>
          </cell>
          <cell r="S30153">
            <v>-35996.9</v>
          </cell>
          <cell r="X30153" t="str">
            <v>GWP - gross</v>
          </cell>
          <cell r="Y30153" t="str">
            <v>NETHERLANDS</v>
          </cell>
        </row>
        <row r="30154">
          <cell r="L30154" t="str">
            <v>Non-proportional</v>
          </cell>
          <cell r="S30154">
            <v>-124001.51</v>
          </cell>
          <cell r="X30154" t="str">
            <v>GWP - gross</v>
          </cell>
          <cell r="Y30154" t="str">
            <v>PERU</v>
          </cell>
        </row>
        <row r="30155">
          <cell r="L30155" t="str">
            <v>Non-proportional</v>
          </cell>
          <cell r="S30155">
            <v>66062.080000000002</v>
          </cell>
          <cell r="X30155" t="str">
            <v>GWP - gross</v>
          </cell>
          <cell r="Y30155" t="str">
            <v>ISRAEL</v>
          </cell>
        </row>
        <row r="30156">
          <cell r="L30156" t="str">
            <v>Non-proportional</v>
          </cell>
          <cell r="S30156">
            <v>58420</v>
          </cell>
          <cell r="X30156" t="str">
            <v>GWP - gross</v>
          </cell>
          <cell r="Y30156" t="str">
            <v>ITALY</v>
          </cell>
        </row>
        <row r="30157">
          <cell r="L30157" t="str">
            <v>Non-proportional</v>
          </cell>
          <cell r="S30157">
            <v>-11523.14</v>
          </cell>
          <cell r="X30157" t="str">
            <v>GWP - gross</v>
          </cell>
          <cell r="Y30157" t="str">
            <v>CHILE</v>
          </cell>
        </row>
        <row r="30158">
          <cell r="L30158" t="str">
            <v>Non-proportional</v>
          </cell>
          <cell r="S30158">
            <v>130908.9</v>
          </cell>
          <cell r="X30158" t="str">
            <v>GWP - gross</v>
          </cell>
          <cell r="Y30158" t="str">
            <v>ITALY</v>
          </cell>
        </row>
        <row r="30159">
          <cell r="L30159" t="str">
            <v>Non-proportional</v>
          </cell>
          <cell r="S30159">
            <v>-71529.919999999998</v>
          </cell>
          <cell r="X30159" t="str">
            <v>GWP - gross</v>
          </cell>
          <cell r="Y30159" t="str">
            <v>CYPRUS</v>
          </cell>
        </row>
        <row r="30160">
          <cell r="L30160" t="str">
            <v>Non-proportional</v>
          </cell>
          <cell r="S30160">
            <v>4231.45</v>
          </cell>
          <cell r="X30160" t="str">
            <v>GWP - gross</v>
          </cell>
          <cell r="Y30160" t="str">
            <v>CHILE</v>
          </cell>
        </row>
        <row r="30161">
          <cell r="L30161" t="str">
            <v>Proportional</v>
          </cell>
          <cell r="S30161">
            <v>-561000</v>
          </cell>
          <cell r="X30161" t="str">
            <v>GWP - gross</v>
          </cell>
          <cell r="Y30161" t="str">
            <v>ITALY</v>
          </cell>
        </row>
        <row r="30162">
          <cell r="L30162" t="str">
            <v>Non-proportional</v>
          </cell>
          <cell r="S30162">
            <v>-185318.41</v>
          </cell>
          <cell r="X30162" t="str">
            <v>GWP - gross</v>
          </cell>
          <cell r="Y30162" t="str">
            <v>ISRAEL</v>
          </cell>
        </row>
        <row r="30163">
          <cell r="L30163" t="str">
            <v>Non-proportional</v>
          </cell>
          <cell r="S30163">
            <v>88999.99</v>
          </cell>
          <cell r="X30163" t="str">
            <v>GWP - gross</v>
          </cell>
          <cell r="Y30163" t="str">
            <v>EUROPE</v>
          </cell>
        </row>
        <row r="30164">
          <cell r="L30164" t="str">
            <v>Non-proportional</v>
          </cell>
          <cell r="S30164">
            <v>105535.26</v>
          </cell>
          <cell r="X30164" t="str">
            <v>GWP - gross</v>
          </cell>
          <cell r="Y30164" t="str">
            <v>ISRAEL</v>
          </cell>
        </row>
        <row r="30165">
          <cell r="L30165" t="str">
            <v>Non-proportional</v>
          </cell>
          <cell r="S30165">
            <v>-94274.22</v>
          </cell>
          <cell r="X30165" t="str">
            <v>GWP - gross</v>
          </cell>
          <cell r="Y30165" t="str">
            <v>PERU</v>
          </cell>
        </row>
        <row r="30166">
          <cell r="L30166" t="str">
            <v>Proportional</v>
          </cell>
          <cell r="S30166">
            <v>-1148072.99</v>
          </cell>
          <cell r="X30166" t="str">
            <v>GWP - gross</v>
          </cell>
          <cell r="Y30166" t="str">
            <v>PORTUGAL</v>
          </cell>
        </row>
        <row r="30167">
          <cell r="L30167" t="str">
            <v>Non-proportional</v>
          </cell>
          <cell r="S30167">
            <v>-112000</v>
          </cell>
          <cell r="X30167" t="str">
            <v>GWP - gross</v>
          </cell>
          <cell r="Y30167" t="str">
            <v>PORTUGAL</v>
          </cell>
        </row>
        <row r="30168">
          <cell r="L30168" t="str">
            <v>Non-proportional</v>
          </cell>
          <cell r="S30168">
            <v>16328.5</v>
          </cell>
          <cell r="X30168" t="str">
            <v>GWP - gross</v>
          </cell>
          <cell r="Y30168" t="str">
            <v>ISRAEL</v>
          </cell>
        </row>
        <row r="30169">
          <cell r="L30169" t="str">
            <v>Proportional</v>
          </cell>
          <cell r="S30169">
            <v>-539.66999999999996</v>
          </cell>
          <cell r="X30169" t="str">
            <v>GWP - gross</v>
          </cell>
          <cell r="Y30169" t="str">
            <v>Hong Kong</v>
          </cell>
        </row>
        <row r="30170">
          <cell r="L30170" t="str">
            <v>Non-proportional</v>
          </cell>
          <cell r="S30170">
            <v>-138127.70000000001</v>
          </cell>
          <cell r="X30170" t="str">
            <v>GWP - gross</v>
          </cell>
          <cell r="Y30170" t="str">
            <v>EUROPE</v>
          </cell>
        </row>
        <row r="30171">
          <cell r="L30171" t="str">
            <v>Non-proportional</v>
          </cell>
          <cell r="S30171">
            <v>-28135.200000000001</v>
          </cell>
          <cell r="X30171" t="str">
            <v>GWP - gross</v>
          </cell>
          <cell r="Y30171" t="str">
            <v>FRANCE</v>
          </cell>
        </row>
        <row r="30172">
          <cell r="L30172" t="str">
            <v>Proportional</v>
          </cell>
          <cell r="S30172">
            <v>-3873308.81</v>
          </cell>
          <cell r="X30172" t="str">
            <v>GWP - gross</v>
          </cell>
          <cell r="Y30172" t="str">
            <v>UNITED STATES</v>
          </cell>
        </row>
        <row r="30173">
          <cell r="L30173" t="str">
            <v>Non-proportional</v>
          </cell>
          <cell r="S30173">
            <v>-70216</v>
          </cell>
          <cell r="X30173" t="str">
            <v>GWP - gross</v>
          </cell>
          <cell r="Y30173" t="str">
            <v>ITALY</v>
          </cell>
        </row>
        <row r="30174">
          <cell r="L30174" t="str">
            <v>Non-proportional</v>
          </cell>
          <cell r="S30174">
            <v>10223140.310000001</v>
          </cell>
          <cell r="X30174" t="str">
            <v>GWP - gross</v>
          </cell>
          <cell r="Y30174" t="str">
            <v>UNITED KINGDOM</v>
          </cell>
        </row>
        <row r="30175">
          <cell r="L30175" t="str">
            <v>Non-proportional</v>
          </cell>
          <cell r="S30175">
            <v>63415.25</v>
          </cell>
          <cell r="X30175" t="str">
            <v>GWP - gross</v>
          </cell>
          <cell r="Y30175" t="str">
            <v>ISRAEL</v>
          </cell>
        </row>
        <row r="30176">
          <cell r="L30176" t="str">
            <v>Non-proportional</v>
          </cell>
          <cell r="S30176">
            <v>-15992.64</v>
          </cell>
          <cell r="X30176" t="str">
            <v>GWP - gross</v>
          </cell>
          <cell r="Y30176" t="str">
            <v>FRANCE</v>
          </cell>
        </row>
        <row r="30177">
          <cell r="L30177" t="str">
            <v>Non-proportional</v>
          </cell>
          <cell r="S30177">
            <v>-26157.42</v>
          </cell>
          <cell r="X30177" t="str">
            <v>GWP - gross</v>
          </cell>
          <cell r="Y30177" t="str">
            <v>FRANCE</v>
          </cell>
        </row>
        <row r="30178">
          <cell r="L30178" t="str">
            <v>Non-proportional</v>
          </cell>
          <cell r="S30178">
            <v>-1311964.56</v>
          </cell>
          <cell r="X30178" t="str">
            <v>GWP - gross</v>
          </cell>
          <cell r="Y30178" t="str">
            <v>FRANCE</v>
          </cell>
        </row>
        <row r="30179">
          <cell r="L30179" t="str">
            <v>Non-proportional</v>
          </cell>
          <cell r="S30179">
            <v>-9112.5</v>
          </cell>
          <cell r="X30179" t="str">
            <v>GWP - gross</v>
          </cell>
          <cell r="Y30179" t="str">
            <v>GREECE</v>
          </cell>
        </row>
        <row r="30180">
          <cell r="L30180" t="str">
            <v>Non-proportional</v>
          </cell>
          <cell r="S30180">
            <v>-69050</v>
          </cell>
          <cell r="X30180" t="str">
            <v>GWP - gross</v>
          </cell>
          <cell r="Y30180" t="str">
            <v>NETHERLANDS</v>
          </cell>
        </row>
        <row r="30181">
          <cell r="L30181" t="str">
            <v>Non-proportional</v>
          </cell>
          <cell r="S30181">
            <v>-21294.92</v>
          </cell>
          <cell r="X30181" t="str">
            <v>GWP - gross</v>
          </cell>
          <cell r="Y30181" t="str">
            <v>BELGIUM</v>
          </cell>
        </row>
        <row r="30182">
          <cell r="L30182" t="str">
            <v>Proportional</v>
          </cell>
          <cell r="S30182">
            <v>-1507.05</v>
          </cell>
          <cell r="X30182" t="str">
            <v>GWP - gross</v>
          </cell>
          <cell r="Y30182" t="str">
            <v>UNITED STATES</v>
          </cell>
        </row>
        <row r="30183">
          <cell r="L30183" t="str">
            <v>Non-proportional</v>
          </cell>
          <cell r="S30183">
            <v>-303580.83</v>
          </cell>
          <cell r="X30183" t="str">
            <v>GWP - gross</v>
          </cell>
          <cell r="Y30183" t="str">
            <v>FRANCE</v>
          </cell>
        </row>
        <row r="30184">
          <cell r="L30184" t="str">
            <v>Proportional</v>
          </cell>
          <cell r="S30184">
            <v>-3423.44</v>
          </cell>
          <cell r="X30184" t="str">
            <v>GWP - gross</v>
          </cell>
          <cell r="Y30184" t="str">
            <v>Hong Kong</v>
          </cell>
        </row>
        <row r="30185">
          <cell r="L30185" t="str">
            <v>Non-proportional</v>
          </cell>
          <cell r="S30185">
            <v>-3614156.85</v>
          </cell>
          <cell r="X30185" t="str">
            <v>GWP - gross</v>
          </cell>
          <cell r="Y30185" t="str">
            <v>UNITED KINGDOM</v>
          </cell>
        </row>
        <row r="30186">
          <cell r="L30186" t="str">
            <v>Non-proportional</v>
          </cell>
          <cell r="S30186">
            <v>-4839557.67</v>
          </cell>
          <cell r="X30186" t="str">
            <v>GWP - gross</v>
          </cell>
          <cell r="Y30186" t="str">
            <v>UNITED KINGDOM</v>
          </cell>
        </row>
        <row r="30187">
          <cell r="L30187" t="str">
            <v>Non-proportional</v>
          </cell>
          <cell r="S30187">
            <v>-949.36</v>
          </cell>
          <cell r="X30187" t="str">
            <v>GWP - gross</v>
          </cell>
          <cell r="Y30187" t="str">
            <v>UNITED KINGDOM</v>
          </cell>
        </row>
        <row r="30188">
          <cell r="L30188" t="str">
            <v>Non-proportional</v>
          </cell>
          <cell r="S30188">
            <v>-45488.05</v>
          </cell>
          <cell r="X30188" t="str">
            <v>GWP - gross</v>
          </cell>
          <cell r="Y30188" t="str">
            <v>CHILE</v>
          </cell>
        </row>
        <row r="30189">
          <cell r="L30189" t="str">
            <v>Non-proportional</v>
          </cell>
          <cell r="S30189">
            <v>-17490</v>
          </cell>
          <cell r="X30189" t="str">
            <v>GWP - gross</v>
          </cell>
          <cell r="Y30189" t="str">
            <v>ITALY</v>
          </cell>
        </row>
        <row r="30190">
          <cell r="L30190" t="str">
            <v>Non-proportional</v>
          </cell>
          <cell r="S30190">
            <v>-46200</v>
          </cell>
          <cell r="X30190" t="str">
            <v>GWP - gross</v>
          </cell>
          <cell r="Y30190" t="str">
            <v>BELGIUM</v>
          </cell>
        </row>
        <row r="30191">
          <cell r="L30191" t="str">
            <v>Non-proportional</v>
          </cell>
          <cell r="S30191">
            <v>28970.9</v>
          </cell>
          <cell r="X30191" t="str">
            <v>GWP - gross</v>
          </cell>
          <cell r="Y30191" t="str">
            <v>MEXICO</v>
          </cell>
        </row>
        <row r="30192">
          <cell r="L30192" t="str">
            <v>Proportional</v>
          </cell>
          <cell r="S30192">
            <v>277570.73</v>
          </cell>
          <cell r="X30192" t="str">
            <v>GWP - gross</v>
          </cell>
          <cell r="Y30192" t="str">
            <v>JAPAN</v>
          </cell>
        </row>
        <row r="30193">
          <cell r="L30193" t="str">
            <v>Non-proportional</v>
          </cell>
          <cell r="S30193">
            <v>-71021.179999999993</v>
          </cell>
          <cell r="X30193" t="str">
            <v>GWP - gross</v>
          </cell>
          <cell r="Y30193" t="str">
            <v>EUROPE</v>
          </cell>
        </row>
        <row r="30194">
          <cell r="L30194" t="str">
            <v>Non-proportional</v>
          </cell>
          <cell r="S30194">
            <v>-348010.01</v>
          </cell>
          <cell r="X30194" t="str">
            <v>GWP - gross</v>
          </cell>
          <cell r="Y30194" t="str">
            <v>TURKEY</v>
          </cell>
        </row>
        <row r="30195">
          <cell r="L30195" t="str">
            <v>Non-proportional</v>
          </cell>
          <cell r="S30195">
            <v>-58680.959999999999</v>
          </cell>
          <cell r="X30195" t="str">
            <v>GWP - gross</v>
          </cell>
          <cell r="Y30195" t="str">
            <v>FRANCE</v>
          </cell>
        </row>
        <row r="30196">
          <cell r="L30196" t="str">
            <v>Non-proportional</v>
          </cell>
          <cell r="S30196">
            <v>265311.37</v>
          </cell>
          <cell r="X30196" t="str">
            <v>GWP - gross</v>
          </cell>
          <cell r="Y30196" t="str">
            <v>ISRAEL</v>
          </cell>
        </row>
        <row r="30197">
          <cell r="L30197" t="str">
            <v>Non-proportional</v>
          </cell>
          <cell r="S30197">
            <v>-25538.21</v>
          </cell>
          <cell r="X30197" t="str">
            <v>GWP - gross</v>
          </cell>
          <cell r="Y30197" t="str">
            <v>UNITED KINGDOM</v>
          </cell>
        </row>
        <row r="30198">
          <cell r="L30198" t="str">
            <v>Non-proportional</v>
          </cell>
          <cell r="S30198">
            <v>-41433.980000000003</v>
          </cell>
          <cell r="X30198" t="str">
            <v>GWP - gross</v>
          </cell>
          <cell r="Y30198" t="str">
            <v>ISRAEL</v>
          </cell>
        </row>
        <row r="30199">
          <cell r="L30199" t="str">
            <v>Non-proportional</v>
          </cell>
          <cell r="S30199">
            <v>4133.8999999999996</v>
          </cell>
          <cell r="X30199" t="str">
            <v>GWP - gross</v>
          </cell>
          <cell r="Y30199" t="str">
            <v>UNITED KINGDOM</v>
          </cell>
        </row>
        <row r="30200">
          <cell r="L30200" t="str">
            <v>Non-proportional</v>
          </cell>
          <cell r="S30200">
            <v>-43109.03</v>
          </cell>
          <cell r="X30200" t="str">
            <v>GWP - gross</v>
          </cell>
          <cell r="Y30200" t="str">
            <v>FRANCE</v>
          </cell>
        </row>
        <row r="30201">
          <cell r="L30201" t="str">
            <v>Non-proportional</v>
          </cell>
          <cell r="S30201">
            <v>44890.79</v>
          </cell>
          <cell r="X30201" t="str">
            <v>GWP - gross</v>
          </cell>
          <cell r="Y30201" t="str">
            <v>SINGAPORE</v>
          </cell>
        </row>
        <row r="30202">
          <cell r="L30202" t="str">
            <v>Proportional</v>
          </cell>
          <cell r="S30202">
            <v>-286000.45</v>
          </cell>
          <cell r="X30202" t="str">
            <v>GWP - gross</v>
          </cell>
          <cell r="Y30202" t="str">
            <v>CHILE</v>
          </cell>
        </row>
        <row r="30203">
          <cell r="L30203" t="str">
            <v>Proportional</v>
          </cell>
          <cell r="S30203">
            <v>-714715</v>
          </cell>
          <cell r="X30203" t="str">
            <v>GWP - gross</v>
          </cell>
          <cell r="Y30203" t="str">
            <v>THAILAND</v>
          </cell>
        </row>
        <row r="30204">
          <cell r="L30204" t="str">
            <v>Non-proportional</v>
          </cell>
          <cell r="S30204">
            <v>2023960.92</v>
          </cell>
          <cell r="X30204" t="str">
            <v>GWP - gross</v>
          </cell>
          <cell r="Y30204" t="str">
            <v>ISRAEL</v>
          </cell>
        </row>
        <row r="30205">
          <cell r="L30205" t="str">
            <v>Non-proportional</v>
          </cell>
          <cell r="S30205">
            <v>-2023960.92</v>
          </cell>
          <cell r="X30205" t="str">
            <v>GWP - gross</v>
          </cell>
          <cell r="Y30205" t="str">
            <v>ISRAEL</v>
          </cell>
        </row>
        <row r="30206">
          <cell r="L30206" t="str">
            <v>Non-proportional</v>
          </cell>
          <cell r="S30206">
            <v>-68303.28</v>
          </cell>
          <cell r="X30206" t="str">
            <v>GWP - gross</v>
          </cell>
          <cell r="Y30206" t="str">
            <v>ISRAEL</v>
          </cell>
        </row>
        <row r="30207">
          <cell r="L30207" t="str">
            <v>Non-proportional</v>
          </cell>
          <cell r="S30207">
            <v>-130908.9</v>
          </cell>
          <cell r="X30207" t="str">
            <v>GWP - gross</v>
          </cell>
          <cell r="Y30207" t="str">
            <v>ITALY</v>
          </cell>
        </row>
        <row r="30208">
          <cell r="L30208" t="str">
            <v>Non-proportional</v>
          </cell>
          <cell r="S30208">
            <v>-151501.13</v>
          </cell>
          <cell r="X30208" t="str">
            <v>GWP - gross</v>
          </cell>
          <cell r="Y30208" t="str">
            <v>BELGIUM</v>
          </cell>
        </row>
        <row r="30209">
          <cell r="L30209" t="str">
            <v>Non-proportional</v>
          </cell>
          <cell r="S30209">
            <v>4219.92</v>
          </cell>
          <cell r="X30209" t="str">
            <v>GWP - gross</v>
          </cell>
          <cell r="Y30209" t="str">
            <v>BELGIUM</v>
          </cell>
        </row>
        <row r="30210">
          <cell r="L30210" t="str">
            <v>Non-proportional</v>
          </cell>
          <cell r="S30210">
            <v>-45501.120000000003</v>
          </cell>
          <cell r="X30210" t="str">
            <v>GWP - gross</v>
          </cell>
          <cell r="Y30210" t="str">
            <v>THAILAND</v>
          </cell>
        </row>
        <row r="30211">
          <cell r="L30211" t="str">
            <v>Non-proportional</v>
          </cell>
          <cell r="S30211">
            <v>-52271.19</v>
          </cell>
          <cell r="X30211" t="str">
            <v>GWP - gross</v>
          </cell>
          <cell r="Y30211" t="str">
            <v>UNITED KINGDOM</v>
          </cell>
        </row>
        <row r="30212">
          <cell r="L30212" t="str">
            <v>Non-proportional</v>
          </cell>
          <cell r="S30212">
            <v>25692.75</v>
          </cell>
          <cell r="X30212" t="str">
            <v>GWP - gross</v>
          </cell>
          <cell r="Y30212" t="str">
            <v>ISRAEL</v>
          </cell>
        </row>
        <row r="30213">
          <cell r="L30213" t="str">
            <v>Non-proportional</v>
          </cell>
          <cell r="S30213">
            <v>-130908.9</v>
          </cell>
          <cell r="X30213" t="str">
            <v>GWP - gross</v>
          </cell>
          <cell r="Y30213" t="str">
            <v>ITALY</v>
          </cell>
        </row>
        <row r="30214">
          <cell r="L30214" t="str">
            <v>Non-proportional</v>
          </cell>
          <cell r="S30214">
            <v>55178.34</v>
          </cell>
          <cell r="X30214" t="str">
            <v>GWP - gross</v>
          </cell>
          <cell r="Y30214" t="str">
            <v>ISRAEL</v>
          </cell>
        </row>
        <row r="30215">
          <cell r="L30215" t="str">
            <v>Non-proportional</v>
          </cell>
          <cell r="S30215">
            <v>63214.02</v>
          </cell>
          <cell r="X30215" t="str">
            <v>GWP - gross</v>
          </cell>
          <cell r="Y30215" t="str">
            <v>ISRAEL</v>
          </cell>
        </row>
        <row r="30216">
          <cell r="L30216" t="str">
            <v>Non-proportional</v>
          </cell>
          <cell r="S30216">
            <v>-271240.18</v>
          </cell>
          <cell r="X30216" t="str">
            <v>GWP - gross</v>
          </cell>
          <cell r="Y30216" t="str">
            <v>TURKEY</v>
          </cell>
        </row>
        <row r="30217">
          <cell r="L30217" t="str">
            <v>Non-proportional</v>
          </cell>
          <cell r="S30217">
            <v>-42847.5</v>
          </cell>
          <cell r="X30217" t="str">
            <v>GWP - gross</v>
          </cell>
          <cell r="Y30217" t="str">
            <v>GREECE</v>
          </cell>
        </row>
        <row r="30218">
          <cell r="L30218" t="str">
            <v>Non-proportional</v>
          </cell>
          <cell r="S30218">
            <v>-43125</v>
          </cell>
          <cell r="X30218" t="str">
            <v>GWP - gross</v>
          </cell>
          <cell r="Y30218" t="str">
            <v>GREECE</v>
          </cell>
        </row>
        <row r="30219">
          <cell r="L30219" t="str">
            <v>Non-proportional</v>
          </cell>
          <cell r="S30219">
            <v>360000</v>
          </cell>
          <cell r="X30219" t="str">
            <v>GWP - gross</v>
          </cell>
          <cell r="Y30219" t="str">
            <v>FRANCE</v>
          </cell>
        </row>
        <row r="30220">
          <cell r="L30220" t="str">
            <v>Non-proportional</v>
          </cell>
          <cell r="S30220">
            <v>-941094</v>
          </cell>
          <cell r="X30220" t="str">
            <v>GWP - gross</v>
          </cell>
          <cell r="Y30220" t="str">
            <v>EUROPE</v>
          </cell>
        </row>
        <row r="30221">
          <cell r="L30221" t="str">
            <v>Non-proportional</v>
          </cell>
          <cell r="S30221">
            <v>-6258.19</v>
          </cell>
          <cell r="X30221" t="str">
            <v>GWP - gross</v>
          </cell>
          <cell r="Y30221" t="str">
            <v>UNITED KINGDOM</v>
          </cell>
        </row>
        <row r="30222">
          <cell r="L30222" t="str">
            <v>Non-proportional</v>
          </cell>
          <cell r="S30222">
            <v>9943.31</v>
          </cell>
          <cell r="X30222" t="str">
            <v>GWP - gross</v>
          </cell>
          <cell r="Y30222" t="str">
            <v>COLOMBIA</v>
          </cell>
        </row>
        <row r="30223">
          <cell r="L30223" t="str">
            <v>Non-proportional</v>
          </cell>
          <cell r="S30223">
            <v>-3614156.79</v>
          </cell>
          <cell r="X30223" t="str">
            <v>GWP - gross</v>
          </cell>
          <cell r="Y30223" t="str">
            <v>UNITED KINGDOM</v>
          </cell>
        </row>
        <row r="30224">
          <cell r="L30224" t="str">
            <v>Non-proportional</v>
          </cell>
          <cell r="S30224">
            <v>4185</v>
          </cell>
          <cell r="X30224" t="str">
            <v>GWP - gross</v>
          </cell>
          <cell r="Y30224" t="str">
            <v>ITALY</v>
          </cell>
        </row>
        <row r="30225">
          <cell r="L30225" t="str">
            <v>Non-proportional</v>
          </cell>
          <cell r="S30225">
            <v>-38989.11</v>
          </cell>
          <cell r="X30225" t="str">
            <v>GWP - gross</v>
          </cell>
          <cell r="Y30225" t="str">
            <v>FRANCE</v>
          </cell>
        </row>
        <row r="30226">
          <cell r="L30226" t="str">
            <v>Non-proportional</v>
          </cell>
          <cell r="S30226">
            <v>-44043.75</v>
          </cell>
          <cell r="X30226" t="str">
            <v>GWP - gross</v>
          </cell>
          <cell r="Y30226" t="str">
            <v>GREECE</v>
          </cell>
        </row>
        <row r="30227">
          <cell r="L30227" t="str">
            <v>Non-proportional</v>
          </cell>
          <cell r="S30227">
            <v>-8480</v>
          </cell>
          <cell r="X30227" t="str">
            <v>GWP - gross</v>
          </cell>
          <cell r="Y30227" t="str">
            <v>ITALY</v>
          </cell>
        </row>
        <row r="30228">
          <cell r="L30228" t="str">
            <v>Non-proportional</v>
          </cell>
          <cell r="S30228">
            <v>-13125</v>
          </cell>
          <cell r="X30228" t="str">
            <v>GWP - gross</v>
          </cell>
          <cell r="Y30228" t="str">
            <v>ITALY</v>
          </cell>
        </row>
        <row r="30229">
          <cell r="L30229" t="str">
            <v>Non-proportional</v>
          </cell>
          <cell r="S30229">
            <v>-7980.61</v>
          </cell>
          <cell r="X30229" t="str">
            <v>GWP - gross</v>
          </cell>
          <cell r="Y30229" t="str">
            <v>FRANCE</v>
          </cell>
        </row>
        <row r="30230">
          <cell r="L30230" t="str">
            <v>Non-proportional</v>
          </cell>
          <cell r="S30230">
            <v>-2663220</v>
          </cell>
          <cell r="X30230" t="str">
            <v>GWP - gross</v>
          </cell>
          <cell r="Y30230" t="str">
            <v>BELGIUM</v>
          </cell>
        </row>
        <row r="30231">
          <cell r="L30231" t="str">
            <v>Non-proportional</v>
          </cell>
          <cell r="S30231">
            <v>-9943.31</v>
          </cell>
          <cell r="X30231" t="str">
            <v>GWP - gross</v>
          </cell>
          <cell r="Y30231" t="str">
            <v>COLOMBIA</v>
          </cell>
        </row>
        <row r="30232">
          <cell r="L30232" t="str">
            <v>Non-proportional</v>
          </cell>
          <cell r="S30232">
            <v>86910</v>
          </cell>
          <cell r="X30232" t="str">
            <v>GWP - gross</v>
          </cell>
          <cell r="Y30232" t="str">
            <v>ITALY</v>
          </cell>
        </row>
        <row r="30233">
          <cell r="L30233" t="str">
            <v>Non-proportional</v>
          </cell>
          <cell r="S30233">
            <v>38185.550000000003</v>
          </cell>
          <cell r="X30233" t="str">
            <v>GWP - gross</v>
          </cell>
          <cell r="Y30233" t="str">
            <v>ISRAEL</v>
          </cell>
        </row>
        <row r="30234">
          <cell r="L30234" t="str">
            <v>Non-proportional</v>
          </cell>
          <cell r="S30234">
            <v>-90036</v>
          </cell>
          <cell r="X30234" t="str">
            <v>GWP - gross</v>
          </cell>
          <cell r="Y30234" t="str">
            <v>CYPRUS</v>
          </cell>
        </row>
        <row r="30235">
          <cell r="L30235" t="str">
            <v>Non-proportional</v>
          </cell>
          <cell r="S30235">
            <v>-121540</v>
          </cell>
          <cell r="X30235" t="str">
            <v>GWP - gross</v>
          </cell>
          <cell r="Y30235" t="str">
            <v>ITALY</v>
          </cell>
        </row>
        <row r="30236">
          <cell r="L30236" t="str">
            <v>Non-proportional</v>
          </cell>
          <cell r="S30236">
            <v>15750</v>
          </cell>
          <cell r="X30236" t="str">
            <v>GWP - gross</v>
          </cell>
          <cell r="Y30236" t="str">
            <v>GREECE</v>
          </cell>
        </row>
        <row r="30237">
          <cell r="L30237" t="str">
            <v>Non-proportional</v>
          </cell>
          <cell r="S30237">
            <v>33112.99</v>
          </cell>
          <cell r="X30237" t="str">
            <v>GWP - gross</v>
          </cell>
          <cell r="Y30237" t="str">
            <v>COLOMBIA</v>
          </cell>
        </row>
        <row r="30238">
          <cell r="L30238" t="str">
            <v>Proportional</v>
          </cell>
          <cell r="S30238">
            <v>-3226938.23</v>
          </cell>
          <cell r="X30238" t="str">
            <v>GWP - gross</v>
          </cell>
          <cell r="Y30238" t="str">
            <v>THAILAND</v>
          </cell>
        </row>
        <row r="30239">
          <cell r="L30239" t="str">
            <v>Non-proportional</v>
          </cell>
          <cell r="S30239">
            <v>19102.32</v>
          </cell>
          <cell r="X30239" t="str">
            <v>GWP - gross</v>
          </cell>
          <cell r="Y30239" t="str">
            <v>FRANCE</v>
          </cell>
        </row>
        <row r="30240">
          <cell r="L30240" t="str">
            <v>Non-proportional</v>
          </cell>
          <cell r="S30240">
            <v>974160</v>
          </cell>
          <cell r="X30240" t="str">
            <v>GWP - gross</v>
          </cell>
          <cell r="Y30240" t="str">
            <v>EUROPE</v>
          </cell>
        </row>
        <row r="30241">
          <cell r="L30241" t="str">
            <v>Proportional</v>
          </cell>
          <cell r="S30241">
            <v>-440707.55</v>
          </cell>
          <cell r="X30241" t="str">
            <v>GWP - gross</v>
          </cell>
          <cell r="Y30241" t="str">
            <v>ITALY</v>
          </cell>
        </row>
        <row r="30242">
          <cell r="L30242" t="str">
            <v>Non-proportional</v>
          </cell>
          <cell r="S30242">
            <v>12660.84</v>
          </cell>
          <cell r="X30242" t="str">
            <v>GWP - gross</v>
          </cell>
          <cell r="Y30242" t="str">
            <v>FRANCE</v>
          </cell>
        </row>
        <row r="30243">
          <cell r="L30243" t="str">
            <v>Non-proportional</v>
          </cell>
          <cell r="S30243">
            <v>8736.44</v>
          </cell>
          <cell r="X30243" t="str">
            <v>GWP - gross</v>
          </cell>
          <cell r="Y30243" t="str">
            <v>ISRAEL</v>
          </cell>
        </row>
        <row r="30244">
          <cell r="L30244" t="str">
            <v>Non-proportional</v>
          </cell>
          <cell r="S30244">
            <v>-20805</v>
          </cell>
          <cell r="X30244" t="str">
            <v>GWP - gross</v>
          </cell>
          <cell r="Y30244" t="str">
            <v>PORTUGAL</v>
          </cell>
        </row>
        <row r="30245">
          <cell r="L30245" t="str">
            <v>Non-proportional</v>
          </cell>
          <cell r="S30245">
            <v>-110250.04</v>
          </cell>
          <cell r="X30245" t="str">
            <v>GWP - gross</v>
          </cell>
          <cell r="Y30245" t="str">
            <v>TURKEY</v>
          </cell>
        </row>
        <row r="30246">
          <cell r="L30246" t="str">
            <v>Non-proportional</v>
          </cell>
          <cell r="S30246">
            <v>-51008.51</v>
          </cell>
          <cell r="X30246" t="str">
            <v>GWP - gross</v>
          </cell>
          <cell r="Y30246" t="str">
            <v>ITALY</v>
          </cell>
        </row>
        <row r="30247">
          <cell r="L30247" t="str">
            <v>Non-proportional</v>
          </cell>
          <cell r="S30247">
            <v>-3882273.69</v>
          </cell>
          <cell r="X30247" t="str">
            <v>GWP - gross</v>
          </cell>
          <cell r="Y30247" t="str">
            <v>UNITED KINGDOM</v>
          </cell>
        </row>
        <row r="30248">
          <cell r="L30248" t="str">
            <v>Non-proportional</v>
          </cell>
          <cell r="S30248">
            <v>115650</v>
          </cell>
          <cell r="X30248" t="str">
            <v>GWP - gross</v>
          </cell>
          <cell r="Y30248" t="str">
            <v>FRANCE</v>
          </cell>
        </row>
        <row r="30249">
          <cell r="L30249" t="str">
            <v>Non-proportional</v>
          </cell>
          <cell r="S30249">
            <v>-375793.79</v>
          </cell>
          <cell r="X30249" t="str">
            <v>GWP - gross</v>
          </cell>
          <cell r="Y30249" t="str">
            <v>FRANCE</v>
          </cell>
        </row>
        <row r="30250">
          <cell r="L30250" t="str">
            <v>Non-proportional</v>
          </cell>
          <cell r="S30250">
            <v>-230777.87</v>
          </cell>
          <cell r="X30250" t="str">
            <v>GWP - gross</v>
          </cell>
          <cell r="Y30250" t="str">
            <v>FRANCE</v>
          </cell>
        </row>
        <row r="30251">
          <cell r="L30251" t="str">
            <v>Non-proportional</v>
          </cell>
          <cell r="S30251">
            <v>-18748.45</v>
          </cell>
          <cell r="X30251" t="str">
            <v>GWP - gross</v>
          </cell>
          <cell r="Y30251" t="str">
            <v>FRANCE</v>
          </cell>
        </row>
        <row r="30252">
          <cell r="L30252" t="str">
            <v>Non-proportional</v>
          </cell>
          <cell r="S30252">
            <v>4680</v>
          </cell>
          <cell r="X30252" t="str">
            <v>GWP - gross</v>
          </cell>
          <cell r="Y30252" t="str">
            <v>ITALY</v>
          </cell>
        </row>
        <row r="30253">
          <cell r="L30253" t="str">
            <v>Non-proportional</v>
          </cell>
          <cell r="S30253">
            <v>-47007.199999999997</v>
          </cell>
          <cell r="X30253" t="str">
            <v>GWP - gross</v>
          </cell>
          <cell r="Y30253" t="str">
            <v>ITALY</v>
          </cell>
        </row>
        <row r="30254">
          <cell r="L30254" t="str">
            <v>Non-proportional</v>
          </cell>
          <cell r="S30254">
            <v>-75900</v>
          </cell>
          <cell r="X30254" t="str">
            <v>GWP - gross</v>
          </cell>
          <cell r="Y30254" t="str">
            <v>ITALY</v>
          </cell>
        </row>
        <row r="30255">
          <cell r="L30255" t="str">
            <v>Non-proportional</v>
          </cell>
          <cell r="S30255">
            <v>32383.37</v>
          </cell>
          <cell r="X30255" t="str">
            <v>GWP - gross</v>
          </cell>
          <cell r="Y30255" t="str">
            <v>ISRAEL</v>
          </cell>
        </row>
        <row r="30256">
          <cell r="L30256" t="str">
            <v>Non-proportional</v>
          </cell>
          <cell r="S30256">
            <v>157546.59</v>
          </cell>
          <cell r="X30256" t="str">
            <v>GWP - gross</v>
          </cell>
          <cell r="Y30256" t="str">
            <v>SOUTH KOREA</v>
          </cell>
        </row>
        <row r="30257">
          <cell r="L30257" t="str">
            <v>Non-proportional</v>
          </cell>
          <cell r="S30257">
            <v>-166786.57</v>
          </cell>
          <cell r="X30257" t="str">
            <v>GWP - gross</v>
          </cell>
          <cell r="Y30257" t="str">
            <v>ISRAEL</v>
          </cell>
        </row>
        <row r="30258">
          <cell r="L30258" t="str">
            <v>Non-proportional</v>
          </cell>
          <cell r="S30258">
            <v>-2400000</v>
          </cell>
          <cell r="X30258" t="str">
            <v>GWP - gross</v>
          </cell>
          <cell r="Y30258" t="str">
            <v>BELGIUM</v>
          </cell>
        </row>
        <row r="30259">
          <cell r="L30259" t="str">
            <v>Non-proportional</v>
          </cell>
          <cell r="S30259">
            <v>-39706.97</v>
          </cell>
          <cell r="X30259" t="str">
            <v>GWP - gross</v>
          </cell>
          <cell r="Y30259" t="str">
            <v>ISRAEL</v>
          </cell>
        </row>
        <row r="30260">
          <cell r="L30260" t="str">
            <v>Non-proportional</v>
          </cell>
          <cell r="S30260">
            <v>-7662.24</v>
          </cell>
          <cell r="X30260" t="str">
            <v>GWP - gross</v>
          </cell>
          <cell r="Y30260" t="str">
            <v>MALTA</v>
          </cell>
        </row>
        <row r="30261">
          <cell r="L30261" t="str">
            <v>Non-proportional</v>
          </cell>
          <cell r="S30261">
            <v>-10320</v>
          </cell>
          <cell r="X30261" t="str">
            <v>GWP - gross</v>
          </cell>
          <cell r="Y30261" t="str">
            <v>GREECE</v>
          </cell>
        </row>
        <row r="30262">
          <cell r="L30262" t="str">
            <v>Non-proportional</v>
          </cell>
          <cell r="S30262">
            <v>14100</v>
          </cell>
          <cell r="X30262" t="str">
            <v>GWP - gross</v>
          </cell>
          <cell r="Y30262" t="str">
            <v>GREECE</v>
          </cell>
        </row>
        <row r="30263">
          <cell r="L30263" t="str">
            <v>Non-proportional</v>
          </cell>
          <cell r="S30263">
            <v>-34871.65</v>
          </cell>
          <cell r="X30263" t="str">
            <v>GWP - gross</v>
          </cell>
          <cell r="Y30263" t="str">
            <v>CHILE</v>
          </cell>
        </row>
        <row r="30264">
          <cell r="L30264" t="str">
            <v>Non-proportional</v>
          </cell>
          <cell r="S30264">
            <v>45207.82</v>
          </cell>
          <cell r="X30264" t="str">
            <v>GWP - gross</v>
          </cell>
          <cell r="Y30264" t="str">
            <v>FRANCE</v>
          </cell>
        </row>
        <row r="30265">
          <cell r="L30265" t="str">
            <v>Non-proportional</v>
          </cell>
          <cell r="S30265">
            <v>281188.01</v>
          </cell>
          <cell r="X30265" t="str">
            <v>GWP - gross</v>
          </cell>
          <cell r="Y30265" t="str">
            <v>FRANCE</v>
          </cell>
        </row>
        <row r="30266">
          <cell r="L30266" t="str">
            <v>Non-proportional</v>
          </cell>
          <cell r="S30266">
            <v>-519357.81</v>
          </cell>
          <cell r="X30266" t="str">
            <v>GWP - gross</v>
          </cell>
          <cell r="Y30266" t="str">
            <v>UNITED STATES</v>
          </cell>
        </row>
        <row r="30267">
          <cell r="S30267">
            <v>-28468.65</v>
          </cell>
          <cell r="X30267" t="str">
            <v>GWP - gross</v>
          </cell>
          <cell r="Y30267" t="str">
            <v>PORTUGAL</v>
          </cell>
        </row>
        <row r="30268">
          <cell r="L30268" t="str">
            <v>Non-proportional</v>
          </cell>
          <cell r="S30268">
            <v>-28970.9</v>
          </cell>
          <cell r="X30268" t="str">
            <v>GWP - gross</v>
          </cell>
          <cell r="Y30268" t="str">
            <v>MEXICO</v>
          </cell>
        </row>
        <row r="30269">
          <cell r="L30269" t="str">
            <v>Non-proportional</v>
          </cell>
          <cell r="S30269">
            <v>-31985.279999999999</v>
          </cell>
          <cell r="X30269" t="str">
            <v>GWP - gross</v>
          </cell>
          <cell r="Y30269" t="str">
            <v>FRANCE</v>
          </cell>
        </row>
        <row r="30270">
          <cell r="L30270" t="str">
            <v>Non-proportional</v>
          </cell>
          <cell r="S30270">
            <v>62810.46</v>
          </cell>
          <cell r="X30270" t="str">
            <v>GWP - gross</v>
          </cell>
          <cell r="Y30270" t="str">
            <v>UNITED KINGDOM</v>
          </cell>
        </row>
        <row r="30271">
          <cell r="L30271" t="str">
            <v>Non-proportional</v>
          </cell>
          <cell r="S30271">
            <v>130908.9</v>
          </cell>
          <cell r="X30271" t="str">
            <v>GWP - gross</v>
          </cell>
          <cell r="Y30271" t="str">
            <v>ITALY</v>
          </cell>
        </row>
        <row r="30272">
          <cell r="L30272" t="str">
            <v>Non-proportional</v>
          </cell>
          <cell r="S30272">
            <v>-71747.95</v>
          </cell>
          <cell r="X30272" t="str">
            <v>GWP - gross</v>
          </cell>
          <cell r="Y30272" t="str">
            <v>MEXICO</v>
          </cell>
        </row>
        <row r="30273">
          <cell r="L30273" t="str">
            <v>Non-proportional</v>
          </cell>
          <cell r="S30273">
            <v>-61500</v>
          </cell>
          <cell r="X30273" t="str">
            <v>GWP - gross</v>
          </cell>
          <cell r="Y30273" t="str">
            <v>ITALY</v>
          </cell>
        </row>
        <row r="30274">
          <cell r="L30274" t="str">
            <v>Non-proportional</v>
          </cell>
          <cell r="S30274">
            <v>-65631.42</v>
          </cell>
          <cell r="X30274" t="str">
            <v>GWP - gross</v>
          </cell>
          <cell r="Y30274" t="str">
            <v>ISRAEL</v>
          </cell>
        </row>
        <row r="30275">
          <cell r="L30275" t="str">
            <v>Non-proportional</v>
          </cell>
          <cell r="S30275">
            <v>1965834</v>
          </cell>
          <cell r="X30275" t="str">
            <v>GWP - gross</v>
          </cell>
          <cell r="Y30275" t="str">
            <v>PORTUGAL</v>
          </cell>
        </row>
        <row r="30276">
          <cell r="L30276" t="str">
            <v>Non-proportional</v>
          </cell>
          <cell r="S30276">
            <v>79300</v>
          </cell>
          <cell r="X30276" t="str">
            <v>GWP - gross</v>
          </cell>
          <cell r="Y30276" t="str">
            <v>FRANCE</v>
          </cell>
        </row>
        <row r="30277">
          <cell r="L30277" t="str">
            <v>Non-proportional</v>
          </cell>
          <cell r="S30277">
            <v>9291.1299999999992</v>
          </cell>
          <cell r="X30277" t="str">
            <v>GWP - gross</v>
          </cell>
          <cell r="Y30277" t="str">
            <v>ICELAND</v>
          </cell>
        </row>
        <row r="30278">
          <cell r="L30278" t="str">
            <v>Non-proportional</v>
          </cell>
          <cell r="S30278">
            <v>2120</v>
          </cell>
          <cell r="X30278" t="str">
            <v>GWP - gross</v>
          </cell>
          <cell r="Y30278" t="str">
            <v>PORTUGAL</v>
          </cell>
        </row>
        <row r="30279">
          <cell r="L30279" t="str">
            <v>Non-proportional</v>
          </cell>
          <cell r="S30279">
            <v>-99225.04</v>
          </cell>
          <cell r="X30279" t="str">
            <v>GWP - gross</v>
          </cell>
          <cell r="Y30279" t="str">
            <v>TURKEY</v>
          </cell>
        </row>
        <row r="30280">
          <cell r="L30280" t="str">
            <v>Non-proportional</v>
          </cell>
          <cell r="S30280">
            <v>13541.82</v>
          </cell>
          <cell r="X30280" t="str">
            <v>GWP - gross</v>
          </cell>
          <cell r="Y30280" t="str">
            <v>UNITED KINGDOM</v>
          </cell>
        </row>
        <row r="30281">
          <cell r="L30281" t="str">
            <v>Non-proportional</v>
          </cell>
          <cell r="S30281">
            <v>213039.52</v>
          </cell>
          <cell r="X30281" t="str">
            <v>GWP - gross</v>
          </cell>
          <cell r="Y30281" t="str">
            <v>TURKEY</v>
          </cell>
        </row>
        <row r="30282">
          <cell r="L30282" t="str">
            <v>Proportional</v>
          </cell>
          <cell r="S30282">
            <v>-147682.95000000001</v>
          </cell>
          <cell r="X30282" t="str">
            <v>GWP - gross</v>
          </cell>
          <cell r="Y30282" t="str">
            <v>HONG KONG</v>
          </cell>
        </row>
        <row r="30283">
          <cell r="L30283" t="str">
            <v>Non-proportional</v>
          </cell>
          <cell r="S30283">
            <v>2703.75</v>
          </cell>
          <cell r="X30283" t="str">
            <v>GWP - gross</v>
          </cell>
          <cell r="Y30283" t="str">
            <v>ITALY</v>
          </cell>
        </row>
        <row r="30284">
          <cell r="L30284" t="str">
            <v>Non-proportional</v>
          </cell>
          <cell r="S30284">
            <v>5036310.75</v>
          </cell>
          <cell r="X30284" t="str">
            <v>GWP - gross</v>
          </cell>
          <cell r="Y30284" t="str">
            <v>UNITED KINGDOM</v>
          </cell>
        </row>
        <row r="30285">
          <cell r="L30285" t="str">
            <v>Non-proportional</v>
          </cell>
          <cell r="S30285">
            <v>114505.11</v>
          </cell>
          <cell r="X30285" t="str">
            <v>GWP - gross</v>
          </cell>
          <cell r="Y30285" t="str">
            <v>COSTA RICA</v>
          </cell>
        </row>
        <row r="30286">
          <cell r="L30286" t="str">
            <v>Non-proportional</v>
          </cell>
          <cell r="S30286">
            <v>59500</v>
          </cell>
          <cell r="X30286" t="str">
            <v>GWP - gross</v>
          </cell>
          <cell r="Y30286" t="str">
            <v>NETHERLANDS</v>
          </cell>
        </row>
        <row r="30287">
          <cell r="L30287" t="str">
            <v>Proportional</v>
          </cell>
          <cell r="S30287">
            <v>-326819.48</v>
          </cell>
          <cell r="X30287" t="str">
            <v>GWP - gross</v>
          </cell>
          <cell r="Y30287" t="str">
            <v>MEXICO</v>
          </cell>
        </row>
        <row r="30288">
          <cell r="L30288" t="str">
            <v>Non-proportional</v>
          </cell>
          <cell r="S30288">
            <v>-126363.51</v>
          </cell>
          <cell r="X30288" t="str">
            <v>GWP - gross</v>
          </cell>
          <cell r="Y30288" t="str">
            <v>CHINA</v>
          </cell>
        </row>
        <row r="30289">
          <cell r="L30289" t="str">
            <v>Non-proportional</v>
          </cell>
          <cell r="S30289">
            <v>4490.04</v>
          </cell>
          <cell r="X30289" t="str">
            <v>GWP - gross</v>
          </cell>
          <cell r="Y30289" t="str">
            <v>ISRAEL</v>
          </cell>
        </row>
        <row r="30290">
          <cell r="L30290" t="str">
            <v>Non-proportional</v>
          </cell>
          <cell r="S30290">
            <v>9107.9599999999991</v>
          </cell>
          <cell r="X30290" t="str">
            <v>GWP - gross</v>
          </cell>
          <cell r="Y30290" t="str">
            <v>FRANCE</v>
          </cell>
        </row>
        <row r="30291">
          <cell r="L30291" t="str">
            <v>Non-proportional</v>
          </cell>
          <cell r="S30291">
            <v>-16980</v>
          </cell>
          <cell r="X30291" t="str">
            <v>GWP - gross</v>
          </cell>
          <cell r="Y30291" t="str">
            <v>FRANCE</v>
          </cell>
        </row>
        <row r="30292">
          <cell r="L30292" t="str">
            <v>Non-proportional</v>
          </cell>
          <cell r="S30292">
            <v>-2581.4</v>
          </cell>
          <cell r="X30292" t="str">
            <v>GWP - gross</v>
          </cell>
          <cell r="Y30292" t="str">
            <v>ICELAND</v>
          </cell>
        </row>
        <row r="30293">
          <cell r="L30293" t="str">
            <v>Non-proportional</v>
          </cell>
          <cell r="S30293">
            <v>102600</v>
          </cell>
          <cell r="X30293" t="str">
            <v>GWP - gross</v>
          </cell>
          <cell r="Y30293" t="str">
            <v>TURKEY</v>
          </cell>
        </row>
        <row r="30294">
          <cell r="L30294" t="str">
            <v>Non-proportional</v>
          </cell>
          <cell r="S30294">
            <v>81930</v>
          </cell>
          <cell r="X30294" t="str">
            <v>GWP - gross</v>
          </cell>
          <cell r="Y30294" t="str">
            <v>FRANCE</v>
          </cell>
        </row>
        <row r="30295">
          <cell r="L30295" t="str">
            <v>Non-proportional</v>
          </cell>
          <cell r="S30295">
            <v>-64623.3</v>
          </cell>
          <cell r="X30295" t="str">
            <v>GWP - gross</v>
          </cell>
          <cell r="Y30295" t="str">
            <v>MEXICO</v>
          </cell>
        </row>
        <row r="30296">
          <cell r="L30296" t="str">
            <v>Proportional</v>
          </cell>
          <cell r="S30296">
            <v>192559.18</v>
          </cell>
          <cell r="X30296" t="str">
            <v>GWP - gross</v>
          </cell>
          <cell r="Y30296" t="str">
            <v>MEXICO</v>
          </cell>
        </row>
        <row r="30297">
          <cell r="L30297" t="str">
            <v>Non-proportional</v>
          </cell>
          <cell r="S30297">
            <v>26096.02</v>
          </cell>
          <cell r="X30297" t="str">
            <v>GWP - gross</v>
          </cell>
          <cell r="Y30297" t="str">
            <v>MEXICO</v>
          </cell>
        </row>
        <row r="30298">
          <cell r="L30298" t="str">
            <v>Non-proportional</v>
          </cell>
          <cell r="S30298">
            <v>-123140.08</v>
          </cell>
          <cell r="X30298" t="str">
            <v>GWP - gross</v>
          </cell>
          <cell r="Y30298" t="str">
            <v>PORTUGAL</v>
          </cell>
        </row>
        <row r="30299">
          <cell r="L30299" t="str">
            <v>Non-proportional</v>
          </cell>
          <cell r="S30299">
            <v>-94050.04</v>
          </cell>
          <cell r="X30299" t="str">
            <v>GWP - gross</v>
          </cell>
          <cell r="Y30299" t="str">
            <v>TURKEY</v>
          </cell>
        </row>
        <row r="30300">
          <cell r="L30300" t="str">
            <v>Non-proportional</v>
          </cell>
          <cell r="S30300">
            <v>433620</v>
          </cell>
          <cell r="X30300" t="str">
            <v>GWP - gross</v>
          </cell>
          <cell r="Y30300" t="str">
            <v>PORTUGAL</v>
          </cell>
        </row>
        <row r="30301">
          <cell r="L30301" t="str">
            <v>Non-proportional</v>
          </cell>
          <cell r="S30301">
            <v>-35716.22</v>
          </cell>
          <cell r="X30301" t="str">
            <v>GWP - gross</v>
          </cell>
          <cell r="Y30301" t="str">
            <v>ISRAEL</v>
          </cell>
        </row>
        <row r="30302">
          <cell r="L30302" t="str">
            <v>Non-proportional</v>
          </cell>
          <cell r="S30302">
            <v>-42131.25</v>
          </cell>
          <cell r="X30302" t="str">
            <v>GWP - gross</v>
          </cell>
          <cell r="Y30302" t="str">
            <v>EUROPE</v>
          </cell>
        </row>
        <row r="30303">
          <cell r="L30303" t="str">
            <v>Non-proportional</v>
          </cell>
          <cell r="S30303">
            <v>-109687.5</v>
          </cell>
          <cell r="X30303" t="str">
            <v>GWP - gross</v>
          </cell>
          <cell r="Y30303" t="str">
            <v>EUROPE</v>
          </cell>
        </row>
        <row r="30304">
          <cell r="L30304" t="str">
            <v>Non-proportional</v>
          </cell>
          <cell r="S30304">
            <v>57350</v>
          </cell>
          <cell r="X30304" t="str">
            <v>GWP - gross</v>
          </cell>
          <cell r="Y30304" t="str">
            <v>NETHERLANDS</v>
          </cell>
        </row>
        <row r="30305">
          <cell r="L30305" t="str">
            <v>Proportional</v>
          </cell>
          <cell r="S30305">
            <v>-229196.23</v>
          </cell>
          <cell r="X30305" t="str">
            <v>GWP - gross</v>
          </cell>
          <cell r="Y30305" t="str">
            <v>MEXICO</v>
          </cell>
        </row>
        <row r="30306">
          <cell r="L30306" t="str">
            <v>Proportional</v>
          </cell>
          <cell r="S30306">
            <v>-58652.11</v>
          </cell>
          <cell r="X30306" t="str">
            <v>GWP - gross</v>
          </cell>
          <cell r="Y30306" t="str">
            <v>PORTUGAL</v>
          </cell>
        </row>
        <row r="30307">
          <cell r="L30307" t="str">
            <v>Non-proportional</v>
          </cell>
          <cell r="S30307">
            <v>217109</v>
          </cell>
          <cell r="X30307" t="str">
            <v>GWP - gross</v>
          </cell>
          <cell r="Y30307" t="str">
            <v>PORTUGAL</v>
          </cell>
        </row>
        <row r="30308">
          <cell r="L30308" t="str">
            <v>Non-proportional</v>
          </cell>
          <cell r="S30308">
            <v>-170582.11</v>
          </cell>
          <cell r="X30308" t="str">
            <v>GWP - gross</v>
          </cell>
          <cell r="Y30308" t="str">
            <v>PORTUGAL</v>
          </cell>
        </row>
        <row r="30309">
          <cell r="L30309" t="str">
            <v>Non-proportional</v>
          </cell>
          <cell r="S30309">
            <v>-2982.8</v>
          </cell>
          <cell r="X30309" t="str">
            <v>GWP - gross</v>
          </cell>
          <cell r="Y30309" t="str">
            <v>GREECE</v>
          </cell>
        </row>
        <row r="30310">
          <cell r="L30310" t="str">
            <v>Proportional</v>
          </cell>
          <cell r="S30310">
            <v>-411.33</v>
          </cell>
          <cell r="X30310" t="str">
            <v>GWP - gross</v>
          </cell>
          <cell r="Y30310" t="str">
            <v>Turkey</v>
          </cell>
        </row>
        <row r="30311">
          <cell r="L30311" t="str">
            <v>Non-proportional</v>
          </cell>
          <cell r="S30311">
            <v>125.52</v>
          </cell>
          <cell r="X30311" t="str">
            <v>GWP - gross</v>
          </cell>
          <cell r="Y30311" t="str">
            <v>UNITED KINGDOM</v>
          </cell>
        </row>
        <row r="30312">
          <cell r="L30312" t="str">
            <v>Non-proportional</v>
          </cell>
          <cell r="S30312">
            <v>-2040.01</v>
          </cell>
          <cell r="X30312" t="str">
            <v>GWP - gross</v>
          </cell>
          <cell r="Y30312" t="str">
            <v>ITALY</v>
          </cell>
        </row>
        <row r="30313">
          <cell r="L30313" t="str">
            <v>Non-proportional</v>
          </cell>
          <cell r="S30313">
            <v>80779.12</v>
          </cell>
          <cell r="X30313" t="str">
            <v>GWP - gross</v>
          </cell>
          <cell r="Y30313" t="str">
            <v>PUERTO RICO</v>
          </cell>
        </row>
        <row r="30314">
          <cell r="L30314" t="str">
            <v>Non-proportional</v>
          </cell>
          <cell r="S30314">
            <v>-2080101</v>
          </cell>
          <cell r="X30314" t="str">
            <v>GWP - gross</v>
          </cell>
          <cell r="Y30314" t="str">
            <v>PORTUGAL</v>
          </cell>
        </row>
        <row r="30315">
          <cell r="L30315" t="str">
            <v>Non-proportional</v>
          </cell>
          <cell r="S30315">
            <v>-66313.8</v>
          </cell>
          <cell r="X30315" t="str">
            <v>GWP - gross</v>
          </cell>
          <cell r="Y30315" t="str">
            <v>GREECE</v>
          </cell>
        </row>
        <row r="30316">
          <cell r="L30316" t="str">
            <v>Non-proportional</v>
          </cell>
          <cell r="S30316">
            <v>-142628.32</v>
          </cell>
          <cell r="X30316" t="str">
            <v>GWP - gross</v>
          </cell>
          <cell r="Y30316" t="str">
            <v>FRANCE</v>
          </cell>
        </row>
        <row r="30317">
          <cell r="L30317" t="str">
            <v>Non-proportional</v>
          </cell>
          <cell r="S30317">
            <v>-10280.629999999999</v>
          </cell>
          <cell r="X30317" t="str">
            <v>GWP - gross</v>
          </cell>
          <cell r="Y30317" t="str">
            <v>NETHERLANDS</v>
          </cell>
        </row>
        <row r="30318">
          <cell r="L30318" t="str">
            <v>Proportional</v>
          </cell>
          <cell r="S30318">
            <v>1201628.3799999999</v>
          </cell>
          <cell r="X30318" t="str">
            <v>GWP - gross</v>
          </cell>
          <cell r="Y30318" t="str">
            <v>HONG KONG</v>
          </cell>
        </row>
        <row r="30319">
          <cell r="L30319" t="str">
            <v>Non-proportional</v>
          </cell>
          <cell r="S30319">
            <v>-19093.099999999999</v>
          </cell>
          <cell r="X30319" t="str">
            <v>GWP - gross</v>
          </cell>
          <cell r="Y30319" t="str">
            <v>UNITED KINGDOM</v>
          </cell>
        </row>
        <row r="30320">
          <cell r="S30320">
            <v>4522.5</v>
          </cell>
          <cell r="X30320" t="str">
            <v>GWP - gross</v>
          </cell>
          <cell r="Y30320" t="str">
            <v>PORTUGAL</v>
          </cell>
        </row>
        <row r="30321">
          <cell r="L30321" t="str">
            <v>Non-proportional</v>
          </cell>
          <cell r="S30321">
            <v>12700</v>
          </cell>
          <cell r="X30321" t="str">
            <v>GWP - gross</v>
          </cell>
          <cell r="Y30321" t="str">
            <v>NETHERLANDS</v>
          </cell>
        </row>
        <row r="30322">
          <cell r="L30322" t="str">
            <v>Proportional</v>
          </cell>
          <cell r="S30322">
            <v>16121.95</v>
          </cell>
          <cell r="X30322" t="str">
            <v>GWP - gross</v>
          </cell>
          <cell r="Y30322" t="str">
            <v>MEXICO</v>
          </cell>
        </row>
        <row r="30323">
          <cell r="L30323" t="str">
            <v>Non-proportional</v>
          </cell>
          <cell r="S30323">
            <v>-65400</v>
          </cell>
          <cell r="X30323" t="str">
            <v>GWP - gross</v>
          </cell>
          <cell r="Y30323" t="str">
            <v>FRANCE</v>
          </cell>
        </row>
        <row r="30324">
          <cell r="L30324" t="str">
            <v>Non-proportional</v>
          </cell>
          <cell r="S30324">
            <v>4060569</v>
          </cell>
          <cell r="X30324" t="str">
            <v>GWP - gross</v>
          </cell>
          <cell r="Y30324" t="str">
            <v>PORTUGAL</v>
          </cell>
        </row>
        <row r="30325">
          <cell r="L30325" t="str">
            <v>Non-proportional</v>
          </cell>
          <cell r="S30325">
            <v>-8152.57</v>
          </cell>
          <cell r="X30325" t="str">
            <v>GWP - gross</v>
          </cell>
          <cell r="Y30325" t="str">
            <v>ITALY</v>
          </cell>
        </row>
        <row r="30326">
          <cell r="L30326" t="str">
            <v>Non-proportional</v>
          </cell>
          <cell r="S30326">
            <v>3667063.71</v>
          </cell>
          <cell r="X30326" t="str">
            <v>GWP - gross</v>
          </cell>
          <cell r="Y30326" t="str">
            <v>UNITED KINGDOM</v>
          </cell>
        </row>
        <row r="30327">
          <cell r="L30327" t="str">
            <v>Non-proportional</v>
          </cell>
          <cell r="S30327">
            <v>-14668254.84</v>
          </cell>
          <cell r="X30327" t="str">
            <v>GWP - gross</v>
          </cell>
          <cell r="Y30327" t="str">
            <v>UNITED KINGDOM</v>
          </cell>
        </row>
        <row r="30328">
          <cell r="L30328" t="str">
            <v>Non-proportional</v>
          </cell>
          <cell r="S30328">
            <v>109.5</v>
          </cell>
          <cell r="X30328" t="str">
            <v>GWP - gross</v>
          </cell>
          <cell r="Y30328" t="str">
            <v>FRANCE</v>
          </cell>
        </row>
        <row r="30329">
          <cell r="L30329" t="str">
            <v>Non-proportional</v>
          </cell>
          <cell r="S30329">
            <v>9825.7999999999993</v>
          </cell>
          <cell r="X30329" t="str">
            <v>GWP - gross</v>
          </cell>
          <cell r="Y30329" t="str">
            <v>UNITED KINGDOM</v>
          </cell>
        </row>
        <row r="30330">
          <cell r="L30330" t="str">
            <v>Non-proportional</v>
          </cell>
          <cell r="S30330">
            <v>273059.98</v>
          </cell>
          <cell r="X30330" t="str">
            <v>GWP - gross</v>
          </cell>
          <cell r="Y30330" t="str">
            <v>BELGIUM</v>
          </cell>
        </row>
        <row r="30331">
          <cell r="L30331" t="str">
            <v>Proportional</v>
          </cell>
          <cell r="S30331">
            <v>620.03</v>
          </cell>
          <cell r="X30331" t="str">
            <v>GWP - gross</v>
          </cell>
          <cell r="Y30331" t="str">
            <v>Turkey</v>
          </cell>
        </row>
        <row r="30332">
          <cell r="L30332" t="str">
            <v>Non-proportional</v>
          </cell>
          <cell r="S30332">
            <v>-100543.47</v>
          </cell>
          <cell r="X30332" t="str">
            <v>GWP - gross</v>
          </cell>
          <cell r="Y30332" t="str">
            <v>AUSTRIA</v>
          </cell>
        </row>
        <row r="30333">
          <cell r="L30333" t="str">
            <v>Proportional</v>
          </cell>
          <cell r="S30333">
            <v>192559.18</v>
          </cell>
          <cell r="X30333" t="str">
            <v>GWP - gross</v>
          </cell>
          <cell r="Y30333" t="str">
            <v>MEXICO</v>
          </cell>
        </row>
        <row r="30334">
          <cell r="L30334" t="str">
            <v>Non-proportional</v>
          </cell>
          <cell r="S30334">
            <v>-77494.27</v>
          </cell>
          <cell r="X30334" t="str">
            <v>GWP - gross</v>
          </cell>
          <cell r="Y30334" t="str">
            <v>COSTA RICA</v>
          </cell>
        </row>
        <row r="30335">
          <cell r="L30335" t="str">
            <v>Non-proportional</v>
          </cell>
          <cell r="S30335">
            <v>-20760.939999999999</v>
          </cell>
          <cell r="X30335" t="str">
            <v>GWP - gross</v>
          </cell>
          <cell r="Y30335" t="str">
            <v>AUSTRIA</v>
          </cell>
        </row>
        <row r="30336">
          <cell r="L30336" t="str">
            <v>Proportional</v>
          </cell>
          <cell r="S30336">
            <v>-274283.57</v>
          </cell>
          <cell r="X30336" t="str">
            <v>GWP - gross</v>
          </cell>
          <cell r="Y30336" t="str">
            <v>PORTUGAL</v>
          </cell>
        </row>
        <row r="30337">
          <cell r="L30337" t="str">
            <v>Non-proportional</v>
          </cell>
          <cell r="S30337">
            <v>9400</v>
          </cell>
          <cell r="X30337" t="str">
            <v>GWP - gross</v>
          </cell>
          <cell r="Y30337" t="str">
            <v>NETHERLANDS</v>
          </cell>
        </row>
        <row r="30338">
          <cell r="L30338" t="str">
            <v>Non-proportional</v>
          </cell>
          <cell r="S30338">
            <v>141200</v>
          </cell>
          <cell r="X30338" t="str">
            <v>GWP - gross</v>
          </cell>
          <cell r="Y30338" t="str">
            <v>FRANCE</v>
          </cell>
        </row>
        <row r="30339">
          <cell r="L30339" t="str">
            <v>Non-proportional</v>
          </cell>
          <cell r="S30339">
            <v>34475.040000000001</v>
          </cell>
          <cell r="X30339" t="str">
            <v>GWP - gross</v>
          </cell>
          <cell r="Y30339" t="str">
            <v>UNITED KINGDOM</v>
          </cell>
        </row>
        <row r="30340">
          <cell r="L30340" t="str">
            <v>Non-proportional</v>
          </cell>
          <cell r="S30340">
            <v>-80779.12</v>
          </cell>
          <cell r="X30340" t="str">
            <v>GWP - gross</v>
          </cell>
          <cell r="Y30340" t="str">
            <v>PUERTO RICO</v>
          </cell>
        </row>
        <row r="30341">
          <cell r="L30341" t="str">
            <v>Non-proportional</v>
          </cell>
          <cell r="S30341">
            <v>-42187.5</v>
          </cell>
          <cell r="X30341" t="str">
            <v>GWP - gross</v>
          </cell>
          <cell r="Y30341" t="str">
            <v>EUROPE</v>
          </cell>
        </row>
        <row r="30342">
          <cell r="L30342" t="str">
            <v>Non-proportional</v>
          </cell>
          <cell r="S30342">
            <v>-3674.89</v>
          </cell>
          <cell r="X30342" t="str">
            <v>GWP - gross</v>
          </cell>
          <cell r="Y30342" t="str">
            <v>FRANCE</v>
          </cell>
        </row>
        <row r="30343">
          <cell r="L30343" t="str">
            <v>Proportional</v>
          </cell>
          <cell r="S30343">
            <v>-700690.4</v>
          </cell>
          <cell r="X30343" t="str">
            <v>GWP - gross</v>
          </cell>
          <cell r="Y30343" t="str">
            <v>HONG KONG</v>
          </cell>
        </row>
        <row r="30344">
          <cell r="L30344" t="str">
            <v>Non-proportional</v>
          </cell>
          <cell r="S30344">
            <v>109687.5</v>
          </cell>
          <cell r="X30344" t="str">
            <v>GWP - gross</v>
          </cell>
          <cell r="Y30344" t="str">
            <v>EUROPE</v>
          </cell>
        </row>
        <row r="30345">
          <cell r="L30345" t="str">
            <v>Proportional</v>
          </cell>
          <cell r="S30345">
            <v>-2501.4499999999998</v>
          </cell>
          <cell r="X30345" t="str">
            <v>GWP - gross</v>
          </cell>
          <cell r="Y30345" t="str">
            <v>Turkey</v>
          </cell>
        </row>
        <row r="30346">
          <cell r="L30346" t="str">
            <v>Proportional</v>
          </cell>
          <cell r="S30346">
            <v>-41526.21</v>
          </cell>
          <cell r="X30346" t="str">
            <v>GWP - gross</v>
          </cell>
          <cell r="Y30346" t="str">
            <v>TURKEY</v>
          </cell>
        </row>
        <row r="30347">
          <cell r="L30347" t="str">
            <v>Non-proportional</v>
          </cell>
          <cell r="S30347">
            <v>55924.08</v>
          </cell>
          <cell r="X30347" t="str">
            <v>GWP - gross</v>
          </cell>
          <cell r="Y30347" t="str">
            <v>ISRAEL</v>
          </cell>
        </row>
        <row r="30348">
          <cell r="L30348" t="str">
            <v>Non-proportional</v>
          </cell>
          <cell r="S30348">
            <v>-10729.1</v>
          </cell>
          <cell r="X30348" t="str">
            <v>GWP - gross</v>
          </cell>
          <cell r="Y30348" t="str">
            <v>AUSTRIA</v>
          </cell>
        </row>
        <row r="30349">
          <cell r="L30349" t="str">
            <v>Non-proportional</v>
          </cell>
          <cell r="S30349">
            <v>-1493644</v>
          </cell>
          <cell r="X30349" t="str">
            <v>GWP - gross</v>
          </cell>
          <cell r="Y30349" t="str">
            <v>PORTUGAL</v>
          </cell>
        </row>
        <row r="30350">
          <cell r="L30350" t="str">
            <v>Non-proportional</v>
          </cell>
          <cell r="S30350">
            <v>-20621.37</v>
          </cell>
          <cell r="X30350" t="str">
            <v>GWP - gross</v>
          </cell>
          <cell r="Y30350" t="str">
            <v>COSTA RICA</v>
          </cell>
        </row>
        <row r="30351">
          <cell r="L30351" t="str">
            <v>Proportional</v>
          </cell>
          <cell r="S30351">
            <v>-1201628.3799999999</v>
          </cell>
          <cell r="X30351" t="str">
            <v>GWP - gross</v>
          </cell>
          <cell r="Y30351" t="str">
            <v>HONG KONG</v>
          </cell>
        </row>
        <row r="30352">
          <cell r="L30352" t="str">
            <v>Non-proportional</v>
          </cell>
          <cell r="S30352">
            <v>-12857.84</v>
          </cell>
          <cell r="X30352" t="str">
            <v>GWP - gross</v>
          </cell>
          <cell r="Y30352" t="str">
            <v>ISRAEL</v>
          </cell>
        </row>
        <row r="30353">
          <cell r="L30353" t="str">
            <v>Non-proportional</v>
          </cell>
          <cell r="S30353">
            <v>150.99</v>
          </cell>
          <cell r="X30353" t="str">
            <v>GWP - gross</v>
          </cell>
          <cell r="Y30353" t="str">
            <v>ITALY</v>
          </cell>
        </row>
        <row r="30354">
          <cell r="L30354" t="str">
            <v>Non-proportional</v>
          </cell>
          <cell r="S30354">
            <v>-3150</v>
          </cell>
          <cell r="X30354" t="str">
            <v>GWP - gross</v>
          </cell>
          <cell r="Y30354" t="str">
            <v>ITALY</v>
          </cell>
        </row>
        <row r="30355">
          <cell r="L30355" t="str">
            <v>Proportional</v>
          </cell>
          <cell r="S30355">
            <v>-4238.1499999999996</v>
          </cell>
          <cell r="X30355" t="str">
            <v>GWP - gross</v>
          </cell>
          <cell r="Y30355" t="str">
            <v>TURKEY</v>
          </cell>
        </row>
        <row r="30356">
          <cell r="L30356" t="str">
            <v>Non-proportional</v>
          </cell>
          <cell r="S30356">
            <v>40400</v>
          </cell>
          <cell r="X30356" t="str">
            <v>GWP - gross</v>
          </cell>
          <cell r="Y30356" t="str">
            <v>PORTUGAL</v>
          </cell>
        </row>
        <row r="30357">
          <cell r="L30357" t="str">
            <v>Non-proportional</v>
          </cell>
          <cell r="S30357">
            <v>18900</v>
          </cell>
          <cell r="X30357" t="str">
            <v>GWP - gross</v>
          </cell>
          <cell r="Y30357" t="str">
            <v>EUROPE</v>
          </cell>
        </row>
        <row r="30358">
          <cell r="L30358" t="str">
            <v>Non-proportional</v>
          </cell>
          <cell r="S30358">
            <v>-18724.5</v>
          </cell>
          <cell r="X30358" t="str">
            <v>GWP - gross</v>
          </cell>
          <cell r="Y30358" t="str">
            <v>PORTUGAL</v>
          </cell>
        </row>
        <row r="30359">
          <cell r="L30359" t="str">
            <v>Non-proportional</v>
          </cell>
          <cell r="S30359">
            <v>-18000</v>
          </cell>
          <cell r="X30359" t="str">
            <v>GWP - gross</v>
          </cell>
          <cell r="Y30359" t="str">
            <v>ITALY</v>
          </cell>
        </row>
        <row r="30360">
          <cell r="L30360" t="str">
            <v>Non-proportional</v>
          </cell>
          <cell r="S30360">
            <v>171562.5</v>
          </cell>
          <cell r="X30360" t="str">
            <v>GWP - gross</v>
          </cell>
          <cell r="Y30360" t="str">
            <v>EUROPE</v>
          </cell>
        </row>
        <row r="30361">
          <cell r="L30361" t="str">
            <v>Proportional</v>
          </cell>
          <cell r="S30361">
            <v>255856.01</v>
          </cell>
          <cell r="X30361" t="str">
            <v>GWP - gross</v>
          </cell>
          <cell r="Y30361" t="str">
            <v>MEXICO</v>
          </cell>
        </row>
        <row r="30362">
          <cell r="L30362" t="str">
            <v>Non-proportional</v>
          </cell>
          <cell r="S30362">
            <v>17375</v>
          </cell>
          <cell r="X30362" t="str">
            <v>GWP - gross</v>
          </cell>
          <cell r="Y30362" t="str">
            <v>ITALY</v>
          </cell>
        </row>
        <row r="30363">
          <cell r="L30363" t="str">
            <v>Non-proportional</v>
          </cell>
          <cell r="S30363">
            <v>-14286.49</v>
          </cell>
          <cell r="X30363" t="str">
            <v>GWP - gross</v>
          </cell>
          <cell r="Y30363" t="str">
            <v>ISRAEL</v>
          </cell>
        </row>
        <row r="30364">
          <cell r="L30364" t="str">
            <v>Non-proportional</v>
          </cell>
          <cell r="S30364">
            <v>3756.95</v>
          </cell>
          <cell r="X30364" t="str">
            <v>GWP - gross</v>
          </cell>
          <cell r="Y30364" t="str">
            <v>SWEDEN</v>
          </cell>
        </row>
        <row r="30365">
          <cell r="L30365" t="str">
            <v>Proportional</v>
          </cell>
          <cell r="S30365">
            <v>-20162.240000000002</v>
          </cell>
          <cell r="X30365" t="str">
            <v>GWP - gross</v>
          </cell>
          <cell r="Y30365" t="str">
            <v>Portugal</v>
          </cell>
        </row>
        <row r="30366">
          <cell r="L30366" t="str">
            <v>Non-proportional</v>
          </cell>
          <cell r="S30366">
            <v>-9244.25</v>
          </cell>
          <cell r="X30366" t="str">
            <v>GWP - gross</v>
          </cell>
          <cell r="Y30366" t="str">
            <v>ITALY</v>
          </cell>
        </row>
        <row r="30367">
          <cell r="L30367" t="str">
            <v>Non-proportional</v>
          </cell>
          <cell r="S30367">
            <v>129725</v>
          </cell>
          <cell r="X30367" t="str">
            <v>GWP - gross</v>
          </cell>
          <cell r="Y30367" t="str">
            <v>FRANCE</v>
          </cell>
        </row>
        <row r="30368">
          <cell r="L30368" t="str">
            <v>Proportional</v>
          </cell>
          <cell r="S30368">
            <v>-4988.12</v>
          </cell>
          <cell r="X30368" t="str">
            <v>GWP - gross</v>
          </cell>
          <cell r="Y30368" t="str">
            <v>Turkey</v>
          </cell>
        </row>
        <row r="30369">
          <cell r="L30369" t="str">
            <v>Non-proportional</v>
          </cell>
          <cell r="S30369">
            <v>351.42</v>
          </cell>
          <cell r="X30369" t="str">
            <v>GWP - gross</v>
          </cell>
          <cell r="Y30369" t="str">
            <v>UNITED KINGDOM</v>
          </cell>
        </row>
        <row r="30370">
          <cell r="L30370" t="str">
            <v>Non-proportional</v>
          </cell>
          <cell r="S30370">
            <v>-31890</v>
          </cell>
          <cell r="X30370" t="str">
            <v>GWP - gross</v>
          </cell>
          <cell r="Y30370" t="str">
            <v>FRANCE</v>
          </cell>
        </row>
        <row r="30371">
          <cell r="L30371" t="str">
            <v>Non-proportional</v>
          </cell>
          <cell r="S30371">
            <v>-1927644</v>
          </cell>
          <cell r="X30371" t="str">
            <v>GWP - gross</v>
          </cell>
          <cell r="Y30371" t="str">
            <v>PORTUGAL</v>
          </cell>
        </row>
        <row r="30372">
          <cell r="L30372" t="str">
            <v>Non-proportional</v>
          </cell>
          <cell r="S30372">
            <v>1493644</v>
          </cell>
          <cell r="X30372" t="str">
            <v>GWP - gross</v>
          </cell>
          <cell r="Y30372" t="str">
            <v>PORTUGAL</v>
          </cell>
        </row>
        <row r="30373">
          <cell r="L30373" t="str">
            <v>Non-proportional</v>
          </cell>
          <cell r="S30373">
            <v>-100800</v>
          </cell>
          <cell r="X30373" t="str">
            <v>GWP - gross</v>
          </cell>
          <cell r="Y30373" t="str">
            <v>PORTUGAL</v>
          </cell>
        </row>
        <row r="30374">
          <cell r="L30374" t="str">
            <v>Non-proportional</v>
          </cell>
          <cell r="S30374">
            <v>-1259077.69</v>
          </cell>
          <cell r="X30374" t="str">
            <v>GWP - gross</v>
          </cell>
          <cell r="Y30374" t="str">
            <v>UNITED KINGDOM</v>
          </cell>
        </row>
        <row r="30375">
          <cell r="L30375" t="str">
            <v>Non-proportional</v>
          </cell>
          <cell r="S30375">
            <v>80779.12</v>
          </cell>
          <cell r="X30375" t="str">
            <v>GWP - gross</v>
          </cell>
          <cell r="Y30375" t="str">
            <v>PUERTO RICO</v>
          </cell>
        </row>
        <row r="30376">
          <cell r="L30376" t="str">
            <v>Non-proportional</v>
          </cell>
          <cell r="S30376">
            <v>-79300</v>
          </cell>
          <cell r="X30376" t="str">
            <v>GWP - gross</v>
          </cell>
          <cell r="Y30376" t="str">
            <v>FRANCE</v>
          </cell>
        </row>
        <row r="30377">
          <cell r="L30377" t="str">
            <v>Non-proportional</v>
          </cell>
          <cell r="S30377">
            <v>200867.86</v>
          </cell>
          <cell r="X30377" t="str">
            <v>GWP - gross</v>
          </cell>
          <cell r="Y30377" t="str">
            <v>MEXICO</v>
          </cell>
        </row>
        <row r="30378">
          <cell r="L30378" t="str">
            <v>Non-proportional</v>
          </cell>
          <cell r="S30378">
            <v>-59718.5</v>
          </cell>
          <cell r="X30378" t="str">
            <v>GWP - gross</v>
          </cell>
          <cell r="Y30378" t="str">
            <v>FRANCE</v>
          </cell>
        </row>
        <row r="30379">
          <cell r="L30379" t="str">
            <v>Proportional</v>
          </cell>
          <cell r="S30379">
            <v>-192559.18</v>
          </cell>
          <cell r="X30379" t="str">
            <v>GWP - gross</v>
          </cell>
          <cell r="Y30379" t="str">
            <v>MEXICO</v>
          </cell>
        </row>
        <row r="30380">
          <cell r="L30380" t="str">
            <v>Non-proportional</v>
          </cell>
          <cell r="S30380">
            <v>-11519.18</v>
          </cell>
          <cell r="X30380" t="str">
            <v>GWP - gross</v>
          </cell>
          <cell r="Y30380" t="str">
            <v>COSTA RICA</v>
          </cell>
        </row>
        <row r="30381">
          <cell r="L30381" t="str">
            <v>Non-proportional</v>
          </cell>
          <cell r="S30381">
            <v>-21598.69</v>
          </cell>
          <cell r="X30381" t="str">
            <v>GWP - gross</v>
          </cell>
          <cell r="Y30381" t="str">
            <v>COSTA RICA</v>
          </cell>
        </row>
        <row r="30382">
          <cell r="L30382" t="str">
            <v>Proportional</v>
          </cell>
          <cell r="S30382">
            <v>-4007528.88</v>
          </cell>
          <cell r="X30382" t="str">
            <v>GWP - gross</v>
          </cell>
          <cell r="Y30382" t="str">
            <v>PORTUGAL</v>
          </cell>
        </row>
        <row r="30383">
          <cell r="L30383" t="str">
            <v>Non-proportional</v>
          </cell>
          <cell r="S30383">
            <v>9244.25</v>
          </cell>
          <cell r="X30383" t="str">
            <v>GWP - gross</v>
          </cell>
          <cell r="Y30383" t="str">
            <v>ITALY</v>
          </cell>
        </row>
        <row r="30384">
          <cell r="L30384" t="str">
            <v>Proportional</v>
          </cell>
          <cell r="S30384">
            <v>2069.61</v>
          </cell>
          <cell r="X30384" t="str">
            <v>GWP - gross</v>
          </cell>
          <cell r="Y30384" t="str">
            <v>UNITED STATES</v>
          </cell>
        </row>
        <row r="30385">
          <cell r="L30385" t="str">
            <v>Non-proportional</v>
          </cell>
          <cell r="S30385">
            <v>42187.5</v>
          </cell>
          <cell r="X30385" t="str">
            <v>GWP - gross</v>
          </cell>
          <cell r="Y30385" t="str">
            <v>EUROPE</v>
          </cell>
        </row>
        <row r="30386">
          <cell r="L30386" t="str">
            <v>Proportional</v>
          </cell>
          <cell r="S30386">
            <v>-851010.64</v>
          </cell>
          <cell r="X30386" t="str">
            <v>GWP - gross</v>
          </cell>
          <cell r="Y30386" t="str">
            <v>AUSTRIA</v>
          </cell>
        </row>
        <row r="30387">
          <cell r="L30387" t="str">
            <v>Proportional</v>
          </cell>
          <cell r="S30387">
            <v>1024094.16</v>
          </cell>
          <cell r="X30387" t="str">
            <v>GWP - gross</v>
          </cell>
          <cell r="Y30387" t="str">
            <v>MEXICO</v>
          </cell>
        </row>
        <row r="30388">
          <cell r="L30388" t="str">
            <v>Non-proportional</v>
          </cell>
          <cell r="S30388">
            <v>8866.4</v>
          </cell>
          <cell r="X30388" t="str">
            <v>GWP - gross</v>
          </cell>
          <cell r="Y30388" t="str">
            <v>SWEDEN</v>
          </cell>
        </row>
        <row r="30389">
          <cell r="L30389" t="str">
            <v>Non-proportional</v>
          </cell>
          <cell r="S30389">
            <v>-3667063.71</v>
          </cell>
          <cell r="X30389" t="str">
            <v>GWP - gross</v>
          </cell>
          <cell r="Y30389" t="str">
            <v>UNITED KINGDOM</v>
          </cell>
        </row>
        <row r="30390">
          <cell r="L30390" t="str">
            <v>Proportional</v>
          </cell>
          <cell r="S30390">
            <v>-192.76</v>
          </cell>
          <cell r="X30390" t="str">
            <v>GWP - gross</v>
          </cell>
          <cell r="Y30390" t="str">
            <v>SINGAPORE</v>
          </cell>
        </row>
        <row r="30391">
          <cell r="L30391" t="str">
            <v>Non-proportional</v>
          </cell>
          <cell r="S30391">
            <v>-410713.2</v>
          </cell>
          <cell r="X30391" t="str">
            <v>GWP - gross</v>
          </cell>
          <cell r="Y30391" t="str">
            <v>FRANCE</v>
          </cell>
        </row>
        <row r="30392">
          <cell r="L30392" t="str">
            <v>Non-proportional</v>
          </cell>
          <cell r="S30392">
            <v>157500</v>
          </cell>
          <cell r="X30392" t="str">
            <v>GWP - gross</v>
          </cell>
          <cell r="Y30392" t="str">
            <v>EUROPE</v>
          </cell>
        </row>
        <row r="30393">
          <cell r="L30393" t="str">
            <v>Non-proportional</v>
          </cell>
          <cell r="S30393">
            <v>-26096.02</v>
          </cell>
          <cell r="X30393" t="str">
            <v>GWP - gross</v>
          </cell>
          <cell r="Y30393" t="str">
            <v>MEXICO</v>
          </cell>
        </row>
        <row r="30394">
          <cell r="L30394" t="str">
            <v>Non-proportional</v>
          </cell>
          <cell r="S30394">
            <v>-109.5</v>
          </cell>
          <cell r="X30394" t="str">
            <v>GWP - gross</v>
          </cell>
          <cell r="Y30394" t="str">
            <v>FRANCE</v>
          </cell>
        </row>
        <row r="30395">
          <cell r="L30395" t="str">
            <v>Non-proportional</v>
          </cell>
          <cell r="S30395">
            <v>4179.12</v>
          </cell>
          <cell r="X30395" t="str">
            <v>GWP - gross</v>
          </cell>
          <cell r="Y30395" t="str">
            <v>GERMANY</v>
          </cell>
        </row>
        <row r="30396">
          <cell r="L30396" t="str">
            <v>Non-proportional</v>
          </cell>
          <cell r="S30396">
            <v>59666.39</v>
          </cell>
          <cell r="X30396" t="str">
            <v>GWP - gross</v>
          </cell>
          <cell r="Y30396" t="str">
            <v>PUERTO RICO</v>
          </cell>
        </row>
        <row r="30397">
          <cell r="L30397" t="str">
            <v>Proportional</v>
          </cell>
          <cell r="S30397">
            <v>17.11</v>
          </cell>
          <cell r="X30397" t="str">
            <v>GWP - gross</v>
          </cell>
          <cell r="Y30397" t="str">
            <v>Turkey</v>
          </cell>
        </row>
        <row r="30398">
          <cell r="L30398" t="str">
            <v>Non-proportional</v>
          </cell>
          <cell r="S30398">
            <v>-3908.93</v>
          </cell>
          <cell r="X30398" t="str">
            <v>GWP - gross</v>
          </cell>
          <cell r="Y30398" t="str">
            <v>ICELAND</v>
          </cell>
        </row>
        <row r="30399">
          <cell r="L30399" t="str">
            <v>Non-proportional</v>
          </cell>
          <cell r="S30399">
            <v>1402092</v>
          </cell>
          <cell r="X30399" t="str">
            <v>GWP - gross</v>
          </cell>
          <cell r="Y30399" t="str">
            <v>PORTUGAL</v>
          </cell>
        </row>
        <row r="30400">
          <cell r="L30400" t="str">
            <v>Non-proportional</v>
          </cell>
          <cell r="S30400">
            <v>60147.5</v>
          </cell>
          <cell r="X30400" t="str">
            <v>GWP - gross</v>
          </cell>
          <cell r="Y30400" t="str">
            <v>FRANCE</v>
          </cell>
        </row>
        <row r="30401">
          <cell r="L30401" t="str">
            <v>Non-proportional</v>
          </cell>
          <cell r="S30401">
            <v>-6934.41</v>
          </cell>
          <cell r="X30401" t="str">
            <v>GWP - gross</v>
          </cell>
          <cell r="Y30401" t="str">
            <v>NETHERLANDS</v>
          </cell>
        </row>
        <row r="30402">
          <cell r="L30402" t="str">
            <v>Proportional</v>
          </cell>
          <cell r="S30402">
            <v>-192559.18</v>
          </cell>
          <cell r="X30402" t="str">
            <v>GWP - gross</v>
          </cell>
          <cell r="Y30402" t="str">
            <v>MEXICO</v>
          </cell>
        </row>
        <row r="30403">
          <cell r="L30403" t="str">
            <v>Non-proportional</v>
          </cell>
          <cell r="S30403">
            <v>-5036310.8899999997</v>
          </cell>
          <cell r="X30403" t="str">
            <v>GWP - gross</v>
          </cell>
          <cell r="Y30403" t="str">
            <v>UNITED KINGDOM</v>
          </cell>
        </row>
        <row r="30404">
          <cell r="L30404" t="str">
            <v>Non-proportional</v>
          </cell>
          <cell r="S30404">
            <v>-971334</v>
          </cell>
          <cell r="X30404" t="str">
            <v>GWP - gross</v>
          </cell>
          <cell r="Y30404" t="str">
            <v>PORTUGAL</v>
          </cell>
        </row>
        <row r="30405">
          <cell r="L30405" t="str">
            <v>Non-proportional</v>
          </cell>
          <cell r="S30405">
            <v>142628.32</v>
          </cell>
          <cell r="X30405" t="str">
            <v>GWP - gross</v>
          </cell>
          <cell r="Y30405" t="str">
            <v>FRANCE</v>
          </cell>
        </row>
        <row r="30406">
          <cell r="L30406" t="str">
            <v>Non-proportional</v>
          </cell>
          <cell r="S30406">
            <v>-4380.4399999999996</v>
          </cell>
          <cell r="X30406" t="str">
            <v>GWP - gross</v>
          </cell>
          <cell r="Y30406" t="str">
            <v>GREECE</v>
          </cell>
        </row>
        <row r="30407">
          <cell r="L30407" t="str">
            <v>Non-proportional</v>
          </cell>
          <cell r="S30407">
            <v>-97527.23</v>
          </cell>
          <cell r="X30407" t="str">
            <v>GWP - gross</v>
          </cell>
          <cell r="Y30407" t="str">
            <v>COSTA RICA</v>
          </cell>
        </row>
        <row r="30408">
          <cell r="L30408" t="str">
            <v>Non-proportional</v>
          </cell>
          <cell r="S30408">
            <v>2808</v>
          </cell>
          <cell r="X30408" t="str">
            <v>GWP - gross</v>
          </cell>
          <cell r="Y30408" t="str">
            <v>GREECE</v>
          </cell>
        </row>
        <row r="30409">
          <cell r="L30409" t="str">
            <v>Non-proportional</v>
          </cell>
          <cell r="S30409">
            <v>48960</v>
          </cell>
          <cell r="X30409" t="str">
            <v>GWP - gross</v>
          </cell>
          <cell r="Y30409" t="str">
            <v>PORTUGAL</v>
          </cell>
        </row>
        <row r="30410">
          <cell r="L30410" t="str">
            <v>Non-proportional</v>
          </cell>
          <cell r="S30410">
            <v>-4490.04</v>
          </cell>
          <cell r="X30410" t="str">
            <v>GWP - gross</v>
          </cell>
          <cell r="Y30410" t="str">
            <v>ISRAEL</v>
          </cell>
        </row>
        <row r="30411">
          <cell r="L30411" t="str">
            <v>Non-proportional</v>
          </cell>
          <cell r="S30411">
            <v>-102600</v>
          </cell>
          <cell r="X30411" t="str">
            <v>GWP - gross</v>
          </cell>
          <cell r="Y30411" t="str">
            <v>TURKEY</v>
          </cell>
        </row>
        <row r="30412">
          <cell r="L30412" t="str">
            <v>Non-proportional</v>
          </cell>
          <cell r="S30412">
            <v>7060</v>
          </cell>
          <cell r="X30412" t="str">
            <v>GWP - gross</v>
          </cell>
          <cell r="Y30412" t="str">
            <v>NETHERLANDS</v>
          </cell>
        </row>
        <row r="30413">
          <cell r="L30413" t="str">
            <v>Non-proportional</v>
          </cell>
          <cell r="S30413">
            <v>-6028.64</v>
          </cell>
          <cell r="X30413" t="str">
            <v>GWP - gross</v>
          </cell>
          <cell r="Y30413" t="str">
            <v>UNITED KINGDOM</v>
          </cell>
        </row>
        <row r="30414">
          <cell r="L30414" t="str">
            <v>Proportional</v>
          </cell>
          <cell r="S30414">
            <v>50296.93</v>
          </cell>
          <cell r="X30414" t="str">
            <v>GWP - gross</v>
          </cell>
          <cell r="Y30414" t="str">
            <v>GERMANY</v>
          </cell>
        </row>
        <row r="30415">
          <cell r="L30415" t="str">
            <v>Non-proportional</v>
          </cell>
          <cell r="S30415">
            <v>-4490.04</v>
          </cell>
          <cell r="X30415" t="str">
            <v>GWP - gross</v>
          </cell>
          <cell r="Y30415" t="str">
            <v>ISRAEL</v>
          </cell>
        </row>
        <row r="30416">
          <cell r="L30416" t="str">
            <v>Non-proportional</v>
          </cell>
          <cell r="S30416">
            <v>47790</v>
          </cell>
          <cell r="X30416" t="str">
            <v>GWP - gross</v>
          </cell>
          <cell r="Y30416" t="str">
            <v>FRANCE</v>
          </cell>
        </row>
        <row r="30417">
          <cell r="L30417" t="str">
            <v>Non-proportional</v>
          </cell>
          <cell r="S30417">
            <v>14668254.84</v>
          </cell>
          <cell r="X30417" t="str">
            <v>GWP - gross</v>
          </cell>
          <cell r="Y30417" t="str">
            <v>UNITED KINGDOM</v>
          </cell>
        </row>
        <row r="30418">
          <cell r="L30418" t="str">
            <v>Non-proportional</v>
          </cell>
          <cell r="S30418">
            <v>12857.84</v>
          </cell>
          <cell r="X30418" t="str">
            <v>GWP - gross</v>
          </cell>
          <cell r="Y30418" t="str">
            <v>ISRAEL</v>
          </cell>
        </row>
        <row r="30419">
          <cell r="L30419" t="str">
            <v>Non-proportional</v>
          </cell>
          <cell r="S30419">
            <v>-6047.82</v>
          </cell>
          <cell r="X30419" t="str">
            <v>GWP - gross</v>
          </cell>
          <cell r="Y30419" t="str">
            <v>ICELAND</v>
          </cell>
        </row>
        <row r="30420">
          <cell r="L30420" t="str">
            <v>Non-proportional</v>
          </cell>
          <cell r="S30420">
            <v>-40909.46</v>
          </cell>
          <cell r="X30420" t="str">
            <v>GWP - gross</v>
          </cell>
          <cell r="Y30420" t="str">
            <v>PORTUGAL</v>
          </cell>
        </row>
        <row r="30421">
          <cell r="L30421" t="str">
            <v>Non-proportional</v>
          </cell>
          <cell r="S30421">
            <v>1008.3</v>
          </cell>
          <cell r="X30421" t="str">
            <v>GWP - gross</v>
          </cell>
          <cell r="Y30421" t="str">
            <v>PORTUGAL</v>
          </cell>
        </row>
        <row r="30422">
          <cell r="L30422" t="str">
            <v>Non-proportional</v>
          </cell>
          <cell r="S30422">
            <v>4380.4399999999996</v>
          </cell>
          <cell r="X30422" t="str">
            <v>GWP - gross</v>
          </cell>
          <cell r="Y30422" t="str">
            <v>GREECE</v>
          </cell>
        </row>
        <row r="30423">
          <cell r="L30423" t="str">
            <v>Non-proportional</v>
          </cell>
          <cell r="S30423">
            <v>1166.8800000000001</v>
          </cell>
          <cell r="X30423" t="str">
            <v>GWP - gross</v>
          </cell>
          <cell r="Y30423" t="str">
            <v>GREECE</v>
          </cell>
        </row>
        <row r="30424">
          <cell r="L30424" t="str">
            <v>Non-proportional</v>
          </cell>
          <cell r="S30424">
            <v>-96416.57</v>
          </cell>
          <cell r="X30424" t="str">
            <v>GWP - gross</v>
          </cell>
          <cell r="Y30424" t="str">
            <v>MEXICO</v>
          </cell>
        </row>
        <row r="30425">
          <cell r="L30425" t="str">
            <v>Non-proportional</v>
          </cell>
          <cell r="S30425">
            <v>65400</v>
          </cell>
          <cell r="X30425" t="str">
            <v>GWP - gross</v>
          </cell>
          <cell r="Y30425" t="str">
            <v>FRANCE</v>
          </cell>
        </row>
        <row r="30426">
          <cell r="L30426" t="str">
            <v>Non-proportional</v>
          </cell>
          <cell r="S30426">
            <v>-18900</v>
          </cell>
          <cell r="X30426" t="str">
            <v>GWP - gross</v>
          </cell>
          <cell r="Y30426" t="str">
            <v>EUROPE</v>
          </cell>
        </row>
        <row r="30427">
          <cell r="L30427" t="str">
            <v>Proportional</v>
          </cell>
          <cell r="S30427">
            <v>-16121.95</v>
          </cell>
          <cell r="X30427" t="str">
            <v>GWP - gross</v>
          </cell>
          <cell r="Y30427" t="str">
            <v>MEXICO</v>
          </cell>
        </row>
        <row r="30428">
          <cell r="L30428" t="str">
            <v>Non-proportional</v>
          </cell>
          <cell r="S30428">
            <v>71400</v>
          </cell>
          <cell r="X30428" t="str">
            <v>GWP - gross</v>
          </cell>
          <cell r="Y30428" t="str">
            <v>ITALY</v>
          </cell>
        </row>
        <row r="30429">
          <cell r="L30429" t="str">
            <v>Non-proportional</v>
          </cell>
          <cell r="S30429">
            <v>18000</v>
          </cell>
          <cell r="X30429" t="str">
            <v>GWP - gross</v>
          </cell>
          <cell r="Y30429" t="str">
            <v>ITALY</v>
          </cell>
        </row>
        <row r="30430">
          <cell r="L30430" t="str">
            <v>Non-proportional</v>
          </cell>
          <cell r="S30430">
            <v>14668254.84</v>
          </cell>
          <cell r="X30430" t="str">
            <v>GWP - gross</v>
          </cell>
          <cell r="Y30430" t="str">
            <v>UNITED KINGDOM</v>
          </cell>
        </row>
        <row r="30431">
          <cell r="L30431" t="str">
            <v>Non-proportional</v>
          </cell>
          <cell r="S30431">
            <v>126363.51</v>
          </cell>
          <cell r="X30431" t="str">
            <v>GWP - gross</v>
          </cell>
          <cell r="Y30431" t="str">
            <v>CHINA</v>
          </cell>
        </row>
        <row r="30432">
          <cell r="L30432" t="str">
            <v>Non-proportional</v>
          </cell>
          <cell r="S30432">
            <v>-28000</v>
          </cell>
          <cell r="X30432" t="str">
            <v>GWP - gross</v>
          </cell>
          <cell r="Y30432" t="str">
            <v>ITALY</v>
          </cell>
        </row>
        <row r="30433">
          <cell r="L30433" t="str">
            <v>Non-proportional</v>
          </cell>
          <cell r="S30433">
            <v>6500</v>
          </cell>
          <cell r="X30433" t="str">
            <v>GWP - gross</v>
          </cell>
          <cell r="Y30433" t="str">
            <v>NETHERLANDS</v>
          </cell>
        </row>
        <row r="30434">
          <cell r="L30434" t="str">
            <v>Non-proportional</v>
          </cell>
          <cell r="S30434">
            <v>-10057.64</v>
          </cell>
          <cell r="X30434" t="str">
            <v>GWP - gross</v>
          </cell>
          <cell r="Y30434" t="str">
            <v>ITALY</v>
          </cell>
        </row>
        <row r="30435">
          <cell r="L30435" t="str">
            <v>Non-proportional</v>
          </cell>
          <cell r="S30435">
            <v>-129725</v>
          </cell>
          <cell r="X30435" t="str">
            <v>GWP - gross</v>
          </cell>
          <cell r="Y30435" t="str">
            <v>FRANCE</v>
          </cell>
        </row>
        <row r="30436">
          <cell r="L30436" t="str">
            <v>Non-proportional</v>
          </cell>
          <cell r="S30436">
            <v>-8662500</v>
          </cell>
          <cell r="X30436" t="str">
            <v>GWP - gross</v>
          </cell>
          <cell r="Y30436" t="str">
            <v>FRANCE</v>
          </cell>
        </row>
        <row r="30437">
          <cell r="L30437" t="str">
            <v>Non-proportional</v>
          </cell>
          <cell r="S30437">
            <v>-408476.25</v>
          </cell>
          <cell r="X30437" t="str">
            <v>GWP - gross</v>
          </cell>
          <cell r="Y30437" t="str">
            <v>TURKEY</v>
          </cell>
        </row>
        <row r="30438">
          <cell r="L30438" t="str">
            <v>Non-proportional</v>
          </cell>
          <cell r="S30438">
            <v>-109.5</v>
          </cell>
          <cell r="X30438" t="str">
            <v>GWP - gross</v>
          </cell>
          <cell r="Y30438" t="str">
            <v>FRANCE</v>
          </cell>
        </row>
        <row r="30439">
          <cell r="L30439" t="str">
            <v>Non-proportional</v>
          </cell>
          <cell r="S30439">
            <v>-344933.4</v>
          </cell>
          <cell r="X30439" t="str">
            <v>GWP - gross</v>
          </cell>
          <cell r="Y30439" t="str">
            <v>BELGIUM</v>
          </cell>
        </row>
        <row r="30440">
          <cell r="L30440" t="str">
            <v>Non-proportional</v>
          </cell>
          <cell r="S30440">
            <v>-80779.12</v>
          </cell>
          <cell r="X30440" t="str">
            <v>GWP - gross</v>
          </cell>
          <cell r="Y30440" t="str">
            <v>PUERTO RICO</v>
          </cell>
        </row>
        <row r="30441">
          <cell r="L30441" t="str">
            <v>Non-proportional</v>
          </cell>
          <cell r="S30441">
            <v>-213039.52</v>
          </cell>
          <cell r="X30441" t="str">
            <v>GWP - gross</v>
          </cell>
          <cell r="Y30441" t="str">
            <v>TURKEY</v>
          </cell>
        </row>
        <row r="30442">
          <cell r="L30442" t="str">
            <v>Non-proportional</v>
          </cell>
          <cell r="S30442">
            <v>-338234.4</v>
          </cell>
          <cell r="X30442" t="str">
            <v>GWP - gross</v>
          </cell>
          <cell r="Y30442" t="str">
            <v>FRANCE</v>
          </cell>
        </row>
        <row r="30443">
          <cell r="L30443" t="str">
            <v>Non-proportional</v>
          </cell>
          <cell r="S30443">
            <v>124312.5</v>
          </cell>
          <cell r="X30443" t="str">
            <v>GWP - gross</v>
          </cell>
          <cell r="Y30443" t="str">
            <v>EUROPE</v>
          </cell>
        </row>
        <row r="30444">
          <cell r="L30444" t="str">
            <v>Non-proportional</v>
          </cell>
          <cell r="S30444">
            <v>-48960</v>
          </cell>
          <cell r="X30444" t="str">
            <v>GWP - gross</v>
          </cell>
          <cell r="Y30444" t="str">
            <v>PORTUGAL</v>
          </cell>
        </row>
        <row r="30445">
          <cell r="L30445" t="str">
            <v>Non-proportional</v>
          </cell>
          <cell r="S30445">
            <v>96416.57</v>
          </cell>
          <cell r="X30445" t="str">
            <v>GWP - gross</v>
          </cell>
          <cell r="Y30445" t="str">
            <v>MEXICO</v>
          </cell>
        </row>
        <row r="30446">
          <cell r="L30446" t="str">
            <v>Non-proportional</v>
          </cell>
          <cell r="S30446">
            <v>-40500</v>
          </cell>
          <cell r="X30446" t="str">
            <v>GWP - gross</v>
          </cell>
          <cell r="Y30446" t="str">
            <v>EUROPE</v>
          </cell>
        </row>
        <row r="30447">
          <cell r="L30447" t="str">
            <v>Non-proportional</v>
          </cell>
          <cell r="S30447">
            <v>-43620.23</v>
          </cell>
          <cell r="X30447" t="str">
            <v>GWP - gross</v>
          </cell>
          <cell r="Y30447" t="str">
            <v>PORTUGAL</v>
          </cell>
        </row>
        <row r="30448">
          <cell r="L30448" t="str">
            <v>Non-proportional</v>
          </cell>
          <cell r="S30448">
            <v>971334</v>
          </cell>
          <cell r="X30448" t="str">
            <v>GWP - gross</v>
          </cell>
          <cell r="Y30448" t="str">
            <v>PORTUGAL</v>
          </cell>
        </row>
        <row r="30449">
          <cell r="L30449" t="str">
            <v>Non-proportional</v>
          </cell>
          <cell r="S30449">
            <v>-423923.25</v>
          </cell>
          <cell r="X30449" t="str">
            <v>GWP - gross</v>
          </cell>
          <cell r="Y30449" t="str">
            <v>TURKEY</v>
          </cell>
        </row>
        <row r="30450">
          <cell r="L30450" t="str">
            <v>Non-proportional</v>
          </cell>
          <cell r="S30450">
            <v>-59500</v>
          </cell>
          <cell r="X30450" t="str">
            <v>GWP - gross</v>
          </cell>
          <cell r="Y30450" t="str">
            <v>NETHERLANDS</v>
          </cell>
        </row>
        <row r="30451">
          <cell r="L30451" t="str">
            <v>Non-proportional</v>
          </cell>
          <cell r="S30451">
            <v>366136</v>
          </cell>
          <cell r="X30451" t="str">
            <v>GWP - gross</v>
          </cell>
          <cell r="Y30451" t="str">
            <v>PORTUGAL</v>
          </cell>
        </row>
        <row r="30452">
          <cell r="L30452" t="str">
            <v>Non-proportional</v>
          </cell>
          <cell r="S30452">
            <v>-6053.4</v>
          </cell>
          <cell r="X30452" t="str">
            <v>GWP - gross</v>
          </cell>
          <cell r="Y30452" t="str">
            <v>PORTUGAL</v>
          </cell>
        </row>
        <row r="30453">
          <cell r="L30453" t="str">
            <v>Non-proportional</v>
          </cell>
          <cell r="S30453">
            <v>4490.04</v>
          </cell>
          <cell r="X30453" t="str">
            <v>GWP - gross</v>
          </cell>
          <cell r="Y30453" t="str">
            <v>ISRAEL</v>
          </cell>
        </row>
        <row r="30454">
          <cell r="L30454" t="str">
            <v>Non-proportional</v>
          </cell>
          <cell r="S30454">
            <v>-63918.75</v>
          </cell>
          <cell r="X30454" t="str">
            <v>GWP - gross</v>
          </cell>
          <cell r="Y30454" t="str">
            <v>EUROPE</v>
          </cell>
        </row>
        <row r="30455">
          <cell r="L30455" t="str">
            <v>Non-proportional</v>
          </cell>
          <cell r="S30455">
            <v>-200867.86</v>
          </cell>
          <cell r="X30455" t="str">
            <v>GWP - gross</v>
          </cell>
          <cell r="Y30455" t="str">
            <v>MEXICO</v>
          </cell>
        </row>
        <row r="30456">
          <cell r="L30456" t="str">
            <v>Non-proportional</v>
          </cell>
          <cell r="S30456">
            <v>-7069.97</v>
          </cell>
          <cell r="X30456" t="str">
            <v>GWP - gross</v>
          </cell>
          <cell r="Y30456" t="str">
            <v>MEXICO</v>
          </cell>
        </row>
        <row r="30457">
          <cell r="L30457" t="str">
            <v>Proportional</v>
          </cell>
          <cell r="S30457">
            <v>2323125.94</v>
          </cell>
          <cell r="X30457" t="str">
            <v>GWP - gross</v>
          </cell>
          <cell r="Y30457" t="str">
            <v>PORTUGAL</v>
          </cell>
        </row>
        <row r="30458">
          <cell r="L30458" t="str">
            <v>Non-proportional</v>
          </cell>
          <cell r="S30458">
            <v>-8307.9</v>
          </cell>
          <cell r="X30458" t="str">
            <v>GWP - gross</v>
          </cell>
          <cell r="Y30458" t="str">
            <v>ITALY</v>
          </cell>
        </row>
        <row r="30459">
          <cell r="L30459" t="str">
            <v>Non-proportional</v>
          </cell>
          <cell r="S30459">
            <v>-80779.12</v>
          </cell>
          <cell r="X30459" t="str">
            <v>GWP - gross</v>
          </cell>
          <cell r="Y30459" t="str">
            <v>PUERTO RICO</v>
          </cell>
        </row>
        <row r="30460">
          <cell r="L30460" t="str">
            <v>Non-proportional</v>
          </cell>
          <cell r="S30460">
            <v>-37956.5</v>
          </cell>
          <cell r="X30460" t="str">
            <v>GWP - gross</v>
          </cell>
          <cell r="Y30460" t="str">
            <v>FRANCE</v>
          </cell>
        </row>
        <row r="30461">
          <cell r="L30461" t="str">
            <v>Proportional</v>
          </cell>
          <cell r="S30461">
            <v>-678.3</v>
          </cell>
          <cell r="X30461" t="str">
            <v>GWP - gross</v>
          </cell>
          <cell r="Y30461" t="str">
            <v>TURKEY</v>
          </cell>
        </row>
        <row r="30462">
          <cell r="L30462" t="str">
            <v>Non-proportional</v>
          </cell>
          <cell r="S30462">
            <v>75200</v>
          </cell>
          <cell r="X30462" t="str">
            <v>GWP - gross</v>
          </cell>
          <cell r="Y30462" t="str">
            <v>FRANCE</v>
          </cell>
        </row>
        <row r="30463">
          <cell r="L30463" t="str">
            <v>Non-proportional</v>
          </cell>
          <cell r="S30463">
            <v>8901.2800000000007</v>
          </cell>
          <cell r="X30463" t="str">
            <v>GWP - gross</v>
          </cell>
          <cell r="Y30463" t="str">
            <v>AUSTRIA</v>
          </cell>
        </row>
        <row r="30464">
          <cell r="L30464" t="str">
            <v>Proportional</v>
          </cell>
          <cell r="S30464">
            <v>-6245.14</v>
          </cell>
          <cell r="X30464" t="str">
            <v>GWP - gross</v>
          </cell>
          <cell r="Y30464" t="str">
            <v>Portugal</v>
          </cell>
        </row>
        <row r="30465">
          <cell r="L30465" t="str">
            <v>Non-proportional</v>
          </cell>
          <cell r="S30465">
            <v>7178.08</v>
          </cell>
          <cell r="X30465" t="str">
            <v>GWP - gross</v>
          </cell>
          <cell r="Y30465" t="str">
            <v>GREECE</v>
          </cell>
        </row>
        <row r="30466">
          <cell r="L30466" t="str">
            <v>Non-proportional</v>
          </cell>
          <cell r="S30466">
            <v>14487.23</v>
          </cell>
          <cell r="X30466" t="str">
            <v>GWP - gross</v>
          </cell>
          <cell r="Y30466" t="str">
            <v>COSTA RICA</v>
          </cell>
        </row>
        <row r="30467">
          <cell r="L30467" t="str">
            <v>Non-proportional</v>
          </cell>
          <cell r="S30467">
            <v>-1965834</v>
          </cell>
          <cell r="X30467" t="str">
            <v>GWP - gross</v>
          </cell>
          <cell r="Y30467" t="str">
            <v>PORTUGAL</v>
          </cell>
        </row>
        <row r="30468">
          <cell r="L30468" t="str">
            <v>Non-proportional</v>
          </cell>
          <cell r="S30468">
            <v>15935</v>
          </cell>
          <cell r="X30468" t="str">
            <v>GWP - gross</v>
          </cell>
          <cell r="Y30468" t="str">
            <v>FRANCE</v>
          </cell>
        </row>
        <row r="30469">
          <cell r="L30469" t="str">
            <v>Proportional</v>
          </cell>
          <cell r="S30469">
            <v>-9.8000000000000007</v>
          </cell>
          <cell r="X30469" t="str">
            <v>GWP - gross</v>
          </cell>
          <cell r="Y30469" t="str">
            <v>Turkey</v>
          </cell>
        </row>
        <row r="30470">
          <cell r="L30470" t="str">
            <v>Non-proportional</v>
          </cell>
          <cell r="S30470">
            <v>-13541.82</v>
          </cell>
          <cell r="X30470" t="str">
            <v>GWP - gross</v>
          </cell>
          <cell r="Y30470" t="str">
            <v>UNITED KINGDOM</v>
          </cell>
        </row>
        <row r="30471">
          <cell r="L30471" t="str">
            <v>Non-proportional</v>
          </cell>
          <cell r="S30471">
            <v>-2714.18</v>
          </cell>
          <cell r="X30471" t="str">
            <v>GWP - gross</v>
          </cell>
          <cell r="Y30471" t="str">
            <v>GERMANY</v>
          </cell>
        </row>
        <row r="30472">
          <cell r="L30472" t="str">
            <v>Non-proportional</v>
          </cell>
          <cell r="S30472">
            <v>102600</v>
          </cell>
          <cell r="X30472" t="str">
            <v>GWP - gross</v>
          </cell>
          <cell r="Y30472" t="str">
            <v>TURKEY</v>
          </cell>
        </row>
        <row r="30473">
          <cell r="L30473" t="str">
            <v>Non-proportional</v>
          </cell>
          <cell r="S30473">
            <v>67959.45</v>
          </cell>
          <cell r="X30473" t="str">
            <v>GWP - gross</v>
          </cell>
          <cell r="Y30473" t="str">
            <v>AUSTRIA</v>
          </cell>
        </row>
        <row r="30474">
          <cell r="L30474" t="str">
            <v>Non-proportional</v>
          </cell>
          <cell r="S30474">
            <v>32400</v>
          </cell>
          <cell r="X30474" t="str">
            <v>GWP - gross</v>
          </cell>
          <cell r="Y30474" t="str">
            <v>NETHERLANDS</v>
          </cell>
        </row>
        <row r="30475">
          <cell r="L30475" t="str">
            <v>Non-proportional</v>
          </cell>
          <cell r="S30475">
            <v>233.62</v>
          </cell>
          <cell r="X30475" t="str">
            <v>GWP - gross</v>
          </cell>
          <cell r="Y30475" t="str">
            <v>ITALY</v>
          </cell>
        </row>
        <row r="30476">
          <cell r="L30476" t="str">
            <v>Non-proportional</v>
          </cell>
          <cell r="S30476">
            <v>3150</v>
          </cell>
          <cell r="X30476" t="str">
            <v>GWP - gross</v>
          </cell>
          <cell r="Y30476" t="str">
            <v>ITALY</v>
          </cell>
        </row>
        <row r="30477">
          <cell r="L30477" t="str">
            <v>Non-proportional</v>
          </cell>
          <cell r="S30477">
            <v>-37824.36</v>
          </cell>
          <cell r="X30477" t="str">
            <v>GWP - gross</v>
          </cell>
          <cell r="Y30477" t="str">
            <v>FRANCE</v>
          </cell>
        </row>
        <row r="30478">
          <cell r="L30478" t="str">
            <v>Non-proportional</v>
          </cell>
          <cell r="S30478">
            <v>19093.099999999999</v>
          </cell>
          <cell r="X30478" t="str">
            <v>GWP - gross</v>
          </cell>
          <cell r="Y30478" t="str">
            <v>UNITED KINGDOM</v>
          </cell>
        </row>
        <row r="30479">
          <cell r="L30479" t="str">
            <v>Non-proportional</v>
          </cell>
          <cell r="S30479">
            <v>94632.49</v>
          </cell>
          <cell r="X30479" t="str">
            <v>GWP - gross</v>
          </cell>
          <cell r="Y30479" t="str">
            <v>FRANCE</v>
          </cell>
        </row>
        <row r="30480">
          <cell r="L30480" t="str">
            <v>Non-proportional</v>
          </cell>
          <cell r="S30480">
            <v>-418340.3</v>
          </cell>
          <cell r="X30480" t="str">
            <v>GWP - gross</v>
          </cell>
          <cell r="Y30480" t="str">
            <v>PORTUGAL</v>
          </cell>
        </row>
        <row r="30481">
          <cell r="L30481" t="str">
            <v>Non-proportional</v>
          </cell>
          <cell r="S30481">
            <v>29743.8</v>
          </cell>
          <cell r="X30481" t="str">
            <v>GWP - gross</v>
          </cell>
          <cell r="Y30481" t="str">
            <v>MEXICO</v>
          </cell>
        </row>
        <row r="30482">
          <cell r="S30482">
            <v>-25621.79</v>
          </cell>
          <cell r="X30482" t="str">
            <v>GWP - gross</v>
          </cell>
          <cell r="Y30482" t="str">
            <v>PORTUGAL</v>
          </cell>
        </row>
        <row r="30483">
          <cell r="L30483" t="str">
            <v>Non-proportional</v>
          </cell>
          <cell r="S30483">
            <v>1313517.7</v>
          </cell>
          <cell r="X30483" t="str">
            <v>GWP - gross</v>
          </cell>
          <cell r="Y30483" t="str">
            <v>FRANCE</v>
          </cell>
        </row>
        <row r="30484">
          <cell r="L30484" t="str">
            <v>Non-proportional</v>
          </cell>
          <cell r="S30484">
            <v>-108000</v>
          </cell>
          <cell r="X30484" t="str">
            <v>GWP - gross</v>
          </cell>
          <cell r="Y30484" t="str">
            <v>EUROPE</v>
          </cell>
        </row>
        <row r="30485">
          <cell r="L30485" t="str">
            <v>Non-proportional</v>
          </cell>
          <cell r="S30485">
            <v>30681</v>
          </cell>
          <cell r="X30485" t="str">
            <v>GWP - gross</v>
          </cell>
          <cell r="Y30485" t="str">
            <v>EUROPE</v>
          </cell>
        </row>
        <row r="30486">
          <cell r="L30486" t="str">
            <v>Non-proportional</v>
          </cell>
          <cell r="S30486">
            <v>-7133.84</v>
          </cell>
          <cell r="X30486" t="str">
            <v>GWP - gross</v>
          </cell>
          <cell r="Y30486" t="str">
            <v>NETHERLANDS</v>
          </cell>
        </row>
        <row r="30487">
          <cell r="L30487" t="str">
            <v>Proportional</v>
          </cell>
          <cell r="S30487">
            <v>787.72</v>
          </cell>
          <cell r="X30487" t="str">
            <v>GWP - gross</v>
          </cell>
          <cell r="Y30487" t="str">
            <v>TURKEY</v>
          </cell>
        </row>
        <row r="30488">
          <cell r="L30488" t="str">
            <v>Non-proportional</v>
          </cell>
          <cell r="S30488">
            <v>1344.4</v>
          </cell>
          <cell r="X30488" t="str">
            <v>GWP - gross</v>
          </cell>
          <cell r="Y30488" t="str">
            <v>PORTUGAL</v>
          </cell>
        </row>
        <row r="30489">
          <cell r="L30489" t="str">
            <v>Non-proportional</v>
          </cell>
          <cell r="S30489">
            <v>-32400</v>
          </cell>
          <cell r="X30489" t="str">
            <v>GWP - gross</v>
          </cell>
          <cell r="Y30489" t="str">
            <v>NETHERLANDS</v>
          </cell>
        </row>
        <row r="30490">
          <cell r="L30490" t="str">
            <v>Non-proportional</v>
          </cell>
          <cell r="S30490">
            <v>-102600</v>
          </cell>
          <cell r="X30490" t="str">
            <v>GWP - gross</v>
          </cell>
          <cell r="Y30490" t="str">
            <v>TURKEY</v>
          </cell>
        </row>
        <row r="30491">
          <cell r="L30491" t="str">
            <v>Non-proportional</v>
          </cell>
          <cell r="S30491">
            <v>50400</v>
          </cell>
          <cell r="X30491" t="str">
            <v>GWP - gross</v>
          </cell>
          <cell r="Y30491" t="str">
            <v>TURKEY</v>
          </cell>
        </row>
        <row r="30492">
          <cell r="L30492" t="str">
            <v>Proportional</v>
          </cell>
          <cell r="S30492">
            <v>-65.8</v>
          </cell>
          <cell r="X30492" t="str">
            <v>GWP - gross</v>
          </cell>
          <cell r="Y30492" t="str">
            <v>Turkey</v>
          </cell>
        </row>
        <row r="30493">
          <cell r="L30493" t="str">
            <v>Non-proportional</v>
          </cell>
          <cell r="S30493">
            <v>-372.23</v>
          </cell>
          <cell r="X30493" t="str">
            <v>GWP - gross</v>
          </cell>
          <cell r="Y30493" t="str">
            <v>ITALY</v>
          </cell>
        </row>
        <row r="30494">
          <cell r="L30494" t="str">
            <v>Non-proportional</v>
          </cell>
          <cell r="S30494">
            <v>-6750</v>
          </cell>
          <cell r="X30494" t="str">
            <v>GWP - gross</v>
          </cell>
          <cell r="Y30494" t="str">
            <v>ITALY</v>
          </cell>
        </row>
        <row r="30495">
          <cell r="L30495" t="str">
            <v>Non-proportional</v>
          </cell>
          <cell r="S30495">
            <v>5936</v>
          </cell>
          <cell r="X30495" t="str">
            <v>GWP - gross</v>
          </cell>
          <cell r="Y30495" t="str">
            <v>ICELAND</v>
          </cell>
        </row>
        <row r="30496">
          <cell r="L30496" t="str">
            <v>Non-proportional</v>
          </cell>
          <cell r="S30496">
            <v>40500</v>
          </cell>
          <cell r="X30496" t="str">
            <v>GWP - gross</v>
          </cell>
          <cell r="Y30496" t="str">
            <v>EUROPE</v>
          </cell>
        </row>
        <row r="30497">
          <cell r="L30497" t="str">
            <v>Non-proportional</v>
          </cell>
          <cell r="S30497">
            <v>-237600</v>
          </cell>
          <cell r="X30497" t="str">
            <v>GWP - gross</v>
          </cell>
          <cell r="Y30497" t="str">
            <v>GREECE</v>
          </cell>
        </row>
        <row r="30498">
          <cell r="L30498" t="str">
            <v>Non-proportional</v>
          </cell>
          <cell r="S30498">
            <v>15195.2</v>
          </cell>
          <cell r="X30498" t="str">
            <v>GWP - gross</v>
          </cell>
          <cell r="Y30498" t="str">
            <v>AUSTRIA</v>
          </cell>
        </row>
        <row r="30499">
          <cell r="L30499" t="str">
            <v>Non-proportional</v>
          </cell>
          <cell r="S30499">
            <v>-4921.7</v>
          </cell>
          <cell r="X30499" t="str">
            <v>GWP - gross</v>
          </cell>
          <cell r="Y30499" t="str">
            <v>SWEDEN</v>
          </cell>
        </row>
        <row r="30500">
          <cell r="L30500" t="str">
            <v>Non-proportional</v>
          </cell>
          <cell r="S30500">
            <v>109.5</v>
          </cell>
          <cell r="X30500" t="str">
            <v>GWP - gross</v>
          </cell>
          <cell r="Y30500" t="str">
            <v>FRANCE</v>
          </cell>
        </row>
        <row r="30501">
          <cell r="L30501" t="str">
            <v>Non-proportional</v>
          </cell>
          <cell r="S30501">
            <v>13687.19</v>
          </cell>
          <cell r="X30501" t="str">
            <v>GWP - gross</v>
          </cell>
          <cell r="Y30501" t="str">
            <v>FRANCE</v>
          </cell>
        </row>
        <row r="30502">
          <cell r="L30502" t="str">
            <v>Non-proportional</v>
          </cell>
          <cell r="S30502">
            <v>94500</v>
          </cell>
          <cell r="X30502" t="str">
            <v>GWP - gross</v>
          </cell>
          <cell r="Y30502" t="str">
            <v>EUROPE</v>
          </cell>
        </row>
        <row r="30503">
          <cell r="L30503" t="str">
            <v>Non-proportional</v>
          </cell>
          <cell r="S30503">
            <v>-1402092</v>
          </cell>
          <cell r="X30503" t="str">
            <v>GWP - gross</v>
          </cell>
          <cell r="Y30503" t="str">
            <v>PORTUGAL</v>
          </cell>
        </row>
        <row r="30504">
          <cell r="L30504" t="str">
            <v>Non-proportional</v>
          </cell>
          <cell r="S30504">
            <v>-7178.08</v>
          </cell>
          <cell r="X30504" t="str">
            <v>GWP - gross</v>
          </cell>
          <cell r="Y30504" t="str">
            <v>GREECE</v>
          </cell>
        </row>
        <row r="30505">
          <cell r="L30505" t="str">
            <v>Non-proportional</v>
          </cell>
          <cell r="S30505">
            <v>219259.41</v>
          </cell>
          <cell r="X30505" t="str">
            <v>GWP - gross</v>
          </cell>
          <cell r="Y30505" t="str">
            <v>UNITED KINGDOM</v>
          </cell>
        </row>
        <row r="30506">
          <cell r="L30506" t="str">
            <v>Non-proportional</v>
          </cell>
          <cell r="S30506">
            <v>327735</v>
          </cell>
          <cell r="X30506" t="str">
            <v>GWP - gross</v>
          </cell>
          <cell r="Y30506" t="str">
            <v>FRANCE</v>
          </cell>
        </row>
        <row r="30507">
          <cell r="L30507" t="str">
            <v>Non-proportional</v>
          </cell>
          <cell r="S30507">
            <v>37956.5</v>
          </cell>
          <cell r="X30507" t="str">
            <v>GWP - gross</v>
          </cell>
          <cell r="Y30507" t="str">
            <v>FRANCE</v>
          </cell>
        </row>
        <row r="30508">
          <cell r="L30508" t="str">
            <v>Non-proportional</v>
          </cell>
          <cell r="S30508">
            <v>-24395.86</v>
          </cell>
          <cell r="X30508" t="str">
            <v>GWP - gross</v>
          </cell>
          <cell r="Y30508" t="str">
            <v>AUSTRIA</v>
          </cell>
        </row>
        <row r="30509">
          <cell r="L30509" t="str">
            <v>Non-proportional</v>
          </cell>
          <cell r="S30509">
            <v>94050.04</v>
          </cell>
          <cell r="X30509" t="str">
            <v>GWP - gross</v>
          </cell>
          <cell r="Y30509" t="str">
            <v>TURKEY</v>
          </cell>
        </row>
        <row r="30510">
          <cell r="L30510" t="str">
            <v>Non-proportional</v>
          </cell>
          <cell r="S30510">
            <v>-558.34</v>
          </cell>
          <cell r="X30510" t="str">
            <v>GWP - gross</v>
          </cell>
          <cell r="Y30510" t="str">
            <v>ITALY</v>
          </cell>
        </row>
        <row r="30511">
          <cell r="L30511" t="str">
            <v>Non-proportional</v>
          </cell>
          <cell r="S30511">
            <v>20543.54</v>
          </cell>
          <cell r="X30511" t="str">
            <v>GWP - gross</v>
          </cell>
          <cell r="Y30511" t="str">
            <v>ISRAEL</v>
          </cell>
        </row>
        <row r="30512">
          <cell r="L30512" t="str">
            <v>Non-proportional</v>
          </cell>
          <cell r="S30512">
            <v>-23550</v>
          </cell>
          <cell r="X30512" t="str">
            <v>GWP - gross</v>
          </cell>
          <cell r="Y30512" t="str">
            <v>FRANCE</v>
          </cell>
        </row>
        <row r="30513">
          <cell r="L30513" t="str">
            <v>Non-proportional</v>
          </cell>
          <cell r="S30513">
            <v>12039.78</v>
          </cell>
          <cell r="X30513" t="str">
            <v>GWP - gross</v>
          </cell>
          <cell r="Y30513" t="str">
            <v>UNITED KINGDOM</v>
          </cell>
        </row>
        <row r="30514">
          <cell r="L30514" t="str">
            <v>Non-proportional</v>
          </cell>
          <cell r="S30514">
            <v>-19440</v>
          </cell>
          <cell r="X30514" t="str">
            <v>GWP - gross</v>
          </cell>
          <cell r="Y30514" t="str">
            <v>PORTUGAL</v>
          </cell>
        </row>
        <row r="30515">
          <cell r="L30515" t="str">
            <v>Non-proportional</v>
          </cell>
          <cell r="S30515">
            <v>72180</v>
          </cell>
          <cell r="X30515" t="str">
            <v>GWP - gross</v>
          </cell>
          <cell r="Y30515" t="str">
            <v>FRANCE</v>
          </cell>
        </row>
        <row r="30516">
          <cell r="L30516" t="str">
            <v>Non-proportional</v>
          </cell>
          <cell r="S30516">
            <v>-11519.18</v>
          </cell>
          <cell r="X30516" t="str">
            <v>GWP - gross</v>
          </cell>
          <cell r="Y30516" t="str">
            <v>COSTA RICA</v>
          </cell>
        </row>
        <row r="30517">
          <cell r="L30517" t="str">
            <v>Non-proportional</v>
          </cell>
          <cell r="S30517">
            <v>-4540.05</v>
          </cell>
          <cell r="X30517" t="str">
            <v>GWP - gross</v>
          </cell>
          <cell r="Y30517" t="str">
            <v>PORTUGAL</v>
          </cell>
        </row>
        <row r="30518">
          <cell r="L30518" t="str">
            <v>Non-proportional</v>
          </cell>
          <cell r="S30518">
            <v>-92934.88</v>
          </cell>
          <cell r="X30518" t="str">
            <v>GWP - gross</v>
          </cell>
          <cell r="Y30518" t="str">
            <v>PORTUGAL</v>
          </cell>
        </row>
        <row r="30519">
          <cell r="L30519" t="str">
            <v>Non-proportional</v>
          </cell>
          <cell r="S30519">
            <v>5036310.8899999997</v>
          </cell>
          <cell r="X30519" t="str">
            <v>GWP - gross</v>
          </cell>
          <cell r="Y30519" t="str">
            <v>UNITED KINGDOM</v>
          </cell>
        </row>
        <row r="30520">
          <cell r="L30520" t="str">
            <v>Non-proportional</v>
          </cell>
          <cell r="S30520">
            <v>-13687.19</v>
          </cell>
          <cell r="X30520" t="str">
            <v>GWP - gross</v>
          </cell>
          <cell r="Y30520" t="str">
            <v>FRANCE</v>
          </cell>
        </row>
        <row r="30521">
          <cell r="L30521" t="str">
            <v>Non-proportional</v>
          </cell>
          <cell r="S30521">
            <v>53691.75</v>
          </cell>
          <cell r="X30521" t="str">
            <v>GWP - gross</v>
          </cell>
          <cell r="Y30521" t="str">
            <v>EUROPE</v>
          </cell>
        </row>
        <row r="30522">
          <cell r="L30522" t="str">
            <v>Non-proportional</v>
          </cell>
          <cell r="S30522">
            <v>10500</v>
          </cell>
          <cell r="X30522" t="str">
            <v>GWP - gross</v>
          </cell>
          <cell r="Y30522" t="str">
            <v>ITALY</v>
          </cell>
        </row>
        <row r="30523">
          <cell r="L30523" t="str">
            <v>Non-proportional</v>
          </cell>
          <cell r="S30523">
            <v>6750</v>
          </cell>
          <cell r="X30523" t="str">
            <v>GWP - gross</v>
          </cell>
          <cell r="Y30523" t="str">
            <v>ITALY</v>
          </cell>
        </row>
        <row r="30524">
          <cell r="L30524" t="str">
            <v>Non-proportional</v>
          </cell>
          <cell r="S30524">
            <v>-6091.75</v>
          </cell>
          <cell r="X30524" t="str">
            <v>GWP - gross</v>
          </cell>
          <cell r="Y30524" t="str">
            <v>FRANCE</v>
          </cell>
        </row>
        <row r="30525">
          <cell r="L30525" t="str">
            <v>Non-proportional</v>
          </cell>
          <cell r="S30525">
            <v>-215650</v>
          </cell>
          <cell r="X30525" t="str">
            <v>GWP - gross</v>
          </cell>
          <cell r="Y30525" t="str">
            <v>FRANCE</v>
          </cell>
        </row>
        <row r="30526">
          <cell r="L30526" t="str">
            <v>Non-proportional</v>
          </cell>
          <cell r="S30526">
            <v>64623.3</v>
          </cell>
          <cell r="X30526" t="str">
            <v>GWP - gross</v>
          </cell>
          <cell r="Y30526" t="str">
            <v>MEXICO</v>
          </cell>
        </row>
        <row r="30527">
          <cell r="L30527" t="str">
            <v>Proportional</v>
          </cell>
          <cell r="S30527">
            <v>851010.64</v>
          </cell>
          <cell r="X30527" t="str">
            <v>GWP - gross</v>
          </cell>
          <cell r="Y30527" t="str">
            <v>AUSTRIA</v>
          </cell>
        </row>
        <row r="30528">
          <cell r="L30528" t="str">
            <v>Non-proportional</v>
          </cell>
          <cell r="S30528">
            <v>4540.05</v>
          </cell>
          <cell r="X30528" t="str">
            <v>GWP - gross</v>
          </cell>
          <cell r="Y30528" t="str">
            <v>PORTUGAL</v>
          </cell>
        </row>
        <row r="30529">
          <cell r="L30529" t="str">
            <v>Non-proportional</v>
          </cell>
          <cell r="S30529">
            <v>7493.25</v>
          </cell>
          <cell r="X30529" t="str">
            <v>GWP - gross</v>
          </cell>
          <cell r="Y30529" t="str">
            <v>ITALY</v>
          </cell>
        </row>
        <row r="30530">
          <cell r="L30530" t="str">
            <v>Proportional</v>
          </cell>
          <cell r="S30530">
            <v>127954</v>
          </cell>
          <cell r="X30530" t="str">
            <v>GWP - gross</v>
          </cell>
          <cell r="Y30530" t="str">
            <v>FRANCE</v>
          </cell>
        </row>
        <row r="30531">
          <cell r="L30531" t="str">
            <v>Non-proportional</v>
          </cell>
          <cell r="S30531">
            <v>80779.12</v>
          </cell>
          <cell r="X30531" t="str">
            <v>GWP - gross</v>
          </cell>
          <cell r="Y30531" t="str">
            <v>PUERTO RICO</v>
          </cell>
        </row>
        <row r="30532">
          <cell r="L30532" t="str">
            <v>Proportional</v>
          </cell>
          <cell r="S30532">
            <v>-2069.61</v>
          </cell>
          <cell r="X30532" t="str">
            <v>GWP - gross</v>
          </cell>
          <cell r="Y30532" t="str">
            <v>UNITED STATES</v>
          </cell>
        </row>
        <row r="30533">
          <cell r="L30533" t="str">
            <v>Non-proportional</v>
          </cell>
          <cell r="S30533">
            <v>-114505.11</v>
          </cell>
          <cell r="X30533" t="str">
            <v>GWP - gross</v>
          </cell>
          <cell r="Y30533" t="str">
            <v>COSTA RICA</v>
          </cell>
        </row>
        <row r="30534">
          <cell r="L30534" t="str">
            <v>Non-proportional</v>
          </cell>
          <cell r="S30534">
            <v>-94632.49</v>
          </cell>
          <cell r="X30534" t="str">
            <v>GWP - gross</v>
          </cell>
          <cell r="Y30534" t="str">
            <v>FRANCE</v>
          </cell>
        </row>
        <row r="30535">
          <cell r="S30535">
            <v>25621.79</v>
          </cell>
          <cell r="X30535" t="str">
            <v>GWP - gross</v>
          </cell>
          <cell r="Y30535" t="str">
            <v>PORTUGAL</v>
          </cell>
        </row>
        <row r="30536">
          <cell r="L30536" t="str">
            <v>Non-proportional</v>
          </cell>
          <cell r="S30536">
            <v>-3670.06</v>
          </cell>
          <cell r="X30536" t="str">
            <v>GWP - gross</v>
          </cell>
          <cell r="Y30536" t="str">
            <v>ITALY</v>
          </cell>
        </row>
        <row r="30537">
          <cell r="L30537" t="str">
            <v>Non-proportional</v>
          </cell>
          <cell r="S30537">
            <v>261.37</v>
          </cell>
          <cell r="X30537" t="str">
            <v>GWP - gross</v>
          </cell>
          <cell r="Y30537" t="str">
            <v>ITALY</v>
          </cell>
        </row>
        <row r="30538">
          <cell r="L30538" t="str">
            <v>Non-proportional</v>
          </cell>
          <cell r="S30538">
            <v>-2941.64</v>
          </cell>
          <cell r="X30538" t="str">
            <v>GWP - gross</v>
          </cell>
          <cell r="Y30538" t="str">
            <v>ITALY</v>
          </cell>
        </row>
        <row r="30539">
          <cell r="L30539" t="str">
            <v>Non-proportional</v>
          </cell>
          <cell r="S30539">
            <v>13146.59</v>
          </cell>
          <cell r="X30539" t="str">
            <v>GWP - gross</v>
          </cell>
          <cell r="Y30539" t="str">
            <v>COSTA RICA</v>
          </cell>
        </row>
        <row r="30540">
          <cell r="L30540" t="str">
            <v>Non-proportional</v>
          </cell>
          <cell r="S30540">
            <v>-20543.54</v>
          </cell>
          <cell r="X30540" t="str">
            <v>GWP - gross</v>
          </cell>
          <cell r="Y30540" t="str">
            <v>ISRAEL</v>
          </cell>
        </row>
        <row r="30541">
          <cell r="L30541" t="str">
            <v>Non-proportional</v>
          </cell>
          <cell r="S30541">
            <v>86625</v>
          </cell>
          <cell r="X30541" t="str">
            <v>GWP - gross</v>
          </cell>
          <cell r="Y30541" t="str">
            <v>BELGIUM</v>
          </cell>
        </row>
        <row r="30542">
          <cell r="L30542" t="str">
            <v>Proportional</v>
          </cell>
          <cell r="S30542">
            <v>-107600.52</v>
          </cell>
          <cell r="X30542" t="str">
            <v>GWP - gross</v>
          </cell>
          <cell r="Y30542" t="str">
            <v>MEXICO</v>
          </cell>
        </row>
        <row r="30543">
          <cell r="L30543" t="str">
            <v>Non-proportional</v>
          </cell>
          <cell r="S30543">
            <v>5480</v>
          </cell>
          <cell r="X30543" t="str">
            <v>GWP - gross</v>
          </cell>
          <cell r="Y30543" t="str">
            <v>PORTUGAL</v>
          </cell>
        </row>
        <row r="30544">
          <cell r="L30544" t="str">
            <v>Non-proportional</v>
          </cell>
          <cell r="S30544">
            <v>66313.8</v>
          </cell>
          <cell r="X30544" t="str">
            <v>GWP - gross</v>
          </cell>
          <cell r="Y30544" t="str">
            <v>GREECE</v>
          </cell>
        </row>
        <row r="30545">
          <cell r="L30545" t="str">
            <v>Non-proportional</v>
          </cell>
          <cell r="S30545">
            <v>-11225.1</v>
          </cell>
          <cell r="X30545" t="str">
            <v>GWP - gross</v>
          </cell>
          <cell r="Y30545" t="str">
            <v>ISRAEL</v>
          </cell>
        </row>
        <row r="30546">
          <cell r="L30546" t="str">
            <v>Proportional</v>
          </cell>
          <cell r="S30546">
            <v>-115.34</v>
          </cell>
          <cell r="X30546" t="str">
            <v>GWP - gross</v>
          </cell>
          <cell r="Y30546" t="str">
            <v>Portugal</v>
          </cell>
        </row>
        <row r="30547">
          <cell r="L30547" t="str">
            <v>Non-proportional</v>
          </cell>
          <cell r="S30547">
            <v>2080101</v>
          </cell>
          <cell r="X30547" t="str">
            <v>GWP - gross</v>
          </cell>
          <cell r="Y30547" t="str">
            <v>PORTUGAL</v>
          </cell>
        </row>
        <row r="30548">
          <cell r="L30548" t="str">
            <v>Non-proportional</v>
          </cell>
          <cell r="S30548">
            <v>-59666.39</v>
          </cell>
          <cell r="X30548" t="str">
            <v>GWP - gross</v>
          </cell>
          <cell r="Y30548" t="str">
            <v>PUERTO RICO</v>
          </cell>
        </row>
        <row r="30549">
          <cell r="L30549" t="str">
            <v>Non-proportional</v>
          </cell>
          <cell r="S30549">
            <v>-15935</v>
          </cell>
          <cell r="X30549" t="str">
            <v>GWP - gross</v>
          </cell>
          <cell r="Y30549" t="str">
            <v>FRANCE</v>
          </cell>
        </row>
        <row r="30550">
          <cell r="L30550" t="str">
            <v>Non-proportional</v>
          </cell>
          <cell r="S30550">
            <v>-3296.98</v>
          </cell>
          <cell r="X30550" t="str">
            <v>GWP - gross</v>
          </cell>
          <cell r="Y30550" t="str">
            <v>AUSTRIA</v>
          </cell>
        </row>
        <row r="30551">
          <cell r="L30551" t="str">
            <v>Non-proportional</v>
          </cell>
          <cell r="S30551">
            <v>532.5</v>
          </cell>
          <cell r="X30551" t="str">
            <v>GWP - gross</v>
          </cell>
          <cell r="Y30551" t="str">
            <v>ITALY</v>
          </cell>
        </row>
        <row r="30552">
          <cell r="L30552" t="str">
            <v>Non-proportional</v>
          </cell>
          <cell r="S30552">
            <v>-14440</v>
          </cell>
          <cell r="X30552" t="str">
            <v>GWP - gross</v>
          </cell>
          <cell r="Y30552" t="str">
            <v>FRANCE</v>
          </cell>
        </row>
        <row r="30553">
          <cell r="L30553" t="str">
            <v>Non-proportional</v>
          </cell>
          <cell r="S30553">
            <v>-7069.97</v>
          </cell>
          <cell r="X30553" t="str">
            <v>GWP - gross</v>
          </cell>
          <cell r="Y30553" t="str">
            <v>MEXICO</v>
          </cell>
        </row>
        <row r="30554">
          <cell r="L30554" t="str">
            <v>Non-proportional</v>
          </cell>
          <cell r="S30554">
            <v>-27058.74</v>
          </cell>
          <cell r="X30554" t="str">
            <v>GWP - gross</v>
          </cell>
          <cell r="Y30554" t="str">
            <v>PORTUGAL</v>
          </cell>
        </row>
        <row r="30555">
          <cell r="L30555" t="str">
            <v>Non-proportional</v>
          </cell>
          <cell r="S30555">
            <v>-29743.8</v>
          </cell>
          <cell r="X30555" t="str">
            <v>GWP - gross</v>
          </cell>
          <cell r="Y30555" t="str">
            <v>MEXICO</v>
          </cell>
        </row>
        <row r="30556">
          <cell r="L30556" t="str">
            <v>Non-proportional</v>
          </cell>
          <cell r="S30556">
            <v>55515</v>
          </cell>
          <cell r="X30556" t="str">
            <v>GWP - gross</v>
          </cell>
          <cell r="Y30556" t="str">
            <v>GERMANY</v>
          </cell>
        </row>
        <row r="30557">
          <cell r="L30557" t="str">
            <v>Non-proportional</v>
          </cell>
          <cell r="S30557">
            <v>99225.04</v>
          </cell>
          <cell r="X30557" t="str">
            <v>GWP - gross</v>
          </cell>
          <cell r="Y30557" t="str">
            <v>TURKEY</v>
          </cell>
        </row>
        <row r="30558">
          <cell r="L30558" t="str">
            <v>Proportional</v>
          </cell>
          <cell r="S30558">
            <v>1130057.6399999999</v>
          </cell>
          <cell r="X30558" t="str">
            <v>GWP - gross</v>
          </cell>
          <cell r="Y30558" t="str">
            <v>PORTUGAL</v>
          </cell>
        </row>
        <row r="30559">
          <cell r="L30559" t="str">
            <v>Non-proportional</v>
          </cell>
          <cell r="S30559">
            <v>4428.3999999999996</v>
          </cell>
          <cell r="X30559" t="str">
            <v>GWP - gross</v>
          </cell>
          <cell r="Y30559" t="str">
            <v>PORTUGAL</v>
          </cell>
        </row>
        <row r="30560">
          <cell r="L30560" t="str">
            <v>Non-proportional</v>
          </cell>
          <cell r="S30560">
            <v>1259077.69</v>
          </cell>
          <cell r="X30560" t="str">
            <v>GWP - gross</v>
          </cell>
          <cell r="Y30560" t="str">
            <v>UNITED KINGDOM</v>
          </cell>
        </row>
        <row r="30561">
          <cell r="L30561" t="str">
            <v>Non-proportional</v>
          </cell>
          <cell r="S30561">
            <v>4490.04</v>
          </cell>
          <cell r="X30561" t="str">
            <v>GWP - gross</v>
          </cell>
          <cell r="Y30561" t="str">
            <v>ISRAEL</v>
          </cell>
        </row>
        <row r="30562">
          <cell r="L30562" t="str">
            <v>Non-proportional</v>
          </cell>
          <cell r="S30562">
            <v>117215.12</v>
          </cell>
          <cell r="X30562" t="str">
            <v>GWP - gross</v>
          </cell>
          <cell r="Y30562" t="str">
            <v>UNITED KINGDOM</v>
          </cell>
        </row>
        <row r="30563">
          <cell r="L30563" t="str">
            <v>Non-proportional</v>
          </cell>
          <cell r="S30563">
            <v>-24.91</v>
          </cell>
          <cell r="X30563" t="str">
            <v>GWP - gross</v>
          </cell>
          <cell r="Y30563" t="str">
            <v>FRANCE</v>
          </cell>
        </row>
        <row r="30564">
          <cell r="L30564" t="str">
            <v>Non-proportional</v>
          </cell>
          <cell r="S30564">
            <v>45800</v>
          </cell>
          <cell r="X30564" t="str">
            <v>GWP - gross</v>
          </cell>
          <cell r="Y30564" t="str">
            <v>FRANCE</v>
          </cell>
        </row>
        <row r="30565">
          <cell r="L30565" t="str">
            <v>Non-proportional</v>
          </cell>
          <cell r="S30565">
            <v>10157.629999999999</v>
          </cell>
          <cell r="X30565" t="str">
            <v>GWP - gross</v>
          </cell>
          <cell r="Y30565" t="str">
            <v>ITALY</v>
          </cell>
        </row>
        <row r="30566">
          <cell r="L30566" t="str">
            <v>Non-proportional</v>
          </cell>
          <cell r="S30566">
            <v>-13146.59</v>
          </cell>
          <cell r="X30566" t="str">
            <v>GWP - gross</v>
          </cell>
          <cell r="Y30566" t="str">
            <v>COSTA RICA</v>
          </cell>
        </row>
        <row r="30567">
          <cell r="L30567" t="str">
            <v>Non-proportional</v>
          </cell>
          <cell r="S30567">
            <v>42131.25</v>
          </cell>
          <cell r="X30567" t="str">
            <v>GWP - gross</v>
          </cell>
          <cell r="Y30567" t="str">
            <v>EUROPE</v>
          </cell>
        </row>
        <row r="30568">
          <cell r="L30568" t="str">
            <v>Non-proportional</v>
          </cell>
          <cell r="S30568">
            <v>-45800</v>
          </cell>
          <cell r="X30568" t="str">
            <v>GWP - gross</v>
          </cell>
          <cell r="Y30568" t="str">
            <v>FRANCE</v>
          </cell>
        </row>
        <row r="30569">
          <cell r="L30569" t="str">
            <v>Non-proportional</v>
          </cell>
          <cell r="S30569">
            <v>-4918.88</v>
          </cell>
          <cell r="X30569" t="str">
            <v>GWP - gross</v>
          </cell>
          <cell r="Y30569" t="str">
            <v>UNITED KINGDOM</v>
          </cell>
        </row>
        <row r="30570">
          <cell r="L30570" t="str">
            <v>Proportional</v>
          </cell>
          <cell r="S30570">
            <v>-50296.93</v>
          </cell>
          <cell r="X30570" t="str">
            <v>GWP - gross</v>
          </cell>
          <cell r="Y30570" t="str">
            <v>GERMANY</v>
          </cell>
        </row>
        <row r="30571">
          <cell r="L30571" t="str">
            <v>Non-proportional</v>
          </cell>
          <cell r="S30571">
            <v>-9107.9599999999991</v>
          </cell>
          <cell r="X30571" t="str">
            <v>GWP - gross</v>
          </cell>
          <cell r="Y30571" t="str">
            <v>FRANCE</v>
          </cell>
        </row>
        <row r="30572">
          <cell r="L30572" t="str">
            <v>Non-proportional</v>
          </cell>
          <cell r="S30572">
            <v>-381543.75</v>
          </cell>
          <cell r="X30572" t="str">
            <v>GWP - gross</v>
          </cell>
          <cell r="Y30572" t="str">
            <v>TURKEY</v>
          </cell>
        </row>
        <row r="30573">
          <cell r="L30573" t="str">
            <v>Non-proportional</v>
          </cell>
          <cell r="S30573">
            <v>-109.5</v>
          </cell>
          <cell r="X30573" t="str">
            <v>GWP - gross</v>
          </cell>
          <cell r="Y30573" t="str">
            <v>FRANCE</v>
          </cell>
        </row>
        <row r="30574">
          <cell r="L30574" t="str">
            <v>Non-proportional</v>
          </cell>
          <cell r="S30574">
            <v>7129.53</v>
          </cell>
          <cell r="X30574" t="str">
            <v>GWP - gross</v>
          </cell>
          <cell r="Y30574" t="str">
            <v>GERMANY</v>
          </cell>
        </row>
        <row r="30575">
          <cell r="L30575" t="str">
            <v>Non-proportional</v>
          </cell>
          <cell r="S30575">
            <v>-15629.13</v>
          </cell>
          <cell r="X30575" t="str">
            <v>GWP - gross</v>
          </cell>
          <cell r="Y30575" t="str">
            <v>GUATEMALA</v>
          </cell>
        </row>
        <row r="30576">
          <cell r="L30576" t="str">
            <v>Non-proportional</v>
          </cell>
          <cell r="S30576">
            <v>-57350</v>
          </cell>
          <cell r="X30576" t="str">
            <v>GWP - gross</v>
          </cell>
          <cell r="Y30576" t="str">
            <v>NETHERLANDS</v>
          </cell>
        </row>
        <row r="30577">
          <cell r="L30577" t="str">
            <v>Non-proportional</v>
          </cell>
          <cell r="S30577">
            <v>-453938.5</v>
          </cell>
          <cell r="X30577" t="str">
            <v>GWP - gross</v>
          </cell>
          <cell r="Y30577" t="str">
            <v>TURKEY</v>
          </cell>
        </row>
        <row r="30578">
          <cell r="L30578" t="str">
            <v>Non-proportional</v>
          </cell>
          <cell r="S30578">
            <v>-55924.08</v>
          </cell>
          <cell r="X30578" t="str">
            <v>GWP - gross</v>
          </cell>
          <cell r="Y30578" t="str">
            <v>ISRAEL</v>
          </cell>
        </row>
        <row r="30579">
          <cell r="L30579" t="str">
            <v>Proportional</v>
          </cell>
          <cell r="S30579">
            <v>-582148.14</v>
          </cell>
          <cell r="X30579" t="str">
            <v>GWP - gross</v>
          </cell>
          <cell r="Y30579" t="str">
            <v>AUSTRIA</v>
          </cell>
        </row>
        <row r="30580">
          <cell r="L30580" t="str">
            <v>Non-proportional</v>
          </cell>
          <cell r="S30580">
            <v>-213039.52</v>
          </cell>
          <cell r="X30580" t="str">
            <v>GWP - gross</v>
          </cell>
          <cell r="Y30580" t="str">
            <v>TURKEY</v>
          </cell>
        </row>
        <row r="30581">
          <cell r="L30581" t="str">
            <v>Non-proportional</v>
          </cell>
          <cell r="S30581">
            <v>338234.4</v>
          </cell>
          <cell r="X30581" t="str">
            <v>GWP - gross</v>
          </cell>
          <cell r="Y30581" t="str">
            <v>FRANCE</v>
          </cell>
        </row>
        <row r="30582">
          <cell r="L30582" t="str">
            <v>Proportional</v>
          </cell>
          <cell r="S30582">
            <v>33.729999999999997</v>
          </cell>
          <cell r="X30582" t="str">
            <v>GWP - gross</v>
          </cell>
          <cell r="Y30582" t="str">
            <v>Turkey</v>
          </cell>
        </row>
        <row r="30583">
          <cell r="L30583" t="str">
            <v>Non-proportional</v>
          </cell>
          <cell r="S30583">
            <v>3373.25</v>
          </cell>
          <cell r="X30583" t="str">
            <v>GWP - gross</v>
          </cell>
          <cell r="Y30583" t="str">
            <v>ITALY</v>
          </cell>
        </row>
        <row r="30584">
          <cell r="L30584" t="str">
            <v>Non-proportional</v>
          </cell>
          <cell r="S30584">
            <v>432000</v>
          </cell>
          <cell r="X30584" t="str">
            <v>GWP - gross</v>
          </cell>
          <cell r="Y30584" t="str">
            <v>PORTUGAL</v>
          </cell>
        </row>
        <row r="30585">
          <cell r="L30585" t="str">
            <v>Non-proportional</v>
          </cell>
          <cell r="S30585">
            <v>-64050</v>
          </cell>
          <cell r="X30585" t="str">
            <v>GWP - gross</v>
          </cell>
          <cell r="Y30585" t="str">
            <v>FRANCE</v>
          </cell>
        </row>
        <row r="30586">
          <cell r="L30586" t="str">
            <v>Non-proportional</v>
          </cell>
          <cell r="S30586">
            <v>100513.47</v>
          </cell>
          <cell r="X30586" t="str">
            <v>GWP - gross</v>
          </cell>
          <cell r="Y30586" t="str">
            <v>AUSTRIA</v>
          </cell>
        </row>
        <row r="30587">
          <cell r="L30587" t="str">
            <v>Non-proportional</v>
          </cell>
          <cell r="S30587">
            <v>26130.81</v>
          </cell>
          <cell r="X30587" t="str">
            <v>GWP - gross</v>
          </cell>
          <cell r="Y30587" t="str">
            <v>FRANCE</v>
          </cell>
        </row>
        <row r="30588">
          <cell r="L30588" t="str">
            <v>Non-proportional</v>
          </cell>
          <cell r="S30588">
            <v>-58748.7</v>
          </cell>
          <cell r="X30588" t="str">
            <v>GWP - gross</v>
          </cell>
          <cell r="Y30588" t="str">
            <v>COSTA RICA</v>
          </cell>
        </row>
        <row r="30589">
          <cell r="L30589" t="str">
            <v>Non-proportional</v>
          </cell>
          <cell r="S30589">
            <v>2415.7399999999998</v>
          </cell>
          <cell r="X30589" t="str">
            <v>GWP - gross</v>
          </cell>
          <cell r="Y30589" t="str">
            <v>AUSTRIA</v>
          </cell>
        </row>
        <row r="30590">
          <cell r="L30590" t="str">
            <v>Proportional</v>
          </cell>
          <cell r="S30590">
            <v>-944619.53</v>
          </cell>
          <cell r="X30590" t="str">
            <v>GWP - gross</v>
          </cell>
          <cell r="Y30590" t="str">
            <v>PORTUGAL</v>
          </cell>
        </row>
        <row r="30591">
          <cell r="L30591" t="str">
            <v>Non-proportional</v>
          </cell>
          <cell r="S30591">
            <v>99048</v>
          </cell>
          <cell r="X30591" t="str">
            <v>GWP - gross</v>
          </cell>
          <cell r="Y30591" t="str">
            <v>PORTUGAL</v>
          </cell>
        </row>
        <row r="30592">
          <cell r="L30592" t="str">
            <v>Non-proportional</v>
          </cell>
          <cell r="S30592">
            <v>-50000</v>
          </cell>
          <cell r="X30592" t="str">
            <v>GWP - gross</v>
          </cell>
          <cell r="Y30592" t="str">
            <v>TURKEY</v>
          </cell>
        </row>
        <row r="30593">
          <cell r="L30593" t="str">
            <v>Non-proportional</v>
          </cell>
          <cell r="S30593">
            <v>-4380.4399999999996</v>
          </cell>
          <cell r="X30593" t="str">
            <v>GWP - gross</v>
          </cell>
          <cell r="Y30593" t="str">
            <v>GREECE</v>
          </cell>
        </row>
        <row r="30594">
          <cell r="L30594" t="str">
            <v>Non-proportional</v>
          </cell>
          <cell r="S30594">
            <v>156727</v>
          </cell>
          <cell r="X30594" t="str">
            <v>GWP - gross</v>
          </cell>
          <cell r="Y30594" t="str">
            <v>PORTUGAL</v>
          </cell>
        </row>
        <row r="30595">
          <cell r="L30595" t="str">
            <v>Non-proportional</v>
          </cell>
          <cell r="S30595">
            <v>31750</v>
          </cell>
          <cell r="X30595" t="str">
            <v>GWP - gross</v>
          </cell>
          <cell r="Y30595" t="str">
            <v>NETHERLANDS</v>
          </cell>
        </row>
        <row r="30596">
          <cell r="L30596" t="str">
            <v>Non-proportional</v>
          </cell>
          <cell r="S30596">
            <v>-19000</v>
          </cell>
          <cell r="X30596" t="str">
            <v>GWP - gross</v>
          </cell>
          <cell r="Y30596" t="str">
            <v>NETHERLANDS</v>
          </cell>
        </row>
        <row r="30597">
          <cell r="L30597" t="str">
            <v>Non-proportional</v>
          </cell>
          <cell r="S30597">
            <v>6430</v>
          </cell>
          <cell r="X30597" t="str">
            <v>GWP - gross</v>
          </cell>
          <cell r="Y30597" t="str">
            <v>NETHERLANDS</v>
          </cell>
        </row>
        <row r="30598">
          <cell r="L30598" t="str">
            <v>Proportional</v>
          </cell>
          <cell r="S30598">
            <v>192559.18</v>
          </cell>
          <cell r="X30598" t="str">
            <v>GWP - gross</v>
          </cell>
          <cell r="Y30598" t="str">
            <v>MEXICO</v>
          </cell>
        </row>
        <row r="30599">
          <cell r="L30599" t="str">
            <v>Non-proportional</v>
          </cell>
          <cell r="S30599">
            <v>3667063.71</v>
          </cell>
          <cell r="X30599" t="str">
            <v>GWP - gross</v>
          </cell>
          <cell r="Y30599" t="str">
            <v>UNITED KINGDOM</v>
          </cell>
        </row>
        <row r="30600">
          <cell r="L30600" t="str">
            <v>Non-proportional</v>
          </cell>
          <cell r="S30600">
            <v>20621.37</v>
          </cell>
          <cell r="X30600" t="str">
            <v>GWP - gross</v>
          </cell>
          <cell r="Y30600" t="str">
            <v>COSTA RICA</v>
          </cell>
        </row>
        <row r="30601">
          <cell r="L30601" t="str">
            <v>Non-proportional</v>
          </cell>
          <cell r="S30601">
            <v>-71400</v>
          </cell>
          <cell r="X30601" t="str">
            <v>GWP - gross</v>
          </cell>
          <cell r="Y30601" t="str">
            <v>ITALY</v>
          </cell>
        </row>
        <row r="30602">
          <cell r="L30602" t="str">
            <v>Non-proportional</v>
          </cell>
          <cell r="S30602">
            <v>81930</v>
          </cell>
          <cell r="X30602" t="str">
            <v>GWP - gross</v>
          </cell>
          <cell r="Y30602" t="str">
            <v>FRANCE</v>
          </cell>
        </row>
        <row r="30603">
          <cell r="L30603" t="str">
            <v>Non-proportional</v>
          </cell>
          <cell r="S30603">
            <v>-141200</v>
          </cell>
          <cell r="X30603" t="str">
            <v>GWP - gross</v>
          </cell>
          <cell r="Y30603" t="str">
            <v>FRANCE</v>
          </cell>
        </row>
        <row r="30604">
          <cell r="L30604" t="str">
            <v>Proportional</v>
          </cell>
          <cell r="S30604">
            <v>7426368.6100000003</v>
          </cell>
          <cell r="X30604" t="str">
            <v>GWP - gross</v>
          </cell>
          <cell r="Y30604" t="str">
            <v>PORTUGAL</v>
          </cell>
        </row>
        <row r="30605">
          <cell r="L30605" t="str">
            <v>Non-proportional</v>
          </cell>
          <cell r="S30605">
            <v>-3905.12</v>
          </cell>
          <cell r="X30605" t="str">
            <v>GWP - gross</v>
          </cell>
          <cell r="Y30605" t="str">
            <v>ITALY</v>
          </cell>
        </row>
        <row r="30606">
          <cell r="L30606" t="str">
            <v>Non-proportional</v>
          </cell>
          <cell r="S30606">
            <v>59666.39</v>
          </cell>
          <cell r="X30606" t="str">
            <v>GWP - gross</v>
          </cell>
          <cell r="Y30606" t="str">
            <v>PUERTO RICO</v>
          </cell>
        </row>
        <row r="30607">
          <cell r="L30607" t="str">
            <v>Non-proportional</v>
          </cell>
          <cell r="S30607">
            <v>-13845.42</v>
          </cell>
          <cell r="X30607" t="str">
            <v>GWP - gross</v>
          </cell>
          <cell r="Y30607" t="str">
            <v>ITALY</v>
          </cell>
        </row>
        <row r="30608">
          <cell r="L30608" t="str">
            <v>Non-proportional</v>
          </cell>
          <cell r="S30608">
            <v>-20543.54</v>
          </cell>
          <cell r="X30608" t="str">
            <v>GWP - gross</v>
          </cell>
          <cell r="Y30608" t="str">
            <v>ISRAEL</v>
          </cell>
        </row>
        <row r="30609">
          <cell r="L30609" t="str">
            <v>Proportional</v>
          </cell>
          <cell r="S30609">
            <v>291074.07</v>
          </cell>
          <cell r="X30609" t="str">
            <v>GWP - gross</v>
          </cell>
          <cell r="Y30609" t="str">
            <v>AUSTRIA</v>
          </cell>
        </row>
        <row r="30610">
          <cell r="L30610" t="str">
            <v>Non-proportional</v>
          </cell>
          <cell r="S30610">
            <v>-17375</v>
          </cell>
          <cell r="X30610" t="str">
            <v>GWP - gross</v>
          </cell>
          <cell r="Y30610" t="str">
            <v>ITALY</v>
          </cell>
        </row>
        <row r="30611">
          <cell r="L30611" t="str">
            <v>Non-proportional</v>
          </cell>
          <cell r="S30611">
            <v>100800</v>
          </cell>
          <cell r="X30611" t="str">
            <v>GWP - gross</v>
          </cell>
          <cell r="Y30611" t="str">
            <v>PORTUGAL</v>
          </cell>
        </row>
        <row r="30612">
          <cell r="L30612" t="str">
            <v>Non-proportional</v>
          </cell>
          <cell r="S30612">
            <v>426.73</v>
          </cell>
          <cell r="X30612" t="str">
            <v>GWP - gross</v>
          </cell>
          <cell r="Y30612" t="str">
            <v>UNITED KINGDOM</v>
          </cell>
        </row>
        <row r="30613">
          <cell r="L30613" t="str">
            <v>Non-proportional</v>
          </cell>
          <cell r="S30613">
            <v>-53450</v>
          </cell>
          <cell r="X30613" t="str">
            <v>GWP - gross</v>
          </cell>
          <cell r="Y30613" t="str">
            <v>NETHERLANDS</v>
          </cell>
        </row>
        <row r="30614">
          <cell r="L30614" t="str">
            <v>Non-proportional</v>
          </cell>
          <cell r="S30614">
            <v>1144.99</v>
          </cell>
          <cell r="X30614" t="str">
            <v>GWP - gross</v>
          </cell>
          <cell r="Y30614" t="str">
            <v>ITALY</v>
          </cell>
        </row>
        <row r="30615">
          <cell r="L30615" t="str">
            <v>Non-proportional</v>
          </cell>
          <cell r="S30615">
            <v>-320853.62</v>
          </cell>
          <cell r="X30615" t="str">
            <v>GWP - gross</v>
          </cell>
          <cell r="Y30615" t="str">
            <v>UNITED KINGDOM</v>
          </cell>
        </row>
        <row r="30616">
          <cell r="L30616" t="str">
            <v>Non-proportional</v>
          </cell>
          <cell r="S30616">
            <v>-59666.39</v>
          </cell>
          <cell r="X30616" t="str">
            <v>GWP - gross</v>
          </cell>
          <cell r="Y30616" t="str">
            <v>PUERTO RICO</v>
          </cell>
        </row>
        <row r="30617">
          <cell r="L30617" t="str">
            <v>Non-proportional</v>
          </cell>
          <cell r="S30617">
            <v>162500</v>
          </cell>
          <cell r="X30617" t="str">
            <v>GWP - gross</v>
          </cell>
          <cell r="Y30617" t="str">
            <v>FRANCE</v>
          </cell>
        </row>
        <row r="30618">
          <cell r="L30618" t="str">
            <v>Non-proportional</v>
          </cell>
          <cell r="S30618">
            <v>-10280.209999999999</v>
          </cell>
          <cell r="X30618" t="str">
            <v>GWP - gross</v>
          </cell>
          <cell r="Y30618" t="str">
            <v>FRANCE</v>
          </cell>
        </row>
        <row r="30619">
          <cell r="L30619" t="str">
            <v>Non-proportional</v>
          </cell>
          <cell r="S30619">
            <v>-100513.47</v>
          </cell>
          <cell r="X30619" t="str">
            <v>GWP - gross</v>
          </cell>
          <cell r="Y30619" t="str">
            <v>AUSTRIA</v>
          </cell>
        </row>
        <row r="30620">
          <cell r="L30620" t="str">
            <v>Non-proportional</v>
          </cell>
          <cell r="S30620">
            <v>4000</v>
          </cell>
          <cell r="X30620" t="str">
            <v>GWP - gross</v>
          </cell>
          <cell r="Y30620" t="str">
            <v>PORTUGAL</v>
          </cell>
        </row>
        <row r="30621">
          <cell r="L30621" t="str">
            <v>Non-proportional</v>
          </cell>
          <cell r="S30621">
            <v>-10157.629999999999</v>
          </cell>
          <cell r="X30621" t="str">
            <v>GWP - gross</v>
          </cell>
          <cell r="Y30621" t="str">
            <v>ITALY</v>
          </cell>
        </row>
        <row r="30622">
          <cell r="L30622" t="str">
            <v>Non-proportional</v>
          </cell>
          <cell r="S30622">
            <v>277392.55</v>
          </cell>
          <cell r="X30622" t="str">
            <v>GWP - gross</v>
          </cell>
          <cell r="Y30622" t="str">
            <v>UNITED KINGDOM</v>
          </cell>
        </row>
        <row r="30623">
          <cell r="L30623" t="str">
            <v>Non-proportional</v>
          </cell>
          <cell r="S30623">
            <v>100543.47</v>
          </cell>
          <cell r="X30623" t="str">
            <v>GWP - gross</v>
          </cell>
          <cell r="Y30623" t="str">
            <v>AUSTRIA</v>
          </cell>
        </row>
        <row r="30624">
          <cell r="L30624" t="str">
            <v>Proportional</v>
          </cell>
          <cell r="S30624">
            <v>417644.45</v>
          </cell>
          <cell r="X30624" t="str">
            <v>GWP - gross</v>
          </cell>
          <cell r="Y30624" t="str">
            <v>PORTUGAL</v>
          </cell>
        </row>
        <row r="30625">
          <cell r="L30625" t="str">
            <v>Non-proportional</v>
          </cell>
          <cell r="S30625">
            <v>381543.75</v>
          </cell>
          <cell r="X30625" t="str">
            <v>GWP - gross</v>
          </cell>
          <cell r="Y30625" t="str">
            <v>TURKEY</v>
          </cell>
        </row>
        <row r="30626">
          <cell r="L30626" t="str">
            <v>Non-proportional</v>
          </cell>
          <cell r="S30626">
            <v>237600</v>
          </cell>
          <cell r="X30626" t="str">
            <v>GWP - gross</v>
          </cell>
          <cell r="Y30626" t="str">
            <v>GREECE</v>
          </cell>
        </row>
        <row r="30627">
          <cell r="L30627" t="str">
            <v>Non-proportional</v>
          </cell>
          <cell r="S30627">
            <v>-35979.550000000003</v>
          </cell>
          <cell r="X30627" t="str">
            <v>GWP - gross</v>
          </cell>
          <cell r="Y30627" t="str">
            <v>GUATEMALA</v>
          </cell>
        </row>
        <row r="30628">
          <cell r="L30628" t="str">
            <v>Non-proportional</v>
          </cell>
          <cell r="S30628">
            <v>-60147.5</v>
          </cell>
          <cell r="X30628" t="str">
            <v>GWP - gross</v>
          </cell>
          <cell r="Y30628" t="str">
            <v>FRANCE</v>
          </cell>
        </row>
        <row r="30629">
          <cell r="L30629" t="str">
            <v>Non-proportional</v>
          </cell>
          <cell r="S30629">
            <v>-55924.08</v>
          </cell>
          <cell r="X30629" t="str">
            <v>GWP - gross</v>
          </cell>
          <cell r="Y30629" t="str">
            <v>ISRAEL</v>
          </cell>
        </row>
        <row r="30630">
          <cell r="L30630" t="str">
            <v>Non-proportional</v>
          </cell>
          <cell r="S30630">
            <v>-124312.5</v>
          </cell>
          <cell r="X30630" t="str">
            <v>GWP - gross</v>
          </cell>
          <cell r="Y30630" t="str">
            <v>EUROPE</v>
          </cell>
        </row>
        <row r="30631">
          <cell r="L30631" t="str">
            <v>Proportional</v>
          </cell>
          <cell r="S30631">
            <v>-936219.9</v>
          </cell>
          <cell r="X30631" t="str">
            <v>GWP - gross</v>
          </cell>
          <cell r="Y30631" t="str">
            <v>PORTUGAL</v>
          </cell>
        </row>
        <row r="30632">
          <cell r="L30632" t="str">
            <v>Proportional</v>
          </cell>
          <cell r="S30632">
            <v>-1570.28</v>
          </cell>
          <cell r="X30632" t="str">
            <v>GWP - gross</v>
          </cell>
          <cell r="Y30632" t="str">
            <v>TURKEY</v>
          </cell>
        </row>
        <row r="30633">
          <cell r="L30633" t="str">
            <v>Non-proportional</v>
          </cell>
          <cell r="S30633">
            <v>-36287.97</v>
          </cell>
          <cell r="X30633" t="str">
            <v>GWP - gross</v>
          </cell>
          <cell r="Y30633" t="str">
            <v>GREECE</v>
          </cell>
        </row>
        <row r="30634">
          <cell r="L30634" t="str">
            <v>Non-proportional</v>
          </cell>
          <cell r="S30634">
            <v>15719.94</v>
          </cell>
          <cell r="X30634" t="str">
            <v>GWP - gross</v>
          </cell>
          <cell r="Y30634" t="str">
            <v>GERMANY</v>
          </cell>
        </row>
        <row r="30635">
          <cell r="L30635" t="str">
            <v>Non-proportional</v>
          </cell>
          <cell r="S30635">
            <v>-47790</v>
          </cell>
          <cell r="X30635" t="str">
            <v>GWP - gross</v>
          </cell>
          <cell r="Y30635" t="str">
            <v>FRANCE</v>
          </cell>
        </row>
        <row r="30636">
          <cell r="L30636" t="str">
            <v>Non-proportional</v>
          </cell>
          <cell r="S30636">
            <v>11225.1</v>
          </cell>
          <cell r="X30636" t="str">
            <v>GWP - gross</v>
          </cell>
          <cell r="Y30636" t="str">
            <v>ISRAEL</v>
          </cell>
        </row>
        <row r="30637">
          <cell r="L30637" t="str">
            <v>Proportional</v>
          </cell>
          <cell r="S30637">
            <v>-558.91</v>
          </cell>
          <cell r="X30637" t="str">
            <v>GWP - gross</v>
          </cell>
          <cell r="Y30637" t="str">
            <v>Turkey</v>
          </cell>
        </row>
        <row r="30638">
          <cell r="L30638" t="str">
            <v>Non-proportional</v>
          </cell>
          <cell r="S30638">
            <v>-919.12</v>
          </cell>
          <cell r="X30638" t="str">
            <v>GWP - gross</v>
          </cell>
          <cell r="Y30638" t="str">
            <v>ITALY</v>
          </cell>
        </row>
        <row r="30639">
          <cell r="L30639" t="str">
            <v>Non-proportional</v>
          </cell>
          <cell r="S30639">
            <v>1713.6</v>
          </cell>
          <cell r="X30639" t="str">
            <v>GWP - gross</v>
          </cell>
          <cell r="Y30639" t="str">
            <v>GREECE</v>
          </cell>
        </row>
        <row r="30640">
          <cell r="L30640" t="str">
            <v>Non-proportional</v>
          </cell>
          <cell r="S30640">
            <v>6053.4</v>
          </cell>
          <cell r="X30640" t="str">
            <v>GWP - gross</v>
          </cell>
          <cell r="Y30640" t="str">
            <v>PORTUGAL</v>
          </cell>
        </row>
        <row r="30641">
          <cell r="L30641" t="str">
            <v>Non-proportional</v>
          </cell>
          <cell r="S30641">
            <v>-1259077.72</v>
          </cell>
          <cell r="X30641" t="str">
            <v>GWP - gross</v>
          </cell>
          <cell r="Y30641" t="str">
            <v>UNITED KINGDOM</v>
          </cell>
        </row>
        <row r="30642">
          <cell r="L30642" t="str">
            <v>Non-proportional</v>
          </cell>
          <cell r="S30642">
            <v>-327735</v>
          </cell>
          <cell r="X30642" t="str">
            <v>GWP - gross</v>
          </cell>
          <cell r="Y30642" t="str">
            <v>FRANCE</v>
          </cell>
        </row>
        <row r="30643">
          <cell r="L30643" t="str">
            <v>Non-proportional</v>
          </cell>
          <cell r="S30643">
            <v>-1311964.56</v>
          </cell>
          <cell r="X30643" t="str">
            <v>GWP - gross</v>
          </cell>
          <cell r="Y30643" t="str">
            <v>FRANCE</v>
          </cell>
        </row>
        <row r="30644">
          <cell r="L30644" t="str">
            <v>Non-proportional</v>
          </cell>
          <cell r="S30644">
            <v>-58223.61</v>
          </cell>
          <cell r="X30644" t="str">
            <v>GWP - gross</v>
          </cell>
          <cell r="Y30644" t="str">
            <v>GERMANY</v>
          </cell>
        </row>
        <row r="30645">
          <cell r="L30645" t="str">
            <v>Non-proportional</v>
          </cell>
          <cell r="S30645">
            <v>-31750</v>
          </cell>
          <cell r="X30645" t="str">
            <v>GWP - gross</v>
          </cell>
          <cell r="Y30645" t="str">
            <v>NETHERLANDS</v>
          </cell>
        </row>
        <row r="30646">
          <cell r="L30646" t="str">
            <v>Non-proportional</v>
          </cell>
          <cell r="S30646">
            <v>515.87</v>
          </cell>
          <cell r="X30646" t="str">
            <v>GWP - gross</v>
          </cell>
          <cell r="Y30646" t="str">
            <v>ITALY</v>
          </cell>
        </row>
        <row r="30647">
          <cell r="L30647" t="str">
            <v>Non-proportional</v>
          </cell>
          <cell r="S30647">
            <v>-7178.08</v>
          </cell>
          <cell r="X30647" t="str">
            <v>GWP - gross</v>
          </cell>
          <cell r="Y30647" t="str">
            <v>GREECE</v>
          </cell>
        </row>
        <row r="30648">
          <cell r="L30648" t="str">
            <v>Non-proportional</v>
          </cell>
          <cell r="S30648">
            <v>7622</v>
          </cell>
          <cell r="X30648" t="str">
            <v>GWP - gross</v>
          </cell>
          <cell r="Y30648" t="str">
            <v>ITALY</v>
          </cell>
        </row>
        <row r="30649">
          <cell r="L30649" t="str">
            <v>Non-proportional</v>
          </cell>
          <cell r="S30649">
            <v>18724.5</v>
          </cell>
          <cell r="X30649" t="str">
            <v>GWP - gross</v>
          </cell>
          <cell r="Y30649" t="str">
            <v>PORTUGAL</v>
          </cell>
        </row>
        <row r="30650">
          <cell r="L30650" t="str">
            <v>Proportional</v>
          </cell>
          <cell r="S30650">
            <v>2069.61</v>
          </cell>
          <cell r="X30650" t="str">
            <v>GWP - gross</v>
          </cell>
          <cell r="Y30650" t="str">
            <v>UNITED STATES</v>
          </cell>
        </row>
        <row r="30651">
          <cell r="L30651" t="str">
            <v>Non-proportional</v>
          </cell>
          <cell r="S30651">
            <v>28000</v>
          </cell>
          <cell r="X30651" t="str">
            <v>GWP - gross</v>
          </cell>
          <cell r="Y30651" t="str">
            <v>ITALY</v>
          </cell>
        </row>
        <row r="30652">
          <cell r="L30652" t="str">
            <v>Proportional</v>
          </cell>
          <cell r="S30652">
            <v>-389670.86</v>
          </cell>
          <cell r="X30652" t="str">
            <v>GWP - gross</v>
          </cell>
          <cell r="Y30652" t="str">
            <v>PORTUGAL</v>
          </cell>
        </row>
        <row r="30653">
          <cell r="L30653" t="str">
            <v>Non-proportional</v>
          </cell>
          <cell r="S30653">
            <v>6091.75</v>
          </cell>
          <cell r="X30653" t="str">
            <v>GWP - gross</v>
          </cell>
          <cell r="Y30653" t="str">
            <v>FRANCE</v>
          </cell>
        </row>
        <row r="30654">
          <cell r="L30654" t="str">
            <v>Non-proportional</v>
          </cell>
          <cell r="S30654">
            <v>-3667063.71</v>
          </cell>
          <cell r="X30654" t="str">
            <v>GWP - gross</v>
          </cell>
          <cell r="Y30654" t="str">
            <v>UNITED KINGDOM</v>
          </cell>
        </row>
        <row r="30655">
          <cell r="L30655" t="str">
            <v>Non-proportional</v>
          </cell>
          <cell r="S30655">
            <v>19000</v>
          </cell>
          <cell r="X30655" t="str">
            <v>GWP - gross</v>
          </cell>
          <cell r="Y30655" t="str">
            <v>NETHERLANDS</v>
          </cell>
        </row>
        <row r="30656">
          <cell r="L30656" t="str">
            <v>Non-proportional</v>
          </cell>
          <cell r="S30656">
            <v>-406768.65</v>
          </cell>
          <cell r="X30656" t="str">
            <v>GWP - gross</v>
          </cell>
          <cell r="Y30656" t="str">
            <v>UNITED KINGDOM</v>
          </cell>
        </row>
        <row r="30657">
          <cell r="L30657" t="str">
            <v>Non-proportional</v>
          </cell>
          <cell r="S30657">
            <v>95000</v>
          </cell>
          <cell r="X30657" t="str">
            <v>GWP - gross</v>
          </cell>
          <cell r="Y30657" t="str">
            <v>FRANCE</v>
          </cell>
        </row>
        <row r="30658">
          <cell r="L30658" t="str">
            <v>Non-proportional</v>
          </cell>
          <cell r="S30658">
            <v>-53691.75</v>
          </cell>
          <cell r="X30658" t="str">
            <v>GWP - gross</v>
          </cell>
          <cell r="Y30658" t="str">
            <v>EUROPE</v>
          </cell>
        </row>
        <row r="30659">
          <cell r="L30659" t="str">
            <v>Proportional</v>
          </cell>
          <cell r="S30659">
            <v>-2826576.12</v>
          </cell>
          <cell r="X30659" t="str">
            <v>GWP - gross</v>
          </cell>
          <cell r="Y30659" t="str">
            <v>PORTUGAL</v>
          </cell>
        </row>
        <row r="30660">
          <cell r="L30660" t="str">
            <v>Non-proportional</v>
          </cell>
          <cell r="S30660">
            <v>-9305.7099999999991</v>
          </cell>
          <cell r="X30660" t="str">
            <v>GWP - gross</v>
          </cell>
          <cell r="Y30660" t="str">
            <v>ITALY</v>
          </cell>
        </row>
        <row r="30661">
          <cell r="L30661" t="str">
            <v>Non-proportional</v>
          </cell>
          <cell r="S30661">
            <v>-162500</v>
          </cell>
          <cell r="X30661" t="str">
            <v>GWP - gross</v>
          </cell>
          <cell r="Y30661" t="str">
            <v>FRANCE</v>
          </cell>
        </row>
        <row r="30662">
          <cell r="L30662" t="str">
            <v>Non-proportional</v>
          </cell>
          <cell r="S30662">
            <v>137900.14000000001</v>
          </cell>
          <cell r="X30662" t="str">
            <v>GWP - gross</v>
          </cell>
          <cell r="Y30662" t="str">
            <v>UNITED KINGDOM</v>
          </cell>
        </row>
        <row r="30663">
          <cell r="L30663" t="str">
            <v>Non-proportional</v>
          </cell>
          <cell r="S30663">
            <v>20239.04</v>
          </cell>
          <cell r="X30663" t="str">
            <v>GWP - gross</v>
          </cell>
          <cell r="Y30663" t="str">
            <v>AUSTRIA</v>
          </cell>
        </row>
        <row r="30664">
          <cell r="L30664" t="str">
            <v>Non-proportional</v>
          </cell>
          <cell r="S30664">
            <v>-11615.09</v>
          </cell>
          <cell r="X30664" t="str">
            <v>GWP - gross</v>
          </cell>
          <cell r="Y30664" t="str">
            <v>SWEDEN</v>
          </cell>
        </row>
        <row r="30665">
          <cell r="L30665" t="str">
            <v>Non-proportional</v>
          </cell>
          <cell r="S30665">
            <v>1259077.72</v>
          </cell>
          <cell r="X30665" t="str">
            <v>GWP - gross</v>
          </cell>
          <cell r="Y30665" t="str">
            <v>UNITED KINGDOM</v>
          </cell>
        </row>
        <row r="30666">
          <cell r="L30666" t="str">
            <v>Non-proportional</v>
          </cell>
          <cell r="S30666">
            <v>-432000</v>
          </cell>
          <cell r="X30666" t="str">
            <v>GWP - gross</v>
          </cell>
          <cell r="Y30666" t="str">
            <v>PORTUGAL</v>
          </cell>
        </row>
        <row r="30667">
          <cell r="L30667" t="str">
            <v>Non-proportional</v>
          </cell>
          <cell r="S30667">
            <v>-30681</v>
          </cell>
          <cell r="X30667" t="str">
            <v>GWP - gross</v>
          </cell>
          <cell r="Y30667" t="str">
            <v>EUROPE</v>
          </cell>
        </row>
        <row r="30668">
          <cell r="L30668" t="str">
            <v>Non-proportional</v>
          </cell>
          <cell r="S30668">
            <v>502.03</v>
          </cell>
          <cell r="X30668" t="str">
            <v>GWP - gross</v>
          </cell>
          <cell r="Y30668" t="str">
            <v>UNITED KINGDOM</v>
          </cell>
        </row>
        <row r="30669">
          <cell r="L30669" t="str">
            <v>Non-proportional</v>
          </cell>
          <cell r="S30669">
            <v>32144.6</v>
          </cell>
          <cell r="X30669" t="str">
            <v>GWP - gross</v>
          </cell>
          <cell r="Y30669" t="str">
            <v>ISRAEL</v>
          </cell>
        </row>
        <row r="30670">
          <cell r="L30670" t="str">
            <v>Non-proportional</v>
          </cell>
          <cell r="S30670">
            <v>-81930</v>
          </cell>
          <cell r="X30670" t="str">
            <v>GWP - gross</v>
          </cell>
          <cell r="Y30670" t="str">
            <v>FRANCE</v>
          </cell>
        </row>
        <row r="30671">
          <cell r="L30671" t="str">
            <v>Proportional</v>
          </cell>
          <cell r="S30671">
            <v>-2252.15</v>
          </cell>
          <cell r="X30671" t="str">
            <v>GWP - gross</v>
          </cell>
          <cell r="Y30671" t="str">
            <v>TURKEY</v>
          </cell>
        </row>
        <row r="30672">
          <cell r="L30672" t="str">
            <v>Non-proportional</v>
          </cell>
          <cell r="S30672">
            <v>355</v>
          </cell>
          <cell r="X30672" t="str">
            <v>GWP - gross</v>
          </cell>
          <cell r="Y30672" t="str">
            <v>ITALY</v>
          </cell>
        </row>
        <row r="30673">
          <cell r="L30673" t="str">
            <v>Proportional</v>
          </cell>
          <cell r="S30673">
            <v>-4460648.5599999996</v>
          </cell>
          <cell r="X30673" t="str">
            <v>GWP - gross</v>
          </cell>
          <cell r="Y30673" t="str">
            <v>HONG KONG</v>
          </cell>
        </row>
        <row r="30674">
          <cell r="L30674" t="str">
            <v>Non-proportional</v>
          </cell>
          <cell r="S30674">
            <v>63918.75</v>
          </cell>
          <cell r="X30674" t="str">
            <v>GWP - gross</v>
          </cell>
          <cell r="Y30674" t="str">
            <v>EUROPE</v>
          </cell>
        </row>
        <row r="30675">
          <cell r="L30675" t="str">
            <v>Proportional</v>
          </cell>
          <cell r="S30675">
            <v>-192559.18</v>
          </cell>
          <cell r="X30675" t="str">
            <v>GWP - gross</v>
          </cell>
          <cell r="Y30675" t="str">
            <v>MEXICO</v>
          </cell>
        </row>
        <row r="30676">
          <cell r="L30676" t="str">
            <v>Non-proportional</v>
          </cell>
          <cell r="S30676">
            <v>-3436.59</v>
          </cell>
          <cell r="X30676" t="str">
            <v>GWP - gross</v>
          </cell>
          <cell r="Y30676" t="str">
            <v>MEXICO</v>
          </cell>
        </row>
        <row r="30677">
          <cell r="L30677" t="str">
            <v>Non-proportional</v>
          </cell>
          <cell r="S30677">
            <v>86625</v>
          </cell>
          <cell r="X30677" t="str">
            <v>GWP - gross</v>
          </cell>
          <cell r="Y30677" t="str">
            <v>BELGIUM</v>
          </cell>
        </row>
        <row r="30678">
          <cell r="L30678" t="str">
            <v>Non-proportional</v>
          </cell>
          <cell r="S30678">
            <v>109.5</v>
          </cell>
          <cell r="X30678" t="str">
            <v>GWP - gross</v>
          </cell>
          <cell r="Y30678" t="str">
            <v>FRANCE</v>
          </cell>
        </row>
        <row r="30679">
          <cell r="L30679" t="str">
            <v>Proportional</v>
          </cell>
          <cell r="S30679">
            <v>44944.6</v>
          </cell>
          <cell r="X30679" t="str">
            <v>GWP - gross</v>
          </cell>
          <cell r="Y30679" t="str">
            <v>GERMANY</v>
          </cell>
        </row>
        <row r="30680">
          <cell r="L30680" t="str">
            <v>Non-proportional</v>
          </cell>
          <cell r="S30680">
            <v>-14000</v>
          </cell>
          <cell r="X30680" t="str">
            <v>GWP - gross</v>
          </cell>
          <cell r="Y30680" t="str">
            <v>ITALY</v>
          </cell>
        </row>
        <row r="30681">
          <cell r="L30681" t="str">
            <v>Proportional</v>
          </cell>
          <cell r="S30681">
            <v>-1603.82</v>
          </cell>
          <cell r="X30681" t="str">
            <v>GWP - gross</v>
          </cell>
          <cell r="Y30681" t="str">
            <v>PORTUGAL</v>
          </cell>
        </row>
        <row r="30682">
          <cell r="L30682" t="str">
            <v>Non-proportional</v>
          </cell>
          <cell r="S30682">
            <v>-14668254.84</v>
          </cell>
          <cell r="X30682" t="str">
            <v>GWP - gross</v>
          </cell>
          <cell r="Y30682" t="str">
            <v>UNITED KINGDOM</v>
          </cell>
        </row>
        <row r="30683">
          <cell r="L30683" t="str">
            <v>Non-proportional</v>
          </cell>
          <cell r="S30683">
            <v>80779.12</v>
          </cell>
          <cell r="X30683" t="str">
            <v>GWP - gross</v>
          </cell>
          <cell r="Y30683" t="str">
            <v>PUERTO RICO</v>
          </cell>
        </row>
        <row r="30684">
          <cell r="L30684" t="str">
            <v>Non-proportional</v>
          </cell>
          <cell r="S30684">
            <v>3436.59</v>
          </cell>
          <cell r="X30684" t="str">
            <v>GWP - gross</v>
          </cell>
          <cell r="Y30684" t="str">
            <v>MEXICO</v>
          </cell>
        </row>
        <row r="30685">
          <cell r="L30685" t="str">
            <v>Proportional</v>
          </cell>
          <cell r="S30685">
            <v>-122774.75</v>
          </cell>
          <cell r="X30685" t="str">
            <v>GWP - gross</v>
          </cell>
          <cell r="Y30685" t="str">
            <v>Hong Kong</v>
          </cell>
        </row>
        <row r="30686">
          <cell r="L30686" t="str">
            <v>Non-proportional</v>
          </cell>
          <cell r="S30686">
            <v>-75200</v>
          </cell>
          <cell r="X30686" t="str">
            <v>GWP - gross</v>
          </cell>
          <cell r="Y30686" t="str">
            <v>FRANCE</v>
          </cell>
        </row>
        <row r="30687">
          <cell r="L30687" t="str">
            <v>Non-proportional</v>
          </cell>
          <cell r="S30687">
            <v>199806</v>
          </cell>
          <cell r="X30687" t="str">
            <v>GWP - gross</v>
          </cell>
          <cell r="Y30687" t="str">
            <v>PORTUGAL</v>
          </cell>
        </row>
        <row r="30688">
          <cell r="L30688" t="str">
            <v>Non-proportional</v>
          </cell>
          <cell r="S30688">
            <v>2040.01</v>
          </cell>
          <cell r="X30688" t="str">
            <v>GWP - gross</v>
          </cell>
          <cell r="Y30688" t="str">
            <v>ITALY</v>
          </cell>
        </row>
        <row r="30689">
          <cell r="L30689" t="str">
            <v>Non-proportional</v>
          </cell>
          <cell r="S30689">
            <v>19440</v>
          </cell>
          <cell r="X30689" t="str">
            <v>GWP - gross</v>
          </cell>
          <cell r="Y30689" t="str">
            <v>PORTUGAL</v>
          </cell>
        </row>
        <row r="30690">
          <cell r="L30690" t="str">
            <v>Non-proportional</v>
          </cell>
          <cell r="S30690">
            <v>215650</v>
          </cell>
          <cell r="X30690" t="str">
            <v>GWP - gross</v>
          </cell>
          <cell r="Y30690" t="str">
            <v>FRANCE</v>
          </cell>
        </row>
        <row r="30691">
          <cell r="L30691" t="str">
            <v>Non-proportional</v>
          </cell>
          <cell r="S30691">
            <v>55924.08</v>
          </cell>
          <cell r="X30691" t="str">
            <v>GWP - gross</v>
          </cell>
          <cell r="Y30691" t="str">
            <v>ISRAEL</v>
          </cell>
        </row>
        <row r="30692">
          <cell r="L30692" t="str">
            <v>Non-proportional</v>
          </cell>
          <cell r="S30692">
            <v>20543.54</v>
          </cell>
          <cell r="X30692" t="str">
            <v>GWP - gross</v>
          </cell>
          <cell r="Y30692" t="str">
            <v>ISRAEL</v>
          </cell>
        </row>
        <row r="30693">
          <cell r="L30693" t="str">
            <v>Non-proportional</v>
          </cell>
          <cell r="S30693">
            <v>35716.22</v>
          </cell>
          <cell r="X30693" t="str">
            <v>GWP - gross</v>
          </cell>
          <cell r="Y30693" t="str">
            <v>ISRAEL</v>
          </cell>
        </row>
        <row r="30694">
          <cell r="L30694" t="str">
            <v>Non-proportional</v>
          </cell>
          <cell r="S30694">
            <v>-10500</v>
          </cell>
          <cell r="X30694" t="str">
            <v>GWP - gross</v>
          </cell>
          <cell r="Y30694" t="str">
            <v>ITALY</v>
          </cell>
        </row>
        <row r="30695">
          <cell r="L30695" t="str">
            <v>Non-proportional</v>
          </cell>
          <cell r="S30695">
            <v>-4490.04</v>
          </cell>
          <cell r="X30695" t="str">
            <v>GWP - gross</v>
          </cell>
          <cell r="Y30695" t="str">
            <v>ISRAEL</v>
          </cell>
        </row>
        <row r="30696">
          <cell r="L30696" t="str">
            <v>Non-proportional</v>
          </cell>
          <cell r="S30696">
            <v>408476.25</v>
          </cell>
          <cell r="X30696" t="str">
            <v>GWP - gross</v>
          </cell>
          <cell r="Y30696" t="str">
            <v>TURKEY</v>
          </cell>
        </row>
        <row r="30697">
          <cell r="L30697" t="str">
            <v>Proportional</v>
          </cell>
          <cell r="S30697">
            <v>4460648.5599999996</v>
          </cell>
          <cell r="X30697" t="str">
            <v>GWP - gross</v>
          </cell>
          <cell r="Y30697" t="str">
            <v>HONG KONG</v>
          </cell>
        </row>
        <row r="30698">
          <cell r="L30698" t="str">
            <v>Non-proportional</v>
          </cell>
          <cell r="S30698">
            <v>96530.08</v>
          </cell>
          <cell r="X30698" t="str">
            <v>GWP - gross</v>
          </cell>
          <cell r="Y30698" t="str">
            <v>UNITED KINGDOM</v>
          </cell>
        </row>
        <row r="30699">
          <cell r="L30699" t="str">
            <v>Non-proportional</v>
          </cell>
          <cell r="S30699">
            <v>31890</v>
          </cell>
          <cell r="X30699" t="str">
            <v>GWP - gross</v>
          </cell>
          <cell r="Y30699" t="str">
            <v>FRANCE</v>
          </cell>
        </row>
        <row r="30700">
          <cell r="L30700" t="str">
            <v>Non-proportional</v>
          </cell>
          <cell r="S30700">
            <v>-94500</v>
          </cell>
          <cell r="X30700" t="str">
            <v>GWP - gross</v>
          </cell>
          <cell r="Y30700" t="str">
            <v>EUROPE</v>
          </cell>
        </row>
        <row r="30701">
          <cell r="L30701" t="str">
            <v>Proportional</v>
          </cell>
          <cell r="S30701">
            <v>107600.52</v>
          </cell>
          <cell r="X30701" t="str">
            <v>GWP - gross</v>
          </cell>
          <cell r="Y30701" t="str">
            <v>MEXICO</v>
          </cell>
        </row>
        <row r="30702">
          <cell r="L30702" t="str">
            <v>Non-proportional</v>
          </cell>
          <cell r="S30702">
            <v>919.12</v>
          </cell>
          <cell r="X30702" t="str">
            <v>GWP - gross</v>
          </cell>
          <cell r="Y30702" t="str">
            <v>ITALY</v>
          </cell>
        </row>
        <row r="30703">
          <cell r="L30703" t="str">
            <v>Non-proportional</v>
          </cell>
          <cell r="S30703">
            <v>-4525.21</v>
          </cell>
          <cell r="X30703" t="str">
            <v>GWP - gross</v>
          </cell>
          <cell r="Y30703" t="str">
            <v>GERMANY</v>
          </cell>
        </row>
        <row r="30704">
          <cell r="L30704" t="str">
            <v>Non-proportional</v>
          </cell>
          <cell r="S30704">
            <v>-24639.75</v>
          </cell>
          <cell r="X30704" t="str">
            <v>GWP - gross</v>
          </cell>
          <cell r="Y30704" t="str">
            <v>NETHERLANDS</v>
          </cell>
        </row>
        <row r="30705">
          <cell r="L30705" t="str">
            <v>Non-proportional</v>
          </cell>
          <cell r="S30705">
            <v>8580</v>
          </cell>
          <cell r="X30705" t="str">
            <v>GWP - gross</v>
          </cell>
          <cell r="Y30705" t="str">
            <v>ITALY</v>
          </cell>
        </row>
        <row r="30706">
          <cell r="L30706" t="str">
            <v>Non-proportional</v>
          </cell>
          <cell r="S30706">
            <v>89390.5</v>
          </cell>
          <cell r="X30706" t="str">
            <v>GWP - gross</v>
          </cell>
          <cell r="Y30706" t="str">
            <v>UNITED KINGDOM</v>
          </cell>
        </row>
        <row r="30707">
          <cell r="L30707" t="str">
            <v>Non-proportional</v>
          </cell>
          <cell r="S30707">
            <v>14286.49</v>
          </cell>
          <cell r="X30707" t="str">
            <v>GWP - gross</v>
          </cell>
          <cell r="Y30707" t="str">
            <v>ISRAEL</v>
          </cell>
        </row>
        <row r="30708">
          <cell r="L30708" t="str">
            <v>Proportional</v>
          </cell>
          <cell r="S30708">
            <v>-192559.18</v>
          </cell>
          <cell r="X30708" t="str">
            <v>GWP - gross</v>
          </cell>
          <cell r="Y30708" t="str">
            <v>MEXICO</v>
          </cell>
        </row>
        <row r="30709">
          <cell r="L30709" t="str">
            <v>Non-proportional</v>
          </cell>
          <cell r="S30709">
            <v>-7931.55</v>
          </cell>
          <cell r="X30709" t="str">
            <v>GWP - gross</v>
          </cell>
          <cell r="Y30709" t="str">
            <v>NETHERLANDS</v>
          </cell>
        </row>
        <row r="30710">
          <cell r="L30710" t="str">
            <v>Non-proportional</v>
          </cell>
          <cell r="S30710">
            <v>14440</v>
          </cell>
          <cell r="X30710" t="str">
            <v>GWP - gross</v>
          </cell>
          <cell r="Y30710" t="str">
            <v>FRANCE</v>
          </cell>
        </row>
        <row r="30711">
          <cell r="L30711" t="str">
            <v>Non-proportional</v>
          </cell>
          <cell r="S30711">
            <v>-100543.47</v>
          </cell>
          <cell r="X30711" t="str">
            <v>GWP - gross</v>
          </cell>
          <cell r="Y30711" t="str">
            <v>AUSTRIA</v>
          </cell>
        </row>
        <row r="30712">
          <cell r="L30712" t="str">
            <v>Non-proportional</v>
          </cell>
          <cell r="S30712">
            <v>59718.5</v>
          </cell>
          <cell r="X30712" t="str">
            <v>GWP - gross</v>
          </cell>
          <cell r="Y30712" t="str">
            <v>FRANCE</v>
          </cell>
        </row>
        <row r="30713">
          <cell r="L30713" t="str">
            <v>Non-proportional</v>
          </cell>
          <cell r="S30713">
            <v>202373</v>
          </cell>
          <cell r="X30713" t="str">
            <v>GWP - gross</v>
          </cell>
          <cell r="Y30713" t="str">
            <v>PORTUGAL</v>
          </cell>
        </row>
        <row r="30714">
          <cell r="L30714" t="str">
            <v>Non-proportional</v>
          </cell>
          <cell r="S30714">
            <v>-4500</v>
          </cell>
          <cell r="X30714" t="str">
            <v>GWP - gross</v>
          </cell>
          <cell r="Y30714" t="str">
            <v>NETHERLANDS</v>
          </cell>
        </row>
        <row r="30715">
          <cell r="L30715" t="str">
            <v>Non-proportional</v>
          </cell>
          <cell r="S30715">
            <v>2420</v>
          </cell>
          <cell r="X30715" t="str">
            <v>GWP - gross</v>
          </cell>
          <cell r="Y30715" t="str">
            <v>ITALY</v>
          </cell>
        </row>
        <row r="30716">
          <cell r="L30716" t="str">
            <v>Non-proportional</v>
          </cell>
          <cell r="S30716">
            <v>-67959.45</v>
          </cell>
          <cell r="X30716" t="str">
            <v>GWP - gross</v>
          </cell>
          <cell r="Y30716" t="str">
            <v>AUSTRIA</v>
          </cell>
        </row>
        <row r="30717">
          <cell r="L30717" t="str">
            <v>Non-proportional</v>
          </cell>
          <cell r="S30717">
            <v>-44847.19</v>
          </cell>
          <cell r="X30717" t="str">
            <v>GWP - gross</v>
          </cell>
          <cell r="Y30717" t="str">
            <v>PORTUGAL</v>
          </cell>
        </row>
        <row r="30718">
          <cell r="L30718" t="str">
            <v>Non-proportional</v>
          </cell>
          <cell r="S30718">
            <v>9244.25</v>
          </cell>
          <cell r="X30718" t="str">
            <v>GWP - gross</v>
          </cell>
          <cell r="Y30718" t="str">
            <v>ITALY</v>
          </cell>
        </row>
        <row r="30719">
          <cell r="L30719" t="str">
            <v>Non-proportional</v>
          </cell>
          <cell r="S30719">
            <v>-81930</v>
          </cell>
          <cell r="X30719" t="str">
            <v>GWP - gross</v>
          </cell>
          <cell r="Y30719" t="str">
            <v>FRANCE</v>
          </cell>
        </row>
        <row r="30720">
          <cell r="L30720" t="str">
            <v>Non-proportional</v>
          </cell>
          <cell r="S30720">
            <v>-86625</v>
          </cell>
          <cell r="X30720" t="str">
            <v>GWP - gross</v>
          </cell>
          <cell r="Y30720" t="str">
            <v>BELGIUM</v>
          </cell>
        </row>
        <row r="30721">
          <cell r="L30721" t="str">
            <v>Non-proportional</v>
          </cell>
          <cell r="S30721">
            <v>-171562.5</v>
          </cell>
          <cell r="X30721" t="str">
            <v>GWP - gross</v>
          </cell>
          <cell r="Y30721" t="str">
            <v>EUROPE</v>
          </cell>
        </row>
        <row r="30722">
          <cell r="L30722" t="str">
            <v>Proportional</v>
          </cell>
          <cell r="S30722">
            <v>-359.19</v>
          </cell>
          <cell r="X30722" t="str">
            <v>GWP - gross</v>
          </cell>
          <cell r="Y30722" t="str">
            <v>Turkey</v>
          </cell>
        </row>
        <row r="30723">
          <cell r="L30723" t="str">
            <v>Proportional</v>
          </cell>
          <cell r="S30723">
            <v>-255856.01</v>
          </cell>
          <cell r="X30723" t="str">
            <v>GWP - gross</v>
          </cell>
          <cell r="Y30723" t="str">
            <v>MEXICO</v>
          </cell>
        </row>
        <row r="30724">
          <cell r="L30724" t="str">
            <v>Non-proportional</v>
          </cell>
          <cell r="S30724">
            <v>35979.550000000003</v>
          </cell>
          <cell r="X30724" t="str">
            <v>GWP - gross</v>
          </cell>
          <cell r="Y30724" t="str">
            <v>GUATEMALA</v>
          </cell>
        </row>
        <row r="30725">
          <cell r="L30725" t="str">
            <v>Proportional</v>
          </cell>
          <cell r="S30725">
            <v>192559.18</v>
          </cell>
          <cell r="X30725" t="str">
            <v>GWP - gross</v>
          </cell>
          <cell r="Y30725" t="str">
            <v>MEXICO</v>
          </cell>
        </row>
        <row r="30726">
          <cell r="L30726" t="str">
            <v>Non-proportional</v>
          </cell>
          <cell r="S30726">
            <v>-287672.46000000002</v>
          </cell>
          <cell r="X30726" t="str">
            <v>GWP - gross</v>
          </cell>
          <cell r="Y30726" t="str">
            <v>PORTUGAL</v>
          </cell>
        </row>
        <row r="30727">
          <cell r="L30727" t="str">
            <v>Non-proportional</v>
          </cell>
          <cell r="S30727">
            <v>-14487.23</v>
          </cell>
          <cell r="X30727" t="str">
            <v>GWP - gross</v>
          </cell>
          <cell r="Y30727" t="str">
            <v>COSTA RICA</v>
          </cell>
        </row>
        <row r="30728">
          <cell r="L30728" t="str">
            <v>Non-proportional</v>
          </cell>
          <cell r="S30728">
            <v>168600</v>
          </cell>
          <cell r="X30728" t="str">
            <v>GWP - gross</v>
          </cell>
          <cell r="Y30728" t="str">
            <v>PORTUGAL</v>
          </cell>
        </row>
        <row r="30729">
          <cell r="L30729" t="str">
            <v>Non-proportional</v>
          </cell>
          <cell r="S30729">
            <v>-26190.59</v>
          </cell>
          <cell r="X30729" t="str">
            <v>GWP - gross</v>
          </cell>
          <cell r="Y30729" t="str">
            <v>SWEDEN</v>
          </cell>
        </row>
        <row r="30730">
          <cell r="L30730" t="str">
            <v>Non-proportional</v>
          </cell>
          <cell r="S30730">
            <v>-478.04</v>
          </cell>
          <cell r="X30730" t="str">
            <v>GWP - gross</v>
          </cell>
          <cell r="Y30730" t="str">
            <v>BELGIUM</v>
          </cell>
        </row>
        <row r="30731">
          <cell r="L30731" t="str">
            <v>Non-proportional</v>
          </cell>
          <cell r="S30731">
            <v>-32144.6</v>
          </cell>
          <cell r="X30731" t="str">
            <v>GWP - gross</v>
          </cell>
          <cell r="Y30731" t="str">
            <v>ISRAEL</v>
          </cell>
        </row>
        <row r="30732">
          <cell r="L30732" t="str">
            <v>Non-proportional</v>
          </cell>
          <cell r="S30732">
            <v>-156987.23000000001</v>
          </cell>
          <cell r="X30732" t="str">
            <v>GWP - gross</v>
          </cell>
          <cell r="Y30732" t="str">
            <v>PORTUGAL</v>
          </cell>
        </row>
        <row r="30733">
          <cell r="L30733" t="str">
            <v>Non-proportional</v>
          </cell>
          <cell r="S30733">
            <v>-433620</v>
          </cell>
          <cell r="X30733" t="str">
            <v>GWP - gross</v>
          </cell>
          <cell r="Y30733" t="str">
            <v>PORTUGAL</v>
          </cell>
        </row>
        <row r="30734">
          <cell r="L30734" t="str">
            <v>Non-proportional</v>
          </cell>
          <cell r="S30734">
            <v>5300</v>
          </cell>
          <cell r="X30734" t="str">
            <v>GWP - gross</v>
          </cell>
          <cell r="Y30734" t="str">
            <v>NETHERLANDS</v>
          </cell>
        </row>
        <row r="30735">
          <cell r="L30735" t="str">
            <v>Proportional</v>
          </cell>
          <cell r="S30735">
            <v>-5262.64</v>
          </cell>
          <cell r="X30735" t="str">
            <v>GWP - gross</v>
          </cell>
          <cell r="Y30735" t="str">
            <v>Hong Kong</v>
          </cell>
        </row>
        <row r="30736">
          <cell r="L30736" t="str">
            <v>Non-proportional</v>
          </cell>
          <cell r="S30736">
            <v>7069.97</v>
          </cell>
          <cell r="X30736" t="str">
            <v>GWP - gross</v>
          </cell>
          <cell r="Y30736" t="str">
            <v>MEXICO</v>
          </cell>
        </row>
        <row r="30737">
          <cell r="S30737">
            <v>-15338.96</v>
          </cell>
          <cell r="X30737" t="str">
            <v>GWP - gross</v>
          </cell>
          <cell r="Y30737" t="str">
            <v>PORTUGAL</v>
          </cell>
        </row>
        <row r="30738">
          <cell r="L30738" t="str">
            <v>Non-proportional</v>
          </cell>
          <cell r="S30738">
            <v>254.05</v>
          </cell>
          <cell r="X30738" t="str">
            <v>GWP - gross</v>
          </cell>
          <cell r="Y30738" t="str">
            <v>UNITED KINGDOM</v>
          </cell>
        </row>
        <row r="30739">
          <cell r="L30739" t="str">
            <v>Non-proportional</v>
          </cell>
          <cell r="S30739">
            <v>-50400</v>
          </cell>
          <cell r="X30739" t="str">
            <v>GWP - gross</v>
          </cell>
          <cell r="Y30739" t="str">
            <v>TURKEY</v>
          </cell>
        </row>
        <row r="30740">
          <cell r="L30740" t="str">
            <v>Non-proportional</v>
          </cell>
          <cell r="S30740">
            <v>53450</v>
          </cell>
          <cell r="X30740" t="str">
            <v>GWP - gross</v>
          </cell>
          <cell r="Y30740" t="str">
            <v>NETHERLANDS</v>
          </cell>
        </row>
        <row r="30741">
          <cell r="L30741" t="str">
            <v>Non-proportional</v>
          </cell>
          <cell r="S30741">
            <v>47880</v>
          </cell>
          <cell r="X30741" t="str">
            <v>GWP - gross</v>
          </cell>
          <cell r="Y30741" t="str">
            <v>PORTUGAL</v>
          </cell>
        </row>
        <row r="30742">
          <cell r="L30742" t="str">
            <v>Non-proportional</v>
          </cell>
          <cell r="S30742">
            <v>-269.01</v>
          </cell>
          <cell r="X30742" t="str">
            <v>GWP - gross</v>
          </cell>
          <cell r="Y30742" t="str">
            <v>ITALY</v>
          </cell>
        </row>
        <row r="30743">
          <cell r="L30743" t="str">
            <v>Non-proportional</v>
          </cell>
          <cell r="S30743">
            <v>14000</v>
          </cell>
          <cell r="X30743" t="str">
            <v>GWP - gross</v>
          </cell>
          <cell r="Y30743" t="str">
            <v>ITALY</v>
          </cell>
        </row>
        <row r="30744">
          <cell r="L30744" t="str">
            <v>Non-proportional</v>
          </cell>
          <cell r="S30744">
            <v>-18234.009999999998</v>
          </cell>
          <cell r="X30744" t="str">
            <v>GWP - gross</v>
          </cell>
          <cell r="Y30744" t="str">
            <v>NETHERLANDS</v>
          </cell>
        </row>
        <row r="30745">
          <cell r="L30745" t="str">
            <v>Non-proportional</v>
          </cell>
          <cell r="S30745">
            <v>15629.13</v>
          </cell>
          <cell r="X30745" t="str">
            <v>GWP - gross</v>
          </cell>
          <cell r="Y30745" t="str">
            <v>GUATEMALA</v>
          </cell>
        </row>
        <row r="30746">
          <cell r="L30746" t="str">
            <v>Non-proportional</v>
          </cell>
          <cell r="S30746">
            <v>108000</v>
          </cell>
          <cell r="X30746" t="str">
            <v>GWP - gross</v>
          </cell>
          <cell r="Y30746" t="str">
            <v>EUROPE</v>
          </cell>
        </row>
        <row r="30747">
          <cell r="L30747" t="str">
            <v>Non-proportional</v>
          </cell>
          <cell r="S30747">
            <v>23550</v>
          </cell>
          <cell r="X30747" t="str">
            <v>GWP - gross</v>
          </cell>
          <cell r="Y30747" t="str">
            <v>FRANCE</v>
          </cell>
        </row>
        <row r="30748">
          <cell r="L30748" t="str">
            <v>Non-proportional</v>
          </cell>
          <cell r="S30748">
            <v>7069.97</v>
          </cell>
          <cell r="X30748" t="str">
            <v>GWP - gross</v>
          </cell>
          <cell r="Y30748" t="str">
            <v>MEXICO</v>
          </cell>
        </row>
        <row r="30749">
          <cell r="L30749" t="str">
            <v>Non-proportional</v>
          </cell>
          <cell r="S30749">
            <v>-159004.14000000001</v>
          </cell>
          <cell r="X30749" t="str">
            <v>GWP - gross</v>
          </cell>
          <cell r="Y30749" t="str">
            <v>PORTUGAL</v>
          </cell>
        </row>
        <row r="30750">
          <cell r="L30750" t="str">
            <v>Non-proportional</v>
          </cell>
          <cell r="S30750">
            <v>4000.35</v>
          </cell>
          <cell r="X30750" t="str">
            <v>GWP - gross</v>
          </cell>
          <cell r="Y30750" t="str">
            <v>ICELAND</v>
          </cell>
        </row>
        <row r="30751">
          <cell r="L30751" t="str">
            <v>Non-proportional</v>
          </cell>
          <cell r="S30751">
            <v>36287.97</v>
          </cell>
          <cell r="X30751" t="str">
            <v>GWP - gross</v>
          </cell>
          <cell r="Y30751" t="str">
            <v>GREECE</v>
          </cell>
        </row>
        <row r="30752">
          <cell r="L30752" t="str">
            <v>Non-proportional</v>
          </cell>
          <cell r="S30752">
            <v>269.01</v>
          </cell>
          <cell r="X30752" t="str">
            <v>GWP - gross</v>
          </cell>
          <cell r="Y30752" t="str">
            <v>ITALY</v>
          </cell>
        </row>
        <row r="30753">
          <cell r="L30753" t="str">
            <v>Non-proportional</v>
          </cell>
          <cell r="S30753">
            <v>-72180</v>
          </cell>
          <cell r="X30753" t="str">
            <v>GWP - gross</v>
          </cell>
          <cell r="Y30753" t="str">
            <v>FRANCE</v>
          </cell>
        </row>
        <row r="30754">
          <cell r="L30754" t="str">
            <v>Non-proportional</v>
          </cell>
          <cell r="S30754">
            <v>8875</v>
          </cell>
          <cell r="X30754" t="str">
            <v>GWP - gross</v>
          </cell>
          <cell r="Y30754" t="str">
            <v>ITALY</v>
          </cell>
        </row>
        <row r="30755">
          <cell r="L30755" t="str">
            <v>Non-proportional</v>
          </cell>
          <cell r="S30755">
            <v>-233.62</v>
          </cell>
          <cell r="X30755" t="str">
            <v>GWP - gross</v>
          </cell>
          <cell r="Y30755" t="str">
            <v>ITALY</v>
          </cell>
        </row>
        <row r="30756">
          <cell r="L30756" t="str">
            <v>Proportional</v>
          </cell>
          <cell r="S30756">
            <v>-127954</v>
          </cell>
          <cell r="X30756" t="str">
            <v>GWP - gross</v>
          </cell>
          <cell r="Y30756" t="str">
            <v>FRANCE</v>
          </cell>
        </row>
        <row r="30757">
          <cell r="L30757" t="str">
            <v>Non-proportional</v>
          </cell>
          <cell r="S30757">
            <v>16980</v>
          </cell>
          <cell r="X30757" t="str">
            <v>GWP - gross</v>
          </cell>
          <cell r="Y30757" t="str">
            <v>FRANCE</v>
          </cell>
        </row>
        <row r="30758">
          <cell r="L30758" t="str">
            <v>Non-proportional</v>
          </cell>
          <cell r="S30758">
            <v>-162869.85</v>
          </cell>
          <cell r="X30758" t="str">
            <v>GWP - gross</v>
          </cell>
          <cell r="Y30758" t="str">
            <v>COSTA RICA</v>
          </cell>
        </row>
        <row r="30759">
          <cell r="L30759" t="str">
            <v>Non-proportional</v>
          </cell>
          <cell r="S30759">
            <v>-5400.82</v>
          </cell>
          <cell r="X30759" t="str">
            <v>GWP - gross</v>
          </cell>
          <cell r="Y30759" t="str">
            <v>PORTUGAL</v>
          </cell>
        </row>
        <row r="30760">
          <cell r="L30760" t="str">
            <v>Non-proportional</v>
          </cell>
          <cell r="S30760">
            <v>4500</v>
          </cell>
          <cell r="X30760" t="str">
            <v>GWP - gross</v>
          </cell>
          <cell r="Y30760" t="str">
            <v>NETHERLANDS</v>
          </cell>
        </row>
        <row r="30761">
          <cell r="L30761" t="str">
            <v>Non-proportional</v>
          </cell>
          <cell r="S30761">
            <v>-131528.07999999999</v>
          </cell>
          <cell r="X30761" t="str">
            <v>GWP - gross</v>
          </cell>
          <cell r="Y30761" t="str">
            <v>UNITED KINGDOM</v>
          </cell>
        </row>
        <row r="30762">
          <cell r="L30762" t="str">
            <v>Non-proportional</v>
          </cell>
          <cell r="S30762">
            <v>-80779.12</v>
          </cell>
          <cell r="X30762" t="str">
            <v>GWP - gross</v>
          </cell>
          <cell r="Y30762" t="str">
            <v>PUERTO RICO</v>
          </cell>
        </row>
        <row r="30763">
          <cell r="L30763" t="str">
            <v>Non-proportional</v>
          </cell>
          <cell r="S30763">
            <v>410713.2</v>
          </cell>
          <cell r="X30763" t="str">
            <v>GWP - gross</v>
          </cell>
          <cell r="Y30763" t="str">
            <v>FRANCE</v>
          </cell>
        </row>
        <row r="30764">
          <cell r="L30764" t="str">
            <v>Non-proportional</v>
          </cell>
          <cell r="S30764">
            <v>-157500</v>
          </cell>
          <cell r="X30764" t="str">
            <v>GWP - gross</v>
          </cell>
          <cell r="Y30764" t="str">
            <v>EUROPE</v>
          </cell>
        </row>
        <row r="30765">
          <cell r="L30765" t="str">
            <v>Non-proportional</v>
          </cell>
          <cell r="S30765">
            <v>64050</v>
          </cell>
          <cell r="X30765" t="str">
            <v>GWP - gross</v>
          </cell>
          <cell r="Y30765" t="str">
            <v>FRANCE</v>
          </cell>
        </row>
        <row r="30766">
          <cell r="L30766" t="str">
            <v>Non-proportional</v>
          </cell>
          <cell r="S30766">
            <v>10280.209999999999</v>
          </cell>
          <cell r="X30766" t="str">
            <v>GWP - gross</v>
          </cell>
          <cell r="Y30766" t="str">
            <v>FRANCE</v>
          </cell>
        </row>
        <row r="30767">
          <cell r="L30767" t="str">
            <v>Non-proportional</v>
          </cell>
          <cell r="S30767">
            <v>19992.43</v>
          </cell>
          <cell r="X30767" t="str">
            <v>GWP - gross</v>
          </cell>
          <cell r="Y30767" t="str">
            <v>SWEDEN</v>
          </cell>
        </row>
        <row r="30768">
          <cell r="L30768" t="str">
            <v>Non-proportional</v>
          </cell>
          <cell r="S30768">
            <v>213039.52</v>
          </cell>
          <cell r="X30768" t="str">
            <v>GWP - gross</v>
          </cell>
          <cell r="Y30768" t="str">
            <v>TURKEY</v>
          </cell>
        </row>
        <row r="30769">
          <cell r="L30769" t="str">
            <v>Non-proportional</v>
          </cell>
          <cell r="S30769">
            <v>-95000</v>
          </cell>
          <cell r="X30769" t="str">
            <v>GWP - gross</v>
          </cell>
          <cell r="Y30769" t="str">
            <v>FRANCE</v>
          </cell>
        </row>
        <row r="30770">
          <cell r="L30770" t="str">
            <v>Non-proportional</v>
          </cell>
          <cell r="S30770">
            <v>-4060569</v>
          </cell>
          <cell r="X30770" t="str">
            <v>GWP - gross</v>
          </cell>
          <cell r="Y30770" t="str">
            <v>PORTUGAL</v>
          </cell>
        </row>
        <row r="30771">
          <cell r="L30771" t="str">
            <v>Non-proportional</v>
          </cell>
          <cell r="S30771">
            <v>-10104.36</v>
          </cell>
          <cell r="X30771" t="str">
            <v>GWP - gross</v>
          </cell>
          <cell r="Y30771" t="str">
            <v>GERMANY</v>
          </cell>
        </row>
        <row r="30772">
          <cell r="L30772" t="str">
            <v>Non-proportional</v>
          </cell>
          <cell r="S30772">
            <v>8800</v>
          </cell>
          <cell r="X30772" t="str">
            <v>GWP - gross</v>
          </cell>
          <cell r="Y30772" t="str">
            <v>PORTUGAL</v>
          </cell>
        </row>
        <row r="30773">
          <cell r="L30773" t="str">
            <v>Non-proportional</v>
          </cell>
          <cell r="S30773">
            <v>1927644</v>
          </cell>
          <cell r="X30773" t="str">
            <v>GWP - gross</v>
          </cell>
          <cell r="Y30773" t="str">
            <v>PORTUGAL</v>
          </cell>
        </row>
        <row r="30774">
          <cell r="L30774" t="str">
            <v>Non-proportional</v>
          </cell>
          <cell r="S30774">
            <v>-5036310.75</v>
          </cell>
          <cell r="X30774" t="str">
            <v>GWP - gross</v>
          </cell>
          <cell r="Y30774" t="str">
            <v>UNITED KINGDOM</v>
          </cell>
        </row>
        <row r="30775">
          <cell r="L30775" t="str">
            <v>Non-proportional</v>
          </cell>
          <cell r="S30775">
            <v>8500</v>
          </cell>
          <cell r="X30775" t="str">
            <v>GWP - gross</v>
          </cell>
          <cell r="Y30775" t="str">
            <v>GERMANY</v>
          </cell>
        </row>
        <row r="30776">
          <cell r="L30776" t="str">
            <v>Proportional</v>
          </cell>
          <cell r="S30776">
            <v>78629.539999999994</v>
          </cell>
          <cell r="X30776" t="str">
            <v>GWP - gross</v>
          </cell>
          <cell r="Y30776" t="str">
            <v>INDIA</v>
          </cell>
        </row>
        <row r="30777">
          <cell r="L30777" t="str">
            <v>Proportional</v>
          </cell>
          <cell r="S30777">
            <v>-1734795.27</v>
          </cell>
          <cell r="X30777" t="str">
            <v>GWP - gross</v>
          </cell>
          <cell r="Y30777" t="str">
            <v>HONG KONG</v>
          </cell>
        </row>
        <row r="30778">
          <cell r="L30778" t="str">
            <v>Non-proportional</v>
          </cell>
          <cell r="S30778">
            <v>645.71</v>
          </cell>
          <cell r="X30778" t="str">
            <v>GWP - gross</v>
          </cell>
          <cell r="Y30778" t="str">
            <v>GERMANY</v>
          </cell>
        </row>
        <row r="30779">
          <cell r="L30779" t="str">
            <v>Non-proportional</v>
          </cell>
          <cell r="S30779">
            <v>-190.14</v>
          </cell>
          <cell r="X30779" t="str">
            <v>GWP - gross</v>
          </cell>
          <cell r="Y30779" t="str">
            <v>INDIA</v>
          </cell>
        </row>
        <row r="30780">
          <cell r="L30780" t="str">
            <v>Non-proportional</v>
          </cell>
          <cell r="S30780">
            <v>8773.7999999999993</v>
          </cell>
          <cell r="X30780" t="str">
            <v>GWP - gross</v>
          </cell>
          <cell r="Y30780" t="str">
            <v>UNITED KINGDOM</v>
          </cell>
        </row>
        <row r="30781">
          <cell r="L30781" t="str">
            <v>Non-proportional</v>
          </cell>
          <cell r="S30781">
            <v>-11088.25</v>
          </cell>
          <cell r="X30781" t="str">
            <v>GWP - gross</v>
          </cell>
          <cell r="Y30781" t="str">
            <v>ITALY</v>
          </cell>
        </row>
        <row r="30782">
          <cell r="L30782" t="str">
            <v>Non-proportional</v>
          </cell>
          <cell r="S30782">
            <v>6949.12</v>
          </cell>
          <cell r="X30782" t="str">
            <v>GWP - gross</v>
          </cell>
          <cell r="Y30782" t="str">
            <v>GERMANY</v>
          </cell>
        </row>
        <row r="30783">
          <cell r="L30783" t="str">
            <v>Non-proportional</v>
          </cell>
          <cell r="S30783">
            <v>-4152.5200000000004</v>
          </cell>
          <cell r="X30783" t="str">
            <v>GWP - gross</v>
          </cell>
          <cell r="Y30783" t="str">
            <v>GERMANY</v>
          </cell>
        </row>
        <row r="30784">
          <cell r="L30784" t="str">
            <v>Non-proportional</v>
          </cell>
          <cell r="S30784">
            <v>139397.73000000001</v>
          </cell>
          <cell r="X30784" t="str">
            <v>GWP - gross</v>
          </cell>
          <cell r="Y30784" t="str">
            <v>PERU</v>
          </cell>
        </row>
        <row r="30785">
          <cell r="L30785" t="str">
            <v>Non-proportional</v>
          </cell>
          <cell r="S30785">
            <v>-35040</v>
          </cell>
          <cell r="X30785" t="str">
            <v>GWP - gross</v>
          </cell>
          <cell r="Y30785" t="str">
            <v>FRANCE</v>
          </cell>
        </row>
        <row r="30786">
          <cell r="L30786" t="str">
            <v>Non-proportional</v>
          </cell>
          <cell r="S30786">
            <v>-3600.48</v>
          </cell>
          <cell r="X30786" t="str">
            <v>GWP - gross</v>
          </cell>
          <cell r="Y30786" t="str">
            <v>GERMANY</v>
          </cell>
        </row>
        <row r="30787">
          <cell r="L30787" t="str">
            <v>Non-proportional</v>
          </cell>
          <cell r="S30787">
            <v>71920</v>
          </cell>
          <cell r="X30787" t="str">
            <v>GWP - gross</v>
          </cell>
          <cell r="Y30787" t="str">
            <v>FRANCE</v>
          </cell>
        </row>
        <row r="30788">
          <cell r="L30788" t="str">
            <v>Non-proportional</v>
          </cell>
          <cell r="S30788">
            <v>-85975.86</v>
          </cell>
          <cell r="X30788" t="str">
            <v>GWP - gross</v>
          </cell>
          <cell r="Y30788" t="str">
            <v>COLOMBIA</v>
          </cell>
        </row>
        <row r="30789">
          <cell r="L30789" t="str">
            <v>Non-proportional</v>
          </cell>
          <cell r="S30789">
            <v>80418.25</v>
          </cell>
          <cell r="X30789" t="str">
            <v>GWP - gross</v>
          </cell>
          <cell r="Y30789" t="str">
            <v>CHILE</v>
          </cell>
        </row>
        <row r="30790">
          <cell r="L30790" t="str">
            <v>Non-proportional</v>
          </cell>
          <cell r="S30790">
            <v>15512.07</v>
          </cell>
          <cell r="X30790" t="str">
            <v>GWP - gross</v>
          </cell>
          <cell r="Y30790" t="str">
            <v>PERU</v>
          </cell>
        </row>
        <row r="30791">
          <cell r="L30791" t="str">
            <v>Proportional</v>
          </cell>
          <cell r="S30791">
            <v>5283.12</v>
          </cell>
          <cell r="X30791" t="str">
            <v>GWP - gross</v>
          </cell>
          <cell r="Y30791" t="str">
            <v>INDIA</v>
          </cell>
        </row>
        <row r="30792">
          <cell r="L30792" t="str">
            <v>Proportional</v>
          </cell>
          <cell r="S30792">
            <v>-688.25</v>
          </cell>
          <cell r="X30792" t="str">
            <v>GWP - gross</v>
          </cell>
          <cell r="Y30792" t="str">
            <v>Hong Kong</v>
          </cell>
        </row>
        <row r="30793">
          <cell r="L30793" t="str">
            <v>Non-proportional</v>
          </cell>
          <cell r="S30793">
            <v>870.9</v>
          </cell>
          <cell r="X30793" t="str">
            <v>GWP - gross</v>
          </cell>
          <cell r="Y30793" t="str">
            <v>GERMANY</v>
          </cell>
        </row>
        <row r="30794">
          <cell r="L30794" t="str">
            <v>Non-proportional</v>
          </cell>
          <cell r="S30794">
            <v>-49502.91</v>
          </cell>
          <cell r="X30794" t="str">
            <v>GWP - gross</v>
          </cell>
          <cell r="Y30794" t="str">
            <v>COSTA RICA</v>
          </cell>
        </row>
        <row r="30795">
          <cell r="L30795" t="str">
            <v>Non-proportional</v>
          </cell>
          <cell r="S30795">
            <v>12686.23</v>
          </cell>
          <cell r="X30795" t="str">
            <v>GWP - gross</v>
          </cell>
          <cell r="Y30795" t="str">
            <v>BRAZIL</v>
          </cell>
        </row>
        <row r="30796">
          <cell r="L30796" t="str">
            <v>Non-proportional</v>
          </cell>
          <cell r="S30796">
            <v>113400</v>
          </cell>
          <cell r="X30796" t="str">
            <v>GWP - gross</v>
          </cell>
          <cell r="Y30796" t="str">
            <v>ITALY</v>
          </cell>
        </row>
        <row r="30797">
          <cell r="L30797" t="str">
            <v>Non-proportional</v>
          </cell>
          <cell r="S30797">
            <v>-9708.74</v>
          </cell>
          <cell r="X30797" t="str">
            <v>GWP - gross</v>
          </cell>
          <cell r="Y30797" t="str">
            <v>COSTA RICA</v>
          </cell>
        </row>
        <row r="30798">
          <cell r="L30798" t="str">
            <v>Proportional</v>
          </cell>
          <cell r="S30798">
            <v>62.09</v>
          </cell>
          <cell r="X30798" t="str">
            <v>GWP - gross</v>
          </cell>
          <cell r="Y30798" t="str">
            <v>THAILAND</v>
          </cell>
        </row>
        <row r="30799">
          <cell r="L30799" t="str">
            <v>Non-proportional</v>
          </cell>
          <cell r="S30799">
            <v>-33846.07</v>
          </cell>
          <cell r="X30799" t="str">
            <v>GWP - gross</v>
          </cell>
          <cell r="Y30799" t="str">
            <v>CHILE</v>
          </cell>
        </row>
        <row r="30800">
          <cell r="L30800" t="str">
            <v>Non-proportional</v>
          </cell>
          <cell r="S30800">
            <v>-26250.71</v>
          </cell>
          <cell r="X30800" t="str">
            <v>GWP - gross</v>
          </cell>
          <cell r="Y30800" t="str">
            <v>SPAIN</v>
          </cell>
        </row>
        <row r="30801">
          <cell r="L30801" t="str">
            <v>Proportional</v>
          </cell>
          <cell r="S30801">
            <v>-4464.49</v>
          </cell>
          <cell r="X30801" t="str">
            <v>GWP - gross</v>
          </cell>
          <cell r="Y30801" t="str">
            <v>THAILAND</v>
          </cell>
        </row>
        <row r="30802">
          <cell r="L30802" t="str">
            <v>Non-proportional</v>
          </cell>
          <cell r="S30802">
            <v>10632.04</v>
          </cell>
          <cell r="X30802" t="str">
            <v>GWP - gross</v>
          </cell>
          <cell r="Y30802" t="str">
            <v>GERMANY</v>
          </cell>
        </row>
        <row r="30803">
          <cell r="L30803" t="str">
            <v>Non-proportional</v>
          </cell>
          <cell r="S30803">
            <v>1221.28</v>
          </cell>
          <cell r="X30803" t="str">
            <v>GWP - gross</v>
          </cell>
          <cell r="Y30803" t="str">
            <v>SWITZERLAND</v>
          </cell>
        </row>
        <row r="30804">
          <cell r="L30804" t="str">
            <v>Non-proportional</v>
          </cell>
          <cell r="S30804">
            <v>-320.02</v>
          </cell>
          <cell r="X30804" t="str">
            <v>GWP - gross</v>
          </cell>
          <cell r="Y30804" t="str">
            <v>INDIA</v>
          </cell>
        </row>
        <row r="30805">
          <cell r="L30805" t="str">
            <v>Non-proportional</v>
          </cell>
          <cell r="S30805">
            <v>121356.52</v>
          </cell>
          <cell r="X30805" t="str">
            <v>GWP - gross</v>
          </cell>
          <cell r="Y30805" t="str">
            <v>COLOMBIA</v>
          </cell>
        </row>
        <row r="30806">
          <cell r="L30806" t="str">
            <v>Non-proportional</v>
          </cell>
          <cell r="S30806">
            <v>-12192.15</v>
          </cell>
          <cell r="X30806" t="str">
            <v>GWP - gross</v>
          </cell>
          <cell r="Y30806" t="str">
            <v>THAILAND</v>
          </cell>
        </row>
        <row r="30807">
          <cell r="L30807" t="str">
            <v>Non-proportional</v>
          </cell>
          <cell r="S30807">
            <v>-1418.65</v>
          </cell>
          <cell r="X30807" t="str">
            <v>GWP - gross</v>
          </cell>
          <cell r="Y30807" t="str">
            <v>NETHERLANDS</v>
          </cell>
        </row>
        <row r="30808">
          <cell r="L30808" t="str">
            <v>Non-proportional</v>
          </cell>
          <cell r="S30808">
            <v>-15044.87</v>
          </cell>
          <cell r="X30808" t="str">
            <v>GWP - gross</v>
          </cell>
          <cell r="Y30808" t="str">
            <v>COLOMBIA</v>
          </cell>
        </row>
        <row r="30809">
          <cell r="L30809" t="str">
            <v>Non-proportional</v>
          </cell>
          <cell r="S30809">
            <v>-9711.4699999999993</v>
          </cell>
          <cell r="X30809" t="str">
            <v>GWP - gross</v>
          </cell>
          <cell r="Y30809" t="str">
            <v>SWITZERLAND</v>
          </cell>
        </row>
        <row r="30810">
          <cell r="L30810" t="str">
            <v>Non-proportional</v>
          </cell>
          <cell r="S30810">
            <v>62509.27</v>
          </cell>
          <cell r="X30810" t="str">
            <v>GWP - gross</v>
          </cell>
          <cell r="Y30810" t="str">
            <v>COLOMBIA</v>
          </cell>
        </row>
        <row r="30811">
          <cell r="L30811" t="str">
            <v>Proportional</v>
          </cell>
          <cell r="S30811">
            <v>3937.57</v>
          </cell>
          <cell r="X30811" t="str">
            <v>GWP - gross</v>
          </cell>
          <cell r="Y30811" t="str">
            <v>INDIA</v>
          </cell>
        </row>
        <row r="30812">
          <cell r="L30812" t="str">
            <v>Proportional</v>
          </cell>
          <cell r="S30812">
            <v>1963.45</v>
          </cell>
          <cell r="X30812" t="str">
            <v>GWP - gross</v>
          </cell>
          <cell r="Y30812" t="str">
            <v>UNITED STATES</v>
          </cell>
        </row>
        <row r="30813">
          <cell r="L30813" t="str">
            <v>Non-proportional</v>
          </cell>
          <cell r="S30813">
            <v>41737.03</v>
          </cell>
          <cell r="X30813" t="str">
            <v>GWP - gross</v>
          </cell>
          <cell r="Y30813" t="str">
            <v>CHILE</v>
          </cell>
        </row>
        <row r="30814">
          <cell r="L30814" t="str">
            <v>Non-proportional</v>
          </cell>
          <cell r="S30814">
            <v>-238277.2</v>
          </cell>
          <cell r="X30814" t="str">
            <v>GWP - gross</v>
          </cell>
          <cell r="Y30814" t="str">
            <v>FRANCE</v>
          </cell>
        </row>
        <row r="30815">
          <cell r="L30815" t="str">
            <v>Non-proportional</v>
          </cell>
          <cell r="S30815">
            <v>-67401.820000000007</v>
          </cell>
          <cell r="X30815" t="str">
            <v>GWP - gross</v>
          </cell>
          <cell r="Y30815" t="str">
            <v>ITALY</v>
          </cell>
        </row>
        <row r="30816">
          <cell r="L30816" t="str">
            <v>Non-proportional</v>
          </cell>
          <cell r="S30816">
            <v>1662</v>
          </cell>
          <cell r="X30816" t="str">
            <v>GWP - gross</v>
          </cell>
          <cell r="Y30816" t="str">
            <v>CYPRUS</v>
          </cell>
        </row>
        <row r="30817">
          <cell r="L30817" t="str">
            <v>Non-proportional</v>
          </cell>
          <cell r="S30817">
            <v>13970.24</v>
          </cell>
          <cell r="X30817" t="str">
            <v>GWP - gross</v>
          </cell>
          <cell r="Y30817" t="str">
            <v>COLOMBIA</v>
          </cell>
        </row>
        <row r="30818">
          <cell r="L30818" t="str">
            <v>Non-proportional</v>
          </cell>
          <cell r="S30818">
            <v>5988.61</v>
          </cell>
          <cell r="X30818" t="str">
            <v>GWP - gross</v>
          </cell>
          <cell r="Y30818" t="str">
            <v>ITALY</v>
          </cell>
        </row>
        <row r="30819">
          <cell r="L30819" t="str">
            <v>Proportional</v>
          </cell>
          <cell r="S30819">
            <v>-673.79</v>
          </cell>
          <cell r="X30819" t="str">
            <v>GWP - gross</v>
          </cell>
          <cell r="Y30819" t="str">
            <v>THAILAND</v>
          </cell>
        </row>
        <row r="30820">
          <cell r="L30820" t="str">
            <v>Proportional</v>
          </cell>
          <cell r="S30820">
            <v>-1451.94</v>
          </cell>
          <cell r="X30820" t="str">
            <v>GWP - gross</v>
          </cell>
          <cell r="Y30820" t="str">
            <v>HONG KONG</v>
          </cell>
        </row>
        <row r="30821">
          <cell r="L30821" t="str">
            <v>Non-proportional</v>
          </cell>
          <cell r="S30821">
            <v>3729.88</v>
          </cell>
          <cell r="X30821" t="str">
            <v>GWP - gross</v>
          </cell>
          <cell r="Y30821" t="str">
            <v>ISRAEL</v>
          </cell>
        </row>
        <row r="30822">
          <cell r="L30822" t="str">
            <v>Non-proportional</v>
          </cell>
          <cell r="S30822">
            <v>-950.85</v>
          </cell>
          <cell r="X30822" t="str">
            <v>GWP - gross</v>
          </cell>
          <cell r="Y30822" t="str">
            <v>ISRAEL</v>
          </cell>
        </row>
        <row r="30823">
          <cell r="L30823" t="str">
            <v>Non-proportional</v>
          </cell>
          <cell r="S30823">
            <v>49050</v>
          </cell>
          <cell r="X30823" t="str">
            <v>GWP - gross</v>
          </cell>
          <cell r="Y30823" t="str">
            <v>TURKEY</v>
          </cell>
        </row>
        <row r="30824">
          <cell r="L30824" t="str">
            <v>Non-proportional</v>
          </cell>
          <cell r="S30824">
            <v>-1662</v>
          </cell>
          <cell r="X30824" t="str">
            <v>GWP - gross</v>
          </cell>
          <cell r="Y30824" t="str">
            <v>CYPRUS</v>
          </cell>
        </row>
        <row r="30825">
          <cell r="L30825" t="str">
            <v>Non-proportional</v>
          </cell>
          <cell r="S30825">
            <v>-11813.39</v>
          </cell>
          <cell r="X30825" t="str">
            <v>GWP - gross</v>
          </cell>
          <cell r="Y30825" t="str">
            <v>ITALY</v>
          </cell>
        </row>
        <row r="30826">
          <cell r="L30826" t="str">
            <v>Proportional</v>
          </cell>
          <cell r="S30826">
            <v>6717271.5499999998</v>
          </cell>
          <cell r="X30826" t="str">
            <v>GWP - gross</v>
          </cell>
          <cell r="Y30826" t="str">
            <v>THAILAND</v>
          </cell>
        </row>
        <row r="30827">
          <cell r="L30827" t="str">
            <v>Non-proportional</v>
          </cell>
          <cell r="S30827">
            <v>-401677.98</v>
          </cell>
          <cell r="X30827" t="str">
            <v>GWP - gross</v>
          </cell>
          <cell r="Y30827" t="str">
            <v>UNITED KINGDOM</v>
          </cell>
        </row>
        <row r="30828">
          <cell r="L30828" t="str">
            <v>Non-proportional</v>
          </cell>
          <cell r="S30828">
            <v>107847</v>
          </cell>
          <cell r="X30828" t="str">
            <v>GWP - gross</v>
          </cell>
          <cell r="Y30828" t="str">
            <v>FRANCE</v>
          </cell>
        </row>
        <row r="30829">
          <cell r="L30829" t="str">
            <v>Non-proportional</v>
          </cell>
          <cell r="S30829">
            <v>16238.38</v>
          </cell>
          <cell r="X30829" t="str">
            <v>GWP - gross</v>
          </cell>
          <cell r="Y30829" t="str">
            <v>BRAZIL</v>
          </cell>
        </row>
        <row r="30830">
          <cell r="L30830" t="str">
            <v>Non-proportional</v>
          </cell>
          <cell r="S30830">
            <v>-10458.42</v>
          </cell>
          <cell r="X30830" t="str">
            <v>GWP - gross</v>
          </cell>
          <cell r="Y30830" t="str">
            <v>GERMANY</v>
          </cell>
        </row>
        <row r="30831">
          <cell r="L30831" t="str">
            <v>Proportional</v>
          </cell>
          <cell r="S30831">
            <v>-367.36</v>
          </cell>
          <cell r="X30831" t="str">
            <v>GWP - gross</v>
          </cell>
          <cell r="Y30831" t="str">
            <v>Thailand</v>
          </cell>
        </row>
        <row r="30832">
          <cell r="L30832" t="str">
            <v>Non-proportional</v>
          </cell>
          <cell r="S30832">
            <v>-118896.81</v>
          </cell>
          <cell r="X30832" t="str">
            <v>GWP - gross</v>
          </cell>
          <cell r="Y30832" t="str">
            <v>GERMANY</v>
          </cell>
        </row>
        <row r="30833">
          <cell r="L30833" t="str">
            <v>Non-proportional</v>
          </cell>
          <cell r="S30833">
            <v>-107575.91</v>
          </cell>
          <cell r="X30833" t="str">
            <v>GWP - gross</v>
          </cell>
          <cell r="Y30833" t="str">
            <v>PERU</v>
          </cell>
        </row>
        <row r="30834">
          <cell r="L30834" t="str">
            <v>Proportional</v>
          </cell>
          <cell r="S30834">
            <v>-133017.54999999999</v>
          </cell>
          <cell r="X30834" t="str">
            <v>GWP - gross</v>
          </cell>
          <cell r="Y30834" t="str">
            <v>THAILAND</v>
          </cell>
        </row>
        <row r="30835">
          <cell r="L30835" t="str">
            <v>Proportional</v>
          </cell>
          <cell r="S30835">
            <v>-1138.76</v>
          </cell>
          <cell r="X30835" t="str">
            <v>GWP - gross</v>
          </cell>
          <cell r="Y30835" t="str">
            <v>Thailand</v>
          </cell>
        </row>
        <row r="30836">
          <cell r="L30836" t="str">
            <v>Proportional</v>
          </cell>
          <cell r="S30836">
            <v>13293.06</v>
          </cell>
          <cell r="X30836" t="str">
            <v>GWP - gross</v>
          </cell>
          <cell r="Y30836" t="str">
            <v>HONG KONG</v>
          </cell>
        </row>
        <row r="30837">
          <cell r="L30837" t="str">
            <v>Proportional</v>
          </cell>
          <cell r="S30837">
            <v>-3937.57</v>
          </cell>
          <cell r="X30837" t="str">
            <v>GWP - gross</v>
          </cell>
          <cell r="Y30837" t="str">
            <v>INDIA</v>
          </cell>
        </row>
        <row r="30838">
          <cell r="L30838" t="str">
            <v>Non-proportional</v>
          </cell>
          <cell r="S30838">
            <v>-4884.28</v>
          </cell>
          <cell r="X30838" t="str">
            <v>GWP - gross</v>
          </cell>
          <cell r="Y30838" t="str">
            <v>ISRAEL</v>
          </cell>
        </row>
        <row r="30839">
          <cell r="L30839" t="str">
            <v>Non-proportional</v>
          </cell>
          <cell r="S30839">
            <v>111366.73</v>
          </cell>
          <cell r="X30839" t="str">
            <v>GWP - gross</v>
          </cell>
          <cell r="Y30839" t="str">
            <v>GERMANY</v>
          </cell>
        </row>
        <row r="30840">
          <cell r="L30840" t="str">
            <v>Non-proportional</v>
          </cell>
          <cell r="S30840">
            <v>-9617.9699999999993</v>
          </cell>
          <cell r="X30840" t="str">
            <v>GWP - gross</v>
          </cell>
          <cell r="Y30840" t="str">
            <v>ITALY</v>
          </cell>
        </row>
        <row r="30841">
          <cell r="L30841" t="str">
            <v>Proportional</v>
          </cell>
          <cell r="S30841">
            <v>22079.81</v>
          </cell>
          <cell r="X30841" t="str">
            <v>GWP - gross</v>
          </cell>
          <cell r="Y30841" t="str">
            <v>THAILAND</v>
          </cell>
        </row>
        <row r="30842">
          <cell r="L30842" t="str">
            <v>Non-proportional</v>
          </cell>
          <cell r="S30842">
            <v>63359.839999999997</v>
          </cell>
          <cell r="X30842" t="str">
            <v>GWP - gross</v>
          </cell>
          <cell r="Y30842" t="str">
            <v>CHILE</v>
          </cell>
        </row>
        <row r="30843">
          <cell r="L30843" t="str">
            <v>Non-proportional</v>
          </cell>
          <cell r="S30843">
            <v>150857.79</v>
          </cell>
          <cell r="X30843" t="str">
            <v>GWP - gross</v>
          </cell>
          <cell r="Y30843" t="str">
            <v>ECUADOR</v>
          </cell>
        </row>
        <row r="30844">
          <cell r="L30844" t="str">
            <v>Non-proportional</v>
          </cell>
          <cell r="S30844">
            <v>45736.41</v>
          </cell>
          <cell r="X30844" t="str">
            <v>GWP - gross</v>
          </cell>
          <cell r="Y30844" t="str">
            <v>COLOMBIA</v>
          </cell>
        </row>
        <row r="30845">
          <cell r="L30845" t="str">
            <v>Non-proportional</v>
          </cell>
          <cell r="S30845">
            <v>-38004.699999999997</v>
          </cell>
          <cell r="X30845" t="str">
            <v>GWP - gross</v>
          </cell>
          <cell r="Y30845" t="str">
            <v>ITALY</v>
          </cell>
        </row>
        <row r="30846">
          <cell r="L30846" t="str">
            <v>Proportional</v>
          </cell>
          <cell r="S30846">
            <v>21894.71</v>
          </cell>
          <cell r="X30846" t="str">
            <v>GWP - gross</v>
          </cell>
          <cell r="Y30846" t="str">
            <v>THAILAND</v>
          </cell>
        </row>
        <row r="30847">
          <cell r="L30847" t="str">
            <v>Proportional</v>
          </cell>
          <cell r="S30847">
            <v>-332801.75</v>
          </cell>
          <cell r="X30847" t="str">
            <v>GWP - gross</v>
          </cell>
          <cell r="Y30847" t="str">
            <v>BELGIUM</v>
          </cell>
        </row>
        <row r="30848">
          <cell r="L30848" t="str">
            <v>Non-proportional</v>
          </cell>
          <cell r="S30848">
            <v>35009.71</v>
          </cell>
          <cell r="X30848" t="str">
            <v>GWP - gross</v>
          </cell>
          <cell r="Y30848" t="str">
            <v>PERU</v>
          </cell>
        </row>
        <row r="30849">
          <cell r="L30849" t="str">
            <v>Non-proportional</v>
          </cell>
          <cell r="S30849">
            <v>-61560</v>
          </cell>
          <cell r="X30849" t="str">
            <v>GWP - gross</v>
          </cell>
          <cell r="Y30849" t="str">
            <v>ITALY</v>
          </cell>
        </row>
        <row r="30850">
          <cell r="L30850" t="str">
            <v>Non-proportional</v>
          </cell>
          <cell r="S30850">
            <v>8853.34</v>
          </cell>
          <cell r="X30850" t="str">
            <v>GWP - gross</v>
          </cell>
          <cell r="Y30850" t="str">
            <v>ISRAEL</v>
          </cell>
        </row>
        <row r="30851">
          <cell r="L30851" t="str">
            <v>Proportional</v>
          </cell>
          <cell r="S30851">
            <v>4494.32</v>
          </cell>
          <cell r="X30851" t="str">
            <v>GWP - gross</v>
          </cell>
          <cell r="Y30851" t="str">
            <v>India</v>
          </cell>
        </row>
        <row r="30852">
          <cell r="L30852" t="str">
            <v>Non-proportional</v>
          </cell>
          <cell r="S30852">
            <v>95512.5</v>
          </cell>
          <cell r="X30852" t="str">
            <v>GWP - gross</v>
          </cell>
          <cell r="Y30852" t="str">
            <v>TURKEY</v>
          </cell>
        </row>
        <row r="30853">
          <cell r="L30853" t="str">
            <v>Non-proportional</v>
          </cell>
          <cell r="S30853">
            <v>-5721.14</v>
          </cell>
          <cell r="X30853" t="str">
            <v>GWP - gross</v>
          </cell>
          <cell r="Y30853" t="str">
            <v>THAILAND</v>
          </cell>
        </row>
        <row r="30854">
          <cell r="L30854" t="str">
            <v>Proportional</v>
          </cell>
          <cell r="S30854">
            <v>232.27</v>
          </cell>
          <cell r="X30854" t="str">
            <v>GWP - gross</v>
          </cell>
          <cell r="Y30854" t="str">
            <v>Thailand</v>
          </cell>
        </row>
        <row r="30855">
          <cell r="L30855" t="str">
            <v>Proportional</v>
          </cell>
          <cell r="S30855">
            <v>-15844.89</v>
          </cell>
          <cell r="X30855" t="str">
            <v>GWP - gross</v>
          </cell>
          <cell r="Y30855" t="str">
            <v>INDIA</v>
          </cell>
        </row>
        <row r="30856">
          <cell r="S30856">
            <v>-42000</v>
          </cell>
          <cell r="X30856" t="str">
            <v>GWP - gross</v>
          </cell>
          <cell r="Y30856" t="str">
            <v>PORTUGAL</v>
          </cell>
        </row>
        <row r="30857">
          <cell r="L30857" t="str">
            <v>Non-proportional</v>
          </cell>
          <cell r="S30857">
            <v>137282.23999999999</v>
          </cell>
          <cell r="X30857" t="str">
            <v>GWP - gross</v>
          </cell>
          <cell r="Y30857" t="str">
            <v>COSTA RICA</v>
          </cell>
        </row>
        <row r="30858">
          <cell r="L30858" t="str">
            <v>Non-proportional</v>
          </cell>
          <cell r="S30858">
            <v>16238.38</v>
          </cell>
          <cell r="X30858" t="str">
            <v>GWP - gross</v>
          </cell>
          <cell r="Y30858" t="str">
            <v>BRAZIL</v>
          </cell>
        </row>
        <row r="30859">
          <cell r="L30859" t="str">
            <v>Non-proportional</v>
          </cell>
          <cell r="S30859">
            <v>273.22000000000003</v>
          </cell>
          <cell r="X30859" t="str">
            <v>GWP - gross</v>
          </cell>
          <cell r="Y30859" t="str">
            <v>GERMANY</v>
          </cell>
        </row>
        <row r="30860">
          <cell r="L30860" t="str">
            <v>Non-proportional</v>
          </cell>
          <cell r="S30860">
            <v>-54124.27</v>
          </cell>
          <cell r="X30860" t="str">
            <v>GWP - gross</v>
          </cell>
          <cell r="Y30860" t="str">
            <v>PERU</v>
          </cell>
        </row>
        <row r="30861">
          <cell r="L30861" t="str">
            <v>Non-proportional</v>
          </cell>
          <cell r="S30861">
            <v>-27773.11</v>
          </cell>
          <cell r="X30861" t="str">
            <v>GWP - gross</v>
          </cell>
          <cell r="Y30861" t="str">
            <v>CHILE</v>
          </cell>
        </row>
        <row r="30862">
          <cell r="L30862" t="str">
            <v>Non-proportional</v>
          </cell>
          <cell r="S30862">
            <v>-16238.38</v>
          </cell>
          <cell r="X30862" t="str">
            <v>GWP - gross</v>
          </cell>
          <cell r="Y30862" t="str">
            <v>BRAZIL</v>
          </cell>
        </row>
        <row r="30863">
          <cell r="L30863" t="str">
            <v>Non-proportional</v>
          </cell>
          <cell r="S30863">
            <v>-9708.74</v>
          </cell>
          <cell r="X30863" t="str">
            <v>GWP - gross</v>
          </cell>
          <cell r="Y30863" t="str">
            <v>COSTA RICA</v>
          </cell>
        </row>
        <row r="30864">
          <cell r="L30864" t="str">
            <v>Non-proportional</v>
          </cell>
          <cell r="S30864">
            <v>26622</v>
          </cell>
          <cell r="X30864" t="str">
            <v>GWP - gross</v>
          </cell>
          <cell r="Y30864" t="str">
            <v>GREECE</v>
          </cell>
        </row>
        <row r="30865">
          <cell r="L30865" t="str">
            <v>Non-proportional</v>
          </cell>
          <cell r="S30865">
            <v>1662</v>
          </cell>
          <cell r="X30865" t="str">
            <v>GWP - gross</v>
          </cell>
          <cell r="Y30865" t="str">
            <v>CYPRUS</v>
          </cell>
        </row>
        <row r="30866">
          <cell r="L30866" t="str">
            <v>Proportional</v>
          </cell>
          <cell r="S30866">
            <v>15844.89</v>
          </cell>
          <cell r="X30866" t="str">
            <v>GWP - gross</v>
          </cell>
          <cell r="Y30866" t="str">
            <v>INDIA</v>
          </cell>
        </row>
        <row r="30867">
          <cell r="L30867" t="str">
            <v>Non-proportional</v>
          </cell>
          <cell r="S30867">
            <v>-154918.28</v>
          </cell>
          <cell r="X30867" t="str">
            <v>GWP - gross</v>
          </cell>
          <cell r="Y30867" t="str">
            <v>CHILE</v>
          </cell>
        </row>
        <row r="30868">
          <cell r="L30868" t="str">
            <v>Non-proportional</v>
          </cell>
          <cell r="S30868">
            <v>708706.43</v>
          </cell>
          <cell r="X30868" t="str">
            <v>GWP - gross</v>
          </cell>
          <cell r="Y30868" t="str">
            <v>UNITED KINGDOM</v>
          </cell>
        </row>
        <row r="30869">
          <cell r="L30869" t="str">
            <v>Proportional</v>
          </cell>
          <cell r="S30869">
            <v>-1221.6199999999999</v>
          </cell>
          <cell r="X30869" t="str">
            <v>GWP - gross</v>
          </cell>
          <cell r="Y30869" t="str">
            <v>Thailand</v>
          </cell>
        </row>
        <row r="30870">
          <cell r="L30870" t="str">
            <v>Non-proportional</v>
          </cell>
          <cell r="S30870">
            <v>8054.54</v>
          </cell>
          <cell r="X30870" t="str">
            <v>GWP - gross</v>
          </cell>
          <cell r="Y30870" t="str">
            <v>THAILAND</v>
          </cell>
        </row>
        <row r="30871">
          <cell r="L30871" t="str">
            <v>Proportional</v>
          </cell>
          <cell r="S30871">
            <v>-302.52</v>
          </cell>
          <cell r="X30871" t="str">
            <v>GWP - gross</v>
          </cell>
          <cell r="Y30871" t="str">
            <v>HONG KONG</v>
          </cell>
        </row>
        <row r="30872">
          <cell r="L30872" t="str">
            <v>Non-proportional</v>
          </cell>
          <cell r="S30872">
            <v>-11794.08</v>
          </cell>
          <cell r="X30872" t="str">
            <v>GWP - gross</v>
          </cell>
          <cell r="Y30872" t="str">
            <v>GERMANY</v>
          </cell>
        </row>
        <row r="30873">
          <cell r="L30873" t="str">
            <v>Non-proportional</v>
          </cell>
          <cell r="S30873">
            <v>173.89</v>
          </cell>
          <cell r="X30873" t="str">
            <v>GWP - gross</v>
          </cell>
          <cell r="Y30873" t="str">
            <v>ISRAEL</v>
          </cell>
        </row>
        <row r="30874">
          <cell r="L30874" t="str">
            <v>Non-proportional</v>
          </cell>
          <cell r="S30874">
            <v>-8773.7999999999993</v>
          </cell>
          <cell r="X30874" t="str">
            <v>GWP - gross</v>
          </cell>
          <cell r="Y30874" t="str">
            <v>UNITED KINGDOM</v>
          </cell>
        </row>
        <row r="30875">
          <cell r="L30875" t="str">
            <v>Proportional</v>
          </cell>
          <cell r="S30875">
            <v>-4287.6000000000004</v>
          </cell>
          <cell r="X30875" t="str">
            <v>GWP - gross</v>
          </cell>
          <cell r="Y30875" t="str">
            <v>THAILAND</v>
          </cell>
        </row>
        <row r="30876">
          <cell r="L30876" t="str">
            <v>Non-proportional</v>
          </cell>
          <cell r="S30876">
            <v>-3680.29</v>
          </cell>
          <cell r="X30876" t="str">
            <v>GWP - gross</v>
          </cell>
          <cell r="Y30876" t="str">
            <v>GERMANY</v>
          </cell>
        </row>
        <row r="30877">
          <cell r="L30877" t="str">
            <v>Proportional</v>
          </cell>
          <cell r="S30877">
            <v>-2284.86</v>
          </cell>
          <cell r="X30877" t="str">
            <v>GWP - gross</v>
          </cell>
          <cell r="Y30877" t="str">
            <v>UNITED STATES</v>
          </cell>
        </row>
        <row r="30878">
          <cell r="L30878" t="str">
            <v>Non-proportional</v>
          </cell>
          <cell r="S30878">
            <v>-571011.30000000005</v>
          </cell>
          <cell r="X30878" t="str">
            <v>GWP - gross</v>
          </cell>
          <cell r="Y30878" t="str">
            <v>UNITED KINGDOM</v>
          </cell>
        </row>
        <row r="30879">
          <cell r="L30879" t="str">
            <v>Non-proportional</v>
          </cell>
          <cell r="S30879">
            <v>-95512.5</v>
          </cell>
          <cell r="X30879" t="str">
            <v>GWP - gross</v>
          </cell>
          <cell r="Y30879" t="str">
            <v>TURKEY</v>
          </cell>
        </row>
        <row r="30880">
          <cell r="L30880" t="str">
            <v>Non-proportional</v>
          </cell>
          <cell r="S30880">
            <v>-45736.41</v>
          </cell>
          <cell r="X30880" t="str">
            <v>GWP - gross</v>
          </cell>
          <cell r="Y30880" t="str">
            <v>COLOMBIA</v>
          </cell>
        </row>
        <row r="30881">
          <cell r="L30881" t="str">
            <v>Non-proportional</v>
          </cell>
          <cell r="S30881">
            <v>40476</v>
          </cell>
          <cell r="X30881" t="str">
            <v>GWP - gross</v>
          </cell>
          <cell r="Y30881" t="str">
            <v>ITALY</v>
          </cell>
        </row>
        <row r="30882">
          <cell r="L30882" t="str">
            <v>Proportional</v>
          </cell>
          <cell r="S30882">
            <v>221179.14</v>
          </cell>
          <cell r="X30882" t="str">
            <v>GWP - gross</v>
          </cell>
          <cell r="Y30882" t="str">
            <v>THAILAND</v>
          </cell>
        </row>
        <row r="30883">
          <cell r="L30883" t="str">
            <v>Proportional</v>
          </cell>
          <cell r="S30883">
            <v>-12983.3</v>
          </cell>
          <cell r="X30883" t="str">
            <v>GWP - gross</v>
          </cell>
          <cell r="Y30883" t="str">
            <v>INDIA</v>
          </cell>
        </row>
        <row r="30884">
          <cell r="L30884" t="str">
            <v>Proportional</v>
          </cell>
          <cell r="S30884">
            <v>1734795.27</v>
          </cell>
          <cell r="X30884" t="str">
            <v>GWP - gross</v>
          </cell>
          <cell r="Y30884" t="str">
            <v>HONG KONG</v>
          </cell>
        </row>
        <row r="30885">
          <cell r="L30885" t="str">
            <v>Non-proportional</v>
          </cell>
          <cell r="S30885">
            <v>-26672</v>
          </cell>
          <cell r="X30885" t="str">
            <v>GWP - gross</v>
          </cell>
          <cell r="Y30885" t="str">
            <v>FRANCE</v>
          </cell>
        </row>
        <row r="30886">
          <cell r="L30886" t="str">
            <v>Non-proportional</v>
          </cell>
          <cell r="S30886">
            <v>-184620</v>
          </cell>
          <cell r="X30886" t="str">
            <v>GWP - gross</v>
          </cell>
          <cell r="Y30886" t="str">
            <v>FRANCE</v>
          </cell>
        </row>
        <row r="30887">
          <cell r="L30887" t="str">
            <v>Non-proportional</v>
          </cell>
          <cell r="S30887">
            <v>6617.2</v>
          </cell>
          <cell r="X30887" t="str">
            <v>GWP - gross</v>
          </cell>
          <cell r="Y30887" t="str">
            <v>GERMANY</v>
          </cell>
        </row>
        <row r="30888">
          <cell r="L30888" t="str">
            <v>Non-proportional</v>
          </cell>
          <cell r="S30888">
            <v>56286.92</v>
          </cell>
          <cell r="X30888" t="str">
            <v>GWP - gross</v>
          </cell>
          <cell r="Y30888" t="str">
            <v>COLOMBIA</v>
          </cell>
        </row>
        <row r="30889">
          <cell r="L30889" t="str">
            <v>Non-proportional</v>
          </cell>
          <cell r="S30889">
            <v>22836.34</v>
          </cell>
          <cell r="X30889" t="str">
            <v>GWP - gross</v>
          </cell>
          <cell r="Y30889" t="str">
            <v>PERU</v>
          </cell>
        </row>
        <row r="30890">
          <cell r="L30890" t="str">
            <v>Non-proportional</v>
          </cell>
          <cell r="S30890">
            <v>16238.38</v>
          </cell>
          <cell r="X30890" t="str">
            <v>GWP - gross</v>
          </cell>
          <cell r="Y30890" t="str">
            <v>BRAZIL</v>
          </cell>
        </row>
        <row r="30891">
          <cell r="L30891" t="str">
            <v>Proportional</v>
          </cell>
          <cell r="S30891">
            <v>47925.07</v>
          </cell>
          <cell r="X30891" t="str">
            <v>GWP - gross</v>
          </cell>
          <cell r="Y30891" t="str">
            <v>THAILAND</v>
          </cell>
        </row>
        <row r="30892">
          <cell r="L30892" t="str">
            <v>Non-proportional</v>
          </cell>
          <cell r="S30892">
            <v>3188.35</v>
          </cell>
          <cell r="X30892" t="str">
            <v>GWP - gross</v>
          </cell>
          <cell r="Y30892" t="str">
            <v>GERMANY</v>
          </cell>
        </row>
        <row r="30893">
          <cell r="L30893" t="str">
            <v>Proportional</v>
          </cell>
          <cell r="S30893">
            <v>374.95</v>
          </cell>
          <cell r="X30893" t="str">
            <v>GWP - gross</v>
          </cell>
          <cell r="Y30893" t="str">
            <v>THAILAND</v>
          </cell>
        </row>
        <row r="30894">
          <cell r="L30894" t="str">
            <v>Proportional</v>
          </cell>
          <cell r="S30894">
            <v>-1534.28</v>
          </cell>
          <cell r="X30894" t="str">
            <v>GWP - gross</v>
          </cell>
          <cell r="Y30894" t="str">
            <v>Hong Kong</v>
          </cell>
        </row>
        <row r="30895">
          <cell r="L30895" t="str">
            <v>Proportional</v>
          </cell>
          <cell r="S30895">
            <v>332801.75</v>
          </cell>
          <cell r="X30895" t="str">
            <v>GWP - gross</v>
          </cell>
          <cell r="Y30895" t="str">
            <v>BELGIUM</v>
          </cell>
        </row>
        <row r="30896">
          <cell r="L30896" t="str">
            <v>Non-proportional</v>
          </cell>
          <cell r="S30896">
            <v>9438.2199999999993</v>
          </cell>
          <cell r="X30896" t="str">
            <v>GWP - gross</v>
          </cell>
          <cell r="Y30896" t="str">
            <v>CHILE</v>
          </cell>
        </row>
        <row r="30897">
          <cell r="L30897" t="str">
            <v>Non-proportional</v>
          </cell>
          <cell r="S30897">
            <v>37250.01</v>
          </cell>
          <cell r="X30897" t="str">
            <v>GWP - gross</v>
          </cell>
          <cell r="Y30897" t="str">
            <v>CHILE</v>
          </cell>
        </row>
        <row r="30898">
          <cell r="L30898" t="str">
            <v>Non-proportional</v>
          </cell>
          <cell r="S30898">
            <v>13584.24</v>
          </cell>
          <cell r="X30898" t="str">
            <v>GWP - gross</v>
          </cell>
          <cell r="Y30898" t="str">
            <v>ITALY</v>
          </cell>
        </row>
        <row r="30899">
          <cell r="L30899" t="str">
            <v>Non-proportional</v>
          </cell>
          <cell r="S30899">
            <v>-6007.08</v>
          </cell>
          <cell r="X30899" t="str">
            <v>GWP - gross</v>
          </cell>
          <cell r="Y30899" t="str">
            <v>GERMANY</v>
          </cell>
        </row>
        <row r="30900">
          <cell r="L30900" t="str">
            <v>Proportional</v>
          </cell>
          <cell r="S30900">
            <v>-11530.35</v>
          </cell>
          <cell r="X30900" t="str">
            <v>GWP - gross</v>
          </cell>
          <cell r="Y30900" t="str">
            <v>THAILAND</v>
          </cell>
        </row>
        <row r="30901">
          <cell r="L30901" t="str">
            <v>Non-proportional</v>
          </cell>
          <cell r="S30901">
            <v>-9652.07</v>
          </cell>
          <cell r="X30901" t="str">
            <v>GWP - gross</v>
          </cell>
          <cell r="Y30901" t="str">
            <v>INDIA</v>
          </cell>
        </row>
        <row r="30902">
          <cell r="L30902" t="str">
            <v>Non-proportional</v>
          </cell>
          <cell r="S30902">
            <v>367.14</v>
          </cell>
          <cell r="X30902" t="str">
            <v>GWP - gross</v>
          </cell>
          <cell r="Y30902" t="str">
            <v>GERMANY</v>
          </cell>
        </row>
        <row r="30903">
          <cell r="L30903" t="str">
            <v>Non-proportional</v>
          </cell>
          <cell r="S30903">
            <v>1718.44</v>
          </cell>
          <cell r="X30903" t="str">
            <v>GWP - gross</v>
          </cell>
          <cell r="Y30903" t="str">
            <v>GERMANY</v>
          </cell>
        </row>
        <row r="30904">
          <cell r="L30904" t="str">
            <v>Non-proportional</v>
          </cell>
          <cell r="S30904">
            <v>-45900</v>
          </cell>
          <cell r="X30904" t="str">
            <v>GWP - gross</v>
          </cell>
          <cell r="Y30904" t="str">
            <v>ITALY</v>
          </cell>
        </row>
        <row r="30905">
          <cell r="L30905" t="str">
            <v>Non-proportional</v>
          </cell>
          <cell r="S30905">
            <v>1221.28</v>
          </cell>
          <cell r="X30905" t="str">
            <v>GWP - gross</v>
          </cell>
          <cell r="Y30905" t="str">
            <v>SWITZERLAND</v>
          </cell>
        </row>
        <row r="30906">
          <cell r="L30906" t="str">
            <v>Proportional</v>
          </cell>
          <cell r="S30906">
            <v>11530.35</v>
          </cell>
          <cell r="X30906" t="str">
            <v>GWP - gross</v>
          </cell>
          <cell r="Y30906" t="str">
            <v>THAILAND</v>
          </cell>
        </row>
        <row r="30907">
          <cell r="L30907" t="str">
            <v>Non-proportional</v>
          </cell>
          <cell r="S30907">
            <v>28188</v>
          </cell>
          <cell r="X30907" t="str">
            <v>GWP - gross</v>
          </cell>
          <cell r="Y30907" t="str">
            <v>GREECE</v>
          </cell>
        </row>
        <row r="30908">
          <cell r="L30908" t="str">
            <v>Non-proportional</v>
          </cell>
          <cell r="S30908">
            <v>-24016.23</v>
          </cell>
          <cell r="X30908" t="str">
            <v>GWP - gross</v>
          </cell>
          <cell r="Y30908" t="str">
            <v>PERU</v>
          </cell>
        </row>
        <row r="30909">
          <cell r="L30909" t="str">
            <v>Non-proportional</v>
          </cell>
          <cell r="S30909">
            <v>-95.14</v>
          </cell>
          <cell r="X30909" t="str">
            <v>GWP - gross</v>
          </cell>
          <cell r="Y30909" t="str">
            <v>GERMANY</v>
          </cell>
        </row>
        <row r="30910">
          <cell r="L30910" t="str">
            <v>Non-proportional</v>
          </cell>
          <cell r="S30910">
            <v>-708706.43</v>
          </cell>
          <cell r="X30910" t="str">
            <v>GWP - gross</v>
          </cell>
          <cell r="Y30910" t="str">
            <v>UNITED KINGDOM</v>
          </cell>
        </row>
        <row r="30911">
          <cell r="L30911" t="str">
            <v>Non-proportional</v>
          </cell>
          <cell r="S30911">
            <v>88980.67</v>
          </cell>
          <cell r="X30911" t="str">
            <v>GWP - gross</v>
          </cell>
          <cell r="Y30911" t="str">
            <v>COLOMBIA</v>
          </cell>
        </row>
        <row r="30912">
          <cell r="L30912" t="str">
            <v>Non-proportional</v>
          </cell>
          <cell r="S30912">
            <v>7253.58</v>
          </cell>
          <cell r="X30912" t="str">
            <v>GWP - gross</v>
          </cell>
          <cell r="Y30912" t="str">
            <v>THAILAND</v>
          </cell>
        </row>
        <row r="30913">
          <cell r="L30913" t="str">
            <v>Proportional</v>
          </cell>
          <cell r="S30913">
            <v>-5283.12</v>
          </cell>
          <cell r="X30913" t="str">
            <v>GWP - gross</v>
          </cell>
          <cell r="Y30913" t="str">
            <v>INDIA</v>
          </cell>
        </row>
        <row r="30914">
          <cell r="L30914" t="str">
            <v>Non-proportional</v>
          </cell>
          <cell r="S30914">
            <v>571011.30000000005</v>
          </cell>
          <cell r="X30914" t="str">
            <v>GWP - gross</v>
          </cell>
          <cell r="Y30914" t="str">
            <v>UNITED KINGDOM</v>
          </cell>
        </row>
        <row r="30915">
          <cell r="L30915" t="str">
            <v>Non-proportional</v>
          </cell>
          <cell r="S30915">
            <v>-16238.38</v>
          </cell>
          <cell r="X30915" t="str">
            <v>GWP - gross</v>
          </cell>
          <cell r="Y30915" t="str">
            <v>BRAZIL</v>
          </cell>
        </row>
        <row r="30916">
          <cell r="L30916" t="str">
            <v>Non-proportional</v>
          </cell>
          <cell r="S30916">
            <v>45900</v>
          </cell>
          <cell r="X30916" t="str">
            <v>GWP - gross</v>
          </cell>
          <cell r="Y30916" t="str">
            <v>ITALY</v>
          </cell>
        </row>
        <row r="30917">
          <cell r="L30917" t="str">
            <v>Non-proportional</v>
          </cell>
          <cell r="S30917">
            <v>3887.81</v>
          </cell>
          <cell r="X30917" t="str">
            <v>GWP - gross</v>
          </cell>
          <cell r="Y30917" t="str">
            <v>ITALY</v>
          </cell>
        </row>
        <row r="30918">
          <cell r="L30918" t="str">
            <v>Non-proportional</v>
          </cell>
          <cell r="S30918">
            <v>3317.33</v>
          </cell>
          <cell r="X30918" t="str">
            <v>GWP - gross</v>
          </cell>
          <cell r="Y30918" t="str">
            <v>GERMANY</v>
          </cell>
        </row>
        <row r="30919">
          <cell r="L30919" t="str">
            <v>Non-proportional</v>
          </cell>
          <cell r="S30919">
            <v>-4380.59</v>
          </cell>
          <cell r="X30919" t="str">
            <v>GWP - gross</v>
          </cell>
          <cell r="Y30919" t="str">
            <v>GERMANY</v>
          </cell>
        </row>
        <row r="30920">
          <cell r="L30920" t="str">
            <v>Non-proportional</v>
          </cell>
          <cell r="S30920">
            <v>-18510.78</v>
          </cell>
          <cell r="X30920" t="str">
            <v>GWP - gross</v>
          </cell>
          <cell r="Y30920" t="str">
            <v>GERMANY</v>
          </cell>
        </row>
        <row r="30921">
          <cell r="L30921" t="str">
            <v>Non-proportional</v>
          </cell>
          <cell r="S30921">
            <v>1309.81</v>
          </cell>
          <cell r="X30921" t="str">
            <v>GWP - gross</v>
          </cell>
          <cell r="Y30921" t="str">
            <v>ISRAEL</v>
          </cell>
        </row>
        <row r="30922">
          <cell r="L30922" t="str">
            <v>Non-proportional</v>
          </cell>
          <cell r="S30922">
            <v>-11622.88</v>
          </cell>
          <cell r="X30922" t="str">
            <v>GWP - gross</v>
          </cell>
          <cell r="Y30922" t="str">
            <v>ITALY</v>
          </cell>
        </row>
        <row r="30923">
          <cell r="L30923" t="str">
            <v>Non-proportional</v>
          </cell>
          <cell r="S30923">
            <v>23645.82</v>
          </cell>
          <cell r="X30923" t="str">
            <v>GWP - gross</v>
          </cell>
          <cell r="Y30923" t="str">
            <v>ITALY</v>
          </cell>
        </row>
        <row r="30924">
          <cell r="L30924" t="str">
            <v>Non-proportional</v>
          </cell>
          <cell r="S30924">
            <v>46250</v>
          </cell>
          <cell r="X30924" t="str">
            <v>GWP - gross</v>
          </cell>
          <cell r="Y30924" t="str">
            <v>FRANCE</v>
          </cell>
        </row>
        <row r="30925">
          <cell r="L30925" t="str">
            <v>Proportional</v>
          </cell>
          <cell r="S30925">
            <v>13.86</v>
          </cell>
          <cell r="X30925" t="str">
            <v>GWP - gross</v>
          </cell>
          <cell r="Y30925" t="str">
            <v>Thailand</v>
          </cell>
        </row>
        <row r="30926">
          <cell r="L30926" t="str">
            <v>Non-proportional</v>
          </cell>
          <cell r="S30926">
            <v>-76121.13</v>
          </cell>
          <cell r="X30926" t="str">
            <v>GWP - gross</v>
          </cell>
          <cell r="Y30926" t="str">
            <v>PERU</v>
          </cell>
        </row>
        <row r="30927">
          <cell r="L30927" t="str">
            <v>Non-proportional</v>
          </cell>
          <cell r="S30927">
            <v>-1221.28</v>
          </cell>
          <cell r="X30927" t="str">
            <v>GWP - gross</v>
          </cell>
          <cell r="Y30927" t="str">
            <v>SWITZERLAND</v>
          </cell>
        </row>
        <row r="30928">
          <cell r="L30928" t="str">
            <v>Proportional</v>
          </cell>
          <cell r="S30928">
            <v>-4171.88</v>
          </cell>
          <cell r="X30928" t="str">
            <v>GWP - gross</v>
          </cell>
          <cell r="Y30928" t="str">
            <v>THAILAND</v>
          </cell>
        </row>
        <row r="30929">
          <cell r="L30929" t="str">
            <v>Proportional</v>
          </cell>
          <cell r="S30929">
            <v>126626.11</v>
          </cell>
          <cell r="X30929" t="str">
            <v>GWP - gross</v>
          </cell>
          <cell r="Y30929" t="str">
            <v>THAILAND</v>
          </cell>
        </row>
        <row r="30930">
          <cell r="L30930" t="str">
            <v>Non-proportional</v>
          </cell>
          <cell r="S30930">
            <v>167.69</v>
          </cell>
          <cell r="X30930" t="str">
            <v>GWP - gross</v>
          </cell>
          <cell r="Y30930" t="str">
            <v>INDIA</v>
          </cell>
        </row>
        <row r="30931">
          <cell r="L30931" t="str">
            <v>Non-proportional</v>
          </cell>
          <cell r="S30931">
            <v>-27862.5</v>
          </cell>
          <cell r="X30931" t="str">
            <v>GWP - gross</v>
          </cell>
          <cell r="Y30931" t="str">
            <v>GERMANY</v>
          </cell>
        </row>
        <row r="30932">
          <cell r="L30932" t="str">
            <v>Non-proportional</v>
          </cell>
          <cell r="S30932">
            <v>-4037.13</v>
          </cell>
          <cell r="X30932" t="str">
            <v>GWP - gross</v>
          </cell>
          <cell r="Y30932" t="str">
            <v>GERMANY</v>
          </cell>
        </row>
        <row r="30933">
          <cell r="L30933" t="str">
            <v>Non-proportional</v>
          </cell>
          <cell r="S30933">
            <v>12657.03</v>
          </cell>
          <cell r="X30933" t="str">
            <v>GWP - gross</v>
          </cell>
          <cell r="Y30933" t="str">
            <v>SWITZERLAND</v>
          </cell>
        </row>
        <row r="30934">
          <cell r="L30934" t="str">
            <v>Non-proportional</v>
          </cell>
          <cell r="S30934">
            <v>-62509.27</v>
          </cell>
          <cell r="X30934" t="str">
            <v>GWP - gross</v>
          </cell>
          <cell r="Y30934" t="str">
            <v>COLOMBIA</v>
          </cell>
        </row>
        <row r="30935">
          <cell r="L30935" t="str">
            <v>Non-proportional</v>
          </cell>
          <cell r="S30935">
            <v>-2747.9</v>
          </cell>
          <cell r="X30935" t="str">
            <v>GWP - gross</v>
          </cell>
          <cell r="Y30935" t="str">
            <v>INDIA</v>
          </cell>
        </row>
        <row r="30936">
          <cell r="L30936" t="str">
            <v>Non-proportional</v>
          </cell>
          <cell r="S30936">
            <v>-3582.46</v>
          </cell>
          <cell r="X30936" t="str">
            <v>GWP - gross</v>
          </cell>
          <cell r="Y30936" t="str">
            <v>GERMANY</v>
          </cell>
        </row>
        <row r="30937">
          <cell r="L30937" t="str">
            <v>Proportional</v>
          </cell>
          <cell r="S30937">
            <v>-32128.12</v>
          </cell>
          <cell r="X30937" t="str">
            <v>GWP - gross</v>
          </cell>
          <cell r="Y30937" t="str">
            <v>India</v>
          </cell>
        </row>
        <row r="30938">
          <cell r="L30938" t="str">
            <v>Non-proportional</v>
          </cell>
          <cell r="S30938">
            <v>-44043.75</v>
          </cell>
          <cell r="X30938" t="str">
            <v>GWP - gross</v>
          </cell>
          <cell r="Y30938" t="str">
            <v>GREECE</v>
          </cell>
        </row>
        <row r="30939">
          <cell r="L30939" t="str">
            <v>Non-proportional</v>
          </cell>
          <cell r="S30939">
            <v>-78000</v>
          </cell>
          <cell r="X30939" t="str">
            <v>GWP - gross</v>
          </cell>
          <cell r="Y30939" t="str">
            <v>FRANCE</v>
          </cell>
        </row>
        <row r="30940">
          <cell r="L30940" t="str">
            <v>Non-proportional</v>
          </cell>
          <cell r="S30940">
            <v>-75654.22</v>
          </cell>
          <cell r="X30940" t="str">
            <v>GWP - gross</v>
          </cell>
          <cell r="Y30940" t="str">
            <v>COLOMBIA</v>
          </cell>
        </row>
        <row r="30941">
          <cell r="L30941" t="str">
            <v>Proportional</v>
          </cell>
          <cell r="S30941">
            <v>-25883.64</v>
          </cell>
          <cell r="X30941" t="str">
            <v>GWP - gross</v>
          </cell>
          <cell r="Y30941" t="str">
            <v>HONG KONG</v>
          </cell>
        </row>
        <row r="30942">
          <cell r="L30942" t="str">
            <v>Proportional</v>
          </cell>
          <cell r="S30942">
            <v>3937.57</v>
          </cell>
          <cell r="X30942" t="str">
            <v>GWP - gross</v>
          </cell>
          <cell r="Y30942" t="str">
            <v>INDIA</v>
          </cell>
        </row>
        <row r="30943">
          <cell r="L30943" t="str">
            <v>Non-proportional</v>
          </cell>
          <cell r="S30943">
            <v>-36420.379999999997</v>
          </cell>
          <cell r="X30943" t="str">
            <v>GWP - gross</v>
          </cell>
          <cell r="Y30943" t="str">
            <v>GREECE</v>
          </cell>
        </row>
        <row r="30944">
          <cell r="L30944" t="str">
            <v>Non-proportional</v>
          </cell>
          <cell r="S30944">
            <v>-3335.96</v>
          </cell>
          <cell r="X30944" t="str">
            <v>GWP - gross</v>
          </cell>
          <cell r="Y30944" t="str">
            <v>ISRAEL</v>
          </cell>
        </row>
        <row r="30945">
          <cell r="L30945" t="str">
            <v>Non-proportional</v>
          </cell>
          <cell r="S30945">
            <v>-38562.75</v>
          </cell>
          <cell r="X30945" t="str">
            <v>GWP - gross</v>
          </cell>
          <cell r="Y30945" t="str">
            <v>GREECE</v>
          </cell>
        </row>
        <row r="30946">
          <cell r="L30946" t="str">
            <v>Non-proportional</v>
          </cell>
          <cell r="S30946">
            <v>-8141.85</v>
          </cell>
          <cell r="X30946" t="str">
            <v>GWP - gross</v>
          </cell>
          <cell r="Y30946" t="str">
            <v>SWITZERLAND</v>
          </cell>
        </row>
        <row r="30947">
          <cell r="L30947" t="str">
            <v>Proportional</v>
          </cell>
          <cell r="S30947">
            <v>3937.57</v>
          </cell>
          <cell r="X30947" t="str">
            <v>GWP - gross</v>
          </cell>
          <cell r="Y30947" t="str">
            <v>INDIA</v>
          </cell>
        </row>
        <row r="30948">
          <cell r="L30948" t="str">
            <v>Proportional</v>
          </cell>
          <cell r="S30948">
            <v>811078.12</v>
          </cell>
          <cell r="X30948" t="str">
            <v>GWP - gross</v>
          </cell>
          <cell r="Y30948" t="str">
            <v>THAILAND</v>
          </cell>
        </row>
        <row r="30949">
          <cell r="L30949" t="str">
            <v>Non-proportional</v>
          </cell>
          <cell r="S30949">
            <v>-7860.35</v>
          </cell>
          <cell r="X30949" t="str">
            <v>GWP - gross</v>
          </cell>
          <cell r="Y30949" t="str">
            <v>UNITED KINGDOM</v>
          </cell>
        </row>
        <row r="30950">
          <cell r="L30950" t="str">
            <v>Non-proportional</v>
          </cell>
          <cell r="S30950">
            <v>-8959.2099999999991</v>
          </cell>
          <cell r="X30950" t="str">
            <v>GWP - gross</v>
          </cell>
          <cell r="Y30950" t="str">
            <v>ISRAEL</v>
          </cell>
        </row>
        <row r="30951">
          <cell r="L30951" t="str">
            <v>Non-proportional</v>
          </cell>
          <cell r="S30951">
            <v>-113400</v>
          </cell>
          <cell r="X30951" t="str">
            <v>GWP - gross</v>
          </cell>
          <cell r="Y30951" t="str">
            <v>ITALY</v>
          </cell>
        </row>
        <row r="30952">
          <cell r="L30952" t="str">
            <v>Proportional</v>
          </cell>
          <cell r="S30952">
            <v>-3937.57</v>
          </cell>
          <cell r="X30952" t="str">
            <v>GWP - gross</v>
          </cell>
          <cell r="Y30952" t="str">
            <v>INDIA</v>
          </cell>
        </row>
        <row r="30953">
          <cell r="L30953" t="str">
            <v>Proportional</v>
          </cell>
          <cell r="S30953">
            <v>-13373.65</v>
          </cell>
          <cell r="X30953" t="str">
            <v>GWP - gross</v>
          </cell>
          <cell r="Y30953" t="str">
            <v>India</v>
          </cell>
        </row>
        <row r="30954">
          <cell r="L30954" t="str">
            <v>Non-proportional</v>
          </cell>
          <cell r="S30954">
            <v>11935.21</v>
          </cell>
          <cell r="X30954" t="str">
            <v>GWP - gross</v>
          </cell>
          <cell r="Y30954" t="str">
            <v>BRAZIL</v>
          </cell>
        </row>
        <row r="30955">
          <cell r="L30955" t="str">
            <v>Non-proportional</v>
          </cell>
          <cell r="S30955">
            <v>1493.5</v>
          </cell>
          <cell r="X30955" t="str">
            <v>GWP - gross</v>
          </cell>
          <cell r="Y30955" t="str">
            <v>FRANCE</v>
          </cell>
        </row>
        <row r="30956">
          <cell r="L30956" t="str">
            <v>Non-proportional</v>
          </cell>
          <cell r="S30956">
            <v>2875.55</v>
          </cell>
          <cell r="X30956" t="str">
            <v>GWP - gross</v>
          </cell>
          <cell r="Y30956" t="str">
            <v>ISRAEL</v>
          </cell>
        </row>
        <row r="30957">
          <cell r="L30957" t="str">
            <v>Non-proportional</v>
          </cell>
          <cell r="S30957">
            <v>12598.54</v>
          </cell>
          <cell r="X30957" t="str">
            <v>GWP - gross</v>
          </cell>
          <cell r="Y30957" t="str">
            <v>ITALY</v>
          </cell>
        </row>
        <row r="30958">
          <cell r="L30958" t="str">
            <v>Non-proportional</v>
          </cell>
          <cell r="S30958">
            <v>9708.74</v>
          </cell>
          <cell r="X30958" t="str">
            <v>GWP - gross</v>
          </cell>
          <cell r="Y30958" t="str">
            <v>COSTA RICA</v>
          </cell>
        </row>
        <row r="30959">
          <cell r="L30959" t="str">
            <v>Non-proportional</v>
          </cell>
          <cell r="S30959">
            <v>2037.07</v>
          </cell>
          <cell r="X30959" t="str">
            <v>GWP - gross</v>
          </cell>
          <cell r="Y30959" t="str">
            <v>NETHERLANDS</v>
          </cell>
        </row>
        <row r="30960">
          <cell r="L30960" t="str">
            <v>Non-proportional</v>
          </cell>
          <cell r="S30960">
            <v>3129.97</v>
          </cell>
          <cell r="X30960" t="str">
            <v>GWP - gross</v>
          </cell>
          <cell r="Y30960" t="str">
            <v>ISRAEL</v>
          </cell>
        </row>
        <row r="30961">
          <cell r="L30961" t="str">
            <v>Non-proportional</v>
          </cell>
          <cell r="S30961">
            <v>23625</v>
          </cell>
          <cell r="X30961" t="str">
            <v>GWP - gross</v>
          </cell>
          <cell r="Y30961" t="str">
            <v>SPAIN</v>
          </cell>
        </row>
        <row r="30962">
          <cell r="L30962" t="str">
            <v>Non-proportional</v>
          </cell>
          <cell r="S30962">
            <v>-16710.29</v>
          </cell>
          <cell r="X30962" t="str">
            <v>GWP - gross</v>
          </cell>
          <cell r="Y30962" t="str">
            <v>CHILE</v>
          </cell>
        </row>
        <row r="30963">
          <cell r="L30963" t="str">
            <v>Non-proportional</v>
          </cell>
          <cell r="S30963">
            <v>18203.88</v>
          </cell>
          <cell r="X30963" t="str">
            <v>GWP - gross</v>
          </cell>
          <cell r="Y30963" t="str">
            <v>COSTA RICA</v>
          </cell>
        </row>
        <row r="30964">
          <cell r="L30964" t="str">
            <v>Proportional</v>
          </cell>
          <cell r="S30964">
            <v>-2750.86</v>
          </cell>
          <cell r="X30964" t="str">
            <v>GWP - gross</v>
          </cell>
          <cell r="Y30964" t="str">
            <v>India</v>
          </cell>
        </row>
        <row r="30965">
          <cell r="L30965" t="str">
            <v>Non-proportional</v>
          </cell>
          <cell r="S30965">
            <v>-12657.03</v>
          </cell>
          <cell r="X30965" t="str">
            <v>GWP - gross</v>
          </cell>
          <cell r="Y30965" t="str">
            <v>SWITZERLAND</v>
          </cell>
        </row>
        <row r="30966">
          <cell r="L30966" t="str">
            <v>Non-proportional</v>
          </cell>
          <cell r="S30966">
            <v>33846.07</v>
          </cell>
          <cell r="X30966" t="str">
            <v>GWP - gross</v>
          </cell>
          <cell r="Y30966" t="str">
            <v>CHILE</v>
          </cell>
        </row>
        <row r="30967">
          <cell r="L30967" t="str">
            <v>Non-proportional</v>
          </cell>
          <cell r="S30967">
            <v>-121580</v>
          </cell>
          <cell r="X30967" t="str">
            <v>GWP - gross</v>
          </cell>
          <cell r="Y30967" t="str">
            <v>FRANCE</v>
          </cell>
        </row>
        <row r="30968">
          <cell r="L30968" t="str">
            <v>Non-proportional</v>
          </cell>
          <cell r="S30968">
            <v>-313.27</v>
          </cell>
          <cell r="X30968" t="str">
            <v>GWP - gross</v>
          </cell>
          <cell r="Y30968" t="str">
            <v>GERMANY</v>
          </cell>
        </row>
        <row r="30969">
          <cell r="L30969" t="str">
            <v>Proportional</v>
          </cell>
          <cell r="S30969">
            <v>-104.68</v>
          </cell>
          <cell r="X30969" t="str">
            <v>GWP - gross</v>
          </cell>
          <cell r="Y30969" t="str">
            <v>HONG KONG</v>
          </cell>
        </row>
        <row r="30970">
          <cell r="L30970" t="str">
            <v>Non-proportional</v>
          </cell>
          <cell r="S30970">
            <v>-22435.11</v>
          </cell>
          <cell r="X30970" t="str">
            <v>GWP - gross</v>
          </cell>
          <cell r="Y30970" t="str">
            <v>CHILE</v>
          </cell>
        </row>
        <row r="30971">
          <cell r="L30971" t="str">
            <v>Proportional</v>
          </cell>
          <cell r="S30971">
            <v>277928.84000000003</v>
          </cell>
          <cell r="X30971" t="str">
            <v>GWP - gross</v>
          </cell>
          <cell r="Y30971" t="str">
            <v>THAILAND</v>
          </cell>
        </row>
        <row r="30972">
          <cell r="L30972" t="str">
            <v>Non-proportional</v>
          </cell>
          <cell r="S30972">
            <v>36420.379999999997</v>
          </cell>
          <cell r="X30972" t="str">
            <v>GWP - gross</v>
          </cell>
          <cell r="Y30972" t="str">
            <v>GREECE</v>
          </cell>
        </row>
        <row r="30973">
          <cell r="L30973" t="str">
            <v>Non-proportional</v>
          </cell>
          <cell r="S30973">
            <v>88110</v>
          </cell>
          <cell r="X30973" t="str">
            <v>GWP - gross</v>
          </cell>
          <cell r="Y30973" t="str">
            <v>FRANCE</v>
          </cell>
        </row>
        <row r="30974">
          <cell r="L30974" t="str">
            <v>Non-proportional</v>
          </cell>
          <cell r="S30974">
            <v>-109.22</v>
          </cell>
          <cell r="X30974" t="str">
            <v>GWP - gross</v>
          </cell>
          <cell r="Y30974" t="str">
            <v>CYPRUS</v>
          </cell>
        </row>
        <row r="30975">
          <cell r="L30975" t="str">
            <v>Proportional</v>
          </cell>
          <cell r="S30975">
            <v>3958845.28</v>
          </cell>
          <cell r="X30975" t="str">
            <v>GWP - gross</v>
          </cell>
          <cell r="Y30975" t="str">
            <v>THAILAND</v>
          </cell>
        </row>
        <row r="30976">
          <cell r="L30976" t="str">
            <v>Proportional</v>
          </cell>
          <cell r="S30976">
            <v>2070.5100000000002</v>
          </cell>
          <cell r="X30976" t="str">
            <v>GWP - gross</v>
          </cell>
          <cell r="Y30976" t="str">
            <v>INDIA</v>
          </cell>
        </row>
        <row r="30977">
          <cell r="L30977" t="str">
            <v>Non-proportional</v>
          </cell>
          <cell r="S30977">
            <v>-24528.68</v>
          </cell>
          <cell r="X30977" t="str">
            <v>GWP - gross</v>
          </cell>
          <cell r="Y30977" t="str">
            <v>ITALY</v>
          </cell>
        </row>
        <row r="30978">
          <cell r="L30978" t="str">
            <v>Non-proportional</v>
          </cell>
          <cell r="S30978">
            <v>-26622</v>
          </cell>
          <cell r="X30978" t="str">
            <v>GWP - gross</v>
          </cell>
          <cell r="Y30978" t="str">
            <v>GREECE</v>
          </cell>
        </row>
        <row r="30979">
          <cell r="L30979" t="str">
            <v>Non-proportional</v>
          </cell>
          <cell r="S30979">
            <v>-5837.63</v>
          </cell>
          <cell r="X30979" t="str">
            <v>GWP - gross</v>
          </cell>
          <cell r="Y30979" t="str">
            <v>CYPRUS</v>
          </cell>
        </row>
        <row r="30980">
          <cell r="L30980" t="str">
            <v>Non-proportional</v>
          </cell>
          <cell r="S30980">
            <v>109.22</v>
          </cell>
          <cell r="X30980" t="str">
            <v>GWP - gross</v>
          </cell>
          <cell r="Y30980" t="str">
            <v>CYPRUS</v>
          </cell>
        </row>
        <row r="30981">
          <cell r="L30981" t="str">
            <v>Non-proportional</v>
          </cell>
          <cell r="S30981">
            <v>-4.62</v>
          </cell>
          <cell r="X30981" t="str">
            <v>GWP - gross</v>
          </cell>
          <cell r="Y30981" t="str">
            <v>India</v>
          </cell>
        </row>
        <row r="30982">
          <cell r="L30982" t="str">
            <v>Non-proportional</v>
          </cell>
          <cell r="S30982">
            <v>10148.99</v>
          </cell>
          <cell r="X30982" t="str">
            <v>GWP - gross</v>
          </cell>
          <cell r="Y30982" t="str">
            <v>BRAZIL</v>
          </cell>
        </row>
        <row r="30983">
          <cell r="L30983" t="str">
            <v>Non-proportional</v>
          </cell>
          <cell r="S30983">
            <v>-12260.22</v>
          </cell>
          <cell r="X30983" t="str">
            <v>GWP - gross</v>
          </cell>
          <cell r="Y30983" t="str">
            <v>GERMANY</v>
          </cell>
        </row>
        <row r="30984">
          <cell r="L30984" t="str">
            <v>Non-proportional</v>
          </cell>
          <cell r="S30984">
            <v>1907.79</v>
          </cell>
          <cell r="X30984" t="str">
            <v>GWP - gross</v>
          </cell>
          <cell r="Y30984" t="str">
            <v>ISRAEL</v>
          </cell>
        </row>
        <row r="30985">
          <cell r="L30985" t="str">
            <v>Non-proportional</v>
          </cell>
          <cell r="S30985">
            <v>41596.879999999997</v>
          </cell>
          <cell r="X30985" t="str">
            <v>GWP - gross</v>
          </cell>
          <cell r="Y30985" t="str">
            <v>GREECE</v>
          </cell>
        </row>
        <row r="30986">
          <cell r="L30986" t="str">
            <v>Non-proportional</v>
          </cell>
          <cell r="S30986">
            <v>-7801.47</v>
          </cell>
          <cell r="X30986" t="str">
            <v>GWP - gross</v>
          </cell>
          <cell r="Y30986" t="str">
            <v>ISRAEL</v>
          </cell>
        </row>
        <row r="30987">
          <cell r="L30987" t="str">
            <v>Non-proportional</v>
          </cell>
          <cell r="S30987">
            <v>154918.28</v>
          </cell>
          <cell r="X30987" t="str">
            <v>GWP - gross</v>
          </cell>
          <cell r="Y30987" t="str">
            <v>CHILE</v>
          </cell>
        </row>
        <row r="30988">
          <cell r="L30988" t="str">
            <v>Non-proportional</v>
          </cell>
          <cell r="S30988">
            <v>-12686.23</v>
          </cell>
          <cell r="X30988" t="str">
            <v>GWP - gross</v>
          </cell>
          <cell r="Y30988" t="str">
            <v>BRAZIL</v>
          </cell>
        </row>
        <row r="30989">
          <cell r="L30989" t="str">
            <v>Non-proportional</v>
          </cell>
          <cell r="S30989">
            <v>9711.4699999999993</v>
          </cell>
          <cell r="X30989" t="str">
            <v>GWP - gross</v>
          </cell>
          <cell r="Y30989" t="str">
            <v>SWITZERLAND</v>
          </cell>
        </row>
        <row r="30990">
          <cell r="L30990" t="str">
            <v>Proportional</v>
          </cell>
          <cell r="S30990">
            <v>2043.71</v>
          </cell>
          <cell r="X30990" t="str">
            <v>GWP - gross</v>
          </cell>
          <cell r="Y30990" t="str">
            <v>UNITED STATES</v>
          </cell>
        </row>
        <row r="30991">
          <cell r="L30991" t="str">
            <v>Non-proportional</v>
          </cell>
          <cell r="S30991">
            <v>-39500</v>
          </cell>
          <cell r="X30991" t="str">
            <v>GWP - gross</v>
          </cell>
          <cell r="Y30991" t="str">
            <v>FRANCE</v>
          </cell>
        </row>
        <row r="30992">
          <cell r="L30992" t="str">
            <v>Non-proportional</v>
          </cell>
          <cell r="S30992">
            <v>-107847</v>
          </cell>
          <cell r="X30992" t="str">
            <v>GWP - gross</v>
          </cell>
          <cell r="Y30992" t="str">
            <v>FRANCE</v>
          </cell>
        </row>
        <row r="30993">
          <cell r="L30993" t="str">
            <v>Non-proportional</v>
          </cell>
          <cell r="S30993">
            <v>12686.23</v>
          </cell>
          <cell r="X30993" t="str">
            <v>GWP - gross</v>
          </cell>
          <cell r="Y30993" t="str">
            <v>BRAZIL</v>
          </cell>
        </row>
        <row r="30994">
          <cell r="L30994" t="str">
            <v>Non-proportional</v>
          </cell>
          <cell r="S30994">
            <v>67943.13</v>
          </cell>
          <cell r="X30994" t="str">
            <v>GWP - gross</v>
          </cell>
          <cell r="Y30994" t="str">
            <v>COLOMBIA</v>
          </cell>
        </row>
        <row r="30995">
          <cell r="L30995" t="str">
            <v>Non-proportional</v>
          </cell>
          <cell r="S30995">
            <v>190.14</v>
          </cell>
          <cell r="X30995" t="str">
            <v>GWP - gross</v>
          </cell>
          <cell r="Y30995" t="str">
            <v>INDIA</v>
          </cell>
        </row>
        <row r="30996">
          <cell r="L30996" t="str">
            <v>Non-proportional</v>
          </cell>
          <cell r="S30996">
            <v>-15783.22</v>
          </cell>
          <cell r="X30996" t="str">
            <v>GWP - gross</v>
          </cell>
          <cell r="Y30996" t="str">
            <v>ITALY</v>
          </cell>
        </row>
        <row r="30997">
          <cell r="L30997" t="str">
            <v>Non-proportional</v>
          </cell>
          <cell r="S30997">
            <v>-41737.03</v>
          </cell>
          <cell r="X30997" t="str">
            <v>GWP - gross</v>
          </cell>
          <cell r="Y30997" t="str">
            <v>CHILE</v>
          </cell>
        </row>
        <row r="30998">
          <cell r="L30998" t="str">
            <v>Non-proportional</v>
          </cell>
          <cell r="S30998">
            <v>5554.02</v>
          </cell>
          <cell r="X30998" t="str">
            <v>GWP - gross</v>
          </cell>
          <cell r="Y30998" t="str">
            <v>ITALY</v>
          </cell>
        </row>
        <row r="30999">
          <cell r="L30999" t="str">
            <v>Non-proportional</v>
          </cell>
          <cell r="S30999">
            <v>-12657.03</v>
          </cell>
          <cell r="X30999" t="str">
            <v>GWP - gross</v>
          </cell>
          <cell r="Y30999" t="str">
            <v>SWITZERLAND</v>
          </cell>
        </row>
        <row r="31000">
          <cell r="L31000" t="str">
            <v>Non-proportional</v>
          </cell>
          <cell r="S31000">
            <v>10500</v>
          </cell>
          <cell r="X31000" t="str">
            <v>GWP - gross</v>
          </cell>
          <cell r="Y31000" t="str">
            <v>ITALY</v>
          </cell>
        </row>
        <row r="31001">
          <cell r="L31001" t="str">
            <v>Proportional</v>
          </cell>
          <cell r="S31001">
            <v>2194.04</v>
          </cell>
          <cell r="X31001" t="str">
            <v>GWP - gross</v>
          </cell>
          <cell r="Y31001" t="str">
            <v>Thailand</v>
          </cell>
        </row>
        <row r="31002">
          <cell r="L31002" t="str">
            <v>Proportional</v>
          </cell>
          <cell r="S31002">
            <v>25883.64</v>
          </cell>
          <cell r="X31002" t="str">
            <v>GWP - gross</v>
          </cell>
          <cell r="Y31002" t="str">
            <v>HONG KONG</v>
          </cell>
        </row>
        <row r="31003">
          <cell r="L31003" t="str">
            <v>Non-proportional</v>
          </cell>
          <cell r="S31003">
            <v>82194.48</v>
          </cell>
          <cell r="X31003" t="str">
            <v>GWP - gross</v>
          </cell>
          <cell r="Y31003" t="str">
            <v>COSTA RICA</v>
          </cell>
        </row>
        <row r="31004">
          <cell r="L31004" t="str">
            <v>Non-proportional</v>
          </cell>
          <cell r="S31004">
            <v>8575875</v>
          </cell>
          <cell r="X31004" t="str">
            <v>GWP - gross</v>
          </cell>
          <cell r="Y31004" t="str">
            <v>FRANCE</v>
          </cell>
        </row>
        <row r="31005">
          <cell r="L31005" t="str">
            <v>Non-proportional</v>
          </cell>
          <cell r="S31005">
            <v>-38790</v>
          </cell>
          <cell r="X31005" t="str">
            <v>GWP - gross</v>
          </cell>
          <cell r="Y31005" t="str">
            <v>FRANCE</v>
          </cell>
        </row>
        <row r="31006">
          <cell r="L31006" t="str">
            <v>Proportional</v>
          </cell>
          <cell r="S31006">
            <v>65179.29</v>
          </cell>
          <cell r="X31006" t="str">
            <v>GWP - gross</v>
          </cell>
          <cell r="Y31006" t="str">
            <v>THAILAND</v>
          </cell>
        </row>
        <row r="31007">
          <cell r="L31007" t="str">
            <v>Proportional</v>
          </cell>
          <cell r="S31007">
            <v>194.29</v>
          </cell>
          <cell r="X31007" t="str">
            <v>GWP - gross</v>
          </cell>
          <cell r="Y31007" t="str">
            <v>Thailand</v>
          </cell>
        </row>
        <row r="31008">
          <cell r="L31008" t="str">
            <v>Non-proportional</v>
          </cell>
          <cell r="S31008">
            <v>-19.36</v>
          </cell>
          <cell r="X31008" t="str">
            <v>GWP - gross</v>
          </cell>
          <cell r="Y31008" t="str">
            <v>India</v>
          </cell>
        </row>
        <row r="31009">
          <cell r="L31009" t="str">
            <v>Non-proportional</v>
          </cell>
          <cell r="S31009">
            <v>383.64</v>
          </cell>
          <cell r="X31009" t="str">
            <v>GWP - gross</v>
          </cell>
          <cell r="Y31009" t="str">
            <v>CYPRUS</v>
          </cell>
        </row>
        <row r="31010">
          <cell r="L31010" t="str">
            <v>Non-proportional</v>
          </cell>
          <cell r="S31010">
            <v>18554</v>
          </cell>
          <cell r="X31010" t="str">
            <v>GWP - gross</v>
          </cell>
          <cell r="Y31010" t="str">
            <v>FRANCE</v>
          </cell>
        </row>
        <row r="31011">
          <cell r="L31011" t="str">
            <v>Non-proportional</v>
          </cell>
          <cell r="S31011">
            <v>-52838.54</v>
          </cell>
          <cell r="X31011" t="str">
            <v>GWP - gross</v>
          </cell>
          <cell r="Y31011" t="str">
            <v>CHILE</v>
          </cell>
        </row>
        <row r="31012">
          <cell r="L31012" t="str">
            <v>Non-proportional</v>
          </cell>
          <cell r="S31012">
            <v>8959.2099999999991</v>
          </cell>
          <cell r="X31012" t="str">
            <v>GWP - gross</v>
          </cell>
          <cell r="Y31012" t="str">
            <v>ISRAEL</v>
          </cell>
        </row>
        <row r="31013">
          <cell r="L31013" t="str">
            <v>Non-proportional</v>
          </cell>
          <cell r="S31013">
            <v>-9438.2199999999993</v>
          </cell>
          <cell r="X31013" t="str">
            <v>GWP - gross</v>
          </cell>
          <cell r="Y31013" t="str">
            <v>CHILE</v>
          </cell>
        </row>
        <row r="31014">
          <cell r="L31014" t="str">
            <v>Non-proportional</v>
          </cell>
          <cell r="S31014">
            <v>-5422.73</v>
          </cell>
          <cell r="X31014" t="str">
            <v>GWP - gross</v>
          </cell>
          <cell r="Y31014" t="str">
            <v>CYPRUS</v>
          </cell>
        </row>
        <row r="31015">
          <cell r="L31015" t="str">
            <v>Proportional</v>
          </cell>
          <cell r="S31015">
            <v>156953.9</v>
          </cell>
          <cell r="X31015" t="str">
            <v>GWP - gross</v>
          </cell>
          <cell r="Y31015" t="str">
            <v>THAILAND</v>
          </cell>
        </row>
        <row r="31016">
          <cell r="L31016" t="str">
            <v>Non-proportional</v>
          </cell>
          <cell r="S31016">
            <v>350.07</v>
          </cell>
          <cell r="X31016" t="str">
            <v>GWP - gross</v>
          </cell>
          <cell r="Y31016" t="str">
            <v>GERMANY</v>
          </cell>
        </row>
        <row r="31017">
          <cell r="L31017" t="str">
            <v>Proportional</v>
          </cell>
          <cell r="S31017">
            <v>-2043.71</v>
          </cell>
          <cell r="X31017" t="str">
            <v>GWP - gross</v>
          </cell>
          <cell r="Y31017" t="str">
            <v>UNITED STATES</v>
          </cell>
        </row>
        <row r="31018">
          <cell r="L31018" t="str">
            <v>Non-proportional</v>
          </cell>
          <cell r="S31018">
            <v>52838.54</v>
          </cell>
          <cell r="X31018" t="str">
            <v>GWP - gross</v>
          </cell>
          <cell r="Y31018" t="str">
            <v>CHILE</v>
          </cell>
        </row>
        <row r="31019">
          <cell r="L31019" t="str">
            <v>Non-proportional</v>
          </cell>
          <cell r="S31019">
            <v>22435.11</v>
          </cell>
          <cell r="X31019" t="str">
            <v>GWP - gross</v>
          </cell>
          <cell r="Y31019" t="str">
            <v>CHILE</v>
          </cell>
        </row>
        <row r="31020">
          <cell r="L31020" t="str">
            <v>Non-proportional</v>
          </cell>
          <cell r="S31020">
            <v>-77378.27</v>
          </cell>
          <cell r="X31020" t="str">
            <v>GWP - gross</v>
          </cell>
          <cell r="Y31020" t="str">
            <v>COLOMBIA</v>
          </cell>
        </row>
        <row r="31021">
          <cell r="L31021" t="str">
            <v>Proportional</v>
          </cell>
          <cell r="S31021">
            <v>-36778.300000000003</v>
          </cell>
          <cell r="X31021" t="str">
            <v>GWP - gross</v>
          </cell>
          <cell r="Y31021" t="str">
            <v>THAILAND</v>
          </cell>
        </row>
        <row r="31022">
          <cell r="L31022" t="str">
            <v>Proportional</v>
          </cell>
          <cell r="S31022">
            <v>36.619999999999997</v>
          </cell>
          <cell r="X31022" t="str">
            <v>GWP - gross</v>
          </cell>
          <cell r="Y31022" t="str">
            <v>Thailand</v>
          </cell>
        </row>
        <row r="31023">
          <cell r="L31023" t="str">
            <v>Non-proportional</v>
          </cell>
          <cell r="S31023">
            <v>14694.14</v>
          </cell>
          <cell r="X31023" t="str">
            <v>GWP - gross</v>
          </cell>
          <cell r="Y31023" t="str">
            <v>INDIA</v>
          </cell>
        </row>
        <row r="31024">
          <cell r="L31024" t="str">
            <v>Proportional</v>
          </cell>
          <cell r="S31024">
            <v>-1889.75</v>
          </cell>
          <cell r="X31024" t="str">
            <v>GWP - gross</v>
          </cell>
          <cell r="Y31024" t="str">
            <v>India</v>
          </cell>
        </row>
        <row r="31025">
          <cell r="L31025" t="str">
            <v>Non-proportional</v>
          </cell>
          <cell r="S31025">
            <v>107575.91</v>
          </cell>
          <cell r="X31025" t="str">
            <v>GWP - gross</v>
          </cell>
          <cell r="Y31025" t="str">
            <v>PERU</v>
          </cell>
        </row>
        <row r="31026">
          <cell r="L31026" t="str">
            <v>Non-proportional</v>
          </cell>
          <cell r="S31026">
            <v>250425</v>
          </cell>
          <cell r="X31026" t="str">
            <v>GWP - gross</v>
          </cell>
          <cell r="Y31026" t="str">
            <v>ITALY</v>
          </cell>
        </row>
        <row r="31027">
          <cell r="L31027" t="str">
            <v>Non-proportional</v>
          </cell>
          <cell r="S31027">
            <v>-63359.839999999997</v>
          </cell>
          <cell r="X31027" t="str">
            <v>GWP - gross</v>
          </cell>
          <cell r="Y31027" t="str">
            <v>CHILE</v>
          </cell>
        </row>
        <row r="31028">
          <cell r="L31028" t="str">
            <v>Non-proportional</v>
          </cell>
          <cell r="S31028">
            <v>38562.75</v>
          </cell>
          <cell r="X31028" t="str">
            <v>GWP - gross</v>
          </cell>
          <cell r="Y31028" t="str">
            <v>GREECE</v>
          </cell>
        </row>
        <row r="31029">
          <cell r="L31029" t="str">
            <v>Non-proportional</v>
          </cell>
          <cell r="S31029">
            <v>81785.899999999994</v>
          </cell>
          <cell r="X31029" t="str">
            <v>GWP - gross</v>
          </cell>
          <cell r="Y31029" t="str">
            <v>PERU</v>
          </cell>
        </row>
        <row r="31030">
          <cell r="L31030" t="str">
            <v>Non-proportional</v>
          </cell>
          <cell r="S31030">
            <v>27735</v>
          </cell>
          <cell r="X31030" t="str">
            <v>GWP - gross</v>
          </cell>
          <cell r="Y31030" t="str">
            <v>ISRAEL</v>
          </cell>
        </row>
        <row r="31031">
          <cell r="L31031" t="str">
            <v>Non-proportional</v>
          </cell>
          <cell r="S31031">
            <v>58474.34</v>
          </cell>
          <cell r="X31031" t="str">
            <v>GWP - gross</v>
          </cell>
          <cell r="Y31031" t="str">
            <v>ECUADOR</v>
          </cell>
        </row>
        <row r="31032">
          <cell r="L31032" t="str">
            <v>Non-proportional</v>
          </cell>
          <cell r="S31032">
            <v>45900</v>
          </cell>
          <cell r="X31032" t="str">
            <v>GWP - gross</v>
          </cell>
          <cell r="Y31032" t="str">
            <v>ITALY</v>
          </cell>
        </row>
        <row r="31033">
          <cell r="L31033" t="str">
            <v>Non-proportional</v>
          </cell>
          <cell r="S31033">
            <v>1688.9</v>
          </cell>
          <cell r="X31033" t="str">
            <v>GWP - gross</v>
          </cell>
          <cell r="Y31033" t="str">
            <v>NETHERLANDS</v>
          </cell>
        </row>
        <row r="31034">
          <cell r="L31034" t="str">
            <v>Proportional</v>
          </cell>
          <cell r="S31034">
            <v>83566.28</v>
          </cell>
          <cell r="X31034" t="str">
            <v>GWP - gross</v>
          </cell>
          <cell r="Y31034" t="str">
            <v>THAILAND</v>
          </cell>
        </row>
        <row r="31035">
          <cell r="L31035" t="str">
            <v>Proportional</v>
          </cell>
          <cell r="S31035">
            <v>-0.48</v>
          </cell>
          <cell r="X31035" t="str">
            <v>GWP - gross</v>
          </cell>
          <cell r="Y31035" t="str">
            <v>Hong Kong</v>
          </cell>
        </row>
        <row r="31036">
          <cell r="L31036" t="str">
            <v>Proportional</v>
          </cell>
          <cell r="S31036">
            <v>-10057.81</v>
          </cell>
          <cell r="X31036" t="str">
            <v>GWP - gross</v>
          </cell>
          <cell r="Y31036" t="str">
            <v>India</v>
          </cell>
        </row>
        <row r="31037">
          <cell r="L31037" t="str">
            <v>Non-proportional</v>
          </cell>
          <cell r="S31037">
            <v>3588</v>
          </cell>
          <cell r="X31037" t="str">
            <v>GWP - gross</v>
          </cell>
          <cell r="Y31037" t="str">
            <v>FRANCE</v>
          </cell>
        </row>
        <row r="31038">
          <cell r="L31038" t="str">
            <v>Non-proportional</v>
          </cell>
          <cell r="S31038">
            <v>-2469.63</v>
          </cell>
          <cell r="X31038" t="str">
            <v>GWP - gross</v>
          </cell>
          <cell r="Y31038" t="str">
            <v>FRANCE</v>
          </cell>
        </row>
        <row r="31039">
          <cell r="L31039" t="str">
            <v>Non-proportional</v>
          </cell>
          <cell r="S31039">
            <v>23743.74</v>
          </cell>
          <cell r="X31039" t="str">
            <v>GWP - gross</v>
          </cell>
          <cell r="Y31039" t="str">
            <v>ITALY</v>
          </cell>
        </row>
        <row r="31040">
          <cell r="L31040" t="str">
            <v>Non-proportional</v>
          </cell>
          <cell r="S31040">
            <v>8275.2099999999991</v>
          </cell>
          <cell r="X31040" t="str">
            <v>GWP - gross</v>
          </cell>
          <cell r="Y31040" t="str">
            <v>THAILAND</v>
          </cell>
        </row>
        <row r="31041">
          <cell r="L31041" t="str">
            <v>Non-proportional</v>
          </cell>
          <cell r="S31041">
            <v>-15242.57</v>
          </cell>
          <cell r="X31041" t="str">
            <v>GWP - gross</v>
          </cell>
          <cell r="Y31041" t="str">
            <v>SWITZERLAND</v>
          </cell>
        </row>
        <row r="31042">
          <cell r="L31042" t="str">
            <v>Non-proportional</v>
          </cell>
          <cell r="S31042">
            <v>86625</v>
          </cell>
          <cell r="X31042" t="str">
            <v>GWP - gross</v>
          </cell>
          <cell r="Y31042" t="str">
            <v>TURKEY</v>
          </cell>
        </row>
        <row r="31043">
          <cell r="L31043" t="str">
            <v>Non-proportional</v>
          </cell>
          <cell r="S31043">
            <v>-14694.14</v>
          </cell>
          <cell r="X31043" t="str">
            <v>GWP - gross</v>
          </cell>
          <cell r="Y31043" t="str">
            <v>INDIA</v>
          </cell>
        </row>
        <row r="31044">
          <cell r="L31044" t="str">
            <v>Non-proportional</v>
          </cell>
          <cell r="S31044">
            <v>3000</v>
          </cell>
          <cell r="X31044" t="str">
            <v>GWP - gross</v>
          </cell>
          <cell r="Y31044" t="str">
            <v>GERMANY</v>
          </cell>
        </row>
        <row r="31045">
          <cell r="L31045" t="str">
            <v>Non-proportional</v>
          </cell>
          <cell r="S31045">
            <v>-5619.87</v>
          </cell>
          <cell r="X31045" t="str">
            <v>GWP - gross</v>
          </cell>
          <cell r="Y31045" t="str">
            <v>ISRAEL</v>
          </cell>
        </row>
        <row r="31046">
          <cell r="L31046" t="str">
            <v>Non-proportional</v>
          </cell>
          <cell r="S31046">
            <v>6295.2</v>
          </cell>
          <cell r="X31046" t="str">
            <v>GWP - gross</v>
          </cell>
          <cell r="Y31046" t="str">
            <v>GERMANY</v>
          </cell>
        </row>
        <row r="31047">
          <cell r="L31047" t="str">
            <v>Non-proportional</v>
          </cell>
          <cell r="S31047">
            <v>-250425</v>
          </cell>
          <cell r="X31047" t="str">
            <v>GWP - gross</v>
          </cell>
          <cell r="Y31047" t="str">
            <v>ITALY</v>
          </cell>
        </row>
        <row r="31048">
          <cell r="L31048" t="str">
            <v>Non-proportional</v>
          </cell>
          <cell r="S31048">
            <v>28585.42</v>
          </cell>
          <cell r="X31048" t="str">
            <v>GWP - gross</v>
          </cell>
          <cell r="Y31048" t="str">
            <v>CHILE</v>
          </cell>
        </row>
        <row r="31049">
          <cell r="L31049" t="str">
            <v>Non-proportional</v>
          </cell>
          <cell r="S31049">
            <v>-12686.23</v>
          </cell>
          <cell r="X31049" t="str">
            <v>GWP - gross</v>
          </cell>
          <cell r="Y31049" t="str">
            <v>BRAZIL</v>
          </cell>
        </row>
        <row r="31050">
          <cell r="L31050" t="str">
            <v>Non-proportional</v>
          </cell>
          <cell r="S31050">
            <v>109.22</v>
          </cell>
          <cell r="X31050" t="str">
            <v>GWP - gross</v>
          </cell>
          <cell r="Y31050" t="str">
            <v>CYPRUS</v>
          </cell>
        </row>
        <row r="31051">
          <cell r="L31051" t="str">
            <v>Non-proportional</v>
          </cell>
          <cell r="S31051">
            <v>-21280.52</v>
          </cell>
          <cell r="X31051" t="str">
            <v>GWP - gross</v>
          </cell>
          <cell r="Y31051" t="str">
            <v>ITALY</v>
          </cell>
        </row>
        <row r="31052">
          <cell r="L31052" t="str">
            <v>Non-proportional</v>
          </cell>
          <cell r="S31052">
            <v>-77.23</v>
          </cell>
          <cell r="X31052" t="str">
            <v>GWP - gross</v>
          </cell>
          <cell r="Y31052" t="str">
            <v>GERMANY</v>
          </cell>
        </row>
        <row r="31053">
          <cell r="L31053" t="str">
            <v>Non-proportional</v>
          </cell>
          <cell r="S31053">
            <v>-71920</v>
          </cell>
          <cell r="X31053" t="str">
            <v>GWP - gross</v>
          </cell>
          <cell r="Y31053" t="str">
            <v>FRANCE</v>
          </cell>
        </row>
        <row r="31054">
          <cell r="L31054" t="str">
            <v>Non-proportional</v>
          </cell>
          <cell r="S31054">
            <v>-13970.24</v>
          </cell>
          <cell r="X31054" t="str">
            <v>GWP - gross</v>
          </cell>
          <cell r="Y31054" t="str">
            <v>COLOMBIA</v>
          </cell>
        </row>
        <row r="31055">
          <cell r="L31055" t="str">
            <v>Proportional</v>
          </cell>
          <cell r="S31055">
            <v>6.61</v>
          </cell>
          <cell r="X31055" t="str">
            <v>GWP - gross</v>
          </cell>
          <cell r="Y31055" t="str">
            <v>India</v>
          </cell>
        </row>
        <row r="31056">
          <cell r="L31056" t="str">
            <v>Non-proportional</v>
          </cell>
          <cell r="S31056">
            <v>8141.85</v>
          </cell>
          <cell r="X31056" t="str">
            <v>GWP - gross</v>
          </cell>
          <cell r="Y31056" t="str">
            <v>SWITZERLAND</v>
          </cell>
        </row>
        <row r="31057">
          <cell r="L31057" t="str">
            <v>Proportional</v>
          </cell>
          <cell r="S31057">
            <v>-147485.28</v>
          </cell>
          <cell r="X31057" t="str">
            <v>GWP - gross</v>
          </cell>
          <cell r="Y31057" t="str">
            <v>THAILAND</v>
          </cell>
        </row>
        <row r="31058">
          <cell r="L31058" t="str">
            <v>Non-proportional</v>
          </cell>
          <cell r="S31058">
            <v>-28585.42</v>
          </cell>
          <cell r="X31058" t="str">
            <v>GWP - gross</v>
          </cell>
          <cell r="Y31058" t="str">
            <v>CHILE</v>
          </cell>
        </row>
        <row r="31059">
          <cell r="L31059" t="str">
            <v>Non-proportional</v>
          </cell>
          <cell r="S31059">
            <v>-22836.34</v>
          </cell>
          <cell r="X31059" t="str">
            <v>GWP - gross</v>
          </cell>
          <cell r="Y31059" t="str">
            <v>PERU</v>
          </cell>
        </row>
        <row r="31060">
          <cell r="L31060" t="str">
            <v>Non-proportional</v>
          </cell>
          <cell r="S31060">
            <v>-56286.92</v>
          </cell>
          <cell r="X31060" t="str">
            <v>GWP - gross</v>
          </cell>
          <cell r="Y31060" t="str">
            <v>COLOMBIA</v>
          </cell>
        </row>
        <row r="31061">
          <cell r="L31061" t="str">
            <v>Proportional</v>
          </cell>
          <cell r="S31061">
            <v>-5268.42</v>
          </cell>
          <cell r="X31061" t="str">
            <v>GWP - gross</v>
          </cell>
          <cell r="Y31061" t="str">
            <v>Hong Kong</v>
          </cell>
        </row>
        <row r="31062">
          <cell r="L31062" t="str">
            <v>Proportional</v>
          </cell>
          <cell r="S31062">
            <v>-875000</v>
          </cell>
          <cell r="X31062" t="str">
            <v>GWP - gross</v>
          </cell>
          <cell r="Y31062" t="str">
            <v>ITALY</v>
          </cell>
        </row>
        <row r="31063">
          <cell r="L31063" t="str">
            <v>Non-proportional</v>
          </cell>
          <cell r="S31063">
            <v>-178.63</v>
          </cell>
          <cell r="X31063" t="str">
            <v>GWP - gross</v>
          </cell>
          <cell r="Y31063" t="str">
            <v>GERMANY</v>
          </cell>
        </row>
        <row r="31064">
          <cell r="L31064" t="str">
            <v>Non-proportional</v>
          </cell>
          <cell r="S31064">
            <v>-1662</v>
          </cell>
          <cell r="X31064" t="str">
            <v>GWP - gross</v>
          </cell>
          <cell r="Y31064" t="str">
            <v>CYPRUS</v>
          </cell>
        </row>
        <row r="31065">
          <cell r="L31065" t="str">
            <v>Non-proportional</v>
          </cell>
          <cell r="S31065">
            <v>356.37</v>
          </cell>
          <cell r="X31065" t="str">
            <v>GWP - gross</v>
          </cell>
          <cell r="Y31065" t="str">
            <v>CYPRUS</v>
          </cell>
        </row>
        <row r="31066">
          <cell r="L31066" t="str">
            <v>Non-proportional</v>
          </cell>
          <cell r="S31066">
            <v>-7253.58</v>
          </cell>
          <cell r="X31066" t="str">
            <v>GWP - gross</v>
          </cell>
          <cell r="Y31066" t="str">
            <v>THAILAND</v>
          </cell>
        </row>
        <row r="31067">
          <cell r="L31067" t="str">
            <v>Proportional</v>
          </cell>
          <cell r="S31067">
            <v>-126626.11</v>
          </cell>
          <cell r="X31067" t="str">
            <v>GWP - gross</v>
          </cell>
          <cell r="Y31067" t="str">
            <v>THAILAND</v>
          </cell>
        </row>
        <row r="31068">
          <cell r="L31068" t="str">
            <v>Non-proportional</v>
          </cell>
          <cell r="S31068">
            <v>-28188</v>
          </cell>
          <cell r="X31068" t="str">
            <v>GWP - gross</v>
          </cell>
          <cell r="Y31068" t="str">
            <v>GREECE</v>
          </cell>
        </row>
        <row r="31069">
          <cell r="L31069" t="str">
            <v>Non-proportional</v>
          </cell>
          <cell r="S31069">
            <v>-10148.99</v>
          </cell>
          <cell r="X31069" t="str">
            <v>GWP - gross</v>
          </cell>
          <cell r="Y31069" t="str">
            <v>BRAZIL</v>
          </cell>
        </row>
        <row r="31070">
          <cell r="L31070" t="str">
            <v>Non-proportional</v>
          </cell>
          <cell r="S31070">
            <v>3785.77</v>
          </cell>
          <cell r="X31070" t="str">
            <v>GWP - gross</v>
          </cell>
          <cell r="Y31070" t="str">
            <v>ISRAEL</v>
          </cell>
        </row>
        <row r="31071">
          <cell r="L31071" t="str">
            <v>Proportional</v>
          </cell>
          <cell r="S31071">
            <v>30629.85</v>
          </cell>
          <cell r="X31071" t="str">
            <v>GWP - gross</v>
          </cell>
          <cell r="Y31071" t="str">
            <v>THAILAND</v>
          </cell>
        </row>
        <row r="31072">
          <cell r="L31072" t="str">
            <v>Proportional</v>
          </cell>
          <cell r="S31072">
            <v>-52.08</v>
          </cell>
          <cell r="X31072" t="str">
            <v>GWP - gross</v>
          </cell>
          <cell r="Y31072" t="str">
            <v>THAILAND</v>
          </cell>
        </row>
        <row r="31073">
          <cell r="L31073" t="str">
            <v>Non-proportional</v>
          </cell>
          <cell r="S31073">
            <v>9711.4699999999993</v>
          </cell>
          <cell r="X31073" t="str">
            <v>GWP - gross</v>
          </cell>
          <cell r="Y31073" t="str">
            <v>SWITZERLAND</v>
          </cell>
        </row>
        <row r="31074">
          <cell r="L31074" t="str">
            <v>Non-proportional</v>
          </cell>
          <cell r="S31074">
            <v>1348.17</v>
          </cell>
          <cell r="X31074" t="str">
            <v>GWP - gross</v>
          </cell>
          <cell r="Y31074" t="str">
            <v>ISRAEL</v>
          </cell>
        </row>
        <row r="31075">
          <cell r="L31075" t="str">
            <v>Non-proportional</v>
          </cell>
          <cell r="S31075">
            <v>41777.07</v>
          </cell>
          <cell r="X31075" t="str">
            <v>GWP - gross</v>
          </cell>
          <cell r="Y31075" t="str">
            <v>ECUADOR</v>
          </cell>
        </row>
        <row r="31076">
          <cell r="L31076" t="str">
            <v>Non-proportional</v>
          </cell>
          <cell r="S31076">
            <v>-88110</v>
          </cell>
          <cell r="X31076" t="str">
            <v>GWP - gross</v>
          </cell>
          <cell r="Y31076" t="str">
            <v>FRANCE</v>
          </cell>
        </row>
        <row r="31077">
          <cell r="L31077" t="str">
            <v>Non-proportional</v>
          </cell>
          <cell r="S31077">
            <v>121580</v>
          </cell>
          <cell r="X31077" t="str">
            <v>GWP - gross</v>
          </cell>
          <cell r="Y31077" t="str">
            <v>FRANCE</v>
          </cell>
        </row>
        <row r="31078">
          <cell r="L31078" t="str">
            <v>Non-proportional</v>
          </cell>
          <cell r="S31078">
            <v>-15242.57</v>
          </cell>
          <cell r="X31078" t="str">
            <v>GWP - gross</v>
          </cell>
          <cell r="Y31078" t="str">
            <v>SWITZERLAND</v>
          </cell>
        </row>
        <row r="31079">
          <cell r="L31079" t="str">
            <v>Proportional</v>
          </cell>
          <cell r="S31079">
            <v>-3937.57</v>
          </cell>
          <cell r="X31079" t="str">
            <v>GWP - gross</v>
          </cell>
          <cell r="Y31079" t="str">
            <v>INDIA</v>
          </cell>
        </row>
        <row r="31080">
          <cell r="L31080" t="str">
            <v>Non-proportional</v>
          </cell>
          <cell r="S31080">
            <v>78000</v>
          </cell>
          <cell r="X31080" t="str">
            <v>GWP - gross</v>
          </cell>
          <cell r="Y31080" t="str">
            <v>FRANCE</v>
          </cell>
        </row>
        <row r="31081">
          <cell r="L31081" t="str">
            <v>Non-proportional</v>
          </cell>
          <cell r="S31081">
            <v>22836.34</v>
          </cell>
          <cell r="X31081" t="str">
            <v>GWP - gross</v>
          </cell>
          <cell r="Y31081" t="str">
            <v>PERU</v>
          </cell>
        </row>
        <row r="31082">
          <cell r="L31082" t="str">
            <v>Non-proportional</v>
          </cell>
          <cell r="S31082">
            <v>-4857.32</v>
          </cell>
          <cell r="X31082" t="str">
            <v>GWP - gross</v>
          </cell>
          <cell r="Y31082" t="str">
            <v>UNITED KINGDOM</v>
          </cell>
        </row>
        <row r="31083">
          <cell r="L31083" t="str">
            <v>Non-proportional</v>
          </cell>
          <cell r="S31083">
            <v>-29942.63</v>
          </cell>
          <cell r="X31083" t="str">
            <v>GWP - gross</v>
          </cell>
          <cell r="Y31083" t="str">
            <v>ITALY</v>
          </cell>
        </row>
        <row r="31084">
          <cell r="L31084" t="str">
            <v>Non-proportional</v>
          </cell>
          <cell r="S31084">
            <v>-27196.36</v>
          </cell>
          <cell r="X31084" t="str">
            <v>GWP - gross</v>
          </cell>
          <cell r="Y31084" t="str">
            <v>ITALY</v>
          </cell>
        </row>
        <row r="31085">
          <cell r="L31085" t="str">
            <v>Non-proportional</v>
          </cell>
          <cell r="S31085">
            <v>-11935.21</v>
          </cell>
          <cell r="X31085" t="str">
            <v>GWP - gross</v>
          </cell>
          <cell r="Y31085" t="str">
            <v>BRAZIL</v>
          </cell>
        </row>
        <row r="31086">
          <cell r="L31086" t="str">
            <v>Non-proportional</v>
          </cell>
          <cell r="S31086">
            <v>-92342.53</v>
          </cell>
          <cell r="X31086" t="str">
            <v>GWP - gross</v>
          </cell>
          <cell r="Y31086" t="str">
            <v>PERU</v>
          </cell>
        </row>
        <row r="31087">
          <cell r="L31087" t="str">
            <v>Non-proportional</v>
          </cell>
          <cell r="S31087">
            <v>122626.16</v>
          </cell>
          <cell r="X31087" t="str">
            <v>GWP - gross</v>
          </cell>
          <cell r="Y31087" t="str">
            <v>COLOMBIA</v>
          </cell>
        </row>
        <row r="31088">
          <cell r="L31088" t="str">
            <v>Proportional</v>
          </cell>
          <cell r="S31088">
            <v>30612.26</v>
          </cell>
          <cell r="X31088" t="str">
            <v>GWP - gross</v>
          </cell>
          <cell r="Y31088" t="str">
            <v>THAILAND</v>
          </cell>
        </row>
        <row r="31089">
          <cell r="L31089" t="str">
            <v>Non-proportional</v>
          </cell>
          <cell r="S31089">
            <v>-672.88</v>
          </cell>
          <cell r="X31089" t="str">
            <v>GWP - gross</v>
          </cell>
          <cell r="Y31089" t="str">
            <v>INDIA</v>
          </cell>
        </row>
        <row r="31090">
          <cell r="L31090" t="str">
            <v>Non-proportional</v>
          </cell>
          <cell r="S31090">
            <v>77378.27</v>
          </cell>
          <cell r="X31090" t="str">
            <v>GWP - gross</v>
          </cell>
          <cell r="Y31090" t="str">
            <v>COLOMBIA</v>
          </cell>
        </row>
        <row r="31091">
          <cell r="L31091" t="str">
            <v>Non-proportional</v>
          </cell>
          <cell r="S31091">
            <v>-51300</v>
          </cell>
          <cell r="X31091" t="str">
            <v>GWP - gross</v>
          </cell>
          <cell r="Y31091" t="str">
            <v>FRANCE</v>
          </cell>
        </row>
        <row r="31092">
          <cell r="L31092" t="str">
            <v>Non-proportional</v>
          </cell>
          <cell r="S31092">
            <v>49502.91</v>
          </cell>
          <cell r="X31092" t="str">
            <v>GWP - gross</v>
          </cell>
          <cell r="Y31092" t="str">
            <v>COSTA RICA</v>
          </cell>
        </row>
        <row r="31093">
          <cell r="L31093" t="str">
            <v>Non-proportional</v>
          </cell>
          <cell r="S31093">
            <v>-20.8</v>
          </cell>
          <cell r="X31093" t="str">
            <v>GWP - gross</v>
          </cell>
          <cell r="Y31093" t="str">
            <v>GERMANY</v>
          </cell>
        </row>
        <row r="31094">
          <cell r="L31094" t="str">
            <v>Proportional</v>
          </cell>
          <cell r="S31094">
            <v>-2958.1</v>
          </cell>
          <cell r="X31094" t="str">
            <v>GWP - gross</v>
          </cell>
          <cell r="Y31094" t="str">
            <v>UNITED STATES</v>
          </cell>
        </row>
        <row r="31095">
          <cell r="L31095" t="str">
            <v>Non-proportional</v>
          </cell>
          <cell r="S31095">
            <v>19946</v>
          </cell>
          <cell r="X31095" t="str">
            <v>GWP - gross</v>
          </cell>
          <cell r="Y31095" t="str">
            <v>FRANCE</v>
          </cell>
        </row>
        <row r="31096">
          <cell r="L31096" t="str">
            <v>Proportional</v>
          </cell>
          <cell r="S31096">
            <v>13539.01</v>
          </cell>
          <cell r="X31096" t="str">
            <v>GWP - gross</v>
          </cell>
          <cell r="Y31096" t="str">
            <v>Thailand</v>
          </cell>
        </row>
        <row r="31097">
          <cell r="L31097" t="str">
            <v>Proportional</v>
          </cell>
          <cell r="S31097">
            <v>-78629.539999999994</v>
          </cell>
          <cell r="X31097" t="str">
            <v>GWP - gross</v>
          </cell>
          <cell r="Y31097" t="str">
            <v>INDIA</v>
          </cell>
        </row>
        <row r="31098">
          <cell r="L31098" t="str">
            <v>Non-proportional</v>
          </cell>
          <cell r="S31098">
            <v>54124.27</v>
          </cell>
          <cell r="X31098" t="str">
            <v>GWP - gross</v>
          </cell>
          <cell r="Y31098" t="str">
            <v>PERU</v>
          </cell>
        </row>
        <row r="31099">
          <cell r="L31099" t="str">
            <v>Non-proportional</v>
          </cell>
          <cell r="S31099">
            <v>1130.0999999999999</v>
          </cell>
          <cell r="X31099" t="str">
            <v>GWP - gross</v>
          </cell>
          <cell r="Y31099" t="str">
            <v>ISRAEL</v>
          </cell>
        </row>
        <row r="31100">
          <cell r="L31100" t="str">
            <v>Non-proportional</v>
          </cell>
          <cell r="S31100">
            <v>-37250.01</v>
          </cell>
          <cell r="X31100" t="str">
            <v>GWP - gross</v>
          </cell>
          <cell r="Y31100" t="str">
            <v>CHILE</v>
          </cell>
        </row>
        <row r="31101">
          <cell r="L31101" t="str">
            <v>Proportional</v>
          </cell>
          <cell r="S31101">
            <v>-811078.12</v>
          </cell>
          <cell r="X31101" t="str">
            <v>GWP - gross</v>
          </cell>
          <cell r="Y31101" t="str">
            <v>THAILAND</v>
          </cell>
        </row>
        <row r="31102">
          <cell r="L31102" t="str">
            <v>Non-proportional</v>
          </cell>
          <cell r="S31102">
            <v>-1662</v>
          </cell>
          <cell r="X31102" t="str">
            <v>GWP - gross</v>
          </cell>
          <cell r="Y31102" t="str">
            <v>CYPRUS</v>
          </cell>
        </row>
        <row r="31103">
          <cell r="L31103" t="str">
            <v>Proportional</v>
          </cell>
          <cell r="S31103">
            <v>4464.49</v>
          </cell>
          <cell r="X31103" t="str">
            <v>GWP - gross</v>
          </cell>
          <cell r="Y31103" t="str">
            <v>THAILAND</v>
          </cell>
        </row>
        <row r="31104">
          <cell r="L31104" t="str">
            <v>Non-proportional</v>
          </cell>
          <cell r="S31104">
            <v>-23625</v>
          </cell>
          <cell r="X31104" t="str">
            <v>GWP - gross</v>
          </cell>
          <cell r="Y31104" t="str">
            <v>SPAIN</v>
          </cell>
        </row>
        <row r="31105">
          <cell r="L31105" t="str">
            <v>Non-proportional</v>
          </cell>
          <cell r="S31105">
            <v>92342.53</v>
          </cell>
          <cell r="X31105" t="str">
            <v>GWP - gross</v>
          </cell>
          <cell r="Y31105" t="str">
            <v>PERU</v>
          </cell>
        </row>
        <row r="31106">
          <cell r="L31106" t="str">
            <v>Non-proportional</v>
          </cell>
          <cell r="S31106">
            <v>-49050</v>
          </cell>
          <cell r="X31106" t="str">
            <v>GWP - gross</v>
          </cell>
          <cell r="Y31106" t="str">
            <v>TURKEY</v>
          </cell>
        </row>
        <row r="31107">
          <cell r="L31107" t="str">
            <v>Proportional</v>
          </cell>
          <cell r="S31107">
            <v>-75.58</v>
          </cell>
          <cell r="X31107" t="str">
            <v>GWP - gross</v>
          </cell>
          <cell r="Y31107" t="str">
            <v>Thailand</v>
          </cell>
        </row>
        <row r="31108">
          <cell r="L31108" t="str">
            <v>Non-proportional</v>
          </cell>
          <cell r="S31108">
            <v>-118343.24</v>
          </cell>
          <cell r="X31108" t="str">
            <v>GWP - gross</v>
          </cell>
          <cell r="Y31108" t="str">
            <v>COLOMBIA</v>
          </cell>
        </row>
        <row r="31109">
          <cell r="L31109" t="str">
            <v>Non-proportional</v>
          </cell>
          <cell r="S31109">
            <v>-81785.899999999994</v>
          </cell>
          <cell r="X31109" t="str">
            <v>GWP - gross</v>
          </cell>
          <cell r="Y31109" t="str">
            <v>PERU</v>
          </cell>
        </row>
        <row r="31110">
          <cell r="L31110" t="str">
            <v>Non-proportional</v>
          </cell>
          <cell r="S31110">
            <v>-13584.24</v>
          </cell>
          <cell r="X31110" t="str">
            <v>GWP - gross</v>
          </cell>
          <cell r="Y31110" t="str">
            <v>ITALY</v>
          </cell>
        </row>
        <row r="31111">
          <cell r="L31111" t="str">
            <v>Non-proportional</v>
          </cell>
          <cell r="S31111">
            <v>-571011.30000000005</v>
          </cell>
          <cell r="X31111" t="str">
            <v>GWP - gross</v>
          </cell>
          <cell r="Y31111" t="str">
            <v>UNITED KINGDOM</v>
          </cell>
        </row>
        <row r="31112">
          <cell r="L31112" t="str">
            <v>Non-proportional</v>
          </cell>
          <cell r="S31112">
            <v>11759.09</v>
          </cell>
          <cell r="X31112" t="str">
            <v>GWP - gross</v>
          </cell>
          <cell r="Y31112" t="str">
            <v>CHILE</v>
          </cell>
        </row>
        <row r="31113">
          <cell r="L31113" t="str">
            <v>Non-proportional</v>
          </cell>
          <cell r="S31113">
            <v>12192.15</v>
          </cell>
          <cell r="X31113" t="str">
            <v>GWP - gross</v>
          </cell>
          <cell r="Y31113" t="str">
            <v>THAILAND</v>
          </cell>
        </row>
        <row r="31114">
          <cell r="L31114" t="str">
            <v>Non-proportional</v>
          </cell>
          <cell r="S31114">
            <v>401677.98</v>
          </cell>
          <cell r="X31114" t="str">
            <v>GWP - gross</v>
          </cell>
          <cell r="Y31114" t="str">
            <v>UNITED KINGDOM</v>
          </cell>
        </row>
        <row r="31115">
          <cell r="L31115" t="str">
            <v>Non-proportional</v>
          </cell>
          <cell r="S31115">
            <v>-65316.35</v>
          </cell>
          <cell r="X31115" t="str">
            <v>GWP - gross</v>
          </cell>
          <cell r="Y31115" t="str">
            <v>COSTA RICA</v>
          </cell>
        </row>
        <row r="31116">
          <cell r="L31116" t="str">
            <v>Non-proportional</v>
          </cell>
          <cell r="S31116">
            <v>-1006.88</v>
          </cell>
          <cell r="X31116" t="str">
            <v>GWP - gross</v>
          </cell>
          <cell r="Y31116" t="str">
            <v>FRANCE</v>
          </cell>
        </row>
        <row r="31117">
          <cell r="L31117" t="str">
            <v>Non-proportional</v>
          </cell>
          <cell r="S31117">
            <v>2203.36</v>
          </cell>
          <cell r="X31117" t="str">
            <v>GWP - gross</v>
          </cell>
          <cell r="Y31117" t="str">
            <v>NETHERLANDS</v>
          </cell>
        </row>
        <row r="31118">
          <cell r="L31118" t="str">
            <v>Non-proportional</v>
          </cell>
          <cell r="S31118">
            <v>-22836.34</v>
          </cell>
          <cell r="X31118" t="str">
            <v>GWP - gross</v>
          </cell>
          <cell r="Y31118" t="str">
            <v>PERU</v>
          </cell>
        </row>
        <row r="31119">
          <cell r="L31119" t="str">
            <v>Non-proportional</v>
          </cell>
          <cell r="S31119">
            <v>-12598.54</v>
          </cell>
          <cell r="X31119" t="str">
            <v>GWP - gross</v>
          </cell>
          <cell r="Y31119" t="str">
            <v>ITALY</v>
          </cell>
        </row>
        <row r="31120">
          <cell r="L31120" t="str">
            <v>Non-proportional</v>
          </cell>
          <cell r="S31120">
            <v>-392.66</v>
          </cell>
          <cell r="X31120" t="str">
            <v>GWP - gross</v>
          </cell>
          <cell r="Y31120" t="str">
            <v>GERMANY</v>
          </cell>
        </row>
        <row r="31121">
          <cell r="L31121" t="str">
            <v>Non-proportional</v>
          </cell>
          <cell r="S31121">
            <v>-35009.71</v>
          </cell>
          <cell r="X31121" t="str">
            <v>GWP - gross</v>
          </cell>
          <cell r="Y31121" t="str">
            <v>PERU</v>
          </cell>
        </row>
        <row r="31122">
          <cell r="L31122" t="str">
            <v>Non-proportional</v>
          </cell>
          <cell r="S31122">
            <v>-82194.48</v>
          </cell>
          <cell r="X31122" t="str">
            <v>GWP - gross</v>
          </cell>
          <cell r="Y31122" t="str">
            <v>COSTA RICA</v>
          </cell>
        </row>
        <row r="31123">
          <cell r="L31123" t="str">
            <v>Non-proportional</v>
          </cell>
          <cell r="S31123">
            <v>-3129.8</v>
          </cell>
          <cell r="X31123" t="str">
            <v>GWP - gross</v>
          </cell>
          <cell r="Y31123" t="str">
            <v>GERMANY</v>
          </cell>
        </row>
        <row r="31124">
          <cell r="L31124" t="str">
            <v>Non-proportional</v>
          </cell>
          <cell r="S31124">
            <v>67959.45</v>
          </cell>
          <cell r="X31124" t="str">
            <v>GWP - gross</v>
          </cell>
          <cell r="Y31124" t="str">
            <v>AUSTRIA</v>
          </cell>
        </row>
        <row r="31125">
          <cell r="L31125" t="str">
            <v>Non-proportional</v>
          </cell>
          <cell r="S31125">
            <v>-6617.2</v>
          </cell>
          <cell r="X31125" t="str">
            <v>GWP - gross</v>
          </cell>
          <cell r="Y31125" t="str">
            <v>GERMANY</v>
          </cell>
        </row>
        <row r="31126">
          <cell r="L31126" t="str">
            <v>Proportional</v>
          </cell>
          <cell r="S31126">
            <v>-65179.29</v>
          </cell>
          <cell r="X31126" t="str">
            <v>GWP - gross</v>
          </cell>
          <cell r="Y31126" t="str">
            <v>THAILAND</v>
          </cell>
        </row>
        <row r="31127">
          <cell r="L31127" t="str">
            <v>Non-proportional</v>
          </cell>
          <cell r="S31127">
            <v>-4097.78</v>
          </cell>
          <cell r="X31127" t="str">
            <v>GWP - gross</v>
          </cell>
          <cell r="Y31127" t="str">
            <v>ISRAEL</v>
          </cell>
        </row>
        <row r="31128">
          <cell r="L31128" t="str">
            <v>Non-proportional</v>
          </cell>
          <cell r="S31128">
            <v>1210.6400000000001</v>
          </cell>
          <cell r="X31128" t="str">
            <v>GWP - gross</v>
          </cell>
          <cell r="Y31128" t="str">
            <v>NETHERLANDS</v>
          </cell>
        </row>
        <row r="31129">
          <cell r="L31129" t="str">
            <v>Non-proportional</v>
          </cell>
          <cell r="S31129">
            <v>-3943.51</v>
          </cell>
          <cell r="X31129" t="str">
            <v>GWP - gross</v>
          </cell>
          <cell r="Y31129" t="str">
            <v>ITALY</v>
          </cell>
        </row>
        <row r="31130">
          <cell r="L31130" t="str">
            <v>Proportional</v>
          </cell>
          <cell r="S31130">
            <v>75.22</v>
          </cell>
          <cell r="X31130" t="str">
            <v>GWP - gross</v>
          </cell>
          <cell r="Y31130" t="str">
            <v>Thailand</v>
          </cell>
        </row>
        <row r="31131">
          <cell r="L31131" t="str">
            <v>Non-proportional</v>
          </cell>
          <cell r="S31131">
            <v>10340.07</v>
          </cell>
          <cell r="X31131" t="str">
            <v>GWP - gross</v>
          </cell>
          <cell r="Y31131" t="str">
            <v>ISRAEL</v>
          </cell>
        </row>
        <row r="31132">
          <cell r="L31132" t="str">
            <v>Non-proportional</v>
          </cell>
          <cell r="S31132">
            <v>-86625</v>
          </cell>
          <cell r="X31132" t="str">
            <v>GWP - gross</v>
          </cell>
          <cell r="Y31132" t="str">
            <v>TURKEY</v>
          </cell>
        </row>
        <row r="31133">
          <cell r="L31133" t="str">
            <v>Proportional</v>
          </cell>
          <cell r="S31133">
            <v>199490.38</v>
          </cell>
          <cell r="X31133" t="str">
            <v>GWP - gross</v>
          </cell>
          <cell r="Y31133" t="str">
            <v>THAILAND</v>
          </cell>
        </row>
        <row r="31134">
          <cell r="L31134" t="str">
            <v>Non-proportional</v>
          </cell>
          <cell r="S31134">
            <v>281196.3</v>
          </cell>
          <cell r="X31134" t="str">
            <v>GWP - gross</v>
          </cell>
          <cell r="Y31134" t="str">
            <v>FRANCE</v>
          </cell>
        </row>
        <row r="31135">
          <cell r="L31135" t="str">
            <v>Non-proportional</v>
          </cell>
          <cell r="S31135">
            <v>-6949.12</v>
          </cell>
          <cell r="X31135" t="str">
            <v>GWP - gross</v>
          </cell>
          <cell r="Y31135" t="str">
            <v>GERMANY</v>
          </cell>
        </row>
        <row r="31136">
          <cell r="L31136" t="str">
            <v>Proportional</v>
          </cell>
          <cell r="S31136">
            <v>64.37</v>
          </cell>
          <cell r="X31136" t="str">
            <v>GWP - gross</v>
          </cell>
          <cell r="Y31136" t="str">
            <v>THAILAND</v>
          </cell>
        </row>
        <row r="31137">
          <cell r="L31137" t="str">
            <v>Proportional</v>
          </cell>
          <cell r="S31137">
            <v>-6717271.5499999998</v>
          </cell>
          <cell r="X31137" t="str">
            <v>GWP - gross</v>
          </cell>
          <cell r="Y31137" t="str">
            <v>THAILAND</v>
          </cell>
        </row>
        <row r="31138">
          <cell r="L31138" t="str">
            <v>Non-proportional</v>
          </cell>
          <cell r="S31138">
            <v>-8054.54</v>
          </cell>
          <cell r="X31138" t="str">
            <v>GWP - gross</v>
          </cell>
          <cell r="Y31138" t="str">
            <v>THAILAND</v>
          </cell>
        </row>
        <row r="31139">
          <cell r="L31139" t="str">
            <v>Non-proportional</v>
          </cell>
          <cell r="S31139">
            <v>1418.65</v>
          </cell>
          <cell r="X31139" t="str">
            <v>GWP - gross</v>
          </cell>
          <cell r="Y31139" t="str">
            <v>NETHERLANDS</v>
          </cell>
        </row>
        <row r="31140">
          <cell r="L31140" t="str">
            <v>Proportional</v>
          </cell>
          <cell r="S31140">
            <v>36778.300000000003</v>
          </cell>
          <cell r="X31140" t="str">
            <v>GWP - gross</v>
          </cell>
          <cell r="Y31140" t="str">
            <v>THAILAND</v>
          </cell>
        </row>
        <row r="31141">
          <cell r="L31141" t="str">
            <v>Proportional</v>
          </cell>
          <cell r="S31141">
            <v>96623.02</v>
          </cell>
          <cell r="X31141" t="str">
            <v>GWP - gross</v>
          </cell>
          <cell r="Y31141" t="str">
            <v>THAILAND</v>
          </cell>
        </row>
        <row r="31142">
          <cell r="L31142" t="str">
            <v>Non-proportional</v>
          </cell>
          <cell r="S31142">
            <v>-1898.55</v>
          </cell>
          <cell r="X31142" t="str">
            <v>GWP - gross</v>
          </cell>
          <cell r="Y31142" t="str">
            <v>SWITZERLAND</v>
          </cell>
        </row>
        <row r="31143">
          <cell r="L31143" t="str">
            <v>Non-proportional</v>
          </cell>
          <cell r="S31143">
            <v>-137282.23999999999</v>
          </cell>
          <cell r="X31143" t="str">
            <v>GWP - gross</v>
          </cell>
          <cell r="Y31143" t="str">
            <v>COSTA RICA</v>
          </cell>
        </row>
        <row r="31144">
          <cell r="L31144" t="str">
            <v>Non-proportional</v>
          </cell>
          <cell r="S31144">
            <v>-7570</v>
          </cell>
          <cell r="X31144" t="str">
            <v>GWP - gross</v>
          </cell>
          <cell r="Y31144" t="str">
            <v>GERMANY</v>
          </cell>
        </row>
        <row r="31145">
          <cell r="L31145" t="str">
            <v>Non-proportional</v>
          </cell>
          <cell r="S31145">
            <v>-8.3800000000000008</v>
          </cell>
          <cell r="X31145" t="str">
            <v>GWP - gross</v>
          </cell>
          <cell r="Y31145" t="str">
            <v>GERMANY</v>
          </cell>
        </row>
        <row r="31146">
          <cell r="L31146" t="str">
            <v>Non-proportional</v>
          </cell>
          <cell r="S31146">
            <v>-6129.6</v>
          </cell>
          <cell r="X31146" t="str">
            <v>GWP - gross</v>
          </cell>
          <cell r="Y31146" t="str">
            <v>MALTA</v>
          </cell>
        </row>
        <row r="31147">
          <cell r="L31147" t="str">
            <v>Non-proportional</v>
          </cell>
          <cell r="S31147">
            <v>-150857.79</v>
          </cell>
          <cell r="X31147" t="str">
            <v>GWP - gross</v>
          </cell>
          <cell r="Y31147" t="str">
            <v>ECUADOR</v>
          </cell>
        </row>
        <row r="31148">
          <cell r="L31148" t="str">
            <v>Non-proportional</v>
          </cell>
          <cell r="S31148">
            <v>55640.55</v>
          </cell>
          <cell r="X31148" t="str">
            <v>GWP - gross</v>
          </cell>
          <cell r="Y31148" t="str">
            <v>ITALY</v>
          </cell>
        </row>
        <row r="31149">
          <cell r="L31149" t="str">
            <v>Non-proportional</v>
          </cell>
          <cell r="S31149">
            <v>-19407.009999999998</v>
          </cell>
          <cell r="X31149" t="str">
            <v>GWP - gross</v>
          </cell>
          <cell r="Y31149" t="str">
            <v>GERMANY</v>
          </cell>
        </row>
        <row r="31150">
          <cell r="L31150" t="str">
            <v>Non-proportional</v>
          </cell>
          <cell r="S31150">
            <v>-15512.21</v>
          </cell>
          <cell r="X31150" t="str">
            <v>GWP - gross</v>
          </cell>
          <cell r="Y31150" t="str">
            <v>PERU</v>
          </cell>
        </row>
        <row r="31151">
          <cell r="L31151" t="str">
            <v>Non-proportional</v>
          </cell>
          <cell r="S31151">
            <v>7364.03</v>
          </cell>
          <cell r="X31151" t="str">
            <v>GWP - gross</v>
          </cell>
          <cell r="Y31151" t="str">
            <v>ITALY</v>
          </cell>
        </row>
        <row r="31152">
          <cell r="L31152" t="str">
            <v>Non-proportional</v>
          </cell>
          <cell r="S31152">
            <v>5721.14</v>
          </cell>
          <cell r="X31152" t="str">
            <v>GWP - gross</v>
          </cell>
          <cell r="Y31152" t="str">
            <v>THAILAND</v>
          </cell>
        </row>
        <row r="31153">
          <cell r="L31153" t="str">
            <v>Non-proportional</v>
          </cell>
          <cell r="S31153">
            <v>25785.599999999999</v>
          </cell>
          <cell r="X31153" t="str">
            <v>GWP - gross</v>
          </cell>
          <cell r="Y31153" t="str">
            <v>MALTA</v>
          </cell>
        </row>
        <row r="31154">
          <cell r="L31154" t="str">
            <v>Non-proportional</v>
          </cell>
          <cell r="S31154">
            <v>7148.74</v>
          </cell>
          <cell r="X31154" t="str">
            <v>GWP - gross</v>
          </cell>
          <cell r="Y31154" t="str">
            <v>ITALY</v>
          </cell>
        </row>
        <row r="31155">
          <cell r="L31155" t="str">
            <v>Proportional</v>
          </cell>
          <cell r="S31155">
            <v>995.96</v>
          </cell>
          <cell r="X31155" t="str">
            <v>GWP - gross</v>
          </cell>
          <cell r="Y31155" t="str">
            <v>Thailand</v>
          </cell>
        </row>
        <row r="31156">
          <cell r="L31156" t="str">
            <v>Proportional</v>
          </cell>
          <cell r="S31156">
            <v>2958.1</v>
          </cell>
          <cell r="X31156" t="str">
            <v>GWP - gross</v>
          </cell>
          <cell r="Y31156" t="str">
            <v>UNITED STATES</v>
          </cell>
        </row>
        <row r="31157">
          <cell r="L31157" t="str">
            <v>Non-proportional</v>
          </cell>
          <cell r="S31157">
            <v>-108.2</v>
          </cell>
          <cell r="X31157" t="str">
            <v>GWP - gross</v>
          </cell>
          <cell r="Y31157" t="str">
            <v>ISRAEL</v>
          </cell>
        </row>
        <row r="31158">
          <cell r="L31158" t="str">
            <v>Non-proportional</v>
          </cell>
          <cell r="S31158">
            <v>9513.9</v>
          </cell>
          <cell r="X31158" t="str">
            <v>GWP - gross</v>
          </cell>
          <cell r="Y31158" t="str">
            <v>GERMANY</v>
          </cell>
        </row>
        <row r="31159">
          <cell r="L31159" t="str">
            <v>Non-proportional</v>
          </cell>
          <cell r="S31159">
            <v>-20544.740000000002</v>
          </cell>
          <cell r="X31159" t="str">
            <v>GWP - gross</v>
          </cell>
          <cell r="Y31159" t="str">
            <v>ITALY</v>
          </cell>
        </row>
        <row r="31160">
          <cell r="L31160" t="str">
            <v>Non-proportional</v>
          </cell>
          <cell r="S31160">
            <v>1898.55</v>
          </cell>
          <cell r="X31160" t="str">
            <v>GWP - gross</v>
          </cell>
          <cell r="Y31160" t="str">
            <v>SWITZERLAND</v>
          </cell>
        </row>
        <row r="31161">
          <cell r="L31161" t="str">
            <v>Non-proportional</v>
          </cell>
          <cell r="S31161">
            <v>15044.87</v>
          </cell>
          <cell r="X31161" t="str">
            <v>GWP - gross</v>
          </cell>
          <cell r="Y31161" t="str">
            <v>COLOMBIA</v>
          </cell>
        </row>
        <row r="31162">
          <cell r="L31162" t="str">
            <v>Non-proportional</v>
          </cell>
          <cell r="S31162">
            <v>-3.3</v>
          </cell>
          <cell r="X31162" t="str">
            <v>GWP - gross</v>
          </cell>
          <cell r="Y31162" t="str">
            <v>India</v>
          </cell>
        </row>
        <row r="31163">
          <cell r="L31163" t="str">
            <v>Non-proportional</v>
          </cell>
          <cell r="S31163">
            <v>-11759.09</v>
          </cell>
          <cell r="X31163" t="str">
            <v>GWP - gross</v>
          </cell>
          <cell r="Y31163" t="str">
            <v>CHILE</v>
          </cell>
        </row>
        <row r="31164">
          <cell r="L31164" t="str">
            <v>Non-proportional</v>
          </cell>
          <cell r="S31164">
            <v>44043.75</v>
          </cell>
          <cell r="X31164" t="str">
            <v>GWP - gross</v>
          </cell>
          <cell r="Y31164" t="str">
            <v>GREECE</v>
          </cell>
        </row>
        <row r="31165">
          <cell r="L31165" t="str">
            <v>Non-proportional</v>
          </cell>
          <cell r="S31165">
            <v>24016.23</v>
          </cell>
          <cell r="X31165" t="str">
            <v>GWP - gross</v>
          </cell>
          <cell r="Y31165" t="str">
            <v>PERU</v>
          </cell>
        </row>
        <row r="31166">
          <cell r="L31166" t="str">
            <v>Non-proportional</v>
          </cell>
          <cell r="S31166">
            <v>39500</v>
          </cell>
          <cell r="X31166" t="str">
            <v>GWP - gross</v>
          </cell>
          <cell r="Y31166" t="str">
            <v>FRANCE</v>
          </cell>
        </row>
        <row r="31167">
          <cell r="L31167" t="str">
            <v>Non-proportional</v>
          </cell>
          <cell r="S31167">
            <v>6530</v>
          </cell>
          <cell r="X31167" t="str">
            <v>GWP - gross</v>
          </cell>
          <cell r="Y31167" t="str">
            <v>GERMANY</v>
          </cell>
        </row>
        <row r="31168">
          <cell r="L31168" t="str">
            <v>Non-proportional</v>
          </cell>
          <cell r="S31168">
            <v>8141.85</v>
          </cell>
          <cell r="X31168" t="str">
            <v>GWP - gross</v>
          </cell>
          <cell r="Y31168" t="str">
            <v>SWITZERLAND</v>
          </cell>
        </row>
        <row r="31169">
          <cell r="L31169" t="str">
            <v>Non-proportional</v>
          </cell>
          <cell r="S31169">
            <v>5837.63</v>
          </cell>
          <cell r="X31169" t="str">
            <v>GWP - gross</v>
          </cell>
          <cell r="Y31169" t="str">
            <v>CYPRUS</v>
          </cell>
        </row>
        <row r="31170">
          <cell r="L31170" t="str">
            <v>Non-proportional</v>
          </cell>
          <cell r="S31170">
            <v>13266.39</v>
          </cell>
          <cell r="X31170" t="str">
            <v>GWP - gross</v>
          </cell>
          <cell r="Y31170" t="str">
            <v>ITALY</v>
          </cell>
        </row>
        <row r="31171">
          <cell r="L31171" t="str">
            <v>Non-proportional</v>
          </cell>
          <cell r="S31171">
            <v>-119684.82</v>
          </cell>
          <cell r="X31171" t="str">
            <v>GWP - gross</v>
          </cell>
          <cell r="Y31171" t="str">
            <v>COLOMBIA</v>
          </cell>
        </row>
        <row r="31172">
          <cell r="L31172" t="str">
            <v>Proportional</v>
          </cell>
          <cell r="S31172">
            <v>32.979999999999997</v>
          </cell>
          <cell r="X31172" t="str">
            <v>GWP - gross</v>
          </cell>
          <cell r="Y31172" t="str">
            <v>Thailand</v>
          </cell>
        </row>
        <row r="31173">
          <cell r="L31173" t="str">
            <v>Proportional</v>
          </cell>
          <cell r="S31173">
            <v>5.08</v>
          </cell>
          <cell r="X31173" t="str">
            <v>GWP - gross</v>
          </cell>
          <cell r="Y31173" t="str">
            <v>Thailand</v>
          </cell>
        </row>
        <row r="31174">
          <cell r="L31174" t="str">
            <v>Non-proportional</v>
          </cell>
          <cell r="S31174">
            <v>107716.34</v>
          </cell>
          <cell r="X31174" t="str">
            <v>GWP - gross</v>
          </cell>
          <cell r="Y31174" t="str">
            <v>COLOMBIA</v>
          </cell>
        </row>
        <row r="31175">
          <cell r="L31175" t="str">
            <v>Non-proportional</v>
          </cell>
          <cell r="S31175">
            <v>26906.720000000001</v>
          </cell>
          <cell r="X31175" t="str">
            <v>GWP - gross</v>
          </cell>
          <cell r="Y31175" t="str">
            <v>GERMANY</v>
          </cell>
        </row>
        <row r="31176">
          <cell r="L31176" t="str">
            <v>Non-proportional</v>
          </cell>
          <cell r="S31176">
            <v>2416.96</v>
          </cell>
          <cell r="X31176" t="str">
            <v>GWP - gross</v>
          </cell>
          <cell r="Y31176" t="str">
            <v>GERMANY</v>
          </cell>
        </row>
        <row r="31177">
          <cell r="L31177" t="str">
            <v>Non-proportional</v>
          </cell>
          <cell r="S31177">
            <v>6129.6</v>
          </cell>
          <cell r="X31177" t="str">
            <v>GWP - gross</v>
          </cell>
          <cell r="Y31177" t="str">
            <v>MALTA</v>
          </cell>
        </row>
        <row r="31178">
          <cell r="L31178" t="str">
            <v>Proportional</v>
          </cell>
          <cell r="S31178">
            <v>-21894.71</v>
          </cell>
          <cell r="X31178" t="str">
            <v>GWP - gross</v>
          </cell>
          <cell r="Y31178" t="str">
            <v>THAILAND</v>
          </cell>
        </row>
        <row r="31179">
          <cell r="L31179" t="str">
            <v>Non-proportional</v>
          </cell>
          <cell r="S31179">
            <v>184620</v>
          </cell>
          <cell r="X31179" t="str">
            <v>GWP - gross</v>
          </cell>
          <cell r="Y31179" t="str">
            <v>FRANCE</v>
          </cell>
        </row>
        <row r="31180">
          <cell r="L31180" t="str">
            <v>Non-proportional</v>
          </cell>
          <cell r="S31180">
            <v>-41777.07</v>
          </cell>
          <cell r="X31180" t="str">
            <v>GWP - gross</v>
          </cell>
          <cell r="Y31180" t="str">
            <v>ECUADOR</v>
          </cell>
        </row>
        <row r="31181">
          <cell r="L31181" t="str">
            <v>Non-proportional</v>
          </cell>
          <cell r="S31181">
            <v>-541.16</v>
          </cell>
          <cell r="X31181" t="str">
            <v>GWP - gross</v>
          </cell>
          <cell r="Y31181" t="str">
            <v>GERMANY</v>
          </cell>
        </row>
        <row r="31182">
          <cell r="L31182" t="str">
            <v>Proportional</v>
          </cell>
          <cell r="S31182">
            <v>91287.38</v>
          </cell>
          <cell r="X31182" t="str">
            <v>GWP - gross</v>
          </cell>
          <cell r="Y31182" t="str">
            <v>THAILAND</v>
          </cell>
        </row>
        <row r="31183">
          <cell r="L31183" t="str">
            <v>Non-proportional</v>
          </cell>
          <cell r="S31183">
            <v>-18554</v>
          </cell>
          <cell r="X31183" t="str">
            <v>GWP - gross</v>
          </cell>
          <cell r="Y31183" t="str">
            <v>FRANCE</v>
          </cell>
        </row>
        <row r="31184">
          <cell r="L31184" t="str">
            <v>Non-proportional</v>
          </cell>
          <cell r="S31184">
            <v>1312.53</v>
          </cell>
          <cell r="X31184" t="str">
            <v>GWP - gross</v>
          </cell>
          <cell r="Y31184" t="str">
            <v>NETHERLANDS</v>
          </cell>
        </row>
        <row r="31185">
          <cell r="L31185" t="str">
            <v>Non-proportional</v>
          </cell>
          <cell r="S31185">
            <v>-131492.49</v>
          </cell>
          <cell r="X31185" t="str">
            <v>GWP - gross</v>
          </cell>
          <cell r="Y31185" t="str">
            <v>COLOMBIA</v>
          </cell>
        </row>
        <row r="31186">
          <cell r="L31186" t="str">
            <v>Proportional</v>
          </cell>
          <cell r="S31186">
            <v>66.7</v>
          </cell>
          <cell r="X31186" t="str">
            <v>GWP - gross</v>
          </cell>
          <cell r="Y31186" t="str">
            <v>India</v>
          </cell>
        </row>
        <row r="31187">
          <cell r="L31187" t="str">
            <v>Non-proportional</v>
          </cell>
          <cell r="S31187">
            <v>102.81</v>
          </cell>
          <cell r="X31187" t="str">
            <v>GWP - gross</v>
          </cell>
          <cell r="Y31187" t="str">
            <v>GERMANY</v>
          </cell>
        </row>
        <row r="31188">
          <cell r="L31188" t="str">
            <v>Proportional</v>
          </cell>
          <cell r="S31188">
            <v>67577.7</v>
          </cell>
          <cell r="X31188" t="str">
            <v>GWP - gross</v>
          </cell>
          <cell r="Y31188" t="str">
            <v>THAILAND</v>
          </cell>
        </row>
        <row r="31189">
          <cell r="L31189" t="str">
            <v>Non-proportional</v>
          </cell>
          <cell r="S31189">
            <v>-107716.34</v>
          </cell>
          <cell r="X31189" t="str">
            <v>GWP - gross</v>
          </cell>
          <cell r="Y31189" t="str">
            <v>COLOMBIA</v>
          </cell>
        </row>
        <row r="31190">
          <cell r="L31190" t="str">
            <v>Non-proportional</v>
          </cell>
          <cell r="S31190">
            <v>238277.2</v>
          </cell>
          <cell r="X31190" t="str">
            <v>GWP - gross</v>
          </cell>
          <cell r="Y31190" t="str">
            <v>FRANCE</v>
          </cell>
        </row>
        <row r="31191">
          <cell r="L31191" t="str">
            <v>Non-proportional</v>
          </cell>
          <cell r="S31191">
            <v>-1309.81</v>
          </cell>
          <cell r="X31191" t="str">
            <v>GWP - gross</v>
          </cell>
          <cell r="Y31191" t="str">
            <v>ISRAEL</v>
          </cell>
        </row>
        <row r="31192">
          <cell r="L31192" t="str">
            <v>Proportional</v>
          </cell>
          <cell r="S31192">
            <v>-199490.38</v>
          </cell>
          <cell r="X31192" t="str">
            <v>GWP - gross</v>
          </cell>
          <cell r="Y31192" t="str">
            <v>THAILAND</v>
          </cell>
        </row>
        <row r="31193">
          <cell r="L31193" t="str">
            <v>Proportional</v>
          </cell>
          <cell r="S31193">
            <v>-13293.06</v>
          </cell>
          <cell r="X31193" t="str">
            <v>GWP - gross</v>
          </cell>
          <cell r="Y31193" t="str">
            <v>HONG KONG</v>
          </cell>
        </row>
        <row r="31194">
          <cell r="L31194" t="str">
            <v>Proportional</v>
          </cell>
          <cell r="S31194">
            <v>-180.34</v>
          </cell>
          <cell r="X31194" t="str">
            <v>GWP - gross</v>
          </cell>
          <cell r="Y31194" t="str">
            <v>Hong Kong</v>
          </cell>
        </row>
        <row r="31195">
          <cell r="L31195" t="str">
            <v>Non-proportional</v>
          </cell>
          <cell r="S31195">
            <v>-4501.43</v>
          </cell>
          <cell r="X31195" t="str">
            <v>GWP - gross</v>
          </cell>
          <cell r="Y31195" t="str">
            <v>GERMANY</v>
          </cell>
        </row>
        <row r="31196">
          <cell r="L31196" t="str">
            <v>Non-proportional</v>
          </cell>
          <cell r="S31196">
            <v>65316.35</v>
          </cell>
          <cell r="X31196" t="str">
            <v>GWP - gross</v>
          </cell>
          <cell r="Y31196" t="str">
            <v>COSTA RICA</v>
          </cell>
        </row>
        <row r="31197">
          <cell r="L31197" t="str">
            <v>Non-proportional</v>
          </cell>
          <cell r="S31197">
            <v>-19048.189999999999</v>
          </cell>
          <cell r="X31197" t="str">
            <v>GWP - gross</v>
          </cell>
          <cell r="Y31197" t="str">
            <v>ITALY</v>
          </cell>
        </row>
        <row r="31198">
          <cell r="L31198" t="str">
            <v>Proportional</v>
          </cell>
          <cell r="S31198">
            <v>-57.63</v>
          </cell>
          <cell r="X31198" t="str">
            <v>GWP - gross</v>
          </cell>
          <cell r="Y31198" t="str">
            <v>THAILAND</v>
          </cell>
        </row>
        <row r="31199">
          <cell r="L31199" t="str">
            <v>Non-proportional</v>
          </cell>
          <cell r="S31199">
            <v>1662</v>
          </cell>
          <cell r="X31199" t="str">
            <v>GWP - gross</v>
          </cell>
          <cell r="Y31199" t="str">
            <v>CYPRUS</v>
          </cell>
        </row>
        <row r="31200">
          <cell r="L31200" t="str">
            <v>Non-proportional</v>
          </cell>
          <cell r="S31200">
            <v>-46250</v>
          </cell>
          <cell r="X31200" t="str">
            <v>GWP - gross</v>
          </cell>
          <cell r="Y31200" t="str">
            <v>FRANCE</v>
          </cell>
        </row>
        <row r="31201">
          <cell r="L31201" t="str">
            <v>Proportional</v>
          </cell>
          <cell r="S31201">
            <v>222.15</v>
          </cell>
          <cell r="X31201" t="str">
            <v>GWP - gross</v>
          </cell>
          <cell r="Y31201" t="str">
            <v>India</v>
          </cell>
        </row>
        <row r="31202">
          <cell r="L31202" t="str">
            <v>Non-proportional</v>
          </cell>
          <cell r="S31202">
            <v>61560</v>
          </cell>
          <cell r="X31202" t="str">
            <v>GWP - gross</v>
          </cell>
          <cell r="Y31202" t="str">
            <v>ITALY</v>
          </cell>
        </row>
        <row r="31203">
          <cell r="L31203" t="str">
            <v>Non-proportional</v>
          </cell>
          <cell r="S31203">
            <v>4857.32</v>
          </cell>
          <cell r="X31203" t="str">
            <v>GWP - gross</v>
          </cell>
          <cell r="Y31203" t="str">
            <v>UNITED KINGDOM</v>
          </cell>
        </row>
        <row r="31204">
          <cell r="L31204" t="str">
            <v>Non-proportional</v>
          </cell>
          <cell r="S31204">
            <v>75654.22</v>
          </cell>
          <cell r="X31204" t="str">
            <v>GWP - gross</v>
          </cell>
          <cell r="Y31204" t="str">
            <v>COLOMBIA</v>
          </cell>
        </row>
        <row r="31205">
          <cell r="L31205" t="str">
            <v>Non-proportional</v>
          </cell>
          <cell r="S31205">
            <v>48705</v>
          </cell>
          <cell r="X31205" t="str">
            <v>GWP - gross</v>
          </cell>
          <cell r="Y31205" t="str">
            <v>FRANCE</v>
          </cell>
        </row>
        <row r="31206">
          <cell r="L31206" t="str">
            <v>Non-proportional</v>
          </cell>
          <cell r="S31206">
            <v>-80418.25</v>
          </cell>
          <cell r="X31206" t="str">
            <v>GWP - gross</v>
          </cell>
          <cell r="Y31206" t="str">
            <v>CHILE</v>
          </cell>
        </row>
        <row r="31207">
          <cell r="L31207" t="str">
            <v>Non-proportional</v>
          </cell>
          <cell r="S31207">
            <v>3750</v>
          </cell>
          <cell r="X31207" t="str">
            <v>GWP - gross</v>
          </cell>
          <cell r="Y31207" t="str">
            <v>GERMANY</v>
          </cell>
        </row>
        <row r="31208">
          <cell r="L31208" t="str">
            <v>Non-proportional</v>
          </cell>
          <cell r="S31208">
            <v>-1898.55</v>
          </cell>
          <cell r="X31208" t="str">
            <v>GWP - gross</v>
          </cell>
          <cell r="Y31208" t="str">
            <v>SWITZERLAND</v>
          </cell>
        </row>
        <row r="31209">
          <cell r="L31209" t="str">
            <v>Non-proportional</v>
          </cell>
          <cell r="S31209">
            <v>-9543.6200000000008</v>
          </cell>
          <cell r="X31209" t="str">
            <v>GWP - gross</v>
          </cell>
          <cell r="Y31209" t="str">
            <v>GERMANY</v>
          </cell>
        </row>
        <row r="31210">
          <cell r="L31210" t="str">
            <v>Non-proportional</v>
          </cell>
          <cell r="S31210">
            <v>-5837.63</v>
          </cell>
          <cell r="X31210" t="str">
            <v>GWP - gross</v>
          </cell>
          <cell r="Y31210" t="str">
            <v>CYPRUS</v>
          </cell>
        </row>
        <row r="31211">
          <cell r="L31211" t="str">
            <v>Proportional</v>
          </cell>
          <cell r="S31211">
            <v>24.45</v>
          </cell>
          <cell r="X31211" t="str">
            <v>GWP - gross</v>
          </cell>
          <cell r="Y31211" t="str">
            <v>HONG KONG</v>
          </cell>
        </row>
        <row r="31212">
          <cell r="L31212" t="str">
            <v>Non-proportional</v>
          </cell>
          <cell r="S31212">
            <v>-19946</v>
          </cell>
          <cell r="X31212" t="str">
            <v>GWP - gross</v>
          </cell>
          <cell r="Y31212" t="str">
            <v>FRANCE</v>
          </cell>
        </row>
        <row r="31213">
          <cell r="L31213" t="str">
            <v>Non-proportional</v>
          </cell>
          <cell r="S31213">
            <v>-25785.599999999999</v>
          </cell>
          <cell r="X31213" t="str">
            <v>GWP - gross</v>
          </cell>
          <cell r="Y31213" t="str">
            <v>MALTA</v>
          </cell>
        </row>
        <row r="31214">
          <cell r="L31214" t="str">
            <v>Non-proportional</v>
          </cell>
          <cell r="S31214">
            <v>-45900</v>
          </cell>
          <cell r="X31214" t="str">
            <v>GWP - gross</v>
          </cell>
          <cell r="Y31214" t="str">
            <v>ITALY</v>
          </cell>
        </row>
        <row r="31215">
          <cell r="L31215" t="str">
            <v>Non-proportional</v>
          </cell>
          <cell r="S31215">
            <v>9708.74</v>
          </cell>
          <cell r="X31215" t="str">
            <v>GWP - gross</v>
          </cell>
          <cell r="Y31215" t="str">
            <v>COSTA RICA</v>
          </cell>
        </row>
        <row r="31216">
          <cell r="L31216" t="str">
            <v>Non-proportional</v>
          </cell>
          <cell r="S31216">
            <v>-1210.6400000000001</v>
          </cell>
          <cell r="X31216" t="str">
            <v>GWP - gross</v>
          </cell>
          <cell r="Y31216" t="str">
            <v>NETHERLANDS</v>
          </cell>
        </row>
        <row r="31217">
          <cell r="L31217" t="str">
            <v>Non-proportional</v>
          </cell>
          <cell r="S31217">
            <v>383.64</v>
          </cell>
          <cell r="X31217" t="str">
            <v>GWP - gross</v>
          </cell>
          <cell r="Y31217" t="str">
            <v>CYPRUS</v>
          </cell>
        </row>
        <row r="31218">
          <cell r="L31218" t="str">
            <v>Proportional</v>
          </cell>
          <cell r="S31218">
            <v>2284.86</v>
          </cell>
          <cell r="X31218" t="str">
            <v>GWP - gross</v>
          </cell>
          <cell r="Y31218" t="str">
            <v>UNITED STATES</v>
          </cell>
        </row>
        <row r="31219">
          <cell r="L31219" t="str">
            <v>Non-proportional</v>
          </cell>
          <cell r="S31219">
            <v>26672</v>
          </cell>
          <cell r="X31219" t="str">
            <v>GWP - gross</v>
          </cell>
          <cell r="Y31219" t="str">
            <v>FRANCE</v>
          </cell>
        </row>
        <row r="31220">
          <cell r="L31220" t="str">
            <v>Non-proportional</v>
          </cell>
          <cell r="S31220">
            <v>-56286.92</v>
          </cell>
          <cell r="X31220" t="str">
            <v>GWP - gross</v>
          </cell>
          <cell r="Y31220" t="str">
            <v>COLOMBIA</v>
          </cell>
        </row>
        <row r="31221">
          <cell r="L31221" t="str">
            <v>Proportional</v>
          </cell>
          <cell r="S31221">
            <v>-435.09</v>
          </cell>
          <cell r="X31221" t="str">
            <v>GWP - gross</v>
          </cell>
          <cell r="Y31221" t="str">
            <v>India</v>
          </cell>
        </row>
        <row r="31222">
          <cell r="L31222" t="str">
            <v>Non-proportional</v>
          </cell>
          <cell r="S31222">
            <v>27773.11</v>
          </cell>
          <cell r="X31222" t="str">
            <v>GWP - gross</v>
          </cell>
          <cell r="Y31222" t="str">
            <v>CHILE</v>
          </cell>
        </row>
        <row r="31223">
          <cell r="L31223" t="str">
            <v>Non-proportional</v>
          </cell>
          <cell r="S31223">
            <v>5422.73</v>
          </cell>
          <cell r="X31223" t="str">
            <v>GWP - gross</v>
          </cell>
          <cell r="Y31223" t="str">
            <v>CYPRUS</v>
          </cell>
        </row>
        <row r="31224">
          <cell r="L31224" t="str">
            <v>Non-proportional</v>
          </cell>
          <cell r="S31224">
            <v>35040</v>
          </cell>
          <cell r="X31224" t="str">
            <v>GWP - gross</v>
          </cell>
          <cell r="Y31224" t="str">
            <v>FRANCE</v>
          </cell>
        </row>
        <row r="31225">
          <cell r="L31225" t="str">
            <v>Proportional</v>
          </cell>
          <cell r="S31225">
            <v>147485.28</v>
          </cell>
          <cell r="X31225" t="str">
            <v>GWP - gross</v>
          </cell>
          <cell r="Y31225" t="str">
            <v>THAILAND</v>
          </cell>
        </row>
        <row r="31226">
          <cell r="L31226" t="str">
            <v>Non-proportional</v>
          </cell>
          <cell r="S31226">
            <v>-58474.34</v>
          </cell>
          <cell r="X31226" t="str">
            <v>GWP - gross</v>
          </cell>
          <cell r="Y31226" t="str">
            <v>ECUADOR</v>
          </cell>
        </row>
        <row r="31227">
          <cell r="L31227" t="str">
            <v>Non-proportional</v>
          </cell>
          <cell r="S31227">
            <v>51300</v>
          </cell>
          <cell r="X31227" t="str">
            <v>GWP - gross</v>
          </cell>
          <cell r="Y31227" t="str">
            <v>FRANCE</v>
          </cell>
        </row>
        <row r="31228">
          <cell r="L31228" t="str">
            <v>Proportional</v>
          </cell>
          <cell r="S31228">
            <v>-0.03</v>
          </cell>
          <cell r="X31228" t="str">
            <v>GWP - gross</v>
          </cell>
          <cell r="Y31228" t="str">
            <v>Thailand</v>
          </cell>
        </row>
        <row r="31229">
          <cell r="L31229" t="str">
            <v>Non-proportional</v>
          </cell>
          <cell r="S31229">
            <v>168384.28</v>
          </cell>
          <cell r="X31229" t="str">
            <v>GWP - gross</v>
          </cell>
          <cell r="Y31229" t="str">
            <v>PERU</v>
          </cell>
        </row>
        <row r="31230">
          <cell r="L31230" t="str">
            <v>Non-proportional</v>
          </cell>
          <cell r="S31230">
            <v>76121.13</v>
          </cell>
          <cell r="X31230" t="str">
            <v>GWP - gross</v>
          </cell>
          <cell r="Y31230" t="str">
            <v>PERU</v>
          </cell>
        </row>
        <row r="31231">
          <cell r="L31231" t="str">
            <v>Non-proportional</v>
          </cell>
          <cell r="S31231">
            <v>16710.29</v>
          </cell>
          <cell r="X31231" t="str">
            <v>GWP - gross</v>
          </cell>
          <cell r="Y31231" t="str">
            <v>CHILE</v>
          </cell>
        </row>
        <row r="31232">
          <cell r="L31232" t="str">
            <v>Non-proportional</v>
          </cell>
          <cell r="S31232">
            <v>15273.89</v>
          </cell>
          <cell r="X31232" t="str">
            <v>GWP - gross</v>
          </cell>
          <cell r="Y31232" t="str">
            <v>ITALY</v>
          </cell>
        </row>
        <row r="31233">
          <cell r="L31233" t="str">
            <v>Non-proportional</v>
          </cell>
          <cell r="S31233">
            <v>-55640.55</v>
          </cell>
          <cell r="X31233" t="str">
            <v>GWP - gross</v>
          </cell>
          <cell r="Y31233" t="str">
            <v>ITALY</v>
          </cell>
        </row>
        <row r="31234">
          <cell r="L31234" t="str">
            <v>Non-proportional</v>
          </cell>
          <cell r="S31234">
            <v>5837.63</v>
          </cell>
          <cell r="X31234" t="str">
            <v>GWP - gross</v>
          </cell>
          <cell r="Y31234" t="str">
            <v>CYPRUS</v>
          </cell>
        </row>
        <row r="31235">
          <cell r="L31235" t="str">
            <v>Non-proportional</v>
          </cell>
          <cell r="S31235">
            <v>-8275.2099999999991</v>
          </cell>
          <cell r="X31235" t="str">
            <v>GWP - gross</v>
          </cell>
          <cell r="Y31235" t="str">
            <v>THAILAND</v>
          </cell>
        </row>
        <row r="31236">
          <cell r="L31236" t="str">
            <v>Non-proportional</v>
          </cell>
          <cell r="S31236">
            <v>-139397.73000000001</v>
          </cell>
          <cell r="X31236" t="str">
            <v>GWP - gross</v>
          </cell>
          <cell r="Y31236" t="str">
            <v>PERU</v>
          </cell>
        </row>
        <row r="31237">
          <cell r="L31237" t="str">
            <v>Non-proportional</v>
          </cell>
          <cell r="S31237">
            <v>-48705</v>
          </cell>
          <cell r="X31237" t="str">
            <v>GWP - gross</v>
          </cell>
          <cell r="Y31237" t="str">
            <v>FRANCE</v>
          </cell>
        </row>
        <row r="31238">
          <cell r="L31238" t="str">
            <v>Non-proportional</v>
          </cell>
          <cell r="S31238">
            <v>-16238.38</v>
          </cell>
          <cell r="X31238" t="str">
            <v>GWP - gross</v>
          </cell>
          <cell r="Y31238" t="str">
            <v>BRAZIL</v>
          </cell>
        </row>
        <row r="31239">
          <cell r="L31239" t="str">
            <v>Non-proportional</v>
          </cell>
          <cell r="S31239">
            <v>5619.87</v>
          </cell>
          <cell r="X31239" t="str">
            <v>GWP - gross</v>
          </cell>
          <cell r="Y31239" t="str">
            <v>ISRAEL</v>
          </cell>
        </row>
        <row r="31240">
          <cell r="L31240" t="str">
            <v>Non-proportional</v>
          </cell>
          <cell r="S31240">
            <v>3327.42</v>
          </cell>
          <cell r="X31240" t="str">
            <v>GWP - gross</v>
          </cell>
          <cell r="Y31240" t="str">
            <v>ITALY</v>
          </cell>
        </row>
        <row r="31241">
          <cell r="L31241" t="str">
            <v>Non-proportional</v>
          </cell>
          <cell r="S31241">
            <v>5750</v>
          </cell>
          <cell r="X31241" t="str">
            <v>GWP - gross</v>
          </cell>
          <cell r="Y31241" t="str">
            <v>GERMANY</v>
          </cell>
        </row>
        <row r="31242">
          <cell r="L31242" t="str">
            <v>Proportional</v>
          </cell>
          <cell r="S31242">
            <v>-24.45</v>
          </cell>
          <cell r="X31242" t="str">
            <v>GWP - gross</v>
          </cell>
          <cell r="Y31242" t="str">
            <v>HONG KONG</v>
          </cell>
        </row>
        <row r="31243">
          <cell r="L31243" t="str">
            <v>Non-proportional</v>
          </cell>
          <cell r="S31243">
            <v>118343.24</v>
          </cell>
          <cell r="X31243" t="str">
            <v>GWP - gross</v>
          </cell>
          <cell r="Y31243" t="str">
            <v>COLOMBIA</v>
          </cell>
        </row>
        <row r="31244">
          <cell r="L31244" t="str">
            <v>Non-proportional</v>
          </cell>
          <cell r="S31244">
            <v>-18203.88</v>
          </cell>
          <cell r="X31244" t="str">
            <v>GWP - gross</v>
          </cell>
          <cell r="Y31244" t="str">
            <v>COSTA RICA</v>
          </cell>
        </row>
        <row r="31245">
          <cell r="L31245" t="str">
            <v>Non-proportional</v>
          </cell>
          <cell r="S31245">
            <v>-1312.53</v>
          </cell>
          <cell r="X31245" t="str">
            <v>GWP - gross</v>
          </cell>
          <cell r="Y31245" t="str">
            <v>NETHERLANDS</v>
          </cell>
        </row>
        <row r="31246">
          <cell r="L31246" t="str">
            <v>Non-proportional</v>
          </cell>
          <cell r="S31246">
            <v>15242.57</v>
          </cell>
          <cell r="X31246" t="str">
            <v>GWP - gross</v>
          </cell>
          <cell r="Y31246" t="str">
            <v>SWITZERLAND</v>
          </cell>
        </row>
        <row r="31247">
          <cell r="L31247" t="str">
            <v>Non-proportional</v>
          </cell>
          <cell r="S31247">
            <v>-168384.28</v>
          </cell>
          <cell r="X31247" t="str">
            <v>GWP - gross</v>
          </cell>
          <cell r="Y31247" t="str">
            <v>PERU</v>
          </cell>
        </row>
        <row r="31248">
          <cell r="L31248" t="str">
            <v>Non-proportional</v>
          </cell>
          <cell r="S31248">
            <v>2426.2600000000002</v>
          </cell>
          <cell r="X31248" t="str">
            <v>GWP - gross</v>
          </cell>
          <cell r="Y31248" t="str">
            <v>GERMANY</v>
          </cell>
        </row>
        <row r="31249">
          <cell r="L31249" t="str">
            <v>Non-proportional</v>
          </cell>
          <cell r="S31249">
            <v>-13532.2</v>
          </cell>
          <cell r="X31249" t="str">
            <v>GWP - gross</v>
          </cell>
          <cell r="Y31249" t="str">
            <v>ISRAEL</v>
          </cell>
        </row>
        <row r="31250">
          <cell r="L31250" t="str">
            <v>Proportional</v>
          </cell>
          <cell r="S31250">
            <v>-2885.61</v>
          </cell>
          <cell r="X31250" t="str">
            <v>GWP - gross</v>
          </cell>
          <cell r="Y31250" t="str">
            <v>Hong Kong</v>
          </cell>
        </row>
        <row r="31251">
          <cell r="L31251" t="str">
            <v>Non-proportional</v>
          </cell>
          <cell r="S31251">
            <v>-708706.43</v>
          </cell>
          <cell r="X31251" t="str">
            <v>GWP - gross</v>
          </cell>
          <cell r="Y31251" t="str">
            <v>UNITED KINGDOM</v>
          </cell>
        </row>
        <row r="31252">
          <cell r="L31252" t="str">
            <v>Non-proportional</v>
          </cell>
          <cell r="S31252">
            <v>-41596.879999999997</v>
          </cell>
          <cell r="X31252" t="str">
            <v>GWP - gross</v>
          </cell>
          <cell r="Y31252" t="str">
            <v>GREECE</v>
          </cell>
        </row>
        <row r="31253">
          <cell r="L31253" t="str">
            <v>Proportional</v>
          </cell>
          <cell r="S31253">
            <v>-156953.9</v>
          </cell>
          <cell r="X31253" t="str">
            <v>GWP - gross</v>
          </cell>
          <cell r="Y31253" t="str">
            <v>THAILAND</v>
          </cell>
        </row>
        <row r="31254">
          <cell r="L31254" t="str">
            <v>Non-proportional</v>
          </cell>
          <cell r="S31254">
            <v>-383.64</v>
          </cell>
          <cell r="X31254" t="str">
            <v>GWP - gross</v>
          </cell>
          <cell r="Y31254" t="str">
            <v>CYPRUS</v>
          </cell>
        </row>
        <row r="31255">
          <cell r="L31255" t="str">
            <v>Non-proportional</v>
          </cell>
          <cell r="S31255">
            <v>38790</v>
          </cell>
          <cell r="X31255" t="str">
            <v>GWP - gross</v>
          </cell>
          <cell r="Y31255" t="str">
            <v>FRANCE</v>
          </cell>
        </row>
        <row r="31256">
          <cell r="L31256" t="str">
            <v>Proportional</v>
          </cell>
          <cell r="S31256">
            <v>89166.04</v>
          </cell>
          <cell r="X31256" t="str">
            <v>GWP - gross</v>
          </cell>
          <cell r="Y31256" t="str">
            <v>THAILAND</v>
          </cell>
        </row>
        <row r="31257">
          <cell r="L31257" t="str">
            <v>Non-proportional</v>
          </cell>
          <cell r="S31257">
            <v>-167.69</v>
          </cell>
          <cell r="X31257" t="str">
            <v>GWP - gross</v>
          </cell>
          <cell r="Y31257" t="str">
            <v>INDIA</v>
          </cell>
        </row>
        <row r="31258">
          <cell r="L31258" t="str">
            <v>Non-proportional</v>
          </cell>
          <cell r="S31258">
            <v>-281196.3</v>
          </cell>
          <cell r="X31258" t="str">
            <v>GWP - gross</v>
          </cell>
          <cell r="Y31258" t="str">
            <v>FRANCE</v>
          </cell>
        </row>
        <row r="31259">
          <cell r="L31259" t="str">
            <v>Non-proportional</v>
          </cell>
          <cell r="S31259">
            <v>927.84</v>
          </cell>
          <cell r="X31259" t="str">
            <v>GWP - gross</v>
          </cell>
          <cell r="Y31259" t="str">
            <v>ISRAEL</v>
          </cell>
        </row>
        <row r="31260">
          <cell r="L31260" t="str">
            <v>Non-proportional</v>
          </cell>
          <cell r="S31260">
            <v>57122.8</v>
          </cell>
          <cell r="X31260" t="str">
            <v>GWP - gross</v>
          </cell>
          <cell r="Y31260" t="str">
            <v>ECUADOR</v>
          </cell>
        </row>
        <row r="31261">
          <cell r="L31261" t="str">
            <v>Non-proportional</v>
          </cell>
          <cell r="S31261">
            <v>633.25</v>
          </cell>
          <cell r="X31261" t="str">
            <v>GWP - gross</v>
          </cell>
          <cell r="Y31261" t="str">
            <v>PERU</v>
          </cell>
        </row>
        <row r="31262">
          <cell r="L31262" t="str">
            <v>Non-proportional</v>
          </cell>
          <cell r="S31262">
            <v>5343.72</v>
          </cell>
          <cell r="X31262" t="str">
            <v>GWP - gross</v>
          </cell>
          <cell r="Y31262" t="str">
            <v>FRANCE</v>
          </cell>
        </row>
        <row r="31263">
          <cell r="L31263" t="str">
            <v>Non-proportional</v>
          </cell>
          <cell r="S31263">
            <v>-77174.83</v>
          </cell>
          <cell r="X31263" t="str">
            <v>GWP - gross</v>
          </cell>
          <cell r="Y31263" t="str">
            <v>NEW ZEALAND</v>
          </cell>
        </row>
        <row r="31264">
          <cell r="L31264" t="str">
            <v>Non-proportional</v>
          </cell>
          <cell r="S31264">
            <v>4566.3100000000004</v>
          </cell>
          <cell r="X31264" t="str">
            <v>GWP - gross</v>
          </cell>
          <cell r="Y31264" t="str">
            <v>ISRAEL</v>
          </cell>
        </row>
        <row r="31265">
          <cell r="L31265" t="str">
            <v>Non-proportional</v>
          </cell>
          <cell r="S31265">
            <v>-11304.51</v>
          </cell>
          <cell r="X31265" t="str">
            <v>GWP - gross</v>
          </cell>
          <cell r="Y31265" t="str">
            <v>CYPRUS</v>
          </cell>
        </row>
        <row r="31266">
          <cell r="L31266" t="str">
            <v>Proportional</v>
          </cell>
          <cell r="S31266">
            <v>-2065.58</v>
          </cell>
          <cell r="X31266" t="str">
            <v>GWP - gross</v>
          </cell>
          <cell r="Y31266" t="str">
            <v>UNITED STATES</v>
          </cell>
        </row>
        <row r="31267">
          <cell r="L31267" t="str">
            <v>Non-proportional</v>
          </cell>
          <cell r="S31267">
            <v>-23842.55</v>
          </cell>
          <cell r="X31267" t="str">
            <v>GWP - gross</v>
          </cell>
          <cell r="Y31267" t="str">
            <v>UNITED KINGDOM</v>
          </cell>
        </row>
        <row r="31268">
          <cell r="L31268" t="str">
            <v>Proportional</v>
          </cell>
          <cell r="S31268">
            <v>-45.83</v>
          </cell>
          <cell r="X31268" t="str">
            <v>GWP - gross</v>
          </cell>
          <cell r="Y31268" t="str">
            <v>JAPAN</v>
          </cell>
        </row>
        <row r="31269">
          <cell r="L31269" t="str">
            <v>Non-proportional</v>
          </cell>
          <cell r="S31269">
            <v>-138074.9</v>
          </cell>
          <cell r="X31269" t="str">
            <v>GWP - gross</v>
          </cell>
          <cell r="Y31269" t="str">
            <v>MEXICO</v>
          </cell>
        </row>
        <row r="31270">
          <cell r="L31270" t="str">
            <v>Non-proportional</v>
          </cell>
          <cell r="S31270">
            <v>50762.77</v>
          </cell>
          <cell r="X31270" t="str">
            <v>GWP - gross</v>
          </cell>
          <cell r="Y31270" t="str">
            <v>NEW ZEALAND</v>
          </cell>
        </row>
        <row r="31271">
          <cell r="L31271" t="str">
            <v>Non-proportional</v>
          </cell>
          <cell r="S31271">
            <v>-21999.01</v>
          </cell>
          <cell r="X31271" t="str">
            <v>GWP - gross</v>
          </cell>
          <cell r="Y31271" t="str">
            <v>JAPAN</v>
          </cell>
        </row>
        <row r="31272">
          <cell r="L31272" t="str">
            <v>Non-proportional</v>
          </cell>
          <cell r="S31272">
            <v>191537.51</v>
          </cell>
          <cell r="X31272" t="str">
            <v>GWP - gross</v>
          </cell>
          <cell r="Y31272" t="str">
            <v>UNITED KINGDOM</v>
          </cell>
        </row>
        <row r="31273">
          <cell r="L31273" t="str">
            <v>Proportional</v>
          </cell>
          <cell r="S31273">
            <v>-60741.33</v>
          </cell>
          <cell r="X31273" t="str">
            <v>GWP - gross</v>
          </cell>
          <cell r="Y31273" t="str">
            <v>UNITED STATES</v>
          </cell>
        </row>
        <row r="31274">
          <cell r="L31274" t="str">
            <v>Non-proportional</v>
          </cell>
          <cell r="S31274">
            <v>10985.9</v>
          </cell>
          <cell r="X31274" t="str">
            <v>GWP - gross</v>
          </cell>
          <cell r="Y31274" t="str">
            <v>FRANCE</v>
          </cell>
        </row>
        <row r="31275">
          <cell r="L31275" t="str">
            <v>Non-proportional</v>
          </cell>
          <cell r="S31275">
            <v>-3811.05</v>
          </cell>
          <cell r="X31275" t="str">
            <v>GWP - gross</v>
          </cell>
          <cell r="Y31275" t="str">
            <v>GERMANY</v>
          </cell>
        </row>
        <row r="31276">
          <cell r="L31276" t="str">
            <v>Non-proportional</v>
          </cell>
          <cell r="S31276">
            <v>-137035.81</v>
          </cell>
          <cell r="X31276" t="str">
            <v>GWP - gross</v>
          </cell>
          <cell r="Y31276" t="str">
            <v>NEW ZEALAND</v>
          </cell>
        </row>
        <row r="31277">
          <cell r="L31277" t="str">
            <v>Non-proportional</v>
          </cell>
          <cell r="S31277">
            <v>-191970.88</v>
          </cell>
          <cell r="X31277" t="str">
            <v>GWP - gross</v>
          </cell>
          <cell r="Y31277" t="str">
            <v>NEW ZEALAND</v>
          </cell>
        </row>
        <row r="31278">
          <cell r="L31278" t="str">
            <v>Non-proportional</v>
          </cell>
          <cell r="S31278">
            <v>8742.41</v>
          </cell>
          <cell r="X31278" t="str">
            <v>GWP - gross</v>
          </cell>
          <cell r="Y31278" t="str">
            <v>ISRAEL</v>
          </cell>
        </row>
        <row r="31279">
          <cell r="L31279" t="str">
            <v>Non-proportional</v>
          </cell>
          <cell r="S31279">
            <v>-20593.669999999998</v>
          </cell>
          <cell r="X31279" t="str">
            <v>GWP - gross</v>
          </cell>
          <cell r="Y31279" t="str">
            <v>SOUTH AFRICA</v>
          </cell>
        </row>
        <row r="31280">
          <cell r="L31280" t="str">
            <v>Non-proportional</v>
          </cell>
          <cell r="S31280">
            <v>45522.48</v>
          </cell>
          <cell r="X31280" t="str">
            <v>GWP - gross</v>
          </cell>
          <cell r="Y31280" t="str">
            <v>ECUADOR</v>
          </cell>
        </row>
        <row r="31281">
          <cell r="L31281" t="str">
            <v>Non-proportional</v>
          </cell>
          <cell r="S31281">
            <v>1851273.27</v>
          </cell>
          <cell r="X31281" t="str">
            <v>GWP - gross</v>
          </cell>
          <cell r="Y31281" t="str">
            <v>UNITED KINGDOM</v>
          </cell>
        </row>
        <row r="31282">
          <cell r="L31282" t="str">
            <v>Non-proportional</v>
          </cell>
          <cell r="S31282">
            <v>-9815.5300000000007</v>
          </cell>
          <cell r="X31282" t="str">
            <v>GWP - gross</v>
          </cell>
          <cell r="Y31282" t="str">
            <v>PUERTO RICO</v>
          </cell>
        </row>
        <row r="31283">
          <cell r="L31283" t="str">
            <v>Non-proportional</v>
          </cell>
          <cell r="S31283">
            <v>44417.71</v>
          </cell>
          <cell r="X31283" t="str">
            <v>GWP - gross</v>
          </cell>
          <cell r="Y31283" t="str">
            <v>GUATEMALA</v>
          </cell>
        </row>
        <row r="31284">
          <cell r="L31284" t="str">
            <v>Non-proportional</v>
          </cell>
          <cell r="S31284">
            <v>17784.46</v>
          </cell>
          <cell r="X31284" t="str">
            <v>GWP - gross</v>
          </cell>
          <cell r="Y31284" t="str">
            <v>JAPAN</v>
          </cell>
        </row>
        <row r="31285">
          <cell r="L31285" t="str">
            <v>Non-proportional</v>
          </cell>
          <cell r="S31285">
            <v>16.82</v>
          </cell>
          <cell r="X31285" t="str">
            <v>GWP - gross</v>
          </cell>
          <cell r="Y31285" t="str">
            <v>GERMANY</v>
          </cell>
        </row>
        <row r="31286">
          <cell r="L31286" t="str">
            <v>Non-proportional</v>
          </cell>
          <cell r="S31286">
            <v>589041.52</v>
          </cell>
          <cell r="X31286" t="str">
            <v>GWP - gross</v>
          </cell>
          <cell r="Y31286" t="str">
            <v>UNITED KINGDOM</v>
          </cell>
        </row>
        <row r="31287">
          <cell r="L31287" t="str">
            <v>Non-proportional</v>
          </cell>
          <cell r="S31287">
            <v>10280.629999999999</v>
          </cell>
          <cell r="X31287" t="str">
            <v>GWP - gross</v>
          </cell>
          <cell r="Y31287" t="str">
            <v>NETHERLANDS</v>
          </cell>
        </row>
        <row r="31288">
          <cell r="L31288" t="str">
            <v>Non-proportional</v>
          </cell>
          <cell r="S31288">
            <v>86625</v>
          </cell>
          <cell r="X31288" t="str">
            <v>GWP - gross</v>
          </cell>
          <cell r="Y31288" t="str">
            <v>FRANCE</v>
          </cell>
        </row>
        <row r="31289">
          <cell r="L31289" t="str">
            <v>Non-proportional</v>
          </cell>
          <cell r="S31289">
            <v>34786.22</v>
          </cell>
          <cell r="X31289" t="str">
            <v>GWP - gross</v>
          </cell>
          <cell r="Y31289" t="str">
            <v>JAPAN</v>
          </cell>
        </row>
        <row r="31290">
          <cell r="L31290" t="str">
            <v>Non-proportional</v>
          </cell>
          <cell r="S31290">
            <v>5786.61</v>
          </cell>
          <cell r="X31290" t="str">
            <v>GWP - gross</v>
          </cell>
          <cell r="Y31290" t="str">
            <v>FAROE ISLANDS</v>
          </cell>
        </row>
        <row r="31291">
          <cell r="L31291" t="str">
            <v>Non-proportional</v>
          </cell>
          <cell r="S31291">
            <v>-1861.62</v>
          </cell>
          <cell r="X31291" t="str">
            <v>GWP - gross</v>
          </cell>
          <cell r="Y31291" t="str">
            <v>ISRAEL</v>
          </cell>
        </row>
        <row r="31292">
          <cell r="L31292" t="str">
            <v>Non-proportional</v>
          </cell>
          <cell r="S31292">
            <v>8742.41</v>
          </cell>
          <cell r="X31292" t="str">
            <v>GWP - gross</v>
          </cell>
          <cell r="Y31292" t="str">
            <v>ISRAEL</v>
          </cell>
        </row>
        <row r="31293">
          <cell r="L31293" t="str">
            <v>Non-proportional</v>
          </cell>
          <cell r="S31293">
            <v>-1004</v>
          </cell>
          <cell r="X31293" t="str">
            <v>GWP - gross</v>
          </cell>
          <cell r="Y31293" t="str">
            <v>ISRAEL</v>
          </cell>
        </row>
        <row r="31294">
          <cell r="L31294" t="str">
            <v>Non-proportional</v>
          </cell>
          <cell r="S31294">
            <v>2700</v>
          </cell>
          <cell r="X31294" t="str">
            <v>GWP - gross</v>
          </cell>
          <cell r="Y31294" t="str">
            <v>GERMANY</v>
          </cell>
        </row>
        <row r="31295">
          <cell r="L31295" t="str">
            <v>Non-proportional</v>
          </cell>
          <cell r="S31295">
            <v>11547.55</v>
          </cell>
          <cell r="X31295" t="str">
            <v>GWP - gross</v>
          </cell>
          <cell r="Y31295" t="str">
            <v>JAPAN</v>
          </cell>
        </row>
        <row r="31296">
          <cell r="L31296" t="str">
            <v>Non-proportional</v>
          </cell>
          <cell r="S31296">
            <v>-15240</v>
          </cell>
          <cell r="X31296" t="str">
            <v>GWP - gross</v>
          </cell>
          <cell r="Y31296" t="str">
            <v>ITALY</v>
          </cell>
        </row>
        <row r="31297">
          <cell r="L31297" t="str">
            <v>Non-proportional</v>
          </cell>
          <cell r="S31297">
            <v>-2650868.0099999998</v>
          </cell>
          <cell r="X31297" t="str">
            <v>GWP - gross</v>
          </cell>
          <cell r="Y31297" t="str">
            <v>UNITED KINGDOM</v>
          </cell>
        </row>
        <row r="31298">
          <cell r="L31298" t="str">
            <v>Non-proportional</v>
          </cell>
          <cell r="S31298">
            <v>-7839.41</v>
          </cell>
          <cell r="X31298" t="str">
            <v>GWP - gross</v>
          </cell>
          <cell r="Y31298" t="str">
            <v>FAROE ISLANDS</v>
          </cell>
        </row>
        <row r="31299">
          <cell r="L31299" t="str">
            <v>Non-proportional</v>
          </cell>
          <cell r="S31299">
            <v>-6718.57</v>
          </cell>
          <cell r="X31299" t="str">
            <v>GWP - gross</v>
          </cell>
          <cell r="Y31299" t="str">
            <v>JAPAN</v>
          </cell>
        </row>
        <row r="31300">
          <cell r="L31300" t="str">
            <v>Non-proportional</v>
          </cell>
          <cell r="S31300">
            <v>58442.66</v>
          </cell>
          <cell r="X31300" t="str">
            <v>GWP - gross</v>
          </cell>
          <cell r="Y31300" t="str">
            <v>ECUADOR</v>
          </cell>
        </row>
        <row r="31301">
          <cell r="L31301" t="str">
            <v>Non-proportional</v>
          </cell>
          <cell r="S31301">
            <v>56180</v>
          </cell>
          <cell r="X31301" t="str">
            <v>GWP - gross</v>
          </cell>
          <cell r="Y31301" t="str">
            <v>ITALY</v>
          </cell>
        </row>
        <row r="31302">
          <cell r="L31302" t="str">
            <v>Non-proportional</v>
          </cell>
          <cell r="S31302">
            <v>-5478.91</v>
          </cell>
          <cell r="X31302" t="str">
            <v>GWP - gross</v>
          </cell>
          <cell r="Y31302" t="str">
            <v>JAPAN</v>
          </cell>
        </row>
        <row r="31303">
          <cell r="L31303" t="str">
            <v>Non-proportional</v>
          </cell>
          <cell r="S31303">
            <v>-8742.41</v>
          </cell>
          <cell r="X31303" t="str">
            <v>GWP - gross</v>
          </cell>
          <cell r="Y31303" t="str">
            <v>ISRAEL</v>
          </cell>
        </row>
        <row r="31304">
          <cell r="L31304" t="str">
            <v>Non-proportional</v>
          </cell>
          <cell r="S31304">
            <v>4838.71</v>
          </cell>
          <cell r="X31304" t="str">
            <v>GWP - gross</v>
          </cell>
          <cell r="Y31304" t="str">
            <v>ECUADOR</v>
          </cell>
        </row>
        <row r="31305">
          <cell r="L31305" t="str">
            <v>Non-proportional</v>
          </cell>
          <cell r="S31305">
            <v>-25910.3</v>
          </cell>
          <cell r="X31305" t="str">
            <v>GWP - gross</v>
          </cell>
          <cell r="Y31305" t="str">
            <v>GUATEMALA</v>
          </cell>
        </row>
        <row r="31306">
          <cell r="L31306" t="str">
            <v>Non-proportional</v>
          </cell>
          <cell r="S31306">
            <v>36757.269999999997</v>
          </cell>
          <cell r="X31306" t="str">
            <v>GWP - gross</v>
          </cell>
          <cell r="Y31306" t="str">
            <v>UNITED KINGDOM</v>
          </cell>
        </row>
        <row r="31307">
          <cell r="L31307" t="str">
            <v>Non-proportional</v>
          </cell>
          <cell r="S31307">
            <v>4675.18</v>
          </cell>
          <cell r="X31307" t="str">
            <v>GWP - gross</v>
          </cell>
          <cell r="Y31307" t="str">
            <v>ITALY</v>
          </cell>
        </row>
        <row r="31308">
          <cell r="L31308" t="str">
            <v>Non-proportional</v>
          </cell>
          <cell r="S31308">
            <v>-11087.5</v>
          </cell>
          <cell r="X31308" t="str">
            <v>GWP - gross</v>
          </cell>
          <cell r="Y31308" t="str">
            <v>JAPAN</v>
          </cell>
        </row>
        <row r="31309">
          <cell r="L31309" t="str">
            <v>Non-proportional</v>
          </cell>
          <cell r="S31309">
            <v>-10216.06</v>
          </cell>
          <cell r="X31309" t="str">
            <v>GWP - gross</v>
          </cell>
          <cell r="Y31309" t="str">
            <v>INDIA</v>
          </cell>
        </row>
        <row r="31310">
          <cell r="L31310" t="str">
            <v>Non-proportional</v>
          </cell>
          <cell r="S31310">
            <v>-27614.799999999999</v>
          </cell>
          <cell r="X31310" t="str">
            <v>GWP - gross</v>
          </cell>
          <cell r="Y31310" t="str">
            <v>UNITED KINGDOM</v>
          </cell>
        </row>
        <row r="31311">
          <cell r="L31311" t="str">
            <v>Non-proportional</v>
          </cell>
          <cell r="S31311">
            <v>-53594.64</v>
          </cell>
          <cell r="X31311" t="str">
            <v>GWP - gross</v>
          </cell>
          <cell r="Y31311" t="str">
            <v>ECUADOR</v>
          </cell>
        </row>
        <row r="31312">
          <cell r="L31312" t="str">
            <v>Non-proportional</v>
          </cell>
          <cell r="S31312">
            <v>12572</v>
          </cell>
          <cell r="X31312" t="str">
            <v>GWP - gross</v>
          </cell>
          <cell r="Y31312" t="str">
            <v>GERMANY</v>
          </cell>
        </row>
        <row r="31313">
          <cell r="L31313" t="str">
            <v>Non-proportional</v>
          </cell>
          <cell r="S31313">
            <v>-56405.62</v>
          </cell>
          <cell r="X31313" t="str">
            <v>GWP - gross</v>
          </cell>
          <cell r="Y31313" t="str">
            <v>NEW ZEALAND</v>
          </cell>
        </row>
        <row r="31314">
          <cell r="L31314" t="str">
            <v>Non-proportional</v>
          </cell>
          <cell r="S31314">
            <v>-5478.91</v>
          </cell>
          <cell r="X31314" t="str">
            <v>GWP - gross</v>
          </cell>
          <cell r="Y31314" t="str">
            <v>JAPAN</v>
          </cell>
        </row>
        <row r="31315">
          <cell r="L31315" t="str">
            <v>Non-proportional</v>
          </cell>
          <cell r="S31315">
            <v>75650.48</v>
          </cell>
          <cell r="X31315" t="str">
            <v>GWP - gross</v>
          </cell>
          <cell r="Y31315" t="str">
            <v>ECUADOR</v>
          </cell>
        </row>
        <row r="31316">
          <cell r="L31316" t="str">
            <v>Non-proportional</v>
          </cell>
          <cell r="S31316">
            <v>-3696.4</v>
          </cell>
          <cell r="X31316" t="str">
            <v>GWP - gross</v>
          </cell>
          <cell r="Y31316" t="str">
            <v>AUSTRALIA</v>
          </cell>
        </row>
        <row r="31317">
          <cell r="L31317" t="str">
            <v>Non-proportional</v>
          </cell>
          <cell r="S31317">
            <v>-12319.36</v>
          </cell>
          <cell r="X31317" t="str">
            <v>GWP - gross</v>
          </cell>
          <cell r="Y31317" t="str">
            <v>JAPAN</v>
          </cell>
        </row>
        <row r="31318">
          <cell r="L31318" t="str">
            <v>Non-proportional</v>
          </cell>
          <cell r="S31318">
            <v>-137370.17000000001</v>
          </cell>
          <cell r="X31318" t="str">
            <v>GWP - gross</v>
          </cell>
          <cell r="Y31318" t="str">
            <v>NEW ZEALAND</v>
          </cell>
        </row>
        <row r="31319">
          <cell r="L31319" t="str">
            <v>Non-proportional</v>
          </cell>
          <cell r="S31319">
            <v>2204.5300000000002</v>
          </cell>
          <cell r="X31319" t="str">
            <v>GWP - gross</v>
          </cell>
          <cell r="Y31319" t="str">
            <v>JAPAN</v>
          </cell>
        </row>
        <row r="31320">
          <cell r="L31320" t="str">
            <v>Non-proportional</v>
          </cell>
          <cell r="S31320">
            <v>-98802.559999999998</v>
          </cell>
          <cell r="X31320" t="str">
            <v>GWP - gross</v>
          </cell>
          <cell r="Y31320" t="str">
            <v>JAPAN</v>
          </cell>
        </row>
        <row r="31321">
          <cell r="L31321" t="str">
            <v>Proportional</v>
          </cell>
          <cell r="S31321">
            <v>66.31</v>
          </cell>
          <cell r="X31321" t="str">
            <v>GWP - gross</v>
          </cell>
          <cell r="Y31321" t="str">
            <v>Malaysia</v>
          </cell>
        </row>
        <row r="31322">
          <cell r="L31322" t="str">
            <v>Non-proportional</v>
          </cell>
          <cell r="S31322">
            <v>-27170.37</v>
          </cell>
          <cell r="X31322" t="str">
            <v>GWP - gross</v>
          </cell>
          <cell r="Y31322" t="str">
            <v>INDIA</v>
          </cell>
        </row>
        <row r="31323">
          <cell r="L31323" t="str">
            <v>Non-proportional</v>
          </cell>
          <cell r="S31323">
            <v>-45522.48</v>
          </cell>
          <cell r="X31323" t="str">
            <v>GWP - gross</v>
          </cell>
          <cell r="Y31323" t="str">
            <v>ECUADOR</v>
          </cell>
        </row>
        <row r="31324">
          <cell r="L31324" t="str">
            <v>Non-proportional</v>
          </cell>
          <cell r="S31324">
            <v>-11522</v>
          </cell>
          <cell r="X31324" t="str">
            <v>GWP - gross</v>
          </cell>
          <cell r="Y31324" t="str">
            <v>ITALY</v>
          </cell>
        </row>
        <row r="31325">
          <cell r="L31325" t="str">
            <v>Non-proportional</v>
          </cell>
          <cell r="S31325">
            <v>19748</v>
          </cell>
          <cell r="X31325" t="str">
            <v>GWP - gross</v>
          </cell>
          <cell r="Y31325" t="str">
            <v>ITALY</v>
          </cell>
        </row>
        <row r="31326">
          <cell r="L31326" t="str">
            <v>Non-proportional</v>
          </cell>
          <cell r="S31326">
            <v>-1818.69</v>
          </cell>
          <cell r="X31326" t="str">
            <v>GWP - gross</v>
          </cell>
          <cell r="Y31326" t="str">
            <v>ITALY</v>
          </cell>
        </row>
        <row r="31327">
          <cell r="L31327" t="str">
            <v>Non-proportional</v>
          </cell>
          <cell r="S31327">
            <v>-15686.92</v>
          </cell>
          <cell r="X31327" t="str">
            <v>GWP - gross</v>
          </cell>
          <cell r="Y31327" t="str">
            <v>NEW ZEALAND</v>
          </cell>
        </row>
        <row r="31328">
          <cell r="L31328" t="str">
            <v>Non-proportional</v>
          </cell>
          <cell r="S31328">
            <v>-16055.42</v>
          </cell>
          <cell r="X31328" t="str">
            <v>GWP - gross</v>
          </cell>
          <cell r="Y31328" t="str">
            <v>JAPAN</v>
          </cell>
        </row>
        <row r="31329">
          <cell r="L31329" t="str">
            <v>Non-proportional</v>
          </cell>
          <cell r="S31329">
            <v>992.12</v>
          </cell>
          <cell r="X31329" t="str">
            <v>GWP - gross</v>
          </cell>
          <cell r="Y31329" t="str">
            <v>CYPRUS</v>
          </cell>
        </row>
        <row r="31330">
          <cell r="L31330" t="str">
            <v>Non-proportional</v>
          </cell>
          <cell r="S31330">
            <v>238277.2</v>
          </cell>
          <cell r="X31330" t="str">
            <v>GWP - gross</v>
          </cell>
          <cell r="Y31330" t="str">
            <v>FRANCE</v>
          </cell>
        </row>
        <row r="31331">
          <cell r="L31331" t="str">
            <v>Non-proportional</v>
          </cell>
          <cell r="S31331">
            <v>-209634.33</v>
          </cell>
          <cell r="X31331" t="str">
            <v>GWP - gross</v>
          </cell>
          <cell r="Y31331" t="str">
            <v>JAPAN</v>
          </cell>
        </row>
        <row r="31332">
          <cell r="L31332" t="str">
            <v>Non-proportional</v>
          </cell>
          <cell r="S31332">
            <v>-34453.129999999997</v>
          </cell>
          <cell r="X31332" t="str">
            <v>GWP - gross</v>
          </cell>
          <cell r="Y31332" t="str">
            <v>ITALY</v>
          </cell>
        </row>
        <row r="31333">
          <cell r="L31333" t="str">
            <v>Proportional</v>
          </cell>
          <cell r="S31333">
            <v>4885656.42</v>
          </cell>
          <cell r="X31333" t="str">
            <v>GWP - gross</v>
          </cell>
          <cell r="Y31333" t="str">
            <v>UNITED STATES</v>
          </cell>
        </row>
        <row r="31334">
          <cell r="L31334" t="str">
            <v>Non-proportional</v>
          </cell>
          <cell r="S31334">
            <v>-35938.800000000003</v>
          </cell>
          <cell r="X31334" t="str">
            <v>GWP - gross</v>
          </cell>
          <cell r="Y31334" t="str">
            <v>ECUADOR</v>
          </cell>
        </row>
        <row r="31335">
          <cell r="L31335" t="str">
            <v>Non-proportional</v>
          </cell>
          <cell r="S31335">
            <v>-3791.11</v>
          </cell>
          <cell r="X31335" t="str">
            <v>GWP - gross</v>
          </cell>
          <cell r="Y31335" t="str">
            <v>GERMANY</v>
          </cell>
        </row>
        <row r="31336">
          <cell r="L31336" t="str">
            <v>Non-proportional</v>
          </cell>
          <cell r="S31336">
            <v>-34786.22</v>
          </cell>
          <cell r="X31336" t="str">
            <v>GWP - gross</v>
          </cell>
          <cell r="Y31336" t="str">
            <v>JAPAN</v>
          </cell>
        </row>
        <row r="31337">
          <cell r="L31337" t="str">
            <v>Non-proportional</v>
          </cell>
          <cell r="S31337">
            <v>-1268680</v>
          </cell>
          <cell r="X31337" t="str">
            <v>GWP - gross</v>
          </cell>
          <cell r="Y31337" t="str">
            <v>FRANCE</v>
          </cell>
        </row>
        <row r="31338">
          <cell r="L31338" t="str">
            <v>Non-proportional</v>
          </cell>
          <cell r="S31338">
            <v>-1432.49</v>
          </cell>
          <cell r="X31338" t="str">
            <v>GWP - gross</v>
          </cell>
          <cell r="Y31338" t="str">
            <v>CYPRUS</v>
          </cell>
        </row>
        <row r="31339">
          <cell r="L31339" t="str">
            <v>Non-proportional</v>
          </cell>
          <cell r="S31339">
            <v>-1233.52</v>
          </cell>
          <cell r="X31339" t="str">
            <v>GWP - gross</v>
          </cell>
          <cell r="Y31339" t="str">
            <v>CYPRUS</v>
          </cell>
        </row>
        <row r="31340">
          <cell r="L31340" t="str">
            <v>Non-proportional</v>
          </cell>
          <cell r="S31340">
            <v>10816.29</v>
          </cell>
          <cell r="X31340" t="str">
            <v>GWP - gross</v>
          </cell>
          <cell r="Y31340" t="str">
            <v>DENMARK</v>
          </cell>
        </row>
        <row r="31341">
          <cell r="L31341" t="str">
            <v>Non-proportional</v>
          </cell>
          <cell r="S31341">
            <v>-11547.55</v>
          </cell>
          <cell r="X31341" t="str">
            <v>GWP - gross</v>
          </cell>
          <cell r="Y31341" t="str">
            <v>JAPAN</v>
          </cell>
        </row>
        <row r="31342">
          <cell r="L31342" t="str">
            <v>Non-proportional</v>
          </cell>
          <cell r="S31342">
            <v>-4597.3999999999996</v>
          </cell>
          <cell r="X31342" t="str">
            <v>GWP - gross</v>
          </cell>
          <cell r="Y31342" t="str">
            <v>INDIA</v>
          </cell>
        </row>
        <row r="31343">
          <cell r="L31343" t="str">
            <v>Non-proportional</v>
          </cell>
          <cell r="S31343">
            <v>-172196.21</v>
          </cell>
          <cell r="X31343" t="str">
            <v>GWP - gross</v>
          </cell>
          <cell r="Y31343" t="str">
            <v>UNITED KINGDOM</v>
          </cell>
        </row>
        <row r="31344">
          <cell r="L31344" t="str">
            <v>Non-proportional</v>
          </cell>
          <cell r="S31344">
            <v>20064.240000000002</v>
          </cell>
          <cell r="X31344" t="str">
            <v>GWP - gross</v>
          </cell>
          <cell r="Y31344" t="str">
            <v>ECUADOR</v>
          </cell>
        </row>
        <row r="31345">
          <cell r="L31345" t="str">
            <v>Non-proportional</v>
          </cell>
          <cell r="S31345">
            <v>35944.97</v>
          </cell>
          <cell r="X31345" t="str">
            <v>GWP - gross</v>
          </cell>
          <cell r="Y31345" t="str">
            <v>GUATEMALA</v>
          </cell>
        </row>
        <row r="31346">
          <cell r="L31346" t="str">
            <v>Non-proportional</v>
          </cell>
          <cell r="S31346">
            <v>13894.11</v>
          </cell>
          <cell r="X31346" t="str">
            <v>GWP - gross</v>
          </cell>
          <cell r="Y31346" t="str">
            <v>JAPAN</v>
          </cell>
        </row>
        <row r="31347">
          <cell r="L31347" t="str">
            <v>Non-proportional</v>
          </cell>
          <cell r="S31347">
            <v>16.82</v>
          </cell>
          <cell r="X31347" t="str">
            <v>GWP - gross</v>
          </cell>
          <cell r="Y31347" t="str">
            <v>GERMANY</v>
          </cell>
        </row>
        <row r="31348">
          <cell r="L31348" t="str">
            <v>Non-proportional</v>
          </cell>
          <cell r="S31348">
            <v>-35272.22</v>
          </cell>
          <cell r="X31348" t="str">
            <v>GWP - gross</v>
          </cell>
          <cell r="Y31348" t="str">
            <v>SOUTH AFRICA</v>
          </cell>
        </row>
        <row r="31349">
          <cell r="L31349" t="str">
            <v>Non-proportional</v>
          </cell>
          <cell r="S31349">
            <v>854099.43</v>
          </cell>
          <cell r="X31349" t="str">
            <v>GWP - gross</v>
          </cell>
          <cell r="Y31349" t="str">
            <v>UNITED KINGDOM</v>
          </cell>
        </row>
        <row r="31350">
          <cell r="L31350" t="str">
            <v>Proportional</v>
          </cell>
          <cell r="S31350">
            <v>-11754.74</v>
          </cell>
          <cell r="X31350" t="str">
            <v>GWP - gross</v>
          </cell>
          <cell r="Y31350" t="str">
            <v>UNITED STATES</v>
          </cell>
        </row>
        <row r="31351">
          <cell r="L31351" t="str">
            <v>Non-proportional</v>
          </cell>
          <cell r="S31351">
            <v>-209634.33</v>
          </cell>
          <cell r="X31351" t="str">
            <v>GWP - gross</v>
          </cell>
          <cell r="Y31351" t="str">
            <v>JAPAN</v>
          </cell>
        </row>
        <row r="31352">
          <cell r="L31352" t="str">
            <v>Non-proportional</v>
          </cell>
          <cell r="S31352">
            <v>927.84</v>
          </cell>
          <cell r="X31352" t="str">
            <v>GWP - gross</v>
          </cell>
          <cell r="Y31352" t="str">
            <v>ISRAEL</v>
          </cell>
        </row>
        <row r="31353">
          <cell r="L31353" t="str">
            <v>Non-proportional</v>
          </cell>
          <cell r="S31353">
            <v>8384</v>
          </cell>
          <cell r="X31353" t="str">
            <v>GWP - gross</v>
          </cell>
          <cell r="Y31353" t="str">
            <v>INDIA</v>
          </cell>
        </row>
        <row r="31354">
          <cell r="L31354" t="str">
            <v>Non-proportional</v>
          </cell>
          <cell r="S31354">
            <v>64297.78</v>
          </cell>
          <cell r="X31354" t="str">
            <v>GWP - gross</v>
          </cell>
          <cell r="Y31354" t="str">
            <v>ECUADOR</v>
          </cell>
        </row>
        <row r="31355">
          <cell r="L31355" t="str">
            <v>Non-proportional</v>
          </cell>
          <cell r="S31355">
            <v>24835.99</v>
          </cell>
          <cell r="X31355" t="str">
            <v>GWP - gross</v>
          </cell>
          <cell r="Y31355" t="str">
            <v>UNITED KINGDOM</v>
          </cell>
        </row>
        <row r="31356">
          <cell r="L31356" t="str">
            <v>Non-proportional</v>
          </cell>
          <cell r="S31356">
            <v>9488.5</v>
          </cell>
          <cell r="X31356" t="str">
            <v>GWP - gross</v>
          </cell>
          <cell r="Y31356" t="str">
            <v>ECUADOR</v>
          </cell>
        </row>
        <row r="31357">
          <cell r="L31357" t="str">
            <v>Non-proportional</v>
          </cell>
          <cell r="S31357">
            <v>-8332.5</v>
          </cell>
          <cell r="X31357" t="str">
            <v>GWP - gross</v>
          </cell>
          <cell r="Y31357" t="str">
            <v>GERMANY</v>
          </cell>
        </row>
        <row r="31358">
          <cell r="L31358" t="str">
            <v>Non-proportional</v>
          </cell>
          <cell r="S31358">
            <v>2366.63</v>
          </cell>
          <cell r="X31358" t="str">
            <v>GWP - gross</v>
          </cell>
          <cell r="Y31358" t="str">
            <v>JAPAN</v>
          </cell>
        </row>
        <row r="31359">
          <cell r="L31359" t="str">
            <v>Non-proportional</v>
          </cell>
          <cell r="S31359">
            <v>2587.66</v>
          </cell>
          <cell r="X31359" t="str">
            <v>GWP - gross</v>
          </cell>
          <cell r="Y31359" t="str">
            <v>ISRAEL</v>
          </cell>
        </row>
        <row r="31360">
          <cell r="L31360" t="str">
            <v>Non-proportional</v>
          </cell>
          <cell r="S31360">
            <v>-4050</v>
          </cell>
          <cell r="X31360" t="str">
            <v>GWP - gross</v>
          </cell>
          <cell r="Y31360" t="str">
            <v>GERMANY</v>
          </cell>
        </row>
        <row r="31361">
          <cell r="L31361" t="str">
            <v>Non-proportional</v>
          </cell>
          <cell r="S31361">
            <v>142285.25</v>
          </cell>
          <cell r="X31361" t="str">
            <v>GWP - gross</v>
          </cell>
          <cell r="Y31361" t="str">
            <v>UNITED KINGDOM</v>
          </cell>
        </row>
        <row r="31362">
          <cell r="L31362" t="str">
            <v>Non-proportional</v>
          </cell>
          <cell r="S31362">
            <v>11522</v>
          </cell>
          <cell r="X31362" t="str">
            <v>GWP - gross</v>
          </cell>
          <cell r="Y31362" t="str">
            <v>ITALY</v>
          </cell>
        </row>
        <row r="31363">
          <cell r="L31363" t="str">
            <v>Non-proportional</v>
          </cell>
          <cell r="S31363">
            <v>-11284.25</v>
          </cell>
          <cell r="X31363" t="str">
            <v>GWP - gross</v>
          </cell>
          <cell r="Y31363" t="str">
            <v>CYPRUS</v>
          </cell>
        </row>
        <row r="31364">
          <cell r="L31364" t="str">
            <v>Non-proportional</v>
          </cell>
          <cell r="S31364">
            <v>11648.31</v>
          </cell>
          <cell r="X31364" t="str">
            <v>GWP - gross</v>
          </cell>
          <cell r="Y31364" t="str">
            <v>DENMARK</v>
          </cell>
        </row>
        <row r="31365">
          <cell r="L31365" t="str">
            <v>Proportional</v>
          </cell>
          <cell r="S31365">
            <v>24658.6</v>
          </cell>
          <cell r="X31365" t="str">
            <v>GWP - gross</v>
          </cell>
          <cell r="Y31365" t="str">
            <v>HONG KONG</v>
          </cell>
        </row>
        <row r="31366">
          <cell r="L31366" t="str">
            <v>Non-proportional</v>
          </cell>
          <cell r="S31366">
            <v>-7715.52</v>
          </cell>
          <cell r="X31366" t="str">
            <v>GWP - gross</v>
          </cell>
          <cell r="Y31366" t="str">
            <v>INDIA</v>
          </cell>
        </row>
        <row r="31367">
          <cell r="L31367" t="str">
            <v>Non-proportional</v>
          </cell>
          <cell r="S31367">
            <v>4459.03</v>
          </cell>
          <cell r="X31367" t="str">
            <v>GWP - gross</v>
          </cell>
          <cell r="Y31367" t="str">
            <v>ECUADOR</v>
          </cell>
        </row>
        <row r="31368">
          <cell r="L31368" t="str">
            <v>Non-proportional</v>
          </cell>
          <cell r="S31368">
            <v>37121.47</v>
          </cell>
          <cell r="X31368" t="str">
            <v>GWP - gross</v>
          </cell>
          <cell r="Y31368" t="str">
            <v>ECUADOR</v>
          </cell>
        </row>
        <row r="31369">
          <cell r="L31369" t="str">
            <v>Non-proportional</v>
          </cell>
          <cell r="S31369">
            <v>46136.15</v>
          </cell>
          <cell r="X31369" t="str">
            <v>GWP - gross</v>
          </cell>
          <cell r="Y31369" t="str">
            <v>ECUADOR</v>
          </cell>
        </row>
        <row r="31370">
          <cell r="L31370" t="str">
            <v>Non-proportional</v>
          </cell>
          <cell r="S31370">
            <v>38502.120000000003</v>
          </cell>
          <cell r="X31370" t="str">
            <v>GWP - gross</v>
          </cell>
          <cell r="Y31370" t="str">
            <v>JAPAN</v>
          </cell>
        </row>
        <row r="31371">
          <cell r="L31371" t="str">
            <v>Non-proportional</v>
          </cell>
          <cell r="S31371">
            <v>-172734.18</v>
          </cell>
          <cell r="X31371" t="str">
            <v>GWP - gross</v>
          </cell>
          <cell r="Y31371" t="str">
            <v>NEW ZEALAND</v>
          </cell>
        </row>
        <row r="31372">
          <cell r="L31372" t="str">
            <v>Non-proportional</v>
          </cell>
          <cell r="S31372">
            <v>-58000.14</v>
          </cell>
          <cell r="X31372" t="str">
            <v>GWP - gross</v>
          </cell>
          <cell r="Y31372" t="str">
            <v>ECUADOR</v>
          </cell>
        </row>
        <row r="31373">
          <cell r="L31373" t="str">
            <v>Non-proportional</v>
          </cell>
          <cell r="S31373">
            <v>47.14</v>
          </cell>
          <cell r="X31373" t="str">
            <v>GWP - gross</v>
          </cell>
          <cell r="Y31373" t="str">
            <v>GERMANY</v>
          </cell>
        </row>
        <row r="31374">
          <cell r="L31374" t="str">
            <v>Non-proportional</v>
          </cell>
          <cell r="S31374">
            <v>-2204.5300000000002</v>
          </cell>
          <cell r="X31374" t="str">
            <v>GWP - gross</v>
          </cell>
          <cell r="Y31374" t="str">
            <v>JAPAN</v>
          </cell>
        </row>
        <row r="31375">
          <cell r="L31375" t="str">
            <v>Non-proportional</v>
          </cell>
          <cell r="S31375">
            <v>1861.62</v>
          </cell>
          <cell r="X31375" t="str">
            <v>GWP - gross</v>
          </cell>
          <cell r="Y31375" t="str">
            <v>ISRAEL</v>
          </cell>
        </row>
        <row r="31376">
          <cell r="L31376" t="str">
            <v>Non-proportional</v>
          </cell>
          <cell r="S31376">
            <v>-1233.52</v>
          </cell>
          <cell r="X31376" t="str">
            <v>GWP - gross</v>
          </cell>
          <cell r="Y31376" t="str">
            <v>CYPRUS</v>
          </cell>
        </row>
        <row r="31377">
          <cell r="L31377" t="str">
            <v>Non-proportional</v>
          </cell>
          <cell r="S31377">
            <v>-12937.5</v>
          </cell>
          <cell r="X31377" t="str">
            <v>GWP - gross</v>
          </cell>
          <cell r="Y31377" t="str">
            <v>GERMANY</v>
          </cell>
        </row>
        <row r="31378">
          <cell r="L31378" t="str">
            <v>Non-proportional</v>
          </cell>
          <cell r="S31378">
            <v>-13259.36</v>
          </cell>
          <cell r="X31378" t="str">
            <v>GWP - gross</v>
          </cell>
          <cell r="Y31378" t="str">
            <v>GERMANY</v>
          </cell>
        </row>
        <row r="31379">
          <cell r="L31379" t="str">
            <v>Non-proportional</v>
          </cell>
          <cell r="S31379">
            <v>23955</v>
          </cell>
          <cell r="X31379" t="str">
            <v>GWP - gross</v>
          </cell>
          <cell r="Y31379" t="str">
            <v>ITALY</v>
          </cell>
        </row>
        <row r="31380">
          <cell r="L31380" t="str">
            <v>Non-proportional</v>
          </cell>
          <cell r="S31380">
            <v>15003.68</v>
          </cell>
          <cell r="X31380" t="str">
            <v>GWP - gross</v>
          </cell>
          <cell r="Y31380" t="str">
            <v>ECUADOR</v>
          </cell>
        </row>
        <row r="31381">
          <cell r="L31381" t="str">
            <v>Non-proportional</v>
          </cell>
          <cell r="S31381">
            <v>-16133.86</v>
          </cell>
          <cell r="X31381" t="str">
            <v>GWP - gross</v>
          </cell>
          <cell r="Y31381" t="str">
            <v>PUERTO RICO</v>
          </cell>
        </row>
        <row r="31382">
          <cell r="L31382" t="str">
            <v>Proportional</v>
          </cell>
          <cell r="S31382">
            <v>-31030.19</v>
          </cell>
          <cell r="X31382" t="str">
            <v>GWP - gross</v>
          </cell>
          <cell r="Y31382" t="str">
            <v>UNITED STATES</v>
          </cell>
        </row>
        <row r="31383">
          <cell r="L31383" t="str">
            <v>Non-proportional</v>
          </cell>
          <cell r="S31383">
            <v>20792.240000000002</v>
          </cell>
          <cell r="X31383" t="str">
            <v>GWP - gross</v>
          </cell>
          <cell r="Y31383" t="str">
            <v>AUSTRALIA</v>
          </cell>
        </row>
        <row r="31384">
          <cell r="L31384" t="str">
            <v>Non-proportional</v>
          </cell>
          <cell r="S31384">
            <v>-441821.36</v>
          </cell>
          <cell r="X31384" t="str">
            <v>GWP - gross</v>
          </cell>
          <cell r="Y31384" t="str">
            <v>AUSTRALIA</v>
          </cell>
        </row>
        <row r="31385">
          <cell r="L31385" t="str">
            <v>Non-proportional</v>
          </cell>
          <cell r="S31385">
            <v>3465.68</v>
          </cell>
          <cell r="X31385" t="str">
            <v>GWP - gross</v>
          </cell>
          <cell r="Y31385" t="str">
            <v>SOUTH AFRICA</v>
          </cell>
        </row>
        <row r="31386">
          <cell r="L31386" t="str">
            <v>Proportional</v>
          </cell>
          <cell r="S31386">
            <v>-51524.7</v>
          </cell>
          <cell r="X31386" t="str">
            <v>GWP - gross</v>
          </cell>
          <cell r="Y31386" t="str">
            <v>JAPAN</v>
          </cell>
        </row>
        <row r="31387">
          <cell r="L31387" t="str">
            <v>Non-proportional</v>
          </cell>
          <cell r="S31387">
            <v>48063.55</v>
          </cell>
          <cell r="X31387" t="str">
            <v>GWP - gross</v>
          </cell>
          <cell r="Y31387" t="str">
            <v>GUATEMALA</v>
          </cell>
        </row>
        <row r="31388">
          <cell r="L31388" t="str">
            <v>Non-proportional</v>
          </cell>
          <cell r="S31388">
            <v>19521.73</v>
          </cell>
          <cell r="X31388" t="str">
            <v>GWP - gross</v>
          </cell>
          <cell r="Y31388" t="str">
            <v>NEW ZEALAND</v>
          </cell>
        </row>
        <row r="31389">
          <cell r="L31389" t="str">
            <v>Non-proportional</v>
          </cell>
          <cell r="S31389">
            <v>20254.52</v>
          </cell>
          <cell r="X31389" t="str">
            <v>GWP - gross</v>
          </cell>
          <cell r="Y31389" t="str">
            <v>JAPAN</v>
          </cell>
        </row>
        <row r="31390">
          <cell r="L31390" t="str">
            <v>Proportional</v>
          </cell>
          <cell r="S31390">
            <v>-52250</v>
          </cell>
          <cell r="X31390" t="str">
            <v>GWP - gross</v>
          </cell>
          <cell r="Y31390" t="str">
            <v>REPUBLIC OF IRELAND</v>
          </cell>
        </row>
        <row r="31391">
          <cell r="L31391" t="str">
            <v>Non-proportional</v>
          </cell>
          <cell r="S31391">
            <v>-6943.97</v>
          </cell>
          <cell r="X31391" t="str">
            <v>GWP - gross</v>
          </cell>
          <cell r="Y31391" t="str">
            <v>INDIA</v>
          </cell>
        </row>
        <row r="31392">
          <cell r="L31392" t="str">
            <v>Non-proportional</v>
          </cell>
          <cell r="S31392">
            <v>392782.99</v>
          </cell>
          <cell r="X31392" t="str">
            <v>GWP - gross</v>
          </cell>
          <cell r="Y31392" t="str">
            <v>HONG KONG</v>
          </cell>
        </row>
        <row r="31393">
          <cell r="L31393" t="str">
            <v>Non-proportional</v>
          </cell>
          <cell r="S31393">
            <v>5972.76</v>
          </cell>
          <cell r="X31393" t="str">
            <v>GWP - gross</v>
          </cell>
          <cell r="Y31393" t="str">
            <v>ECUADOR</v>
          </cell>
        </row>
        <row r="31394">
          <cell r="L31394" t="str">
            <v>Non-proportional</v>
          </cell>
          <cell r="S31394">
            <v>-12176.64</v>
          </cell>
          <cell r="X31394" t="str">
            <v>GWP - gross</v>
          </cell>
          <cell r="Y31394" t="str">
            <v>GERMANY</v>
          </cell>
        </row>
        <row r="31395">
          <cell r="L31395" t="str">
            <v>Non-proportional</v>
          </cell>
          <cell r="S31395">
            <v>5276.77</v>
          </cell>
          <cell r="X31395" t="str">
            <v>GWP - gross</v>
          </cell>
          <cell r="Y31395" t="str">
            <v>FRANCE</v>
          </cell>
        </row>
        <row r="31396">
          <cell r="L31396" t="str">
            <v>Non-proportional</v>
          </cell>
          <cell r="S31396">
            <v>26259.87</v>
          </cell>
          <cell r="X31396" t="str">
            <v>GWP - gross</v>
          </cell>
          <cell r="Y31396" t="str">
            <v>JAPAN</v>
          </cell>
        </row>
        <row r="31397">
          <cell r="L31397" t="str">
            <v>Non-proportional</v>
          </cell>
          <cell r="S31397">
            <v>-11547.55</v>
          </cell>
          <cell r="X31397" t="str">
            <v>GWP - gross</v>
          </cell>
          <cell r="Y31397" t="str">
            <v>JAPAN</v>
          </cell>
        </row>
        <row r="31398">
          <cell r="L31398" t="str">
            <v>Non-proportional</v>
          </cell>
          <cell r="S31398">
            <v>172734.18</v>
          </cell>
          <cell r="X31398" t="str">
            <v>GWP - gross</v>
          </cell>
          <cell r="Y31398" t="str">
            <v>NEW ZEALAND</v>
          </cell>
        </row>
        <row r="31399">
          <cell r="L31399" t="str">
            <v>Non-proportional</v>
          </cell>
          <cell r="S31399">
            <v>-25318.51</v>
          </cell>
          <cell r="X31399" t="str">
            <v>GWP - gross</v>
          </cell>
          <cell r="Y31399" t="str">
            <v>JAPAN</v>
          </cell>
        </row>
        <row r="31400">
          <cell r="L31400" t="str">
            <v>Non-proportional</v>
          </cell>
          <cell r="S31400">
            <v>-29531.25</v>
          </cell>
          <cell r="X31400" t="str">
            <v>GWP - gross</v>
          </cell>
          <cell r="Y31400" t="str">
            <v>ITALY</v>
          </cell>
        </row>
        <row r="31401">
          <cell r="L31401" t="str">
            <v>Non-proportional</v>
          </cell>
          <cell r="S31401">
            <v>-20575.63</v>
          </cell>
          <cell r="X31401" t="str">
            <v>GWP - gross</v>
          </cell>
          <cell r="Y31401" t="str">
            <v>JAPAN</v>
          </cell>
        </row>
        <row r="31402">
          <cell r="L31402" t="str">
            <v>Non-proportional</v>
          </cell>
          <cell r="S31402">
            <v>-2573.42</v>
          </cell>
          <cell r="X31402" t="str">
            <v>GWP - gross</v>
          </cell>
          <cell r="Y31402" t="str">
            <v>INDIA</v>
          </cell>
        </row>
        <row r="31403">
          <cell r="L31403" t="str">
            <v>Non-proportional</v>
          </cell>
          <cell r="S31403">
            <v>-2315563.8199999998</v>
          </cell>
          <cell r="X31403" t="str">
            <v>GWP - gross</v>
          </cell>
          <cell r="Y31403" t="str">
            <v>UNITED KINGDOM</v>
          </cell>
        </row>
        <row r="31404">
          <cell r="L31404" t="str">
            <v>Non-proportional</v>
          </cell>
          <cell r="S31404">
            <v>3819.93</v>
          </cell>
          <cell r="X31404" t="str">
            <v>GWP - gross</v>
          </cell>
          <cell r="Y31404" t="str">
            <v>ECUADOR</v>
          </cell>
        </row>
        <row r="31405">
          <cell r="L31405" t="str">
            <v>Non-proportional</v>
          </cell>
          <cell r="S31405">
            <v>10368.84</v>
          </cell>
          <cell r="X31405" t="str">
            <v>GWP - gross</v>
          </cell>
          <cell r="Y31405" t="str">
            <v>ECUADOR</v>
          </cell>
        </row>
        <row r="31406">
          <cell r="L31406" t="str">
            <v>Non-proportional</v>
          </cell>
          <cell r="S31406">
            <v>10150</v>
          </cell>
          <cell r="X31406" t="str">
            <v>GWP - gross</v>
          </cell>
          <cell r="Y31406" t="str">
            <v>GERMANY</v>
          </cell>
        </row>
        <row r="31407">
          <cell r="L31407" t="str">
            <v>Non-proportional</v>
          </cell>
          <cell r="S31407">
            <v>3312.63</v>
          </cell>
          <cell r="X31407" t="str">
            <v>GWP - gross</v>
          </cell>
          <cell r="Y31407" t="str">
            <v>ITALY</v>
          </cell>
        </row>
        <row r="31408">
          <cell r="L31408" t="str">
            <v>Non-proportional</v>
          </cell>
          <cell r="S31408">
            <v>2039.3</v>
          </cell>
          <cell r="X31408" t="str">
            <v>GWP - gross</v>
          </cell>
          <cell r="Y31408" t="str">
            <v>ISRAEL</v>
          </cell>
        </row>
        <row r="31409">
          <cell r="L31409" t="str">
            <v>Non-proportional</v>
          </cell>
          <cell r="S31409">
            <v>651812.65</v>
          </cell>
          <cell r="X31409" t="str">
            <v>GWP - gross</v>
          </cell>
          <cell r="Y31409" t="str">
            <v>UNITED KINGDOM</v>
          </cell>
        </row>
        <row r="31410">
          <cell r="L31410" t="str">
            <v>Non-proportional</v>
          </cell>
          <cell r="S31410">
            <v>23842.55</v>
          </cell>
          <cell r="X31410" t="str">
            <v>GWP - gross</v>
          </cell>
          <cell r="Y31410" t="str">
            <v>UNITED KINGDOM</v>
          </cell>
        </row>
        <row r="31411">
          <cell r="L31411" t="str">
            <v>Non-proportional</v>
          </cell>
          <cell r="S31411">
            <v>-27841.1</v>
          </cell>
          <cell r="X31411" t="str">
            <v>GWP - gross</v>
          </cell>
          <cell r="Y31411" t="str">
            <v>ECUADOR</v>
          </cell>
        </row>
        <row r="31412">
          <cell r="L31412" t="str">
            <v>Non-proportional</v>
          </cell>
          <cell r="S31412">
            <v>58939.63</v>
          </cell>
          <cell r="X31412" t="str">
            <v>GWP - gross</v>
          </cell>
          <cell r="Y31412" t="str">
            <v>ECUADOR</v>
          </cell>
        </row>
        <row r="31413">
          <cell r="L31413" t="str">
            <v>Non-proportional</v>
          </cell>
          <cell r="S31413">
            <v>-20792.240000000002</v>
          </cell>
          <cell r="X31413" t="str">
            <v>GWP - gross</v>
          </cell>
          <cell r="Y31413" t="str">
            <v>AUSTRALIA</v>
          </cell>
        </row>
        <row r="31414">
          <cell r="L31414" t="str">
            <v>Non-proportional</v>
          </cell>
          <cell r="S31414">
            <v>-8753.24</v>
          </cell>
          <cell r="X31414" t="str">
            <v>GWP - gross</v>
          </cell>
          <cell r="Y31414" t="str">
            <v>JAPAN</v>
          </cell>
        </row>
        <row r="31415">
          <cell r="L31415" t="str">
            <v>Non-proportional</v>
          </cell>
          <cell r="S31415">
            <v>-2039.3</v>
          </cell>
          <cell r="X31415" t="str">
            <v>GWP - gross</v>
          </cell>
          <cell r="Y31415" t="str">
            <v>ISRAEL</v>
          </cell>
        </row>
        <row r="31416">
          <cell r="L31416" t="str">
            <v>Non-proportional</v>
          </cell>
          <cell r="S31416">
            <v>-662717</v>
          </cell>
          <cell r="X31416" t="str">
            <v>GWP - gross</v>
          </cell>
          <cell r="Y31416" t="str">
            <v>UNITED KINGDOM</v>
          </cell>
        </row>
        <row r="31417">
          <cell r="L31417" t="str">
            <v>Non-proportional</v>
          </cell>
          <cell r="S31417">
            <v>26636.99</v>
          </cell>
          <cell r="X31417" t="str">
            <v>GWP - gross</v>
          </cell>
          <cell r="Y31417" t="str">
            <v>ECUADOR</v>
          </cell>
        </row>
        <row r="31418">
          <cell r="L31418" t="str">
            <v>Non-proportional</v>
          </cell>
          <cell r="S31418">
            <v>11522</v>
          </cell>
          <cell r="X31418" t="str">
            <v>GWP - gross</v>
          </cell>
          <cell r="Y31418" t="str">
            <v>ITALY</v>
          </cell>
        </row>
        <row r="31419">
          <cell r="L31419" t="str">
            <v>Non-proportional</v>
          </cell>
          <cell r="S31419">
            <v>-238277.2</v>
          </cell>
          <cell r="X31419" t="str">
            <v>GWP - gross</v>
          </cell>
          <cell r="Y31419" t="str">
            <v>FRANCE</v>
          </cell>
        </row>
        <row r="31420">
          <cell r="L31420" t="str">
            <v>Non-proportional</v>
          </cell>
          <cell r="S31420">
            <v>-1397.74</v>
          </cell>
          <cell r="X31420" t="str">
            <v>GWP - gross</v>
          </cell>
          <cell r="Y31420" t="str">
            <v>CYPRUS</v>
          </cell>
        </row>
        <row r="31421">
          <cell r="L31421" t="str">
            <v>Non-proportional</v>
          </cell>
          <cell r="S31421">
            <v>-23625</v>
          </cell>
          <cell r="X31421" t="str">
            <v>GWP - gross</v>
          </cell>
          <cell r="Y31421" t="str">
            <v>GERMANY</v>
          </cell>
        </row>
        <row r="31422">
          <cell r="L31422" t="str">
            <v>Non-proportional</v>
          </cell>
          <cell r="S31422">
            <v>4050</v>
          </cell>
          <cell r="X31422" t="str">
            <v>GWP - gross</v>
          </cell>
          <cell r="Y31422" t="str">
            <v>GERMANY</v>
          </cell>
        </row>
        <row r="31423">
          <cell r="L31423" t="str">
            <v>Non-proportional</v>
          </cell>
          <cell r="S31423">
            <v>123280.92</v>
          </cell>
          <cell r="X31423" t="str">
            <v>GWP - gross</v>
          </cell>
          <cell r="Y31423" t="str">
            <v>NEW ZEALAND</v>
          </cell>
        </row>
        <row r="31424">
          <cell r="L31424" t="str">
            <v>Non-proportional</v>
          </cell>
          <cell r="S31424">
            <v>81827.77</v>
          </cell>
          <cell r="X31424" t="str">
            <v>GWP - gross</v>
          </cell>
          <cell r="Y31424" t="str">
            <v>ECUADOR</v>
          </cell>
        </row>
        <row r="31425">
          <cell r="L31425" t="str">
            <v>Non-proportional</v>
          </cell>
          <cell r="S31425">
            <v>-28768.5</v>
          </cell>
          <cell r="X31425" t="str">
            <v>GWP - gross</v>
          </cell>
          <cell r="Y31425" t="str">
            <v>ECUADOR</v>
          </cell>
        </row>
        <row r="31426">
          <cell r="L31426" t="str">
            <v>Non-proportional</v>
          </cell>
          <cell r="S31426">
            <v>5398.8</v>
          </cell>
          <cell r="X31426" t="str">
            <v>GWP - gross</v>
          </cell>
          <cell r="Y31426" t="str">
            <v>GREECE</v>
          </cell>
        </row>
        <row r="31427">
          <cell r="L31427" t="str">
            <v>Non-proportional</v>
          </cell>
          <cell r="S31427">
            <v>11794.08</v>
          </cell>
          <cell r="X31427" t="str">
            <v>GWP - gross</v>
          </cell>
          <cell r="Y31427" t="str">
            <v>GERMANY</v>
          </cell>
        </row>
        <row r="31428">
          <cell r="L31428" t="str">
            <v>Non-proportional</v>
          </cell>
          <cell r="S31428">
            <v>27990</v>
          </cell>
          <cell r="X31428" t="str">
            <v>GWP - gross</v>
          </cell>
          <cell r="Y31428" t="str">
            <v>AUSTRIA</v>
          </cell>
        </row>
        <row r="31429">
          <cell r="L31429" t="str">
            <v>Proportional</v>
          </cell>
          <cell r="S31429">
            <v>20175.91</v>
          </cell>
          <cell r="X31429" t="str">
            <v>GWP - gross</v>
          </cell>
          <cell r="Y31429" t="str">
            <v>CANADA</v>
          </cell>
        </row>
        <row r="31430">
          <cell r="L31430" t="str">
            <v>Non-proportional</v>
          </cell>
          <cell r="S31430">
            <v>2756.8</v>
          </cell>
          <cell r="X31430" t="str">
            <v>GWP - gross</v>
          </cell>
          <cell r="Y31430" t="str">
            <v>ISRAEL</v>
          </cell>
        </row>
        <row r="31431">
          <cell r="L31431" t="str">
            <v>Non-proportional</v>
          </cell>
          <cell r="S31431">
            <v>1278.1199999999999</v>
          </cell>
          <cell r="X31431" t="str">
            <v>GWP - gross</v>
          </cell>
          <cell r="Y31431" t="str">
            <v>ISRAEL</v>
          </cell>
        </row>
        <row r="31432">
          <cell r="L31432" t="str">
            <v>Non-proportional</v>
          </cell>
          <cell r="S31432">
            <v>-58000.14</v>
          </cell>
          <cell r="X31432" t="str">
            <v>GWP - gross</v>
          </cell>
          <cell r="Y31432" t="str">
            <v>ECUADOR</v>
          </cell>
        </row>
        <row r="31433">
          <cell r="L31433" t="str">
            <v>Non-proportional</v>
          </cell>
          <cell r="S31433">
            <v>-4137.66</v>
          </cell>
          <cell r="X31433" t="str">
            <v>GWP - gross</v>
          </cell>
          <cell r="Y31433" t="str">
            <v>INDIA</v>
          </cell>
        </row>
        <row r="31434">
          <cell r="L31434" t="str">
            <v>Non-proportional</v>
          </cell>
          <cell r="S31434">
            <v>-2788.08</v>
          </cell>
          <cell r="X31434" t="str">
            <v>GWP - gross</v>
          </cell>
          <cell r="Y31434" t="str">
            <v>JAPAN</v>
          </cell>
        </row>
        <row r="31435">
          <cell r="L31435" t="str">
            <v>Non-proportional</v>
          </cell>
          <cell r="S31435">
            <v>-1253.78</v>
          </cell>
          <cell r="X31435" t="str">
            <v>GWP - gross</v>
          </cell>
          <cell r="Y31435" t="str">
            <v>CYPRUS</v>
          </cell>
        </row>
        <row r="31436">
          <cell r="L31436" t="str">
            <v>Non-proportional</v>
          </cell>
          <cell r="S31436">
            <v>-2101891.6800000002</v>
          </cell>
          <cell r="X31436" t="str">
            <v>GWP - gross</v>
          </cell>
          <cell r="Y31436" t="str">
            <v>UNITED KINGDOM</v>
          </cell>
        </row>
        <row r="31437">
          <cell r="L31437" t="str">
            <v>Non-proportional</v>
          </cell>
          <cell r="S31437">
            <v>16866.330000000002</v>
          </cell>
          <cell r="X31437" t="str">
            <v>GWP - gross</v>
          </cell>
          <cell r="Y31437" t="str">
            <v>FRANCE</v>
          </cell>
        </row>
        <row r="31438">
          <cell r="L31438" t="str">
            <v>Non-proportional</v>
          </cell>
          <cell r="S31438">
            <v>-21304.3</v>
          </cell>
          <cell r="X31438" t="str">
            <v>GWP - gross</v>
          </cell>
          <cell r="Y31438" t="str">
            <v>JAPAN</v>
          </cell>
        </row>
        <row r="31439">
          <cell r="L31439" t="str">
            <v>Non-proportional</v>
          </cell>
          <cell r="S31439">
            <v>-10704.59</v>
          </cell>
          <cell r="X31439" t="str">
            <v>GWP - gross</v>
          </cell>
          <cell r="Y31439" t="str">
            <v>GERMANY</v>
          </cell>
        </row>
        <row r="31440">
          <cell r="L31440" t="str">
            <v>Proportional</v>
          </cell>
          <cell r="S31440">
            <v>-24658.6</v>
          </cell>
          <cell r="X31440" t="str">
            <v>GWP - gross</v>
          </cell>
          <cell r="Y31440" t="str">
            <v>HONG KONG</v>
          </cell>
        </row>
        <row r="31441">
          <cell r="L31441" t="str">
            <v>Non-proportional</v>
          </cell>
          <cell r="S31441">
            <v>-78732.490000000005</v>
          </cell>
          <cell r="X31441" t="str">
            <v>GWP - gross</v>
          </cell>
          <cell r="Y31441" t="str">
            <v>JAPAN</v>
          </cell>
        </row>
        <row r="31442">
          <cell r="L31442" t="str">
            <v>Non-proportional</v>
          </cell>
          <cell r="S31442">
            <v>-24254.76</v>
          </cell>
          <cell r="X31442" t="str">
            <v>GWP - gross</v>
          </cell>
          <cell r="Y31442" t="str">
            <v>EUROPE</v>
          </cell>
        </row>
        <row r="31443">
          <cell r="L31443" t="str">
            <v>Non-proportional</v>
          </cell>
          <cell r="S31443">
            <v>-12176.64</v>
          </cell>
          <cell r="X31443" t="str">
            <v>GWP - gross</v>
          </cell>
          <cell r="Y31443" t="str">
            <v>GERMANY</v>
          </cell>
        </row>
        <row r="31444">
          <cell r="L31444" t="str">
            <v>Non-proportional</v>
          </cell>
          <cell r="S31444">
            <v>854.72</v>
          </cell>
          <cell r="X31444" t="str">
            <v>GWP - gross</v>
          </cell>
          <cell r="Y31444" t="str">
            <v>GERMANY</v>
          </cell>
        </row>
        <row r="31445">
          <cell r="L31445" t="str">
            <v>Proportional</v>
          </cell>
          <cell r="S31445">
            <v>-344507.63</v>
          </cell>
          <cell r="X31445" t="str">
            <v>GWP - gross</v>
          </cell>
          <cell r="Y31445" t="str">
            <v>CANADA</v>
          </cell>
        </row>
        <row r="31446">
          <cell r="L31446" t="str">
            <v>Non-proportional</v>
          </cell>
          <cell r="S31446">
            <v>-21464.14</v>
          </cell>
          <cell r="X31446" t="str">
            <v>GWP - gross</v>
          </cell>
          <cell r="Y31446" t="str">
            <v>SOUTH AFRICA</v>
          </cell>
        </row>
        <row r="31447">
          <cell r="L31447" t="str">
            <v>Non-proportional</v>
          </cell>
          <cell r="S31447">
            <v>-868387.94</v>
          </cell>
          <cell r="X31447" t="str">
            <v>GWP - gross</v>
          </cell>
          <cell r="Y31447" t="str">
            <v>UNITED KINGDOM</v>
          </cell>
        </row>
        <row r="31448">
          <cell r="L31448" t="str">
            <v>Non-proportional</v>
          </cell>
          <cell r="S31448">
            <v>92137.5</v>
          </cell>
          <cell r="X31448" t="str">
            <v>GWP - gross</v>
          </cell>
          <cell r="Y31448" t="str">
            <v>TURKEY</v>
          </cell>
        </row>
        <row r="31449">
          <cell r="L31449" t="str">
            <v>Non-proportional</v>
          </cell>
          <cell r="S31449">
            <v>-30156.09</v>
          </cell>
          <cell r="X31449" t="str">
            <v>GWP - gross</v>
          </cell>
          <cell r="Y31449" t="str">
            <v>SOUTH AFRICA</v>
          </cell>
        </row>
        <row r="31450">
          <cell r="L31450" t="str">
            <v>Non-proportional</v>
          </cell>
          <cell r="S31450">
            <v>-2859.36</v>
          </cell>
          <cell r="X31450" t="str">
            <v>GWP - gross</v>
          </cell>
          <cell r="Y31450" t="str">
            <v>INDIA</v>
          </cell>
        </row>
        <row r="31451">
          <cell r="L31451" t="str">
            <v>Non-proportional</v>
          </cell>
          <cell r="S31451">
            <v>35938.800000000003</v>
          </cell>
          <cell r="X31451" t="str">
            <v>GWP - gross</v>
          </cell>
          <cell r="Y31451" t="str">
            <v>ECUADOR</v>
          </cell>
        </row>
        <row r="31452">
          <cell r="L31452" t="str">
            <v>Non-proportional</v>
          </cell>
          <cell r="S31452">
            <v>-10368.84</v>
          </cell>
          <cell r="X31452" t="str">
            <v>GWP - gross</v>
          </cell>
          <cell r="Y31452" t="str">
            <v>ECUADOR</v>
          </cell>
        </row>
        <row r="31453">
          <cell r="L31453" t="str">
            <v>Non-proportional</v>
          </cell>
          <cell r="S31453">
            <v>-115220</v>
          </cell>
          <cell r="X31453" t="str">
            <v>GWP - gross</v>
          </cell>
          <cell r="Y31453" t="str">
            <v>ITALY</v>
          </cell>
        </row>
        <row r="31454">
          <cell r="L31454" t="str">
            <v>Non-proportional</v>
          </cell>
          <cell r="S31454">
            <v>842861.17</v>
          </cell>
          <cell r="X31454" t="str">
            <v>GWP - gross</v>
          </cell>
          <cell r="Y31454" t="str">
            <v>UNITED KINGDOM</v>
          </cell>
        </row>
        <row r="31455">
          <cell r="L31455" t="str">
            <v>Non-proportional</v>
          </cell>
          <cell r="S31455">
            <v>-2738.63</v>
          </cell>
          <cell r="X31455" t="str">
            <v>GWP - gross</v>
          </cell>
          <cell r="Y31455" t="str">
            <v>PERU</v>
          </cell>
        </row>
        <row r="31456">
          <cell r="L31456" t="str">
            <v>Proportional</v>
          </cell>
          <cell r="S31456">
            <v>-15304.01</v>
          </cell>
          <cell r="X31456" t="str">
            <v>GWP - gross</v>
          </cell>
          <cell r="Y31456" t="str">
            <v>JAPAN</v>
          </cell>
        </row>
        <row r="31457">
          <cell r="L31457" t="str">
            <v>Non-proportional</v>
          </cell>
          <cell r="S31457">
            <v>-11065.44</v>
          </cell>
          <cell r="X31457" t="str">
            <v>GWP - gross</v>
          </cell>
          <cell r="Y31457" t="str">
            <v>ECUADOR</v>
          </cell>
        </row>
        <row r="31458">
          <cell r="L31458" t="str">
            <v>Non-proportional</v>
          </cell>
          <cell r="S31458">
            <v>-8603.6299999999992</v>
          </cell>
          <cell r="X31458" t="str">
            <v>GWP - gross</v>
          </cell>
          <cell r="Y31458" t="str">
            <v>ECUADOR</v>
          </cell>
        </row>
        <row r="31459">
          <cell r="L31459" t="str">
            <v>Non-proportional</v>
          </cell>
          <cell r="S31459">
            <v>13029.59</v>
          </cell>
          <cell r="X31459" t="str">
            <v>GWP - gross</v>
          </cell>
          <cell r="Y31459" t="str">
            <v>JAPAN</v>
          </cell>
        </row>
        <row r="31460">
          <cell r="L31460" t="str">
            <v>Non-proportional</v>
          </cell>
          <cell r="S31460">
            <v>-285.83999999999997</v>
          </cell>
          <cell r="X31460" t="str">
            <v>GWP - gross</v>
          </cell>
          <cell r="Y31460" t="str">
            <v>GERMANY</v>
          </cell>
        </row>
        <row r="31461">
          <cell r="L31461" t="str">
            <v>Non-proportional</v>
          </cell>
          <cell r="S31461">
            <v>128250</v>
          </cell>
          <cell r="X31461" t="str">
            <v>GWP - gross</v>
          </cell>
          <cell r="Y31461" t="str">
            <v>EUROPE</v>
          </cell>
        </row>
        <row r="31462">
          <cell r="L31462" t="str">
            <v>Proportional</v>
          </cell>
          <cell r="S31462">
            <v>-725177.5</v>
          </cell>
          <cell r="X31462" t="str">
            <v>GWP - gross</v>
          </cell>
          <cell r="Y31462" t="str">
            <v>CANADA</v>
          </cell>
        </row>
        <row r="31463">
          <cell r="L31463" t="str">
            <v>Non-proportional</v>
          </cell>
          <cell r="S31463">
            <v>911.84</v>
          </cell>
          <cell r="X31463" t="str">
            <v>GWP - gross</v>
          </cell>
          <cell r="Y31463" t="str">
            <v>FRANCE</v>
          </cell>
        </row>
        <row r="31464">
          <cell r="L31464" t="str">
            <v>Proportional</v>
          </cell>
          <cell r="S31464">
            <v>-11896.91</v>
          </cell>
          <cell r="X31464" t="str">
            <v>GWP - gross</v>
          </cell>
          <cell r="Y31464" t="str">
            <v>UNITED STATES</v>
          </cell>
        </row>
        <row r="31465">
          <cell r="L31465" t="str">
            <v>Non-proportional</v>
          </cell>
          <cell r="S31465">
            <v>53070.12</v>
          </cell>
          <cell r="X31465" t="str">
            <v>GWP - gross</v>
          </cell>
          <cell r="Y31465" t="str">
            <v>ECUADOR</v>
          </cell>
        </row>
        <row r="31466">
          <cell r="L31466" t="str">
            <v>Non-proportional</v>
          </cell>
          <cell r="S31466">
            <v>137370.17000000001</v>
          </cell>
          <cell r="X31466" t="str">
            <v>GWP - gross</v>
          </cell>
          <cell r="Y31466" t="str">
            <v>NEW ZEALAND</v>
          </cell>
        </row>
        <row r="31467">
          <cell r="L31467" t="str">
            <v>Proportional</v>
          </cell>
          <cell r="S31467">
            <v>24658.6</v>
          </cell>
          <cell r="X31467" t="str">
            <v>GWP - gross</v>
          </cell>
          <cell r="Y31467" t="str">
            <v>HONG KONG</v>
          </cell>
        </row>
        <row r="31468">
          <cell r="L31468" t="str">
            <v>Non-proportional</v>
          </cell>
          <cell r="S31468">
            <v>1415462.29</v>
          </cell>
          <cell r="X31468" t="str">
            <v>GWP - gross</v>
          </cell>
          <cell r="Y31468" t="str">
            <v>UNITED KINGDOM</v>
          </cell>
        </row>
        <row r="31469">
          <cell r="L31469" t="str">
            <v>Proportional</v>
          </cell>
          <cell r="S31469">
            <v>-7762.61</v>
          </cell>
          <cell r="X31469" t="str">
            <v>GWP - gross</v>
          </cell>
          <cell r="Y31469" t="str">
            <v>UNITED STATES</v>
          </cell>
        </row>
        <row r="31470">
          <cell r="L31470" t="str">
            <v>Non-proportional</v>
          </cell>
          <cell r="S31470">
            <v>-10904.75</v>
          </cell>
          <cell r="X31470" t="str">
            <v>GWP - gross</v>
          </cell>
          <cell r="Y31470" t="str">
            <v>PUERTO RICO</v>
          </cell>
        </row>
        <row r="31471">
          <cell r="L31471" t="str">
            <v>Non-proportional</v>
          </cell>
          <cell r="S31471">
            <v>-123280.92</v>
          </cell>
          <cell r="X31471" t="str">
            <v>GWP - gross</v>
          </cell>
          <cell r="Y31471" t="str">
            <v>NEW ZEALAND</v>
          </cell>
        </row>
        <row r="31472">
          <cell r="L31472" t="str">
            <v>Non-proportional</v>
          </cell>
          <cell r="S31472">
            <v>-998812.77</v>
          </cell>
          <cell r="X31472" t="str">
            <v>GWP - gross</v>
          </cell>
          <cell r="Y31472" t="str">
            <v>UNITED KINGDOM</v>
          </cell>
        </row>
        <row r="31473">
          <cell r="L31473" t="str">
            <v>Non-proportional</v>
          </cell>
          <cell r="S31473">
            <v>1016.77</v>
          </cell>
          <cell r="X31473" t="str">
            <v>GWP - gross</v>
          </cell>
          <cell r="Y31473" t="str">
            <v>CYPRUS</v>
          </cell>
        </row>
        <row r="31474">
          <cell r="L31474" t="str">
            <v>Non-proportional</v>
          </cell>
          <cell r="S31474">
            <v>-3427846.58</v>
          </cell>
          <cell r="X31474" t="str">
            <v>GWP - gross</v>
          </cell>
          <cell r="Y31474" t="str">
            <v>UNITED KINGDOM</v>
          </cell>
        </row>
        <row r="31475">
          <cell r="L31475" t="str">
            <v>Non-proportional</v>
          </cell>
          <cell r="S31475">
            <v>-35944.97</v>
          </cell>
          <cell r="X31475" t="str">
            <v>GWP - gross</v>
          </cell>
          <cell r="Y31475" t="str">
            <v>GUATEMALA</v>
          </cell>
        </row>
        <row r="31476">
          <cell r="L31476" t="str">
            <v>Non-proportional</v>
          </cell>
          <cell r="S31476">
            <v>-131784.75</v>
          </cell>
          <cell r="X31476" t="str">
            <v>GWP - gross</v>
          </cell>
          <cell r="Y31476" t="str">
            <v>CHILE</v>
          </cell>
        </row>
        <row r="31477">
          <cell r="L31477" t="str">
            <v>Non-proportional</v>
          </cell>
          <cell r="S31477">
            <v>1233.52</v>
          </cell>
          <cell r="X31477" t="str">
            <v>GWP - gross</v>
          </cell>
          <cell r="Y31477" t="str">
            <v>CYPRUS</v>
          </cell>
        </row>
        <row r="31478">
          <cell r="L31478" t="str">
            <v>Non-proportional</v>
          </cell>
          <cell r="S31478">
            <v>-44385.88</v>
          </cell>
          <cell r="X31478" t="str">
            <v>GWP - gross</v>
          </cell>
          <cell r="Y31478" t="str">
            <v>NEW ZEALAND</v>
          </cell>
        </row>
        <row r="31479">
          <cell r="L31479" t="str">
            <v>Non-proportional</v>
          </cell>
          <cell r="S31479">
            <v>-34786.22</v>
          </cell>
          <cell r="X31479" t="str">
            <v>GWP - gross</v>
          </cell>
          <cell r="Y31479" t="str">
            <v>JAPAN</v>
          </cell>
        </row>
        <row r="31480">
          <cell r="L31480" t="str">
            <v>Non-proportional</v>
          </cell>
          <cell r="S31480">
            <v>11284.25</v>
          </cell>
          <cell r="X31480" t="str">
            <v>GWP - gross</v>
          </cell>
          <cell r="Y31480" t="str">
            <v>CYPRUS</v>
          </cell>
        </row>
        <row r="31481">
          <cell r="L31481" t="str">
            <v>Proportional</v>
          </cell>
          <cell r="S31481">
            <v>-24658.6</v>
          </cell>
          <cell r="X31481" t="str">
            <v>GWP - gross</v>
          </cell>
          <cell r="Y31481" t="str">
            <v>HONG KONG</v>
          </cell>
        </row>
        <row r="31482">
          <cell r="L31482" t="str">
            <v>Non-proportional</v>
          </cell>
          <cell r="S31482">
            <v>21919.1</v>
          </cell>
          <cell r="X31482" t="str">
            <v>GWP - gross</v>
          </cell>
          <cell r="Y31482" t="str">
            <v>ECUADOR</v>
          </cell>
        </row>
        <row r="31483">
          <cell r="L31483" t="str">
            <v>Non-proportional</v>
          </cell>
          <cell r="S31483">
            <v>23319.3</v>
          </cell>
          <cell r="X31483" t="str">
            <v>GWP - gross</v>
          </cell>
          <cell r="Y31483" t="str">
            <v>GUATEMALA</v>
          </cell>
        </row>
        <row r="31484">
          <cell r="L31484" t="str">
            <v>Non-proportional</v>
          </cell>
          <cell r="S31484">
            <v>-21566.98</v>
          </cell>
          <cell r="X31484" t="str">
            <v>GWP - gross</v>
          </cell>
          <cell r="Y31484" t="str">
            <v>GUATEMALA</v>
          </cell>
        </row>
        <row r="31485">
          <cell r="L31485" t="str">
            <v>Proportional</v>
          </cell>
          <cell r="S31485">
            <v>-854.66</v>
          </cell>
          <cell r="X31485" t="str">
            <v>GWP - gross</v>
          </cell>
          <cell r="Y31485" t="str">
            <v>UNITED STATES</v>
          </cell>
        </row>
        <row r="31486">
          <cell r="L31486" t="str">
            <v>Non-proportional</v>
          </cell>
          <cell r="S31486">
            <v>-11304.51</v>
          </cell>
          <cell r="X31486" t="str">
            <v>GWP - gross</v>
          </cell>
          <cell r="Y31486" t="str">
            <v>CYPRUS</v>
          </cell>
        </row>
        <row r="31487">
          <cell r="L31487" t="str">
            <v>Non-proportional</v>
          </cell>
          <cell r="S31487">
            <v>-20254.52</v>
          </cell>
          <cell r="X31487" t="str">
            <v>GWP - gross</v>
          </cell>
          <cell r="Y31487" t="str">
            <v>JAPAN</v>
          </cell>
        </row>
        <row r="31488">
          <cell r="L31488" t="str">
            <v>Non-proportional</v>
          </cell>
          <cell r="S31488">
            <v>-2630.42</v>
          </cell>
          <cell r="X31488" t="str">
            <v>GWP - gross</v>
          </cell>
          <cell r="Y31488" t="str">
            <v>CHILE</v>
          </cell>
        </row>
        <row r="31489">
          <cell r="L31489" t="str">
            <v>Non-proportional</v>
          </cell>
          <cell r="S31489">
            <v>-50762.77</v>
          </cell>
          <cell r="X31489" t="str">
            <v>GWP - gross</v>
          </cell>
          <cell r="Y31489" t="str">
            <v>NEW ZEALAND</v>
          </cell>
        </row>
        <row r="31490">
          <cell r="L31490" t="str">
            <v>Non-proportional</v>
          </cell>
          <cell r="S31490">
            <v>-209672.36</v>
          </cell>
          <cell r="X31490" t="str">
            <v>GWP - gross</v>
          </cell>
          <cell r="Y31490" t="str">
            <v>FRANCE</v>
          </cell>
        </row>
        <row r="31491">
          <cell r="L31491" t="str">
            <v>Non-proportional</v>
          </cell>
          <cell r="S31491">
            <v>-109549.6</v>
          </cell>
          <cell r="X31491" t="str">
            <v>GWP - gross</v>
          </cell>
          <cell r="Y31491" t="str">
            <v>NEW ZEALAND</v>
          </cell>
        </row>
        <row r="31492">
          <cell r="L31492" t="str">
            <v>Non-proportional</v>
          </cell>
          <cell r="S31492">
            <v>53404.03</v>
          </cell>
          <cell r="X31492" t="str">
            <v>GWP - gross</v>
          </cell>
          <cell r="Y31492" t="str">
            <v>GUATEMALA</v>
          </cell>
        </row>
        <row r="31493">
          <cell r="L31493" t="str">
            <v>Non-proportional</v>
          </cell>
          <cell r="S31493">
            <v>-9175.36</v>
          </cell>
          <cell r="X31493" t="str">
            <v>GWP - gross</v>
          </cell>
          <cell r="Y31493" t="str">
            <v>GERMANY</v>
          </cell>
        </row>
        <row r="31494">
          <cell r="L31494" t="str">
            <v>Non-proportional</v>
          </cell>
          <cell r="S31494">
            <v>-61899.8</v>
          </cell>
          <cell r="X31494" t="str">
            <v>GWP - gross</v>
          </cell>
          <cell r="Y31494" t="str">
            <v>JAPAN</v>
          </cell>
        </row>
        <row r="31495">
          <cell r="L31495" t="str">
            <v>Non-proportional</v>
          </cell>
          <cell r="S31495">
            <v>-10704.59</v>
          </cell>
          <cell r="X31495" t="str">
            <v>GWP - gross</v>
          </cell>
          <cell r="Y31495" t="str">
            <v>GERMANY</v>
          </cell>
        </row>
        <row r="31496">
          <cell r="L31496" t="str">
            <v>Non-proportional</v>
          </cell>
          <cell r="S31496">
            <v>-856961.64</v>
          </cell>
          <cell r="X31496" t="str">
            <v>GWP - gross</v>
          </cell>
          <cell r="Y31496" t="str">
            <v>UNITED KINGDOM</v>
          </cell>
        </row>
        <row r="31497">
          <cell r="L31497" t="str">
            <v>Non-proportional</v>
          </cell>
          <cell r="S31497">
            <v>-9315.5499999999993</v>
          </cell>
          <cell r="X31497" t="str">
            <v>GWP - gross</v>
          </cell>
          <cell r="Y31497" t="str">
            <v>INDIA</v>
          </cell>
        </row>
        <row r="31498">
          <cell r="L31498" t="str">
            <v>Non-proportional</v>
          </cell>
          <cell r="S31498">
            <v>10216.06</v>
          </cell>
          <cell r="X31498" t="str">
            <v>GWP - gross</v>
          </cell>
          <cell r="Y31498" t="str">
            <v>INDIA</v>
          </cell>
        </row>
        <row r="31499">
          <cell r="L31499" t="str">
            <v>Non-proportional</v>
          </cell>
          <cell r="S31499">
            <v>-53070.12</v>
          </cell>
          <cell r="X31499" t="str">
            <v>GWP - gross</v>
          </cell>
          <cell r="Y31499" t="str">
            <v>ECUADOR</v>
          </cell>
        </row>
        <row r="31500">
          <cell r="L31500" t="str">
            <v>Non-proportional</v>
          </cell>
          <cell r="S31500">
            <v>11842</v>
          </cell>
          <cell r="X31500" t="str">
            <v>GWP - gross</v>
          </cell>
          <cell r="Y31500" t="str">
            <v>GERMANY</v>
          </cell>
        </row>
        <row r="31501">
          <cell r="L31501" t="str">
            <v>Non-proportional</v>
          </cell>
          <cell r="S31501">
            <v>-56101.58</v>
          </cell>
          <cell r="X31501" t="str">
            <v>GWP - gross</v>
          </cell>
          <cell r="Y31501" t="str">
            <v>CYPRUS</v>
          </cell>
        </row>
        <row r="31502">
          <cell r="L31502" t="str">
            <v>Non-proportional</v>
          </cell>
          <cell r="S31502">
            <v>2788.08</v>
          </cell>
          <cell r="X31502" t="str">
            <v>GWP - gross</v>
          </cell>
          <cell r="Y31502" t="str">
            <v>JAPAN</v>
          </cell>
        </row>
        <row r="31503">
          <cell r="L31503" t="str">
            <v>Non-proportional</v>
          </cell>
          <cell r="S31503">
            <v>-13197.04</v>
          </cell>
          <cell r="X31503" t="str">
            <v>GWP - gross</v>
          </cell>
          <cell r="Y31503" t="str">
            <v>INDIA</v>
          </cell>
        </row>
        <row r="31504">
          <cell r="L31504" t="str">
            <v>Non-proportional</v>
          </cell>
          <cell r="S31504">
            <v>-26005.919999999998</v>
          </cell>
          <cell r="X31504" t="str">
            <v>GWP - gross</v>
          </cell>
          <cell r="Y31504" t="str">
            <v>INDIA</v>
          </cell>
        </row>
        <row r="31505">
          <cell r="L31505" t="str">
            <v>Non-proportional</v>
          </cell>
          <cell r="S31505">
            <v>-224211.24</v>
          </cell>
          <cell r="X31505" t="str">
            <v>GWP - gross</v>
          </cell>
          <cell r="Y31505" t="str">
            <v>CHINA</v>
          </cell>
        </row>
        <row r="31506">
          <cell r="L31506" t="str">
            <v>Non-proportional</v>
          </cell>
          <cell r="S31506">
            <v>-81695.02</v>
          </cell>
          <cell r="X31506" t="str">
            <v>GWP - gross</v>
          </cell>
          <cell r="Y31506" t="str">
            <v>JAPAN</v>
          </cell>
        </row>
        <row r="31507">
          <cell r="L31507" t="str">
            <v>Non-proportional</v>
          </cell>
          <cell r="S31507">
            <v>-69364.03</v>
          </cell>
          <cell r="X31507" t="str">
            <v>GWP - gross</v>
          </cell>
          <cell r="Y31507" t="str">
            <v>ECUADOR</v>
          </cell>
        </row>
        <row r="31508">
          <cell r="L31508" t="str">
            <v>Non-proportional</v>
          </cell>
          <cell r="S31508">
            <v>-12196.25</v>
          </cell>
          <cell r="X31508" t="str">
            <v>GWP - gross</v>
          </cell>
          <cell r="Y31508" t="str">
            <v>FRANCE</v>
          </cell>
        </row>
        <row r="31509">
          <cell r="L31509" t="str">
            <v>Non-proportional</v>
          </cell>
          <cell r="S31509">
            <v>-5193.21</v>
          </cell>
          <cell r="X31509" t="str">
            <v>GWP - gross</v>
          </cell>
          <cell r="Y31509" t="str">
            <v>DENMARK</v>
          </cell>
        </row>
        <row r="31510">
          <cell r="L31510" t="str">
            <v>Non-proportional</v>
          </cell>
          <cell r="S31510">
            <v>-1906.95</v>
          </cell>
          <cell r="X31510" t="str">
            <v>GWP - gross</v>
          </cell>
          <cell r="Y31510" t="str">
            <v>ISRAEL</v>
          </cell>
        </row>
        <row r="31511">
          <cell r="L31511" t="str">
            <v>Non-proportional</v>
          </cell>
          <cell r="S31511">
            <v>3568.3</v>
          </cell>
          <cell r="X31511" t="str">
            <v>GWP - gross</v>
          </cell>
          <cell r="Y31511" t="str">
            <v>CYPRUS</v>
          </cell>
        </row>
        <row r="31512">
          <cell r="L31512" t="str">
            <v>Non-proportional</v>
          </cell>
          <cell r="S31512">
            <v>12937.5</v>
          </cell>
          <cell r="X31512" t="str">
            <v>GWP - gross</v>
          </cell>
          <cell r="Y31512" t="str">
            <v>GERMANY</v>
          </cell>
        </row>
        <row r="31513">
          <cell r="L31513" t="str">
            <v>Non-proportional</v>
          </cell>
          <cell r="S31513">
            <v>-16055.42</v>
          </cell>
          <cell r="X31513" t="str">
            <v>GWP - gross</v>
          </cell>
          <cell r="Y31513" t="str">
            <v>JAPAN</v>
          </cell>
        </row>
        <row r="31514">
          <cell r="L31514" t="str">
            <v>Proportional</v>
          </cell>
          <cell r="S31514">
            <v>72518.36</v>
          </cell>
          <cell r="X31514" t="str">
            <v>GWP - gross</v>
          </cell>
          <cell r="Y31514" t="str">
            <v>CANADA</v>
          </cell>
        </row>
        <row r="31515">
          <cell r="L31515" t="str">
            <v>Non-proportional</v>
          </cell>
          <cell r="S31515">
            <v>-927.84</v>
          </cell>
          <cell r="X31515" t="str">
            <v>GWP - gross</v>
          </cell>
          <cell r="Y31515" t="str">
            <v>ISRAEL</v>
          </cell>
        </row>
        <row r="31516">
          <cell r="L31516" t="str">
            <v>Non-proportional</v>
          </cell>
          <cell r="S31516">
            <v>8603.6299999999992</v>
          </cell>
          <cell r="X31516" t="str">
            <v>GWP - gross</v>
          </cell>
          <cell r="Y31516" t="str">
            <v>ECUADOR</v>
          </cell>
        </row>
        <row r="31517">
          <cell r="L31517" t="str">
            <v>Non-proportional</v>
          </cell>
          <cell r="S31517">
            <v>-16774.59</v>
          </cell>
          <cell r="X31517" t="str">
            <v>GWP - gross</v>
          </cell>
          <cell r="Y31517" t="str">
            <v>FAROE ISLANDS</v>
          </cell>
        </row>
        <row r="31518">
          <cell r="L31518" t="str">
            <v>Non-proportional</v>
          </cell>
          <cell r="S31518">
            <v>-10150</v>
          </cell>
          <cell r="X31518" t="str">
            <v>GWP - gross</v>
          </cell>
          <cell r="Y31518" t="str">
            <v>GERMANY</v>
          </cell>
        </row>
        <row r="31519">
          <cell r="L31519" t="str">
            <v>Non-proportional</v>
          </cell>
          <cell r="S31519">
            <v>-1284.32</v>
          </cell>
          <cell r="X31519" t="str">
            <v>GWP - gross</v>
          </cell>
          <cell r="Y31519" t="str">
            <v>GERMANY</v>
          </cell>
        </row>
        <row r="31520">
          <cell r="L31520" t="str">
            <v>Non-proportional</v>
          </cell>
          <cell r="S31520">
            <v>-70829.09</v>
          </cell>
          <cell r="X31520" t="str">
            <v>GWP - gross</v>
          </cell>
          <cell r="Y31520" t="str">
            <v>JAPAN</v>
          </cell>
        </row>
        <row r="31521">
          <cell r="L31521" t="str">
            <v>Non-proportional</v>
          </cell>
          <cell r="S31521">
            <v>24453.33</v>
          </cell>
          <cell r="X31521" t="str">
            <v>GWP - gross</v>
          </cell>
          <cell r="Y31521" t="str">
            <v>INDIA</v>
          </cell>
        </row>
        <row r="31522">
          <cell r="L31522" t="str">
            <v>Non-proportional</v>
          </cell>
          <cell r="S31522">
            <v>167824.67</v>
          </cell>
          <cell r="X31522" t="str">
            <v>GWP - gross</v>
          </cell>
          <cell r="Y31522" t="str">
            <v>UNITED KINGDOM</v>
          </cell>
        </row>
        <row r="31523">
          <cell r="L31523" t="str">
            <v>Non-proportional</v>
          </cell>
          <cell r="S31523">
            <v>22138.71</v>
          </cell>
          <cell r="X31523" t="str">
            <v>GWP - gross</v>
          </cell>
          <cell r="Y31523" t="str">
            <v>EUROPE</v>
          </cell>
        </row>
        <row r="31524">
          <cell r="L31524" t="str">
            <v>Non-proportional</v>
          </cell>
          <cell r="S31524">
            <v>9304.42</v>
          </cell>
          <cell r="X31524" t="str">
            <v>GWP - gross</v>
          </cell>
          <cell r="Y31524" t="str">
            <v>JAPAN</v>
          </cell>
        </row>
        <row r="31525">
          <cell r="L31525" t="str">
            <v>Non-proportional</v>
          </cell>
          <cell r="S31525">
            <v>12379.66</v>
          </cell>
          <cell r="X31525" t="str">
            <v>GWP - gross</v>
          </cell>
          <cell r="Y31525" t="str">
            <v>FAROE ISLANDS</v>
          </cell>
        </row>
        <row r="31526">
          <cell r="L31526" t="str">
            <v>Proportional</v>
          </cell>
          <cell r="S31526">
            <v>-33.25</v>
          </cell>
          <cell r="X31526" t="str">
            <v>GWP - gross</v>
          </cell>
          <cell r="Y31526" t="str">
            <v>SINGAPORE</v>
          </cell>
        </row>
        <row r="31527">
          <cell r="L31527" t="str">
            <v>Non-proportional</v>
          </cell>
          <cell r="S31527">
            <v>-9967.86</v>
          </cell>
          <cell r="X31527" t="str">
            <v>GWP - gross</v>
          </cell>
          <cell r="Y31527" t="str">
            <v>ECUADOR</v>
          </cell>
        </row>
        <row r="31528">
          <cell r="L31528" t="str">
            <v>Non-proportional</v>
          </cell>
          <cell r="S31528">
            <v>9441.43</v>
          </cell>
          <cell r="X31528" t="str">
            <v>GWP - gross</v>
          </cell>
          <cell r="Y31528" t="str">
            <v>FRANCE</v>
          </cell>
        </row>
        <row r="31529">
          <cell r="L31529" t="str">
            <v>Non-proportional</v>
          </cell>
          <cell r="S31529">
            <v>-19521.73</v>
          </cell>
          <cell r="X31529" t="str">
            <v>GWP - gross</v>
          </cell>
          <cell r="Y31529" t="str">
            <v>NEW ZEALAND</v>
          </cell>
        </row>
        <row r="31530">
          <cell r="L31530" t="str">
            <v>Non-proportional</v>
          </cell>
          <cell r="S31530">
            <v>-51150.49</v>
          </cell>
          <cell r="X31530" t="str">
            <v>GWP - gross</v>
          </cell>
          <cell r="Y31530" t="str">
            <v>ITALY</v>
          </cell>
        </row>
        <row r="31531">
          <cell r="L31531" t="str">
            <v>Non-proportional</v>
          </cell>
          <cell r="S31531">
            <v>21304.3</v>
          </cell>
          <cell r="X31531" t="str">
            <v>GWP - gross</v>
          </cell>
          <cell r="Y31531" t="str">
            <v>JAPAN</v>
          </cell>
        </row>
        <row r="31532">
          <cell r="L31532" t="str">
            <v>Non-proportional</v>
          </cell>
          <cell r="S31532">
            <v>-63921.19</v>
          </cell>
          <cell r="X31532" t="str">
            <v>GWP - gross</v>
          </cell>
          <cell r="Y31532" t="str">
            <v>NEW ZEALAND</v>
          </cell>
        </row>
        <row r="31533">
          <cell r="L31533" t="str">
            <v>Non-proportional</v>
          </cell>
          <cell r="S31533">
            <v>-2788.08</v>
          </cell>
          <cell r="X31533" t="str">
            <v>GWP - gross</v>
          </cell>
          <cell r="Y31533" t="str">
            <v>JAPAN</v>
          </cell>
        </row>
        <row r="31534">
          <cell r="L31534" t="str">
            <v>Non-proportional</v>
          </cell>
          <cell r="S31534">
            <v>361246.86</v>
          </cell>
          <cell r="X31534" t="str">
            <v>GWP - gross</v>
          </cell>
          <cell r="Y31534" t="str">
            <v>JAPAN</v>
          </cell>
        </row>
        <row r="31535">
          <cell r="L31535" t="str">
            <v>Non-proportional</v>
          </cell>
          <cell r="S31535">
            <v>-172196.21</v>
          </cell>
          <cell r="X31535" t="str">
            <v>GWP - gross</v>
          </cell>
          <cell r="Y31535" t="str">
            <v>UNITED KINGDOM</v>
          </cell>
        </row>
        <row r="31536">
          <cell r="L31536" t="str">
            <v>Non-proportional</v>
          </cell>
          <cell r="S31536">
            <v>58000.14</v>
          </cell>
          <cell r="X31536" t="str">
            <v>GWP - gross</v>
          </cell>
          <cell r="Y31536" t="str">
            <v>ECUADOR</v>
          </cell>
        </row>
        <row r="31537">
          <cell r="L31537" t="str">
            <v>Non-proportional</v>
          </cell>
          <cell r="S31537">
            <v>-23319.3</v>
          </cell>
          <cell r="X31537" t="str">
            <v>GWP - gross</v>
          </cell>
          <cell r="Y31537" t="str">
            <v>GUATEMALA</v>
          </cell>
        </row>
        <row r="31538">
          <cell r="L31538" t="str">
            <v>Non-proportional</v>
          </cell>
          <cell r="S31538">
            <v>12230.5</v>
          </cell>
          <cell r="X31538" t="str">
            <v>GWP - gross</v>
          </cell>
          <cell r="Y31538" t="str">
            <v>ECUADOR</v>
          </cell>
        </row>
        <row r="31539">
          <cell r="L31539" t="str">
            <v>Non-proportional</v>
          </cell>
          <cell r="S31539">
            <v>-10280.629999999999</v>
          </cell>
          <cell r="X31539" t="str">
            <v>GWP - gross</v>
          </cell>
          <cell r="Y31539" t="str">
            <v>NETHERLANDS</v>
          </cell>
        </row>
        <row r="31540">
          <cell r="L31540" t="str">
            <v>Non-proportional</v>
          </cell>
          <cell r="S31540">
            <v>16055.42</v>
          </cell>
          <cell r="X31540" t="str">
            <v>GWP - gross</v>
          </cell>
          <cell r="Y31540" t="str">
            <v>JAPAN</v>
          </cell>
        </row>
        <row r="31541">
          <cell r="L31541" t="str">
            <v>Proportional</v>
          </cell>
          <cell r="S31541">
            <v>-29500000</v>
          </cell>
          <cell r="X31541" t="str">
            <v>GWP - gross</v>
          </cell>
          <cell r="Y31541" t="str">
            <v>PORTUGAL</v>
          </cell>
        </row>
        <row r="31542">
          <cell r="L31542" t="str">
            <v>Non-proportional</v>
          </cell>
          <cell r="S31542">
            <v>11065.44</v>
          </cell>
          <cell r="X31542" t="str">
            <v>GWP - gross</v>
          </cell>
          <cell r="Y31542" t="str">
            <v>ECUADOR</v>
          </cell>
        </row>
        <row r="31543">
          <cell r="L31543" t="str">
            <v>Non-proportional</v>
          </cell>
          <cell r="S31543">
            <v>156280</v>
          </cell>
          <cell r="X31543" t="str">
            <v>GWP - gross</v>
          </cell>
          <cell r="Y31543" t="str">
            <v>ITALY</v>
          </cell>
        </row>
        <row r="31544">
          <cell r="L31544" t="str">
            <v>Non-proportional</v>
          </cell>
          <cell r="S31544">
            <v>20575.63</v>
          </cell>
          <cell r="X31544" t="str">
            <v>GWP - gross</v>
          </cell>
          <cell r="Y31544" t="str">
            <v>JAPAN</v>
          </cell>
        </row>
        <row r="31545">
          <cell r="L31545" t="str">
            <v>Proportional</v>
          </cell>
          <cell r="S31545">
            <v>-49720.480000000003</v>
          </cell>
          <cell r="X31545" t="str">
            <v>GWP - gross</v>
          </cell>
          <cell r="Y31545" t="str">
            <v>GERMANY</v>
          </cell>
        </row>
        <row r="31546">
          <cell r="L31546" t="str">
            <v>Non-proportional</v>
          </cell>
          <cell r="S31546">
            <v>24104</v>
          </cell>
          <cell r="X31546" t="str">
            <v>GWP - gross</v>
          </cell>
          <cell r="Y31546" t="str">
            <v>INDIA</v>
          </cell>
        </row>
        <row r="31547">
          <cell r="L31547" t="str">
            <v>Non-proportional</v>
          </cell>
          <cell r="S31547">
            <v>-115927.4</v>
          </cell>
          <cell r="X31547" t="str">
            <v>GWP - gross</v>
          </cell>
          <cell r="Y31547" t="str">
            <v>CHINA</v>
          </cell>
        </row>
        <row r="31548">
          <cell r="L31548" t="str">
            <v>Non-proportional</v>
          </cell>
          <cell r="S31548">
            <v>7365.45</v>
          </cell>
          <cell r="X31548" t="str">
            <v>GWP - gross</v>
          </cell>
          <cell r="Y31548" t="str">
            <v>ISRAEL</v>
          </cell>
        </row>
        <row r="31549">
          <cell r="L31549" t="str">
            <v>Non-proportional</v>
          </cell>
          <cell r="S31549">
            <v>-84205.1</v>
          </cell>
          <cell r="X31549" t="str">
            <v>GWP - gross</v>
          </cell>
          <cell r="Y31549" t="str">
            <v>NEW ZEALAND</v>
          </cell>
        </row>
        <row r="31550">
          <cell r="L31550" t="str">
            <v>Non-proportional</v>
          </cell>
          <cell r="S31550">
            <v>-17189.53</v>
          </cell>
          <cell r="X31550" t="str">
            <v>GWP - gross</v>
          </cell>
          <cell r="Y31550" t="str">
            <v>ECUADOR</v>
          </cell>
        </row>
        <row r="31551">
          <cell r="L31551" t="str">
            <v>Non-proportional</v>
          </cell>
          <cell r="S31551">
            <v>-81827.77</v>
          </cell>
          <cell r="X31551" t="str">
            <v>GWP - gross</v>
          </cell>
          <cell r="Y31551" t="str">
            <v>ECUADOR</v>
          </cell>
        </row>
        <row r="31552">
          <cell r="L31552" t="str">
            <v>Non-proportional</v>
          </cell>
          <cell r="S31552">
            <v>-21556.92</v>
          </cell>
          <cell r="X31552" t="str">
            <v>GWP - gross</v>
          </cell>
          <cell r="Y31552" t="str">
            <v>AUSTRIA</v>
          </cell>
        </row>
        <row r="31553">
          <cell r="L31553" t="str">
            <v>Non-proportional</v>
          </cell>
          <cell r="S31553">
            <v>-66800</v>
          </cell>
          <cell r="X31553" t="str">
            <v>GWP - gross</v>
          </cell>
          <cell r="Y31553" t="str">
            <v>ITALY</v>
          </cell>
        </row>
        <row r="31554">
          <cell r="L31554" t="str">
            <v>Non-proportional</v>
          </cell>
          <cell r="S31554">
            <v>4152.5200000000004</v>
          </cell>
          <cell r="X31554" t="str">
            <v>GWP - gross</v>
          </cell>
          <cell r="Y31554" t="str">
            <v>GERMANY</v>
          </cell>
        </row>
        <row r="31555">
          <cell r="L31555" t="str">
            <v>Non-proportional</v>
          </cell>
          <cell r="S31555">
            <v>23436</v>
          </cell>
          <cell r="X31555" t="str">
            <v>GWP - gross</v>
          </cell>
          <cell r="Y31555" t="str">
            <v>AUSTRIA</v>
          </cell>
        </row>
        <row r="31556">
          <cell r="L31556" t="str">
            <v>Non-proportional</v>
          </cell>
          <cell r="S31556">
            <v>-13259.36</v>
          </cell>
          <cell r="X31556" t="str">
            <v>GWP - gross</v>
          </cell>
          <cell r="Y31556" t="str">
            <v>GERMANY</v>
          </cell>
        </row>
        <row r="31557">
          <cell r="L31557" t="str">
            <v>Non-proportional</v>
          </cell>
          <cell r="S31557">
            <v>-1268265.6000000001</v>
          </cell>
          <cell r="X31557" t="str">
            <v>GWP - gross</v>
          </cell>
          <cell r="Y31557" t="str">
            <v>HONG KONG</v>
          </cell>
        </row>
        <row r="31558">
          <cell r="L31558" t="str">
            <v>Non-proportional</v>
          </cell>
          <cell r="S31558">
            <v>-24438.38</v>
          </cell>
          <cell r="X31558" t="str">
            <v>GWP - gross</v>
          </cell>
          <cell r="Y31558" t="str">
            <v>ECUADOR</v>
          </cell>
        </row>
        <row r="31559">
          <cell r="L31559" t="str">
            <v>Non-proportional</v>
          </cell>
          <cell r="S31559">
            <v>-89266.66</v>
          </cell>
          <cell r="X31559" t="str">
            <v>GWP - gross</v>
          </cell>
          <cell r="Y31559" t="str">
            <v>ECUADOR</v>
          </cell>
        </row>
        <row r="31560">
          <cell r="L31560" t="str">
            <v>Non-proportional</v>
          </cell>
          <cell r="S31560">
            <v>-11522</v>
          </cell>
          <cell r="X31560" t="str">
            <v>GWP - gross</v>
          </cell>
          <cell r="Y31560" t="str">
            <v>ITALY</v>
          </cell>
        </row>
        <row r="31561">
          <cell r="L31561" t="str">
            <v>Non-proportional</v>
          </cell>
          <cell r="S31561">
            <v>-733.62</v>
          </cell>
          <cell r="X31561" t="str">
            <v>GWP - gross</v>
          </cell>
          <cell r="Y31561" t="str">
            <v>GERMANY</v>
          </cell>
        </row>
        <row r="31562">
          <cell r="L31562" t="str">
            <v>Non-proportional</v>
          </cell>
          <cell r="S31562">
            <v>-19760.650000000001</v>
          </cell>
          <cell r="X31562" t="str">
            <v>GWP - gross</v>
          </cell>
          <cell r="Y31562" t="str">
            <v>JAPAN</v>
          </cell>
        </row>
        <row r="31563">
          <cell r="L31563" t="str">
            <v>Non-proportional</v>
          </cell>
          <cell r="S31563">
            <v>-13239.54</v>
          </cell>
          <cell r="X31563" t="str">
            <v>GWP - gross</v>
          </cell>
          <cell r="Y31563" t="str">
            <v>JAPAN</v>
          </cell>
        </row>
        <row r="31564">
          <cell r="L31564" t="str">
            <v>Non-proportional</v>
          </cell>
          <cell r="S31564">
            <v>18234.009999999998</v>
          </cell>
          <cell r="X31564" t="str">
            <v>GWP - gross</v>
          </cell>
          <cell r="Y31564" t="str">
            <v>NETHERLANDS</v>
          </cell>
        </row>
        <row r="31565">
          <cell r="L31565" t="str">
            <v>Non-proportional</v>
          </cell>
          <cell r="S31565">
            <v>-24075.22</v>
          </cell>
          <cell r="X31565" t="str">
            <v>GWP - gross</v>
          </cell>
          <cell r="Y31565" t="str">
            <v>AUSTRALIA</v>
          </cell>
        </row>
        <row r="31566">
          <cell r="L31566" t="str">
            <v>Non-proportional</v>
          </cell>
          <cell r="S31566">
            <v>11304.51</v>
          </cell>
          <cell r="X31566" t="str">
            <v>GWP - gross</v>
          </cell>
          <cell r="Y31566" t="str">
            <v>CYPRUS</v>
          </cell>
        </row>
        <row r="31567">
          <cell r="L31567" t="str">
            <v>Non-proportional</v>
          </cell>
          <cell r="S31567">
            <v>1253.78</v>
          </cell>
          <cell r="X31567" t="str">
            <v>GWP - gross</v>
          </cell>
          <cell r="Y31567" t="str">
            <v>CYPRUS</v>
          </cell>
        </row>
        <row r="31568">
          <cell r="L31568" t="str">
            <v>Non-proportional</v>
          </cell>
          <cell r="S31568">
            <v>-11547.55</v>
          </cell>
          <cell r="X31568" t="str">
            <v>GWP - gross</v>
          </cell>
          <cell r="Y31568" t="str">
            <v>JAPAN</v>
          </cell>
        </row>
        <row r="31569">
          <cell r="L31569" t="str">
            <v>Non-proportional</v>
          </cell>
          <cell r="S31569">
            <v>5483.88</v>
          </cell>
          <cell r="X31569" t="str">
            <v>GWP - gross</v>
          </cell>
          <cell r="Y31569" t="str">
            <v>ISRAEL</v>
          </cell>
        </row>
        <row r="31570">
          <cell r="L31570" t="str">
            <v>Non-proportional</v>
          </cell>
          <cell r="S31570">
            <v>-2204.5300000000002</v>
          </cell>
          <cell r="X31570" t="str">
            <v>GWP - gross</v>
          </cell>
          <cell r="Y31570" t="str">
            <v>JAPAN</v>
          </cell>
        </row>
        <row r="31571">
          <cell r="L31571" t="str">
            <v>Non-proportional</v>
          </cell>
          <cell r="S31571">
            <v>-49660.89</v>
          </cell>
          <cell r="X31571" t="str">
            <v>GWP - gross</v>
          </cell>
          <cell r="Y31571" t="str">
            <v>ECUADOR</v>
          </cell>
        </row>
        <row r="31572">
          <cell r="L31572" t="str">
            <v>Non-proportional</v>
          </cell>
          <cell r="S31572">
            <v>-35629.129999999997</v>
          </cell>
          <cell r="X31572" t="str">
            <v>GWP - gross</v>
          </cell>
          <cell r="Y31572" t="str">
            <v>JAPAN</v>
          </cell>
        </row>
        <row r="31573">
          <cell r="L31573" t="str">
            <v>Non-proportional</v>
          </cell>
          <cell r="S31573">
            <v>-361246.86</v>
          </cell>
          <cell r="X31573" t="str">
            <v>GWP - gross</v>
          </cell>
          <cell r="Y31573" t="str">
            <v>JAPAN</v>
          </cell>
        </row>
        <row r="31574">
          <cell r="L31574" t="str">
            <v>Non-proportional</v>
          </cell>
          <cell r="S31574">
            <v>35272.22</v>
          </cell>
          <cell r="X31574" t="str">
            <v>GWP - gross</v>
          </cell>
          <cell r="Y31574" t="str">
            <v>SOUTH AFRICA</v>
          </cell>
        </row>
        <row r="31575">
          <cell r="L31575" t="str">
            <v>Non-proportional</v>
          </cell>
          <cell r="S31575">
            <v>19257.240000000002</v>
          </cell>
          <cell r="X31575" t="str">
            <v>GWP - gross</v>
          </cell>
          <cell r="Y31575" t="str">
            <v>JAPAN</v>
          </cell>
        </row>
        <row r="31576">
          <cell r="L31576" t="str">
            <v>Non-proportional</v>
          </cell>
          <cell r="S31576">
            <v>-98802.559999999998</v>
          </cell>
          <cell r="X31576" t="str">
            <v>GWP - gross</v>
          </cell>
          <cell r="Y31576" t="str">
            <v>JAPAN</v>
          </cell>
        </row>
        <row r="31577">
          <cell r="L31577" t="str">
            <v>Non-proportional</v>
          </cell>
          <cell r="S31577">
            <v>-31923.14</v>
          </cell>
          <cell r="X31577" t="str">
            <v>GWP - gross</v>
          </cell>
          <cell r="Y31577" t="str">
            <v>GERMANY</v>
          </cell>
        </row>
        <row r="31578">
          <cell r="L31578" t="str">
            <v>Non-proportional</v>
          </cell>
          <cell r="S31578">
            <v>-20575.63</v>
          </cell>
          <cell r="X31578" t="str">
            <v>GWP - gross</v>
          </cell>
          <cell r="Y31578" t="str">
            <v>JAPAN</v>
          </cell>
        </row>
        <row r="31579">
          <cell r="L31579" t="str">
            <v>Non-proportional</v>
          </cell>
          <cell r="S31579">
            <v>-8581.9500000000007</v>
          </cell>
          <cell r="X31579" t="str">
            <v>GWP - gross</v>
          </cell>
          <cell r="Y31579" t="str">
            <v>INDIA</v>
          </cell>
        </row>
        <row r="31580">
          <cell r="L31580" t="str">
            <v>Non-proportional</v>
          </cell>
          <cell r="S31580">
            <v>39205.96</v>
          </cell>
          <cell r="X31580" t="str">
            <v>GWP - gross</v>
          </cell>
          <cell r="Y31580" t="str">
            <v>ECUADOR</v>
          </cell>
        </row>
        <row r="31581">
          <cell r="L31581" t="str">
            <v>Non-proportional</v>
          </cell>
          <cell r="S31581">
            <v>4500.22</v>
          </cell>
          <cell r="X31581" t="str">
            <v>GWP - gross</v>
          </cell>
          <cell r="Y31581" t="str">
            <v>GERMANY</v>
          </cell>
        </row>
        <row r="31582">
          <cell r="L31582" t="str">
            <v>Non-proportional</v>
          </cell>
          <cell r="S31582">
            <v>-35321.919999999998</v>
          </cell>
          <cell r="X31582" t="str">
            <v>GWP - gross</v>
          </cell>
          <cell r="Y31582" t="str">
            <v>JAPAN</v>
          </cell>
        </row>
        <row r="31583">
          <cell r="L31583" t="str">
            <v>Non-proportional</v>
          </cell>
          <cell r="S31583">
            <v>-3796.87</v>
          </cell>
          <cell r="X31583" t="str">
            <v>GWP - gross</v>
          </cell>
          <cell r="Y31583" t="str">
            <v>GERMANY</v>
          </cell>
        </row>
        <row r="31584">
          <cell r="L31584" t="str">
            <v>Non-proportional</v>
          </cell>
          <cell r="S31584">
            <v>1906.95</v>
          </cell>
          <cell r="X31584" t="str">
            <v>GWP - gross</v>
          </cell>
          <cell r="Y31584" t="str">
            <v>ISRAEL</v>
          </cell>
        </row>
        <row r="31585">
          <cell r="L31585" t="str">
            <v>Non-proportional</v>
          </cell>
          <cell r="S31585">
            <v>-419334.47</v>
          </cell>
          <cell r="X31585" t="str">
            <v>GWP - gross</v>
          </cell>
          <cell r="Y31585" t="str">
            <v>UNITED STATES</v>
          </cell>
        </row>
        <row r="31586">
          <cell r="L31586" t="str">
            <v>Non-proportional</v>
          </cell>
          <cell r="S31586">
            <v>131784.75</v>
          </cell>
          <cell r="X31586" t="str">
            <v>GWP - gross</v>
          </cell>
          <cell r="Y31586" t="str">
            <v>CHILE</v>
          </cell>
        </row>
        <row r="31587">
          <cell r="L31587" t="str">
            <v>Proportional</v>
          </cell>
          <cell r="S31587">
            <v>-1084493.71</v>
          </cell>
          <cell r="X31587" t="str">
            <v>GWP - gross</v>
          </cell>
          <cell r="Y31587" t="str">
            <v>UNITED STATES</v>
          </cell>
        </row>
        <row r="31588">
          <cell r="L31588" t="str">
            <v>Non-proportional</v>
          </cell>
          <cell r="S31588">
            <v>21566.98</v>
          </cell>
          <cell r="X31588" t="str">
            <v>GWP - gross</v>
          </cell>
          <cell r="Y31588" t="str">
            <v>GUATEMALA</v>
          </cell>
        </row>
        <row r="31589">
          <cell r="L31589" t="str">
            <v>Non-proportional</v>
          </cell>
          <cell r="S31589">
            <v>-3518.22</v>
          </cell>
          <cell r="X31589" t="str">
            <v>GWP - gross</v>
          </cell>
          <cell r="Y31589" t="str">
            <v>GERMANY</v>
          </cell>
        </row>
        <row r="31590">
          <cell r="L31590" t="str">
            <v>Non-proportional</v>
          </cell>
          <cell r="S31590">
            <v>-24453.33</v>
          </cell>
          <cell r="X31590" t="str">
            <v>GWP - gross</v>
          </cell>
          <cell r="Y31590" t="str">
            <v>INDIA</v>
          </cell>
        </row>
        <row r="31591">
          <cell r="L31591" t="str">
            <v>Non-proportional</v>
          </cell>
          <cell r="S31591">
            <v>-35815.93</v>
          </cell>
          <cell r="X31591" t="str">
            <v>GWP - gross</v>
          </cell>
          <cell r="Y31591" t="str">
            <v>JAPAN</v>
          </cell>
        </row>
        <row r="31592">
          <cell r="L31592" t="str">
            <v>Non-proportional</v>
          </cell>
          <cell r="S31592">
            <v>73484.399999999994</v>
          </cell>
          <cell r="X31592" t="str">
            <v>GWP - gross</v>
          </cell>
          <cell r="Y31592" t="str">
            <v>JAPAN</v>
          </cell>
        </row>
        <row r="31593">
          <cell r="L31593" t="str">
            <v>Non-proportional</v>
          </cell>
          <cell r="S31593">
            <v>16055.42</v>
          </cell>
          <cell r="X31593" t="str">
            <v>GWP - gross</v>
          </cell>
          <cell r="Y31593" t="str">
            <v>JAPAN</v>
          </cell>
        </row>
        <row r="31594">
          <cell r="L31594" t="str">
            <v>Non-proportional</v>
          </cell>
          <cell r="S31594">
            <v>-12230.5</v>
          </cell>
          <cell r="X31594" t="str">
            <v>GWP - gross</v>
          </cell>
          <cell r="Y31594" t="str">
            <v>ECUADOR</v>
          </cell>
        </row>
        <row r="31595">
          <cell r="L31595" t="str">
            <v>Non-proportional</v>
          </cell>
          <cell r="S31595">
            <v>-63921.19</v>
          </cell>
          <cell r="X31595" t="str">
            <v>GWP - gross</v>
          </cell>
          <cell r="Y31595" t="str">
            <v>NEW ZEALAND</v>
          </cell>
        </row>
        <row r="31596">
          <cell r="L31596" t="str">
            <v>Non-proportional</v>
          </cell>
          <cell r="S31596">
            <v>6247.79</v>
          </cell>
          <cell r="X31596" t="str">
            <v>GWP - gross</v>
          </cell>
          <cell r="Y31596" t="str">
            <v>FAROE ISLANDS</v>
          </cell>
        </row>
        <row r="31597">
          <cell r="L31597" t="str">
            <v>Non-proportional</v>
          </cell>
          <cell r="S31597">
            <v>44881.2</v>
          </cell>
          <cell r="X31597" t="str">
            <v>GWP - gross</v>
          </cell>
          <cell r="Y31597" t="str">
            <v>CYPRUS</v>
          </cell>
        </row>
        <row r="31598">
          <cell r="L31598" t="str">
            <v>Non-proportional</v>
          </cell>
          <cell r="S31598">
            <v>-24104</v>
          </cell>
          <cell r="X31598" t="str">
            <v>GWP - gross</v>
          </cell>
          <cell r="Y31598" t="str">
            <v>INDIA</v>
          </cell>
        </row>
        <row r="31599">
          <cell r="L31599" t="str">
            <v>Proportional</v>
          </cell>
          <cell r="S31599">
            <v>-858503.43</v>
          </cell>
          <cell r="X31599" t="str">
            <v>GWP - gross</v>
          </cell>
          <cell r="Y31599" t="str">
            <v>UNITED STATES</v>
          </cell>
        </row>
        <row r="31600">
          <cell r="L31600" t="str">
            <v>Non-proportional</v>
          </cell>
          <cell r="S31600">
            <v>-24639.75</v>
          </cell>
          <cell r="X31600" t="str">
            <v>GWP - gross</v>
          </cell>
          <cell r="Y31600" t="str">
            <v>NETHERLANDS</v>
          </cell>
        </row>
        <row r="31601">
          <cell r="L31601" t="str">
            <v>Non-proportional</v>
          </cell>
          <cell r="S31601">
            <v>11087.5</v>
          </cell>
          <cell r="X31601" t="str">
            <v>GWP - gross</v>
          </cell>
          <cell r="Y31601" t="str">
            <v>JAPAN</v>
          </cell>
        </row>
        <row r="31602">
          <cell r="L31602" t="str">
            <v>Non-proportional</v>
          </cell>
          <cell r="S31602">
            <v>115220</v>
          </cell>
          <cell r="X31602" t="str">
            <v>GWP - gross</v>
          </cell>
          <cell r="Y31602" t="str">
            <v>ITALY</v>
          </cell>
        </row>
        <row r="31603">
          <cell r="L31603" t="str">
            <v>Non-proportional</v>
          </cell>
          <cell r="S31603">
            <v>-21122.99</v>
          </cell>
          <cell r="X31603" t="str">
            <v>GWP - gross</v>
          </cell>
          <cell r="Y31603" t="str">
            <v>NEW ZEALAND</v>
          </cell>
        </row>
        <row r="31604">
          <cell r="L31604" t="str">
            <v>Non-proportional</v>
          </cell>
          <cell r="S31604">
            <v>213524.82</v>
          </cell>
          <cell r="X31604" t="str">
            <v>GWP - gross</v>
          </cell>
          <cell r="Y31604" t="str">
            <v>UNITED KINGDOM</v>
          </cell>
        </row>
        <row r="31605">
          <cell r="L31605" t="str">
            <v>Non-proportional</v>
          </cell>
          <cell r="S31605">
            <v>-20064.240000000002</v>
          </cell>
          <cell r="X31605" t="str">
            <v>GWP - gross</v>
          </cell>
          <cell r="Y31605" t="str">
            <v>ECUADOR</v>
          </cell>
        </row>
        <row r="31606">
          <cell r="L31606" t="str">
            <v>Non-proportional</v>
          </cell>
          <cell r="S31606">
            <v>-8695</v>
          </cell>
          <cell r="X31606" t="str">
            <v>GWP - gross</v>
          </cell>
          <cell r="Y31606" t="str">
            <v>CHILE</v>
          </cell>
        </row>
        <row r="31607">
          <cell r="L31607" t="str">
            <v>Non-proportional</v>
          </cell>
          <cell r="S31607">
            <v>-3010.17</v>
          </cell>
          <cell r="X31607" t="str">
            <v>GWP - gross</v>
          </cell>
          <cell r="Y31607" t="str">
            <v>EUROPE</v>
          </cell>
        </row>
        <row r="31608">
          <cell r="L31608" t="str">
            <v>Non-proportional</v>
          </cell>
          <cell r="S31608">
            <v>-25194.65</v>
          </cell>
          <cell r="X31608" t="str">
            <v>GWP - gross</v>
          </cell>
          <cell r="Y31608" t="str">
            <v>JAPAN</v>
          </cell>
        </row>
        <row r="31609">
          <cell r="L31609" t="str">
            <v>Non-proportional</v>
          </cell>
          <cell r="S31609">
            <v>-34827.9</v>
          </cell>
          <cell r="X31609" t="str">
            <v>GWP - gross</v>
          </cell>
          <cell r="Y31609" t="str">
            <v>JAPAN</v>
          </cell>
        </row>
        <row r="31610">
          <cell r="L31610" t="str">
            <v>Non-proportional</v>
          </cell>
          <cell r="S31610">
            <v>10150</v>
          </cell>
          <cell r="X31610" t="str">
            <v>GWP - gross</v>
          </cell>
          <cell r="Y31610" t="str">
            <v>GERMANY</v>
          </cell>
        </row>
        <row r="31611">
          <cell r="L31611" t="str">
            <v>Non-proportional</v>
          </cell>
          <cell r="S31611">
            <v>-2967.55</v>
          </cell>
          <cell r="X31611" t="str">
            <v>GWP - gross</v>
          </cell>
          <cell r="Y31611" t="str">
            <v>DENMARK</v>
          </cell>
        </row>
        <row r="31612">
          <cell r="L31612" t="str">
            <v>Non-proportional</v>
          </cell>
          <cell r="S31612">
            <v>1049768.43</v>
          </cell>
          <cell r="X31612" t="str">
            <v>GWP - gross</v>
          </cell>
          <cell r="Y31612" t="str">
            <v>FRANCE</v>
          </cell>
        </row>
        <row r="31613">
          <cell r="L31613" t="str">
            <v>Non-proportional</v>
          </cell>
          <cell r="S31613">
            <v>5478.91</v>
          </cell>
          <cell r="X31613" t="str">
            <v>GWP - gross</v>
          </cell>
          <cell r="Y31613" t="str">
            <v>JAPAN</v>
          </cell>
        </row>
        <row r="31614">
          <cell r="L31614" t="str">
            <v>Non-proportional</v>
          </cell>
          <cell r="S31614">
            <v>-21304.3</v>
          </cell>
          <cell r="X31614" t="str">
            <v>GWP - gross</v>
          </cell>
          <cell r="Y31614" t="str">
            <v>JAPAN</v>
          </cell>
        </row>
        <row r="31615">
          <cell r="L31615" t="str">
            <v>Non-proportional</v>
          </cell>
          <cell r="S31615">
            <v>172196.21</v>
          </cell>
          <cell r="X31615" t="str">
            <v>GWP - gross</v>
          </cell>
          <cell r="Y31615" t="str">
            <v>UNITED KINGDOM</v>
          </cell>
        </row>
        <row r="31616">
          <cell r="L31616" t="str">
            <v>Non-proportional</v>
          </cell>
          <cell r="S31616">
            <v>-47755.45</v>
          </cell>
          <cell r="X31616" t="str">
            <v>GWP - gross</v>
          </cell>
          <cell r="Y31616" t="str">
            <v>GUATEMALA</v>
          </cell>
        </row>
        <row r="31617">
          <cell r="L31617" t="str">
            <v>Non-proportional</v>
          </cell>
          <cell r="S31617">
            <v>-7810.03</v>
          </cell>
          <cell r="X31617" t="str">
            <v>GWP - gross</v>
          </cell>
          <cell r="Y31617" t="str">
            <v>GREECE</v>
          </cell>
        </row>
        <row r="31618">
          <cell r="L31618" t="str">
            <v>Non-proportional</v>
          </cell>
          <cell r="S31618">
            <v>3680.29</v>
          </cell>
          <cell r="X31618" t="str">
            <v>GWP - gross</v>
          </cell>
          <cell r="Y31618" t="str">
            <v>GERMANY</v>
          </cell>
        </row>
        <row r="31619">
          <cell r="L31619" t="str">
            <v>Non-proportional</v>
          </cell>
          <cell r="S31619">
            <v>247.46</v>
          </cell>
          <cell r="X31619" t="str">
            <v>GWP - gross</v>
          </cell>
          <cell r="Y31619" t="str">
            <v>GERMANY</v>
          </cell>
        </row>
        <row r="31620">
          <cell r="L31620" t="str">
            <v>Non-proportional</v>
          </cell>
          <cell r="S31620">
            <v>419334.47</v>
          </cell>
          <cell r="X31620" t="str">
            <v>GWP - gross</v>
          </cell>
          <cell r="Y31620" t="str">
            <v>UNITED STATES</v>
          </cell>
        </row>
        <row r="31621">
          <cell r="L31621" t="str">
            <v>Non-proportional</v>
          </cell>
          <cell r="S31621">
            <v>-201705.19</v>
          </cell>
          <cell r="X31621" t="str">
            <v>GWP - gross</v>
          </cell>
          <cell r="Y31621" t="str">
            <v>HONG KONG</v>
          </cell>
        </row>
        <row r="31622">
          <cell r="L31622" t="str">
            <v>Non-proportional</v>
          </cell>
          <cell r="S31622">
            <v>-80105.919999999998</v>
          </cell>
          <cell r="X31622" t="str">
            <v>GWP - gross</v>
          </cell>
          <cell r="Y31622" t="str">
            <v>GUATEMALA</v>
          </cell>
        </row>
        <row r="31623">
          <cell r="L31623" t="str">
            <v>Non-proportional</v>
          </cell>
          <cell r="S31623">
            <v>-9954.15</v>
          </cell>
          <cell r="X31623" t="str">
            <v>GWP - gross</v>
          </cell>
          <cell r="Y31623" t="str">
            <v>ITALY</v>
          </cell>
        </row>
        <row r="31624">
          <cell r="L31624" t="str">
            <v>Non-proportional</v>
          </cell>
          <cell r="S31624">
            <v>-30857.93</v>
          </cell>
          <cell r="X31624" t="str">
            <v>GWP - gross</v>
          </cell>
          <cell r="Y31624" t="str">
            <v>AUSTRALIA</v>
          </cell>
        </row>
        <row r="31625">
          <cell r="L31625" t="str">
            <v>Non-proportional</v>
          </cell>
          <cell r="S31625">
            <v>-26782.22</v>
          </cell>
          <cell r="X31625" t="str">
            <v>GWP - gross</v>
          </cell>
          <cell r="Y31625" t="str">
            <v>INDIA</v>
          </cell>
        </row>
        <row r="31626">
          <cell r="L31626" t="str">
            <v>Non-proportional</v>
          </cell>
          <cell r="S31626">
            <v>6472</v>
          </cell>
          <cell r="X31626" t="str">
            <v>GWP - gross</v>
          </cell>
          <cell r="Y31626" t="str">
            <v>ITALY</v>
          </cell>
        </row>
        <row r="31627">
          <cell r="L31627" t="str">
            <v>Non-proportional</v>
          </cell>
          <cell r="S31627">
            <v>11284.25</v>
          </cell>
          <cell r="X31627" t="str">
            <v>GWP - gross</v>
          </cell>
          <cell r="Y31627" t="str">
            <v>CYPRUS</v>
          </cell>
        </row>
        <row r="31628">
          <cell r="L31628" t="str">
            <v>Proportional</v>
          </cell>
          <cell r="S31628">
            <v>72518.36</v>
          </cell>
          <cell r="X31628" t="str">
            <v>GWP - gross</v>
          </cell>
          <cell r="Y31628" t="str">
            <v>CANADA</v>
          </cell>
        </row>
        <row r="31629">
          <cell r="L31629" t="str">
            <v>Non-proportional</v>
          </cell>
          <cell r="S31629">
            <v>-42300.34</v>
          </cell>
          <cell r="X31629" t="str">
            <v>GWP - gross</v>
          </cell>
          <cell r="Y31629" t="str">
            <v>ECUADOR</v>
          </cell>
        </row>
        <row r="31630">
          <cell r="L31630" t="str">
            <v>Non-proportional</v>
          </cell>
          <cell r="S31630">
            <v>-2847.65</v>
          </cell>
          <cell r="X31630" t="str">
            <v>GWP - gross</v>
          </cell>
          <cell r="Y31630" t="str">
            <v>GERMANY</v>
          </cell>
        </row>
        <row r="31631">
          <cell r="L31631" t="str">
            <v>Proportional</v>
          </cell>
          <cell r="S31631">
            <v>-40.11</v>
          </cell>
          <cell r="X31631" t="str">
            <v>GWP - gross</v>
          </cell>
          <cell r="Y31631" t="str">
            <v>UNITED STATES</v>
          </cell>
        </row>
        <row r="31632">
          <cell r="L31632" t="str">
            <v>Non-proportional</v>
          </cell>
          <cell r="S31632">
            <v>-2366.63</v>
          </cell>
          <cell r="X31632" t="str">
            <v>GWP - gross</v>
          </cell>
          <cell r="Y31632" t="str">
            <v>JAPAN</v>
          </cell>
        </row>
        <row r="31633">
          <cell r="L31633" t="str">
            <v>Non-proportional</v>
          </cell>
          <cell r="S31633">
            <v>-11065.44</v>
          </cell>
          <cell r="X31633" t="str">
            <v>GWP - gross</v>
          </cell>
          <cell r="Y31633" t="str">
            <v>ECUADOR</v>
          </cell>
        </row>
        <row r="31634">
          <cell r="L31634" t="str">
            <v>Non-proportional</v>
          </cell>
          <cell r="S31634">
            <v>-58939.63</v>
          </cell>
          <cell r="X31634" t="str">
            <v>GWP - gross</v>
          </cell>
          <cell r="Y31634" t="str">
            <v>ECUADOR</v>
          </cell>
        </row>
        <row r="31635">
          <cell r="L31635" t="str">
            <v>Non-proportional</v>
          </cell>
          <cell r="S31635">
            <v>-23963.33</v>
          </cell>
          <cell r="X31635" t="str">
            <v>GWP - gross</v>
          </cell>
          <cell r="Y31635" t="str">
            <v>GUATEMALA</v>
          </cell>
        </row>
        <row r="31636">
          <cell r="L31636" t="str">
            <v>Non-proportional</v>
          </cell>
          <cell r="S31636">
            <v>-1592.05</v>
          </cell>
          <cell r="X31636" t="str">
            <v>GWP - gross</v>
          </cell>
          <cell r="Y31636" t="str">
            <v>ISRAEL</v>
          </cell>
        </row>
        <row r="31637">
          <cell r="L31637" t="str">
            <v>Non-proportional</v>
          </cell>
          <cell r="S31637">
            <v>-8452.14</v>
          </cell>
          <cell r="X31637" t="str">
            <v>GWP - gross</v>
          </cell>
          <cell r="Y31637" t="str">
            <v>FAROE ISLANDS</v>
          </cell>
        </row>
        <row r="31638">
          <cell r="L31638" t="str">
            <v>Proportional</v>
          </cell>
          <cell r="S31638">
            <v>725177.5</v>
          </cell>
          <cell r="X31638" t="str">
            <v>GWP - gross</v>
          </cell>
          <cell r="Y31638" t="str">
            <v>CANADA</v>
          </cell>
        </row>
        <row r="31639">
          <cell r="L31639" t="str">
            <v>Non-proportional</v>
          </cell>
          <cell r="S31639">
            <v>115927.4</v>
          </cell>
          <cell r="X31639" t="str">
            <v>GWP - gross</v>
          </cell>
          <cell r="Y31639" t="str">
            <v>CHINA</v>
          </cell>
        </row>
        <row r="31640">
          <cell r="L31640" t="str">
            <v>Non-proportional</v>
          </cell>
          <cell r="S31640">
            <v>26660.05</v>
          </cell>
          <cell r="X31640" t="str">
            <v>GWP - gross</v>
          </cell>
          <cell r="Y31640" t="str">
            <v>ECUADOR</v>
          </cell>
        </row>
        <row r="31641">
          <cell r="L31641" t="str">
            <v>Non-proportional</v>
          </cell>
          <cell r="S31641">
            <v>7877.96</v>
          </cell>
          <cell r="X31641" t="str">
            <v>GWP - gross</v>
          </cell>
          <cell r="Y31641" t="str">
            <v>JAPAN</v>
          </cell>
        </row>
        <row r="31642">
          <cell r="L31642" t="str">
            <v>Non-proportional</v>
          </cell>
          <cell r="S31642">
            <v>58000.14</v>
          </cell>
          <cell r="X31642" t="str">
            <v>GWP - gross</v>
          </cell>
          <cell r="Y31642" t="str">
            <v>ECUADOR</v>
          </cell>
        </row>
        <row r="31643">
          <cell r="L31643" t="str">
            <v>Non-proportional</v>
          </cell>
          <cell r="S31643">
            <v>-21396.97</v>
          </cell>
          <cell r="X31643" t="str">
            <v>GWP - gross</v>
          </cell>
          <cell r="Y31643" t="str">
            <v>JAPAN</v>
          </cell>
        </row>
        <row r="31644">
          <cell r="L31644" t="str">
            <v>Non-proportional</v>
          </cell>
          <cell r="S31644">
            <v>555.5</v>
          </cell>
          <cell r="X31644" t="str">
            <v>GWP - gross</v>
          </cell>
          <cell r="Y31644" t="str">
            <v>PERU</v>
          </cell>
        </row>
        <row r="31645">
          <cell r="L31645" t="str">
            <v>Non-proportional</v>
          </cell>
          <cell r="S31645">
            <v>658.92</v>
          </cell>
          <cell r="X31645" t="str">
            <v>GWP - gross</v>
          </cell>
          <cell r="Y31645" t="str">
            <v>ISRAEL</v>
          </cell>
        </row>
        <row r="31646">
          <cell r="L31646" t="str">
            <v>Non-proportional</v>
          </cell>
          <cell r="S31646">
            <v>2770.11</v>
          </cell>
          <cell r="X31646" t="str">
            <v>GWP - gross</v>
          </cell>
          <cell r="Y31646" t="str">
            <v>EUROPE</v>
          </cell>
        </row>
        <row r="31647">
          <cell r="L31647" t="str">
            <v>Non-proportional</v>
          </cell>
          <cell r="S31647">
            <v>24075.22</v>
          </cell>
          <cell r="X31647" t="str">
            <v>GWP - gross</v>
          </cell>
          <cell r="Y31647" t="str">
            <v>AUSTRALIA</v>
          </cell>
        </row>
        <row r="31648">
          <cell r="L31648" t="str">
            <v>Non-proportional</v>
          </cell>
          <cell r="S31648">
            <v>-30.95</v>
          </cell>
          <cell r="X31648" t="str">
            <v>GWP - gross</v>
          </cell>
          <cell r="Y31648" t="str">
            <v>ISRAEL</v>
          </cell>
        </row>
        <row r="31649">
          <cell r="L31649" t="str">
            <v>Non-proportional</v>
          </cell>
          <cell r="S31649">
            <v>-9535.51</v>
          </cell>
          <cell r="X31649" t="str">
            <v>GWP - gross</v>
          </cell>
          <cell r="Y31649" t="str">
            <v>INDIA</v>
          </cell>
        </row>
        <row r="31650">
          <cell r="L31650" t="str">
            <v>Non-proportional</v>
          </cell>
          <cell r="S31650">
            <v>16302</v>
          </cell>
          <cell r="X31650" t="str">
            <v>GWP - gross</v>
          </cell>
          <cell r="Y31650" t="str">
            <v>GERMANY</v>
          </cell>
        </row>
        <row r="31651">
          <cell r="L31651" t="str">
            <v>Proportional</v>
          </cell>
          <cell r="S31651">
            <v>-52250</v>
          </cell>
          <cell r="X31651" t="str">
            <v>GWP - gross</v>
          </cell>
          <cell r="Y31651" t="str">
            <v>REPUBLIC OF IRELAND</v>
          </cell>
        </row>
        <row r="31652">
          <cell r="L31652" t="str">
            <v>Non-proportional</v>
          </cell>
          <cell r="S31652">
            <v>8581.9500000000007</v>
          </cell>
          <cell r="X31652" t="str">
            <v>GWP - gross</v>
          </cell>
          <cell r="Y31652" t="str">
            <v>INDIA</v>
          </cell>
        </row>
        <row r="31653">
          <cell r="L31653" t="str">
            <v>Non-proportional</v>
          </cell>
          <cell r="S31653">
            <v>-26379.8</v>
          </cell>
          <cell r="X31653" t="str">
            <v>GWP - gross</v>
          </cell>
          <cell r="Y31653" t="str">
            <v>COLOMBIA</v>
          </cell>
        </row>
        <row r="31654">
          <cell r="L31654" t="str">
            <v>Proportional</v>
          </cell>
          <cell r="S31654">
            <v>180034.1</v>
          </cell>
          <cell r="X31654" t="str">
            <v>GWP - gross</v>
          </cell>
          <cell r="Y31654" t="str">
            <v>JAPAN</v>
          </cell>
        </row>
        <row r="31655">
          <cell r="L31655" t="str">
            <v>Non-proportional</v>
          </cell>
          <cell r="S31655">
            <v>-27225.19</v>
          </cell>
          <cell r="X31655" t="str">
            <v>GWP - gross</v>
          </cell>
          <cell r="Y31655" t="str">
            <v>ECUADOR</v>
          </cell>
        </row>
        <row r="31656">
          <cell r="L31656" t="str">
            <v>Non-proportional</v>
          </cell>
          <cell r="S31656">
            <v>8720.7900000000009</v>
          </cell>
          <cell r="X31656" t="str">
            <v>GWP - gross</v>
          </cell>
          <cell r="Y31656" t="str">
            <v>ISRAEL</v>
          </cell>
        </row>
        <row r="31657">
          <cell r="L31657" t="str">
            <v>Non-proportional</v>
          </cell>
          <cell r="S31657">
            <v>-22786.34</v>
          </cell>
          <cell r="X31657" t="str">
            <v>GWP - gross</v>
          </cell>
          <cell r="Y31657" t="str">
            <v>JAPAN</v>
          </cell>
        </row>
        <row r="31658">
          <cell r="L31658" t="str">
            <v>Non-proportional</v>
          </cell>
          <cell r="S31658">
            <v>-441821.36</v>
          </cell>
          <cell r="X31658" t="str">
            <v>GWP - gross</v>
          </cell>
          <cell r="Y31658" t="str">
            <v>AUSTRALIA</v>
          </cell>
        </row>
        <row r="31659">
          <cell r="L31659" t="str">
            <v>Non-proportional</v>
          </cell>
          <cell r="S31659">
            <v>20575.63</v>
          </cell>
          <cell r="X31659" t="str">
            <v>GWP - gross</v>
          </cell>
          <cell r="Y31659" t="str">
            <v>JAPAN</v>
          </cell>
        </row>
        <row r="31660">
          <cell r="L31660" t="str">
            <v>Non-proportional</v>
          </cell>
          <cell r="S31660">
            <v>224211.24</v>
          </cell>
          <cell r="X31660" t="str">
            <v>GWP - gross</v>
          </cell>
          <cell r="Y31660" t="str">
            <v>CHINA</v>
          </cell>
        </row>
        <row r="31661">
          <cell r="L31661" t="str">
            <v>Non-proportional</v>
          </cell>
          <cell r="S31661">
            <v>-2107.96</v>
          </cell>
          <cell r="X31661" t="str">
            <v>GWP - gross</v>
          </cell>
          <cell r="Y31661" t="str">
            <v>FRANCE</v>
          </cell>
        </row>
        <row r="31662">
          <cell r="L31662" t="str">
            <v>Non-proportional</v>
          </cell>
          <cell r="S31662">
            <v>3696.4</v>
          </cell>
          <cell r="X31662" t="str">
            <v>GWP - gross</v>
          </cell>
          <cell r="Y31662" t="str">
            <v>AUSTRALIA</v>
          </cell>
        </row>
        <row r="31663">
          <cell r="L31663" t="str">
            <v>Proportional</v>
          </cell>
          <cell r="S31663">
            <v>-66500</v>
          </cell>
          <cell r="X31663" t="str">
            <v>GWP - gross</v>
          </cell>
          <cell r="Y31663" t="str">
            <v>SAUDI ARABIA</v>
          </cell>
        </row>
        <row r="31664">
          <cell r="L31664" t="str">
            <v>Non-proportional</v>
          </cell>
          <cell r="S31664">
            <v>7733.13</v>
          </cell>
          <cell r="X31664" t="str">
            <v>GWP - gross</v>
          </cell>
          <cell r="Y31664" t="str">
            <v>ECUADOR</v>
          </cell>
        </row>
        <row r="31665">
          <cell r="L31665" t="str">
            <v>Non-proportional</v>
          </cell>
          <cell r="S31665">
            <v>-78750</v>
          </cell>
          <cell r="X31665" t="str">
            <v>GWP - gross</v>
          </cell>
          <cell r="Y31665" t="str">
            <v>ITALY</v>
          </cell>
        </row>
        <row r="31666">
          <cell r="L31666" t="str">
            <v>Non-proportional</v>
          </cell>
          <cell r="S31666">
            <v>716.39</v>
          </cell>
          <cell r="X31666" t="str">
            <v>GWP - gross</v>
          </cell>
          <cell r="Y31666" t="str">
            <v>FRANCE</v>
          </cell>
        </row>
        <row r="31667">
          <cell r="L31667" t="str">
            <v>Non-proportional</v>
          </cell>
          <cell r="S31667">
            <v>98802.559999999998</v>
          </cell>
          <cell r="X31667" t="str">
            <v>GWP - gross</v>
          </cell>
          <cell r="Y31667" t="str">
            <v>JAPAN</v>
          </cell>
        </row>
        <row r="31668">
          <cell r="L31668" t="str">
            <v>Non-proportional</v>
          </cell>
          <cell r="S31668">
            <v>-20575.63</v>
          </cell>
          <cell r="X31668" t="str">
            <v>GWP - gross</v>
          </cell>
          <cell r="Y31668" t="str">
            <v>JAPAN</v>
          </cell>
        </row>
        <row r="31669">
          <cell r="L31669" t="str">
            <v>Non-proportional</v>
          </cell>
          <cell r="S31669">
            <v>-35321.919999999998</v>
          </cell>
          <cell r="X31669" t="str">
            <v>GWP - gross</v>
          </cell>
          <cell r="Y31669" t="str">
            <v>JAPAN</v>
          </cell>
        </row>
        <row r="31670">
          <cell r="L31670" t="str">
            <v>Non-proportional</v>
          </cell>
          <cell r="S31670">
            <v>1462.81</v>
          </cell>
          <cell r="X31670" t="str">
            <v>GWP - gross</v>
          </cell>
          <cell r="Y31670" t="str">
            <v>ISRAEL</v>
          </cell>
        </row>
        <row r="31671">
          <cell r="L31671" t="str">
            <v>Non-proportional</v>
          </cell>
          <cell r="S31671">
            <v>-25746.32</v>
          </cell>
          <cell r="X31671" t="str">
            <v>GWP - gross</v>
          </cell>
          <cell r="Y31671" t="str">
            <v>AUSTRIA</v>
          </cell>
        </row>
        <row r="31672">
          <cell r="L31672" t="str">
            <v>Non-proportional</v>
          </cell>
          <cell r="S31672">
            <v>-57613.82</v>
          </cell>
          <cell r="X31672" t="str">
            <v>GWP - gross</v>
          </cell>
          <cell r="Y31672" t="str">
            <v>FRANCE</v>
          </cell>
        </row>
        <row r="31673">
          <cell r="L31673" t="str">
            <v>Non-proportional</v>
          </cell>
          <cell r="S31673">
            <v>-25264.84</v>
          </cell>
          <cell r="X31673" t="str">
            <v>GWP - gross</v>
          </cell>
          <cell r="Y31673" t="str">
            <v>ITALY</v>
          </cell>
        </row>
        <row r="31674">
          <cell r="L31674" t="str">
            <v>Non-proportional</v>
          </cell>
          <cell r="S31674">
            <v>-477722.81</v>
          </cell>
          <cell r="X31674" t="str">
            <v>GWP - gross</v>
          </cell>
          <cell r="Y31674" t="str">
            <v>UNITED STATES</v>
          </cell>
        </row>
        <row r="31675">
          <cell r="L31675" t="str">
            <v>Non-proportional</v>
          </cell>
          <cell r="S31675">
            <v>-57122.8</v>
          </cell>
          <cell r="X31675" t="str">
            <v>GWP - gross</v>
          </cell>
          <cell r="Y31675" t="str">
            <v>ECUADOR</v>
          </cell>
        </row>
        <row r="31676">
          <cell r="L31676" t="str">
            <v>Non-proportional</v>
          </cell>
          <cell r="S31676">
            <v>66800</v>
          </cell>
          <cell r="X31676" t="str">
            <v>GWP - gross</v>
          </cell>
          <cell r="Y31676" t="str">
            <v>ITALY</v>
          </cell>
        </row>
        <row r="31677">
          <cell r="L31677" t="str">
            <v>Non-proportional</v>
          </cell>
          <cell r="S31677">
            <v>14124.27</v>
          </cell>
          <cell r="X31677" t="str">
            <v>GWP - gross</v>
          </cell>
          <cell r="Y31677" t="str">
            <v>NEW ZEALAND</v>
          </cell>
        </row>
        <row r="31678">
          <cell r="L31678" t="str">
            <v>Non-proportional</v>
          </cell>
          <cell r="S31678">
            <v>-16055.42</v>
          </cell>
          <cell r="X31678" t="str">
            <v>GWP - gross</v>
          </cell>
          <cell r="Y31678" t="str">
            <v>JAPAN</v>
          </cell>
        </row>
        <row r="31679">
          <cell r="L31679" t="str">
            <v>Non-proportional</v>
          </cell>
          <cell r="S31679">
            <v>-44417.71</v>
          </cell>
          <cell r="X31679" t="str">
            <v>GWP - gross</v>
          </cell>
          <cell r="Y31679" t="str">
            <v>GUATEMALA</v>
          </cell>
        </row>
        <row r="31680">
          <cell r="L31680" t="str">
            <v>Non-proportional</v>
          </cell>
          <cell r="S31680">
            <v>9815.5300000000007</v>
          </cell>
          <cell r="X31680" t="str">
            <v>GWP - gross</v>
          </cell>
          <cell r="Y31680" t="str">
            <v>PUERTO RICO</v>
          </cell>
        </row>
        <row r="31681">
          <cell r="L31681" t="str">
            <v>Non-proportional</v>
          </cell>
          <cell r="S31681">
            <v>20110.18</v>
          </cell>
          <cell r="X31681" t="str">
            <v>GWP - gross</v>
          </cell>
          <cell r="Y31681" t="str">
            <v>ITALY</v>
          </cell>
        </row>
        <row r="31682">
          <cell r="L31682" t="str">
            <v>Non-proportional</v>
          </cell>
          <cell r="S31682">
            <v>-13029.59</v>
          </cell>
          <cell r="X31682" t="str">
            <v>GWP - gross</v>
          </cell>
          <cell r="Y31682" t="str">
            <v>JAPAN</v>
          </cell>
        </row>
        <row r="31683">
          <cell r="L31683" t="str">
            <v>Non-proportional</v>
          </cell>
          <cell r="S31683">
            <v>-38502.120000000003</v>
          </cell>
          <cell r="X31683" t="str">
            <v>GWP - gross</v>
          </cell>
          <cell r="Y31683" t="str">
            <v>JAPAN</v>
          </cell>
        </row>
        <row r="31684">
          <cell r="L31684" t="str">
            <v>Non-proportional</v>
          </cell>
          <cell r="S31684">
            <v>22786.34</v>
          </cell>
          <cell r="X31684" t="str">
            <v>GWP - gross</v>
          </cell>
          <cell r="Y31684" t="str">
            <v>JAPAN</v>
          </cell>
        </row>
        <row r="31685">
          <cell r="L31685" t="str">
            <v>Non-proportional</v>
          </cell>
          <cell r="S31685">
            <v>46186.3</v>
          </cell>
          <cell r="X31685" t="str">
            <v>GWP - gross</v>
          </cell>
          <cell r="Y31685" t="str">
            <v>FRANCE</v>
          </cell>
        </row>
        <row r="31686">
          <cell r="L31686" t="str">
            <v>Non-proportional</v>
          </cell>
          <cell r="S31686">
            <v>-1102.76</v>
          </cell>
          <cell r="X31686" t="str">
            <v>GWP - gross</v>
          </cell>
          <cell r="Y31686" t="str">
            <v>ISRAEL</v>
          </cell>
        </row>
        <row r="31687">
          <cell r="L31687" t="str">
            <v>Non-proportional</v>
          </cell>
          <cell r="S31687">
            <v>-15437.83</v>
          </cell>
          <cell r="X31687" t="str">
            <v>GWP - gross</v>
          </cell>
          <cell r="Y31687" t="str">
            <v>JAPAN</v>
          </cell>
        </row>
        <row r="31688">
          <cell r="L31688" t="str">
            <v>Non-proportional</v>
          </cell>
          <cell r="S31688">
            <v>-4773.21</v>
          </cell>
          <cell r="X31688" t="str">
            <v>GWP - gross</v>
          </cell>
          <cell r="Y31688" t="str">
            <v>PERU</v>
          </cell>
        </row>
        <row r="31689">
          <cell r="L31689" t="str">
            <v>Non-proportional</v>
          </cell>
          <cell r="S31689">
            <v>105005.01</v>
          </cell>
          <cell r="X31689" t="str">
            <v>GWP - gross</v>
          </cell>
          <cell r="Y31689" t="str">
            <v>ECUADOR</v>
          </cell>
        </row>
        <row r="31690">
          <cell r="L31690" t="str">
            <v>Non-proportional</v>
          </cell>
          <cell r="S31690">
            <v>6247.26</v>
          </cell>
          <cell r="X31690" t="str">
            <v>GWP - gross</v>
          </cell>
          <cell r="Y31690" t="str">
            <v>ITALY</v>
          </cell>
        </row>
        <row r="31691">
          <cell r="L31691" t="str">
            <v>Non-proportional</v>
          </cell>
          <cell r="S31691">
            <v>-16.82</v>
          </cell>
          <cell r="X31691" t="str">
            <v>GWP - gross</v>
          </cell>
          <cell r="Y31691" t="str">
            <v>GERMANY</v>
          </cell>
        </row>
        <row r="31692">
          <cell r="L31692" t="str">
            <v>Non-proportional</v>
          </cell>
          <cell r="S31692">
            <v>-2847.65</v>
          </cell>
          <cell r="X31692" t="str">
            <v>GWP - gross</v>
          </cell>
          <cell r="Y31692" t="str">
            <v>GERMANY</v>
          </cell>
        </row>
        <row r="31693">
          <cell r="L31693" t="str">
            <v>Non-proportional</v>
          </cell>
          <cell r="S31693">
            <v>1102.76</v>
          </cell>
          <cell r="X31693" t="str">
            <v>GWP - gross</v>
          </cell>
          <cell r="Y31693" t="str">
            <v>ISRAEL</v>
          </cell>
        </row>
        <row r="31694">
          <cell r="L31694" t="str">
            <v>Non-proportional</v>
          </cell>
          <cell r="S31694">
            <v>-83566.850000000006</v>
          </cell>
          <cell r="X31694" t="str">
            <v>GWP - gross</v>
          </cell>
          <cell r="Y31694" t="str">
            <v>UNITED KINGDOM</v>
          </cell>
        </row>
        <row r="31695">
          <cell r="L31695" t="str">
            <v>Non-proportional</v>
          </cell>
          <cell r="S31695">
            <v>-23405.33</v>
          </cell>
          <cell r="X31695" t="str">
            <v>GWP - gross</v>
          </cell>
          <cell r="Y31695" t="str">
            <v>INDIA</v>
          </cell>
        </row>
        <row r="31696">
          <cell r="L31696" t="str">
            <v>Non-proportional</v>
          </cell>
          <cell r="S31696">
            <v>-197604.16</v>
          </cell>
          <cell r="X31696" t="str">
            <v>GWP - gross</v>
          </cell>
          <cell r="Y31696" t="str">
            <v>UNITED KINGDOM</v>
          </cell>
        </row>
        <row r="31697">
          <cell r="L31697" t="str">
            <v>Non-proportional</v>
          </cell>
          <cell r="S31697">
            <v>-5055.57</v>
          </cell>
          <cell r="X31697" t="str">
            <v>GWP - gross</v>
          </cell>
          <cell r="Y31697" t="str">
            <v>FRANCE</v>
          </cell>
        </row>
        <row r="31698">
          <cell r="L31698" t="str">
            <v>Non-proportional</v>
          </cell>
          <cell r="S31698">
            <v>-16055.42</v>
          </cell>
          <cell r="X31698" t="str">
            <v>GWP - gross</v>
          </cell>
          <cell r="Y31698" t="str">
            <v>JAPAN</v>
          </cell>
        </row>
        <row r="31699">
          <cell r="L31699" t="str">
            <v>Non-proportional</v>
          </cell>
          <cell r="S31699">
            <v>-142358.72</v>
          </cell>
          <cell r="X31699" t="str">
            <v>GWP - gross</v>
          </cell>
          <cell r="Y31699" t="str">
            <v>EUROPE</v>
          </cell>
        </row>
        <row r="31700">
          <cell r="L31700" t="str">
            <v>Non-proportional</v>
          </cell>
          <cell r="S31700">
            <v>-2756.8</v>
          </cell>
          <cell r="X31700" t="str">
            <v>GWP - gross</v>
          </cell>
          <cell r="Y31700" t="str">
            <v>ISRAEL</v>
          </cell>
        </row>
        <row r="31701">
          <cell r="L31701" t="str">
            <v>Non-proportional</v>
          </cell>
          <cell r="S31701">
            <v>-21919.1</v>
          </cell>
          <cell r="X31701" t="str">
            <v>GWP - gross</v>
          </cell>
          <cell r="Y31701" t="str">
            <v>ECUADOR</v>
          </cell>
        </row>
        <row r="31702">
          <cell r="L31702" t="str">
            <v>Non-proportional</v>
          </cell>
          <cell r="S31702">
            <v>-47051.75</v>
          </cell>
          <cell r="X31702" t="str">
            <v>GWP - gross</v>
          </cell>
          <cell r="Y31702" t="str">
            <v>UNITED KINGDOM</v>
          </cell>
        </row>
        <row r="31703">
          <cell r="L31703" t="str">
            <v>Non-proportional</v>
          </cell>
          <cell r="S31703">
            <v>-64297.78</v>
          </cell>
          <cell r="X31703" t="str">
            <v>GWP - gross</v>
          </cell>
          <cell r="Y31703" t="str">
            <v>ECUADOR</v>
          </cell>
        </row>
        <row r="31704">
          <cell r="L31704" t="str">
            <v>Non-proportional</v>
          </cell>
          <cell r="S31704">
            <v>-872935.99</v>
          </cell>
          <cell r="X31704" t="str">
            <v>GWP - gross</v>
          </cell>
          <cell r="Y31704" t="str">
            <v>UNITED KINGDOM</v>
          </cell>
        </row>
        <row r="31705">
          <cell r="L31705" t="str">
            <v>Non-proportional</v>
          </cell>
          <cell r="S31705">
            <v>-12667.15</v>
          </cell>
          <cell r="X31705" t="str">
            <v>GWP - gross</v>
          </cell>
          <cell r="Y31705" t="str">
            <v>ECUADOR</v>
          </cell>
        </row>
        <row r="31706">
          <cell r="L31706" t="str">
            <v>Non-proportional</v>
          </cell>
          <cell r="S31706">
            <v>34622.699999999997</v>
          </cell>
          <cell r="X31706" t="str">
            <v>GWP - gross</v>
          </cell>
          <cell r="Y31706" t="str">
            <v>GUATEMALA</v>
          </cell>
        </row>
        <row r="31707">
          <cell r="L31707" t="str">
            <v>Non-proportional</v>
          </cell>
          <cell r="S31707">
            <v>8332.5</v>
          </cell>
          <cell r="X31707" t="str">
            <v>GWP - gross</v>
          </cell>
          <cell r="Y31707" t="str">
            <v>GERMANY</v>
          </cell>
        </row>
        <row r="31708">
          <cell r="L31708" t="str">
            <v>Non-proportional</v>
          </cell>
          <cell r="S31708">
            <v>-6319.47</v>
          </cell>
          <cell r="X31708" t="str">
            <v>GWP - gross</v>
          </cell>
          <cell r="Y31708" t="str">
            <v>FRANCE</v>
          </cell>
        </row>
        <row r="31709">
          <cell r="L31709" t="str">
            <v>Non-proportional</v>
          </cell>
          <cell r="S31709">
            <v>-128250</v>
          </cell>
          <cell r="X31709" t="str">
            <v>GWP - gross</v>
          </cell>
          <cell r="Y31709" t="str">
            <v>EUROPE</v>
          </cell>
        </row>
        <row r="31710">
          <cell r="L31710" t="str">
            <v>Non-proportional</v>
          </cell>
          <cell r="S31710">
            <v>441821.36</v>
          </cell>
          <cell r="X31710" t="str">
            <v>GWP - gross</v>
          </cell>
          <cell r="Y31710" t="str">
            <v>AUSTRALIA</v>
          </cell>
        </row>
        <row r="31711">
          <cell r="L31711" t="str">
            <v>Non-proportional</v>
          </cell>
          <cell r="S31711">
            <v>12572</v>
          </cell>
          <cell r="X31711" t="str">
            <v>GWP - gross</v>
          </cell>
          <cell r="Y31711" t="str">
            <v>GERMANY</v>
          </cell>
        </row>
        <row r="31712">
          <cell r="L31712" t="str">
            <v>Non-proportional</v>
          </cell>
          <cell r="S31712">
            <v>10560</v>
          </cell>
          <cell r="X31712" t="str">
            <v>GWP - gross</v>
          </cell>
          <cell r="Y31712" t="str">
            <v>GREECE</v>
          </cell>
        </row>
        <row r="31713">
          <cell r="L31713" t="str">
            <v>Non-proportional</v>
          </cell>
          <cell r="S31713">
            <v>11304.51</v>
          </cell>
          <cell r="X31713" t="str">
            <v>GWP - gross</v>
          </cell>
          <cell r="Y31713" t="str">
            <v>CYPRUS</v>
          </cell>
        </row>
        <row r="31714">
          <cell r="L31714" t="str">
            <v>Non-proportional</v>
          </cell>
          <cell r="S31714">
            <v>7488.2</v>
          </cell>
          <cell r="X31714" t="str">
            <v>GWP - gross</v>
          </cell>
          <cell r="Y31714" t="str">
            <v>DENMARK</v>
          </cell>
        </row>
        <row r="31715">
          <cell r="L31715" t="str">
            <v>Non-proportional</v>
          </cell>
          <cell r="S31715">
            <v>10615.5</v>
          </cell>
          <cell r="X31715" t="str">
            <v>GWP - gross</v>
          </cell>
          <cell r="Y31715" t="str">
            <v>GERMANY</v>
          </cell>
        </row>
        <row r="31716">
          <cell r="L31716" t="str">
            <v>Non-proportional</v>
          </cell>
          <cell r="S31716">
            <v>23625</v>
          </cell>
          <cell r="X31716" t="str">
            <v>GWP - gross</v>
          </cell>
          <cell r="Y31716" t="str">
            <v>GERMANY</v>
          </cell>
        </row>
        <row r="31717">
          <cell r="L31717" t="str">
            <v>Non-proportional</v>
          </cell>
          <cell r="S31717">
            <v>24496.92</v>
          </cell>
          <cell r="X31717" t="str">
            <v>GWP - gross</v>
          </cell>
          <cell r="Y31717" t="str">
            <v>FRANCE</v>
          </cell>
        </row>
        <row r="31718">
          <cell r="L31718" t="str">
            <v>Non-proportional</v>
          </cell>
          <cell r="S31718">
            <v>-21692.48</v>
          </cell>
          <cell r="X31718" t="str">
            <v>GWP - gross</v>
          </cell>
          <cell r="Y31718" t="str">
            <v>NEW ZEALAND</v>
          </cell>
        </row>
        <row r="31719">
          <cell r="L31719" t="str">
            <v>Non-proportional</v>
          </cell>
          <cell r="S31719">
            <v>2607250.56</v>
          </cell>
          <cell r="X31719" t="str">
            <v>GWP - gross</v>
          </cell>
          <cell r="Y31719" t="str">
            <v>UNITED KINGDOM</v>
          </cell>
        </row>
        <row r="31720">
          <cell r="L31720" t="str">
            <v>Non-proportional</v>
          </cell>
          <cell r="S31720">
            <v>2573.42</v>
          </cell>
          <cell r="X31720" t="str">
            <v>GWP - gross</v>
          </cell>
          <cell r="Y31720" t="str">
            <v>INDIA</v>
          </cell>
        </row>
        <row r="31721">
          <cell r="L31721" t="str">
            <v>Non-proportional</v>
          </cell>
          <cell r="S31721">
            <v>-14521.14</v>
          </cell>
          <cell r="X31721" t="str">
            <v>GWP - gross</v>
          </cell>
          <cell r="Y31721" t="str">
            <v>PUERTO RICO</v>
          </cell>
        </row>
        <row r="31722">
          <cell r="L31722" t="str">
            <v>Non-proportional</v>
          </cell>
          <cell r="S31722">
            <v>-37121.47</v>
          </cell>
          <cell r="X31722" t="str">
            <v>GWP - gross</v>
          </cell>
          <cell r="Y31722" t="str">
            <v>ECUADOR</v>
          </cell>
        </row>
        <row r="31723">
          <cell r="L31723" t="str">
            <v>Non-proportional</v>
          </cell>
          <cell r="S31723">
            <v>-1278.1199999999999</v>
          </cell>
          <cell r="X31723" t="str">
            <v>GWP - gross</v>
          </cell>
          <cell r="Y31723" t="str">
            <v>ISRAEL</v>
          </cell>
        </row>
        <row r="31724">
          <cell r="L31724" t="str">
            <v>Non-proportional</v>
          </cell>
          <cell r="S31724">
            <v>-217096.98</v>
          </cell>
          <cell r="X31724" t="str">
            <v>GWP - gross</v>
          </cell>
          <cell r="Y31724" t="str">
            <v>UNITED KINGDOM</v>
          </cell>
        </row>
        <row r="31725">
          <cell r="L31725" t="str">
            <v>Non-proportional</v>
          </cell>
          <cell r="S31725">
            <v>-11471.5</v>
          </cell>
          <cell r="X31725" t="str">
            <v>GWP - gross</v>
          </cell>
          <cell r="Y31725" t="str">
            <v>ECUADOR</v>
          </cell>
        </row>
        <row r="31726">
          <cell r="L31726" t="str">
            <v>Non-proportional</v>
          </cell>
          <cell r="S31726">
            <v>-611055.18999999994</v>
          </cell>
          <cell r="X31726" t="str">
            <v>GWP - gross</v>
          </cell>
          <cell r="Y31726" t="str">
            <v>UNITED KINGDOM</v>
          </cell>
        </row>
        <row r="31727">
          <cell r="L31727" t="str">
            <v>Non-proportional</v>
          </cell>
          <cell r="S31727">
            <v>17189.53</v>
          </cell>
          <cell r="X31727" t="str">
            <v>GWP - gross</v>
          </cell>
          <cell r="Y31727" t="str">
            <v>ECUADOR</v>
          </cell>
        </row>
        <row r="31728">
          <cell r="L31728" t="str">
            <v>Non-proportional</v>
          </cell>
          <cell r="S31728">
            <v>23963.33</v>
          </cell>
          <cell r="X31728" t="str">
            <v>GWP - gross</v>
          </cell>
          <cell r="Y31728" t="str">
            <v>GUATEMALA</v>
          </cell>
        </row>
        <row r="31729">
          <cell r="L31729" t="str">
            <v>Non-proportional</v>
          </cell>
          <cell r="S31729">
            <v>-3139125.86</v>
          </cell>
          <cell r="X31729" t="str">
            <v>GWP - gross</v>
          </cell>
          <cell r="Y31729" t="str">
            <v>UNITED KINGDOM</v>
          </cell>
        </row>
        <row r="31730">
          <cell r="L31730" t="str">
            <v>Non-proportional</v>
          </cell>
          <cell r="S31730">
            <v>-9488.5</v>
          </cell>
          <cell r="X31730" t="str">
            <v>GWP - gross</v>
          </cell>
          <cell r="Y31730" t="str">
            <v>ECUADOR</v>
          </cell>
        </row>
        <row r="31731">
          <cell r="L31731" t="str">
            <v>Non-proportional</v>
          </cell>
          <cell r="S31731">
            <v>-11471.5</v>
          </cell>
          <cell r="X31731" t="str">
            <v>GWP - gross</v>
          </cell>
          <cell r="Y31731" t="str">
            <v>ECUADOR</v>
          </cell>
        </row>
        <row r="31732">
          <cell r="L31732" t="str">
            <v>Non-proportional</v>
          </cell>
          <cell r="S31732">
            <v>-64000</v>
          </cell>
          <cell r="X31732" t="str">
            <v>GWP - gross</v>
          </cell>
          <cell r="Y31732" t="str">
            <v>ITALY</v>
          </cell>
        </row>
        <row r="31733">
          <cell r="L31733" t="str">
            <v>Non-proportional</v>
          </cell>
          <cell r="S31733">
            <v>-14196.82</v>
          </cell>
          <cell r="X31733" t="str">
            <v>GWP - gross</v>
          </cell>
          <cell r="Y31733" t="str">
            <v>FRANCE</v>
          </cell>
        </row>
        <row r="31734">
          <cell r="L31734" t="str">
            <v>Non-proportional</v>
          </cell>
          <cell r="S31734">
            <v>-13894.11</v>
          </cell>
          <cell r="X31734" t="str">
            <v>GWP - gross</v>
          </cell>
          <cell r="Y31734" t="str">
            <v>JAPAN</v>
          </cell>
        </row>
        <row r="31735">
          <cell r="L31735" t="str">
            <v>Non-proportional</v>
          </cell>
          <cell r="S31735">
            <v>13239.54</v>
          </cell>
          <cell r="X31735" t="str">
            <v>GWP - gross</v>
          </cell>
          <cell r="Y31735" t="str">
            <v>JAPAN</v>
          </cell>
        </row>
        <row r="31736">
          <cell r="L31736" t="str">
            <v>Non-proportional</v>
          </cell>
          <cell r="S31736">
            <v>-392794.31</v>
          </cell>
          <cell r="X31736" t="str">
            <v>GWP - gross</v>
          </cell>
          <cell r="Y31736" t="str">
            <v>HONG KONG</v>
          </cell>
        </row>
        <row r="31737">
          <cell r="L31737" t="str">
            <v>Non-proportional</v>
          </cell>
          <cell r="S31737">
            <v>-39205.96</v>
          </cell>
          <cell r="X31737" t="str">
            <v>GWP - gross</v>
          </cell>
          <cell r="Y31737" t="str">
            <v>ECUADOR</v>
          </cell>
        </row>
        <row r="31738">
          <cell r="L31738" t="str">
            <v>Proportional</v>
          </cell>
          <cell r="S31738">
            <v>-791806.71</v>
          </cell>
          <cell r="X31738" t="str">
            <v>GWP - gross</v>
          </cell>
          <cell r="Y31738" t="str">
            <v>JAPAN</v>
          </cell>
        </row>
        <row r="31739">
          <cell r="L31739" t="str">
            <v>Non-proportional</v>
          </cell>
          <cell r="S31739">
            <v>31378.97</v>
          </cell>
          <cell r="X31739" t="str">
            <v>GWP - gross</v>
          </cell>
          <cell r="Y31739" t="str">
            <v>ECUADOR</v>
          </cell>
        </row>
        <row r="31740">
          <cell r="L31740" t="str">
            <v>Non-proportional</v>
          </cell>
          <cell r="S31740">
            <v>-8636.68</v>
          </cell>
          <cell r="X31740" t="str">
            <v>GWP - gross</v>
          </cell>
          <cell r="Y31740" t="str">
            <v>GERMANY</v>
          </cell>
        </row>
        <row r="31741">
          <cell r="L31741" t="str">
            <v>Non-proportional</v>
          </cell>
          <cell r="S31741">
            <v>-5483.88</v>
          </cell>
          <cell r="X31741" t="str">
            <v>GWP - gross</v>
          </cell>
          <cell r="Y31741" t="str">
            <v>ISRAEL</v>
          </cell>
        </row>
        <row r="31742">
          <cell r="L31742" t="str">
            <v>Non-proportional</v>
          </cell>
          <cell r="S31742">
            <v>-24835.99</v>
          </cell>
          <cell r="X31742" t="str">
            <v>GWP - gross</v>
          </cell>
          <cell r="Y31742" t="str">
            <v>UNITED KINGDOM</v>
          </cell>
        </row>
        <row r="31743">
          <cell r="L31743" t="str">
            <v>Non-proportional</v>
          </cell>
          <cell r="S31743">
            <v>-7733.13</v>
          </cell>
          <cell r="X31743" t="str">
            <v>GWP - gross</v>
          </cell>
          <cell r="Y31743" t="str">
            <v>ECUADOR</v>
          </cell>
        </row>
        <row r="31744">
          <cell r="L31744" t="str">
            <v>Proportional</v>
          </cell>
          <cell r="S31744">
            <v>66500</v>
          </cell>
          <cell r="X31744" t="str">
            <v>GWP - gross</v>
          </cell>
          <cell r="Y31744" t="str">
            <v>SAUDI ARABIA</v>
          </cell>
        </row>
        <row r="31745">
          <cell r="L31745" t="str">
            <v>Non-proportional</v>
          </cell>
          <cell r="S31745">
            <v>-73484.399999999994</v>
          </cell>
          <cell r="X31745" t="str">
            <v>GWP - gross</v>
          </cell>
          <cell r="Y31745" t="str">
            <v>JAPAN</v>
          </cell>
        </row>
        <row r="31746">
          <cell r="L31746" t="str">
            <v>Non-proportional</v>
          </cell>
          <cell r="S31746">
            <v>1818.69</v>
          </cell>
          <cell r="X31746" t="str">
            <v>GWP - gross</v>
          </cell>
          <cell r="Y31746" t="str">
            <v>ITALY</v>
          </cell>
        </row>
        <row r="31747">
          <cell r="L31747" t="str">
            <v>Non-proportional</v>
          </cell>
          <cell r="S31747">
            <v>-13239.54</v>
          </cell>
          <cell r="X31747" t="str">
            <v>GWP - gross</v>
          </cell>
          <cell r="Y31747" t="str">
            <v>JAPAN</v>
          </cell>
        </row>
        <row r="31748">
          <cell r="L31748" t="str">
            <v>Non-proportional</v>
          </cell>
          <cell r="S31748">
            <v>-44881.2</v>
          </cell>
          <cell r="X31748" t="str">
            <v>GWP - gross</v>
          </cell>
          <cell r="Y31748" t="str">
            <v>CYPRUS</v>
          </cell>
        </row>
        <row r="31749">
          <cell r="L31749" t="str">
            <v>Non-proportional</v>
          </cell>
          <cell r="S31749">
            <v>4501.43</v>
          </cell>
          <cell r="X31749" t="str">
            <v>GWP - gross</v>
          </cell>
          <cell r="Y31749" t="str">
            <v>GERMANY</v>
          </cell>
        </row>
        <row r="31750">
          <cell r="L31750" t="str">
            <v>Non-proportional</v>
          </cell>
          <cell r="S31750">
            <v>-1092.01</v>
          </cell>
          <cell r="X31750" t="str">
            <v>GWP - gross</v>
          </cell>
          <cell r="Y31750" t="str">
            <v>FRANCE</v>
          </cell>
        </row>
        <row r="31751">
          <cell r="L31751" t="str">
            <v>Non-proportional</v>
          </cell>
          <cell r="S31751">
            <v>-11351.18</v>
          </cell>
          <cell r="X31751" t="str">
            <v>GWP - gross</v>
          </cell>
          <cell r="Y31751" t="str">
            <v>INDIA</v>
          </cell>
        </row>
        <row r="31752">
          <cell r="L31752" t="str">
            <v>Non-proportional</v>
          </cell>
          <cell r="S31752">
            <v>1268201.8999999999</v>
          </cell>
          <cell r="X31752" t="str">
            <v>GWP - gross</v>
          </cell>
          <cell r="Y31752" t="str">
            <v>HONG KONG</v>
          </cell>
        </row>
        <row r="31753">
          <cell r="L31753" t="str">
            <v>Non-proportional</v>
          </cell>
          <cell r="S31753">
            <v>3371.06</v>
          </cell>
          <cell r="X31753" t="str">
            <v>GWP - gross</v>
          </cell>
          <cell r="Y31753" t="str">
            <v>ECUADOR</v>
          </cell>
        </row>
        <row r="31754">
          <cell r="L31754" t="str">
            <v>Non-proportional</v>
          </cell>
          <cell r="S31754">
            <v>-14124.27</v>
          </cell>
          <cell r="X31754" t="str">
            <v>GWP - gross</v>
          </cell>
          <cell r="Y31754" t="str">
            <v>NEW ZEALAND</v>
          </cell>
        </row>
        <row r="31755">
          <cell r="L31755" t="str">
            <v>Non-proportional</v>
          </cell>
          <cell r="S31755">
            <v>-830.44</v>
          </cell>
          <cell r="X31755" t="str">
            <v>GWP - gross</v>
          </cell>
          <cell r="Y31755" t="str">
            <v>GERMANY</v>
          </cell>
        </row>
        <row r="31756">
          <cell r="L31756" t="str">
            <v>Non-proportional</v>
          </cell>
          <cell r="S31756">
            <v>15240</v>
          </cell>
          <cell r="X31756" t="str">
            <v>GWP - gross</v>
          </cell>
          <cell r="Y31756" t="str">
            <v>ITALY</v>
          </cell>
        </row>
        <row r="31757">
          <cell r="L31757" t="str">
            <v>Non-proportional</v>
          </cell>
          <cell r="S31757">
            <v>3600</v>
          </cell>
          <cell r="X31757" t="str">
            <v>GWP - gross</v>
          </cell>
          <cell r="Y31757" t="str">
            <v>GERMANY</v>
          </cell>
        </row>
        <row r="31758">
          <cell r="L31758" t="str">
            <v>Non-proportional</v>
          </cell>
          <cell r="S31758">
            <v>2531.0700000000002</v>
          </cell>
          <cell r="X31758" t="str">
            <v>GWP - gross</v>
          </cell>
          <cell r="Y31758" t="str">
            <v>ITALY</v>
          </cell>
        </row>
        <row r="31759">
          <cell r="L31759" t="str">
            <v>Non-proportional</v>
          </cell>
          <cell r="S31759">
            <v>-5478.91</v>
          </cell>
          <cell r="X31759" t="str">
            <v>GWP - gross</v>
          </cell>
          <cell r="Y31759" t="str">
            <v>JAPAN</v>
          </cell>
        </row>
        <row r="31760">
          <cell r="L31760" t="str">
            <v>Non-proportional</v>
          </cell>
          <cell r="S31760">
            <v>-858.2</v>
          </cell>
          <cell r="X31760" t="str">
            <v>GWP - gross</v>
          </cell>
          <cell r="Y31760" t="str">
            <v>FRANCE</v>
          </cell>
        </row>
        <row r="31761">
          <cell r="L31761" t="str">
            <v>Non-proportional</v>
          </cell>
          <cell r="S31761">
            <v>-152580.63</v>
          </cell>
          <cell r="X31761" t="str">
            <v>GWP - gross</v>
          </cell>
          <cell r="Y31761" t="str">
            <v>NEW ZEALAND</v>
          </cell>
        </row>
        <row r="31762">
          <cell r="L31762" t="str">
            <v>Non-proportional</v>
          </cell>
          <cell r="S31762">
            <v>-156280</v>
          </cell>
          <cell r="X31762" t="str">
            <v>GWP - gross</v>
          </cell>
          <cell r="Y31762" t="str">
            <v>ITALY</v>
          </cell>
        </row>
        <row r="31763">
          <cell r="L31763" t="str">
            <v>Non-proportional</v>
          </cell>
          <cell r="S31763">
            <v>5605.9</v>
          </cell>
          <cell r="X31763" t="str">
            <v>GWP - gross</v>
          </cell>
          <cell r="Y31763" t="str">
            <v>GERMANY</v>
          </cell>
        </row>
        <row r="31764">
          <cell r="L31764" t="str">
            <v>Non-proportional</v>
          </cell>
          <cell r="S31764">
            <v>4968</v>
          </cell>
          <cell r="X31764" t="str">
            <v>GWP - gross</v>
          </cell>
          <cell r="Y31764" t="str">
            <v>ITALY</v>
          </cell>
        </row>
        <row r="31765">
          <cell r="L31765" t="str">
            <v>Non-proportional</v>
          </cell>
          <cell r="S31765">
            <v>4040.02</v>
          </cell>
          <cell r="X31765" t="str">
            <v>GWP - gross</v>
          </cell>
          <cell r="Y31765" t="str">
            <v>GERMANY</v>
          </cell>
        </row>
        <row r="31766">
          <cell r="L31766" t="str">
            <v>Non-proportional</v>
          </cell>
          <cell r="S31766">
            <v>-122630.67</v>
          </cell>
          <cell r="X31766" t="str">
            <v>GWP - gross</v>
          </cell>
          <cell r="Y31766" t="str">
            <v>NEW ZEALAND</v>
          </cell>
        </row>
        <row r="31767">
          <cell r="L31767" t="str">
            <v>Non-proportional</v>
          </cell>
          <cell r="S31767">
            <v>201705.19</v>
          </cell>
          <cell r="X31767" t="str">
            <v>GWP - gross</v>
          </cell>
          <cell r="Y31767" t="str">
            <v>HONG KONG</v>
          </cell>
        </row>
        <row r="31768">
          <cell r="L31768" t="str">
            <v>Non-proportional</v>
          </cell>
          <cell r="S31768">
            <v>-38469.370000000003</v>
          </cell>
          <cell r="X31768" t="str">
            <v>GWP - gross</v>
          </cell>
          <cell r="Y31768" t="str">
            <v>GUATEMALA</v>
          </cell>
        </row>
        <row r="31769">
          <cell r="L31769" t="str">
            <v>Non-proportional</v>
          </cell>
          <cell r="S31769">
            <v>-48063.55</v>
          </cell>
          <cell r="X31769" t="str">
            <v>GWP - gross</v>
          </cell>
          <cell r="Y31769" t="str">
            <v>GUATEMALA</v>
          </cell>
        </row>
        <row r="31770">
          <cell r="L31770" t="str">
            <v>Non-proportional</v>
          </cell>
          <cell r="S31770">
            <v>37600</v>
          </cell>
          <cell r="X31770" t="str">
            <v>GWP - gross</v>
          </cell>
          <cell r="Y31770" t="str">
            <v>ITALY</v>
          </cell>
        </row>
        <row r="31771">
          <cell r="L31771" t="str">
            <v>Non-proportional</v>
          </cell>
          <cell r="S31771">
            <v>33000</v>
          </cell>
          <cell r="X31771" t="str">
            <v>GWP - gross</v>
          </cell>
          <cell r="Y31771" t="str">
            <v>GREECE</v>
          </cell>
        </row>
        <row r="31772">
          <cell r="L31772" t="str">
            <v>Non-proportional</v>
          </cell>
          <cell r="S31772">
            <v>-7877.96</v>
          </cell>
          <cell r="X31772" t="str">
            <v>GWP - gross</v>
          </cell>
          <cell r="Y31772" t="str">
            <v>JAPAN</v>
          </cell>
        </row>
        <row r="31773">
          <cell r="L31773" t="str">
            <v>Non-proportional</v>
          </cell>
          <cell r="S31773">
            <v>-19257.240000000002</v>
          </cell>
          <cell r="X31773" t="str">
            <v>GWP - gross</v>
          </cell>
          <cell r="Y31773" t="str">
            <v>JAPAN</v>
          </cell>
        </row>
        <row r="31774">
          <cell r="L31774" t="str">
            <v>Non-proportional</v>
          </cell>
          <cell r="S31774">
            <v>37605</v>
          </cell>
          <cell r="X31774" t="str">
            <v>GWP - gross</v>
          </cell>
          <cell r="Y31774" t="str">
            <v>AUSTRIA</v>
          </cell>
        </row>
        <row r="31775">
          <cell r="L31775" t="str">
            <v>Non-proportional</v>
          </cell>
          <cell r="S31775">
            <v>-21122.99</v>
          </cell>
          <cell r="X31775" t="str">
            <v>GWP - gross</v>
          </cell>
          <cell r="Y31775" t="str">
            <v>NEW ZEALAND</v>
          </cell>
        </row>
        <row r="31776">
          <cell r="L31776" t="str">
            <v>Non-proportional</v>
          </cell>
          <cell r="S31776">
            <v>209634.33</v>
          </cell>
          <cell r="X31776" t="str">
            <v>GWP - gross</v>
          </cell>
          <cell r="Y31776" t="str">
            <v>JAPAN</v>
          </cell>
        </row>
        <row r="31777">
          <cell r="L31777" t="str">
            <v>Non-proportional</v>
          </cell>
          <cell r="S31777">
            <v>-14808</v>
          </cell>
          <cell r="X31777" t="str">
            <v>GWP - gross</v>
          </cell>
          <cell r="Y31777" t="str">
            <v>FRANCE</v>
          </cell>
        </row>
        <row r="31778">
          <cell r="L31778" t="str">
            <v>Non-proportional</v>
          </cell>
          <cell r="S31778">
            <v>-21999.01</v>
          </cell>
          <cell r="X31778" t="str">
            <v>GWP - gross</v>
          </cell>
          <cell r="Y31778" t="str">
            <v>JAPAN</v>
          </cell>
        </row>
        <row r="31779">
          <cell r="L31779" t="str">
            <v>Non-proportional</v>
          </cell>
          <cell r="S31779">
            <v>-42793.31</v>
          </cell>
          <cell r="X31779" t="str">
            <v>GWP - gross</v>
          </cell>
          <cell r="Y31779" t="str">
            <v>JAPAN</v>
          </cell>
        </row>
        <row r="31780">
          <cell r="L31780" t="str">
            <v>Non-proportional</v>
          </cell>
          <cell r="S31780">
            <v>24639.75</v>
          </cell>
          <cell r="X31780" t="str">
            <v>GWP - gross</v>
          </cell>
          <cell r="Y31780" t="str">
            <v>NETHERLANDS</v>
          </cell>
        </row>
        <row r="31781">
          <cell r="L31781" t="str">
            <v>Non-proportional</v>
          </cell>
          <cell r="S31781">
            <v>644.05999999999995</v>
          </cell>
          <cell r="X31781" t="str">
            <v>GWP - gross</v>
          </cell>
          <cell r="Y31781" t="str">
            <v>GERMANY</v>
          </cell>
        </row>
        <row r="31782">
          <cell r="L31782" t="str">
            <v>Non-proportional</v>
          </cell>
          <cell r="S31782">
            <v>-927.84</v>
          </cell>
          <cell r="X31782" t="str">
            <v>GWP - gross</v>
          </cell>
          <cell r="Y31782" t="str">
            <v>ISRAEL</v>
          </cell>
        </row>
        <row r="31783">
          <cell r="L31783" t="str">
            <v>Non-proportional</v>
          </cell>
          <cell r="S31783">
            <v>56276.01</v>
          </cell>
          <cell r="X31783" t="str">
            <v>GWP - gross</v>
          </cell>
          <cell r="Y31783" t="str">
            <v>UNITED KINGDOM</v>
          </cell>
        </row>
        <row r="31784">
          <cell r="L31784" t="str">
            <v>Non-proportional</v>
          </cell>
          <cell r="S31784">
            <v>-23963.33</v>
          </cell>
          <cell r="X31784" t="str">
            <v>GWP - gross</v>
          </cell>
          <cell r="Y31784" t="str">
            <v>GUATEMALA</v>
          </cell>
        </row>
        <row r="31785">
          <cell r="L31785" t="str">
            <v>Non-proportional</v>
          </cell>
          <cell r="S31785">
            <v>-13029.59</v>
          </cell>
          <cell r="X31785" t="str">
            <v>GWP - gross</v>
          </cell>
          <cell r="Y31785" t="str">
            <v>JAPAN</v>
          </cell>
        </row>
        <row r="31786">
          <cell r="L31786" t="str">
            <v>Non-proportional</v>
          </cell>
          <cell r="S31786">
            <v>-34622.699999999997</v>
          </cell>
          <cell r="X31786" t="str">
            <v>GWP - gross</v>
          </cell>
          <cell r="Y31786" t="str">
            <v>GUATEMALA</v>
          </cell>
        </row>
        <row r="31787">
          <cell r="L31787" t="str">
            <v>Non-proportional</v>
          </cell>
          <cell r="S31787">
            <v>64000</v>
          </cell>
          <cell r="X31787" t="str">
            <v>GWP - gross</v>
          </cell>
          <cell r="Y31787" t="str">
            <v>ITALY</v>
          </cell>
        </row>
        <row r="31788">
          <cell r="L31788" t="str">
            <v>Non-proportional</v>
          </cell>
          <cell r="S31788">
            <v>-10672.62</v>
          </cell>
          <cell r="X31788" t="str">
            <v>GWP - gross</v>
          </cell>
          <cell r="Y31788" t="str">
            <v>FRANCE</v>
          </cell>
        </row>
        <row r="31789">
          <cell r="L31789" t="str">
            <v>Non-proportional</v>
          </cell>
          <cell r="S31789">
            <v>238277.2</v>
          </cell>
          <cell r="X31789" t="str">
            <v>GWP - gross</v>
          </cell>
          <cell r="Y31789" t="str">
            <v>FRANCE</v>
          </cell>
        </row>
        <row r="31790">
          <cell r="L31790" t="str">
            <v>Non-proportional</v>
          </cell>
          <cell r="S31790">
            <v>854.72</v>
          </cell>
          <cell r="X31790" t="str">
            <v>GWP - gross</v>
          </cell>
          <cell r="Y31790" t="str">
            <v>GERMANY</v>
          </cell>
        </row>
        <row r="31791">
          <cell r="L31791" t="str">
            <v>Non-proportional</v>
          </cell>
          <cell r="S31791">
            <v>-11365.16</v>
          </cell>
          <cell r="X31791" t="str">
            <v>GWP - gross</v>
          </cell>
          <cell r="Y31791" t="str">
            <v>GERMANY</v>
          </cell>
        </row>
        <row r="31792">
          <cell r="L31792" t="str">
            <v>Non-proportional</v>
          </cell>
          <cell r="S31792">
            <v>3371444.69</v>
          </cell>
          <cell r="X31792" t="str">
            <v>GWP - gross</v>
          </cell>
          <cell r="Y31792" t="str">
            <v>UNITED KINGDOM</v>
          </cell>
        </row>
        <row r="31793">
          <cell r="L31793" t="str">
            <v>Non-proportional</v>
          </cell>
          <cell r="S31793">
            <v>49660.89</v>
          </cell>
          <cell r="X31793" t="str">
            <v>GWP - gross</v>
          </cell>
          <cell r="Y31793" t="str">
            <v>ECUADOR</v>
          </cell>
        </row>
        <row r="31794">
          <cell r="L31794" t="str">
            <v>Non-proportional</v>
          </cell>
          <cell r="S31794">
            <v>2847.65</v>
          </cell>
          <cell r="X31794" t="str">
            <v>GWP - gross</v>
          </cell>
          <cell r="Y31794" t="str">
            <v>GERMANY</v>
          </cell>
        </row>
        <row r="31795">
          <cell r="L31795" t="str">
            <v>Non-proportional</v>
          </cell>
          <cell r="S31795">
            <v>-122630.67</v>
          </cell>
          <cell r="X31795" t="str">
            <v>GWP - gross</v>
          </cell>
          <cell r="Y31795" t="str">
            <v>NEW ZEALAND</v>
          </cell>
        </row>
        <row r="31796">
          <cell r="L31796" t="str">
            <v>Non-proportional</v>
          </cell>
          <cell r="S31796">
            <v>-75250</v>
          </cell>
          <cell r="X31796" t="str">
            <v>GWP - gross</v>
          </cell>
          <cell r="Y31796" t="str">
            <v>ITALY</v>
          </cell>
        </row>
        <row r="31797">
          <cell r="L31797" t="str">
            <v>Non-proportional</v>
          </cell>
          <cell r="S31797">
            <v>-26636.99</v>
          </cell>
          <cell r="X31797" t="str">
            <v>GWP - gross</v>
          </cell>
          <cell r="Y31797" t="str">
            <v>ECUADOR</v>
          </cell>
        </row>
        <row r="31798">
          <cell r="L31798" t="str">
            <v>Non-proportional</v>
          </cell>
          <cell r="S31798">
            <v>-68790.179999999993</v>
          </cell>
          <cell r="X31798" t="str">
            <v>GWP - gross</v>
          </cell>
          <cell r="Y31798" t="str">
            <v>JAPAN</v>
          </cell>
        </row>
        <row r="31799">
          <cell r="L31799" t="str">
            <v>Non-proportional</v>
          </cell>
          <cell r="S31799">
            <v>-36757.269999999997</v>
          </cell>
          <cell r="X31799" t="str">
            <v>GWP - gross</v>
          </cell>
          <cell r="Y31799" t="str">
            <v>UNITED KINGDOM</v>
          </cell>
        </row>
        <row r="31800">
          <cell r="L31800" t="str">
            <v>Non-proportional</v>
          </cell>
          <cell r="S31800">
            <v>-34590.06</v>
          </cell>
          <cell r="X31800" t="str">
            <v>GWP - gross</v>
          </cell>
          <cell r="Y31800" t="str">
            <v>AUSTRIA</v>
          </cell>
        </row>
        <row r="31801">
          <cell r="L31801" t="str">
            <v>Non-proportional</v>
          </cell>
          <cell r="S31801">
            <v>-92137.5</v>
          </cell>
          <cell r="X31801" t="str">
            <v>GWP - gross</v>
          </cell>
          <cell r="Y31801" t="str">
            <v>TURKEY</v>
          </cell>
        </row>
        <row r="31802">
          <cell r="L31802" t="str">
            <v>Non-proportional</v>
          </cell>
          <cell r="S31802">
            <v>3582.46</v>
          </cell>
          <cell r="X31802" t="str">
            <v>GWP - gross</v>
          </cell>
          <cell r="Y31802" t="str">
            <v>GERMANY</v>
          </cell>
        </row>
        <row r="31803">
          <cell r="L31803" t="str">
            <v>Non-proportional</v>
          </cell>
          <cell r="S31803">
            <v>-23955</v>
          </cell>
          <cell r="X31803" t="str">
            <v>GWP - gross</v>
          </cell>
          <cell r="Y31803" t="str">
            <v>ITALY</v>
          </cell>
        </row>
        <row r="31804">
          <cell r="L31804" t="str">
            <v>Non-proportional</v>
          </cell>
          <cell r="S31804">
            <v>25910.3</v>
          </cell>
          <cell r="X31804" t="str">
            <v>GWP - gross</v>
          </cell>
          <cell r="Y31804" t="str">
            <v>GUATEMALA</v>
          </cell>
        </row>
        <row r="31805">
          <cell r="L31805" t="str">
            <v>Non-proportional</v>
          </cell>
          <cell r="S31805">
            <v>1344.2</v>
          </cell>
          <cell r="X31805" t="str">
            <v>GWP - gross</v>
          </cell>
          <cell r="Y31805" t="str">
            <v>ISRAEL</v>
          </cell>
        </row>
        <row r="31806">
          <cell r="L31806" t="str">
            <v>Non-proportional</v>
          </cell>
          <cell r="S31806">
            <v>-53404.03</v>
          </cell>
          <cell r="X31806" t="str">
            <v>GWP - gross</v>
          </cell>
          <cell r="Y31806" t="str">
            <v>GUATEMALA</v>
          </cell>
        </row>
        <row r="31807">
          <cell r="L31807" t="str">
            <v>Non-proportional</v>
          </cell>
          <cell r="S31807">
            <v>3983.52</v>
          </cell>
          <cell r="X31807" t="str">
            <v>GWP - gross</v>
          </cell>
          <cell r="Y31807" t="str">
            <v>ITALY</v>
          </cell>
        </row>
        <row r="31808">
          <cell r="L31808" t="str">
            <v>Non-proportional</v>
          </cell>
          <cell r="S31808">
            <v>-11547.55</v>
          </cell>
          <cell r="X31808" t="str">
            <v>GWP - gross</v>
          </cell>
          <cell r="Y31808" t="str">
            <v>JAPAN</v>
          </cell>
        </row>
        <row r="31809">
          <cell r="L31809" t="str">
            <v>Non-proportional</v>
          </cell>
          <cell r="S31809">
            <v>-40858.629999999997</v>
          </cell>
          <cell r="X31809" t="str">
            <v>GWP - gross</v>
          </cell>
          <cell r="Y31809" t="str">
            <v>UNITED KINGDOM</v>
          </cell>
        </row>
        <row r="31810">
          <cell r="L31810" t="str">
            <v>Non-proportional</v>
          </cell>
          <cell r="S31810">
            <v>922.49</v>
          </cell>
          <cell r="X31810" t="str">
            <v>GWP - gross</v>
          </cell>
          <cell r="Y31810" t="str">
            <v>ISRAEL</v>
          </cell>
        </row>
        <row r="31811">
          <cell r="L31811" t="str">
            <v>Non-proportional</v>
          </cell>
          <cell r="S31811">
            <v>84205.1</v>
          </cell>
          <cell r="X31811" t="str">
            <v>GWP - gross</v>
          </cell>
          <cell r="Y31811" t="str">
            <v>NEW ZEALAND</v>
          </cell>
        </row>
        <row r="31812">
          <cell r="L31812" t="str">
            <v>Non-proportional</v>
          </cell>
          <cell r="S31812">
            <v>-21792.17</v>
          </cell>
          <cell r="X31812" t="str">
            <v>GWP - gross</v>
          </cell>
          <cell r="Y31812" t="str">
            <v>FRANCE</v>
          </cell>
        </row>
        <row r="31813">
          <cell r="L31813" t="str">
            <v>Non-proportional</v>
          </cell>
          <cell r="S31813">
            <v>4375.88</v>
          </cell>
          <cell r="X31813" t="str">
            <v>GWP - gross</v>
          </cell>
          <cell r="Y31813" t="str">
            <v>GERMANY</v>
          </cell>
        </row>
        <row r="31814">
          <cell r="L31814" t="str">
            <v>Non-proportional</v>
          </cell>
          <cell r="S31814">
            <v>3192.35</v>
          </cell>
          <cell r="X31814" t="str">
            <v>GWP - gross</v>
          </cell>
          <cell r="Y31814" t="str">
            <v>AUSTRALIA</v>
          </cell>
        </row>
        <row r="31815">
          <cell r="L31815" t="str">
            <v>Non-proportional</v>
          </cell>
          <cell r="S31815">
            <v>-47250</v>
          </cell>
          <cell r="X31815" t="str">
            <v>GWP - gross</v>
          </cell>
          <cell r="Y31815" t="str">
            <v>ITALY</v>
          </cell>
        </row>
        <row r="31816">
          <cell r="L31816" t="str">
            <v>Proportional</v>
          </cell>
          <cell r="S31816">
            <v>-3538687.5</v>
          </cell>
          <cell r="X31816" t="str">
            <v>GWP - gross</v>
          </cell>
          <cell r="Y31816" t="str">
            <v>JAPAN</v>
          </cell>
        </row>
        <row r="31817">
          <cell r="L31817" t="str">
            <v>Non-proportional</v>
          </cell>
          <cell r="S31817">
            <v>-26660.05</v>
          </cell>
          <cell r="X31817" t="str">
            <v>GWP - gross</v>
          </cell>
          <cell r="Y31817" t="str">
            <v>ECUADOR</v>
          </cell>
        </row>
        <row r="31818">
          <cell r="L31818" t="str">
            <v>Non-proportional</v>
          </cell>
          <cell r="S31818">
            <v>-1462.97</v>
          </cell>
          <cell r="X31818" t="str">
            <v>GWP - gross</v>
          </cell>
          <cell r="Y31818" t="str">
            <v>ISRAEL</v>
          </cell>
        </row>
        <row r="31819">
          <cell r="L31819" t="str">
            <v>Non-proportional</v>
          </cell>
          <cell r="S31819">
            <v>-26649.63</v>
          </cell>
          <cell r="X31819" t="str">
            <v>GWP - gross</v>
          </cell>
          <cell r="Y31819" t="str">
            <v>AUSTRALIA</v>
          </cell>
        </row>
        <row r="31820">
          <cell r="L31820" t="str">
            <v>Non-proportional</v>
          </cell>
          <cell r="S31820">
            <v>2756.8</v>
          </cell>
          <cell r="X31820" t="str">
            <v>GWP - gross</v>
          </cell>
          <cell r="Y31820" t="str">
            <v>ISRAEL</v>
          </cell>
        </row>
        <row r="31821">
          <cell r="L31821" t="str">
            <v>Non-proportional</v>
          </cell>
          <cell r="S31821">
            <v>611055.18999999994</v>
          </cell>
          <cell r="X31821" t="str">
            <v>GWP - gross</v>
          </cell>
          <cell r="Y31821" t="str">
            <v>UNITED KINGDOM</v>
          </cell>
        </row>
        <row r="31822">
          <cell r="L31822" t="str">
            <v>Non-proportional</v>
          </cell>
          <cell r="S31822">
            <v>47755.45</v>
          </cell>
          <cell r="X31822" t="str">
            <v>GWP - gross</v>
          </cell>
          <cell r="Y31822" t="str">
            <v>GUATEMALA</v>
          </cell>
        </row>
        <row r="31823">
          <cell r="L31823" t="str">
            <v>Non-proportional</v>
          </cell>
          <cell r="S31823">
            <v>1233.52</v>
          </cell>
          <cell r="X31823" t="str">
            <v>GWP - gross</v>
          </cell>
          <cell r="Y31823" t="str">
            <v>CYPRUS</v>
          </cell>
        </row>
        <row r="31824">
          <cell r="L31824" t="str">
            <v>Proportional</v>
          </cell>
          <cell r="S31824">
            <v>24500000</v>
          </cell>
          <cell r="X31824" t="str">
            <v>GWP - gross</v>
          </cell>
          <cell r="Y31824" t="str">
            <v>PORTUGAL</v>
          </cell>
        </row>
        <row r="31825">
          <cell r="L31825" t="str">
            <v>Non-proportional</v>
          </cell>
          <cell r="S31825">
            <v>-58953</v>
          </cell>
          <cell r="X31825" t="str">
            <v>GWP - gross</v>
          </cell>
          <cell r="Y31825" t="str">
            <v>ECUADOR</v>
          </cell>
        </row>
        <row r="31826">
          <cell r="L31826" t="str">
            <v>Non-proportional</v>
          </cell>
          <cell r="S31826">
            <v>-37600</v>
          </cell>
          <cell r="X31826" t="str">
            <v>GWP - gross</v>
          </cell>
          <cell r="Y31826" t="str">
            <v>ITALY</v>
          </cell>
        </row>
        <row r="31827">
          <cell r="L31827" t="str">
            <v>Non-proportional</v>
          </cell>
          <cell r="S31827">
            <v>61899.8</v>
          </cell>
          <cell r="X31827" t="str">
            <v>GWP - gross</v>
          </cell>
          <cell r="Y31827" t="str">
            <v>JAPAN</v>
          </cell>
        </row>
        <row r="31828">
          <cell r="L31828" t="str">
            <v>Proportional</v>
          </cell>
          <cell r="S31828">
            <v>-32771.82</v>
          </cell>
          <cell r="X31828" t="str">
            <v>GWP - gross</v>
          </cell>
          <cell r="Y31828" t="str">
            <v>UNITED STATES</v>
          </cell>
        </row>
        <row r="31829">
          <cell r="L31829" t="str">
            <v>Non-proportional</v>
          </cell>
          <cell r="S31829">
            <v>6718.57</v>
          </cell>
          <cell r="X31829" t="str">
            <v>GWP - gross</v>
          </cell>
          <cell r="Y31829" t="str">
            <v>JAPAN</v>
          </cell>
        </row>
        <row r="31830">
          <cell r="L31830" t="str">
            <v>Non-proportional</v>
          </cell>
          <cell r="S31830">
            <v>5994.53</v>
          </cell>
          <cell r="X31830" t="str">
            <v>GWP - gross</v>
          </cell>
          <cell r="Y31830" t="str">
            <v>ISRAEL</v>
          </cell>
        </row>
        <row r="31831">
          <cell r="L31831" t="str">
            <v>Non-proportional</v>
          </cell>
          <cell r="S31831">
            <v>21010.13</v>
          </cell>
          <cell r="X31831" t="str">
            <v>GWP - gross</v>
          </cell>
          <cell r="Y31831" t="str">
            <v>ITALY</v>
          </cell>
        </row>
        <row r="31832">
          <cell r="L31832" t="str">
            <v>Non-proportional</v>
          </cell>
          <cell r="S31832">
            <v>-555.5</v>
          </cell>
          <cell r="X31832" t="str">
            <v>GWP - gross</v>
          </cell>
          <cell r="Y31832" t="str">
            <v>PERU</v>
          </cell>
        </row>
        <row r="31833">
          <cell r="L31833" t="str">
            <v>Non-proportional</v>
          </cell>
          <cell r="S31833">
            <v>11471.5</v>
          </cell>
          <cell r="X31833" t="str">
            <v>GWP - gross</v>
          </cell>
          <cell r="Y31833" t="str">
            <v>ECUADOR</v>
          </cell>
        </row>
        <row r="31834">
          <cell r="L31834" t="str">
            <v>Proportional</v>
          </cell>
          <cell r="S31834">
            <v>-70000</v>
          </cell>
          <cell r="X31834" t="str">
            <v>GWP - gross</v>
          </cell>
          <cell r="Y31834" t="str">
            <v>SAUDI ARABIA</v>
          </cell>
        </row>
        <row r="31835">
          <cell r="L31835" t="str">
            <v>Non-proportional</v>
          </cell>
          <cell r="S31835">
            <v>21999.01</v>
          </cell>
          <cell r="X31835" t="str">
            <v>GWP - gross</v>
          </cell>
          <cell r="Y31835" t="str">
            <v>JAPAN</v>
          </cell>
        </row>
        <row r="31836">
          <cell r="L31836" t="str">
            <v>Non-proportional</v>
          </cell>
          <cell r="S31836">
            <v>47250</v>
          </cell>
          <cell r="X31836" t="str">
            <v>GWP - gross</v>
          </cell>
          <cell r="Y31836" t="str">
            <v>ITALY</v>
          </cell>
        </row>
        <row r="31837">
          <cell r="L31837" t="str">
            <v>Non-proportional</v>
          </cell>
          <cell r="S31837">
            <v>-102890.91</v>
          </cell>
          <cell r="X31837" t="str">
            <v>GWP - gross</v>
          </cell>
          <cell r="Y31837" t="str">
            <v>CANADA</v>
          </cell>
        </row>
        <row r="31838">
          <cell r="L31838" t="str">
            <v>Non-proportional</v>
          </cell>
          <cell r="S31838">
            <v>-6718.57</v>
          </cell>
          <cell r="X31838" t="str">
            <v>GWP - gross</v>
          </cell>
          <cell r="Y31838" t="str">
            <v>JAPAN</v>
          </cell>
        </row>
        <row r="31839">
          <cell r="L31839" t="str">
            <v>Non-proportional</v>
          </cell>
          <cell r="S31839">
            <v>-77174.83</v>
          </cell>
          <cell r="X31839" t="str">
            <v>GWP - gross</v>
          </cell>
          <cell r="Y31839" t="str">
            <v>NEW ZEALAND</v>
          </cell>
        </row>
        <row r="31840">
          <cell r="L31840" t="str">
            <v>Non-proportional</v>
          </cell>
          <cell r="S31840">
            <v>-4566.3100000000004</v>
          </cell>
          <cell r="X31840" t="str">
            <v>GWP - gross</v>
          </cell>
          <cell r="Y31840" t="str">
            <v>ISRAEL</v>
          </cell>
        </row>
        <row r="31841">
          <cell r="L31841" t="str">
            <v>Proportional</v>
          </cell>
          <cell r="S31841">
            <v>-1677708.54</v>
          </cell>
          <cell r="X31841" t="str">
            <v>GWP - gross</v>
          </cell>
          <cell r="Y31841" t="str">
            <v>UNITED STATES</v>
          </cell>
        </row>
        <row r="31842">
          <cell r="L31842" t="str">
            <v>Non-proportional</v>
          </cell>
          <cell r="S31842">
            <v>-10288.08</v>
          </cell>
          <cell r="X31842" t="str">
            <v>GWP - gross</v>
          </cell>
          <cell r="Y31842" t="str">
            <v>SOUTH AFRICA</v>
          </cell>
        </row>
        <row r="31843">
          <cell r="L31843" t="str">
            <v>Non-proportional</v>
          </cell>
          <cell r="S31843">
            <v>1559353.56</v>
          </cell>
          <cell r="X31843" t="str">
            <v>GWP - gross</v>
          </cell>
          <cell r="Y31843" t="str">
            <v>UNITED KINGDOM</v>
          </cell>
        </row>
        <row r="31844">
          <cell r="L31844" t="str">
            <v>Non-proportional</v>
          </cell>
          <cell r="S31844">
            <v>-4457.1000000000004</v>
          </cell>
          <cell r="X31844" t="str">
            <v>GWP - gross</v>
          </cell>
          <cell r="Y31844" t="str">
            <v>CHILE</v>
          </cell>
        </row>
        <row r="31845">
          <cell r="L31845" t="str">
            <v>Proportional</v>
          </cell>
          <cell r="S31845">
            <v>3222740.11</v>
          </cell>
          <cell r="X31845" t="str">
            <v>GWP - gross</v>
          </cell>
          <cell r="Y31845" t="str">
            <v>UNITED STATES</v>
          </cell>
        </row>
        <row r="31846">
          <cell r="L31846" t="str">
            <v>Non-proportional</v>
          </cell>
          <cell r="S31846">
            <v>14521.14</v>
          </cell>
          <cell r="X31846" t="str">
            <v>GWP - gross</v>
          </cell>
          <cell r="Y31846" t="str">
            <v>PUERTO RICO</v>
          </cell>
        </row>
        <row r="31847">
          <cell r="L31847" t="str">
            <v>Non-proportional</v>
          </cell>
          <cell r="S31847">
            <v>-15276.34</v>
          </cell>
          <cell r="X31847" t="str">
            <v>GWP - gross</v>
          </cell>
          <cell r="Y31847" t="str">
            <v>GREECE</v>
          </cell>
        </row>
        <row r="31848">
          <cell r="L31848" t="str">
            <v>Non-proportional</v>
          </cell>
          <cell r="S31848">
            <v>-3338.49</v>
          </cell>
          <cell r="X31848" t="str">
            <v>GWP - gross</v>
          </cell>
          <cell r="Y31848" t="str">
            <v>DENMARK</v>
          </cell>
        </row>
        <row r="31849">
          <cell r="L31849" t="str">
            <v>Non-proportional</v>
          </cell>
          <cell r="S31849">
            <v>-20254.52</v>
          </cell>
          <cell r="X31849" t="str">
            <v>GWP - gross</v>
          </cell>
          <cell r="Y31849" t="str">
            <v>JAPAN</v>
          </cell>
        </row>
        <row r="31850">
          <cell r="L31850" t="str">
            <v>Non-proportional</v>
          </cell>
          <cell r="S31850">
            <v>-86625</v>
          </cell>
          <cell r="X31850" t="str">
            <v>GWP - gross</v>
          </cell>
          <cell r="Y31850" t="str">
            <v>FRANCE</v>
          </cell>
        </row>
        <row r="31851">
          <cell r="L31851" t="str">
            <v>Non-proportional</v>
          </cell>
          <cell r="S31851">
            <v>-20575.63</v>
          </cell>
          <cell r="X31851" t="str">
            <v>GWP - gross</v>
          </cell>
          <cell r="Y31851" t="str">
            <v>JAPAN</v>
          </cell>
        </row>
        <row r="31852">
          <cell r="L31852" t="str">
            <v>Non-proportional</v>
          </cell>
          <cell r="S31852">
            <v>-26487.66</v>
          </cell>
          <cell r="X31852" t="str">
            <v>GWP - gross</v>
          </cell>
          <cell r="Y31852" t="str">
            <v>UNITED KINGDOM</v>
          </cell>
        </row>
        <row r="31853">
          <cell r="L31853" t="str">
            <v>Non-proportional</v>
          </cell>
          <cell r="S31853">
            <v>-8016.19</v>
          </cell>
          <cell r="X31853" t="str">
            <v>GWP - gross</v>
          </cell>
          <cell r="Y31853" t="str">
            <v>ISRAEL</v>
          </cell>
        </row>
        <row r="31854">
          <cell r="L31854" t="str">
            <v>Non-proportional</v>
          </cell>
          <cell r="S31854">
            <v>27041.759999999998</v>
          </cell>
          <cell r="X31854" t="str">
            <v>GWP - gross</v>
          </cell>
          <cell r="Y31854" t="str">
            <v>FRANCE</v>
          </cell>
        </row>
        <row r="31855">
          <cell r="L31855" t="str">
            <v>Non-proportional</v>
          </cell>
          <cell r="S31855">
            <v>65303.63</v>
          </cell>
          <cell r="X31855" t="str">
            <v>GWP - gross</v>
          </cell>
          <cell r="Y31855" t="str">
            <v>FRANCE</v>
          </cell>
        </row>
        <row r="31856">
          <cell r="L31856" t="str">
            <v>Non-proportional</v>
          </cell>
          <cell r="S31856">
            <v>38469.370000000003</v>
          </cell>
          <cell r="X31856" t="str">
            <v>GWP - gross</v>
          </cell>
          <cell r="Y31856" t="str">
            <v>GUATEMALA</v>
          </cell>
        </row>
        <row r="31857">
          <cell r="L31857" t="str">
            <v>Non-proportional</v>
          </cell>
          <cell r="S31857">
            <v>-717.14</v>
          </cell>
          <cell r="X31857" t="str">
            <v>GWP - gross</v>
          </cell>
          <cell r="Y31857" t="str">
            <v>ISRAEL</v>
          </cell>
        </row>
        <row r="31858">
          <cell r="L31858" t="str">
            <v>Non-proportional</v>
          </cell>
          <cell r="S31858">
            <v>4221.41</v>
          </cell>
          <cell r="X31858" t="str">
            <v>GWP - gross</v>
          </cell>
          <cell r="Y31858" t="str">
            <v>FRANCE</v>
          </cell>
        </row>
        <row r="31859">
          <cell r="L31859" t="str">
            <v>Non-proportional</v>
          </cell>
          <cell r="S31859">
            <v>-3192.35</v>
          </cell>
          <cell r="X31859" t="str">
            <v>GWP - gross</v>
          </cell>
          <cell r="Y31859" t="str">
            <v>AUSTRALIA</v>
          </cell>
        </row>
        <row r="31860">
          <cell r="L31860" t="str">
            <v>Non-proportional</v>
          </cell>
          <cell r="S31860">
            <v>35321.919999999998</v>
          </cell>
          <cell r="X31860" t="str">
            <v>GWP - gross</v>
          </cell>
          <cell r="Y31860" t="str">
            <v>JAPAN</v>
          </cell>
        </row>
        <row r="31861">
          <cell r="L31861" t="str">
            <v>Non-proportional</v>
          </cell>
          <cell r="S31861">
            <v>-8384</v>
          </cell>
          <cell r="X31861" t="str">
            <v>GWP - gross</v>
          </cell>
          <cell r="Y31861" t="str">
            <v>INDIA</v>
          </cell>
        </row>
        <row r="31862">
          <cell r="L31862" t="str">
            <v>Proportional</v>
          </cell>
          <cell r="S31862">
            <v>7207.56</v>
          </cell>
          <cell r="X31862" t="str">
            <v>GWP - gross</v>
          </cell>
          <cell r="Y31862" t="str">
            <v>JAPAN</v>
          </cell>
        </row>
        <row r="31863">
          <cell r="L31863" t="str">
            <v>Proportional</v>
          </cell>
          <cell r="S31863">
            <v>-1485.15</v>
          </cell>
          <cell r="X31863" t="str">
            <v>GWP - gross</v>
          </cell>
          <cell r="Y31863" t="str">
            <v>UNITED STATES</v>
          </cell>
        </row>
        <row r="31864">
          <cell r="L31864" t="str">
            <v>Non-proportional</v>
          </cell>
          <cell r="S31864">
            <v>-26259.87</v>
          </cell>
          <cell r="X31864" t="str">
            <v>GWP - gross</v>
          </cell>
          <cell r="Y31864" t="str">
            <v>JAPAN</v>
          </cell>
        </row>
        <row r="31865">
          <cell r="L31865" t="str">
            <v>Non-proportional</v>
          </cell>
          <cell r="S31865">
            <v>477722.81</v>
          </cell>
          <cell r="X31865" t="str">
            <v>GWP - gross</v>
          </cell>
          <cell r="Y31865" t="str">
            <v>UNITED STATES</v>
          </cell>
        </row>
        <row r="31866">
          <cell r="L31866" t="str">
            <v>Non-proportional</v>
          </cell>
          <cell r="S31866">
            <v>23405.33</v>
          </cell>
          <cell r="X31866" t="str">
            <v>GWP - gross</v>
          </cell>
          <cell r="Y31866" t="str">
            <v>INDIA</v>
          </cell>
        </row>
        <row r="31867">
          <cell r="L31867" t="str">
            <v>Non-proportional</v>
          </cell>
          <cell r="S31867">
            <v>89266.66</v>
          </cell>
          <cell r="X31867" t="str">
            <v>GWP - gross</v>
          </cell>
          <cell r="Y31867" t="str">
            <v>ECUADOR</v>
          </cell>
        </row>
        <row r="31868">
          <cell r="L31868" t="str">
            <v>Non-proportional</v>
          </cell>
          <cell r="S31868">
            <v>-39021.39</v>
          </cell>
          <cell r="X31868" t="str">
            <v>GWP - gross</v>
          </cell>
          <cell r="Y31868" t="str">
            <v>ECUADOR</v>
          </cell>
        </row>
        <row r="31869">
          <cell r="L31869" t="str">
            <v>Non-proportional</v>
          </cell>
          <cell r="S31869">
            <v>-25910.3</v>
          </cell>
          <cell r="X31869" t="str">
            <v>GWP - gross</v>
          </cell>
          <cell r="Y31869" t="str">
            <v>GUATEMALA</v>
          </cell>
        </row>
        <row r="31870">
          <cell r="L31870" t="str">
            <v>Non-proportional</v>
          </cell>
          <cell r="S31870">
            <v>-56180</v>
          </cell>
          <cell r="X31870" t="str">
            <v>GWP - gross</v>
          </cell>
          <cell r="Y31870" t="str">
            <v>ITALY</v>
          </cell>
        </row>
        <row r="31871">
          <cell r="L31871" t="str">
            <v>Non-proportional</v>
          </cell>
          <cell r="S31871">
            <v>10776</v>
          </cell>
          <cell r="X31871" t="str">
            <v>GWP - gross</v>
          </cell>
          <cell r="Y31871" t="str">
            <v>GERMANY</v>
          </cell>
        </row>
        <row r="31872">
          <cell r="L31872" t="str">
            <v>Non-proportional</v>
          </cell>
          <cell r="S31872">
            <v>-93552.05</v>
          </cell>
          <cell r="X31872" t="str">
            <v>GWP - gross</v>
          </cell>
          <cell r="Y31872" t="str">
            <v>NEW ZEALAND</v>
          </cell>
        </row>
        <row r="31873">
          <cell r="L31873" t="str">
            <v>Non-proportional</v>
          </cell>
          <cell r="S31873">
            <v>-9304.42</v>
          </cell>
          <cell r="X31873" t="str">
            <v>GWP - gross</v>
          </cell>
          <cell r="Y31873" t="str">
            <v>JAPAN</v>
          </cell>
        </row>
        <row r="31874">
          <cell r="L31874" t="str">
            <v>Non-proportional</v>
          </cell>
          <cell r="S31874">
            <v>1268680</v>
          </cell>
          <cell r="X31874" t="str">
            <v>GWP - gross</v>
          </cell>
          <cell r="Y31874" t="str">
            <v>FRANCE</v>
          </cell>
        </row>
        <row r="31875">
          <cell r="L31875" t="str">
            <v>Proportional</v>
          </cell>
          <cell r="S31875">
            <v>-755569.45</v>
          </cell>
          <cell r="X31875" t="str">
            <v>GWP - gross</v>
          </cell>
          <cell r="Y31875" t="str">
            <v>CANADA</v>
          </cell>
        </row>
        <row r="31876">
          <cell r="L31876" t="str">
            <v>Non-proportional</v>
          </cell>
          <cell r="S31876">
            <v>4137.66</v>
          </cell>
          <cell r="X31876" t="str">
            <v>GWP - gross</v>
          </cell>
          <cell r="Y31876" t="str">
            <v>INDIA</v>
          </cell>
        </row>
        <row r="31877">
          <cell r="L31877" t="str">
            <v>Non-proportional</v>
          </cell>
          <cell r="S31877">
            <v>24438.38</v>
          </cell>
          <cell r="X31877" t="str">
            <v>GWP - gross</v>
          </cell>
          <cell r="Y31877" t="str">
            <v>ECUADOR</v>
          </cell>
        </row>
        <row r="31878">
          <cell r="L31878" t="str">
            <v>Non-proportional</v>
          </cell>
          <cell r="S31878">
            <v>-21170.51</v>
          </cell>
          <cell r="X31878" t="str">
            <v>GWP - gross</v>
          </cell>
          <cell r="Y31878" t="str">
            <v>ECUADOR</v>
          </cell>
        </row>
        <row r="31879">
          <cell r="L31879" t="str">
            <v>Non-proportional</v>
          </cell>
          <cell r="S31879">
            <v>80105.919999999998</v>
          </cell>
          <cell r="X31879" t="str">
            <v>GWP - gross</v>
          </cell>
          <cell r="Y31879" t="str">
            <v>GUATEMALA</v>
          </cell>
        </row>
        <row r="31880">
          <cell r="L31880" t="str">
            <v>Non-proportional</v>
          </cell>
          <cell r="S31880">
            <v>70829.09</v>
          </cell>
          <cell r="X31880" t="str">
            <v>GWP - gross</v>
          </cell>
          <cell r="Y31880" t="str">
            <v>JAPAN</v>
          </cell>
        </row>
        <row r="31881">
          <cell r="L31881" t="str">
            <v>Non-proportional</v>
          </cell>
          <cell r="S31881">
            <v>271951.24</v>
          </cell>
          <cell r="X31881" t="str">
            <v>GWP - gross</v>
          </cell>
          <cell r="Y31881" t="str">
            <v>FRANCE</v>
          </cell>
        </row>
        <row r="31882">
          <cell r="L31882" t="str">
            <v>Non-proportional</v>
          </cell>
          <cell r="S31882">
            <v>-9304.42</v>
          </cell>
          <cell r="X31882" t="str">
            <v>GWP - gross</v>
          </cell>
          <cell r="Y31882" t="str">
            <v>JAPAN</v>
          </cell>
        </row>
        <row r="31883">
          <cell r="L31883" t="str">
            <v>Proportional</v>
          </cell>
          <cell r="S31883">
            <v>-235570.31</v>
          </cell>
          <cell r="X31883" t="str">
            <v>GWP - gross</v>
          </cell>
          <cell r="Y31883" t="str">
            <v>UNITED KINGDOM</v>
          </cell>
        </row>
        <row r="31884">
          <cell r="L31884" t="str">
            <v>Non-proportional</v>
          </cell>
          <cell r="S31884">
            <v>-96267.91</v>
          </cell>
          <cell r="X31884" t="str">
            <v>GWP - gross</v>
          </cell>
          <cell r="Y31884" t="str">
            <v>ECUADOR</v>
          </cell>
        </row>
        <row r="31885">
          <cell r="L31885" t="str">
            <v>Non-proportional</v>
          </cell>
          <cell r="S31885">
            <v>-299997.74</v>
          </cell>
          <cell r="X31885" t="str">
            <v>GWP - gross</v>
          </cell>
          <cell r="Y31885" t="str">
            <v>FRANCE</v>
          </cell>
        </row>
        <row r="31886">
          <cell r="L31886" t="str">
            <v>Non-proportional</v>
          </cell>
          <cell r="S31886">
            <v>-17784.46</v>
          </cell>
          <cell r="X31886" t="str">
            <v>GWP - gross</v>
          </cell>
          <cell r="Y31886" t="str">
            <v>JAPAN</v>
          </cell>
        </row>
        <row r="31887">
          <cell r="L31887" t="str">
            <v>Non-proportional</v>
          </cell>
          <cell r="S31887">
            <v>-361246.86</v>
          </cell>
          <cell r="X31887" t="str">
            <v>GWP - gross</v>
          </cell>
          <cell r="Y31887" t="str">
            <v>JAPAN</v>
          </cell>
        </row>
        <row r="31888">
          <cell r="L31888" t="str">
            <v>Non-proportional</v>
          </cell>
          <cell r="S31888">
            <v>-11284.25</v>
          </cell>
          <cell r="X31888" t="str">
            <v>GWP - gross</v>
          </cell>
          <cell r="Y31888" t="str">
            <v>CYPRUS</v>
          </cell>
        </row>
        <row r="31889">
          <cell r="L31889" t="str">
            <v>Non-proportional</v>
          </cell>
          <cell r="S31889">
            <v>-5027.2299999999996</v>
          </cell>
          <cell r="X31889" t="str">
            <v>GWP - gross</v>
          </cell>
          <cell r="Y31889" t="str">
            <v>CYPRUS</v>
          </cell>
        </row>
        <row r="31890">
          <cell r="L31890" t="str">
            <v>Non-proportional</v>
          </cell>
          <cell r="S31890">
            <v>-26259.87</v>
          </cell>
          <cell r="X31890" t="str">
            <v>GWP - gross</v>
          </cell>
          <cell r="Y31890" t="str">
            <v>JAPAN</v>
          </cell>
        </row>
        <row r="31891">
          <cell r="L31891" t="str">
            <v>Non-proportional</v>
          </cell>
          <cell r="S31891">
            <v>20254.52</v>
          </cell>
          <cell r="X31891" t="str">
            <v>GWP - gross</v>
          </cell>
          <cell r="Y31891" t="str">
            <v>JAPAN</v>
          </cell>
        </row>
        <row r="31892">
          <cell r="L31892" t="str">
            <v>Non-proportional</v>
          </cell>
          <cell r="S31892">
            <v>-12565.3</v>
          </cell>
          <cell r="X31892" t="str">
            <v>GWP - gross</v>
          </cell>
          <cell r="Y31892" t="str">
            <v>SOUTH AFRICA</v>
          </cell>
        </row>
        <row r="31893">
          <cell r="L31893" t="str">
            <v>Non-proportional</v>
          </cell>
          <cell r="S31893">
            <v>45607.29</v>
          </cell>
          <cell r="X31893" t="str">
            <v>GWP - gross</v>
          </cell>
          <cell r="Y31893" t="str">
            <v>UNITED KINGDOM</v>
          </cell>
        </row>
        <row r="31894">
          <cell r="L31894" t="str">
            <v>Non-proportional</v>
          </cell>
          <cell r="S31894">
            <v>-146791.88</v>
          </cell>
          <cell r="X31894" t="str">
            <v>GWP - gross</v>
          </cell>
          <cell r="Y31894" t="str">
            <v>UNITED KINGDOM</v>
          </cell>
        </row>
        <row r="31895">
          <cell r="L31895" t="str">
            <v>Non-proportional</v>
          </cell>
          <cell r="S31895">
            <v>-8603.6299999999992</v>
          </cell>
          <cell r="X31895" t="str">
            <v>GWP - gross</v>
          </cell>
          <cell r="Y31895" t="str">
            <v>ECUADOR</v>
          </cell>
        </row>
        <row r="31896">
          <cell r="L31896" t="str">
            <v>Non-proportional</v>
          </cell>
          <cell r="S31896">
            <v>-38469.370000000003</v>
          </cell>
          <cell r="X31896" t="str">
            <v>GWP - gross</v>
          </cell>
          <cell r="Y31896" t="str">
            <v>GUATEMALA</v>
          </cell>
        </row>
        <row r="31897">
          <cell r="L31897" t="str">
            <v>Non-proportional</v>
          </cell>
          <cell r="S31897">
            <v>-1154.29</v>
          </cell>
          <cell r="X31897" t="str">
            <v>GWP - gross</v>
          </cell>
          <cell r="Y31897" t="str">
            <v>ITALY</v>
          </cell>
        </row>
        <row r="31898">
          <cell r="L31898" t="str">
            <v>Non-proportional</v>
          </cell>
          <cell r="S31898">
            <v>-8742.41</v>
          </cell>
          <cell r="X31898" t="str">
            <v>GWP - gross</v>
          </cell>
          <cell r="Y31898" t="str">
            <v>ISRAEL</v>
          </cell>
        </row>
        <row r="31899">
          <cell r="L31899" t="str">
            <v>Non-proportional</v>
          </cell>
          <cell r="S31899">
            <v>-53404.03</v>
          </cell>
          <cell r="X31899" t="str">
            <v>GWP - gross</v>
          </cell>
          <cell r="Y31899" t="str">
            <v>GUATEMALA</v>
          </cell>
        </row>
        <row r="31900">
          <cell r="L31900" t="str">
            <v>Non-proportional</v>
          </cell>
          <cell r="S31900">
            <v>9967.86</v>
          </cell>
          <cell r="X31900" t="str">
            <v>GWP - gross</v>
          </cell>
          <cell r="Y31900" t="str">
            <v>ECUADOR</v>
          </cell>
        </row>
        <row r="31901">
          <cell r="L31901" t="str">
            <v>Non-proportional</v>
          </cell>
          <cell r="S31901">
            <v>5478.91</v>
          </cell>
          <cell r="X31901" t="str">
            <v>GWP - gross</v>
          </cell>
          <cell r="Y31901" t="str">
            <v>JAPAN</v>
          </cell>
        </row>
        <row r="31902">
          <cell r="L31902" t="str">
            <v>Non-proportional</v>
          </cell>
          <cell r="S31902">
            <v>-13268.68</v>
          </cell>
          <cell r="X31902" t="str">
            <v>GWP - gross</v>
          </cell>
          <cell r="Y31902" t="str">
            <v>SOUTH AFRICA</v>
          </cell>
        </row>
        <row r="31903">
          <cell r="L31903" t="str">
            <v>Non-proportional</v>
          </cell>
          <cell r="S31903">
            <v>-1114629.75</v>
          </cell>
          <cell r="X31903" t="str">
            <v>GWP - gross</v>
          </cell>
          <cell r="Y31903" t="str">
            <v>UNITED KINGDOM</v>
          </cell>
        </row>
        <row r="31904">
          <cell r="L31904" t="str">
            <v>Non-proportional</v>
          </cell>
          <cell r="S31904">
            <v>1154.29</v>
          </cell>
          <cell r="X31904" t="str">
            <v>GWP - gross</v>
          </cell>
          <cell r="Y31904" t="str">
            <v>ITALY</v>
          </cell>
        </row>
        <row r="31905">
          <cell r="L31905" t="str">
            <v>Non-proportional</v>
          </cell>
          <cell r="S31905">
            <v>-1049768.43</v>
          </cell>
          <cell r="X31905" t="str">
            <v>GWP - gross</v>
          </cell>
          <cell r="Y31905" t="str">
            <v>FRANCE</v>
          </cell>
        </row>
        <row r="31906">
          <cell r="L31906" t="str">
            <v>Proportional</v>
          </cell>
          <cell r="S31906">
            <v>109298.69</v>
          </cell>
          <cell r="X31906" t="str">
            <v>GWP - gross</v>
          </cell>
          <cell r="Y31906" t="str">
            <v>CANADA</v>
          </cell>
        </row>
        <row r="31907">
          <cell r="L31907" t="str">
            <v>Non-proportional</v>
          </cell>
          <cell r="S31907">
            <v>750617.71</v>
          </cell>
          <cell r="X31907" t="str">
            <v>GWP - gross</v>
          </cell>
          <cell r="Y31907" t="str">
            <v>UNITED KINGDOM</v>
          </cell>
        </row>
        <row r="31908">
          <cell r="L31908" t="str">
            <v>Non-proportional</v>
          </cell>
          <cell r="S31908">
            <v>-4822.26</v>
          </cell>
          <cell r="X31908" t="str">
            <v>GWP - gross</v>
          </cell>
          <cell r="Y31908" t="str">
            <v>DENMARK</v>
          </cell>
        </row>
        <row r="31909">
          <cell r="L31909" t="str">
            <v>Non-proportional</v>
          </cell>
          <cell r="S31909">
            <v>-18234.009999999998</v>
          </cell>
          <cell r="X31909" t="str">
            <v>GWP - gross</v>
          </cell>
          <cell r="Y31909" t="str">
            <v>NETHERLANDS</v>
          </cell>
        </row>
        <row r="31910">
          <cell r="L31910" t="str">
            <v>Non-proportional</v>
          </cell>
          <cell r="S31910">
            <v>6656.18</v>
          </cell>
          <cell r="X31910" t="str">
            <v>GWP - gross</v>
          </cell>
          <cell r="Y31910" t="str">
            <v>DENMARK</v>
          </cell>
        </row>
        <row r="31911">
          <cell r="L31911" t="str">
            <v>Non-proportional</v>
          </cell>
          <cell r="S31911">
            <v>-20254.52</v>
          </cell>
          <cell r="X31911" t="str">
            <v>GWP - gross</v>
          </cell>
          <cell r="Y31911" t="str">
            <v>JAPAN</v>
          </cell>
        </row>
        <row r="31912">
          <cell r="L31912" t="str">
            <v>Non-proportional</v>
          </cell>
          <cell r="S31912">
            <v>-173140.21</v>
          </cell>
          <cell r="X31912" t="str">
            <v>GWP - gross</v>
          </cell>
          <cell r="Y31912" t="str">
            <v>UNITED KINGDOM</v>
          </cell>
        </row>
        <row r="31913">
          <cell r="L31913" t="str">
            <v>Non-proportional</v>
          </cell>
          <cell r="S31913">
            <v>12667.15</v>
          </cell>
          <cell r="X31913" t="str">
            <v>GWP - gross</v>
          </cell>
          <cell r="Y31913" t="str">
            <v>ECUADOR</v>
          </cell>
        </row>
        <row r="31914">
          <cell r="L31914" t="str">
            <v>Non-proportional</v>
          </cell>
          <cell r="S31914">
            <v>5852.67</v>
          </cell>
          <cell r="X31914" t="str">
            <v>GWP - gross</v>
          </cell>
          <cell r="Y31914" t="str">
            <v>PERU</v>
          </cell>
        </row>
        <row r="31915">
          <cell r="L31915" t="str">
            <v>Non-proportional</v>
          </cell>
          <cell r="S31915">
            <v>8700</v>
          </cell>
          <cell r="X31915" t="str">
            <v>GWP - gross</v>
          </cell>
          <cell r="Y31915" t="str">
            <v>GERMANY</v>
          </cell>
        </row>
        <row r="31916">
          <cell r="L31916" t="str">
            <v>Non-proportional</v>
          </cell>
          <cell r="S31916">
            <v>23.9</v>
          </cell>
          <cell r="X31916" t="str">
            <v>GWP - gross</v>
          </cell>
          <cell r="Y31916" t="str">
            <v>GERMANY</v>
          </cell>
        </row>
        <row r="31917">
          <cell r="L31917" t="str">
            <v>Non-proportional</v>
          </cell>
          <cell r="S31917">
            <v>6943.97</v>
          </cell>
          <cell r="X31917" t="str">
            <v>GWP - gross</v>
          </cell>
          <cell r="Y31917" t="str">
            <v>INDIA</v>
          </cell>
        </row>
        <row r="31918">
          <cell r="L31918" t="str">
            <v>Non-proportional</v>
          </cell>
          <cell r="S31918">
            <v>-15003.68</v>
          </cell>
          <cell r="X31918" t="str">
            <v>GWP - gross</v>
          </cell>
          <cell r="Y31918" t="str">
            <v>ECUADOR</v>
          </cell>
        </row>
        <row r="31919">
          <cell r="L31919" t="str">
            <v>Non-proportional</v>
          </cell>
          <cell r="S31919">
            <v>-47738.559999999998</v>
          </cell>
          <cell r="X31919" t="str">
            <v>GWP - gross</v>
          </cell>
          <cell r="Y31919" t="str">
            <v>GREECE</v>
          </cell>
        </row>
        <row r="31920">
          <cell r="L31920" t="str">
            <v>Non-proportional</v>
          </cell>
          <cell r="S31920">
            <v>11547.55</v>
          </cell>
          <cell r="X31920" t="str">
            <v>GWP - gross</v>
          </cell>
          <cell r="Y31920" t="str">
            <v>JAPAN</v>
          </cell>
        </row>
        <row r="31921">
          <cell r="L31921" t="str">
            <v>Non-proportional</v>
          </cell>
          <cell r="S31921">
            <v>-20254.52</v>
          </cell>
          <cell r="X31921" t="str">
            <v>GWP - gross</v>
          </cell>
          <cell r="Y31921" t="str">
            <v>JAPAN</v>
          </cell>
        </row>
        <row r="31922">
          <cell r="L31922" t="str">
            <v>Non-proportional</v>
          </cell>
          <cell r="S31922">
            <v>-2366.63</v>
          </cell>
          <cell r="X31922" t="str">
            <v>GWP - gross</v>
          </cell>
          <cell r="Y31922" t="str">
            <v>JAPAN</v>
          </cell>
        </row>
        <row r="31923">
          <cell r="L31923" t="str">
            <v>Non-proportional</v>
          </cell>
          <cell r="S31923">
            <v>84011.34</v>
          </cell>
          <cell r="X31923" t="str">
            <v>GWP - gross</v>
          </cell>
          <cell r="Y31923" t="str">
            <v>UNITED KINGDOM</v>
          </cell>
        </row>
        <row r="31924">
          <cell r="L31924" t="str">
            <v>Non-proportional</v>
          </cell>
          <cell r="S31924">
            <v>2714.52</v>
          </cell>
          <cell r="X31924" t="str">
            <v>GWP - gross</v>
          </cell>
          <cell r="Y31924" t="str">
            <v>CYPRUS</v>
          </cell>
        </row>
        <row r="31925">
          <cell r="L31925" t="str">
            <v>Non-proportional</v>
          </cell>
          <cell r="S31925">
            <v>38845.14</v>
          </cell>
          <cell r="X31925" t="str">
            <v>GWP - gross</v>
          </cell>
          <cell r="Y31925" t="str">
            <v>UNITED KINGDOM</v>
          </cell>
        </row>
        <row r="31926">
          <cell r="L31926" t="str">
            <v>Non-proportional</v>
          </cell>
          <cell r="S31926">
            <v>24963.89</v>
          </cell>
          <cell r="X31926" t="str">
            <v>GWP - gross</v>
          </cell>
          <cell r="Y31926" t="str">
            <v>JAPAN</v>
          </cell>
        </row>
        <row r="31927">
          <cell r="L31927" t="str">
            <v>Non-proportional</v>
          </cell>
          <cell r="S31927">
            <v>-224509.18</v>
          </cell>
          <cell r="X31927" t="str">
            <v>GWP - gross</v>
          </cell>
          <cell r="Y31927" t="str">
            <v>PUERTO RICO</v>
          </cell>
        </row>
        <row r="31928">
          <cell r="L31928" t="str">
            <v>Non-proportional</v>
          </cell>
          <cell r="S31928">
            <v>5127.45</v>
          </cell>
          <cell r="X31928" t="str">
            <v>GWP - gross</v>
          </cell>
          <cell r="Y31928" t="str">
            <v>NEW ZEALAND</v>
          </cell>
        </row>
        <row r="31929">
          <cell r="L31929" t="str">
            <v>Non-proportional</v>
          </cell>
          <cell r="S31929">
            <v>550</v>
          </cell>
          <cell r="X31929" t="str">
            <v>GWP - gross</v>
          </cell>
          <cell r="Y31929" t="str">
            <v>GERMANY</v>
          </cell>
        </row>
        <row r="31930">
          <cell r="L31930" t="str">
            <v>Non-proportional</v>
          </cell>
          <cell r="S31930">
            <v>-13886.37</v>
          </cell>
          <cell r="X31930" t="str">
            <v>GWP - gross</v>
          </cell>
          <cell r="Y31930" t="str">
            <v>FRANCE</v>
          </cell>
        </row>
        <row r="31931">
          <cell r="L31931" t="str">
            <v>Proportional</v>
          </cell>
          <cell r="S31931">
            <v>-2965.25</v>
          </cell>
          <cell r="X31931" t="str">
            <v>GWP - gross</v>
          </cell>
          <cell r="Y31931" t="str">
            <v>Hong Kong</v>
          </cell>
        </row>
        <row r="31932">
          <cell r="L31932" t="str">
            <v>Non-proportional</v>
          </cell>
          <cell r="S31932">
            <v>11686.64</v>
          </cell>
          <cell r="X31932" t="str">
            <v>GWP - gross</v>
          </cell>
          <cell r="Y31932" t="str">
            <v>SOUTH AFRICA</v>
          </cell>
        </row>
        <row r="31933">
          <cell r="L31933" t="str">
            <v>Non-proportional</v>
          </cell>
          <cell r="S31933">
            <v>15363</v>
          </cell>
          <cell r="X31933" t="str">
            <v>GWP - gross</v>
          </cell>
          <cell r="Y31933" t="str">
            <v>SLOVENIA</v>
          </cell>
        </row>
        <row r="31934">
          <cell r="L31934" t="str">
            <v>Proportional</v>
          </cell>
          <cell r="S31934">
            <v>-168454.51</v>
          </cell>
          <cell r="X31934" t="str">
            <v>GWP - gross</v>
          </cell>
          <cell r="Y31934" t="str">
            <v>THAILAND</v>
          </cell>
        </row>
        <row r="31935">
          <cell r="L31935" t="str">
            <v>Proportional</v>
          </cell>
          <cell r="S31935">
            <v>508866.08</v>
          </cell>
          <cell r="X31935" t="str">
            <v>GWP - gross</v>
          </cell>
          <cell r="Y31935" t="str">
            <v>THAILAND</v>
          </cell>
        </row>
        <row r="31936">
          <cell r="L31936" t="str">
            <v>Non-proportional</v>
          </cell>
          <cell r="S31936">
            <v>-15862.93</v>
          </cell>
          <cell r="X31936" t="str">
            <v>GWP - gross</v>
          </cell>
          <cell r="Y31936" t="str">
            <v>INDIA</v>
          </cell>
        </row>
        <row r="31937">
          <cell r="L31937" t="str">
            <v>Non-proportional</v>
          </cell>
          <cell r="S31937">
            <v>26987.87</v>
          </cell>
          <cell r="X31937" t="str">
            <v>GWP - gross</v>
          </cell>
          <cell r="Y31937" t="str">
            <v>UNITED KINGDOM</v>
          </cell>
        </row>
        <row r="31938">
          <cell r="L31938" t="str">
            <v>Non-proportional</v>
          </cell>
          <cell r="S31938">
            <v>-299997.74</v>
          </cell>
          <cell r="X31938" t="str">
            <v>GWP - gross</v>
          </cell>
          <cell r="Y31938" t="str">
            <v>FRANCE</v>
          </cell>
        </row>
        <row r="31939">
          <cell r="L31939" t="str">
            <v>Non-proportional</v>
          </cell>
          <cell r="S31939">
            <v>-15055.06</v>
          </cell>
          <cell r="X31939" t="str">
            <v>GWP - gross</v>
          </cell>
          <cell r="Y31939" t="str">
            <v>SLOVENIA</v>
          </cell>
        </row>
        <row r="31940">
          <cell r="L31940" t="str">
            <v>Proportional</v>
          </cell>
          <cell r="S31940">
            <v>-16878.7</v>
          </cell>
          <cell r="X31940" t="str">
            <v>GWP - gross</v>
          </cell>
          <cell r="Y31940" t="str">
            <v>THAILAND</v>
          </cell>
        </row>
        <row r="31941">
          <cell r="L31941" t="str">
            <v>Non-proportional</v>
          </cell>
          <cell r="S31941">
            <v>-2146.41</v>
          </cell>
          <cell r="X31941" t="str">
            <v>GWP - gross</v>
          </cell>
          <cell r="Y31941" t="str">
            <v>NEW ZEALAND</v>
          </cell>
        </row>
        <row r="31942">
          <cell r="L31942" t="str">
            <v>Non-proportional</v>
          </cell>
          <cell r="S31942">
            <v>15168.84</v>
          </cell>
          <cell r="X31942" t="str">
            <v>GWP - gross</v>
          </cell>
          <cell r="Y31942" t="str">
            <v>SWEDEN</v>
          </cell>
        </row>
        <row r="31943">
          <cell r="L31943" t="str">
            <v>Non-proportional</v>
          </cell>
          <cell r="S31943">
            <v>111225.74</v>
          </cell>
          <cell r="X31943" t="str">
            <v>GWP - gross</v>
          </cell>
          <cell r="Y31943" t="str">
            <v>NEW ZEALAND</v>
          </cell>
        </row>
        <row r="31944">
          <cell r="L31944" t="str">
            <v>Proportional</v>
          </cell>
          <cell r="S31944">
            <v>-71.510000000000005</v>
          </cell>
          <cell r="X31944" t="str">
            <v>GWP - gross</v>
          </cell>
          <cell r="Y31944" t="str">
            <v>India</v>
          </cell>
        </row>
        <row r="31945">
          <cell r="L31945" t="str">
            <v>Non-proportional</v>
          </cell>
          <cell r="S31945">
            <v>-105801.32</v>
          </cell>
          <cell r="X31945" t="str">
            <v>GWP - gross</v>
          </cell>
          <cell r="Y31945" t="str">
            <v>CHILE</v>
          </cell>
        </row>
        <row r="31946">
          <cell r="L31946" t="str">
            <v>Non-proportional</v>
          </cell>
          <cell r="S31946">
            <v>-72441.81</v>
          </cell>
          <cell r="X31946" t="str">
            <v>GWP - gross</v>
          </cell>
          <cell r="Y31946" t="str">
            <v>UNITED KINGDOM</v>
          </cell>
        </row>
        <row r="31947">
          <cell r="L31947" t="str">
            <v>Proportional</v>
          </cell>
          <cell r="S31947">
            <v>-142201.97</v>
          </cell>
          <cell r="X31947" t="str">
            <v>GWP - gross</v>
          </cell>
          <cell r="Y31947" t="str">
            <v>THAILAND</v>
          </cell>
        </row>
        <row r="31948">
          <cell r="L31948" t="str">
            <v>Non-proportional</v>
          </cell>
          <cell r="S31948">
            <v>8672.6299999999992</v>
          </cell>
          <cell r="X31948" t="str">
            <v>GWP - gross</v>
          </cell>
          <cell r="Y31948" t="str">
            <v>NEW ZEALAND</v>
          </cell>
        </row>
        <row r="31949">
          <cell r="L31949" t="str">
            <v>Non-proportional</v>
          </cell>
          <cell r="S31949">
            <v>2011.98</v>
          </cell>
          <cell r="X31949" t="str">
            <v>GWP - gross</v>
          </cell>
          <cell r="Y31949" t="str">
            <v>NEW ZEALAND</v>
          </cell>
        </row>
        <row r="31950">
          <cell r="L31950" t="str">
            <v>Non-proportional</v>
          </cell>
          <cell r="S31950">
            <v>-3424.8</v>
          </cell>
          <cell r="X31950" t="str">
            <v>GWP - gross</v>
          </cell>
          <cell r="Y31950" t="str">
            <v>NEW ZEALAND</v>
          </cell>
        </row>
        <row r="31951">
          <cell r="L31951" t="str">
            <v>Proportional</v>
          </cell>
          <cell r="S31951">
            <v>-4754.29</v>
          </cell>
          <cell r="X31951" t="str">
            <v>GWP - gross</v>
          </cell>
          <cell r="Y31951" t="str">
            <v>UNITED STATES</v>
          </cell>
        </row>
        <row r="31952">
          <cell r="L31952" t="str">
            <v>Non-proportional</v>
          </cell>
          <cell r="S31952">
            <v>-14831.56</v>
          </cell>
          <cell r="X31952" t="str">
            <v>GWP - gross</v>
          </cell>
          <cell r="Y31952" t="str">
            <v>CYPRUS</v>
          </cell>
        </row>
        <row r="31953">
          <cell r="L31953" t="str">
            <v>Non-proportional</v>
          </cell>
          <cell r="S31953">
            <v>-58576.38</v>
          </cell>
          <cell r="X31953" t="str">
            <v>GWP - gross</v>
          </cell>
          <cell r="Y31953" t="str">
            <v>SOUTH AFRICA</v>
          </cell>
        </row>
        <row r="31954">
          <cell r="L31954" t="str">
            <v>Non-proportional</v>
          </cell>
          <cell r="S31954">
            <v>-11686.64</v>
          </cell>
          <cell r="X31954" t="str">
            <v>GWP - gross</v>
          </cell>
          <cell r="Y31954" t="str">
            <v>SOUTH AFRICA</v>
          </cell>
        </row>
        <row r="31955">
          <cell r="L31955" t="str">
            <v>Non-proportional</v>
          </cell>
          <cell r="S31955">
            <v>-277312.11</v>
          </cell>
          <cell r="X31955" t="str">
            <v>GWP - gross</v>
          </cell>
          <cell r="Y31955" t="str">
            <v>PUERTO RICO</v>
          </cell>
        </row>
        <row r="31956">
          <cell r="L31956" t="str">
            <v>Non-proportional</v>
          </cell>
          <cell r="S31956">
            <v>2011.98</v>
          </cell>
          <cell r="X31956" t="str">
            <v>GWP - gross</v>
          </cell>
          <cell r="Y31956" t="str">
            <v>NEW ZEALAND</v>
          </cell>
        </row>
        <row r="31957">
          <cell r="L31957" t="str">
            <v>Non-proportional</v>
          </cell>
          <cell r="S31957">
            <v>-131698</v>
          </cell>
          <cell r="X31957" t="str">
            <v>GWP - gross</v>
          </cell>
          <cell r="Y31957" t="str">
            <v>GERMANY</v>
          </cell>
        </row>
        <row r="31958">
          <cell r="L31958" t="str">
            <v>Proportional</v>
          </cell>
          <cell r="S31958">
            <v>2761.57</v>
          </cell>
          <cell r="X31958" t="str">
            <v>GWP - gross</v>
          </cell>
          <cell r="Y31958" t="str">
            <v>THAILAND</v>
          </cell>
        </row>
        <row r="31959">
          <cell r="L31959" t="str">
            <v>Proportional</v>
          </cell>
          <cell r="S31959">
            <v>-455.94</v>
          </cell>
          <cell r="X31959" t="str">
            <v>GWP - gross</v>
          </cell>
          <cell r="Y31959" t="str">
            <v>UNITED STATES</v>
          </cell>
        </row>
        <row r="31960">
          <cell r="L31960" t="str">
            <v>Proportional</v>
          </cell>
          <cell r="S31960">
            <v>15184.14</v>
          </cell>
          <cell r="X31960" t="str">
            <v>GWP - gross</v>
          </cell>
          <cell r="Y31960" t="str">
            <v>AUSTRALIA</v>
          </cell>
        </row>
        <row r="31961">
          <cell r="L31961" t="str">
            <v>Proportional</v>
          </cell>
          <cell r="S31961">
            <v>-7.52</v>
          </cell>
          <cell r="X31961" t="str">
            <v>GWP - gross</v>
          </cell>
          <cell r="Y31961" t="str">
            <v>India</v>
          </cell>
        </row>
        <row r="31962">
          <cell r="L31962" t="str">
            <v>Proportional</v>
          </cell>
          <cell r="S31962">
            <v>-11542.12</v>
          </cell>
          <cell r="X31962" t="str">
            <v>GWP - gross</v>
          </cell>
          <cell r="Y31962" t="str">
            <v>India</v>
          </cell>
        </row>
        <row r="31963">
          <cell r="L31963" t="str">
            <v>Non-proportional</v>
          </cell>
          <cell r="S31963">
            <v>2700</v>
          </cell>
          <cell r="X31963" t="str">
            <v>GWP - gross</v>
          </cell>
          <cell r="Y31963" t="str">
            <v>GERMANY</v>
          </cell>
        </row>
        <row r="31964">
          <cell r="L31964" t="str">
            <v>Non-proportional</v>
          </cell>
          <cell r="S31964">
            <v>-2847.65</v>
          </cell>
          <cell r="X31964" t="str">
            <v>GWP - gross</v>
          </cell>
          <cell r="Y31964" t="str">
            <v>GERMANY</v>
          </cell>
        </row>
        <row r="31965">
          <cell r="L31965" t="str">
            <v>Non-proportional</v>
          </cell>
          <cell r="S31965">
            <v>-56626.83</v>
          </cell>
          <cell r="X31965" t="str">
            <v>GWP - gross</v>
          </cell>
          <cell r="Y31965" t="str">
            <v>SLOVENIA</v>
          </cell>
        </row>
        <row r="31966">
          <cell r="L31966" t="str">
            <v>Proportional</v>
          </cell>
          <cell r="S31966">
            <v>-1025830.16</v>
          </cell>
          <cell r="X31966" t="str">
            <v>GWP - gross</v>
          </cell>
          <cell r="Y31966" t="str">
            <v>UNITED STATES</v>
          </cell>
        </row>
        <row r="31967">
          <cell r="L31967" t="str">
            <v>Proportional</v>
          </cell>
          <cell r="S31967">
            <v>-138.82</v>
          </cell>
          <cell r="X31967" t="str">
            <v>GWP - gross</v>
          </cell>
          <cell r="Y31967" t="str">
            <v>MALAYSIA</v>
          </cell>
        </row>
        <row r="31968">
          <cell r="L31968" t="str">
            <v>Proportional</v>
          </cell>
          <cell r="S31968">
            <v>-8327.7900000000009</v>
          </cell>
          <cell r="X31968" t="str">
            <v>GWP - gross</v>
          </cell>
          <cell r="Y31968" t="str">
            <v>THAILAND</v>
          </cell>
        </row>
        <row r="31969">
          <cell r="L31969" t="str">
            <v>Proportional</v>
          </cell>
          <cell r="S31969">
            <v>485.85</v>
          </cell>
          <cell r="X31969" t="str">
            <v>GWP - gross</v>
          </cell>
          <cell r="Y31969" t="str">
            <v>UNITED STATES</v>
          </cell>
        </row>
        <row r="31970">
          <cell r="L31970" t="str">
            <v>Non-proportional</v>
          </cell>
          <cell r="S31970">
            <v>-1268680</v>
          </cell>
          <cell r="X31970" t="str">
            <v>GWP - gross</v>
          </cell>
          <cell r="Y31970" t="str">
            <v>FRANCE</v>
          </cell>
        </row>
        <row r="31971">
          <cell r="L31971" t="str">
            <v>Non-proportional</v>
          </cell>
          <cell r="S31971">
            <v>5407.21</v>
          </cell>
          <cell r="X31971" t="str">
            <v>GWP - gross</v>
          </cell>
          <cell r="Y31971" t="str">
            <v>SLOVENIA</v>
          </cell>
        </row>
        <row r="31972">
          <cell r="L31972" t="str">
            <v>Non-proportional</v>
          </cell>
          <cell r="S31972">
            <v>22825.439999999999</v>
          </cell>
          <cell r="X31972" t="str">
            <v>GWP - gross</v>
          </cell>
          <cell r="Y31972" t="str">
            <v>FRANCE</v>
          </cell>
        </row>
        <row r="31973">
          <cell r="L31973" t="str">
            <v>Non-proportional</v>
          </cell>
          <cell r="S31973">
            <v>-1552.71</v>
          </cell>
          <cell r="X31973" t="str">
            <v>GWP - gross</v>
          </cell>
          <cell r="Y31973" t="str">
            <v>NEW ZEALAND</v>
          </cell>
        </row>
        <row r="31974">
          <cell r="L31974" t="str">
            <v>Proportional</v>
          </cell>
          <cell r="S31974">
            <v>334882.88</v>
          </cell>
          <cell r="X31974" t="str">
            <v>GWP - gross</v>
          </cell>
          <cell r="Y31974" t="str">
            <v>UNITED STATES</v>
          </cell>
        </row>
        <row r="31975">
          <cell r="L31975" t="str">
            <v>Proportional</v>
          </cell>
          <cell r="S31975">
            <v>89.15</v>
          </cell>
          <cell r="X31975" t="str">
            <v>GWP - gross</v>
          </cell>
          <cell r="Y31975" t="str">
            <v>INDIA</v>
          </cell>
        </row>
        <row r="31976">
          <cell r="L31976" t="str">
            <v>Non-proportional</v>
          </cell>
          <cell r="S31976">
            <v>-15055.06</v>
          </cell>
          <cell r="X31976" t="str">
            <v>GWP - gross</v>
          </cell>
          <cell r="Y31976" t="str">
            <v>SLOVENIA</v>
          </cell>
        </row>
        <row r="31977">
          <cell r="L31977" t="str">
            <v>Non-proportional</v>
          </cell>
          <cell r="S31977">
            <v>-22215.51</v>
          </cell>
          <cell r="X31977" t="str">
            <v>GWP - gross</v>
          </cell>
          <cell r="Y31977" t="str">
            <v>FRANCE</v>
          </cell>
        </row>
        <row r="31978">
          <cell r="L31978" t="str">
            <v>Proportional</v>
          </cell>
          <cell r="S31978">
            <v>165.87</v>
          </cell>
          <cell r="X31978" t="str">
            <v>GWP - gross</v>
          </cell>
          <cell r="Y31978" t="str">
            <v>MALAYSIA</v>
          </cell>
        </row>
        <row r="31979">
          <cell r="L31979" t="str">
            <v>Non-proportional</v>
          </cell>
          <cell r="S31979">
            <v>9249.42</v>
          </cell>
          <cell r="X31979" t="str">
            <v>GWP - gross</v>
          </cell>
          <cell r="Y31979" t="str">
            <v>ITALY</v>
          </cell>
        </row>
        <row r="31980">
          <cell r="L31980" t="str">
            <v>Non-proportional</v>
          </cell>
          <cell r="S31980">
            <v>-24963.89</v>
          </cell>
          <cell r="X31980" t="str">
            <v>GWP - gross</v>
          </cell>
          <cell r="Y31980" t="str">
            <v>JAPAN</v>
          </cell>
        </row>
        <row r="31981">
          <cell r="L31981" t="str">
            <v>Non-proportional</v>
          </cell>
          <cell r="S31981">
            <v>26560.55</v>
          </cell>
          <cell r="X31981" t="str">
            <v>GWP - gross</v>
          </cell>
          <cell r="Y31981" t="str">
            <v>SOUTH AFRICA</v>
          </cell>
        </row>
        <row r="31982">
          <cell r="L31982" t="str">
            <v>Proportional</v>
          </cell>
          <cell r="S31982">
            <v>-348325.84</v>
          </cell>
          <cell r="X31982" t="str">
            <v>GWP - gross</v>
          </cell>
          <cell r="Y31982" t="str">
            <v>THAILAND</v>
          </cell>
        </row>
        <row r="31983">
          <cell r="L31983" t="str">
            <v>Proportional</v>
          </cell>
          <cell r="S31983">
            <v>4665.6000000000004</v>
          </cell>
          <cell r="X31983" t="str">
            <v>GWP - gross</v>
          </cell>
          <cell r="Y31983" t="str">
            <v>UNITED STATES</v>
          </cell>
        </row>
        <row r="31984">
          <cell r="L31984" t="str">
            <v>Non-proportional</v>
          </cell>
          <cell r="S31984">
            <v>8170.05</v>
          </cell>
          <cell r="X31984" t="str">
            <v>GWP - gross</v>
          </cell>
          <cell r="Y31984" t="str">
            <v>NEW ZEALAND</v>
          </cell>
        </row>
        <row r="31985">
          <cell r="L31985" t="str">
            <v>Proportional</v>
          </cell>
          <cell r="S31985">
            <v>-7657.64</v>
          </cell>
          <cell r="X31985" t="str">
            <v>GWP - gross</v>
          </cell>
          <cell r="Y31985" t="str">
            <v>INDIA</v>
          </cell>
        </row>
        <row r="31986">
          <cell r="L31986" t="str">
            <v>Non-proportional</v>
          </cell>
          <cell r="S31986">
            <v>6926.94</v>
          </cell>
          <cell r="X31986" t="str">
            <v>GWP - gross</v>
          </cell>
          <cell r="Y31986" t="str">
            <v>NEW ZEALAND</v>
          </cell>
        </row>
        <row r="31987">
          <cell r="L31987" t="str">
            <v>Non-proportional</v>
          </cell>
          <cell r="S31987">
            <v>57979.37</v>
          </cell>
          <cell r="X31987" t="str">
            <v>GWP - gross</v>
          </cell>
          <cell r="Y31987" t="str">
            <v>NEW ZEALAND</v>
          </cell>
        </row>
        <row r="31988">
          <cell r="L31988" t="str">
            <v>Non-proportional</v>
          </cell>
          <cell r="S31988">
            <v>-2481.61</v>
          </cell>
          <cell r="X31988" t="str">
            <v>GWP - gross</v>
          </cell>
          <cell r="Y31988" t="str">
            <v>CYPRUS</v>
          </cell>
        </row>
        <row r="31989">
          <cell r="L31989" t="str">
            <v>Proportional</v>
          </cell>
          <cell r="S31989">
            <v>-2373.02</v>
          </cell>
          <cell r="X31989" t="str">
            <v>GWP - gross</v>
          </cell>
          <cell r="Y31989" t="str">
            <v>India</v>
          </cell>
        </row>
        <row r="31990">
          <cell r="L31990" t="str">
            <v>Non-proportional</v>
          </cell>
          <cell r="S31990">
            <v>-10345.129999999999</v>
          </cell>
          <cell r="X31990" t="str">
            <v>GWP - gross</v>
          </cell>
          <cell r="Y31990" t="str">
            <v>ECUADOR</v>
          </cell>
        </row>
        <row r="31991">
          <cell r="L31991" t="str">
            <v>Non-proportional</v>
          </cell>
          <cell r="S31991">
            <v>-35302.79</v>
          </cell>
          <cell r="X31991" t="str">
            <v>GWP - gross</v>
          </cell>
          <cell r="Y31991" t="str">
            <v>JAPAN</v>
          </cell>
        </row>
        <row r="31992">
          <cell r="L31992" t="str">
            <v>Non-proportional</v>
          </cell>
          <cell r="S31992">
            <v>24663.31</v>
          </cell>
          <cell r="X31992" t="str">
            <v>GWP - gross</v>
          </cell>
          <cell r="Y31992" t="str">
            <v>INDIA</v>
          </cell>
        </row>
        <row r="31993">
          <cell r="L31993" t="str">
            <v>Non-proportional</v>
          </cell>
          <cell r="S31993">
            <v>-28186.639999999999</v>
          </cell>
          <cell r="X31993" t="str">
            <v>GWP - gross</v>
          </cell>
          <cell r="Y31993" t="str">
            <v>INDIA</v>
          </cell>
        </row>
        <row r="31994">
          <cell r="L31994" t="str">
            <v>Non-proportional</v>
          </cell>
          <cell r="S31994">
            <v>-4659.79</v>
          </cell>
          <cell r="X31994" t="str">
            <v>GWP - gross</v>
          </cell>
          <cell r="Y31994" t="str">
            <v>NEW ZEALAND</v>
          </cell>
        </row>
        <row r="31995">
          <cell r="L31995" t="str">
            <v>Non-proportional</v>
          </cell>
          <cell r="S31995">
            <v>-52605.17</v>
          </cell>
          <cell r="X31995" t="str">
            <v>GWP - gross</v>
          </cell>
          <cell r="Y31995" t="str">
            <v>THAILAND</v>
          </cell>
        </row>
        <row r="31996">
          <cell r="L31996" t="str">
            <v>Non-proportional</v>
          </cell>
          <cell r="S31996">
            <v>-100327.03</v>
          </cell>
          <cell r="X31996" t="str">
            <v>GWP - gross</v>
          </cell>
          <cell r="Y31996" t="str">
            <v>UNITED KINGDOM</v>
          </cell>
        </row>
        <row r="31997">
          <cell r="L31997" t="str">
            <v>Non-proportional</v>
          </cell>
          <cell r="S31997">
            <v>-93464.45</v>
          </cell>
          <cell r="X31997" t="str">
            <v>GWP - gross</v>
          </cell>
          <cell r="Y31997" t="str">
            <v>PUERTO RICO</v>
          </cell>
        </row>
        <row r="31998">
          <cell r="L31998" t="str">
            <v>Non-proportional</v>
          </cell>
          <cell r="S31998">
            <v>-230855.84</v>
          </cell>
          <cell r="X31998" t="str">
            <v>GWP - gross</v>
          </cell>
          <cell r="Y31998" t="str">
            <v>CHILE</v>
          </cell>
        </row>
        <row r="31999">
          <cell r="L31999" t="str">
            <v>Proportional</v>
          </cell>
          <cell r="S31999">
            <v>-870.41</v>
          </cell>
          <cell r="X31999" t="str">
            <v>GWP - gross</v>
          </cell>
          <cell r="Y31999" t="str">
            <v>Thailand</v>
          </cell>
        </row>
        <row r="32000">
          <cell r="L32000" t="str">
            <v>Proportional</v>
          </cell>
          <cell r="S32000">
            <v>-161.38</v>
          </cell>
          <cell r="X32000" t="str">
            <v>GWP - gross</v>
          </cell>
          <cell r="Y32000" t="str">
            <v>THAILAND</v>
          </cell>
        </row>
        <row r="32001">
          <cell r="L32001" t="str">
            <v>Non-proportional</v>
          </cell>
          <cell r="S32001">
            <v>-79223.039999999994</v>
          </cell>
          <cell r="X32001" t="str">
            <v>GWP - gross</v>
          </cell>
          <cell r="Y32001" t="str">
            <v>UNITED KINGDOM</v>
          </cell>
        </row>
        <row r="32002">
          <cell r="L32002" t="str">
            <v>Proportional</v>
          </cell>
          <cell r="S32002">
            <v>-4665.6000000000004</v>
          </cell>
          <cell r="X32002" t="str">
            <v>GWP - gross</v>
          </cell>
          <cell r="Y32002" t="str">
            <v>UNITED STATES</v>
          </cell>
        </row>
        <row r="32003">
          <cell r="L32003" t="str">
            <v>Non-proportional</v>
          </cell>
          <cell r="S32003">
            <v>-7410.78</v>
          </cell>
          <cell r="X32003" t="str">
            <v>GWP - gross</v>
          </cell>
          <cell r="Y32003" t="str">
            <v>NEW ZEALAND</v>
          </cell>
        </row>
        <row r="32004">
          <cell r="L32004" t="str">
            <v>Non-proportional</v>
          </cell>
          <cell r="S32004">
            <v>5237.6000000000004</v>
          </cell>
          <cell r="X32004" t="str">
            <v>GWP - gross</v>
          </cell>
          <cell r="Y32004" t="str">
            <v>NEW ZEALAND</v>
          </cell>
        </row>
        <row r="32005">
          <cell r="L32005" t="str">
            <v>Non-proportional</v>
          </cell>
          <cell r="S32005">
            <v>3758.82</v>
          </cell>
          <cell r="X32005" t="str">
            <v>GWP - gross</v>
          </cell>
          <cell r="Y32005" t="str">
            <v>FRANCE</v>
          </cell>
        </row>
        <row r="32006">
          <cell r="L32006" t="str">
            <v>Non-proportional</v>
          </cell>
          <cell r="S32006">
            <v>-3378.05</v>
          </cell>
          <cell r="X32006" t="str">
            <v>GWP - gross</v>
          </cell>
          <cell r="Y32006" t="str">
            <v>ECUADOR</v>
          </cell>
        </row>
        <row r="32007">
          <cell r="L32007" t="str">
            <v>Non-proportional</v>
          </cell>
          <cell r="S32007">
            <v>25958.58</v>
          </cell>
          <cell r="X32007" t="str">
            <v>GWP - gross</v>
          </cell>
          <cell r="Y32007" t="str">
            <v>SLOVENIA</v>
          </cell>
        </row>
        <row r="32008">
          <cell r="L32008" t="str">
            <v>Non-proportional</v>
          </cell>
          <cell r="S32008">
            <v>27434.92</v>
          </cell>
          <cell r="X32008" t="str">
            <v>GWP - gross</v>
          </cell>
          <cell r="Y32008" t="str">
            <v>UNITED KINGDOM</v>
          </cell>
        </row>
        <row r="32009">
          <cell r="L32009" t="str">
            <v>Non-proportional</v>
          </cell>
          <cell r="S32009">
            <v>-131698</v>
          </cell>
          <cell r="X32009" t="str">
            <v>GWP - gross</v>
          </cell>
          <cell r="Y32009" t="str">
            <v>GERMANY</v>
          </cell>
        </row>
        <row r="32010">
          <cell r="L32010" t="str">
            <v>Proportional</v>
          </cell>
          <cell r="S32010">
            <v>2063.27</v>
          </cell>
          <cell r="X32010" t="str">
            <v>GWP - gross</v>
          </cell>
          <cell r="Y32010" t="str">
            <v>India</v>
          </cell>
        </row>
        <row r="32011">
          <cell r="L32011" t="str">
            <v>Non-proportional</v>
          </cell>
          <cell r="S32011">
            <v>-113400</v>
          </cell>
          <cell r="X32011" t="str">
            <v>GWP - gross</v>
          </cell>
          <cell r="Y32011" t="str">
            <v>GERMANY</v>
          </cell>
        </row>
        <row r="32012">
          <cell r="L32012" t="str">
            <v>Non-proportional</v>
          </cell>
          <cell r="S32012">
            <v>35302.79</v>
          </cell>
          <cell r="X32012" t="str">
            <v>GWP - gross</v>
          </cell>
          <cell r="Y32012" t="str">
            <v>JAPAN</v>
          </cell>
        </row>
        <row r="32013">
          <cell r="L32013" t="str">
            <v>Proportional</v>
          </cell>
          <cell r="S32013">
            <v>-4122117.5</v>
          </cell>
          <cell r="X32013" t="str">
            <v>GWP - gross</v>
          </cell>
          <cell r="Y32013" t="str">
            <v>HONG KONG</v>
          </cell>
        </row>
        <row r="32014">
          <cell r="L32014" t="str">
            <v>Proportional</v>
          </cell>
          <cell r="S32014">
            <v>62159.38</v>
          </cell>
          <cell r="X32014" t="str">
            <v>GWP - gross</v>
          </cell>
          <cell r="Y32014" t="str">
            <v>INDIA</v>
          </cell>
        </row>
        <row r="32015">
          <cell r="L32015" t="str">
            <v>Proportional</v>
          </cell>
          <cell r="S32015">
            <v>125635.91</v>
          </cell>
          <cell r="X32015" t="str">
            <v>GWP - gross</v>
          </cell>
          <cell r="Y32015" t="str">
            <v>AUSTRALIA</v>
          </cell>
        </row>
        <row r="32016">
          <cell r="L32016" t="str">
            <v>Non-proportional</v>
          </cell>
          <cell r="S32016">
            <v>-91490</v>
          </cell>
          <cell r="X32016" t="str">
            <v>GWP - gross</v>
          </cell>
          <cell r="Y32016" t="str">
            <v>GERMANY</v>
          </cell>
        </row>
        <row r="32017">
          <cell r="L32017" t="str">
            <v>Proportional</v>
          </cell>
          <cell r="S32017">
            <v>13655.35</v>
          </cell>
          <cell r="X32017" t="str">
            <v>GWP - gross</v>
          </cell>
          <cell r="Y32017" t="str">
            <v>THAILAND</v>
          </cell>
        </row>
        <row r="32018">
          <cell r="L32018" t="str">
            <v>Non-proportional</v>
          </cell>
          <cell r="S32018">
            <v>113400</v>
          </cell>
          <cell r="X32018" t="str">
            <v>GWP - gross</v>
          </cell>
          <cell r="Y32018" t="str">
            <v>GERMANY</v>
          </cell>
        </row>
        <row r="32019">
          <cell r="L32019" t="str">
            <v>Non-proportional</v>
          </cell>
          <cell r="S32019">
            <v>-31875.99</v>
          </cell>
          <cell r="X32019" t="str">
            <v>GWP - gross</v>
          </cell>
          <cell r="Y32019" t="str">
            <v>THAILAND</v>
          </cell>
        </row>
        <row r="32020">
          <cell r="L32020" t="str">
            <v>Proportional</v>
          </cell>
          <cell r="S32020">
            <v>-8007.27</v>
          </cell>
          <cell r="X32020" t="str">
            <v>GWP - gross</v>
          </cell>
          <cell r="Y32020" t="str">
            <v>THAILAND</v>
          </cell>
        </row>
        <row r="32021">
          <cell r="L32021" t="str">
            <v>Non-proportional</v>
          </cell>
          <cell r="S32021">
            <v>7948.57</v>
          </cell>
          <cell r="X32021" t="str">
            <v>GWP - gross</v>
          </cell>
          <cell r="Y32021" t="str">
            <v>ISRAEL</v>
          </cell>
        </row>
        <row r="32022">
          <cell r="L32022" t="str">
            <v>Proportional</v>
          </cell>
          <cell r="S32022">
            <v>-709812.35</v>
          </cell>
          <cell r="X32022" t="str">
            <v>GWP - gross</v>
          </cell>
          <cell r="Y32022" t="str">
            <v>UNITED STATES</v>
          </cell>
        </row>
        <row r="32023">
          <cell r="L32023" t="str">
            <v>Non-proportional</v>
          </cell>
          <cell r="S32023">
            <v>8370</v>
          </cell>
          <cell r="X32023" t="str">
            <v>GWP - gross</v>
          </cell>
          <cell r="Y32023" t="str">
            <v>SLOVENIA</v>
          </cell>
        </row>
        <row r="32024">
          <cell r="L32024" t="str">
            <v>Non-proportional</v>
          </cell>
          <cell r="S32024">
            <v>-26560.55</v>
          </cell>
          <cell r="X32024" t="str">
            <v>GWP - gross</v>
          </cell>
          <cell r="Y32024" t="str">
            <v>SOUTH AFRICA</v>
          </cell>
        </row>
        <row r="32025">
          <cell r="L32025" t="str">
            <v>Proportional</v>
          </cell>
          <cell r="S32025">
            <v>-2199.84</v>
          </cell>
          <cell r="X32025" t="str">
            <v>GWP - gross</v>
          </cell>
          <cell r="Y32025" t="str">
            <v>UNITED STATES</v>
          </cell>
        </row>
        <row r="32026">
          <cell r="L32026" t="str">
            <v>Proportional</v>
          </cell>
          <cell r="S32026">
            <v>238701.82</v>
          </cell>
          <cell r="X32026" t="str">
            <v>GWP - gross</v>
          </cell>
          <cell r="Y32026" t="str">
            <v>THAILAND</v>
          </cell>
        </row>
        <row r="32027">
          <cell r="L32027" t="str">
            <v>Proportional</v>
          </cell>
          <cell r="S32027">
            <v>-38162.589999999997</v>
          </cell>
          <cell r="X32027" t="str">
            <v>GWP - gross</v>
          </cell>
          <cell r="Y32027" t="str">
            <v>India</v>
          </cell>
        </row>
        <row r="32028">
          <cell r="L32028" t="str">
            <v>Proportional</v>
          </cell>
          <cell r="S32028">
            <v>-34293.019999999997</v>
          </cell>
          <cell r="X32028" t="str">
            <v>GWP - gross</v>
          </cell>
          <cell r="Y32028" t="str">
            <v>THAILAND</v>
          </cell>
        </row>
        <row r="32029">
          <cell r="L32029" t="str">
            <v>Proportional</v>
          </cell>
          <cell r="S32029">
            <v>16878.7</v>
          </cell>
          <cell r="X32029" t="str">
            <v>GWP - gross</v>
          </cell>
          <cell r="Y32029" t="str">
            <v>THAILAND</v>
          </cell>
        </row>
        <row r="32030">
          <cell r="L32030" t="str">
            <v>Proportional</v>
          </cell>
          <cell r="S32030">
            <v>-888.12</v>
          </cell>
          <cell r="X32030" t="str">
            <v>GWP - gross</v>
          </cell>
          <cell r="Y32030" t="str">
            <v>UNITED STATES</v>
          </cell>
        </row>
        <row r="32031">
          <cell r="L32031" t="str">
            <v>Non-proportional</v>
          </cell>
          <cell r="S32031">
            <v>8910</v>
          </cell>
          <cell r="X32031" t="str">
            <v>GWP - gross</v>
          </cell>
          <cell r="Y32031" t="str">
            <v>SLOVENIA</v>
          </cell>
        </row>
        <row r="32032">
          <cell r="L32032" t="str">
            <v>Non-proportional</v>
          </cell>
          <cell r="S32032">
            <v>7495.41</v>
          </cell>
          <cell r="X32032" t="str">
            <v>GWP - gross</v>
          </cell>
          <cell r="Y32032" t="str">
            <v>ITALY</v>
          </cell>
        </row>
        <row r="32033">
          <cell r="L32033" t="str">
            <v>Non-proportional</v>
          </cell>
          <cell r="S32033">
            <v>13327.2</v>
          </cell>
          <cell r="X32033" t="str">
            <v>GWP - gross</v>
          </cell>
          <cell r="Y32033" t="str">
            <v>FRANCE</v>
          </cell>
        </row>
        <row r="32034">
          <cell r="L32034" t="str">
            <v>Non-proportional</v>
          </cell>
          <cell r="S32034">
            <v>-10390.33</v>
          </cell>
          <cell r="X32034" t="str">
            <v>GWP - gross</v>
          </cell>
          <cell r="Y32034" t="str">
            <v>ECUADOR</v>
          </cell>
        </row>
        <row r="32035">
          <cell r="L32035" t="str">
            <v>Non-proportional</v>
          </cell>
          <cell r="S32035">
            <v>-70001.22</v>
          </cell>
          <cell r="X32035" t="str">
            <v>GWP - gross</v>
          </cell>
          <cell r="Y32035" t="str">
            <v>NEW ZEALAND</v>
          </cell>
        </row>
        <row r="32036">
          <cell r="L32036" t="str">
            <v>Proportional</v>
          </cell>
          <cell r="S32036">
            <v>19787.87</v>
          </cell>
          <cell r="X32036" t="str">
            <v>GWP - gross</v>
          </cell>
          <cell r="Y32036" t="str">
            <v>INDIA</v>
          </cell>
        </row>
        <row r="32037">
          <cell r="L32037" t="str">
            <v>Proportional</v>
          </cell>
          <cell r="S32037">
            <v>-9242.58</v>
          </cell>
          <cell r="X32037" t="str">
            <v>GWP - gross</v>
          </cell>
          <cell r="Y32037" t="str">
            <v>UNITED STATES</v>
          </cell>
        </row>
        <row r="32038">
          <cell r="L32038" t="str">
            <v>Non-proportional</v>
          </cell>
          <cell r="S32038">
            <v>-20124.740000000002</v>
          </cell>
          <cell r="X32038" t="str">
            <v>GWP - gross</v>
          </cell>
          <cell r="Y32038" t="str">
            <v>ISRAEL</v>
          </cell>
        </row>
        <row r="32039">
          <cell r="L32039" t="str">
            <v>Non-proportional</v>
          </cell>
          <cell r="S32039">
            <v>2915.92</v>
          </cell>
          <cell r="X32039" t="str">
            <v>GWP - gross</v>
          </cell>
          <cell r="Y32039" t="str">
            <v>NEW ZEALAND</v>
          </cell>
        </row>
        <row r="32040">
          <cell r="L32040" t="str">
            <v>Non-proportional</v>
          </cell>
          <cell r="S32040">
            <v>5516.57</v>
          </cell>
          <cell r="X32040" t="str">
            <v>GWP - gross</v>
          </cell>
          <cell r="Y32040" t="str">
            <v>CHILE</v>
          </cell>
        </row>
        <row r="32041">
          <cell r="L32041" t="str">
            <v>Non-proportional</v>
          </cell>
          <cell r="S32041">
            <v>36384.18</v>
          </cell>
          <cell r="X32041" t="str">
            <v>GWP - gross</v>
          </cell>
          <cell r="Y32041" t="str">
            <v>UNITED KINGDOM</v>
          </cell>
        </row>
        <row r="32042">
          <cell r="L32042" t="str">
            <v>Non-proportional</v>
          </cell>
          <cell r="S32042">
            <v>-106260</v>
          </cell>
          <cell r="X32042" t="str">
            <v>GWP - gross</v>
          </cell>
          <cell r="Y32042" t="str">
            <v>GERMANY</v>
          </cell>
        </row>
        <row r="32043">
          <cell r="L32043" t="str">
            <v>Non-proportional</v>
          </cell>
          <cell r="S32043">
            <v>-6320.44</v>
          </cell>
          <cell r="X32043" t="str">
            <v>GWP - gross</v>
          </cell>
          <cell r="Y32043" t="str">
            <v>FRANCE</v>
          </cell>
        </row>
        <row r="32044">
          <cell r="L32044" t="str">
            <v>Non-proportional</v>
          </cell>
          <cell r="S32044">
            <v>-2640.83</v>
          </cell>
          <cell r="X32044" t="str">
            <v>GWP - gross</v>
          </cell>
          <cell r="Y32044" t="str">
            <v>NEW ZEALAND</v>
          </cell>
        </row>
        <row r="32045">
          <cell r="L32045" t="str">
            <v>Non-proportional</v>
          </cell>
          <cell r="S32045">
            <v>91490</v>
          </cell>
          <cell r="X32045" t="str">
            <v>GWP - gross</v>
          </cell>
          <cell r="Y32045" t="str">
            <v>GERMANY</v>
          </cell>
        </row>
        <row r="32046">
          <cell r="L32046" t="str">
            <v>Non-proportional</v>
          </cell>
          <cell r="S32046">
            <v>26643.75</v>
          </cell>
          <cell r="X32046" t="str">
            <v>GWP - gross</v>
          </cell>
          <cell r="Y32046" t="str">
            <v>ITALY</v>
          </cell>
        </row>
        <row r="32047">
          <cell r="L32047" t="str">
            <v>Non-proportional</v>
          </cell>
          <cell r="S32047">
            <v>-7524</v>
          </cell>
          <cell r="X32047" t="str">
            <v>GWP - gross</v>
          </cell>
          <cell r="Y32047" t="str">
            <v>NEW ZEALAND</v>
          </cell>
        </row>
        <row r="32048">
          <cell r="L32048" t="str">
            <v>Non-proportional</v>
          </cell>
          <cell r="S32048">
            <v>16223.5</v>
          </cell>
          <cell r="X32048" t="str">
            <v>GWP - gross</v>
          </cell>
          <cell r="Y32048" t="str">
            <v>CYPRUS</v>
          </cell>
        </row>
        <row r="32049">
          <cell r="L32049" t="str">
            <v>Proportional</v>
          </cell>
          <cell r="S32049">
            <v>6265.76</v>
          </cell>
          <cell r="X32049" t="str">
            <v>GWP - gross</v>
          </cell>
          <cell r="Y32049" t="str">
            <v>INDIA</v>
          </cell>
        </row>
        <row r="32050">
          <cell r="L32050" t="str">
            <v>Non-proportional</v>
          </cell>
          <cell r="S32050">
            <v>6724.78</v>
          </cell>
          <cell r="X32050" t="str">
            <v>GWP - gross</v>
          </cell>
          <cell r="Y32050" t="str">
            <v>UNITED KINGDOM</v>
          </cell>
        </row>
        <row r="32051">
          <cell r="L32051" t="str">
            <v>Non-proportional</v>
          </cell>
          <cell r="S32051">
            <v>111225.74</v>
          </cell>
          <cell r="X32051" t="str">
            <v>GWP - gross</v>
          </cell>
          <cell r="Y32051" t="str">
            <v>NEW ZEALAND</v>
          </cell>
        </row>
        <row r="32052">
          <cell r="L32052" t="str">
            <v>Non-proportional</v>
          </cell>
          <cell r="S32052">
            <v>-5407.21</v>
          </cell>
          <cell r="X32052" t="str">
            <v>GWP - gross</v>
          </cell>
          <cell r="Y32052" t="str">
            <v>SLOVENIA</v>
          </cell>
        </row>
        <row r="32053">
          <cell r="L32053" t="str">
            <v>Non-proportional</v>
          </cell>
          <cell r="S32053">
            <v>-37720</v>
          </cell>
          <cell r="X32053" t="str">
            <v>GWP - gross</v>
          </cell>
          <cell r="Y32053" t="str">
            <v>GERMANY</v>
          </cell>
        </row>
        <row r="32054">
          <cell r="L32054" t="str">
            <v>Non-proportional</v>
          </cell>
          <cell r="S32054">
            <v>-118871.48</v>
          </cell>
          <cell r="X32054" t="str">
            <v>GWP - gross</v>
          </cell>
          <cell r="Y32054" t="str">
            <v>MEXICO</v>
          </cell>
        </row>
        <row r="32055">
          <cell r="L32055" t="str">
            <v>Non-proportional</v>
          </cell>
          <cell r="S32055">
            <v>20746.98</v>
          </cell>
          <cell r="X32055" t="str">
            <v>GWP - gross</v>
          </cell>
          <cell r="Y32055" t="str">
            <v>FRANCE</v>
          </cell>
        </row>
        <row r="32056">
          <cell r="L32056" t="str">
            <v>Non-proportional</v>
          </cell>
          <cell r="S32056">
            <v>-17717.77</v>
          </cell>
          <cell r="X32056" t="str">
            <v>GWP - gross</v>
          </cell>
          <cell r="Y32056" t="str">
            <v>SWEDEN</v>
          </cell>
        </row>
        <row r="32057">
          <cell r="L32057" t="str">
            <v>Non-proportional</v>
          </cell>
          <cell r="S32057">
            <v>-233430.95</v>
          </cell>
          <cell r="X32057" t="str">
            <v>GWP - gross</v>
          </cell>
          <cell r="Y32057" t="str">
            <v>UNITED KINGDOM</v>
          </cell>
        </row>
        <row r="32058">
          <cell r="L32058" t="str">
            <v>Proportional</v>
          </cell>
          <cell r="S32058">
            <v>-1612.58</v>
          </cell>
          <cell r="X32058" t="str">
            <v>GWP - gross</v>
          </cell>
          <cell r="Y32058" t="str">
            <v>UNITED STATES</v>
          </cell>
        </row>
        <row r="32059">
          <cell r="L32059" t="str">
            <v>Proportional</v>
          </cell>
          <cell r="S32059">
            <v>747.49</v>
          </cell>
          <cell r="X32059" t="str">
            <v>GWP - gross</v>
          </cell>
          <cell r="Y32059" t="str">
            <v>India</v>
          </cell>
        </row>
        <row r="32060">
          <cell r="L32060" t="str">
            <v>Proportional</v>
          </cell>
          <cell r="S32060">
            <v>-238701.82</v>
          </cell>
          <cell r="X32060" t="str">
            <v>GWP - gross</v>
          </cell>
          <cell r="Y32060" t="str">
            <v>THAILAND</v>
          </cell>
        </row>
        <row r="32061">
          <cell r="L32061" t="str">
            <v>Non-proportional</v>
          </cell>
          <cell r="S32061">
            <v>77689.03</v>
          </cell>
          <cell r="X32061" t="str">
            <v>GWP - gross</v>
          </cell>
          <cell r="Y32061" t="str">
            <v>UNITED KINGDOM</v>
          </cell>
        </row>
        <row r="32062">
          <cell r="L32062" t="str">
            <v>Proportional</v>
          </cell>
          <cell r="S32062">
            <v>880.44</v>
          </cell>
          <cell r="X32062" t="str">
            <v>GWP - gross</v>
          </cell>
          <cell r="Y32062" t="str">
            <v>UNITED STATES</v>
          </cell>
        </row>
        <row r="32063">
          <cell r="L32063" t="str">
            <v>Proportional</v>
          </cell>
          <cell r="S32063">
            <v>-35483.769999999997</v>
          </cell>
          <cell r="X32063" t="str">
            <v>GWP - gross</v>
          </cell>
          <cell r="Y32063" t="str">
            <v>AUSTRALIA</v>
          </cell>
        </row>
        <row r="32064">
          <cell r="L32064" t="str">
            <v>Non-proportional</v>
          </cell>
          <cell r="S32064">
            <v>-32071.55</v>
          </cell>
          <cell r="X32064" t="str">
            <v>GWP - gross</v>
          </cell>
          <cell r="Y32064" t="str">
            <v>THAILAND</v>
          </cell>
        </row>
        <row r="32065">
          <cell r="L32065" t="str">
            <v>Non-proportional</v>
          </cell>
          <cell r="S32065">
            <v>11067.94</v>
          </cell>
          <cell r="X32065" t="str">
            <v>GWP - gross</v>
          </cell>
          <cell r="Y32065" t="str">
            <v>SOUTH AFRICA</v>
          </cell>
        </row>
        <row r="32066">
          <cell r="L32066" t="str">
            <v>Proportional</v>
          </cell>
          <cell r="S32066">
            <v>590.84</v>
          </cell>
          <cell r="X32066" t="str">
            <v>GWP - gross</v>
          </cell>
          <cell r="Y32066" t="str">
            <v>India</v>
          </cell>
        </row>
        <row r="32067">
          <cell r="L32067" t="str">
            <v>Non-proportional</v>
          </cell>
          <cell r="S32067">
            <v>-5985.14</v>
          </cell>
          <cell r="X32067" t="str">
            <v>GWP - gross</v>
          </cell>
          <cell r="Y32067" t="str">
            <v>ECUADOR</v>
          </cell>
        </row>
        <row r="32068">
          <cell r="L32068" t="str">
            <v>Proportional</v>
          </cell>
          <cell r="S32068">
            <v>-508866.08</v>
          </cell>
          <cell r="X32068" t="str">
            <v>GWP - gross</v>
          </cell>
          <cell r="Y32068" t="str">
            <v>THAILAND</v>
          </cell>
        </row>
        <row r="32069">
          <cell r="L32069" t="str">
            <v>Non-proportional</v>
          </cell>
          <cell r="S32069">
            <v>3770.96</v>
          </cell>
          <cell r="X32069" t="str">
            <v>GWP - gross</v>
          </cell>
          <cell r="Y32069" t="str">
            <v>NEW ZEALAND</v>
          </cell>
        </row>
        <row r="32070">
          <cell r="L32070" t="str">
            <v>Non-proportional</v>
          </cell>
          <cell r="S32070">
            <v>2300</v>
          </cell>
          <cell r="X32070" t="str">
            <v>GWP - gross</v>
          </cell>
          <cell r="Y32070" t="str">
            <v>GERMANY</v>
          </cell>
        </row>
        <row r="32071">
          <cell r="L32071" t="str">
            <v>Proportional</v>
          </cell>
          <cell r="S32071">
            <v>-10.61</v>
          </cell>
          <cell r="X32071" t="str">
            <v>GWP - gross</v>
          </cell>
          <cell r="Y32071" t="str">
            <v>Thailand</v>
          </cell>
        </row>
        <row r="32072">
          <cell r="L32072" t="str">
            <v>Non-proportional</v>
          </cell>
          <cell r="S32072">
            <v>-107055.89</v>
          </cell>
          <cell r="X32072" t="str">
            <v>GWP - gross</v>
          </cell>
          <cell r="Y32072" t="str">
            <v>PUERTO RICO</v>
          </cell>
        </row>
        <row r="32073">
          <cell r="L32073" t="str">
            <v>Non-proportional</v>
          </cell>
          <cell r="S32073">
            <v>28186.639999999999</v>
          </cell>
          <cell r="X32073" t="str">
            <v>GWP - gross</v>
          </cell>
          <cell r="Y32073" t="str">
            <v>INDIA</v>
          </cell>
        </row>
        <row r="32074">
          <cell r="L32074" t="str">
            <v>Non-proportional</v>
          </cell>
          <cell r="S32074">
            <v>1339.07</v>
          </cell>
          <cell r="X32074" t="str">
            <v>GWP - gross</v>
          </cell>
          <cell r="Y32074" t="str">
            <v>ISRAEL</v>
          </cell>
        </row>
        <row r="32075">
          <cell r="L32075" t="str">
            <v>Proportional</v>
          </cell>
          <cell r="S32075">
            <v>92020.28</v>
          </cell>
          <cell r="X32075" t="str">
            <v>GWP - gross</v>
          </cell>
          <cell r="Y32075" t="str">
            <v>AUSTRALIA</v>
          </cell>
        </row>
        <row r="32076">
          <cell r="L32076" t="str">
            <v>Proportional</v>
          </cell>
          <cell r="S32076">
            <v>11731.53</v>
          </cell>
          <cell r="X32076" t="str">
            <v>GWP - gross</v>
          </cell>
          <cell r="Y32076" t="str">
            <v>INDIA</v>
          </cell>
        </row>
        <row r="32077">
          <cell r="L32077" t="str">
            <v>Non-proportional</v>
          </cell>
          <cell r="S32077">
            <v>-14142.64</v>
          </cell>
          <cell r="X32077" t="str">
            <v>GWP - gross</v>
          </cell>
          <cell r="Y32077" t="str">
            <v>SLOVENIA</v>
          </cell>
        </row>
        <row r="32078">
          <cell r="L32078" t="str">
            <v>Non-proportional</v>
          </cell>
          <cell r="S32078">
            <v>-18139.29</v>
          </cell>
          <cell r="X32078" t="str">
            <v>GWP - gross</v>
          </cell>
          <cell r="Y32078" t="str">
            <v>SOUTH AFRICA</v>
          </cell>
        </row>
        <row r="32079">
          <cell r="L32079" t="str">
            <v>Proportional</v>
          </cell>
          <cell r="S32079">
            <v>43721.73</v>
          </cell>
          <cell r="X32079" t="str">
            <v>GWP - gross</v>
          </cell>
          <cell r="Y32079" t="str">
            <v>THAILAND</v>
          </cell>
        </row>
        <row r="32080">
          <cell r="L32080" t="str">
            <v>Proportional</v>
          </cell>
          <cell r="S32080">
            <v>-73341.25</v>
          </cell>
          <cell r="X32080" t="str">
            <v>GWP - gross</v>
          </cell>
          <cell r="Y32080" t="str">
            <v>CANADA</v>
          </cell>
        </row>
        <row r="32081">
          <cell r="L32081" t="str">
            <v>Non-proportional</v>
          </cell>
          <cell r="S32081">
            <v>-480000</v>
          </cell>
          <cell r="X32081" t="str">
            <v>GWP - gross</v>
          </cell>
          <cell r="Y32081" t="str">
            <v>ITALY</v>
          </cell>
        </row>
        <row r="32082">
          <cell r="L32082" t="str">
            <v>Non-proportional</v>
          </cell>
          <cell r="S32082">
            <v>70001.22</v>
          </cell>
          <cell r="X32082" t="str">
            <v>GWP - gross</v>
          </cell>
          <cell r="Y32082" t="str">
            <v>NEW ZEALAND</v>
          </cell>
        </row>
        <row r="32083">
          <cell r="L32083" t="str">
            <v>Non-proportional</v>
          </cell>
          <cell r="S32083">
            <v>-2011.98</v>
          </cell>
          <cell r="X32083" t="str">
            <v>GWP - gross</v>
          </cell>
          <cell r="Y32083" t="str">
            <v>NEW ZEALAND</v>
          </cell>
        </row>
        <row r="32084">
          <cell r="L32084" t="str">
            <v>Non-proportional</v>
          </cell>
          <cell r="S32084">
            <v>-5587.18</v>
          </cell>
          <cell r="X32084" t="str">
            <v>GWP - gross</v>
          </cell>
          <cell r="Y32084" t="str">
            <v>NEW ZEALAND</v>
          </cell>
        </row>
        <row r="32085">
          <cell r="L32085" t="str">
            <v>Non-proportional</v>
          </cell>
          <cell r="S32085">
            <v>23743.53</v>
          </cell>
          <cell r="X32085" t="str">
            <v>GWP - gross</v>
          </cell>
          <cell r="Y32085" t="str">
            <v>UNITED KINGDOM</v>
          </cell>
        </row>
        <row r="32086">
          <cell r="L32086" t="str">
            <v>Non-proportional</v>
          </cell>
          <cell r="S32086">
            <v>-239998.18</v>
          </cell>
          <cell r="X32086" t="str">
            <v>GWP - gross</v>
          </cell>
          <cell r="Y32086" t="str">
            <v>FRANCE</v>
          </cell>
        </row>
        <row r="32087">
          <cell r="L32087" t="str">
            <v>Non-proportional</v>
          </cell>
          <cell r="S32087">
            <v>8672.6299999999992</v>
          </cell>
          <cell r="X32087" t="str">
            <v>GWP - gross</v>
          </cell>
          <cell r="Y32087" t="str">
            <v>NEW ZEALAND</v>
          </cell>
        </row>
        <row r="32088">
          <cell r="L32088" t="str">
            <v>Non-proportional</v>
          </cell>
          <cell r="S32088">
            <v>-30975</v>
          </cell>
          <cell r="X32088" t="str">
            <v>GWP - gross</v>
          </cell>
          <cell r="Y32088" t="str">
            <v>ITALY</v>
          </cell>
        </row>
        <row r="32089">
          <cell r="L32089" t="str">
            <v>Non-proportional</v>
          </cell>
          <cell r="S32089">
            <v>3288.02</v>
          </cell>
          <cell r="X32089" t="str">
            <v>GWP - gross</v>
          </cell>
          <cell r="Y32089" t="str">
            <v>CHILE</v>
          </cell>
        </row>
        <row r="32090">
          <cell r="L32090" t="str">
            <v>Non-proportional</v>
          </cell>
          <cell r="S32090">
            <v>99393.21</v>
          </cell>
          <cell r="X32090" t="str">
            <v>GWP - gross</v>
          </cell>
          <cell r="Y32090" t="str">
            <v>NEW ZEALAND</v>
          </cell>
        </row>
        <row r="32091">
          <cell r="L32091" t="str">
            <v>Non-proportional</v>
          </cell>
          <cell r="S32091">
            <v>-5587.18</v>
          </cell>
          <cell r="X32091" t="str">
            <v>GWP - gross</v>
          </cell>
          <cell r="Y32091" t="str">
            <v>NEW ZEALAND</v>
          </cell>
        </row>
        <row r="32092">
          <cell r="L32092" t="str">
            <v>Non-proportional</v>
          </cell>
          <cell r="S32092">
            <v>-13327.2</v>
          </cell>
          <cell r="X32092" t="str">
            <v>GWP - gross</v>
          </cell>
          <cell r="Y32092" t="str">
            <v>FRANCE</v>
          </cell>
        </row>
        <row r="32093">
          <cell r="L32093" t="str">
            <v>Non-proportional</v>
          </cell>
          <cell r="S32093">
            <v>-34508.9</v>
          </cell>
          <cell r="X32093" t="str">
            <v>GWP - gross</v>
          </cell>
          <cell r="Y32093" t="str">
            <v>JAPAN</v>
          </cell>
        </row>
        <row r="32094">
          <cell r="L32094" t="str">
            <v>Proportional</v>
          </cell>
          <cell r="S32094">
            <v>-52141.13</v>
          </cell>
          <cell r="X32094" t="str">
            <v>GWP - gross</v>
          </cell>
          <cell r="Y32094" t="str">
            <v>THAILAND</v>
          </cell>
        </row>
        <row r="32095">
          <cell r="L32095" t="str">
            <v>Non-proportional</v>
          </cell>
          <cell r="S32095">
            <v>-5216.29</v>
          </cell>
          <cell r="X32095" t="str">
            <v>GWP - gross</v>
          </cell>
          <cell r="Y32095" t="str">
            <v>ISRAEL</v>
          </cell>
        </row>
        <row r="32096">
          <cell r="L32096" t="str">
            <v>Non-proportional</v>
          </cell>
          <cell r="S32096">
            <v>14831.56</v>
          </cell>
          <cell r="X32096" t="str">
            <v>GWP - gross</v>
          </cell>
          <cell r="Y32096" t="str">
            <v>CYPRUS</v>
          </cell>
        </row>
        <row r="32097">
          <cell r="L32097" t="str">
            <v>Proportional</v>
          </cell>
          <cell r="S32097">
            <v>485.85</v>
          </cell>
          <cell r="X32097" t="str">
            <v>GWP - gross</v>
          </cell>
          <cell r="Y32097" t="str">
            <v>UNITED STATES</v>
          </cell>
        </row>
        <row r="32098">
          <cell r="L32098" t="str">
            <v>Proportional</v>
          </cell>
          <cell r="S32098">
            <v>85383.24</v>
          </cell>
          <cell r="X32098" t="str">
            <v>GWP - gross</v>
          </cell>
          <cell r="Y32098" t="str">
            <v>INDIA</v>
          </cell>
        </row>
        <row r="32099">
          <cell r="L32099" t="str">
            <v>Non-proportional</v>
          </cell>
          <cell r="S32099">
            <v>91490</v>
          </cell>
          <cell r="X32099" t="str">
            <v>GWP - gross</v>
          </cell>
          <cell r="Y32099" t="str">
            <v>GERMANY</v>
          </cell>
        </row>
        <row r="32100">
          <cell r="L32100" t="str">
            <v>Non-proportional</v>
          </cell>
          <cell r="S32100">
            <v>1268680</v>
          </cell>
          <cell r="X32100" t="str">
            <v>GWP - gross</v>
          </cell>
          <cell r="Y32100" t="str">
            <v>FRANCE</v>
          </cell>
        </row>
        <row r="32101">
          <cell r="L32101" t="str">
            <v>Non-proportional</v>
          </cell>
          <cell r="S32101">
            <v>-26595.919999999998</v>
          </cell>
          <cell r="X32101" t="str">
            <v>GWP - gross</v>
          </cell>
          <cell r="Y32101" t="str">
            <v>THAILAND</v>
          </cell>
        </row>
        <row r="32102">
          <cell r="L32102" t="str">
            <v>Proportional</v>
          </cell>
          <cell r="S32102">
            <v>-232.4</v>
          </cell>
          <cell r="X32102" t="str">
            <v>GWP - gross</v>
          </cell>
          <cell r="Y32102" t="str">
            <v>THAILAND</v>
          </cell>
        </row>
        <row r="32103">
          <cell r="L32103" t="str">
            <v>Proportional</v>
          </cell>
          <cell r="S32103">
            <v>-19787.87</v>
          </cell>
          <cell r="X32103" t="str">
            <v>GWP - gross</v>
          </cell>
          <cell r="Y32103" t="str">
            <v>INDIA</v>
          </cell>
        </row>
        <row r="32104">
          <cell r="L32104" t="str">
            <v>Proportional</v>
          </cell>
          <cell r="S32104">
            <v>724618.19</v>
          </cell>
          <cell r="X32104" t="str">
            <v>GWP - gross</v>
          </cell>
          <cell r="Y32104" t="str">
            <v>THAILAND</v>
          </cell>
        </row>
        <row r="32105">
          <cell r="L32105" t="str">
            <v>Non-proportional</v>
          </cell>
          <cell r="S32105">
            <v>-19168.689999999999</v>
          </cell>
          <cell r="X32105" t="str">
            <v>GWP - gross</v>
          </cell>
          <cell r="Y32105" t="str">
            <v>NEW ZEALAND</v>
          </cell>
        </row>
        <row r="32106">
          <cell r="L32106" t="str">
            <v>Non-proportional</v>
          </cell>
          <cell r="S32106">
            <v>-57979.37</v>
          </cell>
          <cell r="X32106" t="str">
            <v>GWP - gross</v>
          </cell>
          <cell r="Y32106" t="str">
            <v>NEW ZEALAND</v>
          </cell>
        </row>
        <row r="32107">
          <cell r="L32107" t="str">
            <v>Non-proportional</v>
          </cell>
          <cell r="S32107">
            <v>-24360</v>
          </cell>
          <cell r="X32107" t="str">
            <v>GWP - gross</v>
          </cell>
          <cell r="Y32107" t="str">
            <v>GERMANY</v>
          </cell>
        </row>
        <row r="32108">
          <cell r="L32108" t="str">
            <v>Proportional</v>
          </cell>
          <cell r="S32108">
            <v>-3809.76</v>
          </cell>
          <cell r="X32108" t="str">
            <v>GWP - gross</v>
          </cell>
          <cell r="Y32108" t="str">
            <v>THAILAND</v>
          </cell>
        </row>
        <row r="32109">
          <cell r="L32109" t="str">
            <v>Non-proportional</v>
          </cell>
          <cell r="S32109">
            <v>76917.039999999994</v>
          </cell>
          <cell r="X32109" t="str">
            <v>GWP - gross</v>
          </cell>
          <cell r="Y32109" t="str">
            <v>UNITED KINGDOM</v>
          </cell>
        </row>
        <row r="32110">
          <cell r="L32110" t="str">
            <v>Non-proportional</v>
          </cell>
          <cell r="S32110">
            <v>3200.2</v>
          </cell>
          <cell r="X32110" t="str">
            <v>GWP - gross</v>
          </cell>
          <cell r="Y32110" t="str">
            <v>SLOVENIA</v>
          </cell>
        </row>
        <row r="32111">
          <cell r="L32111" t="str">
            <v>Proportional</v>
          </cell>
          <cell r="S32111">
            <v>181613.79</v>
          </cell>
          <cell r="X32111" t="str">
            <v>GWP - gross</v>
          </cell>
          <cell r="Y32111" t="str">
            <v>AUSTRALIA</v>
          </cell>
        </row>
        <row r="32112">
          <cell r="L32112" t="str">
            <v>Proportional</v>
          </cell>
          <cell r="S32112">
            <v>-89.15</v>
          </cell>
          <cell r="X32112" t="str">
            <v>GWP - gross</v>
          </cell>
          <cell r="Y32112" t="str">
            <v>INDIA</v>
          </cell>
        </row>
        <row r="32113">
          <cell r="L32113" t="str">
            <v>Non-proportional</v>
          </cell>
          <cell r="S32113">
            <v>7215.01</v>
          </cell>
          <cell r="X32113" t="str">
            <v>GWP - gross</v>
          </cell>
          <cell r="Y32113" t="str">
            <v>FRANCE</v>
          </cell>
        </row>
        <row r="32114">
          <cell r="L32114" t="str">
            <v>Proportional</v>
          </cell>
          <cell r="S32114">
            <v>31763.42</v>
          </cell>
          <cell r="X32114" t="str">
            <v>GWP - gross</v>
          </cell>
          <cell r="Y32114" t="str">
            <v>THAILAND</v>
          </cell>
        </row>
        <row r="32115">
          <cell r="L32115" t="str">
            <v>Non-proportional</v>
          </cell>
          <cell r="S32115">
            <v>-26643.75</v>
          </cell>
          <cell r="X32115" t="str">
            <v>GWP - gross</v>
          </cell>
          <cell r="Y32115" t="str">
            <v>ITALY</v>
          </cell>
        </row>
        <row r="32116">
          <cell r="L32116" t="str">
            <v>Non-proportional</v>
          </cell>
          <cell r="S32116">
            <v>-9061.83</v>
          </cell>
          <cell r="X32116" t="str">
            <v>GWP - gross</v>
          </cell>
          <cell r="Y32116" t="str">
            <v>SOUTH AFRICA</v>
          </cell>
        </row>
        <row r="32117">
          <cell r="L32117" t="str">
            <v>Non-proportional</v>
          </cell>
          <cell r="S32117">
            <v>-9940.42</v>
          </cell>
          <cell r="X32117" t="str">
            <v>GWP - gross</v>
          </cell>
          <cell r="Y32117" t="str">
            <v>SWEDEN</v>
          </cell>
        </row>
        <row r="32118">
          <cell r="L32118" t="str">
            <v>Non-proportional</v>
          </cell>
          <cell r="S32118">
            <v>44835.27</v>
          </cell>
          <cell r="X32118" t="str">
            <v>GWP - gross</v>
          </cell>
          <cell r="Y32118" t="str">
            <v>UNITED KINGDOM</v>
          </cell>
        </row>
        <row r="32119">
          <cell r="L32119" t="str">
            <v>Non-proportional</v>
          </cell>
          <cell r="S32119">
            <v>19168.689999999999</v>
          </cell>
          <cell r="X32119" t="str">
            <v>GWP - gross</v>
          </cell>
          <cell r="Y32119" t="str">
            <v>NEW ZEALAND</v>
          </cell>
        </row>
        <row r="32120">
          <cell r="L32120" t="str">
            <v>Non-proportional</v>
          </cell>
          <cell r="S32120">
            <v>-111225.74</v>
          </cell>
          <cell r="X32120" t="str">
            <v>GWP - gross</v>
          </cell>
          <cell r="Y32120" t="str">
            <v>NEW ZEALAND</v>
          </cell>
        </row>
        <row r="32121">
          <cell r="L32121" t="str">
            <v>Non-proportional</v>
          </cell>
          <cell r="S32121">
            <v>234070.8</v>
          </cell>
          <cell r="X32121" t="str">
            <v>GWP - gross</v>
          </cell>
          <cell r="Y32121" t="str">
            <v>CHILE</v>
          </cell>
        </row>
        <row r="32122">
          <cell r="L32122" t="str">
            <v>Non-proportional</v>
          </cell>
          <cell r="S32122">
            <v>20000.54</v>
          </cell>
          <cell r="X32122" t="str">
            <v>GWP - gross</v>
          </cell>
          <cell r="Y32122" t="str">
            <v>FRANCE</v>
          </cell>
        </row>
        <row r="32123">
          <cell r="L32123" t="str">
            <v>Proportional</v>
          </cell>
          <cell r="S32123">
            <v>-125635.91</v>
          </cell>
          <cell r="X32123" t="str">
            <v>GWP - gross</v>
          </cell>
          <cell r="Y32123" t="str">
            <v>AUSTRALIA</v>
          </cell>
        </row>
        <row r="32124">
          <cell r="L32124" t="str">
            <v>Non-proportional</v>
          </cell>
          <cell r="S32124">
            <v>5996.98</v>
          </cell>
          <cell r="X32124" t="str">
            <v>GWP - gross</v>
          </cell>
          <cell r="Y32124" t="str">
            <v>CYPRUS</v>
          </cell>
        </row>
        <row r="32125">
          <cell r="L32125" t="str">
            <v>Proportional</v>
          </cell>
          <cell r="S32125">
            <v>7224805.0099999998</v>
          </cell>
          <cell r="X32125" t="str">
            <v>GWP - gross</v>
          </cell>
          <cell r="Y32125" t="str">
            <v>THAILAND</v>
          </cell>
        </row>
        <row r="32126">
          <cell r="L32126" t="str">
            <v>Non-proportional</v>
          </cell>
          <cell r="S32126">
            <v>5237.6000000000004</v>
          </cell>
          <cell r="X32126" t="str">
            <v>GWP - gross</v>
          </cell>
          <cell r="Y32126" t="str">
            <v>NEW ZEALAND</v>
          </cell>
        </row>
        <row r="32127">
          <cell r="L32127" t="str">
            <v>Non-proportional</v>
          </cell>
          <cell r="S32127">
            <v>-69819.06</v>
          </cell>
          <cell r="X32127" t="str">
            <v>GWP - gross</v>
          </cell>
          <cell r="Y32127" t="str">
            <v>PUERTO RICO</v>
          </cell>
        </row>
        <row r="32128">
          <cell r="L32128" t="str">
            <v>Non-proportional</v>
          </cell>
          <cell r="S32128">
            <v>2060.1</v>
          </cell>
          <cell r="X32128" t="str">
            <v>GWP - gross</v>
          </cell>
          <cell r="Y32128" t="str">
            <v>ISRAEL</v>
          </cell>
        </row>
        <row r="32129">
          <cell r="L32129" t="str">
            <v>Non-proportional</v>
          </cell>
          <cell r="S32129">
            <v>-204252.06</v>
          </cell>
          <cell r="X32129" t="str">
            <v>GWP - gross</v>
          </cell>
          <cell r="Y32129" t="str">
            <v>UNITED KINGDOM</v>
          </cell>
        </row>
        <row r="32130">
          <cell r="L32130" t="str">
            <v>Proportional</v>
          </cell>
          <cell r="S32130">
            <v>-878.07</v>
          </cell>
          <cell r="X32130" t="str">
            <v>GWP - gross</v>
          </cell>
          <cell r="Y32130" t="str">
            <v>INDIA</v>
          </cell>
        </row>
        <row r="32131">
          <cell r="L32131" t="str">
            <v>Non-proportional</v>
          </cell>
          <cell r="S32131">
            <v>-17047.7</v>
          </cell>
          <cell r="X32131" t="str">
            <v>GWP - gross</v>
          </cell>
          <cell r="Y32131" t="str">
            <v>ITALY</v>
          </cell>
        </row>
        <row r="32132">
          <cell r="L32132" t="str">
            <v>Non-proportional</v>
          </cell>
          <cell r="S32132">
            <v>-3390.37</v>
          </cell>
          <cell r="X32132" t="str">
            <v>GWP - gross</v>
          </cell>
          <cell r="Y32132" t="str">
            <v>ISRAEL</v>
          </cell>
        </row>
        <row r="32133">
          <cell r="L32133" t="str">
            <v>Non-proportional</v>
          </cell>
          <cell r="S32133">
            <v>-6262.58</v>
          </cell>
          <cell r="X32133" t="str">
            <v>GWP - gross</v>
          </cell>
          <cell r="Y32133" t="str">
            <v>NEW ZEALAND</v>
          </cell>
        </row>
        <row r="32134">
          <cell r="L32134" t="str">
            <v>Non-proportional</v>
          </cell>
          <cell r="S32134">
            <v>239297.42</v>
          </cell>
          <cell r="X32134" t="str">
            <v>GWP - gross</v>
          </cell>
          <cell r="Y32134" t="str">
            <v>UNITED KINGDOM</v>
          </cell>
        </row>
        <row r="32135">
          <cell r="L32135" t="str">
            <v>Non-proportional</v>
          </cell>
          <cell r="S32135">
            <v>273482.8</v>
          </cell>
          <cell r="X32135" t="str">
            <v>GWP - gross</v>
          </cell>
          <cell r="Y32135" t="str">
            <v>UNITED KINGDOM</v>
          </cell>
        </row>
        <row r="32136">
          <cell r="L32136" t="str">
            <v>Non-proportional</v>
          </cell>
          <cell r="S32136">
            <v>-106260</v>
          </cell>
          <cell r="X32136" t="str">
            <v>GWP - gross</v>
          </cell>
          <cell r="Y32136" t="str">
            <v>GERMANY</v>
          </cell>
        </row>
        <row r="32137">
          <cell r="L32137" t="str">
            <v>Proportional</v>
          </cell>
          <cell r="S32137">
            <v>-43721.73</v>
          </cell>
          <cell r="X32137" t="str">
            <v>GWP - gross</v>
          </cell>
          <cell r="Y32137" t="str">
            <v>THAILAND</v>
          </cell>
        </row>
        <row r="32138">
          <cell r="L32138" t="str">
            <v>Non-proportional</v>
          </cell>
          <cell r="S32138">
            <v>19168.689999999999</v>
          </cell>
          <cell r="X32138" t="str">
            <v>GWP - gross</v>
          </cell>
          <cell r="Y32138" t="str">
            <v>NEW ZEALAND</v>
          </cell>
        </row>
        <row r="32139">
          <cell r="L32139" t="str">
            <v>Non-proportional</v>
          </cell>
          <cell r="S32139">
            <v>-28290</v>
          </cell>
          <cell r="X32139" t="str">
            <v>GWP - gross</v>
          </cell>
          <cell r="Y32139" t="str">
            <v>GERMANY</v>
          </cell>
        </row>
        <row r="32140">
          <cell r="L32140" t="str">
            <v>Non-proportional</v>
          </cell>
          <cell r="S32140">
            <v>-33545.56</v>
          </cell>
          <cell r="X32140" t="str">
            <v>GWP - gross</v>
          </cell>
          <cell r="Y32140" t="str">
            <v>CHINA</v>
          </cell>
        </row>
        <row r="32141">
          <cell r="L32141" t="str">
            <v>Proportional</v>
          </cell>
          <cell r="S32141">
            <v>-149131.14000000001</v>
          </cell>
          <cell r="X32141" t="str">
            <v>GWP - gross</v>
          </cell>
          <cell r="Y32141" t="str">
            <v>THAILAND</v>
          </cell>
        </row>
        <row r="32142">
          <cell r="L32142" t="str">
            <v>Non-proportional</v>
          </cell>
          <cell r="S32142">
            <v>13327.2</v>
          </cell>
          <cell r="X32142" t="str">
            <v>GWP - gross</v>
          </cell>
          <cell r="Y32142" t="str">
            <v>FRANCE</v>
          </cell>
        </row>
        <row r="32143">
          <cell r="L32143" t="str">
            <v>Non-proportional</v>
          </cell>
          <cell r="S32143">
            <v>10295.67</v>
          </cell>
          <cell r="X32143" t="str">
            <v>GWP - gross</v>
          </cell>
          <cell r="Y32143" t="str">
            <v>FRANCE</v>
          </cell>
        </row>
        <row r="32144">
          <cell r="L32144" t="str">
            <v>Proportional</v>
          </cell>
          <cell r="S32144">
            <v>52141.13</v>
          </cell>
          <cell r="X32144" t="str">
            <v>GWP - gross</v>
          </cell>
          <cell r="Y32144" t="str">
            <v>THAILAND</v>
          </cell>
        </row>
        <row r="32145">
          <cell r="L32145" t="str">
            <v>Non-proportional</v>
          </cell>
          <cell r="S32145">
            <v>-44850.91</v>
          </cell>
          <cell r="X32145" t="str">
            <v>GWP - gross</v>
          </cell>
          <cell r="Y32145" t="str">
            <v>CHINA</v>
          </cell>
        </row>
        <row r="32146">
          <cell r="L32146" t="str">
            <v>Proportional</v>
          </cell>
          <cell r="S32146">
            <v>-278.73</v>
          </cell>
          <cell r="X32146" t="str">
            <v>GWP - gross</v>
          </cell>
          <cell r="Y32146" t="str">
            <v>Thailand</v>
          </cell>
        </row>
        <row r="32147">
          <cell r="L32147" t="str">
            <v>Non-proportional</v>
          </cell>
          <cell r="S32147">
            <v>7828.38</v>
          </cell>
          <cell r="X32147" t="str">
            <v>GWP - gross</v>
          </cell>
          <cell r="Y32147" t="str">
            <v>UNITED KINGDOM</v>
          </cell>
        </row>
        <row r="32148">
          <cell r="L32148" t="str">
            <v>Proportional</v>
          </cell>
          <cell r="S32148">
            <v>-697504.71</v>
          </cell>
          <cell r="X32148" t="str">
            <v>GWP - gross</v>
          </cell>
          <cell r="Y32148" t="str">
            <v>AUSTRALIA</v>
          </cell>
        </row>
        <row r="32149">
          <cell r="L32149" t="str">
            <v>Non-proportional</v>
          </cell>
          <cell r="S32149">
            <v>-3745.3</v>
          </cell>
          <cell r="X32149" t="str">
            <v>GWP - gross</v>
          </cell>
          <cell r="Y32149" t="str">
            <v>FRANCE</v>
          </cell>
        </row>
        <row r="32150">
          <cell r="L32150" t="str">
            <v>Non-proportional</v>
          </cell>
          <cell r="S32150">
            <v>10345.129999999999</v>
          </cell>
          <cell r="X32150" t="str">
            <v>GWP - gross</v>
          </cell>
          <cell r="Y32150" t="str">
            <v>ECUADOR</v>
          </cell>
        </row>
        <row r="32151">
          <cell r="L32151" t="str">
            <v>Proportional</v>
          </cell>
          <cell r="S32151">
            <v>-117416.76</v>
          </cell>
          <cell r="X32151" t="str">
            <v>GWP - gross</v>
          </cell>
          <cell r="Y32151" t="str">
            <v>INDIA</v>
          </cell>
        </row>
        <row r="32152">
          <cell r="L32152" t="str">
            <v>Proportional</v>
          </cell>
          <cell r="S32152">
            <v>-60050.35</v>
          </cell>
          <cell r="X32152" t="str">
            <v>GWP - gross</v>
          </cell>
          <cell r="Y32152" t="str">
            <v>JAPAN</v>
          </cell>
        </row>
        <row r="32153">
          <cell r="L32153" t="str">
            <v>Non-proportional</v>
          </cell>
          <cell r="S32153">
            <v>-4848.74</v>
          </cell>
          <cell r="X32153" t="str">
            <v>GWP - gross</v>
          </cell>
          <cell r="Y32153" t="str">
            <v>ECUADOR</v>
          </cell>
        </row>
        <row r="32154">
          <cell r="L32154" t="str">
            <v>Non-proportional</v>
          </cell>
          <cell r="S32154">
            <v>9061.83</v>
          </cell>
          <cell r="X32154" t="str">
            <v>GWP - gross</v>
          </cell>
          <cell r="Y32154" t="str">
            <v>SOUTH AFRICA</v>
          </cell>
        </row>
        <row r="32155">
          <cell r="L32155" t="str">
            <v>Non-proportional</v>
          </cell>
          <cell r="S32155">
            <v>239998.18</v>
          </cell>
          <cell r="X32155" t="str">
            <v>GWP - gross</v>
          </cell>
          <cell r="Y32155" t="str">
            <v>FRANCE</v>
          </cell>
        </row>
        <row r="32156">
          <cell r="L32156" t="str">
            <v>Non-proportional</v>
          </cell>
          <cell r="S32156">
            <v>-25958.58</v>
          </cell>
          <cell r="X32156" t="str">
            <v>GWP - gross</v>
          </cell>
          <cell r="Y32156" t="str">
            <v>SLOVENIA</v>
          </cell>
        </row>
        <row r="32157">
          <cell r="L32157" t="str">
            <v>Non-proportional</v>
          </cell>
          <cell r="S32157">
            <v>377748.11</v>
          </cell>
          <cell r="X32157" t="str">
            <v>GWP - gross</v>
          </cell>
          <cell r="Y32157" t="str">
            <v>UNITED KINGDOM</v>
          </cell>
        </row>
        <row r="32158">
          <cell r="L32158" t="str">
            <v>Proportional</v>
          </cell>
          <cell r="S32158">
            <v>716015.52</v>
          </cell>
          <cell r="X32158" t="str">
            <v>GWP - gross</v>
          </cell>
          <cell r="Y32158" t="str">
            <v>UNITED STATES</v>
          </cell>
        </row>
        <row r="32159">
          <cell r="L32159" t="str">
            <v>Non-proportional</v>
          </cell>
          <cell r="S32159">
            <v>-550</v>
          </cell>
          <cell r="X32159" t="str">
            <v>GWP - gross</v>
          </cell>
          <cell r="Y32159" t="str">
            <v>GERMANY</v>
          </cell>
        </row>
        <row r="32160">
          <cell r="L32160" t="str">
            <v>Proportional</v>
          </cell>
          <cell r="S32160">
            <v>-13670.92</v>
          </cell>
          <cell r="X32160" t="str">
            <v>GWP - gross</v>
          </cell>
          <cell r="Y32160" t="str">
            <v>THAILAND</v>
          </cell>
        </row>
        <row r="32161">
          <cell r="L32161" t="str">
            <v>Proportional</v>
          </cell>
          <cell r="S32161">
            <v>48182.98</v>
          </cell>
          <cell r="X32161" t="str">
            <v>GWP - gross</v>
          </cell>
          <cell r="Y32161" t="str">
            <v>AUSTRALIA</v>
          </cell>
        </row>
        <row r="32162">
          <cell r="L32162" t="str">
            <v>Proportional</v>
          </cell>
          <cell r="S32162">
            <v>117416.76</v>
          </cell>
          <cell r="X32162" t="str">
            <v>GWP - gross</v>
          </cell>
          <cell r="Y32162" t="str">
            <v>INDIA</v>
          </cell>
        </row>
        <row r="32163">
          <cell r="L32163" t="str">
            <v>Proportional</v>
          </cell>
          <cell r="S32163">
            <v>-15184.14</v>
          </cell>
          <cell r="X32163" t="str">
            <v>GWP - gross</v>
          </cell>
          <cell r="Y32163" t="str">
            <v>AUSTRALIA</v>
          </cell>
        </row>
        <row r="32164">
          <cell r="L32164" t="str">
            <v>Non-proportional</v>
          </cell>
          <cell r="S32164">
            <v>16471.990000000002</v>
          </cell>
          <cell r="X32164" t="str">
            <v>GWP - gross</v>
          </cell>
          <cell r="Y32164" t="str">
            <v>FRANCE</v>
          </cell>
        </row>
        <row r="32165">
          <cell r="L32165" t="str">
            <v>Proportional</v>
          </cell>
          <cell r="S32165">
            <v>-407.68</v>
          </cell>
          <cell r="X32165" t="str">
            <v>GWP - gross</v>
          </cell>
          <cell r="Y32165" t="str">
            <v>UNITED STATES</v>
          </cell>
        </row>
        <row r="32166">
          <cell r="L32166" t="str">
            <v>Non-proportional</v>
          </cell>
          <cell r="S32166">
            <v>-57979.37</v>
          </cell>
          <cell r="X32166" t="str">
            <v>GWP - gross</v>
          </cell>
          <cell r="Y32166" t="str">
            <v>NEW ZEALAND</v>
          </cell>
        </row>
        <row r="32167">
          <cell r="L32167" t="str">
            <v>Non-proportional</v>
          </cell>
          <cell r="S32167">
            <v>-14142.64</v>
          </cell>
          <cell r="X32167" t="str">
            <v>GWP - gross</v>
          </cell>
          <cell r="Y32167" t="str">
            <v>SLOVENIA</v>
          </cell>
        </row>
        <row r="32168">
          <cell r="L32168" t="str">
            <v>Non-proportional</v>
          </cell>
          <cell r="S32168">
            <v>113400</v>
          </cell>
          <cell r="X32168" t="str">
            <v>GWP - gross</v>
          </cell>
          <cell r="Y32168" t="str">
            <v>GERMANY</v>
          </cell>
        </row>
        <row r="32169">
          <cell r="L32169" t="str">
            <v>Non-proportional</v>
          </cell>
          <cell r="S32169">
            <v>-9729.2999999999993</v>
          </cell>
          <cell r="X32169" t="str">
            <v>GWP - gross</v>
          </cell>
          <cell r="Y32169" t="str">
            <v>FRANCE</v>
          </cell>
        </row>
        <row r="32170">
          <cell r="L32170" t="str">
            <v>Non-proportional</v>
          </cell>
          <cell r="S32170">
            <v>-112827.59</v>
          </cell>
          <cell r="X32170" t="str">
            <v>GWP - gross</v>
          </cell>
          <cell r="Y32170" t="str">
            <v>PUERTO RICO</v>
          </cell>
        </row>
        <row r="32171">
          <cell r="L32171" t="str">
            <v>Non-proportional</v>
          </cell>
          <cell r="S32171">
            <v>-25958.58</v>
          </cell>
          <cell r="X32171" t="str">
            <v>GWP - gross</v>
          </cell>
          <cell r="Y32171" t="str">
            <v>SLOVENIA</v>
          </cell>
        </row>
        <row r="32172">
          <cell r="L32172" t="str">
            <v>Non-proportional</v>
          </cell>
          <cell r="S32172">
            <v>-322426.5</v>
          </cell>
          <cell r="X32172" t="str">
            <v>GWP - gross</v>
          </cell>
          <cell r="Y32172" t="str">
            <v>UNITED KINGDOM</v>
          </cell>
        </row>
        <row r="32173">
          <cell r="L32173" t="str">
            <v>Proportional</v>
          </cell>
          <cell r="S32173">
            <v>-334882.88</v>
          </cell>
          <cell r="X32173" t="str">
            <v>GWP - gross</v>
          </cell>
          <cell r="Y32173" t="str">
            <v>UNITED STATES</v>
          </cell>
        </row>
        <row r="32174">
          <cell r="L32174" t="str">
            <v>Non-proportional</v>
          </cell>
          <cell r="S32174">
            <v>-13327.2</v>
          </cell>
          <cell r="X32174" t="str">
            <v>GWP - gross</v>
          </cell>
          <cell r="Y32174" t="str">
            <v>FRANCE</v>
          </cell>
        </row>
        <row r="32175">
          <cell r="L32175" t="str">
            <v>Non-proportional</v>
          </cell>
          <cell r="S32175">
            <v>-99393.21</v>
          </cell>
          <cell r="X32175" t="str">
            <v>GWP - gross</v>
          </cell>
          <cell r="Y32175" t="str">
            <v>NEW ZEALAND</v>
          </cell>
        </row>
        <row r="32176">
          <cell r="L32176" t="str">
            <v>Proportional</v>
          </cell>
          <cell r="S32176">
            <v>2001.4</v>
          </cell>
          <cell r="X32176" t="str">
            <v>GWP - gross</v>
          </cell>
          <cell r="Y32176" t="str">
            <v>Thailand</v>
          </cell>
        </row>
        <row r="32177">
          <cell r="L32177" t="str">
            <v>Proportional</v>
          </cell>
          <cell r="S32177">
            <v>-12.59</v>
          </cell>
          <cell r="X32177" t="str">
            <v>GWP - gross</v>
          </cell>
          <cell r="Y32177" t="str">
            <v>Thailand</v>
          </cell>
        </row>
        <row r="32178">
          <cell r="L32178" t="str">
            <v>Proportional</v>
          </cell>
          <cell r="S32178">
            <v>-92020.28</v>
          </cell>
          <cell r="X32178" t="str">
            <v>GWP - gross</v>
          </cell>
          <cell r="Y32178" t="str">
            <v>AUSTRALIA</v>
          </cell>
        </row>
        <row r="32179">
          <cell r="L32179" t="str">
            <v>Proportional</v>
          </cell>
          <cell r="S32179">
            <v>-1903.06</v>
          </cell>
          <cell r="X32179" t="str">
            <v>GWP - gross</v>
          </cell>
          <cell r="Y32179" t="str">
            <v>Thailand</v>
          </cell>
        </row>
        <row r="32180">
          <cell r="L32180" t="str">
            <v>Non-proportional</v>
          </cell>
          <cell r="S32180">
            <v>-40254.25</v>
          </cell>
          <cell r="X32180" t="str">
            <v>GWP - gross</v>
          </cell>
          <cell r="Y32180" t="str">
            <v>NEW ZEALAND</v>
          </cell>
        </row>
        <row r="32181">
          <cell r="L32181" t="str">
            <v>Proportional</v>
          </cell>
          <cell r="S32181">
            <v>66.959999999999994</v>
          </cell>
          <cell r="X32181" t="str">
            <v>GWP - gross</v>
          </cell>
          <cell r="Y32181" t="str">
            <v>THAILAND</v>
          </cell>
        </row>
        <row r="32182">
          <cell r="L32182" t="str">
            <v>Non-proportional</v>
          </cell>
          <cell r="S32182">
            <v>-9252.51</v>
          </cell>
          <cell r="X32182" t="str">
            <v>GWP - gross</v>
          </cell>
          <cell r="Y32182" t="str">
            <v>NEW ZEALAND</v>
          </cell>
        </row>
        <row r="32183">
          <cell r="L32183" t="str">
            <v>Non-proportional</v>
          </cell>
          <cell r="S32183">
            <v>2481.61</v>
          </cell>
          <cell r="X32183" t="str">
            <v>GWP - gross</v>
          </cell>
          <cell r="Y32183" t="str">
            <v>CYPRUS</v>
          </cell>
        </row>
        <row r="32184">
          <cell r="L32184" t="str">
            <v>Non-proportional</v>
          </cell>
          <cell r="S32184">
            <v>-111225.74</v>
          </cell>
          <cell r="X32184" t="str">
            <v>GWP - gross</v>
          </cell>
          <cell r="Y32184" t="str">
            <v>NEW ZEALAND</v>
          </cell>
        </row>
        <row r="32185">
          <cell r="L32185" t="str">
            <v>Proportional</v>
          </cell>
          <cell r="S32185">
            <v>-262.72000000000003</v>
          </cell>
          <cell r="X32185" t="str">
            <v>GWP - gross</v>
          </cell>
          <cell r="Y32185" t="str">
            <v>THAILAND</v>
          </cell>
        </row>
        <row r="32186">
          <cell r="L32186" t="str">
            <v>Non-proportional</v>
          </cell>
          <cell r="S32186">
            <v>-35487.879999999997</v>
          </cell>
          <cell r="X32186" t="str">
            <v>GWP - gross</v>
          </cell>
          <cell r="Y32186" t="str">
            <v>JAPAN</v>
          </cell>
        </row>
        <row r="32187">
          <cell r="L32187" t="str">
            <v>Proportional</v>
          </cell>
          <cell r="S32187">
            <v>1930.13</v>
          </cell>
          <cell r="X32187" t="str">
            <v>GWP - gross</v>
          </cell>
          <cell r="Y32187" t="str">
            <v>Thailand</v>
          </cell>
        </row>
        <row r="32188">
          <cell r="L32188" t="str">
            <v>Non-proportional</v>
          </cell>
          <cell r="S32188">
            <v>22566.81</v>
          </cell>
          <cell r="X32188" t="str">
            <v>GWP - gross</v>
          </cell>
          <cell r="Y32188" t="str">
            <v>UNITED KINGDOM</v>
          </cell>
        </row>
        <row r="32189">
          <cell r="L32189" t="str">
            <v>Non-proportional</v>
          </cell>
          <cell r="S32189">
            <v>-6267.74</v>
          </cell>
          <cell r="X32189" t="str">
            <v>GWP - gross</v>
          </cell>
          <cell r="Y32189" t="str">
            <v>NEW ZEALAND</v>
          </cell>
        </row>
        <row r="32190">
          <cell r="L32190" t="str">
            <v>Non-proportional</v>
          </cell>
          <cell r="S32190">
            <v>31530.32</v>
          </cell>
          <cell r="X32190" t="str">
            <v>GWP - gross</v>
          </cell>
          <cell r="Y32190" t="str">
            <v>UNITED KINGDOM</v>
          </cell>
        </row>
        <row r="32191">
          <cell r="L32191" t="str">
            <v>Non-proportional</v>
          </cell>
          <cell r="S32191">
            <v>-26973.09</v>
          </cell>
          <cell r="X32191" t="str">
            <v>GWP - gross</v>
          </cell>
          <cell r="Y32191" t="str">
            <v>FRANCE</v>
          </cell>
        </row>
        <row r="32192">
          <cell r="L32192" t="str">
            <v>Non-proportional</v>
          </cell>
          <cell r="S32192">
            <v>-5482.47</v>
          </cell>
          <cell r="X32192" t="str">
            <v>GWP - gross</v>
          </cell>
          <cell r="Y32192" t="str">
            <v>CYPRUS</v>
          </cell>
        </row>
        <row r="32193">
          <cell r="L32193" t="str">
            <v>Proportional</v>
          </cell>
          <cell r="S32193">
            <v>-26577.919999999998</v>
          </cell>
          <cell r="X32193" t="str">
            <v>GWP - gross</v>
          </cell>
          <cell r="Y32193" t="str">
            <v>India</v>
          </cell>
        </row>
        <row r="32194">
          <cell r="L32194" t="str">
            <v>Proportional</v>
          </cell>
          <cell r="S32194">
            <v>-7224805.0099999998</v>
          </cell>
          <cell r="X32194" t="str">
            <v>GWP - gross</v>
          </cell>
          <cell r="Y32194" t="str">
            <v>THAILAND</v>
          </cell>
        </row>
        <row r="32195">
          <cell r="L32195" t="str">
            <v>Non-proportional</v>
          </cell>
          <cell r="S32195">
            <v>-234070.8</v>
          </cell>
          <cell r="X32195" t="str">
            <v>GWP - gross</v>
          </cell>
          <cell r="Y32195" t="str">
            <v>CHILE</v>
          </cell>
        </row>
        <row r="32196">
          <cell r="L32196" t="str">
            <v>Non-proportional</v>
          </cell>
          <cell r="S32196">
            <v>18127.79</v>
          </cell>
          <cell r="X32196" t="str">
            <v>GWP - gross</v>
          </cell>
          <cell r="Y32196" t="str">
            <v>INDIA</v>
          </cell>
        </row>
        <row r="32197">
          <cell r="L32197" t="str">
            <v>Proportional</v>
          </cell>
          <cell r="S32197">
            <v>3809.76</v>
          </cell>
          <cell r="X32197" t="str">
            <v>GWP - gross</v>
          </cell>
          <cell r="Y32197" t="str">
            <v>THAILAND</v>
          </cell>
        </row>
        <row r="32198">
          <cell r="L32198" t="str">
            <v>Proportional</v>
          </cell>
          <cell r="S32198">
            <v>4114538.66</v>
          </cell>
          <cell r="X32198" t="str">
            <v>GWP - gross</v>
          </cell>
          <cell r="Y32198" t="str">
            <v>HONG KONG</v>
          </cell>
        </row>
        <row r="32199">
          <cell r="L32199" t="str">
            <v>Non-proportional</v>
          </cell>
          <cell r="S32199">
            <v>-9252.51</v>
          </cell>
          <cell r="X32199" t="str">
            <v>GWP - gross</v>
          </cell>
          <cell r="Y32199" t="str">
            <v>NEW ZEALAND</v>
          </cell>
        </row>
        <row r="32200">
          <cell r="L32200" t="str">
            <v>Non-proportional</v>
          </cell>
          <cell r="S32200">
            <v>230855.84</v>
          </cell>
          <cell r="X32200" t="str">
            <v>GWP - gross</v>
          </cell>
          <cell r="Y32200" t="str">
            <v>CHILE</v>
          </cell>
        </row>
        <row r="32201">
          <cell r="L32201" t="str">
            <v>Proportional</v>
          </cell>
          <cell r="S32201">
            <v>38.44</v>
          </cell>
          <cell r="X32201" t="str">
            <v>GWP - gross</v>
          </cell>
          <cell r="Y32201" t="str">
            <v>THAILAND</v>
          </cell>
        </row>
        <row r="32202">
          <cell r="L32202" t="str">
            <v>Non-proportional</v>
          </cell>
          <cell r="S32202">
            <v>8511.34</v>
          </cell>
          <cell r="X32202" t="str">
            <v>GWP - gross</v>
          </cell>
          <cell r="Y32202" t="str">
            <v>SWEDEN</v>
          </cell>
        </row>
        <row r="32203">
          <cell r="L32203" t="str">
            <v>Proportional</v>
          </cell>
          <cell r="S32203">
            <v>-48182.98</v>
          </cell>
          <cell r="X32203" t="str">
            <v>GWP - gross</v>
          </cell>
          <cell r="Y32203" t="str">
            <v>AUSTRALIA</v>
          </cell>
        </row>
        <row r="32204">
          <cell r="L32204" t="str">
            <v>Non-proportional</v>
          </cell>
          <cell r="S32204">
            <v>-21042.63</v>
          </cell>
          <cell r="X32204" t="str">
            <v>GWP - gross</v>
          </cell>
          <cell r="Y32204" t="str">
            <v>UNITED KINGDOM</v>
          </cell>
        </row>
        <row r="32205">
          <cell r="L32205" t="str">
            <v>Non-proportional</v>
          </cell>
          <cell r="S32205">
            <v>-13817.98</v>
          </cell>
          <cell r="X32205" t="str">
            <v>GWP - gross</v>
          </cell>
          <cell r="Y32205" t="str">
            <v>ITALY</v>
          </cell>
        </row>
        <row r="32206">
          <cell r="L32206" t="str">
            <v>Proportional</v>
          </cell>
          <cell r="S32206">
            <v>-286.01</v>
          </cell>
          <cell r="X32206" t="str">
            <v>GWP - gross</v>
          </cell>
          <cell r="Y32206" t="str">
            <v>THAILAND</v>
          </cell>
        </row>
        <row r="32207">
          <cell r="L32207" t="str">
            <v>Non-proportional</v>
          </cell>
          <cell r="S32207">
            <v>-17832.580000000002</v>
          </cell>
          <cell r="X32207" t="str">
            <v>GWP - gross</v>
          </cell>
          <cell r="Y32207" t="str">
            <v>INDIA</v>
          </cell>
        </row>
        <row r="32208">
          <cell r="L32208" t="str">
            <v>Non-proportional</v>
          </cell>
          <cell r="S32208">
            <v>-22880.31</v>
          </cell>
          <cell r="X32208" t="str">
            <v>GWP - gross</v>
          </cell>
          <cell r="Y32208" t="str">
            <v>THAILAND</v>
          </cell>
        </row>
        <row r="32209">
          <cell r="L32209" t="str">
            <v>Proportional</v>
          </cell>
          <cell r="S32209">
            <v>-716015.52</v>
          </cell>
          <cell r="X32209" t="str">
            <v>GWP - gross</v>
          </cell>
          <cell r="Y32209" t="str">
            <v>UNITED STATES</v>
          </cell>
        </row>
        <row r="32210">
          <cell r="L32210" t="str">
            <v>Non-proportional</v>
          </cell>
          <cell r="S32210">
            <v>40254.25</v>
          </cell>
          <cell r="X32210" t="str">
            <v>GWP - gross</v>
          </cell>
          <cell r="Y32210" t="str">
            <v>NEW ZEALAND</v>
          </cell>
        </row>
        <row r="32211">
          <cell r="L32211" t="str">
            <v>Proportional</v>
          </cell>
          <cell r="S32211">
            <v>408.19</v>
          </cell>
          <cell r="X32211" t="str">
            <v>GWP - gross</v>
          </cell>
          <cell r="Y32211" t="str">
            <v>UNITED STATES</v>
          </cell>
        </row>
        <row r="32212">
          <cell r="L32212" t="str">
            <v>Non-proportional</v>
          </cell>
          <cell r="S32212">
            <v>-11396.23</v>
          </cell>
          <cell r="X32212" t="str">
            <v>GWP - gross</v>
          </cell>
          <cell r="Y32212" t="str">
            <v>FRANCE</v>
          </cell>
        </row>
        <row r="32213">
          <cell r="L32213" t="str">
            <v>Non-proportional</v>
          </cell>
          <cell r="S32213">
            <v>-2300</v>
          </cell>
          <cell r="X32213" t="str">
            <v>GWP - gross</v>
          </cell>
          <cell r="Y32213" t="str">
            <v>GERMANY</v>
          </cell>
        </row>
        <row r="32214">
          <cell r="L32214" t="str">
            <v>Non-proportional</v>
          </cell>
          <cell r="S32214">
            <v>-19168.689999999999</v>
          </cell>
          <cell r="X32214" t="str">
            <v>GWP - gross</v>
          </cell>
          <cell r="Y32214" t="str">
            <v>NEW ZEALAND</v>
          </cell>
        </row>
        <row r="32215">
          <cell r="L32215" t="str">
            <v>Non-proportional</v>
          </cell>
          <cell r="S32215">
            <v>-65652.45</v>
          </cell>
          <cell r="X32215" t="str">
            <v>GWP - gross</v>
          </cell>
          <cell r="Y32215" t="str">
            <v>UNITED KINGDOM</v>
          </cell>
        </row>
        <row r="32216">
          <cell r="L32216" t="str">
            <v>Proportional</v>
          </cell>
          <cell r="S32216">
            <v>-6265.76</v>
          </cell>
          <cell r="X32216" t="str">
            <v>GWP - gross</v>
          </cell>
          <cell r="Y32216" t="str">
            <v>INDIA</v>
          </cell>
        </row>
        <row r="32217">
          <cell r="L32217" t="str">
            <v>Non-proportional</v>
          </cell>
          <cell r="S32217">
            <v>35487.879999999997</v>
          </cell>
          <cell r="X32217" t="str">
            <v>GWP - gross</v>
          </cell>
          <cell r="Y32217" t="str">
            <v>JAPAN</v>
          </cell>
        </row>
        <row r="32218">
          <cell r="L32218" t="str">
            <v>Proportional</v>
          </cell>
          <cell r="S32218">
            <v>2212.0500000000002</v>
          </cell>
          <cell r="X32218" t="str">
            <v>GWP - gross</v>
          </cell>
          <cell r="Y32218" t="str">
            <v>UNITED STATES</v>
          </cell>
        </row>
        <row r="32219">
          <cell r="L32219" t="str">
            <v>Non-proportional</v>
          </cell>
          <cell r="S32219">
            <v>10150</v>
          </cell>
          <cell r="X32219" t="str">
            <v>GWP - gross</v>
          </cell>
          <cell r="Y32219" t="str">
            <v>GERMANY</v>
          </cell>
        </row>
        <row r="32220">
          <cell r="L32220" t="str">
            <v>Proportional</v>
          </cell>
          <cell r="S32220">
            <v>115.7</v>
          </cell>
          <cell r="X32220" t="str">
            <v>GWP - gross</v>
          </cell>
          <cell r="Y32220" t="str">
            <v>MALAYSIA</v>
          </cell>
        </row>
        <row r="32221">
          <cell r="L32221" t="str">
            <v>Non-proportional</v>
          </cell>
          <cell r="S32221">
            <v>2011.98</v>
          </cell>
          <cell r="X32221" t="str">
            <v>GWP - gross</v>
          </cell>
          <cell r="Y32221" t="str">
            <v>NEW ZEALAND</v>
          </cell>
        </row>
        <row r="32222">
          <cell r="L32222" t="str">
            <v>Proportional</v>
          </cell>
          <cell r="S32222">
            <v>-525220.1</v>
          </cell>
          <cell r="X32222" t="str">
            <v>GWP - gross</v>
          </cell>
          <cell r="Y32222" t="str">
            <v>UNITED STATES</v>
          </cell>
        </row>
        <row r="32223">
          <cell r="L32223" t="str">
            <v>Proportional</v>
          </cell>
          <cell r="S32223">
            <v>-9319.83</v>
          </cell>
          <cell r="X32223" t="str">
            <v>GWP - gross</v>
          </cell>
          <cell r="Y32223" t="str">
            <v>AUSTRALIA</v>
          </cell>
        </row>
        <row r="32224">
          <cell r="L32224" t="str">
            <v>Non-proportional</v>
          </cell>
          <cell r="S32224">
            <v>-13327.2</v>
          </cell>
          <cell r="X32224" t="str">
            <v>GWP - gross</v>
          </cell>
          <cell r="Y32224" t="str">
            <v>FRANCE</v>
          </cell>
        </row>
        <row r="32225">
          <cell r="L32225" t="str">
            <v>Proportional</v>
          </cell>
          <cell r="S32225">
            <v>-181613.79</v>
          </cell>
          <cell r="X32225" t="str">
            <v>GWP - gross</v>
          </cell>
          <cell r="Y32225" t="str">
            <v>AUSTRALIA</v>
          </cell>
        </row>
        <row r="32226">
          <cell r="L32226" t="str">
            <v>Non-proportional</v>
          </cell>
          <cell r="S32226">
            <v>13327.2</v>
          </cell>
          <cell r="X32226" t="str">
            <v>GWP - gross</v>
          </cell>
          <cell r="Y32226" t="str">
            <v>FRANCE</v>
          </cell>
        </row>
        <row r="32227">
          <cell r="L32227" t="str">
            <v>Non-proportional</v>
          </cell>
          <cell r="S32227">
            <v>1455.44</v>
          </cell>
          <cell r="X32227" t="str">
            <v>GWP - gross</v>
          </cell>
          <cell r="Y32227" t="str">
            <v>NEW ZEALAND</v>
          </cell>
        </row>
        <row r="32228">
          <cell r="L32228" t="str">
            <v>Proportional</v>
          </cell>
          <cell r="S32228">
            <v>-73341.25</v>
          </cell>
          <cell r="X32228" t="str">
            <v>GWP - gross</v>
          </cell>
          <cell r="Y32228" t="str">
            <v>CANADA</v>
          </cell>
        </row>
        <row r="32229">
          <cell r="L32229" t="str">
            <v>Proportional</v>
          </cell>
          <cell r="S32229">
            <v>-724618.19</v>
          </cell>
          <cell r="X32229" t="str">
            <v>GWP - gross</v>
          </cell>
          <cell r="Y32229" t="str">
            <v>THAILAND</v>
          </cell>
        </row>
        <row r="32230">
          <cell r="L32230" t="str">
            <v>Non-proportional</v>
          </cell>
          <cell r="S32230">
            <v>-5482.47</v>
          </cell>
          <cell r="X32230" t="str">
            <v>GWP - gross</v>
          </cell>
          <cell r="Y32230" t="str">
            <v>CYPRUS</v>
          </cell>
        </row>
        <row r="32231">
          <cell r="L32231" t="str">
            <v>Non-proportional</v>
          </cell>
          <cell r="S32231">
            <v>15055.06</v>
          </cell>
          <cell r="X32231" t="str">
            <v>GWP - gross</v>
          </cell>
          <cell r="Y32231" t="str">
            <v>SLOVENIA</v>
          </cell>
        </row>
        <row r="32232">
          <cell r="L32232" t="str">
            <v>Proportional</v>
          </cell>
          <cell r="S32232">
            <v>-121.21</v>
          </cell>
          <cell r="X32232" t="str">
            <v>GWP - gross</v>
          </cell>
          <cell r="Y32232" t="str">
            <v>Thailand</v>
          </cell>
        </row>
        <row r="32233">
          <cell r="L32233" t="str">
            <v>Non-proportional</v>
          </cell>
          <cell r="S32233">
            <v>-32480</v>
          </cell>
          <cell r="X32233" t="str">
            <v>GWP - gross</v>
          </cell>
          <cell r="Y32233" t="str">
            <v>GERMANY</v>
          </cell>
        </row>
        <row r="32234">
          <cell r="L32234" t="str">
            <v>Non-proportional</v>
          </cell>
          <cell r="S32234">
            <v>-11067.94</v>
          </cell>
          <cell r="X32234" t="str">
            <v>GWP - gross</v>
          </cell>
          <cell r="Y32234" t="str">
            <v>SOUTH AFRICA</v>
          </cell>
        </row>
        <row r="32235">
          <cell r="L32235" t="str">
            <v>Non-proportional</v>
          </cell>
          <cell r="S32235">
            <v>-5407.21</v>
          </cell>
          <cell r="X32235" t="str">
            <v>GWP - gross</v>
          </cell>
          <cell r="Y32235" t="str">
            <v>SLOVENIA</v>
          </cell>
        </row>
        <row r="32236">
          <cell r="L32236" t="str">
            <v>Proportional</v>
          </cell>
          <cell r="S32236">
            <v>-31763.42</v>
          </cell>
          <cell r="X32236" t="str">
            <v>GWP - gross</v>
          </cell>
          <cell r="Y32236" t="str">
            <v>THAILAND</v>
          </cell>
        </row>
        <row r="32237">
          <cell r="L32237" t="str">
            <v>Non-proportional</v>
          </cell>
          <cell r="S32237">
            <v>-24663.31</v>
          </cell>
          <cell r="X32237" t="str">
            <v>GWP - gross</v>
          </cell>
          <cell r="Y32237" t="str">
            <v>INDIA</v>
          </cell>
        </row>
        <row r="32238">
          <cell r="L32238" t="str">
            <v>Non-proportional</v>
          </cell>
          <cell r="S32238">
            <v>1455.44</v>
          </cell>
          <cell r="X32238" t="str">
            <v>GWP - gross</v>
          </cell>
          <cell r="Y32238" t="str">
            <v>NEW ZEALAND</v>
          </cell>
        </row>
        <row r="32239">
          <cell r="L32239" t="str">
            <v>Proportional</v>
          </cell>
          <cell r="S32239">
            <v>36.159999999999997</v>
          </cell>
          <cell r="X32239" t="str">
            <v>GWP - gross</v>
          </cell>
          <cell r="Y32239" t="str">
            <v>India</v>
          </cell>
        </row>
        <row r="32240">
          <cell r="L32240" t="str">
            <v>Non-proportional</v>
          </cell>
          <cell r="S32240">
            <v>30975</v>
          </cell>
          <cell r="X32240" t="str">
            <v>GWP - gross</v>
          </cell>
          <cell r="Y32240" t="str">
            <v>ITALY</v>
          </cell>
        </row>
        <row r="32241">
          <cell r="L32241" t="str">
            <v>Non-proportional</v>
          </cell>
          <cell r="S32241">
            <v>20380.22</v>
          </cell>
          <cell r="X32241" t="str">
            <v>GWP - gross</v>
          </cell>
          <cell r="Y32241" t="str">
            <v>INDIA</v>
          </cell>
        </row>
        <row r="32242">
          <cell r="L32242" t="str">
            <v>Non-proportional</v>
          </cell>
          <cell r="S32242">
            <v>-42075.89</v>
          </cell>
          <cell r="X32242" t="str">
            <v>GWP - gross</v>
          </cell>
          <cell r="Y32242" t="str">
            <v>CHINA</v>
          </cell>
        </row>
        <row r="32243">
          <cell r="L32243" t="str">
            <v>Non-proportional</v>
          </cell>
          <cell r="S32243">
            <v>32480</v>
          </cell>
          <cell r="X32243" t="str">
            <v>GWP - gross</v>
          </cell>
          <cell r="Y32243" t="str">
            <v>GERMANY</v>
          </cell>
        </row>
        <row r="32244">
          <cell r="L32244" t="str">
            <v>Non-proportional</v>
          </cell>
          <cell r="S32244">
            <v>238277.2</v>
          </cell>
          <cell r="X32244" t="str">
            <v>GWP - gross</v>
          </cell>
          <cell r="Y32244" t="str">
            <v>FRANCE</v>
          </cell>
        </row>
        <row r="32245">
          <cell r="L32245" t="str">
            <v>Non-proportional</v>
          </cell>
          <cell r="S32245">
            <v>-23815.599999999999</v>
          </cell>
          <cell r="X32245" t="str">
            <v>GWP - gross</v>
          </cell>
          <cell r="Y32245" t="str">
            <v>FRANCE</v>
          </cell>
        </row>
        <row r="32246">
          <cell r="L32246" t="str">
            <v>Non-proportional</v>
          </cell>
          <cell r="S32246">
            <v>45234.65</v>
          </cell>
          <cell r="X32246" t="str">
            <v>GWP - gross</v>
          </cell>
          <cell r="Y32246" t="str">
            <v>SLOVENIA</v>
          </cell>
        </row>
        <row r="32247">
          <cell r="L32247" t="str">
            <v>Non-proportional</v>
          </cell>
          <cell r="S32247">
            <v>10390.33</v>
          </cell>
          <cell r="X32247" t="str">
            <v>GWP - gross</v>
          </cell>
          <cell r="Y32247" t="str">
            <v>ECUADOR</v>
          </cell>
        </row>
        <row r="32248">
          <cell r="L32248" t="str">
            <v>Non-proportional</v>
          </cell>
          <cell r="S32248">
            <v>-91490</v>
          </cell>
          <cell r="X32248" t="str">
            <v>GWP - gross</v>
          </cell>
          <cell r="Y32248" t="str">
            <v>GERMANY</v>
          </cell>
        </row>
        <row r="32249">
          <cell r="L32249" t="str">
            <v>Proportional</v>
          </cell>
          <cell r="S32249">
            <v>-84.65</v>
          </cell>
          <cell r="X32249" t="str">
            <v>GWP - gross</v>
          </cell>
          <cell r="Y32249" t="str">
            <v>THAILAND</v>
          </cell>
        </row>
        <row r="32250">
          <cell r="L32250" t="str">
            <v>Proportional</v>
          </cell>
          <cell r="S32250">
            <v>-364025.21</v>
          </cell>
          <cell r="X32250" t="str">
            <v>GWP - gross</v>
          </cell>
          <cell r="Y32250" t="str">
            <v>JAPAN</v>
          </cell>
        </row>
        <row r="32251">
          <cell r="L32251" t="str">
            <v>Non-proportional</v>
          </cell>
          <cell r="S32251">
            <v>61720.54</v>
          </cell>
          <cell r="X32251" t="str">
            <v>GWP - gross</v>
          </cell>
          <cell r="Y32251" t="str">
            <v>FRANCE</v>
          </cell>
        </row>
        <row r="32252">
          <cell r="L32252" t="str">
            <v>Non-proportional</v>
          </cell>
          <cell r="S32252">
            <v>-2146.41</v>
          </cell>
          <cell r="X32252" t="str">
            <v>GWP - gross</v>
          </cell>
          <cell r="Y32252" t="str">
            <v>NEW ZEALAND</v>
          </cell>
        </row>
        <row r="32253">
          <cell r="L32253" t="str">
            <v>Non-proportional</v>
          </cell>
          <cell r="S32253">
            <v>6924.31</v>
          </cell>
          <cell r="X32253" t="str">
            <v>GWP - gross</v>
          </cell>
          <cell r="Y32253" t="str">
            <v>NEW ZEALAND</v>
          </cell>
        </row>
        <row r="32254">
          <cell r="L32254" t="str">
            <v>Non-proportional</v>
          </cell>
          <cell r="S32254">
            <v>34508.9</v>
          </cell>
          <cell r="X32254" t="str">
            <v>GWP - gross</v>
          </cell>
          <cell r="Y32254" t="str">
            <v>JAPAN</v>
          </cell>
        </row>
        <row r="32255">
          <cell r="L32255" t="str">
            <v>Proportional</v>
          </cell>
          <cell r="S32255">
            <v>-12562.34</v>
          </cell>
          <cell r="X32255" t="str">
            <v>GWP - gross</v>
          </cell>
          <cell r="Y32255" t="str">
            <v>THAILAND</v>
          </cell>
        </row>
        <row r="32256">
          <cell r="L32256" t="str">
            <v>Proportional</v>
          </cell>
          <cell r="S32256">
            <v>-618.77</v>
          </cell>
          <cell r="X32256" t="str">
            <v>GWP - gross</v>
          </cell>
          <cell r="Y32256" t="str">
            <v>THAILAND</v>
          </cell>
        </row>
        <row r="32257">
          <cell r="L32257" t="str">
            <v>Non-proportional</v>
          </cell>
          <cell r="S32257">
            <v>28186.639999999999</v>
          </cell>
          <cell r="X32257" t="str">
            <v>GWP - gross</v>
          </cell>
          <cell r="Y32257" t="str">
            <v>INDIA</v>
          </cell>
        </row>
        <row r="32258">
          <cell r="L32258" t="str">
            <v>Non-proportional</v>
          </cell>
          <cell r="S32258">
            <v>-1552.71</v>
          </cell>
          <cell r="X32258" t="str">
            <v>GWP - gross</v>
          </cell>
          <cell r="Y32258" t="str">
            <v>NEW ZEALAND</v>
          </cell>
        </row>
        <row r="32259">
          <cell r="L32259" t="str">
            <v>Proportional</v>
          </cell>
          <cell r="S32259">
            <v>168454.51</v>
          </cell>
          <cell r="X32259" t="str">
            <v>GWP - gross</v>
          </cell>
          <cell r="Y32259" t="str">
            <v>THAILAND</v>
          </cell>
        </row>
        <row r="32260">
          <cell r="L32260" t="str">
            <v>Non-proportional</v>
          </cell>
          <cell r="S32260">
            <v>-24663.31</v>
          </cell>
          <cell r="X32260" t="str">
            <v>GWP - gross</v>
          </cell>
          <cell r="Y32260" t="str">
            <v>INDIA</v>
          </cell>
        </row>
        <row r="32261">
          <cell r="L32261" t="str">
            <v>Non-proportional</v>
          </cell>
          <cell r="S32261">
            <v>-14831.56</v>
          </cell>
          <cell r="X32261" t="str">
            <v>GWP - gross</v>
          </cell>
          <cell r="Y32261" t="str">
            <v>CYPRUS</v>
          </cell>
        </row>
        <row r="32262">
          <cell r="L32262" t="str">
            <v>Non-proportional</v>
          </cell>
          <cell r="S32262">
            <v>24360</v>
          </cell>
          <cell r="X32262" t="str">
            <v>GWP - gross</v>
          </cell>
          <cell r="Y32262" t="str">
            <v>GERMANY</v>
          </cell>
        </row>
        <row r="32263">
          <cell r="L32263" t="str">
            <v>Non-proportional</v>
          </cell>
          <cell r="S32263">
            <v>-3827.85</v>
          </cell>
          <cell r="X32263" t="str">
            <v>GWP - gross</v>
          </cell>
          <cell r="Y32263" t="str">
            <v>ECUADOR</v>
          </cell>
        </row>
        <row r="32264">
          <cell r="L32264" t="str">
            <v>Non-proportional</v>
          </cell>
          <cell r="S32264">
            <v>57979.37</v>
          </cell>
          <cell r="X32264" t="str">
            <v>GWP - gross</v>
          </cell>
          <cell r="Y32264" t="str">
            <v>NEW ZEALAND</v>
          </cell>
        </row>
        <row r="32265">
          <cell r="L32265" t="str">
            <v>Proportional</v>
          </cell>
          <cell r="S32265">
            <v>-65.38</v>
          </cell>
          <cell r="X32265" t="str">
            <v>GWP - gross</v>
          </cell>
          <cell r="Y32265" t="str">
            <v>India</v>
          </cell>
        </row>
        <row r="32266">
          <cell r="L32266" t="str">
            <v>Proportional</v>
          </cell>
          <cell r="S32266">
            <v>35483.769999999997</v>
          </cell>
          <cell r="X32266" t="str">
            <v>GWP - gross</v>
          </cell>
          <cell r="Y32266" t="str">
            <v>AUSTRALIA</v>
          </cell>
        </row>
        <row r="32267">
          <cell r="L32267" t="str">
            <v>Non-proportional</v>
          </cell>
          <cell r="S32267">
            <v>105801.32</v>
          </cell>
          <cell r="X32267" t="str">
            <v>GWP - gross</v>
          </cell>
          <cell r="Y32267" t="str">
            <v>CHILE</v>
          </cell>
        </row>
        <row r="32268">
          <cell r="L32268" t="str">
            <v>Proportional</v>
          </cell>
          <cell r="S32268">
            <v>-3366.43</v>
          </cell>
          <cell r="X32268" t="str">
            <v>GWP - gross</v>
          </cell>
          <cell r="Y32268" t="str">
            <v>THAILAND</v>
          </cell>
        </row>
        <row r="32269">
          <cell r="L32269" t="str">
            <v>Non-proportional</v>
          </cell>
          <cell r="S32269">
            <v>5482.47</v>
          </cell>
          <cell r="X32269" t="str">
            <v>GWP - gross</v>
          </cell>
          <cell r="Y32269" t="str">
            <v>CYPRUS</v>
          </cell>
        </row>
        <row r="32270">
          <cell r="L32270" t="str">
            <v>Non-proportional</v>
          </cell>
          <cell r="S32270">
            <v>18139.29</v>
          </cell>
          <cell r="X32270" t="str">
            <v>GWP - gross</v>
          </cell>
          <cell r="Y32270" t="str">
            <v>SOUTH AFRICA</v>
          </cell>
        </row>
        <row r="32271">
          <cell r="L32271" t="str">
            <v>Non-proportional</v>
          </cell>
          <cell r="S32271">
            <v>-18904.86</v>
          </cell>
          <cell r="X32271" t="str">
            <v>GWP - gross</v>
          </cell>
          <cell r="Y32271" t="str">
            <v>SOUTH AFRICA</v>
          </cell>
        </row>
        <row r="32272">
          <cell r="L32272" t="str">
            <v>Non-proportional</v>
          </cell>
          <cell r="S32272">
            <v>118871.48</v>
          </cell>
          <cell r="X32272" t="str">
            <v>GWP - gross</v>
          </cell>
          <cell r="Y32272" t="str">
            <v>MEXICO</v>
          </cell>
        </row>
        <row r="32273">
          <cell r="L32273" t="str">
            <v>Proportional</v>
          </cell>
          <cell r="S32273">
            <v>9319.83</v>
          </cell>
          <cell r="X32273" t="str">
            <v>GWP - gross</v>
          </cell>
          <cell r="Y32273" t="str">
            <v>AUSTRALIA</v>
          </cell>
        </row>
        <row r="32274">
          <cell r="L32274" t="str">
            <v>Non-proportional</v>
          </cell>
          <cell r="S32274">
            <v>-113400</v>
          </cell>
          <cell r="X32274" t="str">
            <v>GWP - gross</v>
          </cell>
          <cell r="Y32274" t="str">
            <v>GERMANY</v>
          </cell>
        </row>
        <row r="32275">
          <cell r="L32275" t="str">
            <v>Non-proportional</v>
          </cell>
          <cell r="S32275">
            <v>-4468.28</v>
          </cell>
          <cell r="X32275" t="str">
            <v>GWP - gross</v>
          </cell>
          <cell r="Y32275" t="str">
            <v>ECUADOR</v>
          </cell>
        </row>
        <row r="32276">
          <cell r="L32276" t="str">
            <v>Proportional</v>
          </cell>
          <cell r="S32276">
            <v>-8794.44</v>
          </cell>
          <cell r="X32276" t="str">
            <v>GWP - gross</v>
          </cell>
          <cell r="Y32276" t="str">
            <v>THAILAND</v>
          </cell>
        </row>
        <row r="32277">
          <cell r="L32277" t="str">
            <v>Non-proportional</v>
          </cell>
          <cell r="S32277">
            <v>14142.64</v>
          </cell>
          <cell r="X32277" t="str">
            <v>GWP - gross</v>
          </cell>
          <cell r="Y32277" t="str">
            <v>SLOVENIA</v>
          </cell>
        </row>
        <row r="32278">
          <cell r="L32278" t="str">
            <v>Non-proportional</v>
          </cell>
          <cell r="S32278">
            <v>-2481.61</v>
          </cell>
          <cell r="X32278" t="str">
            <v>GWP - gross</v>
          </cell>
          <cell r="Y32278" t="str">
            <v>CYPRUS</v>
          </cell>
        </row>
        <row r="32279">
          <cell r="L32279" t="str">
            <v>Proportional</v>
          </cell>
          <cell r="S32279">
            <v>-0.8</v>
          </cell>
          <cell r="X32279" t="str">
            <v>GWP - gross</v>
          </cell>
          <cell r="Y32279" t="str">
            <v>Thailand</v>
          </cell>
        </row>
        <row r="32280">
          <cell r="L32280" t="str">
            <v>Proportional</v>
          </cell>
          <cell r="S32280">
            <v>4825473.25</v>
          </cell>
          <cell r="X32280" t="str">
            <v>GWP - gross</v>
          </cell>
          <cell r="Y32280" t="str">
            <v>HONG KONG</v>
          </cell>
        </row>
        <row r="32281">
          <cell r="L32281" t="str">
            <v>Proportional</v>
          </cell>
          <cell r="S32281">
            <v>-8088.93</v>
          </cell>
          <cell r="X32281" t="str">
            <v>GWP - gross</v>
          </cell>
          <cell r="Y32281" t="str">
            <v>India</v>
          </cell>
        </row>
        <row r="32282">
          <cell r="L32282" t="str">
            <v>Non-proportional</v>
          </cell>
          <cell r="S32282">
            <v>18904.86</v>
          </cell>
          <cell r="X32282" t="str">
            <v>GWP - gross</v>
          </cell>
          <cell r="Y32282" t="str">
            <v>SOUTH AFRICA</v>
          </cell>
        </row>
        <row r="32283">
          <cell r="L32283" t="str">
            <v>Proportional</v>
          </cell>
          <cell r="S32283">
            <v>-2242116.8199999998</v>
          </cell>
          <cell r="X32283" t="str">
            <v>GWP - gross</v>
          </cell>
          <cell r="Y32283" t="str">
            <v>UNITED STATES</v>
          </cell>
        </row>
        <row r="32284">
          <cell r="L32284" t="str">
            <v>Non-proportional</v>
          </cell>
          <cell r="S32284">
            <v>-175641.95</v>
          </cell>
          <cell r="X32284" t="str">
            <v>GWP - gross</v>
          </cell>
          <cell r="Y32284" t="str">
            <v>PUERTO RICO</v>
          </cell>
        </row>
        <row r="32285">
          <cell r="L32285" t="str">
            <v>Non-proportional</v>
          </cell>
          <cell r="S32285">
            <v>106390.81</v>
          </cell>
          <cell r="X32285" t="str">
            <v>GWP - gross</v>
          </cell>
          <cell r="Y32285" t="str">
            <v>UNITED KINGDOM</v>
          </cell>
        </row>
        <row r="32286">
          <cell r="L32286" t="str">
            <v>Non-proportional</v>
          </cell>
          <cell r="S32286">
            <v>10777.41</v>
          </cell>
          <cell r="X32286" t="str">
            <v>GWP - gross</v>
          </cell>
          <cell r="Y32286" t="str">
            <v>CHILE</v>
          </cell>
        </row>
        <row r="32287">
          <cell r="L32287" t="str">
            <v>Proportional</v>
          </cell>
          <cell r="S32287">
            <v>364025.21</v>
          </cell>
          <cell r="X32287" t="str">
            <v>GWP - gross</v>
          </cell>
          <cell r="Y32287" t="str">
            <v>JAPAN</v>
          </cell>
        </row>
        <row r="32288">
          <cell r="L32288" t="str">
            <v>Proportional</v>
          </cell>
          <cell r="S32288">
            <v>1304337.43</v>
          </cell>
          <cell r="X32288" t="str">
            <v>GWP - gross</v>
          </cell>
          <cell r="Y32288" t="str">
            <v>HONG KONG</v>
          </cell>
        </row>
        <row r="32289">
          <cell r="L32289" t="str">
            <v>Non-proportional</v>
          </cell>
          <cell r="S32289">
            <v>7051.75</v>
          </cell>
          <cell r="X32289" t="str">
            <v>GWP - gross</v>
          </cell>
          <cell r="Y32289" t="str">
            <v>NEW ZEALAND</v>
          </cell>
        </row>
        <row r="32290">
          <cell r="L32290" t="str">
            <v>Non-proportional</v>
          </cell>
          <cell r="S32290">
            <v>31224.560000000001</v>
          </cell>
          <cell r="X32290" t="str">
            <v>GWP - gross</v>
          </cell>
          <cell r="Y32290" t="str">
            <v>UNITED KINGDOM</v>
          </cell>
        </row>
        <row r="32291">
          <cell r="L32291" t="str">
            <v>Proportional</v>
          </cell>
          <cell r="S32291">
            <v>1612.58</v>
          </cell>
          <cell r="X32291" t="str">
            <v>GWP - gross</v>
          </cell>
          <cell r="Y32291" t="str">
            <v>UNITED STATES</v>
          </cell>
        </row>
        <row r="32292">
          <cell r="L32292" t="str">
            <v>Proportional</v>
          </cell>
          <cell r="S32292">
            <v>919.66</v>
          </cell>
          <cell r="X32292" t="str">
            <v>GWP - gross</v>
          </cell>
          <cell r="Y32292" t="str">
            <v>Thailand</v>
          </cell>
        </row>
        <row r="32293">
          <cell r="L32293" t="str">
            <v>Proportional</v>
          </cell>
          <cell r="S32293">
            <v>142201.97</v>
          </cell>
          <cell r="X32293" t="str">
            <v>GWP - gross</v>
          </cell>
          <cell r="Y32293" t="str">
            <v>THAILAND</v>
          </cell>
        </row>
        <row r="32294">
          <cell r="L32294" t="str">
            <v>Proportional</v>
          </cell>
          <cell r="S32294">
            <v>-2882.26</v>
          </cell>
          <cell r="X32294" t="str">
            <v>GWP - gross</v>
          </cell>
          <cell r="Y32294" t="str">
            <v>UNITED STATES</v>
          </cell>
        </row>
        <row r="32295">
          <cell r="L32295" t="str">
            <v>Non-proportional</v>
          </cell>
          <cell r="S32295">
            <v>6343.25</v>
          </cell>
          <cell r="X32295" t="str">
            <v>GWP - gross</v>
          </cell>
          <cell r="Y32295" t="str">
            <v>FRANCE</v>
          </cell>
        </row>
        <row r="32296">
          <cell r="L32296" t="str">
            <v>Non-proportional</v>
          </cell>
          <cell r="S32296">
            <v>-46569.599999999999</v>
          </cell>
          <cell r="X32296" t="str">
            <v>GWP - gross</v>
          </cell>
          <cell r="Y32296" t="str">
            <v>FRANCE</v>
          </cell>
        </row>
        <row r="32297">
          <cell r="L32297" t="str">
            <v>Proportional</v>
          </cell>
          <cell r="S32297">
            <v>73142857.140000001</v>
          </cell>
          <cell r="X32297" t="str">
            <v>GWP - gross</v>
          </cell>
          <cell r="Y32297" t="str">
            <v>ITALY</v>
          </cell>
        </row>
        <row r="32298">
          <cell r="L32298" t="str">
            <v>Non-proportional</v>
          </cell>
          <cell r="S32298">
            <v>17491.900000000001</v>
          </cell>
          <cell r="X32298" t="str">
            <v>GWP - gross</v>
          </cell>
          <cell r="Y32298" t="str">
            <v>ISRAEL</v>
          </cell>
        </row>
        <row r="32299">
          <cell r="L32299" t="str">
            <v>Proportional</v>
          </cell>
          <cell r="S32299">
            <v>-885931.79</v>
          </cell>
          <cell r="X32299" t="str">
            <v>GWP - gross</v>
          </cell>
          <cell r="Y32299" t="str">
            <v>PORTUGAL</v>
          </cell>
        </row>
        <row r="32300">
          <cell r="L32300" t="str">
            <v>Proportional</v>
          </cell>
          <cell r="S32300">
            <v>-7426094.0099999998</v>
          </cell>
          <cell r="X32300" t="str">
            <v>GWP - gross</v>
          </cell>
          <cell r="Y32300" t="str">
            <v>PORTUGAL</v>
          </cell>
        </row>
        <row r="32301">
          <cell r="L32301" t="str">
            <v>Non-proportional</v>
          </cell>
          <cell r="S32301">
            <v>-11357.74</v>
          </cell>
          <cell r="X32301" t="str">
            <v>GWP - gross</v>
          </cell>
          <cell r="Y32301" t="str">
            <v>ISRAEL</v>
          </cell>
        </row>
        <row r="32302">
          <cell r="L32302" t="str">
            <v>Proportional</v>
          </cell>
          <cell r="S32302">
            <v>-189.7</v>
          </cell>
          <cell r="X32302" t="str">
            <v>GWP - gross</v>
          </cell>
          <cell r="Y32302" t="str">
            <v>Turkey</v>
          </cell>
        </row>
        <row r="32303">
          <cell r="L32303" t="str">
            <v>Non-proportional</v>
          </cell>
          <cell r="S32303">
            <v>744266.65</v>
          </cell>
          <cell r="X32303" t="str">
            <v>GWP - gross</v>
          </cell>
          <cell r="Y32303" t="str">
            <v>UNITED KINGDOM</v>
          </cell>
        </row>
        <row r="32304">
          <cell r="L32304" t="str">
            <v>Non-proportional</v>
          </cell>
          <cell r="S32304">
            <v>-3569.58</v>
          </cell>
          <cell r="X32304" t="str">
            <v>GWP - gross</v>
          </cell>
          <cell r="Y32304" t="str">
            <v>ISRAEL</v>
          </cell>
        </row>
        <row r="32305">
          <cell r="L32305" t="str">
            <v>Proportional</v>
          </cell>
          <cell r="S32305">
            <v>-1459.35</v>
          </cell>
          <cell r="X32305" t="str">
            <v>GWP - gross</v>
          </cell>
          <cell r="Y32305" t="str">
            <v>Portugal</v>
          </cell>
        </row>
        <row r="32306">
          <cell r="L32306" t="str">
            <v>Proportional</v>
          </cell>
          <cell r="S32306">
            <v>50849.51</v>
          </cell>
          <cell r="X32306" t="str">
            <v>GWP - gross</v>
          </cell>
          <cell r="Y32306" t="str">
            <v>AUSTRALIA</v>
          </cell>
        </row>
        <row r="32307">
          <cell r="L32307" t="str">
            <v>Non-proportional</v>
          </cell>
          <cell r="S32307">
            <v>-5661.86</v>
          </cell>
          <cell r="X32307" t="str">
            <v>GWP - gross</v>
          </cell>
          <cell r="Y32307" t="str">
            <v>UNITED KINGDOM</v>
          </cell>
        </row>
        <row r="32308">
          <cell r="L32308" t="str">
            <v>Non-proportional</v>
          </cell>
          <cell r="S32308">
            <v>-17491.900000000001</v>
          </cell>
          <cell r="X32308" t="str">
            <v>GWP - gross</v>
          </cell>
          <cell r="Y32308" t="str">
            <v>ISRAEL</v>
          </cell>
        </row>
        <row r="32309">
          <cell r="L32309" t="str">
            <v>Non-proportional</v>
          </cell>
          <cell r="S32309">
            <v>5661.86</v>
          </cell>
          <cell r="X32309" t="str">
            <v>GWP - gross</v>
          </cell>
          <cell r="Y32309" t="str">
            <v>UNITED KINGDOM</v>
          </cell>
        </row>
        <row r="32310">
          <cell r="L32310" t="str">
            <v>Proportional</v>
          </cell>
          <cell r="S32310">
            <v>-0.16</v>
          </cell>
          <cell r="X32310" t="str">
            <v>GWP - gross</v>
          </cell>
          <cell r="Y32310" t="str">
            <v>Turkey</v>
          </cell>
        </row>
        <row r="32311">
          <cell r="L32311" t="str">
            <v>Proportional</v>
          </cell>
          <cell r="S32311">
            <v>199785.79</v>
          </cell>
          <cell r="X32311" t="str">
            <v>GWP - gross</v>
          </cell>
          <cell r="Y32311" t="str">
            <v>JAPAN</v>
          </cell>
        </row>
        <row r="32312">
          <cell r="L32312" t="str">
            <v>Proportional</v>
          </cell>
          <cell r="S32312">
            <v>-50849.51</v>
          </cell>
          <cell r="X32312" t="str">
            <v>GWP - gross</v>
          </cell>
          <cell r="Y32312" t="str">
            <v>AUSTRALIA</v>
          </cell>
        </row>
        <row r="32313">
          <cell r="L32313" t="str">
            <v>Non-proportional</v>
          </cell>
          <cell r="S32313">
            <v>-240818.23</v>
          </cell>
          <cell r="X32313" t="str">
            <v>GWP - gross</v>
          </cell>
          <cell r="Y32313" t="str">
            <v>UNITED KINGDOM</v>
          </cell>
        </row>
        <row r="32314">
          <cell r="L32314" t="str">
            <v>Proportional</v>
          </cell>
          <cell r="S32314">
            <v>-3969.21</v>
          </cell>
          <cell r="X32314" t="str">
            <v>GWP - gross</v>
          </cell>
          <cell r="Y32314" t="str">
            <v>UNITED STATES</v>
          </cell>
        </row>
        <row r="32315">
          <cell r="L32315" t="str">
            <v>Proportional</v>
          </cell>
          <cell r="S32315">
            <v>-190.56</v>
          </cell>
          <cell r="X32315" t="str">
            <v>GWP - gross</v>
          </cell>
          <cell r="Y32315" t="str">
            <v>HONG KONG</v>
          </cell>
        </row>
        <row r="32316">
          <cell r="L32316" t="str">
            <v>Proportional</v>
          </cell>
          <cell r="S32316">
            <v>-512000000</v>
          </cell>
          <cell r="X32316" t="str">
            <v>GWP - gross</v>
          </cell>
          <cell r="Y32316" t="str">
            <v>ITALY</v>
          </cell>
        </row>
        <row r="32317">
          <cell r="L32317" t="str">
            <v>Proportional</v>
          </cell>
          <cell r="S32317">
            <v>16165.62</v>
          </cell>
          <cell r="X32317" t="str">
            <v>GWP - gross</v>
          </cell>
          <cell r="Y32317" t="str">
            <v>JAPAN</v>
          </cell>
        </row>
        <row r="32318">
          <cell r="L32318" t="str">
            <v>Proportional</v>
          </cell>
          <cell r="S32318">
            <v>-4904.68</v>
          </cell>
          <cell r="X32318" t="str">
            <v>GWP - gross</v>
          </cell>
          <cell r="Y32318" t="str">
            <v>HONG KONG</v>
          </cell>
        </row>
        <row r="32319">
          <cell r="L32319" t="str">
            <v>Non-proportional</v>
          </cell>
          <cell r="S32319">
            <v>-34658.699999999997</v>
          </cell>
          <cell r="X32319" t="str">
            <v>GWP - gross</v>
          </cell>
          <cell r="Y32319" t="str">
            <v>JAPAN</v>
          </cell>
        </row>
        <row r="32320">
          <cell r="L32320" t="str">
            <v>Non-proportional</v>
          </cell>
          <cell r="S32320">
            <v>16843.21</v>
          </cell>
          <cell r="X32320" t="str">
            <v>GWP - gross</v>
          </cell>
          <cell r="Y32320" t="str">
            <v>FRANCE</v>
          </cell>
        </row>
        <row r="32321">
          <cell r="L32321" t="str">
            <v>Non-proportional</v>
          </cell>
          <cell r="S32321">
            <v>-480000</v>
          </cell>
          <cell r="X32321" t="str">
            <v>GWP - gross</v>
          </cell>
          <cell r="Y32321" t="str">
            <v>ITALY</v>
          </cell>
        </row>
        <row r="32322">
          <cell r="L32322" t="str">
            <v>Non-proportional</v>
          </cell>
          <cell r="S32322">
            <v>-184940.27</v>
          </cell>
          <cell r="X32322" t="str">
            <v>GWP - gross</v>
          </cell>
          <cell r="Y32322" t="str">
            <v>PUERTO RICO</v>
          </cell>
        </row>
        <row r="32323">
          <cell r="L32323" t="str">
            <v>Proportional</v>
          </cell>
          <cell r="S32323">
            <v>-840594.55</v>
          </cell>
          <cell r="X32323" t="str">
            <v>GWP - gross</v>
          </cell>
          <cell r="Y32323" t="str">
            <v>JAPAN</v>
          </cell>
        </row>
        <row r="32324">
          <cell r="L32324" t="str">
            <v>Non-proportional</v>
          </cell>
          <cell r="S32324">
            <v>13254.46</v>
          </cell>
          <cell r="X32324" t="str">
            <v>GWP - gross</v>
          </cell>
          <cell r="Y32324" t="str">
            <v>EUROPE</v>
          </cell>
        </row>
        <row r="32325">
          <cell r="L32325" t="str">
            <v>Non-proportional</v>
          </cell>
          <cell r="S32325">
            <v>-19711.53</v>
          </cell>
          <cell r="X32325" t="str">
            <v>GWP - gross</v>
          </cell>
          <cell r="Y32325" t="str">
            <v>PERU</v>
          </cell>
        </row>
        <row r="32326">
          <cell r="L32326" t="str">
            <v>Proportional</v>
          </cell>
          <cell r="S32326">
            <v>-27292.06</v>
          </cell>
          <cell r="X32326" t="str">
            <v>GWP - gross</v>
          </cell>
          <cell r="Y32326" t="str">
            <v>ITALY</v>
          </cell>
        </row>
        <row r="32327">
          <cell r="L32327" t="str">
            <v>Proportional</v>
          </cell>
          <cell r="S32327">
            <v>-1114.28</v>
          </cell>
          <cell r="X32327" t="str">
            <v>GWP - gross</v>
          </cell>
          <cell r="Y32327" t="str">
            <v>TURKEY</v>
          </cell>
        </row>
        <row r="32328">
          <cell r="L32328" t="str">
            <v>Non-proportional</v>
          </cell>
          <cell r="S32328">
            <v>-60380.61</v>
          </cell>
          <cell r="X32328" t="str">
            <v>GWP - gross</v>
          </cell>
          <cell r="Y32328" t="str">
            <v>UNITED KINGDOM</v>
          </cell>
        </row>
        <row r="32329">
          <cell r="L32329" t="str">
            <v>Non-proportional</v>
          </cell>
          <cell r="S32329">
            <v>-56829.41</v>
          </cell>
          <cell r="X32329" t="str">
            <v>GWP - gross</v>
          </cell>
          <cell r="Y32329" t="str">
            <v>FRANCE</v>
          </cell>
        </row>
        <row r="32330">
          <cell r="L32330" t="str">
            <v>Non-proportional</v>
          </cell>
          <cell r="S32330">
            <v>-113865.19</v>
          </cell>
          <cell r="X32330" t="str">
            <v>GWP - gross</v>
          </cell>
          <cell r="Y32330" t="str">
            <v>MEXICO</v>
          </cell>
        </row>
        <row r="32331">
          <cell r="L32331" t="str">
            <v>Non-proportional</v>
          </cell>
          <cell r="S32331">
            <v>-235787.25</v>
          </cell>
          <cell r="X32331" t="str">
            <v>GWP - gross</v>
          </cell>
          <cell r="Y32331" t="str">
            <v>UNITED KINGDOM</v>
          </cell>
        </row>
        <row r="32332">
          <cell r="L32332" t="str">
            <v>Proportional</v>
          </cell>
          <cell r="S32332">
            <v>-0.05</v>
          </cell>
          <cell r="X32332" t="str">
            <v>GWP - gross</v>
          </cell>
          <cell r="Y32332" t="str">
            <v>Turkey</v>
          </cell>
        </row>
        <row r="32333">
          <cell r="L32333" t="str">
            <v>Non-proportional</v>
          </cell>
          <cell r="S32333">
            <v>9937.7099999999991</v>
          </cell>
          <cell r="X32333" t="str">
            <v>GWP - gross</v>
          </cell>
          <cell r="Y32333" t="str">
            <v>FRANCE</v>
          </cell>
        </row>
        <row r="32334">
          <cell r="L32334" t="str">
            <v>Non-proportional</v>
          </cell>
          <cell r="S32334">
            <v>-2307.33</v>
          </cell>
          <cell r="X32334" t="str">
            <v>GWP - gross</v>
          </cell>
          <cell r="Y32334" t="str">
            <v>FRANCE</v>
          </cell>
        </row>
        <row r="32335">
          <cell r="L32335" t="str">
            <v>Proportional</v>
          </cell>
          <cell r="S32335">
            <v>-88.4</v>
          </cell>
          <cell r="X32335" t="str">
            <v>GWP - gross</v>
          </cell>
          <cell r="Y32335" t="str">
            <v>Turkey</v>
          </cell>
        </row>
        <row r="32336">
          <cell r="L32336" t="str">
            <v>Proportional</v>
          </cell>
          <cell r="S32336">
            <v>28209.1</v>
          </cell>
          <cell r="X32336" t="str">
            <v>GWP - gross</v>
          </cell>
          <cell r="Y32336" t="str">
            <v>ITALY</v>
          </cell>
        </row>
        <row r="32337">
          <cell r="L32337" t="str">
            <v>Proportional</v>
          </cell>
          <cell r="S32337">
            <v>-7925.41</v>
          </cell>
          <cell r="X32337" t="str">
            <v>GWP - gross</v>
          </cell>
          <cell r="Y32337" t="str">
            <v>JAPAN</v>
          </cell>
        </row>
        <row r="32338">
          <cell r="L32338" t="str">
            <v>Non-proportional</v>
          </cell>
          <cell r="S32338">
            <v>657.48</v>
          </cell>
          <cell r="X32338" t="str">
            <v>GWP - gross</v>
          </cell>
          <cell r="Y32338" t="str">
            <v>UNITED KINGDOM</v>
          </cell>
        </row>
        <row r="32339">
          <cell r="L32339" t="str">
            <v>Proportional</v>
          </cell>
          <cell r="S32339">
            <v>34.770000000000003</v>
          </cell>
          <cell r="X32339" t="str">
            <v>GWP - gross</v>
          </cell>
          <cell r="Y32339" t="str">
            <v>Turkey</v>
          </cell>
        </row>
        <row r="32340">
          <cell r="L32340" t="str">
            <v>Non-proportional</v>
          </cell>
          <cell r="S32340">
            <v>13160.65</v>
          </cell>
          <cell r="X32340" t="str">
            <v>GWP - gross</v>
          </cell>
          <cell r="Y32340" t="str">
            <v>FRANCE</v>
          </cell>
        </row>
        <row r="32341">
          <cell r="L32341" t="str">
            <v>Non-proportional</v>
          </cell>
          <cell r="S32341">
            <v>201904.94</v>
          </cell>
          <cell r="X32341" t="str">
            <v>GWP - gross</v>
          </cell>
          <cell r="Y32341" t="str">
            <v>UNITED KINGDOM</v>
          </cell>
        </row>
        <row r="32342">
          <cell r="L32342" t="str">
            <v>Non-proportional</v>
          </cell>
          <cell r="S32342">
            <v>-2114.83</v>
          </cell>
          <cell r="X32342" t="str">
            <v>GWP - gross</v>
          </cell>
          <cell r="Y32342" t="str">
            <v>NETHERLANDS</v>
          </cell>
        </row>
        <row r="32343">
          <cell r="L32343" t="str">
            <v>Non-proportional</v>
          </cell>
          <cell r="S32343">
            <v>184940.27</v>
          </cell>
          <cell r="X32343" t="str">
            <v>GWP - gross</v>
          </cell>
          <cell r="Y32343" t="str">
            <v>PUERTO RICO</v>
          </cell>
        </row>
        <row r="32344">
          <cell r="L32344" t="str">
            <v>Non-proportional</v>
          </cell>
          <cell r="S32344">
            <v>-4556.63</v>
          </cell>
          <cell r="X32344" t="str">
            <v>GWP - gross</v>
          </cell>
          <cell r="Y32344" t="str">
            <v>FRANCE</v>
          </cell>
        </row>
        <row r="32345">
          <cell r="L32345" t="str">
            <v>Non-proportional</v>
          </cell>
          <cell r="S32345">
            <v>18491.47</v>
          </cell>
          <cell r="X32345" t="str">
            <v>GWP - gross</v>
          </cell>
          <cell r="Y32345" t="str">
            <v>ECUADOR</v>
          </cell>
        </row>
        <row r="32346">
          <cell r="L32346" t="str">
            <v>Non-proportional</v>
          </cell>
          <cell r="S32346">
            <v>-92067.1</v>
          </cell>
          <cell r="X32346" t="str">
            <v>GWP - gross</v>
          </cell>
          <cell r="Y32346" t="str">
            <v>JAPAN</v>
          </cell>
        </row>
        <row r="32347">
          <cell r="L32347" t="str">
            <v>Proportional</v>
          </cell>
          <cell r="S32347">
            <v>-321.67</v>
          </cell>
          <cell r="X32347" t="str">
            <v>GWP - gross</v>
          </cell>
          <cell r="Y32347" t="str">
            <v>HONG KONG</v>
          </cell>
        </row>
        <row r="32348">
          <cell r="L32348" t="str">
            <v>Non-proportional</v>
          </cell>
          <cell r="S32348">
            <v>-63832.44</v>
          </cell>
          <cell r="X32348" t="str">
            <v>GWP - gross</v>
          </cell>
          <cell r="Y32348" t="str">
            <v>UNITED KINGDOM</v>
          </cell>
        </row>
        <row r="32349">
          <cell r="L32349" t="str">
            <v>Non-proportional</v>
          </cell>
          <cell r="S32349">
            <v>13916.72</v>
          </cell>
          <cell r="X32349" t="str">
            <v>GWP - gross</v>
          </cell>
          <cell r="Y32349" t="str">
            <v>UNITED ARAB EMIRATES</v>
          </cell>
        </row>
        <row r="32350">
          <cell r="L32350" t="str">
            <v>Non-proportional</v>
          </cell>
          <cell r="S32350">
            <v>-10032.969999999999</v>
          </cell>
          <cell r="X32350" t="str">
            <v>GWP - gross</v>
          </cell>
          <cell r="Y32350" t="str">
            <v>UNITED KINGDOM</v>
          </cell>
        </row>
        <row r="32351">
          <cell r="L32351" t="str">
            <v>Proportional</v>
          </cell>
          <cell r="S32351">
            <v>-105.39</v>
          </cell>
          <cell r="X32351" t="str">
            <v>GWP - gross</v>
          </cell>
          <cell r="Y32351" t="str">
            <v>Hong Kong</v>
          </cell>
        </row>
        <row r="32352">
          <cell r="L32352" t="str">
            <v>Non-proportional</v>
          </cell>
          <cell r="S32352">
            <v>-8905.0300000000007</v>
          </cell>
          <cell r="X32352" t="str">
            <v>GWP - gross</v>
          </cell>
          <cell r="Y32352" t="str">
            <v>FRANCE</v>
          </cell>
        </row>
        <row r="32353">
          <cell r="L32353" t="str">
            <v>Non-proportional</v>
          </cell>
          <cell r="S32353">
            <v>-4592.32</v>
          </cell>
          <cell r="X32353" t="str">
            <v>GWP - gross</v>
          </cell>
          <cell r="Y32353" t="str">
            <v>FRANCE</v>
          </cell>
        </row>
        <row r="32354">
          <cell r="L32354" t="str">
            <v>Non-proportional</v>
          </cell>
          <cell r="S32354">
            <v>-7533.8</v>
          </cell>
          <cell r="X32354" t="str">
            <v>GWP - gross</v>
          </cell>
          <cell r="Y32354" t="str">
            <v>FRANCE</v>
          </cell>
        </row>
        <row r="32355">
          <cell r="L32355" t="str">
            <v>Non-proportional</v>
          </cell>
          <cell r="S32355">
            <v>224182.88</v>
          </cell>
          <cell r="X32355" t="str">
            <v>GWP - gross</v>
          </cell>
          <cell r="Y32355" t="str">
            <v>UNITED KINGDOM</v>
          </cell>
        </row>
        <row r="32356">
          <cell r="L32356" t="str">
            <v>Non-proportional</v>
          </cell>
          <cell r="S32356">
            <v>715.25</v>
          </cell>
          <cell r="X32356" t="str">
            <v>GWP - gross</v>
          </cell>
          <cell r="Y32356" t="str">
            <v>GERMANY</v>
          </cell>
        </row>
        <row r="32357">
          <cell r="L32357" t="str">
            <v>Non-proportional</v>
          </cell>
          <cell r="S32357">
            <v>-13018.72</v>
          </cell>
          <cell r="X32357" t="str">
            <v>GWP - gross</v>
          </cell>
          <cell r="Y32357" t="str">
            <v>FRANCE</v>
          </cell>
        </row>
        <row r="32358">
          <cell r="L32358" t="str">
            <v>Proportional</v>
          </cell>
          <cell r="S32358">
            <v>-16165.62</v>
          </cell>
          <cell r="X32358" t="str">
            <v>GWP - gross</v>
          </cell>
          <cell r="Y32358" t="str">
            <v>JAPAN</v>
          </cell>
        </row>
        <row r="32359">
          <cell r="L32359" t="str">
            <v>Non-proportional</v>
          </cell>
          <cell r="S32359">
            <v>-52675</v>
          </cell>
          <cell r="X32359" t="str">
            <v>GWP - gross</v>
          </cell>
          <cell r="Y32359" t="str">
            <v>ITALY</v>
          </cell>
        </row>
        <row r="32360">
          <cell r="L32360" t="str">
            <v>Non-proportional</v>
          </cell>
          <cell r="S32360">
            <v>6779.85</v>
          </cell>
          <cell r="X32360" t="str">
            <v>GWP - gross</v>
          </cell>
          <cell r="Y32360" t="str">
            <v>ISRAEL</v>
          </cell>
        </row>
        <row r="32361">
          <cell r="L32361" t="str">
            <v>Non-proportional</v>
          </cell>
          <cell r="S32361">
            <v>4844.8</v>
          </cell>
          <cell r="X32361" t="str">
            <v>GWP - gross</v>
          </cell>
          <cell r="Y32361" t="str">
            <v>UNITED KINGDOM</v>
          </cell>
        </row>
        <row r="32362">
          <cell r="L32362" t="str">
            <v>Non-proportional</v>
          </cell>
          <cell r="S32362">
            <v>-7122.61</v>
          </cell>
          <cell r="X32362" t="str">
            <v>GWP - gross</v>
          </cell>
          <cell r="Y32362" t="str">
            <v>FRANCE</v>
          </cell>
        </row>
        <row r="32363">
          <cell r="L32363" t="str">
            <v>Proportional</v>
          </cell>
          <cell r="S32363">
            <v>4904.68</v>
          </cell>
          <cell r="X32363" t="str">
            <v>GWP - gross</v>
          </cell>
          <cell r="Y32363" t="str">
            <v>HONG KONG</v>
          </cell>
        </row>
        <row r="32364">
          <cell r="L32364" t="str">
            <v>Non-proportional</v>
          </cell>
          <cell r="S32364">
            <v>228455.63</v>
          </cell>
          <cell r="X32364" t="str">
            <v>GWP - gross</v>
          </cell>
          <cell r="Y32364" t="str">
            <v>PUERTO RICO</v>
          </cell>
        </row>
        <row r="32365">
          <cell r="L32365" t="str">
            <v>Non-proportional</v>
          </cell>
          <cell r="S32365">
            <v>307761.8</v>
          </cell>
          <cell r="X32365" t="str">
            <v>GWP - gross</v>
          </cell>
          <cell r="Y32365" t="str">
            <v>UNITED KINGDOM</v>
          </cell>
        </row>
        <row r="32366">
          <cell r="L32366" t="str">
            <v>Non-proportional</v>
          </cell>
          <cell r="S32366">
            <v>-7214.53</v>
          </cell>
          <cell r="X32366" t="str">
            <v>GWP - gross</v>
          </cell>
          <cell r="Y32366" t="str">
            <v>FRANCE</v>
          </cell>
        </row>
        <row r="32367">
          <cell r="L32367" t="str">
            <v>Non-proportional</v>
          </cell>
          <cell r="S32367">
            <v>34116.230000000003</v>
          </cell>
          <cell r="X32367" t="str">
            <v>GWP - gross</v>
          </cell>
          <cell r="Y32367" t="str">
            <v>ECUADOR</v>
          </cell>
        </row>
        <row r="32368">
          <cell r="L32368" t="str">
            <v>Non-proportional</v>
          </cell>
          <cell r="S32368">
            <v>-2550.81</v>
          </cell>
          <cell r="X32368" t="str">
            <v>GWP - gross</v>
          </cell>
          <cell r="Y32368" t="str">
            <v>NETHERLANDS</v>
          </cell>
        </row>
        <row r="32369">
          <cell r="L32369" t="str">
            <v>Proportional</v>
          </cell>
          <cell r="S32369">
            <v>-1744884.92</v>
          </cell>
          <cell r="X32369" t="str">
            <v>GWP - gross</v>
          </cell>
          <cell r="Y32369" t="str">
            <v>MEXICO</v>
          </cell>
        </row>
        <row r="32370">
          <cell r="L32370" t="str">
            <v>Non-proportional</v>
          </cell>
          <cell r="S32370">
            <v>229834.93</v>
          </cell>
          <cell r="X32370" t="str">
            <v>GWP - gross</v>
          </cell>
          <cell r="Y32370" t="str">
            <v>UNITED KINGDOM</v>
          </cell>
        </row>
        <row r="32371">
          <cell r="L32371" t="str">
            <v>Non-proportional</v>
          </cell>
          <cell r="S32371">
            <v>113865.19</v>
          </cell>
          <cell r="X32371" t="str">
            <v>GWP - gross</v>
          </cell>
          <cell r="Y32371" t="str">
            <v>MEXICO</v>
          </cell>
        </row>
        <row r="32372">
          <cell r="L32372" t="str">
            <v>Non-proportional</v>
          </cell>
          <cell r="S32372">
            <v>-51960.98</v>
          </cell>
          <cell r="X32372" t="str">
            <v>GWP - gross</v>
          </cell>
          <cell r="Y32372" t="str">
            <v>UNITED KINGDOM</v>
          </cell>
        </row>
        <row r="32373">
          <cell r="L32373" t="str">
            <v>Proportional</v>
          </cell>
          <cell r="S32373">
            <v>-214.93</v>
          </cell>
          <cell r="X32373" t="str">
            <v>GWP - gross</v>
          </cell>
          <cell r="Y32373" t="str">
            <v>Turkey</v>
          </cell>
        </row>
        <row r="32374">
          <cell r="L32374" t="str">
            <v>Non-proportional</v>
          </cell>
          <cell r="S32374">
            <v>-10222.07</v>
          </cell>
          <cell r="X32374" t="str">
            <v>GWP - gross</v>
          </cell>
          <cell r="Y32374" t="str">
            <v>ISRAEL</v>
          </cell>
        </row>
        <row r="32375">
          <cell r="L32375" t="str">
            <v>Proportional</v>
          </cell>
          <cell r="S32375">
            <v>-17907.599999999999</v>
          </cell>
          <cell r="X32375" t="str">
            <v>GWP - gross</v>
          </cell>
          <cell r="Y32375" t="str">
            <v>ITALY</v>
          </cell>
        </row>
        <row r="32376">
          <cell r="L32376" t="str">
            <v>Non-proportional</v>
          </cell>
          <cell r="S32376">
            <v>-287238.57</v>
          </cell>
          <cell r="X32376" t="str">
            <v>GWP - gross</v>
          </cell>
          <cell r="Y32376" t="str">
            <v>UNITED KINGDOM</v>
          </cell>
        </row>
        <row r="32377">
          <cell r="L32377" t="str">
            <v>Proportional</v>
          </cell>
          <cell r="S32377">
            <v>90396.66</v>
          </cell>
          <cell r="X32377" t="str">
            <v>GWP - gross</v>
          </cell>
          <cell r="Y32377" t="str">
            <v>HONG KONG</v>
          </cell>
        </row>
        <row r="32378">
          <cell r="L32378" t="str">
            <v>Non-proportional</v>
          </cell>
          <cell r="S32378">
            <v>3035.23</v>
          </cell>
          <cell r="X32378" t="str">
            <v>GWP - gross</v>
          </cell>
          <cell r="Y32378" t="str">
            <v>UNITED KINGDOM</v>
          </cell>
        </row>
        <row r="32379">
          <cell r="L32379" t="str">
            <v>Proportional</v>
          </cell>
          <cell r="S32379">
            <v>-21654.16</v>
          </cell>
          <cell r="X32379" t="str">
            <v>GWP - gross</v>
          </cell>
          <cell r="Y32379" t="str">
            <v>MEXICO</v>
          </cell>
        </row>
        <row r="32380">
          <cell r="L32380" t="str">
            <v>Non-proportional</v>
          </cell>
          <cell r="S32380">
            <v>54244.36</v>
          </cell>
          <cell r="X32380" t="str">
            <v>GWP - gross</v>
          </cell>
          <cell r="Y32380" t="str">
            <v>UNITED KINGDOM</v>
          </cell>
        </row>
        <row r="32381">
          <cell r="L32381" t="str">
            <v>Non-proportional</v>
          </cell>
          <cell r="S32381">
            <v>-26205</v>
          </cell>
          <cell r="X32381" t="str">
            <v>GWP - gross</v>
          </cell>
          <cell r="Y32381" t="str">
            <v>GERMANY</v>
          </cell>
        </row>
        <row r="32382">
          <cell r="L32382" t="str">
            <v>Non-proportional</v>
          </cell>
          <cell r="S32382">
            <v>1852.66</v>
          </cell>
          <cell r="X32382" t="str">
            <v>GWP - gross</v>
          </cell>
          <cell r="Y32382" t="str">
            <v>FRANCE</v>
          </cell>
        </row>
        <row r="32383">
          <cell r="L32383" t="str">
            <v>Non-proportional</v>
          </cell>
          <cell r="S32383">
            <v>-18491.47</v>
          </cell>
          <cell r="X32383" t="str">
            <v>GWP - gross</v>
          </cell>
          <cell r="Y32383" t="str">
            <v>ECUADOR</v>
          </cell>
        </row>
        <row r="32384">
          <cell r="L32384" t="str">
            <v>Proportional</v>
          </cell>
          <cell r="S32384">
            <v>-7335.12</v>
          </cell>
          <cell r="X32384" t="str">
            <v>GWP - gross</v>
          </cell>
          <cell r="Y32384" t="str">
            <v>UNITED STATES</v>
          </cell>
        </row>
        <row r="32385">
          <cell r="L32385" t="str">
            <v>Non-proportional</v>
          </cell>
          <cell r="S32385">
            <v>-79441.600000000006</v>
          </cell>
          <cell r="X32385" t="str">
            <v>GWP - gross</v>
          </cell>
          <cell r="Y32385" t="str">
            <v>UNITED KINGDOM</v>
          </cell>
        </row>
        <row r="32386">
          <cell r="L32386" t="str">
            <v>Non-proportional</v>
          </cell>
          <cell r="S32386">
            <v>8380.57</v>
          </cell>
          <cell r="X32386" t="str">
            <v>GWP - gross</v>
          </cell>
          <cell r="Y32386" t="str">
            <v>FRANCE</v>
          </cell>
        </row>
        <row r="32387">
          <cell r="L32387" t="str">
            <v>Non-proportional</v>
          </cell>
          <cell r="S32387">
            <v>-143864.21</v>
          </cell>
          <cell r="X32387" t="str">
            <v>GWP - gross</v>
          </cell>
          <cell r="Y32387" t="str">
            <v>UNITED KINGDOM</v>
          </cell>
        </row>
        <row r="32388">
          <cell r="L32388" t="str">
            <v>Non-proportional</v>
          </cell>
          <cell r="S32388">
            <v>60422.99</v>
          </cell>
          <cell r="X32388" t="str">
            <v>GWP - gross</v>
          </cell>
          <cell r="Y32388" t="str">
            <v>UNITED KINGDOM</v>
          </cell>
        </row>
        <row r="32389">
          <cell r="L32389" t="str">
            <v>Non-proportional</v>
          </cell>
          <cell r="S32389">
            <v>-5731.13</v>
          </cell>
          <cell r="X32389" t="str">
            <v>GWP - gross</v>
          </cell>
          <cell r="Y32389" t="str">
            <v>UNITED KINGDOM</v>
          </cell>
        </row>
        <row r="32390">
          <cell r="L32390" t="str">
            <v>Non-proportional</v>
          </cell>
          <cell r="S32390">
            <v>-28131.57</v>
          </cell>
          <cell r="X32390" t="str">
            <v>GWP - gross</v>
          </cell>
          <cell r="Y32390" t="str">
            <v>UNITED ARAB EMIRATES</v>
          </cell>
        </row>
        <row r="32391">
          <cell r="L32391" t="str">
            <v>Non-proportional</v>
          </cell>
          <cell r="S32391">
            <v>-8301.17</v>
          </cell>
          <cell r="X32391" t="str">
            <v>GWP - gross</v>
          </cell>
          <cell r="Y32391" t="str">
            <v>ISRAEL</v>
          </cell>
        </row>
        <row r="32392">
          <cell r="L32392" t="str">
            <v>Proportional</v>
          </cell>
          <cell r="S32392">
            <v>-11.85</v>
          </cell>
          <cell r="X32392" t="str">
            <v>GWP - gross</v>
          </cell>
          <cell r="Y32392" t="str">
            <v>Turkey</v>
          </cell>
        </row>
        <row r="32393">
          <cell r="L32393" t="str">
            <v>Non-proportional</v>
          </cell>
          <cell r="S32393">
            <v>-985.98</v>
          </cell>
          <cell r="X32393" t="str">
            <v>GWP - gross</v>
          </cell>
          <cell r="Y32393" t="str">
            <v>UNITED KINGDOM</v>
          </cell>
        </row>
        <row r="32394">
          <cell r="L32394" t="str">
            <v>Non-proportional</v>
          </cell>
          <cell r="S32394">
            <v>480000</v>
          </cell>
          <cell r="X32394" t="str">
            <v>GWP - gross</v>
          </cell>
          <cell r="Y32394" t="str">
            <v>ITALY</v>
          </cell>
        </row>
        <row r="32395">
          <cell r="L32395" t="str">
            <v>Non-proportional</v>
          </cell>
          <cell r="S32395">
            <v>-72956.899999999994</v>
          </cell>
          <cell r="X32395" t="str">
            <v>GWP - gross</v>
          </cell>
          <cell r="Y32395" t="str">
            <v>INDIA</v>
          </cell>
        </row>
        <row r="32396">
          <cell r="L32396" t="str">
            <v>Proportional</v>
          </cell>
          <cell r="S32396">
            <v>-156.28</v>
          </cell>
          <cell r="X32396" t="str">
            <v>GWP - gross</v>
          </cell>
          <cell r="Y32396" t="str">
            <v>TURKEY</v>
          </cell>
        </row>
        <row r="32397">
          <cell r="L32397" t="str">
            <v>Proportional</v>
          </cell>
          <cell r="S32397">
            <v>7352.97</v>
          </cell>
          <cell r="X32397" t="str">
            <v>GWP - gross</v>
          </cell>
          <cell r="Y32397" t="str">
            <v>UNITED STATES</v>
          </cell>
        </row>
        <row r="32398">
          <cell r="L32398" t="str">
            <v>Non-proportional</v>
          </cell>
          <cell r="S32398">
            <v>-3851.55</v>
          </cell>
          <cell r="X32398" t="str">
            <v>GWP - gross</v>
          </cell>
          <cell r="Y32398" t="str">
            <v>UNITED KINGDOM</v>
          </cell>
        </row>
        <row r="32399">
          <cell r="L32399" t="str">
            <v>Proportional</v>
          </cell>
          <cell r="S32399">
            <v>840594.55</v>
          </cell>
          <cell r="X32399" t="str">
            <v>GWP - gross</v>
          </cell>
          <cell r="Y32399" t="str">
            <v>JAPAN</v>
          </cell>
        </row>
        <row r="32400">
          <cell r="L32400" t="str">
            <v>Non-proportional</v>
          </cell>
          <cell r="S32400">
            <v>-415459.81</v>
          </cell>
          <cell r="X32400" t="str">
            <v>GWP - gross</v>
          </cell>
          <cell r="Y32400" t="str">
            <v>NEW ZEALAND</v>
          </cell>
        </row>
        <row r="32401">
          <cell r="L32401" t="str">
            <v>Non-proportional</v>
          </cell>
          <cell r="S32401">
            <v>-4213.38</v>
          </cell>
          <cell r="X32401" t="str">
            <v>GWP - gross</v>
          </cell>
          <cell r="Y32401" t="str">
            <v>FRANCE</v>
          </cell>
        </row>
        <row r="32402">
          <cell r="L32402" t="str">
            <v>Non-proportional</v>
          </cell>
          <cell r="S32402">
            <v>-1466234.95</v>
          </cell>
          <cell r="X32402" t="str">
            <v>GWP - gross</v>
          </cell>
          <cell r="Y32402" t="str">
            <v>UNITED KINGDOM</v>
          </cell>
        </row>
        <row r="32403">
          <cell r="L32403" t="str">
            <v>Non-proportional</v>
          </cell>
          <cell r="S32403">
            <v>415459.81</v>
          </cell>
          <cell r="X32403" t="str">
            <v>GWP - gross</v>
          </cell>
          <cell r="Y32403" t="str">
            <v>NEW ZEALAND</v>
          </cell>
        </row>
        <row r="32404">
          <cell r="L32404" t="str">
            <v>Non-proportional</v>
          </cell>
          <cell r="S32404">
            <v>34527.339999999997</v>
          </cell>
          <cell r="X32404" t="str">
            <v>GWP - gross</v>
          </cell>
          <cell r="Y32404" t="str">
            <v>UNITED KINGDOM</v>
          </cell>
        </row>
        <row r="32405">
          <cell r="L32405" t="str">
            <v>Proportional</v>
          </cell>
          <cell r="S32405">
            <v>31986.3</v>
          </cell>
          <cell r="X32405" t="str">
            <v>GWP - gross</v>
          </cell>
          <cell r="Y32405" t="str">
            <v>ITALY</v>
          </cell>
        </row>
        <row r="32406">
          <cell r="L32406" t="str">
            <v>Proportional</v>
          </cell>
          <cell r="S32406">
            <v>153.84</v>
          </cell>
          <cell r="X32406" t="str">
            <v>GWP - gross</v>
          </cell>
          <cell r="Y32406" t="str">
            <v>UNITED STATES</v>
          </cell>
        </row>
        <row r="32407">
          <cell r="L32407" t="str">
            <v>Non-proportional</v>
          </cell>
          <cell r="S32407">
            <v>144688.57</v>
          </cell>
          <cell r="X32407" t="str">
            <v>GWP - gross</v>
          </cell>
          <cell r="Y32407" t="str">
            <v>PUERTO RICO</v>
          </cell>
        </row>
        <row r="32408">
          <cell r="L32408" t="str">
            <v>Proportional</v>
          </cell>
          <cell r="S32408">
            <v>-82.37</v>
          </cell>
          <cell r="X32408" t="str">
            <v>GWP - gross</v>
          </cell>
          <cell r="Y32408" t="str">
            <v>Turkey</v>
          </cell>
        </row>
        <row r="32409">
          <cell r="L32409" t="str">
            <v>Proportional</v>
          </cell>
          <cell r="S32409">
            <v>-90396.66</v>
          </cell>
          <cell r="X32409" t="str">
            <v>GWP - gross</v>
          </cell>
          <cell r="Y32409" t="str">
            <v>HONG KONG</v>
          </cell>
        </row>
        <row r="32410">
          <cell r="L32410" t="str">
            <v>Proportional</v>
          </cell>
          <cell r="S32410">
            <v>1253.71</v>
          </cell>
          <cell r="X32410" t="str">
            <v>GWP - gross</v>
          </cell>
          <cell r="Y32410" t="str">
            <v>Hong Kong</v>
          </cell>
        </row>
        <row r="32411">
          <cell r="L32411" t="str">
            <v>Proportional</v>
          </cell>
          <cell r="S32411">
            <v>5.34</v>
          </cell>
          <cell r="X32411" t="str">
            <v>GWP - gross</v>
          </cell>
          <cell r="Y32411" t="str">
            <v>Turkey</v>
          </cell>
        </row>
        <row r="32412">
          <cell r="L32412" t="str">
            <v>Proportional</v>
          </cell>
          <cell r="S32412">
            <v>7426094.0099999998</v>
          </cell>
          <cell r="X32412" t="str">
            <v>GWP - gross</v>
          </cell>
          <cell r="Y32412" t="str">
            <v>PORTUGAL</v>
          </cell>
        </row>
        <row r="32413">
          <cell r="L32413" t="str">
            <v>Non-proportional</v>
          </cell>
          <cell r="S32413">
            <v>5661.86</v>
          </cell>
          <cell r="X32413" t="str">
            <v>GWP - gross</v>
          </cell>
          <cell r="Y32413" t="str">
            <v>UNITED KINGDOM</v>
          </cell>
        </row>
        <row r="32414">
          <cell r="L32414" t="str">
            <v>Proportional</v>
          </cell>
          <cell r="S32414">
            <v>86027.68</v>
          </cell>
          <cell r="X32414" t="str">
            <v>GWP - gross</v>
          </cell>
          <cell r="Y32414" t="str">
            <v>MEXICO</v>
          </cell>
        </row>
        <row r="32415">
          <cell r="L32415" t="str">
            <v>Non-proportional</v>
          </cell>
          <cell r="S32415">
            <v>-20883.38</v>
          </cell>
          <cell r="X32415" t="str">
            <v>GWP - gross</v>
          </cell>
          <cell r="Y32415" t="str">
            <v>FRANCE</v>
          </cell>
        </row>
        <row r="32416">
          <cell r="L32416" t="str">
            <v>Non-proportional</v>
          </cell>
          <cell r="S32416">
            <v>407047.99</v>
          </cell>
          <cell r="X32416" t="str">
            <v>GWP - gross</v>
          </cell>
          <cell r="Y32416" t="str">
            <v>UNITED KINGDOM</v>
          </cell>
        </row>
        <row r="32417">
          <cell r="L32417" t="str">
            <v>Non-proportional</v>
          </cell>
          <cell r="S32417">
            <v>-78929.98</v>
          </cell>
          <cell r="X32417" t="str">
            <v>GWP - gross</v>
          </cell>
          <cell r="Y32417" t="str">
            <v>INDIA</v>
          </cell>
        </row>
        <row r="32418">
          <cell r="L32418" t="str">
            <v>Non-proportional</v>
          </cell>
          <cell r="S32418">
            <v>-92067.1</v>
          </cell>
          <cell r="X32418" t="str">
            <v>GWP - gross</v>
          </cell>
          <cell r="Y32418" t="str">
            <v>JAPAN</v>
          </cell>
        </row>
        <row r="32419">
          <cell r="L32419" t="str">
            <v>Non-proportional</v>
          </cell>
          <cell r="S32419">
            <v>5187.45</v>
          </cell>
          <cell r="X32419" t="str">
            <v>GWP - gross</v>
          </cell>
          <cell r="Y32419" t="str">
            <v>FRANCE</v>
          </cell>
        </row>
        <row r="32420">
          <cell r="L32420" t="str">
            <v>Proportional</v>
          </cell>
          <cell r="S32420">
            <v>-153.84</v>
          </cell>
          <cell r="X32420" t="str">
            <v>GWP - gross</v>
          </cell>
          <cell r="Y32420" t="str">
            <v>UNITED STATES</v>
          </cell>
        </row>
        <row r="32421">
          <cell r="L32421" t="str">
            <v>Non-proportional</v>
          </cell>
          <cell r="S32421">
            <v>-34527.339999999997</v>
          </cell>
          <cell r="X32421" t="str">
            <v>GWP - gross</v>
          </cell>
          <cell r="Y32421" t="str">
            <v>UNITED KINGDOM</v>
          </cell>
        </row>
        <row r="32422">
          <cell r="L32422" t="str">
            <v>Non-proportional</v>
          </cell>
          <cell r="S32422">
            <v>17479.37</v>
          </cell>
          <cell r="X32422" t="str">
            <v>GWP - gross</v>
          </cell>
          <cell r="Y32422" t="str">
            <v>GERMANY</v>
          </cell>
        </row>
        <row r="32423">
          <cell r="L32423" t="str">
            <v>Non-proportional</v>
          </cell>
          <cell r="S32423">
            <v>2840.75</v>
          </cell>
          <cell r="X32423" t="str">
            <v>GWP - gross</v>
          </cell>
          <cell r="Y32423" t="str">
            <v>FRANCE</v>
          </cell>
        </row>
        <row r="32424">
          <cell r="L32424" t="str">
            <v>Proportional</v>
          </cell>
          <cell r="S32424">
            <v>-806.1</v>
          </cell>
          <cell r="X32424" t="str">
            <v>GWP - gross</v>
          </cell>
          <cell r="Y32424" t="str">
            <v>UNITED STATES</v>
          </cell>
        </row>
        <row r="32425">
          <cell r="L32425" t="str">
            <v>Non-proportional</v>
          </cell>
          <cell r="S32425">
            <v>-7411.88</v>
          </cell>
          <cell r="X32425" t="str">
            <v>GWP - gross</v>
          </cell>
          <cell r="Y32425" t="str">
            <v>ISRAEL</v>
          </cell>
        </row>
        <row r="32426">
          <cell r="L32426" t="str">
            <v>Proportional</v>
          </cell>
          <cell r="S32426">
            <v>382309.37</v>
          </cell>
          <cell r="X32426" t="str">
            <v>GWP - gross</v>
          </cell>
          <cell r="Y32426" t="str">
            <v>UNITED STATES</v>
          </cell>
        </row>
        <row r="32427">
          <cell r="L32427" t="str">
            <v>Non-proportional</v>
          </cell>
          <cell r="S32427">
            <v>14557.19</v>
          </cell>
          <cell r="X32427" t="str">
            <v>GWP - gross</v>
          </cell>
          <cell r="Y32427" t="str">
            <v>FRANCE</v>
          </cell>
        </row>
        <row r="32428">
          <cell r="L32428" t="str">
            <v>Non-proportional</v>
          </cell>
          <cell r="S32428">
            <v>-183428.79</v>
          </cell>
          <cell r="X32428" t="str">
            <v>GWP - gross</v>
          </cell>
          <cell r="Y32428" t="str">
            <v>UNITED KINGDOM</v>
          </cell>
        </row>
        <row r="32429">
          <cell r="L32429" t="str">
            <v>Non-proportional</v>
          </cell>
          <cell r="S32429">
            <v>143864.21</v>
          </cell>
          <cell r="X32429" t="str">
            <v>GWP - gross</v>
          </cell>
          <cell r="Y32429" t="str">
            <v>UNITED KINGDOM</v>
          </cell>
        </row>
        <row r="32430">
          <cell r="L32430" t="str">
            <v>Non-proportional</v>
          </cell>
          <cell r="S32430">
            <v>-307230.78000000003</v>
          </cell>
          <cell r="X32430" t="str">
            <v>GWP - gross</v>
          </cell>
          <cell r="Y32430" t="str">
            <v>NEW ZEALAND</v>
          </cell>
        </row>
        <row r="32431">
          <cell r="L32431" t="str">
            <v>Non-proportional</v>
          </cell>
          <cell r="S32431">
            <v>14939.73</v>
          </cell>
          <cell r="X32431" t="str">
            <v>GWP - gross</v>
          </cell>
          <cell r="Y32431" t="str">
            <v>ISRAEL</v>
          </cell>
        </row>
        <row r="32432">
          <cell r="L32432" t="str">
            <v>Proportional</v>
          </cell>
          <cell r="S32432">
            <v>438857142.86000001</v>
          </cell>
          <cell r="X32432" t="str">
            <v>GWP - gross</v>
          </cell>
          <cell r="Y32432" t="str">
            <v>ITALY</v>
          </cell>
        </row>
        <row r="32433">
          <cell r="L32433" t="str">
            <v>Proportional</v>
          </cell>
          <cell r="S32433">
            <v>-4671294.22</v>
          </cell>
          <cell r="X32433" t="str">
            <v>GWP - gross</v>
          </cell>
          <cell r="Y32433" t="str">
            <v>HONG KONG</v>
          </cell>
        </row>
        <row r="32434">
          <cell r="L32434" t="str">
            <v>Non-proportional</v>
          </cell>
          <cell r="S32434">
            <v>-7469.83</v>
          </cell>
          <cell r="X32434" t="str">
            <v>GWP - gross</v>
          </cell>
          <cell r="Y32434" t="str">
            <v>FRANCE</v>
          </cell>
        </row>
        <row r="32435">
          <cell r="L32435" t="str">
            <v>Proportional</v>
          </cell>
          <cell r="S32435">
            <v>-2136.6999999999998</v>
          </cell>
          <cell r="X32435" t="str">
            <v>GWP - gross</v>
          </cell>
          <cell r="Y32435" t="str">
            <v>HONG KONG</v>
          </cell>
        </row>
        <row r="32436">
          <cell r="L32436" t="str">
            <v>Non-proportional</v>
          </cell>
          <cell r="S32436">
            <v>-287059.06</v>
          </cell>
          <cell r="X32436" t="str">
            <v>GWP - gross</v>
          </cell>
          <cell r="Y32436" t="str">
            <v>NEW ZEALAND</v>
          </cell>
        </row>
        <row r="32437">
          <cell r="L32437" t="str">
            <v>Non-proportional</v>
          </cell>
          <cell r="S32437">
            <v>-23782.42</v>
          </cell>
          <cell r="X32437" t="str">
            <v>GWP - gross</v>
          </cell>
          <cell r="Y32437" t="str">
            <v>ECUADOR</v>
          </cell>
        </row>
        <row r="32438">
          <cell r="L32438" t="str">
            <v>Non-proportional</v>
          </cell>
          <cell r="S32438">
            <v>2556.9699999999998</v>
          </cell>
          <cell r="X32438" t="str">
            <v>GWP - gross</v>
          </cell>
          <cell r="Y32438" t="str">
            <v>UNITED KINGDOM</v>
          </cell>
        </row>
        <row r="32439">
          <cell r="L32439" t="str">
            <v>Non-proportional</v>
          </cell>
          <cell r="S32439">
            <v>1231047.18</v>
          </cell>
          <cell r="X32439" t="str">
            <v>GWP - gross</v>
          </cell>
          <cell r="Y32439" t="str">
            <v>UNITED KINGDOM</v>
          </cell>
        </row>
        <row r="32440">
          <cell r="L32440" t="str">
            <v>Proportional</v>
          </cell>
          <cell r="S32440">
            <v>-382309.37</v>
          </cell>
          <cell r="X32440" t="str">
            <v>GWP - gross</v>
          </cell>
          <cell r="Y32440" t="str">
            <v>UNITED STATES</v>
          </cell>
        </row>
        <row r="32441">
          <cell r="L32441" t="str">
            <v>Non-proportional</v>
          </cell>
          <cell r="S32441">
            <v>-415459.81</v>
          </cell>
          <cell r="X32441" t="str">
            <v>GWP - gross</v>
          </cell>
          <cell r="Y32441" t="str">
            <v>NEW ZEALAND</v>
          </cell>
        </row>
        <row r="32442">
          <cell r="L32442" t="str">
            <v>Proportional</v>
          </cell>
          <cell r="S32442">
            <v>-544448.24</v>
          </cell>
          <cell r="X32442" t="str">
            <v>GWP - gross</v>
          </cell>
          <cell r="Y32442" t="str">
            <v>INDIA</v>
          </cell>
        </row>
        <row r="32443">
          <cell r="L32443" t="str">
            <v>Proportional</v>
          </cell>
          <cell r="S32443">
            <v>-14991.17</v>
          </cell>
          <cell r="X32443" t="str">
            <v>GWP - gross</v>
          </cell>
          <cell r="Y32443" t="str">
            <v>HONG KONG</v>
          </cell>
        </row>
        <row r="32444">
          <cell r="L32444" t="str">
            <v>Proportional</v>
          </cell>
          <cell r="S32444">
            <v>-3231.94</v>
          </cell>
          <cell r="X32444" t="str">
            <v>GWP - gross</v>
          </cell>
          <cell r="Y32444" t="str">
            <v>Turkey</v>
          </cell>
        </row>
        <row r="32445">
          <cell r="L32445" t="str">
            <v>Non-proportional</v>
          </cell>
          <cell r="S32445">
            <v>-287059.06</v>
          </cell>
          <cell r="X32445" t="str">
            <v>GWP - gross</v>
          </cell>
          <cell r="Y32445" t="str">
            <v>NEW ZEALAND</v>
          </cell>
        </row>
        <row r="32446">
          <cell r="L32446" t="str">
            <v>Non-proportional</v>
          </cell>
          <cell r="S32446">
            <v>-307230.78000000003</v>
          </cell>
          <cell r="X32446" t="str">
            <v>GWP - gross</v>
          </cell>
          <cell r="Y32446" t="str">
            <v>NEW ZEALAND</v>
          </cell>
        </row>
        <row r="32447">
          <cell r="L32447" t="str">
            <v>Proportional</v>
          </cell>
          <cell r="S32447">
            <v>-58327.839999999997</v>
          </cell>
          <cell r="X32447" t="str">
            <v>GWP - gross</v>
          </cell>
          <cell r="Y32447" t="str">
            <v>PORTUGAL</v>
          </cell>
        </row>
        <row r="32448">
          <cell r="L32448" t="str">
            <v>Non-proportional</v>
          </cell>
          <cell r="S32448">
            <v>-59677.46</v>
          </cell>
          <cell r="X32448" t="str">
            <v>GWP - gross</v>
          </cell>
          <cell r="Y32448" t="str">
            <v>INDIA</v>
          </cell>
        </row>
        <row r="32449">
          <cell r="L32449" t="str">
            <v>Proportional</v>
          </cell>
          <cell r="S32449">
            <v>3978.87</v>
          </cell>
          <cell r="X32449" t="str">
            <v>GWP - gross</v>
          </cell>
          <cell r="Y32449" t="str">
            <v>UNITED STATES</v>
          </cell>
        </row>
        <row r="32450">
          <cell r="L32450" t="str">
            <v>Proportional</v>
          </cell>
          <cell r="S32450">
            <v>-505290.3</v>
          </cell>
          <cell r="X32450" t="str">
            <v>GWP - gross</v>
          </cell>
          <cell r="Y32450" t="str">
            <v>UNITED STATES</v>
          </cell>
        </row>
        <row r="32451">
          <cell r="L32451" t="str">
            <v>Non-proportional</v>
          </cell>
          <cell r="S32451">
            <v>3400.5</v>
          </cell>
          <cell r="X32451" t="str">
            <v>GWP - gross</v>
          </cell>
          <cell r="Y32451" t="str">
            <v>ISRAEL</v>
          </cell>
        </row>
        <row r="32452">
          <cell r="L32452" t="str">
            <v>Non-proportional</v>
          </cell>
          <cell r="S32452">
            <v>-22678.240000000002</v>
          </cell>
          <cell r="X32452" t="str">
            <v>GWP - gross</v>
          </cell>
          <cell r="Y32452" t="str">
            <v>COLOMBIA</v>
          </cell>
        </row>
        <row r="32453">
          <cell r="L32453" t="str">
            <v>Non-proportional</v>
          </cell>
          <cell r="S32453">
            <v>-3403.29</v>
          </cell>
          <cell r="X32453" t="str">
            <v>GWP - gross</v>
          </cell>
          <cell r="Y32453" t="str">
            <v>ISRAEL</v>
          </cell>
        </row>
        <row r="32454">
          <cell r="L32454" t="str">
            <v>Non-proportional</v>
          </cell>
          <cell r="S32454">
            <v>3511.78</v>
          </cell>
          <cell r="X32454" t="str">
            <v>GWP - gross</v>
          </cell>
          <cell r="Y32454" t="str">
            <v>UNITED KINGDOM</v>
          </cell>
        </row>
        <row r="32455">
          <cell r="L32455" t="str">
            <v>Non-proportional</v>
          </cell>
          <cell r="S32455">
            <v>-13980</v>
          </cell>
          <cell r="X32455" t="str">
            <v>GWP - gross</v>
          </cell>
          <cell r="Y32455" t="str">
            <v>GERMANY</v>
          </cell>
        </row>
        <row r="32456">
          <cell r="L32456" t="str">
            <v>Non-proportional</v>
          </cell>
          <cell r="S32456">
            <v>307230.78000000003</v>
          </cell>
          <cell r="X32456" t="str">
            <v>GWP - gross</v>
          </cell>
          <cell r="Y32456" t="str">
            <v>NEW ZEALAND</v>
          </cell>
        </row>
        <row r="32457">
          <cell r="L32457" t="str">
            <v>Non-proportional</v>
          </cell>
          <cell r="S32457">
            <v>-17491.900000000001</v>
          </cell>
          <cell r="X32457" t="str">
            <v>GWP - gross</v>
          </cell>
          <cell r="Y32457" t="str">
            <v>ISRAEL</v>
          </cell>
        </row>
        <row r="32458">
          <cell r="L32458" t="str">
            <v>Non-proportional</v>
          </cell>
          <cell r="S32458">
            <v>-228455.63</v>
          </cell>
          <cell r="X32458" t="str">
            <v>GWP - gross</v>
          </cell>
          <cell r="Y32458" t="str">
            <v>PUERTO RICO</v>
          </cell>
        </row>
        <row r="32459">
          <cell r="L32459" t="str">
            <v>Non-proportional</v>
          </cell>
          <cell r="S32459">
            <v>143864.21</v>
          </cell>
          <cell r="X32459" t="str">
            <v>GWP - gross</v>
          </cell>
          <cell r="Y32459" t="str">
            <v>UNITED KINGDOM</v>
          </cell>
        </row>
        <row r="32460">
          <cell r="L32460" t="str">
            <v>Proportional</v>
          </cell>
          <cell r="S32460">
            <v>-149568.04999999999</v>
          </cell>
          <cell r="X32460" t="str">
            <v>GWP - gross</v>
          </cell>
          <cell r="Y32460" t="str">
            <v>PERU</v>
          </cell>
        </row>
        <row r="32461">
          <cell r="L32461" t="str">
            <v>Proportional</v>
          </cell>
          <cell r="S32461">
            <v>17907.599999999999</v>
          </cell>
          <cell r="X32461" t="str">
            <v>GWP - gross</v>
          </cell>
          <cell r="Y32461" t="str">
            <v>ITALY</v>
          </cell>
        </row>
        <row r="32462">
          <cell r="L32462" t="str">
            <v>Non-proportional</v>
          </cell>
          <cell r="S32462">
            <v>-7958.91</v>
          </cell>
          <cell r="X32462" t="str">
            <v>GWP - gross</v>
          </cell>
          <cell r="Y32462" t="str">
            <v>ISRAEL</v>
          </cell>
        </row>
        <row r="32463">
          <cell r="L32463" t="str">
            <v>Non-proportional</v>
          </cell>
          <cell r="S32463">
            <v>13607.76</v>
          </cell>
          <cell r="X32463" t="str">
            <v>GWP - gross</v>
          </cell>
          <cell r="Y32463" t="str">
            <v>FRANCE</v>
          </cell>
        </row>
        <row r="32464">
          <cell r="L32464" t="str">
            <v>Non-proportional</v>
          </cell>
          <cell r="S32464">
            <v>7078.43</v>
          </cell>
          <cell r="X32464" t="str">
            <v>GWP - gross</v>
          </cell>
          <cell r="Y32464" t="str">
            <v>GERMANY</v>
          </cell>
        </row>
        <row r="32465">
          <cell r="L32465" t="str">
            <v>Proportional</v>
          </cell>
          <cell r="S32465">
            <v>-472.36</v>
          </cell>
          <cell r="X32465" t="str">
            <v>GWP - gross</v>
          </cell>
          <cell r="Y32465" t="str">
            <v>Hong Kong</v>
          </cell>
        </row>
        <row r="32466">
          <cell r="L32466" t="str">
            <v>Proportional</v>
          </cell>
          <cell r="S32466">
            <v>1167848.07</v>
          </cell>
          <cell r="X32466" t="str">
            <v>GWP - gross</v>
          </cell>
          <cell r="Y32466" t="str">
            <v>PORTUGAL</v>
          </cell>
        </row>
        <row r="32467">
          <cell r="L32467" t="str">
            <v>Non-proportional</v>
          </cell>
          <cell r="S32467">
            <v>23782.42</v>
          </cell>
          <cell r="X32467" t="str">
            <v>GWP - gross</v>
          </cell>
          <cell r="Y32467" t="str">
            <v>ECUADOR</v>
          </cell>
        </row>
        <row r="32468">
          <cell r="L32468" t="str">
            <v>Non-proportional</v>
          </cell>
          <cell r="S32468">
            <v>28131.57</v>
          </cell>
          <cell r="X32468" t="str">
            <v>GWP - gross</v>
          </cell>
          <cell r="Y32468" t="str">
            <v>UNITED ARAB EMIRATES</v>
          </cell>
        </row>
        <row r="32469">
          <cell r="L32469" t="str">
            <v>Proportional</v>
          </cell>
          <cell r="S32469">
            <v>16165.62</v>
          </cell>
          <cell r="X32469" t="str">
            <v>GWP - gross</v>
          </cell>
          <cell r="Y32469" t="str">
            <v>JAPAN</v>
          </cell>
        </row>
        <row r="32470">
          <cell r="L32470" t="str">
            <v>Non-proportional</v>
          </cell>
          <cell r="S32470">
            <v>-4195.53</v>
          </cell>
          <cell r="X32470" t="str">
            <v>GWP - gross</v>
          </cell>
          <cell r="Y32470" t="str">
            <v>FRANCE</v>
          </cell>
        </row>
        <row r="32471">
          <cell r="L32471" t="str">
            <v>Proportional</v>
          </cell>
          <cell r="S32471">
            <v>-840594.55</v>
          </cell>
          <cell r="X32471" t="str">
            <v>GWP - gross</v>
          </cell>
          <cell r="Y32471" t="str">
            <v>JAPAN</v>
          </cell>
        </row>
        <row r="32472">
          <cell r="L32472" t="str">
            <v>Non-proportional</v>
          </cell>
          <cell r="S32472">
            <v>287059.06</v>
          </cell>
          <cell r="X32472" t="str">
            <v>GWP - gross</v>
          </cell>
          <cell r="Y32472" t="str">
            <v>NEW ZEALAND</v>
          </cell>
        </row>
        <row r="32473">
          <cell r="L32473" t="str">
            <v>Non-proportional</v>
          </cell>
          <cell r="S32473">
            <v>2693.54</v>
          </cell>
          <cell r="X32473" t="str">
            <v>GWP - gross</v>
          </cell>
          <cell r="Y32473" t="str">
            <v>FRANCE</v>
          </cell>
        </row>
        <row r="32474">
          <cell r="L32474" t="str">
            <v>Non-proportional</v>
          </cell>
          <cell r="S32474">
            <v>-3403.29</v>
          </cell>
          <cell r="X32474" t="str">
            <v>GWP - gross</v>
          </cell>
          <cell r="Y32474" t="str">
            <v>ISRAEL</v>
          </cell>
        </row>
        <row r="32475">
          <cell r="L32475" t="str">
            <v>Non-proportional</v>
          </cell>
          <cell r="S32475">
            <v>-1504.77</v>
          </cell>
          <cell r="X32475" t="str">
            <v>GWP - gross</v>
          </cell>
          <cell r="Y32475" t="str">
            <v>FRANCE</v>
          </cell>
        </row>
        <row r="32476">
          <cell r="L32476" t="str">
            <v>Proportional</v>
          </cell>
          <cell r="S32476">
            <v>-644.20000000000005</v>
          </cell>
          <cell r="X32476" t="str">
            <v>GWP - gross</v>
          </cell>
          <cell r="Y32476" t="str">
            <v>Turkey</v>
          </cell>
        </row>
        <row r="32477">
          <cell r="L32477" t="str">
            <v>Proportional</v>
          </cell>
          <cell r="S32477">
            <v>-19414.169999999998</v>
          </cell>
          <cell r="X32477" t="str">
            <v>GWP - gross</v>
          </cell>
          <cell r="Y32477" t="str">
            <v>ITALY</v>
          </cell>
        </row>
        <row r="32478">
          <cell r="L32478" t="str">
            <v>Non-proportional</v>
          </cell>
          <cell r="S32478">
            <v>210171.83</v>
          </cell>
          <cell r="X32478" t="str">
            <v>GWP - gross</v>
          </cell>
          <cell r="Y32478" t="str">
            <v>UNITED KINGDOM</v>
          </cell>
        </row>
        <row r="32479">
          <cell r="L32479" t="str">
            <v>Non-proportional</v>
          </cell>
          <cell r="S32479">
            <v>24327.65</v>
          </cell>
          <cell r="X32479" t="str">
            <v>GWP - gross</v>
          </cell>
          <cell r="Y32479" t="str">
            <v>ECUADOR</v>
          </cell>
        </row>
        <row r="32480">
          <cell r="L32480" t="str">
            <v>Non-proportional</v>
          </cell>
          <cell r="S32480">
            <v>-145860.47</v>
          </cell>
          <cell r="X32480" t="str">
            <v>GWP - gross</v>
          </cell>
          <cell r="Y32480" t="str">
            <v>INDIA</v>
          </cell>
        </row>
        <row r="32481">
          <cell r="L32481" t="str">
            <v>Non-proportional</v>
          </cell>
          <cell r="S32481">
            <v>-78423.69</v>
          </cell>
          <cell r="X32481" t="str">
            <v>GWP - gross</v>
          </cell>
          <cell r="Y32481" t="str">
            <v>MEXICO</v>
          </cell>
        </row>
        <row r="32482">
          <cell r="L32482" t="str">
            <v>Proportional</v>
          </cell>
          <cell r="S32482">
            <v>153.84</v>
          </cell>
          <cell r="X32482" t="str">
            <v>GWP - gross</v>
          </cell>
          <cell r="Y32482" t="str">
            <v>UNITED STATES</v>
          </cell>
        </row>
        <row r="32483">
          <cell r="L32483" t="str">
            <v>Proportional</v>
          </cell>
          <cell r="S32483">
            <v>4696.6000000000004</v>
          </cell>
          <cell r="X32483" t="str">
            <v>GWP - gross</v>
          </cell>
          <cell r="Y32483" t="str">
            <v>AUSTRALIA</v>
          </cell>
        </row>
        <row r="32484">
          <cell r="L32484" t="str">
            <v>Non-proportional</v>
          </cell>
          <cell r="S32484">
            <v>3798.95</v>
          </cell>
          <cell r="X32484" t="str">
            <v>GWP - gross</v>
          </cell>
          <cell r="Y32484" t="str">
            <v>UNITED KINGDOM</v>
          </cell>
        </row>
        <row r="32485">
          <cell r="L32485" t="str">
            <v>Non-proportional</v>
          </cell>
          <cell r="S32485">
            <v>-4556.63</v>
          </cell>
          <cell r="X32485" t="str">
            <v>GWP - gross</v>
          </cell>
          <cell r="Y32485" t="str">
            <v>FRANCE</v>
          </cell>
        </row>
        <row r="32486">
          <cell r="L32486" t="str">
            <v>Non-proportional</v>
          </cell>
          <cell r="S32486">
            <v>-24327.65</v>
          </cell>
          <cell r="X32486" t="str">
            <v>GWP - gross</v>
          </cell>
          <cell r="Y32486" t="str">
            <v>ECUADOR</v>
          </cell>
        </row>
        <row r="32487">
          <cell r="L32487" t="str">
            <v>Non-proportional</v>
          </cell>
          <cell r="S32487">
            <v>92067.1</v>
          </cell>
          <cell r="X32487" t="str">
            <v>GWP - gross</v>
          </cell>
          <cell r="Y32487" t="str">
            <v>JAPAN</v>
          </cell>
        </row>
        <row r="32488">
          <cell r="L32488" t="str">
            <v>Non-proportional</v>
          </cell>
          <cell r="S32488">
            <v>-13916.72</v>
          </cell>
          <cell r="X32488" t="str">
            <v>GWP - gross</v>
          </cell>
          <cell r="Y32488" t="str">
            <v>UNITED ARAB EMIRATES</v>
          </cell>
        </row>
        <row r="32489">
          <cell r="L32489" t="str">
            <v>Proportional</v>
          </cell>
          <cell r="S32489">
            <v>-15.6</v>
          </cell>
          <cell r="X32489" t="str">
            <v>GWP - gross</v>
          </cell>
          <cell r="Y32489" t="str">
            <v>TURKEY</v>
          </cell>
        </row>
        <row r="32490">
          <cell r="L32490" t="str">
            <v>Non-proportional</v>
          </cell>
          <cell r="S32490">
            <v>-21195</v>
          </cell>
          <cell r="X32490" t="str">
            <v>GWP - gross</v>
          </cell>
          <cell r="Y32490" t="str">
            <v>GERMANY</v>
          </cell>
        </row>
        <row r="32491">
          <cell r="L32491" t="str">
            <v>Non-proportional</v>
          </cell>
          <cell r="S32491">
            <v>46706.49</v>
          </cell>
          <cell r="X32491" t="str">
            <v>GWP - gross</v>
          </cell>
          <cell r="Y32491" t="str">
            <v>UNITED KINGDOM</v>
          </cell>
        </row>
        <row r="32492">
          <cell r="L32492" t="str">
            <v>Proportional</v>
          </cell>
          <cell r="S32492">
            <v>-1167848.07</v>
          </cell>
          <cell r="X32492" t="str">
            <v>GWP - gross</v>
          </cell>
          <cell r="Y32492" t="str">
            <v>PORTUGAL</v>
          </cell>
        </row>
        <row r="32493">
          <cell r="L32493" t="str">
            <v>Proportional</v>
          </cell>
          <cell r="S32493">
            <v>-235655.36</v>
          </cell>
          <cell r="X32493" t="str">
            <v>GWP - gross</v>
          </cell>
          <cell r="Y32493" t="str">
            <v>JAPAN</v>
          </cell>
        </row>
        <row r="32494">
          <cell r="L32494" t="str">
            <v>Non-proportional</v>
          </cell>
          <cell r="S32494">
            <v>-8550.5</v>
          </cell>
          <cell r="X32494" t="str">
            <v>GWP - gross</v>
          </cell>
          <cell r="Y32494" t="str">
            <v>UNITED KINGDOM</v>
          </cell>
        </row>
        <row r="32495">
          <cell r="L32495" t="str">
            <v>Non-proportional</v>
          </cell>
          <cell r="S32495">
            <v>-115206.48</v>
          </cell>
          <cell r="X32495" t="str">
            <v>GWP - gross</v>
          </cell>
          <cell r="Y32495" t="str">
            <v>MEXICO</v>
          </cell>
        </row>
        <row r="32496">
          <cell r="L32496" t="str">
            <v>Non-proportional</v>
          </cell>
          <cell r="S32496">
            <v>-17491.900000000001</v>
          </cell>
          <cell r="X32496" t="str">
            <v>GWP - gross</v>
          </cell>
          <cell r="Y32496" t="str">
            <v>ISRAEL</v>
          </cell>
        </row>
        <row r="32497">
          <cell r="L32497" t="str">
            <v>Proportional</v>
          </cell>
          <cell r="S32497">
            <v>199883.62</v>
          </cell>
          <cell r="X32497" t="str">
            <v>GWP - gross</v>
          </cell>
          <cell r="Y32497" t="str">
            <v>JAPAN</v>
          </cell>
        </row>
        <row r="32498">
          <cell r="L32498" t="str">
            <v>Non-proportional</v>
          </cell>
          <cell r="S32498">
            <v>9322.98</v>
          </cell>
          <cell r="X32498" t="str">
            <v>GWP - gross</v>
          </cell>
          <cell r="Y32498" t="str">
            <v>GERMANY</v>
          </cell>
        </row>
        <row r="32499">
          <cell r="L32499" t="str">
            <v>Non-proportional</v>
          </cell>
          <cell r="S32499">
            <v>-7011.9</v>
          </cell>
          <cell r="X32499" t="str">
            <v>GWP - gross</v>
          </cell>
          <cell r="Y32499" t="str">
            <v>FRANCE</v>
          </cell>
        </row>
        <row r="32500">
          <cell r="L32500" t="str">
            <v>Non-proportional</v>
          </cell>
          <cell r="S32500">
            <v>8397.8799999999992</v>
          </cell>
          <cell r="X32500" t="str">
            <v>GWP - gross</v>
          </cell>
          <cell r="Y32500" t="str">
            <v>FRANCE</v>
          </cell>
        </row>
        <row r="32501">
          <cell r="L32501" t="str">
            <v>Non-proportional</v>
          </cell>
          <cell r="S32501">
            <v>-896822.91</v>
          </cell>
          <cell r="X32501" t="str">
            <v>GWP - gross</v>
          </cell>
          <cell r="Y32501" t="str">
            <v>UNITED KINGDOM</v>
          </cell>
        </row>
        <row r="32502">
          <cell r="L32502" t="str">
            <v>Non-proportional</v>
          </cell>
          <cell r="S32502">
            <v>14130.12</v>
          </cell>
          <cell r="X32502" t="str">
            <v>GWP - gross</v>
          </cell>
          <cell r="Y32502" t="str">
            <v>GERMANY</v>
          </cell>
        </row>
        <row r="32503">
          <cell r="L32503" t="str">
            <v>Non-proportional</v>
          </cell>
          <cell r="S32503">
            <v>-95462.61</v>
          </cell>
          <cell r="X32503" t="str">
            <v>GWP - gross</v>
          </cell>
          <cell r="Y32503" t="str">
            <v>INDIA</v>
          </cell>
        </row>
        <row r="32504">
          <cell r="L32504" t="str">
            <v>Proportional</v>
          </cell>
          <cell r="S32504">
            <v>-4.32</v>
          </cell>
          <cell r="X32504" t="str">
            <v>GWP - gross</v>
          </cell>
          <cell r="Y32504" t="str">
            <v>Hong Kong</v>
          </cell>
        </row>
        <row r="32505">
          <cell r="L32505" t="str">
            <v>Non-proportional</v>
          </cell>
          <cell r="S32505">
            <v>7090.04</v>
          </cell>
          <cell r="X32505" t="str">
            <v>GWP - gross</v>
          </cell>
          <cell r="Y32505" t="str">
            <v>ISRAEL</v>
          </cell>
        </row>
        <row r="32506">
          <cell r="L32506" t="str">
            <v>Non-proportional</v>
          </cell>
          <cell r="S32506">
            <v>-34116.230000000003</v>
          </cell>
          <cell r="X32506" t="str">
            <v>GWP - gross</v>
          </cell>
          <cell r="Y32506" t="str">
            <v>ECUADOR</v>
          </cell>
        </row>
        <row r="32507">
          <cell r="L32507" t="str">
            <v>Non-proportional</v>
          </cell>
          <cell r="S32507">
            <v>-131229.18</v>
          </cell>
          <cell r="X32507" t="str">
            <v>GWP - gross</v>
          </cell>
          <cell r="Y32507" t="str">
            <v>CHILE</v>
          </cell>
        </row>
        <row r="32508">
          <cell r="L32508" t="str">
            <v>Non-proportional</v>
          </cell>
          <cell r="S32508">
            <v>-144688.57</v>
          </cell>
          <cell r="X32508" t="str">
            <v>GWP - gross</v>
          </cell>
          <cell r="Y32508" t="str">
            <v>PUERTO RICO</v>
          </cell>
        </row>
        <row r="32509">
          <cell r="L32509" t="str">
            <v>Proportional</v>
          </cell>
          <cell r="S32509">
            <v>-2.8</v>
          </cell>
          <cell r="X32509" t="str">
            <v>GWP - gross</v>
          </cell>
          <cell r="Y32509" t="str">
            <v>Hong Kong</v>
          </cell>
        </row>
        <row r="32510">
          <cell r="L32510" t="str">
            <v>Proportional</v>
          </cell>
          <cell r="S32510">
            <v>2136.6999999999998</v>
          </cell>
          <cell r="X32510" t="str">
            <v>GWP - gross</v>
          </cell>
          <cell r="Y32510" t="str">
            <v>HONG KONG</v>
          </cell>
        </row>
        <row r="32511">
          <cell r="L32511" t="str">
            <v>Non-proportional</v>
          </cell>
          <cell r="S32511">
            <v>7648.12</v>
          </cell>
          <cell r="X32511" t="str">
            <v>GWP - gross</v>
          </cell>
          <cell r="Y32511" t="str">
            <v>FRANCE</v>
          </cell>
        </row>
        <row r="32512">
          <cell r="L32512" t="str">
            <v>Proportional</v>
          </cell>
          <cell r="S32512">
            <v>235655.36</v>
          </cell>
          <cell r="X32512" t="str">
            <v>GWP - gross</v>
          </cell>
          <cell r="Y32512" t="str">
            <v>JAPAN</v>
          </cell>
        </row>
        <row r="32513">
          <cell r="L32513" t="str">
            <v>Non-proportional</v>
          </cell>
          <cell r="S32513">
            <v>-12798.63</v>
          </cell>
          <cell r="X32513" t="str">
            <v>GWP - gross</v>
          </cell>
          <cell r="Y32513" t="str">
            <v>JAPAN</v>
          </cell>
        </row>
        <row r="32514">
          <cell r="L32514" t="str">
            <v>Non-proportional</v>
          </cell>
          <cell r="S32514">
            <v>-60422.99</v>
          </cell>
          <cell r="X32514" t="str">
            <v>GWP - gross</v>
          </cell>
          <cell r="Y32514" t="str">
            <v>UNITED KINGDOM</v>
          </cell>
        </row>
        <row r="32515">
          <cell r="L32515" t="str">
            <v>Proportional</v>
          </cell>
          <cell r="S32515">
            <v>885931.79</v>
          </cell>
          <cell r="X32515" t="str">
            <v>GWP - gross</v>
          </cell>
          <cell r="Y32515" t="str">
            <v>PORTUGAL</v>
          </cell>
        </row>
        <row r="32516">
          <cell r="L32516" t="str">
            <v>Non-proportional</v>
          </cell>
          <cell r="S32516">
            <v>-24397.73</v>
          </cell>
          <cell r="X32516" t="str">
            <v>GWP - gross</v>
          </cell>
          <cell r="Y32516" t="str">
            <v>PERU</v>
          </cell>
        </row>
        <row r="32517">
          <cell r="L32517" t="str">
            <v>Non-proportional</v>
          </cell>
          <cell r="S32517">
            <v>35094.400000000001</v>
          </cell>
          <cell r="X32517" t="str">
            <v>GWP - gross</v>
          </cell>
          <cell r="Y32517" t="str">
            <v>FRANCE</v>
          </cell>
        </row>
        <row r="32518">
          <cell r="L32518" t="str">
            <v>Non-proportional</v>
          </cell>
          <cell r="S32518">
            <v>31929.61</v>
          </cell>
          <cell r="X32518" t="str">
            <v>GWP - gross</v>
          </cell>
          <cell r="Y32518" t="str">
            <v>UNITED KINGDOM</v>
          </cell>
        </row>
        <row r="32519">
          <cell r="L32519" t="str">
            <v>Proportional</v>
          </cell>
          <cell r="S32519">
            <v>-1614.14</v>
          </cell>
          <cell r="X32519" t="str">
            <v>GWP - gross</v>
          </cell>
          <cell r="Y32519" t="str">
            <v>TURKEY</v>
          </cell>
        </row>
        <row r="32520">
          <cell r="L32520" t="str">
            <v>Proportional</v>
          </cell>
          <cell r="S32520">
            <v>-86027.68</v>
          </cell>
          <cell r="X32520" t="str">
            <v>GWP - gross</v>
          </cell>
          <cell r="Y32520" t="str">
            <v>MEXICO</v>
          </cell>
        </row>
        <row r="32521">
          <cell r="L32521" t="str">
            <v>Non-proportional</v>
          </cell>
          <cell r="S32521">
            <v>7952.39</v>
          </cell>
          <cell r="X32521" t="str">
            <v>GWP - gross</v>
          </cell>
          <cell r="Y32521" t="str">
            <v>ISRAEL</v>
          </cell>
        </row>
        <row r="32522">
          <cell r="L32522" t="str">
            <v>Proportional</v>
          </cell>
          <cell r="S32522">
            <v>19414.169999999998</v>
          </cell>
          <cell r="X32522" t="str">
            <v>GWP - gross</v>
          </cell>
          <cell r="Y32522" t="str">
            <v>ITALY</v>
          </cell>
        </row>
        <row r="32523">
          <cell r="L32523" t="str">
            <v>Proportional</v>
          </cell>
          <cell r="S32523">
            <v>-21767.7</v>
          </cell>
          <cell r="X32523" t="str">
            <v>GWP - gross</v>
          </cell>
          <cell r="Y32523" t="str">
            <v>Portugal</v>
          </cell>
        </row>
        <row r="32524">
          <cell r="L32524" t="str">
            <v>Proportional</v>
          </cell>
          <cell r="S32524">
            <v>-4696.6000000000004</v>
          </cell>
          <cell r="X32524" t="str">
            <v>GWP - gross</v>
          </cell>
          <cell r="Y32524" t="str">
            <v>AUSTRALIA</v>
          </cell>
        </row>
        <row r="32525">
          <cell r="L32525" t="str">
            <v>Non-proportional</v>
          </cell>
          <cell r="S32525">
            <v>1216817.67</v>
          </cell>
          <cell r="X32525" t="str">
            <v>GWP - gross</v>
          </cell>
          <cell r="Y32525" t="str">
            <v>UNITED KINGDOM</v>
          </cell>
        </row>
        <row r="32526">
          <cell r="L32526" t="str">
            <v>Non-proportional</v>
          </cell>
          <cell r="S32526">
            <v>2693.54</v>
          </cell>
          <cell r="X32526" t="str">
            <v>GWP - gross</v>
          </cell>
          <cell r="Y32526" t="str">
            <v>FRANCE</v>
          </cell>
        </row>
        <row r="32527">
          <cell r="L32527" t="str">
            <v>Non-proportional</v>
          </cell>
          <cell r="S32527">
            <v>2367.5700000000002</v>
          </cell>
          <cell r="X32527" t="str">
            <v>GWP - gross</v>
          </cell>
          <cell r="Y32527" t="str">
            <v>ISRAEL</v>
          </cell>
        </row>
        <row r="32528">
          <cell r="L32528" t="str">
            <v>Proportional</v>
          </cell>
          <cell r="S32528">
            <v>-199883.62</v>
          </cell>
          <cell r="X32528" t="str">
            <v>GWP - gross</v>
          </cell>
          <cell r="Y32528" t="str">
            <v>JAPAN</v>
          </cell>
        </row>
        <row r="32529">
          <cell r="L32529" t="str">
            <v>Non-proportional</v>
          </cell>
          <cell r="S32529">
            <v>516151.82</v>
          </cell>
          <cell r="X32529" t="str">
            <v>GWP - gross</v>
          </cell>
          <cell r="Y32529" t="str">
            <v>UNITED KINGDOM</v>
          </cell>
        </row>
        <row r="32530">
          <cell r="L32530" t="str">
            <v>Non-proportional</v>
          </cell>
          <cell r="S32530">
            <v>-1605.1</v>
          </cell>
          <cell r="X32530" t="str">
            <v>GWP - gross</v>
          </cell>
          <cell r="Y32530" t="str">
            <v>FRANCE</v>
          </cell>
        </row>
        <row r="32531">
          <cell r="L32531" t="str">
            <v>Non-proportional</v>
          </cell>
          <cell r="S32531">
            <v>42807.21</v>
          </cell>
          <cell r="X32531" t="str">
            <v>GWP - gross</v>
          </cell>
          <cell r="Y32531" t="str">
            <v>FRANCE</v>
          </cell>
        </row>
        <row r="32532">
          <cell r="L32532" t="str">
            <v>Non-proportional</v>
          </cell>
          <cell r="S32532">
            <v>22678.240000000002</v>
          </cell>
          <cell r="X32532" t="str">
            <v>GWP - gross</v>
          </cell>
          <cell r="Y32532" t="str">
            <v>COLOMBIA</v>
          </cell>
        </row>
        <row r="32533">
          <cell r="L32533" t="str">
            <v>Non-proportional</v>
          </cell>
          <cell r="S32533">
            <v>3400.5</v>
          </cell>
          <cell r="X32533" t="str">
            <v>GWP - gross</v>
          </cell>
          <cell r="Y32533" t="str">
            <v>ISRAEL</v>
          </cell>
        </row>
        <row r="32534">
          <cell r="L32534" t="str">
            <v>Proportional</v>
          </cell>
          <cell r="S32534">
            <v>-874.22</v>
          </cell>
          <cell r="X32534" t="str">
            <v>GWP - gross</v>
          </cell>
          <cell r="Y32534" t="str">
            <v>Hong Kong</v>
          </cell>
        </row>
        <row r="32535">
          <cell r="L32535" t="str">
            <v>Non-proportional</v>
          </cell>
          <cell r="S32535">
            <v>4145.6000000000004</v>
          </cell>
          <cell r="X32535" t="str">
            <v>GWP - gross</v>
          </cell>
          <cell r="Y32535" t="str">
            <v>FRANCE</v>
          </cell>
        </row>
        <row r="32536">
          <cell r="L32536" t="str">
            <v>Proportional</v>
          </cell>
          <cell r="S32536">
            <v>5.56</v>
          </cell>
          <cell r="X32536" t="str">
            <v>GWP - gross</v>
          </cell>
          <cell r="Y32536" t="str">
            <v>Turkey</v>
          </cell>
        </row>
        <row r="32537">
          <cell r="L32537" t="str">
            <v>Non-proportional</v>
          </cell>
          <cell r="S32537">
            <v>-144655.74</v>
          </cell>
          <cell r="X32537" t="str">
            <v>GWP - gross</v>
          </cell>
          <cell r="Y32537" t="str">
            <v>UNITED KINGDOM</v>
          </cell>
        </row>
        <row r="32538">
          <cell r="L32538" t="str">
            <v>Non-proportional</v>
          </cell>
          <cell r="S32538">
            <v>34527.339999999997</v>
          </cell>
          <cell r="X32538" t="str">
            <v>GWP - gross</v>
          </cell>
          <cell r="Y32538" t="str">
            <v>UNITED KINGDOM</v>
          </cell>
        </row>
        <row r="32539">
          <cell r="L32539" t="str">
            <v>Non-proportional</v>
          </cell>
          <cell r="S32539">
            <v>52675</v>
          </cell>
          <cell r="X32539" t="str">
            <v>GWP - gross</v>
          </cell>
          <cell r="Y32539" t="str">
            <v>ITALY</v>
          </cell>
        </row>
        <row r="32540">
          <cell r="L32540" t="str">
            <v>Proportional</v>
          </cell>
          <cell r="S32540">
            <v>840594.55</v>
          </cell>
          <cell r="X32540" t="str">
            <v>GWP - gross</v>
          </cell>
          <cell r="Y32540" t="str">
            <v>JAPAN</v>
          </cell>
        </row>
        <row r="32541">
          <cell r="L32541" t="str">
            <v>Proportional</v>
          </cell>
          <cell r="S32541">
            <v>-145894.32</v>
          </cell>
          <cell r="X32541" t="str">
            <v>GWP - gross</v>
          </cell>
          <cell r="Y32541" t="str">
            <v>PORTUGAL</v>
          </cell>
        </row>
        <row r="32542">
          <cell r="L32542" t="str">
            <v>Non-proportional</v>
          </cell>
          <cell r="S32542">
            <v>-21972.7</v>
          </cell>
          <cell r="X32542" t="str">
            <v>GWP - gross</v>
          </cell>
          <cell r="Y32542" t="str">
            <v>PERU</v>
          </cell>
        </row>
        <row r="32543">
          <cell r="L32543" t="str">
            <v>Non-proportional</v>
          </cell>
          <cell r="S32543">
            <v>78913.279999999999</v>
          </cell>
          <cell r="X32543" t="str">
            <v>GWP - gross</v>
          </cell>
          <cell r="Y32543" t="str">
            <v>UNITED KINGDOM</v>
          </cell>
        </row>
        <row r="32544">
          <cell r="L32544" t="str">
            <v>Proportional</v>
          </cell>
          <cell r="S32544">
            <v>-240.43</v>
          </cell>
          <cell r="X32544" t="str">
            <v>GWP - gross</v>
          </cell>
          <cell r="Y32544" t="str">
            <v>TURKEY</v>
          </cell>
        </row>
        <row r="32545">
          <cell r="L32545" t="str">
            <v>Non-proportional</v>
          </cell>
          <cell r="S32545">
            <v>8769.26</v>
          </cell>
          <cell r="X32545" t="str">
            <v>GWP - gross</v>
          </cell>
          <cell r="Y32545" t="str">
            <v>FRANCE</v>
          </cell>
        </row>
        <row r="32546">
          <cell r="L32546" t="str">
            <v>Non-proportional</v>
          </cell>
          <cell r="S32546">
            <v>-66983.820000000007</v>
          </cell>
          <cell r="X32546" t="str">
            <v>GWP - gross</v>
          </cell>
          <cell r="Y32546" t="str">
            <v>INDIA</v>
          </cell>
        </row>
        <row r="32547">
          <cell r="L32547" t="str">
            <v>Non-proportional</v>
          </cell>
          <cell r="S32547">
            <v>-3400.5</v>
          </cell>
          <cell r="X32547" t="str">
            <v>GWP - gross</v>
          </cell>
          <cell r="Y32547" t="str">
            <v>ISRAEL</v>
          </cell>
        </row>
        <row r="32548">
          <cell r="L32548" t="str">
            <v>Non-proportional</v>
          </cell>
          <cell r="S32548">
            <v>-10605</v>
          </cell>
          <cell r="X32548" t="str">
            <v>GWP - gross</v>
          </cell>
          <cell r="Y32548" t="str">
            <v>GERMANY</v>
          </cell>
        </row>
        <row r="32549">
          <cell r="L32549" t="str">
            <v>Non-proportional</v>
          </cell>
          <cell r="S32549">
            <v>-2759.04</v>
          </cell>
          <cell r="X32549" t="str">
            <v>GWP - gross</v>
          </cell>
          <cell r="Y32549" t="str">
            <v>NETHERLANDS</v>
          </cell>
        </row>
        <row r="32550">
          <cell r="L32550" t="str">
            <v>Non-proportional</v>
          </cell>
          <cell r="S32550">
            <v>6330.4</v>
          </cell>
          <cell r="X32550" t="str">
            <v>GWP - gross</v>
          </cell>
          <cell r="Y32550" t="str">
            <v>ISRAEL</v>
          </cell>
        </row>
        <row r="32551">
          <cell r="L32551" t="str">
            <v>Proportional</v>
          </cell>
          <cell r="S32551">
            <v>-15446.46</v>
          </cell>
          <cell r="X32551" t="str">
            <v>GWP - gross</v>
          </cell>
          <cell r="Y32551" t="str">
            <v>TURKEY</v>
          </cell>
        </row>
        <row r="32552">
          <cell r="L32552" t="str">
            <v>Non-proportional</v>
          </cell>
          <cell r="S32552">
            <v>315653.13</v>
          </cell>
          <cell r="X32552" t="str">
            <v>GWP - gross</v>
          </cell>
          <cell r="Y32552" t="str">
            <v>UNITED KINGDOM</v>
          </cell>
        </row>
        <row r="32553">
          <cell r="L32553" t="str">
            <v>Proportional</v>
          </cell>
          <cell r="S32553">
            <v>-7727.66</v>
          </cell>
          <cell r="X32553" t="str">
            <v>GWP - gross</v>
          </cell>
          <cell r="Y32553" t="str">
            <v>HONG KONG</v>
          </cell>
        </row>
        <row r="32554">
          <cell r="L32554" t="str">
            <v>Non-proportional</v>
          </cell>
          <cell r="S32554">
            <v>-7670.65</v>
          </cell>
          <cell r="X32554" t="str">
            <v>GWP - gross</v>
          </cell>
          <cell r="Y32554" t="str">
            <v>UNITED KINGDOM</v>
          </cell>
        </row>
        <row r="32555">
          <cell r="L32555" t="str">
            <v>Proportional</v>
          </cell>
          <cell r="S32555">
            <v>21654.16</v>
          </cell>
          <cell r="X32555" t="str">
            <v>GWP - gross</v>
          </cell>
          <cell r="Y32555" t="str">
            <v>MEXICO</v>
          </cell>
        </row>
        <row r="32556">
          <cell r="L32556" t="str">
            <v>Non-proportional</v>
          </cell>
          <cell r="S32556">
            <v>51250.94</v>
          </cell>
          <cell r="X32556" t="str">
            <v>GWP - gross</v>
          </cell>
          <cell r="Y32556" t="str">
            <v>UNITED KINGDOM</v>
          </cell>
        </row>
        <row r="32557">
          <cell r="L32557" t="str">
            <v>Non-proportional</v>
          </cell>
          <cell r="S32557">
            <v>919339.69</v>
          </cell>
          <cell r="X32557" t="str">
            <v>GWP - gross</v>
          </cell>
          <cell r="Y32557" t="str">
            <v>UNITED KINGDOM</v>
          </cell>
        </row>
        <row r="32558">
          <cell r="L32558" t="str">
            <v>Non-proportional</v>
          </cell>
          <cell r="S32558">
            <v>-306387.38</v>
          </cell>
          <cell r="X32558" t="str">
            <v>GWP - gross</v>
          </cell>
          <cell r="Y32558" t="str">
            <v>UNITED KINGDOM</v>
          </cell>
        </row>
        <row r="32559">
          <cell r="L32559" t="str">
            <v>Proportional</v>
          </cell>
          <cell r="S32559">
            <v>-1465878.47</v>
          </cell>
          <cell r="X32559" t="str">
            <v>GWP - gross</v>
          </cell>
          <cell r="Y32559" t="str">
            <v>HONG KONG</v>
          </cell>
        </row>
        <row r="32560">
          <cell r="L32560" t="str">
            <v>Non-proportional</v>
          </cell>
          <cell r="S32560">
            <v>17491.900000000001</v>
          </cell>
          <cell r="X32560" t="str">
            <v>GWP - gross</v>
          </cell>
          <cell r="Y32560" t="str">
            <v>ISRAEL</v>
          </cell>
        </row>
        <row r="32561">
          <cell r="L32561" t="str">
            <v>Non-proportional</v>
          </cell>
          <cell r="S32561">
            <v>-99195.78</v>
          </cell>
          <cell r="X32561" t="str">
            <v>GWP - gross</v>
          </cell>
          <cell r="Y32561" t="str">
            <v>INDIA</v>
          </cell>
        </row>
        <row r="32562">
          <cell r="L32562" t="str">
            <v>Non-proportional</v>
          </cell>
          <cell r="S32562">
            <v>7533.17</v>
          </cell>
          <cell r="X32562" t="str">
            <v>GWP - gross</v>
          </cell>
          <cell r="Y32562" t="str">
            <v>ISRAEL</v>
          </cell>
        </row>
        <row r="32563">
          <cell r="L32563" t="str">
            <v>Non-proportional</v>
          </cell>
          <cell r="S32563">
            <v>1976.17</v>
          </cell>
          <cell r="X32563" t="str">
            <v>GWP - gross</v>
          </cell>
          <cell r="Y32563" t="str">
            <v>FRANCE</v>
          </cell>
        </row>
        <row r="32564">
          <cell r="L32564" t="str">
            <v>Proportional</v>
          </cell>
          <cell r="S32564">
            <v>4904.68</v>
          </cell>
          <cell r="X32564" t="str">
            <v>GWP - gross</v>
          </cell>
          <cell r="Y32564" t="str">
            <v>HONG KONG</v>
          </cell>
        </row>
        <row r="32565">
          <cell r="L32565" t="str">
            <v>Non-proportional</v>
          </cell>
          <cell r="S32565">
            <v>3403.29</v>
          </cell>
          <cell r="X32565" t="str">
            <v>GWP - gross</v>
          </cell>
          <cell r="Y32565" t="str">
            <v>ISRAEL</v>
          </cell>
        </row>
        <row r="32566">
          <cell r="L32566" t="str">
            <v>Non-proportional</v>
          </cell>
          <cell r="S32566">
            <v>-16566.52</v>
          </cell>
          <cell r="X32566" t="str">
            <v>GWP - gross</v>
          </cell>
          <cell r="Y32566" t="str">
            <v>EUROPE</v>
          </cell>
        </row>
        <row r="32567">
          <cell r="L32567" t="str">
            <v>Non-proportional</v>
          </cell>
          <cell r="S32567">
            <v>-15072.91</v>
          </cell>
          <cell r="X32567" t="str">
            <v>GWP - gross</v>
          </cell>
          <cell r="Y32567" t="str">
            <v>FRANCE</v>
          </cell>
        </row>
        <row r="32568">
          <cell r="L32568" t="str">
            <v>Proportional</v>
          </cell>
          <cell r="S32568">
            <v>-4904.68</v>
          </cell>
          <cell r="X32568" t="str">
            <v>GWP - gross</v>
          </cell>
          <cell r="Y32568" t="str">
            <v>HONG KONG</v>
          </cell>
        </row>
        <row r="32569">
          <cell r="L32569" t="str">
            <v>Proportional</v>
          </cell>
          <cell r="S32569">
            <v>-31986.3</v>
          </cell>
          <cell r="X32569" t="str">
            <v>GWP - gross</v>
          </cell>
          <cell r="Y32569" t="str">
            <v>ITALY</v>
          </cell>
        </row>
        <row r="32570">
          <cell r="L32570" t="str">
            <v>Non-proportional</v>
          </cell>
          <cell r="S32570">
            <v>23233.25</v>
          </cell>
          <cell r="X32570" t="str">
            <v>GWP - gross</v>
          </cell>
          <cell r="Y32570" t="str">
            <v>FRANCE</v>
          </cell>
        </row>
        <row r="32571">
          <cell r="L32571" t="str">
            <v>Non-proportional</v>
          </cell>
          <cell r="S32571">
            <v>-139848.63</v>
          </cell>
          <cell r="X32571" t="str">
            <v>GWP - gross</v>
          </cell>
          <cell r="Y32571" t="str">
            <v>PERU</v>
          </cell>
        </row>
        <row r="32572">
          <cell r="L32572" t="str">
            <v>Proportional</v>
          </cell>
          <cell r="S32572">
            <v>-438857142.86000001</v>
          </cell>
          <cell r="X32572" t="str">
            <v>GWP - gross</v>
          </cell>
          <cell r="Y32572" t="str">
            <v>ITALY</v>
          </cell>
        </row>
        <row r="32573">
          <cell r="L32573" t="str">
            <v>Proportional</v>
          </cell>
          <cell r="S32573">
            <v>-73142857.140000001</v>
          </cell>
          <cell r="X32573" t="str">
            <v>GWP - gross</v>
          </cell>
          <cell r="Y32573" t="str">
            <v>ITALY</v>
          </cell>
        </row>
        <row r="32574">
          <cell r="L32574" t="str">
            <v>Proportional</v>
          </cell>
          <cell r="S32574">
            <v>36571428.57</v>
          </cell>
          <cell r="X32574" t="str">
            <v>GWP - gross</v>
          </cell>
          <cell r="Y32574" t="str">
            <v>ITALY</v>
          </cell>
        </row>
        <row r="32575">
          <cell r="L32575" t="str">
            <v>Proportional</v>
          </cell>
          <cell r="S32575">
            <v>-132303.01</v>
          </cell>
          <cell r="X32575" t="str">
            <v>GWP - gross</v>
          </cell>
          <cell r="Y32575" t="str">
            <v>MEXICO</v>
          </cell>
        </row>
        <row r="32576">
          <cell r="L32576" t="str">
            <v>Non-proportional</v>
          </cell>
          <cell r="S32576">
            <v>88672.45</v>
          </cell>
          <cell r="X32576" t="str">
            <v>GWP - gross</v>
          </cell>
          <cell r="Y32576" t="str">
            <v>AUSTRALIA</v>
          </cell>
        </row>
        <row r="32577">
          <cell r="L32577" t="str">
            <v>Non-proportional</v>
          </cell>
          <cell r="S32577">
            <v>7042.14</v>
          </cell>
          <cell r="X32577" t="str">
            <v>GWP - gross</v>
          </cell>
          <cell r="Y32577" t="str">
            <v>AUSTRALIA</v>
          </cell>
        </row>
        <row r="32578">
          <cell r="L32578" t="str">
            <v>Non-proportional</v>
          </cell>
          <cell r="S32578">
            <v>11038.9</v>
          </cell>
          <cell r="X32578" t="str">
            <v>GWP - gross</v>
          </cell>
          <cell r="Y32578" t="str">
            <v>REPUBLIC OF IRELAND</v>
          </cell>
        </row>
        <row r="32579">
          <cell r="L32579" t="str">
            <v>Non-proportional</v>
          </cell>
          <cell r="S32579">
            <v>70866.899999999994</v>
          </cell>
          <cell r="X32579" t="str">
            <v>GWP - gross</v>
          </cell>
          <cell r="Y32579" t="str">
            <v>SPAIN</v>
          </cell>
        </row>
        <row r="32580">
          <cell r="L32580" t="str">
            <v>Non-proportional</v>
          </cell>
          <cell r="S32580">
            <v>6431.25</v>
          </cell>
          <cell r="X32580" t="str">
            <v>GWP - gross</v>
          </cell>
          <cell r="Y32580" t="str">
            <v>EUROPE</v>
          </cell>
        </row>
        <row r="32581">
          <cell r="L32581" t="str">
            <v>Non-proportional</v>
          </cell>
          <cell r="S32581">
            <v>-9695.5</v>
          </cell>
          <cell r="X32581" t="str">
            <v>GWP - gross</v>
          </cell>
          <cell r="Y32581" t="str">
            <v>CHILE</v>
          </cell>
        </row>
        <row r="32582">
          <cell r="L32582" t="str">
            <v>Non-proportional</v>
          </cell>
          <cell r="S32582">
            <v>-38424.22</v>
          </cell>
          <cell r="X32582" t="str">
            <v>GWP - gross</v>
          </cell>
          <cell r="Y32582" t="str">
            <v>AUSTRALIA</v>
          </cell>
        </row>
        <row r="32583">
          <cell r="L32583" t="str">
            <v>Non-proportional</v>
          </cell>
          <cell r="S32583">
            <v>-10751.78</v>
          </cell>
          <cell r="X32583" t="str">
            <v>GWP - gross</v>
          </cell>
          <cell r="Y32583" t="str">
            <v>EUROPE</v>
          </cell>
        </row>
        <row r="32584">
          <cell r="L32584" t="str">
            <v>Non-proportional</v>
          </cell>
          <cell r="S32584">
            <v>16624.5</v>
          </cell>
          <cell r="X32584" t="str">
            <v>GWP - gross</v>
          </cell>
          <cell r="Y32584" t="str">
            <v>FRANCE</v>
          </cell>
        </row>
        <row r="32585">
          <cell r="L32585" t="str">
            <v>Proportional</v>
          </cell>
          <cell r="S32585">
            <v>-47483</v>
          </cell>
          <cell r="X32585" t="str">
            <v>GWP - gross</v>
          </cell>
          <cell r="Y32585" t="str">
            <v>FRANCE</v>
          </cell>
        </row>
        <row r="32586">
          <cell r="L32586" t="str">
            <v>Proportional</v>
          </cell>
          <cell r="S32586">
            <v>290184</v>
          </cell>
          <cell r="X32586" t="str">
            <v>GWP - gross</v>
          </cell>
          <cell r="Y32586" t="str">
            <v>FRANCE</v>
          </cell>
        </row>
        <row r="32587">
          <cell r="L32587" t="str">
            <v>Non-proportional</v>
          </cell>
          <cell r="S32587">
            <v>-136808.92000000001</v>
          </cell>
          <cell r="X32587" t="str">
            <v>GWP - gross</v>
          </cell>
          <cell r="Y32587" t="str">
            <v>AUSTRALIA</v>
          </cell>
        </row>
        <row r="32588">
          <cell r="L32588" t="str">
            <v>Non-proportional</v>
          </cell>
          <cell r="S32588">
            <v>-32010.7</v>
          </cell>
          <cell r="X32588" t="str">
            <v>GWP - gross</v>
          </cell>
          <cell r="Y32588" t="str">
            <v>THAILAND</v>
          </cell>
        </row>
        <row r="32589">
          <cell r="L32589" t="str">
            <v>Proportional</v>
          </cell>
          <cell r="S32589">
            <v>9242.58</v>
          </cell>
          <cell r="X32589" t="str">
            <v>GWP - gross</v>
          </cell>
          <cell r="Y32589" t="str">
            <v>UNITED STATES</v>
          </cell>
        </row>
        <row r="32590">
          <cell r="L32590" t="str">
            <v>Non-proportional</v>
          </cell>
          <cell r="S32590">
            <v>-34834.76</v>
          </cell>
          <cell r="X32590" t="str">
            <v>GWP - gross</v>
          </cell>
          <cell r="Y32590" t="str">
            <v>AUSTRALIA</v>
          </cell>
        </row>
        <row r="32591">
          <cell r="L32591" t="str">
            <v>Non-proportional</v>
          </cell>
          <cell r="S32591">
            <v>-124225.06</v>
          </cell>
          <cell r="X32591" t="str">
            <v>GWP - gross</v>
          </cell>
          <cell r="Y32591" t="str">
            <v>MEXICO</v>
          </cell>
        </row>
        <row r="32592">
          <cell r="L32592" t="str">
            <v>Non-proportional</v>
          </cell>
          <cell r="S32592">
            <v>78055.62</v>
          </cell>
          <cell r="X32592" t="str">
            <v>GWP - gross</v>
          </cell>
          <cell r="Y32592" t="str">
            <v>UNITED KINGDOM</v>
          </cell>
        </row>
        <row r="32593">
          <cell r="L32593" t="str">
            <v>Proportional</v>
          </cell>
          <cell r="S32593">
            <v>-213555.62</v>
          </cell>
          <cell r="X32593" t="str">
            <v>GWP - gross</v>
          </cell>
          <cell r="Y32593" t="str">
            <v>MEXICO</v>
          </cell>
        </row>
        <row r="32594">
          <cell r="L32594" t="str">
            <v>Non-proportional</v>
          </cell>
          <cell r="S32594">
            <v>-20598.490000000002</v>
          </cell>
          <cell r="X32594" t="str">
            <v>GWP - gross</v>
          </cell>
          <cell r="Y32594" t="str">
            <v>DOMINICAN REPUBLIC</v>
          </cell>
        </row>
        <row r="32595">
          <cell r="L32595" t="str">
            <v>Non-proportional</v>
          </cell>
          <cell r="S32595">
            <v>-82335.91</v>
          </cell>
          <cell r="X32595" t="str">
            <v>GWP - gross</v>
          </cell>
          <cell r="Y32595" t="str">
            <v>AUSTRALIA</v>
          </cell>
        </row>
        <row r="32596">
          <cell r="L32596" t="str">
            <v>Non-proportional</v>
          </cell>
          <cell r="S32596">
            <v>-74086.03</v>
          </cell>
          <cell r="X32596" t="str">
            <v>GWP - gross</v>
          </cell>
          <cell r="Y32596" t="str">
            <v>COLOMBIA</v>
          </cell>
        </row>
        <row r="32597">
          <cell r="L32597" t="str">
            <v>Proportional</v>
          </cell>
          <cell r="S32597">
            <v>-896505.58</v>
          </cell>
          <cell r="X32597" t="str">
            <v>GWP - gross</v>
          </cell>
          <cell r="Y32597" t="str">
            <v>PORTUGAL</v>
          </cell>
        </row>
        <row r="32598">
          <cell r="L32598" t="str">
            <v>Non-proportional</v>
          </cell>
          <cell r="S32598">
            <v>-51185.62</v>
          </cell>
          <cell r="X32598" t="str">
            <v>GWP - gross</v>
          </cell>
          <cell r="Y32598" t="str">
            <v>CANADA</v>
          </cell>
        </row>
        <row r="32599">
          <cell r="L32599" t="str">
            <v>Non-proportional</v>
          </cell>
          <cell r="S32599">
            <v>-2830.68</v>
          </cell>
          <cell r="X32599" t="str">
            <v>GWP - gross</v>
          </cell>
          <cell r="Y32599" t="str">
            <v>ECUADOR</v>
          </cell>
        </row>
        <row r="32600">
          <cell r="L32600" t="str">
            <v>Non-proportional</v>
          </cell>
          <cell r="S32600">
            <v>26455.75</v>
          </cell>
          <cell r="X32600" t="str">
            <v>GWP - gross</v>
          </cell>
          <cell r="Y32600" t="str">
            <v>MEXICO</v>
          </cell>
        </row>
        <row r="32601">
          <cell r="L32601" t="str">
            <v>Non-proportional</v>
          </cell>
          <cell r="S32601">
            <v>-7021.29</v>
          </cell>
          <cell r="X32601" t="str">
            <v>GWP - gross</v>
          </cell>
          <cell r="Y32601" t="str">
            <v>EUROPE</v>
          </cell>
        </row>
        <row r="32602">
          <cell r="L32602" t="str">
            <v>Non-proportional</v>
          </cell>
          <cell r="S32602">
            <v>23399.61</v>
          </cell>
          <cell r="X32602" t="str">
            <v>GWP - gross</v>
          </cell>
          <cell r="Y32602" t="str">
            <v>ITALY</v>
          </cell>
        </row>
        <row r="32603">
          <cell r="L32603" t="str">
            <v>Non-proportional</v>
          </cell>
          <cell r="S32603">
            <v>-22860.959999999999</v>
          </cell>
          <cell r="X32603" t="str">
            <v>GWP - gross</v>
          </cell>
          <cell r="Y32603" t="str">
            <v>THAILAND</v>
          </cell>
        </row>
        <row r="32604">
          <cell r="L32604" t="str">
            <v>Non-proportional</v>
          </cell>
          <cell r="S32604">
            <v>5127.99</v>
          </cell>
          <cell r="X32604" t="str">
            <v>GWP - gross</v>
          </cell>
          <cell r="Y32604" t="str">
            <v>UNITED KINGDOM</v>
          </cell>
        </row>
        <row r="32605">
          <cell r="L32605" t="str">
            <v>Non-proportional</v>
          </cell>
          <cell r="S32605">
            <v>-118137.06</v>
          </cell>
          <cell r="X32605" t="str">
            <v>GWP - gross</v>
          </cell>
          <cell r="Y32605" t="str">
            <v>ECUADOR</v>
          </cell>
        </row>
        <row r="32606">
          <cell r="L32606" t="str">
            <v>Non-proportional</v>
          </cell>
          <cell r="S32606">
            <v>-66564.539999999994</v>
          </cell>
          <cell r="X32606" t="str">
            <v>GWP - gross</v>
          </cell>
          <cell r="Y32606" t="str">
            <v>NEW ZEALAND</v>
          </cell>
        </row>
        <row r="32607">
          <cell r="L32607" t="str">
            <v>Non-proportional</v>
          </cell>
          <cell r="S32607">
            <v>-22267.98</v>
          </cell>
          <cell r="X32607" t="str">
            <v>GWP - gross</v>
          </cell>
          <cell r="Y32607" t="str">
            <v>DOMINICAN REPUBLIC</v>
          </cell>
        </row>
        <row r="32608">
          <cell r="L32608" t="str">
            <v>Non-proportional</v>
          </cell>
          <cell r="S32608">
            <v>-44170.53</v>
          </cell>
          <cell r="X32608" t="str">
            <v>GWP - gross</v>
          </cell>
          <cell r="Y32608" t="str">
            <v>COLOMBIA</v>
          </cell>
        </row>
        <row r="32609">
          <cell r="L32609" t="str">
            <v>Non-proportional</v>
          </cell>
          <cell r="S32609">
            <v>-3145.16</v>
          </cell>
          <cell r="X32609" t="str">
            <v>GWP - gross</v>
          </cell>
          <cell r="Y32609" t="str">
            <v>ECUADOR</v>
          </cell>
        </row>
        <row r="32610">
          <cell r="L32610" t="str">
            <v>Non-proportional</v>
          </cell>
          <cell r="S32610">
            <v>5252.31</v>
          </cell>
          <cell r="X32610" t="str">
            <v>GWP - gross</v>
          </cell>
          <cell r="Y32610" t="str">
            <v>MALTA</v>
          </cell>
        </row>
        <row r="32611">
          <cell r="L32611" t="str">
            <v>Non-proportional</v>
          </cell>
          <cell r="S32611">
            <v>13105.01</v>
          </cell>
          <cell r="X32611" t="str">
            <v>GWP - gross</v>
          </cell>
          <cell r="Y32611" t="str">
            <v>JAPAN</v>
          </cell>
        </row>
        <row r="32612">
          <cell r="L32612" t="str">
            <v>Non-proportional</v>
          </cell>
          <cell r="S32612">
            <v>120601.08</v>
          </cell>
          <cell r="X32612" t="str">
            <v>GWP - gross</v>
          </cell>
          <cell r="Y32612" t="str">
            <v>MEXICO</v>
          </cell>
        </row>
        <row r="32613">
          <cell r="L32613" t="str">
            <v>Non-proportional</v>
          </cell>
          <cell r="S32613">
            <v>530.49</v>
          </cell>
          <cell r="X32613" t="str">
            <v>GWP - gross</v>
          </cell>
          <cell r="Y32613" t="str">
            <v>DENMARK</v>
          </cell>
        </row>
        <row r="32614">
          <cell r="L32614" t="str">
            <v>Non-proportional</v>
          </cell>
          <cell r="S32614">
            <v>-24232.25</v>
          </cell>
          <cell r="X32614" t="str">
            <v>GWP - gross</v>
          </cell>
          <cell r="Y32614" t="str">
            <v>DOMINICAN REPUBLIC</v>
          </cell>
        </row>
        <row r="32615">
          <cell r="L32615" t="str">
            <v>Non-proportional</v>
          </cell>
          <cell r="S32615">
            <v>8850</v>
          </cell>
          <cell r="X32615" t="str">
            <v>GWP - gross</v>
          </cell>
          <cell r="Y32615" t="str">
            <v>EUROPE</v>
          </cell>
        </row>
        <row r="32616">
          <cell r="L32616" t="str">
            <v>Non-proportional</v>
          </cell>
          <cell r="S32616">
            <v>-47981.71</v>
          </cell>
          <cell r="X32616" t="str">
            <v>GWP - gross</v>
          </cell>
          <cell r="Y32616" t="str">
            <v>COLOMBIA</v>
          </cell>
        </row>
        <row r="32617">
          <cell r="L32617" t="str">
            <v>Non-proportional</v>
          </cell>
          <cell r="S32617">
            <v>-11913.48</v>
          </cell>
          <cell r="X32617" t="str">
            <v>GWP - gross</v>
          </cell>
          <cell r="Y32617" t="str">
            <v>BRAZIL</v>
          </cell>
        </row>
        <row r="32618">
          <cell r="L32618" t="str">
            <v>Non-proportional</v>
          </cell>
          <cell r="S32618">
            <v>-6582.93</v>
          </cell>
          <cell r="X32618" t="str">
            <v>GWP - gross</v>
          </cell>
          <cell r="Y32618" t="str">
            <v>CHILE</v>
          </cell>
        </row>
        <row r="32619">
          <cell r="L32619" t="str">
            <v>Non-proportional</v>
          </cell>
          <cell r="S32619">
            <v>74104.83</v>
          </cell>
          <cell r="X32619" t="str">
            <v>GWP - gross</v>
          </cell>
          <cell r="Y32619" t="str">
            <v>AUSTRALIA</v>
          </cell>
        </row>
        <row r="32620">
          <cell r="L32620" t="str">
            <v>Non-proportional</v>
          </cell>
          <cell r="S32620">
            <v>31352.04</v>
          </cell>
          <cell r="X32620" t="str">
            <v>GWP - gross</v>
          </cell>
          <cell r="Y32620" t="str">
            <v>AUSTRALIA</v>
          </cell>
        </row>
        <row r="32621">
          <cell r="L32621" t="str">
            <v>Non-proportional</v>
          </cell>
          <cell r="S32621">
            <v>-153530.01</v>
          </cell>
          <cell r="X32621" t="str">
            <v>GWP - gross</v>
          </cell>
          <cell r="Y32621" t="str">
            <v>AUSTRALIA</v>
          </cell>
        </row>
        <row r="32622">
          <cell r="L32622" t="str">
            <v>Non-proportional</v>
          </cell>
          <cell r="S32622">
            <v>-1445.28</v>
          </cell>
          <cell r="X32622" t="str">
            <v>GWP - gross</v>
          </cell>
          <cell r="Y32622" t="str">
            <v>UNITED KINGDOM</v>
          </cell>
        </row>
        <row r="32623">
          <cell r="L32623" t="str">
            <v>Proportional</v>
          </cell>
          <cell r="S32623">
            <v>-28871.85</v>
          </cell>
          <cell r="X32623" t="str">
            <v>GWP - gross</v>
          </cell>
          <cell r="Y32623" t="str">
            <v>CHILE</v>
          </cell>
        </row>
        <row r="32624">
          <cell r="L32624" t="str">
            <v>Non-proportional</v>
          </cell>
          <cell r="S32624">
            <v>-35492.75</v>
          </cell>
          <cell r="X32624" t="str">
            <v>GWP - gross</v>
          </cell>
          <cell r="Y32624" t="str">
            <v>JAPAN</v>
          </cell>
        </row>
        <row r="32625">
          <cell r="L32625" t="str">
            <v>Non-proportional</v>
          </cell>
          <cell r="S32625">
            <v>3642.06</v>
          </cell>
          <cell r="X32625" t="str">
            <v>GWP - gross</v>
          </cell>
          <cell r="Y32625" t="str">
            <v>PERU</v>
          </cell>
        </row>
        <row r="32626">
          <cell r="L32626" t="str">
            <v>Non-proportional</v>
          </cell>
          <cell r="S32626">
            <v>-42944.32</v>
          </cell>
          <cell r="X32626" t="str">
            <v>GWP - gross</v>
          </cell>
          <cell r="Y32626" t="str">
            <v>THAILAND</v>
          </cell>
        </row>
        <row r="32627">
          <cell r="L32627" t="str">
            <v>Non-proportional</v>
          </cell>
          <cell r="S32627">
            <v>304416.95</v>
          </cell>
          <cell r="X32627" t="str">
            <v>GWP - gross</v>
          </cell>
          <cell r="Y32627" t="str">
            <v>UNITED KINGDOM</v>
          </cell>
        </row>
        <row r="32628">
          <cell r="L32628" t="str">
            <v>Proportional</v>
          </cell>
          <cell r="S32628">
            <v>24415.01</v>
          </cell>
          <cell r="X32628" t="str">
            <v>GWP - gross</v>
          </cell>
          <cell r="Y32628" t="str">
            <v>CHILE</v>
          </cell>
        </row>
        <row r="32629">
          <cell r="L32629" t="str">
            <v>Proportional</v>
          </cell>
          <cell r="S32629">
            <v>220.98</v>
          </cell>
          <cell r="X32629" t="str">
            <v>GWP - gross</v>
          </cell>
          <cell r="Y32629" t="str">
            <v>CHILE</v>
          </cell>
        </row>
        <row r="32630">
          <cell r="L32630" t="str">
            <v>Non-proportional</v>
          </cell>
          <cell r="S32630">
            <v>-14249.87</v>
          </cell>
          <cell r="X32630" t="str">
            <v>GWP - gross</v>
          </cell>
          <cell r="Y32630" t="str">
            <v>UNITED ARAB EMIRATES</v>
          </cell>
        </row>
        <row r="32631">
          <cell r="L32631" t="str">
            <v>Non-proportional</v>
          </cell>
          <cell r="S32631">
            <v>-36139.53</v>
          </cell>
          <cell r="X32631" t="str">
            <v>GWP - gross</v>
          </cell>
          <cell r="Y32631" t="str">
            <v>COLOMBIA</v>
          </cell>
        </row>
        <row r="32632">
          <cell r="L32632" t="str">
            <v>Non-proportional</v>
          </cell>
          <cell r="S32632">
            <v>-14187.56</v>
          </cell>
          <cell r="X32632" t="str">
            <v>GWP - gross</v>
          </cell>
          <cell r="Y32632" t="str">
            <v>AUSTRALIA</v>
          </cell>
        </row>
        <row r="32633">
          <cell r="L32633" t="str">
            <v>Non-proportional</v>
          </cell>
          <cell r="S32633">
            <v>1285.74</v>
          </cell>
          <cell r="X32633" t="str">
            <v>GWP - gross</v>
          </cell>
          <cell r="Y32633" t="str">
            <v>JAPAN</v>
          </cell>
        </row>
        <row r="32634">
          <cell r="L32634" t="str">
            <v>Non-proportional</v>
          </cell>
          <cell r="S32634">
            <v>-11284.88</v>
          </cell>
          <cell r="X32634" t="str">
            <v>GWP - gross</v>
          </cell>
          <cell r="Y32634" t="str">
            <v>DENMARK</v>
          </cell>
        </row>
        <row r="32635">
          <cell r="L32635" t="str">
            <v>Non-proportional</v>
          </cell>
          <cell r="S32635">
            <v>-30227.279999999999</v>
          </cell>
          <cell r="X32635" t="str">
            <v>GWP - gross</v>
          </cell>
          <cell r="Y32635" t="str">
            <v>THAILAND</v>
          </cell>
        </row>
        <row r="32636">
          <cell r="L32636" t="str">
            <v>Proportional</v>
          </cell>
          <cell r="S32636">
            <v>-166.28</v>
          </cell>
          <cell r="X32636" t="str">
            <v>GWP - gross</v>
          </cell>
          <cell r="Y32636" t="str">
            <v>JAPAN</v>
          </cell>
        </row>
        <row r="32637">
          <cell r="L32637" t="str">
            <v>Proportional</v>
          </cell>
          <cell r="S32637">
            <v>-302.72000000000003</v>
          </cell>
          <cell r="X32637" t="str">
            <v>GWP - gross</v>
          </cell>
          <cell r="Y32637" t="str">
            <v>CHILE</v>
          </cell>
        </row>
        <row r="32638">
          <cell r="L32638" t="str">
            <v>Non-proportional</v>
          </cell>
          <cell r="S32638">
            <v>-31341.27</v>
          </cell>
          <cell r="X32638" t="str">
            <v>GWP - gross</v>
          </cell>
          <cell r="Y32638" t="str">
            <v>BELIZE</v>
          </cell>
        </row>
        <row r="32639">
          <cell r="L32639" t="str">
            <v>Proportional</v>
          </cell>
          <cell r="S32639">
            <v>-62845.72</v>
          </cell>
          <cell r="X32639" t="str">
            <v>GWP - gross</v>
          </cell>
          <cell r="Y32639" t="str">
            <v>PORTUGAL</v>
          </cell>
        </row>
        <row r="32640">
          <cell r="L32640" t="str">
            <v>Proportional</v>
          </cell>
          <cell r="S32640">
            <v>17760607.100000001</v>
          </cell>
          <cell r="X32640" t="str">
            <v>GWP - gross</v>
          </cell>
          <cell r="Y32640" t="str">
            <v>ITALY</v>
          </cell>
        </row>
        <row r="32641">
          <cell r="L32641" t="str">
            <v>Non-proportional</v>
          </cell>
          <cell r="S32641">
            <v>-47655.45</v>
          </cell>
          <cell r="X32641" t="str">
            <v>GWP - gross</v>
          </cell>
          <cell r="Y32641" t="str">
            <v>DOMINICAN REPUBLIC</v>
          </cell>
        </row>
        <row r="32642">
          <cell r="L32642" t="str">
            <v>Non-proportional</v>
          </cell>
          <cell r="S32642">
            <v>-134934.66</v>
          </cell>
          <cell r="X32642" t="str">
            <v>GWP - gross</v>
          </cell>
          <cell r="Y32642" t="str">
            <v>AUSTRALIA</v>
          </cell>
        </row>
        <row r="32643">
          <cell r="L32643" t="str">
            <v>Non-proportional</v>
          </cell>
          <cell r="S32643">
            <v>-24583.77</v>
          </cell>
          <cell r="X32643" t="str">
            <v>GWP - gross</v>
          </cell>
          <cell r="Y32643" t="str">
            <v>UNITED KINGDOM</v>
          </cell>
        </row>
        <row r="32644">
          <cell r="L32644" t="str">
            <v>Non-proportional</v>
          </cell>
          <cell r="S32644">
            <v>-31410.21</v>
          </cell>
          <cell r="X32644" t="str">
            <v>GWP - gross</v>
          </cell>
          <cell r="Y32644" t="str">
            <v>DOMINICAN REPUBLIC</v>
          </cell>
        </row>
        <row r="32645">
          <cell r="L32645" t="str">
            <v>Proportional</v>
          </cell>
          <cell r="S32645">
            <v>-35.78</v>
          </cell>
          <cell r="X32645" t="str">
            <v>GWP - gross</v>
          </cell>
          <cell r="Y32645" t="str">
            <v>CHILE</v>
          </cell>
        </row>
        <row r="32646">
          <cell r="L32646" t="str">
            <v>Non-proportional</v>
          </cell>
          <cell r="S32646">
            <v>-9654.85</v>
          </cell>
          <cell r="X32646" t="str">
            <v>GWP - gross</v>
          </cell>
          <cell r="Y32646" t="str">
            <v>EUROPE</v>
          </cell>
        </row>
        <row r="32647">
          <cell r="L32647" t="str">
            <v>Proportional</v>
          </cell>
          <cell r="S32647">
            <v>102811.15</v>
          </cell>
          <cell r="X32647" t="str">
            <v>GWP - gross</v>
          </cell>
          <cell r="Y32647" t="str">
            <v>JAPAN</v>
          </cell>
        </row>
        <row r="32648">
          <cell r="L32648" t="str">
            <v>Non-proportional</v>
          </cell>
          <cell r="S32648">
            <v>-121717.7</v>
          </cell>
          <cell r="X32648" t="str">
            <v>GWP - gross</v>
          </cell>
          <cell r="Y32648" t="str">
            <v>PERU</v>
          </cell>
        </row>
        <row r="32649">
          <cell r="L32649" t="str">
            <v>Non-proportional</v>
          </cell>
          <cell r="S32649">
            <v>909348.03</v>
          </cell>
          <cell r="X32649" t="str">
            <v>GWP - gross</v>
          </cell>
          <cell r="Y32649" t="str">
            <v>UNITED KINGDOM</v>
          </cell>
        </row>
        <row r="32650">
          <cell r="L32650" t="str">
            <v>Proportional</v>
          </cell>
          <cell r="S32650">
            <v>7875.12</v>
          </cell>
          <cell r="X32650" t="str">
            <v>GWP - gross</v>
          </cell>
          <cell r="Y32650" t="str">
            <v>SWITZERLAND</v>
          </cell>
        </row>
        <row r="32651">
          <cell r="L32651" t="str">
            <v>Non-proportional</v>
          </cell>
          <cell r="S32651">
            <v>-75000</v>
          </cell>
          <cell r="X32651" t="str">
            <v>GWP - gross</v>
          </cell>
          <cell r="Y32651" t="str">
            <v>SPAIN</v>
          </cell>
        </row>
        <row r="32652">
          <cell r="L32652" t="str">
            <v>Non-proportional</v>
          </cell>
          <cell r="S32652">
            <v>27914.560000000001</v>
          </cell>
          <cell r="X32652" t="str">
            <v>GWP - gross</v>
          </cell>
          <cell r="Y32652" t="str">
            <v>ECUADOR</v>
          </cell>
        </row>
        <row r="32653">
          <cell r="L32653" t="str">
            <v>Proportional</v>
          </cell>
          <cell r="S32653">
            <v>451653.72</v>
          </cell>
          <cell r="X32653" t="str">
            <v>GWP - gross</v>
          </cell>
          <cell r="Y32653" t="str">
            <v>PORTUGAL</v>
          </cell>
        </row>
        <row r="32654">
          <cell r="L32654" t="str">
            <v>Non-proportional</v>
          </cell>
          <cell r="S32654">
            <v>-48909.79</v>
          </cell>
          <cell r="X32654" t="str">
            <v>GWP - gross</v>
          </cell>
          <cell r="Y32654" t="str">
            <v>UNITED KINGDOM</v>
          </cell>
        </row>
        <row r="32655">
          <cell r="L32655" t="str">
            <v>Proportional</v>
          </cell>
          <cell r="S32655">
            <v>30721.71</v>
          </cell>
          <cell r="X32655" t="str">
            <v>GWP - gross</v>
          </cell>
          <cell r="Y32655" t="str">
            <v>CHILE</v>
          </cell>
        </row>
        <row r="32656">
          <cell r="L32656" t="str">
            <v>Proportional</v>
          </cell>
          <cell r="S32656">
            <v>911451.17</v>
          </cell>
          <cell r="X32656" t="str">
            <v>GWP - gross</v>
          </cell>
          <cell r="Y32656" t="str">
            <v>PORTUGAL</v>
          </cell>
        </row>
        <row r="32657">
          <cell r="L32657" t="str">
            <v>Non-proportional</v>
          </cell>
          <cell r="S32657">
            <v>-20033.150000000001</v>
          </cell>
          <cell r="X32657" t="str">
            <v>GWP - gross</v>
          </cell>
          <cell r="Y32657" t="str">
            <v>DOMINICAN REPUBLIC</v>
          </cell>
        </row>
        <row r="32658">
          <cell r="L32658" t="str">
            <v>Proportional</v>
          </cell>
          <cell r="S32658">
            <v>112.16</v>
          </cell>
          <cell r="X32658" t="str">
            <v>GWP - gross</v>
          </cell>
          <cell r="Y32658" t="str">
            <v>CHILE</v>
          </cell>
        </row>
        <row r="32659">
          <cell r="L32659" t="str">
            <v>Non-proportional</v>
          </cell>
          <cell r="S32659">
            <v>-987.81</v>
          </cell>
          <cell r="X32659" t="str">
            <v>GWP - gross</v>
          </cell>
          <cell r="Y32659" t="str">
            <v>JAPAN</v>
          </cell>
        </row>
        <row r="32660">
          <cell r="L32660" t="str">
            <v>Non-proportional</v>
          </cell>
          <cell r="S32660">
            <v>-304019.82</v>
          </cell>
          <cell r="X32660" t="str">
            <v>GWP - gross</v>
          </cell>
          <cell r="Y32660" t="str">
            <v>AUSTRALIA</v>
          </cell>
        </row>
        <row r="32661">
          <cell r="L32661" t="str">
            <v>Non-proportional</v>
          </cell>
          <cell r="S32661">
            <v>-28805</v>
          </cell>
          <cell r="X32661" t="str">
            <v>GWP - gross</v>
          </cell>
          <cell r="Y32661" t="str">
            <v>UNITED ARAB EMIRATES</v>
          </cell>
        </row>
        <row r="32662">
          <cell r="L32662" t="str">
            <v>Non-proportional</v>
          </cell>
          <cell r="S32662">
            <v>-27491.86</v>
          </cell>
          <cell r="X32662" t="str">
            <v>GWP - gross</v>
          </cell>
          <cell r="Y32662" t="str">
            <v>DENMARK</v>
          </cell>
        </row>
        <row r="32663">
          <cell r="L32663" t="str">
            <v>Non-proportional</v>
          </cell>
          <cell r="S32663">
            <v>-21238.86</v>
          </cell>
          <cell r="X32663" t="str">
            <v>GWP - gross</v>
          </cell>
          <cell r="Y32663" t="str">
            <v>PERU</v>
          </cell>
        </row>
        <row r="32664">
          <cell r="L32664" t="str">
            <v>Non-proportional</v>
          </cell>
          <cell r="S32664">
            <v>-52505.35</v>
          </cell>
          <cell r="X32664" t="str">
            <v>GWP - gross</v>
          </cell>
          <cell r="Y32664" t="str">
            <v>THAILAND</v>
          </cell>
        </row>
        <row r="32665">
          <cell r="L32665" t="str">
            <v>Proportional</v>
          </cell>
          <cell r="S32665">
            <v>-63136.1</v>
          </cell>
          <cell r="X32665" t="str">
            <v>GWP - gross</v>
          </cell>
          <cell r="Y32665" t="str">
            <v>SWITZERLAND</v>
          </cell>
        </row>
        <row r="32666">
          <cell r="L32666" t="str">
            <v>Proportional</v>
          </cell>
          <cell r="S32666">
            <v>-32377.97</v>
          </cell>
          <cell r="X32666" t="str">
            <v>GWP - gross</v>
          </cell>
          <cell r="Y32666" t="str">
            <v>CHILE</v>
          </cell>
        </row>
        <row r="32667">
          <cell r="L32667" t="str">
            <v>Non-proportional</v>
          </cell>
          <cell r="S32667">
            <v>-52473.27</v>
          </cell>
          <cell r="X32667" t="str">
            <v>GWP - gross</v>
          </cell>
          <cell r="Y32667" t="str">
            <v>THAILAND</v>
          </cell>
        </row>
        <row r="32668">
          <cell r="L32668" t="str">
            <v>Proportional</v>
          </cell>
          <cell r="S32668">
            <v>-28976.639999999999</v>
          </cell>
          <cell r="X32668" t="str">
            <v>GWP - gross</v>
          </cell>
          <cell r="Y32668" t="str">
            <v>PORTUGAL</v>
          </cell>
        </row>
        <row r="32669">
          <cell r="L32669" t="str">
            <v>Non-proportional</v>
          </cell>
          <cell r="S32669">
            <v>-3896.87</v>
          </cell>
          <cell r="X32669" t="str">
            <v>GWP - gross</v>
          </cell>
          <cell r="Y32669" t="str">
            <v>JAPAN</v>
          </cell>
        </row>
        <row r="32670">
          <cell r="L32670" t="str">
            <v>Proportional</v>
          </cell>
          <cell r="S32670">
            <v>-4579.43</v>
          </cell>
          <cell r="X32670" t="str">
            <v>GWP - gross</v>
          </cell>
          <cell r="Y32670" t="str">
            <v>CHILE</v>
          </cell>
        </row>
        <row r="32671">
          <cell r="L32671" t="str">
            <v>Non-proportional</v>
          </cell>
          <cell r="S32671">
            <v>26647.03</v>
          </cell>
          <cell r="X32671" t="str">
            <v>GWP - gross</v>
          </cell>
          <cell r="Y32671" t="str">
            <v>BELIZE</v>
          </cell>
        </row>
        <row r="32672">
          <cell r="L32672" t="str">
            <v>Non-proportional</v>
          </cell>
          <cell r="S32672">
            <v>345780.3</v>
          </cell>
          <cell r="X32672" t="str">
            <v>GWP - gross</v>
          </cell>
          <cell r="Y32672" t="str">
            <v>AUSTRALIA</v>
          </cell>
        </row>
        <row r="32673">
          <cell r="L32673" t="str">
            <v>Non-proportional</v>
          </cell>
          <cell r="S32673">
            <v>62577.41</v>
          </cell>
          <cell r="X32673" t="str">
            <v>GWP - gross</v>
          </cell>
          <cell r="Y32673" t="str">
            <v>AUSTRALIA</v>
          </cell>
        </row>
        <row r="32674">
          <cell r="L32674" t="str">
            <v>Non-proportional</v>
          </cell>
          <cell r="S32674">
            <v>-47439.28</v>
          </cell>
          <cell r="X32674" t="str">
            <v>GWP - gross</v>
          </cell>
          <cell r="Y32674" t="str">
            <v>SPAIN</v>
          </cell>
        </row>
        <row r="32675">
          <cell r="L32675" t="str">
            <v>Proportional</v>
          </cell>
          <cell r="S32675">
            <v>286.20999999999998</v>
          </cell>
          <cell r="X32675" t="str">
            <v>GWP - gross</v>
          </cell>
          <cell r="Y32675" t="str">
            <v>CHILE</v>
          </cell>
        </row>
        <row r="32676">
          <cell r="L32676" t="str">
            <v>Non-proportional</v>
          </cell>
          <cell r="S32676">
            <v>-7473.51</v>
          </cell>
          <cell r="X32676" t="str">
            <v>GWP - gross</v>
          </cell>
          <cell r="Y32676" t="str">
            <v>DENMARK</v>
          </cell>
        </row>
        <row r="32677">
          <cell r="L32677" t="str">
            <v>Non-proportional</v>
          </cell>
          <cell r="S32677">
            <v>-41757.01</v>
          </cell>
          <cell r="X32677" t="str">
            <v>GWP - gross</v>
          </cell>
          <cell r="Y32677" t="str">
            <v>DOMINICAN REPUBLIC</v>
          </cell>
        </row>
        <row r="32678">
          <cell r="L32678" t="str">
            <v>Non-proportional</v>
          </cell>
          <cell r="S32678">
            <v>595673.94999999995</v>
          </cell>
          <cell r="X32678" t="str">
            <v>GWP - gross</v>
          </cell>
          <cell r="Y32678" t="str">
            <v>BRAZIL</v>
          </cell>
        </row>
        <row r="32679">
          <cell r="L32679" t="str">
            <v>Non-proportional</v>
          </cell>
          <cell r="S32679">
            <v>-16721.09</v>
          </cell>
          <cell r="X32679" t="str">
            <v>GWP - gross</v>
          </cell>
          <cell r="Y32679" t="str">
            <v>AUSTRALIA</v>
          </cell>
        </row>
        <row r="32680">
          <cell r="L32680" t="str">
            <v>Non-proportional</v>
          </cell>
          <cell r="S32680">
            <v>-70866.899999999994</v>
          </cell>
          <cell r="X32680" t="str">
            <v>GWP - gross</v>
          </cell>
          <cell r="Y32680" t="str">
            <v>SPAIN</v>
          </cell>
        </row>
        <row r="32681">
          <cell r="L32681" t="str">
            <v>Non-proportional</v>
          </cell>
          <cell r="S32681">
            <v>7445.92</v>
          </cell>
          <cell r="X32681" t="str">
            <v>GWP - gross</v>
          </cell>
          <cell r="Y32681" t="str">
            <v>BRAZIL</v>
          </cell>
        </row>
        <row r="32682">
          <cell r="L32682" t="str">
            <v>Non-proportional</v>
          </cell>
          <cell r="S32682">
            <v>74086.03</v>
          </cell>
          <cell r="X32682" t="str">
            <v>GWP - gross</v>
          </cell>
          <cell r="Y32682" t="str">
            <v>COLOMBIA</v>
          </cell>
        </row>
        <row r="32683">
          <cell r="L32683" t="str">
            <v>Non-proportional</v>
          </cell>
          <cell r="S32683">
            <v>-75000</v>
          </cell>
          <cell r="X32683" t="str">
            <v>GWP - gross</v>
          </cell>
          <cell r="Y32683" t="str">
            <v>SPAIN</v>
          </cell>
        </row>
        <row r="32684">
          <cell r="L32684" t="str">
            <v>Non-proportional</v>
          </cell>
          <cell r="S32684">
            <v>-31352.04</v>
          </cell>
          <cell r="X32684" t="str">
            <v>GWP - gross</v>
          </cell>
          <cell r="Y32684" t="str">
            <v>AUSTRALIA</v>
          </cell>
        </row>
        <row r="32685">
          <cell r="L32685" t="str">
            <v>Proportional</v>
          </cell>
          <cell r="S32685">
            <v>-4829.8599999999997</v>
          </cell>
          <cell r="X32685" t="str">
            <v>GWP - gross</v>
          </cell>
          <cell r="Y32685" t="str">
            <v>CHILE</v>
          </cell>
        </row>
        <row r="32686">
          <cell r="L32686" t="str">
            <v>Proportional</v>
          </cell>
          <cell r="S32686">
            <v>72152.09</v>
          </cell>
          <cell r="X32686" t="str">
            <v>GWP - gross</v>
          </cell>
          <cell r="Y32686" t="str">
            <v>CANADA</v>
          </cell>
        </row>
        <row r="32687">
          <cell r="L32687" t="str">
            <v>Non-proportional</v>
          </cell>
          <cell r="S32687">
            <v>-57352.79</v>
          </cell>
          <cell r="X32687" t="str">
            <v>GWP - gross</v>
          </cell>
          <cell r="Y32687" t="str">
            <v>SPAIN</v>
          </cell>
        </row>
        <row r="32688">
          <cell r="L32688" t="str">
            <v>Non-proportional</v>
          </cell>
          <cell r="S32688">
            <v>32010.7</v>
          </cell>
          <cell r="X32688" t="str">
            <v>GWP - gross</v>
          </cell>
          <cell r="Y32688" t="str">
            <v>THAILAND</v>
          </cell>
        </row>
        <row r="32689">
          <cell r="L32689" t="str">
            <v>Non-proportional</v>
          </cell>
          <cell r="S32689">
            <v>-26455.75</v>
          </cell>
          <cell r="X32689" t="str">
            <v>GWP - gross</v>
          </cell>
          <cell r="Y32689" t="str">
            <v>MEXICO</v>
          </cell>
        </row>
        <row r="32690">
          <cell r="L32690" t="str">
            <v>Non-proportional</v>
          </cell>
          <cell r="S32690">
            <v>54910</v>
          </cell>
          <cell r="X32690" t="str">
            <v>GWP - gross</v>
          </cell>
          <cell r="Y32690" t="str">
            <v>TURKEY</v>
          </cell>
        </row>
        <row r="32691">
          <cell r="L32691" t="str">
            <v>Non-proportional</v>
          </cell>
          <cell r="S32691">
            <v>52473.27</v>
          </cell>
          <cell r="X32691" t="str">
            <v>GWP - gross</v>
          </cell>
          <cell r="Y32691" t="str">
            <v>THAILAND</v>
          </cell>
        </row>
        <row r="32692">
          <cell r="L32692" t="str">
            <v>Non-proportional</v>
          </cell>
          <cell r="S32692">
            <v>-7774.01</v>
          </cell>
          <cell r="X32692" t="str">
            <v>GWP - gross</v>
          </cell>
          <cell r="Y32692" t="str">
            <v>DENMARK</v>
          </cell>
        </row>
        <row r="32693">
          <cell r="L32693" t="str">
            <v>Non-proportional</v>
          </cell>
          <cell r="S32693">
            <v>-30048.36</v>
          </cell>
          <cell r="X32693" t="str">
            <v>GWP - gross</v>
          </cell>
          <cell r="Y32693" t="str">
            <v>DOMINICAN REPUBLIC</v>
          </cell>
        </row>
        <row r="32694">
          <cell r="L32694" t="str">
            <v>Proportional</v>
          </cell>
          <cell r="S32694">
            <v>23.32</v>
          </cell>
          <cell r="X32694" t="str">
            <v>GWP - gross</v>
          </cell>
          <cell r="Y32694" t="str">
            <v>Malaysia</v>
          </cell>
        </row>
        <row r="32695">
          <cell r="L32695" t="str">
            <v>Non-proportional</v>
          </cell>
          <cell r="S32695">
            <v>22836.9</v>
          </cell>
          <cell r="X32695" t="str">
            <v>GWP - gross</v>
          </cell>
          <cell r="Y32695" t="str">
            <v>THAILAND</v>
          </cell>
        </row>
        <row r="32696">
          <cell r="L32696" t="str">
            <v>Proportional</v>
          </cell>
          <cell r="S32696">
            <v>-25277</v>
          </cell>
          <cell r="X32696" t="str">
            <v>GWP - gross</v>
          </cell>
          <cell r="Y32696" t="str">
            <v>FRANCE</v>
          </cell>
        </row>
        <row r="32697">
          <cell r="L32697" t="str">
            <v>Non-proportional</v>
          </cell>
          <cell r="S32697">
            <v>-6279.74</v>
          </cell>
          <cell r="X32697" t="str">
            <v>GWP - gross</v>
          </cell>
          <cell r="Y32697" t="str">
            <v>DENMARK</v>
          </cell>
        </row>
        <row r="32698">
          <cell r="L32698" t="str">
            <v>Non-proportional</v>
          </cell>
          <cell r="S32698">
            <v>14448.28</v>
          </cell>
          <cell r="X32698" t="str">
            <v>GWP - gross</v>
          </cell>
          <cell r="Y32698" t="str">
            <v>ECUADOR</v>
          </cell>
        </row>
        <row r="32699">
          <cell r="L32699" t="str">
            <v>Non-proportional</v>
          </cell>
          <cell r="S32699">
            <v>-26470.59</v>
          </cell>
          <cell r="X32699" t="str">
            <v>GWP - gross</v>
          </cell>
          <cell r="Y32699" t="str">
            <v>THAILAND</v>
          </cell>
        </row>
        <row r="32700">
          <cell r="L32700" t="str">
            <v>Non-proportional</v>
          </cell>
          <cell r="S32700">
            <v>-141406.85999999999</v>
          </cell>
          <cell r="X32700" t="str">
            <v>GWP - gross</v>
          </cell>
          <cell r="Y32700" t="str">
            <v>AUSTRALIA</v>
          </cell>
        </row>
        <row r="32701">
          <cell r="L32701" t="str">
            <v>Non-proportional</v>
          </cell>
          <cell r="S32701">
            <v>-41169.86</v>
          </cell>
          <cell r="X32701" t="str">
            <v>GWP - gross</v>
          </cell>
          <cell r="Y32701" t="str">
            <v>AUSTRALIA</v>
          </cell>
        </row>
        <row r="32702">
          <cell r="L32702" t="str">
            <v>Non-proportional</v>
          </cell>
          <cell r="S32702">
            <v>-27336.66</v>
          </cell>
          <cell r="X32702" t="str">
            <v>GWP - gross</v>
          </cell>
          <cell r="Y32702" t="str">
            <v>DOMINICAN REPUBLIC</v>
          </cell>
        </row>
        <row r="32703">
          <cell r="L32703" t="str">
            <v>Proportional</v>
          </cell>
          <cell r="S32703">
            <v>-3971.22</v>
          </cell>
          <cell r="X32703" t="str">
            <v>GWP - gross</v>
          </cell>
          <cell r="Y32703" t="str">
            <v>CHILE</v>
          </cell>
        </row>
        <row r="32704">
          <cell r="L32704" t="str">
            <v>Non-proportional</v>
          </cell>
          <cell r="S32704">
            <v>-8444.99</v>
          </cell>
          <cell r="X32704" t="str">
            <v>GWP - gross</v>
          </cell>
          <cell r="Y32704" t="str">
            <v>AUSTRALIA</v>
          </cell>
        </row>
        <row r="32705">
          <cell r="L32705" t="str">
            <v>Non-proportional</v>
          </cell>
          <cell r="S32705">
            <v>-31815.51</v>
          </cell>
          <cell r="X32705" t="str">
            <v>GWP - gross</v>
          </cell>
          <cell r="Y32705" t="str">
            <v>THAILAND</v>
          </cell>
        </row>
        <row r="32706">
          <cell r="L32706" t="str">
            <v>Non-proportional</v>
          </cell>
          <cell r="S32706">
            <v>-27315.35</v>
          </cell>
          <cell r="X32706" t="str">
            <v>GWP - gross</v>
          </cell>
          <cell r="Y32706" t="str">
            <v>UNITED KINGDOM</v>
          </cell>
        </row>
        <row r="32707">
          <cell r="L32707" t="str">
            <v>Non-proportional</v>
          </cell>
          <cell r="S32707">
            <v>-39813.120000000003</v>
          </cell>
          <cell r="X32707" t="str">
            <v>GWP - gross</v>
          </cell>
          <cell r="Y32707" t="str">
            <v>ECUADOR</v>
          </cell>
        </row>
        <row r="32708">
          <cell r="L32708" t="str">
            <v>Non-proportional</v>
          </cell>
          <cell r="S32708">
            <v>-59945.71</v>
          </cell>
          <cell r="X32708" t="str">
            <v>GWP - gross</v>
          </cell>
          <cell r="Y32708" t="str">
            <v>COLOMBIA</v>
          </cell>
        </row>
        <row r="32709">
          <cell r="L32709" t="str">
            <v>Non-proportional</v>
          </cell>
          <cell r="S32709">
            <v>121717.7</v>
          </cell>
          <cell r="X32709" t="str">
            <v>GWP - gross</v>
          </cell>
          <cell r="Y32709" t="str">
            <v>PERU</v>
          </cell>
        </row>
        <row r="32710">
          <cell r="L32710" t="str">
            <v>Non-proportional</v>
          </cell>
          <cell r="S32710">
            <v>16721.09</v>
          </cell>
          <cell r="X32710" t="str">
            <v>GWP - gross</v>
          </cell>
          <cell r="Y32710" t="str">
            <v>AUSTRALIA</v>
          </cell>
        </row>
        <row r="32711">
          <cell r="L32711" t="str">
            <v>Proportional</v>
          </cell>
          <cell r="S32711">
            <v>-107573.87</v>
          </cell>
          <cell r="X32711" t="str">
            <v>GWP - gross</v>
          </cell>
          <cell r="Y32711" t="str">
            <v>JAPAN</v>
          </cell>
        </row>
        <row r="32712">
          <cell r="L32712" t="str">
            <v>Non-proportional</v>
          </cell>
          <cell r="S32712">
            <v>-23399.61</v>
          </cell>
          <cell r="X32712" t="str">
            <v>GWP - gross</v>
          </cell>
          <cell r="Y32712" t="str">
            <v>ITALY</v>
          </cell>
        </row>
        <row r="32713">
          <cell r="L32713" t="str">
            <v>Non-proportional</v>
          </cell>
          <cell r="S32713">
            <v>-30401.98</v>
          </cell>
          <cell r="X32713" t="str">
            <v>GWP - gross</v>
          </cell>
          <cell r="Y32713" t="str">
            <v>AUSTRALIA</v>
          </cell>
        </row>
        <row r="32714">
          <cell r="L32714" t="str">
            <v>Non-proportional</v>
          </cell>
          <cell r="S32714">
            <v>3381.39</v>
          </cell>
          <cell r="X32714" t="str">
            <v>GWP - gross</v>
          </cell>
          <cell r="Y32714" t="str">
            <v>JAPAN</v>
          </cell>
        </row>
        <row r="32715">
          <cell r="L32715" t="str">
            <v>Non-proportional</v>
          </cell>
          <cell r="S32715">
            <v>-135118.71</v>
          </cell>
          <cell r="X32715" t="str">
            <v>GWP - gross</v>
          </cell>
          <cell r="Y32715" t="str">
            <v>AUSTRALIA</v>
          </cell>
        </row>
        <row r="32716">
          <cell r="L32716" t="str">
            <v>Non-proportional</v>
          </cell>
          <cell r="S32716">
            <v>-32010.7</v>
          </cell>
          <cell r="X32716" t="str">
            <v>GWP - gross</v>
          </cell>
          <cell r="Y32716" t="str">
            <v>THAILAND</v>
          </cell>
        </row>
        <row r="32717">
          <cell r="L32717" t="str">
            <v>Non-proportional</v>
          </cell>
          <cell r="S32717">
            <v>3154.58</v>
          </cell>
          <cell r="X32717" t="str">
            <v>GWP - gross</v>
          </cell>
          <cell r="Y32717" t="str">
            <v>FINLAND</v>
          </cell>
        </row>
        <row r="32718">
          <cell r="L32718" t="str">
            <v>Non-proportional</v>
          </cell>
          <cell r="S32718">
            <v>-33780.449999999997</v>
          </cell>
          <cell r="X32718" t="str">
            <v>GWP - gross</v>
          </cell>
          <cell r="Y32718" t="str">
            <v>AUSTRALIA</v>
          </cell>
        </row>
        <row r="32719">
          <cell r="L32719" t="str">
            <v>Non-proportional</v>
          </cell>
          <cell r="S32719">
            <v>-226073.39</v>
          </cell>
          <cell r="X32719" t="str">
            <v>GWP - gross</v>
          </cell>
          <cell r="Y32719" t="str">
            <v>CHILE</v>
          </cell>
        </row>
        <row r="32720">
          <cell r="L32720" t="str">
            <v>Proportional</v>
          </cell>
          <cell r="S32720">
            <v>-725152.52</v>
          </cell>
          <cell r="X32720" t="str">
            <v>GWP - gross</v>
          </cell>
          <cell r="Y32720" t="str">
            <v>CANADA</v>
          </cell>
        </row>
        <row r="32721">
          <cell r="L32721" t="str">
            <v>Proportional</v>
          </cell>
          <cell r="S32721">
            <v>-213555.62</v>
          </cell>
          <cell r="X32721" t="str">
            <v>GWP - gross</v>
          </cell>
          <cell r="Y32721" t="str">
            <v>MEXICO</v>
          </cell>
        </row>
        <row r="32722">
          <cell r="L32722" t="str">
            <v>Non-proportional</v>
          </cell>
          <cell r="S32722">
            <v>-1544.96</v>
          </cell>
          <cell r="X32722" t="str">
            <v>GWP - gross</v>
          </cell>
          <cell r="Y32722" t="str">
            <v>AUSTRALIA</v>
          </cell>
        </row>
        <row r="32723">
          <cell r="L32723" t="str">
            <v>Non-proportional</v>
          </cell>
          <cell r="S32723">
            <v>-106150.62</v>
          </cell>
          <cell r="X32723" t="str">
            <v>GWP - gross</v>
          </cell>
          <cell r="Y32723" t="str">
            <v>MEXICO</v>
          </cell>
        </row>
        <row r="32724">
          <cell r="L32724" t="str">
            <v>Non-proportional</v>
          </cell>
          <cell r="S32724">
            <v>26545.46</v>
          </cell>
          <cell r="X32724" t="str">
            <v>GWP - gross</v>
          </cell>
          <cell r="Y32724" t="str">
            <v>THAILAND</v>
          </cell>
        </row>
        <row r="32725">
          <cell r="L32725" t="str">
            <v>Non-proportional</v>
          </cell>
          <cell r="S32725">
            <v>-16955.22</v>
          </cell>
          <cell r="X32725" t="str">
            <v>GWP - gross</v>
          </cell>
          <cell r="Y32725" t="str">
            <v>UNITED KINGDOM</v>
          </cell>
        </row>
        <row r="32726">
          <cell r="L32726" t="str">
            <v>Non-proportional</v>
          </cell>
          <cell r="S32726">
            <v>52505.35</v>
          </cell>
          <cell r="X32726" t="str">
            <v>GWP - gross</v>
          </cell>
          <cell r="Y32726" t="str">
            <v>THAILAND</v>
          </cell>
        </row>
        <row r="32727">
          <cell r="L32727" t="str">
            <v>Proportional</v>
          </cell>
          <cell r="S32727">
            <v>26964.18</v>
          </cell>
          <cell r="X32727" t="str">
            <v>GWP - gross</v>
          </cell>
          <cell r="Y32727" t="str">
            <v>SWITZERLAND</v>
          </cell>
        </row>
        <row r="32728">
          <cell r="L32728" t="str">
            <v>Proportional</v>
          </cell>
          <cell r="S32728">
            <v>187.77</v>
          </cell>
          <cell r="X32728" t="str">
            <v>GWP - gross</v>
          </cell>
          <cell r="Y32728" t="str">
            <v>CHILE</v>
          </cell>
        </row>
        <row r="32729">
          <cell r="L32729" t="str">
            <v>Non-proportional</v>
          </cell>
          <cell r="S32729">
            <v>8850</v>
          </cell>
          <cell r="X32729" t="str">
            <v>GWP - gross</v>
          </cell>
          <cell r="Y32729" t="str">
            <v>FINLAND</v>
          </cell>
        </row>
        <row r="32730">
          <cell r="L32730" t="str">
            <v>Non-proportional</v>
          </cell>
          <cell r="S32730">
            <v>-19671.61</v>
          </cell>
          <cell r="X32730" t="str">
            <v>GWP - gross</v>
          </cell>
          <cell r="Y32730" t="str">
            <v>ECUADOR</v>
          </cell>
        </row>
        <row r="32731">
          <cell r="L32731" t="str">
            <v>Non-proportional</v>
          </cell>
          <cell r="S32731">
            <v>-31124.41</v>
          </cell>
          <cell r="X32731" t="str">
            <v>GWP - gross</v>
          </cell>
          <cell r="Y32731" t="str">
            <v>MEXICO</v>
          </cell>
        </row>
        <row r="32732">
          <cell r="L32732" t="str">
            <v>Non-proportional</v>
          </cell>
          <cell r="S32732">
            <v>-17154.46</v>
          </cell>
          <cell r="X32732" t="str">
            <v>GWP - gross</v>
          </cell>
          <cell r="Y32732" t="str">
            <v>PERU</v>
          </cell>
        </row>
        <row r="32733">
          <cell r="L32733" t="str">
            <v>Non-proportional</v>
          </cell>
          <cell r="S32733">
            <v>-22836.9</v>
          </cell>
          <cell r="X32733" t="str">
            <v>GWP - gross</v>
          </cell>
          <cell r="Y32733" t="str">
            <v>THAILAND</v>
          </cell>
        </row>
        <row r="32734">
          <cell r="L32734" t="str">
            <v>Non-proportional</v>
          </cell>
          <cell r="S32734">
            <v>-23645.99</v>
          </cell>
          <cell r="X32734" t="str">
            <v>GWP - gross</v>
          </cell>
          <cell r="Y32734" t="str">
            <v>AUSTRALIA</v>
          </cell>
        </row>
        <row r="32735">
          <cell r="L32735" t="str">
            <v>Non-proportional</v>
          </cell>
          <cell r="S32735">
            <v>-15999.67</v>
          </cell>
          <cell r="X32735" t="str">
            <v>GWP - gross</v>
          </cell>
          <cell r="Y32735" t="str">
            <v>ECUADOR</v>
          </cell>
        </row>
        <row r="32736">
          <cell r="L32736" t="str">
            <v>Non-proportional</v>
          </cell>
          <cell r="S32736">
            <v>24583.77</v>
          </cell>
          <cell r="X32736" t="str">
            <v>GWP - gross</v>
          </cell>
          <cell r="Y32736" t="str">
            <v>UNITED KINGDOM</v>
          </cell>
        </row>
        <row r="32737">
          <cell r="L32737" t="str">
            <v>Non-proportional</v>
          </cell>
          <cell r="S32737">
            <v>-8657.98</v>
          </cell>
          <cell r="X32737" t="str">
            <v>GWP - gross</v>
          </cell>
          <cell r="Y32737" t="str">
            <v>CHILE</v>
          </cell>
        </row>
        <row r="32738">
          <cell r="L32738" t="str">
            <v>Proportional</v>
          </cell>
          <cell r="S32738">
            <v>-70884.19</v>
          </cell>
          <cell r="X32738" t="str">
            <v>GWP - gross</v>
          </cell>
          <cell r="Y32738" t="str">
            <v>PORTUGAL</v>
          </cell>
        </row>
        <row r="32739">
          <cell r="L32739" t="str">
            <v>Non-proportional</v>
          </cell>
          <cell r="S32739">
            <v>19129.830000000002</v>
          </cell>
          <cell r="X32739" t="str">
            <v>GWP - gross</v>
          </cell>
          <cell r="Y32739" t="str">
            <v>PERU</v>
          </cell>
        </row>
        <row r="32740">
          <cell r="L32740" t="str">
            <v>Proportional</v>
          </cell>
          <cell r="S32740">
            <v>-26333.79</v>
          </cell>
          <cell r="X32740" t="str">
            <v>GWP - gross</v>
          </cell>
          <cell r="Y32740" t="str">
            <v>SWITZERLAND</v>
          </cell>
        </row>
        <row r="32741">
          <cell r="L32741" t="str">
            <v>Non-proportional</v>
          </cell>
          <cell r="S32741">
            <v>124225.06</v>
          </cell>
          <cell r="X32741" t="str">
            <v>GWP - gross</v>
          </cell>
          <cell r="Y32741" t="str">
            <v>MEXICO</v>
          </cell>
        </row>
        <row r="32742">
          <cell r="L32742" t="str">
            <v>Non-proportional</v>
          </cell>
          <cell r="S32742">
            <v>-61938.01</v>
          </cell>
          <cell r="X32742" t="str">
            <v>GWP - gross</v>
          </cell>
          <cell r="Y32742" t="str">
            <v>BELIZE</v>
          </cell>
        </row>
        <row r="32743">
          <cell r="L32743" t="str">
            <v>Non-proportional</v>
          </cell>
          <cell r="S32743">
            <v>7473.51</v>
          </cell>
          <cell r="X32743" t="str">
            <v>GWP - gross</v>
          </cell>
          <cell r="Y32743" t="str">
            <v>DENMARK</v>
          </cell>
        </row>
        <row r="32744">
          <cell r="L32744" t="str">
            <v>Non-proportional</v>
          </cell>
          <cell r="S32744">
            <v>-38323.870000000003</v>
          </cell>
          <cell r="X32744" t="str">
            <v>GWP - gross</v>
          </cell>
          <cell r="Y32744" t="str">
            <v>THAILAND</v>
          </cell>
        </row>
        <row r="32745">
          <cell r="L32745" t="str">
            <v>Non-proportional</v>
          </cell>
          <cell r="S32745">
            <v>-4150.1099999999997</v>
          </cell>
          <cell r="X32745" t="str">
            <v>GWP - gross</v>
          </cell>
          <cell r="Y32745" t="str">
            <v>CHILE</v>
          </cell>
        </row>
        <row r="32746">
          <cell r="L32746" t="str">
            <v>Non-proportional</v>
          </cell>
          <cell r="S32746">
            <v>-79805.2</v>
          </cell>
          <cell r="X32746" t="str">
            <v>GWP - gross</v>
          </cell>
          <cell r="Y32746" t="str">
            <v>AUSTRALIA</v>
          </cell>
        </row>
        <row r="32747">
          <cell r="L32747" t="str">
            <v>Proportional</v>
          </cell>
          <cell r="S32747">
            <v>6463.73</v>
          </cell>
          <cell r="X32747" t="str">
            <v>GWP - gross</v>
          </cell>
          <cell r="Y32747" t="str">
            <v>FRANCE</v>
          </cell>
        </row>
        <row r="32748">
          <cell r="L32748" t="str">
            <v>Non-proportional</v>
          </cell>
          <cell r="S32748">
            <v>-22343.22</v>
          </cell>
          <cell r="X32748" t="str">
            <v>GWP - gross</v>
          </cell>
          <cell r="Y32748" t="str">
            <v>UNITED KINGDOM</v>
          </cell>
        </row>
        <row r="32749">
          <cell r="L32749" t="str">
            <v>Non-proportional</v>
          </cell>
          <cell r="S32749">
            <v>21238.86</v>
          </cell>
          <cell r="X32749" t="str">
            <v>GWP - gross</v>
          </cell>
          <cell r="Y32749" t="str">
            <v>PERU</v>
          </cell>
        </row>
        <row r="32750">
          <cell r="L32750" t="str">
            <v>Non-proportional</v>
          </cell>
          <cell r="S32750">
            <v>8756.41</v>
          </cell>
          <cell r="X32750" t="str">
            <v>GWP - gross</v>
          </cell>
          <cell r="Y32750" t="str">
            <v>BRAZIL</v>
          </cell>
        </row>
        <row r="32751">
          <cell r="L32751" t="str">
            <v>Non-proportional</v>
          </cell>
          <cell r="S32751">
            <v>-1698.61</v>
          </cell>
          <cell r="X32751" t="str">
            <v>GWP - gross</v>
          </cell>
          <cell r="Y32751" t="str">
            <v>PERU</v>
          </cell>
        </row>
        <row r="32752">
          <cell r="L32752" t="str">
            <v>Proportional</v>
          </cell>
          <cell r="S32752">
            <v>7069.84</v>
          </cell>
          <cell r="X32752" t="str">
            <v>GWP - gross</v>
          </cell>
          <cell r="Y32752" t="str">
            <v>CHILE</v>
          </cell>
        </row>
        <row r="32753">
          <cell r="L32753" t="str">
            <v>Non-proportional</v>
          </cell>
          <cell r="S32753">
            <v>-2992.71</v>
          </cell>
          <cell r="X32753" t="str">
            <v>GWP - gross</v>
          </cell>
          <cell r="Y32753" t="str">
            <v>FINLAND</v>
          </cell>
        </row>
        <row r="32754">
          <cell r="L32754" t="str">
            <v>Non-proportional</v>
          </cell>
          <cell r="S32754">
            <v>-8581.32</v>
          </cell>
          <cell r="X32754" t="str">
            <v>GWP - gross</v>
          </cell>
          <cell r="Y32754" t="str">
            <v>PERU</v>
          </cell>
        </row>
        <row r="32755">
          <cell r="L32755" t="str">
            <v>Non-proportional</v>
          </cell>
          <cell r="S32755">
            <v>304019.82</v>
          </cell>
          <cell r="X32755" t="str">
            <v>GWP - gross</v>
          </cell>
          <cell r="Y32755" t="str">
            <v>AUSTRALIA</v>
          </cell>
        </row>
        <row r="32756">
          <cell r="L32756" t="str">
            <v>Non-proportional</v>
          </cell>
          <cell r="S32756">
            <v>17031.97</v>
          </cell>
          <cell r="X32756" t="str">
            <v>GWP - gross</v>
          </cell>
          <cell r="Y32756" t="str">
            <v>DOMINICAN REPUBLIC</v>
          </cell>
        </row>
        <row r="32757">
          <cell r="L32757" t="str">
            <v>Non-proportional</v>
          </cell>
          <cell r="S32757">
            <v>203462.48</v>
          </cell>
          <cell r="X32757" t="str">
            <v>GWP - gross</v>
          </cell>
          <cell r="Y32757" t="str">
            <v>CHILE</v>
          </cell>
        </row>
        <row r="32758">
          <cell r="L32758" t="str">
            <v>Non-proportional</v>
          </cell>
          <cell r="S32758">
            <v>-28370.46</v>
          </cell>
          <cell r="X32758" t="str">
            <v>GWP - gross</v>
          </cell>
          <cell r="Y32758" t="str">
            <v>THAILAND</v>
          </cell>
        </row>
        <row r="32759">
          <cell r="L32759" t="str">
            <v>Non-proportional</v>
          </cell>
          <cell r="S32759">
            <v>-38385.68</v>
          </cell>
          <cell r="X32759" t="str">
            <v>GWP - gross</v>
          </cell>
          <cell r="Y32759" t="str">
            <v>COLOMBIA</v>
          </cell>
        </row>
        <row r="32760">
          <cell r="L32760" t="str">
            <v>Non-proportional</v>
          </cell>
          <cell r="S32760">
            <v>-29478.81</v>
          </cell>
          <cell r="X32760" t="str">
            <v>GWP - gross</v>
          </cell>
          <cell r="Y32760" t="str">
            <v>UNITED KINGDOM</v>
          </cell>
        </row>
        <row r="32761">
          <cell r="L32761" t="str">
            <v>Non-proportional</v>
          </cell>
          <cell r="S32761">
            <v>-43721.59</v>
          </cell>
          <cell r="X32761" t="str">
            <v>GWP - gross</v>
          </cell>
          <cell r="Y32761" t="str">
            <v>THAILAND</v>
          </cell>
        </row>
        <row r="32762">
          <cell r="L32762" t="str">
            <v>Proportional</v>
          </cell>
          <cell r="S32762">
            <v>-102811.15</v>
          </cell>
          <cell r="X32762" t="str">
            <v>GWP - gross</v>
          </cell>
          <cell r="Y32762" t="str">
            <v>JAPAN</v>
          </cell>
        </row>
        <row r="32763">
          <cell r="L32763" t="str">
            <v>Non-proportional</v>
          </cell>
          <cell r="S32763">
            <v>35226.28</v>
          </cell>
          <cell r="X32763" t="str">
            <v>GWP - gross</v>
          </cell>
          <cell r="Y32763" t="str">
            <v>ECUADOR</v>
          </cell>
        </row>
        <row r="32764">
          <cell r="L32764" t="str">
            <v>Non-proportional</v>
          </cell>
          <cell r="S32764">
            <v>336</v>
          </cell>
          <cell r="X32764" t="str">
            <v>GWP - gross</v>
          </cell>
          <cell r="Y32764" t="str">
            <v>FRANCE</v>
          </cell>
        </row>
        <row r="32765">
          <cell r="L32765" t="str">
            <v>Non-proportional</v>
          </cell>
          <cell r="S32765">
            <v>32005.35</v>
          </cell>
          <cell r="X32765" t="str">
            <v>GWP - gross</v>
          </cell>
          <cell r="Y32765" t="str">
            <v>THAILAND</v>
          </cell>
        </row>
        <row r="32766">
          <cell r="L32766" t="str">
            <v>Non-proportional</v>
          </cell>
          <cell r="S32766">
            <v>-7954.22</v>
          </cell>
          <cell r="X32766" t="str">
            <v>GWP - gross</v>
          </cell>
          <cell r="Y32766" t="str">
            <v>ECUADOR</v>
          </cell>
        </row>
        <row r="32767">
          <cell r="L32767" t="str">
            <v>Non-proportional</v>
          </cell>
          <cell r="S32767">
            <v>-766477.33</v>
          </cell>
          <cell r="X32767" t="str">
            <v>GWP - gross</v>
          </cell>
          <cell r="Y32767" t="str">
            <v>THAILAND</v>
          </cell>
        </row>
        <row r="32768">
          <cell r="L32768" t="str">
            <v>Proportional</v>
          </cell>
          <cell r="S32768">
            <v>-24757.96</v>
          </cell>
          <cell r="X32768" t="str">
            <v>GWP - gross</v>
          </cell>
          <cell r="Y32768" t="str">
            <v>FRANCE</v>
          </cell>
        </row>
        <row r="32769">
          <cell r="L32769" t="str">
            <v>Non-proportional</v>
          </cell>
          <cell r="S32769">
            <v>-32511.45</v>
          </cell>
          <cell r="X32769" t="str">
            <v>GWP - gross</v>
          </cell>
          <cell r="Y32769" t="str">
            <v>ECUADOR</v>
          </cell>
        </row>
        <row r="32770">
          <cell r="L32770" t="str">
            <v>Non-proportional</v>
          </cell>
          <cell r="S32770">
            <v>5775</v>
          </cell>
          <cell r="X32770" t="str">
            <v>GWP - gross</v>
          </cell>
          <cell r="Y32770" t="str">
            <v>EUROPE</v>
          </cell>
        </row>
        <row r="32771">
          <cell r="L32771" t="str">
            <v>Non-proportional</v>
          </cell>
          <cell r="S32771">
            <v>74633.06</v>
          </cell>
          <cell r="X32771" t="str">
            <v>GWP - gross</v>
          </cell>
          <cell r="Y32771" t="str">
            <v>MEXICO</v>
          </cell>
        </row>
        <row r="32772">
          <cell r="L32772" t="str">
            <v>Proportional</v>
          </cell>
          <cell r="S32772">
            <v>-6904.92</v>
          </cell>
          <cell r="X32772" t="str">
            <v>GWP - gross</v>
          </cell>
          <cell r="Y32772" t="str">
            <v>CHILE</v>
          </cell>
        </row>
        <row r="32773">
          <cell r="L32773" t="str">
            <v>Non-proportional</v>
          </cell>
          <cell r="S32773">
            <v>-3502.77</v>
          </cell>
          <cell r="X32773" t="str">
            <v>GWP - gross</v>
          </cell>
          <cell r="Y32773" t="str">
            <v>REPUBLIC OF IRELAND</v>
          </cell>
        </row>
        <row r="32774">
          <cell r="L32774" t="str">
            <v>Non-proportional</v>
          </cell>
          <cell r="S32774">
            <v>9927.9</v>
          </cell>
          <cell r="X32774" t="str">
            <v>GWP - gross</v>
          </cell>
          <cell r="Y32774" t="str">
            <v>BRAZIL</v>
          </cell>
        </row>
        <row r="32775">
          <cell r="L32775" t="str">
            <v>Non-proportional</v>
          </cell>
          <cell r="S32775">
            <v>-7445.92</v>
          </cell>
          <cell r="X32775" t="str">
            <v>GWP - gross</v>
          </cell>
          <cell r="Y32775" t="str">
            <v>BRAZIL</v>
          </cell>
        </row>
        <row r="32776">
          <cell r="L32776" t="str">
            <v>Non-proportional</v>
          </cell>
          <cell r="S32776">
            <v>35488.379999999997</v>
          </cell>
          <cell r="X32776" t="str">
            <v>GWP - gross</v>
          </cell>
          <cell r="Y32776" t="str">
            <v>JAPAN</v>
          </cell>
        </row>
        <row r="32777">
          <cell r="L32777" t="str">
            <v>Proportional</v>
          </cell>
          <cell r="S32777">
            <v>-1213.8699999999999</v>
          </cell>
          <cell r="X32777" t="str">
            <v>GWP - gross</v>
          </cell>
          <cell r="Y32777" t="str">
            <v>CHILE</v>
          </cell>
        </row>
        <row r="32778">
          <cell r="L32778" t="str">
            <v>Non-proportional</v>
          </cell>
          <cell r="S32778">
            <v>-26944.45</v>
          </cell>
          <cell r="X32778" t="str">
            <v>GWP - gross</v>
          </cell>
          <cell r="Y32778" t="str">
            <v>REPUBLIC OF IRELAND</v>
          </cell>
        </row>
        <row r="32779">
          <cell r="L32779" t="str">
            <v>Non-proportional</v>
          </cell>
          <cell r="S32779">
            <v>-14815.13</v>
          </cell>
          <cell r="X32779" t="str">
            <v>GWP - gross</v>
          </cell>
          <cell r="Y32779" t="str">
            <v>MEXICO</v>
          </cell>
        </row>
        <row r="32780">
          <cell r="L32780" t="str">
            <v>Non-proportional</v>
          </cell>
          <cell r="S32780">
            <v>-145777.99</v>
          </cell>
          <cell r="X32780" t="str">
            <v>GWP - gross</v>
          </cell>
          <cell r="Y32780" t="str">
            <v>MEXICO</v>
          </cell>
        </row>
        <row r="32781">
          <cell r="L32781" t="str">
            <v>Non-proportional</v>
          </cell>
          <cell r="S32781">
            <v>121607.93</v>
          </cell>
          <cell r="X32781" t="str">
            <v>GWP - gross</v>
          </cell>
          <cell r="Y32781" t="str">
            <v>AUSTRALIA</v>
          </cell>
        </row>
        <row r="32782">
          <cell r="L32782" t="str">
            <v>Non-proportional</v>
          </cell>
          <cell r="S32782">
            <v>20843.939999999999</v>
          </cell>
          <cell r="X32782" t="str">
            <v>GWP - gross</v>
          </cell>
          <cell r="Y32782" t="str">
            <v>BELIZE</v>
          </cell>
        </row>
        <row r="32783">
          <cell r="L32783" t="str">
            <v>Non-proportional</v>
          </cell>
          <cell r="S32783">
            <v>-120601.08</v>
          </cell>
          <cell r="X32783" t="str">
            <v>GWP - gross</v>
          </cell>
          <cell r="Y32783" t="str">
            <v>MEXICO</v>
          </cell>
        </row>
        <row r="32784">
          <cell r="L32784" t="str">
            <v>Proportional</v>
          </cell>
          <cell r="S32784">
            <v>72.48</v>
          </cell>
          <cell r="X32784" t="str">
            <v>GWP - gross</v>
          </cell>
          <cell r="Y32784" t="str">
            <v>SINGAPORE</v>
          </cell>
        </row>
        <row r="32785">
          <cell r="L32785" t="str">
            <v>Non-proportional</v>
          </cell>
          <cell r="S32785">
            <v>30048.36</v>
          </cell>
          <cell r="X32785" t="str">
            <v>GWP - gross</v>
          </cell>
          <cell r="Y32785" t="str">
            <v>DOMINICAN REPUBLIC</v>
          </cell>
        </row>
        <row r="32786">
          <cell r="L32786" t="str">
            <v>Non-proportional</v>
          </cell>
          <cell r="S32786">
            <v>-595673.94999999995</v>
          </cell>
          <cell r="X32786" t="str">
            <v>GWP - gross</v>
          </cell>
          <cell r="Y32786" t="str">
            <v>BRAZIL</v>
          </cell>
        </row>
        <row r="32787">
          <cell r="L32787" t="str">
            <v>Non-proportional</v>
          </cell>
          <cell r="S32787">
            <v>66564.539999999994</v>
          </cell>
          <cell r="X32787" t="str">
            <v>GWP - gross</v>
          </cell>
          <cell r="Y32787" t="str">
            <v>NEW ZEALAND</v>
          </cell>
        </row>
        <row r="32788">
          <cell r="L32788" t="str">
            <v>Non-proportional</v>
          </cell>
          <cell r="S32788">
            <v>-34582.25</v>
          </cell>
          <cell r="X32788" t="str">
            <v>GWP - gross</v>
          </cell>
          <cell r="Y32788" t="str">
            <v>AUSTRALIA</v>
          </cell>
        </row>
        <row r="32789">
          <cell r="L32789" t="str">
            <v>Non-proportional</v>
          </cell>
          <cell r="S32789">
            <v>-39068.949999999997</v>
          </cell>
          <cell r="X32789" t="str">
            <v>GWP - gross</v>
          </cell>
          <cell r="Y32789" t="str">
            <v>ECUADOR</v>
          </cell>
        </row>
        <row r="32790">
          <cell r="L32790" t="str">
            <v>Non-proportional</v>
          </cell>
          <cell r="S32790">
            <v>30227.279999999999</v>
          </cell>
          <cell r="X32790" t="str">
            <v>GWP - gross</v>
          </cell>
          <cell r="Y32790" t="str">
            <v>THAILAND</v>
          </cell>
        </row>
        <row r="32791">
          <cell r="L32791" t="str">
            <v>Non-proportional</v>
          </cell>
          <cell r="S32791">
            <v>20598.490000000002</v>
          </cell>
          <cell r="X32791" t="str">
            <v>GWP - gross</v>
          </cell>
          <cell r="Y32791" t="str">
            <v>DOMINICAN REPUBLIC</v>
          </cell>
        </row>
        <row r="32792">
          <cell r="L32792" t="str">
            <v>Non-proportional</v>
          </cell>
          <cell r="S32792">
            <v>-137266.91</v>
          </cell>
          <cell r="X32792" t="str">
            <v>GWP - gross</v>
          </cell>
          <cell r="Y32792" t="str">
            <v>MEXICO</v>
          </cell>
        </row>
        <row r="32793">
          <cell r="L32793" t="str">
            <v>Non-proportional</v>
          </cell>
          <cell r="S32793">
            <v>16498.759999999998</v>
          </cell>
          <cell r="X32793" t="str">
            <v>GWP - gross</v>
          </cell>
          <cell r="Y32793" t="str">
            <v>ITALY</v>
          </cell>
        </row>
        <row r="32794">
          <cell r="L32794" t="str">
            <v>Non-proportional</v>
          </cell>
          <cell r="S32794">
            <v>18620.13</v>
          </cell>
          <cell r="X32794" t="str">
            <v>GWP - gross</v>
          </cell>
          <cell r="Y32794" t="str">
            <v>UNITED KINGDOM</v>
          </cell>
        </row>
        <row r="32795">
          <cell r="L32795" t="str">
            <v>Non-proportional</v>
          </cell>
          <cell r="S32795">
            <v>-4371.99</v>
          </cell>
          <cell r="X32795" t="str">
            <v>GWP - gross</v>
          </cell>
          <cell r="Y32795" t="str">
            <v>DOMINICAN REPUBLIC</v>
          </cell>
        </row>
        <row r="32796">
          <cell r="L32796" t="str">
            <v>Non-proportional</v>
          </cell>
          <cell r="S32796">
            <v>-7344.94</v>
          </cell>
          <cell r="X32796" t="str">
            <v>GWP - gross</v>
          </cell>
          <cell r="Y32796" t="str">
            <v>DOMINICAN REPUBLIC</v>
          </cell>
        </row>
        <row r="32797">
          <cell r="L32797" t="str">
            <v>Proportional</v>
          </cell>
          <cell r="S32797">
            <v>-3975187.85</v>
          </cell>
          <cell r="X32797" t="str">
            <v>GWP - gross</v>
          </cell>
          <cell r="Y32797" t="str">
            <v>INDIA</v>
          </cell>
        </row>
        <row r="32798">
          <cell r="L32798" t="str">
            <v>Non-proportional</v>
          </cell>
          <cell r="S32798">
            <v>-203462.48</v>
          </cell>
          <cell r="X32798" t="str">
            <v>GWP - gross</v>
          </cell>
          <cell r="Y32798" t="str">
            <v>CHILE</v>
          </cell>
        </row>
        <row r="32799">
          <cell r="L32799" t="str">
            <v>Non-proportional</v>
          </cell>
          <cell r="S32799">
            <v>-58039.83</v>
          </cell>
          <cell r="X32799" t="str">
            <v>GWP - gross</v>
          </cell>
          <cell r="Y32799" t="str">
            <v>UNITED KINGDOM</v>
          </cell>
        </row>
        <row r="32800">
          <cell r="L32800" t="str">
            <v>Non-proportional</v>
          </cell>
          <cell r="S32800">
            <v>18438.759999999998</v>
          </cell>
          <cell r="X32800" t="str">
            <v>GWP - gross</v>
          </cell>
          <cell r="Y32800" t="str">
            <v>DOMINICAN REPUBLIC</v>
          </cell>
        </row>
        <row r="32801">
          <cell r="L32801" t="str">
            <v>Non-proportional</v>
          </cell>
          <cell r="S32801">
            <v>15884.64</v>
          </cell>
          <cell r="X32801" t="str">
            <v>GWP - gross</v>
          </cell>
          <cell r="Y32801" t="str">
            <v>BRAZIL</v>
          </cell>
        </row>
        <row r="32802">
          <cell r="L32802" t="str">
            <v>Proportional</v>
          </cell>
          <cell r="S32802">
            <v>-9301.9599999999991</v>
          </cell>
          <cell r="X32802" t="str">
            <v>GWP - gross</v>
          </cell>
          <cell r="Y32802" t="str">
            <v>CHILE</v>
          </cell>
        </row>
        <row r="32803">
          <cell r="L32803" t="str">
            <v>Proportional</v>
          </cell>
          <cell r="S32803">
            <v>-23827.33</v>
          </cell>
          <cell r="X32803" t="str">
            <v>GWP - gross</v>
          </cell>
          <cell r="Y32803" t="str">
            <v>CHILE</v>
          </cell>
        </row>
        <row r="32804">
          <cell r="L32804" t="str">
            <v>Proportional</v>
          </cell>
          <cell r="S32804">
            <v>-5727.31</v>
          </cell>
          <cell r="X32804" t="str">
            <v>GWP - gross</v>
          </cell>
          <cell r="Y32804" t="str">
            <v>JAPAN</v>
          </cell>
        </row>
        <row r="32805">
          <cell r="L32805" t="str">
            <v>Non-proportional</v>
          </cell>
          <cell r="S32805">
            <v>15063.48</v>
          </cell>
          <cell r="X32805" t="str">
            <v>GWP - gross</v>
          </cell>
          <cell r="Y32805" t="str">
            <v>UNITED KINGDOM</v>
          </cell>
        </row>
        <row r="32806">
          <cell r="L32806" t="str">
            <v>Non-proportional</v>
          </cell>
          <cell r="S32806">
            <v>-17055.13</v>
          </cell>
          <cell r="X32806" t="str">
            <v>GWP - gross</v>
          </cell>
          <cell r="Y32806" t="str">
            <v>MALTA</v>
          </cell>
        </row>
        <row r="32807">
          <cell r="L32807" t="str">
            <v>Non-proportional</v>
          </cell>
          <cell r="S32807">
            <v>32010.7</v>
          </cell>
          <cell r="X32807" t="str">
            <v>GWP - gross</v>
          </cell>
          <cell r="Y32807" t="str">
            <v>THAILAND</v>
          </cell>
        </row>
        <row r="32808">
          <cell r="L32808" t="str">
            <v>Non-proportional</v>
          </cell>
          <cell r="S32808">
            <v>-105705.2</v>
          </cell>
          <cell r="X32808" t="str">
            <v>GWP - gross</v>
          </cell>
          <cell r="Y32808" t="str">
            <v>REPUBLIC OF IRELAND</v>
          </cell>
        </row>
        <row r="32809">
          <cell r="L32809" t="str">
            <v>Non-proportional</v>
          </cell>
          <cell r="S32809">
            <v>8548.77</v>
          </cell>
          <cell r="X32809" t="str">
            <v>GWP - gross</v>
          </cell>
          <cell r="Y32809" t="str">
            <v>PERU</v>
          </cell>
        </row>
        <row r="32810">
          <cell r="L32810" t="str">
            <v>Non-proportional</v>
          </cell>
          <cell r="S32810">
            <v>-1404.07</v>
          </cell>
          <cell r="X32810" t="str">
            <v>GWP - gross</v>
          </cell>
          <cell r="Y32810" t="str">
            <v>JAPAN</v>
          </cell>
        </row>
        <row r="32811">
          <cell r="L32811" t="str">
            <v>Non-proportional</v>
          </cell>
          <cell r="S32811">
            <v>-127688.32000000001</v>
          </cell>
          <cell r="X32811" t="str">
            <v>GWP - gross</v>
          </cell>
          <cell r="Y32811" t="str">
            <v>AUSTRALIA</v>
          </cell>
        </row>
        <row r="32812">
          <cell r="L32812" t="str">
            <v>Non-proportional</v>
          </cell>
          <cell r="S32812">
            <v>57352.79</v>
          </cell>
          <cell r="X32812" t="str">
            <v>GWP - gross</v>
          </cell>
          <cell r="Y32812" t="str">
            <v>SPAIN</v>
          </cell>
        </row>
        <row r="32813">
          <cell r="L32813" t="str">
            <v>Non-proportional</v>
          </cell>
          <cell r="S32813">
            <v>-18438.759999999998</v>
          </cell>
          <cell r="X32813" t="str">
            <v>GWP - gross</v>
          </cell>
          <cell r="Y32813" t="str">
            <v>DOMINICAN REPUBLIC</v>
          </cell>
        </row>
        <row r="32814">
          <cell r="L32814" t="str">
            <v>Non-proportional</v>
          </cell>
          <cell r="S32814">
            <v>-40561.730000000003</v>
          </cell>
          <cell r="X32814" t="str">
            <v>GWP - gross</v>
          </cell>
          <cell r="Y32814" t="str">
            <v>DOMINICAN REPUBLIC</v>
          </cell>
        </row>
        <row r="32815">
          <cell r="L32815" t="str">
            <v>Proportional</v>
          </cell>
          <cell r="S32815">
            <v>-2146.61</v>
          </cell>
          <cell r="X32815" t="str">
            <v>GWP - gross</v>
          </cell>
          <cell r="Y32815" t="str">
            <v>CHILE</v>
          </cell>
        </row>
        <row r="32816">
          <cell r="L32816" t="str">
            <v>Non-proportional</v>
          </cell>
          <cell r="S32816">
            <v>-134753.48000000001</v>
          </cell>
          <cell r="X32816" t="str">
            <v>GWP - gross</v>
          </cell>
          <cell r="Y32816" t="str">
            <v>PERU</v>
          </cell>
        </row>
        <row r="32817">
          <cell r="L32817" t="str">
            <v>Non-proportional</v>
          </cell>
          <cell r="S32817">
            <v>-48911.59</v>
          </cell>
          <cell r="X32817" t="str">
            <v>GWP - gross</v>
          </cell>
          <cell r="Y32817" t="str">
            <v>ECUADOR</v>
          </cell>
        </row>
        <row r="32818">
          <cell r="L32818" t="str">
            <v>Non-proportional</v>
          </cell>
          <cell r="S32818">
            <v>-6990.87</v>
          </cell>
          <cell r="X32818" t="str">
            <v>GWP - gross</v>
          </cell>
          <cell r="Y32818" t="str">
            <v>UNITED KINGDOM</v>
          </cell>
        </row>
        <row r="32819">
          <cell r="L32819" t="str">
            <v>Proportional</v>
          </cell>
          <cell r="S32819">
            <v>24757.96</v>
          </cell>
          <cell r="X32819" t="str">
            <v>GWP - gross</v>
          </cell>
          <cell r="Y32819" t="str">
            <v>FRANCE</v>
          </cell>
        </row>
        <row r="32820">
          <cell r="L32820" t="str">
            <v>Non-proportional</v>
          </cell>
          <cell r="S32820">
            <v>73400.72</v>
          </cell>
          <cell r="X32820" t="str">
            <v>GWP - gross</v>
          </cell>
          <cell r="Y32820" t="str">
            <v>REPUBLIC OF IRELAND</v>
          </cell>
        </row>
        <row r="32821">
          <cell r="L32821" t="str">
            <v>Proportional</v>
          </cell>
          <cell r="S32821">
            <v>33153.519999999997</v>
          </cell>
          <cell r="X32821" t="str">
            <v>GWP - gross</v>
          </cell>
          <cell r="Y32821" t="str">
            <v>CHILE</v>
          </cell>
        </row>
        <row r="32822">
          <cell r="L32822" t="str">
            <v>Proportional</v>
          </cell>
          <cell r="S32822">
            <v>12707.95</v>
          </cell>
          <cell r="X32822" t="str">
            <v>GWP - gross</v>
          </cell>
          <cell r="Y32822" t="str">
            <v>FRANCE</v>
          </cell>
        </row>
        <row r="32823">
          <cell r="L32823" t="str">
            <v>Non-proportional</v>
          </cell>
          <cell r="S32823">
            <v>31815.51</v>
          </cell>
          <cell r="X32823" t="str">
            <v>GWP - gross</v>
          </cell>
          <cell r="Y32823" t="str">
            <v>THAILAND</v>
          </cell>
        </row>
        <row r="32824">
          <cell r="L32824" t="str">
            <v>Non-proportional</v>
          </cell>
          <cell r="S32824">
            <v>-123035.79</v>
          </cell>
          <cell r="X32824" t="str">
            <v>GWP - gross</v>
          </cell>
          <cell r="Y32824" t="str">
            <v>PERU</v>
          </cell>
        </row>
        <row r="32825">
          <cell r="L32825" t="str">
            <v>Proportional</v>
          </cell>
          <cell r="S32825">
            <v>111359.31</v>
          </cell>
          <cell r="X32825" t="str">
            <v>GWP - gross</v>
          </cell>
          <cell r="Y32825" t="str">
            <v>JAPAN</v>
          </cell>
        </row>
        <row r="32826">
          <cell r="L32826" t="str">
            <v>Non-proportional</v>
          </cell>
          <cell r="S32826">
            <v>19855.8</v>
          </cell>
          <cell r="X32826" t="str">
            <v>GWP - gross</v>
          </cell>
          <cell r="Y32826" t="str">
            <v>BRAZIL</v>
          </cell>
        </row>
        <row r="32827">
          <cell r="L32827" t="str">
            <v>Proportional</v>
          </cell>
          <cell r="S32827">
            <v>9529.0300000000007</v>
          </cell>
          <cell r="X32827" t="str">
            <v>GWP - gross</v>
          </cell>
          <cell r="Y32827" t="str">
            <v>CHILE</v>
          </cell>
        </row>
        <row r="32828">
          <cell r="L32828" t="str">
            <v>Non-proportional</v>
          </cell>
          <cell r="S32828">
            <v>3387.36</v>
          </cell>
          <cell r="X32828" t="str">
            <v>GWP - gross</v>
          </cell>
          <cell r="Y32828" t="str">
            <v>UNITED KINGDOM</v>
          </cell>
        </row>
        <row r="32829">
          <cell r="L32829" t="str">
            <v>Non-proportional</v>
          </cell>
          <cell r="S32829">
            <v>-8756.41</v>
          </cell>
          <cell r="X32829" t="str">
            <v>GWP - gross</v>
          </cell>
          <cell r="Y32829" t="str">
            <v>BRAZIL</v>
          </cell>
        </row>
        <row r="32830">
          <cell r="L32830" t="str">
            <v>Non-proportional</v>
          </cell>
          <cell r="S32830">
            <v>251827.61</v>
          </cell>
          <cell r="X32830" t="str">
            <v>GWP - gross</v>
          </cell>
          <cell r="Y32830" t="str">
            <v>UNITED KINGDOM</v>
          </cell>
        </row>
        <row r="32831">
          <cell r="L32831" t="str">
            <v>Non-proportional</v>
          </cell>
          <cell r="S32831">
            <v>-874431.89</v>
          </cell>
          <cell r="X32831" t="str">
            <v>GWP - gross</v>
          </cell>
          <cell r="Y32831" t="str">
            <v>THAILAND</v>
          </cell>
        </row>
        <row r="32832">
          <cell r="L32832" t="str">
            <v>Non-proportional</v>
          </cell>
          <cell r="S32832">
            <v>-103609.52</v>
          </cell>
          <cell r="X32832" t="str">
            <v>GWP - gross</v>
          </cell>
          <cell r="Y32832" t="str">
            <v>CHILE</v>
          </cell>
        </row>
        <row r="32833">
          <cell r="L32833" t="str">
            <v>Non-proportional</v>
          </cell>
          <cell r="S32833">
            <v>28370.46</v>
          </cell>
          <cell r="X32833" t="str">
            <v>GWP - gross</v>
          </cell>
          <cell r="Y32833" t="str">
            <v>THAILAND</v>
          </cell>
        </row>
        <row r="32834">
          <cell r="L32834" t="str">
            <v>Non-proportional</v>
          </cell>
          <cell r="S32834">
            <v>30401.98</v>
          </cell>
          <cell r="X32834" t="str">
            <v>GWP - gross</v>
          </cell>
          <cell r="Y32834" t="str">
            <v>AUSTRALIA</v>
          </cell>
        </row>
        <row r="32835">
          <cell r="L32835" t="str">
            <v>Non-proportional</v>
          </cell>
          <cell r="S32835">
            <v>72241.39</v>
          </cell>
          <cell r="X32835" t="str">
            <v>GWP - gross</v>
          </cell>
          <cell r="Y32835" t="str">
            <v>MEXICO</v>
          </cell>
        </row>
        <row r="32836">
          <cell r="L32836" t="str">
            <v>Non-proportional</v>
          </cell>
          <cell r="S32836">
            <v>-17031.97</v>
          </cell>
          <cell r="X32836" t="str">
            <v>GWP - gross</v>
          </cell>
          <cell r="Y32836" t="str">
            <v>DOMINICAN REPUBLIC</v>
          </cell>
        </row>
        <row r="32837">
          <cell r="L32837" t="str">
            <v>Non-proportional</v>
          </cell>
          <cell r="S32837">
            <v>-70866.899999999994</v>
          </cell>
          <cell r="X32837" t="str">
            <v>GWP - gross</v>
          </cell>
          <cell r="Y32837" t="str">
            <v>SPAIN</v>
          </cell>
        </row>
        <row r="32838">
          <cell r="L32838" t="str">
            <v>Non-proportional</v>
          </cell>
          <cell r="S32838">
            <v>-20843.939999999999</v>
          </cell>
          <cell r="X32838" t="str">
            <v>GWP - gross</v>
          </cell>
          <cell r="Y32838" t="str">
            <v>BELIZE</v>
          </cell>
        </row>
        <row r="32839">
          <cell r="L32839" t="str">
            <v>Non-proportional</v>
          </cell>
          <cell r="S32839">
            <v>-29475.279999999999</v>
          </cell>
          <cell r="X32839" t="str">
            <v>GWP - gross</v>
          </cell>
          <cell r="Y32839" t="str">
            <v>ECUADOR</v>
          </cell>
        </row>
        <row r="32840">
          <cell r="L32840" t="str">
            <v>Non-proportional</v>
          </cell>
          <cell r="S32840">
            <v>-85445.88</v>
          </cell>
          <cell r="X32840" t="str">
            <v>GWP - gross</v>
          </cell>
          <cell r="Y32840" t="str">
            <v>UNITED KINGDOM</v>
          </cell>
        </row>
        <row r="32841">
          <cell r="L32841" t="str">
            <v>Non-proportional</v>
          </cell>
          <cell r="S32841">
            <v>-9516.6200000000008</v>
          </cell>
          <cell r="X32841" t="str">
            <v>GWP - gross</v>
          </cell>
          <cell r="Y32841" t="str">
            <v>CHILE</v>
          </cell>
        </row>
        <row r="32842">
          <cell r="L32842" t="str">
            <v>Non-proportional</v>
          </cell>
          <cell r="S32842">
            <v>-121417.93</v>
          </cell>
          <cell r="X32842" t="str">
            <v>GWP - gross</v>
          </cell>
          <cell r="Y32842" t="str">
            <v>AUSTRALIA</v>
          </cell>
        </row>
        <row r="32843">
          <cell r="L32843" t="str">
            <v>Non-proportional</v>
          </cell>
          <cell r="S32843">
            <v>2830.68</v>
          </cell>
          <cell r="X32843" t="str">
            <v>GWP - gross</v>
          </cell>
          <cell r="Y32843" t="str">
            <v>ECUADOR</v>
          </cell>
        </row>
        <row r="32844">
          <cell r="L32844" t="str">
            <v>Non-proportional</v>
          </cell>
          <cell r="S32844">
            <v>-14448.28</v>
          </cell>
          <cell r="X32844" t="str">
            <v>GWP - gross</v>
          </cell>
          <cell r="Y32844" t="str">
            <v>ECUADOR</v>
          </cell>
        </row>
        <row r="32845">
          <cell r="L32845" t="str">
            <v>Proportional</v>
          </cell>
          <cell r="S32845">
            <v>-28877.01</v>
          </cell>
          <cell r="X32845" t="str">
            <v>GWP - gross</v>
          </cell>
          <cell r="Y32845" t="str">
            <v>UNITED STATES</v>
          </cell>
        </row>
        <row r="32846">
          <cell r="L32846" t="str">
            <v>Non-proportional</v>
          </cell>
          <cell r="S32846">
            <v>-38002.480000000003</v>
          </cell>
          <cell r="X32846" t="str">
            <v>GWP - gross</v>
          </cell>
          <cell r="Y32846" t="str">
            <v>AUSTRALIA</v>
          </cell>
        </row>
        <row r="32847">
          <cell r="L32847" t="str">
            <v>Proportional</v>
          </cell>
          <cell r="S32847">
            <v>1243.7</v>
          </cell>
          <cell r="X32847" t="str">
            <v>GWP - gross</v>
          </cell>
          <cell r="Y32847" t="str">
            <v>CHILE</v>
          </cell>
        </row>
        <row r="32848">
          <cell r="L32848" t="str">
            <v>Non-proportional</v>
          </cell>
          <cell r="S32848">
            <v>4336.24</v>
          </cell>
          <cell r="X32848" t="str">
            <v>GWP - gross</v>
          </cell>
          <cell r="Y32848" t="str">
            <v>PERU</v>
          </cell>
        </row>
        <row r="32849">
          <cell r="L32849" t="str">
            <v>Non-proportional</v>
          </cell>
          <cell r="S32849">
            <v>2378.5300000000002</v>
          </cell>
          <cell r="X32849" t="str">
            <v>GWP - gross</v>
          </cell>
          <cell r="Y32849" t="str">
            <v>JAPAN</v>
          </cell>
        </row>
        <row r="32850">
          <cell r="L32850" t="str">
            <v>Non-proportional</v>
          </cell>
          <cell r="S32850">
            <v>-74104.83</v>
          </cell>
          <cell r="X32850" t="str">
            <v>GWP - gross</v>
          </cell>
          <cell r="Y32850" t="str">
            <v>AUSTRALIA</v>
          </cell>
        </row>
        <row r="32851">
          <cell r="L32851" t="str">
            <v>Non-proportional</v>
          </cell>
          <cell r="S32851">
            <v>-30227.279999999999</v>
          </cell>
          <cell r="X32851" t="str">
            <v>GWP - gross</v>
          </cell>
          <cell r="Y32851" t="str">
            <v>THAILAND</v>
          </cell>
        </row>
        <row r="32852">
          <cell r="L32852" t="str">
            <v>Non-proportional</v>
          </cell>
          <cell r="S32852">
            <v>125399.58</v>
          </cell>
          <cell r="X32852" t="str">
            <v>GWP - gross</v>
          </cell>
          <cell r="Y32852" t="str">
            <v>UNITED KINGDOM</v>
          </cell>
        </row>
        <row r="32853">
          <cell r="L32853" t="str">
            <v>Proportional</v>
          </cell>
          <cell r="S32853">
            <v>874.44</v>
          </cell>
          <cell r="X32853" t="str">
            <v>GWP - gross</v>
          </cell>
          <cell r="Y32853" t="str">
            <v>CHILE</v>
          </cell>
        </row>
        <row r="32854">
          <cell r="L32854" t="str">
            <v>Non-proportional</v>
          </cell>
          <cell r="S32854">
            <v>44170.53</v>
          </cell>
          <cell r="X32854" t="str">
            <v>GWP - gross</v>
          </cell>
          <cell r="Y32854" t="str">
            <v>COLOMBIA</v>
          </cell>
        </row>
        <row r="32855">
          <cell r="L32855" t="str">
            <v>Non-proportional</v>
          </cell>
          <cell r="S32855">
            <v>-36124.22</v>
          </cell>
          <cell r="X32855" t="str">
            <v>GWP - gross</v>
          </cell>
          <cell r="Y32855" t="str">
            <v>ECUADOR</v>
          </cell>
        </row>
        <row r="32856">
          <cell r="L32856" t="str">
            <v>Non-proportional</v>
          </cell>
          <cell r="S32856">
            <v>-55201.760000000002</v>
          </cell>
          <cell r="X32856" t="str">
            <v>GWP - gross</v>
          </cell>
          <cell r="Y32856" t="str">
            <v>BELIZE</v>
          </cell>
        </row>
        <row r="32857">
          <cell r="L32857" t="str">
            <v>Non-proportional</v>
          </cell>
          <cell r="S32857">
            <v>-21693.040000000001</v>
          </cell>
          <cell r="X32857" t="str">
            <v>GWP - gross</v>
          </cell>
          <cell r="Y32857" t="str">
            <v>DOMINICAN REPUBLIC</v>
          </cell>
        </row>
        <row r="32858">
          <cell r="L32858" t="str">
            <v>Non-proportional</v>
          </cell>
          <cell r="S32858">
            <v>-35319.25</v>
          </cell>
          <cell r="X32858" t="str">
            <v>GWP - gross</v>
          </cell>
          <cell r="Y32858" t="str">
            <v>DOMINICAN REPUBLIC</v>
          </cell>
        </row>
        <row r="32859">
          <cell r="L32859" t="str">
            <v>Non-proportional</v>
          </cell>
          <cell r="S32859">
            <v>18709.98</v>
          </cell>
          <cell r="X32859" t="str">
            <v>GWP - gross</v>
          </cell>
          <cell r="Y32859" t="str">
            <v>REPUBLIC OF IRELAND</v>
          </cell>
        </row>
        <row r="32860">
          <cell r="L32860" t="str">
            <v>Non-proportional</v>
          </cell>
          <cell r="S32860">
            <v>-34202.230000000003</v>
          </cell>
          <cell r="X32860" t="str">
            <v>GWP - gross</v>
          </cell>
          <cell r="Y32860" t="str">
            <v>AUSTRALIA</v>
          </cell>
        </row>
        <row r="32861">
          <cell r="L32861" t="str">
            <v>Non-proportional</v>
          </cell>
          <cell r="S32861">
            <v>-72241.39</v>
          </cell>
          <cell r="X32861" t="str">
            <v>GWP - gross</v>
          </cell>
          <cell r="Y32861" t="str">
            <v>MEXICO</v>
          </cell>
        </row>
        <row r="32862">
          <cell r="L32862" t="str">
            <v>Non-proportional</v>
          </cell>
          <cell r="S32862">
            <v>3227.34</v>
          </cell>
          <cell r="X32862" t="str">
            <v>GWP - gross</v>
          </cell>
          <cell r="Y32862" t="str">
            <v>UNITED KINGDOM</v>
          </cell>
        </row>
        <row r="32863">
          <cell r="L32863" t="str">
            <v>Proportional</v>
          </cell>
          <cell r="S32863">
            <v>-187.77</v>
          </cell>
          <cell r="X32863" t="str">
            <v>GWP - gross</v>
          </cell>
          <cell r="Y32863" t="str">
            <v>CHILE</v>
          </cell>
        </row>
        <row r="32864">
          <cell r="L32864" t="str">
            <v>Non-proportional</v>
          </cell>
          <cell r="S32864">
            <v>-106312.58</v>
          </cell>
          <cell r="X32864" t="str">
            <v>GWP - gross</v>
          </cell>
          <cell r="Y32864" t="str">
            <v>ECUADOR</v>
          </cell>
        </row>
        <row r="32865">
          <cell r="L32865" t="str">
            <v>Non-proportional</v>
          </cell>
          <cell r="S32865">
            <v>38323.870000000003</v>
          </cell>
          <cell r="X32865" t="str">
            <v>GWP - gross</v>
          </cell>
          <cell r="Y32865" t="str">
            <v>THAILAND</v>
          </cell>
        </row>
        <row r="32866">
          <cell r="L32866" t="str">
            <v>Proportional</v>
          </cell>
          <cell r="S32866">
            <v>725152.52</v>
          </cell>
          <cell r="X32866" t="str">
            <v>GWP - gross</v>
          </cell>
          <cell r="Y32866" t="str">
            <v>CANADA</v>
          </cell>
        </row>
        <row r="32867">
          <cell r="L32867" t="str">
            <v>Non-proportional</v>
          </cell>
          <cell r="S32867">
            <v>13640.83</v>
          </cell>
          <cell r="X32867" t="str">
            <v>GWP - gross</v>
          </cell>
          <cell r="Y32867" t="str">
            <v>UNITED KINGDOM</v>
          </cell>
        </row>
        <row r="32868">
          <cell r="L32868" t="str">
            <v>Non-proportional</v>
          </cell>
          <cell r="S32868">
            <v>118099.11</v>
          </cell>
          <cell r="X32868" t="str">
            <v>GWP - gross</v>
          </cell>
          <cell r="Y32868" t="str">
            <v>CHILE</v>
          </cell>
        </row>
        <row r="32869">
          <cell r="L32869" t="str">
            <v>Non-proportional</v>
          </cell>
          <cell r="S32869">
            <v>-35226.28</v>
          </cell>
          <cell r="X32869" t="str">
            <v>GWP - gross</v>
          </cell>
          <cell r="Y32869" t="str">
            <v>ECUADOR</v>
          </cell>
        </row>
        <row r="32870">
          <cell r="L32870" t="str">
            <v>Non-proportional</v>
          </cell>
          <cell r="S32870">
            <v>-30499.17</v>
          </cell>
          <cell r="X32870" t="str">
            <v>GWP - gross</v>
          </cell>
          <cell r="Y32870" t="str">
            <v>UNITED KINGDOM</v>
          </cell>
        </row>
        <row r="32871">
          <cell r="L32871" t="str">
            <v>Proportional</v>
          </cell>
          <cell r="S32871">
            <v>-187.97</v>
          </cell>
          <cell r="X32871" t="str">
            <v>GWP - gross</v>
          </cell>
          <cell r="Y32871" t="str">
            <v>CHILE</v>
          </cell>
        </row>
        <row r="32872">
          <cell r="L32872" t="str">
            <v>Non-proportional</v>
          </cell>
          <cell r="S32872">
            <v>11675.21</v>
          </cell>
          <cell r="X32872" t="str">
            <v>GWP - gross</v>
          </cell>
          <cell r="Y32872" t="str">
            <v>BRAZIL</v>
          </cell>
        </row>
        <row r="32873">
          <cell r="L32873" t="str">
            <v>Proportional</v>
          </cell>
          <cell r="S32873">
            <v>2181.5</v>
          </cell>
          <cell r="X32873" t="str">
            <v>GWP - gross</v>
          </cell>
          <cell r="Y32873" t="str">
            <v>CHILE</v>
          </cell>
        </row>
        <row r="32874">
          <cell r="L32874" t="str">
            <v>Non-proportional</v>
          </cell>
          <cell r="S32874">
            <v>-18914.38</v>
          </cell>
          <cell r="X32874" t="str">
            <v>GWP - gross</v>
          </cell>
          <cell r="Y32874" t="str">
            <v>ITALY</v>
          </cell>
        </row>
        <row r="32875">
          <cell r="L32875" t="str">
            <v>Non-proportional</v>
          </cell>
          <cell r="S32875">
            <v>-24534.12</v>
          </cell>
          <cell r="X32875" t="str">
            <v>GWP - gross</v>
          </cell>
          <cell r="Y32875" t="str">
            <v>BELIZE</v>
          </cell>
        </row>
        <row r="32876">
          <cell r="L32876" t="str">
            <v>Proportional</v>
          </cell>
          <cell r="S32876">
            <v>4078.38</v>
          </cell>
          <cell r="X32876" t="str">
            <v>GWP - gross</v>
          </cell>
          <cell r="Y32876" t="str">
            <v>CHILE</v>
          </cell>
        </row>
        <row r="32877">
          <cell r="L32877" t="str">
            <v>Proportional</v>
          </cell>
          <cell r="S32877">
            <v>-5950635.3799999999</v>
          </cell>
          <cell r="X32877" t="str">
            <v>GWP - gross</v>
          </cell>
          <cell r="Y32877" t="str">
            <v>PORTUGAL</v>
          </cell>
        </row>
        <row r="32878">
          <cell r="L32878" t="str">
            <v>Non-proportional</v>
          </cell>
          <cell r="S32878">
            <v>-116470.57</v>
          </cell>
          <cell r="X32878" t="str">
            <v>GWP - gross</v>
          </cell>
          <cell r="Y32878" t="str">
            <v>AUSTRALIA</v>
          </cell>
        </row>
        <row r="32879">
          <cell r="L32879" t="str">
            <v>Non-proportional</v>
          </cell>
          <cell r="S32879">
            <v>-15897.24</v>
          </cell>
          <cell r="X32879" t="str">
            <v>GWP - gross</v>
          </cell>
          <cell r="Y32879" t="str">
            <v>REPUBLIC OF IRELAND</v>
          </cell>
        </row>
        <row r="32880">
          <cell r="L32880" t="str">
            <v>Proportional</v>
          </cell>
          <cell r="S32880">
            <v>4699.68</v>
          </cell>
          <cell r="X32880" t="str">
            <v>GWP - gross</v>
          </cell>
          <cell r="Y32880" t="str">
            <v>CHILE</v>
          </cell>
        </row>
        <row r="32881">
          <cell r="L32881" t="str">
            <v>Proportional</v>
          </cell>
          <cell r="S32881">
            <v>-451653.72</v>
          </cell>
          <cell r="X32881" t="str">
            <v>GWP - gross</v>
          </cell>
          <cell r="Y32881" t="str">
            <v>PORTUGAL</v>
          </cell>
        </row>
        <row r="32882">
          <cell r="L32882" t="str">
            <v>Non-proportional</v>
          </cell>
          <cell r="S32882">
            <v>-75000</v>
          </cell>
          <cell r="X32882" t="str">
            <v>GWP - gross</v>
          </cell>
          <cell r="Y32882" t="str">
            <v>SPAIN</v>
          </cell>
        </row>
        <row r="32883">
          <cell r="L32883" t="str">
            <v>Non-proportional</v>
          </cell>
          <cell r="S32883">
            <v>-235314.69</v>
          </cell>
          <cell r="X32883" t="str">
            <v>GWP - gross</v>
          </cell>
          <cell r="Y32883" t="str">
            <v>MEXICO</v>
          </cell>
        </row>
        <row r="32884">
          <cell r="L32884" t="str">
            <v>Non-proportional</v>
          </cell>
          <cell r="S32884">
            <v>-30401.98</v>
          </cell>
          <cell r="X32884" t="str">
            <v>GWP - gross</v>
          </cell>
          <cell r="Y32884" t="str">
            <v>AUSTRALIA</v>
          </cell>
        </row>
        <row r="32885">
          <cell r="L32885" t="str">
            <v>Non-proportional</v>
          </cell>
          <cell r="S32885">
            <v>-206288.84</v>
          </cell>
          <cell r="X32885" t="str">
            <v>GWP - gross</v>
          </cell>
          <cell r="Y32885" t="str">
            <v>CHILE</v>
          </cell>
        </row>
        <row r="32886">
          <cell r="L32886" t="str">
            <v>Non-proportional</v>
          </cell>
          <cell r="S32886">
            <v>23231.38</v>
          </cell>
          <cell r="X32886" t="str">
            <v>GWP - gross</v>
          </cell>
          <cell r="Y32886" t="str">
            <v>DOMINICAN REPUBLIC</v>
          </cell>
        </row>
        <row r="32887">
          <cell r="L32887" t="str">
            <v>Proportional</v>
          </cell>
          <cell r="S32887">
            <v>5950635.3799999999</v>
          </cell>
          <cell r="X32887" t="str">
            <v>GWP - gross</v>
          </cell>
          <cell r="Y32887" t="str">
            <v>PORTUGAL</v>
          </cell>
        </row>
        <row r="32888">
          <cell r="L32888" t="str">
            <v>Non-proportional</v>
          </cell>
          <cell r="S32888">
            <v>-124378.68</v>
          </cell>
          <cell r="X32888" t="str">
            <v>GWP - gross</v>
          </cell>
          <cell r="Y32888" t="str">
            <v>DOMINICAN REPUBLIC</v>
          </cell>
        </row>
        <row r="32889">
          <cell r="L32889" t="str">
            <v>Non-proportional</v>
          </cell>
          <cell r="S32889">
            <v>105673.64</v>
          </cell>
          <cell r="X32889" t="str">
            <v>GWP - gross</v>
          </cell>
          <cell r="Y32889" t="str">
            <v>UNITED KINGDOM</v>
          </cell>
        </row>
        <row r="32890">
          <cell r="L32890" t="str">
            <v>Non-proportional</v>
          </cell>
          <cell r="S32890">
            <v>7626.4</v>
          </cell>
          <cell r="X32890" t="str">
            <v>GWP - gross</v>
          </cell>
          <cell r="Y32890" t="str">
            <v>MEXICO</v>
          </cell>
        </row>
        <row r="32891">
          <cell r="L32891" t="str">
            <v>Non-proportional</v>
          </cell>
          <cell r="S32891">
            <v>-26191.91</v>
          </cell>
          <cell r="X32891" t="str">
            <v>GWP - gross</v>
          </cell>
          <cell r="Y32891" t="str">
            <v>DOMINICAN REPUBLIC</v>
          </cell>
        </row>
        <row r="32892">
          <cell r="L32892" t="str">
            <v>Non-proportional</v>
          </cell>
          <cell r="S32892">
            <v>4268.01</v>
          </cell>
          <cell r="X32892" t="str">
            <v>GWP - gross</v>
          </cell>
          <cell r="Y32892" t="str">
            <v>UNITED KINGDOM</v>
          </cell>
        </row>
        <row r="32893">
          <cell r="L32893" t="str">
            <v>Non-proportional</v>
          </cell>
          <cell r="S32893">
            <v>766477.33</v>
          </cell>
          <cell r="X32893" t="str">
            <v>GWP - gross</v>
          </cell>
          <cell r="Y32893" t="str">
            <v>THAILAND</v>
          </cell>
        </row>
        <row r="32894">
          <cell r="L32894" t="str">
            <v>Non-proportional</v>
          </cell>
          <cell r="S32894">
            <v>11913.48</v>
          </cell>
          <cell r="X32894" t="str">
            <v>GWP - gross</v>
          </cell>
          <cell r="Y32894" t="str">
            <v>BRAZIL</v>
          </cell>
        </row>
        <row r="32895">
          <cell r="L32895" t="str">
            <v>Non-proportional</v>
          </cell>
          <cell r="S32895">
            <v>-6786.96</v>
          </cell>
          <cell r="X32895" t="str">
            <v>GWP - gross</v>
          </cell>
          <cell r="Y32895" t="str">
            <v>SINGAPORE</v>
          </cell>
        </row>
        <row r="32896">
          <cell r="L32896" t="str">
            <v>Non-proportional</v>
          </cell>
          <cell r="S32896">
            <v>-23231.38</v>
          </cell>
          <cell r="X32896" t="str">
            <v>GWP - gross</v>
          </cell>
          <cell r="Y32896" t="str">
            <v>DOMINICAN REPUBLIC</v>
          </cell>
        </row>
        <row r="32897">
          <cell r="L32897" t="str">
            <v>Non-proportional</v>
          </cell>
          <cell r="S32897">
            <v>93270.03</v>
          </cell>
          <cell r="X32897" t="str">
            <v>GWP - gross</v>
          </cell>
          <cell r="Y32897" t="str">
            <v>CHILE</v>
          </cell>
        </row>
        <row r="32898">
          <cell r="L32898" t="str">
            <v>Non-proportional</v>
          </cell>
          <cell r="S32898">
            <v>22836.9</v>
          </cell>
          <cell r="X32898" t="str">
            <v>GWP - gross</v>
          </cell>
          <cell r="Y32898" t="str">
            <v>THAILAND</v>
          </cell>
        </row>
        <row r="32899">
          <cell r="L32899" t="str">
            <v>Proportional</v>
          </cell>
          <cell r="S32899">
            <v>5606.26</v>
          </cell>
          <cell r="X32899" t="str">
            <v>GWP - gross</v>
          </cell>
          <cell r="Y32899" t="str">
            <v>CANADA</v>
          </cell>
        </row>
        <row r="32900">
          <cell r="L32900" t="str">
            <v>Non-proportional</v>
          </cell>
          <cell r="S32900">
            <v>-119468.59</v>
          </cell>
          <cell r="X32900" t="str">
            <v>GWP - gross</v>
          </cell>
          <cell r="Y32900" t="str">
            <v>MEXICO</v>
          </cell>
        </row>
        <row r="32901">
          <cell r="L32901" t="str">
            <v>Proportional</v>
          </cell>
          <cell r="S32901">
            <v>-20364.099999999999</v>
          </cell>
          <cell r="X32901" t="str">
            <v>GWP - gross</v>
          </cell>
          <cell r="Y32901" t="str">
            <v>Portugal</v>
          </cell>
        </row>
        <row r="32902">
          <cell r="L32902" t="str">
            <v>Proportional</v>
          </cell>
          <cell r="S32902">
            <v>1651.22</v>
          </cell>
          <cell r="X32902" t="str">
            <v>GWP - gross</v>
          </cell>
          <cell r="Y32902" t="str">
            <v>CHILE</v>
          </cell>
        </row>
        <row r="32903">
          <cell r="L32903" t="str">
            <v>Non-proportional</v>
          </cell>
          <cell r="S32903">
            <v>-19129.830000000002</v>
          </cell>
          <cell r="X32903" t="str">
            <v>GWP - gross</v>
          </cell>
          <cell r="Y32903" t="str">
            <v>PERU</v>
          </cell>
        </row>
        <row r="32904">
          <cell r="L32904" t="str">
            <v>Proportional</v>
          </cell>
          <cell r="S32904">
            <v>-17760607.100000001</v>
          </cell>
          <cell r="X32904" t="str">
            <v>GWP - gross</v>
          </cell>
          <cell r="Y32904" t="str">
            <v>ITALY</v>
          </cell>
        </row>
        <row r="32905">
          <cell r="L32905" t="str">
            <v>Non-proportional</v>
          </cell>
          <cell r="S32905">
            <v>90805.68</v>
          </cell>
          <cell r="X32905" t="str">
            <v>GWP - gross</v>
          </cell>
          <cell r="Y32905" t="str">
            <v>JAPAN</v>
          </cell>
        </row>
        <row r="32906">
          <cell r="L32906" t="str">
            <v>Proportional</v>
          </cell>
          <cell r="S32906">
            <v>-220.98</v>
          </cell>
          <cell r="X32906" t="str">
            <v>GWP - gross</v>
          </cell>
          <cell r="Y32906" t="str">
            <v>CHILE</v>
          </cell>
        </row>
        <row r="32907">
          <cell r="L32907" t="str">
            <v>Non-proportional</v>
          </cell>
          <cell r="S32907">
            <v>26470.59</v>
          </cell>
          <cell r="X32907" t="str">
            <v>GWP - gross</v>
          </cell>
          <cell r="Y32907" t="str">
            <v>THAILAND</v>
          </cell>
        </row>
        <row r="32908">
          <cell r="L32908" t="str">
            <v>Non-proportional</v>
          </cell>
          <cell r="S32908">
            <v>-11621.54</v>
          </cell>
          <cell r="X32908" t="str">
            <v>GWP - gross</v>
          </cell>
          <cell r="Y32908" t="str">
            <v>DOMINICAN REPUBLIC</v>
          </cell>
        </row>
        <row r="32909">
          <cell r="L32909" t="str">
            <v>Non-proportional</v>
          </cell>
          <cell r="S32909">
            <v>34582.25</v>
          </cell>
          <cell r="X32909" t="str">
            <v>GWP - gross</v>
          </cell>
          <cell r="Y32909" t="str">
            <v>AUSTRALIA</v>
          </cell>
        </row>
        <row r="32910">
          <cell r="L32910" t="str">
            <v>Non-proportional</v>
          </cell>
          <cell r="S32910">
            <v>-38323.870000000003</v>
          </cell>
          <cell r="X32910" t="str">
            <v>GWP - gross</v>
          </cell>
          <cell r="Y32910" t="str">
            <v>THAILAND</v>
          </cell>
        </row>
        <row r="32911">
          <cell r="L32911" t="str">
            <v>Non-proportional</v>
          </cell>
          <cell r="S32911">
            <v>8090.34</v>
          </cell>
          <cell r="X32911" t="str">
            <v>GWP - gross</v>
          </cell>
          <cell r="Y32911" t="str">
            <v>DENMARK</v>
          </cell>
        </row>
        <row r="32912">
          <cell r="L32912" t="str">
            <v>Non-proportional</v>
          </cell>
          <cell r="S32912">
            <v>52661.41</v>
          </cell>
          <cell r="X32912" t="str">
            <v>GWP - gross</v>
          </cell>
          <cell r="Y32912" t="str">
            <v>BELIZE</v>
          </cell>
        </row>
        <row r="32913">
          <cell r="L32913" t="str">
            <v>Non-proportional</v>
          </cell>
          <cell r="S32913">
            <v>79805.2</v>
          </cell>
          <cell r="X32913" t="str">
            <v>GWP - gross</v>
          </cell>
          <cell r="Y32913" t="str">
            <v>AUSTRALIA</v>
          </cell>
        </row>
        <row r="32914">
          <cell r="L32914" t="str">
            <v>Proportional</v>
          </cell>
          <cell r="S32914">
            <v>50.92</v>
          </cell>
          <cell r="X32914" t="str">
            <v>GWP - gross</v>
          </cell>
          <cell r="Y32914" t="str">
            <v>CHILE</v>
          </cell>
        </row>
        <row r="32915">
          <cell r="L32915" t="str">
            <v>Non-proportional</v>
          </cell>
          <cell r="S32915">
            <v>21577.94</v>
          </cell>
          <cell r="X32915" t="str">
            <v>GWP - gross</v>
          </cell>
          <cell r="Y32915" t="str">
            <v>UNITED KINGDOM</v>
          </cell>
        </row>
        <row r="32916">
          <cell r="L32916" t="str">
            <v>Non-proportional</v>
          </cell>
          <cell r="S32916">
            <v>874431.89</v>
          </cell>
          <cell r="X32916" t="str">
            <v>GWP - gross</v>
          </cell>
          <cell r="Y32916" t="str">
            <v>THAILAND</v>
          </cell>
        </row>
        <row r="32917">
          <cell r="L32917" t="str">
            <v>Proportional</v>
          </cell>
          <cell r="S32917">
            <v>-72152.09</v>
          </cell>
          <cell r="X32917" t="str">
            <v>GWP - gross</v>
          </cell>
          <cell r="Y32917" t="str">
            <v>CANADA</v>
          </cell>
        </row>
        <row r="32918">
          <cell r="L32918" t="str">
            <v>Proportional</v>
          </cell>
          <cell r="S32918">
            <v>-11377.01</v>
          </cell>
          <cell r="X32918" t="str">
            <v>GWP - gross</v>
          </cell>
          <cell r="Y32918" t="str">
            <v>CHILE</v>
          </cell>
        </row>
        <row r="32919">
          <cell r="L32919" t="str">
            <v>Non-proportional</v>
          </cell>
          <cell r="S32919">
            <v>-16586.09</v>
          </cell>
          <cell r="X32919" t="str">
            <v>GWP - gross</v>
          </cell>
          <cell r="Y32919" t="str">
            <v>UNITED KINGDOM</v>
          </cell>
        </row>
        <row r="32920">
          <cell r="L32920" t="str">
            <v>Non-proportional</v>
          </cell>
          <cell r="S32920">
            <v>30401.98</v>
          </cell>
          <cell r="X32920" t="str">
            <v>GWP - gross</v>
          </cell>
          <cell r="Y32920" t="str">
            <v>AUSTRALIA</v>
          </cell>
        </row>
        <row r="32921">
          <cell r="L32921" t="str">
            <v>Non-proportional</v>
          </cell>
          <cell r="S32921">
            <v>-93270.03</v>
          </cell>
          <cell r="X32921" t="str">
            <v>GWP - gross</v>
          </cell>
          <cell r="Y32921" t="str">
            <v>CHILE</v>
          </cell>
        </row>
        <row r="32922">
          <cell r="L32922" t="str">
            <v>Non-proportional</v>
          </cell>
          <cell r="S32922">
            <v>-22836.9</v>
          </cell>
          <cell r="X32922" t="str">
            <v>GWP - gross</v>
          </cell>
          <cell r="Y32922" t="str">
            <v>THAILAND</v>
          </cell>
        </row>
        <row r="32923">
          <cell r="L32923" t="str">
            <v>Proportional</v>
          </cell>
          <cell r="S32923">
            <v>-199.47</v>
          </cell>
          <cell r="X32923" t="str">
            <v>GWP - gross</v>
          </cell>
          <cell r="Y32923" t="str">
            <v>CHILE</v>
          </cell>
        </row>
        <row r="32924">
          <cell r="L32924" t="str">
            <v>Non-proportional</v>
          </cell>
          <cell r="S32924">
            <v>-14794.6</v>
          </cell>
          <cell r="X32924" t="str">
            <v>GWP - gross</v>
          </cell>
          <cell r="Y32924" t="str">
            <v>EUROPE</v>
          </cell>
        </row>
        <row r="32925">
          <cell r="L32925" t="str">
            <v>Non-proportional</v>
          </cell>
          <cell r="S32925">
            <v>57003.72</v>
          </cell>
          <cell r="X32925" t="str">
            <v>GWP - gross</v>
          </cell>
          <cell r="Y32925" t="str">
            <v>AUSTRALIA</v>
          </cell>
        </row>
        <row r="32926">
          <cell r="L32926" t="str">
            <v>Proportional</v>
          </cell>
          <cell r="S32926">
            <v>29568.29</v>
          </cell>
          <cell r="X32926" t="str">
            <v>GWP - gross</v>
          </cell>
          <cell r="Y32926" t="str">
            <v>UNITED STATES</v>
          </cell>
        </row>
        <row r="32927">
          <cell r="L32927" t="str">
            <v>Non-proportional</v>
          </cell>
          <cell r="S32927">
            <v>-19855.8</v>
          </cell>
          <cell r="X32927" t="str">
            <v>GWP - gross</v>
          </cell>
          <cell r="Y32927" t="str">
            <v>BRAZIL</v>
          </cell>
        </row>
        <row r="32928">
          <cell r="L32928" t="str">
            <v>Non-proportional</v>
          </cell>
          <cell r="S32928">
            <v>28370.46</v>
          </cell>
          <cell r="X32928" t="str">
            <v>GWP - gross</v>
          </cell>
          <cell r="Y32928" t="str">
            <v>THAILAND</v>
          </cell>
        </row>
        <row r="32929">
          <cell r="L32929" t="str">
            <v>Non-proportional</v>
          </cell>
          <cell r="S32929">
            <v>-26647.03</v>
          </cell>
          <cell r="X32929" t="str">
            <v>GWP - gross</v>
          </cell>
          <cell r="Y32929" t="str">
            <v>BELIZE</v>
          </cell>
        </row>
        <row r="32930">
          <cell r="L32930" t="str">
            <v>Non-proportional</v>
          </cell>
          <cell r="S32930">
            <v>-98984.8</v>
          </cell>
          <cell r="X32930" t="str">
            <v>GWP - gross</v>
          </cell>
          <cell r="Y32930" t="str">
            <v>AUSTRALIA</v>
          </cell>
        </row>
        <row r="32931">
          <cell r="L32931" t="str">
            <v>Non-proportional</v>
          </cell>
          <cell r="S32931">
            <v>-4970.3100000000004</v>
          </cell>
          <cell r="X32931" t="str">
            <v>GWP - gross</v>
          </cell>
          <cell r="Y32931" t="str">
            <v>FINLAND</v>
          </cell>
        </row>
        <row r="32932">
          <cell r="L32932" t="str">
            <v>Non-proportional</v>
          </cell>
          <cell r="S32932">
            <v>26545.46</v>
          </cell>
          <cell r="X32932" t="str">
            <v>GWP - gross</v>
          </cell>
          <cell r="Y32932" t="str">
            <v>THAILAND</v>
          </cell>
        </row>
        <row r="32933">
          <cell r="L32933" t="str">
            <v>Non-proportional</v>
          </cell>
          <cell r="S32933">
            <v>-26702.06</v>
          </cell>
          <cell r="X32933" t="str">
            <v>GWP - gross</v>
          </cell>
          <cell r="Y32933" t="str">
            <v>DOMINICAN REPUBLIC</v>
          </cell>
        </row>
        <row r="32934">
          <cell r="L32934" t="str">
            <v>Non-proportional</v>
          </cell>
          <cell r="S32934">
            <v>-52661.41</v>
          </cell>
          <cell r="X32934" t="str">
            <v>GWP - gross</v>
          </cell>
          <cell r="Y32934" t="str">
            <v>BELIZE</v>
          </cell>
        </row>
        <row r="32935">
          <cell r="L32935" t="str">
            <v>Non-proportional</v>
          </cell>
          <cell r="S32935">
            <v>-45174.42</v>
          </cell>
          <cell r="X32935" t="str">
            <v>GWP - gross</v>
          </cell>
          <cell r="Y32935" t="str">
            <v>COLOMBIA</v>
          </cell>
        </row>
        <row r="32936">
          <cell r="L32936" t="str">
            <v>Non-proportional</v>
          </cell>
          <cell r="S32936">
            <v>-4467.83</v>
          </cell>
          <cell r="X32936" t="str">
            <v>GWP - gross</v>
          </cell>
          <cell r="Y32936" t="str">
            <v>UNITED KINGDOM</v>
          </cell>
        </row>
        <row r="32937">
          <cell r="L32937" t="str">
            <v>Non-proportional</v>
          </cell>
          <cell r="S32937">
            <v>38323.870000000003</v>
          </cell>
          <cell r="X32937" t="str">
            <v>GWP - gross</v>
          </cell>
          <cell r="Y32937" t="str">
            <v>THAILAND</v>
          </cell>
        </row>
        <row r="32938">
          <cell r="L32938" t="str">
            <v>Non-proportional</v>
          </cell>
          <cell r="S32938">
            <v>-140551.46</v>
          </cell>
          <cell r="X32938" t="str">
            <v>GWP - gross</v>
          </cell>
          <cell r="Y32938" t="str">
            <v>MEXICO</v>
          </cell>
        </row>
        <row r="32939">
          <cell r="L32939" t="str">
            <v>Non-proportional</v>
          </cell>
          <cell r="S32939">
            <v>-22836.9</v>
          </cell>
          <cell r="X32939" t="str">
            <v>GWP - gross</v>
          </cell>
          <cell r="Y32939" t="str">
            <v>THAILAND</v>
          </cell>
        </row>
        <row r="32940">
          <cell r="L32940" t="str">
            <v>Non-proportional</v>
          </cell>
          <cell r="S32940">
            <v>27491.86</v>
          </cell>
          <cell r="X32940" t="str">
            <v>GWP - gross</v>
          </cell>
          <cell r="Y32940" t="str">
            <v>DENMARK</v>
          </cell>
        </row>
        <row r="32941">
          <cell r="L32941" t="str">
            <v>Non-proportional</v>
          </cell>
          <cell r="S32941">
            <v>-9927.9</v>
          </cell>
          <cell r="X32941" t="str">
            <v>GWP - gross</v>
          </cell>
          <cell r="Y32941" t="str">
            <v>BRAZIL</v>
          </cell>
        </row>
        <row r="32942">
          <cell r="L32942" t="str">
            <v>Non-proportional</v>
          </cell>
          <cell r="S32942">
            <v>22836.9</v>
          </cell>
          <cell r="X32942" t="str">
            <v>GWP - gross</v>
          </cell>
          <cell r="Y32942" t="str">
            <v>THAILAND</v>
          </cell>
        </row>
        <row r="32943">
          <cell r="L32943" t="str">
            <v>Proportional</v>
          </cell>
          <cell r="S32943">
            <v>-78.52</v>
          </cell>
          <cell r="X32943" t="str">
            <v>GWP - gross</v>
          </cell>
          <cell r="Y32943" t="str">
            <v>CHILE</v>
          </cell>
        </row>
        <row r="32944">
          <cell r="L32944" t="str">
            <v>Non-proportional</v>
          </cell>
          <cell r="S32944">
            <v>30227.279999999999</v>
          </cell>
          <cell r="X32944" t="str">
            <v>GWP - gross</v>
          </cell>
          <cell r="Y32944" t="str">
            <v>THAILAND</v>
          </cell>
        </row>
        <row r="32945">
          <cell r="L32945" t="str">
            <v>Non-proportional</v>
          </cell>
          <cell r="S32945">
            <v>-33786.25</v>
          </cell>
          <cell r="X32945" t="str">
            <v>GWP - gross</v>
          </cell>
          <cell r="Y32945" t="str">
            <v>AUSTRALIA</v>
          </cell>
        </row>
        <row r="32946">
          <cell r="L32946" t="str">
            <v>Non-proportional</v>
          </cell>
          <cell r="S32946">
            <v>-28370.46</v>
          </cell>
          <cell r="X32946" t="str">
            <v>GWP - gross</v>
          </cell>
          <cell r="Y32946" t="str">
            <v>THAILAND</v>
          </cell>
        </row>
        <row r="32947">
          <cell r="L32947" t="str">
            <v>Non-proportional</v>
          </cell>
          <cell r="S32947">
            <v>199.11</v>
          </cell>
          <cell r="X32947" t="str">
            <v>GWP - gross</v>
          </cell>
          <cell r="Y32947" t="str">
            <v>FRANCE</v>
          </cell>
        </row>
        <row r="32948">
          <cell r="L32948" t="str">
            <v>Non-proportional</v>
          </cell>
          <cell r="S32948">
            <v>42944.32</v>
          </cell>
          <cell r="X32948" t="str">
            <v>GWP - gross</v>
          </cell>
          <cell r="Y32948" t="str">
            <v>THAILAND</v>
          </cell>
        </row>
        <row r="32949">
          <cell r="L32949" t="str">
            <v>Non-proportional</v>
          </cell>
          <cell r="S32949">
            <v>116977.11</v>
          </cell>
          <cell r="X32949" t="str">
            <v>GWP - gross</v>
          </cell>
          <cell r="Y32949" t="str">
            <v>MEXICO</v>
          </cell>
        </row>
        <row r="32950">
          <cell r="L32950" t="str">
            <v>Non-proportional</v>
          </cell>
          <cell r="S32950">
            <v>22267.98</v>
          </cell>
          <cell r="X32950" t="str">
            <v>GWP - gross</v>
          </cell>
          <cell r="Y32950" t="str">
            <v>DOMINICAN REPUBLIC</v>
          </cell>
        </row>
        <row r="32951">
          <cell r="L32951" t="str">
            <v>Non-proportional</v>
          </cell>
          <cell r="S32951">
            <v>-604545.5</v>
          </cell>
          <cell r="X32951" t="str">
            <v>GWP - gross</v>
          </cell>
          <cell r="Y32951" t="str">
            <v>THAILAND</v>
          </cell>
        </row>
        <row r="32952">
          <cell r="L32952" t="str">
            <v>Non-proportional</v>
          </cell>
          <cell r="S32952">
            <v>-23823.37</v>
          </cell>
          <cell r="X32952" t="str">
            <v>GWP - gross</v>
          </cell>
          <cell r="Y32952" t="str">
            <v>DOMINICAN REPUBLIC</v>
          </cell>
        </row>
        <row r="32953">
          <cell r="L32953" t="str">
            <v>Non-proportional</v>
          </cell>
          <cell r="S32953">
            <v>796.23</v>
          </cell>
          <cell r="X32953" t="str">
            <v>GWP - gross</v>
          </cell>
          <cell r="Y32953" t="str">
            <v>DENMARK</v>
          </cell>
        </row>
        <row r="32954">
          <cell r="L32954" t="str">
            <v>Non-proportional</v>
          </cell>
          <cell r="S32954">
            <v>-345780.3</v>
          </cell>
          <cell r="X32954" t="str">
            <v>GWP - gross</v>
          </cell>
          <cell r="Y32954" t="str">
            <v>AUSTRALIA</v>
          </cell>
        </row>
        <row r="32955">
          <cell r="L32955" t="str">
            <v>Non-proportional</v>
          </cell>
          <cell r="S32955">
            <v>-92607.55</v>
          </cell>
          <cell r="X32955" t="str">
            <v>GWP - gross</v>
          </cell>
          <cell r="Y32955" t="str">
            <v>COLOMBIA</v>
          </cell>
        </row>
        <row r="32956">
          <cell r="L32956" t="str">
            <v>Non-proportional</v>
          </cell>
          <cell r="S32956">
            <v>-4098.55</v>
          </cell>
          <cell r="X32956" t="str">
            <v>GWP - gross</v>
          </cell>
          <cell r="Y32956" t="str">
            <v>PERU</v>
          </cell>
        </row>
        <row r="32957">
          <cell r="L32957" t="str">
            <v>Non-proportional</v>
          </cell>
          <cell r="S32957">
            <v>-12458.59</v>
          </cell>
          <cell r="X32957" t="str">
            <v>GWP - gross</v>
          </cell>
          <cell r="Y32957" t="str">
            <v>DENMARK</v>
          </cell>
        </row>
        <row r="32958">
          <cell r="L32958" t="str">
            <v>Proportional</v>
          </cell>
          <cell r="S32958">
            <v>-84.45</v>
          </cell>
          <cell r="X32958" t="str">
            <v>GWP - gross</v>
          </cell>
          <cell r="Y32958" t="str">
            <v>CHILE</v>
          </cell>
        </row>
        <row r="32959">
          <cell r="L32959" t="str">
            <v>Proportional</v>
          </cell>
          <cell r="S32959">
            <v>-281669.17</v>
          </cell>
          <cell r="X32959" t="str">
            <v>GWP - gross</v>
          </cell>
          <cell r="Y32959" t="str">
            <v>INDIA</v>
          </cell>
        </row>
        <row r="32960">
          <cell r="L32960" t="str">
            <v>Proportional</v>
          </cell>
          <cell r="S32960">
            <v>370.7</v>
          </cell>
          <cell r="X32960" t="str">
            <v>GWP - gross</v>
          </cell>
          <cell r="Y32960" t="str">
            <v>PORTUGAL</v>
          </cell>
        </row>
        <row r="32961">
          <cell r="L32961" t="str">
            <v>Proportional</v>
          </cell>
          <cell r="S32961">
            <v>-112.16</v>
          </cell>
          <cell r="X32961" t="str">
            <v>GWP - gross</v>
          </cell>
          <cell r="Y32961" t="str">
            <v>CHILE</v>
          </cell>
        </row>
        <row r="32962">
          <cell r="L32962" t="str">
            <v>Non-proportional</v>
          </cell>
          <cell r="S32962">
            <v>-724500</v>
          </cell>
          <cell r="X32962" t="str">
            <v>GWP - gross</v>
          </cell>
          <cell r="Y32962" t="str">
            <v>BELGIUM</v>
          </cell>
        </row>
        <row r="32963">
          <cell r="L32963" t="str">
            <v>Non-proportional</v>
          </cell>
          <cell r="S32963">
            <v>-32743.5</v>
          </cell>
          <cell r="X32963" t="str">
            <v>GWP - gross</v>
          </cell>
          <cell r="Y32963" t="str">
            <v>ECUADOR</v>
          </cell>
        </row>
        <row r="32964">
          <cell r="L32964" t="str">
            <v>Non-proportional</v>
          </cell>
          <cell r="S32964">
            <v>37052.42</v>
          </cell>
          <cell r="X32964" t="str">
            <v>GWP - gross</v>
          </cell>
          <cell r="Y32964" t="str">
            <v>AUSTRALIA</v>
          </cell>
        </row>
        <row r="32965">
          <cell r="L32965" t="str">
            <v>Non-proportional</v>
          </cell>
          <cell r="S32965">
            <v>-37052.42</v>
          </cell>
          <cell r="X32965" t="str">
            <v>GWP - gross</v>
          </cell>
          <cell r="Y32965" t="str">
            <v>AUSTRALIA</v>
          </cell>
        </row>
        <row r="32966">
          <cell r="L32966" t="str">
            <v>Non-proportional</v>
          </cell>
          <cell r="S32966">
            <v>-115035.93</v>
          </cell>
          <cell r="X32966" t="str">
            <v>GWP - gross</v>
          </cell>
          <cell r="Y32966" t="str">
            <v>MEXICO</v>
          </cell>
        </row>
        <row r="32967">
          <cell r="L32967" t="str">
            <v>Proportional</v>
          </cell>
          <cell r="S32967">
            <v>199.47</v>
          </cell>
          <cell r="X32967" t="str">
            <v>GWP - gross</v>
          </cell>
          <cell r="Y32967" t="str">
            <v>CHILE</v>
          </cell>
        </row>
        <row r="32968">
          <cell r="L32968" t="str">
            <v>Non-proportional</v>
          </cell>
          <cell r="S32968">
            <v>1.78</v>
          </cell>
          <cell r="X32968" t="str">
            <v>GWP - gross</v>
          </cell>
          <cell r="Y32968" t="str">
            <v>SINGAPORE</v>
          </cell>
        </row>
        <row r="32969">
          <cell r="L32969" t="str">
            <v>Non-proportional</v>
          </cell>
          <cell r="S32969">
            <v>-32005.35</v>
          </cell>
          <cell r="X32969" t="str">
            <v>GWP - gross</v>
          </cell>
          <cell r="Y32969" t="str">
            <v>THAILAND</v>
          </cell>
        </row>
        <row r="32970">
          <cell r="L32970" t="str">
            <v>Proportional</v>
          </cell>
          <cell r="S32970">
            <v>-183131.02</v>
          </cell>
          <cell r="X32970" t="str">
            <v>GWP - gross</v>
          </cell>
          <cell r="Y32970" t="str">
            <v>PERU</v>
          </cell>
        </row>
        <row r="32971">
          <cell r="L32971" t="str">
            <v>Proportional</v>
          </cell>
          <cell r="S32971">
            <v>-12707.95</v>
          </cell>
          <cell r="X32971" t="str">
            <v>GWP - gross</v>
          </cell>
          <cell r="Y32971" t="str">
            <v>FRANCE</v>
          </cell>
        </row>
        <row r="32972">
          <cell r="L32972" t="str">
            <v>Proportional</v>
          </cell>
          <cell r="S32972">
            <v>25277</v>
          </cell>
          <cell r="X32972" t="str">
            <v>GWP - gross</v>
          </cell>
          <cell r="Y32972" t="str">
            <v>FRANCE</v>
          </cell>
        </row>
        <row r="32973">
          <cell r="L32973" t="str">
            <v>Non-proportional</v>
          </cell>
          <cell r="S32973">
            <v>6.99</v>
          </cell>
          <cell r="X32973" t="str">
            <v>GWP - gross</v>
          </cell>
          <cell r="Y32973" t="str">
            <v>SINGAPORE</v>
          </cell>
        </row>
        <row r="32974">
          <cell r="L32974" t="str">
            <v>Proportional</v>
          </cell>
          <cell r="S32974">
            <v>51681.39</v>
          </cell>
          <cell r="X32974" t="str">
            <v>GWP - gross</v>
          </cell>
          <cell r="Y32974" t="str">
            <v>UNITED KINGDOM</v>
          </cell>
        </row>
        <row r="32975">
          <cell r="L32975" t="str">
            <v>Non-proportional</v>
          </cell>
          <cell r="S32975">
            <v>-170587.7</v>
          </cell>
          <cell r="X32975" t="str">
            <v>GWP - gross</v>
          </cell>
          <cell r="Y32975" t="str">
            <v>AUSTRALIA</v>
          </cell>
        </row>
        <row r="32976">
          <cell r="L32976" t="str">
            <v>Non-proportional</v>
          </cell>
          <cell r="S32976">
            <v>36633.360000000001</v>
          </cell>
          <cell r="X32976" t="str">
            <v>GWP - gross</v>
          </cell>
          <cell r="Y32976" t="str">
            <v>UNITED KINGDOM</v>
          </cell>
        </row>
        <row r="32977">
          <cell r="L32977" t="str">
            <v>Non-proportional</v>
          </cell>
          <cell r="S32977">
            <v>106150.62</v>
          </cell>
          <cell r="X32977" t="str">
            <v>GWP - gross</v>
          </cell>
          <cell r="Y32977" t="str">
            <v>MEXICO</v>
          </cell>
        </row>
        <row r="32978">
          <cell r="L32978" t="str">
            <v>Proportional</v>
          </cell>
          <cell r="S32978">
            <v>-1696.11</v>
          </cell>
          <cell r="X32978" t="str">
            <v>GWP - gross</v>
          </cell>
          <cell r="Y32978" t="str">
            <v>UNITED ARAB EMIRATES</v>
          </cell>
        </row>
        <row r="32979">
          <cell r="L32979" t="str">
            <v>Proportional</v>
          </cell>
          <cell r="S32979">
            <v>213555.62</v>
          </cell>
          <cell r="X32979" t="str">
            <v>GWP - gross</v>
          </cell>
          <cell r="Y32979" t="str">
            <v>MEXICO</v>
          </cell>
        </row>
        <row r="32980">
          <cell r="L32980" t="str">
            <v>Non-proportional</v>
          </cell>
          <cell r="S32980">
            <v>-18575.86</v>
          </cell>
          <cell r="X32980" t="str">
            <v>GWP - gross</v>
          </cell>
          <cell r="Y32980" t="str">
            <v>AUSTRALIA</v>
          </cell>
        </row>
        <row r="32981">
          <cell r="L32981" t="str">
            <v>Non-proportional</v>
          </cell>
          <cell r="S32981">
            <v>1726.46</v>
          </cell>
          <cell r="X32981" t="str">
            <v>GWP - gross</v>
          </cell>
          <cell r="Y32981" t="str">
            <v>PERU</v>
          </cell>
        </row>
        <row r="32982">
          <cell r="L32982" t="str">
            <v>Non-proportional</v>
          </cell>
          <cell r="S32982">
            <v>-88672.45</v>
          </cell>
          <cell r="X32982" t="str">
            <v>GWP - gross</v>
          </cell>
          <cell r="Y32982" t="str">
            <v>AUSTRALIA</v>
          </cell>
        </row>
        <row r="32983">
          <cell r="L32983" t="str">
            <v>Non-proportional</v>
          </cell>
          <cell r="S32983">
            <v>-1481.72</v>
          </cell>
          <cell r="X32983" t="str">
            <v>GWP - gross</v>
          </cell>
          <cell r="Y32983" t="str">
            <v>JAPAN</v>
          </cell>
        </row>
        <row r="32984">
          <cell r="L32984" t="str">
            <v>Non-proportional</v>
          </cell>
          <cell r="S32984">
            <v>34202.230000000003</v>
          </cell>
          <cell r="X32984" t="str">
            <v>GWP - gross</v>
          </cell>
          <cell r="Y32984" t="str">
            <v>AUSTRALIA</v>
          </cell>
        </row>
        <row r="32985">
          <cell r="L32985" t="str">
            <v>Proportional</v>
          </cell>
          <cell r="S32985">
            <v>-7875.12</v>
          </cell>
          <cell r="X32985" t="str">
            <v>GWP - gross</v>
          </cell>
          <cell r="Y32985" t="str">
            <v>SWITZERLAND</v>
          </cell>
        </row>
        <row r="32986">
          <cell r="L32986" t="str">
            <v>Non-proportional</v>
          </cell>
          <cell r="S32986">
            <v>28479.78</v>
          </cell>
          <cell r="X32986" t="str">
            <v>GWP - gross</v>
          </cell>
          <cell r="Y32986" t="str">
            <v>DOMINICAN REPUBLIC</v>
          </cell>
        </row>
        <row r="32987">
          <cell r="L32987" t="str">
            <v>Non-proportional</v>
          </cell>
          <cell r="S32987">
            <v>12964.65</v>
          </cell>
          <cell r="X32987" t="str">
            <v>GWP - gross</v>
          </cell>
          <cell r="Y32987" t="str">
            <v>DENMARK</v>
          </cell>
        </row>
        <row r="32988">
          <cell r="L32988" t="str">
            <v>Non-proportional</v>
          </cell>
          <cell r="S32988">
            <v>-14042.59</v>
          </cell>
          <cell r="X32988" t="str">
            <v>GWP - gross</v>
          </cell>
          <cell r="Y32988" t="str">
            <v>EUROPE</v>
          </cell>
        </row>
        <row r="32989">
          <cell r="L32989" t="str">
            <v>Proportional</v>
          </cell>
          <cell r="S32989">
            <v>-6312.62</v>
          </cell>
          <cell r="X32989" t="str">
            <v>GWP - gross</v>
          </cell>
          <cell r="Y32989" t="str">
            <v>FRANCE</v>
          </cell>
        </row>
        <row r="32990">
          <cell r="L32990" t="str">
            <v>Non-proportional</v>
          </cell>
          <cell r="S32990">
            <v>-48507.48</v>
          </cell>
          <cell r="X32990" t="str">
            <v>GWP - gross</v>
          </cell>
          <cell r="Y32990" t="str">
            <v>UNITED KINGDOM</v>
          </cell>
        </row>
        <row r="32991">
          <cell r="L32991" t="str">
            <v>Non-proportional</v>
          </cell>
          <cell r="S32991">
            <v>22836.9</v>
          </cell>
          <cell r="X32991" t="str">
            <v>GWP - gross</v>
          </cell>
          <cell r="Y32991" t="str">
            <v>THAILAND</v>
          </cell>
        </row>
        <row r="32992">
          <cell r="L32992" t="str">
            <v>Non-proportional</v>
          </cell>
          <cell r="S32992">
            <v>-8412.7199999999993</v>
          </cell>
          <cell r="X32992" t="str">
            <v>GWP - gross</v>
          </cell>
          <cell r="Y32992" t="str">
            <v>PERU</v>
          </cell>
        </row>
        <row r="32993">
          <cell r="L32993" t="str">
            <v>Non-proportional</v>
          </cell>
          <cell r="S32993">
            <v>-88672.47</v>
          </cell>
          <cell r="X32993" t="str">
            <v>GWP - gross</v>
          </cell>
          <cell r="Y32993" t="str">
            <v>AUSTRALIA</v>
          </cell>
        </row>
        <row r="32994">
          <cell r="L32994" t="str">
            <v>Non-proportional</v>
          </cell>
          <cell r="S32994">
            <v>-1050680.19</v>
          </cell>
          <cell r="X32994" t="str">
            <v>GWP - gross</v>
          </cell>
          <cell r="Y32994" t="str">
            <v>UNITED KINGDOM</v>
          </cell>
        </row>
        <row r="32995">
          <cell r="L32995" t="str">
            <v>Non-proportional</v>
          </cell>
          <cell r="S32995">
            <v>-945.55</v>
          </cell>
          <cell r="X32995" t="str">
            <v>GWP - gross</v>
          </cell>
          <cell r="Y32995" t="str">
            <v>UNITED KINGDOM</v>
          </cell>
        </row>
        <row r="32996">
          <cell r="L32996" t="str">
            <v>Non-proportional</v>
          </cell>
          <cell r="S32996">
            <v>-2741.13</v>
          </cell>
          <cell r="X32996" t="str">
            <v>GWP - gross</v>
          </cell>
          <cell r="Y32996" t="str">
            <v>JAPAN</v>
          </cell>
        </row>
        <row r="32997">
          <cell r="L32997" t="str">
            <v>Proportional</v>
          </cell>
          <cell r="S32997">
            <v>117943.37</v>
          </cell>
          <cell r="X32997" t="str">
            <v>GWP - gross</v>
          </cell>
          <cell r="Y32997" t="str">
            <v>JAPAN</v>
          </cell>
        </row>
        <row r="32998">
          <cell r="L32998" t="str">
            <v>Non-proportional</v>
          </cell>
          <cell r="S32998">
            <v>-15884.64</v>
          </cell>
          <cell r="X32998" t="str">
            <v>GWP - gross</v>
          </cell>
          <cell r="Y32998" t="str">
            <v>BRAZIL</v>
          </cell>
        </row>
        <row r="32999">
          <cell r="L32999" t="str">
            <v>Non-proportional</v>
          </cell>
          <cell r="S32999">
            <v>8400</v>
          </cell>
          <cell r="X32999" t="str">
            <v>GWP - gross</v>
          </cell>
          <cell r="Y32999" t="str">
            <v>EUROPE</v>
          </cell>
        </row>
        <row r="33000">
          <cell r="L33000" t="str">
            <v>Non-proportional</v>
          </cell>
          <cell r="S33000">
            <v>-62577.41</v>
          </cell>
          <cell r="X33000" t="str">
            <v>GWP - gross</v>
          </cell>
          <cell r="Y33000" t="str">
            <v>AUSTRALIA</v>
          </cell>
        </row>
        <row r="33001">
          <cell r="L33001" t="str">
            <v>Non-proportional</v>
          </cell>
          <cell r="S33001">
            <v>-116977.11</v>
          </cell>
          <cell r="X33001" t="str">
            <v>GWP - gross</v>
          </cell>
          <cell r="Y33001" t="str">
            <v>MEXICO</v>
          </cell>
        </row>
        <row r="33002">
          <cell r="L33002" t="str">
            <v>Non-proportional</v>
          </cell>
          <cell r="S33002">
            <v>-13042.98</v>
          </cell>
          <cell r="X33002" t="str">
            <v>GWP - gross</v>
          </cell>
          <cell r="Y33002" t="str">
            <v>PERU</v>
          </cell>
        </row>
        <row r="33003">
          <cell r="L33003" t="str">
            <v>Non-proportional</v>
          </cell>
          <cell r="S33003">
            <v>-35776.69</v>
          </cell>
          <cell r="X33003" t="str">
            <v>GWP - gross</v>
          </cell>
          <cell r="Y33003" t="str">
            <v>ECUADOR</v>
          </cell>
        </row>
        <row r="33004">
          <cell r="L33004" t="str">
            <v>Non-proportional</v>
          </cell>
          <cell r="S33004">
            <v>604545.5</v>
          </cell>
          <cell r="X33004" t="str">
            <v>GWP - gross</v>
          </cell>
          <cell r="Y33004" t="str">
            <v>THAILAND</v>
          </cell>
        </row>
        <row r="33005">
          <cell r="L33005" t="str">
            <v>Non-proportional</v>
          </cell>
          <cell r="S33005">
            <v>26702.06</v>
          </cell>
          <cell r="X33005" t="str">
            <v>GWP - gross</v>
          </cell>
          <cell r="Y33005" t="str">
            <v>DOMINICAN REPUBLIC</v>
          </cell>
        </row>
        <row r="33006">
          <cell r="L33006" t="str">
            <v>Non-proportional</v>
          </cell>
          <cell r="S33006">
            <v>-141522.45000000001</v>
          </cell>
          <cell r="X33006" t="str">
            <v>GWP - gross</v>
          </cell>
          <cell r="Y33006" t="str">
            <v>MEXICO</v>
          </cell>
        </row>
        <row r="33007">
          <cell r="L33007" t="str">
            <v>Non-proportional</v>
          </cell>
          <cell r="S33007">
            <v>-8838.07</v>
          </cell>
          <cell r="X33007" t="str">
            <v>GWP - gross</v>
          </cell>
          <cell r="Y33007" t="str">
            <v>ECUADOR</v>
          </cell>
        </row>
        <row r="33008">
          <cell r="L33008" t="str">
            <v>Proportional</v>
          </cell>
          <cell r="S33008">
            <v>47483</v>
          </cell>
          <cell r="X33008" t="str">
            <v>GWP - gross</v>
          </cell>
          <cell r="Y33008" t="str">
            <v>FRANCE</v>
          </cell>
        </row>
        <row r="33009">
          <cell r="L33009" t="str">
            <v>Non-proportional</v>
          </cell>
          <cell r="S33009">
            <v>-97645.25</v>
          </cell>
          <cell r="X33009" t="str">
            <v>GWP - gross</v>
          </cell>
          <cell r="Y33009" t="str">
            <v>AUSTRALIA</v>
          </cell>
        </row>
        <row r="33010">
          <cell r="L33010" t="str">
            <v>Non-proportional</v>
          </cell>
          <cell r="S33010">
            <v>47439.28</v>
          </cell>
          <cell r="X33010" t="str">
            <v>GWP - gross</v>
          </cell>
          <cell r="Y33010" t="str">
            <v>SPAIN</v>
          </cell>
        </row>
        <row r="33011">
          <cell r="L33011" t="str">
            <v>Non-proportional</v>
          </cell>
          <cell r="S33011">
            <v>-38565.5</v>
          </cell>
          <cell r="X33011" t="str">
            <v>GWP - gross</v>
          </cell>
          <cell r="Y33011" t="str">
            <v>AUSTRALIA</v>
          </cell>
        </row>
        <row r="33012">
          <cell r="L33012" t="str">
            <v>Non-proportional</v>
          </cell>
          <cell r="S33012">
            <v>32511.45</v>
          </cell>
          <cell r="X33012" t="str">
            <v>GWP - gross</v>
          </cell>
          <cell r="Y33012" t="str">
            <v>ECUADOR</v>
          </cell>
        </row>
        <row r="33013">
          <cell r="L33013" t="str">
            <v>Proportional</v>
          </cell>
          <cell r="S33013">
            <v>-32653.98</v>
          </cell>
          <cell r="X33013" t="str">
            <v>GWP - gross</v>
          </cell>
          <cell r="Y33013" t="str">
            <v>AUSTRALIA</v>
          </cell>
        </row>
        <row r="33014">
          <cell r="L33014" t="str">
            <v>Non-proportional</v>
          </cell>
          <cell r="S33014">
            <v>9079.43</v>
          </cell>
          <cell r="X33014" t="str">
            <v>GWP - gross</v>
          </cell>
          <cell r="Y33014" t="str">
            <v>PERU</v>
          </cell>
        </row>
        <row r="33015">
          <cell r="L33015" t="str">
            <v>Non-proportional</v>
          </cell>
          <cell r="S33015">
            <v>36139.53</v>
          </cell>
          <cell r="X33015" t="str">
            <v>GWP - gross</v>
          </cell>
          <cell r="Y33015" t="str">
            <v>COLOMBIA</v>
          </cell>
        </row>
        <row r="33016">
          <cell r="L33016" t="str">
            <v>Non-proportional</v>
          </cell>
          <cell r="S33016">
            <v>-55213.15</v>
          </cell>
          <cell r="X33016" t="str">
            <v>GWP - gross</v>
          </cell>
          <cell r="Y33016" t="str">
            <v>COLOMBIA</v>
          </cell>
        </row>
        <row r="33017">
          <cell r="L33017" t="str">
            <v>Non-proportional</v>
          </cell>
          <cell r="S33017">
            <v>-31016.85</v>
          </cell>
          <cell r="X33017" t="str">
            <v>GWP - gross</v>
          </cell>
          <cell r="Y33017" t="str">
            <v>ECUADOR</v>
          </cell>
        </row>
        <row r="33018">
          <cell r="L33018" t="str">
            <v>Non-proportional</v>
          </cell>
          <cell r="S33018">
            <v>-229221.75</v>
          </cell>
          <cell r="X33018" t="str">
            <v>GWP - gross</v>
          </cell>
          <cell r="Y33018" t="str">
            <v>CHILE</v>
          </cell>
        </row>
        <row r="33019">
          <cell r="L33019" t="str">
            <v>Non-proportional</v>
          </cell>
          <cell r="S33019">
            <v>1217667.78</v>
          </cell>
          <cell r="X33019" t="str">
            <v>GWP - gross</v>
          </cell>
          <cell r="Y33019" t="str">
            <v>UNITED KINGDOM</v>
          </cell>
        </row>
        <row r="33020">
          <cell r="L33020" t="str">
            <v>Non-proportional</v>
          </cell>
          <cell r="S33020">
            <v>-567409.14</v>
          </cell>
          <cell r="X33020" t="str">
            <v>GWP - gross</v>
          </cell>
          <cell r="Y33020" t="str">
            <v>THAILAND</v>
          </cell>
        </row>
        <row r="33021">
          <cell r="L33021" t="str">
            <v>Non-proportional</v>
          </cell>
          <cell r="S33021">
            <v>43721.59</v>
          </cell>
          <cell r="X33021" t="str">
            <v>GWP - gross</v>
          </cell>
          <cell r="Y33021" t="str">
            <v>THAILAND</v>
          </cell>
        </row>
        <row r="33022">
          <cell r="L33022" t="str">
            <v>Non-proportional</v>
          </cell>
          <cell r="S33022">
            <v>3199.28</v>
          </cell>
          <cell r="X33022" t="str">
            <v>GWP - gross</v>
          </cell>
          <cell r="Y33022" t="str">
            <v>UNITED ARAB EMIRATES</v>
          </cell>
        </row>
        <row r="33023">
          <cell r="L33023" t="str">
            <v>Non-proportional</v>
          </cell>
          <cell r="S33023">
            <v>35776.69</v>
          </cell>
          <cell r="X33023" t="str">
            <v>GWP - gross</v>
          </cell>
          <cell r="Y33023" t="str">
            <v>ECUADOR</v>
          </cell>
        </row>
        <row r="33024">
          <cell r="L33024" t="str">
            <v>Non-proportional</v>
          </cell>
          <cell r="S33024">
            <v>-47439.28</v>
          </cell>
          <cell r="X33024" t="str">
            <v>GWP - gross</v>
          </cell>
          <cell r="Y33024" t="str">
            <v>SPAIN</v>
          </cell>
        </row>
        <row r="33025">
          <cell r="L33025" t="str">
            <v>Non-proportional</v>
          </cell>
          <cell r="S33025">
            <v>227337.01</v>
          </cell>
          <cell r="X33025" t="str">
            <v>GWP - gross</v>
          </cell>
          <cell r="Y33025" t="str">
            <v>UNITED KINGDOM</v>
          </cell>
        </row>
        <row r="33026">
          <cell r="L33026" t="str">
            <v>Non-proportional</v>
          </cell>
          <cell r="S33026">
            <v>106312.58</v>
          </cell>
          <cell r="X33026" t="str">
            <v>GWP - gross</v>
          </cell>
          <cell r="Y33026" t="str">
            <v>ECUADOR</v>
          </cell>
        </row>
        <row r="33027">
          <cell r="L33027" t="str">
            <v>Non-proportional</v>
          </cell>
          <cell r="S33027">
            <v>-27138.13</v>
          </cell>
          <cell r="X33027" t="str">
            <v>GWP - gross</v>
          </cell>
          <cell r="Y33027" t="str">
            <v>DOMINICAN REPUBLIC</v>
          </cell>
        </row>
        <row r="33028">
          <cell r="L33028" t="str">
            <v>Non-proportional</v>
          </cell>
          <cell r="S33028">
            <v>29475.279999999999</v>
          </cell>
          <cell r="X33028" t="str">
            <v>GWP - gross</v>
          </cell>
          <cell r="Y33028" t="str">
            <v>ECUADOR</v>
          </cell>
        </row>
        <row r="33029">
          <cell r="L33029" t="str">
            <v>Non-proportional</v>
          </cell>
          <cell r="S33029">
            <v>31815.51</v>
          </cell>
          <cell r="X33029" t="str">
            <v>GWP - gross</v>
          </cell>
          <cell r="Y33029" t="str">
            <v>THAILAND</v>
          </cell>
        </row>
        <row r="33030">
          <cell r="L33030" t="str">
            <v>Non-proportional</v>
          </cell>
          <cell r="S33030">
            <v>-63339.360000000001</v>
          </cell>
          <cell r="X33030" t="str">
            <v>GWP - gross</v>
          </cell>
          <cell r="Y33030" t="str">
            <v>AUSTRALIA</v>
          </cell>
        </row>
        <row r="33031">
          <cell r="L33031" t="str">
            <v>Non-proportional</v>
          </cell>
          <cell r="S33031">
            <v>127688.32000000001</v>
          </cell>
          <cell r="X33031" t="str">
            <v>GWP - gross</v>
          </cell>
          <cell r="Y33031" t="str">
            <v>AUSTRALIA</v>
          </cell>
        </row>
        <row r="33032">
          <cell r="L33032" t="str">
            <v>Non-proportional</v>
          </cell>
          <cell r="S33032">
            <v>-90805.68</v>
          </cell>
          <cell r="X33032" t="str">
            <v>GWP - gross</v>
          </cell>
          <cell r="Y33032" t="str">
            <v>JAPAN</v>
          </cell>
        </row>
        <row r="33033">
          <cell r="L33033" t="str">
            <v>Non-proportional</v>
          </cell>
          <cell r="S33033">
            <v>-5071.29</v>
          </cell>
          <cell r="X33033" t="str">
            <v>GWP - gross</v>
          </cell>
          <cell r="Y33033" t="str">
            <v>SINGAPORE</v>
          </cell>
        </row>
        <row r="33034">
          <cell r="L33034" t="str">
            <v>Non-proportional</v>
          </cell>
          <cell r="S33034">
            <v>-28479.78</v>
          </cell>
          <cell r="X33034" t="str">
            <v>GWP - gross</v>
          </cell>
          <cell r="Y33034" t="str">
            <v>DOMINICAN REPUBLIC</v>
          </cell>
        </row>
        <row r="33035">
          <cell r="L33035" t="str">
            <v>Non-proportional</v>
          </cell>
          <cell r="S33035">
            <v>312222.51</v>
          </cell>
          <cell r="X33035" t="str">
            <v>GWP - gross</v>
          </cell>
          <cell r="Y33035" t="str">
            <v>UNITED KINGDOM</v>
          </cell>
        </row>
        <row r="33036">
          <cell r="L33036" t="str">
            <v>Proportional</v>
          </cell>
          <cell r="S33036">
            <v>144.54</v>
          </cell>
          <cell r="X33036" t="str">
            <v>GWP - gross</v>
          </cell>
          <cell r="Y33036" t="str">
            <v>CHILE</v>
          </cell>
        </row>
        <row r="33037">
          <cell r="L33037" t="str">
            <v>Non-proportional</v>
          </cell>
          <cell r="S33037">
            <v>-190868.89</v>
          </cell>
          <cell r="X33037" t="str">
            <v>GWP - gross</v>
          </cell>
          <cell r="Y33037" t="str">
            <v>UNITED KINGDOM</v>
          </cell>
        </row>
        <row r="33038">
          <cell r="L33038" t="str">
            <v>Proportional</v>
          </cell>
          <cell r="S33038">
            <v>-3434.76</v>
          </cell>
          <cell r="X33038" t="str">
            <v>GWP - gross</v>
          </cell>
          <cell r="Y33038" t="str">
            <v>Portugal</v>
          </cell>
        </row>
        <row r="33039">
          <cell r="L33039" t="str">
            <v>Non-proportional</v>
          </cell>
          <cell r="S33039">
            <v>47956.58</v>
          </cell>
          <cell r="X33039" t="str">
            <v>GWP - gross</v>
          </cell>
          <cell r="Y33039" t="str">
            <v>COLOMBIA</v>
          </cell>
        </row>
        <row r="33040">
          <cell r="L33040" t="str">
            <v>Non-proportional</v>
          </cell>
          <cell r="S33040">
            <v>136808.92000000001</v>
          </cell>
          <cell r="X33040" t="str">
            <v>GWP - gross</v>
          </cell>
          <cell r="Y33040" t="str">
            <v>AUSTRALIA</v>
          </cell>
        </row>
        <row r="33041">
          <cell r="L33041" t="str">
            <v>Non-proportional</v>
          </cell>
          <cell r="S33041">
            <v>-121607.93</v>
          </cell>
          <cell r="X33041" t="str">
            <v>GWP - gross</v>
          </cell>
          <cell r="Y33041" t="str">
            <v>AUSTRALIA</v>
          </cell>
        </row>
        <row r="33042">
          <cell r="L33042" t="str">
            <v>Non-proportional</v>
          </cell>
          <cell r="S33042">
            <v>-118099.11</v>
          </cell>
          <cell r="X33042" t="str">
            <v>GWP - gross</v>
          </cell>
          <cell r="Y33042" t="str">
            <v>CHILE</v>
          </cell>
        </row>
        <row r="33043">
          <cell r="L33043" t="str">
            <v>Non-proportional</v>
          </cell>
          <cell r="S33043">
            <v>42944.32</v>
          </cell>
          <cell r="X33043" t="str">
            <v>GWP - gross</v>
          </cell>
          <cell r="Y33043" t="str">
            <v>THAILAND</v>
          </cell>
        </row>
        <row r="33044">
          <cell r="L33044" t="str">
            <v>Non-proportional</v>
          </cell>
          <cell r="S33044">
            <v>4200</v>
          </cell>
          <cell r="X33044" t="str">
            <v>GWP - gross</v>
          </cell>
          <cell r="Y33044" t="str">
            <v>EUROPE</v>
          </cell>
        </row>
        <row r="33045">
          <cell r="L33045" t="str">
            <v>Proportional</v>
          </cell>
          <cell r="S33045">
            <v>-144.54</v>
          </cell>
          <cell r="X33045" t="str">
            <v>GWP - gross</v>
          </cell>
          <cell r="Y33045" t="str">
            <v>CHILE</v>
          </cell>
        </row>
        <row r="33046">
          <cell r="L33046" t="str">
            <v>Non-proportional</v>
          </cell>
          <cell r="S33046">
            <v>-46931.35</v>
          </cell>
          <cell r="X33046" t="str">
            <v>GWP - gross</v>
          </cell>
          <cell r="Y33046" t="str">
            <v>BELIZE</v>
          </cell>
        </row>
        <row r="33047">
          <cell r="L33047" t="str">
            <v>Non-proportional</v>
          </cell>
          <cell r="S33047">
            <v>11284.88</v>
          </cell>
          <cell r="X33047" t="str">
            <v>GWP - gross</v>
          </cell>
          <cell r="Y33047" t="str">
            <v>DENMARK</v>
          </cell>
        </row>
        <row r="33048">
          <cell r="L33048" t="str">
            <v>Proportional</v>
          </cell>
          <cell r="S33048">
            <v>-911451.17</v>
          </cell>
          <cell r="X33048" t="str">
            <v>GWP - gross</v>
          </cell>
          <cell r="Y33048" t="str">
            <v>PORTUGAL</v>
          </cell>
        </row>
        <row r="33049">
          <cell r="L33049" t="str">
            <v>Non-proportional</v>
          </cell>
          <cell r="S33049">
            <v>-10088.5</v>
          </cell>
          <cell r="X33049" t="str">
            <v>GWP - gross</v>
          </cell>
          <cell r="Y33049" t="str">
            <v>FRANCE</v>
          </cell>
        </row>
        <row r="33050">
          <cell r="L33050" t="str">
            <v>Non-proportional</v>
          </cell>
          <cell r="S33050">
            <v>-3380.52</v>
          </cell>
          <cell r="X33050" t="str">
            <v>GWP - gross</v>
          </cell>
          <cell r="Y33050" t="str">
            <v>PERU</v>
          </cell>
        </row>
        <row r="33051">
          <cell r="L33051" t="str">
            <v>Proportional</v>
          </cell>
          <cell r="S33051">
            <v>896505.58</v>
          </cell>
          <cell r="X33051" t="str">
            <v>GWP - gross</v>
          </cell>
          <cell r="Y33051" t="str">
            <v>PORTUGAL</v>
          </cell>
        </row>
        <row r="33052">
          <cell r="L33052" t="str">
            <v>Non-proportional</v>
          </cell>
          <cell r="S33052">
            <v>-69417.91</v>
          </cell>
          <cell r="X33052" t="str">
            <v>GWP - gross</v>
          </cell>
          <cell r="Y33052" t="str">
            <v>AUSTRALIA</v>
          </cell>
        </row>
        <row r="33053">
          <cell r="L33053" t="str">
            <v>Non-proportional</v>
          </cell>
          <cell r="S33053">
            <v>-24673.49</v>
          </cell>
          <cell r="X33053" t="str">
            <v>GWP - gross</v>
          </cell>
          <cell r="Y33053" t="str">
            <v>UNITED KINGDOM</v>
          </cell>
        </row>
        <row r="33054">
          <cell r="L33054" t="str">
            <v>Non-proportional</v>
          </cell>
          <cell r="S33054">
            <v>43897.279999999999</v>
          </cell>
          <cell r="X33054" t="str">
            <v>GWP - gross</v>
          </cell>
          <cell r="Y33054" t="str">
            <v>FRANCE</v>
          </cell>
        </row>
        <row r="33055">
          <cell r="L33055" t="str">
            <v>Non-proportional</v>
          </cell>
          <cell r="S33055">
            <v>206288.84</v>
          </cell>
          <cell r="X33055" t="str">
            <v>GWP - gross</v>
          </cell>
          <cell r="Y33055" t="str">
            <v>CHILE</v>
          </cell>
        </row>
        <row r="33056">
          <cell r="L33056" t="str">
            <v>Proportional</v>
          </cell>
          <cell r="S33056">
            <v>63136.1</v>
          </cell>
          <cell r="X33056" t="str">
            <v>GWP - gross</v>
          </cell>
          <cell r="Y33056" t="str">
            <v>SWITZERLAND</v>
          </cell>
        </row>
        <row r="33057">
          <cell r="L33057" t="str">
            <v>Proportional</v>
          </cell>
          <cell r="S33057">
            <v>2070.67</v>
          </cell>
          <cell r="X33057" t="str">
            <v>GWP - gross</v>
          </cell>
          <cell r="Y33057" t="str">
            <v>Portugal</v>
          </cell>
        </row>
        <row r="33058">
          <cell r="L33058" t="str">
            <v>Non-proportional</v>
          </cell>
          <cell r="S33058">
            <v>58564.4</v>
          </cell>
          <cell r="X33058" t="str">
            <v>GWP - gross</v>
          </cell>
          <cell r="Y33058" t="str">
            <v>UNITED KINGDOM</v>
          </cell>
        </row>
        <row r="33059">
          <cell r="L33059" t="str">
            <v>Non-proportional</v>
          </cell>
          <cell r="S33059">
            <v>-75000</v>
          </cell>
          <cell r="X33059" t="str">
            <v>GWP - gross</v>
          </cell>
          <cell r="Y33059" t="str">
            <v>SPAIN</v>
          </cell>
        </row>
        <row r="33060">
          <cell r="L33060" t="str">
            <v>Non-proportional</v>
          </cell>
          <cell r="S33060">
            <v>-337782.7</v>
          </cell>
          <cell r="X33060" t="str">
            <v>GWP - gross</v>
          </cell>
          <cell r="Y33060" t="str">
            <v>AUSTRALIA</v>
          </cell>
        </row>
        <row r="33061">
          <cell r="L33061" t="str">
            <v>Non-proportional</v>
          </cell>
          <cell r="S33061">
            <v>75000</v>
          </cell>
          <cell r="X33061" t="str">
            <v>GWP - gross</v>
          </cell>
          <cell r="Y33061" t="str">
            <v>SPAIN</v>
          </cell>
        </row>
        <row r="33062">
          <cell r="L33062" t="str">
            <v>Proportional</v>
          </cell>
          <cell r="S33062">
            <v>-117943.37</v>
          </cell>
          <cell r="X33062" t="str">
            <v>GWP - gross</v>
          </cell>
          <cell r="Y33062" t="str">
            <v>JAPAN</v>
          </cell>
        </row>
        <row r="33063">
          <cell r="L33063" t="str">
            <v>Proportional</v>
          </cell>
          <cell r="S33063">
            <v>9242.58</v>
          </cell>
          <cell r="X33063" t="str">
            <v>GWP - gross</v>
          </cell>
          <cell r="Y33063" t="str">
            <v>UNITED STATES</v>
          </cell>
        </row>
        <row r="33064">
          <cell r="L33064" t="str">
            <v>Non-proportional</v>
          </cell>
          <cell r="S33064">
            <v>38385.68</v>
          </cell>
          <cell r="X33064" t="str">
            <v>GWP - gross</v>
          </cell>
          <cell r="Y33064" t="str">
            <v>COLOMBIA</v>
          </cell>
        </row>
        <row r="33065">
          <cell r="L33065" t="str">
            <v>Non-proportional</v>
          </cell>
          <cell r="S33065">
            <v>-27914.560000000001</v>
          </cell>
          <cell r="X33065" t="str">
            <v>GWP - gross</v>
          </cell>
          <cell r="Y33065" t="str">
            <v>ECUADOR</v>
          </cell>
        </row>
        <row r="33066">
          <cell r="L33066" t="str">
            <v>Non-proportional</v>
          </cell>
          <cell r="S33066">
            <v>-41546.870000000003</v>
          </cell>
          <cell r="X33066" t="str">
            <v>GWP - gross</v>
          </cell>
          <cell r="Y33066" t="str">
            <v>DOMINICAN REPUBLIC</v>
          </cell>
        </row>
        <row r="33067">
          <cell r="L33067" t="str">
            <v>Non-proportional</v>
          </cell>
          <cell r="S33067">
            <v>-20356.98</v>
          </cell>
          <cell r="X33067" t="str">
            <v>GWP - gross</v>
          </cell>
          <cell r="Y33067" t="str">
            <v>CHILE</v>
          </cell>
        </row>
        <row r="33068">
          <cell r="L33068" t="str">
            <v>Non-proportional</v>
          </cell>
          <cell r="S33068">
            <v>10126.030000000001</v>
          </cell>
          <cell r="X33068" t="str">
            <v>GWP - gross</v>
          </cell>
          <cell r="Y33068" t="str">
            <v>UNITED KINGDOM</v>
          </cell>
        </row>
        <row r="33069">
          <cell r="L33069" t="str">
            <v>Non-proportional</v>
          </cell>
          <cell r="S33069">
            <v>36905.699999999997</v>
          </cell>
          <cell r="X33069" t="str">
            <v>GWP - gross</v>
          </cell>
          <cell r="Y33069" t="str">
            <v>FRANCE</v>
          </cell>
        </row>
        <row r="33070">
          <cell r="L33070" t="str">
            <v>Proportional</v>
          </cell>
          <cell r="S33070">
            <v>132303.01</v>
          </cell>
          <cell r="X33070" t="str">
            <v>GWP - gross</v>
          </cell>
          <cell r="Y33070" t="str">
            <v>MEXICO</v>
          </cell>
        </row>
        <row r="33071">
          <cell r="L33071" t="str">
            <v>Non-proportional</v>
          </cell>
          <cell r="S33071">
            <v>-820736.79</v>
          </cell>
          <cell r="X33071" t="str">
            <v>GWP - gross</v>
          </cell>
          <cell r="Y33071" t="str">
            <v>UNITED KINGDOM</v>
          </cell>
        </row>
        <row r="33072">
          <cell r="L33072" t="str">
            <v>Non-proportional</v>
          </cell>
          <cell r="S33072">
            <v>-63107.94</v>
          </cell>
          <cell r="X33072" t="str">
            <v>GWP - gross</v>
          </cell>
          <cell r="Y33072" t="str">
            <v>DOMINICAN REPUBLIC</v>
          </cell>
        </row>
        <row r="33073">
          <cell r="L33073" t="str">
            <v>Non-proportional</v>
          </cell>
          <cell r="S33073">
            <v>121417.93</v>
          </cell>
          <cell r="X33073" t="str">
            <v>GWP - gross</v>
          </cell>
          <cell r="Y33073" t="str">
            <v>AUSTRALIA</v>
          </cell>
        </row>
        <row r="33074">
          <cell r="L33074" t="str">
            <v>Proportional</v>
          </cell>
          <cell r="S33074">
            <v>8214.06</v>
          </cell>
          <cell r="X33074" t="str">
            <v>GWP - gross</v>
          </cell>
          <cell r="Y33074" t="str">
            <v>UNITED STATES</v>
          </cell>
        </row>
        <row r="33075">
          <cell r="L33075" t="str">
            <v>Non-proportional</v>
          </cell>
          <cell r="S33075">
            <v>-74633.06</v>
          </cell>
          <cell r="X33075" t="str">
            <v>GWP - gross</v>
          </cell>
          <cell r="Y33075" t="str">
            <v>MEXICO</v>
          </cell>
        </row>
        <row r="33076">
          <cell r="L33076" t="str">
            <v>Non-proportional</v>
          </cell>
          <cell r="S33076">
            <v>-2434.63</v>
          </cell>
          <cell r="X33076" t="str">
            <v>GWP - gross</v>
          </cell>
          <cell r="Y33076" t="str">
            <v>FINLAND</v>
          </cell>
        </row>
        <row r="33077">
          <cell r="L33077" t="str">
            <v>Non-proportional</v>
          </cell>
          <cell r="S33077">
            <v>11965.3</v>
          </cell>
          <cell r="X33077" t="str">
            <v>GWP - gross</v>
          </cell>
          <cell r="Y33077" t="str">
            <v>FRANCE</v>
          </cell>
        </row>
        <row r="33078">
          <cell r="L33078" t="str">
            <v>Proportional</v>
          </cell>
          <cell r="S33078">
            <v>-522797.97</v>
          </cell>
          <cell r="X33078" t="str">
            <v>GWP - gross</v>
          </cell>
          <cell r="Y33078" t="str">
            <v>MEXICO</v>
          </cell>
        </row>
        <row r="33079">
          <cell r="L33079" t="str">
            <v>Proportional</v>
          </cell>
          <cell r="S33079">
            <v>-1651.22</v>
          </cell>
          <cell r="X33079" t="str">
            <v>GWP - gross</v>
          </cell>
          <cell r="Y33079" t="str">
            <v>CHILE</v>
          </cell>
        </row>
        <row r="33080">
          <cell r="L33080" t="str">
            <v>Proportional</v>
          </cell>
          <cell r="S33080">
            <v>-8214.06</v>
          </cell>
          <cell r="X33080" t="str">
            <v>GWP - gross</v>
          </cell>
          <cell r="Y33080" t="str">
            <v>UNITED STATES</v>
          </cell>
        </row>
        <row r="33081">
          <cell r="L33081" t="str">
            <v>Non-proportional</v>
          </cell>
          <cell r="S33081">
            <v>-10703.07</v>
          </cell>
          <cell r="X33081" t="str">
            <v>GWP - gross</v>
          </cell>
          <cell r="Y33081" t="str">
            <v>FRANCE</v>
          </cell>
        </row>
        <row r="33082">
          <cell r="L33082" t="str">
            <v>Proportional</v>
          </cell>
          <cell r="S33082">
            <v>-42842.09</v>
          </cell>
          <cell r="X33082" t="str">
            <v>GWP - gross</v>
          </cell>
          <cell r="Y33082" t="str">
            <v>JAPAN</v>
          </cell>
        </row>
        <row r="33083">
          <cell r="L33083" t="str">
            <v>Non-proportional</v>
          </cell>
          <cell r="S33083">
            <v>-200506.73</v>
          </cell>
          <cell r="X33083" t="str">
            <v>GWP - gross</v>
          </cell>
          <cell r="Y33083" t="str">
            <v>MEXICO</v>
          </cell>
        </row>
        <row r="33084">
          <cell r="L33084" t="str">
            <v>Non-proportional</v>
          </cell>
          <cell r="S33084">
            <v>-3363.02</v>
          </cell>
          <cell r="X33084" t="str">
            <v>GWP - gross</v>
          </cell>
          <cell r="Y33084" t="str">
            <v>CHILE</v>
          </cell>
        </row>
        <row r="33085">
          <cell r="L33085" t="str">
            <v>Proportional</v>
          </cell>
          <cell r="S33085">
            <v>-82328.649999999994</v>
          </cell>
          <cell r="X33085" t="str">
            <v>GWP - gross</v>
          </cell>
          <cell r="Y33085" t="str">
            <v>CANADA</v>
          </cell>
        </row>
        <row r="33086">
          <cell r="L33086" t="str">
            <v>Proportional</v>
          </cell>
          <cell r="S33086">
            <v>32653.98</v>
          </cell>
          <cell r="X33086" t="str">
            <v>GWP - gross</v>
          </cell>
          <cell r="Y33086" t="str">
            <v>AUSTRALIA</v>
          </cell>
        </row>
        <row r="33087">
          <cell r="L33087" t="str">
            <v>Non-proportional</v>
          </cell>
          <cell r="S33087">
            <v>1583.48</v>
          </cell>
          <cell r="X33087" t="str">
            <v>GWP - gross</v>
          </cell>
          <cell r="Y33087" t="str">
            <v>UNITED ARAB EMIRATES</v>
          </cell>
        </row>
        <row r="33088">
          <cell r="L33088" t="str">
            <v>Proportional</v>
          </cell>
          <cell r="S33088">
            <v>-600000</v>
          </cell>
          <cell r="X33088" t="str">
            <v>GWP - gross</v>
          </cell>
          <cell r="Y33088" t="str">
            <v>SPAIN</v>
          </cell>
        </row>
        <row r="33089">
          <cell r="L33089" t="str">
            <v>Non-proportional</v>
          </cell>
          <cell r="S33089">
            <v>-98025.51</v>
          </cell>
          <cell r="X33089" t="str">
            <v>GWP - gross</v>
          </cell>
          <cell r="Y33089" t="str">
            <v>MEXICO</v>
          </cell>
        </row>
        <row r="33090">
          <cell r="L33090" t="str">
            <v>Non-proportional</v>
          </cell>
          <cell r="S33090">
            <v>-345780.3</v>
          </cell>
          <cell r="X33090" t="str">
            <v>GWP - gross</v>
          </cell>
          <cell r="Y33090" t="str">
            <v>AUSTRALIA</v>
          </cell>
        </row>
        <row r="33091">
          <cell r="L33091" t="str">
            <v>Non-proportional</v>
          </cell>
          <cell r="S33091">
            <v>2432.29</v>
          </cell>
          <cell r="X33091" t="str">
            <v>GWP - gross</v>
          </cell>
          <cell r="Y33091" t="str">
            <v>REPUBLIC OF IRELAND</v>
          </cell>
        </row>
        <row r="33092">
          <cell r="L33092" t="str">
            <v>Non-proportional</v>
          </cell>
          <cell r="S33092">
            <v>-57352.79</v>
          </cell>
          <cell r="X33092" t="str">
            <v>GWP - gross</v>
          </cell>
          <cell r="Y33092" t="str">
            <v>SPAIN</v>
          </cell>
        </row>
        <row r="33093">
          <cell r="L33093" t="str">
            <v>Non-proportional</v>
          </cell>
          <cell r="S33093">
            <v>-43897.279999999999</v>
          </cell>
          <cell r="X33093" t="str">
            <v>GWP - gross</v>
          </cell>
          <cell r="Y33093" t="str">
            <v>FRANCE</v>
          </cell>
        </row>
        <row r="33094">
          <cell r="L33094" t="str">
            <v>Non-proportional</v>
          </cell>
          <cell r="S33094">
            <v>-57003.72</v>
          </cell>
          <cell r="X33094" t="str">
            <v>GWP - gross</v>
          </cell>
          <cell r="Y33094" t="str">
            <v>AUSTRALIA</v>
          </cell>
        </row>
        <row r="33095">
          <cell r="L33095" t="str">
            <v>Non-proportional</v>
          </cell>
          <cell r="S33095">
            <v>-913.61</v>
          </cell>
          <cell r="X33095" t="str">
            <v>GWP - gross</v>
          </cell>
          <cell r="Y33095" t="str">
            <v>UNITED KINGDOM</v>
          </cell>
        </row>
        <row r="33096">
          <cell r="L33096" t="str">
            <v>Non-proportional</v>
          </cell>
          <cell r="S33096">
            <v>-33515.230000000003</v>
          </cell>
          <cell r="X33096" t="str">
            <v>GWP - gross</v>
          </cell>
          <cell r="Y33096" t="str">
            <v>DOMINICAN REPUBLIC</v>
          </cell>
        </row>
        <row r="33097">
          <cell r="L33097" t="str">
            <v>Proportional</v>
          </cell>
          <cell r="S33097">
            <v>78.52</v>
          </cell>
          <cell r="X33097" t="str">
            <v>GWP - gross</v>
          </cell>
          <cell r="Y33097" t="str">
            <v>CHILE</v>
          </cell>
        </row>
        <row r="33098">
          <cell r="L33098" t="str">
            <v>Non-proportional</v>
          </cell>
          <cell r="S33098">
            <v>-42944.32</v>
          </cell>
          <cell r="X33098" t="str">
            <v>GWP - gross</v>
          </cell>
          <cell r="Y33098" t="str">
            <v>THAILAND</v>
          </cell>
        </row>
        <row r="33099">
          <cell r="L33099" t="str">
            <v>Non-proportional</v>
          </cell>
          <cell r="S33099">
            <v>119468.59</v>
          </cell>
          <cell r="X33099" t="str">
            <v>GWP - gross</v>
          </cell>
          <cell r="Y33099" t="str">
            <v>MEXICO</v>
          </cell>
        </row>
        <row r="33100">
          <cell r="L33100" t="str">
            <v>Non-proportional</v>
          </cell>
          <cell r="S33100">
            <v>13254.99</v>
          </cell>
          <cell r="X33100" t="str">
            <v>GWP - gross</v>
          </cell>
          <cell r="Y33100" t="str">
            <v>PERU</v>
          </cell>
        </row>
        <row r="33101">
          <cell r="L33101" t="str">
            <v>Non-proportional</v>
          </cell>
          <cell r="S33101">
            <v>567409.14</v>
          </cell>
          <cell r="X33101" t="str">
            <v>GWP - gross</v>
          </cell>
          <cell r="Y33101" t="str">
            <v>THAILAND</v>
          </cell>
        </row>
        <row r="33102">
          <cell r="L33102" t="str">
            <v>Non-proportional</v>
          </cell>
          <cell r="S33102">
            <v>153530.01</v>
          </cell>
          <cell r="X33102" t="str">
            <v>GWP - gross</v>
          </cell>
          <cell r="Y33102" t="str">
            <v>AUSTRALIA</v>
          </cell>
        </row>
        <row r="33103">
          <cell r="L33103" t="str">
            <v>Proportional</v>
          </cell>
          <cell r="S33103">
            <v>11646.79</v>
          </cell>
          <cell r="X33103" t="str">
            <v>GWP - gross</v>
          </cell>
          <cell r="Y33103" t="str">
            <v>CHILE</v>
          </cell>
        </row>
        <row r="33104">
          <cell r="L33104" t="str">
            <v>Proportional</v>
          </cell>
          <cell r="S33104">
            <v>187.97</v>
          </cell>
          <cell r="X33104" t="str">
            <v>GWP - gross</v>
          </cell>
          <cell r="Y33104" t="str">
            <v>CHILE</v>
          </cell>
        </row>
        <row r="33105">
          <cell r="L33105" t="str">
            <v>Non-proportional</v>
          </cell>
          <cell r="S33105">
            <v>857.16</v>
          </cell>
          <cell r="X33105" t="str">
            <v>GWP - gross</v>
          </cell>
          <cell r="Y33105" t="str">
            <v>JAPAN</v>
          </cell>
        </row>
        <row r="33106">
          <cell r="L33106" t="str">
            <v>Non-proportional</v>
          </cell>
          <cell r="S33106">
            <v>-13105.01</v>
          </cell>
          <cell r="X33106" t="str">
            <v>GWP - gross</v>
          </cell>
          <cell r="Y33106" t="str">
            <v>JAPAN</v>
          </cell>
        </row>
        <row r="33107">
          <cell r="L33107" t="str">
            <v>Non-proportional</v>
          </cell>
          <cell r="S33107">
            <v>-56300</v>
          </cell>
          <cell r="X33107" t="str">
            <v>GWP - gross</v>
          </cell>
          <cell r="Y33107" t="str">
            <v>AUSTRALIA</v>
          </cell>
        </row>
        <row r="33108">
          <cell r="L33108" t="str">
            <v>Non-proportional</v>
          </cell>
          <cell r="S33108">
            <v>-137820.12</v>
          </cell>
          <cell r="X33108" t="str">
            <v>GWP - gross</v>
          </cell>
          <cell r="Y33108" t="str">
            <v>ECUADOR</v>
          </cell>
        </row>
        <row r="33109">
          <cell r="L33109" t="str">
            <v>Non-proportional</v>
          </cell>
          <cell r="S33109">
            <v>-33012.01</v>
          </cell>
          <cell r="X33109" t="str">
            <v>GWP - gross</v>
          </cell>
          <cell r="Y33109" t="str">
            <v>FRANCE</v>
          </cell>
        </row>
        <row r="33110">
          <cell r="L33110" t="str">
            <v>Non-proportional</v>
          </cell>
          <cell r="S33110">
            <v>54102.47</v>
          </cell>
          <cell r="X33110" t="str">
            <v>GWP - gross</v>
          </cell>
          <cell r="Y33110" t="str">
            <v>TURKEY</v>
          </cell>
        </row>
        <row r="33111">
          <cell r="L33111" t="str">
            <v>Non-proportional</v>
          </cell>
          <cell r="S33111">
            <v>-47956.58</v>
          </cell>
          <cell r="X33111" t="str">
            <v>GWP - gross</v>
          </cell>
          <cell r="Y33111" t="str">
            <v>COLOMBIA</v>
          </cell>
        </row>
        <row r="33112">
          <cell r="L33112" t="str">
            <v>Non-proportional</v>
          </cell>
          <cell r="S33112">
            <v>1846.49</v>
          </cell>
          <cell r="X33112" t="str">
            <v>GWP - gross</v>
          </cell>
          <cell r="Y33112" t="str">
            <v>DENMARK</v>
          </cell>
        </row>
        <row r="33113">
          <cell r="L33113" t="str">
            <v>Non-proportional</v>
          </cell>
          <cell r="S33113">
            <v>51185.62</v>
          </cell>
          <cell r="X33113" t="str">
            <v>GWP - gross</v>
          </cell>
          <cell r="Y33113" t="str">
            <v>CANADA</v>
          </cell>
        </row>
        <row r="33114">
          <cell r="L33114" t="str">
            <v>Proportional</v>
          </cell>
          <cell r="S33114">
            <v>84.45</v>
          </cell>
          <cell r="X33114" t="str">
            <v>GWP - gross</v>
          </cell>
          <cell r="Y33114" t="str">
            <v>CHILE</v>
          </cell>
        </row>
        <row r="33115">
          <cell r="L33115" t="str">
            <v>Non-proportional</v>
          </cell>
          <cell r="S33115">
            <v>-152015.32999999999</v>
          </cell>
          <cell r="X33115" t="str">
            <v>GWP - gross</v>
          </cell>
          <cell r="Y33115" t="str">
            <v>AUSTRALIA</v>
          </cell>
        </row>
        <row r="33116">
          <cell r="L33116" t="str">
            <v>Proportional</v>
          </cell>
          <cell r="S33116">
            <v>-1216.4100000000001</v>
          </cell>
          <cell r="X33116" t="str">
            <v>GWP - gross</v>
          </cell>
          <cell r="Y33116" t="str">
            <v>CHILE</v>
          </cell>
        </row>
        <row r="33117">
          <cell r="L33117" t="str">
            <v>Non-proportional</v>
          </cell>
          <cell r="S33117">
            <v>200506.73</v>
          </cell>
          <cell r="X33117" t="str">
            <v>GWP - gross</v>
          </cell>
          <cell r="Y33117" t="str">
            <v>MEXICO</v>
          </cell>
        </row>
        <row r="33118">
          <cell r="L33118" t="str">
            <v>Proportional</v>
          </cell>
          <cell r="S33118">
            <v>4951.3500000000004</v>
          </cell>
          <cell r="X33118" t="str">
            <v>GWP - gross</v>
          </cell>
          <cell r="Y33118" t="str">
            <v>CHILE</v>
          </cell>
        </row>
        <row r="33119">
          <cell r="L33119" t="str">
            <v>Non-proportional</v>
          </cell>
          <cell r="S33119">
            <v>46931.35</v>
          </cell>
          <cell r="X33119" t="str">
            <v>GWP - gross</v>
          </cell>
          <cell r="Y33119" t="str">
            <v>BELIZE</v>
          </cell>
        </row>
        <row r="33120">
          <cell r="L33120" t="str">
            <v>Non-proportional</v>
          </cell>
          <cell r="S33120">
            <v>17154.46</v>
          </cell>
          <cell r="X33120" t="str">
            <v>GWP - gross</v>
          </cell>
          <cell r="Y33120" t="str">
            <v>PERU</v>
          </cell>
        </row>
        <row r="33121">
          <cell r="L33121" t="str">
            <v>Non-proportional</v>
          </cell>
          <cell r="S33121">
            <v>320881.65999999997</v>
          </cell>
          <cell r="X33121" t="str">
            <v>GWP - gross</v>
          </cell>
          <cell r="Y33121" t="str">
            <v>UNITED KINGDOM</v>
          </cell>
        </row>
        <row r="33122">
          <cell r="L33122" t="str">
            <v>Non-proportional</v>
          </cell>
          <cell r="S33122">
            <v>-21939.98</v>
          </cell>
          <cell r="X33122" t="str">
            <v>GWP - gross</v>
          </cell>
          <cell r="Y33122" t="str">
            <v>PERU</v>
          </cell>
        </row>
        <row r="33123">
          <cell r="L33123" t="str">
            <v>Non-proportional</v>
          </cell>
          <cell r="S33123">
            <v>6532.58</v>
          </cell>
          <cell r="X33123" t="str">
            <v>GWP - gross</v>
          </cell>
          <cell r="Y33123" t="str">
            <v>DENMARK</v>
          </cell>
        </row>
        <row r="33124">
          <cell r="L33124" t="str">
            <v>Non-proportional</v>
          </cell>
          <cell r="S33124">
            <v>-11675.21</v>
          </cell>
          <cell r="X33124" t="str">
            <v>GWP - gross</v>
          </cell>
          <cell r="Y33124" t="str">
            <v>BRAZIL</v>
          </cell>
        </row>
        <row r="33125">
          <cell r="L33125" t="str">
            <v>Non-proportional</v>
          </cell>
          <cell r="S33125">
            <v>1218.33</v>
          </cell>
          <cell r="X33125" t="str">
            <v>GWP - gross</v>
          </cell>
          <cell r="Y33125" t="str">
            <v>JAPAN</v>
          </cell>
        </row>
        <row r="33126">
          <cell r="L33126" t="str">
            <v>Non-proportional</v>
          </cell>
          <cell r="S33126">
            <v>-26545.46</v>
          </cell>
          <cell r="X33126" t="str">
            <v>GWP - gross</v>
          </cell>
          <cell r="Y33126" t="str">
            <v>THAILAND</v>
          </cell>
        </row>
        <row r="33127">
          <cell r="L33127" t="str">
            <v>Non-proportional</v>
          </cell>
          <cell r="S33127">
            <v>98025.51</v>
          </cell>
          <cell r="X33127" t="str">
            <v>GWP - gross</v>
          </cell>
          <cell r="Y33127" t="str">
            <v>MEXICO</v>
          </cell>
        </row>
        <row r="33128">
          <cell r="L33128" t="str">
            <v>Non-proportional</v>
          </cell>
          <cell r="S33128">
            <v>7954.22</v>
          </cell>
          <cell r="X33128" t="str">
            <v>GWP - gross</v>
          </cell>
          <cell r="Y33128" t="str">
            <v>ECUADOR</v>
          </cell>
        </row>
        <row r="33129">
          <cell r="L33129" t="str">
            <v>Proportional</v>
          </cell>
          <cell r="S33129">
            <v>29569.599999999999</v>
          </cell>
          <cell r="X33129" t="str">
            <v>GWP - gross</v>
          </cell>
          <cell r="Y33129" t="str">
            <v>CHILE</v>
          </cell>
        </row>
        <row r="33130">
          <cell r="L33130" t="str">
            <v>Non-proportional</v>
          </cell>
          <cell r="S33130">
            <v>-31818.18</v>
          </cell>
          <cell r="X33130" t="str">
            <v>GWP - gross</v>
          </cell>
          <cell r="Y33130" t="str">
            <v>THAILAND</v>
          </cell>
        </row>
        <row r="33131">
          <cell r="L33131" t="str">
            <v>Proportional</v>
          </cell>
          <cell r="S33131">
            <v>-30016.71</v>
          </cell>
          <cell r="X33131" t="str">
            <v>GWP - gross</v>
          </cell>
          <cell r="Y33131" t="str">
            <v>CHILE</v>
          </cell>
        </row>
        <row r="33132">
          <cell r="L33132" t="str">
            <v>Proportional</v>
          </cell>
          <cell r="S33132">
            <v>-858.64</v>
          </cell>
          <cell r="X33132" t="str">
            <v>GWP - gross</v>
          </cell>
          <cell r="Y33132" t="str">
            <v>CHILE</v>
          </cell>
        </row>
        <row r="33133">
          <cell r="L33133" t="str">
            <v>Non-proportional</v>
          </cell>
          <cell r="S33133">
            <v>75000</v>
          </cell>
          <cell r="X33133" t="str">
            <v>GWP - gross</v>
          </cell>
          <cell r="Y33133" t="str">
            <v>SPAIN</v>
          </cell>
        </row>
        <row r="33134">
          <cell r="L33134" t="str">
            <v>Non-proportional</v>
          </cell>
          <cell r="S33134">
            <v>-26545.46</v>
          </cell>
          <cell r="X33134" t="str">
            <v>GWP - gross</v>
          </cell>
          <cell r="Y33134" t="str">
            <v>THAILAND</v>
          </cell>
        </row>
        <row r="33135">
          <cell r="L33135" t="str">
            <v>Non-proportional</v>
          </cell>
          <cell r="S33135">
            <v>-87846.9</v>
          </cell>
          <cell r="X33135" t="str">
            <v>GWP - gross</v>
          </cell>
          <cell r="Y33135" t="str">
            <v>MEXICO</v>
          </cell>
        </row>
        <row r="33136">
          <cell r="L33136" t="str">
            <v>Proportional</v>
          </cell>
          <cell r="S33136">
            <v>-148533.95000000001</v>
          </cell>
          <cell r="X33136" t="str">
            <v>GWP - gross</v>
          </cell>
          <cell r="Y33136" t="str">
            <v>PERU</v>
          </cell>
        </row>
        <row r="33137">
          <cell r="L33137" t="str">
            <v>Proportional</v>
          </cell>
          <cell r="S33137">
            <v>-386639.07</v>
          </cell>
          <cell r="X33137" t="str">
            <v>GWP - gross</v>
          </cell>
          <cell r="Y33137" t="str">
            <v>PORTUGAL</v>
          </cell>
        </row>
        <row r="33138">
          <cell r="L33138" t="str">
            <v>Non-proportional</v>
          </cell>
          <cell r="S33138">
            <v>-363.42</v>
          </cell>
          <cell r="X33138" t="str">
            <v>GWP - gross</v>
          </cell>
          <cell r="Y33138" t="str">
            <v>INDIA</v>
          </cell>
        </row>
        <row r="33139">
          <cell r="L33139" t="str">
            <v>Proportional</v>
          </cell>
          <cell r="S33139">
            <v>-612758.02</v>
          </cell>
          <cell r="X33139" t="str">
            <v>GWP - gross</v>
          </cell>
          <cell r="Y33139" t="str">
            <v>UNITED STATES</v>
          </cell>
        </row>
        <row r="33140">
          <cell r="L33140" t="str">
            <v>Non-proportional</v>
          </cell>
          <cell r="S33140">
            <v>-43639.65</v>
          </cell>
          <cell r="X33140" t="str">
            <v>GWP - gross</v>
          </cell>
          <cell r="Y33140" t="str">
            <v>UNITED KINGDOM</v>
          </cell>
        </row>
        <row r="33141">
          <cell r="L33141" t="str">
            <v>Proportional</v>
          </cell>
          <cell r="S33141">
            <v>-31868.98</v>
          </cell>
          <cell r="X33141" t="str">
            <v>GWP - gross</v>
          </cell>
          <cell r="Y33141" t="str">
            <v>India</v>
          </cell>
        </row>
        <row r="33142">
          <cell r="L33142" t="str">
            <v>Non-proportional</v>
          </cell>
          <cell r="S33142">
            <v>-4794.63</v>
          </cell>
          <cell r="X33142" t="str">
            <v>GWP - gross</v>
          </cell>
          <cell r="Y33142" t="str">
            <v>GUATEMALA</v>
          </cell>
        </row>
        <row r="33143">
          <cell r="L33143" t="str">
            <v>Non-proportional</v>
          </cell>
          <cell r="S33143">
            <v>-26520.43</v>
          </cell>
          <cell r="X33143" t="str">
            <v>GWP - gross</v>
          </cell>
          <cell r="Y33143" t="str">
            <v>UNITED KINGDOM</v>
          </cell>
        </row>
        <row r="33144">
          <cell r="L33144" t="str">
            <v>Non-proportional</v>
          </cell>
          <cell r="S33144">
            <v>-2682.9</v>
          </cell>
          <cell r="X33144" t="str">
            <v>GWP - gross</v>
          </cell>
          <cell r="Y33144" t="str">
            <v>AUSTRALIA</v>
          </cell>
        </row>
        <row r="33145">
          <cell r="L33145" t="str">
            <v>Non-proportional</v>
          </cell>
          <cell r="S33145">
            <v>-1550.98</v>
          </cell>
          <cell r="X33145" t="str">
            <v>GWP - gross</v>
          </cell>
          <cell r="Y33145" t="str">
            <v>UNITED ARAB EMIRATES</v>
          </cell>
        </row>
        <row r="33146">
          <cell r="L33146" t="str">
            <v>Non-proportional</v>
          </cell>
          <cell r="S33146">
            <v>-1018.87</v>
          </cell>
          <cell r="X33146" t="str">
            <v>GWP - gross</v>
          </cell>
          <cell r="Y33146" t="str">
            <v>INDIA</v>
          </cell>
        </row>
        <row r="33147">
          <cell r="L33147" t="str">
            <v>Proportional</v>
          </cell>
          <cell r="S33147">
            <v>-16428.04</v>
          </cell>
          <cell r="X33147" t="str">
            <v>GWP - gross</v>
          </cell>
          <cell r="Y33147" t="str">
            <v>HONG KONG</v>
          </cell>
        </row>
        <row r="33148">
          <cell r="L33148" t="str">
            <v>Proportional</v>
          </cell>
          <cell r="S33148">
            <v>9290.75</v>
          </cell>
          <cell r="X33148" t="str">
            <v>GWP - gross</v>
          </cell>
          <cell r="Y33148" t="str">
            <v>HONG KONG</v>
          </cell>
        </row>
        <row r="33149">
          <cell r="L33149" t="str">
            <v>Non-proportional</v>
          </cell>
          <cell r="S33149">
            <v>-343671.43</v>
          </cell>
          <cell r="X33149" t="str">
            <v>GWP - gross</v>
          </cell>
          <cell r="Y33149" t="str">
            <v>AUSTRALIA</v>
          </cell>
        </row>
        <row r="33150">
          <cell r="L33150" t="str">
            <v>Proportional</v>
          </cell>
          <cell r="S33150">
            <v>264954</v>
          </cell>
          <cell r="X33150" t="str">
            <v>GWP - gross</v>
          </cell>
          <cell r="Y33150" t="str">
            <v>FRANCE</v>
          </cell>
        </row>
        <row r="33151">
          <cell r="L33151" t="str">
            <v>Proportional</v>
          </cell>
          <cell r="S33151">
            <v>-35054.559999999998</v>
          </cell>
          <cell r="X33151" t="str">
            <v>GWP - gross</v>
          </cell>
          <cell r="Y33151" t="str">
            <v>UNITED STATES</v>
          </cell>
        </row>
        <row r="33152">
          <cell r="L33152" t="str">
            <v>Proportional</v>
          </cell>
          <cell r="S33152">
            <v>-175.68</v>
          </cell>
          <cell r="X33152" t="str">
            <v>GWP - gross</v>
          </cell>
          <cell r="Y33152" t="str">
            <v>TURKEY</v>
          </cell>
        </row>
        <row r="33153">
          <cell r="L33153" t="str">
            <v>Non-proportional</v>
          </cell>
          <cell r="S33153">
            <v>-9540.1200000000008</v>
          </cell>
          <cell r="X33153" t="str">
            <v>GWP - gross</v>
          </cell>
          <cell r="Y33153" t="str">
            <v>UNITED KINGDOM</v>
          </cell>
        </row>
        <row r="33154">
          <cell r="L33154" t="str">
            <v>Proportional</v>
          </cell>
          <cell r="S33154">
            <v>-13410.48</v>
          </cell>
          <cell r="X33154" t="str">
            <v>GWP - gross</v>
          </cell>
          <cell r="Y33154" t="str">
            <v>HONG KONG</v>
          </cell>
        </row>
        <row r="33155">
          <cell r="L33155" t="str">
            <v>Non-proportional</v>
          </cell>
          <cell r="S33155">
            <v>10073.120000000001</v>
          </cell>
          <cell r="X33155" t="str">
            <v>GWP - gross</v>
          </cell>
          <cell r="Y33155" t="str">
            <v>AUSTRALIA</v>
          </cell>
        </row>
        <row r="33156">
          <cell r="L33156" t="str">
            <v>Proportional</v>
          </cell>
          <cell r="S33156">
            <v>-23782.33</v>
          </cell>
          <cell r="X33156" t="str">
            <v>GWP - gross</v>
          </cell>
          <cell r="Y33156" t="str">
            <v>UNITED STATES</v>
          </cell>
        </row>
        <row r="33157">
          <cell r="L33157" t="str">
            <v>Proportional</v>
          </cell>
          <cell r="S33157">
            <v>-9290.75</v>
          </cell>
          <cell r="X33157" t="str">
            <v>GWP - gross</v>
          </cell>
          <cell r="Y33157" t="str">
            <v>HONG KONG</v>
          </cell>
        </row>
        <row r="33158">
          <cell r="L33158" t="str">
            <v>Non-proportional</v>
          </cell>
          <cell r="S33158">
            <v>27482.720000000001</v>
          </cell>
          <cell r="X33158" t="str">
            <v>GWP - gross</v>
          </cell>
          <cell r="Y33158" t="str">
            <v>DENMARK</v>
          </cell>
        </row>
        <row r="33159">
          <cell r="L33159" t="str">
            <v>Proportional</v>
          </cell>
          <cell r="S33159">
            <v>6167.63</v>
          </cell>
          <cell r="X33159" t="str">
            <v>GWP - gross</v>
          </cell>
          <cell r="Y33159" t="str">
            <v>UNITED STATES</v>
          </cell>
        </row>
        <row r="33160">
          <cell r="L33160" t="str">
            <v>Proportional</v>
          </cell>
          <cell r="S33160">
            <v>-1422.97</v>
          </cell>
          <cell r="X33160" t="str">
            <v>GWP - gross</v>
          </cell>
          <cell r="Y33160" t="str">
            <v>UNITED STATES</v>
          </cell>
        </row>
        <row r="33161">
          <cell r="L33161" t="str">
            <v>Proportional</v>
          </cell>
          <cell r="S33161">
            <v>-26410.75</v>
          </cell>
          <cell r="X33161" t="str">
            <v>GWP - gross</v>
          </cell>
          <cell r="Y33161" t="str">
            <v>SWITZERLAND</v>
          </cell>
        </row>
        <row r="33162">
          <cell r="L33162" t="str">
            <v>Non-proportional</v>
          </cell>
          <cell r="S33162">
            <v>-7471.03</v>
          </cell>
          <cell r="X33162" t="str">
            <v>GWP - gross</v>
          </cell>
          <cell r="Y33162" t="str">
            <v>DENMARK</v>
          </cell>
        </row>
        <row r="33163">
          <cell r="L33163" t="str">
            <v>Non-proportional</v>
          </cell>
          <cell r="S33163">
            <v>-3133.62</v>
          </cell>
          <cell r="X33163" t="str">
            <v>GWP - gross</v>
          </cell>
          <cell r="Y33163" t="str">
            <v>UNITED ARAB EMIRATES</v>
          </cell>
        </row>
        <row r="33164">
          <cell r="L33164" t="str">
            <v>Non-proportional</v>
          </cell>
          <cell r="S33164">
            <v>-2096.64</v>
          </cell>
          <cell r="X33164" t="str">
            <v>GWP - gross</v>
          </cell>
          <cell r="Y33164" t="str">
            <v>GUATEMALA</v>
          </cell>
        </row>
        <row r="33165">
          <cell r="L33165" t="str">
            <v>Proportional</v>
          </cell>
          <cell r="S33165">
            <v>-12.94</v>
          </cell>
          <cell r="X33165" t="str">
            <v>GWP - gross</v>
          </cell>
          <cell r="Y33165" t="str">
            <v>INDIA</v>
          </cell>
        </row>
        <row r="33166">
          <cell r="L33166" t="str">
            <v>Proportional</v>
          </cell>
          <cell r="S33166">
            <v>-1781801.01</v>
          </cell>
          <cell r="X33166" t="str">
            <v>GWP - gross</v>
          </cell>
          <cell r="Y33166" t="str">
            <v>UNITED STATES</v>
          </cell>
        </row>
        <row r="33167">
          <cell r="L33167" t="str">
            <v>Non-proportional</v>
          </cell>
          <cell r="S33167">
            <v>13957.4</v>
          </cell>
          <cell r="X33167" t="str">
            <v>GWP - gross</v>
          </cell>
          <cell r="Y33167" t="str">
            <v>UNITED ARAB EMIRATES</v>
          </cell>
        </row>
        <row r="33168">
          <cell r="L33168" t="str">
            <v>Proportional</v>
          </cell>
          <cell r="S33168">
            <v>6209.83</v>
          </cell>
          <cell r="X33168" t="str">
            <v>GWP - gross</v>
          </cell>
          <cell r="Y33168" t="str">
            <v>UNITED STATES</v>
          </cell>
        </row>
        <row r="33169">
          <cell r="L33169" t="str">
            <v>Proportional</v>
          </cell>
          <cell r="S33169">
            <v>-8830.7000000000007</v>
          </cell>
          <cell r="X33169" t="str">
            <v>GWP - gross</v>
          </cell>
          <cell r="Y33169" t="str">
            <v>UNITED STATES</v>
          </cell>
        </row>
        <row r="33170">
          <cell r="L33170" t="str">
            <v>Proportional</v>
          </cell>
          <cell r="S33170">
            <v>-12.94</v>
          </cell>
          <cell r="X33170" t="str">
            <v>GWP - gross</v>
          </cell>
          <cell r="Y33170" t="str">
            <v>INDIA</v>
          </cell>
        </row>
        <row r="33171">
          <cell r="L33171" t="str">
            <v>Non-proportional</v>
          </cell>
          <cell r="S33171">
            <v>-11281.13</v>
          </cell>
          <cell r="X33171" t="str">
            <v>GWP - gross</v>
          </cell>
          <cell r="Y33171" t="str">
            <v>DENMARK</v>
          </cell>
        </row>
        <row r="33172">
          <cell r="L33172" t="str">
            <v>Non-proportional</v>
          </cell>
          <cell r="S33172">
            <v>44486.559999999998</v>
          </cell>
          <cell r="X33172" t="str">
            <v>GWP - gross</v>
          </cell>
          <cell r="Y33172" t="str">
            <v>FRANCE</v>
          </cell>
        </row>
        <row r="33173">
          <cell r="L33173" t="str">
            <v>Proportional</v>
          </cell>
          <cell r="S33173">
            <v>-894.82</v>
          </cell>
          <cell r="X33173" t="str">
            <v>GWP - gross</v>
          </cell>
          <cell r="Y33173" t="str">
            <v>UNITED STATES</v>
          </cell>
        </row>
        <row r="33174">
          <cell r="L33174" t="str">
            <v>Non-proportional</v>
          </cell>
          <cell r="S33174">
            <v>-1662.86</v>
          </cell>
          <cell r="X33174" t="str">
            <v>GWP - gross</v>
          </cell>
          <cell r="Y33174" t="str">
            <v>INDIA</v>
          </cell>
        </row>
        <row r="33175">
          <cell r="L33175" t="str">
            <v>Non-proportional</v>
          </cell>
          <cell r="S33175">
            <v>-269.25</v>
          </cell>
          <cell r="X33175" t="str">
            <v>GWP - gross</v>
          </cell>
          <cell r="Y33175" t="str">
            <v>INDIA</v>
          </cell>
        </row>
        <row r="33176">
          <cell r="L33176" t="str">
            <v>Proportional</v>
          </cell>
          <cell r="S33176">
            <v>-20.41</v>
          </cell>
          <cell r="X33176" t="str">
            <v>GWP - gross</v>
          </cell>
          <cell r="Y33176" t="str">
            <v>Turkey</v>
          </cell>
        </row>
        <row r="33177">
          <cell r="L33177" t="str">
            <v>Non-proportional</v>
          </cell>
          <cell r="S33177">
            <v>-7615.57</v>
          </cell>
          <cell r="X33177" t="str">
            <v>GWP - gross</v>
          </cell>
          <cell r="Y33177" t="str">
            <v>ITALY</v>
          </cell>
        </row>
        <row r="33178">
          <cell r="L33178" t="str">
            <v>Non-proportional</v>
          </cell>
          <cell r="S33178">
            <v>28213.79</v>
          </cell>
          <cell r="X33178" t="str">
            <v>GWP - gross</v>
          </cell>
          <cell r="Y33178" t="str">
            <v>UNITED ARAB EMIRATES</v>
          </cell>
        </row>
        <row r="33179">
          <cell r="L33179" t="str">
            <v>Proportional</v>
          </cell>
          <cell r="S33179">
            <v>-6209.83</v>
          </cell>
          <cell r="X33179" t="str">
            <v>GWP - gross</v>
          </cell>
          <cell r="Y33179" t="str">
            <v>UNITED STATES</v>
          </cell>
        </row>
        <row r="33180">
          <cell r="L33180" t="str">
            <v>Proportional</v>
          </cell>
          <cell r="S33180">
            <v>-19684.97</v>
          </cell>
          <cell r="X33180" t="str">
            <v>GWP - gross</v>
          </cell>
          <cell r="Y33180" t="str">
            <v>UNITED STATES</v>
          </cell>
        </row>
        <row r="33181">
          <cell r="L33181" t="str">
            <v>Non-proportional</v>
          </cell>
          <cell r="S33181">
            <v>-76871.17</v>
          </cell>
          <cell r="X33181" t="str">
            <v>GWP - gross</v>
          </cell>
          <cell r="Y33181" t="str">
            <v>UNITED KINGDOM</v>
          </cell>
        </row>
        <row r="33182">
          <cell r="L33182" t="str">
            <v>Proportional</v>
          </cell>
          <cell r="S33182">
            <v>-937.03</v>
          </cell>
          <cell r="X33182" t="str">
            <v>GWP - gross</v>
          </cell>
          <cell r="Y33182" t="str">
            <v>MALAYSIA</v>
          </cell>
        </row>
        <row r="33183">
          <cell r="L33183" t="str">
            <v>Non-proportional</v>
          </cell>
          <cell r="S33183">
            <v>-2163.46</v>
          </cell>
          <cell r="X33183" t="str">
            <v>GWP - gross</v>
          </cell>
          <cell r="Y33183" t="str">
            <v>AUSTRALIA</v>
          </cell>
        </row>
        <row r="33184">
          <cell r="L33184" t="str">
            <v>Proportional</v>
          </cell>
          <cell r="S33184">
            <v>306.48</v>
          </cell>
          <cell r="X33184" t="str">
            <v>GWP - gross</v>
          </cell>
          <cell r="Y33184" t="str">
            <v>INDIA</v>
          </cell>
        </row>
        <row r="33185">
          <cell r="L33185" t="str">
            <v>Non-proportional</v>
          </cell>
          <cell r="S33185">
            <v>26520.43</v>
          </cell>
          <cell r="X33185" t="str">
            <v>GWP - gross</v>
          </cell>
          <cell r="Y33185" t="str">
            <v>UNITED KINGDOM</v>
          </cell>
        </row>
        <row r="33186">
          <cell r="L33186" t="str">
            <v>Proportional</v>
          </cell>
          <cell r="S33186">
            <v>386639.07</v>
          </cell>
          <cell r="X33186" t="str">
            <v>GWP - gross</v>
          </cell>
          <cell r="Y33186" t="str">
            <v>PORTUGAL</v>
          </cell>
        </row>
        <row r="33187">
          <cell r="L33187" t="str">
            <v>Non-proportional</v>
          </cell>
          <cell r="S33187">
            <v>450.01</v>
          </cell>
          <cell r="X33187" t="str">
            <v>GWP - gross</v>
          </cell>
          <cell r="Y33187" t="str">
            <v>GUATEMALA</v>
          </cell>
        </row>
        <row r="33188">
          <cell r="L33188" t="str">
            <v>Proportional</v>
          </cell>
          <cell r="S33188">
            <v>-1605.27</v>
          </cell>
          <cell r="X33188" t="str">
            <v>GWP - gross</v>
          </cell>
          <cell r="Y33188" t="str">
            <v>UNITED STATES</v>
          </cell>
        </row>
        <row r="33189">
          <cell r="L33189" t="str">
            <v>Non-proportional</v>
          </cell>
          <cell r="S33189">
            <v>-3884</v>
          </cell>
          <cell r="X33189" t="str">
            <v>GWP - gross</v>
          </cell>
          <cell r="Y33189" t="str">
            <v>AUSTRALIA</v>
          </cell>
        </row>
        <row r="33190">
          <cell r="L33190" t="str">
            <v>Non-proportional</v>
          </cell>
          <cell r="S33190">
            <v>3489.37</v>
          </cell>
          <cell r="X33190" t="str">
            <v>GWP - gross</v>
          </cell>
          <cell r="Y33190" t="str">
            <v>GUATEMALA</v>
          </cell>
        </row>
        <row r="33191">
          <cell r="L33191" t="str">
            <v>Non-proportional</v>
          </cell>
          <cell r="S33191">
            <v>-2205.9</v>
          </cell>
          <cell r="X33191" t="str">
            <v>GWP - gross</v>
          </cell>
          <cell r="Y33191" t="str">
            <v>AUSTRALIA</v>
          </cell>
        </row>
        <row r="33192">
          <cell r="L33192" t="str">
            <v>Proportional</v>
          </cell>
          <cell r="S33192">
            <v>-17.72</v>
          </cell>
          <cell r="X33192" t="str">
            <v>GWP - gross</v>
          </cell>
          <cell r="Y33192" t="str">
            <v>TURKEY</v>
          </cell>
        </row>
        <row r="33193">
          <cell r="L33193" t="str">
            <v>Non-proportional</v>
          </cell>
          <cell r="S33193">
            <v>-1192.6500000000001</v>
          </cell>
          <cell r="X33193" t="str">
            <v>GWP - gross</v>
          </cell>
          <cell r="Y33193" t="str">
            <v>INDIA</v>
          </cell>
        </row>
        <row r="33194">
          <cell r="L33194" t="str">
            <v>Non-proportional</v>
          </cell>
          <cell r="S33194">
            <v>9691.64</v>
          </cell>
          <cell r="X33194" t="str">
            <v>GWP - gross</v>
          </cell>
          <cell r="Y33194" t="str">
            <v>AUSTRALIA</v>
          </cell>
        </row>
        <row r="33195">
          <cell r="L33195" t="str">
            <v>Non-proportional</v>
          </cell>
          <cell r="S33195">
            <v>45121.04</v>
          </cell>
          <cell r="X33195" t="str">
            <v>GWP - gross</v>
          </cell>
          <cell r="Y33195" t="str">
            <v>DOMINICAN REPUBLIC</v>
          </cell>
        </row>
        <row r="33196">
          <cell r="L33196" t="str">
            <v>Proportional</v>
          </cell>
          <cell r="S33196">
            <v>26333.79</v>
          </cell>
          <cell r="X33196" t="str">
            <v>GWP - gross</v>
          </cell>
          <cell r="Y33196" t="str">
            <v>SWITZERLAND</v>
          </cell>
        </row>
        <row r="33197">
          <cell r="L33197" t="str">
            <v>Non-proportional</v>
          </cell>
          <cell r="S33197">
            <v>-969.02</v>
          </cell>
          <cell r="X33197" t="str">
            <v>GWP - gross</v>
          </cell>
          <cell r="Y33197" t="str">
            <v>INDIA</v>
          </cell>
        </row>
        <row r="33198">
          <cell r="L33198" t="str">
            <v>Proportional</v>
          </cell>
          <cell r="S33198">
            <v>-35.4</v>
          </cell>
          <cell r="X33198" t="str">
            <v>GWP - gross</v>
          </cell>
          <cell r="Y33198" t="str">
            <v>UNITED STATES</v>
          </cell>
        </row>
        <row r="33199">
          <cell r="L33199" t="str">
            <v>Proportional</v>
          </cell>
          <cell r="S33199">
            <v>-51811.08</v>
          </cell>
          <cell r="X33199" t="str">
            <v>GWP - gross</v>
          </cell>
          <cell r="Y33199" t="str">
            <v>SWITZERLAND</v>
          </cell>
        </row>
        <row r="33200">
          <cell r="L33200" t="str">
            <v>Proportional</v>
          </cell>
          <cell r="S33200">
            <v>-5447.18</v>
          </cell>
          <cell r="X33200" t="str">
            <v>GWP - gross</v>
          </cell>
          <cell r="Y33200" t="str">
            <v>India</v>
          </cell>
        </row>
        <row r="33201">
          <cell r="L33201" t="str">
            <v>Proportional</v>
          </cell>
          <cell r="S33201">
            <v>36332.230000000003</v>
          </cell>
          <cell r="X33201" t="str">
            <v>GWP - gross</v>
          </cell>
          <cell r="Y33201" t="str">
            <v>AUSTRALIA</v>
          </cell>
        </row>
        <row r="33202">
          <cell r="L33202" t="str">
            <v>Proportional</v>
          </cell>
          <cell r="S33202">
            <v>-894.82</v>
          </cell>
          <cell r="X33202" t="str">
            <v>GWP - gross</v>
          </cell>
          <cell r="Y33202" t="str">
            <v>UNITED STATES</v>
          </cell>
        </row>
        <row r="33203">
          <cell r="L33203" t="str">
            <v>Proportional</v>
          </cell>
          <cell r="S33203">
            <v>19684.97</v>
          </cell>
          <cell r="X33203" t="str">
            <v>GWP - gross</v>
          </cell>
          <cell r="Y33203" t="str">
            <v>UNITED STATES</v>
          </cell>
        </row>
        <row r="33204">
          <cell r="L33204" t="str">
            <v>Proportional</v>
          </cell>
          <cell r="S33204">
            <v>410.89</v>
          </cell>
          <cell r="X33204" t="str">
            <v>GWP - gross</v>
          </cell>
          <cell r="Y33204" t="str">
            <v>TURKEY</v>
          </cell>
        </row>
        <row r="33205">
          <cell r="L33205" t="str">
            <v>Proportional</v>
          </cell>
          <cell r="S33205">
            <v>-8207.14</v>
          </cell>
          <cell r="X33205" t="str">
            <v>GWP - gross</v>
          </cell>
          <cell r="Y33205" t="str">
            <v>INDIA</v>
          </cell>
        </row>
        <row r="33206">
          <cell r="L33206" t="str">
            <v>Proportional</v>
          </cell>
          <cell r="S33206">
            <v>-9290.75</v>
          </cell>
          <cell r="X33206" t="str">
            <v>GWP - gross</v>
          </cell>
          <cell r="Y33206" t="str">
            <v>HONG KONG</v>
          </cell>
        </row>
        <row r="33207">
          <cell r="L33207" t="str">
            <v>Proportional</v>
          </cell>
          <cell r="S33207">
            <v>-156.4</v>
          </cell>
          <cell r="X33207" t="str">
            <v>GWP - gross</v>
          </cell>
          <cell r="Y33207" t="str">
            <v>HONG KONG</v>
          </cell>
        </row>
        <row r="33208">
          <cell r="L33208" t="str">
            <v>Proportional</v>
          </cell>
          <cell r="S33208">
            <v>2.5099999999999998</v>
          </cell>
          <cell r="X33208" t="str">
            <v>GWP - gross</v>
          </cell>
          <cell r="Y33208" t="str">
            <v>Turkey</v>
          </cell>
        </row>
        <row r="33209">
          <cell r="L33209" t="str">
            <v>Non-proportional</v>
          </cell>
          <cell r="S33209">
            <v>983.76</v>
          </cell>
          <cell r="X33209" t="str">
            <v>GWP - gross</v>
          </cell>
          <cell r="Y33209" t="str">
            <v>GUATEMALA</v>
          </cell>
        </row>
        <row r="33210">
          <cell r="L33210" t="str">
            <v>Non-proportional</v>
          </cell>
          <cell r="S33210">
            <v>461.08</v>
          </cell>
          <cell r="X33210" t="str">
            <v>GWP - gross</v>
          </cell>
          <cell r="Y33210" t="str">
            <v>FRANCE</v>
          </cell>
        </row>
        <row r="33211">
          <cell r="L33211" t="str">
            <v>Non-proportional</v>
          </cell>
          <cell r="S33211">
            <v>-709.18</v>
          </cell>
          <cell r="X33211" t="str">
            <v>GWP - gross</v>
          </cell>
          <cell r="Y33211" t="str">
            <v>INDIA</v>
          </cell>
        </row>
        <row r="33212">
          <cell r="L33212" t="str">
            <v>Proportional</v>
          </cell>
          <cell r="S33212">
            <v>-7260.25</v>
          </cell>
          <cell r="X33212" t="str">
            <v>GWP - gross</v>
          </cell>
          <cell r="Y33212" t="str">
            <v>India</v>
          </cell>
        </row>
        <row r="33213">
          <cell r="L33213" t="str">
            <v>Proportional</v>
          </cell>
          <cell r="S33213">
            <v>534617.24</v>
          </cell>
          <cell r="X33213" t="str">
            <v>GWP - gross</v>
          </cell>
          <cell r="Y33213" t="str">
            <v>UNITED STATES</v>
          </cell>
        </row>
        <row r="33214">
          <cell r="L33214" t="str">
            <v>Non-proportional</v>
          </cell>
          <cell r="S33214">
            <v>-4623.97</v>
          </cell>
          <cell r="X33214" t="str">
            <v>GWP - gross</v>
          </cell>
          <cell r="Y33214" t="str">
            <v>AUSTRALIA</v>
          </cell>
        </row>
        <row r="33215">
          <cell r="L33215" t="str">
            <v>Proportional</v>
          </cell>
          <cell r="S33215">
            <v>-260.82</v>
          </cell>
          <cell r="X33215" t="str">
            <v>GWP - gross</v>
          </cell>
          <cell r="Y33215" t="str">
            <v>India</v>
          </cell>
        </row>
        <row r="33216">
          <cell r="L33216" t="str">
            <v>Non-proportional</v>
          </cell>
          <cell r="S33216">
            <v>629.54999999999995</v>
          </cell>
          <cell r="X33216" t="str">
            <v>GWP - gross</v>
          </cell>
          <cell r="Y33216" t="str">
            <v>FRANCE</v>
          </cell>
        </row>
        <row r="33217">
          <cell r="L33217" t="str">
            <v>Proportional</v>
          </cell>
          <cell r="S33217">
            <v>104456.25</v>
          </cell>
          <cell r="X33217" t="str">
            <v>GWP - gross</v>
          </cell>
          <cell r="Y33217" t="str">
            <v>UNITED KINGDOM</v>
          </cell>
        </row>
        <row r="33218">
          <cell r="L33218" t="str">
            <v>Proportional</v>
          </cell>
          <cell r="S33218">
            <v>-266.02</v>
          </cell>
          <cell r="X33218" t="str">
            <v>GWP - gross</v>
          </cell>
          <cell r="Y33218" t="str">
            <v>Hong Kong</v>
          </cell>
        </row>
        <row r="33219">
          <cell r="L33219" t="str">
            <v>Proportional</v>
          </cell>
          <cell r="S33219">
            <v>-427602.39</v>
          </cell>
          <cell r="X33219" t="str">
            <v>GWP - gross</v>
          </cell>
          <cell r="Y33219" t="str">
            <v>UNITED STATES</v>
          </cell>
        </row>
        <row r="33220">
          <cell r="L33220" t="str">
            <v>Non-proportional</v>
          </cell>
          <cell r="S33220">
            <v>-2479.66</v>
          </cell>
          <cell r="X33220" t="str">
            <v>GWP - gross</v>
          </cell>
          <cell r="Y33220" t="str">
            <v>AUSTRALIA</v>
          </cell>
        </row>
        <row r="33221">
          <cell r="L33221" t="str">
            <v>Proportional</v>
          </cell>
          <cell r="S33221">
            <v>512000000</v>
          </cell>
          <cell r="X33221" t="str">
            <v>GWP - gross</v>
          </cell>
          <cell r="Y33221" t="str">
            <v>ITALY</v>
          </cell>
        </row>
        <row r="33222">
          <cell r="L33222" t="str">
            <v>Proportional</v>
          </cell>
          <cell r="S33222">
            <v>-4780.4399999999996</v>
          </cell>
          <cell r="X33222" t="str">
            <v>GWP - gross</v>
          </cell>
          <cell r="Y33222" t="str">
            <v>INDIA</v>
          </cell>
        </row>
        <row r="33223">
          <cell r="L33223" t="str">
            <v>Proportional</v>
          </cell>
          <cell r="S33223">
            <v>4216.78</v>
          </cell>
          <cell r="X33223" t="str">
            <v>GWP - gross</v>
          </cell>
          <cell r="Y33223" t="str">
            <v>UNITED STATES</v>
          </cell>
        </row>
        <row r="33224">
          <cell r="L33224" t="str">
            <v>Non-proportional</v>
          </cell>
          <cell r="S33224">
            <v>-103971.92</v>
          </cell>
          <cell r="X33224" t="str">
            <v>GWP - gross</v>
          </cell>
          <cell r="Y33224" t="str">
            <v>PUERTO RICO</v>
          </cell>
        </row>
        <row r="33225">
          <cell r="L33225" t="str">
            <v>Non-proportional</v>
          </cell>
          <cell r="S33225">
            <v>-4121.42</v>
          </cell>
          <cell r="X33225" t="str">
            <v>GWP - gross</v>
          </cell>
          <cell r="Y33225" t="str">
            <v>AUSTRALIA</v>
          </cell>
        </row>
        <row r="33226">
          <cell r="L33226" t="str">
            <v>Proportional</v>
          </cell>
          <cell r="S33226">
            <v>0.23</v>
          </cell>
          <cell r="X33226" t="str">
            <v>GWP - gross</v>
          </cell>
          <cell r="Y33226" t="str">
            <v>India</v>
          </cell>
        </row>
        <row r="33227">
          <cell r="L33227" t="str">
            <v>Proportional</v>
          </cell>
          <cell r="S33227">
            <v>20097.46</v>
          </cell>
          <cell r="X33227" t="str">
            <v>GWP - gross</v>
          </cell>
          <cell r="Y33227" t="str">
            <v>UNITED STATES</v>
          </cell>
        </row>
        <row r="33228">
          <cell r="L33228" t="str">
            <v>Non-proportional</v>
          </cell>
          <cell r="S33228">
            <v>-90879.16</v>
          </cell>
          <cell r="X33228" t="str">
            <v>GWP - gross</v>
          </cell>
          <cell r="Y33228" t="str">
            <v>PUERTO RICO</v>
          </cell>
        </row>
        <row r="33229">
          <cell r="L33229" t="str">
            <v>Non-proportional</v>
          </cell>
          <cell r="S33229">
            <v>-758.43</v>
          </cell>
          <cell r="X33229" t="str">
            <v>GWP - gross</v>
          </cell>
          <cell r="Y33229" t="str">
            <v>INDIA</v>
          </cell>
        </row>
        <row r="33230">
          <cell r="L33230" t="str">
            <v>Non-proportional</v>
          </cell>
          <cell r="S33230">
            <v>76871.17</v>
          </cell>
          <cell r="X33230" t="str">
            <v>GWP - gross</v>
          </cell>
          <cell r="Y33230" t="str">
            <v>UNITED KINGDOM</v>
          </cell>
        </row>
        <row r="33231">
          <cell r="L33231" t="str">
            <v>Proportional</v>
          </cell>
          <cell r="S33231">
            <v>64271118.030000001</v>
          </cell>
          <cell r="X33231" t="str">
            <v>GWP - gross</v>
          </cell>
          <cell r="Y33231" t="str">
            <v>ITALY</v>
          </cell>
        </row>
        <row r="33232">
          <cell r="L33232" t="str">
            <v>Non-proportional</v>
          </cell>
          <cell r="S33232">
            <v>-3814.67</v>
          </cell>
          <cell r="X33232" t="str">
            <v>GWP - gross</v>
          </cell>
          <cell r="Y33232" t="str">
            <v>GERMANY</v>
          </cell>
        </row>
        <row r="33233">
          <cell r="L33233" t="str">
            <v>Non-proportional</v>
          </cell>
          <cell r="S33233">
            <v>-50069.54</v>
          </cell>
          <cell r="X33233" t="str">
            <v>GWP - gross</v>
          </cell>
          <cell r="Y33233" t="str">
            <v>COLOMBIA</v>
          </cell>
        </row>
        <row r="33234">
          <cell r="L33234" t="str">
            <v>Non-proportional</v>
          </cell>
          <cell r="S33234">
            <v>11330.11</v>
          </cell>
          <cell r="X33234" t="str">
            <v>GWP - gross</v>
          </cell>
          <cell r="Y33234" t="str">
            <v>AUSTRALIA</v>
          </cell>
        </row>
        <row r="33235">
          <cell r="L33235" t="str">
            <v>Proportional</v>
          </cell>
          <cell r="S33235">
            <v>-1940.91</v>
          </cell>
          <cell r="X33235" t="str">
            <v>GWP - gross</v>
          </cell>
          <cell r="Y33235" t="str">
            <v>INDIA</v>
          </cell>
        </row>
        <row r="33236">
          <cell r="L33236" t="str">
            <v>Non-proportional</v>
          </cell>
          <cell r="S33236">
            <v>-6529.28</v>
          </cell>
          <cell r="X33236" t="str">
            <v>GWP - gross</v>
          </cell>
          <cell r="Y33236" t="str">
            <v>INDIA</v>
          </cell>
        </row>
        <row r="33237">
          <cell r="L33237" t="str">
            <v>Non-proportional</v>
          </cell>
          <cell r="S33237">
            <v>-34988.480000000003</v>
          </cell>
          <cell r="X33237" t="str">
            <v>GWP - gross</v>
          </cell>
          <cell r="Y33237" t="str">
            <v>DOMINICAN REPUBLIC</v>
          </cell>
        </row>
        <row r="33238">
          <cell r="L33238" t="str">
            <v>Non-proportional</v>
          </cell>
          <cell r="S33238">
            <v>10073.120000000001</v>
          </cell>
          <cell r="X33238" t="str">
            <v>GWP - gross</v>
          </cell>
          <cell r="Y33238" t="str">
            <v>AUSTRALIA</v>
          </cell>
        </row>
        <row r="33239">
          <cell r="L33239" t="str">
            <v>Proportional</v>
          </cell>
          <cell r="S33239">
            <v>894.82</v>
          </cell>
          <cell r="X33239" t="str">
            <v>GWP - gross</v>
          </cell>
          <cell r="Y33239" t="str">
            <v>UNITED STATES</v>
          </cell>
        </row>
        <row r="33240">
          <cell r="L33240" t="str">
            <v>Non-proportional</v>
          </cell>
          <cell r="S33240">
            <v>2205.9</v>
          </cell>
          <cell r="X33240" t="str">
            <v>GWP - gross</v>
          </cell>
          <cell r="Y33240" t="str">
            <v>AUSTRALIA</v>
          </cell>
        </row>
        <row r="33241">
          <cell r="L33241" t="str">
            <v>Non-proportional</v>
          </cell>
          <cell r="S33241">
            <v>2465.88</v>
          </cell>
          <cell r="X33241" t="str">
            <v>GWP - gross</v>
          </cell>
          <cell r="Y33241" t="str">
            <v>AUSTRALIA</v>
          </cell>
        </row>
        <row r="33242">
          <cell r="L33242" t="str">
            <v>Proportional</v>
          </cell>
          <cell r="S33242">
            <v>-534617.24</v>
          </cell>
          <cell r="X33242" t="str">
            <v>GWP - gross</v>
          </cell>
          <cell r="Y33242" t="str">
            <v>UNITED STATES</v>
          </cell>
        </row>
        <row r="33243">
          <cell r="L33243" t="str">
            <v>Non-proportional</v>
          </cell>
          <cell r="S33243">
            <v>-23388.61</v>
          </cell>
          <cell r="X33243" t="str">
            <v>GWP - gross</v>
          </cell>
          <cell r="Y33243" t="str">
            <v>ITALY</v>
          </cell>
        </row>
        <row r="33244">
          <cell r="L33244" t="str">
            <v>Proportional</v>
          </cell>
          <cell r="S33244">
            <v>-64271118.030000001</v>
          </cell>
          <cell r="X33244" t="str">
            <v>GWP - gross</v>
          </cell>
          <cell r="Y33244" t="str">
            <v>ITALY</v>
          </cell>
        </row>
        <row r="33245">
          <cell r="L33245" t="str">
            <v>Non-proportional</v>
          </cell>
          <cell r="S33245">
            <v>-23399.61</v>
          </cell>
          <cell r="X33245" t="str">
            <v>GWP - gross</v>
          </cell>
          <cell r="Y33245" t="str">
            <v>ITALY</v>
          </cell>
        </row>
        <row r="33246">
          <cell r="L33246" t="str">
            <v>Non-proportional</v>
          </cell>
          <cell r="S33246">
            <v>430.2</v>
          </cell>
          <cell r="X33246" t="str">
            <v>GWP - gross</v>
          </cell>
          <cell r="Y33246" t="str">
            <v>GUATEMALA</v>
          </cell>
        </row>
        <row r="33247">
          <cell r="L33247" t="str">
            <v>Proportional</v>
          </cell>
          <cell r="S33247">
            <v>3734.8</v>
          </cell>
          <cell r="X33247" t="str">
            <v>GWP - gross</v>
          </cell>
          <cell r="Y33247" t="str">
            <v>UNITED STATES</v>
          </cell>
        </row>
        <row r="33248">
          <cell r="L33248" t="str">
            <v>Non-proportional</v>
          </cell>
          <cell r="S33248">
            <v>-44611.95</v>
          </cell>
          <cell r="X33248" t="str">
            <v>GWP - gross</v>
          </cell>
          <cell r="Y33248" t="str">
            <v>DOMINICAN REPUBLIC</v>
          </cell>
        </row>
        <row r="33249">
          <cell r="L33249" t="str">
            <v>Non-proportional</v>
          </cell>
          <cell r="S33249">
            <v>15023.3</v>
          </cell>
          <cell r="X33249" t="str">
            <v>GWP - gross</v>
          </cell>
          <cell r="Y33249" t="str">
            <v>FRANCE</v>
          </cell>
        </row>
        <row r="33250">
          <cell r="L33250" t="str">
            <v>Non-proportional</v>
          </cell>
          <cell r="S33250">
            <v>-2526.84</v>
          </cell>
          <cell r="X33250" t="str">
            <v>GWP - gross</v>
          </cell>
          <cell r="Y33250" t="str">
            <v>GUATEMALA</v>
          </cell>
        </row>
        <row r="33251">
          <cell r="L33251" t="str">
            <v>Non-proportional</v>
          </cell>
          <cell r="S33251">
            <v>-61304.11</v>
          </cell>
          <cell r="X33251" t="str">
            <v>GWP - gross</v>
          </cell>
          <cell r="Y33251" t="str">
            <v>COLOMBIA</v>
          </cell>
        </row>
        <row r="33252">
          <cell r="L33252" t="str">
            <v>Non-proportional</v>
          </cell>
          <cell r="S33252">
            <v>-39088.129999999997</v>
          </cell>
          <cell r="X33252" t="str">
            <v>GWP - gross</v>
          </cell>
          <cell r="Y33252" t="str">
            <v>DOMINICAN REPUBLIC</v>
          </cell>
        </row>
        <row r="33253">
          <cell r="L33253" t="str">
            <v>Non-proportional</v>
          </cell>
          <cell r="S33253">
            <v>-230910.21</v>
          </cell>
          <cell r="X33253" t="str">
            <v>GWP - gross</v>
          </cell>
          <cell r="Y33253" t="str">
            <v>AUSTRALIA</v>
          </cell>
        </row>
        <row r="33254">
          <cell r="L33254" t="str">
            <v>Proportional</v>
          </cell>
          <cell r="S33254">
            <v>395512.86</v>
          </cell>
          <cell r="X33254" t="str">
            <v>GWP - gross</v>
          </cell>
          <cell r="Y33254" t="str">
            <v>UNITED STATES</v>
          </cell>
        </row>
        <row r="33255">
          <cell r="L33255" t="str">
            <v>Non-proportional</v>
          </cell>
          <cell r="S33255">
            <v>-1697.86</v>
          </cell>
          <cell r="X33255" t="str">
            <v>GWP - gross</v>
          </cell>
          <cell r="Y33255" t="str">
            <v>AUSTRALIA</v>
          </cell>
        </row>
        <row r="33256">
          <cell r="L33256" t="str">
            <v>Non-proportional</v>
          </cell>
          <cell r="S33256">
            <v>21489.67</v>
          </cell>
          <cell r="X33256" t="str">
            <v>GWP - gross</v>
          </cell>
          <cell r="Y33256" t="str">
            <v>PERU</v>
          </cell>
        </row>
        <row r="33257">
          <cell r="L33257" t="str">
            <v>Proportional</v>
          </cell>
          <cell r="S33257">
            <v>-259074.07</v>
          </cell>
          <cell r="X33257" t="str">
            <v>GWP - gross</v>
          </cell>
          <cell r="Y33257" t="str">
            <v>INDIA</v>
          </cell>
        </row>
        <row r="33258">
          <cell r="L33258" t="str">
            <v>Proportional</v>
          </cell>
          <cell r="S33258">
            <v>42366.26</v>
          </cell>
          <cell r="X33258" t="str">
            <v>GWP - gross</v>
          </cell>
          <cell r="Y33258" t="str">
            <v>SWITZERLAND</v>
          </cell>
        </row>
        <row r="33259">
          <cell r="L33259" t="str">
            <v>Non-proportional</v>
          </cell>
          <cell r="S33259">
            <v>-16557.349999999999</v>
          </cell>
          <cell r="X33259" t="str">
            <v>GWP - gross</v>
          </cell>
          <cell r="Y33259" t="str">
            <v>FRANCE</v>
          </cell>
        </row>
        <row r="33260">
          <cell r="L33260" t="str">
            <v>Proportional</v>
          </cell>
          <cell r="S33260">
            <v>-135.9</v>
          </cell>
          <cell r="X33260" t="str">
            <v>GWP - gross</v>
          </cell>
          <cell r="Y33260" t="str">
            <v>Turkey</v>
          </cell>
        </row>
        <row r="33261">
          <cell r="L33261" t="str">
            <v>Non-proportional</v>
          </cell>
          <cell r="S33261">
            <v>16008</v>
          </cell>
          <cell r="X33261" t="str">
            <v>GWP - gross</v>
          </cell>
          <cell r="Y33261" t="str">
            <v>ITALY</v>
          </cell>
        </row>
        <row r="33262">
          <cell r="L33262" t="str">
            <v>Non-proportional</v>
          </cell>
          <cell r="S33262">
            <v>14701.6</v>
          </cell>
          <cell r="X33262" t="str">
            <v>GWP - gross</v>
          </cell>
          <cell r="Y33262" t="str">
            <v>ITALY</v>
          </cell>
        </row>
        <row r="33263">
          <cell r="L33263" t="str">
            <v>Non-proportional</v>
          </cell>
          <cell r="S33263">
            <v>27674.5</v>
          </cell>
          <cell r="X33263" t="str">
            <v>GWP - gross</v>
          </cell>
          <cell r="Y33263" t="str">
            <v>PERU</v>
          </cell>
        </row>
        <row r="33264">
          <cell r="L33264" t="str">
            <v>Proportional</v>
          </cell>
          <cell r="S33264">
            <v>-317.12</v>
          </cell>
          <cell r="X33264" t="str">
            <v>GWP - gross</v>
          </cell>
          <cell r="Y33264" t="str">
            <v>Hong Kong</v>
          </cell>
        </row>
        <row r="33265">
          <cell r="L33265" t="str">
            <v>Proportional</v>
          </cell>
          <cell r="S33265">
            <v>9290.75</v>
          </cell>
          <cell r="X33265" t="str">
            <v>GWP - gross</v>
          </cell>
          <cell r="Y33265" t="str">
            <v>HONG KONG</v>
          </cell>
        </row>
        <row r="33266">
          <cell r="L33266" t="str">
            <v>Proportional</v>
          </cell>
          <cell r="S33266">
            <v>-6209.83</v>
          </cell>
          <cell r="X33266" t="str">
            <v>GWP - gross</v>
          </cell>
          <cell r="Y33266" t="str">
            <v>UNITED STATES</v>
          </cell>
        </row>
        <row r="33267">
          <cell r="L33267" t="str">
            <v>Proportional</v>
          </cell>
          <cell r="S33267">
            <v>378.04</v>
          </cell>
          <cell r="X33267" t="str">
            <v>GWP - gross</v>
          </cell>
          <cell r="Y33267" t="str">
            <v>INDIA</v>
          </cell>
        </row>
        <row r="33268">
          <cell r="L33268" t="str">
            <v>Non-proportional</v>
          </cell>
          <cell r="S33268">
            <v>39337.33</v>
          </cell>
          <cell r="X33268" t="str">
            <v>GWP - gross</v>
          </cell>
          <cell r="Y33268" t="str">
            <v>DOMINICAN REPUBLIC</v>
          </cell>
        </row>
        <row r="33269">
          <cell r="L33269" t="str">
            <v>Proportional</v>
          </cell>
          <cell r="S33269">
            <v>-3813.06</v>
          </cell>
          <cell r="X33269" t="str">
            <v>GWP - gross</v>
          </cell>
          <cell r="Y33269" t="str">
            <v>UNITED STATES</v>
          </cell>
        </row>
        <row r="33270">
          <cell r="L33270" t="str">
            <v>Proportional</v>
          </cell>
          <cell r="S33270">
            <v>-395512.86</v>
          </cell>
          <cell r="X33270" t="str">
            <v>GWP - gross</v>
          </cell>
          <cell r="Y33270" t="str">
            <v>UNITED STATES</v>
          </cell>
        </row>
        <row r="33271">
          <cell r="L33271" t="str">
            <v>Proportional</v>
          </cell>
          <cell r="S33271">
            <v>-36332.230000000003</v>
          </cell>
          <cell r="X33271" t="str">
            <v>GWP - gross</v>
          </cell>
          <cell r="Y33271" t="str">
            <v>AUSTRALIA</v>
          </cell>
        </row>
        <row r="33272">
          <cell r="L33272" t="str">
            <v>Non-proportional</v>
          </cell>
          <cell r="S33272">
            <v>-3489.37</v>
          </cell>
          <cell r="X33272" t="str">
            <v>GWP - gross</v>
          </cell>
          <cell r="Y33272" t="str">
            <v>GUATEMALA</v>
          </cell>
        </row>
        <row r="33273">
          <cell r="L33273" t="str">
            <v>Proportional</v>
          </cell>
          <cell r="S33273">
            <v>-431.23</v>
          </cell>
          <cell r="X33273" t="str">
            <v>GWP - gross</v>
          </cell>
          <cell r="Y33273" t="str">
            <v>HONG KONG</v>
          </cell>
        </row>
        <row r="33274">
          <cell r="L33274" t="str">
            <v>Non-proportional</v>
          </cell>
          <cell r="S33274">
            <v>37783.879999999997</v>
          </cell>
          <cell r="X33274" t="str">
            <v>GWP - gross</v>
          </cell>
          <cell r="Y33274" t="str">
            <v>ITALY</v>
          </cell>
        </row>
        <row r="33275">
          <cell r="L33275" t="str">
            <v>Non-proportional</v>
          </cell>
          <cell r="S33275">
            <v>-341.35</v>
          </cell>
          <cell r="X33275" t="str">
            <v>GWP - gross</v>
          </cell>
          <cell r="Y33275" t="str">
            <v>INDIA</v>
          </cell>
        </row>
        <row r="33276">
          <cell r="L33276" t="str">
            <v>Non-proportional</v>
          </cell>
          <cell r="S33276">
            <v>-758.43</v>
          </cell>
          <cell r="X33276" t="str">
            <v>GWP - gross</v>
          </cell>
          <cell r="Y33276" t="str">
            <v>INDIA</v>
          </cell>
        </row>
        <row r="33277">
          <cell r="L33277" t="str">
            <v>Non-proportional</v>
          </cell>
          <cell r="S33277">
            <v>-573.80999999999995</v>
          </cell>
          <cell r="X33277" t="str">
            <v>GWP - gross</v>
          </cell>
          <cell r="Y33277" t="str">
            <v>INDIA</v>
          </cell>
        </row>
        <row r="33278">
          <cell r="L33278" t="str">
            <v>Non-proportional</v>
          </cell>
          <cell r="S33278">
            <v>4794.63</v>
          </cell>
          <cell r="X33278" t="str">
            <v>GWP - gross</v>
          </cell>
          <cell r="Y33278" t="str">
            <v>GUATEMALA</v>
          </cell>
        </row>
        <row r="33279">
          <cell r="L33279" t="str">
            <v>Proportional</v>
          </cell>
          <cell r="S33279">
            <v>-71020.28</v>
          </cell>
          <cell r="X33279" t="str">
            <v>GWP - gross</v>
          </cell>
          <cell r="Y33279" t="str">
            <v>AUSTRALIA</v>
          </cell>
        </row>
        <row r="33280">
          <cell r="L33280" t="str">
            <v>Non-proportional</v>
          </cell>
          <cell r="S33280">
            <v>-32799.1</v>
          </cell>
          <cell r="X33280" t="str">
            <v>GWP - gross</v>
          </cell>
          <cell r="Y33280" t="str">
            <v>FRANCE</v>
          </cell>
        </row>
        <row r="33281">
          <cell r="L33281" t="str">
            <v>Proportional</v>
          </cell>
          <cell r="S33281">
            <v>-136.22999999999999</v>
          </cell>
          <cell r="X33281" t="str">
            <v>GWP - gross</v>
          </cell>
          <cell r="Y33281" t="str">
            <v>HONG KONG</v>
          </cell>
        </row>
        <row r="33282">
          <cell r="L33282" t="str">
            <v>Non-proportional</v>
          </cell>
          <cell r="S33282">
            <v>-2162.25</v>
          </cell>
          <cell r="X33282" t="str">
            <v>GWP - gross</v>
          </cell>
          <cell r="Y33282" t="str">
            <v>AUSTRALIA</v>
          </cell>
        </row>
        <row r="33283">
          <cell r="L33283" t="str">
            <v>Proportional</v>
          </cell>
          <cell r="S33283">
            <v>-4245.6400000000003</v>
          </cell>
          <cell r="X33283" t="str">
            <v>GWP - gross</v>
          </cell>
          <cell r="Y33283" t="str">
            <v>UNITED STATES</v>
          </cell>
        </row>
        <row r="33284">
          <cell r="L33284" t="str">
            <v>Proportional</v>
          </cell>
          <cell r="S33284">
            <v>-306.48</v>
          </cell>
          <cell r="X33284" t="str">
            <v>GWP - gross</v>
          </cell>
          <cell r="Y33284" t="str">
            <v>INDIA</v>
          </cell>
        </row>
        <row r="33285">
          <cell r="L33285" t="str">
            <v>Proportional</v>
          </cell>
          <cell r="S33285">
            <v>-19684.97</v>
          </cell>
          <cell r="X33285" t="str">
            <v>GWP - gross</v>
          </cell>
          <cell r="Y33285" t="str">
            <v>UNITED STATES</v>
          </cell>
        </row>
        <row r="33286">
          <cell r="L33286" t="str">
            <v>Proportional</v>
          </cell>
          <cell r="S33286">
            <v>-20097.46</v>
          </cell>
          <cell r="X33286" t="str">
            <v>GWP - gross</v>
          </cell>
          <cell r="Y33286" t="str">
            <v>UNITED STATES</v>
          </cell>
        </row>
        <row r="33287">
          <cell r="L33287" t="str">
            <v>Non-proportional</v>
          </cell>
          <cell r="S33287">
            <v>1205.9000000000001</v>
          </cell>
          <cell r="X33287" t="str">
            <v>GWP - gross</v>
          </cell>
          <cell r="Y33287" t="str">
            <v>FRANCE</v>
          </cell>
        </row>
        <row r="33288">
          <cell r="L33288" t="str">
            <v>Proportional</v>
          </cell>
          <cell r="S33288">
            <v>-6167.63</v>
          </cell>
          <cell r="X33288" t="str">
            <v>GWP - gross</v>
          </cell>
          <cell r="Y33288" t="str">
            <v>UNITED STATES</v>
          </cell>
        </row>
        <row r="33289">
          <cell r="L33289" t="str">
            <v>Proportional</v>
          </cell>
          <cell r="S33289">
            <v>-12240</v>
          </cell>
          <cell r="X33289" t="str">
            <v>GWP - gross</v>
          </cell>
          <cell r="Y33289" t="str">
            <v>FRANCE</v>
          </cell>
        </row>
        <row r="33290">
          <cell r="L33290" t="str">
            <v>Proportional</v>
          </cell>
          <cell r="S33290">
            <v>-264954</v>
          </cell>
          <cell r="X33290" t="str">
            <v>GWP - gross</v>
          </cell>
          <cell r="Y33290" t="str">
            <v>FRANCE</v>
          </cell>
        </row>
        <row r="33291">
          <cell r="L33291" t="str">
            <v>Non-proportional</v>
          </cell>
          <cell r="S33291">
            <v>3059.65</v>
          </cell>
          <cell r="X33291" t="str">
            <v>GWP - gross</v>
          </cell>
          <cell r="Y33291" t="str">
            <v>AUSTRALIA</v>
          </cell>
        </row>
        <row r="33292">
          <cell r="L33292" t="str">
            <v>Non-proportional</v>
          </cell>
          <cell r="S33292">
            <v>-4759.7299999999996</v>
          </cell>
          <cell r="X33292" t="str">
            <v>GWP - gross</v>
          </cell>
          <cell r="Y33292" t="str">
            <v>ITALY</v>
          </cell>
        </row>
        <row r="33293">
          <cell r="L33293" t="str">
            <v>Proportional</v>
          </cell>
          <cell r="S33293">
            <v>-8391.15</v>
          </cell>
          <cell r="X33293" t="str">
            <v>GWP - gross</v>
          </cell>
          <cell r="Y33293" t="str">
            <v>UNITED STATES</v>
          </cell>
        </row>
        <row r="33294">
          <cell r="L33294" t="str">
            <v>Non-proportional</v>
          </cell>
          <cell r="S33294">
            <v>22109.95</v>
          </cell>
          <cell r="X33294" t="str">
            <v>GWP - gross</v>
          </cell>
          <cell r="Y33294" t="str">
            <v>FRANCE</v>
          </cell>
        </row>
        <row r="33295">
          <cell r="L33295" t="str">
            <v>Proportional</v>
          </cell>
          <cell r="S33295">
            <v>612758.02</v>
          </cell>
          <cell r="X33295" t="str">
            <v>GWP - gross</v>
          </cell>
          <cell r="Y33295" t="str">
            <v>UNITED STATES</v>
          </cell>
        </row>
        <row r="33296">
          <cell r="L33296" t="str">
            <v>Non-proportional</v>
          </cell>
          <cell r="S33296">
            <v>715.95</v>
          </cell>
          <cell r="X33296" t="str">
            <v>GWP - gross</v>
          </cell>
          <cell r="Y33296" t="str">
            <v>GUATEMALA</v>
          </cell>
        </row>
        <row r="33297">
          <cell r="L33297" t="str">
            <v>Non-proportional</v>
          </cell>
          <cell r="S33297">
            <v>-2193.15</v>
          </cell>
          <cell r="X33297" t="str">
            <v>GWP - gross</v>
          </cell>
          <cell r="Y33297" t="str">
            <v>GUATEMALA</v>
          </cell>
        </row>
        <row r="33298">
          <cell r="L33298" t="str">
            <v>Non-proportional</v>
          </cell>
          <cell r="S33298">
            <v>4466.08</v>
          </cell>
          <cell r="X33298" t="str">
            <v>GWP - gross</v>
          </cell>
          <cell r="Y33298" t="str">
            <v>UNITED KINGDOM</v>
          </cell>
        </row>
        <row r="33299">
          <cell r="L33299" t="str">
            <v>Non-proportional</v>
          </cell>
          <cell r="S33299">
            <v>-109748.14</v>
          </cell>
          <cell r="X33299" t="str">
            <v>GWP - gross</v>
          </cell>
          <cell r="Y33299" t="str">
            <v>PUERTO RICO</v>
          </cell>
        </row>
        <row r="33300">
          <cell r="L33300" t="str">
            <v>Proportional</v>
          </cell>
          <cell r="S33300">
            <v>-1448.04</v>
          </cell>
          <cell r="X33300" t="str">
            <v>GWP - gross</v>
          </cell>
          <cell r="Y33300" t="str">
            <v>India</v>
          </cell>
        </row>
        <row r="33301">
          <cell r="L33301" t="str">
            <v>Non-proportional</v>
          </cell>
          <cell r="S33301">
            <v>7761.96</v>
          </cell>
          <cell r="X33301" t="str">
            <v>GWP - gross</v>
          </cell>
          <cell r="Y33301" t="str">
            <v>AUSTRALIA</v>
          </cell>
        </row>
        <row r="33302">
          <cell r="L33302" t="str">
            <v>Non-proportional</v>
          </cell>
          <cell r="S33302">
            <v>-24367.62</v>
          </cell>
          <cell r="X33302" t="str">
            <v>GWP - gross</v>
          </cell>
          <cell r="Y33302" t="str">
            <v>FRANCE</v>
          </cell>
        </row>
        <row r="33303">
          <cell r="L33303" t="str">
            <v>Proportional</v>
          </cell>
          <cell r="S33303">
            <v>-1958.36</v>
          </cell>
          <cell r="X33303" t="str">
            <v>GWP - gross</v>
          </cell>
          <cell r="Y33303" t="str">
            <v>Hong Kong</v>
          </cell>
        </row>
        <row r="33304">
          <cell r="L33304" t="str">
            <v>Non-proportional</v>
          </cell>
          <cell r="S33304">
            <v>758.43</v>
          </cell>
          <cell r="X33304" t="str">
            <v>GWP - gross</v>
          </cell>
          <cell r="Y33304" t="str">
            <v>INDIA</v>
          </cell>
        </row>
        <row r="33305">
          <cell r="L33305" t="str">
            <v>Proportional</v>
          </cell>
          <cell r="S33305">
            <v>-4554.74</v>
          </cell>
          <cell r="X33305" t="str">
            <v>GWP - gross</v>
          </cell>
          <cell r="Y33305" t="str">
            <v>Turkey</v>
          </cell>
        </row>
        <row r="33306">
          <cell r="L33306" t="str">
            <v>Proportional</v>
          </cell>
          <cell r="S33306">
            <v>-16.93</v>
          </cell>
          <cell r="X33306" t="str">
            <v>GWP - gross</v>
          </cell>
          <cell r="Y33306" t="str">
            <v>TURKEY</v>
          </cell>
        </row>
        <row r="33307">
          <cell r="L33307" t="str">
            <v>Proportional</v>
          </cell>
          <cell r="S33307">
            <v>71020.28</v>
          </cell>
          <cell r="X33307" t="str">
            <v>GWP - gross</v>
          </cell>
          <cell r="Y33307" t="str">
            <v>AUSTRALIA</v>
          </cell>
        </row>
        <row r="33308">
          <cell r="L33308" t="str">
            <v>Non-proportional</v>
          </cell>
          <cell r="S33308">
            <v>2467.34</v>
          </cell>
          <cell r="X33308" t="str">
            <v>GWP - gross</v>
          </cell>
          <cell r="Y33308" t="str">
            <v>AUSTRALIA</v>
          </cell>
        </row>
        <row r="33309">
          <cell r="L33309" t="str">
            <v>Non-proportional</v>
          </cell>
          <cell r="S33309">
            <v>8180.12</v>
          </cell>
          <cell r="X33309" t="str">
            <v>GWP - gross</v>
          </cell>
          <cell r="Y33309" t="str">
            <v>UNITED KINGDOM</v>
          </cell>
        </row>
        <row r="33310">
          <cell r="L33310" t="str">
            <v>Proportional</v>
          </cell>
          <cell r="S33310">
            <v>-89.9</v>
          </cell>
          <cell r="X33310" t="str">
            <v>GWP - gross</v>
          </cell>
          <cell r="Y33310" t="str">
            <v>Hong Kong</v>
          </cell>
        </row>
        <row r="33311">
          <cell r="L33311" t="str">
            <v>Non-proportional</v>
          </cell>
          <cell r="S33311">
            <v>-49808.04</v>
          </cell>
          <cell r="X33311" t="str">
            <v>GWP - gross</v>
          </cell>
          <cell r="Y33311" t="str">
            <v>COLOMBIA</v>
          </cell>
        </row>
        <row r="33312">
          <cell r="L33312" t="str">
            <v>Non-proportional</v>
          </cell>
          <cell r="S33312">
            <v>1699.61</v>
          </cell>
          <cell r="X33312" t="str">
            <v>GWP - gross</v>
          </cell>
          <cell r="Y33312" t="str">
            <v>AUSTRALIA</v>
          </cell>
        </row>
        <row r="33313">
          <cell r="L33313" t="str">
            <v>Non-proportional</v>
          </cell>
          <cell r="S33313">
            <v>-27674.5</v>
          </cell>
          <cell r="X33313" t="str">
            <v>GWP - gross</v>
          </cell>
          <cell r="Y33313" t="str">
            <v>PERU</v>
          </cell>
        </row>
        <row r="33314">
          <cell r="L33314" t="str">
            <v>Proportional</v>
          </cell>
          <cell r="S33314">
            <v>136.22999999999999</v>
          </cell>
          <cell r="X33314" t="str">
            <v>GWP - gross</v>
          </cell>
          <cell r="Y33314" t="str">
            <v>HONG KONG</v>
          </cell>
        </row>
        <row r="33315">
          <cell r="L33315" t="str">
            <v>Non-proportional</v>
          </cell>
          <cell r="S33315">
            <v>11281.13</v>
          </cell>
          <cell r="X33315" t="str">
            <v>GWP - gross</v>
          </cell>
          <cell r="Y33315" t="str">
            <v>DENMARK</v>
          </cell>
        </row>
        <row r="33316">
          <cell r="L33316" t="str">
            <v>Non-proportional</v>
          </cell>
          <cell r="S33316">
            <v>6975.61</v>
          </cell>
          <cell r="X33316" t="str">
            <v>GWP - gross</v>
          </cell>
          <cell r="Y33316" t="str">
            <v>AUSTRALIA</v>
          </cell>
        </row>
        <row r="33317">
          <cell r="L33317" t="str">
            <v>Non-proportional</v>
          </cell>
          <cell r="S33317">
            <v>343671.43</v>
          </cell>
          <cell r="X33317" t="str">
            <v>GWP - gross</v>
          </cell>
          <cell r="Y33317" t="str">
            <v>AUSTRALIA</v>
          </cell>
        </row>
        <row r="33318">
          <cell r="L33318" t="str">
            <v>Non-proportional</v>
          </cell>
          <cell r="S33318">
            <v>-1569.25</v>
          </cell>
          <cell r="X33318" t="str">
            <v>GWP - gross</v>
          </cell>
          <cell r="Y33318" t="str">
            <v>INDIA</v>
          </cell>
        </row>
        <row r="33319">
          <cell r="L33319" t="str">
            <v>Proportional</v>
          </cell>
          <cell r="S33319">
            <v>-20508.349999999999</v>
          </cell>
          <cell r="X33319" t="str">
            <v>GWP - gross</v>
          </cell>
          <cell r="Y33319" t="str">
            <v>India</v>
          </cell>
        </row>
        <row r="33320">
          <cell r="L33320" t="str">
            <v>Non-proportional</v>
          </cell>
          <cell r="S33320">
            <v>3759.96</v>
          </cell>
          <cell r="X33320" t="str">
            <v>GWP - gross</v>
          </cell>
          <cell r="Y33320" t="str">
            <v>UNITED KINGDOM</v>
          </cell>
        </row>
        <row r="33321">
          <cell r="L33321" t="str">
            <v>Proportional</v>
          </cell>
          <cell r="S33321">
            <v>427602.39</v>
          </cell>
          <cell r="X33321" t="str">
            <v>GWP - gross</v>
          </cell>
          <cell r="Y33321" t="str">
            <v>UNITED STATES</v>
          </cell>
        </row>
        <row r="33322">
          <cell r="L33322" t="str">
            <v>Non-proportional</v>
          </cell>
          <cell r="S33322">
            <v>343671.43</v>
          </cell>
          <cell r="X33322" t="str">
            <v>GWP - gross</v>
          </cell>
          <cell r="Y33322" t="str">
            <v>AUSTRALIA</v>
          </cell>
        </row>
        <row r="33323">
          <cell r="L33323" t="str">
            <v>Non-proportional</v>
          </cell>
          <cell r="S33323">
            <v>-1490.31</v>
          </cell>
          <cell r="X33323" t="str">
            <v>GWP - gross</v>
          </cell>
          <cell r="Y33323" t="str">
            <v>AUSTRALIA</v>
          </cell>
        </row>
        <row r="33324">
          <cell r="L33324" t="str">
            <v>Proportional</v>
          </cell>
          <cell r="S33324">
            <v>299.10000000000002</v>
          </cell>
          <cell r="X33324" t="str">
            <v>GWP - gross</v>
          </cell>
          <cell r="Y33324" t="str">
            <v>GERMANY</v>
          </cell>
        </row>
        <row r="33325">
          <cell r="L33325" t="str">
            <v>Non-proportional</v>
          </cell>
          <cell r="S33325">
            <v>2096.64</v>
          </cell>
          <cell r="X33325" t="str">
            <v>GWP - gross</v>
          </cell>
          <cell r="Y33325" t="str">
            <v>GUATEMALA</v>
          </cell>
        </row>
        <row r="33326">
          <cell r="L33326" t="str">
            <v>Proportional</v>
          </cell>
          <cell r="S33326">
            <v>51811.08</v>
          </cell>
          <cell r="X33326" t="str">
            <v>GWP - gross</v>
          </cell>
          <cell r="Y33326" t="str">
            <v>SWITZERLAND</v>
          </cell>
        </row>
        <row r="33327">
          <cell r="L33327" t="str">
            <v>Proportional</v>
          </cell>
          <cell r="S33327">
            <v>-2217.87</v>
          </cell>
          <cell r="X33327" t="str">
            <v>GWP - gross</v>
          </cell>
          <cell r="Y33327" t="str">
            <v>TURKEY</v>
          </cell>
        </row>
        <row r="33328">
          <cell r="L33328" t="str">
            <v>Proportional</v>
          </cell>
          <cell r="S33328">
            <v>36.130000000000003</v>
          </cell>
          <cell r="X33328" t="str">
            <v>GWP - gross</v>
          </cell>
          <cell r="Y33328" t="str">
            <v>UNITED STATES</v>
          </cell>
        </row>
        <row r="33329">
          <cell r="L33329" t="str">
            <v>Proportional</v>
          </cell>
          <cell r="S33329">
            <v>-259074.07</v>
          </cell>
          <cell r="X33329" t="str">
            <v>GWP - gross</v>
          </cell>
          <cell r="Y33329" t="str">
            <v>INDIA</v>
          </cell>
        </row>
        <row r="33330">
          <cell r="L33330" t="str">
            <v>Non-proportional</v>
          </cell>
          <cell r="S33330">
            <v>109668.52</v>
          </cell>
          <cell r="X33330" t="str">
            <v>GWP - gross</v>
          </cell>
          <cell r="Y33330" t="str">
            <v>PUERTO RICO</v>
          </cell>
        </row>
        <row r="33331">
          <cell r="L33331" t="str">
            <v>Non-proportional</v>
          </cell>
          <cell r="S33331">
            <v>67774.289999999994</v>
          </cell>
          <cell r="X33331" t="str">
            <v>GWP - gross</v>
          </cell>
          <cell r="Y33331" t="str">
            <v>PUERTO RICO</v>
          </cell>
        </row>
        <row r="33332">
          <cell r="L33332" t="str">
            <v>Non-proportional</v>
          </cell>
          <cell r="S33332">
            <v>-1385.58</v>
          </cell>
          <cell r="X33332" t="str">
            <v>GWP - gross</v>
          </cell>
          <cell r="Y33332" t="str">
            <v>INDIA</v>
          </cell>
        </row>
        <row r="33333">
          <cell r="L33333" t="str">
            <v>Non-proportional</v>
          </cell>
          <cell r="S33333">
            <v>43639.65</v>
          </cell>
          <cell r="X33333" t="str">
            <v>GWP - gross</v>
          </cell>
          <cell r="Y33333" t="str">
            <v>UNITED KINGDOM</v>
          </cell>
        </row>
        <row r="33334">
          <cell r="L33334" t="str">
            <v>Non-proportional</v>
          </cell>
          <cell r="S33334">
            <v>49003.8</v>
          </cell>
          <cell r="X33334" t="str">
            <v>GWP - gross</v>
          </cell>
          <cell r="Y33334" t="str">
            <v>ITALY</v>
          </cell>
        </row>
        <row r="33335">
          <cell r="L33335" t="str">
            <v>Proportional</v>
          </cell>
          <cell r="S33335">
            <v>-1891.24</v>
          </cell>
          <cell r="X33335" t="str">
            <v>GWP - gross</v>
          </cell>
          <cell r="Y33335" t="str">
            <v>India</v>
          </cell>
        </row>
        <row r="33336">
          <cell r="L33336" t="str">
            <v>Non-proportional</v>
          </cell>
          <cell r="S33336">
            <v>4700.25</v>
          </cell>
          <cell r="X33336" t="str">
            <v>GWP - gross</v>
          </cell>
          <cell r="Y33336" t="str">
            <v>AUSTRALIA</v>
          </cell>
        </row>
        <row r="33337">
          <cell r="L33337" t="str">
            <v>Proportional</v>
          </cell>
          <cell r="S33337">
            <v>-255.77</v>
          </cell>
          <cell r="X33337" t="str">
            <v>GWP - gross</v>
          </cell>
          <cell r="Y33337" t="str">
            <v>Turkey</v>
          </cell>
        </row>
        <row r="33338">
          <cell r="L33338" t="str">
            <v>Proportional</v>
          </cell>
          <cell r="S33338">
            <v>205.1</v>
          </cell>
          <cell r="X33338" t="str">
            <v>GWP - gross</v>
          </cell>
          <cell r="Y33338" t="str">
            <v>India</v>
          </cell>
        </row>
        <row r="33339">
          <cell r="L33339" t="str">
            <v>Non-proportional</v>
          </cell>
          <cell r="S33339">
            <v>-4385.09</v>
          </cell>
          <cell r="X33339" t="str">
            <v>GWP - gross</v>
          </cell>
          <cell r="Y33339" t="str">
            <v>UNITED KINGDOM</v>
          </cell>
        </row>
        <row r="33340">
          <cell r="L33340" t="str">
            <v>Proportional</v>
          </cell>
          <cell r="S33340">
            <v>-104456.25</v>
          </cell>
          <cell r="X33340" t="str">
            <v>GWP - gross</v>
          </cell>
          <cell r="Y33340" t="str">
            <v>UNITED KINGDOM</v>
          </cell>
        </row>
        <row r="33341">
          <cell r="L33341" t="str">
            <v>Proportional</v>
          </cell>
          <cell r="S33341">
            <v>-2840.55</v>
          </cell>
          <cell r="X33341" t="str">
            <v>GWP - gross</v>
          </cell>
          <cell r="Y33341" t="str">
            <v>Hong Kong</v>
          </cell>
        </row>
        <row r="33342">
          <cell r="L33342" t="str">
            <v>Proportional</v>
          </cell>
          <cell r="S33342">
            <v>8649.4500000000007</v>
          </cell>
          <cell r="X33342" t="str">
            <v>GWP - gross</v>
          </cell>
          <cell r="Y33342" t="str">
            <v>UNITED STATES</v>
          </cell>
        </row>
        <row r="33343">
          <cell r="L33343" t="str">
            <v>Proportional</v>
          </cell>
          <cell r="S33343">
            <v>34816.36</v>
          </cell>
          <cell r="X33343" t="str">
            <v>GWP - gross</v>
          </cell>
          <cell r="Y33343" t="str">
            <v>UNITED STATES</v>
          </cell>
        </row>
        <row r="33344">
          <cell r="L33344" t="str">
            <v>Proportional</v>
          </cell>
          <cell r="S33344">
            <v>-409.2</v>
          </cell>
          <cell r="X33344" t="str">
            <v>GWP - gross</v>
          </cell>
          <cell r="Y33344" t="str">
            <v>Hong Kong</v>
          </cell>
        </row>
        <row r="33345">
          <cell r="L33345" t="str">
            <v>Proportional</v>
          </cell>
          <cell r="S33345">
            <v>-59493.01</v>
          </cell>
          <cell r="X33345" t="str">
            <v>GWP - gross</v>
          </cell>
          <cell r="Y33345" t="str">
            <v>SWITZERLAND</v>
          </cell>
        </row>
        <row r="33346">
          <cell r="L33346" t="str">
            <v>Proportional</v>
          </cell>
          <cell r="S33346">
            <v>-11.58</v>
          </cell>
          <cell r="X33346" t="str">
            <v>GWP - gross</v>
          </cell>
          <cell r="Y33346" t="str">
            <v>Turkey</v>
          </cell>
        </row>
        <row r="33347">
          <cell r="L33347" t="str">
            <v>Proportional</v>
          </cell>
          <cell r="S33347">
            <v>23620.73</v>
          </cell>
          <cell r="X33347" t="str">
            <v>GWP - gross</v>
          </cell>
          <cell r="Y33347" t="str">
            <v>UNITED STATES</v>
          </cell>
        </row>
        <row r="33348">
          <cell r="L33348" t="str">
            <v>Proportional</v>
          </cell>
          <cell r="S33348">
            <v>-43254.03</v>
          </cell>
          <cell r="X33348" t="str">
            <v>GWP - gross</v>
          </cell>
          <cell r="Y33348" t="str">
            <v>SWITZERLAND</v>
          </cell>
        </row>
        <row r="33349">
          <cell r="L33349" t="str">
            <v>Non-proportional</v>
          </cell>
          <cell r="S33349">
            <v>-6431.48</v>
          </cell>
          <cell r="X33349" t="str">
            <v>GWP - gross</v>
          </cell>
          <cell r="Y33349" t="str">
            <v>AUSTRALIA</v>
          </cell>
        </row>
        <row r="33350">
          <cell r="L33350" t="str">
            <v>Non-proportional</v>
          </cell>
          <cell r="S33350">
            <v>3746.78</v>
          </cell>
          <cell r="X33350" t="str">
            <v>GWP - gross</v>
          </cell>
          <cell r="Y33350" t="str">
            <v>GERMANY</v>
          </cell>
        </row>
        <row r="33351">
          <cell r="L33351" t="str">
            <v>Non-proportional</v>
          </cell>
          <cell r="S33351">
            <v>10005</v>
          </cell>
          <cell r="X33351" t="str">
            <v>GWP - gross</v>
          </cell>
          <cell r="Y33351" t="str">
            <v>ITALY</v>
          </cell>
        </row>
        <row r="33352">
          <cell r="L33352" t="str">
            <v>Non-proportional</v>
          </cell>
          <cell r="S33352">
            <v>2283.3200000000002</v>
          </cell>
          <cell r="X33352" t="str">
            <v>GWP - gross</v>
          </cell>
          <cell r="Y33352" t="str">
            <v>ITALY</v>
          </cell>
        </row>
        <row r="33353">
          <cell r="L33353" t="str">
            <v>Non-proportional</v>
          </cell>
          <cell r="S33353">
            <v>103971.92</v>
          </cell>
          <cell r="X33353" t="str">
            <v>GWP - gross</v>
          </cell>
          <cell r="Y33353" t="str">
            <v>PUERTO RICO</v>
          </cell>
        </row>
        <row r="33354">
          <cell r="L33354" t="str">
            <v>Proportional</v>
          </cell>
          <cell r="S33354">
            <v>6167.63</v>
          </cell>
          <cell r="X33354" t="str">
            <v>GWP - gross</v>
          </cell>
          <cell r="Y33354" t="str">
            <v>UNITED STATES</v>
          </cell>
        </row>
        <row r="33355">
          <cell r="L33355" t="str">
            <v>Proportional</v>
          </cell>
          <cell r="S33355">
            <v>-4548378.8899999997</v>
          </cell>
          <cell r="X33355" t="str">
            <v>GWP - gross</v>
          </cell>
          <cell r="Y33355" t="str">
            <v>SWITZERLAND</v>
          </cell>
        </row>
        <row r="33356">
          <cell r="L33356" t="str">
            <v>Proportional</v>
          </cell>
          <cell r="S33356">
            <v>-306.48</v>
          </cell>
          <cell r="X33356" t="str">
            <v>GWP - gross</v>
          </cell>
          <cell r="Y33356" t="str">
            <v>INDIA</v>
          </cell>
        </row>
        <row r="33357">
          <cell r="L33357" t="str">
            <v>Proportional</v>
          </cell>
          <cell r="S33357">
            <v>-3032.35</v>
          </cell>
          <cell r="X33357" t="str">
            <v>GWP - gross</v>
          </cell>
          <cell r="Y33357" t="str">
            <v>TURKEY</v>
          </cell>
        </row>
        <row r="33358">
          <cell r="L33358" t="str">
            <v>Proportional</v>
          </cell>
          <cell r="S33358">
            <v>25.45</v>
          </cell>
          <cell r="X33358" t="str">
            <v>GWP - gross</v>
          </cell>
          <cell r="Y33358" t="str">
            <v>Turkey</v>
          </cell>
        </row>
        <row r="33359">
          <cell r="L33359" t="str">
            <v>Non-proportional</v>
          </cell>
          <cell r="S33359">
            <v>7471.03</v>
          </cell>
          <cell r="X33359" t="str">
            <v>GWP - gross</v>
          </cell>
          <cell r="Y33359" t="str">
            <v>DENMARK</v>
          </cell>
        </row>
        <row r="33360">
          <cell r="L33360" t="str">
            <v>Non-proportional</v>
          </cell>
          <cell r="S33360">
            <v>-10073.120000000001</v>
          </cell>
          <cell r="X33360" t="str">
            <v>GWP - gross</v>
          </cell>
          <cell r="Y33360" t="str">
            <v>AUSTRALIA</v>
          </cell>
        </row>
        <row r="33361">
          <cell r="L33361" t="str">
            <v>Non-proportional</v>
          </cell>
          <cell r="S33361">
            <v>2193.15</v>
          </cell>
          <cell r="X33361" t="str">
            <v>GWP - gross</v>
          </cell>
          <cell r="Y33361" t="str">
            <v>GUATEMALA</v>
          </cell>
        </row>
        <row r="33362">
          <cell r="L33362" t="str">
            <v>Non-proportional</v>
          </cell>
          <cell r="S33362">
            <v>-5498.33</v>
          </cell>
          <cell r="X33362" t="str">
            <v>GWP - gross</v>
          </cell>
          <cell r="Y33362" t="str">
            <v>UNITED KINGDOM</v>
          </cell>
        </row>
        <row r="33363">
          <cell r="L33363" t="str">
            <v>Non-proportional</v>
          </cell>
          <cell r="S33363">
            <v>4714.5</v>
          </cell>
          <cell r="X33363" t="str">
            <v>GWP - gross</v>
          </cell>
          <cell r="Y33363" t="str">
            <v>UNITED KINGDOM</v>
          </cell>
        </row>
        <row r="33364">
          <cell r="L33364" t="str">
            <v>Non-proportional</v>
          </cell>
          <cell r="S33364">
            <v>-38892.04</v>
          </cell>
          <cell r="X33364" t="str">
            <v>GWP - gross</v>
          </cell>
          <cell r="Y33364" t="str">
            <v>DOMINICAN REPUBLIC</v>
          </cell>
        </row>
        <row r="33365">
          <cell r="L33365" t="str">
            <v>Proportional</v>
          </cell>
          <cell r="S33365">
            <v>20097.46</v>
          </cell>
          <cell r="X33365" t="str">
            <v>GWP - gross</v>
          </cell>
          <cell r="Y33365" t="str">
            <v>UNITED STATES</v>
          </cell>
        </row>
        <row r="33366">
          <cell r="L33366" t="str">
            <v>Non-proportional</v>
          </cell>
          <cell r="S33366">
            <v>2526.84</v>
          </cell>
          <cell r="X33366" t="str">
            <v>GWP - gross</v>
          </cell>
          <cell r="Y33366" t="str">
            <v>GUATEMALA</v>
          </cell>
        </row>
        <row r="33367">
          <cell r="L33367" t="str">
            <v>Non-proportional</v>
          </cell>
          <cell r="S33367">
            <v>-329.58</v>
          </cell>
          <cell r="X33367" t="str">
            <v>GWP - gross</v>
          </cell>
          <cell r="Y33367" t="str">
            <v>INDIA</v>
          </cell>
        </row>
        <row r="33368">
          <cell r="L33368" t="str">
            <v>Non-proportional</v>
          </cell>
          <cell r="S33368">
            <v>-67774.289999999994</v>
          </cell>
          <cell r="X33368" t="str">
            <v>GWP - gross</v>
          </cell>
          <cell r="Y33368" t="str">
            <v>PUERTO RICO</v>
          </cell>
        </row>
        <row r="33369">
          <cell r="L33369" t="str">
            <v>Non-proportional</v>
          </cell>
          <cell r="S33369">
            <v>-4466.08</v>
          </cell>
          <cell r="X33369" t="str">
            <v>GWP - gross</v>
          </cell>
          <cell r="Y33369" t="str">
            <v>UNITED KINGDOM</v>
          </cell>
        </row>
        <row r="33370">
          <cell r="L33370" t="str">
            <v>Non-proportional</v>
          </cell>
          <cell r="S33370">
            <v>1383.24</v>
          </cell>
          <cell r="X33370" t="str">
            <v>GWP - gross</v>
          </cell>
          <cell r="Y33370" t="str">
            <v>FRANCE</v>
          </cell>
        </row>
        <row r="33371">
          <cell r="L33371" t="str">
            <v>Non-proportional</v>
          </cell>
          <cell r="S33371">
            <v>-707.7</v>
          </cell>
          <cell r="X33371" t="str">
            <v>GWP - gross</v>
          </cell>
          <cell r="Y33371" t="str">
            <v>INDIA</v>
          </cell>
        </row>
        <row r="33372">
          <cell r="L33372" t="str">
            <v>Proportional</v>
          </cell>
          <cell r="S33372">
            <v>8222.14</v>
          </cell>
          <cell r="X33372" t="str">
            <v>GWP - gross</v>
          </cell>
          <cell r="Y33372" t="str">
            <v>UNITED STATES</v>
          </cell>
        </row>
        <row r="33373">
          <cell r="L33373" t="str">
            <v>Proportional</v>
          </cell>
          <cell r="S33373">
            <v>-62.45</v>
          </cell>
          <cell r="X33373" t="str">
            <v>GWP - gross</v>
          </cell>
          <cell r="Y33373" t="str">
            <v>HONG KONG</v>
          </cell>
        </row>
        <row r="33374">
          <cell r="L33374" t="str">
            <v>Non-proportional</v>
          </cell>
          <cell r="S33374">
            <v>4794.63</v>
          </cell>
          <cell r="X33374" t="str">
            <v>GWP - gross</v>
          </cell>
          <cell r="Y33374" t="str">
            <v>GUATEMALA</v>
          </cell>
        </row>
        <row r="33375">
          <cell r="L33375" t="str">
            <v>Non-proportional</v>
          </cell>
          <cell r="S33375">
            <v>17733.66</v>
          </cell>
          <cell r="X33375" t="str">
            <v>GWP - gross</v>
          </cell>
          <cell r="Y33375" t="str">
            <v>AUSTRALIA</v>
          </cell>
        </row>
        <row r="33376">
          <cell r="L33376" t="str">
            <v>Proportional</v>
          </cell>
          <cell r="S33376">
            <v>5788357.6799999997</v>
          </cell>
          <cell r="X33376" t="str">
            <v>GWP - gross</v>
          </cell>
          <cell r="Y33376" t="str">
            <v>SWITZERLAND</v>
          </cell>
        </row>
        <row r="33377">
          <cell r="L33377" t="str">
            <v>Non-proportional</v>
          </cell>
          <cell r="S33377">
            <v>-18013.72</v>
          </cell>
          <cell r="X33377" t="str">
            <v>GWP - gross</v>
          </cell>
          <cell r="Y33377" t="str">
            <v>ITALY</v>
          </cell>
        </row>
        <row r="33378">
          <cell r="L33378" t="str">
            <v>Non-proportional</v>
          </cell>
          <cell r="S33378">
            <v>29759.93</v>
          </cell>
          <cell r="X33378" t="str">
            <v>GWP - gross</v>
          </cell>
          <cell r="Y33378" t="str">
            <v>FRANCE</v>
          </cell>
        </row>
        <row r="33379">
          <cell r="L33379" t="str">
            <v>Proportional</v>
          </cell>
          <cell r="S33379">
            <v>12.94</v>
          </cell>
          <cell r="X33379" t="str">
            <v>GWP - gross</v>
          </cell>
          <cell r="Y33379" t="str">
            <v>INDIA</v>
          </cell>
        </row>
        <row r="33380">
          <cell r="L33380" t="str">
            <v>Proportional</v>
          </cell>
          <cell r="S33380">
            <v>-9507.36</v>
          </cell>
          <cell r="X33380" t="str">
            <v>GWP - gross</v>
          </cell>
          <cell r="Y33380" t="str">
            <v>INDIA</v>
          </cell>
        </row>
        <row r="33381">
          <cell r="L33381" t="str">
            <v>Proportional</v>
          </cell>
          <cell r="S33381">
            <v>-4198.5600000000004</v>
          </cell>
          <cell r="X33381" t="str">
            <v>GWP - gross</v>
          </cell>
          <cell r="Y33381" t="str">
            <v>PORTUGAL</v>
          </cell>
        </row>
        <row r="33382">
          <cell r="L33382" t="str">
            <v>Non-proportional</v>
          </cell>
          <cell r="S33382">
            <v>33440.910000000003</v>
          </cell>
          <cell r="X33382" t="str">
            <v>GWP - gross</v>
          </cell>
          <cell r="Y33382" t="str">
            <v>DOMINICAN REPUBLIC</v>
          </cell>
        </row>
        <row r="33383">
          <cell r="L33383" t="str">
            <v>Proportional</v>
          </cell>
          <cell r="S33383">
            <v>497683.58</v>
          </cell>
          <cell r="X33383" t="str">
            <v>GWP - gross</v>
          </cell>
          <cell r="Y33383" t="str">
            <v>UNITED STATES</v>
          </cell>
        </row>
        <row r="33384">
          <cell r="L33384" t="str">
            <v>Proportional</v>
          </cell>
          <cell r="S33384">
            <v>58271.94</v>
          </cell>
          <cell r="X33384" t="str">
            <v>GWP - gross</v>
          </cell>
          <cell r="Y33384" t="str">
            <v>SWITZERLAND</v>
          </cell>
        </row>
        <row r="33385">
          <cell r="L33385" t="str">
            <v>Non-proportional</v>
          </cell>
          <cell r="S33385">
            <v>39536.300000000003</v>
          </cell>
          <cell r="X33385" t="str">
            <v>GWP - gross</v>
          </cell>
          <cell r="Y33385" t="str">
            <v>DOMINICAN REPUBLIC</v>
          </cell>
        </row>
        <row r="33386">
          <cell r="L33386" t="str">
            <v>Proportional</v>
          </cell>
          <cell r="S33386">
            <v>-159120000</v>
          </cell>
          <cell r="X33386" t="str">
            <v>GWP - gross</v>
          </cell>
          <cell r="Y33386" t="str">
            <v>ITALY</v>
          </cell>
        </row>
        <row r="33387">
          <cell r="L33387" t="str">
            <v>Non-proportional</v>
          </cell>
          <cell r="S33387">
            <v>-4794.63</v>
          </cell>
          <cell r="X33387" t="str">
            <v>GWP - gross</v>
          </cell>
          <cell r="Y33387" t="str">
            <v>GUATEMALA</v>
          </cell>
        </row>
        <row r="33388">
          <cell r="L33388" t="str">
            <v>Non-proportional</v>
          </cell>
          <cell r="S33388">
            <v>-49030.84</v>
          </cell>
          <cell r="X33388" t="str">
            <v>GWP - gross</v>
          </cell>
          <cell r="Y33388" t="str">
            <v>FRANCE</v>
          </cell>
        </row>
        <row r="33389">
          <cell r="L33389" t="str">
            <v>Non-proportional</v>
          </cell>
          <cell r="S33389">
            <v>23399.61</v>
          </cell>
          <cell r="X33389" t="str">
            <v>GWP - gross</v>
          </cell>
          <cell r="Y33389" t="str">
            <v>ITALY</v>
          </cell>
        </row>
        <row r="33390">
          <cell r="L33390" t="str">
            <v>Non-proportional</v>
          </cell>
          <cell r="S33390">
            <v>-1014.59</v>
          </cell>
          <cell r="X33390" t="str">
            <v>GWP - gross</v>
          </cell>
          <cell r="Y33390" t="str">
            <v>INDIA</v>
          </cell>
        </row>
        <row r="33391">
          <cell r="L33391" t="str">
            <v>Proportional</v>
          </cell>
          <cell r="S33391">
            <v>-643555.56999999995</v>
          </cell>
          <cell r="X33391" t="str">
            <v>GWP - gross</v>
          </cell>
          <cell r="Y33391" t="str">
            <v>UNITED STATES</v>
          </cell>
        </row>
        <row r="33392">
          <cell r="L33392" t="str">
            <v>Non-proportional</v>
          </cell>
          <cell r="S33392">
            <v>-27482.720000000001</v>
          </cell>
          <cell r="X33392" t="str">
            <v>GWP - gross</v>
          </cell>
          <cell r="Y33392" t="str">
            <v>DENMARK</v>
          </cell>
        </row>
        <row r="33393">
          <cell r="L33393" t="str">
            <v>Non-proportional</v>
          </cell>
          <cell r="S33393">
            <v>-27674.5</v>
          </cell>
          <cell r="X33393" t="str">
            <v>GWP - gross</v>
          </cell>
          <cell r="Y33393" t="str">
            <v>PERU</v>
          </cell>
        </row>
        <row r="33394">
          <cell r="L33394" t="str">
            <v>Non-proportional</v>
          </cell>
          <cell r="S33394">
            <v>-2205.9</v>
          </cell>
          <cell r="X33394" t="str">
            <v>GWP - gross</v>
          </cell>
          <cell r="Y33394" t="str">
            <v>AUSTRALIA</v>
          </cell>
        </row>
        <row r="33395">
          <cell r="L33395" t="str">
            <v>Non-proportional</v>
          </cell>
          <cell r="S33395">
            <v>90847.53</v>
          </cell>
          <cell r="X33395" t="str">
            <v>GWP - gross</v>
          </cell>
          <cell r="Y33395" t="str">
            <v>PUERTO RICO</v>
          </cell>
        </row>
        <row r="33396">
          <cell r="L33396" t="str">
            <v>Proportional</v>
          </cell>
          <cell r="S33396">
            <v>-405.46</v>
          </cell>
          <cell r="X33396" t="str">
            <v>GWP - gross</v>
          </cell>
          <cell r="Y33396" t="str">
            <v>Turkey</v>
          </cell>
        </row>
        <row r="33397">
          <cell r="L33397" t="str">
            <v>Proportional</v>
          </cell>
          <cell r="S33397">
            <v>1781801.01</v>
          </cell>
          <cell r="X33397" t="str">
            <v>GWP - gross</v>
          </cell>
          <cell r="Y33397" t="str">
            <v>UNITED STATES</v>
          </cell>
        </row>
        <row r="33398">
          <cell r="L33398" t="str">
            <v>Non-proportional</v>
          </cell>
          <cell r="S33398">
            <v>-112761.22</v>
          </cell>
          <cell r="X33398" t="str">
            <v>GWP - gross</v>
          </cell>
          <cell r="Y33398" t="str">
            <v>AUSTRALIA</v>
          </cell>
        </row>
        <row r="33399">
          <cell r="L33399" t="str">
            <v>Non-proportional</v>
          </cell>
          <cell r="S33399">
            <v>715.25</v>
          </cell>
          <cell r="X33399" t="str">
            <v>GWP - gross</v>
          </cell>
          <cell r="Y33399" t="str">
            <v>GERMANY</v>
          </cell>
        </row>
        <row r="33400">
          <cell r="L33400" t="str">
            <v>Non-proportional</v>
          </cell>
          <cell r="S33400">
            <v>3103.88</v>
          </cell>
          <cell r="X33400" t="str">
            <v>GWP - gross</v>
          </cell>
          <cell r="Y33400" t="str">
            <v>INDIA</v>
          </cell>
        </row>
        <row r="33401">
          <cell r="L33401" t="str">
            <v>Proportional</v>
          </cell>
          <cell r="S33401">
            <v>-363499.4</v>
          </cell>
          <cell r="X33401" t="str">
            <v>GWP - gross</v>
          </cell>
          <cell r="Y33401" t="str">
            <v>HONG KONG</v>
          </cell>
        </row>
        <row r="33402">
          <cell r="L33402" t="str">
            <v>Non-proportional</v>
          </cell>
          <cell r="S33402">
            <v>21283.78</v>
          </cell>
          <cell r="X33402" t="str">
            <v>GWP - gross</v>
          </cell>
          <cell r="Y33402" t="str">
            <v>AUSTRALIA</v>
          </cell>
        </row>
        <row r="33403">
          <cell r="L33403" t="str">
            <v>Proportional</v>
          </cell>
          <cell r="S33403">
            <v>30785.49</v>
          </cell>
          <cell r="X33403" t="str">
            <v>GWP - gross</v>
          </cell>
          <cell r="Y33403" t="str">
            <v>THAILAND</v>
          </cell>
        </row>
        <row r="33404">
          <cell r="L33404" t="str">
            <v>Proportional</v>
          </cell>
          <cell r="S33404">
            <v>12.46</v>
          </cell>
          <cell r="X33404" t="str">
            <v>GWP - gross</v>
          </cell>
          <cell r="Y33404" t="str">
            <v>THAILAND</v>
          </cell>
        </row>
        <row r="33405">
          <cell r="L33405" t="str">
            <v>Non-proportional</v>
          </cell>
          <cell r="S33405">
            <v>866.16</v>
          </cell>
          <cell r="X33405" t="str">
            <v>GWP - gross</v>
          </cell>
          <cell r="Y33405" t="str">
            <v>INDIA</v>
          </cell>
        </row>
        <row r="33406">
          <cell r="L33406" t="str">
            <v>Non-proportional</v>
          </cell>
          <cell r="S33406">
            <v>-51681.05</v>
          </cell>
          <cell r="X33406" t="str">
            <v>GWP - gross</v>
          </cell>
          <cell r="Y33406" t="str">
            <v>INDIA</v>
          </cell>
        </row>
        <row r="33407">
          <cell r="L33407" t="str">
            <v>Non-proportional</v>
          </cell>
          <cell r="S33407">
            <v>2714.98</v>
          </cell>
          <cell r="X33407" t="str">
            <v>GWP - gross</v>
          </cell>
          <cell r="Y33407" t="str">
            <v>INDIA</v>
          </cell>
        </row>
        <row r="33408">
          <cell r="L33408" t="str">
            <v>Proportional</v>
          </cell>
          <cell r="S33408">
            <v>-97097.1</v>
          </cell>
          <cell r="X33408" t="str">
            <v>GWP - gross</v>
          </cell>
          <cell r="Y33408" t="str">
            <v>MEXICO</v>
          </cell>
        </row>
        <row r="33409">
          <cell r="L33409" t="str">
            <v>Proportional</v>
          </cell>
          <cell r="S33409">
            <v>210567.42</v>
          </cell>
          <cell r="X33409" t="str">
            <v>GWP - gross</v>
          </cell>
          <cell r="Y33409" t="str">
            <v>MEXICO</v>
          </cell>
        </row>
        <row r="33410">
          <cell r="L33410" t="str">
            <v>Non-proportional</v>
          </cell>
          <cell r="S33410">
            <v>-384.61</v>
          </cell>
          <cell r="X33410" t="str">
            <v>GWP - gross</v>
          </cell>
          <cell r="Y33410" t="str">
            <v>CHILE</v>
          </cell>
        </row>
        <row r="33411">
          <cell r="L33411" t="str">
            <v>Non-proportional</v>
          </cell>
          <cell r="S33411">
            <v>988.16</v>
          </cell>
          <cell r="X33411" t="str">
            <v>GWP - gross</v>
          </cell>
          <cell r="Y33411" t="str">
            <v>INDIA</v>
          </cell>
        </row>
        <row r="33412">
          <cell r="L33412" t="str">
            <v>Non-proportional</v>
          </cell>
          <cell r="S33412">
            <v>27051.91</v>
          </cell>
          <cell r="X33412" t="str">
            <v>GWP - gross</v>
          </cell>
          <cell r="Y33412" t="str">
            <v>INDIA</v>
          </cell>
        </row>
        <row r="33413">
          <cell r="L33413" t="str">
            <v>Non-proportional</v>
          </cell>
          <cell r="S33413">
            <v>-46041.02</v>
          </cell>
          <cell r="X33413" t="str">
            <v>GWP - gross</v>
          </cell>
          <cell r="Y33413" t="str">
            <v>INDIA</v>
          </cell>
        </row>
        <row r="33414">
          <cell r="L33414" t="str">
            <v>Non-proportional</v>
          </cell>
          <cell r="S33414">
            <v>-32886.76</v>
          </cell>
          <cell r="X33414" t="str">
            <v>GWP - gross</v>
          </cell>
          <cell r="Y33414" t="str">
            <v>DOMINICAN REPUBLIC</v>
          </cell>
        </row>
        <row r="33415">
          <cell r="L33415" t="str">
            <v>Proportional</v>
          </cell>
          <cell r="S33415">
            <v>3144.72</v>
          </cell>
          <cell r="X33415" t="str">
            <v>GWP - gross</v>
          </cell>
          <cell r="Y33415" t="str">
            <v>Thailand</v>
          </cell>
        </row>
        <row r="33416">
          <cell r="L33416" t="str">
            <v>Non-proportional</v>
          </cell>
          <cell r="S33416">
            <v>1402.64</v>
          </cell>
          <cell r="X33416" t="str">
            <v>GWP - gross</v>
          </cell>
          <cell r="Y33416" t="str">
            <v>INDIA</v>
          </cell>
        </row>
        <row r="33417">
          <cell r="L33417" t="str">
            <v>Proportional</v>
          </cell>
          <cell r="S33417">
            <v>232090.19</v>
          </cell>
          <cell r="X33417" t="str">
            <v>GWP - gross</v>
          </cell>
          <cell r="Y33417" t="str">
            <v>ITALY</v>
          </cell>
        </row>
        <row r="33418">
          <cell r="L33418" t="str">
            <v>Non-proportional</v>
          </cell>
          <cell r="S33418">
            <v>2965450.3</v>
          </cell>
          <cell r="X33418" t="str">
            <v>GWP - gross</v>
          </cell>
          <cell r="Y33418" t="str">
            <v>DOMINICAN REPUBLIC</v>
          </cell>
        </row>
        <row r="33419">
          <cell r="L33419" t="str">
            <v>Proportional</v>
          </cell>
          <cell r="S33419">
            <v>-108077.94</v>
          </cell>
          <cell r="X33419" t="str">
            <v>GWP - gross</v>
          </cell>
          <cell r="Y33419" t="str">
            <v>AUSTRALIA</v>
          </cell>
        </row>
        <row r="33420">
          <cell r="L33420" t="str">
            <v>Proportional</v>
          </cell>
          <cell r="S33420">
            <v>-150274.54</v>
          </cell>
          <cell r="X33420" t="str">
            <v>GWP - gross</v>
          </cell>
          <cell r="Y33420" t="str">
            <v>THAILAND</v>
          </cell>
        </row>
        <row r="33421">
          <cell r="L33421" t="str">
            <v>Proportional</v>
          </cell>
          <cell r="S33421">
            <v>-574134.09</v>
          </cell>
          <cell r="X33421" t="str">
            <v>GWP - gross</v>
          </cell>
          <cell r="Y33421" t="str">
            <v>THAILAND</v>
          </cell>
        </row>
        <row r="33422">
          <cell r="L33422" t="str">
            <v>Proportional</v>
          </cell>
          <cell r="S33422">
            <v>-210567.42</v>
          </cell>
          <cell r="X33422" t="str">
            <v>GWP - gross</v>
          </cell>
          <cell r="Y33422" t="str">
            <v>MEXICO</v>
          </cell>
        </row>
        <row r="33423">
          <cell r="L33423" t="str">
            <v>Proportional</v>
          </cell>
          <cell r="S33423">
            <v>-1043937.89</v>
          </cell>
          <cell r="X33423" t="str">
            <v>GWP - gross</v>
          </cell>
          <cell r="Y33423" t="str">
            <v>HONG KONG</v>
          </cell>
        </row>
        <row r="33424">
          <cell r="L33424" t="str">
            <v>Non-proportional</v>
          </cell>
          <cell r="S33424">
            <v>57318.67</v>
          </cell>
          <cell r="X33424" t="str">
            <v>GWP - gross</v>
          </cell>
          <cell r="Y33424" t="str">
            <v>UNITED KINGDOM</v>
          </cell>
        </row>
        <row r="33425">
          <cell r="L33425" t="str">
            <v>Non-proportional</v>
          </cell>
          <cell r="S33425">
            <v>-60198.14</v>
          </cell>
          <cell r="X33425" t="str">
            <v>GWP - gross</v>
          </cell>
          <cell r="Y33425" t="str">
            <v>DOMINICAN REPUBLIC</v>
          </cell>
        </row>
        <row r="33426">
          <cell r="L33426" t="str">
            <v>Non-proportional</v>
          </cell>
          <cell r="S33426">
            <v>3915.99</v>
          </cell>
          <cell r="X33426" t="str">
            <v>GWP - gross</v>
          </cell>
          <cell r="Y33426" t="str">
            <v>CHILE</v>
          </cell>
        </row>
        <row r="33427">
          <cell r="L33427" t="str">
            <v>Proportional</v>
          </cell>
          <cell r="S33427">
            <v>-185541.78</v>
          </cell>
          <cell r="X33427" t="str">
            <v>GWP - gross</v>
          </cell>
          <cell r="Y33427" t="str">
            <v>THAILAND</v>
          </cell>
        </row>
        <row r="33428">
          <cell r="L33428" t="str">
            <v>Non-proportional</v>
          </cell>
          <cell r="S33428">
            <v>28654.53</v>
          </cell>
          <cell r="X33428" t="str">
            <v>GWP - gross</v>
          </cell>
          <cell r="Y33428" t="str">
            <v>DOMINICAN REPUBLIC</v>
          </cell>
        </row>
        <row r="33429">
          <cell r="L33429" t="str">
            <v>Non-proportional</v>
          </cell>
          <cell r="S33429">
            <v>3461.46</v>
          </cell>
          <cell r="X33429" t="str">
            <v>GWP - gross</v>
          </cell>
          <cell r="Y33429" t="str">
            <v>CHILE</v>
          </cell>
        </row>
        <row r="33430">
          <cell r="L33430" t="str">
            <v>Non-proportional</v>
          </cell>
          <cell r="S33430">
            <v>7361.36</v>
          </cell>
          <cell r="X33430" t="str">
            <v>GWP - gross</v>
          </cell>
          <cell r="Y33430" t="str">
            <v>FRANCE</v>
          </cell>
        </row>
        <row r="33431">
          <cell r="L33431" t="str">
            <v>Proportional</v>
          </cell>
          <cell r="S33431">
            <v>2026.41</v>
          </cell>
          <cell r="X33431" t="str">
            <v>GWP - gross</v>
          </cell>
          <cell r="Y33431" t="str">
            <v>THAILAND</v>
          </cell>
        </row>
        <row r="33432">
          <cell r="L33432" t="str">
            <v>Proportional</v>
          </cell>
          <cell r="S33432">
            <v>-92924.160000000003</v>
          </cell>
          <cell r="X33432" t="str">
            <v>GWP - gross</v>
          </cell>
          <cell r="Y33432" t="str">
            <v>FRANCE</v>
          </cell>
        </row>
        <row r="33433">
          <cell r="L33433" t="str">
            <v>Non-proportional</v>
          </cell>
          <cell r="S33433">
            <v>2759.56</v>
          </cell>
          <cell r="X33433" t="str">
            <v>GWP - gross</v>
          </cell>
          <cell r="Y33433" t="str">
            <v>ECUADOR</v>
          </cell>
        </row>
        <row r="33434">
          <cell r="L33434" t="str">
            <v>Non-proportional</v>
          </cell>
          <cell r="S33434">
            <v>-4.18</v>
          </cell>
          <cell r="X33434" t="str">
            <v>GWP - gross</v>
          </cell>
          <cell r="Y33434" t="str">
            <v>GERMANY</v>
          </cell>
        </row>
        <row r="33435">
          <cell r="L33435" t="str">
            <v>Proportional</v>
          </cell>
          <cell r="S33435">
            <v>-232090.19</v>
          </cell>
          <cell r="X33435" t="str">
            <v>GWP - gross</v>
          </cell>
          <cell r="Y33435" t="str">
            <v>ITALY</v>
          </cell>
        </row>
        <row r="33436">
          <cell r="L33436" t="str">
            <v>Proportional</v>
          </cell>
          <cell r="S33436">
            <v>-26412.46</v>
          </cell>
          <cell r="X33436" t="str">
            <v>GWP - gross</v>
          </cell>
          <cell r="Y33436" t="str">
            <v>HONG KONG</v>
          </cell>
        </row>
        <row r="33437">
          <cell r="L33437" t="str">
            <v>Non-proportional</v>
          </cell>
          <cell r="S33437">
            <v>-13808.79</v>
          </cell>
          <cell r="X33437" t="str">
            <v>GWP - gross</v>
          </cell>
          <cell r="Y33437" t="str">
            <v>CZECH REPUBLIC</v>
          </cell>
        </row>
        <row r="33438">
          <cell r="L33438" t="str">
            <v>Non-proportional</v>
          </cell>
          <cell r="S33438">
            <v>2254.62</v>
          </cell>
          <cell r="X33438" t="str">
            <v>GWP - gross</v>
          </cell>
          <cell r="Y33438" t="str">
            <v>THAILAND</v>
          </cell>
        </row>
        <row r="33439">
          <cell r="L33439" t="str">
            <v>Proportional</v>
          </cell>
          <cell r="S33439">
            <v>-5705.41</v>
          </cell>
          <cell r="X33439" t="str">
            <v>GWP - gross</v>
          </cell>
          <cell r="Y33439" t="str">
            <v>Hong Kong</v>
          </cell>
        </row>
        <row r="33440">
          <cell r="L33440" t="str">
            <v>Proportional</v>
          </cell>
          <cell r="S33440">
            <v>108.27</v>
          </cell>
          <cell r="X33440" t="str">
            <v>GWP - gross</v>
          </cell>
          <cell r="Y33440" t="str">
            <v>THAILAND</v>
          </cell>
        </row>
        <row r="33441">
          <cell r="L33441" t="str">
            <v>Non-proportional</v>
          </cell>
          <cell r="S33441">
            <v>4440.46</v>
          </cell>
          <cell r="X33441" t="str">
            <v>GWP - gross</v>
          </cell>
          <cell r="Y33441" t="str">
            <v>CHILE</v>
          </cell>
        </row>
        <row r="33442">
          <cell r="L33442" t="str">
            <v>Proportional</v>
          </cell>
          <cell r="S33442">
            <v>-30128.63</v>
          </cell>
          <cell r="X33442" t="str">
            <v>GWP - gross</v>
          </cell>
          <cell r="Y33442" t="str">
            <v>Hong Kong</v>
          </cell>
        </row>
        <row r="33443">
          <cell r="L33443" t="str">
            <v>Proportional</v>
          </cell>
          <cell r="S33443">
            <v>1188599.29</v>
          </cell>
          <cell r="X33443" t="str">
            <v>GWP - gross</v>
          </cell>
          <cell r="Y33443" t="str">
            <v>JAPAN</v>
          </cell>
        </row>
        <row r="33444">
          <cell r="L33444" t="str">
            <v>Non-proportional</v>
          </cell>
          <cell r="S33444">
            <v>60180.62</v>
          </cell>
          <cell r="X33444" t="str">
            <v>GWP - gross</v>
          </cell>
          <cell r="Y33444" t="str">
            <v>DOMINICAN REPUBLIC</v>
          </cell>
        </row>
        <row r="33445">
          <cell r="L33445" t="str">
            <v>Proportional</v>
          </cell>
          <cell r="S33445">
            <v>97097.1</v>
          </cell>
          <cell r="X33445" t="str">
            <v>GWP - gross</v>
          </cell>
          <cell r="Y33445" t="str">
            <v>MEXICO</v>
          </cell>
        </row>
        <row r="33446">
          <cell r="L33446" t="str">
            <v>Non-proportional</v>
          </cell>
          <cell r="S33446">
            <v>-4959.29</v>
          </cell>
          <cell r="X33446" t="str">
            <v>GWP - gross</v>
          </cell>
          <cell r="Y33446" t="str">
            <v>THAILAND</v>
          </cell>
        </row>
        <row r="33447">
          <cell r="L33447" t="str">
            <v>Non-proportional</v>
          </cell>
          <cell r="S33447">
            <v>-3911.1</v>
          </cell>
          <cell r="X33447" t="str">
            <v>GWP - gross</v>
          </cell>
          <cell r="Y33447" t="str">
            <v>THAILAND</v>
          </cell>
        </row>
        <row r="33448">
          <cell r="L33448" t="str">
            <v>Proportional</v>
          </cell>
          <cell r="S33448">
            <v>805138.68</v>
          </cell>
          <cell r="X33448" t="str">
            <v>GWP - gross</v>
          </cell>
          <cell r="Y33448" t="str">
            <v>HONG KONG</v>
          </cell>
        </row>
        <row r="33449">
          <cell r="L33449" t="str">
            <v>Non-proportional</v>
          </cell>
          <cell r="S33449">
            <v>94000</v>
          </cell>
          <cell r="X33449" t="str">
            <v>GWP - gross</v>
          </cell>
          <cell r="Y33449" t="str">
            <v>TURKEY</v>
          </cell>
        </row>
        <row r="33450">
          <cell r="L33450" t="str">
            <v>Non-proportional</v>
          </cell>
          <cell r="S33450">
            <v>-104835.3</v>
          </cell>
          <cell r="X33450" t="str">
            <v>GWP - gross</v>
          </cell>
          <cell r="Y33450" t="str">
            <v>AUSTRALIA</v>
          </cell>
        </row>
        <row r="33451">
          <cell r="L33451" t="str">
            <v>Non-proportional</v>
          </cell>
          <cell r="S33451">
            <v>-222057.86</v>
          </cell>
          <cell r="X33451" t="str">
            <v>GWP - gross</v>
          </cell>
          <cell r="Y33451" t="str">
            <v>FRANCE</v>
          </cell>
        </row>
        <row r="33452">
          <cell r="L33452" t="str">
            <v>Non-proportional</v>
          </cell>
          <cell r="S33452">
            <v>-27051.91</v>
          </cell>
          <cell r="X33452" t="str">
            <v>GWP - gross</v>
          </cell>
          <cell r="Y33452" t="str">
            <v>INDIA</v>
          </cell>
        </row>
        <row r="33453">
          <cell r="L33453" t="str">
            <v>Proportional</v>
          </cell>
          <cell r="S33453">
            <v>6174478.0499999998</v>
          </cell>
          <cell r="X33453" t="str">
            <v>GWP - gross</v>
          </cell>
          <cell r="Y33453" t="str">
            <v>THAILAND</v>
          </cell>
        </row>
        <row r="33454">
          <cell r="L33454" t="str">
            <v>Proportional</v>
          </cell>
          <cell r="S33454">
            <v>-232090.19</v>
          </cell>
          <cell r="X33454" t="str">
            <v>GWP - gross</v>
          </cell>
          <cell r="Y33454" t="str">
            <v>ITALY</v>
          </cell>
        </row>
        <row r="33455">
          <cell r="L33455" t="str">
            <v>Proportional</v>
          </cell>
          <cell r="S33455">
            <v>-765161.87</v>
          </cell>
          <cell r="X33455" t="str">
            <v>GWP - gross</v>
          </cell>
          <cell r="Y33455" t="str">
            <v>THAILAND</v>
          </cell>
        </row>
        <row r="33456">
          <cell r="L33456" t="str">
            <v>Non-proportional</v>
          </cell>
          <cell r="S33456">
            <v>19306.919999999998</v>
          </cell>
          <cell r="X33456" t="str">
            <v>GWP - gross</v>
          </cell>
          <cell r="Y33456" t="str">
            <v>DOMINICAN REPUBLIC</v>
          </cell>
        </row>
        <row r="33457">
          <cell r="L33457" t="str">
            <v>Non-proportional</v>
          </cell>
          <cell r="S33457">
            <v>-314.68</v>
          </cell>
          <cell r="X33457" t="str">
            <v>GWP - gross</v>
          </cell>
          <cell r="Y33457" t="str">
            <v>CHILE</v>
          </cell>
        </row>
        <row r="33458">
          <cell r="L33458" t="str">
            <v>Proportional</v>
          </cell>
          <cell r="S33458">
            <v>97097.1</v>
          </cell>
          <cell r="X33458" t="str">
            <v>GWP - gross</v>
          </cell>
          <cell r="Y33458" t="str">
            <v>MEXICO</v>
          </cell>
        </row>
        <row r="33459">
          <cell r="L33459" t="str">
            <v>Non-proportional</v>
          </cell>
          <cell r="S33459">
            <v>2797.14</v>
          </cell>
          <cell r="X33459" t="str">
            <v>GWP - gross</v>
          </cell>
          <cell r="Y33459" t="str">
            <v>CHILE</v>
          </cell>
        </row>
        <row r="33460">
          <cell r="L33460" t="str">
            <v>Non-proportional</v>
          </cell>
          <cell r="S33460">
            <v>6612.75</v>
          </cell>
          <cell r="X33460" t="str">
            <v>GWP - gross</v>
          </cell>
          <cell r="Y33460" t="str">
            <v>FRANCE</v>
          </cell>
        </row>
        <row r="33461">
          <cell r="L33461" t="str">
            <v>Non-proportional</v>
          </cell>
          <cell r="S33461">
            <v>5507.67</v>
          </cell>
          <cell r="X33461" t="str">
            <v>GWP - gross</v>
          </cell>
          <cell r="Y33461" t="str">
            <v>THAILAND</v>
          </cell>
        </row>
        <row r="33462">
          <cell r="L33462" t="str">
            <v>Non-proportional</v>
          </cell>
          <cell r="S33462">
            <v>-3461.46</v>
          </cell>
          <cell r="X33462" t="str">
            <v>GWP - gross</v>
          </cell>
          <cell r="Y33462" t="str">
            <v>CHILE</v>
          </cell>
        </row>
        <row r="33463">
          <cell r="L33463" t="str">
            <v>Non-proportional</v>
          </cell>
          <cell r="S33463">
            <v>3998.97</v>
          </cell>
          <cell r="X33463" t="str">
            <v>GWP - gross</v>
          </cell>
          <cell r="Y33463" t="str">
            <v>TURKEY</v>
          </cell>
        </row>
        <row r="33464">
          <cell r="L33464" t="str">
            <v>Proportional</v>
          </cell>
          <cell r="S33464">
            <v>4029.57</v>
          </cell>
          <cell r="X33464" t="str">
            <v>GWP - gross</v>
          </cell>
          <cell r="Y33464" t="str">
            <v>JAPAN</v>
          </cell>
        </row>
        <row r="33465">
          <cell r="L33465" t="str">
            <v>Proportional</v>
          </cell>
          <cell r="S33465">
            <v>2967.39</v>
          </cell>
          <cell r="X33465" t="str">
            <v>GWP - gross</v>
          </cell>
          <cell r="Y33465" t="str">
            <v>AUSTRALIA</v>
          </cell>
        </row>
        <row r="33466">
          <cell r="L33466" t="str">
            <v>Proportional</v>
          </cell>
          <cell r="S33466">
            <v>41727.49</v>
          </cell>
          <cell r="X33466" t="str">
            <v>GWP - gross</v>
          </cell>
          <cell r="Y33466" t="str">
            <v>ITALY</v>
          </cell>
        </row>
        <row r="33467">
          <cell r="L33467" t="str">
            <v>Non-proportional</v>
          </cell>
          <cell r="S33467">
            <v>118609.25</v>
          </cell>
          <cell r="X33467" t="str">
            <v>GWP - gross</v>
          </cell>
          <cell r="Y33467" t="str">
            <v>DOMINICAN REPUBLIC</v>
          </cell>
        </row>
        <row r="33468">
          <cell r="L33468" t="str">
            <v>Non-proportional</v>
          </cell>
          <cell r="S33468">
            <v>7601.35</v>
          </cell>
          <cell r="X33468" t="str">
            <v>GWP - gross</v>
          </cell>
          <cell r="Y33468" t="str">
            <v>AUSTRALIA</v>
          </cell>
        </row>
        <row r="33469">
          <cell r="L33469" t="str">
            <v>Non-proportional</v>
          </cell>
          <cell r="S33469">
            <v>-50675.68</v>
          </cell>
          <cell r="X33469" t="str">
            <v>GWP - gross</v>
          </cell>
          <cell r="Y33469" t="str">
            <v>AUSTRALIA</v>
          </cell>
        </row>
        <row r="33470">
          <cell r="L33470" t="str">
            <v>Non-proportional</v>
          </cell>
          <cell r="S33470">
            <v>8041.78</v>
          </cell>
          <cell r="X33470" t="str">
            <v>GWP - gross</v>
          </cell>
          <cell r="Y33470" t="str">
            <v>CHILE</v>
          </cell>
        </row>
        <row r="33471">
          <cell r="L33471" t="str">
            <v>Non-proportional</v>
          </cell>
          <cell r="S33471">
            <v>1602.45</v>
          </cell>
          <cell r="X33471" t="str">
            <v>GWP - gross</v>
          </cell>
          <cell r="Y33471" t="str">
            <v>THAILAND</v>
          </cell>
        </row>
        <row r="33472">
          <cell r="L33472" t="str">
            <v>Non-proportional</v>
          </cell>
          <cell r="S33472">
            <v>-2797.14</v>
          </cell>
          <cell r="X33472" t="str">
            <v>GWP - gross</v>
          </cell>
          <cell r="Y33472" t="str">
            <v>CHILE</v>
          </cell>
        </row>
        <row r="33473">
          <cell r="L33473" t="str">
            <v>Non-proportional</v>
          </cell>
          <cell r="S33473">
            <v>3413.68</v>
          </cell>
          <cell r="X33473" t="str">
            <v>GWP - gross</v>
          </cell>
          <cell r="Y33473" t="str">
            <v>THAILAND</v>
          </cell>
        </row>
        <row r="33474">
          <cell r="L33474" t="str">
            <v>Non-proportional</v>
          </cell>
          <cell r="S33474">
            <v>-2759.56</v>
          </cell>
          <cell r="X33474" t="str">
            <v>GWP - gross</v>
          </cell>
          <cell r="Y33474" t="str">
            <v>ECUADOR</v>
          </cell>
        </row>
        <row r="33475">
          <cell r="L33475" t="str">
            <v>Proportional</v>
          </cell>
          <cell r="S33475">
            <v>232090.19</v>
          </cell>
          <cell r="X33475" t="str">
            <v>GWP - gross</v>
          </cell>
          <cell r="Y33475" t="str">
            <v>ITALY</v>
          </cell>
        </row>
        <row r="33476">
          <cell r="L33476" t="str">
            <v>Non-proportional</v>
          </cell>
          <cell r="S33476">
            <v>5451.03</v>
          </cell>
          <cell r="X33476" t="str">
            <v>GWP - gross</v>
          </cell>
          <cell r="Y33476" t="str">
            <v>TURKEY</v>
          </cell>
        </row>
        <row r="33477">
          <cell r="L33477" t="str">
            <v>Proportional</v>
          </cell>
          <cell r="S33477">
            <v>-54835.83</v>
          </cell>
          <cell r="X33477" t="str">
            <v>GWP - gross</v>
          </cell>
          <cell r="Y33477" t="str">
            <v>THAILAND</v>
          </cell>
        </row>
        <row r="33478">
          <cell r="L33478" t="str">
            <v>Non-proportional</v>
          </cell>
          <cell r="S33478">
            <v>73665.64</v>
          </cell>
          <cell r="X33478" t="str">
            <v>GWP - gross</v>
          </cell>
          <cell r="Y33478" t="str">
            <v>INDIA</v>
          </cell>
        </row>
        <row r="33479">
          <cell r="L33479" t="str">
            <v>Non-proportional</v>
          </cell>
          <cell r="S33479">
            <v>769.21</v>
          </cell>
          <cell r="X33479" t="str">
            <v>GWP - gross</v>
          </cell>
          <cell r="Y33479" t="str">
            <v>CHILE</v>
          </cell>
        </row>
        <row r="33480">
          <cell r="L33480" t="str">
            <v>Non-proportional</v>
          </cell>
          <cell r="S33480">
            <v>-29957.01</v>
          </cell>
          <cell r="X33480" t="str">
            <v>GWP - gross</v>
          </cell>
          <cell r="Y33480" t="str">
            <v>DOMINICAN REPUBLIC</v>
          </cell>
        </row>
        <row r="33481">
          <cell r="L33481" t="str">
            <v>Non-proportional</v>
          </cell>
          <cell r="S33481">
            <v>-73665.64</v>
          </cell>
          <cell r="X33481" t="str">
            <v>GWP - gross</v>
          </cell>
          <cell r="Y33481" t="str">
            <v>INDIA</v>
          </cell>
        </row>
        <row r="33482">
          <cell r="L33482" t="str">
            <v>Proportional</v>
          </cell>
          <cell r="S33482">
            <v>150274.54</v>
          </cell>
          <cell r="X33482" t="str">
            <v>GWP - gross</v>
          </cell>
          <cell r="Y33482" t="str">
            <v>THAILAND</v>
          </cell>
        </row>
        <row r="33483">
          <cell r="L33483" t="str">
            <v>Proportional</v>
          </cell>
          <cell r="S33483">
            <v>-2104183.6</v>
          </cell>
          <cell r="X33483" t="str">
            <v>GWP - gross</v>
          </cell>
          <cell r="Y33483" t="str">
            <v>HONG KONG</v>
          </cell>
        </row>
        <row r="33484">
          <cell r="L33484" t="str">
            <v>Proportional</v>
          </cell>
          <cell r="S33484">
            <v>-1275.97</v>
          </cell>
          <cell r="X33484" t="str">
            <v>GWP - gross</v>
          </cell>
          <cell r="Y33484" t="str">
            <v>THAILAND</v>
          </cell>
        </row>
        <row r="33485">
          <cell r="L33485" t="str">
            <v>Non-proportional</v>
          </cell>
          <cell r="S33485">
            <v>22015.09</v>
          </cell>
          <cell r="X33485" t="str">
            <v>GWP - gross</v>
          </cell>
          <cell r="Y33485" t="str">
            <v>DOMINICAN REPUBLIC</v>
          </cell>
        </row>
        <row r="33486">
          <cell r="L33486" t="str">
            <v>Non-proportional</v>
          </cell>
          <cell r="S33486">
            <v>12770.27</v>
          </cell>
          <cell r="X33486" t="str">
            <v>GWP - gross</v>
          </cell>
          <cell r="Y33486" t="str">
            <v>AUSTRALIA</v>
          </cell>
        </row>
        <row r="33487">
          <cell r="L33487" t="str">
            <v>Proportional</v>
          </cell>
          <cell r="S33487">
            <v>18340.330000000002</v>
          </cell>
          <cell r="X33487" t="str">
            <v>GWP - gross</v>
          </cell>
          <cell r="Y33487" t="str">
            <v>ITALY</v>
          </cell>
        </row>
        <row r="33488">
          <cell r="L33488" t="str">
            <v>Non-proportional</v>
          </cell>
          <cell r="S33488">
            <v>-21432.93</v>
          </cell>
          <cell r="X33488" t="str">
            <v>GWP - gross</v>
          </cell>
          <cell r="Y33488" t="str">
            <v>UNITED KINGDOM</v>
          </cell>
        </row>
        <row r="33489">
          <cell r="L33489" t="str">
            <v>Non-proportional</v>
          </cell>
          <cell r="S33489">
            <v>8173.34</v>
          </cell>
          <cell r="X33489" t="str">
            <v>GWP - gross</v>
          </cell>
          <cell r="Y33489" t="str">
            <v>INDIA</v>
          </cell>
        </row>
        <row r="33490">
          <cell r="L33490" t="str">
            <v>Non-proportional</v>
          </cell>
          <cell r="S33490">
            <v>1421.08</v>
          </cell>
          <cell r="X33490" t="str">
            <v>GWP - gross</v>
          </cell>
          <cell r="Y33490" t="str">
            <v>INDIA</v>
          </cell>
        </row>
        <row r="33491">
          <cell r="L33491" t="str">
            <v>Proportional</v>
          </cell>
          <cell r="S33491">
            <v>64247575.140000001</v>
          </cell>
          <cell r="X33491" t="str">
            <v>GWP - gross</v>
          </cell>
          <cell r="Y33491" t="str">
            <v>ITALY</v>
          </cell>
        </row>
        <row r="33492">
          <cell r="L33492" t="str">
            <v>Proportional</v>
          </cell>
          <cell r="S33492">
            <v>241.34</v>
          </cell>
          <cell r="X33492" t="str">
            <v>GWP - gross</v>
          </cell>
          <cell r="Y33492" t="str">
            <v>THAILAND</v>
          </cell>
        </row>
        <row r="33493">
          <cell r="L33493" t="str">
            <v>Non-proportional</v>
          </cell>
          <cell r="S33493">
            <v>-9312.18</v>
          </cell>
          <cell r="X33493" t="str">
            <v>GWP - gross</v>
          </cell>
          <cell r="Y33493" t="str">
            <v>TURKEY</v>
          </cell>
        </row>
        <row r="33494">
          <cell r="L33494" t="str">
            <v>Non-proportional</v>
          </cell>
          <cell r="S33494">
            <v>2759.56</v>
          </cell>
          <cell r="X33494" t="str">
            <v>GWP - gross</v>
          </cell>
          <cell r="Y33494" t="str">
            <v>ECUADOR</v>
          </cell>
        </row>
        <row r="33495">
          <cell r="L33495" t="str">
            <v>Proportional</v>
          </cell>
          <cell r="S33495">
            <v>-5631.38</v>
          </cell>
          <cell r="X33495" t="str">
            <v>GWP - gross</v>
          </cell>
          <cell r="Y33495" t="str">
            <v>THAILAND</v>
          </cell>
        </row>
        <row r="33496">
          <cell r="L33496" t="str">
            <v>Non-proportional</v>
          </cell>
          <cell r="S33496">
            <v>-8041.78</v>
          </cell>
          <cell r="X33496" t="str">
            <v>GWP - gross</v>
          </cell>
          <cell r="Y33496" t="str">
            <v>CHILE</v>
          </cell>
        </row>
        <row r="33497">
          <cell r="L33497" t="str">
            <v>Proportional</v>
          </cell>
          <cell r="S33497">
            <v>108077.94</v>
          </cell>
          <cell r="X33497" t="str">
            <v>GWP - gross</v>
          </cell>
          <cell r="Y33497" t="str">
            <v>AUSTRALIA</v>
          </cell>
        </row>
        <row r="33498">
          <cell r="L33498" t="str">
            <v>Non-proportional</v>
          </cell>
          <cell r="S33498">
            <v>90</v>
          </cell>
          <cell r="X33498" t="str">
            <v>GWP - gross</v>
          </cell>
          <cell r="Y33498" t="str">
            <v>FRANCE</v>
          </cell>
        </row>
        <row r="33499">
          <cell r="L33499" t="str">
            <v>Non-proportional</v>
          </cell>
          <cell r="S33499">
            <v>-31051.61</v>
          </cell>
          <cell r="X33499" t="str">
            <v>GWP - gross</v>
          </cell>
          <cell r="Y33499" t="str">
            <v>UNITED KINGDOM</v>
          </cell>
        </row>
        <row r="33500">
          <cell r="L33500" t="str">
            <v>Proportional</v>
          </cell>
          <cell r="S33500">
            <v>-92924.160000000003</v>
          </cell>
          <cell r="X33500" t="str">
            <v>GWP - gross</v>
          </cell>
          <cell r="Y33500" t="str">
            <v>FRANCE</v>
          </cell>
        </row>
        <row r="33501">
          <cell r="L33501" t="str">
            <v>Non-proportional</v>
          </cell>
          <cell r="S33501">
            <v>20066.09</v>
          </cell>
          <cell r="X33501" t="str">
            <v>GWP - gross</v>
          </cell>
          <cell r="Y33501" t="str">
            <v>UNITED KINGDOM</v>
          </cell>
        </row>
        <row r="33502">
          <cell r="L33502" t="str">
            <v>Proportional</v>
          </cell>
          <cell r="S33502">
            <v>37048.32</v>
          </cell>
          <cell r="X33502" t="str">
            <v>GWP - gross</v>
          </cell>
          <cell r="Y33502" t="str">
            <v>THAILAND</v>
          </cell>
        </row>
        <row r="33503">
          <cell r="L33503" t="str">
            <v>Non-proportional</v>
          </cell>
          <cell r="S33503">
            <v>-76543.199999999997</v>
          </cell>
          <cell r="X33503" t="str">
            <v>GWP - gross</v>
          </cell>
          <cell r="Y33503" t="str">
            <v>INDIA</v>
          </cell>
        </row>
        <row r="33504">
          <cell r="L33504" t="str">
            <v>Non-proportional</v>
          </cell>
          <cell r="S33504">
            <v>2031.1</v>
          </cell>
          <cell r="X33504" t="str">
            <v>GWP - gross</v>
          </cell>
          <cell r="Y33504" t="str">
            <v>THAILAND</v>
          </cell>
        </row>
        <row r="33505">
          <cell r="L33505" t="str">
            <v>Proportional</v>
          </cell>
          <cell r="S33505">
            <v>-45.76</v>
          </cell>
          <cell r="X33505" t="str">
            <v>GWP - gross</v>
          </cell>
          <cell r="Y33505" t="str">
            <v>SINGAPORE</v>
          </cell>
        </row>
        <row r="33506">
          <cell r="L33506" t="str">
            <v>Non-proportional</v>
          </cell>
          <cell r="S33506">
            <v>-22015.09</v>
          </cell>
          <cell r="X33506" t="str">
            <v>GWP - gross</v>
          </cell>
          <cell r="Y33506" t="str">
            <v>DOMINICAN REPUBLIC</v>
          </cell>
        </row>
        <row r="33507">
          <cell r="L33507" t="str">
            <v>Proportional</v>
          </cell>
          <cell r="S33507">
            <v>-12396.47</v>
          </cell>
          <cell r="X33507" t="str">
            <v>GWP - gross</v>
          </cell>
          <cell r="Y33507" t="str">
            <v>ITALY</v>
          </cell>
        </row>
        <row r="33508">
          <cell r="L33508" t="str">
            <v>Proportional</v>
          </cell>
          <cell r="S33508">
            <v>-113032.8</v>
          </cell>
          <cell r="X33508" t="str">
            <v>GWP - gross</v>
          </cell>
          <cell r="Y33508" t="str">
            <v>HONG KONG</v>
          </cell>
        </row>
        <row r="33509">
          <cell r="L33509" t="str">
            <v>Proportional</v>
          </cell>
          <cell r="S33509">
            <v>-805138.68</v>
          </cell>
          <cell r="X33509" t="str">
            <v>GWP - gross</v>
          </cell>
          <cell r="Y33509" t="str">
            <v>HONG KONG</v>
          </cell>
        </row>
        <row r="33510">
          <cell r="L33510" t="str">
            <v>Non-proportional</v>
          </cell>
          <cell r="S33510">
            <v>3461.46</v>
          </cell>
          <cell r="X33510" t="str">
            <v>GWP - gross</v>
          </cell>
          <cell r="Y33510" t="str">
            <v>CHILE</v>
          </cell>
        </row>
        <row r="33511">
          <cell r="L33511" t="str">
            <v>Non-proportional</v>
          </cell>
          <cell r="S33511">
            <v>173.95</v>
          </cell>
          <cell r="X33511" t="str">
            <v>GWP - gross</v>
          </cell>
          <cell r="Y33511" t="str">
            <v>INDIA</v>
          </cell>
        </row>
        <row r="33512">
          <cell r="L33512" t="str">
            <v>Non-proportional</v>
          </cell>
          <cell r="S33512">
            <v>3461.46</v>
          </cell>
          <cell r="X33512" t="str">
            <v>GWP - gross</v>
          </cell>
          <cell r="Y33512" t="str">
            <v>CHILE</v>
          </cell>
        </row>
        <row r="33513">
          <cell r="L33513" t="str">
            <v>Proportional</v>
          </cell>
          <cell r="S33513">
            <v>977.52</v>
          </cell>
          <cell r="X33513" t="str">
            <v>GWP - gross</v>
          </cell>
          <cell r="Y33513" t="str">
            <v>THAILAND</v>
          </cell>
        </row>
        <row r="33514">
          <cell r="L33514" t="str">
            <v>Non-proportional</v>
          </cell>
          <cell r="S33514">
            <v>-8336.08</v>
          </cell>
          <cell r="X33514" t="str">
            <v>GWP - gross</v>
          </cell>
          <cell r="Y33514" t="str">
            <v>THAILAND</v>
          </cell>
        </row>
        <row r="33515">
          <cell r="L33515" t="str">
            <v>Non-proportional</v>
          </cell>
          <cell r="S33515">
            <v>16012.72</v>
          </cell>
          <cell r="X33515" t="str">
            <v>GWP - gross</v>
          </cell>
          <cell r="Y33515" t="str">
            <v>FRANCE</v>
          </cell>
        </row>
        <row r="33516">
          <cell r="L33516" t="str">
            <v>Non-proportional</v>
          </cell>
          <cell r="S33516">
            <v>27051.91</v>
          </cell>
          <cell r="X33516" t="str">
            <v>GWP - gross</v>
          </cell>
          <cell r="Y33516" t="str">
            <v>INDIA</v>
          </cell>
        </row>
        <row r="33517">
          <cell r="L33517" t="str">
            <v>Proportional</v>
          </cell>
          <cell r="S33517">
            <v>2980503.67</v>
          </cell>
          <cell r="X33517" t="str">
            <v>GWP - gross</v>
          </cell>
          <cell r="Y33517" t="str">
            <v>HONG KONG</v>
          </cell>
        </row>
        <row r="33518">
          <cell r="L33518" t="str">
            <v>Proportional</v>
          </cell>
          <cell r="S33518">
            <v>-2967.39</v>
          </cell>
          <cell r="X33518" t="str">
            <v>GWP - gross</v>
          </cell>
          <cell r="Y33518" t="str">
            <v>AUSTRALIA</v>
          </cell>
        </row>
        <row r="33519">
          <cell r="L33519" t="str">
            <v>Proportional</v>
          </cell>
          <cell r="S33519">
            <v>-304586.68</v>
          </cell>
          <cell r="X33519" t="str">
            <v>GWP - gross</v>
          </cell>
          <cell r="Y33519" t="str">
            <v>JAPAN</v>
          </cell>
        </row>
        <row r="33520">
          <cell r="L33520" t="str">
            <v>Non-proportional</v>
          </cell>
          <cell r="S33520">
            <v>910.72</v>
          </cell>
          <cell r="X33520" t="str">
            <v>GWP - gross</v>
          </cell>
          <cell r="Y33520" t="str">
            <v>INDIA</v>
          </cell>
        </row>
        <row r="33521">
          <cell r="L33521" t="str">
            <v>Non-proportional</v>
          </cell>
          <cell r="S33521">
            <v>2318.13</v>
          </cell>
          <cell r="X33521" t="str">
            <v>GWP - gross</v>
          </cell>
          <cell r="Y33521" t="str">
            <v>THAILAND</v>
          </cell>
        </row>
        <row r="33522">
          <cell r="L33522" t="str">
            <v>Proportional</v>
          </cell>
          <cell r="S33522">
            <v>-2980683.35</v>
          </cell>
          <cell r="X33522" t="str">
            <v>GWP - gross</v>
          </cell>
          <cell r="Y33522" t="str">
            <v>HONG KONG</v>
          </cell>
        </row>
        <row r="33523">
          <cell r="L33523" t="str">
            <v>Proportional</v>
          </cell>
          <cell r="S33523">
            <v>-3813.06</v>
          </cell>
          <cell r="X33523" t="str">
            <v>GWP - gross</v>
          </cell>
          <cell r="Y33523" t="str">
            <v>UNITED STATES</v>
          </cell>
        </row>
        <row r="33524">
          <cell r="L33524" t="str">
            <v>Proportional</v>
          </cell>
          <cell r="S33524">
            <v>92924.160000000003</v>
          </cell>
          <cell r="X33524" t="str">
            <v>GWP - gross</v>
          </cell>
          <cell r="Y33524" t="str">
            <v>FRANCE</v>
          </cell>
        </row>
        <row r="33525">
          <cell r="L33525" t="str">
            <v>Non-proportional</v>
          </cell>
          <cell r="S33525">
            <v>7787.19</v>
          </cell>
          <cell r="X33525" t="str">
            <v>GWP - gross</v>
          </cell>
          <cell r="Y33525" t="str">
            <v>TURKEY</v>
          </cell>
        </row>
        <row r="33526">
          <cell r="L33526" t="str">
            <v>Non-proportional</v>
          </cell>
          <cell r="S33526">
            <v>-3543.81</v>
          </cell>
          <cell r="X33526" t="str">
            <v>GWP - gross</v>
          </cell>
          <cell r="Y33526" t="str">
            <v>DOMINICAN REPUBLIC</v>
          </cell>
        </row>
        <row r="33527">
          <cell r="L33527" t="str">
            <v>Non-proportional</v>
          </cell>
          <cell r="S33527">
            <v>7167.67</v>
          </cell>
          <cell r="X33527" t="str">
            <v>GWP - gross</v>
          </cell>
          <cell r="Y33527" t="str">
            <v>CHILE</v>
          </cell>
        </row>
        <row r="33528">
          <cell r="L33528" t="str">
            <v>Proportional</v>
          </cell>
          <cell r="S33528">
            <v>20773.38</v>
          </cell>
          <cell r="X33528" t="str">
            <v>GWP - gross</v>
          </cell>
          <cell r="Y33528" t="str">
            <v>THAILAND</v>
          </cell>
        </row>
        <row r="33529">
          <cell r="L33529" t="str">
            <v>Non-proportional</v>
          </cell>
          <cell r="S33529">
            <v>1468.5</v>
          </cell>
          <cell r="X33529" t="str">
            <v>GWP - gross</v>
          </cell>
          <cell r="Y33529" t="str">
            <v>CHILE</v>
          </cell>
        </row>
        <row r="33530">
          <cell r="L33530" t="str">
            <v>Non-proportional</v>
          </cell>
          <cell r="S33530">
            <v>9312.18</v>
          </cell>
          <cell r="X33530" t="str">
            <v>GWP - gross</v>
          </cell>
          <cell r="Y33530" t="str">
            <v>TURKEY</v>
          </cell>
        </row>
        <row r="33531">
          <cell r="L33531" t="str">
            <v>Non-proportional</v>
          </cell>
          <cell r="S33531">
            <v>303.01</v>
          </cell>
          <cell r="X33531" t="str">
            <v>GWP - gross</v>
          </cell>
          <cell r="Y33531" t="str">
            <v>INDIA</v>
          </cell>
        </row>
        <row r="33532">
          <cell r="L33532" t="str">
            <v>Non-proportional</v>
          </cell>
          <cell r="S33532">
            <v>-5960</v>
          </cell>
          <cell r="X33532" t="str">
            <v>GWP - gross</v>
          </cell>
          <cell r="Y33532" t="str">
            <v>DOMINICAN REPUBLIC</v>
          </cell>
        </row>
        <row r="33533">
          <cell r="L33533" t="str">
            <v>Proportional</v>
          </cell>
          <cell r="S33533">
            <v>-13.14</v>
          </cell>
          <cell r="X33533" t="str">
            <v>GWP - gross</v>
          </cell>
          <cell r="Y33533" t="str">
            <v>Malaysia</v>
          </cell>
        </row>
        <row r="33534">
          <cell r="L33534" t="str">
            <v>Proportional</v>
          </cell>
          <cell r="S33534">
            <v>-40679.06</v>
          </cell>
          <cell r="X33534" t="str">
            <v>GWP - gross</v>
          </cell>
          <cell r="Y33534" t="str">
            <v>ITALY</v>
          </cell>
        </row>
        <row r="33535">
          <cell r="L33535" t="str">
            <v>Non-proportional</v>
          </cell>
          <cell r="S33535">
            <v>7901.92</v>
          </cell>
          <cell r="X33535" t="str">
            <v>GWP - gross</v>
          </cell>
          <cell r="Y33535" t="str">
            <v>CHILE</v>
          </cell>
        </row>
        <row r="33536">
          <cell r="L33536" t="str">
            <v>Proportional</v>
          </cell>
          <cell r="S33536">
            <v>0.18</v>
          </cell>
          <cell r="X33536" t="str">
            <v>GWP - gross</v>
          </cell>
          <cell r="Y33536" t="str">
            <v>Thailand</v>
          </cell>
        </row>
        <row r="33537">
          <cell r="L33537" t="str">
            <v>Proportional</v>
          </cell>
          <cell r="S33537">
            <v>-206.02</v>
          </cell>
          <cell r="X33537" t="str">
            <v>GWP - gross</v>
          </cell>
          <cell r="Y33537" t="str">
            <v>THAILAND</v>
          </cell>
        </row>
        <row r="33538">
          <cell r="L33538" t="str">
            <v>Non-proportional</v>
          </cell>
          <cell r="S33538">
            <v>56285.15</v>
          </cell>
          <cell r="X33538" t="str">
            <v>GWP - gross</v>
          </cell>
          <cell r="Y33538" t="str">
            <v>INDIA</v>
          </cell>
        </row>
        <row r="33539">
          <cell r="L33539" t="str">
            <v>Proportional</v>
          </cell>
          <cell r="S33539">
            <v>23.16</v>
          </cell>
          <cell r="X33539" t="str">
            <v>GWP - gross</v>
          </cell>
          <cell r="Y33539" t="str">
            <v>THAILAND</v>
          </cell>
        </row>
        <row r="33540">
          <cell r="L33540" t="str">
            <v>Non-proportional</v>
          </cell>
          <cell r="S33540">
            <v>1503.46</v>
          </cell>
          <cell r="X33540" t="str">
            <v>GWP - gross</v>
          </cell>
          <cell r="Y33540" t="str">
            <v>CHILE</v>
          </cell>
        </row>
        <row r="33541">
          <cell r="L33541" t="str">
            <v>Non-proportional</v>
          </cell>
          <cell r="S33541">
            <v>-9419.7099999999991</v>
          </cell>
          <cell r="X33541" t="str">
            <v>GWP - gross</v>
          </cell>
          <cell r="Y33541" t="str">
            <v>DOMINICAN REPUBLIC</v>
          </cell>
        </row>
        <row r="33542">
          <cell r="L33542" t="str">
            <v>Non-proportional</v>
          </cell>
          <cell r="S33542">
            <v>3103.88</v>
          </cell>
          <cell r="X33542" t="str">
            <v>GWP - gross</v>
          </cell>
          <cell r="Y33542" t="str">
            <v>INDIA</v>
          </cell>
        </row>
        <row r="33543">
          <cell r="L33543" t="str">
            <v>Proportional</v>
          </cell>
          <cell r="S33543">
            <v>47809.57</v>
          </cell>
          <cell r="X33543" t="str">
            <v>GWP - gross</v>
          </cell>
          <cell r="Y33543" t="str">
            <v>HONG KONG</v>
          </cell>
        </row>
        <row r="33544">
          <cell r="L33544" t="str">
            <v>Proportional</v>
          </cell>
          <cell r="S33544">
            <v>1068.1500000000001</v>
          </cell>
          <cell r="X33544" t="str">
            <v>GWP - gross</v>
          </cell>
          <cell r="Y33544" t="str">
            <v>Thailand</v>
          </cell>
        </row>
        <row r="33545">
          <cell r="L33545" t="str">
            <v>Proportional</v>
          </cell>
          <cell r="S33545">
            <v>-4667.43</v>
          </cell>
          <cell r="X33545" t="str">
            <v>GWP - gross</v>
          </cell>
          <cell r="Y33545" t="str">
            <v>THAILAND</v>
          </cell>
        </row>
        <row r="33546">
          <cell r="L33546" t="str">
            <v>Proportional</v>
          </cell>
          <cell r="S33546">
            <v>-64247575.140000001</v>
          </cell>
          <cell r="X33546" t="str">
            <v>GWP - gross</v>
          </cell>
          <cell r="Y33546" t="str">
            <v>ITALY</v>
          </cell>
        </row>
        <row r="33547">
          <cell r="L33547" t="str">
            <v>Non-proportional</v>
          </cell>
          <cell r="S33547">
            <v>-19306.919999999998</v>
          </cell>
          <cell r="X33547" t="str">
            <v>GWP - gross</v>
          </cell>
          <cell r="Y33547" t="str">
            <v>DOMINICAN REPUBLIC</v>
          </cell>
        </row>
        <row r="33548">
          <cell r="L33548" t="str">
            <v>Proportional</v>
          </cell>
          <cell r="S33548">
            <v>-18340.330000000002</v>
          </cell>
          <cell r="X33548" t="str">
            <v>GWP - gross</v>
          </cell>
          <cell r="Y33548" t="str">
            <v>ITALY</v>
          </cell>
        </row>
        <row r="33549">
          <cell r="L33549" t="str">
            <v>Proportional</v>
          </cell>
          <cell r="S33549">
            <v>86.62</v>
          </cell>
          <cell r="X33549" t="str">
            <v>GWP - gross</v>
          </cell>
          <cell r="Y33549" t="str">
            <v>Thailand</v>
          </cell>
        </row>
        <row r="33550">
          <cell r="L33550" t="str">
            <v>Proportional</v>
          </cell>
          <cell r="S33550">
            <v>1408.02</v>
          </cell>
          <cell r="X33550" t="str">
            <v>GWP - gross</v>
          </cell>
          <cell r="Y33550" t="str">
            <v>THAILAND</v>
          </cell>
        </row>
        <row r="33551">
          <cell r="L33551" t="str">
            <v>Proportional</v>
          </cell>
          <cell r="S33551">
            <v>-27.87</v>
          </cell>
          <cell r="X33551" t="str">
            <v>GWP - gross</v>
          </cell>
          <cell r="Y33551" t="str">
            <v>THAILAND</v>
          </cell>
        </row>
        <row r="33552">
          <cell r="L33552" t="str">
            <v>Non-proportional</v>
          </cell>
          <cell r="S33552">
            <v>-34206.080000000002</v>
          </cell>
          <cell r="X33552" t="str">
            <v>GWP - gross</v>
          </cell>
          <cell r="Y33552" t="str">
            <v>AUSTRALIA</v>
          </cell>
        </row>
        <row r="33553">
          <cell r="L33553" t="str">
            <v>Non-proportional</v>
          </cell>
          <cell r="S33553">
            <v>3543.81</v>
          </cell>
          <cell r="X33553" t="str">
            <v>GWP - gross</v>
          </cell>
          <cell r="Y33553" t="str">
            <v>DOMINICAN REPUBLIC</v>
          </cell>
        </row>
        <row r="33554">
          <cell r="L33554" t="str">
            <v>Non-proportional</v>
          </cell>
          <cell r="S33554">
            <v>15944</v>
          </cell>
          <cell r="X33554" t="str">
            <v>GWP - gross</v>
          </cell>
          <cell r="Y33554" t="str">
            <v>UNITED KINGDOM</v>
          </cell>
        </row>
        <row r="33555">
          <cell r="L33555" t="str">
            <v>Non-proportional</v>
          </cell>
          <cell r="S33555">
            <v>7890.56</v>
          </cell>
          <cell r="X33555" t="str">
            <v>GWP - gross</v>
          </cell>
          <cell r="Y33555" t="str">
            <v>INDIA</v>
          </cell>
        </row>
        <row r="33556">
          <cell r="L33556" t="str">
            <v>Non-proportional</v>
          </cell>
          <cell r="S33556">
            <v>6222.03</v>
          </cell>
          <cell r="X33556" t="str">
            <v>GWP - gross</v>
          </cell>
          <cell r="Y33556" t="str">
            <v>UNITED KINGDOM</v>
          </cell>
        </row>
        <row r="33557">
          <cell r="L33557" t="str">
            <v>Non-proportional</v>
          </cell>
          <cell r="S33557">
            <v>6831.57</v>
          </cell>
          <cell r="X33557" t="str">
            <v>GWP - gross</v>
          </cell>
          <cell r="Y33557" t="str">
            <v>TURKEY</v>
          </cell>
        </row>
        <row r="33558">
          <cell r="L33558" t="str">
            <v>Non-proportional</v>
          </cell>
          <cell r="S33558">
            <v>-7601.35</v>
          </cell>
          <cell r="X33558" t="str">
            <v>GWP - gross</v>
          </cell>
          <cell r="Y33558" t="str">
            <v>AUSTRALIA</v>
          </cell>
        </row>
        <row r="33559">
          <cell r="L33559" t="str">
            <v>Non-proportional</v>
          </cell>
          <cell r="S33559">
            <v>-3461.46</v>
          </cell>
          <cell r="X33559" t="str">
            <v>GWP - gross</v>
          </cell>
          <cell r="Y33559" t="str">
            <v>CHILE</v>
          </cell>
        </row>
        <row r="33560">
          <cell r="L33560" t="str">
            <v>Proportional</v>
          </cell>
          <cell r="S33560">
            <v>42587.63</v>
          </cell>
          <cell r="X33560" t="str">
            <v>GWP - gross</v>
          </cell>
          <cell r="Y33560" t="str">
            <v>THAILAND</v>
          </cell>
        </row>
        <row r="33561">
          <cell r="L33561" t="str">
            <v>Proportional</v>
          </cell>
          <cell r="S33561">
            <v>-256820.51</v>
          </cell>
          <cell r="X33561" t="str">
            <v>GWP - gross</v>
          </cell>
          <cell r="Y33561" t="str">
            <v>THAILAND</v>
          </cell>
        </row>
        <row r="33562">
          <cell r="L33562" t="str">
            <v>Proportional</v>
          </cell>
          <cell r="S33562">
            <v>-97097.1</v>
          </cell>
          <cell r="X33562" t="str">
            <v>GWP - gross</v>
          </cell>
          <cell r="Y33562" t="str">
            <v>MEXICO</v>
          </cell>
        </row>
        <row r="33563">
          <cell r="L33563" t="str">
            <v>Non-proportional</v>
          </cell>
          <cell r="S33563">
            <v>9419.7099999999991</v>
          </cell>
          <cell r="X33563" t="str">
            <v>GWP - gross</v>
          </cell>
          <cell r="Y33563" t="str">
            <v>DOMINICAN REPUBLIC</v>
          </cell>
        </row>
        <row r="33564">
          <cell r="L33564" t="str">
            <v>Proportional</v>
          </cell>
          <cell r="S33564">
            <v>-8.6300000000000008</v>
          </cell>
          <cell r="X33564" t="str">
            <v>GWP - gross</v>
          </cell>
          <cell r="Y33564" t="str">
            <v>Thailand</v>
          </cell>
        </row>
        <row r="33565">
          <cell r="L33565" t="str">
            <v>Proportional</v>
          </cell>
          <cell r="S33565">
            <v>12715.97</v>
          </cell>
          <cell r="X33565" t="str">
            <v>GWP - gross</v>
          </cell>
          <cell r="Y33565" t="str">
            <v>ITALY</v>
          </cell>
        </row>
        <row r="33566">
          <cell r="L33566" t="str">
            <v>Non-proportional</v>
          </cell>
          <cell r="S33566">
            <v>-28654.53</v>
          </cell>
          <cell r="X33566" t="str">
            <v>GWP - gross</v>
          </cell>
          <cell r="Y33566" t="str">
            <v>DOMINICAN REPUBLIC</v>
          </cell>
        </row>
        <row r="33567">
          <cell r="L33567" t="str">
            <v>Proportional</v>
          </cell>
          <cell r="S33567">
            <v>-232090.19</v>
          </cell>
          <cell r="X33567" t="str">
            <v>GWP - gross</v>
          </cell>
          <cell r="Y33567" t="str">
            <v>ITALY</v>
          </cell>
        </row>
        <row r="33568">
          <cell r="L33568" t="str">
            <v>Proportional</v>
          </cell>
          <cell r="S33568">
            <v>5317.11</v>
          </cell>
          <cell r="X33568" t="str">
            <v>GWP - gross</v>
          </cell>
          <cell r="Y33568" t="str">
            <v>THAILAND</v>
          </cell>
        </row>
        <row r="33569">
          <cell r="L33569" t="str">
            <v>Non-proportional</v>
          </cell>
          <cell r="S33569">
            <v>-7901.92</v>
          </cell>
          <cell r="X33569" t="str">
            <v>GWP - gross</v>
          </cell>
          <cell r="Y33569" t="str">
            <v>CHILE</v>
          </cell>
        </row>
        <row r="33570">
          <cell r="L33570" t="str">
            <v>Non-proportional</v>
          </cell>
          <cell r="S33570">
            <v>-16922.689999999999</v>
          </cell>
          <cell r="X33570" t="str">
            <v>GWP - gross</v>
          </cell>
          <cell r="Y33570" t="str">
            <v>CHILE</v>
          </cell>
        </row>
        <row r="33571">
          <cell r="L33571" t="str">
            <v>Non-proportional</v>
          </cell>
          <cell r="S33571">
            <v>374.51</v>
          </cell>
          <cell r="X33571" t="str">
            <v>GWP - gross</v>
          </cell>
          <cell r="Y33571" t="str">
            <v>INDIA</v>
          </cell>
        </row>
        <row r="33572">
          <cell r="L33572" t="str">
            <v>Non-proportional</v>
          </cell>
          <cell r="S33572">
            <v>191.93</v>
          </cell>
          <cell r="X33572" t="str">
            <v>GWP - gross</v>
          </cell>
          <cell r="Y33572" t="str">
            <v>INDIA</v>
          </cell>
        </row>
        <row r="33573">
          <cell r="L33573" t="str">
            <v>Proportional</v>
          </cell>
          <cell r="S33573">
            <v>-37048.32</v>
          </cell>
          <cell r="X33573" t="str">
            <v>GWP - gross</v>
          </cell>
          <cell r="Y33573" t="str">
            <v>THAILAND</v>
          </cell>
        </row>
        <row r="33574">
          <cell r="L33574" t="str">
            <v>Non-proportional</v>
          </cell>
          <cell r="S33574">
            <v>373.8</v>
          </cell>
          <cell r="X33574" t="str">
            <v>GWP - gross</v>
          </cell>
          <cell r="Y33574" t="str">
            <v>INDIA</v>
          </cell>
        </row>
        <row r="33575">
          <cell r="L33575" t="str">
            <v>Non-proportional</v>
          </cell>
          <cell r="S33575">
            <v>-242318</v>
          </cell>
          <cell r="X33575" t="str">
            <v>GWP - gross</v>
          </cell>
          <cell r="Y33575" t="str">
            <v>FRANCE</v>
          </cell>
        </row>
        <row r="33576">
          <cell r="L33576" t="str">
            <v>Non-proportional</v>
          </cell>
          <cell r="S33576">
            <v>29957.01</v>
          </cell>
          <cell r="X33576" t="str">
            <v>GWP - gross</v>
          </cell>
          <cell r="Y33576" t="str">
            <v>DOMINICAN REPUBLIC</v>
          </cell>
        </row>
        <row r="33577">
          <cell r="L33577" t="str">
            <v>Non-proportional</v>
          </cell>
          <cell r="S33577">
            <v>-112561.33</v>
          </cell>
          <cell r="X33577" t="str">
            <v>GWP - gross</v>
          </cell>
          <cell r="Y33577" t="str">
            <v>INDIA</v>
          </cell>
        </row>
        <row r="33578">
          <cell r="L33578" t="str">
            <v>Proportional</v>
          </cell>
          <cell r="S33578">
            <v>-20773.38</v>
          </cell>
          <cell r="X33578" t="str">
            <v>GWP - gross</v>
          </cell>
          <cell r="Y33578" t="str">
            <v>THAILAND</v>
          </cell>
        </row>
        <row r="33579">
          <cell r="L33579" t="str">
            <v>Proportional</v>
          </cell>
          <cell r="S33579">
            <v>-138.61000000000001</v>
          </cell>
          <cell r="X33579" t="str">
            <v>GWP - gross</v>
          </cell>
          <cell r="Y33579" t="str">
            <v>Thailand</v>
          </cell>
        </row>
        <row r="33580">
          <cell r="L33580" t="str">
            <v>Non-proportional</v>
          </cell>
          <cell r="S33580">
            <v>2452.86</v>
          </cell>
          <cell r="X33580" t="str">
            <v>GWP - gross</v>
          </cell>
          <cell r="Y33580" t="str">
            <v>INDIA</v>
          </cell>
        </row>
        <row r="33581">
          <cell r="L33581" t="str">
            <v>Proportional</v>
          </cell>
          <cell r="S33581">
            <v>-6345.44</v>
          </cell>
          <cell r="X33581" t="str">
            <v>GWP - gross</v>
          </cell>
          <cell r="Y33581" t="str">
            <v>JAPAN</v>
          </cell>
        </row>
        <row r="33582">
          <cell r="L33582" t="str">
            <v>Non-proportional</v>
          </cell>
          <cell r="S33582">
            <v>23099.360000000001</v>
          </cell>
          <cell r="X33582" t="str">
            <v>GWP - gross</v>
          </cell>
          <cell r="Y33582" t="str">
            <v>UNITED KINGDOM</v>
          </cell>
        </row>
        <row r="33583">
          <cell r="L33583" t="str">
            <v>Proportional</v>
          </cell>
          <cell r="S33583">
            <v>-1005.55</v>
          </cell>
          <cell r="X33583" t="str">
            <v>GWP - gross</v>
          </cell>
          <cell r="Y33583" t="str">
            <v>Hong Kong</v>
          </cell>
        </row>
        <row r="33584">
          <cell r="L33584" t="str">
            <v>Non-proportional</v>
          </cell>
          <cell r="S33584">
            <v>50675.68</v>
          </cell>
          <cell r="X33584" t="str">
            <v>GWP - gross</v>
          </cell>
          <cell r="Y33584" t="str">
            <v>AUSTRALIA</v>
          </cell>
        </row>
        <row r="33585">
          <cell r="L33585" t="str">
            <v>Non-proportional</v>
          </cell>
          <cell r="S33585">
            <v>173306.88</v>
          </cell>
          <cell r="X33585" t="str">
            <v>GWP - gross</v>
          </cell>
          <cell r="Y33585" t="str">
            <v>FRANCE</v>
          </cell>
        </row>
        <row r="33586">
          <cell r="L33586" t="str">
            <v>Non-proportional</v>
          </cell>
          <cell r="S33586">
            <v>5656.83</v>
          </cell>
          <cell r="X33586" t="str">
            <v>GWP - gross</v>
          </cell>
          <cell r="Y33586" t="str">
            <v>THAILAND</v>
          </cell>
        </row>
        <row r="33587">
          <cell r="L33587" t="str">
            <v>Proportional</v>
          </cell>
          <cell r="S33587">
            <v>-890.87</v>
          </cell>
          <cell r="X33587" t="str">
            <v>GWP - gross</v>
          </cell>
          <cell r="Y33587" t="str">
            <v>Thailand</v>
          </cell>
        </row>
        <row r="33588">
          <cell r="L33588" t="str">
            <v>Non-proportional</v>
          </cell>
          <cell r="S33588">
            <v>180.28</v>
          </cell>
          <cell r="X33588" t="str">
            <v>GWP - gross</v>
          </cell>
          <cell r="Y33588" t="str">
            <v>INDIA</v>
          </cell>
        </row>
        <row r="33589">
          <cell r="L33589" t="str">
            <v>Proportional</v>
          </cell>
          <cell r="S33589">
            <v>574134.09</v>
          </cell>
          <cell r="X33589" t="str">
            <v>GWP - gross</v>
          </cell>
          <cell r="Y33589" t="str">
            <v>THAILAND</v>
          </cell>
        </row>
        <row r="33590">
          <cell r="L33590" t="str">
            <v>Non-proportional</v>
          </cell>
          <cell r="S33590">
            <v>104835.3</v>
          </cell>
          <cell r="X33590" t="str">
            <v>GWP - gross</v>
          </cell>
          <cell r="Y33590" t="str">
            <v>AUSTRALIA</v>
          </cell>
        </row>
        <row r="33591">
          <cell r="L33591" t="str">
            <v>Proportional</v>
          </cell>
          <cell r="S33591">
            <v>38.299999999999997</v>
          </cell>
          <cell r="X33591" t="str">
            <v>GWP - gross</v>
          </cell>
          <cell r="Y33591" t="str">
            <v>Thailand</v>
          </cell>
        </row>
        <row r="33592">
          <cell r="L33592" t="str">
            <v>Proportional</v>
          </cell>
          <cell r="S33592">
            <v>363499.4</v>
          </cell>
          <cell r="X33592" t="str">
            <v>GWP - gross</v>
          </cell>
          <cell r="Y33592" t="str">
            <v>HONG KONG</v>
          </cell>
        </row>
        <row r="33593">
          <cell r="L33593" t="str">
            <v>Proportional</v>
          </cell>
          <cell r="S33593">
            <v>232090.19</v>
          </cell>
          <cell r="X33593" t="str">
            <v>GWP - gross</v>
          </cell>
          <cell r="Y33593" t="str">
            <v>ITALY</v>
          </cell>
        </row>
        <row r="33594">
          <cell r="L33594" t="str">
            <v>Non-proportional</v>
          </cell>
          <cell r="S33594">
            <v>242318</v>
          </cell>
          <cell r="X33594" t="str">
            <v>GWP - gross</v>
          </cell>
          <cell r="Y33594" t="str">
            <v>FRANCE</v>
          </cell>
        </row>
        <row r="33595">
          <cell r="L33595" t="str">
            <v>Non-proportional</v>
          </cell>
          <cell r="S33595">
            <v>-56285.15</v>
          </cell>
          <cell r="X33595" t="str">
            <v>GWP - gross</v>
          </cell>
          <cell r="Y33595" t="str">
            <v>INDIA</v>
          </cell>
        </row>
        <row r="33596">
          <cell r="L33596" t="str">
            <v>Proportional</v>
          </cell>
          <cell r="S33596">
            <v>-624.66</v>
          </cell>
          <cell r="X33596" t="str">
            <v>GWP - gross</v>
          </cell>
          <cell r="Y33596" t="str">
            <v>THAILAND</v>
          </cell>
        </row>
        <row r="33597">
          <cell r="L33597" t="str">
            <v>Proportional</v>
          </cell>
          <cell r="S33597">
            <v>8086.83</v>
          </cell>
          <cell r="X33597" t="str">
            <v>GWP - gross</v>
          </cell>
          <cell r="Y33597" t="str">
            <v>THAILAND</v>
          </cell>
        </row>
        <row r="33598">
          <cell r="L33598" t="str">
            <v>Non-proportional</v>
          </cell>
          <cell r="S33598">
            <v>-7167.67</v>
          </cell>
          <cell r="X33598" t="str">
            <v>GWP - gross</v>
          </cell>
          <cell r="Y33598" t="str">
            <v>CHILE</v>
          </cell>
        </row>
        <row r="33599">
          <cell r="L33599" t="str">
            <v>Non-proportional</v>
          </cell>
          <cell r="S33599">
            <v>-2759.56</v>
          </cell>
          <cell r="X33599" t="str">
            <v>GWP - gross</v>
          </cell>
          <cell r="Y33599" t="str">
            <v>ECUADOR</v>
          </cell>
        </row>
        <row r="33600">
          <cell r="L33600" t="str">
            <v>Non-proportional</v>
          </cell>
          <cell r="S33600">
            <v>-26974.12</v>
          </cell>
          <cell r="X33600" t="str">
            <v>GWP - gross</v>
          </cell>
          <cell r="Y33600" t="str">
            <v>UNITED KINGDOM</v>
          </cell>
        </row>
        <row r="33601">
          <cell r="L33601" t="str">
            <v>Non-proportional</v>
          </cell>
          <cell r="S33601">
            <v>87890.62</v>
          </cell>
          <cell r="X33601" t="str">
            <v>GWP - gross</v>
          </cell>
          <cell r="Y33601" t="str">
            <v>AUSTRALIA</v>
          </cell>
        </row>
        <row r="33602">
          <cell r="L33602" t="str">
            <v>Proportional</v>
          </cell>
          <cell r="S33602">
            <v>0</v>
          </cell>
          <cell r="X33602" t="str">
            <v>GWP - gross</v>
          </cell>
          <cell r="Y33602" t="str">
            <v>Thailand</v>
          </cell>
        </row>
        <row r="33603">
          <cell r="L33603" t="str">
            <v>Proportional</v>
          </cell>
          <cell r="S33603">
            <v>90.3</v>
          </cell>
          <cell r="X33603" t="str">
            <v>GWP - gross</v>
          </cell>
          <cell r="Y33603" t="str">
            <v>Thailand</v>
          </cell>
        </row>
        <row r="33604">
          <cell r="L33604" t="str">
            <v>Non-proportional</v>
          </cell>
          <cell r="S33604">
            <v>-2965450.3</v>
          </cell>
          <cell r="X33604" t="str">
            <v>GWP - gross</v>
          </cell>
          <cell r="Y33604" t="str">
            <v>DOMINICAN REPUBLIC</v>
          </cell>
        </row>
        <row r="33605">
          <cell r="L33605" t="str">
            <v>Proportional</v>
          </cell>
          <cell r="S33605">
            <v>-114563000</v>
          </cell>
          <cell r="X33605" t="str">
            <v>GWP - gross</v>
          </cell>
          <cell r="Y33605" t="str">
            <v>ITALY</v>
          </cell>
        </row>
        <row r="33606">
          <cell r="L33606" t="str">
            <v>Non-proportional</v>
          </cell>
          <cell r="S33606">
            <v>8336.08</v>
          </cell>
          <cell r="X33606" t="str">
            <v>GWP - gross</v>
          </cell>
          <cell r="Y33606" t="str">
            <v>THAILAND</v>
          </cell>
        </row>
        <row r="33607">
          <cell r="L33607" t="str">
            <v>Non-proportional</v>
          </cell>
          <cell r="S33607">
            <v>-5454.42</v>
          </cell>
          <cell r="X33607" t="str">
            <v>GWP - gross</v>
          </cell>
          <cell r="Y33607" t="str">
            <v>CHILE</v>
          </cell>
        </row>
        <row r="33608">
          <cell r="L33608" t="str">
            <v>Non-proportional</v>
          </cell>
          <cell r="S33608">
            <v>-12770.27</v>
          </cell>
          <cell r="X33608" t="str">
            <v>GWP - gross</v>
          </cell>
          <cell r="Y33608" t="str">
            <v>AUSTRALIA</v>
          </cell>
        </row>
        <row r="33609">
          <cell r="L33609" t="str">
            <v>Non-proportional</v>
          </cell>
          <cell r="S33609">
            <v>-60889.25</v>
          </cell>
          <cell r="X33609" t="str">
            <v>GWP - gross</v>
          </cell>
          <cell r="Y33609" t="str">
            <v>INDIA</v>
          </cell>
        </row>
        <row r="33610">
          <cell r="L33610" t="str">
            <v>Proportional</v>
          </cell>
          <cell r="S33610">
            <v>-97097.1</v>
          </cell>
          <cell r="X33610" t="str">
            <v>GWP - gross</v>
          </cell>
          <cell r="Y33610" t="str">
            <v>MEXICO</v>
          </cell>
        </row>
        <row r="33611">
          <cell r="L33611" t="str">
            <v>Proportional</v>
          </cell>
          <cell r="S33611">
            <v>209355.46</v>
          </cell>
          <cell r="X33611" t="str">
            <v>GWP - gross</v>
          </cell>
          <cell r="Y33611" t="str">
            <v>HONG KONG</v>
          </cell>
        </row>
        <row r="33612">
          <cell r="L33612" t="str">
            <v>Non-proportional</v>
          </cell>
          <cell r="S33612">
            <v>9029.4500000000007</v>
          </cell>
          <cell r="X33612" t="str">
            <v>GWP - gross</v>
          </cell>
          <cell r="Y33612" t="str">
            <v>CZECH REPUBLIC</v>
          </cell>
        </row>
        <row r="33613">
          <cell r="L33613" t="str">
            <v>Non-proportional</v>
          </cell>
          <cell r="S33613">
            <v>46041.02</v>
          </cell>
          <cell r="X33613" t="str">
            <v>GWP - gross</v>
          </cell>
          <cell r="Y33613" t="str">
            <v>INDIA</v>
          </cell>
        </row>
        <row r="33614">
          <cell r="L33614" t="str">
            <v>Non-proportional</v>
          </cell>
          <cell r="S33614">
            <v>11440.78</v>
          </cell>
          <cell r="X33614" t="str">
            <v>GWP - gross</v>
          </cell>
          <cell r="Y33614" t="str">
            <v>CZECH REPUBLIC</v>
          </cell>
        </row>
        <row r="33615">
          <cell r="L33615" t="str">
            <v>Non-proportional</v>
          </cell>
          <cell r="S33615">
            <v>204971.24</v>
          </cell>
          <cell r="X33615" t="str">
            <v>GWP - gross</v>
          </cell>
          <cell r="Y33615" t="str">
            <v>FRANCE</v>
          </cell>
        </row>
        <row r="33616">
          <cell r="L33616" t="str">
            <v>Non-proportional</v>
          </cell>
          <cell r="S33616">
            <v>-3103.88</v>
          </cell>
          <cell r="X33616" t="str">
            <v>GWP - gross</v>
          </cell>
          <cell r="Y33616" t="str">
            <v>INDIA</v>
          </cell>
        </row>
        <row r="33617">
          <cell r="L33617" t="str">
            <v>Proportional</v>
          </cell>
          <cell r="S33617">
            <v>179.75</v>
          </cell>
          <cell r="X33617" t="str">
            <v>GWP - gross</v>
          </cell>
          <cell r="Y33617" t="str">
            <v>Thailand</v>
          </cell>
        </row>
        <row r="33618">
          <cell r="L33618" t="str">
            <v>Proportional</v>
          </cell>
          <cell r="S33618">
            <v>695.21</v>
          </cell>
          <cell r="X33618" t="str">
            <v>GWP - gross</v>
          </cell>
          <cell r="Y33618" t="str">
            <v>THAILAND</v>
          </cell>
        </row>
        <row r="33619">
          <cell r="L33619" t="str">
            <v>Non-proportional</v>
          </cell>
          <cell r="S33619">
            <v>-3915.99</v>
          </cell>
          <cell r="X33619" t="str">
            <v>GWP - gross</v>
          </cell>
          <cell r="Y33619" t="str">
            <v>CHILE</v>
          </cell>
        </row>
        <row r="33620">
          <cell r="L33620" t="str">
            <v>Non-proportional</v>
          </cell>
          <cell r="S33620">
            <v>9878.94</v>
          </cell>
          <cell r="X33620" t="str">
            <v>GWP - gross</v>
          </cell>
          <cell r="Y33620" t="str">
            <v>PERU</v>
          </cell>
        </row>
        <row r="33621">
          <cell r="L33621" t="str">
            <v>Non-proportional</v>
          </cell>
          <cell r="S33621">
            <v>-5451.03</v>
          </cell>
          <cell r="X33621" t="str">
            <v>GWP - gross</v>
          </cell>
          <cell r="Y33621" t="str">
            <v>TURKEY</v>
          </cell>
        </row>
        <row r="33622">
          <cell r="L33622" t="str">
            <v>Non-proportional</v>
          </cell>
          <cell r="S33622">
            <v>-7787.19</v>
          </cell>
          <cell r="X33622" t="str">
            <v>GWP - gross</v>
          </cell>
          <cell r="Y33622" t="str">
            <v>TURKEY</v>
          </cell>
        </row>
        <row r="33623">
          <cell r="L33623" t="str">
            <v>Non-proportional</v>
          </cell>
          <cell r="S33623">
            <v>16922.689999999999</v>
          </cell>
          <cell r="X33623" t="str">
            <v>GWP - gross</v>
          </cell>
          <cell r="Y33623" t="str">
            <v>CHILE</v>
          </cell>
        </row>
        <row r="33624">
          <cell r="L33624" t="str">
            <v>Proportional</v>
          </cell>
          <cell r="S33624">
            <v>-6174478.0499999998</v>
          </cell>
          <cell r="X33624" t="str">
            <v>GWP - gross</v>
          </cell>
          <cell r="Y33624" t="str">
            <v>THAILAND</v>
          </cell>
        </row>
        <row r="33625">
          <cell r="L33625" t="str">
            <v>Non-proportional</v>
          </cell>
          <cell r="S33625">
            <v>-21283.78</v>
          </cell>
          <cell r="X33625" t="str">
            <v>GWP - gross</v>
          </cell>
          <cell r="Y33625" t="str">
            <v>AUSTRALIA</v>
          </cell>
        </row>
        <row r="33626">
          <cell r="L33626" t="str">
            <v>Non-proportional</v>
          </cell>
          <cell r="S33626">
            <v>34206.080000000002</v>
          </cell>
          <cell r="X33626" t="str">
            <v>GWP - gross</v>
          </cell>
          <cell r="Y33626" t="str">
            <v>AUSTRALIA</v>
          </cell>
        </row>
        <row r="33627">
          <cell r="L33627" t="str">
            <v>Non-proportional</v>
          </cell>
          <cell r="S33627">
            <v>-715.25</v>
          </cell>
          <cell r="X33627" t="str">
            <v>GWP - gross</v>
          </cell>
          <cell r="Y33627" t="str">
            <v>GERMANY</v>
          </cell>
        </row>
        <row r="33628">
          <cell r="L33628" t="str">
            <v>Proportional</v>
          </cell>
          <cell r="S33628">
            <v>765161.87</v>
          </cell>
          <cell r="X33628" t="str">
            <v>GWP - gross</v>
          </cell>
          <cell r="Y33628" t="str">
            <v>THAILAND</v>
          </cell>
        </row>
        <row r="33629">
          <cell r="L33629" t="str">
            <v>Proportional</v>
          </cell>
          <cell r="S33629">
            <v>504386.54</v>
          </cell>
          <cell r="X33629" t="str">
            <v>GWP - gross</v>
          </cell>
          <cell r="Y33629" t="str">
            <v>UNITED STATES</v>
          </cell>
        </row>
        <row r="33630">
          <cell r="L33630" t="str">
            <v>Non-proportional</v>
          </cell>
          <cell r="S33630">
            <v>-87890.62</v>
          </cell>
          <cell r="X33630" t="str">
            <v>GWP - gross</v>
          </cell>
          <cell r="Y33630" t="str">
            <v>AUSTRALIA</v>
          </cell>
        </row>
        <row r="33631">
          <cell r="L33631" t="str">
            <v>Non-proportional</v>
          </cell>
          <cell r="S33631">
            <v>5712.81</v>
          </cell>
          <cell r="X33631" t="str">
            <v>GWP - gross</v>
          </cell>
          <cell r="Y33631" t="str">
            <v>TURKEY</v>
          </cell>
        </row>
        <row r="33632">
          <cell r="L33632" t="str">
            <v>Proportional</v>
          </cell>
          <cell r="S33632">
            <v>-1188599.29</v>
          </cell>
          <cell r="X33632" t="str">
            <v>GWP - gross</v>
          </cell>
          <cell r="Y33632" t="str">
            <v>JAPAN</v>
          </cell>
        </row>
        <row r="33633">
          <cell r="L33633" t="str">
            <v>Proportional</v>
          </cell>
          <cell r="S33633">
            <v>256820.51</v>
          </cell>
          <cell r="X33633" t="str">
            <v>GWP - gross</v>
          </cell>
          <cell r="Y33633" t="str">
            <v>THAILAND</v>
          </cell>
        </row>
        <row r="33634">
          <cell r="L33634" t="str">
            <v>Proportional</v>
          </cell>
          <cell r="S33634">
            <v>185541.78</v>
          </cell>
          <cell r="X33634" t="str">
            <v>GWP - gross</v>
          </cell>
          <cell r="Y33634" t="str">
            <v>THAILAND</v>
          </cell>
        </row>
        <row r="33635">
          <cell r="L33635" t="str">
            <v>Proportional</v>
          </cell>
          <cell r="S33635">
            <v>857.53</v>
          </cell>
          <cell r="X33635" t="str">
            <v>GWP - gross</v>
          </cell>
          <cell r="Y33635" t="str">
            <v>THAILAND</v>
          </cell>
        </row>
        <row r="33636">
          <cell r="L33636" t="str">
            <v>Non-proportional</v>
          </cell>
          <cell r="S33636">
            <v>-5507.67</v>
          </cell>
          <cell r="X33636" t="str">
            <v>GWP - gross</v>
          </cell>
          <cell r="Y33636" t="str">
            <v>THAILAND</v>
          </cell>
        </row>
        <row r="33637">
          <cell r="L33637" t="str">
            <v>Proportional</v>
          </cell>
          <cell r="S33637">
            <v>516565.88</v>
          </cell>
          <cell r="X33637" t="str">
            <v>GWP - gross</v>
          </cell>
          <cell r="Y33637" t="str">
            <v>INDIA</v>
          </cell>
        </row>
        <row r="33638">
          <cell r="L33638" t="str">
            <v>Non-proportional</v>
          </cell>
          <cell r="S33638">
            <v>-8364.08</v>
          </cell>
          <cell r="X33638" t="str">
            <v>GWP - gross</v>
          </cell>
          <cell r="Y33638" t="str">
            <v>UNITED KINGDOM</v>
          </cell>
        </row>
        <row r="33639">
          <cell r="L33639" t="str">
            <v>Proportional</v>
          </cell>
          <cell r="S33639">
            <v>3786.11</v>
          </cell>
          <cell r="X33639" t="str">
            <v>GWP - gross</v>
          </cell>
          <cell r="Y33639" t="str">
            <v>UNITED STATES</v>
          </cell>
        </row>
        <row r="33640">
          <cell r="L33640" t="str">
            <v>Proportional</v>
          </cell>
          <cell r="S33640">
            <v>54835.83</v>
          </cell>
          <cell r="X33640" t="str">
            <v>GWP - gross</v>
          </cell>
          <cell r="Y33640" t="str">
            <v>THAILAND</v>
          </cell>
        </row>
        <row r="33641">
          <cell r="L33641" t="str">
            <v>Non-proportional</v>
          </cell>
          <cell r="S33641">
            <v>32886.76</v>
          </cell>
          <cell r="X33641" t="str">
            <v>GWP - gross</v>
          </cell>
          <cell r="Y33641" t="str">
            <v>DOMINICAN REPUBLIC</v>
          </cell>
        </row>
        <row r="33642">
          <cell r="L33642" t="str">
            <v>Proportional</v>
          </cell>
          <cell r="S33642">
            <v>221.59</v>
          </cell>
          <cell r="X33642" t="str">
            <v>GWP - gross</v>
          </cell>
          <cell r="Y33642" t="str">
            <v>THAILAND</v>
          </cell>
        </row>
        <row r="33643">
          <cell r="L33643" t="str">
            <v>Non-proportional</v>
          </cell>
          <cell r="S33643">
            <v>4972.1899999999996</v>
          </cell>
          <cell r="X33643" t="str">
            <v>GWP - gross</v>
          </cell>
          <cell r="Y33643" t="str">
            <v>INDIA</v>
          </cell>
        </row>
        <row r="33644">
          <cell r="L33644" t="str">
            <v>Proportional</v>
          </cell>
          <cell r="S33644">
            <v>-30785.49</v>
          </cell>
          <cell r="X33644" t="str">
            <v>GWP - gross</v>
          </cell>
          <cell r="Y33644" t="str">
            <v>THAILAND</v>
          </cell>
        </row>
        <row r="33645">
          <cell r="L33645" t="str">
            <v>Non-proportional</v>
          </cell>
          <cell r="S33645">
            <v>1486.31</v>
          </cell>
          <cell r="X33645" t="str">
            <v>GWP - gross</v>
          </cell>
          <cell r="Y33645" t="str">
            <v>INDIA</v>
          </cell>
        </row>
        <row r="33646">
          <cell r="L33646" t="str">
            <v>Non-proportional</v>
          </cell>
          <cell r="S33646">
            <v>1066.02</v>
          </cell>
          <cell r="X33646" t="str">
            <v>GWP - gross</v>
          </cell>
          <cell r="Y33646" t="str">
            <v>INDIA</v>
          </cell>
        </row>
        <row r="33647">
          <cell r="L33647" t="str">
            <v>Non-proportional</v>
          </cell>
          <cell r="S33647">
            <v>-5656.83</v>
          </cell>
          <cell r="X33647" t="str">
            <v>GWP - gross</v>
          </cell>
          <cell r="Y33647" t="str">
            <v>THAILAND</v>
          </cell>
        </row>
        <row r="33648">
          <cell r="L33648" t="str">
            <v>Non-proportional</v>
          </cell>
          <cell r="S33648">
            <v>-187755.1</v>
          </cell>
          <cell r="X33648" t="str">
            <v>GWP - gross</v>
          </cell>
          <cell r="Y33648" t="str">
            <v>FRANCE</v>
          </cell>
        </row>
        <row r="33649">
          <cell r="L33649" t="str">
            <v>Proportional</v>
          </cell>
          <cell r="S33649">
            <v>-544.5</v>
          </cell>
          <cell r="X33649" t="str">
            <v>GWP - gross</v>
          </cell>
          <cell r="Y33649" t="str">
            <v>THAILAND</v>
          </cell>
        </row>
        <row r="33650">
          <cell r="L33650" t="str">
            <v>Non-proportional</v>
          </cell>
          <cell r="S33650">
            <v>60889.25</v>
          </cell>
          <cell r="X33650" t="str">
            <v>GWP - gross</v>
          </cell>
          <cell r="Y33650" t="str">
            <v>INDIA</v>
          </cell>
        </row>
        <row r="33651">
          <cell r="L33651" t="str">
            <v>Non-proportional</v>
          </cell>
          <cell r="S33651">
            <v>3911.1</v>
          </cell>
          <cell r="X33651" t="str">
            <v>GWP - gross</v>
          </cell>
          <cell r="Y33651" t="str">
            <v>THAILAND</v>
          </cell>
        </row>
        <row r="33652">
          <cell r="L33652" t="str">
            <v>Non-proportional</v>
          </cell>
          <cell r="S33652">
            <v>-4440.46</v>
          </cell>
          <cell r="X33652" t="str">
            <v>GWP - gross</v>
          </cell>
          <cell r="Y33652" t="str">
            <v>CHILE</v>
          </cell>
        </row>
        <row r="33653">
          <cell r="L33653" t="str">
            <v>Non-proportional</v>
          </cell>
          <cell r="S33653">
            <v>76543.199999999997</v>
          </cell>
          <cell r="X33653" t="str">
            <v>GWP - gross</v>
          </cell>
          <cell r="Y33653" t="str">
            <v>INDIA</v>
          </cell>
        </row>
        <row r="33654">
          <cell r="L33654" t="str">
            <v>Non-proportional</v>
          </cell>
          <cell r="S33654">
            <v>5454.42</v>
          </cell>
          <cell r="X33654" t="str">
            <v>GWP - gross</v>
          </cell>
          <cell r="Y33654" t="str">
            <v>CHILE</v>
          </cell>
        </row>
        <row r="33655">
          <cell r="L33655" t="str">
            <v>Non-proportional</v>
          </cell>
          <cell r="S33655">
            <v>-118618.01</v>
          </cell>
          <cell r="X33655" t="str">
            <v>GWP - gross</v>
          </cell>
          <cell r="Y33655" t="str">
            <v>DOMINICAN REPUBLIC</v>
          </cell>
        </row>
        <row r="33656">
          <cell r="L33656" t="str">
            <v>Non-proportional</v>
          </cell>
          <cell r="S33656">
            <v>4959.29</v>
          </cell>
          <cell r="X33656" t="str">
            <v>GWP - gross</v>
          </cell>
          <cell r="Y33656" t="str">
            <v>THAILAND</v>
          </cell>
        </row>
        <row r="33657">
          <cell r="L33657" t="str">
            <v>Non-proportional</v>
          </cell>
          <cell r="S33657">
            <v>-3461.46</v>
          </cell>
          <cell r="X33657" t="str">
            <v>GWP - gross</v>
          </cell>
          <cell r="Y33657" t="str">
            <v>CHILE</v>
          </cell>
        </row>
        <row r="33658">
          <cell r="L33658" t="str">
            <v>Proportional</v>
          </cell>
          <cell r="S33658">
            <v>2104056.7599999998</v>
          </cell>
          <cell r="X33658" t="str">
            <v>GWP - gross</v>
          </cell>
          <cell r="Y33658" t="str">
            <v>HONG KONG</v>
          </cell>
        </row>
        <row r="33659">
          <cell r="L33659" t="str">
            <v>Non-proportional</v>
          </cell>
          <cell r="S33659">
            <v>-11041.9</v>
          </cell>
          <cell r="X33659" t="str">
            <v>GWP - gross</v>
          </cell>
          <cell r="Y33659" t="str">
            <v>INDIA</v>
          </cell>
        </row>
        <row r="33660">
          <cell r="L33660" t="str">
            <v>Non-proportional</v>
          </cell>
          <cell r="S33660">
            <v>-10898.62</v>
          </cell>
          <cell r="X33660" t="str">
            <v>GWP - gross</v>
          </cell>
          <cell r="Y33660" t="str">
            <v>CZECH REPUBLIC</v>
          </cell>
        </row>
        <row r="33661">
          <cell r="L33661" t="str">
            <v>Proportional</v>
          </cell>
          <cell r="S33661">
            <v>699569.18</v>
          </cell>
          <cell r="X33661" t="str">
            <v>GWP - gross</v>
          </cell>
          <cell r="Y33661" t="str">
            <v>HONG KONG</v>
          </cell>
        </row>
        <row r="33662">
          <cell r="L33662" t="str">
            <v>Proportional</v>
          </cell>
          <cell r="S33662">
            <v>304586.68</v>
          </cell>
          <cell r="X33662" t="str">
            <v>GWP - gross</v>
          </cell>
          <cell r="Y33662" t="str">
            <v>JAPAN</v>
          </cell>
        </row>
        <row r="33663">
          <cell r="L33663" t="str">
            <v>Non-proportional</v>
          </cell>
          <cell r="S33663">
            <v>51681.05</v>
          </cell>
          <cell r="X33663" t="str">
            <v>GWP - gross</v>
          </cell>
          <cell r="Y33663" t="str">
            <v>INDIA</v>
          </cell>
        </row>
        <row r="33664">
          <cell r="L33664" t="str">
            <v>Proportional</v>
          </cell>
          <cell r="S33664">
            <v>-475.31</v>
          </cell>
          <cell r="X33664" t="str">
            <v>GWP - gross</v>
          </cell>
          <cell r="Y33664" t="str">
            <v>Thailand</v>
          </cell>
        </row>
        <row r="33665">
          <cell r="L33665" t="str">
            <v>Proportional</v>
          </cell>
          <cell r="S33665">
            <v>92924.160000000003</v>
          </cell>
          <cell r="X33665" t="str">
            <v>GWP - gross</v>
          </cell>
          <cell r="Y33665" t="str">
            <v>FRANCE</v>
          </cell>
        </row>
        <row r="33666">
          <cell r="L33666" t="str">
            <v>Proportional</v>
          </cell>
          <cell r="S33666">
            <v>-699569.18</v>
          </cell>
          <cell r="X33666" t="str">
            <v>GWP - gross</v>
          </cell>
          <cell r="Y33666" t="str">
            <v>HONG KONG</v>
          </cell>
        </row>
        <row r="33667">
          <cell r="L33667" t="str">
            <v>Non-proportional</v>
          </cell>
          <cell r="S33667">
            <v>11041.9</v>
          </cell>
          <cell r="X33667" t="str">
            <v>GWP - gross</v>
          </cell>
          <cell r="Y33667" t="str">
            <v>INDIA</v>
          </cell>
        </row>
        <row r="33668">
          <cell r="L33668" t="str">
            <v>Proportional</v>
          </cell>
          <cell r="S33668">
            <v>4667.43</v>
          </cell>
          <cell r="X33668" t="str">
            <v>GWP - gross</v>
          </cell>
          <cell r="Y33668" t="str">
            <v>THAILAND</v>
          </cell>
        </row>
        <row r="33669">
          <cell r="L33669" t="str">
            <v>Non-proportional</v>
          </cell>
          <cell r="S33669">
            <v>142.15</v>
          </cell>
          <cell r="X33669" t="str">
            <v>GWP - gross</v>
          </cell>
          <cell r="Y33669" t="str">
            <v>INDIA</v>
          </cell>
        </row>
        <row r="33670">
          <cell r="L33670" t="str">
            <v>Non-proportional</v>
          </cell>
          <cell r="S33670">
            <v>112561.33</v>
          </cell>
          <cell r="X33670" t="str">
            <v>GWP - gross</v>
          </cell>
          <cell r="Y33670" t="str">
            <v>INDIA</v>
          </cell>
        </row>
        <row r="33671">
          <cell r="L33671" t="str">
            <v>Non-proportional</v>
          </cell>
          <cell r="S33671">
            <v>5960</v>
          </cell>
          <cell r="X33671" t="str">
            <v>GWP - gross</v>
          </cell>
          <cell r="Y33671" t="str">
            <v>DOMINICAN REPUBLIC</v>
          </cell>
        </row>
        <row r="33672">
          <cell r="L33672" t="str">
            <v>Non-proportional</v>
          </cell>
          <cell r="S33672">
            <v>41197.85</v>
          </cell>
          <cell r="X33672" t="str">
            <v>GWP - gross</v>
          </cell>
          <cell r="Y33672" t="str">
            <v>ECUADOR</v>
          </cell>
        </row>
        <row r="33673">
          <cell r="L33673" t="str">
            <v>Non-proportional</v>
          </cell>
          <cell r="S33673">
            <v>6750</v>
          </cell>
          <cell r="X33673" t="str">
            <v>GWP - gross</v>
          </cell>
          <cell r="Y33673" t="str">
            <v>ITALY</v>
          </cell>
        </row>
        <row r="33674">
          <cell r="L33674" t="str">
            <v>Proportional</v>
          </cell>
          <cell r="S33674">
            <v>32743.38</v>
          </cell>
          <cell r="X33674" t="str">
            <v>GWP - gross</v>
          </cell>
          <cell r="Y33674" t="str">
            <v>CHILE</v>
          </cell>
        </row>
        <row r="33675">
          <cell r="L33675" t="str">
            <v>Non-proportional</v>
          </cell>
          <cell r="S33675">
            <v>11250</v>
          </cell>
          <cell r="X33675" t="str">
            <v>GWP - gross</v>
          </cell>
          <cell r="Y33675" t="str">
            <v>ITALY</v>
          </cell>
        </row>
        <row r="33676">
          <cell r="L33676" t="str">
            <v>Non-proportional</v>
          </cell>
          <cell r="S33676">
            <v>1899.58</v>
          </cell>
          <cell r="X33676" t="str">
            <v>GWP - gross</v>
          </cell>
          <cell r="Y33676" t="str">
            <v>PERU</v>
          </cell>
        </row>
        <row r="33677">
          <cell r="L33677" t="str">
            <v>Non-proportional</v>
          </cell>
          <cell r="S33677">
            <v>2771.75</v>
          </cell>
          <cell r="X33677" t="str">
            <v>GWP - gross</v>
          </cell>
          <cell r="Y33677" t="str">
            <v>ISRAEL</v>
          </cell>
        </row>
        <row r="33678">
          <cell r="L33678" t="str">
            <v>Non-proportional</v>
          </cell>
          <cell r="S33678">
            <v>8669.1200000000008</v>
          </cell>
          <cell r="X33678" t="str">
            <v>GWP - gross</v>
          </cell>
          <cell r="Y33678" t="str">
            <v>UNITED KINGDOM</v>
          </cell>
        </row>
        <row r="33679">
          <cell r="L33679" t="str">
            <v>Proportional</v>
          </cell>
          <cell r="S33679">
            <v>-34790.86</v>
          </cell>
          <cell r="X33679" t="str">
            <v>GWP - gross</v>
          </cell>
          <cell r="Y33679" t="str">
            <v>UNITED KINGDOM</v>
          </cell>
        </row>
        <row r="33680">
          <cell r="L33680" t="str">
            <v>Non-proportional</v>
          </cell>
          <cell r="S33680">
            <v>9052.6299999999992</v>
          </cell>
          <cell r="X33680" t="str">
            <v>GWP - gross</v>
          </cell>
          <cell r="Y33680" t="str">
            <v>DOMINICAN REPUBLIC</v>
          </cell>
        </row>
        <row r="33681">
          <cell r="L33681" t="str">
            <v>Non-proportional</v>
          </cell>
          <cell r="S33681">
            <v>1010.45</v>
          </cell>
          <cell r="X33681" t="str">
            <v>GWP - gross</v>
          </cell>
          <cell r="Y33681" t="str">
            <v>DOMINICAN REPUBLIC</v>
          </cell>
        </row>
        <row r="33682">
          <cell r="L33682" t="str">
            <v>Non-proportional</v>
          </cell>
          <cell r="S33682">
            <v>-2095.83</v>
          </cell>
          <cell r="X33682" t="str">
            <v>GWP - gross</v>
          </cell>
          <cell r="Y33682" t="str">
            <v>DOMINICAN REPUBLIC</v>
          </cell>
        </row>
        <row r="33683">
          <cell r="L33683" t="str">
            <v>Proportional</v>
          </cell>
          <cell r="S33683">
            <v>-134860.92000000001</v>
          </cell>
          <cell r="X33683" t="str">
            <v>GWP - gross</v>
          </cell>
          <cell r="Y33683" t="str">
            <v>ITALY</v>
          </cell>
        </row>
        <row r="33684">
          <cell r="L33684" t="str">
            <v>Non-proportional</v>
          </cell>
          <cell r="S33684">
            <v>-1763.54</v>
          </cell>
          <cell r="X33684" t="str">
            <v>GWP - gross</v>
          </cell>
          <cell r="Y33684" t="str">
            <v>ECUADOR</v>
          </cell>
        </row>
        <row r="33685">
          <cell r="L33685" t="str">
            <v>Non-proportional</v>
          </cell>
          <cell r="S33685">
            <v>-28727.09</v>
          </cell>
          <cell r="X33685" t="str">
            <v>GWP - gross</v>
          </cell>
          <cell r="Y33685" t="str">
            <v>DOMINICAN REPUBLIC</v>
          </cell>
        </row>
        <row r="33686">
          <cell r="L33686" t="str">
            <v>Proportional</v>
          </cell>
          <cell r="S33686">
            <v>28146</v>
          </cell>
          <cell r="X33686" t="str">
            <v>GWP - gross</v>
          </cell>
          <cell r="Y33686" t="str">
            <v>SWITZERLAND</v>
          </cell>
        </row>
        <row r="33687">
          <cell r="L33687" t="str">
            <v>Proportional</v>
          </cell>
          <cell r="S33687">
            <v>-33241.230000000003</v>
          </cell>
          <cell r="X33687" t="str">
            <v>GWP - gross</v>
          </cell>
          <cell r="Y33687" t="str">
            <v>FRANCE</v>
          </cell>
        </row>
        <row r="33688">
          <cell r="L33688" t="str">
            <v>Proportional</v>
          </cell>
          <cell r="S33688">
            <v>27803.95</v>
          </cell>
          <cell r="X33688" t="str">
            <v>GWP - gross</v>
          </cell>
          <cell r="Y33688" t="str">
            <v>JAPAN</v>
          </cell>
        </row>
        <row r="33689">
          <cell r="L33689" t="str">
            <v>Non-proportional</v>
          </cell>
          <cell r="S33689">
            <v>-16552.71</v>
          </cell>
          <cell r="X33689" t="str">
            <v>GWP - gross</v>
          </cell>
          <cell r="Y33689" t="str">
            <v>ECUADOR</v>
          </cell>
        </row>
        <row r="33690">
          <cell r="L33690" t="str">
            <v>Proportional</v>
          </cell>
          <cell r="S33690">
            <v>18000.45</v>
          </cell>
          <cell r="X33690" t="str">
            <v>GWP - gross</v>
          </cell>
          <cell r="Y33690" t="str">
            <v>new zealand</v>
          </cell>
        </row>
        <row r="33691">
          <cell r="L33691" t="str">
            <v>Proportional</v>
          </cell>
          <cell r="S33691">
            <v>92924.160000000003</v>
          </cell>
          <cell r="X33691" t="str">
            <v>GWP - gross</v>
          </cell>
          <cell r="Y33691" t="str">
            <v>FRANCE</v>
          </cell>
        </row>
        <row r="33692">
          <cell r="L33692" t="str">
            <v>Non-proportional</v>
          </cell>
          <cell r="S33692">
            <v>10875</v>
          </cell>
          <cell r="X33692" t="str">
            <v>GWP - gross</v>
          </cell>
          <cell r="Y33692" t="str">
            <v>ITALY</v>
          </cell>
        </row>
        <row r="33693">
          <cell r="L33693" t="str">
            <v>Non-proportional</v>
          </cell>
          <cell r="S33693">
            <v>-1347.43</v>
          </cell>
          <cell r="X33693" t="str">
            <v>GWP - gross</v>
          </cell>
          <cell r="Y33693" t="str">
            <v>CHILE</v>
          </cell>
        </row>
        <row r="33694">
          <cell r="L33694" t="str">
            <v>Proportional</v>
          </cell>
          <cell r="S33694">
            <v>3030385.7</v>
          </cell>
          <cell r="X33694" t="str">
            <v>GWP - gross</v>
          </cell>
          <cell r="Y33694" t="str">
            <v>HONG KONG</v>
          </cell>
        </row>
        <row r="33695">
          <cell r="L33695" t="str">
            <v>Non-proportional</v>
          </cell>
          <cell r="S33695">
            <v>-99848</v>
          </cell>
          <cell r="X33695" t="str">
            <v>GWP - gross</v>
          </cell>
          <cell r="Y33695" t="str">
            <v>COLOMBIA</v>
          </cell>
        </row>
        <row r="33696">
          <cell r="L33696" t="str">
            <v>Proportional</v>
          </cell>
          <cell r="S33696">
            <v>-10014.700000000001</v>
          </cell>
          <cell r="X33696" t="str">
            <v>GWP - gross</v>
          </cell>
          <cell r="Y33696" t="str">
            <v>CHILE</v>
          </cell>
        </row>
        <row r="33697">
          <cell r="L33697" t="str">
            <v>Proportional</v>
          </cell>
          <cell r="S33697">
            <v>-318948.18</v>
          </cell>
          <cell r="X33697" t="str">
            <v>GWP - gross</v>
          </cell>
          <cell r="Y33697" t="str">
            <v>SWITZERLAND</v>
          </cell>
        </row>
        <row r="33698">
          <cell r="L33698" t="str">
            <v>Proportional</v>
          </cell>
          <cell r="S33698">
            <v>1430.77</v>
          </cell>
          <cell r="X33698" t="str">
            <v>GWP - gross</v>
          </cell>
          <cell r="Y33698" t="str">
            <v>UNITED STATES</v>
          </cell>
        </row>
        <row r="33699">
          <cell r="L33699" t="str">
            <v>Proportional</v>
          </cell>
          <cell r="S33699">
            <v>188918.07</v>
          </cell>
          <cell r="X33699" t="str">
            <v>GWP - gross</v>
          </cell>
          <cell r="Y33699" t="str">
            <v>AUSTRALIA</v>
          </cell>
        </row>
        <row r="33700">
          <cell r="L33700" t="str">
            <v>Non-proportional</v>
          </cell>
          <cell r="S33700">
            <v>-48494.77</v>
          </cell>
          <cell r="X33700" t="str">
            <v>GWP - gross</v>
          </cell>
          <cell r="Y33700" t="str">
            <v>GERMANY</v>
          </cell>
        </row>
        <row r="33701">
          <cell r="L33701" t="str">
            <v>Non-proportional</v>
          </cell>
          <cell r="S33701">
            <v>4336.91</v>
          </cell>
          <cell r="X33701" t="str">
            <v>GWP - gross</v>
          </cell>
          <cell r="Y33701" t="str">
            <v>ISRAEL</v>
          </cell>
        </row>
        <row r="33702">
          <cell r="L33702" t="str">
            <v>Non-proportional</v>
          </cell>
          <cell r="S33702">
            <v>4108.32</v>
          </cell>
          <cell r="X33702" t="str">
            <v>GWP - gross</v>
          </cell>
          <cell r="Y33702" t="str">
            <v>DOMINICAN REPUBLIC</v>
          </cell>
        </row>
        <row r="33703">
          <cell r="L33703" t="str">
            <v>Proportional</v>
          </cell>
          <cell r="S33703">
            <v>-5793.1</v>
          </cell>
          <cell r="X33703" t="str">
            <v>GWP - gross</v>
          </cell>
          <cell r="Y33703" t="str">
            <v>ITALY</v>
          </cell>
        </row>
        <row r="33704">
          <cell r="L33704" t="str">
            <v>Proportional</v>
          </cell>
          <cell r="S33704">
            <v>322.93</v>
          </cell>
          <cell r="X33704" t="str">
            <v>GWP - gross</v>
          </cell>
          <cell r="Y33704" t="str">
            <v>ITALY</v>
          </cell>
        </row>
        <row r="33705">
          <cell r="L33705" t="str">
            <v>Non-proportional</v>
          </cell>
          <cell r="S33705">
            <v>-5382.04</v>
          </cell>
          <cell r="X33705" t="str">
            <v>GWP - gross</v>
          </cell>
          <cell r="Y33705" t="str">
            <v>ISRAEL</v>
          </cell>
        </row>
        <row r="33706">
          <cell r="L33706" t="str">
            <v>Non-proportional</v>
          </cell>
          <cell r="S33706">
            <v>97507.11</v>
          </cell>
          <cell r="X33706" t="str">
            <v>GWP - gross</v>
          </cell>
          <cell r="Y33706" t="str">
            <v>PERU</v>
          </cell>
        </row>
        <row r="33707">
          <cell r="L33707" t="str">
            <v>Non-proportional</v>
          </cell>
          <cell r="S33707">
            <v>20055.07</v>
          </cell>
          <cell r="X33707" t="str">
            <v>GWP - gross</v>
          </cell>
          <cell r="Y33707" t="str">
            <v>AUSTRALIA</v>
          </cell>
        </row>
        <row r="33708">
          <cell r="L33708" t="str">
            <v>Non-proportional</v>
          </cell>
          <cell r="S33708">
            <v>-14000</v>
          </cell>
          <cell r="X33708" t="str">
            <v>GWP - gross</v>
          </cell>
          <cell r="Y33708" t="str">
            <v>ITALY</v>
          </cell>
        </row>
        <row r="33709">
          <cell r="L33709" t="str">
            <v>Proportional</v>
          </cell>
          <cell r="S33709">
            <v>-322.93</v>
          </cell>
          <cell r="X33709" t="str">
            <v>GWP - gross</v>
          </cell>
          <cell r="Y33709" t="str">
            <v>ITALY</v>
          </cell>
        </row>
        <row r="33710">
          <cell r="L33710" t="str">
            <v>Proportional</v>
          </cell>
          <cell r="S33710">
            <v>-1358080.58</v>
          </cell>
          <cell r="X33710" t="str">
            <v>GWP - gross</v>
          </cell>
          <cell r="Y33710" t="str">
            <v>AUSTRALIA</v>
          </cell>
        </row>
        <row r="33711">
          <cell r="L33711" t="str">
            <v>Non-proportional</v>
          </cell>
          <cell r="S33711">
            <v>33504.769999999997</v>
          </cell>
          <cell r="X33711" t="str">
            <v>GWP - gross</v>
          </cell>
          <cell r="Y33711" t="str">
            <v>CHINA</v>
          </cell>
        </row>
        <row r="33712">
          <cell r="L33712" t="str">
            <v>Proportional</v>
          </cell>
          <cell r="S33712">
            <v>4372.17</v>
          </cell>
          <cell r="X33712" t="str">
            <v>GWP - gross</v>
          </cell>
          <cell r="Y33712" t="str">
            <v>CHILE</v>
          </cell>
        </row>
        <row r="33713">
          <cell r="L33713" t="str">
            <v>Non-proportional</v>
          </cell>
          <cell r="S33713">
            <v>0</v>
          </cell>
          <cell r="X33713" t="str">
            <v>GWP - gross</v>
          </cell>
          <cell r="Y33713" t="str">
            <v>DOMINICAN REPUBLIC</v>
          </cell>
        </row>
        <row r="33714">
          <cell r="L33714" t="str">
            <v>Proportional</v>
          </cell>
          <cell r="S33714">
            <v>-82868.53</v>
          </cell>
          <cell r="X33714" t="str">
            <v>GWP - gross</v>
          </cell>
          <cell r="Y33714" t="str">
            <v>MEXICO</v>
          </cell>
        </row>
        <row r="33715">
          <cell r="L33715" t="str">
            <v>Proportional</v>
          </cell>
          <cell r="S33715">
            <v>-13292.24</v>
          </cell>
          <cell r="X33715" t="str">
            <v>GWP - gross</v>
          </cell>
          <cell r="Y33715" t="str">
            <v>CHILE</v>
          </cell>
        </row>
        <row r="33716">
          <cell r="L33716" t="str">
            <v>Non-proportional</v>
          </cell>
          <cell r="S33716">
            <v>1010.45</v>
          </cell>
          <cell r="X33716" t="str">
            <v>GWP - gross</v>
          </cell>
          <cell r="Y33716" t="str">
            <v>DOMINICAN REPUBLIC</v>
          </cell>
        </row>
        <row r="33717">
          <cell r="L33717" t="str">
            <v>Non-proportional</v>
          </cell>
          <cell r="S33717">
            <v>-53875.6</v>
          </cell>
          <cell r="X33717" t="str">
            <v>GWP - gross</v>
          </cell>
          <cell r="Y33717" t="str">
            <v>BRAZIL</v>
          </cell>
        </row>
        <row r="33718">
          <cell r="L33718" t="str">
            <v>Non-proportional</v>
          </cell>
          <cell r="S33718">
            <v>111405.05</v>
          </cell>
          <cell r="X33718" t="str">
            <v>GWP - gross</v>
          </cell>
          <cell r="Y33718" t="str">
            <v>AUSTRALIA</v>
          </cell>
        </row>
        <row r="33719">
          <cell r="L33719" t="str">
            <v>Non-proportional</v>
          </cell>
          <cell r="S33719">
            <v>3176.93</v>
          </cell>
          <cell r="X33719" t="str">
            <v>GWP - gross</v>
          </cell>
          <cell r="Y33719" t="str">
            <v>ECUADOR</v>
          </cell>
        </row>
        <row r="33720">
          <cell r="L33720" t="str">
            <v>Non-proportional</v>
          </cell>
          <cell r="S33720">
            <v>-327.75</v>
          </cell>
          <cell r="X33720" t="str">
            <v>GWP - gross</v>
          </cell>
          <cell r="Y33720" t="str">
            <v>CHILE</v>
          </cell>
        </row>
        <row r="33721">
          <cell r="L33721" t="str">
            <v>Non-proportional</v>
          </cell>
          <cell r="S33721">
            <v>70286.98</v>
          </cell>
          <cell r="X33721" t="str">
            <v>GWP - gross</v>
          </cell>
          <cell r="Y33721" t="str">
            <v>UNITED KINGDOM</v>
          </cell>
        </row>
        <row r="33722">
          <cell r="L33722" t="str">
            <v>Non-proportional</v>
          </cell>
          <cell r="S33722">
            <v>-82324.88</v>
          </cell>
          <cell r="X33722" t="str">
            <v>GWP - gross</v>
          </cell>
          <cell r="Y33722" t="str">
            <v>GERMANY</v>
          </cell>
        </row>
        <row r="33723">
          <cell r="L33723" t="str">
            <v>Non-proportional</v>
          </cell>
          <cell r="S33723">
            <v>27036.09</v>
          </cell>
          <cell r="X33723" t="str">
            <v>GWP - gross</v>
          </cell>
          <cell r="Y33723" t="str">
            <v>ECUADOR</v>
          </cell>
        </row>
        <row r="33724">
          <cell r="L33724" t="str">
            <v>Non-proportional</v>
          </cell>
          <cell r="S33724">
            <v>34753.410000000003</v>
          </cell>
          <cell r="X33724" t="str">
            <v>GWP - gross</v>
          </cell>
          <cell r="Y33724" t="str">
            <v>DOMINICAN REPUBLIC</v>
          </cell>
        </row>
        <row r="33725">
          <cell r="L33725" t="str">
            <v>Non-proportional</v>
          </cell>
          <cell r="S33725">
            <v>-11964.98</v>
          </cell>
          <cell r="X33725" t="str">
            <v>GWP - gross</v>
          </cell>
          <cell r="Y33725" t="str">
            <v>JAPAN</v>
          </cell>
        </row>
        <row r="33726">
          <cell r="L33726" t="str">
            <v>Proportional</v>
          </cell>
          <cell r="S33726">
            <v>-725060.78</v>
          </cell>
          <cell r="X33726" t="str">
            <v>GWP - gross</v>
          </cell>
          <cell r="Y33726" t="str">
            <v>CANADA</v>
          </cell>
        </row>
        <row r="33727">
          <cell r="L33727" t="str">
            <v>Proportional</v>
          </cell>
          <cell r="S33727">
            <v>7329.86</v>
          </cell>
          <cell r="X33727" t="str">
            <v>GWP - gross</v>
          </cell>
          <cell r="Y33727" t="str">
            <v>CANADA</v>
          </cell>
        </row>
        <row r="33728">
          <cell r="L33728" t="str">
            <v>Non-proportional</v>
          </cell>
          <cell r="S33728">
            <v>8038.46</v>
          </cell>
          <cell r="X33728" t="str">
            <v>GWP - gross</v>
          </cell>
          <cell r="Y33728" t="str">
            <v>UNITED KINGDOM</v>
          </cell>
        </row>
        <row r="33729">
          <cell r="L33729" t="str">
            <v>Non-proportional</v>
          </cell>
          <cell r="S33729">
            <v>1140.1400000000001</v>
          </cell>
          <cell r="X33729" t="str">
            <v>GWP - gross</v>
          </cell>
          <cell r="Y33729" t="str">
            <v>DOMINICAN REPUBLIC</v>
          </cell>
        </row>
        <row r="33730">
          <cell r="L33730" t="str">
            <v>Non-proportional</v>
          </cell>
          <cell r="S33730">
            <v>-27036.09</v>
          </cell>
          <cell r="X33730" t="str">
            <v>GWP - gross</v>
          </cell>
          <cell r="Y33730" t="str">
            <v>ECUADOR</v>
          </cell>
        </row>
        <row r="33731">
          <cell r="L33731" t="str">
            <v>Non-proportional</v>
          </cell>
          <cell r="S33731">
            <v>4066.58</v>
          </cell>
          <cell r="X33731" t="str">
            <v>GWP - gross</v>
          </cell>
          <cell r="Y33731" t="str">
            <v>DOMINICAN REPUBLIC</v>
          </cell>
        </row>
        <row r="33732">
          <cell r="L33732" t="str">
            <v>Non-proportional</v>
          </cell>
          <cell r="S33732">
            <v>40682.879999999997</v>
          </cell>
          <cell r="X33732" t="str">
            <v>GWP - gross</v>
          </cell>
          <cell r="Y33732" t="str">
            <v>ECUADOR</v>
          </cell>
        </row>
        <row r="33733">
          <cell r="L33733" t="str">
            <v>Non-proportional</v>
          </cell>
          <cell r="S33733">
            <v>-327.75</v>
          </cell>
          <cell r="X33733" t="str">
            <v>GWP - gross</v>
          </cell>
          <cell r="Y33733" t="str">
            <v>CHILE</v>
          </cell>
        </row>
        <row r="33734">
          <cell r="L33734" t="str">
            <v>Proportional</v>
          </cell>
          <cell r="S33734">
            <v>725060.78</v>
          </cell>
          <cell r="X33734" t="str">
            <v>GWP - gross</v>
          </cell>
          <cell r="Y33734" t="str">
            <v>CANADA</v>
          </cell>
        </row>
        <row r="33735">
          <cell r="L33735" t="str">
            <v>Non-proportional</v>
          </cell>
          <cell r="S33735">
            <v>1456.68</v>
          </cell>
          <cell r="X33735" t="str">
            <v>GWP - gross</v>
          </cell>
          <cell r="Y33735" t="str">
            <v>CHILE</v>
          </cell>
        </row>
        <row r="33736">
          <cell r="L33736" t="str">
            <v>Non-proportional</v>
          </cell>
          <cell r="S33736">
            <v>-33504.769999999997</v>
          </cell>
          <cell r="X33736" t="str">
            <v>GWP - gross</v>
          </cell>
          <cell r="Y33736" t="str">
            <v>CHINA</v>
          </cell>
        </row>
        <row r="33737">
          <cell r="L33737" t="str">
            <v>Non-proportional</v>
          </cell>
          <cell r="S33737">
            <v>4250</v>
          </cell>
          <cell r="X33737" t="str">
            <v>GWP - gross</v>
          </cell>
          <cell r="Y33737" t="str">
            <v>ITALY</v>
          </cell>
        </row>
        <row r="33738">
          <cell r="L33738" t="str">
            <v>Non-proportional</v>
          </cell>
          <cell r="S33738">
            <v>28727.09</v>
          </cell>
          <cell r="X33738" t="str">
            <v>GWP - gross</v>
          </cell>
          <cell r="Y33738" t="str">
            <v>DOMINICAN REPUBLIC</v>
          </cell>
        </row>
        <row r="33739">
          <cell r="L33739" t="str">
            <v>Proportional</v>
          </cell>
          <cell r="S33739">
            <v>-20502.830000000002</v>
          </cell>
          <cell r="X33739" t="str">
            <v>GWP - gross</v>
          </cell>
          <cell r="Y33739" t="str">
            <v>CHILE</v>
          </cell>
        </row>
        <row r="33740">
          <cell r="L33740" t="str">
            <v>Non-proportional</v>
          </cell>
          <cell r="S33740">
            <v>97507.11</v>
          </cell>
          <cell r="X33740" t="str">
            <v>GWP - gross</v>
          </cell>
          <cell r="Y33740" t="str">
            <v>PERU</v>
          </cell>
        </row>
        <row r="33741">
          <cell r="L33741" t="str">
            <v>Non-proportional</v>
          </cell>
          <cell r="S33741">
            <v>-3126.16</v>
          </cell>
          <cell r="X33741" t="str">
            <v>GWP - gross</v>
          </cell>
          <cell r="Y33741" t="str">
            <v>PERU</v>
          </cell>
        </row>
        <row r="33742">
          <cell r="L33742" t="str">
            <v>Proportional</v>
          </cell>
          <cell r="S33742">
            <v>8344.65</v>
          </cell>
          <cell r="X33742" t="str">
            <v>GWP - gross</v>
          </cell>
          <cell r="Y33742" t="str">
            <v>CHILE</v>
          </cell>
        </row>
        <row r="33743">
          <cell r="L33743" t="str">
            <v>Non-proportional</v>
          </cell>
          <cell r="S33743">
            <v>-53409.31</v>
          </cell>
          <cell r="X33743" t="str">
            <v>GWP - gross</v>
          </cell>
          <cell r="Y33743" t="str">
            <v>DOMINICAN REPUBLIC</v>
          </cell>
        </row>
        <row r="33744">
          <cell r="L33744" t="str">
            <v>Non-proportional</v>
          </cell>
          <cell r="S33744">
            <v>-50853.599999999999</v>
          </cell>
          <cell r="X33744" t="str">
            <v>GWP - gross</v>
          </cell>
          <cell r="Y33744" t="str">
            <v>ECUADOR</v>
          </cell>
        </row>
        <row r="33745">
          <cell r="L33745" t="str">
            <v>Proportional</v>
          </cell>
          <cell r="S33745">
            <v>376440.75</v>
          </cell>
          <cell r="X33745" t="str">
            <v>GWP - gross</v>
          </cell>
          <cell r="Y33745" t="str">
            <v>Hong Kong</v>
          </cell>
        </row>
        <row r="33746">
          <cell r="L33746" t="str">
            <v>Proportional</v>
          </cell>
          <cell r="S33746">
            <v>-8558.02</v>
          </cell>
          <cell r="X33746" t="str">
            <v>GWP - gross</v>
          </cell>
          <cell r="Y33746" t="str">
            <v>CHILE</v>
          </cell>
        </row>
        <row r="33747">
          <cell r="L33747" t="str">
            <v>Non-proportional</v>
          </cell>
          <cell r="S33747">
            <v>12393.74</v>
          </cell>
          <cell r="X33747" t="str">
            <v>GWP - gross</v>
          </cell>
          <cell r="Y33747" t="str">
            <v>UNITED KINGDOM</v>
          </cell>
        </row>
        <row r="33748">
          <cell r="L33748" t="str">
            <v>Non-proportional</v>
          </cell>
          <cell r="S33748">
            <v>11230.18</v>
          </cell>
          <cell r="X33748" t="str">
            <v>GWP - gross</v>
          </cell>
          <cell r="Y33748" t="str">
            <v>INDIA</v>
          </cell>
        </row>
        <row r="33749">
          <cell r="L33749" t="str">
            <v>Proportional</v>
          </cell>
          <cell r="S33749">
            <v>-748.36</v>
          </cell>
          <cell r="X33749" t="str">
            <v>GWP - gross</v>
          </cell>
          <cell r="Y33749" t="str">
            <v>CHILE</v>
          </cell>
        </row>
        <row r="33750">
          <cell r="L33750" t="str">
            <v>Non-proportional</v>
          </cell>
          <cell r="S33750">
            <v>39863.17</v>
          </cell>
          <cell r="X33750" t="str">
            <v>GWP - gross</v>
          </cell>
          <cell r="Y33750" t="str">
            <v>DOMINICAN REPUBLIC</v>
          </cell>
        </row>
        <row r="33751">
          <cell r="L33751" t="str">
            <v>Proportional</v>
          </cell>
          <cell r="S33751">
            <v>-27106.62</v>
          </cell>
          <cell r="X33751" t="str">
            <v>GWP - gross</v>
          </cell>
          <cell r="Y33751" t="str">
            <v>JAPAN</v>
          </cell>
        </row>
        <row r="33752">
          <cell r="L33752" t="str">
            <v>Proportional</v>
          </cell>
          <cell r="S33752">
            <v>-188918.07</v>
          </cell>
          <cell r="X33752" t="str">
            <v>GWP - gross</v>
          </cell>
          <cell r="Y33752" t="str">
            <v>AUSTRALIA</v>
          </cell>
        </row>
        <row r="33753">
          <cell r="L33753" t="str">
            <v>Proportional</v>
          </cell>
          <cell r="S33753">
            <v>10812.49</v>
          </cell>
          <cell r="X33753" t="str">
            <v>GWP - gross</v>
          </cell>
          <cell r="Y33753" t="str">
            <v>AUSTRALIA</v>
          </cell>
        </row>
        <row r="33754">
          <cell r="L33754" t="str">
            <v>Non-proportional</v>
          </cell>
          <cell r="S33754">
            <v>-17375</v>
          </cell>
          <cell r="X33754" t="str">
            <v>GWP - gross</v>
          </cell>
          <cell r="Y33754" t="str">
            <v>ITALY</v>
          </cell>
        </row>
        <row r="33755">
          <cell r="L33755" t="str">
            <v>Non-proportional</v>
          </cell>
          <cell r="S33755">
            <v>33504.769999999997</v>
          </cell>
          <cell r="X33755" t="str">
            <v>GWP - gross</v>
          </cell>
          <cell r="Y33755" t="str">
            <v>CHINA</v>
          </cell>
        </row>
        <row r="33756">
          <cell r="L33756" t="str">
            <v>Non-proportional</v>
          </cell>
          <cell r="S33756">
            <v>-31811.040000000001</v>
          </cell>
          <cell r="X33756" t="str">
            <v>GWP - gross</v>
          </cell>
          <cell r="Y33756" t="str">
            <v>ECUADOR</v>
          </cell>
        </row>
        <row r="33757">
          <cell r="L33757" t="str">
            <v>Proportional</v>
          </cell>
          <cell r="S33757">
            <v>-80.38</v>
          </cell>
          <cell r="X33757" t="str">
            <v>GWP - gross</v>
          </cell>
          <cell r="Y33757" t="str">
            <v>FRANCE</v>
          </cell>
        </row>
        <row r="33758">
          <cell r="L33758" t="str">
            <v>Non-proportional</v>
          </cell>
          <cell r="S33758">
            <v>-38928.65</v>
          </cell>
          <cell r="X33758" t="str">
            <v>GWP - gross</v>
          </cell>
          <cell r="Y33758" t="str">
            <v>BRAZIL</v>
          </cell>
        </row>
        <row r="33759">
          <cell r="L33759" t="str">
            <v>Proportional</v>
          </cell>
          <cell r="S33759">
            <v>-92618.39</v>
          </cell>
          <cell r="X33759" t="str">
            <v>GWP - gross</v>
          </cell>
          <cell r="Y33759" t="str">
            <v>MEXICO</v>
          </cell>
        </row>
        <row r="33760">
          <cell r="L33760" t="str">
            <v>Non-proportional</v>
          </cell>
          <cell r="S33760">
            <v>-6346.5</v>
          </cell>
          <cell r="X33760" t="str">
            <v>GWP - gross</v>
          </cell>
          <cell r="Y33760" t="str">
            <v>JAPAN</v>
          </cell>
        </row>
        <row r="33761">
          <cell r="L33761" t="str">
            <v>Non-proportional</v>
          </cell>
          <cell r="S33761">
            <v>327.75</v>
          </cell>
          <cell r="X33761" t="str">
            <v>GWP - gross</v>
          </cell>
          <cell r="Y33761" t="str">
            <v>CHILE</v>
          </cell>
        </row>
        <row r="33762">
          <cell r="L33762" t="str">
            <v>Non-proportional</v>
          </cell>
          <cell r="S33762">
            <v>59602.55</v>
          </cell>
          <cell r="X33762" t="str">
            <v>GWP - gross</v>
          </cell>
          <cell r="Y33762" t="str">
            <v>DOMINICAN REPUBLIC</v>
          </cell>
        </row>
        <row r="33763">
          <cell r="L33763" t="str">
            <v>Proportional</v>
          </cell>
          <cell r="S33763">
            <v>-112818.52</v>
          </cell>
          <cell r="X33763" t="str">
            <v>GWP - gross</v>
          </cell>
          <cell r="Y33763" t="str">
            <v>COLOMBIA</v>
          </cell>
        </row>
        <row r="33764">
          <cell r="L33764" t="str">
            <v>Non-proportional</v>
          </cell>
          <cell r="S33764">
            <v>-11230.18</v>
          </cell>
          <cell r="X33764" t="str">
            <v>GWP - gross</v>
          </cell>
          <cell r="Y33764" t="str">
            <v>INDIA</v>
          </cell>
        </row>
        <row r="33765">
          <cell r="L33765" t="str">
            <v>Non-proportional</v>
          </cell>
          <cell r="S33765">
            <v>-54487.58</v>
          </cell>
          <cell r="X33765" t="str">
            <v>GWP - gross</v>
          </cell>
          <cell r="Y33765" t="str">
            <v>COLOMBIA</v>
          </cell>
        </row>
        <row r="33766">
          <cell r="L33766" t="str">
            <v>Non-proportional</v>
          </cell>
          <cell r="S33766">
            <v>-258954.17</v>
          </cell>
          <cell r="X33766" t="str">
            <v>GWP - gross</v>
          </cell>
          <cell r="Y33766" t="str">
            <v>DOMINICAN REPUBLIC</v>
          </cell>
        </row>
        <row r="33767">
          <cell r="L33767" t="str">
            <v>Non-proportional</v>
          </cell>
          <cell r="S33767">
            <v>-11250</v>
          </cell>
          <cell r="X33767" t="str">
            <v>GWP - gross</v>
          </cell>
          <cell r="Y33767" t="str">
            <v>ITALY</v>
          </cell>
        </row>
        <row r="33768">
          <cell r="L33768" t="str">
            <v>Non-proportional</v>
          </cell>
          <cell r="S33768">
            <v>4525</v>
          </cell>
          <cell r="X33768" t="str">
            <v>GWP - gross</v>
          </cell>
          <cell r="Y33768" t="str">
            <v>ITALY</v>
          </cell>
        </row>
        <row r="33769">
          <cell r="L33769" t="str">
            <v>Proportional</v>
          </cell>
          <cell r="S33769">
            <v>39023.94</v>
          </cell>
          <cell r="X33769" t="str">
            <v>GWP - gross</v>
          </cell>
          <cell r="Y33769" t="str">
            <v>MEXICO</v>
          </cell>
        </row>
        <row r="33770">
          <cell r="L33770" t="str">
            <v>Proportional</v>
          </cell>
          <cell r="S33770">
            <v>-151430.21</v>
          </cell>
          <cell r="X33770" t="str">
            <v>GWP - gross</v>
          </cell>
          <cell r="Y33770" t="str">
            <v>CHILE</v>
          </cell>
        </row>
        <row r="33771">
          <cell r="L33771" t="str">
            <v>Non-proportional</v>
          </cell>
          <cell r="S33771">
            <v>-47853.440000000002</v>
          </cell>
          <cell r="X33771" t="str">
            <v>GWP - gross</v>
          </cell>
          <cell r="Y33771" t="str">
            <v>ECUADOR</v>
          </cell>
        </row>
        <row r="33772">
          <cell r="L33772" t="str">
            <v>Non-proportional</v>
          </cell>
          <cell r="S33772">
            <v>11230.18</v>
          </cell>
          <cell r="X33772" t="str">
            <v>GWP - gross</v>
          </cell>
          <cell r="Y33772" t="str">
            <v>INDIA</v>
          </cell>
        </row>
        <row r="33773">
          <cell r="L33773" t="str">
            <v>Non-proportional</v>
          </cell>
          <cell r="S33773">
            <v>-106795.1</v>
          </cell>
          <cell r="X33773" t="str">
            <v>GWP - gross</v>
          </cell>
          <cell r="Y33773" t="str">
            <v>PERU</v>
          </cell>
        </row>
        <row r="33774">
          <cell r="L33774" t="str">
            <v>Non-proportional</v>
          </cell>
          <cell r="S33774">
            <v>7468.41</v>
          </cell>
          <cell r="X33774" t="str">
            <v>GWP - gross</v>
          </cell>
          <cell r="Y33774" t="str">
            <v>DENMARK</v>
          </cell>
        </row>
        <row r="33775">
          <cell r="L33775" t="str">
            <v>Non-proportional</v>
          </cell>
          <cell r="S33775">
            <v>-2250.23</v>
          </cell>
          <cell r="X33775" t="str">
            <v>GWP - gross</v>
          </cell>
          <cell r="Y33775" t="str">
            <v>ECUADOR</v>
          </cell>
        </row>
        <row r="33776">
          <cell r="L33776" t="str">
            <v>Non-proportional</v>
          </cell>
          <cell r="S33776">
            <v>-3313.96</v>
          </cell>
          <cell r="X33776" t="str">
            <v>GWP - gross</v>
          </cell>
          <cell r="Y33776" t="str">
            <v>CHILE</v>
          </cell>
        </row>
        <row r="33777">
          <cell r="L33777" t="str">
            <v>Non-proportional</v>
          </cell>
          <cell r="S33777">
            <v>-2180.4</v>
          </cell>
          <cell r="X33777" t="str">
            <v>GWP - gross</v>
          </cell>
          <cell r="Y33777" t="str">
            <v>UNITED KINGDOM</v>
          </cell>
        </row>
        <row r="33778">
          <cell r="L33778" t="str">
            <v>Non-proportional</v>
          </cell>
          <cell r="S33778">
            <v>-11379.44</v>
          </cell>
          <cell r="X33778" t="str">
            <v>GWP - gross</v>
          </cell>
          <cell r="Y33778" t="str">
            <v>JAPAN</v>
          </cell>
        </row>
        <row r="33779">
          <cell r="L33779" t="str">
            <v>Proportional</v>
          </cell>
          <cell r="S33779">
            <v>5781.24</v>
          </cell>
          <cell r="X33779" t="str">
            <v>GWP - gross</v>
          </cell>
          <cell r="Y33779" t="str">
            <v>FRANCE</v>
          </cell>
        </row>
        <row r="33780">
          <cell r="L33780" t="str">
            <v>Proportional</v>
          </cell>
          <cell r="S33780">
            <v>-48189.35</v>
          </cell>
          <cell r="X33780" t="str">
            <v>GWP - gross</v>
          </cell>
          <cell r="Y33780" t="str">
            <v>FRANCE</v>
          </cell>
        </row>
        <row r="33781">
          <cell r="L33781" t="str">
            <v>Proportional</v>
          </cell>
          <cell r="S33781">
            <v>-51.84</v>
          </cell>
          <cell r="X33781" t="str">
            <v>GWP - gross</v>
          </cell>
          <cell r="Y33781" t="str">
            <v>CHILE</v>
          </cell>
        </row>
        <row r="33782">
          <cell r="L33782" t="str">
            <v>Proportional</v>
          </cell>
          <cell r="S33782">
            <v>-105141.54</v>
          </cell>
          <cell r="X33782" t="str">
            <v>GWP - gross</v>
          </cell>
          <cell r="Y33782" t="str">
            <v>CANADA</v>
          </cell>
        </row>
        <row r="33783">
          <cell r="L33783" t="str">
            <v>Non-proportional</v>
          </cell>
          <cell r="S33783">
            <v>-8421.19</v>
          </cell>
          <cell r="X33783" t="str">
            <v>GWP - gross</v>
          </cell>
          <cell r="Y33783" t="str">
            <v>ISRAEL</v>
          </cell>
        </row>
        <row r="33784">
          <cell r="L33784" t="str">
            <v>Non-proportional</v>
          </cell>
          <cell r="S33784">
            <v>258954.17</v>
          </cell>
          <cell r="X33784" t="str">
            <v>GWP - gross</v>
          </cell>
          <cell r="Y33784" t="str">
            <v>DOMINICAN REPUBLIC</v>
          </cell>
        </row>
        <row r="33785">
          <cell r="L33785" t="str">
            <v>Non-proportional</v>
          </cell>
          <cell r="S33785">
            <v>-39863.17</v>
          </cell>
          <cell r="X33785" t="str">
            <v>GWP - gross</v>
          </cell>
          <cell r="Y33785" t="str">
            <v>DOMINICAN REPUBLIC</v>
          </cell>
        </row>
        <row r="33786">
          <cell r="L33786" t="str">
            <v>Non-proportional</v>
          </cell>
          <cell r="S33786">
            <v>-17294.77</v>
          </cell>
          <cell r="X33786" t="str">
            <v>GWP - gross</v>
          </cell>
          <cell r="Y33786" t="str">
            <v>PERU</v>
          </cell>
        </row>
        <row r="33787">
          <cell r="L33787" t="str">
            <v>Non-proportional</v>
          </cell>
          <cell r="S33787">
            <v>918.14</v>
          </cell>
          <cell r="X33787" t="str">
            <v>GWP - gross</v>
          </cell>
          <cell r="Y33787" t="str">
            <v>DOMINICAN REPUBLIC</v>
          </cell>
        </row>
        <row r="33788">
          <cell r="L33788" t="str">
            <v>Non-proportional</v>
          </cell>
          <cell r="S33788">
            <v>-75886.58</v>
          </cell>
          <cell r="X33788" t="str">
            <v>GWP - gross</v>
          </cell>
          <cell r="Y33788" t="str">
            <v>ECUADOR</v>
          </cell>
        </row>
        <row r="33789">
          <cell r="L33789" t="str">
            <v>Non-proportional</v>
          </cell>
          <cell r="S33789">
            <v>-97507.11</v>
          </cell>
          <cell r="X33789" t="str">
            <v>GWP - gross</v>
          </cell>
          <cell r="Y33789" t="str">
            <v>PERU</v>
          </cell>
        </row>
        <row r="33790">
          <cell r="L33790" t="str">
            <v>Proportional</v>
          </cell>
          <cell r="S33790">
            <v>-124016000</v>
          </cell>
          <cell r="X33790" t="str">
            <v>GWP - gross</v>
          </cell>
          <cell r="Y33790" t="str">
            <v>ITALY</v>
          </cell>
        </row>
        <row r="33791">
          <cell r="L33791" t="str">
            <v>Proportional</v>
          </cell>
          <cell r="S33791">
            <v>9766.8799999999992</v>
          </cell>
          <cell r="X33791" t="str">
            <v>GWP - gross</v>
          </cell>
          <cell r="Y33791" t="str">
            <v>CHILE</v>
          </cell>
        </row>
        <row r="33792">
          <cell r="L33792" t="str">
            <v>Non-proportional</v>
          </cell>
          <cell r="S33792">
            <v>-41197.85</v>
          </cell>
          <cell r="X33792" t="str">
            <v>GWP - gross</v>
          </cell>
          <cell r="Y33792" t="str">
            <v>ECUADOR</v>
          </cell>
        </row>
        <row r="33793">
          <cell r="L33793" t="str">
            <v>Proportional</v>
          </cell>
          <cell r="S33793">
            <v>63812.21</v>
          </cell>
          <cell r="X33793" t="str">
            <v>GWP - gross</v>
          </cell>
          <cell r="Y33793" t="str">
            <v>India</v>
          </cell>
        </row>
        <row r="33794">
          <cell r="L33794" t="str">
            <v>Proportional</v>
          </cell>
          <cell r="S33794">
            <v>1529.52</v>
          </cell>
          <cell r="X33794" t="str">
            <v>GWP - gross</v>
          </cell>
          <cell r="Y33794" t="str">
            <v>CHILE</v>
          </cell>
        </row>
        <row r="33795">
          <cell r="L33795" t="str">
            <v>Non-proportional</v>
          </cell>
          <cell r="S33795">
            <v>-8750</v>
          </cell>
          <cell r="X33795" t="str">
            <v>GWP - gross</v>
          </cell>
          <cell r="Y33795" t="str">
            <v>ITALY</v>
          </cell>
        </row>
        <row r="33796">
          <cell r="L33796" t="str">
            <v>Non-proportional</v>
          </cell>
          <cell r="S33796">
            <v>2098.21</v>
          </cell>
          <cell r="X33796" t="str">
            <v>GWP - gross</v>
          </cell>
          <cell r="Y33796" t="str">
            <v>UNITED KINGDOM</v>
          </cell>
        </row>
        <row r="33797">
          <cell r="L33797" t="str">
            <v>Proportional</v>
          </cell>
          <cell r="S33797">
            <v>27323.78</v>
          </cell>
          <cell r="X33797" t="str">
            <v>GWP - gross</v>
          </cell>
          <cell r="Y33797" t="str">
            <v>CHILE</v>
          </cell>
        </row>
        <row r="33798">
          <cell r="L33798" t="str">
            <v>Non-proportional</v>
          </cell>
          <cell r="S33798">
            <v>2517.34</v>
          </cell>
          <cell r="X33798" t="str">
            <v>GWP - gross</v>
          </cell>
          <cell r="Y33798" t="str">
            <v>ECUADOR</v>
          </cell>
        </row>
        <row r="33799">
          <cell r="L33799" t="str">
            <v>Non-proportional</v>
          </cell>
          <cell r="S33799">
            <v>-1934.62</v>
          </cell>
          <cell r="X33799" t="str">
            <v>GWP - gross</v>
          </cell>
          <cell r="Y33799" t="str">
            <v>ISRAEL</v>
          </cell>
        </row>
        <row r="33800">
          <cell r="L33800" t="str">
            <v>Non-proportional</v>
          </cell>
          <cell r="S33800">
            <v>33504.769999999997</v>
          </cell>
          <cell r="X33800" t="str">
            <v>GWP - gross</v>
          </cell>
          <cell r="Y33800" t="str">
            <v>CHINA</v>
          </cell>
        </row>
        <row r="33801">
          <cell r="L33801" t="str">
            <v>Non-proportional</v>
          </cell>
          <cell r="S33801">
            <v>-35714.5</v>
          </cell>
          <cell r="X33801" t="str">
            <v>GWP - gross</v>
          </cell>
          <cell r="Y33801" t="str">
            <v>CHINA</v>
          </cell>
        </row>
        <row r="33802">
          <cell r="L33802" t="str">
            <v>Non-proportional</v>
          </cell>
          <cell r="S33802">
            <v>4168.29</v>
          </cell>
          <cell r="X33802" t="str">
            <v>GWP - gross</v>
          </cell>
          <cell r="Y33802" t="str">
            <v>JAPAN</v>
          </cell>
        </row>
        <row r="33803">
          <cell r="L33803" t="str">
            <v>Non-proportional</v>
          </cell>
          <cell r="S33803">
            <v>54487.58</v>
          </cell>
          <cell r="X33803" t="str">
            <v>GWP - gross</v>
          </cell>
          <cell r="Y33803" t="str">
            <v>COLOMBIA</v>
          </cell>
        </row>
        <row r="33804">
          <cell r="L33804" t="str">
            <v>Non-proportional</v>
          </cell>
          <cell r="S33804">
            <v>-8805.83</v>
          </cell>
          <cell r="X33804" t="str">
            <v>GWP - gross</v>
          </cell>
          <cell r="Y33804" t="str">
            <v>AUSTRALIA</v>
          </cell>
        </row>
        <row r="33805">
          <cell r="L33805" t="str">
            <v>Non-proportional</v>
          </cell>
          <cell r="S33805">
            <v>281250</v>
          </cell>
          <cell r="X33805" t="str">
            <v>GWP - gross</v>
          </cell>
          <cell r="Y33805" t="str">
            <v>FRANCE</v>
          </cell>
        </row>
        <row r="33806">
          <cell r="L33806" t="str">
            <v>Proportional</v>
          </cell>
          <cell r="S33806">
            <v>-10812.49</v>
          </cell>
          <cell r="X33806" t="str">
            <v>GWP - gross</v>
          </cell>
          <cell r="Y33806" t="str">
            <v>AUSTRALIA</v>
          </cell>
        </row>
        <row r="33807">
          <cell r="L33807" t="str">
            <v>Non-proportional</v>
          </cell>
          <cell r="S33807">
            <v>18000</v>
          </cell>
          <cell r="X33807" t="str">
            <v>GWP - gross</v>
          </cell>
          <cell r="Y33807" t="str">
            <v>ITALY</v>
          </cell>
        </row>
        <row r="33808">
          <cell r="L33808" t="str">
            <v>Non-proportional</v>
          </cell>
          <cell r="S33808">
            <v>1347.43</v>
          </cell>
          <cell r="X33808" t="str">
            <v>GWP - gross</v>
          </cell>
          <cell r="Y33808" t="str">
            <v>CHILE</v>
          </cell>
        </row>
        <row r="33809">
          <cell r="L33809" t="str">
            <v>Non-proportional</v>
          </cell>
          <cell r="S33809">
            <v>-1456.68</v>
          </cell>
          <cell r="X33809" t="str">
            <v>GWP - gross</v>
          </cell>
          <cell r="Y33809" t="str">
            <v>CHILE</v>
          </cell>
        </row>
        <row r="33810">
          <cell r="L33810" t="str">
            <v>Non-proportional</v>
          </cell>
          <cell r="S33810">
            <v>97507.11</v>
          </cell>
          <cell r="X33810" t="str">
            <v>GWP - gross</v>
          </cell>
          <cell r="Y33810" t="str">
            <v>PERU</v>
          </cell>
        </row>
        <row r="33811">
          <cell r="L33811" t="str">
            <v>Non-proportional</v>
          </cell>
          <cell r="S33811">
            <v>327.75</v>
          </cell>
          <cell r="X33811" t="str">
            <v>GWP - gross</v>
          </cell>
          <cell r="Y33811" t="str">
            <v>CHILE</v>
          </cell>
        </row>
        <row r="33812">
          <cell r="L33812" t="str">
            <v>Non-proportional</v>
          </cell>
          <cell r="S33812">
            <v>940.29</v>
          </cell>
          <cell r="X33812" t="str">
            <v>GWP - gross</v>
          </cell>
          <cell r="Y33812" t="str">
            <v>DOMINICAN REPUBLIC</v>
          </cell>
        </row>
        <row r="33813">
          <cell r="L33813" t="str">
            <v>Non-proportional</v>
          </cell>
          <cell r="S33813">
            <v>-44498.19</v>
          </cell>
          <cell r="X33813" t="str">
            <v>GWP - gross</v>
          </cell>
          <cell r="Y33813" t="str">
            <v>COLOMBIA</v>
          </cell>
        </row>
        <row r="33814">
          <cell r="L33814" t="str">
            <v>Non-proportional</v>
          </cell>
          <cell r="S33814">
            <v>11107.62</v>
          </cell>
          <cell r="X33814" t="str">
            <v>GWP - gross</v>
          </cell>
          <cell r="Y33814" t="str">
            <v>AUSTRALIA</v>
          </cell>
        </row>
        <row r="33815">
          <cell r="L33815" t="str">
            <v>Non-proportional</v>
          </cell>
          <cell r="S33815">
            <v>-44271.16</v>
          </cell>
          <cell r="X33815" t="str">
            <v>GWP - gross</v>
          </cell>
          <cell r="Y33815" t="str">
            <v>COLOMBIA</v>
          </cell>
        </row>
        <row r="33816">
          <cell r="L33816" t="str">
            <v>Non-proportional</v>
          </cell>
          <cell r="S33816">
            <v>34929.17</v>
          </cell>
          <cell r="X33816" t="str">
            <v>GWP - gross</v>
          </cell>
          <cell r="Y33816" t="str">
            <v>DOMINICAN REPUBLIC</v>
          </cell>
        </row>
        <row r="33817">
          <cell r="L33817" t="str">
            <v>Proportional</v>
          </cell>
          <cell r="S33817">
            <v>-5689.16</v>
          </cell>
          <cell r="X33817" t="str">
            <v>GWP - gross</v>
          </cell>
          <cell r="Y33817" t="str">
            <v>FRANCE</v>
          </cell>
        </row>
        <row r="33818">
          <cell r="L33818" t="str">
            <v>Non-proportional</v>
          </cell>
          <cell r="S33818">
            <v>1763.54</v>
          </cell>
          <cell r="X33818" t="str">
            <v>GWP - gross</v>
          </cell>
          <cell r="Y33818" t="str">
            <v>ECUADOR</v>
          </cell>
        </row>
        <row r="33819">
          <cell r="L33819" t="str">
            <v>Proportional</v>
          </cell>
          <cell r="S33819">
            <v>-28146</v>
          </cell>
          <cell r="X33819" t="str">
            <v>GWP - gross</v>
          </cell>
          <cell r="Y33819" t="str">
            <v>SWITZERLAND</v>
          </cell>
        </row>
        <row r="33820">
          <cell r="L33820" t="str">
            <v>Non-proportional</v>
          </cell>
          <cell r="S33820">
            <v>-2004.02</v>
          </cell>
          <cell r="X33820" t="str">
            <v>GWP - gross</v>
          </cell>
          <cell r="Y33820" t="str">
            <v>ECUADOR</v>
          </cell>
        </row>
        <row r="33821">
          <cell r="L33821" t="str">
            <v>Non-proportional</v>
          </cell>
          <cell r="S33821">
            <v>3313.96</v>
          </cell>
          <cell r="X33821" t="str">
            <v>GWP - gross</v>
          </cell>
          <cell r="Y33821" t="str">
            <v>CHILE</v>
          </cell>
        </row>
        <row r="33822">
          <cell r="L33822" t="str">
            <v>Non-proportional</v>
          </cell>
          <cell r="S33822">
            <v>-1763.54</v>
          </cell>
          <cell r="X33822" t="str">
            <v>GWP - gross</v>
          </cell>
          <cell r="Y33822" t="str">
            <v>ECUADOR</v>
          </cell>
        </row>
        <row r="33823">
          <cell r="L33823" t="str">
            <v>Non-proportional</v>
          </cell>
          <cell r="S33823">
            <v>1541.82</v>
          </cell>
          <cell r="X33823" t="str">
            <v>GWP - gross</v>
          </cell>
          <cell r="Y33823" t="str">
            <v>PERU</v>
          </cell>
        </row>
        <row r="33824">
          <cell r="L33824" t="str">
            <v>Non-proportional</v>
          </cell>
          <cell r="S33824">
            <v>-97507.11</v>
          </cell>
          <cell r="X33824" t="str">
            <v>GWP - gross</v>
          </cell>
          <cell r="Y33824" t="str">
            <v>PERU</v>
          </cell>
        </row>
        <row r="33825">
          <cell r="L33825" t="str">
            <v>Non-proportional</v>
          </cell>
          <cell r="S33825">
            <v>-1456.68</v>
          </cell>
          <cell r="X33825" t="str">
            <v>GWP - gross</v>
          </cell>
          <cell r="Y33825" t="str">
            <v>CHILE</v>
          </cell>
        </row>
        <row r="33826">
          <cell r="L33826" t="str">
            <v>Non-proportional</v>
          </cell>
          <cell r="S33826">
            <v>-9052.6299999999992</v>
          </cell>
          <cell r="X33826" t="str">
            <v>GWP - gross</v>
          </cell>
          <cell r="Y33826" t="str">
            <v>DOMINICAN REPUBLIC</v>
          </cell>
        </row>
        <row r="33827">
          <cell r="L33827" t="str">
            <v>Non-proportional</v>
          </cell>
          <cell r="S33827">
            <v>-11230.18</v>
          </cell>
          <cell r="X33827" t="str">
            <v>GWP - gross</v>
          </cell>
          <cell r="Y33827" t="str">
            <v>INDIA</v>
          </cell>
        </row>
        <row r="33828">
          <cell r="L33828" t="str">
            <v>Non-proportional</v>
          </cell>
          <cell r="S33828">
            <v>-11738.53</v>
          </cell>
          <cell r="X33828" t="str">
            <v>GWP - gross</v>
          </cell>
          <cell r="Y33828" t="str">
            <v>AUSTRALIA</v>
          </cell>
        </row>
        <row r="33829">
          <cell r="L33829" t="str">
            <v>Non-proportional</v>
          </cell>
          <cell r="S33829">
            <v>17375</v>
          </cell>
          <cell r="X33829" t="str">
            <v>GWP - gross</v>
          </cell>
          <cell r="Y33829" t="str">
            <v>ITALY</v>
          </cell>
        </row>
        <row r="33830">
          <cell r="L33830" t="str">
            <v>Non-proportional</v>
          </cell>
          <cell r="S33830">
            <v>-12665.36</v>
          </cell>
          <cell r="X33830" t="str">
            <v>GWP - gross</v>
          </cell>
          <cell r="Y33830" t="str">
            <v>UNITED KINGDOM</v>
          </cell>
        </row>
        <row r="33831">
          <cell r="L33831" t="str">
            <v>Non-proportional</v>
          </cell>
          <cell r="S33831">
            <v>5731.83</v>
          </cell>
          <cell r="X33831" t="str">
            <v>GWP - gross</v>
          </cell>
          <cell r="Y33831" t="str">
            <v>JAPAN</v>
          </cell>
        </row>
        <row r="33832">
          <cell r="L33832" t="str">
            <v>Non-proportional</v>
          </cell>
          <cell r="S33832">
            <v>-18000</v>
          </cell>
          <cell r="X33832" t="str">
            <v>GWP - gross</v>
          </cell>
          <cell r="Y33832" t="str">
            <v>ITALY</v>
          </cell>
        </row>
        <row r="33833">
          <cell r="L33833" t="str">
            <v>Non-proportional</v>
          </cell>
          <cell r="S33833">
            <v>1456.68</v>
          </cell>
          <cell r="X33833" t="str">
            <v>GWP - gross</v>
          </cell>
          <cell r="Y33833" t="str">
            <v>CHILE</v>
          </cell>
        </row>
        <row r="33834">
          <cell r="L33834" t="str">
            <v>Proportional</v>
          </cell>
          <cell r="S33834">
            <v>-15.66</v>
          </cell>
          <cell r="X33834" t="str">
            <v>GWP - gross</v>
          </cell>
          <cell r="Y33834" t="str">
            <v>CHILE</v>
          </cell>
        </row>
        <row r="33835">
          <cell r="L33835" t="str">
            <v>Non-proportional</v>
          </cell>
          <cell r="S33835">
            <v>50853.599999999999</v>
          </cell>
          <cell r="X33835" t="str">
            <v>GWP - gross</v>
          </cell>
          <cell r="Y33835" t="str">
            <v>ECUADOR</v>
          </cell>
        </row>
        <row r="33836">
          <cell r="L33836" t="str">
            <v>Proportional</v>
          </cell>
          <cell r="S33836">
            <v>1.75</v>
          </cell>
          <cell r="X33836" t="str">
            <v>GWP - gross</v>
          </cell>
          <cell r="Y33836" t="str">
            <v>GERMANY</v>
          </cell>
        </row>
        <row r="33837">
          <cell r="L33837" t="str">
            <v>Proportional</v>
          </cell>
          <cell r="S33837">
            <v>14664.9</v>
          </cell>
          <cell r="X33837" t="str">
            <v>GWP - gross</v>
          </cell>
          <cell r="Y33837" t="str">
            <v>BRAZIL</v>
          </cell>
        </row>
        <row r="33838">
          <cell r="L33838" t="str">
            <v>Non-proportional</v>
          </cell>
          <cell r="S33838">
            <v>2095.83</v>
          </cell>
          <cell r="X33838" t="str">
            <v>GWP - gross</v>
          </cell>
          <cell r="Y33838" t="str">
            <v>DOMINICAN REPUBLIC</v>
          </cell>
        </row>
        <row r="33839">
          <cell r="L33839" t="str">
            <v>Non-proportional</v>
          </cell>
          <cell r="S33839">
            <v>-11250</v>
          </cell>
          <cell r="X33839" t="str">
            <v>GWP - gross</v>
          </cell>
          <cell r="Y33839" t="str">
            <v>ITALY</v>
          </cell>
        </row>
        <row r="33840">
          <cell r="L33840" t="str">
            <v>Non-proportional</v>
          </cell>
          <cell r="S33840">
            <v>996.32</v>
          </cell>
          <cell r="X33840" t="str">
            <v>GWP - gross</v>
          </cell>
          <cell r="Y33840" t="str">
            <v>ISRAEL</v>
          </cell>
        </row>
        <row r="33841">
          <cell r="L33841" t="str">
            <v>Non-proportional</v>
          </cell>
          <cell r="S33841">
            <v>-1140.1400000000001</v>
          </cell>
          <cell r="X33841" t="str">
            <v>GWP - gross</v>
          </cell>
          <cell r="Y33841" t="str">
            <v>DOMINICAN REPUBLIC</v>
          </cell>
        </row>
        <row r="33842">
          <cell r="L33842" t="str">
            <v>Non-proportional</v>
          </cell>
          <cell r="S33842">
            <v>33191.699999999997</v>
          </cell>
          <cell r="X33842" t="str">
            <v>GWP - gross</v>
          </cell>
          <cell r="Y33842" t="str">
            <v>GERMANY</v>
          </cell>
        </row>
        <row r="33843">
          <cell r="L33843" t="str">
            <v>Non-proportional</v>
          </cell>
          <cell r="S33843">
            <v>-30.31</v>
          </cell>
          <cell r="X33843" t="str">
            <v>GWP - gross</v>
          </cell>
          <cell r="Y33843" t="str">
            <v>DOMINICAN REPUBLIC</v>
          </cell>
        </row>
        <row r="33844">
          <cell r="L33844" t="str">
            <v>Non-proportional</v>
          </cell>
          <cell r="S33844">
            <v>-1347.43</v>
          </cell>
          <cell r="X33844" t="str">
            <v>GWP - gross</v>
          </cell>
          <cell r="Y33844" t="str">
            <v>CHILE</v>
          </cell>
        </row>
        <row r="33845">
          <cell r="L33845" t="str">
            <v>Proportional</v>
          </cell>
          <cell r="S33845">
            <v>-33576.559999999998</v>
          </cell>
          <cell r="X33845" t="str">
            <v>GWP - gross</v>
          </cell>
          <cell r="Y33845" t="str">
            <v>CHILE</v>
          </cell>
        </row>
        <row r="33846">
          <cell r="L33846" t="str">
            <v>Non-proportional</v>
          </cell>
          <cell r="S33846">
            <v>-1456.68</v>
          </cell>
          <cell r="X33846" t="str">
            <v>GWP - gross</v>
          </cell>
          <cell r="Y33846" t="str">
            <v>CHILE</v>
          </cell>
        </row>
        <row r="33847">
          <cell r="L33847" t="str">
            <v>Proportional</v>
          </cell>
          <cell r="S33847">
            <v>-60134.07</v>
          </cell>
          <cell r="X33847" t="str">
            <v>GWP - gross</v>
          </cell>
          <cell r="Y33847" t="str">
            <v>United kingdom</v>
          </cell>
        </row>
        <row r="33848">
          <cell r="L33848" t="str">
            <v>Non-proportional</v>
          </cell>
          <cell r="S33848">
            <v>-2913.37</v>
          </cell>
          <cell r="X33848" t="str">
            <v>GWP - gross</v>
          </cell>
          <cell r="Y33848" t="str">
            <v>CHILE</v>
          </cell>
        </row>
        <row r="33849">
          <cell r="L33849" t="str">
            <v>Non-proportional</v>
          </cell>
          <cell r="S33849">
            <v>-7768.63</v>
          </cell>
          <cell r="X33849" t="str">
            <v>GWP - gross</v>
          </cell>
          <cell r="Y33849" t="str">
            <v>DOMINICAN REPUBLIC</v>
          </cell>
        </row>
        <row r="33850">
          <cell r="L33850" t="str">
            <v>Non-proportional</v>
          </cell>
          <cell r="S33850">
            <v>-6750</v>
          </cell>
          <cell r="X33850" t="str">
            <v>GWP - gross</v>
          </cell>
          <cell r="Y33850" t="str">
            <v>ITALY</v>
          </cell>
        </row>
        <row r="33851">
          <cell r="L33851" t="str">
            <v>Proportional</v>
          </cell>
          <cell r="S33851">
            <v>82868.53</v>
          </cell>
          <cell r="X33851" t="str">
            <v>GWP - gross</v>
          </cell>
          <cell r="Y33851" t="str">
            <v>MEXICO</v>
          </cell>
        </row>
        <row r="33852">
          <cell r="L33852" t="str">
            <v>Proportional</v>
          </cell>
          <cell r="S33852">
            <v>12952.4</v>
          </cell>
          <cell r="X33852" t="str">
            <v>GWP - gross</v>
          </cell>
          <cell r="Y33852" t="str">
            <v>CHILE</v>
          </cell>
        </row>
        <row r="33853">
          <cell r="L33853" t="str">
            <v>Non-proportional</v>
          </cell>
          <cell r="S33853">
            <v>55816</v>
          </cell>
          <cell r="X33853" t="str">
            <v>GWP - gross</v>
          </cell>
          <cell r="Y33853" t="str">
            <v>GERMANY</v>
          </cell>
        </row>
        <row r="33854">
          <cell r="L33854" t="str">
            <v>Non-proportional</v>
          </cell>
          <cell r="S33854">
            <v>-33504.769999999997</v>
          </cell>
          <cell r="X33854" t="str">
            <v>GWP - gross</v>
          </cell>
          <cell r="Y33854" t="str">
            <v>CHINA</v>
          </cell>
        </row>
        <row r="33855">
          <cell r="L33855" t="str">
            <v>Non-proportional</v>
          </cell>
          <cell r="S33855">
            <v>-34753.410000000003</v>
          </cell>
          <cell r="X33855" t="str">
            <v>GWP - gross</v>
          </cell>
          <cell r="Y33855" t="str">
            <v>DOMINICAN REPUBLIC</v>
          </cell>
        </row>
        <row r="33856">
          <cell r="L33856" t="str">
            <v>Non-proportional</v>
          </cell>
          <cell r="S33856">
            <v>-582.66999999999996</v>
          </cell>
          <cell r="X33856" t="str">
            <v>GWP - gross</v>
          </cell>
          <cell r="Y33856" t="str">
            <v>CHILE</v>
          </cell>
        </row>
        <row r="33857">
          <cell r="L33857" t="str">
            <v>Non-proportional</v>
          </cell>
          <cell r="S33857">
            <v>-286218.27</v>
          </cell>
          <cell r="X33857" t="str">
            <v>GWP - gross</v>
          </cell>
          <cell r="Y33857" t="str">
            <v>FRANCE</v>
          </cell>
        </row>
        <row r="33858">
          <cell r="L33858" t="str">
            <v>Non-proportional</v>
          </cell>
          <cell r="S33858">
            <v>-1347.43</v>
          </cell>
          <cell r="X33858" t="str">
            <v>GWP - gross</v>
          </cell>
          <cell r="Y33858" t="str">
            <v>CHILE</v>
          </cell>
        </row>
        <row r="33859">
          <cell r="L33859" t="str">
            <v>Proportional</v>
          </cell>
          <cell r="S33859">
            <v>92618.39</v>
          </cell>
          <cell r="X33859" t="str">
            <v>GWP - gross</v>
          </cell>
          <cell r="Y33859" t="str">
            <v>MEXICO</v>
          </cell>
        </row>
        <row r="33860">
          <cell r="L33860" t="str">
            <v>Non-proportional</v>
          </cell>
          <cell r="S33860">
            <v>-8859.09</v>
          </cell>
          <cell r="X33860" t="str">
            <v>GWP - gross</v>
          </cell>
          <cell r="Y33860" t="str">
            <v>UNITED KINGDOM</v>
          </cell>
        </row>
        <row r="33861">
          <cell r="L33861" t="str">
            <v>Non-proportional</v>
          </cell>
          <cell r="S33861">
            <v>-1630.21</v>
          </cell>
          <cell r="X33861" t="str">
            <v>GWP - gross</v>
          </cell>
          <cell r="Y33861" t="str">
            <v>UNITED KINGDOM</v>
          </cell>
        </row>
        <row r="33862">
          <cell r="L33862" t="str">
            <v>Proportional</v>
          </cell>
          <cell r="S33862">
            <v>-1425.97</v>
          </cell>
          <cell r="X33862" t="str">
            <v>GWP - gross</v>
          </cell>
          <cell r="Y33862" t="str">
            <v>CHILE</v>
          </cell>
        </row>
        <row r="33863">
          <cell r="L33863" t="str">
            <v>Proportional</v>
          </cell>
          <cell r="S33863">
            <v>318948.18</v>
          </cell>
          <cell r="X33863" t="str">
            <v>GWP - gross</v>
          </cell>
          <cell r="Y33863" t="str">
            <v>SWITZERLAND</v>
          </cell>
        </row>
        <row r="33864">
          <cell r="L33864" t="str">
            <v>Non-proportional</v>
          </cell>
          <cell r="S33864">
            <v>-7468.41</v>
          </cell>
          <cell r="X33864" t="str">
            <v>GWP - gross</v>
          </cell>
          <cell r="Y33864" t="str">
            <v>DENMARK</v>
          </cell>
        </row>
        <row r="33865">
          <cell r="L33865" t="str">
            <v>Proportional</v>
          </cell>
          <cell r="S33865">
            <v>-92924.160000000003</v>
          </cell>
          <cell r="X33865" t="str">
            <v>GWP - gross</v>
          </cell>
          <cell r="Y33865" t="str">
            <v>FRANCE</v>
          </cell>
        </row>
        <row r="33866">
          <cell r="L33866" t="str">
            <v>Non-proportional</v>
          </cell>
          <cell r="S33866">
            <v>582.66999999999996</v>
          </cell>
          <cell r="X33866" t="str">
            <v>GWP - gross</v>
          </cell>
          <cell r="Y33866" t="str">
            <v>CHILE</v>
          </cell>
        </row>
        <row r="33867">
          <cell r="L33867" t="str">
            <v>Non-proportional</v>
          </cell>
          <cell r="S33867">
            <v>-4525</v>
          </cell>
          <cell r="X33867" t="str">
            <v>GWP - gross</v>
          </cell>
          <cell r="Y33867" t="str">
            <v>ITALY</v>
          </cell>
        </row>
        <row r="33868">
          <cell r="L33868" t="str">
            <v>Non-proportional</v>
          </cell>
          <cell r="S33868">
            <v>-861.81</v>
          </cell>
          <cell r="X33868" t="str">
            <v>GWP - gross</v>
          </cell>
          <cell r="Y33868" t="str">
            <v>DOMINICAN REPUBLIC</v>
          </cell>
        </row>
        <row r="33869">
          <cell r="L33869" t="str">
            <v>Proportional</v>
          </cell>
          <cell r="S33869">
            <v>100473315.09999999</v>
          </cell>
          <cell r="X33869" t="str">
            <v>GWP - gross</v>
          </cell>
          <cell r="Y33869" t="str">
            <v>ITALY</v>
          </cell>
        </row>
        <row r="33870">
          <cell r="L33870" t="str">
            <v>Proportional</v>
          </cell>
          <cell r="S33870">
            <v>-4479.3</v>
          </cell>
          <cell r="X33870" t="str">
            <v>GWP - gross</v>
          </cell>
          <cell r="Y33870" t="str">
            <v>CHILE</v>
          </cell>
        </row>
        <row r="33871">
          <cell r="L33871" t="str">
            <v>Proportional</v>
          </cell>
          <cell r="S33871">
            <v>48189.35</v>
          </cell>
          <cell r="X33871" t="str">
            <v>GWP - gross</v>
          </cell>
          <cell r="Y33871" t="str">
            <v>FRANCE</v>
          </cell>
        </row>
        <row r="33872">
          <cell r="L33872" t="str">
            <v>Non-proportional</v>
          </cell>
          <cell r="S33872">
            <v>-1493.1</v>
          </cell>
          <cell r="X33872" t="str">
            <v>GWP - gross</v>
          </cell>
          <cell r="Y33872" t="str">
            <v>CHILE</v>
          </cell>
        </row>
        <row r="33873">
          <cell r="L33873" t="str">
            <v>Non-proportional</v>
          </cell>
          <cell r="S33873">
            <v>30.31</v>
          </cell>
          <cell r="X33873" t="str">
            <v>GWP - gross</v>
          </cell>
          <cell r="Y33873" t="str">
            <v>DOMINICAN REPUBLIC</v>
          </cell>
        </row>
        <row r="33874">
          <cell r="L33874" t="str">
            <v>Non-proportional</v>
          </cell>
          <cell r="S33874">
            <v>1701.47</v>
          </cell>
          <cell r="X33874" t="str">
            <v>GWP - gross</v>
          </cell>
          <cell r="Y33874" t="str">
            <v>PERU</v>
          </cell>
        </row>
        <row r="33875">
          <cell r="L33875" t="str">
            <v>Non-proportional</v>
          </cell>
          <cell r="S33875">
            <v>-14749.94</v>
          </cell>
          <cell r="X33875" t="str">
            <v>GWP - gross</v>
          </cell>
          <cell r="Y33875" t="str">
            <v>BRAZIL</v>
          </cell>
        </row>
        <row r="33876">
          <cell r="L33876" t="str">
            <v>Proportional</v>
          </cell>
          <cell r="S33876">
            <v>-2492.9499999999998</v>
          </cell>
          <cell r="X33876" t="str">
            <v>GWP - gross</v>
          </cell>
          <cell r="Y33876" t="str">
            <v>CHILE</v>
          </cell>
        </row>
        <row r="33877">
          <cell r="L33877" t="str">
            <v>Non-proportional</v>
          </cell>
          <cell r="S33877">
            <v>-64500.39</v>
          </cell>
          <cell r="X33877" t="str">
            <v>GWP - gross</v>
          </cell>
          <cell r="Y33877" t="str">
            <v>ECUADOR</v>
          </cell>
        </row>
        <row r="33878">
          <cell r="L33878" t="str">
            <v>Non-proportional</v>
          </cell>
          <cell r="S33878">
            <v>116067.56</v>
          </cell>
          <cell r="X33878" t="str">
            <v>GWP - gross</v>
          </cell>
          <cell r="Y33878" t="str">
            <v>ECUADOR</v>
          </cell>
        </row>
        <row r="33879">
          <cell r="L33879" t="str">
            <v>Proportional</v>
          </cell>
          <cell r="S33879">
            <v>-64627.54</v>
          </cell>
          <cell r="X33879" t="str">
            <v>GWP - gross</v>
          </cell>
          <cell r="Y33879" t="str">
            <v>united states</v>
          </cell>
        </row>
        <row r="33880">
          <cell r="L33880" t="str">
            <v>Non-proportional</v>
          </cell>
          <cell r="S33880">
            <v>-70286.98</v>
          </cell>
          <cell r="X33880" t="str">
            <v>GWP - gross</v>
          </cell>
          <cell r="Y33880" t="str">
            <v>UNITED KINGDOM</v>
          </cell>
        </row>
        <row r="33881">
          <cell r="L33881" t="str">
            <v>Non-proportional</v>
          </cell>
          <cell r="S33881">
            <v>-7610.84</v>
          </cell>
          <cell r="X33881" t="str">
            <v>GWP - gross</v>
          </cell>
          <cell r="Y33881" t="str">
            <v>UNITED KINGDOM</v>
          </cell>
        </row>
        <row r="33882">
          <cell r="L33882" t="str">
            <v>Non-proportional</v>
          </cell>
          <cell r="S33882">
            <v>5041.4799999999996</v>
          </cell>
          <cell r="X33882" t="str">
            <v>GWP - gross</v>
          </cell>
          <cell r="Y33882" t="str">
            <v>DOMINICAN REPUBLIC</v>
          </cell>
        </row>
        <row r="33883">
          <cell r="L33883" t="str">
            <v>Non-proportional</v>
          </cell>
          <cell r="S33883">
            <v>-40682.879999999997</v>
          </cell>
          <cell r="X33883" t="str">
            <v>GWP - gross</v>
          </cell>
          <cell r="Y33883" t="str">
            <v>ECUADOR</v>
          </cell>
        </row>
        <row r="33884">
          <cell r="L33884" t="str">
            <v>Non-proportional</v>
          </cell>
          <cell r="S33884">
            <v>44271.16</v>
          </cell>
          <cell r="X33884" t="str">
            <v>GWP - gross</v>
          </cell>
          <cell r="Y33884" t="str">
            <v>COLOMBIA</v>
          </cell>
        </row>
        <row r="33885">
          <cell r="L33885" t="str">
            <v>Proportional</v>
          </cell>
          <cell r="S33885">
            <v>8261.01</v>
          </cell>
          <cell r="X33885" t="str">
            <v>GWP - gross</v>
          </cell>
          <cell r="Y33885" t="str">
            <v>norway</v>
          </cell>
        </row>
        <row r="33886">
          <cell r="L33886" t="str">
            <v>Non-proportional</v>
          </cell>
          <cell r="S33886">
            <v>2095.83</v>
          </cell>
          <cell r="X33886" t="str">
            <v>GWP - gross</v>
          </cell>
          <cell r="Y33886" t="str">
            <v>DOMINICAN REPUBLIC</v>
          </cell>
        </row>
        <row r="33887">
          <cell r="L33887" t="str">
            <v>Non-proportional</v>
          </cell>
          <cell r="S33887">
            <v>-1675.19</v>
          </cell>
          <cell r="X33887" t="str">
            <v>GWP - gross</v>
          </cell>
          <cell r="Y33887" t="str">
            <v>CHILE</v>
          </cell>
        </row>
        <row r="33888">
          <cell r="L33888" t="str">
            <v>Proportional</v>
          </cell>
          <cell r="S33888">
            <v>34790.86</v>
          </cell>
          <cell r="X33888" t="str">
            <v>GWP - gross</v>
          </cell>
          <cell r="Y33888" t="str">
            <v>UNITED KINGDOM</v>
          </cell>
        </row>
        <row r="33889">
          <cell r="L33889" t="str">
            <v>Non-proportional</v>
          </cell>
          <cell r="S33889">
            <v>-109997.21</v>
          </cell>
          <cell r="X33889" t="str">
            <v>GWP - gross</v>
          </cell>
          <cell r="Y33889" t="str">
            <v>ECUADOR</v>
          </cell>
        </row>
        <row r="33890">
          <cell r="L33890" t="str">
            <v>Proportional</v>
          </cell>
          <cell r="S33890">
            <v>20009.43</v>
          </cell>
          <cell r="X33890" t="str">
            <v>GWP - gross</v>
          </cell>
          <cell r="Y33890" t="str">
            <v>CHILE</v>
          </cell>
        </row>
        <row r="33891">
          <cell r="L33891" t="str">
            <v>Proportional</v>
          </cell>
          <cell r="S33891">
            <v>-1711.6</v>
          </cell>
          <cell r="X33891" t="str">
            <v>GWP - gross</v>
          </cell>
          <cell r="Y33891" t="str">
            <v>CHILE</v>
          </cell>
        </row>
        <row r="33892">
          <cell r="L33892" t="str">
            <v>Proportional</v>
          </cell>
          <cell r="S33892">
            <v>33241.230000000003</v>
          </cell>
          <cell r="X33892" t="str">
            <v>GWP - gross</v>
          </cell>
          <cell r="Y33892" t="str">
            <v>FRANCE</v>
          </cell>
        </row>
        <row r="33893">
          <cell r="L33893" t="str">
            <v>Non-proportional</v>
          </cell>
          <cell r="S33893">
            <v>5483.06</v>
          </cell>
          <cell r="X33893" t="str">
            <v>GWP - gross</v>
          </cell>
          <cell r="Y33893" t="str">
            <v>AUSTRALIA</v>
          </cell>
        </row>
        <row r="33894">
          <cell r="L33894" t="str">
            <v>Non-proportional</v>
          </cell>
          <cell r="S33894">
            <v>-59602.55</v>
          </cell>
          <cell r="X33894" t="str">
            <v>GWP - gross</v>
          </cell>
          <cell r="Y33894" t="str">
            <v>DOMINICAN REPUBLIC</v>
          </cell>
        </row>
        <row r="33895">
          <cell r="L33895" t="str">
            <v>Non-proportional</v>
          </cell>
          <cell r="S33895">
            <v>-324.54000000000002</v>
          </cell>
          <cell r="X33895" t="str">
            <v>GWP - gross</v>
          </cell>
          <cell r="Y33895" t="str">
            <v>FRANCE</v>
          </cell>
        </row>
        <row r="33896">
          <cell r="L33896" t="str">
            <v>Non-proportional</v>
          </cell>
          <cell r="S33896">
            <v>-2539.21</v>
          </cell>
          <cell r="X33896" t="str">
            <v>GWP - gross</v>
          </cell>
          <cell r="Y33896" t="str">
            <v>PERU</v>
          </cell>
        </row>
        <row r="33897">
          <cell r="L33897" t="str">
            <v>Proportional</v>
          </cell>
          <cell r="S33897">
            <v>-82868.53</v>
          </cell>
          <cell r="X33897" t="str">
            <v>GWP - gross</v>
          </cell>
          <cell r="Y33897" t="str">
            <v>MEXICO</v>
          </cell>
        </row>
        <row r="33898">
          <cell r="L33898" t="str">
            <v>Proportional</v>
          </cell>
          <cell r="S33898">
            <v>-32.92</v>
          </cell>
          <cell r="X33898" t="str">
            <v>GWP - gross</v>
          </cell>
          <cell r="Y33898" t="str">
            <v>CHILE</v>
          </cell>
        </row>
        <row r="33899">
          <cell r="L33899" t="str">
            <v>Non-proportional</v>
          </cell>
          <cell r="S33899">
            <v>3272.93</v>
          </cell>
          <cell r="X33899" t="str">
            <v>GWP - gross</v>
          </cell>
          <cell r="Y33899" t="str">
            <v>FRANCE</v>
          </cell>
        </row>
        <row r="33900">
          <cell r="L33900" t="str">
            <v>Non-proportional</v>
          </cell>
          <cell r="S33900">
            <v>327.75</v>
          </cell>
          <cell r="X33900" t="str">
            <v>GWP - gross</v>
          </cell>
          <cell r="Y33900" t="str">
            <v>CHILE</v>
          </cell>
        </row>
        <row r="33901">
          <cell r="L33901" t="str">
            <v>Non-proportional</v>
          </cell>
          <cell r="S33901">
            <v>1347.43</v>
          </cell>
          <cell r="X33901" t="str">
            <v>GWP - gross</v>
          </cell>
          <cell r="Y33901" t="str">
            <v>CHILE</v>
          </cell>
        </row>
        <row r="33902">
          <cell r="L33902" t="str">
            <v>Non-proportional</v>
          </cell>
          <cell r="S33902">
            <v>7474.05</v>
          </cell>
          <cell r="X33902" t="str">
            <v>GWP - gross</v>
          </cell>
          <cell r="Y33902" t="str">
            <v>JAPAN</v>
          </cell>
        </row>
        <row r="33903">
          <cell r="L33903" t="str">
            <v>Non-proportional</v>
          </cell>
          <cell r="S33903">
            <v>14983.67</v>
          </cell>
          <cell r="X33903" t="str">
            <v>GWP - gross</v>
          </cell>
          <cell r="Y33903" t="str">
            <v>AUSTRALIA</v>
          </cell>
        </row>
        <row r="33904">
          <cell r="L33904" t="str">
            <v>Non-proportional</v>
          </cell>
          <cell r="S33904">
            <v>7858</v>
          </cell>
          <cell r="X33904" t="str">
            <v>GWP - gross</v>
          </cell>
          <cell r="Y33904" t="str">
            <v>JAPAN</v>
          </cell>
        </row>
        <row r="33905">
          <cell r="L33905" t="str">
            <v>Non-proportional</v>
          </cell>
          <cell r="S33905">
            <v>-344.86</v>
          </cell>
          <cell r="X33905" t="str">
            <v>GWP - gross</v>
          </cell>
          <cell r="Y33905" t="str">
            <v>FRANCE</v>
          </cell>
        </row>
        <row r="33906">
          <cell r="L33906" t="str">
            <v>Proportional</v>
          </cell>
          <cell r="S33906">
            <v>-124139.02</v>
          </cell>
          <cell r="X33906" t="str">
            <v>GWP - gross</v>
          </cell>
          <cell r="Y33906" t="str">
            <v>ITALY</v>
          </cell>
        </row>
        <row r="33907">
          <cell r="L33907" t="str">
            <v>Proportional</v>
          </cell>
          <cell r="S33907">
            <v>-39023.94</v>
          </cell>
          <cell r="X33907" t="str">
            <v>GWP - gross</v>
          </cell>
          <cell r="Y33907" t="str">
            <v>MEXICO</v>
          </cell>
        </row>
        <row r="33908">
          <cell r="L33908" t="str">
            <v>Non-proportional</v>
          </cell>
          <cell r="S33908">
            <v>-327.75</v>
          </cell>
          <cell r="X33908" t="str">
            <v>GWP - gross</v>
          </cell>
          <cell r="Y33908" t="str">
            <v>CHILE</v>
          </cell>
        </row>
        <row r="33909">
          <cell r="L33909" t="str">
            <v>Non-proportional</v>
          </cell>
          <cell r="S33909">
            <v>26712.12</v>
          </cell>
          <cell r="X33909" t="str">
            <v>GWP - gross</v>
          </cell>
          <cell r="Y33909" t="str">
            <v>CHINA</v>
          </cell>
        </row>
        <row r="33910">
          <cell r="L33910" t="str">
            <v>Non-proportional</v>
          </cell>
          <cell r="S33910">
            <v>-59844.18</v>
          </cell>
          <cell r="X33910" t="str">
            <v>GWP - gross</v>
          </cell>
          <cell r="Y33910" t="str">
            <v>ECUADOR</v>
          </cell>
        </row>
        <row r="33911">
          <cell r="L33911" t="str">
            <v>Proportional</v>
          </cell>
          <cell r="S33911">
            <v>-51458.13</v>
          </cell>
          <cell r="X33911" t="str">
            <v>GWP - gross</v>
          </cell>
          <cell r="Y33911" t="str">
            <v>TURKEY</v>
          </cell>
        </row>
        <row r="33912">
          <cell r="L33912" t="str">
            <v>Proportional</v>
          </cell>
          <cell r="S33912">
            <v>81.680000000000007</v>
          </cell>
          <cell r="X33912" t="str">
            <v>GWP - gross</v>
          </cell>
          <cell r="Y33912" t="str">
            <v>FRANCE</v>
          </cell>
        </row>
        <row r="33913">
          <cell r="L33913" t="str">
            <v>Non-proportional</v>
          </cell>
          <cell r="S33913">
            <v>-116067.56</v>
          </cell>
          <cell r="X33913" t="str">
            <v>GWP - gross</v>
          </cell>
          <cell r="Y33913" t="str">
            <v>ECUADOR</v>
          </cell>
        </row>
        <row r="33914">
          <cell r="L33914" t="str">
            <v>Proportional</v>
          </cell>
          <cell r="S33914">
            <v>39041.589999999997</v>
          </cell>
          <cell r="X33914" t="str">
            <v>GWP - gross</v>
          </cell>
          <cell r="Y33914" t="str">
            <v>PORTUGAL</v>
          </cell>
        </row>
        <row r="33915">
          <cell r="L33915" t="str">
            <v>Non-proportional</v>
          </cell>
          <cell r="S33915">
            <v>-10875</v>
          </cell>
          <cell r="X33915" t="str">
            <v>GWP - gross</v>
          </cell>
          <cell r="Y33915" t="str">
            <v>ITALY</v>
          </cell>
        </row>
        <row r="33916">
          <cell r="L33916" t="str">
            <v>Non-proportional</v>
          </cell>
          <cell r="S33916">
            <v>-78096.86</v>
          </cell>
          <cell r="X33916" t="str">
            <v>GWP - gross</v>
          </cell>
          <cell r="Y33916" t="str">
            <v>UNITED KINGDOM</v>
          </cell>
        </row>
        <row r="33917">
          <cell r="L33917" t="str">
            <v>Non-proportional</v>
          </cell>
          <cell r="S33917">
            <v>-1667.54</v>
          </cell>
          <cell r="X33917" t="str">
            <v>GWP - gross</v>
          </cell>
          <cell r="Y33917" t="str">
            <v>FRANCE</v>
          </cell>
        </row>
        <row r="33918">
          <cell r="L33918" t="str">
            <v>Proportional</v>
          </cell>
          <cell r="S33918">
            <v>124139.02</v>
          </cell>
          <cell r="X33918" t="str">
            <v>GWP - gross</v>
          </cell>
          <cell r="Y33918" t="str">
            <v>ITALY</v>
          </cell>
        </row>
        <row r="33919">
          <cell r="L33919" t="str">
            <v>Proportional</v>
          </cell>
          <cell r="S33919">
            <v>-100473315.09999999</v>
          </cell>
          <cell r="X33919" t="str">
            <v>GWP - gross</v>
          </cell>
          <cell r="Y33919" t="str">
            <v>ITALY</v>
          </cell>
        </row>
        <row r="33920">
          <cell r="L33920" t="str">
            <v>Non-proportional</v>
          </cell>
          <cell r="S33920">
            <v>-40026.699999999997</v>
          </cell>
          <cell r="X33920" t="str">
            <v>GWP - gross</v>
          </cell>
          <cell r="Y33920" t="str">
            <v>BRAZIL</v>
          </cell>
        </row>
        <row r="33921">
          <cell r="L33921" t="str">
            <v>Proportional</v>
          </cell>
          <cell r="S33921">
            <v>-12319.48</v>
          </cell>
          <cell r="X33921" t="str">
            <v>GWP - gross</v>
          </cell>
          <cell r="Y33921" t="str">
            <v>malaysia</v>
          </cell>
        </row>
        <row r="33922">
          <cell r="L33922" t="str">
            <v>Non-proportional</v>
          </cell>
          <cell r="S33922">
            <v>-72964.990000000005</v>
          </cell>
          <cell r="X33922" t="str">
            <v>GWP - gross</v>
          </cell>
          <cell r="Y33922" t="str">
            <v>UNITED STATES</v>
          </cell>
        </row>
        <row r="33923">
          <cell r="L33923" t="str">
            <v>Non-proportional</v>
          </cell>
          <cell r="S33923">
            <v>10509.47</v>
          </cell>
          <cell r="X33923" t="str">
            <v>GWP - gross</v>
          </cell>
          <cell r="Y33923" t="str">
            <v>PERU</v>
          </cell>
        </row>
        <row r="33924">
          <cell r="L33924" t="str">
            <v>Non-proportional</v>
          </cell>
          <cell r="S33924">
            <v>20.58</v>
          </cell>
          <cell r="X33924" t="str">
            <v>GWP - gross</v>
          </cell>
          <cell r="Y33924" t="str">
            <v>GERMANY</v>
          </cell>
        </row>
        <row r="33925">
          <cell r="L33925" t="str">
            <v>Proportional</v>
          </cell>
          <cell r="S33925">
            <v>1674.12</v>
          </cell>
          <cell r="X33925" t="str">
            <v>GWP - gross</v>
          </cell>
          <cell r="Y33925" t="str">
            <v>CHILE</v>
          </cell>
        </row>
        <row r="33926">
          <cell r="L33926" t="str">
            <v>Non-proportional</v>
          </cell>
          <cell r="S33926">
            <v>106795.1</v>
          </cell>
          <cell r="X33926" t="str">
            <v>GWP - gross</v>
          </cell>
          <cell r="Y33926" t="str">
            <v>PERU</v>
          </cell>
        </row>
        <row r="33927">
          <cell r="L33927" t="str">
            <v>Non-proportional</v>
          </cell>
          <cell r="S33927">
            <v>-34929.17</v>
          </cell>
          <cell r="X33927" t="str">
            <v>GWP - gross</v>
          </cell>
          <cell r="Y33927" t="str">
            <v>DOMINICAN REPUBLIC</v>
          </cell>
        </row>
        <row r="33928">
          <cell r="L33928" t="str">
            <v>Proportional</v>
          </cell>
          <cell r="S33928">
            <v>-23302.68</v>
          </cell>
          <cell r="X33928" t="str">
            <v>GWP - gross</v>
          </cell>
          <cell r="Y33928" t="str">
            <v>JAPAN</v>
          </cell>
        </row>
        <row r="33929">
          <cell r="L33929" t="str">
            <v>Non-proportional</v>
          </cell>
          <cell r="S33929">
            <v>-1788.08</v>
          </cell>
          <cell r="X33929" t="str">
            <v>GWP - gross</v>
          </cell>
          <cell r="Y33929" t="str">
            <v>DOMINICAN REPUBLIC</v>
          </cell>
        </row>
        <row r="33930">
          <cell r="L33930" t="str">
            <v>Non-proportional</v>
          </cell>
          <cell r="S33930">
            <v>11250</v>
          </cell>
          <cell r="X33930" t="str">
            <v>GWP - gross</v>
          </cell>
          <cell r="Y33930" t="str">
            <v>ITALY</v>
          </cell>
        </row>
        <row r="33931">
          <cell r="L33931" t="str">
            <v>Proportional</v>
          </cell>
          <cell r="S33931">
            <v>-28004.75</v>
          </cell>
          <cell r="X33931" t="str">
            <v>GWP - gross</v>
          </cell>
          <cell r="Y33931" t="str">
            <v>CHILE</v>
          </cell>
        </row>
        <row r="33932">
          <cell r="L33932" t="str">
            <v>Non-proportional</v>
          </cell>
          <cell r="S33932">
            <v>-17226.77</v>
          </cell>
          <cell r="X33932" t="str">
            <v>GWP - gross</v>
          </cell>
          <cell r="Y33932" t="str">
            <v>UNITED KINGDOM</v>
          </cell>
        </row>
        <row r="33933">
          <cell r="L33933" t="str">
            <v>Non-proportional</v>
          </cell>
          <cell r="S33933">
            <v>11214.56</v>
          </cell>
          <cell r="X33933" t="str">
            <v>GWP - gross</v>
          </cell>
          <cell r="Y33933" t="str">
            <v>ECUADOR</v>
          </cell>
        </row>
        <row r="33934">
          <cell r="L33934" t="str">
            <v>Non-proportional</v>
          </cell>
          <cell r="S33934">
            <v>-105240.62</v>
          </cell>
          <cell r="X33934" t="str">
            <v>GWP - gross</v>
          </cell>
          <cell r="Y33934" t="str">
            <v>DOMINICAN REPUBLIC</v>
          </cell>
        </row>
        <row r="33935">
          <cell r="L33935" t="str">
            <v>Non-proportional</v>
          </cell>
          <cell r="S33935">
            <v>-4237.83</v>
          </cell>
          <cell r="X33935" t="str">
            <v>GWP - gross</v>
          </cell>
          <cell r="Y33935" t="str">
            <v>AUSTRALIA</v>
          </cell>
        </row>
        <row r="33936">
          <cell r="L33936" t="str">
            <v>Proportional</v>
          </cell>
          <cell r="S33936">
            <v>-1662.54</v>
          </cell>
          <cell r="X33936" t="str">
            <v>GWP - gross</v>
          </cell>
          <cell r="Y33936" t="str">
            <v>SWITZERLAND</v>
          </cell>
        </row>
        <row r="33937">
          <cell r="L33937" t="str">
            <v>Non-proportional</v>
          </cell>
          <cell r="S33937">
            <v>643.94000000000005</v>
          </cell>
          <cell r="X33937" t="str">
            <v>GWP - gross</v>
          </cell>
          <cell r="Y33937" t="str">
            <v>FRANCE</v>
          </cell>
        </row>
        <row r="33938">
          <cell r="L33938" t="str">
            <v>Proportional</v>
          </cell>
          <cell r="S33938">
            <v>-75715.100000000006</v>
          </cell>
          <cell r="X33938" t="str">
            <v>GWP - gross</v>
          </cell>
          <cell r="Y33938" t="str">
            <v>CHILE</v>
          </cell>
        </row>
        <row r="33939">
          <cell r="L33939" t="str">
            <v>Non-proportional</v>
          </cell>
          <cell r="S33939">
            <v>-26712.12</v>
          </cell>
          <cell r="X33939" t="str">
            <v>GWP - gross</v>
          </cell>
          <cell r="Y33939" t="str">
            <v>CHINA</v>
          </cell>
        </row>
        <row r="33940">
          <cell r="L33940" t="str">
            <v>Non-proportional</v>
          </cell>
          <cell r="S33940">
            <v>35714.5</v>
          </cell>
          <cell r="X33940" t="str">
            <v>GWP - gross</v>
          </cell>
          <cell r="Y33940" t="str">
            <v>CHINA</v>
          </cell>
        </row>
        <row r="33941">
          <cell r="L33941" t="str">
            <v>Non-proportional</v>
          </cell>
          <cell r="S33941">
            <v>64500.39</v>
          </cell>
          <cell r="X33941" t="str">
            <v>GWP - gross</v>
          </cell>
          <cell r="Y33941" t="str">
            <v>ECUADOR</v>
          </cell>
        </row>
        <row r="33942">
          <cell r="L33942" t="str">
            <v>Non-proportional</v>
          </cell>
          <cell r="S33942">
            <v>44498.19</v>
          </cell>
          <cell r="X33942" t="str">
            <v>GWP - gross</v>
          </cell>
          <cell r="Y33942" t="str">
            <v>COLOMBIA</v>
          </cell>
        </row>
        <row r="33943">
          <cell r="L33943" t="str">
            <v>Non-proportional</v>
          </cell>
          <cell r="S33943">
            <v>-81071.199999999997</v>
          </cell>
          <cell r="X33943" t="str">
            <v>GWP - gross</v>
          </cell>
          <cell r="Y33943" t="str">
            <v>UNITED STATES</v>
          </cell>
        </row>
        <row r="33944">
          <cell r="L33944" t="str">
            <v>Non-proportional</v>
          </cell>
          <cell r="S33944">
            <v>-2800.55</v>
          </cell>
          <cell r="X33944" t="str">
            <v>GWP - gross</v>
          </cell>
          <cell r="Y33944" t="str">
            <v>PERU</v>
          </cell>
        </row>
        <row r="33945">
          <cell r="L33945" t="str">
            <v>Non-proportional</v>
          </cell>
          <cell r="S33945">
            <v>-940.29</v>
          </cell>
          <cell r="X33945" t="str">
            <v>GWP - gross</v>
          </cell>
          <cell r="Y33945" t="str">
            <v>DOMINICAN REPUBLIC</v>
          </cell>
        </row>
        <row r="33946">
          <cell r="L33946" t="str">
            <v>Non-proportional</v>
          </cell>
          <cell r="S33946">
            <v>-7910.72</v>
          </cell>
          <cell r="X33946" t="str">
            <v>GWP - gross</v>
          </cell>
          <cell r="Y33946" t="str">
            <v>ECUADOR</v>
          </cell>
        </row>
        <row r="33947">
          <cell r="L33947" t="str">
            <v>Non-proportional</v>
          </cell>
          <cell r="S33947">
            <v>-6117.01</v>
          </cell>
          <cell r="X33947" t="str">
            <v>GWP - gross</v>
          </cell>
          <cell r="Y33947" t="str">
            <v>HONG KONG</v>
          </cell>
        </row>
        <row r="33948">
          <cell r="L33948" t="str">
            <v>Non-proportional</v>
          </cell>
          <cell r="S33948">
            <v>-42810.37</v>
          </cell>
          <cell r="X33948" t="str">
            <v>GWP - gross</v>
          </cell>
          <cell r="Y33948" t="str">
            <v>HONG KONG</v>
          </cell>
        </row>
        <row r="33949">
          <cell r="L33949" t="str">
            <v>Non-proportional</v>
          </cell>
          <cell r="S33949">
            <v>-237.72</v>
          </cell>
          <cell r="X33949" t="str">
            <v>GWP - gross</v>
          </cell>
          <cell r="Y33949" t="str">
            <v>UNITED KINGDOM</v>
          </cell>
        </row>
        <row r="33950">
          <cell r="L33950" t="str">
            <v>Proportional</v>
          </cell>
          <cell r="S33950">
            <v>82868.53</v>
          </cell>
          <cell r="X33950" t="str">
            <v>GWP - gross</v>
          </cell>
          <cell r="Y33950" t="str">
            <v>MEXICO</v>
          </cell>
        </row>
        <row r="33951">
          <cell r="L33951" t="str">
            <v>Non-proportional</v>
          </cell>
          <cell r="S33951">
            <v>-33504.769999999997</v>
          </cell>
          <cell r="X33951" t="str">
            <v>GWP - gross</v>
          </cell>
          <cell r="Y33951" t="str">
            <v>CHINA</v>
          </cell>
        </row>
        <row r="33952">
          <cell r="L33952" t="str">
            <v>Non-proportional</v>
          </cell>
          <cell r="S33952">
            <v>-93495.07</v>
          </cell>
          <cell r="X33952" t="str">
            <v>GWP - gross</v>
          </cell>
          <cell r="Y33952" t="str">
            <v>ECUADOR</v>
          </cell>
        </row>
        <row r="33953">
          <cell r="L33953" t="str">
            <v>Non-proportional</v>
          </cell>
          <cell r="S33953">
            <v>2517.34</v>
          </cell>
          <cell r="X33953" t="str">
            <v>GWP - gross</v>
          </cell>
          <cell r="Y33953" t="str">
            <v>ECUADOR</v>
          </cell>
        </row>
        <row r="33954">
          <cell r="L33954" t="str">
            <v>Non-proportional</v>
          </cell>
          <cell r="S33954">
            <v>-97507.11</v>
          </cell>
          <cell r="X33954" t="str">
            <v>GWP - gross</v>
          </cell>
          <cell r="Y33954" t="str">
            <v>PERU</v>
          </cell>
        </row>
        <row r="33955">
          <cell r="L33955" t="str">
            <v>Proportional</v>
          </cell>
          <cell r="S33955">
            <v>60432.13</v>
          </cell>
          <cell r="X33955" t="str">
            <v>GWP - gross</v>
          </cell>
          <cell r="Y33955" t="str">
            <v>Turkey</v>
          </cell>
        </row>
        <row r="33956">
          <cell r="L33956" t="str">
            <v>Non-proportional</v>
          </cell>
          <cell r="S33956">
            <v>9052.6299999999992</v>
          </cell>
          <cell r="X33956" t="str">
            <v>GWP - gross</v>
          </cell>
          <cell r="Y33956" t="str">
            <v>DOMINICAN REPUBLIC</v>
          </cell>
        </row>
        <row r="33957">
          <cell r="L33957" t="str">
            <v>Non-proportional</v>
          </cell>
          <cell r="S33957">
            <v>76542.899999999994</v>
          </cell>
          <cell r="X33957" t="str">
            <v>GWP - gross</v>
          </cell>
          <cell r="Y33957" t="str">
            <v>FRANCE</v>
          </cell>
        </row>
        <row r="33958">
          <cell r="L33958" t="str">
            <v>Proportional</v>
          </cell>
          <cell r="S33958">
            <v>-109.25</v>
          </cell>
          <cell r="X33958" t="str">
            <v>GWP - gross</v>
          </cell>
          <cell r="Y33958" t="str">
            <v>CHILE</v>
          </cell>
        </row>
        <row r="33959">
          <cell r="L33959" t="str">
            <v>Non-proportional</v>
          </cell>
          <cell r="S33959">
            <v>-918.14</v>
          </cell>
          <cell r="X33959" t="str">
            <v>GWP - gross</v>
          </cell>
          <cell r="Y33959" t="str">
            <v>DOMINICAN REPUBLIC</v>
          </cell>
        </row>
        <row r="33960">
          <cell r="L33960" t="str">
            <v>Proportional</v>
          </cell>
          <cell r="S33960">
            <v>-32022.21</v>
          </cell>
          <cell r="X33960" t="str">
            <v>GWP - gross</v>
          </cell>
          <cell r="Y33960" t="str">
            <v>JAPAN</v>
          </cell>
        </row>
        <row r="33961">
          <cell r="L33961" t="str">
            <v>Proportional</v>
          </cell>
          <cell r="S33961">
            <v>-240033.13</v>
          </cell>
          <cell r="X33961" t="str">
            <v>GWP - gross</v>
          </cell>
          <cell r="Y33961" t="str">
            <v>MEXICO</v>
          </cell>
        </row>
        <row r="33962">
          <cell r="L33962" t="str">
            <v>Non-proportional</v>
          </cell>
          <cell r="S33962">
            <v>16552.71</v>
          </cell>
          <cell r="X33962" t="str">
            <v>GWP - gross</v>
          </cell>
          <cell r="Y33962" t="str">
            <v>ECUADOR</v>
          </cell>
        </row>
        <row r="33963">
          <cell r="L33963" t="str">
            <v>Proportional</v>
          </cell>
          <cell r="S33963">
            <v>134860.92000000001</v>
          </cell>
          <cell r="X33963" t="str">
            <v>GWP - gross</v>
          </cell>
          <cell r="Y33963" t="str">
            <v>ITALY</v>
          </cell>
        </row>
        <row r="33964">
          <cell r="L33964" t="str">
            <v>Non-proportional</v>
          </cell>
          <cell r="S33964">
            <v>-1010.45</v>
          </cell>
          <cell r="X33964" t="str">
            <v>GWP - gross</v>
          </cell>
          <cell r="Y33964" t="str">
            <v>DOMINICAN REPUBLIC</v>
          </cell>
        </row>
        <row r="33965">
          <cell r="L33965" t="str">
            <v>Proportional</v>
          </cell>
          <cell r="S33965">
            <v>-3030385.7</v>
          </cell>
          <cell r="X33965" t="str">
            <v>GWP - gross</v>
          </cell>
          <cell r="Y33965" t="str">
            <v>HONG KONG</v>
          </cell>
        </row>
        <row r="33966">
          <cell r="L33966" t="str">
            <v>Non-proportional</v>
          </cell>
          <cell r="S33966">
            <v>-40702.26</v>
          </cell>
          <cell r="X33966" t="str">
            <v>GWP - gross</v>
          </cell>
          <cell r="Y33966" t="str">
            <v>BRAZIL</v>
          </cell>
        </row>
        <row r="33967">
          <cell r="L33967" t="str">
            <v>Proportional</v>
          </cell>
          <cell r="S33967">
            <v>103602.59</v>
          </cell>
          <cell r="X33967" t="str">
            <v>GWP - gross</v>
          </cell>
          <cell r="Y33967" t="str">
            <v>UNITED KINGDOM</v>
          </cell>
        </row>
        <row r="33968">
          <cell r="L33968" t="str">
            <v>Proportional</v>
          </cell>
          <cell r="S33968">
            <v>-869270.83</v>
          </cell>
          <cell r="X33968" t="str">
            <v>GWP - gross</v>
          </cell>
          <cell r="Y33968" t="str">
            <v>UNITED KINGDOM</v>
          </cell>
        </row>
        <row r="33969">
          <cell r="L33969" t="str">
            <v>Non-proportional</v>
          </cell>
          <cell r="S33969">
            <v>1456.68</v>
          </cell>
          <cell r="X33969" t="str">
            <v>GWP - gross</v>
          </cell>
          <cell r="Y33969" t="str">
            <v>CHILE</v>
          </cell>
        </row>
        <row r="33970">
          <cell r="L33970" t="str">
            <v>Non-proportional</v>
          </cell>
          <cell r="S33970">
            <v>1721.82</v>
          </cell>
          <cell r="X33970" t="str">
            <v>GWP - gross</v>
          </cell>
          <cell r="Y33970" t="str">
            <v>UNITED KINGDOM</v>
          </cell>
        </row>
        <row r="33971">
          <cell r="L33971" t="str">
            <v>Non-proportional</v>
          </cell>
          <cell r="S33971">
            <v>0</v>
          </cell>
          <cell r="X33971" t="str">
            <v>GWP - gross</v>
          </cell>
          <cell r="Y33971" t="str">
            <v>DOMINICAN REPUBLIC</v>
          </cell>
        </row>
        <row r="33972">
          <cell r="L33972" t="str">
            <v>Non-proportional</v>
          </cell>
          <cell r="S33972">
            <v>2852.16</v>
          </cell>
          <cell r="X33972" t="str">
            <v>GWP - gross</v>
          </cell>
          <cell r="Y33972" t="str">
            <v>ECUADOR</v>
          </cell>
        </row>
        <row r="33973">
          <cell r="L33973" t="str">
            <v>Non-proportional</v>
          </cell>
          <cell r="S33973">
            <v>-15504.48</v>
          </cell>
          <cell r="X33973" t="str">
            <v>GWP - gross</v>
          </cell>
          <cell r="Y33973" t="str">
            <v>UNITED KINGDOM</v>
          </cell>
        </row>
        <row r="33974">
          <cell r="L33974" t="str">
            <v>Non-proportional</v>
          </cell>
          <cell r="S33974">
            <v>53409.31</v>
          </cell>
          <cell r="X33974" t="str">
            <v>GWP - gross</v>
          </cell>
          <cell r="Y33974" t="str">
            <v>DOMINICAN REPUBLIC</v>
          </cell>
        </row>
        <row r="33975">
          <cell r="L33975" t="str">
            <v>Non-proportional</v>
          </cell>
          <cell r="S33975">
            <v>93495.07</v>
          </cell>
          <cell r="X33975" t="str">
            <v>GWP - gross</v>
          </cell>
          <cell r="Y33975" t="str">
            <v>ECUADOR</v>
          </cell>
        </row>
        <row r="33976">
          <cell r="L33976" t="str">
            <v>Non-proportional</v>
          </cell>
          <cell r="S33976">
            <v>1493.1</v>
          </cell>
          <cell r="X33976" t="str">
            <v>GWP - gross</v>
          </cell>
          <cell r="Y33976" t="str">
            <v>CHILE</v>
          </cell>
        </row>
        <row r="33977">
          <cell r="L33977" t="str">
            <v>Non-proportional</v>
          </cell>
          <cell r="S33977">
            <v>327.75</v>
          </cell>
          <cell r="X33977" t="str">
            <v>GWP - gross</v>
          </cell>
          <cell r="Y33977" t="str">
            <v>CHILE</v>
          </cell>
        </row>
        <row r="33978">
          <cell r="L33978" t="str">
            <v>Proportional</v>
          </cell>
          <cell r="S33978">
            <v>-1443.42</v>
          </cell>
          <cell r="X33978" t="str">
            <v>GWP - gross</v>
          </cell>
          <cell r="Y33978" t="str">
            <v>CHILE</v>
          </cell>
        </row>
        <row r="33979">
          <cell r="L33979" t="str">
            <v>Proportional</v>
          </cell>
          <cell r="S33979">
            <v>54537.98</v>
          </cell>
          <cell r="X33979" t="str">
            <v>GWP - gross</v>
          </cell>
          <cell r="Y33979" t="str">
            <v>THAILAND</v>
          </cell>
        </row>
        <row r="33980">
          <cell r="L33980" t="str">
            <v>Non-proportional</v>
          </cell>
          <cell r="S33980">
            <v>1675.19</v>
          </cell>
          <cell r="X33980" t="str">
            <v>GWP - gross</v>
          </cell>
          <cell r="Y33980" t="str">
            <v>CHILE</v>
          </cell>
        </row>
        <row r="33981">
          <cell r="L33981" t="str">
            <v>Non-proportional</v>
          </cell>
          <cell r="S33981">
            <v>-2517.34</v>
          </cell>
          <cell r="X33981" t="str">
            <v>GWP - gross</v>
          </cell>
          <cell r="Y33981" t="str">
            <v>ECUADOR</v>
          </cell>
        </row>
        <row r="33982">
          <cell r="L33982" t="str">
            <v>Non-proportional</v>
          </cell>
          <cell r="S33982">
            <v>-15677.91</v>
          </cell>
          <cell r="X33982" t="str">
            <v>GWP - gross</v>
          </cell>
          <cell r="Y33982" t="str">
            <v>AUSTRALIA</v>
          </cell>
        </row>
        <row r="33983">
          <cell r="L33983" t="str">
            <v>Proportional</v>
          </cell>
          <cell r="S33983">
            <v>23302.68</v>
          </cell>
          <cell r="X33983" t="str">
            <v>GWP - gross</v>
          </cell>
          <cell r="Y33983" t="str">
            <v>JAPAN</v>
          </cell>
        </row>
        <row r="33984">
          <cell r="L33984" t="str">
            <v>Non-proportional</v>
          </cell>
          <cell r="S33984">
            <v>585.79999999999995</v>
          </cell>
          <cell r="X33984" t="str">
            <v>GWP - gross</v>
          </cell>
          <cell r="Y33984" t="str">
            <v>FRANCE</v>
          </cell>
        </row>
        <row r="33985">
          <cell r="L33985" t="str">
            <v>Non-proportional</v>
          </cell>
          <cell r="S33985">
            <v>14000</v>
          </cell>
          <cell r="X33985" t="str">
            <v>GWP - gross</v>
          </cell>
          <cell r="Y33985" t="str">
            <v>ITALY</v>
          </cell>
        </row>
        <row r="33986">
          <cell r="L33986" t="str">
            <v>Non-proportional</v>
          </cell>
          <cell r="S33986">
            <v>-4250</v>
          </cell>
          <cell r="X33986" t="str">
            <v>GWP - gross</v>
          </cell>
          <cell r="Y33986" t="str">
            <v>ITALY</v>
          </cell>
        </row>
        <row r="33987">
          <cell r="L33987" t="str">
            <v>Proportional</v>
          </cell>
          <cell r="S33987">
            <v>5793.1</v>
          </cell>
          <cell r="X33987" t="str">
            <v>GWP - gross</v>
          </cell>
          <cell r="Y33987" t="str">
            <v>ITALY</v>
          </cell>
        </row>
        <row r="33988">
          <cell r="L33988" t="str">
            <v>Proportional</v>
          </cell>
          <cell r="S33988">
            <v>71631.67</v>
          </cell>
          <cell r="X33988" t="str">
            <v>GWP - gross</v>
          </cell>
          <cell r="Y33988" t="str">
            <v>CANADA</v>
          </cell>
        </row>
        <row r="33989">
          <cell r="L33989" t="str">
            <v>Non-proportional</v>
          </cell>
          <cell r="S33989">
            <v>-12506.02</v>
          </cell>
          <cell r="X33989" t="str">
            <v>GWP - gross</v>
          </cell>
          <cell r="Y33989" t="str">
            <v>FRANCE</v>
          </cell>
        </row>
        <row r="33990">
          <cell r="L33990" t="str">
            <v>Proportional</v>
          </cell>
          <cell r="S33990">
            <v>-564903</v>
          </cell>
          <cell r="X33990" t="str">
            <v>GWP - gross</v>
          </cell>
          <cell r="Y33990" t="str">
            <v>ITALY</v>
          </cell>
        </row>
        <row r="33991">
          <cell r="L33991" t="str">
            <v>Proportional</v>
          </cell>
          <cell r="S33991">
            <v>-2474.27</v>
          </cell>
          <cell r="X33991" t="str">
            <v>GWP - gross</v>
          </cell>
          <cell r="Y33991" t="str">
            <v>CHILE</v>
          </cell>
        </row>
        <row r="33992">
          <cell r="L33992" t="str">
            <v>Proportional</v>
          </cell>
          <cell r="S33992">
            <v>-134.12</v>
          </cell>
          <cell r="X33992" t="str">
            <v>GWP - gross</v>
          </cell>
          <cell r="Y33992" t="str">
            <v>JAPAN</v>
          </cell>
        </row>
        <row r="33993">
          <cell r="L33993" t="str">
            <v>Proportional</v>
          </cell>
          <cell r="S33993">
            <v>-96198.03</v>
          </cell>
          <cell r="X33993" t="str">
            <v>GWP - gross</v>
          </cell>
          <cell r="Y33993" t="str">
            <v>United kingdom</v>
          </cell>
        </row>
        <row r="33994">
          <cell r="L33994" t="str">
            <v>Proportional</v>
          </cell>
          <cell r="S33994">
            <v>-153841.81</v>
          </cell>
          <cell r="X33994" t="str">
            <v>GWP - gross</v>
          </cell>
          <cell r="Y33994" t="str">
            <v>AUSTRALIA</v>
          </cell>
        </row>
        <row r="33995">
          <cell r="L33995" t="str">
            <v>Non-proportional</v>
          </cell>
          <cell r="S33995">
            <v>105240.62</v>
          </cell>
          <cell r="X33995" t="str">
            <v>GWP - gross</v>
          </cell>
          <cell r="Y33995" t="str">
            <v>DOMINICAN REPUBLIC</v>
          </cell>
        </row>
        <row r="33996">
          <cell r="L33996" t="str">
            <v>Non-proportional</v>
          </cell>
          <cell r="S33996">
            <v>-8727.1</v>
          </cell>
          <cell r="X33996" t="str">
            <v>GWP - gross</v>
          </cell>
          <cell r="Y33996" t="str">
            <v>JAPAN</v>
          </cell>
        </row>
        <row r="33997">
          <cell r="L33997" t="str">
            <v>Proportional</v>
          </cell>
          <cell r="S33997">
            <v>123.28</v>
          </cell>
          <cell r="X33997" t="str">
            <v>GWP - gross</v>
          </cell>
          <cell r="Y33997" t="str">
            <v>CHILE</v>
          </cell>
        </row>
        <row r="33998">
          <cell r="L33998" t="str">
            <v>Non-proportional</v>
          </cell>
          <cell r="S33998">
            <v>15504.48</v>
          </cell>
          <cell r="X33998" t="str">
            <v>GWP - gross</v>
          </cell>
          <cell r="Y33998" t="str">
            <v>UNITED KINGDOM</v>
          </cell>
        </row>
        <row r="33999">
          <cell r="L33999" t="str">
            <v>Proportional</v>
          </cell>
          <cell r="S33999">
            <v>-75212.34</v>
          </cell>
          <cell r="X33999" t="str">
            <v>GWP - gross</v>
          </cell>
          <cell r="Y33999" t="str">
            <v>COLOMBIA</v>
          </cell>
        </row>
        <row r="34000">
          <cell r="L34000" t="str">
            <v>Non-proportional</v>
          </cell>
          <cell r="S34000">
            <v>1347.43</v>
          </cell>
          <cell r="X34000" t="str">
            <v>GWP - gross</v>
          </cell>
          <cell r="Y34000" t="str">
            <v>CHILE</v>
          </cell>
        </row>
        <row r="34001">
          <cell r="L34001" t="str">
            <v>Non-proportional</v>
          </cell>
          <cell r="S34001">
            <v>-327.75</v>
          </cell>
          <cell r="X34001" t="str">
            <v>GWP - gross</v>
          </cell>
          <cell r="Y34001" t="str">
            <v>CHILE</v>
          </cell>
        </row>
        <row r="34002">
          <cell r="L34002" t="str">
            <v>Non-proportional</v>
          </cell>
          <cell r="S34002">
            <v>8750</v>
          </cell>
          <cell r="X34002" t="str">
            <v>GWP - gross</v>
          </cell>
          <cell r="Y34002" t="str">
            <v>ITALY</v>
          </cell>
        </row>
        <row r="34003">
          <cell r="L34003" t="str">
            <v>Non-proportional</v>
          </cell>
          <cell r="S34003">
            <v>2913.37</v>
          </cell>
          <cell r="X34003" t="str">
            <v>GWP - gross</v>
          </cell>
          <cell r="Y34003" t="str">
            <v>CHILE</v>
          </cell>
        </row>
        <row r="34004">
          <cell r="L34004" t="str">
            <v>Proportional</v>
          </cell>
          <cell r="S34004">
            <v>2714.16</v>
          </cell>
          <cell r="X34004" t="str">
            <v>GWP - gross</v>
          </cell>
          <cell r="Y34004" t="str">
            <v>UNITED STATES</v>
          </cell>
        </row>
        <row r="34005">
          <cell r="L34005" t="str">
            <v>Proportional</v>
          </cell>
          <cell r="S34005">
            <v>-21977.49</v>
          </cell>
          <cell r="X34005" t="str">
            <v>GWP - gross</v>
          </cell>
          <cell r="Y34005" t="str">
            <v>PORTUGAL</v>
          </cell>
        </row>
        <row r="34006">
          <cell r="L34006" t="str">
            <v>Proportional</v>
          </cell>
          <cell r="S34006">
            <v>94.18</v>
          </cell>
          <cell r="X34006" t="str">
            <v>GWP - gross</v>
          </cell>
          <cell r="Y34006" t="str">
            <v>India</v>
          </cell>
        </row>
        <row r="34007">
          <cell r="L34007" t="str">
            <v>Non-proportional</v>
          </cell>
          <cell r="S34007">
            <v>4207.5</v>
          </cell>
          <cell r="X34007" t="str">
            <v>GWP - gross</v>
          </cell>
          <cell r="Y34007" t="str">
            <v>ROMANIA</v>
          </cell>
        </row>
        <row r="34008">
          <cell r="L34008" t="str">
            <v>Non-proportional</v>
          </cell>
          <cell r="S34008">
            <v>-1219.3</v>
          </cell>
          <cell r="X34008" t="str">
            <v>GWP - gross</v>
          </cell>
          <cell r="Y34008" t="str">
            <v>AUSTRALIA</v>
          </cell>
        </row>
        <row r="34009">
          <cell r="L34009" t="str">
            <v>Proportional</v>
          </cell>
          <cell r="S34009">
            <v>-75841.570000000007</v>
          </cell>
          <cell r="X34009" t="str">
            <v>GWP - gross</v>
          </cell>
          <cell r="Y34009" t="str">
            <v>ITALY</v>
          </cell>
        </row>
        <row r="34010">
          <cell r="L34010" t="str">
            <v>Proportional</v>
          </cell>
          <cell r="S34010">
            <v>4101.95</v>
          </cell>
          <cell r="X34010" t="str">
            <v>GWP - gross</v>
          </cell>
          <cell r="Y34010" t="str">
            <v>UNITED STATES</v>
          </cell>
        </row>
        <row r="34011">
          <cell r="L34011" t="str">
            <v>Proportional</v>
          </cell>
          <cell r="S34011">
            <v>161228</v>
          </cell>
          <cell r="X34011" t="str">
            <v>GWP - gross</v>
          </cell>
          <cell r="Y34011" t="str">
            <v>THAILAND</v>
          </cell>
        </row>
        <row r="34012">
          <cell r="L34012" t="str">
            <v>Proportional</v>
          </cell>
          <cell r="S34012">
            <v>-55760.12</v>
          </cell>
          <cell r="X34012" t="str">
            <v>GWP - gross</v>
          </cell>
          <cell r="Y34012" t="str">
            <v>THAILAND</v>
          </cell>
        </row>
        <row r="34013">
          <cell r="L34013" t="str">
            <v>Proportional</v>
          </cell>
          <cell r="S34013">
            <v>-407.68</v>
          </cell>
          <cell r="X34013" t="str">
            <v>GWP - gross</v>
          </cell>
          <cell r="Y34013" t="str">
            <v>UNITED STATES</v>
          </cell>
        </row>
        <row r="34014">
          <cell r="L34014" t="str">
            <v>Proportional</v>
          </cell>
          <cell r="S34014">
            <v>-19859.099999999999</v>
          </cell>
          <cell r="X34014" t="str">
            <v>GWP - gross</v>
          </cell>
          <cell r="Y34014" t="str">
            <v>CHILE</v>
          </cell>
        </row>
        <row r="34015">
          <cell r="L34015" t="str">
            <v>Proportional</v>
          </cell>
          <cell r="S34015">
            <v>-19859.099999999999</v>
          </cell>
          <cell r="X34015" t="str">
            <v>GWP - gross</v>
          </cell>
          <cell r="Y34015" t="str">
            <v>CHILE</v>
          </cell>
        </row>
        <row r="34016">
          <cell r="L34016" t="str">
            <v>Non-proportional</v>
          </cell>
          <cell r="S34016">
            <v>2651.67</v>
          </cell>
          <cell r="X34016" t="str">
            <v>GWP - gross</v>
          </cell>
          <cell r="Y34016" t="str">
            <v>DOMINICAN REPUBLIC</v>
          </cell>
        </row>
        <row r="34017">
          <cell r="L34017" t="str">
            <v>Non-proportional</v>
          </cell>
          <cell r="S34017">
            <v>-58693.04</v>
          </cell>
          <cell r="X34017" t="str">
            <v>GWP - gross</v>
          </cell>
          <cell r="Y34017" t="str">
            <v>CHILE</v>
          </cell>
        </row>
        <row r="34018">
          <cell r="L34018" t="str">
            <v>Proportional</v>
          </cell>
          <cell r="S34018">
            <v>19.010000000000002</v>
          </cell>
          <cell r="X34018" t="str">
            <v>GWP - gross</v>
          </cell>
          <cell r="Y34018" t="str">
            <v>India</v>
          </cell>
        </row>
        <row r="34019">
          <cell r="L34019" t="str">
            <v>Proportional</v>
          </cell>
          <cell r="S34019">
            <v>-3069.55</v>
          </cell>
          <cell r="X34019" t="str">
            <v>GWP - gross</v>
          </cell>
          <cell r="Y34019" t="str">
            <v>India</v>
          </cell>
        </row>
        <row r="34020">
          <cell r="L34020" t="str">
            <v>Proportional</v>
          </cell>
          <cell r="S34020">
            <v>65.959999999999994</v>
          </cell>
          <cell r="X34020" t="str">
            <v>GWP - gross</v>
          </cell>
          <cell r="Y34020" t="str">
            <v>SINGAPORE</v>
          </cell>
        </row>
        <row r="34021">
          <cell r="L34021" t="str">
            <v>Non-proportional</v>
          </cell>
          <cell r="S34021">
            <v>-7316.12</v>
          </cell>
          <cell r="X34021" t="str">
            <v>GWP - gross</v>
          </cell>
          <cell r="Y34021" t="str">
            <v>AUSTRALIA</v>
          </cell>
        </row>
        <row r="34022">
          <cell r="L34022" t="str">
            <v>Proportional</v>
          </cell>
          <cell r="S34022">
            <v>29733.38</v>
          </cell>
          <cell r="X34022" t="str">
            <v>GWP - gross</v>
          </cell>
          <cell r="Y34022" t="str">
            <v>CHILE</v>
          </cell>
        </row>
        <row r="34023">
          <cell r="L34023" t="str">
            <v>Proportional</v>
          </cell>
          <cell r="S34023">
            <v>-53389.49</v>
          </cell>
          <cell r="X34023" t="str">
            <v>GWP - gross</v>
          </cell>
          <cell r="Y34023" t="str">
            <v>AUSTRALIA</v>
          </cell>
        </row>
        <row r="34024">
          <cell r="L34024" t="str">
            <v>Non-proportional</v>
          </cell>
          <cell r="S34024">
            <v>-113352.07</v>
          </cell>
          <cell r="X34024" t="str">
            <v>GWP - gross</v>
          </cell>
          <cell r="Y34024" t="str">
            <v>PERU</v>
          </cell>
        </row>
        <row r="34025">
          <cell r="L34025" t="str">
            <v>Non-proportional</v>
          </cell>
          <cell r="S34025">
            <v>-4369.3900000000003</v>
          </cell>
          <cell r="X34025" t="str">
            <v>GWP - gross</v>
          </cell>
          <cell r="Y34025" t="str">
            <v>AUSTRALIA</v>
          </cell>
        </row>
        <row r="34026">
          <cell r="L34026" t="str">
            <v>Non-proportional</v>
          </cell>
          <cell r="S34026">
            <v>8704.8799999999992</v>
          </cell>
          <cell r="X34026" t="str">
            <v>GWP - gross</v>
          </cell>
          <cell r="Y34026" t="str">
            <v>AUSTRALIA</v>
          </cell>
        </row>
        <row r="34027">
          <cell r="L34027" t="str">
            <v>Proportional</v>
          </cell>
          <cell r="S34027">
            <v>-87.82</v>
          </cell>
          <cell r="X34027" t="str">
            <v>GWP - gross</v>
          </cell>
          <cell r="Y34027" t="str">
            <v>THAILAND</v>
          </cell>
        </row>
        <row r="34028">
          <cell r="L34028" t="str">
            <v>Proportional</v>
          </cell>
          <cell r="S34028">
            <v>29843.919999999998</v>
          </cell>
          <cell r="X34028" t="str">
            <v>GWP - gross</v>
          </cell>
          <cell r="Y34028" t="str">
            <v>CHILE</v>
          </cell>
        </row>
        <row r="34029">
          <cell r="L34029" t="str">
            <v>Proportional</v>
          </cell>
          <cell r="S34029">
            <v>-159888.25</v>
          </cell>
          <cell r="X34029" t="str">
            <v>GWP - gross</v>
          </cell>
          <cell r="Y34029" t="str">
            <v>CHILE</v>
          </cell>
        </row>
        <row r="34030">
          <cell r="L34030" t="str">
            <v>Proportional</v>
          </cell>
          <cell r="S34030">
            <v>-74.239999999999995</v>
          </cell>
          <cell r="X34030" t="str">
            <v>GWP - gross</v>
          </cell>
          <cell r="Y34030" t="str">
            <v>CHILE</v>
          </cell>
        </row>
        <row r="34031">
          <cell r="L34031" t="str">
            <v>Proportional</v>
          </cell>
          <cell r="S34031">
            <v>62168.09</v>
          </cell>
          <cell r="X34031" t="str">
            <v>GWP - gross</v>
          </cell>
          <cell r="Y34031" t="str">
            <v>FRANCE</v>
          </cell>
        </row>
        <row r="34032">
          <cell r="L34032" t="str">
            <v>Proportional</v>
          </cell>
          <cell r="S34032">
            <v>-15806.22</v>
          </cell>
          <cell r="X34032" t="str">
            <v>GWP - gross</v>
          </cell>
          <cell r="Y34032" t="str">
            <v>CHILE</v>
          </cell>
        </row>
        <row r="34033">
          <cell r="L34033" t="str">
            <v>Proportional</v>
          </cell>
          <cell r="S34033">
            <v>1354325.38</v>
          </cell>
          <cell r="X34033" t="str">
            <v>GWP - gross</v>
          </cell>
          <cell r="Y34033" t="str">
            <v>AUSTRALIA</v>
          </cell>
        </row>
        <row r="34034">
          <cell r="L34034" t="str">
            <v>Non-proportional</v>
          </cell>
          <cell r="S34034">
            <v>1904.49</v>
          </cell>
          <cell r="X34034" t="str">
            <v>GWP - gross</v>
          </cell>
          <cell r="Y34034" t="str">
            <v>AUSTRALIA</v>
          </cell>
        </row>
        <row r="34035">
          <cell r="L34035" t="str">
            <v>Non-proportional</v>
          </cell>
          <cell r="S34035">
            <v>-26163.37</v>
          </cell>
          <cell r="X34035" t="str">
            <v>GWP - gross</v>
          </cell>
          <cell r="Y34035" t="str">
            <v>UNITED KINGDOM</v>
          </cell>
        </row>
        <row r="34036">
          <cell r="L34036" t="str">
            <v>Proportional</v>
          </cell>
          <cell r="S34036">
            <v>-2716.48</v>
          </cell>
          <cell r="X34036" t="str">
            <v>GWP - gross</v>
          </cell>
          <cell r="Y34036" t="str">
            <v>UNITED STATES</v>
          </cell>
        </row>
        <row r="34037">
          <cell r="L34037" t="str">
            <v>Proportional</v>
          </cell>
          <cell r="S34037">
            <v>-4136.24</v>
          </cell>
          <cell r="X34037" t="str">
            <v>GWP - gross</v>
          </cell>
          <cell r="Y34037" t="str">
            <v>UNITED STATES</v>
          </cell>
        </row>
        <row r="34038">
          <cell r="L34038" t="str">
            <v>Proportional</v>
          </cell>
          <cell r="S34038">
            <v>-278.45999999999998</v>
          </cell>
          <cell r="X34038" t="str">
            <v>GWP - gross</v>
          </cell>
          <cell r="Y34038" t="str">
            <v>CHILE</v>
          </cell>
        </row>
        <row r="34039">
          <cell r="L34039" t="str">
            <v>Proportional</v>
          </cell>
          <cell r="S34039">
            <v>-700.95</v>
          </cell>
          <cell r="X34039" t="str">
            <v>GWP - gross</v>
          </cell>
          <cell r="Y34039" t="str">
            <v>Thailand</v>
          </cell>
        </row>
        <row r="34040">
          <cell r="L34040" t="str">
            <v>Non-proportional</v>
          </cell>
          <cell r="S34040">
            <v>-65214.48</v>
          </cell>
          <cell r="X34040" t="str">
            <v>GWP - gross</v>
          </cell>
          <cell r="Y34040" t="str">
            <v>CHILE</v>
          </cell>
        </row>
        <row r="34041">
          <cell r="L34041" t="str">
            <v>Proportional</v>
          </cell>
          <cell r="S34041">
            <v>-2577405.5699999998</v>
          </cell>
          <cell r="X34041" t="str">
            <v>GWP - gross</v>
          </cell>
          <cell r="Y34041" t="str">
            <v>UNITED STATES</v>
          </cell>
        </row>
        <row r="34042">
          <cell r="L34042" t="str">
            <v>Non-proportional</v>
          </cell>
          <cell r="S34042">
            <v>23138.25</v>
          </cell>
          <cell r="X34042" t="str">
            <v>GWP - gross</v>
          </cell>
          <cell r="Y34042" t="str">
            <v>CHILE</v>
          </cell>
        </row>
        <row r="34043">
          <cell r="L34043" t="str">
            <v>Proportional</v>
          </cell>
          <cell r="S34043">
            <v>-37703.870000000003</v>
          </cell>
          <cell r="X34043" t="str">
            <v>GWP - gross</v>
          </cell>
          <cell r="Y34043" t="str">
            <v>THAILAND</v>
          </cell>
        </row>
        <row r="34044">
          <cell r="L34044" t="str">
            <v>Proportional</v>
          </cell>
          <cell r="S34044">
            <v>23.85</v>
          </cell>
          <cell r="X34044" t="str">
            <v>GWP - gross</v>
          </cell>
          <cell r="Y34044" t="str">
            <v>India</v>
          </cell>
        </row>
        <row r="34045">
          <cell r="L34045" t="str">
            <v>Proportional</v>
          </cell>
          <cell r="S34045">
            <v>-108533000</v>
          </cell>
          <cell r="X34045" t="str">
            <v>GWP - gross</v>
          </cell>
          <cell r="Y34045" t="str">
            <v>ITALY</v>
          </cell>
        </row>
        <row r="34046">
          <cell r="L34046" t="str">
            <v>Non-proportional</v>
          </cell>
          <cell r="S34046">
            <v>24750</v>
          </cell>
          <cell r="X34046" t="str">
            <v>GWP - gross</v>
          </cell>
          <cell r="Y34046" t="str">
            <v>ROMANIA</v>
          </cell>
        </row>
        <row r="34047">
          <cell r="L34047" t="str">
            <v>Non-proportional</v>
          </cell>
          <cell r="S34047">
            <v>-40640</v>
          </cell>
          <cell r="X34047" t="str">
            <v>GWP - gross</v>
          </cell>
          <cell r="Y34047" t="str">
            <v>FRANCE</v>
          </cell>
        </row>
        <row r="34048">
          <cell r="L34048" t="str">
            <v>Non-proportional</v>
          </cell>
          <cell r="S34048">
            <v>6348.43</v>
          </cell>
          <cell r="X34048" t="str">
            <v>GWP - gross</v>
          </cell>
          <cell r="Y34048" t="str">
            <v>AUSTRALIA</v>
          </cell>
        </row>
        <row r="34049">
          <cell r="L34049" t="str">
            <v>Non-proportional</v>
          </cell>
          <cell r="S34049">
            <v>33338.85</v>
          </cell>
          <cell r="X34049" t="str">
            <v>GWP - gross</v>
          </cell>
          <cell r="Y34049" t="str">
            <v>PERU</v>
          </cell>
        </row>
        <row r="34050">
          <cell r="L34050" t="str">
            <v>Non-proportional</v>
          </cell>
          <cell r="S34050">
            <v>-6248.39</v>
          </cell>
          <cell r="X34050" t="str">
            <v>GWP - gross</v>
          </cell>
          <cell r="Y34050" t="str">
            <v>AUSTRALIA</v>
          </cell>
        </row>
        <row r="34051">
          <cell r="L34051" t="str">
            <v>Non-proportional</v>
          </cell>
          <cell r="S34051">
            <v>-26323.49</v>
          </cell>
          <cell r="X34051" t="str">
            <v>GWP - gross</v>
          </cell>
          <cell r="Y34051" t="str">
            <v>ROMANIA</v>
          </cell>
        </row>
        <row r="34052">
          <cell r="L34052" t="str">
            <v>Proportional</v>
          </cell>
          <cell r="S34052">
            <v>-1060.42</v>
          </cell>
          <cell r="X34052" t="str">
            <v>GWP - gross</v>
          </cell>
          <cell r="Y34052" t="str">
            <v>India</v>
          </cell>
        </row>
        <row r="34053">
          <cell r="L34053" t="str">
            <v>Proportional</v>
          </cell>
          <cell r="S34053">
            <v>957.95</v>
          </cell>
          <cell r="X34053" t="str">
            <v>GWP - gross</v>
          </cell>
          <cell r="Y34053" t="str">
            <v>CHILE</v>
          </cell>
        </row>
        <row r="34054">
          <cell r="L34054" t="str">
            <v>Non-proportional</v>
          </cell>
          <cell r="S34054">
            <v>-4091.05</v>
          </cell>
          <cell r="X34054" t="str">
            <v>GWP - gross</v>
          </cell>
          <cell r="Y34054" t="str">
            <v>GERMANY</v>
          </cell>
        </row>
        <row r="34055">
          <cell r="L34055" t="str">
            <v>Proportional</v>
          </cell>
          <cell r="S34055">
            <v>55760.12</v>
          </cell>
          <cell r="X34055" t="str">
            <v>GWP - gross</v>
          </cell>
          <cell r="Y34055" t="str">
            <v>THAILAND</v>
          </cell>
        </row>
        <row r="34056">
          <cell r="L34056" t="str">
            <v>Proportional</v>
          </cell>
          <cell r="S34056">
            <v>470.91</v>
          </cell>
          <cell r="X34056" t="str">
            <v>GWP - gross</v>
          </cell>
          <cell r="Y34056" t="str">
            <v>India</v>
          </cell>
        </row>
        <row r="34057">
          <cell r="L34057" t="str">
            <v>Non-proportional</v>
          </cell>
          <cell r="S34057">
            <v>8173.98</v>
          </cell>
          <cell r="X34057" t="str">
            <v>GWP - gross</v>
          </cell>
          <cell r="Y34057" t="str">
            <v>ISRAEL</v>
          </cell>
        </row>
        <row r="34058">
          <cell r="L34058" t="str">
            <v>Non-proportional</v>
          </cell>
          <cell r="S34058">
            <v>-2120.5</v>
          </cell>
          <cell r="X34058" t="str">
            <v>GWP - gross</v>
          </cell>
          <cell r="Y34058" t="str">
            <v>AUSTRALIA</v>
          </cell>
        </row>
        <row r="34059">
          <cell r="L34059" t="str">
            <v>Proportional</v>
          </cell>
          <cell r="S34059">
            <v>50863.78</v>
          </cell>
          <cell r="X34059" t="str">
            <v>GWP - gross</v>
          </cell>
          <cell r="Y34059" t="str">
            <v>TURKEY</v>
          </cell>
        </row>
        <row r="34060">
          <cell r="L34060" t="str">
            <v>Non-proportional</v>
          </cell>
          <cell r="S34060">
            <v>58693.04</v>
          </cell>
          <cell r="X34060" t="str">
            <v>GWP - gross</v>
          </cell>
          <cell r="Y34060" t="str">
            <v>CHILE</v>
          </cell>
        </row>
        <row r="34061">
          <cell r="L34061" t="str">
            <v>Non-proportional</v>
          </cell>
          <cell r="S34061">
            <v>2918.42</v>
          </cell>
          <cell r="X34061" t="str">
            <v>GWP - gross</v>
          </cell>
          <cell r="Y34061" t="str">
            <v>DOMINICAN REPUBLIC</v>
          </cell>
        </row>
        <row r="34062">
          <cell r="L34062" t="str">
            <v>Non-proportional</v>
          </cell>
          <cell r="S34062">
            <v>62.71</v>
          </cell>
          <cell r="X34062" t="str">
            <v>GWP - gross</v>
          </cell>
          <cell r="Y34062" t="str">
            <v>GERMANY</v>
          </cell>
        </row>
        <row r="34063">
          <cell r="L34063" t="str">
            <v>Proportional</v>
          </cell>
          <cell r="S34063">
            <v>-3854.65</v>
          </cell>
          <cell r="X34063" t="str">
            <v>GWP - gross</v>
          </cell>
          <cell r="Y34063" t="str">
            <v>FRANCE</v>
          </cell>
        </row>
        <row r="34064">
          <cell r="L34064" t="str">
            <v>Proportional</v>
          </cell>
          <cell r="S34064">
            <v>-3587.19</v>
          </cell>
          <cell r="X34064" t="str">
            <v>GWP - gross</v>
          </cell>
          <cell r="Y34064" t="str">
            <v>INDIA</v>
          </cell>
        </row>
        <row r="34065">
          <cell r="L34065" t="str">
            <v>Proportional</v>
          </cell>
          <cell r="S34065">
            <v>74.239999999999995</v>
          </cell>
          <cell r="X34065" t="str">
            <v>GWP - gross</v>
          </cell>
          <cell r="Y34065" t="str">
            <v>CHILE</v>
          </cell>
        </row>
        <row r="34066">
          <cell r="L34066" t="str">
            <v>Non-proportional</v>
          </cell>
          <cell r="S34066">
            <v>-8.52</v>
          </cell>
          <cell r="X34066" t="str">
            <v>GWP - gross</v>
          </cell>
          <cell r="Y34066" t="str">
            <v>AUSTRALIA</v>
          </cell>
        </row>
        <row r="34067">
          <cell r="L34067" t="str">
            <v>Non-proportional</v>
          </cell>
          <cell r="S34067">
            <v>-57200.79</v>
          </cell>
          <cell r="X34067" t="str">
            <v>GWP - gross</v>
          </cell>
          <cell r="Y34067" t="str">
            <v>UNITED KINGDOM</v>
          </cell>
        </row>
        <row r="34068">
          <cell r="L34068" t="str">
            <v>Proportional</v>
          </cell>
          <cell r="S34068">
            <v>30912.400000000001</v>
          </cell>
          <cell r="X34068" t="str">
            <v>GWP - gross</v>
          </cell>
          <cell r="Y34068" t="str">
            <v>CHILE</v>
          </cell>
        </row>
        <row r="34069">
          <cell r="L34069" t="str">
            <v>Proportional</v>
          </cell>
          <cell r="S34069">
            <v>-161228</v>
          </cell>
          <cell r="X34069" t="str">
            <v>GWP - gross</v>
          </cell>
          <cell r="Y34069" t="str">
            <v>THAILAND</v>
          </cell>
        </row>
        <row r="34070">
          <cell r="L34070" t="str">
            <v>Proportional</v>
          </cell>
          <cell r="S34070">
            <v>-6954.91</v>
          </cell>
          <cell r="X34070" t="str">
            <v>GWP - gross</v>
          </cell>
          <cell r="Y34070" t="str">
            <v>THAILAND</v>
          </cell>
        </row>
        <row r="34071">
          <cell r="L34071" t="str">
            <v>Proportional</v>
          </cell>
          <cell r="S34071">
            <v>15571.39</v>
          </cell>
          <cell r="X34071" t="str">
            <v>GWP - gross</v>
          </cell>
          <cell r="Y34071" t="str">
            <v>THAILAND</v>
          </cell>
        </row>
        <row r="34072">
          <cell r="L34072" t="str">
            <v>Proportional</v>
          </cell>
          <cell r="S34072">
            <v>-13.02</v>
          </cell>
          <cell r="X34072" t="str">
            <v>GWP - gross</v>
          </cell>
          <cell r="Y34072" t="str">
            <v>India</v>
          </cell>
        </row>
        <row r="34073">
          <cell r="L34073" t="str">
            <v>Proportional</v>
          </cell>
          <cell r="S34073">
            <v>-9779.52</v>
          </cell>
          <cell r="X34073" t="str">
            <v>GWP - gross</v>
          </cell>
          <cell r="Y34073" t="str">
            <v>INDIA</v>
          </cell>
        </row>
        <row r="34074">
          <cell r="L34074" t="str">
            <v>Non-proportional</v>
          </cell>
          <cell r="S34074">
            <v>468750</v>
          </cell>
          <cell r="X34074" t="str">
            <v>GWP - gross</v>
          </cell>
          <cell r="Y34074" t="str">
            <v>BELGIUM</v>
          </cell>
        </row>
        <row r="34075">
          <cell r="L34075" t="str">
            <v>Non-proportional</v>
          </cell>
          <cell r="S34075">
            <v>1557.48</v>
          </cell>
          <cell r="X34075" t="str">
            <v>GWP - gross</v>
          </cell>
          <cell r="Y34075" t="str">
            <v>AUSTRALIA</v>
          </cell>
        </row>
        <row r="34076">
          <cell r="L34076" t="str">
            <v>Non-proportional</v>
          </cell>
          <cell r="S34076">
            <v>-29770.23</v>
          </cell>
          <cell r="X34076" t="str">
            <v>GWP - gross</v>
          </cell>
          <cell r="Y34076" t="str">
            <v>CHILE</v>
          </cell>
        </row>
        <row r="34077">
          <cell r="L34077" t="str">
            <v>Non-proportional</v>
          </cell>
          <cell r="S34077">
            <v>780.66</v>
          </cell>
          <cell r="X34077" t="str">
            <v>GWP - gross</v>
          </cell>
          <cell r="Y34077" t="str">
            <v>DOMINICAN REPUBLIC</v>
          </cell>
        </row>
        <row r="34078">
          <cell r="L34078" t="str">
            <v>Proportional</v>
          </cell>
          <cell r="S34078">
            <v>-138455.85</v>
          </cell>
          <cell r="X34078" t="str">
            <v>GWP - gross</v>
          </cell>
          <cell r="Y34078" t="str">
            <v>THAILAND</v>
          </cell>
        </row>
        <row r="34079">
          <cell r="L34079" t="str">
            <v>Non-proportional</v>
          </cell>
          <cell r="S34079">
            <v>1625</v>
          </cell>
          <cell r="X34079" t="str">
            <v>GWP - gross</v>
          </cell>
          <cell r="Y34079" t="str">
            <v>GERMANY</v>
          </cell>
        </row>
        <row r="34080">
          <cell r="L34080" t="str">
            <v>Proportional</v>
          </cell>
          <cell r="S34080">
            <v>1201.27</v>
          </cell>
          <cell r="X34080" t="str">
            <v>GWP - gross</v>
          </cell>
          <cell r="Y34080" t="str">
            <v>CHILE</v>
          </cell>
        </row>
        <row r="34081">
          <cell r="L34081" t="str">
            <v>Non-proportional</v>
          </cell>
          <cell r="S34081">
            <v>8173.98</v>
          </cell>
          <cell r="X34081" t="str">
            <v>GWP - gross</v>
          </cell>
          <cell r="Y34081" t="str">
            <v>ISRAEL</v>
          </cell>
        </row>
        <row r="34082">
          <cell r="L34082" t="str">
            <v>Non-proportional</v>
          </cell>
          <cell r="S34082">
            <v>1456.85</v>
          </cell>
          <cell r="X34082" t="str">
            <v>GWP - gross</v>
          </cell>
          <cell r="Y34082" t="str">
            <v>DOMINICAN REPUBLIC</v>
          </cell>
        </row>
        <row r="34083">
          <cell r="L34083" t="str">
            <v>Proportional</v>
          </cell>
          <cell r="S34083">
            <v>-1064386.49</v>
          </cell>
          <cell r="X34083" t="str">
            <v>GWP - gross</v>
          </cell>
          <cell r="Y34083" t="str">
            <v>UNITED STATES</v>
          </cell>
        </row>
        <row r="34084">
          <cell r="L34084" t="str">
            <v>Non-proportional</v>
          </cell>
          <cell r="S34084">
            <v>6910.74</v>
          </cell>
          <cell r="X34084" t="str">
            <v>GWP - gross</v>
          </cell>
          <cell r="Y34084" t="str">
            <v>AUSTRALIA</v>
          </cell>
        </row>
        <row r="34085">
          <cell r="L34085" t="str">
            <v>Proportional</v>
          </cell>
          <cell r="S34085">
            <v>-7.38</v>
          </cell>
          <cell r="X34085" t="str">
            <v>GWP - gross</v>
          </cell>
          <cell r="Y34085" t="str">
            <v>Thailand</v>
          </cell>
        </row>
        <row r="34086">
          <cell r="L34086" t="str">
            <v>Proportional</v>
          </cell>
          <cell r="S34086">
            <v>-167859.67</v>
          </cell>
          <cell r="X34086" t="str">
            <v>GWP - gross</v>
          </cell>
          <cell r="Y34086" t="str">
            <v>INDIA</v>
          </cell>
        </row>
        <row r="34087">
          <cell r="L34087" t="str">
            <v>Proportional</v>
          </cell>
          <cell r="S34087">
            <v>-163643.35999999999</v>
          </cell>
          <cell r="X34087" t="str">
            <v>GWP - gross</v>
          </cell>
          <cell r="Y34087" t="str">
            <v>SWITZERLAND</v>
          </cell>
        </row>
        <row r="34088">
          <cell r="L34088" t="str">
            <v>Proportional</v>
          </cell>
          <cell r="S34088">
            <v>-96602.57</v>
          </cell>
          <cell r="X34088" t="str">
            <v>GWP - gross</v>
          </cell>
          <cell r="Y34088" t="str">
            <v>ITALY</v>
          </cell>
        </row>
        <row r="34089">
          <cell r="L34089" t="str">
            <v>Non-proportional</v>
          </cell>
          <cell r="S34089">
            <v>-2862.71</v>
          </cell>
          <cell r="X34089" t="str">
            <v>GWP - gross</v>
          </cell>
          <cell r="Y34089" t="str">
            <v>DOMINICAN REPUBLIC</v>
          </cell>
        </row>
        <row r="34090">
          <cell r="L34090" t="str">
            <v>Non-proportional</v>
          </cell>
          <cell r="S34090">
            <v>3747.06</v>
          </cell>
          <cell r="X34090" t="str">
            <v>GWP - gross</v>
          </cell>
          <cell r="Y34090" t="str">
            <v>DOMINICAN REPUBLIC</v>
          </cell>
        </row>
        <row r="34091">
          <cell r="L34091" t="str">
            <v>Proportional</v>
          </cell>
          <cell r="S34091">
            <v>-62168.09</v>
          </cell>
          <cell r="X34091" t="str">
            <v>GWP - gross</v>
          </cell>
          <cell r="Y34091" t="str">
            <v>FRANCE</v>
          </cell>
        </row>
        <row r="34092">
          <cell r="L34092" t="str">
            <v>Proportional</v>
          </cell>
          <cell r="S34092">
            <v>5330909.1100000003</v>
          </cell>
          <cell r="X34092" t="str">
            <v>GWP - gross</v>
          </cell>
          <cell r="Y34092" t="str">
            <v>PORTUGAL</v>
          </cell>
        </row>
        <row r="34093">
          <cell r="L34093" t="str">
            <v>Proportional</v>
          </cell>
          <cell r="S34093">
            <v>817284.7</v>
          </cell>
          <cell r="X34093" t="str">
            <v>GWP - gross</v>
          </cell>
          <cell r="Y34093" t="str">
            <v>UNITED STATES</v>
          </cell>
        </row>
        <row r="34094">
          <cell r="L34094" t="str">
            <v>Non-proportional</v>
          </cell>
          <cell r="S34094">
            <v>106684.3</v>
          </cell>
          <cell r="X34094" t="str">
            <v>GWP - gross</v>
          </cell>
          <cell r="Y34094" t="str">
            <v>PERU</v>
          </cell>
        </row>
        <row r="34095">
          <cell r="L34095" t="str">
            <v>Proportional</v>
          </cell>
          <cell r="S34095">
            <v>-5062.05</v>
          </cell>
          <cell r="X34095" t="str">
            <v>GWP - gross</v>
          </cell>
          <cell r="Y34095" t="str">
            <v>CHILE</v>
          </cell>
        </row>
        <row r="34096">
          <cell r="L34096" t="str">
            <v>Non-proportional</v>
          </cell>
          <cell r="S34096">
            <v>7622.35</v>
          </cell>
          <cell r="X34096" t="str">
            <v>GWP - gross</v>
          </cell>
          <cell r="Y34096" t="str">
            <v>AUSTRALIA</v>
          </cell>
        </row>
        <row r="34097">
          <cell r="L34097" t="str">
            <v>Non-proportional</v>
          </cell>
          <cell r="S34097">
            <v>-271.27</v>
          </cell>
          <cell r="X34097" t="str">
            <v>GWP - gross</v>
          </cell>
          <cell r="Y34097" t="str">
            <v>AUSTRALIA</v>
          </cell>
        </row>
        <row r="34098">
          <cell r="L34098" t="str">
            <v>Non-proportional</v>
          </cell>
          <cell r="S34098">
            <v>-7110.96</v>
          </cell>
          <cell r="X34098" t="str">
            <v>GWP - gross</v>
          </cell>
          <cell r="Y34098" t="str">
            <v>CHILE</v>
          </cell>
        </row>
        <row r="34099">
          <cell r="L34099" t="str">
            <v>Non-proportional</v>
          </cell>
          <cell r="S34099">
            <v>15125.7</v>
          </cell>
          <cell r="X34099" t="str">
            <v>GWP - gross</v>
          </cell>
          <cell r="Y34099" t="str">
            <v>UNITED KINGDOM</v>
          </cell>
        </row>
        <row r="34100">
          <cell r="L34100" t="str">
            <v>Non-proportional</v>
          </cell>
          <cell r="S34100">
            <v>-9379.2000000000007</v>
          </cell>
          <cell r="X34100" t="str">
            <v>GWP - gross</v>
          </cell>
          <cell r="Y34100" t="str">
            <v>UNITED KINGDOM</v>
          </cell>
        </row>
        <row r="34101">
          <cell r="L34101" t="str">
            <v>Proportional</v>
          </cell>
          <cell r="S34101">
            <v>206.24</v>
          </cell>
          <cell r="X34101" t="str">
            <v>GWP - gross</v>
          </cell>
          <cell r="Y34101" t="str">
            <v>UNITED STATES</v>
          </cell>
        </row>
        <row r="34102">
          <cell r="L34102" t="str">
            <v>Non-proportional</v>
          </cell>
          <cell r="S34102">
            <v>-208.58</v>
          </cell>
          <cell r="X34102" t="str">
            <v>GWP - gross</v>
          </cell>
          <cell r="Y34102" t="str">
            <v>AUSTRALIA</v>
          </cell>
        </row>
        <row r="34103">
          <cell r="L34103" t="str">
            <v>Non-proportional</v>
          </cell>
          <cell r="S34103">
            <v>2708.64</v>
          </cell>
          <cell r="X34103" t="str">
            <v>GWP - gross</v>
          </cell>
          <cell r="Y34103" t="str">
            <v>AUSTRALIA</v>
          </cell>
        </row>
        <row r="34104">
          <cell r="L34104" t="str">
            <v>Non-proportional</v>
          </cell>
          <cell r="S34104">
            <v>-10188.41</v>
          </cell>
          <cell r="X34104" t="str">
            <v>GWP - gross</v>
          </cell>
          <cell r="Y34104" t="str">
            <v>AUSTRALIA</v>
          </cell>
        </row>
        <row r="34105">
          <cell r="L34105" t="str">
            <v>Proportional</v>
          </cell>
          <cell r="S34105">
            <v>297.16000000000003</v>
          </cell>
          <cell r="X34105" t="str">
            <v>GWP - gross</v>
          </cell>
          <cell r="Y34105" t="str">
            <v>UNITED STATES</v>
          </cell>
        </row>
        <row r="34106">
          <cell r="L34106" t="str">
            <v>Proportional</v>
          </cell>
          <cell r="S34106">
            <v>-2266.4899999999998</v>
          </cell>
          <cell r="X34106" t="str">
            <v>GWP - gross</v>
          </cell>
          <cell r="Y34106" t="str">
            <v>UNITED STATES</v>
          </cell>
        </row>
        <row r="34107">
          <cell r="L34107" t="str">
            <v>Proportional</v>
          </cell>
          <cell r="S34107">
            <v>-246.85</v>
          </cell>
          <cell r="X34107" t="str">
            <v>GWP - gross</v>
          </cell>
          <cell r="Y34107" t="str">
            <v>THAILAND</v>
          </cell>
        </row>
        <row r="34108">
          <cell r="L34108" t="str">
            <v>Non-proportional</v>
          </cell>
          <cell r="S34108">
            <v>25.08</v>
          </cell>
          <cell r="X34108" t="str">
            <v>GWP - gross</v>
          </cell>
          <cell r="Y34108" t="str">
            <v>GERMANY</v>
          </cell>
        </row>
        <row r="34109">
          <cell r="L34109" t="str">
            <v>Non-proportional</v>
          </cell>
          <cell r="S34109">
            <v>-31244</v>
          </cell>
          <cell r="X34109" t="str">
            <v>GWP - gross</v>
          </cell>
          <cell r="Y34109" t="str">
            <v>CHILE</v>
          </cell>
        </row>
        <row r="34110">
          <cell r="L34110" t="str">
            <v>Non-proportional</v>
          </cell>
          <cell r="S34110">
            <v>93944.95</v>
          </cell>
          <cell r="X34110" t="str">
            <v>GWP - gross</v>
          </cell>
          <cell r="Y34110" t="str">
            <v>COLOMBIA</v>
          </cell>
        </row>
        <row r="34111">
          <cell r="L34111" t="str">
            <v>Proportional</v>
          </cell>
          <cell r="S34111">
            <v>3813.06</v>
          </cell>
          <cell r="X34111" t="str">
            <v>GWP - gross</v>
          </cell>
          <cell r="Y34111" t="str">
            <v>UNITED STATES</v>
          </cell>
        </row>
        <row r="34112">
          <cell r="L34112" t="str">
            <v>Non-proportional</v>
          </cell>
          <cell r="S34112">
            <v>-468750</v>
          </cell>
          <cell r="X34112" t="str">
            <v>GWP - gross</v>
          </cell>
          <cell r="Y34112" t="str">
            <v>BELGIUM</v>
          </cell>
        </row>
        <row r="34113">
          <cell r="L34113" t="str">
            <v>Non-proportional</v>
          </cell>
          <cell r="S34113">
            <v>201.91</v>
          </cell>
          <cell r="X34113" t="str">
            <v>GWP - gross</v>
          </cell>
          <cell r="Y34113" t="str">
            <v>DOMINICAN REPUBLIC</v>
          </cell>
        </row>
        <row r="34114">
          <cell r="L34114" t="str">
            <v>Non-proportional</v>
          </cell>
          <cell r="S34114">
            <v>-15240.57</v>
          </cell>
          <cell r="X34114" t="str">
            <v>GWP - gross</v>
          </cell>
          <cell r="Y34114" t="str">
            <v>AUSTRALIA</v>
          </cell>
        </row>
        <row r="34115">
          <cell r="L34115" t="str">
            <v>Proportional</v>
          </cell>
          <cell r="S34115">
            <v>-94.18</v>
          </cell>
          <cell r="X34115" t="str">
            <v>GWP - gross</v>
          </cell>
          <cell r="Y34115" t="str">
            <v>India</v>
          </cell>
        </row>
        <row r="34116">
          <cell r="L34116" t="str">
            <v>Proportional</v>
          </cell>
          <cell r="S34116">
            <v>-22393.14</v>
          </cell>
          <cell r="X34116" t="str">
            <v>GWP - gross</v>
          </cell>
          <cell r="Y34116" t="str">
            <v>CHILE</v>
          </cell>
        </row>
        <row r="34117">
          <cell r="L34117" t="str">
            <v>Non-proportional</v>
          </cell>
          <cell r="S34117">
            <v>-10963.24</v>
          </cell>
          <cell r="X34117" t="str">
            <v>GWP - gross</v>
          </cell>
          <cell r="Y34117" t="str">
            <v>ISRAEL</v>
          </cell>
        </row>
        <row r="34118">
          <cell r="L34118" t="str">
            <v>Proportional</v>
          </cell>
          <cell r="S34118">
            <v>-1354325.38</v>
          </cell>
          <cell r="X34118" t="str">
            <v>GWP - gross</v>
          </cell>
          <cell r="Y34118" t="str">
            <v>AUSTRALIA</v>
          </cell>
        </row>
        <row r="34119">
          <cell r="L34119" t="str">
            <v>Non-proportional</v>
          </cell>
          <cell r="S34119">
            <v>3215.02</v>
          </cell>
          <cell r="X34119" t="str">
            <v>GWP - gross</v>
          </cell>
          <cell r="Y34119" t="str">
            <v>DOMINICAN REPUBLIC</v>
          </cell>
        </row>
        <row r="34120">
          <cell r="L34120" t="str">
            <v>Non-proportional</v>
          </cell>
          <cell r="S34120">
            <v>7405.71</v>
          </cell>
          <cell r="X34120" t="str">
            <v>GWP - gross</v>
          </cell>
          <cell r="Y34120" t="str">
            <v>CHILE</v>
          </cell>
        </row>
        <row r="34121">
          <cell r="L34121" t="str">
            <v>Non-proportional</v>
          </cell>
          <cell r="S34121">
            <v>34.409999999999997</v>
          </cell>
          <cell r="X34121" t="str">
            <v>GWP - gross</v>
          </cell>
          <cell r="Y34121" t="str">
            <v>GERMANY</v>
          </cell>
        </row>
        <row r="34122">
          <cell r="L34122" t="str">
            <v>Proportional</v>
          </cell>
          <cell r="S34122">
            <v>-147.08000000000001</v>
          </cell>
          <cell r="X34122" t="str">
            <v>GWP - gross</v>
          </cell>
          <cell r="Y34122" t="str">
            <v>Thailand</v>
          </cell>
        </row>
        <row r="34123">
          <cell r="L34123" t="str">
            <v>Proportional</v>
          </cell>
          <cell r="S34123">
            <v>-4196.49</v>
          </cell>
          <cell r="X34123" t="str">
            <v>GWP - gross</v>
          </cell>
          <cell r="Y34123" t="str">
            <v>INDIA</v>
          </cell>
        </row>
        <row r="34124">
          <cell r="L34124" t="str">
            <v>Proportional</v>
          </cell>
          <cell r="S34124">
            <v>-4307.08</v>
          </cell>
          <cell r="X34124" t="str">
            <v>GWP - gross</v>
          </cell>
          <cell r="Y34124" t="str">
            <v>India</v>
          </cell>
        </row>
        <row r="34125">
          <cell r="L34125" t="str">
            <v>Proportional</v>
          </cell>
          <cell r="S34125">
            <v>1659.36</v>
          </cell>
          <cell r="X34125" t="str">
            <v>GWP - gross</v>
          </cell>
          <cell r="Y34125" t="str">
            <v>THAILAND</v>
          </cell>
        </row>
        <row r="34126">
          <cell r="L34126" t="str">
            <v>Non-proportional</v>
          </cell>
          <cell r="S34126">
            <v>18125</v>
          </cell>
          <cell r="X34126" t="str">
            <v>GWP - gross</v>
          </cell>
          <cell r="Y34126" t="str">
            <v>ROMANIA</v>
          </cell>
        </row>
        <row r="34127">
          <cell r="L34127" t="str">
            <v>Proportional</v>
          </cell>
          <cell r="S34127">
            <v>40126.47</v>
          </cell>
          <cell r="X34127" t="str">
            <v>GWP - gross</v>
          </cell>
          <cell r="Y34127" t="str">
            <v>THAILAND</v>
          </cell>
        </row>
        <row r="34128">
          <cell r="L34128" t="str">
            <v>Non-proportional</v>
          </cell>
          <cell r="S34128">
            <v>468750</v>
          </cell>
          <cell r="X34128" t="str">
            <v>GWP - gross</v>
          </cell>
          <cell r="Y34128" t="str">
            <v>BELGIUM</v>
          </cell>
        </row>
        <row r="34129">
          <cell r="L34129" t="str">
            <v>Proportional</v>
          </cell>
          <cell r="S34129">
            <v>18606.39</v>
          </cell>
          <cell r="X34129" t="str">
            <v>GWP - gross</v>
          </cell>
          <cell r="Y34129" t="str">
            <v>CHILE</v>
          </cell>
        </row>
        <row r="34130">
          <cell r="L34130" t="str">
            <v>Non-proportional</v>
          </cell>
          <cell r="S34130">
            <v>-105595.88</v>
          </cell>
          <cell r="X34130" t="str">
            <v>GWP - gross</v>
          </cell>
          <cell r="Y34130" t="str">
            <v>CHILE</v>
          </cell>
        </row>
        <row r="34131">
          <cell r="L34131" t="str">
            <v>Non-proportional</v>
          </cell>
          <cell r="S34131">
            <v>-361.24</v>
          </cell>
          <cell r="X34131" t="str">
            <v>GWP - gross</v>
          </cell>
          <cell r="Y34131" t="str">
            <v>DOMINICAN REPUBLIC</v>
          </cell>
        </row>
        <row r="34132">
          <cell r="L34132" t="str">
            <v>Proportional</v>
          </cell>
          <cell r="S34132">
            <v>-957.13</v>
          </cell>
          <cell r="X34132" t="str">
            <v>GWP - gross</v>
          </cell>
          <cell r="Y34132" t="str">
            <v>CHILE</v>
          </cell>
        </row>
        <row r="34133">
          <cell r="L34133" t="str">
            <v>Proportional</v>
          </cell>
          <cell r="S34133">
            <v>2268.84</v>
          </cell>
          <cell r="X34133" t="str">
            <v>GWP - gross</v>
          </cell>
          <cell r="Y34133" t="str">
            <v>UNITED STATES</v>
          </cell>
        </row>
        <row r="34134">
          <cell r="L34134" t="str">
            <v>Proportional</v>
          </cell>
          <cell r="S34134">
            <v>-457.1</v>
          </cell>
          <cell r="X34134" t="str">
            <v>GWP - gross</v>
          </cell>
          <cell r="Y34134" t="str">
            <v>CHILE</v>
          </cell>
        </row>
        <row r="34135">
          <cell r="L34135" t="str">
            <v>Proportional</v>
          </cell>
          <cell r="S34135">
            <v>-74.239999999999995</v>
          </cell>
          <cell r="X34135" t="str">
            <v>GWP - gross</v>
          </cell>
          <cell r="Y34135" t="str">
            <v>CHILE</v>
          </cell>
        </row>
        <row r="34136">
          <cell r="L34136" t="str">
            <v>Non-proportional</v>
          </cell>
          <cell r="S34136">
            <v>1481.93</v>
          </cell>
          <cell r="X34136" t="str">
            <v>GWP - gross</v>
          </cell>
          <cell r="Y34136" t="str">
            <v>DOMINICAN REPUBLIC</v>
          </cell>
        </row>
        <row r="34137">
          <cell r="L34137" t="str">
            <v>Proportional</v>
          </cell>
          <cell r="S34137">
            <v>-125161.85</v>
          </cell>
          <cell r="X34137" t="str">
            <v>GWP - gross</v>
          </cell>
          <cell r="Y34137" t="str">
            <v>AUSTRALIA</v>
          </cell>
        </row>
        <row r="34138">
          <cell r="L34138" t="str">
            <v>Proportional</v>
          </cell>
          <cell r="S34138">
            <v>3850.65</v>
          </cell>
          <cell r="X34138" t="str">
            <v>GWP - gross</v>
          </cell>
          <cell r="Y34138" t="str">
            <v>FRANCE</v>
          </cell>
        </row>
        <row r="34139">
          <cell r="L34139" t="str">
            <v>Proportional</v>
          </cell>
          <cell r="S34139">
            <v>-26878</v>
          </cell>
          <cell r="X34139" t="str">
            <v>GWP - gross</v>
          </cell>
          <cell r="Y34139" t="str">
            <v>UNITED STATES</v>
          </cell>
        </row>
        <row r="34140">
          <cell r="L34140" t="str">
            <v>Non-proportional</v>
          </cell>
          <cell r="S34140">
            <v>13750.62</v>
          </cell>
          <cell r="X34140" t="str">
            <v>GWP - gross</v>
          </cell>
          <cell r="Y34140" t="str">
            <v>AUSTRALIA</v>
          </cell>
        </row>
        <row r="34141">
          <cell r="L34141" t="str">
            <v>Non-proportional</v>
          </cell>
          <cell r="S34141">
            <v>-4064.44</v>
          </cell>
          <cell r="X34141" t="str">
            <v>GWP - gross</v>
          </cell>
          <cell r="Y34141" t="str">
            <v>DOMINICAN REPUBLIC</v>
          </cell>
        </row>
        <row r="34142">
          <cell r="L34142" t="str">
            <v>Non-proportional</v>
          </cell>
          <cell r="S34142">
            <v>38.14</v>
          </cell>
          <cell r="X34142" t="str">
            <v>GWP - gross</v>
          </cell>
          <cell r="Y34142" t="str">
            <v>GERMANY</v>
          </cell>
        </row>
        <row r="34143">
          <cell r="L34143" t="str">
            <v>Proportional</v>
          </cell>
          <cell r="S34143">
            <v>-366449.1</v>
          </cell>
          <cell r="X34143" t="str">
            <v>GWP - gross</v>
          </cell>
          <cell r="Y34143" t="str">
            <v>THAILAND</v>
          </cell>
        </row>
        <row r="34144">
          <cell r="L34144" t="str">
            <v>Proportional</v>
          </cell>
          <cell r="S34144">
            <v>-3395.76</v>
          </cell>
          <cell r="X34144" t="str">
            <v>GWP - gross</v>
          </cell>
          <cell r="Y34144" t="str">
            <v>Thailand</v>
          </cell>
        </row>
        <row r="34145">
          <cell r="L34145" t="str">
            <v>Proportional</v>
          </cell>
          <cell r="S34145">
            <v>-185.82</v>
          </cell>
          <cell r="X34145" t="str">
            <v>GWP - gross</v>
          </cell>
          <cell r="Y34145" t="str">
            <v>CHILE</v>
          </cell>
        </row>
        <row r="34146">
          <cell r="L34146" t="str">
            <v>Proportional</v>
          </cell>
          <cell r="S34146">
            <v>95242.62</v>
          </cell>
          <cell r="X34146" t="str">
            <v>GWP - gross</v>
          </cell>
          <cell r="Y34146" t="str">
            <v>CHILE</v>
          </cell>
        </row>
        <row r="34147">
          <cell r="L34147" t="str">
            <v>Non-proportional</v>
          </cell>
          <cell r="S34147">
            <v>-20003.310000000001</v>
          </cell>
          <cell r="X34147" t="str">
            <v>GWP - gross</v>
          </cell>
          <cell r="Y34147" t="str">
            <v>PERU</v>
          </cell>
        </row>
        <row r="34148">
          <cell r="L34148" t="str">
            <v>Proportional</v>
          </cell>
          <cell r="S34148">
            <v>294.75</v>
          </cell>
          <cell r="X34148" t="str">
            <v>GWP - gross</v>
          </cell>
          <cell r="Y34148" t="str">
            <v>CHILE</v>
          </cell>
        </row>
        <row r="34149">
          <cell r="L34149" t="str">
            <v>Non-proportional</v>
          </cell>
          <cell r="S34149">
            <v>32459.86</v>
          </cell>
          <cell r="X34149" t="str">
            <v>GWP - gross</v>
          </cell>
          <cell r="Y34149" t="str">
            <v>CHILE</v>
          </cell>
        </row>
        <row r="34150">
          <cell r="L34150" t="str">
            <v>Proportional</v>
          </cell>
          <cell r="S34150">
            <v>-389.68</v>
          </cell>
          <cell r="X34150" t="str">
            <v>GWP - gross</v>
          </cell>
          <cell r="Y34150" t="str">
            <v>Thailand</v>
          </cell>
        </row>
        <row r="34151">
          <cell r="L34151" t="str">
            <v>Proportional</v>
          </cell>
          <cell r="S34151">
            <v>-115076861.42</v>
          </cell>
          <cell r="X34151" t="str">
            <v>GWP - gross</v>
          </cell>
          <cell r="Y34151" t="str">
            <v>ITALY</v>
          </cell>
        </row>
        <row r="34152">
          <cell r="L34152" t="str">
            <v>Non-proportional</v>
          </cell>
          <cell r="S34152">
            <v>468750</v>
          </cell>
          <cell r="X34152" t="str">
            <v>GWP - gross</v>
          </cell>
          <cell r="Y34152" t="str">
            <v>BELGIUM</v>
          </cell>
        </row>
        <row r="34153">
          <cell r="L34153" t="str">
            <v>Proportional</v>
          </cell>
          <cell r="S34153">
            <v>5076.01</v>
          </cell>
          <cell r="X34153" t="str">
            <v>GWP - gross</v>
          </cell>
          <cell r="Y34153" t="str">
            <v>CHILE</v>
          </cell>
        </row>
        <row r="34154">
          <cell r="L34154" t="str">
            <v>Non-proportional</v>
          </cell>
          <cell r="S34154">
            <v>-8034.77</v>
          </cell>
          <cell r="X34154" t="str">
            <v>GWP - gross</v>
          </cell>
          <cell r="Y34154" t="str">
            <v>AUSTRALIA</v>
          </cell>
        </row>
        <row r="34155">
          <cell r="L34155" t="str">
            <v>Proportional</v>
          </cell>
          <cell r="S34155">
            <v>-50863.78</v>
          </cell>
          <cell r="X34155" t="str">
            <v>GWP - gross</v>
          </cell>
          <cell r="Y34155" t="str">
            <v>TURKEY</v>
          </cell>
        </row>
        <row r="34156">
          <cell r="L34156" t="str">
            <v>Proportional</v>
          </cell>
          <cell r="S34156">
            <v>73.69</v>
          </cell>
          <cell r="X34156" t="str">
            <v>GWP - gross</v>
          </cell>
          <cell r="Y34156" t="str">
            <v>CHILE</v>
          </cell>
        </row>
        <row r="34157">
          <cell r="L34157" t="str">
            <v>Proportional</v>
          </cell>
          <cell r="S34157">
            <v>401.28</v>
          </cell>
          <cell r="X34157" t="str">
            <v>GWP - gross</v>
          </cell>
          <cell r="Y34157" t="str">
            <v>UNITED STATES</v>
          </cell>
        </row>
        <row r="34158">
          <cell r="L34158" t="str">
            <v>Proportional</v>
          </cell>
          <cell r="S34158">
            <v>-299.64999999999998</v>
          </cell>
          <cell r="X34158" t="str">
            <v>GWP - gross</v>
          </cell>
          <cell r="Y34158" t="str">
            <v>UNITED STATES</v>
          </cell>
        </row>
        <row r="34159">
          <cell r="L34159" t="str">
            <v>Proportional</v>
          </cell>
          <cell r="S34159">
            <v>-111</v>
          </cell>
          <cell r="X34159" t="str">
            <v>GWP - gross</v>
          </cell>
          <cell r="Y34159" t="str">
            <v>CHILE</v>
          </cell>
        </row>
        <row r="34160">
          <cell r="L34160" t="str">
            <v>Non-proportional</v>
          </cell>
          <cell r="S34160">
            <v>-1302.1500000000001</v>
          </cell>
          <cell r="X34160" t="str">
            <v>GWP - gross</v>
          </cell>
          <cell r="Y34160" t="str">
            <v>GERMANY</v>
          </cell>
        </row>
        <row r="34161">
          <cell r="L34161" t="str">
            <v>Proportional</v>
          </cell>
          <cell r="S34161">
            <v>2.0099999999999998</v>
          </cell>
          <cell r="X34161" t="str">
            <v>GWP - gross</v>
          </cell>
          <cell r="Y34161" t="str">
            <v>Thailand</v>
          </cell>
        </row>
        <row r="34162">
          <cell r="L34162" t="str">
            <v>Non-proportional</v>
          </cell>
          <cell r="S34162">
            <v>124.38</v>
          </cell>
          <cell r="X34162" t="str">
            <v>GWP - gross</v>
          </cell>
          <cell r="Y34162" t="str">
            <v>GERMANY</v>
          </cell>
        </row>
        <row r="34163">
          <cell r="L34163" t="str">
            <v>Proportional</v>
          </cell>
          <cell r="S34163">
            <v>-15571.39</v>
          </cell>
          <cell r="X34163" t="str">
            <v>GWP - gross</v>
          </cell>
          <cell r="Y34163" t="str">
            <v>THAILAND</v>
          </cell>
        </row>
        <row r="34164">
          <cell r="L34164" t="str">
            <v>Proportional</v>
          </cell>
          <cell r="S34164">
            <v>74.239999999999995</v>
          </cell>
          <cell r="X34164" t="str">
            <v>GWP - gross</v>
          </cell>
          <cell r="Y34164" t="str">
            <v>CHILE</v>
          </cell>
        </row>
        <row r="34165">
          <cell r="L34165" t="str">
            <v>Proportional</v>
          </cell>
          <cell r="S34165">
            <v>42841.73</v>
          </cell>
          <cell r="X34165" t="str">
            <v>GWP - gross</v>
          </cell>
          <cell r="Y34165" t="str">
            <v>FRANCE</v>
          </cell>
        </row>
        <row r="34166">
          <cell r="L34166" t="str">
            <v>Non-proportional</v>
          </cell>
          <cell r="S34166">
            <v>-48378.26</v>
          </cell>
          <cell r="X34166" t="str">
            <v>GWP - gross</v>
          </cell>
          <cell r="Y34166" t="str">
            <v>UNITED KINGDOM</v>
          </cell>
        </row>
        <row r="34167">
          <cell r="L34167" t="str">
            <v>Proportional</v>
          </cell>
          <cell r="S34167">
            <v>-5076.01</v>
          </cell>
          <cell r="X34167" t="str">
            <v>GWP - gross</v>
          </cell>
          <cell r="Y34167" t="str">
            <v>CHILE</v>
          </cell>
        </row>
        <row r="34168">
          <cell r="L34168" t="str">
            <v>Non-proportional</v>
          </cell>
          <cell r="S34168">
            <v>-10869.08</v>
          </cell>
          <cell r="X34168" t="str">
            <v>GWP - gross</v>
          </cell>
          <cell r="Y34168" t="str">
            <v>CHILE</v>
          </cell>
        </row>
        <row r="34169">
          <cell r="L34169" t="str">
            <v>Non-proportional</v>
          </cell>
          <cell r="S34169">
            <v>-254318.92</v>
          </cell>
          <cell r="X34169" t="str">
            <v>GWP - gross</v>
          </cell>
          <cell r="Y34169" t="str">
            <v>TURKEY</v>
          </cell>
        </row>
        <row r="34170">
          <cell r="L34170" t="str">
            <v>Non-proportional</v>
          </cell>
          <cell r="S34170">
            <v>-95058.4</v>
          </cell>
          <cell r="X34170" t="str">
            <v>GWP - gross</v>
          </cell>
          <cell r="Y34170" t="str">
            <v>CHILE</v>
          </cell>
        </row>
        <row r="34171">
          <cell r="L34171" t="str">
            <v>Proportional</v>
          </cell>
          <cell r="S34171">
            <v>548.39</v>
          </cell>
          <cell r="X34171" t="str">
            <v>GWP - gross</v>
          </cell>
          <cell r="Y34171" t="str">
            <v>INDIA</v>
          </cell>
        </row>
        <row r="34172">
          <cell r="L34172" t="str">
            <v>Proportional</v>
          </cell>
          <cell r="S34172">
            <v>16.190000000000001</v>
          </cell>
          <cell r="X34172" t="str">
            <v>GWP - gross</v>
          </cell>
          <cell r="Y34172" t="str">
            <v>India</v>
          </cell>
        </row>
        <row r="34173">
          <cell r="L34173" t="str">
            <v>Proportional</v>
          </cell>
          <cell r="S34173">
            <v>-264.66000000000003</v>
          </cell>
          <cell r="X34173" t="str">
            <v>GWP - gross</v>
          </cell>
          <cell r="Y34173" t="str">
            <v>THAILAND</v>
          </cell>
        </row>
        <row r="34174">
          <cell r="L34174" t="str">
            <v>Proportional</v>
          </cell>
          <cell r="S34174">
            <v>901894.31</v>
          </cell>
          <cell r="X34174" t="str">
            <v>GWP - gross</v>
          </cell>
          <cell r="Y34174" t="str">
            <v>THAILAND</v>
          </cell>
        </row>
        <row r="34175">
          <cell r="L34175" t="str">
            <v>Proportional</v>
          </cell>
          <cell r="S34175">
            <v>-2579.1</v>
          </cell>
          <cell r="X34175" t="str">
            <v>GWP - gross</v>
          </cell>
          <cell r="Y34175" t="str">
            <v>CHILE</v>
          </cell>
        </row>
        <row r="34176">
          <cell r="L34176" t="str">
            <v>Proportional</v>
          </cell>
          <cell r="S34176">
            <v>1354325.38</v>
          </cell>
          <cell r="X34176" t="str">
            <v>GWP - gross</v>
          </cell>
          <cell r="Y34176" t="str">
            <v>AUSTRALIA</v>
          </cell>
        </row>
        <row r="34177">
          <cell r="L34177" t="str">
            <v>Proportional</v>
          </cell>
          <cell r="S34177">
            <v>-94.18</v>
          </cell>
          <cell r="X34177" t="str">
            <v>GWP - gross</v>
          </cell>
          <cell r="Y34177" t="str">
            <v>India</v>
          </cell>
        </row>
        <row r="34178">
          <cell r="L34178" t="str">
            <v>Proportional</v>
          </cell>
          <cell r="S34178">
            <v>19.04</v>
          </cell>
          <cell r="X34178" t="str">
            <v>GWP - gross</v>
          </cell>
          <cell r="Y34178" t="str">
            <v>India</v>
          </cell>
        </row>
        <row r="34179">
          <cell r="L34179" t="str">
            <v>Proportional</v>
          </cell>
          <cell r="S34179">
            <v>-470.91</v>
          </cell>
          <cell r="X34179" t="str">
            <v>GWP - gross</v>
          </cell>
          <cell r="Y34179" t="str">
            <v>India</v>
          </cell>
        </row>
        <row r="34180">
          <cell r="L34180" t="str">
            <v>Proportional</v>
          </cell>
          <cell r="S34180">
            <v>192690.71</v>
          </cell>
          <cell r="X34180" t="str">
            <v>GWP - gross</v>
          </cell>
          <cell r="Y34180" t="str">
            <v>PORTUGAL</v>
          </cell>
        </row>
        <row r="34181">
          <cell r="L34181" t="str">
            <v>Non-proportional</v>
          </cell>
          <cell r="S34181">
            <v>361.24</v>
          </cell>
          <cell r="X34181" t="str">
            <v>GWP - gross</v>
          </cell>
          <cell r="Y34181" t="str">
            <v>DOMINICAN REPUBLIC</v>
          </cell>
        </row>
        <row r="34182">
          <cell r="L34182" t="str">
            <v>Non-proportional</v>
          </cell>
          <cell r="S34182">
            <v>2080.3200000000002</v>
          </cell>
          <cell r="X34182" t="str">
            <v>GWP - gross</v>
          </cell>
          <cell r="Y34182" t="str">
            <v>AUSTRALIA</v>
          </cell>
        </row>
        <row r="34183">
          <cell r="L34183" t="str">
            <v>Non-proportional</v>
          </cell>
          <cell r="S34183">
            <v>815.16</v>
          </cell>
          <cell r="X34183" t="str">
            <v>GWP - gross</v>
          </cell>
          <cell r="Y34183" t="str">
            <v>DOMINICAN REPUBLIC</v>
          </cell>
        </row>
        <row r="34184">
          <cell r="L34184" t="str">
            <v>Proportional</v>
          </cell>
          <cell r="S34184">
            <v>191696.49</v>
          </cell>
          <cell r="X34184" t="str">
            <v>GWP - gross</v>
          </cell>
          <cell r="Y34184" t="str">
            <v>THAILAND</v>
          </cell>
        </row>
        <row r="34185">
          <cell r="L34185" t="str">
            <v>Proportional</v>
          </cell>
          <cell r="S34185">
            <v>-45.22</v>
          </cell>
          <cell r="X34185" t="str">
            <v>GWP - gross</v>
          </cell>
          <cell r="Y34185" t="str">
            <v>THAILAND</v>
          </cell>
        </row>
        <row r="34186">
          <cell r="L34186" t="str">
            <v>Proportional</v>
          </cell>
          <cell r="S34186">
            <v>-1052.45</v>
          </cell>
          <cell r="X34186" t="str">
            <v>GWP - gross</v>
          </cell>
          <cell r="Y34186" t="str">
            <v>CHILE</v>
          </cell>
        </row>
        <row r="34187">
          <cell r="L34187" t="str">
            <v>Proportional</v>
          </cell>
          <cell r="S34187">
            <v>-206.42</v>
          </cell>
          <cell r="X34187" t="str">
            <v>GWP - gross</v>
          </cell>
          <cell r="Y34187" t="str">
            <v>UNITED STATES</v>
          </cell>
        </row>
        <row r="34188">
          <cell r="L34188" t="str">
            <v>Proportional</v>
          </cell>
          <cell r="S34188">
            <v>143.68</v>
          </cell>
          <cell r="X34188" t="str">
            <v>GWP - gross</v>
          </cell>
          <cell r="Y34188" t="str">
            <v>THAILAND</v>
          </cell>
        </row>
        <row r="34189">
          <cell r="L34189" t="str">
            <v>Proportional</v>
          </cell>
          <cell r="S34189">
            <v>4196.49</v>
          </cell>
          <cell r="X34189" t="str">
            <v>GWP - gross</v>
          </cell>
          <cell r="Y34189" t="str">
            <v>INDIA</v>
          </cell>
        </row>
        <row r="34190">
          <cell r="L34190" t="str">
            <v>Proportional</v>
          </cell>
          <cell r="S34190">
            <v>1068.49</v>
          </cell>
          <cell r="X34190" t="str">
            <v>GWP - gross</v>
          </cell>
          <cell r="Y34190" t="str">
            <v>CHILE</v>
          </cell>
        </row>
        <row r="34191">
          <cell r="L34191" t="str">
            <v>Proportional</v>
          </cell>
          <cell r="S34191">
            <v>-3712.65</v>
          </cell>
          <cell r="X34191" t="str">
            <v>GWP - gross</v>
          </cell>
          <cell r="Y34191" t="str">
            <v>PORTUGAL</v>
          </cell>
        </row>
        <row r="34192">
          <cell r="L34192" t="str">
            <v>Proportional</v>
          </cell>
          <cell r="S34192">
            <v>3942.34</v>
          </cell>
          <cell r="X34192" t="str">
            <v>GWP - gross</v>
          </cell>
          <cell r="Y34192" t="str">
            <v>CHILE</v>
          </cell>
        </row>
        <row r="34193">
          <cell r="L34193" t="str">
            <v>Proportional</v>
          </cell>
          <cell r="S34193">
            <v>-55402.14</v>
          </cell>
          <cell r="X34193" t="str">
            <v>GWP - gross</v>
          </cell>
          <cell r="Y34193" t="str">
            <v>THAILAND</v>
          </cell>
        </row>
        <row r="34194">
          <cell r="L34194" t="str">
            <v>Proportional</v>
          </cell>
          <cell r="S34194">
            <v>-999424.92</v>
          </cell>
          <cell r="X34194" t="str">
            <v>GWP - gross</v>
          </cell>
          <cell r="Y34194" t="str">
            <v>PORTUGAL</v>
          </cell>
        </row>
        <row r="34195">
          <cell r="L34195" t="str">
            <v>Proportional</v>
          </cell>
          <cell r="S34195">
            <v>4.7699999999999996</v>
          </cell>
          <cell r="X34195" t="str">
            <v>GWP - gross</v>
          </cell>
          <cell r="Y34195" t="str">
            <v>Thailand</v>
          </cell>
        </row>
        <row r="34196">
          <cell r="L34196" t="str">
            <v>Proportional</v>
          </cell>
          <cell r="S34196">
            <v>-192690.71</v>
          </cell>
          <cell r="X34196" t="str">
            <v>GWP - gross</v>
          </cell>
          <cell r="Y34196" t="str">
            <v>PORTUGAL</v>
          </cell>
        </row>
        <row r="34197">
          <cell r="L34197" t="str">
            <v>Proportional</v>
          </cell>
          <cell r="S34197">
            <v>4089.72</v>
          </cell>
          <cell r="X34197" t="str">
            <v>GWP - gross</v>
          </cell>
          <cell r="Y34197" t="str">
            <v>CHILE</v>
          </cell>
        </row>
        <row r="34198">
          <cell r="L34198" t="str">
            <v>Proportional</v>
          </cell>
          <cell r="S34198">
            <v>-5268.74</v>
          </cell>
          <cell r="X34198" t="str">
            <v>GWP - gross</v>
          </cell>
          <cell r="Y34198" t="str">
            <v>CHILE</v>
          </cell>
        </row>
        <row r="34199">
          <cell r="L34199" t="str">
            <v>Non-proportional</v>
          </cell>
          <cell r="S34199">
            <v>-23138.25</v>
          </cell>
          <cell r="X34199" t="str">
            <v>GWP - gross</v>
          </cell>
          <cell r="Y34199" t="str">
            <v>CHILE</v>
          </cell>
        </row>
        <row r="34200">
          <cell r="L34200" t="str">
            <v>Non-proportional</v>
          </cell>
          <cell r="S34200">
            <v>4064.44</v>
          </cell>
          <cell r="X34200" t="str">
            <v>GWP - gross</v>
          </cell>
          <cell r="Y34200" t="str">
            <v>DOMINICAN REPUBLIC</v>
          </cell>
        </row>
        <row r="34201">
          <cell r="L34201" t="str">
            <v>Proportional</v>
          </cell>
          <cell r="S34201">
            <v>402.26</v>
          </cell>
          <cell r="X34201" t="str">
            <v>GWP - gross</v>
          </cell>
          <cell r="Y34201" t="str">
            <v>THAILAND</v>
          </cell>
        </row>
        <row r="34202">
          <cell r="L34202" t="str">
            <v>Proportional</v>
          </cell>
          <cell r="S34202">
            <v>478.98</v>
          </cell>
          <cell r="X34202" t="str">
            <v>GWP - gross</v>
          </cell>
          <cell r="Y34202" t="str">
            <v>CHILE</v>
          </cell>
        </row>
        <row r="34203">
          <cell r="L34203" t="str">
            <v>Proportional</v>
          </cell>
          <cell r="S34203">
            <v>144532.67000000001</v>
          </cell>
          <cell r="X34203" t="str">
            <v>GWP - gross</v>
          </cell>
          <cell r="Y34203" t="str">
            <v>UNITED STATES</v>
          </cell>
        </row>
        <row r="34204">
          <cell r="L34204" t="str">
            <v>Non-proportional</v>
          </cell>
          <cell r="S34204">
            <v>-8173.98</v>
          </cell>
          <cell r="X34204" t="str">
            <v>GWP - gross</v>
          </cell>
          <cell r="Y34204" t="str">
            <v>ISRAEL</v>
          </cell>
        </row>
        <row r="34205">
          <cell r="L34205" t="str">
            <v>Proportional</v>
          </cell>
          <cell r="S34205">
            <v>-110599.26</v>
          </cell>
          <cell r="X34205" t="str">
            <v>GWP - gross</v>
          </cell>
          <cell r="Y34205" t="str">
            <v>UNITED STATES</v>
          </cell>
        </row>
        <row r="34206">
          <cell r="L34206" t="str">
            <v>Non-proportional</v>
          </cell>
          <cell r="S34206">
            <v>-277207.62</v>
          </cell>
          <cell r="X34206" t="str">
            <v>GWP - gross</v>
          </cell>
          <cell r="Y34206" t="str">
            <v>TURKEY</v>
          </cell>
        </row>
        <row r="34207">
          <cell r="L34207" t="str">
            <v>Non-proportional</v>
          </cell>
          <cell r="S34207">
            <v>-3424.5</v>
          </cell>
          <cell r="X34207" t="str">
            <v>GWP - gross</v>
          </cell>
          <cell r="Y34207" t="str">
            <v>AUSTRALIA</v>
          </cell>
        </row>
        <row r="34208">
          <cell r="L34208" t="str">
            <v>Proportional</v>
          </cell>
          <cell r="S34208">
            <v>73.17</v>
          </cell>
          <cell r="X34208" t="str">
            <v>GWP - gross</v>
          </cell>
          <cell r="Y34208" t="str">
            <v>THAILAND</v>
          </cell>
        </row>
        <row r="34209">
          <cell r="L34209" t="str">
            <v>Proportional</v>
          </cell>
          <cell r="S34209">
            <v>1038.93</v>
          </cell>
          <cell r="X34209" t="str">
            <v>GWP - gross</v>
          </cell>
          <cell r="Y34209" t="str">
            <v>THAILAND</v>
          </cell>
        </row>
        <row r="34210">
          <cell r="L34210" t="str">
            <v>Non-proportional</v>
          </cell>
          <cell r="S34210">
            <v>16088.54</v>
          </cell>
          <cell r="X34210" t="str">
            <v>GWP - gross</v>
          </cell>
          <cell r="Y34210" t="str">
            <v>AUSTRALIA</v>
          </cell>
        </row>
        <row r="34211">
          <cell r="L34211" t="str">
            <v>Proportional</v>
          </cell>
          <cell r="S34211">
            <v>-144532.67000000001</v>
          </cell>
          <cell r="X34211" t="str">
            <v>GWP - gross</v>
          </cell>
          <cell r="Y34211" t="str">
            <v>UNITED STATES</v>
          </cell>
        </row>
        <row r="34212">
          <cell r="L34212" t="str">
            <v>Non-proportional</v>
          </cell>
          <cell r="S34212">
            <v>-1924.6</v>
          </cell>
          <cell r="X34212" t="str">
            <v>GWP - gross</v>
          </cell>
          <cell r="Y34212" t="str">
            <v>AUSTRALIA</v>
          </cell>
        </row>
        <row r="34213">
          <cell r="L34213" t="str">
            <v>Non-proportional</v>
          </cell>
          <cell r="S34213">
            <v>-749.15</v>
          </cell>
          <cell r="X34213" t="str">
            <v>GWP - gross</v>
          </cell>
          <cell r="Y34213" t="str">
            <v>AUSTRALIA</v>
          </cell>
        </row>
        <row r="34214">
          <cell r="L34214" t="str">
            <v>Proportional</v>
          </cell>
          <cell r="S34214">
            <v>-919873.05</v>
          </cell>
          <cell r="X34214" t="str">
            <v>GWP - gross</v>
          </cell>
          <cell r="Y34214" t="str">
            <v>PORTUGAL</v>
          </cell>
        </row>
        <row r="34215">
          <cell r="L34215" t="str">
            <v>Proportional</v>
          </cell>
          <cell r="S34215">
            <v>-4465.8599999999997</v>
          </cell>
          <cell r="X34215" t="str">
            <v>GWP - gross</v>
          </cell>
          <cell r="Y34215" t="str">
            <v>THAILAND</v>
          </cell>
        </row>
        <row r="34216">
          <cell r="L34216" t="str">
            <v>Proportional</v>
          </cell>
          <cell r="S34216">
            <v>-32.83</v>
          </cell>
          <cell r="X34216" t="str">
            <v>GWP - gross</v>
          </cell>
          <cell r="Y34216" t="str">
            <v>CHILE</v>
          </cell>
        </row>
        <row r="34217">
          <cell r="L34217" t="str">
            <v>Proportional</v>
          </cell>
          <cell r="S34217">
            <v>6210679.0499999998</v>
          </cell>
          <cell r="X34217" t="str">
            <v>GWP - gross</v>
          </cell>
          <cell r="Y34217" t="str">
            <v>THAILAND</v>
          </cell>
        </row>
        <row r="34218">
          <cell r="L34218" t="str">
            <v>Non-proportional</v>
          </cell>
          <cell r="S34218">
            <v>50156.28</v>
          </cell>
          <cell r="X34218" t="str">
            <v>GWP - gross</v>
          </cell>
          <cell r="Y34218" t="str">
            <v>UNITED KINGDOM</v>
          </cell>
        </row>
        <row r="34219">
          <cell r="L34219" t="str">
            <v>Non-proportional</v>
          </cell>
          <cell r="S34219">
            <v>7652.35</v>
          </cell>
          <cell r="X34219" t="str">
            <v>GWP - gross</v>
          </cell>
          <cell r="Y34219" t="str">
            <v>AUSTRALIA</v>
          </cell>
        </row>
        <row r="34220">
          <cell r="L34220" t="str">
            <v>Proportional</v>
          </cell>
          <cell r="S34220">
            <v>62168.09</v>
          </cell>
          <cell r="X34220" t="str">
            <v>GWP - gross</v>
          </cell>
          <cell r="Y34220" t="str">
            <v>FRANCE</v>
          </cell>
        </row>
        <row r="34221">
          <cell r="L34221" t="str">
            <v>Proportional</v>
          </cell>
          <cell r="S34221">
            <v>751.47</v>
          </cell>
          <cell r="X34221" t="str">
            <v>GWP - gross</v>
          </cell>
          <cell r="Y34221" t="str">
            <v>THAILAND</v>
          </cell>
        </row>
        <row r="34222">
          <cell r="L34222" t="str">
            <v>Proportional</v>
          </cell>
          <cell r="S34222">
            <v>6954.91</v>
          </cell>
          <cell r="X34222" t="str">
            <v>GWP - gross</v>
          </cell>
          <cell r="Y34222" t="str">
            <v>THAILAND</v>
          </cell>
        </row>
        <row r="34223">
          <cell r="L34223" t="str">
            <v>Proportional</v>
          </cell>
          <cell r="S34223">
            <v>147.38</v>
          </cell>
          <cell r="X34223" t="str">
            <v>GWP - gross</v>
          </cell>
          <cell r="Y34223" t="str">
            <v>CHILE</v>
          </cell>
        </row>
        <row r="34224">
          <cell r="L34224" t="str">
            <v>Proportional</v>
          </cell>
          <cell r="S34224">
            <v>14994.95</v>
          </cell>
          <cell r="X34224" t="str">
            <v>GWP - gross</v>
          </cell>
          <cell r="Y34224" t="str">
            <v>THAILAND</v>
          </cell>
        </row>
        <row r="34225">
          <cell r="L34225" t="str">
            <v>Proportional</v>
          </cell>
          <cell r="S34225">
            <v>-6210679.0499999998</v>
          </cell>
          <cell r="X34225" t="str">
            <v>GWP - gross</v>
          </cell>
          <cell r="Y34225" t="str">
            <v>THAILAND</v>
          </cell>
        </row>
        <row r="34226">
          <cell r="L34226" t="str">
            <v>Proportional</v>
          </cell>
          <cell r="S34226">
            <v>20706.52</v>
          </cell>
          <cell r="X34226" t="str">
            <v>GWP - gross</v>
          </cell>
          <cell r="Y34226" t="str">
            <v>CHILE</v>
          </cell>
        </row>
        <row r="34227">
          <cell r="L34227" t="str">
            <v>Proportional</v>
          </cell>
          <cell r="S34227">
            <v>5076.01</v>
          </cell>
          <cell r="X34227" t="str">
            <v>GWP - gross</v>
          </cell>
          <cell r="Y34227" t="str">
            <v>CHILE</v>
          </cell>
        </row>
        <row r="34228">
          <cell r="L34228" t="str">
            <v>Proportional</v>
          </cell>
          <cell r="S34228">
            <v>14254.27</v>
          </cell>
          <cell r="X34228" t="str">
            <v>GWP - gross</v>
          </cell>
          <cell r="Y34228" t="str">
            <v>UNITED STATES</v>
          </cell>
        </row>
        <row r="34229">
          <cell r="L34229" t="str">
            <v>Proportional</v>
          </cell>
          <cell r="S34229">
            <v>-62168.09</v>
          </cell>
          <cell r="X34229" t="str">
            <v>GWP - gross</v>
          </cell>
          <cell r="Y34229" t="str">
            <v>FRANCE</v>
          </cell>
        </row>
        <row r="34230">
          <cell r="L34230" t="str">
            <v>Proportional</v>
          </cell>
          <cell r="S34230">
            <v>548.39</v>
          </cell>
          <cell r="X34230" t="str">
            <v>GWP - gross</v>
          </cell>
          <cell r="Y34230" t="str">
            <v>INDIA</v>
          </cell>
        </row>
        <row r="34231">
          <cell r="L34231" t="str">
            <v>Proportional</v>
          </cell>
          <cell r="S34231">
            <v>266694.75</v>
          </cell>
          <cell r="X34231" t="str">
            <v>GWP - gross</v>
          </cell>
          <cell r="Y34231" t="str">
            <v>THAILAND</v>
          </cell>
        </row>
        <row r="34232">
          <cell r="L34232" t="str">
            <v>Non-proportional</v>
          </cell>
          <cell r="S34232">
            <v>-19277.29</v>
          </cell>
          <cell r="X34232" t="str">
            <v>GWP - gross</v>
          </cell>
          <cell r="Y34232" t="str">
            <v>ROMANIA</v>
          </cell>
        </row>
        <row r="34233">
          <cell r="L34233" t="str">
            <v>Proportional</v>
          </cell>
          <cell r="S34233">
            <v>-12935.85</v>
          </cell>
          <cell r="X34233" t="str">
            <v>GWP - gross</v>
          </cell>
          <cell r="Y34233" t="str">
            <v>India</v>
          </cell>
        </row>
        <row r="34234">
          <cell r="L34234" t="str">
            <v>Proportional</v>
          </cell>
          <cell r="S34234">
            <v>-8842.64</v>
          </cell>
          <cell r="X34234" t="str">
            <v>GWP - gross</v>
          </cell>
          <cell r="Y34234" t="str">
            <v>CHILE</v>
          </cell>
        </row>
        <row r="34235">
          <cell r="L34235" t="str">
            <v>Non-proportional</v>
          </cell>
          <cell r="S34235">
            <v>10263.26</v>
          </cell>
          <cell r="X34235" t="str">
            <v>GWP - gross</v>
          </cell>
          <cell r="Y34235" t="str">
            <v>AUSTRALIA</v>
          </cell>
        </row>
        <row r="34236">
          <cell r="L34236" t="str">
            <v>Non-proportional</v>
          </cell>
          <cell r="S34236">
            <v>-106684.3</v>
          </cell>
          <cell r="X34236" t="str">
            <v>GWP - gross</v>
          </cell>
          <cell r="Y34236" t="str">
            <v>PERU</v>
          </cell>
        </row>
        <row r="34237">
          <cell r="L34237" t="str">
            <v>Non-proportional</v>
          </cell>
          <cell r="S34237">
            <v>-2043.87</v>
          </cell>
          <cell r="X34237" t="str">
            <v>GWP - gross</v>
          </cell>
          <cell r="Y34237" t="str">
            <v>GERMANY</v>
          </cell>
        </row>
        <row r="34238">
          <cell r="L34238" t="str">
            <v>Proportional</v>
          </cell>
          <cell r="S34238">
            <v>-636.39</v>
          </cell>
          <cell r="X34238" t="str">
            <v>GWP - gross</v>
          </cell>
          <cell r="Y34238" t="str">
            <v>THAILAND</v>
          </cell>
        </row>
        <row r="34239">
          <cell r="L34239" t="str">
            <v>Proportional</v>
          </cell>
          <cell r="S34239">
            <v>167859.67</v>
          </cell>
          <cell r="X34239" t="str">
            <v>GWP - gross</v>
          </cell>
          <cell r="Y34239" t="str">
            <v>INDIA</v>
          </cell>
        </row>
        <row r="34240">
          <cell r="L34240" t="str">
            <v>Proportional</v>
          </cell>
          <cell r="S34240">
            <v>510.49</v>
          </cell>
          <cell r="X34240" t="str">
            <v>GWP - gross</v>
          </cell>
          <cell r="Y34240" t="str">
            <v>THAILAND</v>
          </cell>
        </row>
        <row r="34241">
          <cell r="L34241" t="str">
            <v>Proportional</v>
          </cell>
          <cell r="S34241">
            <v>641.02</v>
          </cell>
          <cell r="X34241" t="str">
            <v>GWP - gross</v>
          </cell>
          <cell r="Y34241" t="str">
            <v>THAILAND</v>
          </cell>
        </row>
        <row r="34242">
          <cell r="L34242" t="str">
            <v>Non-proportional</v>
          </cell>
          <cell r="S34242">
            <v>4359.21</v>
          </cell>
          <cell r="X34242" t="str">
            <v>GWP - gross</v>
          </cell>
          <cell r="Y34242" t="str">
            <v>AUSTRALIA</v>
          </cell>
        </row>
        <row r="34243">
          <cell r="L34243" t="str">
            <v>Proportional</v>
          </cell>
          <cell r="S34243">
            <v>82782.55</v>
          </cell>
          <cell r="X34243" t="str">
            <v>GWP - gross</v>
          </cell>
          <cell r="Y34243" t="str">
            <v>MEXICO</v>
          </cell>
        </row>
        <row r="34244">
          <cell r="L34244" t="str">
            <v>Non-proportional</v>
          </cell>
          <cell r="S34244">
            <v>-2528</v>
          </cell>
          <cell r="X34244" t="str">
            <v>GWP - gross</v>
          </cell>
          <cell r="Y34244" t="str">
            <v>AUSTRALIA</v>
          </cell>
        </row>
        <row r="34245">
          <cell r="L34245" t="str">
            <v>Proportional</v>
          </cell>
          <cell r="S34245">
            <v>-1311.45</v>
          </cell>
          <cell r="X34245" t="str">
            <v>GWP - gross</v>
          </cell>
          <cell r="Y34245" t="str">
            <v>Thailand</v>
          </cell>
        </row>
        <row r="34246">
          <cell r="L34246" t="str">
            <v>Proportional</v>
          </cell>
          <cell r="S34246">
            <v>-524681.18999999994</v>
          </cell>
          <cell r="X34246" t="str">
            <v>GWP - gross</v>
          </cell>
          <cell r="Y34246" t="str">
            <v>THAILAND</v>
          </cell>
        </row>
        <row r="34247">
          <cell r="L34247" t="str">
            <v>Proportional</v>
          </cell>
          <cell r="S34247">
            <v>-20223.62</v>
          </cell>
          <cell r="X34247" t="str">
            <v>GWP - gross</v>
          </cell>
          <cell r="Y34247" t="str">
            <v>India</v>
          </cell>
        </row>
        <row r="34248">
          <cell r="L34248" t="str">
            <v>Non-proportional</v>
          </cell>
          <cell r="S34248">
            <v>-3215.02</v>
          </cell>
          <cell r="X34248" t="str">
            <v>GWP - gross</v>
          </cell>
          <cell r="Y34248" t="str">
            <v>DOMINICAN REPUBLIC</v>
          </cell>
        </row>
        <row r="34249">
          <cell r="L34249" t="str">
            <v>Proportional</v>
          </cell>
          <cell r="S34249">
            <v>190162.49</v>
          </cell>
          <cell r="X34249" t="str">
            <v>GWP - gross</v>
          </cell>
          <cell r="Y34249" t="str">
            <v>SWITZERLAND</v>
          </cell>
        </row>
        <row r="34250">
          <cell r="L34250" t="str">
            <v>Proportional</v>
          </cell>
          <cell r="S34250">
            <v>-5548.28</v>
          </cell>
          <cell r="X34250" t="str">
            <v>GWP - gross</v>
          </cell>
          <cell r="Y34250" t="str">
            <v>INDIA</v>
          </cell>
        </row>
        <row r="34251">
          <cell r="L34251" t="str">
            <v>Proportional</v>
          </cell>
          <cell r="S34251">
            <v>-19859.099999999999</v>
          </cell>
          <cell r="X34251" t="str">
            <v>GWP - gross</v>
          </cell>
          <cell r="Y34251" t="str">
            <v>CHILE</v>
          </cell>
        </row>
        <row r="34252">
          <cell r="L34252" t="str">
            <v>Proportional</v>
          </cell>
          <cell r="S34252">
            <v>73.69</v>
          </cell>
          <cell r="X34252" t="str">
            <v>GWP - gross</v>
          </cell>
          <cell r="Y34252" t="str">
            <v>CHILE</v>
          </cell>
        </row>
        <row r="34253">
          <cell r="L34253" t="str">
            <v>Proportional</v>
          </cell>
          <cell r="S34253">
            <v>-95.2</v>
          </cell>
          <cell r="X34253" t="str">
            <v>GWP - gross</v>
          </cell>
          <cell r="Y34253" t="str">
            <v>India</v>
          </cell>
        </row>
        <row r="34254">
          <cell r="L34254" t="str">
            <v>Proportional</v>
          </cell>
          <cell r="S34254">
            <v>-5330909.1100000003</v>
          </cell>
          <cell r="X34254" t="str">
            <v>GWP - gross</v>
          </cell>
          <cell r="Y34254" t="str">
            <v>PORTUGAL</v>
          </cell>
        </row>
        <row r="34255">
          <cell r="L34255" t="str">
            <v>Proportional</v>
          </cell>
          <cell r="S34255">
            <v>-125228.93</v>
          </cell>
          <cell r="X34255" t="str">
            <v>GWP - gross</v>
          </cell>
          <cell r="Y34255" t="str">
            <v>FRANCE</v>
          </cell>
        </row>
        <row r="34256">
          <cell r="L34256" t="str">
            <v>Proportional</v>
          </cell>
          <cell r="S34256">
            <v>-1354325.38</v>
          </cell>
          <cell r="X34256" t="str">
            <v>GWP - gross</v>
          </cell>
          <cell r="Y34256" t="str">
            <v>AUSTRALIA</v>
          </cell>
        </row>
        <row r="34257">
          <cell r="L34257" t="str">
            <v>Proportional</v>
          </cell>
          <cell r="S34257">
            <v>957.95</v>
          </cell>
          <cell r="X34257" t="str">
            <v>GWP - gross</v>
          </cell>
          <cell r="Y34257" t="str">
            <v>CHILE</v>
          </cell>
        </row>
        <row r="34258">
          <cell r="L34258" t="str">
            <v>Non-proportional</v>
          </cell>
          <cell r="S34258">
            <v>1794.66</v>
          </cell>
          <cell r="X34258" t="str">
            <v>GWP - gross</v>
          </cell>
          <cell r="Y34258" t="str">
            <v>DOMINICAN REPUBLIC</v>
          </cell>
        </row>
        <row r="34259">
          <cell r="L34259" t="str">
            <v>Non-proportional</v>
          </cell>
          <cell r="S34259">
            <v>10153.870000000001</v>
          </cell>
          <cell r="X34259" t="str">
            <v>GWP - gross</v>
          </cell>
          <cell r="Y34259" t="str">
            <v>AUSTRALIA</v>
          </cell>
        </row>
        <row r="34260">
          <cell r="L34260" t="str">
            <v>Proportional</v>
          </cell>
          <cell r="S34260">
            <v>-20930.66</v>
          </cell>
          <cell r="X34260" t="str">
            <v>GWP - gross</v>
          </cell>
          <cell r="Y34260" t="str">
            <v>ITALY</v>
          </cell>
        </row>
        <row r="34261">
          <cell r="L34261" t="str">
            <v>Proportional</v>
          </cell>
          <cell r="S34261">
            <v>-201053.39</v>
          </cell>
          <cell r="X34261" t="str">
            <v>GWP - gross</v>
          </cell>
          <cell r="Y34261" t="str">
            <v>THAILAND</v>
          </cell>
        </row>
        <row r="34262">
          <cell r="L34262" t="str">
            <v>Proportional</v>
          </cell>
          <cell r="S34262">
            <v>89126.46</v>
          </cell>
          <cell r="X34262" t="str">
            <v>GWP - gross</v>
          </cell>
          <cell r="Y34262" t="str">
            <v>CHILE</v>
          </cell>
        </row>
        <row r="34263">
          <cell r="L34263" t="str">
            <v>Proportional</v>
          </cell>
          <cell r="S34263">
            <v>4716.08</v>
          </cell>
          <cell r="X34263" t="str">
            <v>GWP - gross</v>
          </cell>
          <cell r="Y34263" t="str">
            <v>CHILE</v>
          </cell>
        </row>
        <row r="34264">
          <cell r="L34264" t="str">
            <v>Non-proportional</v>
          </cell>
          <cell r="S34264">
            <v>-97405.94</v>
          </cell>
          <cell r="X34264" t="str">
            <v>GWP - gross</v>
          </cell>
          <cell r="Y34264" t="str">
            <v>PERU</v>
          </cell>
        </row>
        <row r="34265">
          <cell r="L34265" t="str">
            <v>Proportional</v>
          </cell>
          <cell r="S34265">
            <v>-2443.23</v>
          </cell>
          <cell r="X34265" t="str">
            <v>GWP - gross</v>
          </cell>
          <cell r="Y34265" t="str">
            <v>UNITED STATES</v>
          </cell>
        </row>
        <row r="34266">
          <cell r="L34266" t="str">
            <v>Proportional</v>
          </cell>
          <cell r="S34266">
            <v>-82782.55</v>
          </cell>
          <cell r="X34266" t="str">
            <v>GWP - gross</v>
          </cell>
          <cell r="Y34266" t="str">
            <v>MEXICO</v>
          </cell>
        </row>
        <row r="34267">
          <cell r="L34267" t="str">
            <v>Non-proportional</v>
          </cell>
          <cell r="S34267">
            <v>829.73</v>
          </cell>
          <cell r="X34267" t="str">
            <v>GWP - gross</v>
          </cell>
          <cell r="Y34267" t="str">
            <v>DOMINICAN REPUBLIC</v>
          </cell>
        </row>
        <row r="34268">
          <cell r="L34268" t="str">
            <v>Non-proportional</v>
          </cell>
          <cell r="S34268">
            <v>-3747.06</v>
          </cell>
          <cell r="X34268" t="str">
            <v>GWP - gross</v>
          </cell>
          <cell r="Y34268" t="str">
            <v>DOMINICAN REPUBLIC</v>
          </cell>
        </row>
        <row r="34269">
          <cell r="L34269" t="str">
            <v>Proportional</v>
          </cell>
          <cell r="S34269">
            <v>-24003.48</v>
          </cell>
          <cell r="X34269" t="str">
            <v>GWP - gross</v>
          </cell>
          <cell r="Y34269" t="str">
            <v>CHILE</v>
          </cell>
        </row>
        <row r="34270">
          <cell r="L34270" t="str">
            <v>Proportional</v>
          </cell>
          <cell r="S34270">
            <v>-29843.919999999998</v>
          </cell>
          <cell r="X34270" t="str">
            <v>GWP - gross</v>
          </cell>
          <cell r="Y34270" t="str">
            <v>CHILE</v>
          </cell>
        </row>
        <row r="34271">
          <cell r="L34271" t="str">
            <v>Non-proportional</v>
          </cell>
          <cell r="S34271">
            <v>-2651.67</v>
          </cell>
          <cell r="X34271" t="str">
            <v>GWP - gross</v>
          </cell>
          <cell r="Y34271" t="str">
            <v>DOMINICAN REPUBLIC</v>
          </cell>
        </row>
        <row r="34272">
          <cell r="L34272" t="str">
            <v>Proportional</v>
          </cell>
          <cell r="S34272">
            <v>-14358.14</v>
          </cell>
          <cell r="X34272" t="str">
            <v>GWP - gross</v>
          </cell>
          <cell r="Y34272" t="str">
            <v>MEXICO</v>
          </cell>
        </row>
        <row r="34273">
          <cell r="L34273" t="str">
            <v>Non-proportional</v>
          </cell>
          <cell r="S34273">
            <v>5150</v>
          </cell>
          <cell r="X34273" t="str">
            <v>GWP - gross</v>
          </cell>
          <cell r="Y34273" t="str">
            <v>GERMANY</v>
          </cell>
        </row>
        <row r="34274">
          <cell r="L34274" t="str">
            <v>Proportional</v>
          </cell>
          <cell r="S34274">
            <v>-29843.919999999998</v>
          </cell>
          <cell r="X34274" t="str">
            <v>GWP - gross</v>
          </cell>
          <cell r="Y34274" t="str">
            <v>CHILE</v>
          </cell>
        </row>
        <row r="34275">
          <cell r="L34275" t="str">
            <v>Non-proportional</v>
          </cell>
          <cell r="S34275">
            <v>-663.2</v>
          </cell>
          <cell r="X34275" t="str">
            <v>GWP - gross</v>
          </cell>
          <cell r="Y34275" t="str">
            <v>CHILE</v>
          </cell>
        </row>
        <row r="34276">
          <cell r="L34276" t="str">
            <v>Non-proportional</v>
          </cell>
          <cell r="S34276">
            <v>78018.09</v>
          </cell>
          <cell r="X34276" t="str">
            <v>GWP - gross</v>
          </cell>
          <cell r="Y34276" t="str">
            <v>UNITED KINGDOM</v>
          </cell>
        </row>
        <row r="34277">
          <cell r="L34277" t="str">
            <v>Non-proportional</v>
          </cell>
          <cell r="S34277">
            <v>-1364.58</v>
          </cell>
          <cell r="X34277" t="str">
            <v>GWP - gross</v>
          </cell>
          <cell r="Y34277" t="str">
            <v>AUSTRALIA</v>
          </cell>
        </row>
        <row r="34278">
          <cell r="L34278" t="str">
            <v>Non-proportional</v>
          </cell>
          <cell r="S34278">
            <v>-93944.95</v>
          </cell>
          <cell r="X34278" t="str">
            <v>GWP - gross</v>
          </cell>
          <cell r="Y34278" t="str">
            <v>COLOMBIA</v>
          </cell>
        </row>
        <row r="34279">
          <cell r="L34279" t="str">
            <v>Non-proportional</v>
          </cell>
          <cell r="S34279">
            <v>1357.11</v>
          </cell>
          <cell r="X34279" t="str">
            <v>GWP - gross</v>
          </cell>
          <cell r="Y34279" t="str">
            <v>AUSTRALIA</v>
          </cell>
        </row>
        <row r="34280">
          <cell r="L34280" t="str">
            <v>Proportional</v>
          </cell>
          <cell r="S34280">
            <v>-5158.21</v>
          </cell>
          <cell r="X34280" t="str">
            <v>GWP - gross</v>
          </cell>
          <cell r="Y34280" t="str">
            <v>CHILE</v>
          </cell>
        </row>
        <row r="34281">
          <cell r="L34281" t="str">
            <v>Proportional</v>
          </cell>
          <cell r="S34281">
            <v>1252.71</v>
          </cell>
          <cell r="X34281" t="str">
            <v>GWP - gross</v>
          </cell>
          <cell r="Y34281" t="str">
            <v>CHILE</v>
          </cell>
        </row>
        <row r="34282">
          <cell r="L34282" t="str">
            <v>Non-proportional</v>
          </cell>
          <cell r="S34282">
            <v>-3412.67</v>
          </cell>
          <cell r="X34282" t="str">
            <v>GWP - gross</v>
          </cell>
          <cell r="Y34282" t="str">
            <v>AUSTRALIA</v>
          </cell>
        </row>
        <row r="34283">
          <cell r="L34283" t="str">
            <v>Proportional</v>
          </cell>
          <cell r="S34283">
            <v>-26173.41</v>
          </cell>
          <cell r="X34283" t="str">
            <v>GWP - gross</v>
          </cell>
          <cell r="Y34283" t="str">
            <v>SWITZERLAND</v>
          </cell>
        </row>
        <row r="34284">
          <cell r="L34284" t="str">
            <v>Non-proportional</v>
          </cell>
          <cell r="S34284">
            <v>-3718.53</v>
          </cell>
          <cell r="X34284" t="str">
            <v>GWP - gross</v>
          </cell>
          <cell r="Y34284" t="str">
            <v>GERMANY</v>
          </cell>
        </row>
        <row r="34285">
          <cell r="L34285" t="str">
            <v>Proportional</v>
          </cell>
          <cell r="S34285">
            <v>-154173.18</v>
          </cell>
          <cell r="X34285" t="str">
            <v>GWP - gross</v>
          </cell>
          <cell r="Y34285" t="str">
            <v>THAILAND</v>
          </cell>
        </row>
        <row r="34286">
          <cell r="L34286" t="str">
            <v>Proportional</v>
          </cell>
          <cell r="S34286">
            <v>-26748.99</v>
          </cell>
          <cell r="X34286" t="str">
            <v>GWP - gross</v>
          </cell>
          <cell r="Y34286" t="str">
            <v>CHILE</v>
          </cell>
        </row>
        <row r="34287">
          <cell r="L34287" t="str">
            <v>Non-proportional</v>
          </cell>
          <cell r="S34287">
            <v>-103493.81</v>
          </cell>
          <cell r="X34287" t="str">
            <v>GWP - gross</v>
          </cell>
          <cell r="Y34287" t="str">
            <v>PERU</v>
          </cell>
        </row>
        <row r="34288">
          <cell r="L34288" t="str">
            <v>Non-proportional</v>
          </cell>
          <cell r="S34288">
            <v>663.2</v>
          </cell>
          <cell r="X34288" t="str">
            <v>GWP - gross</v>
          </cell>
          <cell r="Y34288" t="str">
            <v>CHILE</v>
          </cell>
        </row>
        <row r="34289">
          <cell r="L34289" t="str">
            <v>Proportional</v>
          </cell>
          <cell r="S34289">
            <v>-62168.09</v>
          </cell>
          <cell r="X34289" t="str">
            <v>GWP - gross</v>
          </cell>
          <cell r="Y34289" t="str">
            <v>FRANCE</v>
          </cell>
        </row>
        <row r="34290">
          <cell r="L34290" t="str">
            <v>Non-proportional</v>
          </cell>
          <cell r="S34290">
            <v>633.75</v>
          </cell>
          <cell r="X34290" t="str">
            <v>GWP - gross</v>
          </cell>
          <cell r="Y34290" t="str">
            <v>DOMINICAN REPUBLIC</v>
          </cell>
        </row>
        <row r="34291">
          <cell r="L34291" t="str">
            <v>Non-proportional</v>
          </cell>
          <cell r="S34291">
            <v>-1404.02</v>
          </cell>
          <cell r="X34291" t="str">
            <v>GWP - gross</v>
          </cell>
          <cell r="Y34291" t="str">
            <v>DOMINICAN REPUBLIC</v>
          </cell>
        </row>
        <row r="34292">
          <cell r="L34292" t="str">
            <v>Proportional</v>
          </cell>
          <cell r="S34292">
            <v>36.840000000000003</v>
          </cell>
          <cell r="X34292" t="str">
            <v>GWP - gross</v>
          </cell>
          <cell r="Y34292" t="str">
            <v>CHILE</v>
          </cell>
        </row>
        <row r="34293">
          <cell r="L34293" t="str">
            <v>Non-proportional</v>
          </cell>
          <cell r="S34293">
            <v>103493.81</v>
          </cell>
          <cell r="X34293" t="str">
            <v>GWP - gross</v>
          </cell>
          <cell r="Y34293" t="str">
            <v>PERU</v>
          </cell>
        </row>
        <row r="34294">
          <cell r="L34294" t="str">
            <v>Proportional</v>
          </cell>
          <cell r="S34294">
            <v>-397.95</v>
          </cell>
          <cell r="X34294" t="str">
            <v>GWP - gross</v>
          </cell>
          <cell r="Y34294" t="str">
            <v>UNITED STATES</v>
          </cell>
        </row>
        <row r="34295">
          <cell r="L34295" t="str">
            <v>Proportional</v>
          </cell>
          <cell r="S34295">
            <v>-14266.43</v>
          </cell>
          <cell r="X34295" t="str">
            <v>GWP - gross</v>
          </cell>
          <cell r="Y34295" t="str">
            <v>UNITED STATES</v>
          </cell>
        </row>
        <row r="34296">
          <cell r="L34296" t="str">
            <v>Proportional</v>
          </cell>
          <cell r="S34296">
            <v>111</v>
          </cell>
          <cell r="X34296" t="str">
            <v>GWP - gross</v>
          </cell>
          <cell r="Y34296" t="str">
            <v>CHILE</v>
          </cell>
        </row>
        <row r="34297">
          <cell r="L34297" t="str">
            <v>Proportional</v>
          </cell>
          <cell r="S34297">
            <v>-10645.74</v>
          </cell>
          <cell r="X34297" t="str">
            <v>GWP - gross</v>
          </cell>
          <cell r="Y34297" t="str">
            <v>ITALY</v>
          </cell>
        </row>
        <row r="34298">
          <cell r="L34298" t="str">
            <v>Proportional</v>
          </cell>
          <cell r="S34298">
            <v>4196.49</v>
          </cell>
          <cell r="X34298" t="str">
            <v>GWP - gross</v>
          </cell>
          <cell r="Y34298" t="str">
            <v>INDIA</v>
          </cell>
        </row>
        <row r="34299">
          <cell r="L34299" t="str">
            <v>Proportional</v>
          </cell>
          <cell r="S34299">
            <v>-2738.45</v>
          </cell>
          <cell r="X34299" t="str">
            <v>GWP - gross</v>
          </cell>
          <cell r="Y34299" t="str">
            <v>THAILAND</v>
          </cell>
        </row>
        <row r="34300">
          <cell r="L34300" t="str">
            <v>Proportional</v>
          </cell>
          <cell r="S34300">
            <v>-70863.97</v>
          </cell>
          <cell r="X34300" t="str">
            <v>GWP - gross</v>
          </cell>
          <cell r="Y34300" t="str">
            <v>CHILE</v>
          </cell>
        </row>
        <row r="34301">
          <cell r="L34301" t="str">
            <v>Non-proportional</v>
          </cell>
          <cell r="S34301">
            <v>5818.86</v>
          </cell>
          <cell r="X34301" t="str">
            <v>GWP - gross</v>
          </cell>
          <cell r="Y34301" t="str">
            <v>ISRAEL</v>
          </cell>
        </row>
        <row r="34302">
          <cell r="L34302" t="str">
            <v>Proportional</v>
          </cell>
          <cell r="S34302">
            <v>125161.85</v>
          </cell>
          <cell r="X34302" t="str">
            <v>GWP - gross</v>
          </cell>
          <cell r="Y34302" t="str">
            <v>AUSTRALIA</v>
          </cell>
        </row>
        <row r="34303">
          <cell r="L34303" t="str">
            <v>Proportional</v>
          </cell>
          <cell r="S34303">
            <v>2577405.5699999998</v>
          </cell>
          <cell r="X34303" t="str">
            <v>GWP - gross</v>
          </cell>
          <cell r="Y34303" t="str">
            <v>UNITED STATES</v>
          </cell>
        </row>
        <row r="34304">
          <cell r="L34304" t="str">
            <v>Proportional</v>
          </cell>
          <cell r="S34304">
            <v>3908.33</v>
          </cell>
          <cell r="X34304" t="str">
            <v>GWP - gross</v>
          </cell>
          <cell r="Y34304" t="str">
            <v>THAILAND</v>
          </cell>
        </row>
        <row r="34305">
          <cell r="L34305" t="str">
            <v>Proportional</v>
          </cell>
          <cell r="S34305">
            <v>1354325.38</v>
          </cell>
          <cell r="X34305" t="str">
            <v>GWP - gross</v>
          </cell>
          <cell r="Y34305" t="str">
            <v>AUSTRALIA</v>
          </cell>
        </row>
        <row r="34306">
          <cell r="L34306" t="str">
            <v>Proportional</v>
          </cell>
          <cell r="S34306">
            <v>14358.14</v>
          </cell>
          <cell r="X34306" t="str">
            <v>GWP - gross</v>
          </cell>
          <cell r="Y34306" t="str">
            <v>MEXICO</v>
          </cell>
        </row>
        <row r="34307">
          <cell r="L34307" t="str">
            <v>Proportional</v>
          </cell>
          <cell r="S34307">
            <v>999424.92</v>
          </cell>
          <cell r="X34307" t="str">
            <v>GWP - gross</v>
          </cell>
          <cell r="Y34307" t="str">
            <v>PORTUGAL</v>
          </cell>
        </row>
        <row r="34308">
          <cell r="L34308" t="str">
            <v>Proportional</v>
          </cell>
          <cell r="S34308">
            <v>-40126.47</v>
          </cell>
          <cell r="X34308" t="str">
            <v>GWP - gross</v>
          </cell>
          <cell r="Y34308" t="str">
            <v>THAILAND</v>
          </cell>
        </row>
        <row r="34309">
          <cell r="L34309" t="str">
            <v>Non-proportional</v>
          </cell>
          <cell r="S34309">
            <v>-335700.98</v>
          </cell>
          <cell r="X34309" t="str">
            <v>GWP - gross</v>
          </cell>
          <cell r="Y34309" t="str">
            <v>TURKEY</v>
          </cell>
        </row>
        <row r="34310">
          <cell r="L34310" t="str">
            <v>Non-proportional</v>
          </cell>
          <cell r="S34310">
            <v>5205.17</v>
          </cell>
          <cell r="X34310" t="str">
            <v>GWP - gross</v>
          </cell>
          <cell r="Y34310" t="str">
            <v>DOMINICAN REPUBLIC</v>
          </cell>
        </row>
        <row r="34311">
          <cell r="L34311" t="str">
            <v>Proportional</v>
          </cell>
          <cell r="S34311">
            <v>26855.08</v>
          </cell>
          <cell r="X34311" t="str">
            <v>GWP - gross</v>
          </cell>
          <cell r="Y34311" t="str">
            <v>UNITED STATES</v>
          </cell>
        </row>
        <row r="34312">
          <cell r="L34312" t="str">
            <v>Proportional</v>
          </cell>
          <cell r="S34312">
            <v>125228.93</v>
          </cell>
          <cell r="X34312" t="str">
            <v>GWP - gross</v>
          </cell>
          <cell r="Y34312" t="str">
            <v>FRANCE</v>
          </cell>
        </row>
        <row r="34313">
          <cell r="L34313" t="str">
            <v>Non-proportional</v>
          </cell>
          <cell r="S34313">
            <v>11274.37</v>
          </cell>
          <cell r="X34313" t="str">
            <v>GWP - gross</v>
          </cell>
          <cell r="Y34313" t="str">
            <v>CHILE</v>
          </cell>
        </row>
        <row r="34314">
          <cell r="L34314" t="str">
            <v>Non-proportional</v>
          </cell>
          <cell r="S34314">
            <v>2373.87</v>
          </cell>
          <cell r="X34314" t="str">
            <v>GWP - gross</v>
          </cell>
          <cell r="Y34314" t="str">
            <v>AUSTRALIA</v>
          </cell>
        </row>
        <row r="34315">
          <cell r="L34315" t="str">
            <v>Non-proportional</v>
          </cell>
          <cell r="S34315">
            <v>-1080.93</v>
          </cell>
          <cell r="X34315" t="str">
            <v>GWP - gross</v>
          </cell>
          <cell r="Y34315" t="str">
            <v>AUSTRALIA</v>
          </cell>
        </row>
        <row r="34316">
          <cell r="L34316" t="str">
            <v>Proportional</v>
          </cell>
          <cell r="S34316">
            <v>-186622.65</v>
          </cell>
          <cell r="X34316" t="str">
            <v>GWP - gross</v>
          </cell>
          <cell r="Y34316" t="str">
            <v>UNITED STATES</v>
          </cell>
        </row>
        <row r="34317">
          <cell r="L34317" t="str">
            <v>Non-proportional</v>
          </cell>
          <cell r="S34317">
            <v>106684.3</v>
          </cell>
          <cell r="X34317" t="str">
            <v>GWP - gross</v>
          </cell>
          <cell r="Y34317" t="str">
            <v>PERU</v>
          </cell>
        </row>
        <row r="34318">
          <cell r="L34318" t="str">
            <v>Non-proportional</v>
          </cell>
          <cell r="S34318">
            <v>-1456.85</v>
          </cell>
          <cell r="X34318" t="str">
            <v>GWP - gross</v>
          </cell>
          <cell r="Y34318" t="str">
            <v>DOMINICAN REPUBLIC</v>
          </cell>
        </row>
        <row r="34319">
          <cell r="L34319" t="str">
            <v>Non-proportional</v>
          </cell>
          <cell r="S34319">
            <v>-3466.91</v>
          </cell>
          <cell r="X34319" t="str">
            <v>GWP - gross</v>
          </cell>
          <cell r="Y34319" t="str">
            <v>AUSTRALIA</v>
          </cell>
        </row>
        <row r="34320">
          <cell r="L34320" t="str">
            <v>Non-proportional</v>
          </cell>
          <cell r="S34320">
            <v>663.2</v>
          </cell>
          <cell r="X34320" t="str">
            <v>GWP - gross</v>
          </cell>
          <cell r="Y34320" t="str">
            <v>CHILE</v>
          </cell>
        </row>
        <row r="34321">
          <cell r="L34321" t="str">
            <v>Proportional</v>
          </cell>
          <cell r="S34321">
            <v>-817284.7</v>
          </cell>
          <cell r="X34321" t="str">
            <v>GWP - gross</v>
          </cell>
          <cell r="Y34321" t="str">
            <v>UNITED STATES</v>
          </cell>
        </row>
        <row r="34322">
          <cell r="L34322" t="str">
            <v>Non-proportional</v>
          </cell>
          <cell r="S34322">
            <v>72.709999999999994</v>
          </cell>
          <cell r="X34322" t="str">
            <v>GWP - gross</v>
          </cell>
          <cell r="Y34322" t="str">
            <v>AUSTRALIA</v>
          </cell>
        </row>
        <row r="34323">
          <cell r="L34323" t="str">
            <v>Non-proportional</v>
          </cell>
          <cell r="S34323">
            <v>1404.02</v>
          </cell>
          <cell r="X34323" t="str">
            <v>GWP - gross</v>
          </cell>
          <cell r="Y34323" t="str">
            <v>DOMINICAN REPUBLIC</v>
          </cell>
        </row>
        <row r="34324">
          <cell r="L34324" t="str">
            <v>Proportional</v>
          </cell>
          <cell r="S34324">
            <v>-132.74</v>
          </cell>
          <cell r="X34324" t="str">
            <v>GWP - gross</v>
          </cell>
          <cell r="Y34324" t="str">
            <v>CHILE</v>
          </cell>
        </row>
        <row r="34325">
          <cell r="L34325" t="str">
            <v>Proportional</v>
          </cell>
          <cell r="S34325">
            <v>520622.28</v>
          </cell>
          <cell r="X34325" t="str">
            <v>GWP - gross</v>
          </cell>
          <cell r="Y34325" t="str">
            <v>THAILAND</v>
          </cell>
        </row>
        <row r="34326">
          <cell r="L34326" t="str">
            <v>Non-proportional</v>
          </cell>
          <cell r="S34326">
            <v>-9240.7099999999991</v>
          </cell>
          <cell r="X34326" t="str">
            <v>GWP - gross</v>
          </cell>
          <cell r="Y34326" t="str">
            <v>AUSTRALIA</v>
          </cell>
        </row>
        <row r="34327">
          <cell r="L34327" t="str">
            <v>Proportional</v>
          </cell>
          <cell r="S34327">
            <v>185.82</v>
          </cell>
          <cell r="X34327" t="str">
            <v>GWP - gross</v>
          </cell>
          <cell r="Y34327" t="str">
            <v>CHILE</v>
          </cell>
        </row>
        <row r="34328">
          <cell r="L34328" t="str">
            <v>Proportional</v>
          </cell>
          <cell r="S34328">
            <v>-354451.14</v>
          </cell>
          <cell r="X34328" t="str">
            <v>GWP - gross</v>
          </cell>
          <cell r="Y34328" t="str">
            <v>MEXICO</v>
          </cell>
        </row>
        <row r="34329">
          <cell r="L34329" t="str">
            <v>Non-proportional</v>
          </cell>
          <cell r="S34329">
            <v>-5205.17</v>
          </cell>
          <cell r="X34329" t="str">
            <v>GWP - gross</v>
          </cell>
          <cell r="Y34329" t="str">
            <v>DOMINICAN REPUBLIC</v>
          </cell>
        </row>
        <row r="34330">
          <cell r="L34330" t="str">
            <v>Non-proportional</v>
          </cell>
          <cell r="S34330">
            <v>106684.3</v>
          </cell>
          <cell r="X34330" t="str">
            <v>GWP - gross</v>
          </cell>
          <cell r="Y34330" t="str">
            <v>PERU</v>
          </cell>
        </row>
        <row r="34331">
          <cell r="L34331" t="str">
            <v>Proportional</v>
          </cell>
          <cell r="S34331">
            <v>-191696.49</v>
          </cell>
          <cell r="X34331" t="str">
            <v>GWP - gross</v>
          </cell>
          <cell r="Y34331" t="str">
            <v>THAILAND</v>
          </cell>
        </row>
        <row r="34332">
          <cell r="L34332" t="str">
            <v>Proportional</v>
          </cell>
          <cell r="S34332">
            <v>-837.1</v>
          </cell>
          <cell r="X34332" t="str">
            <v>GWP - gross</v>
          </cell>
          <cell r="Y34332" t="str">
            <v>THAILAND</v>
          </cell>
        </row>
        <row r="34333">
          <cell r="L34333" t="str">
            <v>Non-proportional</v>
          </cell>
          <cell r="S34333">
            <v>-12771.2</v>
          </cell>
          <cell r="X34333" t="str">
            <v>GWP - gross</v>
          </cell>
          <cell r="Y34333" t="str">
            <v>FRANCE</v>
          </cell>
        </row>
        <row r="34334">
          <cell r="L34334" t="str">
            <v>Non-proportional</v>
          </cell>
          <cell r="S34334">
            <v>20321.64</v>
          </cell>
          <cell r="X34334" t="str">
            <v>GWP - gross</v>
          </cell>
          <cell r="Y34334" t="str">
            <v>AUSTRALIA</v>
          </cell>
        </row>
        <row r="34335">
          <cell r="L34335" t="str">
            <v>Non-proportional</v>
          </cell>
          <cell r="S34335">
            <v>42193.08</v>
          </cell>
          <cell r="X34335" t="str">
            <v>GWP - gross</v>
          </cell>
          <cell r="Y34335" t="str">
            <v>UNITED KINGDOM</v>
          </cell>
        </row>
        <row r="34336">
          <cell r="L34336" t="str">
            <v>Non-proportional</v>
          </cell>
          <cell r="S34336">
            <v>95058.4</v>
          </cell>
          <cell r="X34336" t="str">
            <v>GWP - gross</v>
          </cell>
          <cell r="Y34336" t="str">
            <v>CHILE</v>
          </cell>
        </row>
        <row r="34337">
          <cell r="L34337" t="str">
            <v>Proportional</v>
          </cell>
          <cell r="S34337">
            <v>-1247.9100000000001</v>
          </cell>
          <cell r="X34337" t="str">
            <v>GWP - gross</v>
          </cell>
          <cell r="Y34337" t="str">
            <v>UNITED STATES</v>
          </cell>
        </row>
        <row r="34338">
          <cell r="L34338" t="str">
            <v>Non-proportional</v>
          </cell>
          <cell r="S34338">
            <v>-7498.27</v>
          </cell>
          <cell r="X34338" t="str">
            <v>GWP - gross</v>
          </cell>
          <cell r="Y34338" t="str">
            <v>ISRAEL</v>
          </cell>
        </row>
        <row r="34339">
          <cell r="L34339" t="str">
            <v>Proportional</v>
          </cell>
          <cell r="S34339">
            <v>-74.239999999999995</v>
          </cell>
          <cell r="X34339" t="str">
            <v>GWP - gross</v>
          </cell>
          <cell r="Y34339" t="str">
            <v>CHILE</v>
          </cell>
        </row>
        <row r="34340">
          <cell r="L34340" t="str">
            <v>Proportional</v>
          </cell>
          <cell r="S34340">
            <v>-19.04</v>
          </cell>
          <cell r="X34340" t="str">
            <v>GWP - gross</v>
          </cell>
          <cell r="Y34340" t="str">
            <v>India</v>
          </cell>
        </row>
        <row r="34341">
          <cell r="L34341" t="str">
            <v>Proportional</v>
          </cell>
          <cell r="S34341">
            <v>68.91</v>
          </cell>
          <cell r="X34341" t="str">
            <v>GWP - gross</v>
          </cell>
          <cell r="Y34341" t="str">
            <v>THAILAND</v>
          </cell>
        </row>
        <row r="34342">
          <cell r="L34342" t="str">
            <v>Proportional</v>
          </cell>
          <cell r="S34342">
            <v>-19.04</v>
          </cell>
          <cell r="X34342" t="str">
            <v>GWP - gross</v>
          </cell>
          <cell r="Y34342" t="str">
            <v>India</v>
          </cell>
        </row>
        <row r="34343">
          <cell r="L34343" t="str">
            <v>Proportional</v>
          </cell>
          <cell r="S34343">
            <v>95.2</v>
          </cell>
          <cell r="X34343" t="str">
            <v>GWP - gross</v>
          </cell>
          <cell r="Y34343" t="str">
            <v>India</v>
          </cell>
        </row>
        <row r="34344">
          <cell r="L34344" t="str">
            <v>Non-proportional</v>
          </cell>
          <cell r="S34344">
            <v>12771.2</v>
          </cell>
          <cell r="X34344" t="str">
            <v>GWP - gross</v>
          </cell>
          <cell r="Y34344" t="str">
            <v>FRANCE</v>
          </cell>
        </row>
        <row r="34345">
          <cell r="L34345" t="str">
            <v>Proportional</v>
          </cell>
          <cell r="S34345">
            <v>-515.32000000000005</v>
          </cell>
          <cell r="X34345" t="str">
            <v>GWP - gross</v>
          </cell>
          <cell r="Y34345" t="str">
            <v>MALAYSIA</v>
          </cell>
        </row>
        <row r="34346">
          <cell r="L34346" t="str">
            <v>Non-proportional</v>
          </cell>
          <cell r="S34346">
            <v>13014.24</v>
          </cell>
          <cell r="X34346" t="str">
            <v>GWP - gross</v>
          </cell>
          <cell r="Y34346" t="str">
            <v>AUSTRALIA</v>
          </cell>
        </row>
        <row r="34347">
          <cell r="L34347" t="str">
            <v>Non-proportional</v>
          </cell>
          <cell r="S34347">
            <v>-25717.35</v>
          </cell>
          <cell r="X34347" t="str">
            <v>GWP - gross</v>
          </cell>
          <cell r="Y34347" t="str">
            <v>CHILE</v>
          </cell>
        </row>
        <row r="34348">
          <cell r="L34348" t="str">
            <v>Proportional</v>
          </cell>
          <cell r="S34348">
            <v>26173.41</v>
          </cell>
          <cell r="X34348" t="str">
            <v>GWP - gross</v>
          </cell>
          <cell r="Y34348" t="str">
            <v>SWITZERLAND</v>
          </cell>
        </row>
        <row r="34349">
          <cell r="L34349" t="str">
            <v>Proportional</v>
          </cell>
          <cell r="S34349">
            <v>-1386.27</v>
          </cell>
          <cell r="X34349" t="str">
            <v>GWP - gross</v>
          </cell>
          <cell r="Y34349" t="str">
            <v>THAILAND</v>
          </cell>
        </row>
        <row r="34350">
          <cell r="L34350" t="str">
            <v>Proportional</v>
          </cell>
          <cell r="S34350">
            <v>186622.65</v>
          </cell>
          <cell r="X34350" t="str">
            <v>GWP - gross</v>
          </cell>
          <cell r="Y34350" t="str">
            <v>UNITED STATES</v>
          </cell>
        </row>
        <row r="34351">
          <cell r="L34351" t="str">
            <v>Proportional</v>
          </cell>
          <cell r="S34351">
            <v>354451.14</v>
          </cell>
          <cell r="X34351" t="str">
            <v>GWP - gross</v>
          </cell>
          <cell r="Y34351" t="str">
            <v>MEXICO</v>
          </cell>
        </row>
        <row r="34352">
          <cell r="L34352" t="str">
            <v>Non-proportional</v>
          </cell>
          <cell r="S34352">
            <v>26785.84</v>
          </cell>
          <cell r="X34352" t="str">
            <v>GWP - gross</v>
          </cell>
          <cell r="Y34352" t="str">
            <v>CHILE</v>
          </cell>
        </row>
        <row r="34353">
          <cell r="L34353" t="str">
            <v>Proportional</v>
          </cell>
          <cell r="S34353">
            <v>-5076.01</v>
          </cell>
          <cell r="X34353" t="str">
            <v>GWP - gross</v>
          </cell>
          <cell r="Y34353" t="str">
            <v>CHILE</v>
          </cell>
        </row>
        <row r="34354">
          <cell r="L34354" t="str">
            <v>Proportional</v>
          </cell>
          <cell r="S34354">
            <v>294.75</v>
          </cell>
          <cell r="X34354" t="str">
            <v>GWP - gross</v>
          </cell>
          <cell r="Y34354" t="str">
            <v>CHILE</v>
          </cell>
        </row>
        <row r="34355">
          <cell r="L34355" t="str">
            <v>Non-proportional</v>
          </cell>
          <cell r="S34355">
            <v>8468.3700000000008</v>
          </cell>
          <cell r="X34355" t="str">
            <v>GWP - gross</v>
          </cell>
          <cell r="Y34355" t="str">
            <v>ISRAEL</v>
          </cell>
        </row>
        <row r="34356">
          <cell r="L34356" t="str">
            <v>Non-proportional</v>
          </cell>
          <cell r="S34356">
            <v>-1490.95</v>
          </cell>
          <cell r="X34356" t="str">
            <v>GWP - gross</v>
          </cell>
          <cell r="Y34356" t="str">
            <v>AUSTRALIA</v>
          </cell>
        </row>
        <row r="34357">
          <cell r="L34357" t="str">
            <v>Proportional</v>
          </cell>
          <cell r="S34357">
            <v>407.25</v>
          </cell>
          <cell r="X34357" t="str">
            <v>GWP - gross</v>
          </cell>
          <cell r="Y34357" t="str">
            <v>UNITED STATES</v>
          </cell>
        </row>
        <row r="34358">
          <cell r="L34358" t="str">
            <v>Non-proportional</v>
          </cell>
          <cell r="S34358">
            <v>2625</v>
          </cell>
          <cell r="X34358" t="str">
            <v>GWP - gross</v>
          </cell>
          <cell r="Y34358" t="str">
            <v>GERMANY</v>
          </cell>
        </row>
        <row r="34359">
          <cell r="L34359" t="str">
            <v>Proportional</v>
          </cell>
          <cell r="S34359">
            <v>919873.05</v>
          </cell>
          <cell r="X34359" t="str">
            <v>GWP - gross</v>
          </cell>
          <cell r="Y34359" t="str">
            <v>PORTUGAL</v>
          </cell>
        </row>
        <row r="34360">
          <cell r="L34360" t="str">
            <v>Proportional</v>
          </cell>
          <cell r="S34360">
            <v>19859.099999999999</v>
          </cell>
          <cell r="X34360" t="str">
            <v>GWP - gross</v>
          </cell>
          <cell r="Y34360" t="str">
            <v>CHILE</v>
          </cell>
        </row>
        <row r="34361">
          <cell r="L34361" t="str">
            <v>Proportional</v>
          </cell>
          <cell r="S34361">
            <v>-2477.86</v>
          </cell>
          <cell r="X34361" t="str">
            <v>GWP - gross</v>
          </cell>
          <cell r="Y34361" t="str">
            <v>Thailand</v>
          </cell>
        </row>
        <row r="34362">
          <cell r="L34362" t="str">
            <v>Proportional</v>
          </cell>
          <cell r="S34362">
            <v>-8455.49</v>
          </cell>
          <cell r="X34362" t="str">
            <v>GWP - gross</v>
          </cell>
          <cell r="Y34362" t="str">
            <v>Portugal</v>
          </cell>
        </row>
        <row r="34363">
          <cell r="L34363" t="str">
            <v>Proportional</v>
          </cell>
          <cell r="S34363">
            <v>-266694.75</v>
          </cell>
          <cell r="X34363" t="str">
            <v>GWP - gross</v>
          </cell>
          <cell r="Y34363" t="str">
            <v>THAILAND</v>
          </cell>
        </row>
        <row r="34364">
          <cell r="L34364" t="str">
            <v>Non-proportional</v>
          </cell>
          <cell r="S34364">
            <v>111.32</v>
          </cell>
          <cell r="X34364" t="str">
            <v>GWP - gross</v>
          </cell>
          <cell r="Y34364" t="str">
            <v>GERMANY</v>
          </cell>
        </row>
        <row r="34365">
          <cell r="L34365" t="str">
            <v>Proportional</v>
          </cell>
          <cell r="S34365">
            <v>115076861.42</v>
          </cell>
          <cell r="X34365" t="str">
            <v>GWP - gross</v>
          </cell>
          <cell r="Y34365" t="str">
            <v>ITALY</v>
          </cell>
        </row>
        <row r="34366">
          <cell r="L34366" t="str">
            <v>Non-proportional</v>
          </cell>
          <cell r="S34366">
            <v>4233.1000000000004</v>
          </cell>
          <cell r="X34366" t="str">
            <v>GWP - gross</v>
          </cell>
          <cell r="Y34366" t="str">
            <v>AUSTRALIA</v>
          </cell>
        </row>
        <row r="34367">
          <cell r="L34367" t="str">
            <v>Proportional</v>
          </cell>
          <cell r="S34367">
            <v>1354325.38</v>
          </cell>
          <cell r="X34367" t="str">
            <v>GWP - gross</v>
          </cell>
          <cell r="Y34367" t="str">
            <v>AUSTRALIA</v>
          </cell>
        </row>
        <row r="34368">
          <cell r="L34368" t="str">
            <v>Non-proportional</v>
          </cell>
          <cell r="S34368">
            <v>97405.94</v>
          </cell>
          <cell r="X34368" t="str">
            <v>GWP - gross</v>
          </cell>
          <cell r="Y34368" t="str">
            <v>PERU</v>
          </cell>
        </row>
        <row r="34369">
          <cell r="L34369" t="str">
            <v>Proportional</v>
          </cell>
          <cell r="S34369">
            <v>53389.49</v>
          </cell>
          <cell r="X34369" t="str">
            <v>GWP - gross</v>
          </cell>
          <cell r="Y34369" t="str">
            <v>AUSTRALIA</v>
          </cell>
        </row>
        <row r="34370">
          <cell r="L34370" t="str">
            <v>Proportional</v>
          </cell>
          <cell r="S34370">
            <v>62168.09</v>
          </cell>
          <cell r="X34370" t="str">
            <v>GWP - gross</v>
          </cell>
          <cell r="Y34370" t="str">
            <v>FRANCE</v>
          </cell>
        </row>
        <row r="34371">
          <cell r="L34371" t="str">
            <v>Proportional</v>
          </cell>
          <cell r="S34371">
            <v>397.95</v>
          </cell>
          <cell r="X34371" t="str">
            <v>GWP - gross</v>
          </cell>
          <cell r="Y34371" t="str">
            <v>UNITED STATES</v>
          </cell>
        </row>
        <row r="34372">
          <cell r="L34372" t="str">
            <v>Non-proportional</v>
          </cell>
          <cell r="S34372">
            <v>-113352.07</v>
          </cell>
          <cell r="X34372" t="str">
            <v>GWP - gross</v>
          </cell>
          <cell r="Y34372" t="str">
            <v>PERU</v>
          </cell>
        </row>
        <row r="34373">
          <cell r="L34373" t="str">
            <v>Non-proportional</v>
          </cell>
          <cell r="S34373">
            <v>900.05</v>
          </cell>
          <cell r="X34373" t="str">
            <v>GWP - gross</v>
          </cell>
          <cell r="Y34373" t="str">
            <v>DOMINICAN REPUBLIC</v>
          </cell>
        </row>
        <row r="34374">
          <cell r="L34374" t="str">
            <v>Proportional</v>
          </cell>
          <cell r="S34374">
            <v>55402.14</v>
          </cell>
          <cell r="X34374" t="str">
            <v>GWP - gross</v>
          </cell>
          <cell r="Y34374" t="str">
            <v>THAILAND</v>
          </cell>
        </row>
        <row r="34375">
          <cell r="L34375" t="str">
            <v>Non-proportional</v>
          </cell>
          <cell r="S34375">
            <v>-4475</v>
          </cell>
          <cell r="X34375" t="str">
            <v>GWP - gross</v>
          </cell>
          <cell r="Y34375" t="str">
            <v>ROMANIA</v>
          </cell>
        </row>
        <row r="34376">
          <cell r="L34376" t="str">
            <v>Proportional</v>
          </cell>
          <cell r="S34376">
            <v>1064386.49</v>
          </cell>
          <cell r="X34376" t="str">
            <v>GWP - gross</v>
          </cell>
          <cell r="Y34376" t="str">
            <v>UNITED STATES</v>
          </cell>
        </row>
        <row r="34377">
          <cell r="L34377" t="str">
            <v>Non-proportional</v>
          </cell>
          <cell r="S34377">
            <v>-454.48</v>
          </cell>
          <cell r="X34377" t="str">
            <v>GWP - gross</v>
          </cell>
          <cell r="Y34377" t="str">
            <v>AUSTRALIA</v>
          </cell>
        </row>
        <row r="34378">
          <cell r="L34378" t="str">
            <v>Non-proportional</v>
          </cell>
          <cell r="S34378">
            <v>-4613.79</v>
          </cell>
          <cell r="X34378" t="str">
            <v>GWP - gross</v>
          </cell>
          <cell r="Y34378" t="str">
            <v>AUSTRALIA</v>
          </cell>
        </row>
        <row r="34379">
          <cell r="L34379" t="str">
            <v>Proportional</v>
          </cell>
          <cell r="S34379">
            <v>-190360</v>
          </cell>
          <cell r="X34379" t="str">
            <v>GWP - gross</v>
          </cell>
          <cell r="Y34379" t="str">
            <v>SWITZERLAND</v>
          </cell>
        </row>
        <row r="34380">
          <cell r="L34380" t="str">
            <v>Proportional</v>
          </cell>
          <cell r="S34380">
            <v>-10967.74</v>
          </cell>
          <cell r="X34380" t="str">
            <v>GWP - gross</v>
          </cell>
          <cell r="Y34380" t="str">
            <v>INDIA</v>
          </cell>
        </row>
        <row r="34381">
          <cell r="L34381" t="str">
            <v>Proportional</v>
          </cell>
          <cell r="S34381">
            <v>-468.58</v>
          </cell>
          <cell r="X34381" t="str">
            <v>GWP - gross</v>
          </cell>
          <cell r="Y34381" t="str">
            <v>Thailand</v>
          </cell>
        </row>
        <row r="34382">
          <cell r="L34382" t="str">
            <v>Non-proportional</v>
          </cell>
          <cell r="S34382">
            <v>-663.2</v>
          </cell>
          <cell r="X34382" t="str">
            <v>GWP - gross</v>
          </cell>
          <cell r="Y34382" t="str">
            <v>CHILE</v>
          </cell>
        </row>
        <row r="34383">
          <cell r="L34383" t="str">
            <v>Proportional</v>
          </cell>
          <cell r="S34383">
            <v>-1768.53</v>
          </cell>
          <cell r="X34383" t="str">
            <v>GWP - gross</v>
          </cell>
          <cell r="Y34383" t="str">
            <v>CHILE</v>
          </cell>
        </row>
        <row r="34384">
          <cell r="L34384" t="str">
            <v>Non-proportional</v>
          </cell>
          <cell r="S34384">
            <v>4700</v>
          </cell>
          <cell r="X34384" t="str">
            <v>GWP - gross</v>
          </cell>
          <cell r="Y34384" t="str">
            <v>GERMANY</v>
          </cell>
        </row>
        <row r="34385">
          <cell r="L34385" t="str">
            <v>Non-proportional</v>
          </cell>
          <cell r="S34385">
            <v>40640</v>
          </cell>
          <cell r="X34385" t="str">
            <v>GWP - gross</v>
          </cell>
          <cell r="Y34385" t="str">
            <v>FRANCE</v>
          </cell>
        </row>
        <row r="34386">
          <cell r="L34386" t="str">
            <v>Proportional</v>
          </cell>
          <cell r="S34386">
            <v>299.58</v>
          </cell>
          <cell r="X34386" t="str">
            <v>GWP - gross</v>
          </cell>
          <cell r="Y34386" t="str">
            <v>CHILE</v>
          </cell>
        </row>
        <row r="34387">
          <cell r="L34387" t="str">
            <v>Non-proportional</v>
          </cell>
          <cell r="S34387">
            <v>-10578.24</v>
          </cell>
          <cell r="X34387" t="str">
            <v>GWP - gross</v>
          </cell>
          <cell r="Y34387" t="str">
            <v>ISRAEL</v>
          </cell>
        </row>
        <row r="34388">
          <cell r="L34388" t="str">
            <v>Non-proportional</v>
          </cell>
          <cell r="S34388">
            <v>-4969.9799999999996</v>
          </cell>
          <cell r="X34388" t="str">
            <v>GWP - gross</v>
          </cell>
          <cell r="Y34388" t="str">
            <v>AUSTRALIA</v>
          </cell>
        </row>
        <row r="34389">
          <cell r="L34389" t="str">
            <v>Proportional</v>
          </cell>
          <cell r="S34389">
            <v>163643.35999999999</v>
          </cell>
          <cell r="X34389" t="str">
            <v>GWP - gross</v>
          </cell>
          <cell r="Y34389" t="str">
            <v>SWITZERLAND</v>
          </cell>
        </row>
        <row r="34390">
          <cell r="L34390" t="str">
            <v>Proportional</v>
          </cell>
          <cell r="S34390">
            <v>-29843.919999999998</v>
          </cell>
          <cell r="X34390" t="str">
            <v>GWP - gross</v>
          </cell>
          <cell r="Y34390" t="str">
            <v>CHILE</v>
          </cell>
        </row>
        <row r="34391">
          <cell r="L34391" t="str">
            <v>Non-proportional</v>
          </cell>
          <cell r="S34391">
            <v>-2982.02</v>
          </cell>
          <cell r="X34391" t="str">
            <v>GWP - gross</v>
          </cell>
          <cell r="Y34391" t="str">
            <v>AUSTRALIA</v>
          </cell>
        </row>
        <row r="34392">
          <cell r="L34392" t="str">
            <v>Non-proportional</v>
          </cell>
          <cell r="S34392">
            <v>2862.71</v>
          </cell>
          <cell r="X34392" t="str">
            <v>GWP - gross</v>
          </cell>
          <cell r="Y34392" t="str">
            <v>DOMINICAN REPUBLIC</v>
          </cell>
        </row>
        <row r="34393">
          <cell r="L34393" t="str">
            <v>Proportional</v>
          </cell>
          <cell r="S34393">
            <v>-190898.34</v>
          </cell>
          <cell r="X34393" t="str">
            <v>GWP - gross</v>
          </cell>
          <cell r="Y34393" t="str">
            <v>PORTUGAL</v>
          </cell>
        </row>
        <row r="34394">
          <cell r="L34394" t="str">
            <v>Proportional</v>
          </cell>
          <cell r="S34394">
            <v>542.79</v>
          </cell>
          <cell r="X34394" t="str">
            <v>GWP - gross</v>
          </cell>
          <cell r="Y34394" t="str">
            <v>Portugal</v>
          </cell>
        </row>
        <row r="34395">
          <cell r="L34395" t="str">
            <v>Proportional</v>
          </cell>
          <cell r="S34395">
            <v>-42886.23</v>
          </cell>
          <cell r="X34395" t="str">
            <v>GWP - gross</v>
          </cell>
          <cell r="Y34395" t="str">
            <v>FRANCE</v>
          </cell>
        </row>
        <row r="34396">
          <cell r="L34396" t="str">
            <v>Proportional</v>
          </cell>
          <cell r="S34396">
            <v>10967.74</v>
          </cell>
          <cell r="X34396" t="str">
            <v>GWP - gross</v>
          </cell>
          <cell r="Y34396" t="str">
            <v>INDIA</v>
          </cell>
        </row>
        <row r="34397">
          <cell r="L34397" t="str">
            <v>Proportional</v>
          </cell>
          <cell r="S34397">
            <v>5076.01</v>
          </cell>
          <cell r="X34397" t="str">
            <v>GWP - gross</v>
          </cell>
          <cell r="Y34397" t="str">
            <v>CHILE</v>
          </cell>
        </row>
        <row r="34398">
          <cell r="L34398" t="str">
            <v>Non-proportional</v>
          </cell>
          <cell r="S34398">
            <v>-26785.84</v>
          </cell>
          <cell r="X34398" t="str">
            <v>GWP - gross</v>
          </cell>
          <cell r="Y34398" t="str">
            <v>CHILE</v>
          </cell>
        </row>
        <row r="34399">
          <cell r="L34399" t="str">
            <v>Proportional</v>
          </cell>
          <cell r="S34399">
            <v>-73.69</v>
          </cell>
          <cell r="X34399" t="str">
            <v>GWP - gross</v>
          </cell>
          <cell r="Y34399" t="str">
            <v>CHILE</v>
          </cell>
        </row>
        <row r="34400">
          <cell r="L34400" t="str">
            <v>Non-proportional</v>
          </cell>
          <cell r="S34400">
            <v>-31102.1</v>
          </cell>
          <cell r="X34400" t="str">
            <v>GWP - gross</v>
          </cell>
          <cell r="Y34400" t="str">
            <v>UNITED KINGDOM</v>
          </cell>
        </row>
        <row r="34401">
          <cell r="L34401" t="str">
            <v>Proportional</v>
          </cell>
          <cell r="S34401">
            <v>-3.64</v>
          </cell>
          <cell r="X34401" t="str">
            <v>GWP - gross</v>
          </cell>
          <cell r="Y34401" t="str">
            <v>CHILE</v>
          </cell>
        </row>
        <row r="34402">
          <cell r="L34402" t="str">
            <v>Non-proportional</v>
          </cell>
          <cell r="S34402">
            <v>-468750</v>
          </cell>
          <cell r="X34402" t="str">
            <v>GWP - gross</v>
          </cell>
          <cell r="Y34402" t="str">
            <v>BELGIUM</v>
          </cell>
        </row>
        <row r="34403">
          <cell r="L34403" t="str">
            <v>Non-proportional</v>
          </cell>
          <cell r="S34403">
            <v>-468750</v>
          </cell>
          <cell r="X34403" t="str">
            <v>GWP - gross</v>
          </cell>
          <cell r="Y34403" t="str">
            <v>BELGIUM</v>
          </cell>
        </row>
        <row r="34404">
          <cell r="L34404" t="str">
            <v>Proportional</v>
          </cell>
          <cell r="S34404">
            <v>-548.39</v>
          </cell>
          <cell r="X34404" t="str">
            <v>GWP - gross</v>
          </cell>
          <cell r="Y34404" t="str">
            <v>INDIA</v>
          </cell>
        </row>
        <row r="34405">
          <cell r="L34405" t="str">
            <v>Proportional</v>
          </cell>
          <cell r="S34405">
            <v>-62.61</v>
          </cell>
          <cell r="X34405" t="str">
            <v>GWP - gross</v>
          </cell>
          <cell r="Y34405" t="str">
            <v>INDIA</v>
          </cell>
        </row>
        <row r="34406">
          <cell r="L34406" t="str">
            <v>Proportional</v>
          </cell>
          <cell r="S34406">
            <v>54.75</v>
          </cell>
          <cell r="X34406" t="str">
            <v>GWP - gross</v>
          </cell>
          <cell r="Y34406" t="str">
            <v>Hong Kong</v>
          </cell>
        </row>
        <row r="34407">
          <cell r="L34407" t="str">
            <v>Proportional</v>
          </cell>
          <cell r="S34407">
            <v>271318.53999999998</v>
          </cell>
          <cell r="X34407" t="str">
            <v>GWP - gross</v>
          </cell>
          <cell r="Y34407" t="str">
            <v>INDIA</v>
          </cell>
        </row>
        <row r="34408">
          <cell r="L34408" t="str">
            <v>Proportional</v>
          </cell>
          <cell r="S34408">
            <v>128507.7</v>
          </cell>
          <cell r="X34408" t="str">
            <v>GWP - gross</v>
          </cell>
          <cell r="Y34408" t="str">
            <v>ITALY</v>
          </cell>
        </row>
        <row r="34409">
          <cell r="L34409" t="str">
            <v>Proportional</v>
          </cell>
          <cell r="S34409">
            <v>215.26</v>
          </cell>
          <cell r="X34409" t="str">
            <v>GWP - gross</v>
          </cell>
          <cell r="Y34409" t="str">
            <v>CHILE</v>
          </cell>
        </row>
        <row r="34410">
          <cell r="L34410" t="str">
            <v>Non-proportional</v>
          </cell>
          <cell r="S34410">
            <v>79348.73</v>
          </cell>
          <cell r="X34410" t="str">
            <v>GWP - gross</v>
          </cell>
          <cell r="Y34410" t="str">
            <v>UNITED KINGDOM</v>
          </cell>
        </row>
        <row r="34411">
          <cell r="L34411" t="str">
            <v>Proportional</v>
          </cell>
          <cell r="S34411">
            <v>-18167.2</v>
          </cell>
          <cell r="X34411" t="str">
            <v>GWP - gross</v>
          </cell>
          <cell r="Y34411" t="str">
            <v>HONG KONG</v>
          </cell>
        </row>
        <row r="34412">
          <cell r="L34412" t="str">
            <v>Proportional</v>
          </cell>
          <cell r="S34412">
            <v>-10.93</v>
          </cell>
          <cell r="X34412" t="str">
            <v>GWP - gross</v>
          </cell>
          <cell r="Y34412" t="str">
            <v>Turkey</v>
          </cell>
        </row>
        <row r="34413">
          <cell r="L34413" t="str">
            <v>Non-proportional</v>
          </cell>
          <cell r="S34413">
            <v>-74110.95</v>
          </cell>
          <cell r="X34413" t="str">
            <v>GWP - gross</v>
          </cell>
          <cell r="Y34413" t="str">
            <v>TURKEY</v>
          </cell>
        </row>
        <row r="34414">
          <cell r="L34414" t="str">
            <v>Proportional</v>
          </cell>
          <cell r="S34414">
            <v>-833.26</v>
          </cell>
          <cell r="X34414" t="str">
            <v>GWP - gross</v>
          </cell>
          <cell r="Y34414" t="str">
            <v>Hong Kong</v>
          </cell>
        </row>
        <row r="34415">
          <cell r="L34415" t="str">
            <v>Proportional</v>
          </cell>
          <cell r="S34415">
            <v>1261.49</v>
          </cell>
          <cell r="X34415" t="str">
            <v>GWP - gross</v>
          </cell>
          <cell r="Y34415" t="str">
            <v>REPUBLIC OF IRELAND</v>
          </cell>
        </row>
        <row r="34416">
          <cell r="L34416" t="str">
            <v>Non-proportional</v>
          </cell>
          <cell r="S34416">
            <v>-13984.46</v>
          </cell>
          <cell r="X34416" t="str">
            <v>GWP - gross</v>
          </cell>
          <cell r="Y34416" t="str">
            <v>UNITED KINGDOM</v>
          </cell>
        </row>
        <row r="34417">
          <cell r="L34417" t="str">
            <v>Proportional</v>
          </cell>
          <cell r="S34417">
            <v>-1481.01</v>
          </cell>
          <cell r="X34417" t="str">
            <v>GWP - gross</v>
          </cell>
          <cell r="Y34417" t="str">
            <v>Hong Kong</v>
          </cell>
        </row>
        <row r="34418">
          <cell r="L34418" t="str">
            <v>Proportional</v>
          </cell>
          <cell r="S34418">
            <v>-54.75</v>
          </cell>
          <cell r="X34418" t="str">
            <v>GWP - gross</v>
          </cell>
          <cell r="Y34418" t="str">
            <v>Hong Kong</v>
          </cell>
        </row>
        <row r="34419">
          <cell r="L34419" t="str">
            <v>Proportional</v>
          </cell>
          <cell r="S34419">
            <v>-39776.61</v>
          </cell>
          <cell r="X34419" t="str">
            <v>GWP - gross</v>
          </cell>
          <cell r="Y34419" t="str">
            <v>ITALY</v>
          </cell>
        </row>
        <row r="34420">
          <cell r="L34420" t="str">
            <v>Non-proportional</v>
          </cell>
          <cell r="S34420">
            <v>50000</v>
          </cell>
          <cell r="X34420" t="str">
            <v>GWP - gross</v>
          </cell>
          <cell r="Y34420" t="str">
            <v>TURKEY</v>
          </cell>
        </row>
        <row r="34421">
          <cell r="L34421" t="str">
            <v>Proportional</v>
          </cell>
          <cell r="S34421">
            <v>81985.77</v>
          </cell>
          <cell r="X34421" t="str">
            <v>GWP - gross</v>
          </cell>
          <cell r="Y34421" t="str">
            <v>AUSTRALIA</v>
          </cell>
        </row>
        <row r="34422">
          <cell r="L34422" t="str">
            <v>Proportional</v>
          </cell>
          <cell r="S34422">
            <v>190686.22</v>
          </cell>
          <cell r="X34422" t="str">
            <v>GWP - gross</v>
          </cell>
          <cell r="Y34422" t="str">
            <v>AUSTRALIA</v>
          </cell>
        </row>
        <row r="34423">
          <cell r="L34423" t="str">
            <v>Proportional</v>
          </cell>
          <cell r="S34423">
            <v>-54.75</v>
          </cell>
          <cell r="X34423" t="str">
            <v>GWP - gross</v>
          </cell>
          <cell r="Y34423" t="str">
            <v>Hong Kong</v>
          </cell>
        </row>
        <row r="34424">
          <cell r="L34424" t="str">
            <v>Proportional</v>
          </cell>
          <cell r="S34424">
            <v>5708.02</v>
          </cell>
          <cell r="X34424" t="str">
            <v>GWP - gross</v>
          </cell>
          <cell r="Y34424" t="str">
            <v>CHILE</v>
          </cell>
        </row>
        <row r="34425">
          <cell r="L34425" t="str">
            <v>Proportional</v>
          </cell>
          <cell r="S34425">
            <v>-95089.81</v>
          </cell>
          <cell r="X34425" t="str">
            <v>GWP - gross</v>
          </cell>
          <cell r="Y34425" t="str">
            <v>ITALY</v>
          </cell>
        </row>
        <row r="34426">
          <cell r="L34426" t="str">
            <v>Proportional</v>
          </cell>
          <cell r="S34426">
            <v>-1.57</v>
          </cell>
          <cell r="X34426" t="str">
            <v>GWP - gross</v>
          </cell>
          <cell r="Y34426" t="str">
            <v>TURKEY</v>
          </cell>
        </row>
        <row r="34427">
          <cell r="L34427" t="str">
            <v>Proportional</v>
          </cell>
          <cell r="S34427">
            <v>-93.03</v>
          </cell>
          <cell r="X34427" t="str">
            <v>GWP - gross</v>
          </cell>
          <cell r="Y34427" t="str">
            <v>Turkey</v>
          </cell>
        </row>
        <row r="34428">
          <cell r="L34428" t="str">
            <v>Proportional</v>
          </cell>
          <cell r="S34428">
            <v>-28.81</v>
          </cell>
          <cell r="X34428" t="str">
            <v>GWP - gross</v>
          </cell>
          <cell r="Y34428" t="str">
            <v>Turkey</v>
          </cell>
        </row>
        <row r="34429">
          <cell r="L34429" t="str">
            <v>Proportional</v>
          </cell>
          <cell r="S34429">
            <v>-2441.3200000000002</v>
          </cell>
          <cell r="X34429" t="str">
            <v>GWP - gross</v>
          </cell>
          <cell r="Y34429" t="str">
            <v>TURKEY</v>
          </cell>
        </row>
        <row r="34430">
          <cell r="L34430" t="str">
            <v>Proportional</v>
          </cell>
          <cell r="S34430">
            <v>95089.81</v>
          </cell>
          <cell r="X34430" t="str">
            <v>GWP - gross</v>
          </cell>
          <cell r="Y34430" t="str">
            <v>ITALY</v>
          </cell>
        </row>
        <row r="34431">
          <cell r="L34431" t="str">
            <v>Proportional</v>
          </cell>
          <cell r="S34431">
            <v>-2427.67</v>
          </cell>
          <cell r="X34431" t="str">
            <v>GWP - gross</v>
          </cell>
          <cell r="Y34431" t="str">
            <v>Turkey</v>
          </cell>
        </row>
        <row r="34432">
          <cell r="L34432" t="str">
            <v>Proportional</v>
          </cell>
          <cell r="S34432">
            <v>-123768000</v>
          </cell>
          <cell r="X34432" t="str">
            <v>GWP - gross</v>
          </cell>
          <cell r="Y34432" t="str">
            <v>ITALY</v>
          </cell>
        </row>
        <row r="34433">
          <cell r="L34433" t="str">
            <v>Proportional</v>
          </cell>
          <cell r="S34433">
            <v>-7024.2</v>
          </cell>
          <cell r="X34433" t="str">
            <v>GWP - gross</v>
          </cell>
          <cell r="Y34433" t="str">
            <v>HONG KONG</v>
          </cell>
        </row>
        <row r="34434">
          <cell r="L34434" t="str">
            <v>Proportional</v>
          </cell>
          <cell r="S34434">
            <v>-17448.09</v>
          </cell>
          <cell r="X34434" t="str">
            <v>GWP - gross</v>
          </cell>
          <cell r="Y34434" t="str">
            <v>HONG KONG</v>
          </cell>
        </row>
        <row r="34435">
          <cell r="L34435" t="str">
            <v>Proportional</v>
          </cell>
          <cell r="S34435">
            <v>24143.23</v>
          </cell>
          <cell r="X34435" t="str">
            <v>GWP - gross</v>
          </cell>
          <cell r="Y34435" t="str">
            <v>REPUBLIC OF IRELAND</v>
          </cell>
        </row>
        <row r="34436">
          <cell r="L34436" t="str">
            <v>Proportional</v>
          </cell>
          <cell r="S34436">
            <v>39776.61</v>
          </cell>
          <cell r="X34436" t="str">
            <v>GWP - gross</v>
          </cell>
          <cell r="Y34436" t="str">
            <v>ITALY</v>
          </cell>
        </row>
        <row r="34437">
          <cell r="L34437" t="str">
            <v>Proportional</v>
          </cell>
          <cell r="S34437">
            <v>-160882.76</v>
          </cell>
          <cell r="X34437" t="str">
            <v>GWP - gross</v>
          </cell>
          <cell r="Y34437" t="str">
            <v>EUROPE</v>
          </cell>
        </row>
        <row r="34438">
          <cell r="L34438" t="str">
            <v>Proportional</v>
          </cell>
          <cell r="S34438">
            <v>-20.84</v>
          </cell>
          <cell r="X34438" t="str">
            <v>GWP - gross</v>
          </cell>
          <cell r="Y34438" t="str">
            <v>HONG KONG</v>
          </cell>
        </row>
        <row r="34439">
          <cell r="L34439" t="str">
            <v>Proportional</v>
          </cell>
          <cell r="S34439">
            <v>96702.9</v>
          </cell>
          <cell r="X34439" t="str">
            <v>GWP - gross</v>
          </cell>
          <cell r="Y34439" t="str">
            <v>ITALY</v>
          </cell>
        </row>
        <row r="34440">
          <cell r="L34440" t="str">
            <v>Proportional</v>
          </cell>
          <cell r="S34440">
            <v>33.409999999999997</v>
          </cell>
          <cell r="X34440" t="str">
            <v>GWP - gross</v>
          </cell>
          <cell r="Y34440" t="str">
            <v>Turkey</v>
          </cell>
        </row>
        <row r="34441">
          <cell r="L34441" t="str">
            <v>Non-proportional</v>
          </cell>
          <cell r="S34441">
            <v>-33562.69</v>
          </cell>
          <cell r="X34441" t="str">
            <v>GWP - gross</v>
          </cell>
          <cell r="Y34441" t="str">
            <v>UNITED KINGDOM</v>
          </cell>
        </row>
        <row r="34442">
          <cell r="L34442" t="str">
            <v>Proportional</v>
          </cell>
          <cell r="S34442">
            <v>-2934.72</v>
          </cell>
          <cell r="X34442" t="str">
            <v>GWP - gross</v>
          </cell>
          <cell r="Y34442" t="str">
            <v>TURKEY</v>
          </cell>
        </row>
        <row r="34443">
          <cell r="L34443" t="str">
            <v>Proportional</v>
          </cell>
          <cell r="S34443">
            <v>271318.53999999998</v>
          </cell>
          <cell r="X34443" t="str">
            <v>GWP - gross</v>
          </cell>
          <cell r="Y34443" t="str">
            <v>INDIA</v>
          </cell>
        </row>
        <row r="34444">
          <cell r="L34444" t="str">
            <v>Proportional</v>
          </cell>
          <cell r="S34444">
            <v>62.61</v>
          </cell>
          <cell r="X34444" t="str">
            <v>GWP - gross</v>
          </cell>
          <cell r="Y34444" t="str">
            <v>INDIA</v>
          </cell>
        </row>
        <row r="34445">
          <cell r="L34445" t="str">
            <v>Proportional</v>
          </cell>
          <cell r="S34445">
            <v>-215.26</v>
          </cell>
          <cell r="X34445" t="str">
            <v>GWP - gross</v>
          </cell>
          <cell r="Y34445" t="str">
            <v>CHILE</v>
          </cell>
        </row>
        <row r="34446">
          <cell r="L34446" t="str">
            <v>Non-proportional</v>
          </cell>
          <cell r="S34446">
            <v>24719.23</v>
          </cell>
          <cell r="X34446" t="str">
            <v>GWP - gross</v>
          </cell>
          <cell r="Y34446" t="str">
            <v>UNITED KINGDOM</v>
          </cell>
        </row>
        <row r="34447">
          <cell r="L34447" t="str">
            <v>Proportional</v>
          </cell>
          <cell r="S34447">
            <v>17448.09</v>
          </cell>
          <cell r="X34447" t="str">
            <v>GWP - gross</v>
          </cell>
          <cell r="Y34447" t="str">
            <v>HONG KONG</v>
          </cell>
        </row>
        <row r="34448">
          <cell r="L34448" t="str">
            <v>Proportional</v>
          </cell>
          <cell r="S34448">
            <v>-229.79</v>
          </cell>
          <cell r="X34448" t="str">
            <v>GWP - gross</v>
          </cell>
          <cell r="Y34448" t="str">
            <v>Turkey</v>
          </cell>
        </row>
        <row r="34449">
          <cell r="L34449" t="str">
            <v>Proportional</v>
          </cell>
          <cell r="S34449">
            <v>-24143.23</v>
          </cell>
          <cell r="X34449" t="str">
            <v>GWP - gross</v>
          </cell>
          <cell r="Y34449" t="str">
            <v>REPUBLIC OF IRELAND</v>
          </cell>
        </row>
        <row r="34450">
          <cell r="L34450" t="str">
            <v>Proportional</v>
          </cell>
          <cell r="S34450">
            <v>-186.08</v>
          </cell>
          <cell r="X34450" t="str">
            <v>GWP - gross</v>
          </cell>
          <cell r="Y34450" t="str">
            <v>Hong Kong</v>
          </cell>
        </row>
        <row r="34451">
          <cell r="L34451" t="str">
            <v>Proportional</v>
          </cell>
          <cell r="S34451">
            <v>-832.85</v>
          </cell>
          <cell r="X34451" t="str">
            <v>GWP - gross</v>
          </cell>
          <cell r="Y34451" t="str">
            <v>Turkey</v>
          </cell>
        </row>
        <row r="34452">
          <cell r="L34452" t="str">
            <v>Proportional</v>
          </cell>
          <cell r="S34452">
            <v>-17448.09</v>
          </cell>
          <cell r="X34452" t="str">
            <v>GWP - gross</v>
          </cell>
          <cell r="Y34452" t="str">
            <v>HONG KONG</v>
          </cell>
        </row>
        <row r="34453">
          <cell r="L34453" t="str">
            <v>Proportional</v>
          </cell>
          <cell r="S34453">
            <v>-194.31</v>
          </cell>
          <cell r="X34453" t="str">
            <v>GWP - gross</v>
          </cell>
          <cell r="Y34453" t="str">
            <v>CHILE</v>
          </cell>
        </row>
        <row r="34454">
          <cell r="L34454" t="str">
            <v>Proportional</v>
          </cell>
          <cell r="S34454">
            <v>194.31</v>
          </cell>
          <cell r="X34454" t="str">
            <v>GWP - gross</v>
          </cell>
          <cell r="Y34454" t="str">
            <v>CHILE</v>
          </cell>
        </row>
        <row r="34455">
          <cell r="L34455" t="str">
            <v>Proportional</v>
          </cell>
          <cell r="S34455">
            <v>-1261.49</v>
          </cell>
          <cell r="X34455" t="str">
            <v>GWP - gross</v>
          </cell>
          <cell r="Y34455" t="str">
            <v>REPUBLIC OF IRELAND</v>
          </cell>
        </row>
        <row r="34456">
          <cell r="L34456" t="str">
            <v>Proportional</v>
          </cell>
          <cell r="S34456">
            <v>75920.34</v>
          </cell>
          <cell r="X34456" t="str">
            <v>GWP - gross</v>
          </cell>
          <cell r="Y34456" t="str">
            <v>ITALY</v>
          </cell>
        </row>
        <row r="34457">
          <cell r="L34457" t="str">
            <v>Proportional</v>
          </cell>
          <cell r="S34457">
            <v>18167.2</v>
          </cell>
          <cell r="X34457" t="str">
            <v>GWP - gross</v>
          </cell>
          <cell r="Y34457" t="str">
            <v>HONG KONG</v>
          </cell>
        </row>
        <row r="34458">
          <cell r="L34458" t="str">
            <v>Proportional</v>
          </cell>
          <cell r="S34458">
            <v>-128507.7</v>
          </cell>
          <cell r="X34458" t="str">
            <v>GWP - gross</v>
          </cell>
          <cell r="Y34458" t="str">
            <v>ITALY</v>
          </cell>
        </row>
        <row r="34459">
          <cell r="L34459" t="str">
            <v>Proportional</v>
          </cell>
          <cell r="S34459">
            <v>-466.68</v>
          </cell>
          <cell r="X34459" t="str">
            <v>GWP - gross</v>
          </cell>
          <cell r="Y34459" t="str">
            <v>TURKEY</v>
          </cell>
        </row>
        <row r="34460">
          <cell r="L34460" t="str">
            <v>Proportional</v>
          </cell>
          <cell r="S34460">
            <v>42885.27</v>
          </cell>
          <cell r="X34460" t="str">
            <v>GWP - gross</v>
          </cell>
          <cell r="Y34460" t="str">
            <v>CHILE</v>
          </cell>
        </row>
        <row r="34461">
          <cell r="L34461" t="str">
            <v>Proportional</v>
          </cell>
          <cell r="S34461">
            <v>-10645.74</v>
          </cell>
          <cell r="X34461" t="str">
            <v>GWP - gross</v>
          </cell>
          <cell r="Y34461" t="str">
            <v>ITALY</v>
          </cell>
        </row>
        <row r="34462">
          <cell r="L34462" t="str">
            <v>Proportional</v>
          </cell>
          <cell r="S34462">
            <v>-271318.53999999998</v>
          </cell>
          <cell r="X34462" t="str">
            <v>GWP - gross</v>
          </cell>
          <cell r="Y34462" t="str">
            <v>INDIA</v>
          </cell>
        </row>
        <row r="34463">
          <cell r="L34463" t="str">
            <v>Proportional</v>
          </cell>
          <cell r="S34463">
            <v>-64.02</v>
          </cell>
          <cell r="X34463" t="str">
            <v>GWP - gross</v>
          </cell>
          <cell r="Y34463" t="str">
            <v>TURKEY</v>
          </cell>
        </row>
        <row r="34464">
          <cell r="L34464" t="str">
            <v>Proportional</v>
          </cell>
          <cell r="S34464">
            <v>10645.74</v>
          </cell>
          <cell r="X34464" t="str">
            <v>GWP - gross</v>
          </cell>
          <cell r="Y34464" t="str">
            <v>ITALY</v>
          </cell>
        </row>
        <row r="34465">
          <cell r="L34465" t="str">
            <v>Proportional</v>
          </cell>
          <cell r="S34465">
            <v>102698985.59999999</v>
          </cell>
          <cell r="X34465" t="str">
            <v>GWP - gross</v>
          </cell>
          <cell r="Y34465" t="str">
            <v>ITALY</v>
          </cell>
        </row>
        <row r="34466">
          <cell r="L34466" t="str">
            <v>Proportional</v>
          </cell>
          <cell r="S34466">
            <v>-391.72</v>
          </cell>
          <cell r="X34466" t="str">
            <v>GWP - gross</v>
          </cell>
          <cell r="Y34466" t="str">
            <v>TURKEY</v>
          </cell>
        </row>
        <row r="34467">
          <cell r="L34467" t="str">
            <v>Proportional</v>
          </cell>
          <cell r="S34467">
            <v>24143.23</v>
          </cell>
          <cell r="X34467" t="str">
            <v>GWP - gross</v>
          </cell>
          <cell r="Y34467" t="str">
            <v>REPUBLIC OF IRELAND</v>
          </cell>
        </row>
        <row r="34468">
          <cell r="L34468" t="str">
            <v>Proportional</v>
          </cell>
          <cell r="S34468">
            <v>-24143.23</v>
          </cell>
          <cell r="X34468" t="str">
            <v>GWP - gross</v>
          </cell>
          <cell r="Y34468" t="str">
            <v>REPUBLIC OF IRELAND</v>
          </cell>
        </row>
        <row r="34469">
          <cell r="L34469" t="str">
            <v>Proportional</v>
          </cell>
          <cell r="S34469">
            <v>-1176.57</v>
          </cell>
          <cell r="X34469" t="str">
            <v>GWP - gross</v>
          </cell>
          <cell r="Y34469" t="str">
            <v>HONG KONG</v>
          </cell>
        </row>
        <row r="34470">
          <cell r="L34470" t="str">
            <v>Proportional</v>
          </cell>
          <cell r="S34470">
            <v>10645.74</v>
          </cell>
          <cell r="X34470" t="str">
            <v>GWP - gross</v>
          </cell>
          <cell r="Y34470" t="str">
            <v>ITALY</v>
          </cell>
        </row>
        <row r="34471">
          <cell r="L34471" t="str">
            <v>Proportional</v>
          </cell>
          <cell r="S34471">
            <v>-102698985.59999999</v>
          </cell>
          <cell r="X34471" t="str">
            <v>GWP - gross</v>
          </cell>
          <cell r="Y34471" t="str">
            <v>ITALY</v>
          </cell>
        </row>
        <row r="34472">
          <cell r="L34472" t="str">
            <v>Proportional</v>
          </cell>
          <cell r="S34472">
            <v>-56.9</v>
          </cell>
          <cell r="X34472" t="str">
            <v>GWP - gross</v>
          </cell>
          <cell r="Y34472" t="str">
            <v>HONG KONG</v>
          </cell>
        </row>
        <row r="34473">
          <cell r="L34473" t="str">
            <v>Proportional</v>
          </cell>
          <cell r="S34473">
            <v>-3.34</v>
          </cell>
          <cell r="X34473" t="str">
            <v>GWP - gross</v>
          </cell>
          <cell r="Y34473" t="str">
            <v>Turkey</v>
          </cell>
        </row>
        <row r="34474">
          <cell r="L34474" t="str">
            <v>Proportional</v>
          </cell>
          <cell r="S34474">
            <v>-215.26</v>
          </cell>
          <cell r="X34474" t="str">
            <v>GWP - gross</v>
          </cell>
          <cell r="Y34474" t="str">
            <v>CHILE</v>
          </cell>
        </row>
        <row r="34475">
          <cell r="L34475" t="str">
            <v>Proportional</v>
          </cell>
          <cell r="S34475">
            <v>-3997.72</v>
          </cell>
          <cell r="X34475" t="str">
            <v>GWP - gross</v>
          </cell>
          <cell r="Y34475" t="str">
            <v>HONG KONG</v>
          </cell>
        </row>
        <row r="34476">
          <cell r="L34476" t="str">
            <v>Non-proportional</v>
          </cell>
          <cell r="S34476">
            <v>102584.8</v>
          </cell>
          <cell r="X34476" t="str">
            <v>GWP - gross</v>
          </cell>
          <cell r="Y34476" t="str">
            <v>UNITED KINGDOM</v>
          </cell>
        </row>
        <row r="34477">
          <cell r="L34477" t="str">
            <v>Proportional</v>
          </cell>
          <cell r="S34477">
            <v>-541.97</v>
          </cell>
          <cell r="X34477" t="str">
            <v>GWP - gross</v>
          </cell>
          <cell r="Y34477" t="str">
            <v>Hong Kong</v>
          </cell>
        </row>
        <row r="34478">
          <cell r="L34478" t="str">
            <v>Proportional</v>
          </cell>
          <cell r="S34478">
            <v>-194.31</v>
          </cell>
          <cell r="X34478" t="str">
            <v>GWP - gross</v>
          </cell>
          <cell r="Y34478" t="str">
            <v>CHILE</v>
          </cell>
        </row>
        <row r="34479">
          <cell r="L34479" t="str">
            <v>Non-proportional</v>
          </cell>
          <cell r="S34479">
            <v>-44890.1</v>
          </cell>
          <cell r="X34479" t="str">
            <v>GWP - gross</v>
          </cell>
          <cell r="Y34479" t="str">
            <v>UNITED KINGDOM</v>
          </cell>
        </row>
        <row r="34480">
          <cell r="L34480" t="str">
            <v>Non-proportional</v>
          </cell>
          <cell r="S34480">
            <v>59326.15</v>
          </cell>
          <cell r="X34480" t="str">
            <v>GWP - gross</v>
          </cell>
          <cell r="Y34480" t="str">
            <v>UNITED KINGDOM</v>
          </cell>
        </row>
        <row r="34481">
          <cell r="L34481" t="str">
            <v>Non-proportional</v>
          </cell>
          <cell r="S34481">
            <v>-58035.49</v>
          </cell>
          <cell r="X34481" t="str">
            <v>GWP - gross</v>
          </cell>
          <cell r="Y34481" t="str">
            <v>UNITED KINGDOM</v>
          </cell>
        </row>
        <row r="34482">
          <cell r="L34482" t="str">
            <v>Proportional</v>
          </cell>
          <cell r="S34482">
            <v>-81985.77</v>
          </cell>
          <cell r="X34482" t="str">
            <v>GWP - gross</v>
          </cell>
          <cell r="Y34482" t="str">
            <v>AUSTRALIA</v>
          </cell>
        </row>
        <row r="34483">
          <cell r="L34483" t="str">
            <v>Proportional</v>
          </cell>
          <cell r="S34483">
            <v>160882.76</v>
          </cell>
          <cell r="X34483" t="str">
            <v>GWP - gross</v>
          </cell>
          <cell r="Y34483" t="str">
            <v>EUROPE</v>
          </cell>
        </row>
        <row r="34484">
          <cell r="L34484" t="str">
            <v>Proportional</v>
          </cell>
          <cell r="S34484">
            <v>-8238.9</v>
          </cell>
          <cell r="X34484" t="str">
            <v>GWP - gross</v>
          </cell>
          <cell r="Y34484" t="str">
            <v>HONG KONG</v>
          </cell>
        </row>
        <row r="34485">
          <cell r="L34485" t="str">
            <v>Proportional</v>
          </cell>
          <cell r="S34485">
            <v>5332.49</v>
          </cell>
          <cell r="X34485" t="str">
            <v>GWP - gross</v>
          </cell>
          <cell r="Y34485" t="str">
            <v>CHILE</v>
          </cell>
        </row>
        <row r="34486">
          <cell r="L34486" t="str">
            <v>Proportional</v>
          </cell>
          <cell r="S34486">
            <v>-271318.53999999998</v>
          </cell>
          <cell r="X34486" t="str">
            <v>GWP - gross</v>
          </cell>
          <cell r="Y34486" t="str">
            <v>INDIA</v>
          </cell>
        </row>
        <row r="34487">
          <cell r="L34487" t="str">
            <v>Non-proportional</v>
          </cell>
          <cell r="S34487">
            <v>-50000</v>
          </cell>
          <cell r="X34487" t="str">
            <v>GWP - gross</v>
          </cell>
          <cell r="Y34487" t="str">
            <v>TURKEY</v>
          </cell>
        </row>
        <row r="34488">
          <cell r="L34488" t="str">
            <v>Proportional</v>
          </cell>
          <cell r="S34488">
            <v>-39.08</v>
          </cell>
          <cell r="X34488" t="str">
            <v>GWP - gross</v>
          </cell>
          <cell r="Y34488" t="str">
            <v>Hong Kong</v>
          </cell>
        </row>
        <row r="34489">
          <cell r="L34489" t="str">
            <v>Proportional</v>
          </cell>
          <cell r="S34489">
            <v>17448.09</v>
          </cell>
          <cell r="X34489" t="str">
            <v>GWP - gross</v>
          </cell>
          <cell r="Y34489" t="str">
            <v>HONG KONG</v>
          </cell>
        </row>
        <row r="34490">
          <cell r="L34490" t="str">
            <v>Proportional</v>
          </cell>
          <cell r="S34490">
            <v>88511.89</v>
          </cell>
          <cell r="X34490" t="str">
            <v>GWP - gross</v>
          </cell>
          <cell r="Y34490" t="str">
            <v>CHILE</v>
          </cell>
        </row>
        <row r="34491">
          <cell r="L34491" t="str">
            <v>Proportional</v>
          </cell>
          <cell r="S34491">
            <v>-190686.22</v>
          </cell>
          <cell r="X34491" t="str">
            <v>GWP - gross</v>
          </cell>
          <cell r="Y34491" t="str">
            <v>AUSTRALIA</v>
          </cell>
        </row>
        <row r="34492">
          <cell r="L34492" t="str">
            <v>Proportional</v>
          </cell>
          <cell r="S34492">
            <v>20930.66</v>
          </cell>
          <cell r="X34492" t="str">
            <v>GWP - gross</v>
          </cell>
          <cell r="Y34492" t="str">
            <v>ITALY</v>
          </cell>
        </row>
        <row r="34493">
          <cell r="L34493" t="str">
            <v>Non-proportional</v>
          </cell>
          <cell r="S34493">
            <v>3312977.11</v>
          </cell>
          <cell r="X34493" t="str">
            <v>Variation UPR - gross</v>
          </cell>
          <cell r="Y34493" t="str">
            <v>UNITED KINGDOM</v>
          </cell>
        </row>
        <row r="34494">
          <cell r="L34494" t="str">
            <v>Non-proportional</v>
          </cell>
          <cell r="S34494">
            <v>-788.94</v>
          </cell>
          <cell r="X34494" t="str">
            <v>Variation UPR - gross</v>
          </cell>
          <cell r="Y34494" t="str">
            <v>INDIA</v>
          </cell>
        </row>
        <row r="34495">
          <cell r="L34495" t="str">
            <v>Non-proportional</v>
          </cell>
          <cell r="S34495">
            <v>84.93</v>
          </cell>
          <cell r="X34495" t="str">
            <v>Variation UPR - gross</v>
          </cell>
          <cell r="Y34495" t="str">
            <v>DOMINICAN REPUBLIC</v>
          </cell>
        </row>
        <row r="34496">
          <cell r="L34496" t="str">
            <v>Non-proportional</v>
          </cell>
          <cell r="S34496">
            <v>6737.5</v>
          </cell>
          <cell r="X34496" t="str">
            <v>Variation UPR - gross</v>
          </cell>
          <cell r="Y34496" t="str">
            <v>GREECE</v>
          </cell>
        </row>
        <row r="34497">
          <cell r="L34497" t="str">
            <v>Non-proportional</v>
          </cell>
          <cell r="S34497">
            <v>45720.160000000003</v>
          </cell>
          <cell r="X34497" t="str">
            <v>Variation UPR - gross</v>
          </cell>
          <cell r="Y34497" t="str">
            <v>SINGAPORE</v>
          </cell>
        </row>
        <row r="34498">
          <cell r="L34498" t="str">
            <v>Non-proportional</v>
          </cell>
          <cell r="S34498">
            <v>-87909.53</v>
          </cell>
          <cell r="X34498" t="str">
            <v>Variation UPR - gross</v>
          </cell>
          <cell r="Y34498" t="str">
            <v>UNITED KINGDOM</v>
          </cell>
        </row>
        <row r="34499">
          <cell r="L34499" t="str">
            <v>Non-proportional</v>
          </cell>
          <cell r="S34499">
            <v>223439.21</v>
          </cell>
          <cell r="X34499" t="str">
            <v>Variation UPR - gross</v>
          </cell>
          <cell r="Y34499" t="str">
            <v>CHINA</v>
          </cell>
        </row>
        <row r="34500">
          <cell r="L34500" t="str">
            <v>Non-proportional</v>
          </cell>
          <cell r="S34500">
            <v>-1393</v>
          </cell>
          <cell r="X34500" t="str">
            <v>Variation UPR - gross</v>
          </cell>
          <cell r="Y34500" t="str">
            <v>INDIA</v>
          </cell>
        </row>
        <row r="34501">
          <cell r="L34501" t="str">
            <v>Proportional</v>
          </cell>
          <cell r="S34501">
            <v>1648837.42</v>
          </cell>
          <cell r="X34501" t="str">
            <v>Variation UPR - gross</v>
          </cell>
          <cell r="Y34501" t="str">
            <v>SWITZERLAND</v>
          </cell>
        </row>
        <row r="34502">
          <cell r="L34502" t="str">
            <v>Non-proportional</v>
          </cell>
          <cell r="S34502">
            <v>-2833.56</v>
          </cell>
          <cell r="X34502" t="str">
            <v>Variation UPR - gross</v>
          </cell>
          <cell r="Y34502" t="str">
            <v>CHILE</v>
          </cell>
        </row>
        <row r="34503">
          <cell r="L34503" t="str">
            <v>Non-proportional</v>
          </cell>
          <cell r="S34503">
            <v>-1405.94</v>
          </cell>
          <cell r="X34503" t="str">
            <v>Variation UPR - gross</v>
          </cell>
          <cell r="Y34503" t="str">
            <v>COLOMBIA</v>
          </cell>
        </row>
        <row r="34504">
          <cell r="L34504" t="str">
            <v>Non-proportional</v>
          </cell>
          <cell r="S34504">
            <v>-5800.63</v>
          </cell>
          <cell r="X34504" t="str">
            <v>Variation UPR - gross</v>
          </cell>
          <cell r="Y34504" t="str">
            <v>ECUADOR</v>
          </cell>
        </row>
        <row r="34505">
          <cell r="L34505" t="str">
            <v>Non-proportional</v>
          </cell>
          <cell r="S34505">
            <v>96250</v>
          </cell>
          <cell r="X34505" t="str">
            <v>Variation UPR - gross</v>
          </cell>
          <cell r="Y34505" t="str">
            <v>EUROPE</v>
          </cell>
        </row>
        <row r="34506">
          <cell r="L34506" t="str">
            <v>Proportional</v>
          </cell>
          <cell r="S34506">
            <v>-13297.6</v>
          </cell>
          <cell r="X34506" t="str">
            <v>Variation UPR - gross</v>
          </cell>
          <cell r="Y34506" t="str">
            <v>THAILAND</v>
          </cell>
        </row>
        <row r="34507">
          <cell r="L34507" t="str">
            <v>Non-proportional</v>
          </cell>
          <cell r="S34507">
            <v>46752.04</v>
          </cell>
          <cell r="X34507" t="str">
            <v>Variation UPR - gross</v>
          </cell>
          <cell r="Y34507" t="str">
            <v>ITALY</v>
          </cell>
        </row>
        <row r="34508">
          <cell r="L34508" t="str">
            <v>Non-proportional</v>
          </cell>
          <cell r="S34508">
            <v>7315.56</v>
          </cell>
          <cell r="X34508" t="str">
            <v>Variation UPR - gross</v>
          </cell>
          <cell r="Y34508" t="str">
            <v>FRANCE</v>
          </cell>
        </row>
        <row r="34509">
          <cell r="L34509" t="str">
            <v>Proportional</v>
          </cell>
          <cell r="S34509">
            <v>-599.19000000000005</v>
          </cell>
          <cell r="X34509" t="str">
            <v>Variation UPR - gross</v>
          </cell>
          <cell r="Y34509" t="str">
            <v>UNITED STATES</v>
          </cell>
        </row>
        <row r="34510">
          <cell r="L34510" t="str">
            <v>Non-proportional</v>
          </cell>
          <cell r="S34510">
            <v>16761.25</v>
          </cell>
          <cell r="X34510" t="str">
            <v>Variation UPR - gross</v>
          </cell>
          <cell r="Y34510" t="str">
            <v>ITALY</v>
          </cell>
        </row>
        <row r="34511">
          <cell r="L34511" t="str">
            <v>Non-proportional</v>
          </cell>
          <cell r="S34511">
            <v>272250</v>
          </cell>
          <cell r="X34511" t="str">
            <v>Variation UPR - gross</v>
          </cell>
          <cell r="Y34511" t="str">
            <v>GREECE</v>
          </cell>
        </row>
        <row r="34512">
          <cell r="L34512" t="str">
            <v>Non-proportional</v>
          </cell>
          <cell r="S34512">
            <v>101763.82</v>
          </cell>
          <cell r="X34512" t="str">
            <v>Variation UPR - gross</v>
          </cell>
          <cell r="Y34512" t="str">
            <v>ITALY</v>
          </cell>
        </row>
        <row r="34513">
          <cell r="L34513" t="str">
            <v>Proportional</v>
          </cell>
          <cell r="S34513">
            <v>-140.34</v>
          </cell>
          <cell r="X34513" t="str">
            <v>Variation UPR - gross</v>
          </cell>
          <cell r="Y34513" t="str">
            <v>HONG KONG</v>
          </cell>
        </row>
        <row r="34514">
          <cell r="L34514" t="str">
            <v>Non-proportional</v>
          </cell>
          <cell r="S34514">
            <v>46044.99</v>
          </cell>
          <cell r="X34514" t="str">
            <v>Variation UPR - gross</v>
          </cell>
          <cell r="Y34514" t="str">
            <v>FRANCE</v>
          </cell>
        </row>
        <row r="34515">
          <cell r="L34515" t="str">
            <v>Non-proportional</v>
          </cell>
          <cell r="S34515">
            <v>41074.54</v>
          </cell>
          <cell r="X34515" t="str">
            <v>Variation UPR - gross</v>
          </cell>
          <cell r="Y34515" t="str">
            <v>GUATEMALA</v>
          </cell>
        </row>
        <row r="34516">
          <cell r="L34516" t="str">
            <v>Non-proportional</v>
          </cell>
          <cell r="S34516">
            <v>4129.58</v>
          </cell>
          <cell r="X34516" t="str">
            <v>Variation UPR - gross</v>
          </cell>
          <cell r="Y34516" t="str">
            <v>ITALY</v>
          </cell>
        </row>
        <row r="34517">
          <cell r="L34517" t="str">
            <v>Non-proportional</v>
          </cell>
          <cell r="S34517">
            <v>-9898.2099999999991</v>
          </cell>
          <cell r="X34517" t="str">
            <v>Variation UPR - gross</v>
          </cell>
          <cell r="Y34517" t="str">
            <v>INDIA</v>
          </cell>
        </row>
        <row r="34518">
          <cell r="L34518" t="str">
            <v>Non-proportional</v>
          </cell>
          <cell r="S34518">
            <v>86139.62</v>
          </cell>
          <cell r="X34518" t="str">
            <v>Variation UPR - gross</v>
          </cell>
          <cell r="Y34518" t="str">
            <v>UNITED KINGDOM</v>
          </cell>
        </row>
        <row r="34519">
          <cell r="L34519" t="str">
            <v>Proportional</v>
          </cell>
          <cell r="S34519">
            <v>1424426.99</v>
          </cell>
          <cell r="X34519" t="str">
            <v>Variation UPR - gross</v>
          </cell>
          <cell r="Y34519" t="str">
            <v>THAILAND</v>
          </cell>
        </row>
        <row r="34520">
          <cell r="L34520" t="str">
            <v>Proportional</v>
          </cell>
          <cell r="S34520">
            <v>305068.27</v>
          </cell>
          <cell r="X34520" t="str">
            <v>Variation UPR - gross</v>
          </cell>
          <cell r="Y34520" t="str">
            <v>BELGIUM</v>
          </cell>
        </row>
        <row r="34521">
          <cell r="L34521" t="str">
            <v>Non-proportional</v>
          </cell>
          <cell r="S34521">
            <v>13835.8</v>
          </cell>
          <cell r="X34521" t="str">
            <v>Variation UPR - gross</v>
          </cell>
          <cell r="Y34521" t="str">
            <v>ITALY</v>
          </cell>
        </row>
        <row r="34522">
          <cell r="L34522" t="str">
            <v>Non-proportional</v>
          </cell>
          <cell r="S34522">
            <v>-87.23</v>
          </cell>
          <cell r="X34522" t="str">
            <v>Variation UPR - gross</v>
          </cell>
          <cell r="Y34522" t="str">
            <v>GUATEMALA</v>
          </cell>
        </row>
        <row r="34523">
          <cell r="L34523" t="str">
            <v>Non-proportional</v>
          </cell>
          <cell r="S34523">
            <v>-2719.74</v>
          </cell>
          <cell r="X34523" t="str">
            <v>Variation UPR - gross</v>
          </cell>
          <cell r="Y34523" t="str">
            <v>UNITED KINGDOM</v>
          </cell>
        </row>
        <row r="34524">
          <cell r="L34524" t="str">
            <v>Non-proportional</v>
          </cell>
          <cell r="S34524">
            <v>20824.580000000002</v>
          </cell>
          <cell r="X34524" t="str">
            <v>Variation UPR - gross</v>
          </cell>
          <cell r="Y34524" t="str">
            <v>ITALY</v>
          </cell>
        </row>
        <row r="34525">
          <cell r="L34525" t="str">
            <v>Non-proportional</v>
          </cell>
          <cell r="S34525">
            <v>-1448.96</v>
          </cell>
          <cell r="X34525" t="str">
            <v>Variation UPR - gross</v>
          </cell>
          <cell r="Y34525" t="str">
            <v>INDIA</v>
          </cell>
        </row>
        <row r="34526">
          <cell r="L34526" t="str">
            <v>Non-proportional</v>
          </cell>
          <cell r="S34526">
            <v>3497.45</v>
          </cell>
          <cell r="X34526" t="str">
            <v>Variation UPR - gross</v>
          </cell>
          <cell r="Y34526" t="str">
            <v>MEXICO</v>
          </cell>
        </row>
        <row r="34527">
          <cell r="L34527" t="str">
            <v>Non-proportional</v>
          </cell>
          <cell r="S34527">
            <v>-1700.84</v>
          </cell>
          <cell r="X34527" t="str">
            <v>Variation UPR - gross</v>
          </cell>
          <cell r="Y34527" t="str">
            <v>UNITED KINGDOM</v>
          </cell>
        </row>
        <row r="34528">
          <cell r="L34528" t="str">
            <v>Non-proportional</v>
          </cell>
          <cell r="S34528">
            <v>180.85</v>
          </cell>
          <cell r="X34528" t="str">
            <v>Variation UPR - gross</v>
          </cell>
          <cell r="Y34528" t="str">
            <v>ISRAEL</v>
          </cell>
        </row>
        <row r="34529">
          <cell r="L34529" t="str">
            <v>Non-proportional</v>
          </cell>
          <cell r="S34529">
            <v>109752.5</v>
          </cell>
          <cell r="X34529" t="str">
            <v>Variation UPR - gross</v>
          </cell>
          <cell r="Y34529" t="str">
            <v>ITALY</v>
          </cell>
        </row>
        <row r="34530">
          <cell r="L34530" t="str">
            <v>Non-proportional</v>
          </cell>
          <cell r="S34530">
            <v>-4187.09</v>
          </cell>
          <cell r="X34530" t="str">
            <v>Variation UPR - gross</v>
          </cell>
          <cell r="Y34530" t="str">
            <v>AUSTRALIA</v>
          </cell>
        </row>
        <row r="34531">
          <cell r="L34531" t="str">
            <v>Non-proportional</v>
          </cell>
          <cell r="S34531">
            <v>-3738.56</v>
          </cell>
          <cell r="X34531" t="str">
            <v>Variation UPR - gross</v>
          </cell>
          <cell r="Y34531" t="str">
            <v>AUSTRALIA</v>
          </cell>
        </row>
        <row r="34532">
          <cell r="L34532" t="str">
            <v>Non-proportional</v>
          </cell>
          <cell r="S34532">
            <v>-2953.04</v>
          </cell>
          <cell r="X34532" t="str">
            <v>Variation UPR - gross</v>
          </cell>
          <cell r="Y34532" t="str">
            <v>UNITED KINGDOM</v>
          </cell>
        </row>
        <row r="34533">
          <cell r="L34533" t="str">
            <v>Non-proportional</v>
          </cell>
          <cell r="S34533">
            <v>43238.15</v>
          </cell>
          <cell r="X34533" t="str">
            <v>Variation UPR - gross</v>
          </cell>
          <cell r="Y34533" t="str">
            <v>ISRAEL</v>
          </cell>
        </row>
        <row r="34534">
          <cell r="L34534" t="str">
            <v>Non-proportional</v>
          </cell>
          <cell r="S34534">
            <v>55012.39</v>
          </cell>
          <cell r="X34534" t="str">
            <v>Variation UPR - gross</v>
          </cell>
          <cell r="Y34534" t="str">
            <v>ITALY</v>
          </cell>
        </row>
        <row r="34535">
          <cell r="L34535" t="str">
            <v>Non-proportional</v>
          </cell>
          <cell r="S34535">
            <v>-391368.51</v>
          </cell>
          <cell r="X34535" t="str">
            <v>Variation UPR - gross</v>
          </cell>
          <cell r="Y34535" t="str">
            <v>UNITED KINGDOM</v>
          </cell>
        </row>
        <row r="34536">
          <cell r="L34536" t="str">
            <v>Non-proportional</v>
          </cell>
          <cell r="S34536">
            <v>35194.5</v>
          </cell>
          <cell r="X34536" t="str">
            <v>Variation UPR - gross</v>
          </cell>
          <cell r="Y34536" t="str">
            <v>GREECE</v>
          </cell>
        </row>
        <row r="34537">
          <cell r="L34537" t="str">
            <v>Non-proportional</v>
          </cell>
          <cell r="S34537">
            <v>23612.98</v>
          </cell>
          <cell r="X34537" t="str">
            <v>Variation UPR - gross</v>
          </cell>
          <cell r="Y34537" t="str">
            <v>CHILE</v>
          </cell>
        </row>
        <row r="34538">
          <cell r="L34538" t="str">
            <v>Non-proportional</v>
          </cell>
          <cell r="S34538">
            <v>19246.97</v>
          </cell>
          <cell r="X34538" t="str">
            <v>Variation UPR - gross</v>
          </cell>
          <cell r="Y34538" t="str">
            <v>NETHERLANDS</v>
          </cell>
        </row>
        <row r="34539">
          <cell r="L34539" t="str">
            <v>Non-proportional</v>
          </cell>
          <cell r="S34539">
            <v>31249.29</v>
          </cell>
          <cell r="X34539" t="str">
            <v>Variation UPR - gross</v>
          </cell>
          <cell r="Y34539" t="str">
            <v>EUROPE</v>
          </cell>
        </row>
        <row r="34540">
          <cell r="L34540" t="str">
            <v>Non-proportional</v>
          </cell>
          <cell r="S34540">
            <v>58019.43</v>
          </cell>
          <cell r="X34540" t="str">
            <v>Variation UPR - gross</v>
          </cell>
          <cell r="Y34540" t="str">
            <v>CYPRUS</v>
          </cell>
        </row>
        <row r="34541">
          <cell r="L34541" t="str">
            <v>Non-proportional</v>
          </cell>
          <cell r="S34541">
            <v>48680.02</v>
          </cell>
          <cell r="X34541" t="str">
            <v>Variation UPR - gross</v>
          </cell>
          <cell r="Y34541" t="str">
            <v>FRANCE</v>
          </cell>
        </row>
        <row r="34542">
          <cell r="L34542" t="str">
            <v>Non-proportional</v>
          </cell>
          <cell r="S34542">
            <v>11024955.68</v>
          </cell>
          <cell r="X34542" t="str">
            <v>Variation UPR - gross</v>
          </cell>
          <cell r="Y34542" t="str">
            <v>UNITED KINGDOM</v>
          </cell>
        </row>
        <row r="34543">
          <cell r="L34543" t="str">
            <v>Non-proportional</v>
          </cell>
          <cell r="S34543">
            <v>7009481.6600000001</v>
          </cell>
          <cell r="X34543" t="str">
            <v>Variation UPR - gross</v>
          </cell>
          <cell r="Y34543" t="str">
            <v>BELGIUM</v>
          </cell>
        </row>
        <row r="34544">
          <cell r="L34544" t="str">
            <v>Non-proportional</v>
          </cell>
          <cell r="S34544">
            <v>29553.48</v>
          </cell>
          <cell r="X34544" t="str">
            <v>Variation UPR - gross</v>
          </cell>
          <cell r="Y34544" t="str">
            <v>MALTA</v>
          </cell>
        </row>
        <row r="34545">
          <cell r="L34545" t="str">
            <v>Non-proportional</v>
          </cell>
          <cell r="S34545">
            <v>-4579.17</v>
          </cell>
          <cell r="X34545" t="str">
            <v>Variation UPR - gross</v>
          </cell>
          <cell r="Y34545" t="str">
            <v>ECUADOR</v>
          </cell>
        </row>
        <row r="34546">
          <cell r="L34546" t="str">
            <v>Non-proportional</v>
          </cell>
          <cell r="S34546">
            <v>115498.66</v>
          </cell>
          <cell r="X34546" t="str">
            <v>Variation UPR - gross</v>
          </cell>
          <cell r="Y34546" t="str">
            <v>ITALY</v>
          </cell>
        </row>
        <row r="34547">
          <cell r="L34547" t="str">
            <v>Proportional</v>
          </cell>
          <cell r="S34547">
            <v>-9907.84</v>
          </cell>
          <cell r="X34547" t="str">
            <v>Variation UPR - gross</v>
          </cell>
          <cell r="Y34547" t="str">
            <v>THAILAND</v>
          </cell>
        </row>
        <row r="34548">
          <cell r="L34548" t="str">
            <v>Non-proportional</v>
          </cell>
          <cell r="S34548">
            <v>-0.01</v>
          </cell>
          <cell r="X34548" t="str">
            <v>Variation UPR - gross</v>
          </cell>
          <cell r="Y34548" t="str">
            <v>COSTA RICA</v>
          </cell>
        </row>
        <row r="34549">
          <cell r="L34549" t="str">
            <v>Non-proportional</v>
          </cell>
          <cell r="S34549">
            <v>-0.02</v>
          </cell>
          <cell r="X34549" t="str">
            <v>Variation UPR - gross</v>
          </cell>
          <cell r="Y34549" t="str">
            <v>JAPAN</v>
          </cell>
        </row>
        <row r="34550">
          <cell r="L34550" t="str">
            <v>Non-proportional</v>
          </cell>
          <cell r="S34550">
            <v>-898.87</v>
          </cell>
          <cell r="X34550" t="str">
            <v>Variation UPR - gross</v>
          </cell>
          <cell r="Y34550" t="str">
            <v>FRANCE</v>
          </cell>
        </row>
        <row r="34551">
          <cell r="L34551" t="str">
            <v>Proportional</v>
          </cell>
          <cell r="S34551">
            <v>18.47</v>
          </cell>
          <cell r="X34551" t="str">
            <v>Variation UPR - gross</v>
          </cell>
          <cell r="Y34551" t="str">
            <v>UNITED STATES</v>
          </cell>
        </row>
        <row r="34552">
          <cell r="L34552" t="str">
            <v>Non-proportional</v>
          </cell>
          <cell r="S34552">
            <v>-6729.65</v>
          </cell>
          <cell r="X34552" t="str">
            <v>Variation UPR - gross</v>
          </cell>
          <cell r="Y34552" t="str">
            <v>AUSTRALIA</v>
          </cell>
        </row>
        <row r="34553">
          <cell r="L34553" t="str">
            <v>Non-proportional</v>
          </cell>
          <cell r="S34553">
            <v>-3844.84</v>
          </cell>
          <cell r="X34553" t="str">
            <v>Variation UPR - gross</v>
          </cell>
          <cell r="Y34553" t="str">
            <v>DOMINICAN REPUBLIC</v>
          </cell>
        </row>
        <row r="34554">
          <cell r="L34554" t="str">
            <v>Non-proportional</v>
          </cell>
          <cell r="S34554">
            <v>-465.14</v>
          </cell>
          <cell r="X34554" t="str">
            <v>Variation UPR - gross</v>
          </cell>
          <cell r="Y34554" t="str">
            <v>NEW ZEALAND</v>
          </cell>
        </row>
        <row r="34555">
          <cell r="L34555" t="str">
            <v>Non-proportional</v>
          </cell>
          <cell r="S34555">
            <v>-0.02</v>
          </cell>
          <cell r="X34555" t="str">
            <v>Variation UPR - gross</v>
          </cell>
          <cell r="Y34555" t="str">
            <v>JAPAN</v>
          </cell>
        </row>
        <row r="34556">
          <cell r="L34556" t="str">
            <v>Proportional</v>
          </cell>
          <cell r="S34556">
            <v>-2082.48</v>
          </cell>
          <cell r="X34556" t="str">
            <v>Variation UPR - gross</v>
          </cell>
          <cell r="Y34556" t="str">
            <v>THAILAND</v>
          </cell>
        </row>
        <row r="34557">
          <cell r="L34557" t="str">
            <v>Non-proportional</v>
          </cell>
          <cell r="S34557">
            <v>18701.48</v>
          </cell>
          <cell r="X34557" t="str">
            <v>Variation UPR - gross</v>
          </cell>
          <cell r="Y34557" t="str">
            <v>CHILE</v>
          </cell>
        </row>
        <row r="34558">
          <cell r="L34558" t="str">
            <v>Non-proportional</v>
          </cell>
          <cell r="S34558">
            <v>-3379.78</v>
          </cell>
          <cell r="X34558" t="str">
            <v>Variation UPR - gross</v>
          </cell>
          <cell r="Y34558" t="str">
            <v>AUSTRALIA</v>
          </cell>
        </row>
        <row r="34559">
          <cell r="L34559" t="str">
            <v>Non-proportional</v>
          </cell>
          <cell r="S34559">
            <v>58440.62</v>
          </cell>
          <cell r="X34559" t="str">
            <v>Variation UPR - gross</v>
          </cell>
          <cell r="Y34559" t="str">
            <v>NETHERLANDS</v>
          </cell>
        </row>
        <row r="34560">
          <cell r="L34560" t="str">
            <v>Non-proportional</v>
          </cell>
          <cell r="S34560">
            <v>102666.67</v>
          </cell>
          <cell r="X34560" t="str">
            <v>Variation UPR - gross</v>
          </cell>
          <cell r="Y34560" t="str">
            <v>PORTUGAL</v>
          </cell>
        </row>
        <row r="34561">
          <cell r="L34561" t="str">
            <v>Non-proportional</v>
          </cell>
          <cell r="S34561">
            <v>68143.53</v>
          </cell>
          <cell r="X34561" t="str">
            <v>Variation UPR - gross</v>
          </cell>
          <cell r="Y34561" t="str">
            <v>SINGAPORE</v>
          </cell>
        </row>
        <row r="34562">
          <cell r="L34562" t="str">
            <v>Non-proportional</v>
          </cell>
          <cell r="S34562">
            <v>-1902.41</v>
          </cell>
          <cell r="X34562" t="str">
            <v>Variation UPR - gross</v>
          </cell>
          <cell r="Y34562" t="str">
            <v>UNITED KINGDOM</v>
          </cell>
        </row>
        <row r="34563">
          <cell r="L34563" t="str">
            <v>Non-proportional</v>
          </cell>
          <cell r="S34563">
            <v>-138.07</v>
          </cell>
          <cell r="X34563" t="str">
            <v>Variation UPR - gross</v>
          </cell>
          <cell r="Y34563" t="str">
            <v>INDIA</v>
          </cell>
        </row>
        <row r="34564">
          <cell r="L34564" t="str">
            <v>Non-proportional</v>
          </cell>
          <cell r="S34564">
            <v>109072.72</v>
          </cell>
          <cell r="X34564" t="str">
            <v>Variation UPR - gross</v>
          </cell>
          <cell r="Y34564" t="str">
            <v>NETHERLANDS</v>
          </cell>
        </row>
        <row r="34565">
          <cell r="L34565" t="str">
            <v>Non-proportional</v>
          </cell>
          <cell r="S34565">
            <v>29092.33</v>
          </cell>
          <cell r="X34565" t="str">
            <v>Variation UPR - gross</v>
          </cell>
          <cell r="Y34565" t="str">
            <v>ISRAEL</v>
          </cell>
        </row>
        <row r="34566">
          <cell r="L34566" t="str">
            <v>Non-proportional</v>
          </cell>
          <cell r="S34566">
            <v>49607.21</v>
          </cell>
          <cell r="X34566" t="str">
            <v>Variation UPR - gross</v>
          </cell>
          <cell r="Y34566" t="str">
            <v>FRANCE</v>
          </cell>
        </row>
        <row r="34567">
          <cell r="L34567" t="str">
            <v>Non-proportional</v>
          </cell>
          <cell r="S34567">
            <v>109844.55</v>
          </cell>
          <cell r="X34567" t="str">
            <v>Variation UPR - gross</v>
          </cell>
          <cell r="Y34567" t="str">
            <v>FRANCE</v>
          </cell>
        </row>
        <row r="34568">
          <cell r="L34568" t="str">
            <v>Non-proportional</v>
          </cell>
          <cell r="S34568">
            <v>108.27</v>
          </cell>
          <cell r="X34568" t="str">
            <v>Variation UPR - gross</v>
          </cell>
          <cell r="Y34568" t="str">
            <v>JAPAN</v>
          </cell>
        </row>
        <row r="34569">
          <cell r="L34569" t="str">
            <v>Non-proportional</v>
          </cell>
          <cell r="S34569">
            <v>-6082.7</v>
          </cell>
          <cell r="X34569" t="str">
            <v>Variation UPR - gross</v>
          </cell>
          <cell r="Y34569" t="str">
            <v>CHILE</v>
          </cell>
        </row>
        <row r="34570">
          <cell r="L34570" t="str">
            <v>Non-proportional</v>
          </cell>
          <cell r="S34570">
            <v>74276.23</v>
          </cell>
          <cell r="X34570" t="str">
            <v>Variation UPR - gross</v>
          </cell>
          <cell r="Y34570" t="str">
            <v>THAILAND</v>
          </cell>
        </row>
        <row r="34571">
          <cell r="L34571" t="str">
            <v>Non-proportional</v>
          </cell>
          <cell r="S34571">
            <v>4186765.63</v>
          </cell>
          <cell r="X34571" t="str">
            <v>Variation UPR - gross</v>
          </cell>
          <cell r="Y34571" t="str">
            <v>UNITED KINGDOM</v>
          </cell>
        </row>
        <row r="34572">
          <cell r="L34572" t="str">
            <v>Non-proportional</v>
          </cell>
          <cell r="S34572">
            <v>72432.73</v>
          </cell>
          <cell r="X34572" t="str">
            <v>Variation UPR - gross</v>
          </cell>
          <cell r="Y34572" t="str">
            <v>ISRAEL</v>
          </cell>
        </row>
        <row r="34573">
          <cell r="L34573" t="str">
            <v>Non-proportional</v>
          </cell>
          <cell r="S34573">
            <v>60035.99</v>
          </cell>
          <cell r="X34573" t="str">
            <v>Variation UPR - gross</v>
          </cell>
          <cell r="Y34573" t="str">
            <v>ISRAEL</v>
          </cell>
        </row>
        <row r="34574">
          <cell r="L34574" t="str">
            <v>Non-proportional</v>
          </cell>
          <cell r="S34574">
            <v>15934.9</v>
          </cell>
          <cell r="X34574" t="str">
            <v>Variation UPR - gross</v>
          </cell>
          <cell r="Y34574" t="str">
            <v>UNITED ARAB EMIRATES</v>
          </cell>
        </row>
        <row r="34575">
          <cell r="L34575" t="str">
            <v>Non-proportional</v>
          </cell>
          <cell r="S34575">
            <v>149.61000000000001</v>
          </cell>
          <cell r="X34575" t="str">
            <v>Variation UPR - gross</v>
          </cell>
          <cell r="Y34575" t="str">
            <v>NEW ZEALAND</v>
          </cell>
        </row>
        <row r="34576">
          <cell r="L34576" t="str">
            <v>Proportional</v>
          </cell>
          <cell r="S34576">
            <v>49825</v>
          </cell>
          <cell r="X34576" t="str">
            <v>Variation UPR - gross</v>
          </cell>
          <cell r="Y34576" t="str">
            <v>ITALY</v>
          </cell>
        </row>
        <row r="34577">
          <cell r="L34577" t="str">
            <v>Non-proportional</v>
          </cell>
          <cell r="S34577">
            <v>-16367.49</v>
          </cell>
          <cell r="X34577" t="str">
            <v>Variation UPR - gross</v>
          </cell>
          <cell r="Y34577" t="str">
            <v>AUSTRALIA</v>
          </cell>
        </row>
        <row r="34578">
          <cell r="L34578" t="str">
            <v>Non-proportional</v>
          </cell>
          <cell r="S34578">
            <v>-3194.62</v>
          </cell>
          <cell r="X34578" t="str">
            <v>Variation UPR - gross</v>
          </cell>
          <cell r="Y34578" t="str">
            <v>DOMINICAN REPUBLIC</v>
          </cell>
        </row>
        <row r="34579">
          <cell r="L34579" t="str">
            <v>Non-proportional</v>
          </cell>
          <cell r="S34579">
            <v>160417.49</v>
          </cell>
          <cell r="X34579" t="str">
            <v>Variation UPR - gross</v>
          </cell>
          <cell r="Y34579" t="str">
            <v>EUROPE</v>
          </cell>
        </row>
        <row r="34580">
          <cell r="L34580" t="str">
            <v>Non-proportional</v>
          </cell>
          <cell r="S34580">
            <v>-1375.76</v>
          </cell>
          <cell r="X34580" t="str">
            <v>Variation UPR - gross</v>
          </cell>
          <cell r="Y34580" t="str">
            <v>AUSTRALIA</v>
          </cell>
        </row>
        <row r="34581">
          <cell r="L34581" t="str">
            <v>Non-proportional</v>
          </cell>
          <cell r="S34581">
            <v>19892.12</v>
          </cell>
          <cell r="X34581" t="str">
            <v>Variation UPR - gross</v>
          </cell>
          <cell r="Y34581" t="str">
            <v>BRAZIL</v>
          </cell>
        </row>
        <row r="34582">
          <cell r="L34582" t="str">
            <v>Non-proportional</v>
          </cell>
          <cell r="S34582">
            <v>-17664.54</v>
          </cell>
          <cell r="X34582" t="str">
            <v>Variation UPR - gross</v>
          </cell>
          <cell r="Y34582" t="str">
            <v>AUSTRALIA</v>
          </cell>
        </row>
        <row r="34583">
          <cell r="L34583" t="str">
            <v>Non-proportional</v>
          </cell>
          <cell r="S34583">
            <v>39516.61</v>
          </cell>
          <cell r="X34583" t="str">
            <v>Variation UPR - gross</v>
          </cell>
          <cell r="Y34583" t="str">
            <v>FRANCE</v>
          </cell>
        </row>
        <row r="34584">
          <cell r="L34584" t="str">
            <v>Non-proportional</v>
          </cell>
          <cell r="S34584">
            <v>501.59</v>
          </cell>
          <cell r="X34584" t="str">
            <v>Variation UPR - gross</v>
          </cell>
          <cell r="Y34584" t="str">
            <v>INDIA</v>
          </cell>
        </row>
        <row r="34585">
          <cell r="L34585" t="str">
            <v>Non-proportional</v>
          </cell>
          <cell r="S34585">
            <v>-0.01</v>
          </cell>
          <cell r="X34585" t="str">
            <v>Variation UPR - gross</v>
          </cell>
          <cell r="Y34585" t="str">
            <v>COSTA RICA</v>
          </cell>
        </row>
        <row r="34586">
          <cell r="L34586" t="str">
            <v>Non-proportional</v>
          </cell>
          <cell r="S34586">
            <v>93500</v>
          </cell>
          <cell r="X34586" t="str">
            <v>Variation UPR - gross</v>
          </cell>
          <cell r="Y34586" t="str">
            <v>ITALY</v>
          </cell>
        </row>
        <row r="34587">
          <cell r="L34587" t="str">
            <v>Non-proportional</v>
          </cell>
          <cell r="S34587">
            <v>-7552.08</v>
          </cell>
          <cell r="X34587" t="str">
            <v>Variation UPR - gross</v>
          </cell>
          <cell r="Y34587" t="str">
            <v>ROMANIA</v>
          </cell>
        </row>
        <row r="34588">
          <cell r="L34588" t="str">
            <v>Non-proportional</v>
          </cell>
          <cell r="S34588">
            <v>165472.5</v>
          </cell>
          <cell r="X34588" t="str">
            <v>Variation UPR - gross</v>
          </cell>
          <cell r="Y34588" t="str">
            <v>FRANCE</v>
          </cell>
        </row>
        <row r="34589">
          <cell r="L34589" t="str">
            <v>Non-proportional</v>
          </cell>
          <cell r="S34589">
            <v>23.58</v>
          </cell>
          <cell r="X34589" t="str">
            <v>Variation UPR - gross</v>
          </cell>
          <cell r="Y34589" t="str">
            <v>COLOMBIA</v>
          </cell>
        </row>
        <row r="34590">
          <cell r="L34590" t="str">
            <v>Non-proportional</v>
          </cell>
          <cell r="S34590">
            <v>79944.78</v>
          </cell>
          <cell r="X34590" t="str">
            <v>Variation UPR - gross</v>
          </cell>
          <cell r="Y34590" t="str">
            <v>FRANCE</v>
          </cell>
        </row>
        <row r="34591">
          <cell r="L34591" t="str">
            <v>Proportional</v>
          </cell>
          <cell r="S34591">
            <v>6900532.0599999996</v>
          </cell>
          <cell r="X34591" t="str">
            <v>Variation UPR - gross</v>
          </cell>
          <cell r="Y34591" t="str">
            <v>HONG KONG</v>
          </cell>
        </row>
        <row r="34592">
          <cell r="L34592" t="str">
            <v>Non-proportional</v>
          </cell>
          <cell r="S34592">
            <v>0.02</v>
          </cell>
          <cell r="X34592" t="str">
            <v>Variation UPR - gross</v>
          </cell>
          <cell r="Y34592" t="str">
            <v>COLOMBIA</v>
          </cell>
        </row>
        <row r="34593">
          <cell r="L34593" t="str">
            <v>Proportional</v>
          </cell>
          <cell r="S34593">
            <v>84.04</v>
          </cell>
          <cell r="X34593" t="str">
            <v>Variation UPR - gross</v>
          </cell>
          <cell r="Y34593" t="str">
            <v>Ireland</v>
          </cell>
        </row>
        <row r="34594">
          <cell r="L34594" t="str">
            <v>Non-proportional</v>
          </cell>
          <cell r="S34594">
            <v>82415.240000000005</v>
          </cell>
          <cell r="X34594" t="str">
            <v>Variation UPR - gross</v>
          </cell>
          <cell r="Y34594" t="str">
            <v>FRANCE</v>
          </cell>
        </row>
        <row r="34595">
          <cell r="L34595" t="str">
            <v>Non-proportional</v>
          </cell>
          <cell r="S34595">
            <v>-6231.22</v>
          </cell>
          <cell r="X34595" t="str">
            <v>Variation UPR - gross</v>
          </cell>
          <cell r="Y34595" t="str">
            <v>AUSTRALIA</v>
          </cell>
        </row>
        <row r="34596">
          <cell r="L34596" t="str">
            <v>Non-proportional</v>
          </cell>
          <cell r="S34596">
            <v>-5148.91</v>
          </cell>
          <cell r="X34596" t="str">
            <v>Variation UPR - gross</v>
          </cell>
          <cell r="Y34596" t="str">
            <v>PERU</v>
          </cell>
        </row>
        <row r="34597">
          <cell r="L34597" t="str">
            <v>Non-proportional</v>
          </cell>
          <cell r="S34597">
            <v>-1061.53</v>
          </cell>
          <cell r="X34597" t="str">
            <v>Variation UPR - gross</v>
          </cell>
          <cell r="Y34597" t="str">
            <v>JAPAN</v>
          </cell>
        </row>
        <row r="34598">
          <cell r="L34598" t="str">
            <v>Non-proportional</v>
          </cell>
          <cell r="S34598">
            <v>111719.2</v>
          </cell>
          <cell r="X34598" t="str">
            <v>Variation UPR - gross</v>
          </cell>
          <cell r="Y34598" t="str">
            <v>EUROPE</v>
          </cell>
        </row>
        <row r="34599">
          <cell r="L34599" t="str">
            <v>Non-proportional</v>
          </cell>
          <cell r="S34599">
            <v>-1894.48</v>
          </cell>
          <cell r="X34599" t="str">
            <v>Variation UPR - gross</v>
          </cell>
          <cell r="Y34599" t="str">
            <v>ECUADOR</v>
          </cell>
        </row>
        <row r="34600">
          <cell r="L34600" t="str">
            <v>Proportional</v>
          </cell>
          <cell r="S34600">
            <v>1138.99</v>
          </cell>
          <cell r="X34600" t="str">
            <v>Variation UPR - gross</v>
          </cell>
          <cell r="Y34600" t="str">
            <v>INDIA</v>
          </cell>
        </row>
        <row r="34601">
          <cell r="L34601" t="str">
            <v>Proportional</v>
          </cell>
          <cell r="S34601">
            <v>297953.5</v>
          </cell>
          <cell r="X34601" t="str">
            <v>Variation UPR - gross</v>
          </cell>
          <cell r="Y34601" t="str">
            <v>ITALY</v>
          </cell>
        </row>
        <row r="34602">
          <cell r="L34602" t="str">
            <v>Non-proportional</v>
          </cell>
          <cell r="S34602">
            <v>41672.19</v>
          </cell>
          <cell r="X34602" t="str">
            <v>Variation UPR - gross</v>
          </cell>
          <cell r="Y34602" t="str">
            <v>CHILE</v>
          </cell>
        </row>
        <row r="34603">
          <cell r="L34603" t="str">
            <v>Non-proportional</v>
          </cell>
          <cell r="S34603">
            <v>29280.1</v>
          </cell>
          <cell r="X34603" t="str">
            <v>Variation UPR - gross</v>
          </cell>
          <cell r="Y34603" t="str">
            <v>CHILE</v>
          </cell>
        </row>
        <row r="34604">
          <cell r="L34604" t="str">
            <v>Non-proportional</v>
          </cell>
          <cell r="S34604">
            <v>-4428.7299999999996</v>
          </cell>
          <cell r="X34604" t="str">
            <v>Variation UPR - gross</v>
          </cell>
          <cell r="Y34604" t="str">
            <v>ECUADOR</v>
          </cell>
        </row>
        <row r="34605">
          <cell r="L34605" t="str">
            <v>Non-proportional</v>
          </cell>
          <cell r="S34605">
            <v>76628.210000000006</v>
          </cell>
          <cell r="X34605" t="str">
            <v>Variation UPR - gross</v>
          </cell>
          <cell r="Y34605" t="str">
            <v>MEXICO</v>
          </cell>
        </row>
        <row r="34606">
          <cell r="L34606" t="str">
            <v>Proportional</v>
          </cell>
          <cell r="S34606">
            <v>3756483.91</v>
          </cell>
          <cell r="X34606" t="str">
            <v>Variation UPR - gross</v>
          </cell>
          <cell r="Y34606" t="str">
            <v>UNITED STATES</v>
          </cell>
        </row>
        <row r="34607">
          <cell r="L34607" t="str">
            <v>Non-proportional</v>
          </cell>
          <cell r="S34607">
            <v>83451.460000000006</v>
          </cell>
          <cell r="X34607" t="str">
            <v>Variation UPR - gross</v>
          </cell>
          <cell r="Y34607" t="str">
            <v>FRANCE</v>
          </cell>
        </row>
        <row r="34608">
          <cell r="L34608" t="str">
            <v>Non-proportional</v>
          </cell>
          <cell r="S34608">
            <v>-2452.13</v>
          </cell>
          <cell r="X34608" t="str">
            <v>Variation UPR - gross</v>
          </cell>
          <cell r="Y34608" t="str">
            <v>INDIA</v>
          </cell>
        </row>
        <row r="34609">
          <cell r="L34609" t="str">
            <v>Non-proportional</v>
          </cell>
          <cell r="S34609">
            <v>11018.75</v>
          </cell>
          <cell r="X34609" t="str">
            <v>Variation UPR - gross</v>
          </cell>
          <cell r="Y34609" t="str">
            <v>ISRAEL</v>
          </cell>
        </row>
        <row r="34610">
          <cell r="L34610" t="str">
            <v>Non-proportional</v>
          </cell>
          <cell r="S34610">
            <v>-2072.29</v>
          </cell>
          <cell r="X34610" t="str">
            <v>Variation UPR - gross</v>
          </cell>
          <cell r="Y34610" t="str">
            <v>JAPAN</v>
          </cell>
        </row>
        <row r="34611">
          <cell r="L34611" t="str">
            <v>Non-proportional</v>
          </cell>
          <cell r="S34611">
            <v>8126.67</v>
          </cell>
          <cell r="X34611" t="str">
            <v>Variation UPR - gross</v>
          </cell>
          <cell r="Y34611" t="str">
            <v>ITALY</v>
          </cell>
        </row>
        <row r="34612">
          <cell r="L34612" t="str">
            <v>Proportional</v>
          </cell>
          <cell r="S34612">
            <v>-708506.96</v>
          </cell>
          <cell r="X34612" t="str">
            <v>Variation UPR - gross</v>
          </cell>
          <cell r="Y34612" t="str">
            <v>UNITED STATES</v>
          </cell>
        </row>
        <row r="34613">
          <cell r="L34613" t="str">
            <v>Non-proportional</v>
          </cell>
          <cell r="S34613">
            <v>10578.62</v>
          </cell>
          <cell r="X34613" t="str">
            <v>Variation UPR - gross</v>
          </cell>
          <cell r="Y34613" t="str">
            <v>CHILE</v>
          </cell>
        </row>
        <row r="34614">
          <cell r="L34614" t="str">
            <v>Non-proportional</v>
          </cell>
          <cell r="S34614">
            <v>65102.75</v>
          </cell>
          <cell r="X34614" t="str">
            <v>Variation UPR - gross</v>
          </cell>
          <cell r="Y34614" t="str">
            <v>EUROPE</v>
          </cell>
        </row>
        <row r="34615">
          <cell r="L34615" t="str">
            <v>Non-proportional</v>
          </cell>
          <cell r="S34615">
            <v>21586.46</v>
          </cell>
          <cell r="X34615" t="str">
            <v>Variation UPR - gross</v>
          </cell>
          <cell r="Y34615" t="str">
            <v>ITALY</v>
          </cell>
        </row>
        <row r="34616">
          <cell r="L34616" t="str">
            <v>Non-proportional</v>
          </cell>
          <cell r="S34616">
            <v>13177.08</v>
          </cell>
          <cell r="X34616" t="str">
            <v>Variation UPR - gross</v>
          </cell>
          <cell r="Y34616" t="str">
            <v>GERMANY</v>
          </cell>
        </row>
        <row r="34617">
          <cell r="L34617" t="str">
            <v>Non-proportional</v>
          </cell>
          <cell r="S34617">
            <v>-2198.1999999999998</v>
          </cell>
          <cell r="X34617" t="str">
            <v>Variation UPR - gross</v>
          </cell>
          <cell r="Y34617" t="str">
            <v>AUSTRALIA</v>
          </cell>
        </row>
        <row r="34618">
          <cell r="L34618" t="str">
            <v>Proportional</v>
          </cell>
          <cell r="S34618">
            <v>-57061.760000000002</v>
          </cell>
          <cell r="X34618" t="str">
            <v>Variation UPR - gross</v>
          </cell>
          <cell r="Y34618" t="str">
            <v>THAILAND</v>
          </cell>
        </row>
        <row r="34619">
          <cell r="L34619" t="str">
            <v>Non-proportional</v>
          </cell>
          <cell r="S34619">
            <v>-7913.77</v>
          </cell>
          <cell r="X34619" t="str">
            <v>Variation UPR - gross</v>
          </cell>
          <cell r="Y34619" t="str">
            <v>PUERTO RICO</v>
          </cell>
        </row>
        <row r="34620">
          <cell r="L34620" t="str">
            <v>Non-proportional</v>
          </cell>
          <cell r="S34620">
            <v>-1060.4100000000001</v>
          </cell>
          <cell r="X34620" t="str">
            <v>Variation UPR - gross</v>
          </cell>
          <cell r="Y34620" t="str">
            <v>COLOMBIA</v>
          </cell>
        </row>
        <row r="34621">
          <cell r="L34621" t="str">
            <v>Non-proportional</v>
          </cell>
          <cell r="S34621">
            <v>-6761.74</v>
          </cell>
          <cell r="X34621" t="str">
            <v>Variation UPR - gross</v>
          </cell>
          <cell r="Y34621" t="str">
            <v>JAPAN</v>
          </cell>
        </row>
        <row r="34622">
          <cell r="L34622" t="str">
            <v>Non-proportional</v>
          </cell>
          <cell r="S34622">
            <v>-3157.06</v>
          </cell>
          <cell r="X34622" t="str">
            <v>Variation UPR - gross</v>
          </cell>
          <cell r="Y34622" t="str">
            <v>JAPAN</v>
          </cell>
        </row>
        <row r="34623">
          <cell r="L34623" t="str">
            <v>Non-proportional</v>
          </cell>
          <cell r="S34623">
            <v>-18057.189999999999</v>
          </cell>
          <cell r="X34623" t="str">
            <v>Variation UPR - gross</v>
          </cell>
          <cell r="Y34623" t="str">
            <v>TURKEY</v>
          </cell>
        </row>
        <row r="34624">
          <cell r="L34624" t="str">
            <v>Non-proportional</v>
          </cell>
          <cell r="S34624">
            <v>112.84</v>
          </cell>
          <cell r="X34624" t="str">
            <v>Variation UPR - gross</v>
          </cell>
          <cell r="Y34624" t="str">
            <v>DOMINICAN REPUBLIC</v>
          </cell>
        </row>
        <row r="34625">
          <cell r="L34625" t="str">
            <v>Non-proportional</v>
          </cell>
          <cell r="S34625">
            <v>-236.33</v>
          </cell>
          <cell r="X34625" t="str">
            <v>Variation UPR - gross</v>
          </cell>
          <cell r="Y34625" t="str">
            <v>TURKEY</v>
          </cell>
        </row>
        <row r="34626">
          <cell r="L34626" t="str">
            <v>Non-proportional</v>
          </cell>
          <cell r="S34626">
            <v>-655.48</v>
          </cell>
          <cell r="X34626" t="str">
            <v>Variation UPR - gross</v>
          </cell>
          <cell r="Y34626" t="str">
            <v>NEW ZEALAND</v>
          </cell>
        </row>
        <row r="34627">
          <cell r="L34627" t="str">
            <v>Non-proportional</v>
          </cell>
          <cell r="S34627">
            <v>-835.7</v>
          </cell>
          <cell r="X34627" t="str">
            <v>Variation UPR - gross</v>
          </cell>
          <cell r="Y34627" t="str">
            <v>JAPAN</v>
          </cell>
        </row>
        <row r="34628">
          <cell r="L34628" t="str">
            <v>Non-proportional</v>
          </cell>
          <cell r="S34628">
            <v>-1385.95</v>
          </cell>
          <cell r="X34628" t="str">
            <v>Variation UPR - gross</v>
          </cell>
          <cell r="Y34628" t="str">
            <v>ECUADOR</v>
          </cell>
        </row>
        <row r="34629">
          <cell r="L34629" t="str">
            <v>Proportional</v>
          </cell>
          <cell r="S34629">
            <v>1108108</v>
          </cell>
          <cell r="X34629" t="str">
            <v>Variation UPR - gross</v>
          </cell>
          <cell r="Y34629" t="str">
            <v>FRANCE</v>
          </cell>
        </row>
        <row r="34630">
          <cell r="L34630" t="str">
            <v>Non-proportional</v>
          </cell>
          <cell r="S34630">
            <v>-680.05</v>
          </cell>
          <cell r="X34630" t="str">
            <v>Variation UPR - gross</v>
          </cell>
          <cell r="Y34630" t="str">
            <v>CHILE</v>
          </cell>
        </row>
        <row r="34631">
          <cell r="L34631" t="str">
            <v>Non-proportional</v>
          </cell>
          <cell r="S34631">
            <v>-1512.05</v>
          </cell>
          <cell r="X34631" t="str">
            <v>Variation UPR - gross</v>
          </cell>
          <cell r="Y34631" t="str">
            <v>UNITED KINGDOM</v>
          </cell>
        </row>
        <row r="34632">
          <cell r="L34632" t="str">
            <v>Non-proportional</v>
          </cell>
          <cell r="S34632">
            <v>104501.54</v>
          </cell>
          <cell r="X34632" t="str">
            <v>Variation UPR - gross</v>
          </cell>
          <cell r="Y34632" t="str">
            <v>TURKEY</v>
          </cell>
        </row>
        <row r="34633">
          <cell r="L34633" t="str">
            <v>Proportional</v>
          </cell>
          <cell r="S34633">
            <v>-772.72</v>
          </cell>
          <cell r="X34633" t="str">
            <v>Variation UPR - gross</v>
          </cell>
          <cell r="Y34633" t="str">
            <v>THAILAND</v>
          </cell>
        </row>
        <row r="34634">
          <cell r="L34634" t="str">
            <v>Non-proportional</v>
          </cell>
          <cell r="S34634">
            <v>33541.67</v>
          </cell>
          <cell r="X34634" t="str">
            <v>Variation UPR - gross</v>
          </cell>
          <cell r="Y34634" t="str">
            <v>ITALY</v>
          </cell>
        </row>
        <row r="34635">
          <cell r="L34635" t="str">
            <v>Non-proportional</v>
          </cell>
          <cell r="S34635">
            <v>-1682.31</v>
          </cell>
          <cell r="X34635" t="str">
            <v>Variation UPR - gross</v>
          </cell>
          <cell r="Y34635" t="str">
            <v>AUSTRALIA</v>
          </cell>
        </row>
        <row r="34636">
          <cell r="L34636" t="str">
            <v>Non-proportional</v>
          </cell>
          <cell r="S34636">
            <v>-4580.91</v>
          </cell>
          <cell r="X34636" t="str">
            <v>Variation UPR - gross</v>
          </cell>
          <cell r="Y34636" t="str">
            <v>NEW ZEALAND</v>
          </cell>
        </row>
        <row r="34637">
          <cell r="L34637" t="str">
            <v>Non-proportional</v>
          </cell>
          <cell r="S34637">
            <v>54.5</v>
          </cell>
          <cell r="X34637" t="str">
            <v>Variation UPR - gross</v>
          </cell>
          <cell r="Y34637" t="str">
            <v>DOMINICAN REPUBLIC</v>
          </cell>
        </row>
        <row r="34638">
          <cell r="L34638" t="str">
            <v>Non-proportional</v>
          </cell>
          <cell r="S34638">
            <v>42908.77</v>
          </cell>
          <cell r="X34638" t="str">
            <v>Variation UPR - gross</v>
          </cell>
          <cell r="Y34638" t="str">
            <v>EUROPE</v>
          </cell>
        </row>
        <row r="34639">
          <cell r="L34639" t="str">
            <v>Non-proportional</v>
          </cell>
          <cell r="S34639">
            <v>55651.08</v>
          </cell>
          <cell r="X34639" t="str">
            <v>Variation UPR - gross</v>
          </cell>
          <cell r="Y34639" t="str">
            <v>CHILE</v>
          </cell>
        </row>
        <row r="34640">
          <cell r="L34640" t="str">
            <v>Non-proportional</v>
          </cell>
          <cell r="S34640">
            <v>47645.55</v>
          </cell>
          <cell r="X34640" t="str">
            <v>Variation UPR - gross</v>
          </cell>
          <cell r="Y34640" t="str">
            <v>UNITED KINGDOM</v>
          </cell>
        </row>
        <row r="34641">
          <cell r="L34641" t="str">
            <v>Non-proportional</v>
          </cell>
          <cell r="S34641">
            <v>-2760.42</v>
          </cell>
          <cell r="X34641" t="str">
            <v>Variation UPR - gross</v>
          </cell>
          <cell r="Y34641" t="str">
            <v>SOUTH KOREA</v>
          </cell>
        </row>
        <row r="34642">
          <cell r="L34642" t="str">
            <v>Non-proportional</v>
          </cell>
          <cell r="S34642">
            <v>-158830.37</v>
          </cell>
          <cell r="X34642" t="str">
            <v>Variation UPR - gross</v>
          </cell>
          <cell r="Y34642" t="str">
            <v>CHILE</v>
          </cell>
        </row>
        <row r="34643">
          <cell r="L34643" t="str">
            <v>Non-proportional</v>
          </cell>
          <cell r="S34643">
            <v>417892.67</v>
          </cell>
          <cell r="X34643" t="str">
            <v>Variation UPR - gross</v>
          </cell>
          <cell r="Y34643" t="str">
            <v>UNITED STATES</v>
          </cell>
        </row>
        <row r="34644">
          <cell r="L34644" t="str">
            <v>Non-proportional</v>
          </cell>
          <cell r="S34644">
            <v>4290</v>
          </cell>
          <cell r="X34644" t="str">
            <v>Variation UPR - gross</v>
          </cell>
          <cell r="Y34644" t="str">
            <v>ITALY</v>
          </cell>
        </row>
        <row r="34645">
          <cell r="L34645" t="str">
            <v>Proportional</v>
          </cell>
          <cell r="S34645">
            <v>-128114.04</v>
          </cell>
          <cell r="X34645" t="str">
            <v>Variation UPR - gross</v>
          </cell>
          <cell r="Y34645" t="str">
            <v>THAILAND</v>
          </cell>
        </row>
        <row r="34646">
          <cell r="L34646" t="str">
            <v>Non-proportional</v>
          </cell>
          <cell r="S34646">
            <v>-0.09</v>
          </cell>
          <cell r="X34646" t="str">
            <v>Variation UPR - gross</v>
          </cell>
          <cell r="Y34646" t="str">
            <v>TURKEY</v>
          </cell>
        </row>
        <row r="34647">
          <cell r="L34647" t="str">
            <v>Non-proportional</v>
          </cell>
          <cell r="S34647">
            <v>4624.13</v>
          </cell>
          <cell r="X34647" t="str">
            <v>Variation UPR - gross</v>
          </cell>
          <cell r="Y34647" t="str">
            <v>PORTUGAL</v>
          </cell>
        </row>
        <row r="34648">
          <cell r="L34648" t="str">
            <v>Non-proportional</v>
          </cell>
          <cell r="S34648">
            <v>35692.42</v>
          </cell>
          <cell r="X34648" t="str">
            <v>Variation UPR - gross</v>
          </cell>
          <cell r="Y34648" t="str">
            <v>FRANCE</v>
          </cell>
        </row>
        <row r="34649">
          <cell r="L34649" t="str">
            <v>Non-proportional</v>
          </cell>
          <cell r="S34649">
            <v>85.19</v>
          </cell>
          <cell r="X34649" t="str">
            <v>Variation UPR - gross</v>
          </cell>
          <cell r="Y34649" t="str">
            <v>COLOMBIA</v>
          </cell>
        </row>
        <row r="34650">
          <cell r="L34650" t="str">
            <v>Non-proportional</v>
          </cell>
          <cell r="S34650">
            <v>716.61</v>
          </cell>
          <cell r="X34650" t="str">
            <v>Variation UPR - gross</v>
          </cell>
          <cell r="Y34650" t="str">
            <v>ISRAEL</v>
          </cell>
        </row>
        <row r="34651">
          <cell r="L34651" t="str">
            <v>Non-proportional</v>
          </cell>
          <cell r="S34651">
            <v>-109910.85</v>
          </cell>
          <cell r="X34651" t="str">
            <v>Variation UPR - gross</v>
          </cell>
          <cell r="Y34651" t="str">
            <v>UNITED KINGDOM</v>
          </cell>
        </row>
        <row r="34652">
          <cell r="L34652" t="str">
            <v>Non-proportional</v>
          </cell>
          <cell r="S34652">
            <v>158664.48000000001</v>
          </cell>
          <cell r="X34652" t="str">
            <v>Variation UPR - gross</v>
          </cell>
          <cell r="Y34652" t="str">
            <v>FRANCE</v>
          </cell>
        </row>
        <row r="34653">
          <cell r="L34653" t="str">
            <v>Proportional</v>
          </cell>
          <cell r="S34653">
            <v>-930063.35999999999</v>
          </cell>
          <cell r="X34653" t="str">
            <v>Variation UPR - gross</v>
          </cell>
          <cell r="Y34653" t="str">
            <v>HONG KONG</v>
          </cell>
        </row>
        <row r="34654">
          <cell r="L34654" t="str">
            <v>Non-proportional</v>
          </cell>
          <cell r="S34654">
            <v>-5295.48</v>
          </cell>
          <cell r="X34654" t="str">
            <v>Variation UPR - gross</v>
          </cell>
          <cell r="Y34654" t="str">
            <v>PERU</v>
          </cell>
        </row>
        <row r="34655">
          <cell r="L34655" t="str">
            <v>Non-proportional</v>
          </cell>
          <cell r="S34655">
            <v>-0.02</v>
          </cell>
          <cell r="X34655" t="str">
            <v>Variation UPR - gross</v>
          </cell>
          <cell r="Y34655" t="str">
            <v>COSTA RICA</v>
          </cell>
        </row>
        <row r="34656">
          <cell r="L34656" t="str">
            <v>Non-proportional</v>
          </cell>
          <cell r="S34656">
            <v>0.01</v>
          </cell>
          <cell r="X34656" t="str">
            <v>Variation UPR - gross</v>
          </cell>
          <cell r="Y34656" t="str">
            <v>COLOMBIA</v>
          </cell>
        </row>
        <row r="34657">
          <cell r="L34657" t="str">
            <v>Non-proportional</v>
          </cell>
          <cell r="S34657">
            <v>-2179.9499999999998</v>
          </cell>
          <cell r="X34657" t="str">
            <v>Variation UPR - gross</v>
          </cell>
          <cell r="Y34657" t="str">
            <v>UNITED KINGDOM</v>
          </cell>
        </row>
        <row r="34658">
          <cell r="L34658" t="str">
            <v>Non-proportional</v>
          </cell>
          <cell r="S34658">
            <v>-4384.95</v>
          </cell>
          <cell r="X34658" t="str">
            <v>Variation UPR - gross</v>
          </cell>
          <cell r="Y34658" t="str">
            <v>DOMINICAN REPUBLIC</v>
          </cell>
        </row>
        <row r="34659">
          <cell r="L34659" t="str">
            <v>Proportional</v>
          </cell>
          <cell r="S34659">
            <v>49190.57</v>
          </cell>
          <cell r="X34659" t="str">
            <v>Variation UPR - gross</v>
          </cell>
          <cell r="Y34659" t="str">
            <v>CHILE</v>
          </cell>
        </row>
        <row r="34660">
          <cell r="L34660" t="str">
            <v>Non-proportional</v>
          </cell>
          <cell r="S34660">
            <v>61544.88</v>
          </cell>
          <cell r="X34660" t="str">
            <v>Variation UPR - gross</v>
          </cell>
          <cell r="Y34660" t="str">
            <v>CHILE</v>
          </cell>
        </row>
        <row r="34661">
          <cell r="L34661" t="str">
            <v>Non-proportional</v>
          </cell>
          <cell r="S34661">
            <v>-6202.41</v>
          </cell>
          <cell r="X34661" t="str">
            <v>Variation UPR - gross</v>
          </cell>
          <cell r="Y34661" t="str">
            <v>NEW ZEALAND</v>
          </cell>
        </row>
        <row r="34662">
          <cell r="L34662" t="str">
            <v>Non-proportional</v>
          </cell>
          <cell r="S34662">
            <v>388.14</v>
          </cell>
          <cell r="X34662" t="str">
            <v>Variation UPR - gross</v>
          </cell>
          <cell r="Y34662" t="str">
            <v>COLOMBIA</v>
          </cell>
        </row>
        <row r="34663">
          <cell r="L34663" t="str">
            <v>Non-proportional</v>
          </cell>
          <cell r="S34663">
            <v>69351.740000000005</v>
          </cell>
          <cell r="X34663" t="str">
            <v>Variation UPR - gross</v>
          </cell>
          <cell r="Y34663" t="str">
            <v>ITALY</v>
          </cell>
        </row>
        <row r="34664">
          <cell r="L34664" t="str">
            <v>Non-proportional</v>
          </cell>
          <cell r="S34664">
            <v>34853.93</v>
          </cell>
          <cell r="X34664" t="str">
            <v>Variation UPR - gross</v>
          </cell>
          <cell r="Y34664" t="str">
            <v>THAILAND</v>
          </cell>
        </row>
        <row r="34665">
          <cell r="L34665" t="str">
            <v>Non-proportional</v>
          </cell>
          <cell r="S34665">
            <v>-14206.78</v>
          </cell>
          <cell r="X34665" t="str">
            <v>Variation UPR - gross</v>
          </cell>
          <cell r="Y34665" t="str">
            <v>AUSTRALIA</v>
          </cell>
        </row>
        <row r="34666">
          <cell r="L34666" t="str">
            <v>Non-proportional</v>
          </cell>
          <cell r="S34666">
            <v>-1641.64</v>
          </cell>
          <cell r="X34666" t="str">
            <v>Variation UPR - gross</v>
          </cell>
          <cell r="Y34666" t="str">
            <v>COLOMBIA</v>
          </cell>
        </row>
        <row r="34667">
          <cell r="L34667" t="str">
            <v>Non-proportional</v>
          </cell>
          <cell r="S34667">
            <v>26866.95</v>
          </cell>
          <cell r="X34667" t="str">
            <v>Variation UPR - gross</v>
          </cell>
          <cell r="Y34667" t="str">
            <v>CYPRUS</v>
          </cell>
        </row>
        <row r="34668">
          <cell r="L34668" t="str">
            <v>Non-proportional</v>
          </cell>
          <cell r="S34668">
            <v>-75.56</v>
          </cell>
          <cell r="X34668" t="str">
            <v>Variation UPR - gross</v>
          </cell>
          <cell r="Y34668" t="str">
            <v>CHILE</v>
          </cell>
        </row>
        <row r="34669">
          <cell r="L34669" t="str">
            <v>Proportional</v>
          </cell>
          <cell r="S34669">
            <v>-20941.91</v>
          </cell>
          <cell r="X34669" t="str">
            <v>Variation UPR - gross</v>
          </cell>
          <cell r="Y34669" t="str">
            <v>THAILAND</v>
          </cell>
        </row>
        <row r="34670">
          <cell r="L34670" t="str">
            <v>Non-proportional</v>
          </cell>
          <cell r="S34670">
            <v>60162.13</v>
          </cell>
          <cell r="X34670" t="str">
            <v>Variation UPR - gross</v>
          </cell>
          <cell r="Y34670" t="str">
            <v>ISRAEL</v>
          </cell>
        </row>
        <row r="34671">
          <cell r="L34671" t="str">
            <v>Non-proportional</v>
          </cell>
          <cell r="S34671">
            <v>-14388.59</v>
          </cell>
          <cell r="X34671" t="str">
            <v>Variation UPR - gross</v>
          </cell>
          <cell r="Y34671" t="str">
            <v>MEXICO</v>
          </cell>
        </row>
        <row r="34672">
          <cell r="L34672" t="str">
            <v>Non-proportional</v>
          </cell>
          <cell r="S34672">
            <v>-0.04</v>
          </cell>
          <cell r="X34672" t="str">
            <v>Variation UPR - gross</v>
          </cell>
          <cell r="Y34672" t="str">
            <v>DOMINICAN REPUBLIC</v>
          </cell>
        </row>
        <row r="34673">
          <cell r="L34673" t="str">
            <v>Non-proportional</v>
          </cell>
          <cell r="S34673">
            <v>36093.75</v>
          </cell>
          <cell r="X34673" t="str">
            <v>Variation UPR - gross</v>
          </cell>
          <cell r="Y34673" t="str">
            <v>ITALY</v>
          </cell>
        </row>
        <row r="34674">
          <cell r="L34674" t="str">
            <v>Non-proportional</v>
          </cell>
          <cell r="S34674">
            <v>76536.17</v>
          </cell>
          <cell r="X34674" t="str">
            <v>Variation UPR - gross</v>
          </cell>
          <cell r="Y34674" t="str">
            <v>ITALY</v>
          </cell>
        </row>
        <row r="34675">
          <cell r="L34675" t="str">
            <v>Non-proportional</v>
          </cell>
          <cell r="S34675">
            <v>-100.74</v>
          </cell>
          <cell r="X34675" t="str">
            <v>Variation UPR - gross</v>
          </cell>
          <cell r="Y34675" t="str">
            <v>JAPAN</v>
          </cell>
        </row>
        <row r="34676">
          <cell r="L34676" t="str">
            <v>Non-proportional</v>
          </cell>
          <cell r="S34676">
            <v>-57.23</v>
          </cell>
          <cell r="X34676" t="str">
            <v>Variation UPR - gross</v>
          </cell>
          <cell r="Y34676" t="str">
            <v>JAPAN</v>
          </cell>
        </row>
        <row r="34677">
          <cell r="L34677" t="str">
            <v>Non-proportional</v>
          </cell>
          <cell r="S34677">
            <v>23.53</v>
          </cell>
          <cell r="X34677" t="str">
            <v>Variation UPR - gross</v>
          </cell>
          <cell r="Y34677" t="str">
            <v>NEW ZEALAND</v>
          </cell>
        </row>
        <row r="34678">
          <cell r="L34678" t="str">
            <v>Proportional</v>
          </cell>
          <cell r="S34678">
            <v>22458333.329999998</v>
          </cell>
          <cell r="X34678" t="str">
            <v>Variation UPR - gross</v>
          </cell>
          <cell r="Y34678" t="str">
            <v>PORTUGAL</v>
          </cell>
        </row>
        <row r="34679">
          <cell r="L34679" t="str">
            <v>Non-proportional</v>
          </cell>
          <cell r="S34679">
            <v>1521303.67</v>
          </cell>
          <cell r="X34679" t="str">
            <v>Variation UPR - gross</v>
          </cell>
          <cell r="Y34679" t="str">
            <v>PORTUGAL</v>
          </cell>
        </row>
        <row r="34680">
          <cell r="L34680" t="str">
            <v>Non-proportional</v>
          </cell>
          <cell r="S34680">
            <v>-493.07</v>
          </cell>
          <cell r="X34680" t="str">
            <v>Variation UPR - gross</v>
          </cell>
          <cell r="Y34680" t="str">
            <v>INDIA</v>
          </cell>
        </row>
        <row r="34681">
          <cell r="L34681" t="str">
            <v>Non-proportional</v>
          </cell>
          <cell r="S34681">
            <v>-7615.78</v>
          </cell>
          <cell r="X34681" t="str">
            <v>Variation UPR - gross</v>
          </cell>
          <cell r="Y34681" t="str">
            <v>COLOMBIA</v>
          </cell>
        </row>
        <row r="34682">
          <cell r="L34682" t="str">
            <v>Non-proportional</v>
          </cell>
          <cell r="S34682">
            <v>-3796.31</v>
          </cell>
          <cell r="X34682" t="str">
            <v>Variation UPR - gross</v>
          </cell>
          <cell r="Y34682" t="str">
            <v>COLOMBIA</v>
          </cell>
        </row>
        <row r="34683">
          <cell r="L34683" t="str">
            <v>Proportional</v>
          </cell>
          <cell r="S34683">
            <v>60221</v>
          </cell>
          <cell r="X34683" t="str">
            <v>Variation UPR - gross</v>
          </cell>
          <cell r="Y34683" t="str">
            <v>ITALY</v>
          </cell>
        </row>
        <row r="34684">
          <cell r="L34684" t="str">
            <v>Non-proportional</v>
          </cell>
          <cell r="S34684">
            <v>448798.84</v>
          </cell>
          <cell r="X34684" t="str">
            <v>Variation UPR - gross</v>
          </cell>
          <cell r="Y34684" t="str">
            <v>TURKEY</v>
          </cell>
        </row>
        <row r="34685">
          <cell r="L34685" t="str">
            <v>Non-proportional</v>
          </cell>
          <cell r="S34685">
            <v>13350.05</v>
          </cell>
          <cell r="X34685" t="str">
            <v>Variation UPR - gross</v>
          </cell>
          <cell r="Y34685" t="str">
            <v>COSTA RICA</v>
          </cell>
        </row>
        <row r="34686">
          <cell r="L34686" t="str">
            <v>Non-proportional</v>
          </cell>
          <cell r="S34686">
            <v>5981.25</v>
          </cell>
          <cell r="X34686" t="str">
            <v>Variation UPR - gross</v>
          </cell>
          <cell r="Y34686" t="str">
            <v>GREECE</v>
          </cell>
        </row>
        <row r="34687">
          <cell r="L34687" t="str">
            <v>Non-proportional</v>
          </cell>
          <cell r="S34687">
            <v>12578.13</v>
          </cell>
          <cell r="X34687" t="str">
            <v>Variation UPR - gross</v>
          </cell>
          <cell r="Y34687" t="str">
            <v>ITALY</v>
          </cell>
        </row>
        <row r="34688">
          <cell r="L34688" t="str">
            <v>Non-proportional</v>
          </cell>
          <cell r="S34688">
            <v>-1514.08</v>
          </cell>
          <cell r="X34688" t="str">
            <v>Variation UPR - gross</v>
          </cell>
          <cell r="Y34688" t="str">
            <v>AUSTRALIA</v>
          </cell>
        </row>
        <row r="34689">
          <cell r="L34689" t="str">
            <v>Non-proportional</v>
          </cell>
          <cell r="S34689">
            <v>132131.49</v>
          </cell>
          <cell r="X34689" t="str">
            <v>Variation UPR - gross</v>
          </cell>
          <cell r="Y34689" t="str">
            <v>FRANCE</v>
          </cell>
        </row>
        <row r="34690">
          <cell r="L34690" t="str">
            <v>Non-proportional</v>
          </cell>
          <cell r="S34690">
            <v>-1025.32</v>
          </cell>
          <cell r="X34690" t="str">
            <v>Variation UPR - gross</v>
          </cell>
          <cell r="Y34690" t="str">
            <v>DOMINICAN REPUBLIC</v>
          </cell>
        </row>
        <row r="34691">
          <cell r="L34691" t="str">
            <v>Non-proportional</v>
          </cell>
          <cell r="S34691">
            <v>-3475.43</v>
          </cell>
          <cell r="X34691" t="str">
            <v>Variation UPR - gross</v>
          </cell>
          <cell r="Y34691" t="str">
            <v>ECUADOR</v>
          </cell>
        </row>
        <row r="34692">
          <cell r="L34692" t="str">
            <v>Non-proportional</v>
          </cell>
          <cell r="S34692">
            <v>80766.34</v>
          </cell>
          <cell r="X34692" t="str">
            <v>Variation UPR - gross</v>
          </cell>
          <cell r="Y34692" t="str">
            <v>FRANCE</v>
          </cell>
        </row>
        <row r="34693">
          <cell r="L34693" t="str">
            <v>Non-proportional</v>
          </cell>
          <cell r="S34693">
            <v>-10312.5</v>
          </cell>
          <cell r="X34693" t="str">
            <v>Variation UPR - gross</v>
          </cell>
          <cell r="Y34693" t="str">
            <v>ROMANIA</v>
          </cell>
        </row>
        <row r="34694">
          <cell r="L34694" t="str">
            <v>Non-proportional</v>
          </cell>
          <cell r="S34694">
            <v>-0.06</v>
          </cell>
          <cell r="X34694" t="str">
            <v>Variation UPR - gross</v>
          </cell>
          <cell r="Y34694" t="str">
            <v>DOMINICAN REPUBLIC</v>
          </cell>
        </row>
        <row r="34695">
          <cell r="L34695" t="str">
            <v>Non-proportional</v>
          </cell>
          <cell r="S34695">
            <v>992200</v>
          </cell>
          <cell r="X34695" t="str">
            <v>Variation UPR - gross</v>
          </cell>
          <cell r="Y34695" t="str">
            <v>EUROPE</v>
          </cell>
        </row>
        <row r="34696">
          <cell r="L34696" t="str">
            <v>Non-proportional</v>
          </cell>
          <cell r="S34696">
            <v>43089.93</v>
          </cell>
          <cell r="X34696" t="str">
            <v>Variation UPR - gross</v>
          </cell>
          <cell r="Y34696" t="str">
            <v>ITALY</v>
          </cell>
        </row>
        <row r="34697">
          <cell r="L34697" t="str">
            <v>Non-proportional</v>
          </cell>
          <cell r="S34697">
            <v>124.69</v>
          </cell>
          <cell r="X34697" t="str">
            <v>Variation UPR - gross</v>
          </cell>
          <cell r="Y34697" t="str">
            <v>JAPAN</v>
          </cell>
        </row>
        <row r="34698">
          <cell r="L34698" t="str">
            <v>Non-proportional</v>
          </cell>
          <cell r="S34698">
            <v>394.57</v>
          </cell>
          <cell r="X34698" t="str">
            <v>Variation UPR - gross</v>
          </cell>
          <cell r="Y34698" t="str">
            <v>ISRAEL</v>
          </cell>
        </row>
        <row r="34699">
          <cell r="L34699" t="str">
            <v>Non-proportional</v>
          </cell>
          <cell r="S34699">
            <v>-16146.55</v>
          </cell>
          <cell r="X34699" t="str">
            <v>Variation UPR - gross</v>
          </cell>
          <cell r="Y34699" t="str">
            <v>UNITED KINGDOM</v>
          </cell>
        </row>
        <row r="34700">
          <cell r="L34700" t="str">
            <v>Non-proportional</v>
          </cell>
          <cell r="S34700">
            <v>139311.03</v>
          </cell>
          <cell r="X34700" t="str">
            <v>Variation UPR - gross</v>
          </cell>
          <cell r="Y34700" t="str">
            <v>FRANCE</v>
          </cell>
        </row>
        <row r="34701">
          <cell r="L34701" t="str">
            <v>Non-proportional</v>
          </cell>
          <cell r="S34701">
            <v>46566.67</v>
          </cell>
          <cell r="X34701" t="str">
            <v>Variation UPR - gross</v>
          </cell>
          <cell r="Y34701" t="str">
            <v>FRANCE</v>
          </cell>
        </row>
        <row r="34702">
          <cell r="L34702" t="str">
            <v>Non-proportional</v>
          </cell>
          <cell r="S34702">
            <v>100524.9</v>
          </cell>
          <cell r="X34702" t="str">
            <v>Variation UPR - gross</v>
          </cell>
          <cell r="Y34702" t="str">
            <v>PERU</v>
          </cell>
        </row>
        <row r="34703">
          <cell r="L34703" t="str">
            <v>Non-proportional</v>
          </cell>
          <cell r="S34703">
            <v>51331.5</v>
          </cell>
          <cell r="X34703" t="str">
            <v>Variation UPR - gross</v>
          </cell>
          <cell r="Y34703" t="str">
            <v>TURKEY</v>
          </cell>
        </row>
        <row r="34704">
          <cell r="L34704" t="str">
            <v>Proportional</v>
          </cell>
          <cell r="S34704">
            <v>249274.73</v>
          </cell>
          <cell r="X34704" t="str">
            <v>Variation UPR - gross</v>
          </cell>
          <cell r="Y34704" t="str">
            <v>THAILAND</v>
          </cell>
        </row>
        <row r="34705">
          <cell r="L34705" t="str">
            <v>Non-proportional</v>
          </cell>
          <cell r="S34705">
            <v>20.7</v>
          </cell>
          <cell r="X34705" t="str">
            <v>Variation UPR - gross</v>
          </cell>
          <cell r="Y34705" t="str">
            <v>COLOMBIA</v>
          </cell>
        </row>
        <row r="34706">
          <cell r="L34706" t="str">
            <v>Non-proportional</v>
          </cell>
          <cell r="S34706">
            <v>61447.3</v>
          </cell>
          <cell r="X34706" t="str">
            <v>Variation UPR - gross</v>
          </cell>
          <cell r="Y34706" t="str">
            <v>ISRAEL</v>
          </cell>
        </row>
        <row r="34707">
          <cell r="L34707" t="str">
            <v>Non-proportional</v>
          </cell>
          <cell r="S34707">
            <v>-146.28</v>
          </cell>
          <cell r="X34707" t="str">
            <v>Variation UPR - gross</v>
          </cell>
          <cell r="Y34707" t="str">
            <v>FRANCE</v>
          </cell>
        </row>
        <row r="34708">
          <cell r="L34708" t="str">
            <v>Non-proportional</v>
          </cell>
          <cell r="S34708">
            <v>17029.2</v>
          </cell>
          <cell r="X34708" t="str">
            <v>Variation UPR - gross</v>
          </cell>
          <cell r="Y34708" t="str">
            <v>FRANCE</v>
          </cell>
        </row>
        <row r="34709">
          <cell r="L34709" t="str">
            <v>Non-proportional</v>
          </cell>
          <cell r="S34709">
            <v>-599.39</v>
          </cell>
          <cell r="X34709" t="str">
            <v>Variation UPR - gross</v>
          </cell>
          <cell r="Y34709" t="str">
            <v>AUSTRALIA</v>
          </cell>
        </row>
        <row r="34710">
          <cell r="L34710" t="str">
            <v>Non-proportional</v>
          </cell>
          <cell r="S34710">
            <v>-3242.9</v>
          </cell>
          <cell r="X34710" t="str">
            <v>Variation UPR - gross</v>
          </cell>
          <cell r="Y34710" t="str">
            <v>UNITED KINGDOM</v>
          </cell>
        </row>
        <row r="34711">
          <cell r="L34711" t="str">
            <v>Non-proportional</v>
          </cell>
          <cell r="S34711">
            <v>64.87</v>
          </cell>
          <cell r="X34711" t="str">
            <v>Variation UPR - gross</v>
          </cell>
          <cell r="Y34711" t="str">
            <v>DOMINICAN REPUBLIC</v>
          </cell>
        </row>
        <row r="34712">
          <cell r="L34712" t="str">
            <v>Non-proportional</v>
          </cell>
          <cell r="S34712">
            <v>46623.18</v>
          </cell>
          <cell r="X34712" t="str">
            <v>Variation UPR - gross</v>
          </cell>
          <cell r="Y34712" t="str">
            <v>FRANCE</v>
          </cell>
        </row>
        <row r="34713">
          <cell r="L34713" t="str">
            <v>Non-proportional</v>
          </cell>
          <cell r="S34713">
            <v>204429.92</v>
          </cell>
          <cell r="X34713" t="str">
            <v>Variation UPR - gross</v>
          </cell>
          <cell r="Y34713" t="str">
            <v>MEXICO</v>
          </cell>
        </row>
        <row r="34714">
          <cell r="L34714" t="str">
            <v>Non-proportional</v>
          </cell>
          <cell r="S34714">
            <v>71500</v>
          </cell>
          <cell r="X34714" t="str">
            <v>Variation UPR - gross</v>
          </cell>
          <cell r="Y34714" t="str">
            <v>FRANCE</v>
          </cell>
        </row>
        <row r="34715">
          <cell r="L34715" t="str">
            <v>Non-proportional</v>
          </cell>
          <cell r="S34715">
            <v>-6590.35</v>
          </cell>
          <cell r="X34715" t="str">
            <v>Variation UPR - gross</v>
          </cell>
          <cell r="Y34715" t="str">
            <v>UNITED KINGDOM</v>
          </cell>
        </row>
        <row r="34716">
          <cell r="L34716" t="str">
            <v>Non-proportional</v>
          </cell>
          <cell r="S34716">
            <v>-374.37</v>
          </cell>
          <cell r="X34716" t="str">
            <v>Variation UPR - gross</v>
          </cell>
          <cell r="Y34716" t="str">
            <v>INDIA</v>
          </cell>
        </row>
        <row r="34717">
          <cell r="L34717" t="str">
            <v>Non-proportional</v>
          </cell>
          <cell r="S34717">
            <v>-8635.65</v>
          </cell>
          <cell r="X34717" t="str">
            <v>Variation UPR - gross</v>
          </cell>
          <cell r="Y34717" t="str">
            <v>AUSTRALIA</v>
          </cell>
        </row>
        <row r="34718">
          <cell r="L34718" t="str">
            <v>Non-proportional</v>
          </cell>
          <cell r="S34718">
            <v>44189.63</v>
          </cell>
          <cell r="X34718" t="str">
            <v>Variation UPR - gross</v>
          </cell>
          <cell r="Y34718" t="str">
            <v>THAILAND</v>
          </cell>
        </row>
        <row r="34719">
          <cell r="L34719" t="str">
            <v>Non-proportional</v>
          </cell>
          <cell r="S34719">
            <v>22329.01</v>
          </cell>
          <cell r="X34719" t="str">
            <v>Variation UPR - gross</v>
          </cell>
          <cell r="Y34719" t="str">
            <v>CYPRUS</v>
          </cell>
        </row>
        <row r="34720">
          <cell r="L34720" t="str">
            <v>Non-proportional</v>
          </cell>
          <cell r="S34720">
            <v>-3012.85</v>
          </cell>
          <cell r="X34720" t="str">
            <v>Variation UPR - gross</v>
          </cell>
          <cell r="Y34720" t="str">
            <v>INDIA</v>
          </cell>
        </row>
        <row r="34721">
          <cell r="L34721" t="str">
            <v>Non-proportional</v>
          </cell>
          <cell r="S34721">
            <v>12.98</v>
          </cell>
          <cell r="X34721" t="str">
            <v>Variation UPR - gross</v>
          </cell>
          <cell r="Y34721" t="str">
            <v>INDIA</v>
          </cell>
        </row>
        <row r="34722">
          <cell r="L34722" t="str">
            <v>Non-proportional</v>
          </cell>
          <cell r="S34722">
            <v>1428056.67</v>
          </cell>
          <cell r="X34722" t="str">
            <v>Variation UPR - gross</v>
          </cell>
          <cell r="Y34722" t="str">
            <v>PORTUGAL</v>
          </cell>
        </row>
        <row r="34723">
          <cell r="L34723" t="str">
            <v>Non-proportional</v>
          </cell>
          <cell r="S34723">
            <v>-0.08</v>
          </cell>
          <cell r="X34723" t="str">
            <v>Variation UPR - gross</v>
          </cell>
          <cell r="Y34723" t="str">
            <v>COLOMBIA</v>
          </cell>
        </row>
        <row r="34724">
          <cell r="L34724" t="str">
            <v>Proportional</v>
          </cell>
          <cell r="S34724">
            <v>-10819.87</v>
          </cell>
          <cell r="X34724" t="str">
            <v>Variation UPR - gross</v>
          </cell>
          <cell r="Y34724" t="str">
            <v>HONG KONG</v>
          </cell>
        </row>
        <row r="34725">
          <cell r="L34725" t="str">
            <v>Non-proportional</v>
          </cell>
          <cell r="S34725">
            <v>24062.5</v>
          </cell>
          <cell r="X34725" t="str">
            <v>Variation UPR - gross</v>
          </cell>
          <cell r="Y34725" t="str">
            <v>GERMANY</v>
          </cell>
        </row>
        <row r="34726">
          <cell r="L34726" t="str">
            <v>Non-proportional</v>
          </cell>
          <cell r="S34726">
            <v>161.07</v>
          </cell>
          <cell r="X34726" t="str">
            <v>Variation UPR - gross</v>
          </cell>
          <cell r="Y34726" t="str">
            <v>DOMINICAN REPUBLIC</v>
          </cell>
        </row>
        <row r="34727">
          <cell r="L34727" t="str">
            <v>Proportional</v>
          </cell>
          <cell r="S34727">
            <v>-40746.82</v>
          </cell>
          <cell r="X34727" t="str">
            <v>Variation UPR - gross</v>
          </cell>
          <cell r="Y34727" t="str">
            <v>THAILAND</v>
          </cell>
        </row>
        <row r="34728">
          <cell r="L34728" t="str">
            <v>Non-proportional</v>
          </cell>
          <cell r="S34728">
            <v>22.01</v>
          </cell>
          <cell r="X34728" t="str">
            <v>Variation UPR - gross</v>
          </cell>
          <cell r="Y34728" t="str">
            <v>JAPAN</v>
          </cell>
        </row>
        <row r="34729">
          <cell r="L34729" t="str">
            <v>Non-proportional</v>
          </cell>
          <cell r="S34729">
            <v>-0.01</v>
          </cell>
          <cell r="X34729" t="str">
            <v>Variation UPR - gross</v>
          </cell>
          <cell r="Y34729" t="str">
            <v>JAPAN</v>
          </cell>
        </row>
        <row r="34730">
          <cell r="L34730" t="str">
            <v>Non-proportional</v>
          </cell>
          <cell r="S34730">
            <v>23.53</v>
          </cell>
          <cell r="X34730" t="str">
            <v>Variation UPR - gross</v>
          </cell>
          <cell r="Y34730" t="str">
            <v>NEW ZEALAND</v>
          </cell>
        </row>
        <row r="34731">
          <cell r="L34731" t="str">
            <v>Non-proportional</v>
          </cell>
          <cell r="S34731">
            <v>-26996.31</v>
          </cell>
          <cell r="X34731" t="str">
            <v>Variation UPR - gross</v>
          </cell>
          <cell r="Y34731" t="str">
            <v>UNITED KINGDOM</v>
          </cell>
        </row>
        <row r="34732">
          <cell r="L34732" t="str">
            <v>Non-proportional</v>
          </cell>
          <cell r="S34732">
            <v>-6866.34</v>
          </cell>
          <cell r="X34732" t="str">
            <v>Variation UPR - gross</v>
          </cell>
          <cell r="Y34732" t="str">
            <v>DOMINICAN REPUBLIC</v>
          </cell>
        </row>
        <row r="34733">
          <cell r="L34733" t="str">
            <v>Non-proportional</v>
          </cell>
          <cell r="S34733">
            <v>-5185.96</v>
          </cell>
          <cell r="X34733" t="str">
            <v>Variation UPR - gross</v>
          </cell>
          <cell r="Y34733" t="str">
            <v>JAPAN</v>
          </cell>
        </row>
        <row r="34734">
          <cell r="L34734" t="str">
            <v>Non-proportional</v>
          </cell>
          <cell r="S34734">
            <v>35968.71</v>
          </cell>
          <cell r="X34734" t="str">
            <v>Variation UPR - gross</v>
          </cell>
          <cell r="Y34734" t="str">
            <v>ISRAEL</v>
          </cell>
        </row>
        <row r="34735">
          <cell r="L34735" t="str">
            <v>Non-proportional</v>
          </cell>
          <cell r="S34735">
            <v>-2266.85</v>
          </cell>
          <cell r="X34735" t="str">
            <v>Variation UPR - gross</v>
          </cell>
          <cell r="Y34735" t="str">
            <v>CHILE</v>
          </cell>
        </row>
        <row r="34736">
          <cell r="L34736" t="str">
            <v>Non-proportional</v>
          </cell>
          <cell r="S34736">
            <v>200.06</v>
          </cell>
          <cell r="X34736" t="str">
            <v>Variation UPR - gross</v>
          </cell>
          <cell r="Y34736" t="str">
            <v>JAPAN</v>
          </cell>
        </row>
        <row r="34737">
          <cell r="L34737" t="str">
            <v>Non-proportional</v>
          </cell>
          <cell r="S34737">
            <v>41249.370000000003</v>
          </cell>
          <cell r="X34737" t="str">
            <v>Variation UPR - gross</v>
          </cell>
          <cell r="Y34737" t="str">
            <v>EUROPE</v>
          </cell>
        </row>
        <row r="34738">
          <cell r="L34738" t="str">
            <v>Proportional</v>
          </cell>
          <cell r="S34738">
            <v>-2899.25</v>
          </cell>
          <cell r="X34738" t="str">
            <v>Variation UPR - gross</v>
          </cell>
          <cell r="Y34738" t="str">
            <v>THAILAND</v>
          </cell>
        </row>
        <row r="34739">
          <cell r="L34739" t="str">
            <v>Non-proportional</v>
          </cell>
          <cell r="S34739">
            <v>-1989.83</v>
          </cell>
          <cell r="X34739" t="str">
            <v>Variation UPR - gross</v>
          </cell>
          <cell r="Y34739" t="str">
            <v>JAPAN</v>
          </cell>
        </row>
        <row r="34740">
          <cell r="L34740" t="str">
            <v>Proportional</v>
          </cell>
          <cell r="S34740">
            <v>-150540.24</v>
          </cell>
          <cell r="X34740" t="str">
            <v>Variation UPR - gross</v>
          </cell>
          <cell r="Y34740" t="str">
            <v>JAPAN</v>
          </cell>
        </row>
        <row r="34741">
          <cell r="L34741" t="str">
            <v>Non-proportional</v>
          </cell>
          <cell r="S34741">
            <v>-903.96</v>
          </cell>
          <cell r="X34741" t="str">
            <v>Variation UPR - gross</v>
          </cell>
          <cell r="Y34741" t="str">
            <v>PERU</v>
          </cell>
        </row>
        <row r="34742">
          <cell r="L34742" t="str">
            <v>Non-proportional</v>
          </cell>
          <cell r="S34742">
            <v>40820.14</v>
          </cell>
          <cell r="X34742" t="str">
            <v>Variation UPR - gross</v>
          </cell>
          <cell r="Y34742" t="str">
            <v>ISRAEL</v>
          </cell>
        </row>
        <row r="34743">
          <cell r="L34743" t="str">
            <v>Non-proportional</v>
          </cell>
          <cell r="S34743">
            <v>-5364.87</v>
          </cell>
          <cell r="X34743" t="str">
            <v>Variation UPR - gross</v>
          </cell>
          <cell r="Y34743" t="str">
            <v>CHILE</v>
          </cell>
        </row>
        <row r="34744">
          <cell r="L34744" t="str">
            <v>Non-proportional</v>
          </cell>
          <cell r="S34744">
            <v>-12505.44</v>
          </cell>
          <cell r="X34744" t="str">
            <v>Variation UPR - gross</v>
          </cell>
          <cell r="Y34744" t="str">
            <v>CHILE</v>
          </cell>
        </row>
        <row r="34745">
          <cell r="L34745" t="str">
            <v>Non-proportional</v>
          </cell>
          <cell r="S34745">
            <v>-8645</v>
          </cell>
          <cell r="X34745" t="str">
            <v>Variation UPR - gross</v>
          </cell>
          <cell r="Y34745" t="str">
            <v>MEXICO</v>
          </cell>
        </row>
        <row r="34746">
          <cell r="L34746" t="str">
            <v>Non-proportional</v>
          </cell>
          <cell r="S34746">
            <v>-16308.61</v>
          </cell>
          <cell r="X34746" t="str">
            <v>Variation UPR - gross</v>
          </cell>
          <cell r="Y34746" t="str">
            <v>UNITED KINGDOM</v>
          </cell>
        </row>
        <row r="34747">
          <cell r="L34747" t="str">
            <v>Proportional</v>
          </cell>
          <cell r="S34747">
            <v>-1043.8</v>
          </cell>
          <cell r="X34747" t="str">
            <v>Variation UPR - gross</v>
          </cell>
          <cell r="Y34747" t="str">
            <v>THAILAND</v>
          </cell>
        </row>
        <row r="34748">
          <cell r="L34748" t="str">
            <v>Non-proportional</v>
          </cell>
          <cell r="S34748">
            <v>440000</v>
          </cell>
          <cell r="X34748" t="str">
            <v>Variation UPR - gross</v>
          </cell>
          <cell r="Y34748" t="str">
            <v>PORTUGAL</v>
          </cell>
        </row>
        <row r="34749">
          <cell r="L34749" t="str">
            <v>Non-proportional</v>
          </cell>
          <cell r="S34749">
            <v>-10488.37</v>
          </cell>
          <cell r="X34749" t="str">
            <v>Variation UPR - gross</v>
          </cell>
          <cell r="Y34749" t="str">
            <v>MEXICO</v>
          </cell>
        </row>
        <row r="34750">
          <cell r="L34750" t="str">
            <v>Non-proportional</v>
          </cell>
          <cell r="S34750">
            <v>515511.35</v>
          </cell>
          <cell r="X34750" t="str">
            <v>Variation UPR - gross</v>
          </cell>
          <cell r="Y34750" t="str">
            <v>FRANCE</v>
          </cell>
        </row>
        <row r="34751">
          <cell r="L34751" t="str">
            <v>Non-proportional</v>
          </cell>
          <cell r="S34751">
            <v>761.86</v>
          </cell>
          <cell r="X34751" t="str">
            <v>Variation UPR - gross</v>
          </cell>
          <cell r="Y34751" t="str">
            <v>ISRAEL</v>
          </cell>
        </row>
        <row r="34752">
          <cell r="L34752" t="str">
            <v>Non-proportional</v>
          </cell>
          <cell r="S34752">
            <v>-14872.33</v>
          </cell>
          <cell r="X34752" t="str">
            <v>Variation UPR - gross</v>
          </cell>
          <cell r="Y34752" t="str">
            <v>INDIA</v>
          </cell>
        </row>
        <row r="34753">
          <cell r="L34753" t="str">
            <v>Non-proportional</v>
          </cell>
          <cell r="S34753">
            <v>169875.21</v>
          </cell>
          <cell r="X34753" t="str">
            <v>Variation UPR - gross</v>
          </cell>
          <cell r="Y34753" t="str">
            <v>ISRAEL</v>
          </cell>
        </row>
        <row r="34754">
          <cell r="L34754" t="str">
            <v>Non-proportional</v>
          </cell>
          <cell r="S34754">
            <v>-6913.88</v>
          </cell>
          <cell r="X34754" t="str">
            <v>Variation UPR - gross</v>
          </cell>
          <cell r="Y34754" t="str">
            <v>CHILE</v>
          </cell>
        </row>
        <row r="34755">
          <cell r="L34755" t="str">
            <v>Non-proportional</v>
          </cell>
          <cell r="S34755">
            <v>101062.54</v>
          </cell>
          <cell r="X34755" t="str">
            <v>Variation UPR - gross</v>
          </cell>
          <cell r="Y34755" t="str">
            <v>TURKEY</v>
          </cell>
        </row>
        <row r="34756">
          <cell r="L34756" t="str">
            <v>Non-proportional</v>
          </cell>
          <cell r="S34756">
            <v>7194.36</v>
          </cell>
          <cell r="X34756" t="str">
            <v>Variation UPR - gross</v>
          </cell>
          <cell r="Y34756" t="str">
            <v>MEXICO</v>
          </cell>
        </row>
        <row r="34757">
          <cell r="L34757" t="str">
            <v>Non-proportional</v>
          </cell>
          <cell r="S34757">
            <v>7145.75</v>
          </cell>
          <cell r="X34757" t="str">
            <v>Variation UPR - gross</v>
          </cell>
          <cell r="Y34757" t="str">
            <v>ITALY</v>
          </cell>
        </row>
        <row r="34758">
          <cell r="L34758" t="str">
            <v>Non-proportional</v>
          </cell>
          <cell r="S34758">
            <v>-10616.4</v>
          </cell>
          <cell r="X34758" t="str">
            <v>Variation UPR - gross</v>
          </cell>
          <cell r="Y34758" t="str">
            <v>CHILE</v>
          </cell>
        </row>
        <row r="34759">
          <cell r="L34759" t="str">
            <v>Non-proportional</v>
          </cell>
          <cell r="S34759">
            <v>36401.83</v>
          </cell>
          <cell r="X34759" t="str">
            <v>Variation UPR - gross</v>
          </cell>
          <cell r="Y34759" t="str">
            <v>ISRAEL</v>
          </cell>
        </row>
        <row r="34760">
          <cell r="L34760" t="str">
            <v>Non-proportional</v>
          </cell>
          <cell r="S34760">
            <v>22373.86</v>
          </cell>
          <cell r="X34760" t="str">
            <v>Variation UPR - gross</v>
          </cell>
          <cell r="Y34760" t="str">
            <v>PERU</v>
          </cell>
        </row>
        <row r="34761">
          <cell r="L34761" t="str">
            <v>Non-proportional</v>
          </cell>
          <cell r="S34761">
            <v>53790.879999999997</v>
          </cell>
          <cell r="X34761" t="str">
            <v>Variation UPR - gross</v>
          </cell>
          <cell r="Y34761" t="str">
            <v>FRANCE</v>
          </cell>
        </row>
        <row r="34762">
          <cell r="L34762" t="str">
            <v>Non-proportional</v>
          </cell>
          <cell r="S34762">
            <v>34058.400000000001</v>
          </cell>
          <cell r="X34762" t="str">
            <v>Variation UPR - gross</v>
          </cell>
          <cell r="Y34762" t="str">
            <v>FRANCE</v>
          </cell>
        </row>
        <row r="34763">
          <cell r="L34763" t="str">
            <v>Non-proportional</v>
          </cell>
          <cell r="S34763">
            <v>-6229.12</v>
          </cell>
          <cell r="X34763" t="str">
            <v>Variation UPR - gross</v>
          </cell>
          <cell r="Y34763" t="str">
            <v>AUSTRALIA</v>
          </cell>
        </row>
        <row r="34764">
          <cell r="L34764" t="str">
            <v>Non-proportional</v>
          </cell>
          <cell r="S34764">
            <v>3850207.26</v>
          </cell>
          <cell r="X34764" t="str">
            <v>Variation UPR - gross</v>
          </cell>
          <cell r="Y34764" t="str">
            <v>EUROPE</v>
          </cell>
        </row>
        <row r="34765">
          <cell r="L34765" t="str">
            <v>Non-proportional</v>
          </cell>
          <cell r="S34765">
            <v>-3069.97</v>
          </cell>
          <cell r="X34765" t="str">
            <v>Variation UPR - gross</v>
          </cell>
          <cell r="Y34765" t="str">
            <v>JAPAN</v>
          </cell>
        </row>
        <row r="34766">
          <cell r="L34766" t="str">
            <v>Non-proportional</v>
          </cell>
          <cell r="S34766">
            <v>22481.25</v>
          </cell>
          <cell r="X34766" t="str">
            <v>Variation UPR - gross</v>
          </cell>
          <cell r="Y34766" t="str">
            <v>GREECE</v>
          </cell>
        </row>
        <row r="34767">
          <cell r="L34767" t="str">
            <v>Non-proportional</v>
          </cell>
          <cell r="S34767">
            <v>-142.13999999999999</v>
          </cell>
          <cell r="X34767" t="str">
            <v>Variation UPR - gross</v>
          </cell>
          <cell r="Y34767" t="str">
            <v>INDIA</v>
          </cell>
        </row>
        <row r="34768">
          <cell r="L34768" t="str">
            <v>Non-proportional</v>
          </cell>
          <cell r="S34768">
            <v>-4008.58</v>
          </cell>
          <cell r="X34768" t="str">
            <v>Variation UPR - gross</v>
          </cell>
          <cell r="Y34768" t="str">
            <v>UNITED KINGDOM</v>
          </cell>
        </row>
        <row r="34769">
          <cell r="L34769" t="str">
            <v>Non-proportional</v>
          </cell>
          <cell r="S34769">
            <v>-1096.47</v>
          </cell>
          <cell r="X34769" t="str">
            <v>Variation UPR - gross</v>
          </cell>
          <cell r="Y34769" t="str">
            <v>ECUADOR</v>
          </cell>
        </row>
        <row r="34770">
          <cell r="L34770" t="str">
            <v>Non-proportional</v>
          </cell>
          <cell r="S34770">
            <v>-7344.12</v>
          </cell>
          <cell r="X34770" t="str">
            <v>Variation UPR - gross</v>
          </cell>
          <cell r="Y34770" t="str">
            <v>MEXICO</v>
          </cell>
        </row>
        <row r="34771">
          <cell r="L34771" t="str">
            <v>Non-proportional</v>
          </cell>
          <cell r="S34771">
            <v>96525.62</v>
          </cell>
          <cell r="X34771" t="str">
            <v>Variation UPR - gross</v>
          </cell>
          <cell r="Y34771" t="str">
            <v>FRANCE</v>
          </cell>
        </row>
        <row r="34772">
          <cell r="L34772" t="str">
            <v>Proportional</v>
          </cell>
          <cell r="S34772">
            <v>-50337</v>
          </cell>
          <cell r="X34772" t="str">
            <v>Variation UPR - gross</v>
          </cell>
          <cell r="Y34772" t="str">
            <v>FRANCE</v>
          </cell>
        </row>
        <row r="34773">
          <cell r="L34773" t="str">
            <v>Non-proportional</v>
          </cell>
          <cell r="S34773">
            <v>-0.01</v>
          </cell>
          <cell r="X34773" t="str">
            <v>Variation UPR - gross</v>
          </cell>
          <cell r="Y34773" t="str">
            <v>DOMINICAN REPUBLIC</v>
          </cell>
        </row>
        <row r="34774">
          <cell r="L34774" t="str">
            <v>Non-proportional</v>
          </cell>
          <cell r="S34774">
            <v>108160.59</v>
          </cell>
          <cell r="X34774" t="str">
            <v>Variation UPR - gross</v>
          </cell>
          <cell r="Y34774" t="str">
            <v>FRANCE</v>
          </cell>
        </row>
        <row r="34775">
          <cell r="L34775" t="str">
            <v>Non-proportional</v>
          </cell>
          <cell r="S34775">
            <v>16041.67</v>
          </cell>
          <cell r="X34775" t="str">
            <v>Variation UPR - gross</v>
          </cell>
          <cell r="Y34775" t="str">
            <v>GREECE</v>
          </cell>
        </row>
        <row r="34776">
          <cell r="L34776" t="str">
            <v>Proportional</v>
          </cell>
          <cell r="S34776">
            <v>324057.14</v>
          </cell>
          <cell r="X34776" t="str">
            <v>Variation UPR - gross</v>
          </cell>
          <cell r="Y34776" t="str">
            <v>THAILAND</v>
          </cell>
        </row>
        <row r="34777">
          <cell r="L34777" t="str">
            <v>Proportional</v>
          </cell>
          <cell r="S34777">
            <v>-87001.2</v>
          </cell>
          <cell r="X34777" t="str">
            <v>Variation UPR - gross</v>
          </cell>
          <cell r="Y34777" t="str">
            <v>THAILAND</v>
          </cell>
        </row>
        <row r="34778">
          <cell r="L34778" t="str">
            <v>Non-proportional</v>
          </cell>
          <cell r="S34778">
            <v>55954.71</v>
          </cell>
          <cell r="X34778" t="str">
            <v>Variation UPR - gross</v>
          </cell>
          <cell r="Y34778" t="str">
            <v>ISRAEL</v>
          </cell>
        </row>
        <row r="34779">
          <cell r="L34779" t="str">
            <v>Non-proportional</v>
          </cell>
          <cell r="S34779">
            <v>117777.86</v>
          </cell>
          <cell r="X34779" t="str">
            <v>Variation UPR - gross</v>
          </cell>
          <cell r="Y34779" t="str">
            <v>FRANCE</v>
          </cell>
        </row>
        <row r="34780">
          <cell r="L34780" t="str">
            <v>Non-proportional</v>
          </cell>
          <cell r="S34780">
            <v>-4376.55</v>
          </cell>
          <cell r="X34780" t="str">
            <v>Variation UPR - gross</v>
          </cell>
          <cell r="Y34780" t="str">
            <v>MEXICO</v>
          </cell>
        </row>
        <row r="34781">
          <cell r="L34781" t="str">
            <v>Proportional</v>
          </cell>
          <cell r="S34781">
            <v>245936.2</v>
          </cell>
          <cell r="X34781" t="str">
            <v>Variation UPR - gross</v>
          </cell>
          <cell r="Y34781" t="str">
            <v>FRANCE</v>
          </cell>
        </row>
        <row r="34782">
          <cell r="L34782" t="str">
            <v>Non-proportional</v>
          </cell>
          <cell r="S34782">
            <v>113.14</v>
          </cell>
          <cell r="X34782" t="str">
            <v>Variation UPR - gross</v>
          </cell>
          <cell r="Y34782" t="str">
            <v>NEW ZEALAND</v>
          </cell>
        </row>
        <row r="34783">
          <cell r="L34783" t="str">
            <v>Non-proportional</v>
          </cell>
          <cell r="S34783">
            <v>2441285</v>
          </cell>
          <cell r="X34783" t="str">
            <v>Variation UPR - gross</v>
          </cell>
          <cell r="Y34783" t="str">
            <v>BELGIUM</v>
          </cell>
        </row>
        <row r="34784">
          <cell r="L34784" t="str">
            <v>Non-proportional</v>
          </cell>
          <cell r="S34784">
            <v>76595.23</v>
          </cell>
          <cell r="X34784" t="str">
            <v>Variation UPR - gross</v>
          </cell>
          <cell r="Y34784" t="str">
            <v>FRANCE</v>
          </cell>
        </row>
        <row r="34785">
          <cell r="L34785" t="str">
            <v>Non-proportional</v>
          </cell>
          <cell r="S34785">
            <v>1204057.8899999999</v>
          </cell>
          <cell r="X34785" t="str">
            <v>Variation UPR - gross</v>
          </cell>
          <cell r="Y34785" t="str">
            <v>FRANCE</v>
          </cell>
        </row>
        <row r="34786">
          <cell r="L34786" t="str">
            <v>Non-proportional</v>
          </cell>
          <cell r="S34786">
            <v>1137502.9099999999</v>
          </cell>
          <cell r="X34786" t="str">
            <v>Variation UPR - gross</v>
          </cell>
          <cell r="Y34786" t="str">
            <v>UNITED KINGDOM</v>
          </cell>
        </row>
        <row r="34787">
          <cell r="L34787" t="str">
            <v>Non-proportional</v>
          </cell>
          <cell r="S34787">
            <v>-2122.84</v>
          </cell>
          <cell r="X34787" t="str">
            <v>Variation UPR - gross</v>
          </cell>
          <cell r="Y34787" t="str">
            <v>DOMINICAN REPUBLIC</v>
          </cell>
        </row>
        <row r="34788">
          <cell r="L34788" t="str">
            <v>Non-proportional</v>
          </cell>
          <cell r="S34788">
            <v>-3619.06</v>
          </cell>
          <cell r="X34788" t="str">
            <v>Variation UPR - gross</v>
          </cell>
          <cell r="Y34788" t="str">
            <v>INDIA</v>
          </cell>
        </row>
        <row r="34789">
          <cell r="L34789" t="str">
            <v>Non-proportional</v>
          </cell>
          <cell r="S34789">
            <v>-1678.7</v>
          </cell>
          <cell r="X34789" t="str">
            <v>Variation UPR - gross</v>
          </cell>
          <cell r="Y34789" t="str">
            <v>MEXICO</v>
          </cell>
        </row>
        <row r="34790">
          <cell r="L34790" t="str">
            <v>Non-proportional</v>
          </cell>
          <cell r="S34790">
            <v>-1761.67</v>
          </cell>
          <cell r="X34790" t="str">
            <v>Variation UPR - gross</v>
          </cell>
          <cell r="Y34790" t="str">
            <v>NEW ZEALAND</v>
          </cell>
        </row>
        <row r="34791">
          <cell r="L34791" t="str">
            <v>Non-proportional</v>
          </cell>
          <cell r="S34791">
            <v>10725</v>
          </cell>
          <cell r="X34791" t="str">
            <v>Variation UPR - gross</v>
          </cell>
          <cell r="Y34791" t="str">
            <v>GREECE</v>
          </cell>
        </row>
        <row r="34792">
          <cell r="L34792" t="str">
            <v>Non-proportional</v>
          </cell>
          <cell r="S34792">
            <v>-0.04</v>
          </cell>
          <cell r="X34792" t="str">
            <v>Variation UPR - gross</v>
          </cell>
          <cell r="Y34792" t="str">
            <v>DOMINICAN REPUBLIC</v>
          </cell>
        </row>
        <row r="34793">
          <cell r="L34793" t="str">
            <v>Proportional</v>
          </cell>
          <cell r="S34793">
            <v>-658041.39</v>
          </cell>
          <cell r="X34793" t="str">
            <v>Variation UPR - gross</v>
          </cell>
          <cell r="Y34793" t="str">
            <v>UNITED STATES</v>
          </cell>
        </row>
        <row r="34794">
          <cell r="L34794" t="str">
            <v>Non-proportional</v>
          </cell>
          <cell r="S34794">
            <v>1206430.23</v>
          </cell>
          <cell r="X34794" t="str">
            <v>Variation UPR - gross</v>
          </cell>
          <cell r="Y34794" t="str">
            <v>EUROPE</v>
          </cell>
        </row>
        <row r="34795">
          <cell r="L34795" t="str">
            <v>Non-proportional</v>
          </cell>
          <cell r="S34795">
            <v>151.12</v>
          </cell>
          <cell r="X34795" t="str">
            <v>Variation UPR - gross</v>
          </cell>
          <cell r="Y34795" t="str">
            <v>CHILE</v>
          </cell>
        </row>
        <row r="34796">
          <cell r="L34796" t="str">
            <v>Non-proportional</v>
          </cell>
          <cell r="S34796">
            <v>82533</v>
          </cell>
          <cell r="X34796" t="str">
            <v>Variation UPR - gross</v>
          </cell>
          <cell r="Y34796" t="str">
            <v>CYPRUS</v>
          </cell>
        </row>
        <row r="34797">
          <cell r="L34797" t="str">
            <v>Non-proportional</v>
          </cell>
          <cell r="S34797">
            <v>89993.8</v>
          </cell>
          <cell r="X34797" t="str">
            <v>Variation UPR - gross</v>
          </cell>
          <cell r="Y34797" t="str">
            <v>CHILE</v>
          </cell>
        </row>
        <row r="34798">
          <cell r="L34798" t="str">
            <v>Non-proportional</v>
          </cell>
          <cell r="S34798">
            <v>18897.990000000002</v>
          </cell>
          <cell r="X34798" t="str">
            <v>Variation UPR - gross</v>
          </cell>
          <cell r="Y34798" t="str">
            <v>FRANCE</v>
          </cell>
        </row>
        <row r="34799">
          <cell r="L34799" t="str">
            <v>Non-proportional</v>
          </cell>
          <cell r="S34799">
            <v>18.09</v>
          </cell>
          <cell r="X34799" t="str">
            <v>Variation UPR - gross</v>
          </cell>
          <cell r="Y34799" t="str">
            <v>INDIA</v>
          </cell>
        </row>
        <row r="34800">
          <cell r="L34800" t="str">
            <v>Non-proportional</v>
          </cell>
          <cell r="S34800">
            <v>-5845.15</v>
          </cell>
          <cell r="X34800" t="str">
            <v>Variation UPR - gross</v>
          </cell>
          <cell r="Y34800" t="str">
            <v>PUERTO RICO</v>
          </cell>
        </row>
        <row r="34801">
          <cell r="L34801" t="str">
            <v>Proportional</v>
          </cell>
          <cell r="S34801">
            <v>-80620.12</v>
          </cell>
          <cell r="X34801" t="str">
            <v>Variation UPR - gross</v>
          </cell>
          <cell r="Y34801" t="str">
            <v>AUSTRALIA</v>
          </cell>
        </row>
        <row r="34802">
          <cell r="L34802" t="str">
            <v>Non-proportional</v>
          </cell>
          <cell r="S34802">
            <v>-884.25</v>
          </cell>
          <cell r="X34802" t="str">
            <v>Variation UPR - gross</v>
          </cell>
          <cell r="Y34802" t="str">
            <v>ECUADOR</v>
          </cell>
        </row>
        <row r="34803">
          <cell r="L34803" t="str">
            <v>Proportional</v>
          </cell>
          <cell r="S34803">
            <v>2592457.13</v>
          </cell>
          <cell r="X34803" t="str">
            <v>Variation UPR - gross</v>
          </cell>
          <cell r="Y34803" t="str">
            <v>THAILAND</v>
          </cell>
        </row>
        <row r="34804">
          <cell r="L34804" t="str">
            <v>Proportional</v>
          </cell>
          <cell r="S34804">
            <v>-1269.83</v>
          </cell>
          <cell r="X34804" t="str">
            <v>Variation UPR - gross</v>
          </cell>
          <cell r="Y34804" t="str">
            <v>THAILAND</v>
          </cell>
        </row>
        <row r="34805">
          <cell r="L34805" t="str">
            <v>Non-proportional</v>
          </cell>
          <cell r="S34805">
            <v>104501.54</v>
          </cell>
          <cell r="X34805" t="str">
            <v>Variation UPR - gross</v>
          </cell>
          <cell r="Y34805" t="str">
            <v>TURKEY</v>
          </cell>
        </row>
        <row r="34806">
          <cell r="L34806" t="str">
            <v>Non-proportional</v>
          </cell>
          <cell r="S34806">
            <v>-12149.71</v>
          </cell>
          <cell r="X34806" t="str">
            <v>Variation UPR - gross</v>
          </cell>
          <cell r="Y34806" t="str">
            <v>AUSTRALIA</v>
          </cell>
        </row>
        <row r="34807">
          <cell r="L34807" t="str">
            <v>Non-proportional</v>
          </cell>
          <cell r="S34807">
            <v>-17945.34</v>
          </cell>
          <cell r="X34807" t="str">
            <v>Variation UPR - gross</v>
          </cell>
          <cell r="Y34807" t="str">
            <v>AUSTRALIA</v>
          </cell>
        </row>
        <row r="34808">
          <cell r="L34808" t="str">
            <v>Non-proportional</v>
          </cell>
          <cell r="S34808">
            <v>50414.71</v>
          </cell>
          <cell r="X34808" t="str">
            <v>Variation UPR - gross</v>
          </cell>
          <cell r="Y34808" t="str">
            <v>THAILAND</v>
          </cell>
        </row>
        <row r="34809">
          <cell r="L34809" t="str">
            <v>Non-proportional</v>
          </cell>
          <cell r="S34809">
            <v>-3414.76</v>
          </cell>
          <cell r="X34809" t="str">
            <v>Variation UPR - gross</v>
          </cell>
          <cell r="Y34809" t="str">
            <v>INDIA</v>
          </cell>
        </row>
        <row r="34810">
          <cell r="L34810" t="str">
            <v>Non-proportional</v>
          </cell>
          <cell r="S34810">
            <v>-1518.75</v>
          </cell>
          <cell r="X34810" t="str">
            <v>Variation UPR - gross</v>
          </cell>
          <cell r="Y34810" t="str">
            <v>MEXICO</v>
          </cell>
        </row>
        <row r="34811">
          <cell r="L34811" t="str">
            <v>Non-proportional</v>
          </cell>
          <cell r="S34811">
            <v>-1039.25</v>
          </cell>
          <cell r="X34811" t="str">
            <v>Variation UPR - gross</v>
          </cell>
          <cell r="Y34811" t="str">
            <v>INDIA</v>
          </cell>
        </row>
        <row r="34812">
          <cell r="L34812" t="str">
            <v>Non-proportional</v>
          </cell>
          <cell r="S34812">
            <v>56076.12</v>
          </cell>
          <cell r="X34812" t="str">
            <v>Variation UPR - gross</v>
          </cell>
          <cell r="Y34812" t="str">
            <v>UNITED KINGDOM</v>
          </cell>
        </row>
        <row r="34813">
          <cell r="L34813" t="str">
            <v>Non-proportional</v>
          </cell>
          <cell r="S34813">
            <v>143803.48000000001</v>
          </cell>
          <cell r="X34813" t="str">
            <v>Variation UPR - gross</v>
          </cell>
          <cell r="Y34813" t="str">
            <v>FRANCE</v>
          </cell>
        </row>
        <row r="34814">
          <cell r="L34814" t="str">
            <v>Non-proportional</v>
          </cell>
          <cell r="S34814">
            <v>-4737.26</v>
          </cell>
          <cell r="X34814" t="str">
            <v>Variation UPR - gross</v>
          </cell>
          <cell r="Y34814" t="str">
            <v>UNITED KINGDOM</v>
          </cell>
        </row>
        <row r="34815">
          <cell r="L34815" t="str">
            <v>Non-proportional</v>
          </cell>
          <cell r="S34815">
            <v>5.85</v>
          </cell>
          <cell r="X34815" t="str">
            <v>Variation UPR - gross</v>
          </cell>
          <cell r="Y34815" t="str">
            <v>INDIA</v>
          </cell>
        </row>
        <row r="34816">
          <cell r="L34816" t="str">
            <v>Non-proportional</v>
          </cell>
          <cell r="S34816">
            <v>20340.43</v>
          </cell>
          <cell r="X34816" t="str">
            <v>Variation UPR - gross</v>
          </cell>
          <cell r="Y34816" t="str">
            <v>FRANCE</v>
          </cell>
        </row>
        <row r="34817">
          <cell r="L34817" t="str">
            <v>Non-proportional</v>
          </cell>
          <cell r="S34817">
            <v>1963361.13</v>
          </cell>
          <cell r="X34817" t="str">
            <v>Variation UPR - gross</v>
          </cell>
          <cell r="Y34817" t="str">
            <v>PORTUGAL</v>
          </cell>
        </row>
        <row r="34818">
          <cell r="L34818" t="str">
            <v>Non-proportional</v>
          </cell>
          <cell r="S34818">
            <v>222172.67</v>
          </cell>
          <cell r="X34818" t="str">
            <v>Variation UPR - gross</v>
          </cell>
          <cell r="Y34818" t="str">
            <v>ITALY</v>
          </cell>
        </row>
        <row r="34819">
          <cell r="L34819" t="str">
            <v>Non-proportional</v>
          </cell>
          <cell r="S34819">
            <v>226.68</v>
          </cell>
          <cell r="X34819" t="str">
            <v>Variation UPR - gross</v>
          </cell>
          <cell r="Y34819" t="str">
            <v>CHILE</v>
          </cell>
        </row>
        <row r="34820">
          <cell r="L34820" t="str">
            <v>Non-proportional</v>
          </cell>
          <cell r="S34820">
            <v>-7937.24</v>
          </cell>
          <cell r="X34820" t="str">
            <v>Variation UPR - gross</v>
          </cell>
          <cell r="Y34820" t="str">
            <v>UNITED KINGDOM</v>
          </cell>
        </row>
        <row r="34821">
          <cell r="L34821" t="str">
            <v>Non-proportional</v>
          </cell>
          <cell r="S34821">
            <v>238333.33</v>
          </cell>
          <cell r="X34821" t="str">
            <v>Variation UPR - gross</v>
          </cell>
          <cell r="Y34821" t="str">
            <v>FRANCE</v>
          </cell>
        </row>
        <row r="34822">
          <cell r="L34822" t="str">
            <v>Non-proportional</v>
          </cell>
          <cell r="S34822">
            <v>-158486.25</v>
          </cell>
          <cell r="X34822" t="str">
            <v>Variation UPR - gross</v>
          </cell>
          <cell r="Y34822" t="str">
            <v>UNITED KINGDOM</v>
          </cell>
        </row>
        <row r="34823">
          <cell r="L34823" t="str">
            <v>Proportional</v>
          </cell>
          <cell r="S34823">
            <v>-232106.48</v>
          </cell>
          <cell r="X34823" t="str">
            <v>Variation UPR - gross</v>
          </cell>
          <cell r="Y34823" t="str">
            <v>THAILAND</v>
          </cell>
        </row>
        <row r="34824">
          <cell r="L34824" t="str">
            <v>Non-proportional</v>
          </cell>
          <cell r="S34824">
            <v>42967.79</v>
          </cell>
          <cell r="X34824" t="str">
            <v>Variation UPR - gross</v>
          </cell>
          <cell r="Y34824" t="str">
            <v>EUROPE</v>
          </cell>
        </row>
        <row r="34825">
          <cell r="L34825" t="str">
            <v>Non-proportional</v>
          </cell>
          <cell r="S34825">
            <v>52.7</v>
          </cell>
          <cell r="X34825" t="str">
            <v>Variation UPR - gross</v>
          </cell>
          <cell r="Y34825" t="str">
            <v>INDIA</v>
          </cell>
        </row>
        <row r="34826">
          <cell r="L34826" t="str">
            <v>Non-proportional</v>
          </cell>
          <cell r="S34826">
            <v>-22521.41</v>
          </cell>
          <cell r="X34826" t="str">
            <v>Variation UPR - gross</v>
          </cell>
          <cell r="Y34826" t="str">
            <v>UNITED KINGDOM</v>
          </cell>
        </row>
        <row r="34827">
          <cell r="L34827" t="str">
            <v>Non-proportional</v>
          </cell>
          <cell r="S34827">
            <v>-0.04</v>
          </cell>
          <cell r="X34827" t="str">
            <v>Variation UPR - gross</v>
          </cell>
          <cell r="Y34827" t="str">
            <v>THAILAND</v>
          </cell>
        </row>
        <row r="34828">
          <cell r="L34828" t="str">
            <v>Non-proportional</v>
          </cell>
          <cell r="S34828">
            <v>131890.69</v>
          </cell>
          <cell r="X34828" t="str">
            <v>Variation UPR - gross</v>
          </cell>
          <cell r="Y34828" t="str">
            <v>CHILE</v>
          </cell>
        </row>
        <row r="34829">
          <cell r="L34829" t="str">
            <v>Non-proportional</v>
          </cell>
          <cell r="S34829">
            <v>0.01</v>
          </cell>
          <cell r="X34829" t="str">
            <v>Variation UPR - gross</v>
          </cell>
          <cell r="Y34829" t="str">
            <v>COLOMBIA</v>
          </cell>
        </row>
        <row r="34830">
          <cell r="L34830" t="str">
            <v>Non-proportional</v>
          </cell>
          <cell r="S34830">
            <v>35595.089999999997</v>
          </cell>
          <cell r="X34830" t="str">
            <v>Variation UPR - gross</v>
          </cell>
          <cell r="Y34830" t="str">
            <v>UNITED KINGDOM</v>
          </cell>
        </row>
        <row r="34831">
          <cell r="L34831" t="str">
            <v>Proportional</v>
          </cell>
          <cell r="S34831">
            <v>61.02</v>
          </cell>
          <cell r="X34831" t="str">
            <v>Variation UPR - gross</v>
          </cell>
          <cell r="Y34831" t="str">
            <v>INDIA</v>
          </cell>
        </row>
        <row r="34832">
          <cell r="L34832" t="str">
            <v>Non-proportional</v>
          </cell>
          <cell r="S34832">
            <v>418294.28</v>
          </cell>
          <cell r="X34832" t="str">
            <v>Variation UPR - gross</v>
          </cell>
          <cell r="Y34832" t="str">
            <v>FRANCE</v>
          </cell>
        </row>
        <row r="34833">
          <cell r="L34833" t="str">
            <v>Non-proportional</v>
          </cell>
          <cell r="S34833">
            <v>-9447.91</v>
          </cell>
          <cell r="X34833" t="str">
            <v>Variation UPR - gross</v>
          </cell>
          <cell r="Y34833" t="str">
            <v>INDIA</v>
          </cell>
        </row>
        <row r="34834">
          <cell r="L34834" t="str">
            <v>Non-proportional</v>
          </cell>
          <cell r="S34834">
            <v>-1513.59</v>
          </cell>
          <cell r="X34834" t="str">
            <v>Variation UPR - gross</v>
          </cell>
          <cell r="Y34834" t="str">
            <v>COLOMBIA</v>
          </cell>
        </row>
        <row r="34835">
          <cell r="L34835" t="str">
            <v>Non-proportional</v>
          </cell>
          <cell r="S34835">
            <v>66604.539999999994</v>
          </cell>
          <cell r="X34835" t="str">
            <v>Variation UPR - gross</v>
          </cell>
          <cell r="Y34835" t="str">
            <v>FRANCE</v>
          </cell>
        </row>
        <row r="34836">
          <cell r="L34836" t="str">
            <v>Non-proportional</v>
          </cell>
          <cell r="S34836">
            <v>34395.339999999997</v>
          </cell>
          <cell r="X34836" t="str">
            <v>Variation UPR - gross</v>
          </cell>
          <cell r="Y34836" t="str">
            <v>FRANCE</v>
          </cell>
        </row>
        <row r="34837">
          <cell r="L34837" t="str">
            <v>Non-proportional</v>
          </cell>
          <cell r="S34837">
            <v>23414.16</v>
          </cell>
          <cell r="X34837" t="str">
            <v>Variation UPR - gross</v>
          </cell>
          <cell r="Y34837" t="str">
            <v>UNITED KINGDOM</v>
          </cell>
        </row>
        <row r="34838">
          <cell r="L34838" t="str">
            <v>Non-proportional</v>
          </cell>
          <cell r="S34838">
            <v>733.45</v>
          </cell>
          <cell r="X34838" t="str">
            <v>Variation UPR - gross</v>
          </cell>
          <cell r="Y34838" t="str">
            <v>ISRAEL</v>
          </cell>
        </row>
        <row r="34839">
          <cell r="L34839" t="str">
            <v>Non-proportional</v>
          </cell>
          <cell r="S34839">
            <v>201010.65</v>
          </cell>
          <cell r="X34839" t="str">
            <v>Variation UPR - gross</v>
          </cell>
          <cell r="Y34839" t="str">
            <v>HONG KONG</v>
          </cell>
        </row>
        <row r="34840">
          <cell r="L34840" t="str">
            <v>Non-proportional</v>
          </cell>
          <cell r="S34840">
            <v>159323.37</v>
          </cell>
          <cell r="X34840" t="str">
            <v>Variation UPR - gross</v>
          </cell>
          <cell r="Y34840" t="str">
            <v>FRANCE</v>
          </cell>
        </row>
        <row r="34841">
          <cell r="L34841" t="str">
            <v>Non-proportional</v>
          </cell>
          <cell r="S34841">
            <v>-1224.48</v>
          </cell>
          <cell r="X34841" t="str">
            <v>Variation UPR - gross</v>
          </cell>
          <cell r="Y34841" t="str">
            <v>JAPAN</v>
          </cell>
        </row>
        <row r="34842">
          <cell r="L34842" t="str">
            <v>Non-proportional</v>
          </cell>
          <cell r="S34842">
            <v>-4580.91</v>
          </cell>
          <cell r="X34842" t="str">
            <v>Variation UPR - gross</v>
          </cell>
          <cell r="Y34842" t="str">
            <v>NEW ZEALAND</v>
          </cell>
        </row>
        <row r="34843">
          <cell r="L34843" t="str">
            <v>Non-proportional</v>
          </cell>
          <cell r="S34843">
            <v>-9289.11</v>
          </cell>
          <cell r="X34843" t="str">
            <v>Variation UPR - gross</v>
          </cell>
          <cell r="Y34843" t="str">
            <v>AUSTRALIA</v>
          </cell>
        </row>
        <row r="34844">
          <cell r="L34844" t="str">
            <v>Non-proportional</v>
          </cell>
          <cell r="S34844">
            <v>115393.04</v>
          </cell>
          <cell r="X34844" t="str">
            <v>Variation UPR - gross</v>
          </cell>
          <cell r="Y34844" t="str">
            <v>COLOMBIA</v>
          </cell>
        </row>
        <row r="34845">
          <cell r="L34845" t="str">
            <v>Non-proportional</v>
          </cell>
          <cell r="S34845">
            <v>-35478</v>
          </cell>
          <cell r="X34845" t="str">
            <v>Variation UPR - gross</v>
          </cell>
          <cell r="Y34845" t="str">
            <v>UNITED KINGDOM</v>
          </cell>
        </row>
        <row r="34846">
          <cell r="L34846" t="str">
            <v>Non-proportional</v>
          </cell>
          <cell r="S34846">
            <v>138876.04</v>
          </cell>
          <cell r="X34846" t="str">
            <v>Variation UPR - gross</v>
          </cell>
          <cell r="Y34846" t="str">
            <v>BELGIUM</v>
          </cell>
        </row>
        <row r="34847">
          <cell r="L34847" t="str">
            <v>Non-proportional</v>
          </cell>
          <cell r="S34847">
            <v>-21852.22</v>
          </cell>
          <cell r="X34847" t="str">
            <v>Variation UPR - gross</v>
          </cell>
          <cell r="Y34847" t="str">
            <v>UNITED KINGDOM</v>
          </cell>
        </row>
        <row r="34848">
          <cell r="L34848" t="str">
            <v>Non-proportional</v>
          </cell>
          <cell r="S34848">
            <v>89432.6</v>
          </cell>
          <cell r="X34848" t="str">
            <v>Variation UPR - gross</v>
          </cell>
          <cell r="Y34848" t="str">
            <v>UNITED KINGDOM</v>
          </cell>
        </row>
        <row r="34849">
          <cell r="L34849" t="str">
            <v>Non-proportional</v>
          </cell>
          <cell r="S34849">
            <v>-1423.84</v>
          </cell>
          <cell r="X34849" t="str">
            <v>Variation UPR - gross</v>
          </cell>
          <cell r="Y34849" t="str">
            <v>DOMINICAN REPUBLIC</v>
          </cell>
        </row>
        <row r="34850">
          <cell r="L34850" t="str">
            <v>Non-proportional</v>
          </cell>
          <cell r="S34850">
            <v>-959.18</v>
          </cell>
          <cell r="X34850" t="str">
            <v>Variation UPR - gross</v>
          </cell>
          <cell r="Y34850" t="str">
            <v>MEXICO</v>
          </cell>
        </row>
        <row r="34851">
          <cell r="L34851" t="str">
            <v>Non-proportional</v>
          </cell>
          <cell r="S34851">
            <v>-2392.63</v>
          </cell>
          <cell r="X34851" t="str">
            <v>Variation UPR - gross</v>
          </cell>
          <cell r="Y34851" t="str">
            <v>AUSTRALIA</v>
          </cell>
        </row>
        <row r="34852">
          <cell r="L34852" t="str">
            <v>Non-proportional</v>
          </cell>
          <cell r="S34852">
            <v>65420.07</v>
          </cell>
          <cell r="X34852" t="str">
            <v>Variation UPR - gross</v>
          </cell>
          <cell r="Y34852" t="str">
            <v>ECUADOR</v>
          </cell>
        </row>
        <row r="34853">
          <cell r="L34853" t="str">
            <v>Non-proportional</v>
          </cell>
          <cell r="S34853">
            <v>183290.87</v>
          </cell>
          <cell r="X34853" t="str">
            <v>Variation UPR - gross</v>
          </cell>
          <cell r="Y34853" t="str">
            <v>PERU</v>
          </cell>
        </row>
        <row r="34854">
          <cell r="L34854" t="str">
            <v>Non-proportional</v>
          </cell>
          <cell r="S34854">
            <v>-0.04</v>
          </cell>
          <cell r="X34854" t="str">
            <v>Variation UPR - gross</v>
          </cell>
          <cell r="Y34854" t="str">
            <v>DOMINICAN REPUBLIC</v>
          </cell>
        </row>
        <row r="34855">
          <cell r="L34855" t="str">
            <v>Non-proportional</v>
          </cell>
          <cell r="S34855">
            <v>26.32</v>
          </cell>
          <cell r="X34855" t="str">
            <v>Variation UPR - gross</v>
          </cell>
          <cell r="Y34855" t="str">
            <v>INDIA</v>
          </cell>
        </row>
        <row r="34856">
          <cell r="L34856" t="str">
            <v>Non-proportional</v>
          </cell>
          <cell r="S34856">
            <v>0.03</v>
          </cell>
          <cell r="X34856" t="str">
            <v>Variation UPR - gross</v>
          </cell>
          <cell r="Y34856" t="str">
            <v>COLOMBIA</v>
          </cell>
        </row>
        <row r="34857">
          <cell r="L34857" t="str">
            <v>Non-proportional</v>
          </cell>
          <cell r="S34857">
            <v>-9779.81</v>
          </cell>
          <cell r="X34857" t="str">
            <v>Variation UPR - gross</v>
          </cell>
          <cell r="Y34857" t="str">
            <v>UNITED KINGDOM</v>
          </cell>
        </row>
        <row r="34858">
          <cell r="L34858" t="str">
            <v>Non-proportional</v>
          </cell>
          <cell r="S34858">
            <v>-302.92</v>
          </cell>
          <cell r="X34858" t="str">
            <v>Variation UPR - gross</v>
          </cell>
          <cell r="Y34858" t="str">
            <v>INDIA</v>
          </cell>
        </row>
        <row r="34859">
          <cell r="L34859" t="str">
            <v>Non-proportional</v>
          </cell>
          <cell r="S34859">
            <v>-3466.2</v>
          </cell>
          <cell r="X34859" t="str">
            <v>Variation UPR - gross</v>
          </cell>
          <cell r="Y34859" t="str">
            <v>UNITED KINGDOM</v>
          </cell>
        </row>
        <row r="34860">
          <cell r="L34860" t="str">
            <v>Proportional</v>
          </cell>
          <cell r="S34860">
            <v>-95880</v>
          </cell>
          <cell r="X34860" t="str">
            <v>Variation UPR - gross</v>
          </cell>
          <cell r="Y34860" t="str">
            <v>PORTUGAL</v>
          </cell>
        </row>
        <row r="34861">
          <cell r="L34861" t="str">
            <v>Proportional</v>
          </cell>
          <cell r="S34861">
            <v>-786.98</v>
          </cell>
          <cell r="X34861" t="str">
            <v>Variation UPR - gross</v>
          </cell>
          <cell r="Y34861" t="str">
            <v>UNITED STATES</v>
          </cell>
        </row>
        <row r="34862">
          <cell r="L34862" t="str">
            <v>Non-proportional</v>
          </cell>
          <cell r="S34862">
            <v>-31806.73</v>
          </cell>
          <cell r="X34862" t="str">
            <v>Variation UPR - gross</v>
          </cell>
          <cell r="Y34862" t="str">
            <v>TURKEY</v>
          </cell>
        </row>
        <row r="34863">
          <cell r="L34863" t="str">
            <v>Non-proportional</v>
          </cell>
          <cell r="S34863">
            <v>-13096.13</v>
          </cell>
          <cell r="X34863" t="str">
            <v>Variation UPR - gross</v>
          </cell>
          <cell r="Y34863" t="str">
            <v>AUSTRALIA</v>
          </cell>
        </row>
        <row r="34864">
          <cell r="L34864" t="str">
            <v>Non-proportional</v>
          </cell>
          <cell r="S34864">
            <v>572.04</v>
          </cell>
          <cell r="X34864" t="str">
            <v>Variation UPR - gross</v>
          </cell>
          <cell r="Y34864" t="str">
            <v>AUSTRALIA</v>
          </cell>
        </row>
        <row r="34865">
          <cell r="L34865" t="str">
            <v>Non-proportional</v>
          </cell>
          <cell r="S34865">
            <v>90620.89</v>
          </cell>
          <cell r="X34865" t="str">
            <v>Variation UPR - gross</v>
          </cell>
          <cell r="Y34865" t="str">
            <v>ITALY</v>
          </cell>
        </row>
        <row r="34866">
          <cell r="L34866" t="str">
            <v>Non-proportional</v>
          </cell>
          <cell r="S34866">
            <v>97282.67</v>
          </cell>
          <cell r="X34866" t="str">
            <v>Variation UPR - gross</v>
          </cell>
          <cell r="Y34866" t="str">
            <v>TURKEY</v>
          </cell>
        </row>
        <row r="34867">
          <cell r="L34867" t="str">
            <v>Non-proportional</v>
          </cell>
          <cell r="S34867">
            <v>220.69</v>
          </cell>
          <cell r="X34867" t="str">
            <v>Variation UPR - gross</v>
          </cell>
          <cell r="Y34867" t="str">
            <v>ISRAEL</v>
          </cell>
        </row>
        <row r="34868">
          <cell r="L34868" t="str">
            <v>Non-proportional</v>
          </cell>
          <cell r="S34868">
            <v>108.27</v>
          </cell>
          <cell r="X34868" t="str">
            <v>Variation UPR - gross</v>
          </cell>
          <cell r="Y34868" t="str">
            <v>JAPAN</v>
          </cell>
        </row>
        <row r="34869">
          <cell r="L34869" t="str">
            <v>Non-proportional</v>
          </cell>
          <cell r="S34869">
            <v>-0.06</v>
          </cell>
          <cell r="X34869" t="str">
            <v>Variation UPR - gross</v>
          </cell>
          <cell r="Y34869" t="str">
            <v>COLOMBIA</v>
          </cell>
        </row>
        <row r="34870">
          <cell r="L34870" t="str">
            <v>Non-proportional</v>
          </cell>
          <cell r="S34870">
            <v>255.6</v>
          </cell>
          <cell r="X34870" t="str">
            <v>Variation UPR - gross</v>
          </cell>
          <cell r="Y34870" t="str">
            <v>JAPAN</v>
          </cell>
        </row>
        <row r="34871">
          <cell r="L34871" t="str">
            <v>Proportional</v>
          </cell>
          <cell r="S34871">
            <v>34471133.280000001</v>
          </cell>
          <cell r="X34871" t="str">
            <v>Variation UPR - gross</v>
          </cell>
          <cell r="Y34871" t="str">
            <v>THAILAND</v>
          </cell>
        </row>
        <row r="34872">
          <cell r="L34872" t="str">
            <v>Non-proportional</v>
          </cell>
          <cell r="S34872">
            <v>2118621.54</v>
          </cell>
          <cell r="X34872" t="str">
            <v>Variation UPR - gross</v>
          </cell>
          <cell r="Y34872" t="str">
            <v>PORTUGAL</v>
          </cell>
        </row>
        <row r="34873">
          <cell r="L34873" t="str">
            <v>Non-proportional</v>
          </cell>
          <cell r="S34873">
            <v>-50233.72</v>
          </cell>
          <cell r="X34873" t="str">
            <v>Variation UPR - gross</v>
          </cell>
          <cell r="Y34873" t="str">
            <v>UNITED KINGDOM</v>
          </cell>
        </row>
        <row r="34874">
          <cell r="L34874" t="str">
            <v>Non-proportional</v>
          </cell>
          <cell r="S34874">
            <v>41761.01</v>
          </cell>
          <cell r="X34874" t="str">
            <v>Variation UPR - gross</v>
          </cell>
          <cell r="Y34874" t="str">
            <v>ITALY</v>
          </cell>
        </row>
        <row r="34875">
          <cell r="L34875" t="str">
            <v>Non-proportional</v>
          </cell>
          <cell r="S34875">
            <v>29.27</v>
          </cell>
          <cell r="X34875" t="str">
            <v>Variation UPR - gross</v>
          </cell>
          <cell r="Y34875" t="str">
            <v>INDIA</v>
          </cell>
        </row>
        <row r="34876">
          <cell r="L34876" t="str">
            <v>Non-proportional</v>
          </cell>
          <cell r="S34876">
            <v>-0.05</v>
          </cell>
          <cell r="X34876" t="str">
            <v>Variation UPR - gross</v>
          </cell>
          <cell r="Y34876" t="str">
            <v>THAILAND</v>
          </cell>
        </row>
        <row r="34877">
          <cell r="L34877" t="str">
            <v>Proportional</v>
          </cell>
          <cell r="S34877">
            <v>-7635.86</v>
          </cell>
          <cell r="X34877" t="str">
            <v>Variation UPR - gross</v>
          </cell>
          <cell r="Y34877" t="str">
            <v>THAILAND</v>
          </cell>
        </row>
        <row r="34878">
          <cell r="L34878" t="str">
            <v>Non-proportional</v>
          </cell>
          <cell r="S34878">
            <v>-173.98</v>
          </cell>
          <cell r="X34878" t="str">
            <v>Variation UPR - gross</v>
          </cell>
          <cell r="Y34878" t="str">
            <v>INDIA</v>
          </cell>
        </row>
        <row r="34879">
          <cell r="L34879" t="str">
            <v>Non-proportional</v>
          </cell>
          <cell r="S34879">
            <v>8486.5</v>
          </cell>
          <cell r="X34879" t="str">
            <v>Variation UPR - gross</v>
          </cell>
          <cell r="Y34879" t="str">
            <v>GERMANY</v>
          </cell>
        </row>
        <row r="34880">
          <cell r="L34880" t="str">
            <v>Non-proportional</v>
          </cell>
          <cell r="S34880">
            <v>-1119.98</v>
          </cell>
          <cell r="X34880" t="str">
            <v>Variation UPR - gross</v>
          </cell>
          <cell r="Y34880" t="str">
            <v>JAPAN</v>
          </cell>
        </row>
        <row r="34881">
          <cell r="L34881" t="str">
            <v>Non-proportional</v>
          </cell>
          <cell r="S34881">
            <v>63827.7</v>
          </cell>
          <cell r="X34881" t="str">
            <v>Variation UPR - gross</v>
          </cell>
          <cell r="Y34881" t="str">
            <v>ISRAEL</v>
          </cell>
        </row>
        <row r="34882">
          <cell r="L34882" t="str">
            <v>Non-proportional</v>
          </cell>
          <cell r="S34882">
            <v>32308.01</v>
          </cell>
          <cell r="X34882" t="str">
            <v>Variation UPR - gross</v>
          </cell>
          <cell r="Y34882" t="str">
            <v>NETHERLANDS</v>
          </cell>
        </row>
        <row r="34883">
          <cell r="L34883" t="str">
            <v>Non-proportional</v>
          </cell>
          <cell r="S34883">
            <v>75984.539999999994</v>
          </cell>
          <cell r="X34883" t="str">
            <v>Variation UPR - gross</v>
          </cell>
          <cell r="Y34883" t="str">
            <v>GREECE</v>
          </cell>
        </row>
        <row r="34884">
          <cell r="L34884" t="str">
            <v>Non-proportional</v>
          </cell>
          <cell r="S34884">
            <v>347.26</v>
          </cell>
          <cell r="X34884" t="str">
            <v>Variation UPR - gross</v>
          </cell>
          <cell r="Y34884" t="str">
            <v>ISRAEL</v>
          </cell>
        </row>
        <row r="34885">
          <cell r="L34885" t="str">
            <v>Non-proportional</v>
          </cell>
          <cell r="S34885">
            <v>-4323.8599999999997</v>
          </cell>
          <cell r="X34885" t="str">
            <v>Variation UPR - gross</v>
          </cell>
          <cell r="Y34885" t="str">
            <v>COLOMBIA</v>
          </cell>
        </row>
        <row r="34886">
          <cell r="L34886" t="str">
            <v>Non-proportional</v>
          </cell>
          <cell r="S34886">
            <v>183282.41</v>
          </cell>
          <cell r="X34886" t="str">
            <v>Variation UPR - gross</v>
          </cell>
          <cell r="Y34886" t="str">
            <v>SOUTH KOREA</v>
          </cell>
        </row>
        <row r="34887">
          <cell r="L34887" t="str">
            <v>Non-proportional</v>
          </cell>
          <cell r="S34887">
            <v>27165.86</v>
          </cell>
          <cell r="X34887" t="str">
            <v>Variation UPR - gross</v>
          </cell>
          <cell r="Y34887" t="str">
            <v>FRANCE</v>
          </cell>
        </row>
        <row r="34888">
          <cell r="L34888" t="str">
            <v>Non-proportional</v>
          </cell>
          <cell r="S34888">
            <v>83732.14</v>
          </cell>
          <cell r="X34888" t="str">
            <v>Variation UPR - gross</v>
          </cell>
          <cell r="Y34888" t="str">
            <v>COLOMBIA</v>
          </cell>
        </row>
        <row r="34889">
          <cell r="L34889" t="str">
            <v>Non-proportional</v>
          </cell>
          <cell r="S34889">
            <v>-2805.25</v>
          </cell>
          <cell r="X34889" t="str">
            <v>Variation UPR - gross</v>
          </cell>
          <cell r="Y34889" t="str">
            <v>REPUBLIC OF IRELAND</v>
          </cell>
        </row>
        <row r="34890">
          <cell r="L34890" t="str">
            <v>Non-proportional</v>
          </cell>
          <cell r="S34890">
            <v>9460</v>
          </cell>
          <cell r="X34890" t="str">
            <v>Variation UPR - gross</v>
          </cell>
          <cell r="Y34890" t="str">
            <v>GREECE</v>
          </cell>
        </row>
        <row r="34891">
          <cell r="L34891" t="str">
            <v>Non-proportional</v>
          </cell>
          <cell r="S34891">
            <v>-1216.98</v>
          </cell>
          <cell r="X34891" t="str">
            <v>Variation UPR - gross</v>
          </cell>
          <cell r="Y34891" t="str">
            <v>JAPAN</v>
          </cell>
        </row>
        <row r="34892">
          <cell r="L34892" t="str">
            <v>Non-proportional</v>
          </cell>
          <cell r="S34892">
            <v>-2442.63</v>
          </cell>
          <cell r="X34892" t="str">
            <v>Variation UPR - gross</v>
          </cell>
          <cell r="Y34892" t="str">
            <v>JAPAN</v>
          </cell>
        </row>
        <row r="34893">
          <cell r="L34893" t="str">
            <v>Non-proportional</v>
          </cell>
          <cell r="S34893">
            <v>-3530.4</v>
          </cell>
          <cell r="X34893" t="str">
            <v>Variation UPR - gross</v>
          </cell>
          <cell r="Y34893" t="str">
            <v>COLOMBIA</v>
          </cell>
        </row>
        <row r="34894">
          <cell r="L34894" t="str">
            <v>Non-proportional</v>
          </cell>
          <cell r="S34894">
            <v>110000</v>
          </cell>
          <cell r="X34894" t="str">
            <v>Variation UPR - gross</v>
          </cell>
          <cell r="Y34894" t="str">
            <v>EUROPE</v>
          </cell>
        </row>
        <row r="34895">
          <cell r="L34895" t="str">
            <v>Non-proportional</v>
          </cell>
          <cell r="S34895">
            <v>-484.05</v>
          </cell>
          <cell r="X34895" t="str">
            <v>Variation UPR - gross</v>
          </cell>
          <cell r="Y34895" t="str">
            <v>NEW ZEALAND</v>
          </cell>
        </row>
        <row r="34896">
          <cell r="L34896" t="str">
            <v>Non-proportional</v>
          </cell>
          <cell r="S34896">
            <v>7.12</v>
          </cell>
          <cell r="X34896" t="str">
            <v>Variation UPR - gross</v>
          </cell>
          <cell r="Y34896" t="str">
            <v>INDIA</v>
          </cell>
        </row>
        <row r="34897">
          <cell r="L34897" t="str">
            <v>Proportional</v>
          </cell>
          <cell r="S34897">
            <v>-2510170.62</v>
          </cell>
          <cell r="X34897" t="str">
            <v>Variation UPR - gross</v>
          </cell>
          <cell r="Y34897" t="str">
            <v>THAILAND</v>
          </cell>
        </row>
        <row r="34898">
          <cell r="L34898" t="str">
            <v>Non-proportional</v>
          </cell>
          <cell r="S34898">
            <v>114.48</v>
          </cell>
          <cell r="X34898" t="str">
            <v>Variation UPR - gross</v>
          </cell>
          <cell r="Y34898" t="str">
            <v>NEW ZEALAND</v>
          </cell>
        </row>
        <row r="34899">
          <cell r="L34899" t="str">
            <v>Non-proportional</v>
          </cell>
          <cell r="S34899">
            <v>9.48</v>
          </cell>
          <cell r="X34899" t="str">
            <v>Variation UPR - gross</v>
          </cell>
          <cell r="Y34899" t="str">
            <v>JAPAN</v>
          </cell>
        </row>
        <row r="34900">
          <cell r="L34900" t="str">
            <v>Proportional</v>
          </cell>
          <cell r="S34900">
            <v>-71803.95</v>
          </cell>
          <cell r="X34900" t="str">
            <v>Variation UPR - gross</v>
          </cell>
          <cell r="Y34900" t="str">
            <v>MEXICO</v>
          </cell>
        </row>
        <row r="34901">
          <cell r="L34901" t="str">
            <v>Non-proportional</v>
          </cell>
          <cell r="S34901">
            <v>100.68</v>
          </cell>
          <cell r="X34901" t="str">
            <v>Variation UPR - gross</v>
          </cell>
          <cell r="Y34901" t="str">
            <v>INDIA</v>
          </cell>
        </row>
        <row r="34902">
          <cell r="L34902" t="str">
            <v>Non-proportional</v>
          </cell>
          <cell r="S34902">
            <v>-5025.8</v>
          </cell>
          <cell r="X34902" t="str">
            <v>Variation UPR - gross</v>
          </cell>
          <cell r="Y34902" t="str">
            <v>ECUADOR</v>
          </cell>
        </row>
        <row r="34903">
          <cell r="L34903" t="str">
            <v>Non-proportional</v>
          </cell>
          <cell r="S34903">
            <v>-451.51</v>
          </cell>
          <cell r="X34903" t="str">
            <v>Variation UPR - gross</v>
          </cell>
          <cell r="Y34903" t="str">
            <v>JAPAN</v>
          </cell>
        </row>
        <row r="34904">
          <cell r="L34904" t="str">
            <v>Non-proportional</v>
          </cell>
          <cell r="S34904">
            <v>-2987.46</v>
          </cell>
          <cell r="X34904" t="str">
            <v>Variation UPR - gross</v>
          </cell>
          <cell r="Y34904" t="str">
            <v>JAPAN</v>
          </cell>
        </row>
        <row r="34905">
          <cell r="L34905" t="str">
            <v>Non-proportional</v>
          </cell>
          <cell r="S34905">
            <v>36738.120000000003</v>
          </cell>
          <cell r="X34905" t="str">
            <v>Variation UPR - gross</v>
          </cell>
          <cell r="Y34905" t="str">
            <v>ISRAEL</v>
          </cell>
        </row>
        <row r="34906">
          <cell r="L34906" t="str">
            <v>Non-proportional</v>
          </cell>
          <cell r="S34906">
            <v>-2557.63</v>
          </cell>
          <cell r="X34906" t="str">
            <v>Variation UPR - gross</v>
          </cell>
          <cell r="Y34906" t="str">
            <v>JAPAN</v>
          </cell>
        </row>
        <row r="34907">
          <cell r="L34907" t="str">
            <v>Non-proportional</v>
          </cell>
          <cell r="S34907">
            <v>20945.77</v>
          </cell>
          <cell r="X34907" t="str">
            <v>Variation UPR - gross</v>
          </cell>
          <cell r="Y34907" t="str">
            <v>COSTA RICA</v>
          </cell>
        </row>
        <row r="34908">
          <cell r="L34908" t="str">
            <v>Non-proportional</v>
          </cell>
          <cell r="S34908">
            <v>1263835.06</v>
          </cell>
          <cell r="X34908" t="str">
            <v>Variation UPR - gross</v>
          </cell>
          <cell r="Y34908" t="str">
            <v>HONG KONG</v>
          </cell>
        </row>
        <row r="34909">
          <cell r="L34909" t="str">
            <v>Non-proportional</v>
          </cell>
          <cell r="S34909">
            <v>16156.25</v>
          </cell>
          <cell r="X34909" t="str">
            <v>Variation UPR - gross</v>
          </cell>
          <cell r="Y34909" t="str">
            <v>GREECE</v>
          </cell>
        </row>
        <row r="34910">
          <cell r="L34910" t="str">
            <v>Non-proportional</v>
          </cell>
          <cell r="S34910">
            <v>-0.03</v>
          </cell>
          <cell r="X34910" t="str">
            <v>Variation UPR - gross</v>
          </cell>
          <cell r="Y34910" t="str">
            <v>DOMINICAN REPUBLIC</v>
          </cell>
        </row>
        <row r="34911">
          <cell r="L34911" t="str">
            <v>Proportional</v>
          </cell>
          <cell r="S34911">
            <v>-8.41</v>
          </cell>
          <cell r="X34911" t="str">
            <v>Variation UPR - gross</v>
          </cell>
          <cell r="Y34911" t="str">
            <v>UNITED STATES</v>
          </cell>
        </row>
        <row r="34912">
          <cell r="L34912" t="str">
            <v>Non-proportional</v>
          </cell>
          <cell r="S34912">
            <v>17745044.920000002</v>
          </cell>
          <cell r="X34912" t="str">
            <v>Variation UPR - gross</v>
          </cell>
          <cell r="Y34912" t="str">
            <v>UNITED KINGDOM</v>
          </cell>
        </row>
        <row r="34913">
          <cell r="L34913" t="str">
            <v>Non-proportional</v>
          </cell>
          <cell r="S34913">
            <v>-8972.4500000000007</v>
          </cell>
          <cell r="X34913" t="str">
            <v>Variation UPR - gross</v>
          </cell>
          <cell r="Y34913" t="str">
            <v>AUSTRALIA</v>
          </cell>
        </row>
        <row r="34914">
          <cell r="L34914" t="str">
            <v>Non-proportional</v>
          </cell>
          <cell r="S34914">
            <v>115528.23</v>
          </cell>
          <cell r="X34914" t="str">
            <v>Variation UPR - gross</v>
          </cell>
          <cell r="Y34914" t="str">
            <v>CHINA</v>
          </cell>
        </row>
        <row r="34915">
          <cell r="L34915" t="str">
            <v>Non-proportional</v>
          </cell>
          <cell r="S34915">
            <v>49069.83</v>
          </cell>
          <cell r="X34915" t="str">
            <v>Variation UPR - gross</v>
          </cell>
          <cell r="Y34915" t="str">
            <v>THAILAND</v>
          </cell>
        </row>
        <row r="34916">
          <cell r="L34916" t="str">
            <v>Proportional</v>
          </cell>
          <cell r="S34916">
            <v>-28116.28</v>
          </cell>
          <cell r="X34916" t="str">
            <v>Variation UPR - gross</v>
          </cell>
          <cell r="Y34916" t="str">
            <v>MEXICO</v>
          </cell>
        </row>
        <row r="34917">
          <cell r="L34917" t="str">
            <v>Non-proportional</v>
          </cell>
          <cell r="S34917">
            <v>-1222.94</v>
          </cell>
          <cell r="X34917" t="str">
            <v>Variation UPR - gross</v>
          </cell>
          <cell r="Y34917" t="str">
            <v>MEXICO</v>
          </cell>
        </row>
        <row r="34918">
          <cell r="L34918" t="str">
            <v>Non-proportional</v>
          </cell>
          <cell r="S34918">
            <v>-453.37</v>
          </cell>
          <cell r="X34918" t="str">
            <v>Variation UPR - gross</v>
          </cell>
          <cell r="Y34918" t="str">
            <v>CHILE</v>
          </cell>
        </row>
        <row r="34919">
          <cell r="L34919" t="str">
            <v>Non-proportional</v>
          </cell>
          <cell r="S34919">
            <v>39276.879999999997</v>
          </cell>
          <cell r="X34919" t="str">
            <v>Variation UPR - gross</v>
          </cell>
          <cell r="Y34919" t="str">
            <v>GREECE</v>
          </cell>
        </row>
        <row r="34920">
          <cell r="L34920" t="str">
            <v>Non-proportional</v>
          </cell>
          <cell r="S34920">
            <v>-48.94</v>
          </cell>
          <cell r="X34920" t="str">
            <v>Variation UPR - gross</v>
          </cell>
          <cell r="Y34920" t="str">
            <v>COLOMBIA</v>
          </cell>
        </row>
        <row r="34921">
          <cell r="L34921" t="str">
            <v>Non-proportional</v>
          </cell>
          <cell r="S34921">
            <v>-119.85</v>
          </cell>
          <cell r="X34921" t="str">
            <v>Variation UPR - gross</v>
          </cell>
          <cell r="Y34921" t="str">
            <v>GUATEMALA</v>
          </cell>
        </row>
        <row r="34922">
          <cell r="L34922" t="str">
            <v>Non-proportional</v>
          </cell>
          <cell r="S34922">
            <v>-2725.38</v>
          </cell>
          <cell r="X34922" t="str">
            <v>Variation UPR - gross</v>
          </cell>
          <cell r="Y34922" t="str">
            <v>AUSTRALIA</v>
          </cell>
        </row>
        <row r="34923">
          <cell r="L34923" t="str">
            <v>Non-proportional</v>
          </cell>
          <cell r="S34923">
            <v>-8972.0499999999993</v>
          </cell>
          <cell r="X34923" t="str">
            <v>Variation UPR - gross</v>
          </cell>
          <cell r="Y34923" t="str">
            <v>AUSTRALIA</v>
          </cell>
        </row>
        <row r="34924">
          <cell r="L34924" t="str">
            <v>Non-proportional</v>
          </cell>
          <cell r="S34924">
            <v>-4453.7700000000004</v>
          </cell>
          <cell r="X34924" t="str">
            <v>Variation UPR - gross</v>
          </cell>
          <cell r="Y34924" t="str">
            <v>UNITED KINGDOM</v>
          </cell>
        </row>
        <row r="34925">
          <cell r="L34925" t="str">
            <v>Non-proportional</v>
          </cell>
          <cell r="S34925">
            <v>80.569999999999993</v>
          </cell>
          <cell r="X34925" t="str">
            <v>Variation UPR - gross</v>
          </cell>
          <cell r="Y34925" t="str">
            <v>COLOMBIA</v>
          </cell>
        </row>
        <row r="34926">
          <cell r="L34926" t="str">
            <v>Non-proportional</v>
          </cell>
          <cell r="S34926">
            <v>32209.56</v>
          </cell>
          <cell r="X34926" t="str">
            <v>Variation UPR - gross</v>
          </cell>
          <cell r="Y34926" t="str">
            <v>UNITED ARAB EMIRATES</v>
          </cell>
        </row>
        <row r="34927">
          <cell r="L34927" t="str">
            <v>Non-proportional</v>
          </cell>
          <cell r="S34927">
            <v>139255.76</v>
          </cell>
          <cell r="X34927" t="str">
            <v>Variation UPR - gross</v>
          </cell>
          <cell r="Y34927" t="str">
            <v>ITALY</v>
          </cell>
        </row>
        <row r="34928">
          <cell r="L34928" t="str">
            <v>Non-proportional</v>
          </cell>
          <cell r="S34928">
            <v>-47738.21</v>
          </cell>
          <cell r="X34928" t="str">
            <v>Variation UPR - gross</v>
          </cell>
          <cell r="Y34928" t="str">
            <v>UNITED KINGDOM</v>
          </cell>
        </row>
        <row r="34929">
          <cell r="L34929" t="str">
            <v>Non-proportional</v>
          </cell>
          <cell r="S34929">
            <v>37200.239999999998</v>
          </cell>
          <cell r="X34929" t="str">
            <v>Variation UPR - gross</v>
          </cell>
          <cell r="Y34929" t="str">
            <v>ITALY</v>
          </cell>
        </row>
        <row r="34930">
          <cell r="L34930" t="str">
            <v>Non-proportional</v>
          </cell>
          <cell r="S34930">
            <v>140.25</v>
          </cell>
          <cell r="X34930" t="str">
            <v>Variation UPR - gross</v>
          </cell>
          <cell r="Y34930" t="str">
            <v>NEW ZEALAND</v>
          </cell>
        </row>
        <row r="34931">
          <cell r="L34931" t="str">
            <v>Non-proportional</v>
          </cell>
          <cell r="S34931">
            <v>-180.2</v>
          </cell>
          <cell r="X34931" t="str">
            <v>Variation UPR - gross</v>
          </cell>
          <cell r="Y34931" t="str">
            <v>INDIA</v>
          </cell>
        </row>
        <row r="34932">
          <cell r="L34932" t="str">
            <v>Proportional</v>
          </cell>
          <cell r="S34932">
            <v>633.11</v>
          </cell>
          <cell r="X34932" t="str">
            <v>Variation UPR - gross</v>
          </cell>
          <cell r="Y34932" t="str">
            <v>UNITED STATES</v>
          </cell>
        </row>
        <row r="34933">
          <cell r="L34933" t="str">
            <v>Proportional</v>
          </cell>
          <cell r="S34933">
            <v>860976</v>
          </cell>
          <cell r="X34933" t="str">
            <v>Variation UPR - gross</v>
          </cell>
          <cell r="Y34933" t="str">
            <v>FRANCE</v>
          </cell>
        </row>
        <row r="34934">
          <cell r="L34934" t="str">
            <v>Non-proportional</v>
          </cell>
          <cell r="S34934">
            <v>-7598.8</v>
          </cell>
          <cell r="X34934" t="str">
            <v>Variation UPR - gross</v>
          </cell>
          <cell r="Y34934" t="str">
            <v>NEW ZEALAND</v>
          </cell>
        </row>
        <row r="34935">
          <cell r="L34935" t="str">
            <v>Non-proportional</v>
          </cell>
          <cell r="S34935">
            <v>58922.8</v>
          </cell>
          <cell r="X34935" t="str">
            <v>Variation UPR - gross</v>
          </cell>
          <cell r="Y34935" t="str">
            <v>PERU</v>
          </cell>
        </row>
        <row r="34936">
          <cell r="L34936" t="str">
            <v>Non-proportional</v>
          </cell>
          <cell r="S34936">
            <v>-37.78</v>
          </cell>
          <cell r="X34936" t="str">
            <v>Variation UPR - gross</v>
          </cell>
          <cell r="Y34936" t="str">
            <v>CHILE</v>
          </cell>
        </row>
        <row r="34937">
          <cell r="L34937" t="str">
            <v>Non-proportional</v>
          </cell>
          <cell r="S34937">
            <v>-37.78</v>
          </cell>
          <cell r="X34937" t="str">
            <v>Variation UPR - gross</v>
          </cell>
          <cell r="Y34937" t="str">
            <v>CHILE</v>
          </cell>
        </row>
        <row r="34938">
          <cell r="L34938" t="str">
            <v>Non-proportional</v>
          </cell>
          <cell r="S34938">
            <v>20315.330000000002</v>
          </cell>
          <cell r="X34938" t="str">
            <v>Variation UPR - gross</v>
          </cell>
          <cell r="Y34938" t="str">
            <v>FRANCE</v>
          </cell>
        </row>
        <row r="34939">
          <cell r="L34939" t="str">
            <v>Non-proportional</v>
          </cell>
          <cell r="S34939">
            <v>-144394.29</v>
          </cell>
          <cell r="X34939" t="str">
            <v>Variation UPR - gross</v>
          </cell>
          <cell r="Y34939" t="str">
            <v>UNITED KINGDOM</v>
          </cell>
        </row>
        <row r="34940">
          <cell r="L34940" t="str">
            <v>Non-proportional</v>
          </cell>
          <cell r="S34940">
            <v>146.30000000000001</v>
          </cell>
          <cell r="X34940" t="str">
            <v>Variation UPR - gross</v>
          </cell>
          <cell r="Y34940" t="str">
            <v>INDIA</v>
          </cell>
        </row>
        <row r="34941">
          <cell r="L34941" t="str">
            <v>Non-proportional</v>
          </cell>
          <cell r="S34941">
            <v>73331.5</v>
          </cell>
          <cell r="X34941" t="str">
            <v>Variation UPR - gross</v>
          </cell>
          <cell r="Y34941" t="str">
            <v>ITALY</v>
          </cell>
        </row>
        <row r="34942">
          <cell r="L34942" t="str">
            <v>Non-proportional</v>
          </cell>
          <cell r="S34942">
            <v>-3362.49</v>
          </cell>
          <cell r="X34942" t="str">
            <v>Variation UPR - gross</v>
          </cell>
          <cell r="Y34942" t="str">
            <v>CHILE</v>
          </cell>
        </row>
        <row r="34943">
          <cell r="L34943" t="str">
            <v>Non-proportional</v>
          </cell>
          <cell r="S34943">
            <v>-6469.28</v>
          </cell>
          <cell r="X34943" t="str">
            <v>Variation UPR - gross</v>
          </cell>
          <cell r="Y34943" t="str">
            <v>PERU</v>
          </cell>
        </row>
        <row r="34944">
          <cell r="L34944" t="str">
            <v>Non-proportional</v>
          </cell>
          <cell r="S34944">
            <v>-7056.54</v>
          </cell>
          <cell r="X34944" t="str">
            <v>Variation UPR - gross</v>
          </cell>
          <cell r="Y34944" t="str">
            <v>UNITED KINGDOM</v>
          </cell>
        </row>
        <row r="34945">
          <cell r="L34945" t="str">
            <v>Non-proportional</v>
          </cell>
          <cell r="S34945">
            <v>73247.789999999994</v>
          </cell>
          <cell r="X34945" t="str">
            <v>Variation UPR - gross</v>
          </cell>
          <cell r="Y34945" t="str">
            <v>CYPRUS</v>
          </cell>
        </row>
        <row r="34946">
          <cell r="L34946" t="str">
            <v>Non-proportional</v>
          </cell>
          <cell r="S34946">
            <v>95791.7</v>
          </cell>
          <cell r="X34946" t="str">
            <v>Variation UPR - gross</v>
          </cell>
          <cell r="Y34946" t="str">
            <v>TURKEY</v>
          </cell>
        </row>
        <row r="34947">
          <cell r="L34947" t="str">
            <v>Non-proportional</v>
          </cell>
          <cell r="S34947">
            <v>-2936.63</v>
          </cell>
          <cell r="X34947" t="str">
            <v>Variation UPR - gross</v>
          </cell>
          <cell r="Y34947" t="str">
            <v>UNITED KINGDOM</v>
          </cell>
        </row>
        <row r="34948">
          <cell r="L34948" t="str">
            <v>Non-proportional</v>
          </cell>
          <cell r="S34948">
            <v>4135764.88</v>
          </cell>
          <cell r="X34948" t="str">
            <v>Variation UPR - gross</v>
          </cell>
          <cell r="Y34948" t="str">
            <v>PORTUGAL</v>
          </cell>
        </row>
        <row r="34949">
          <cell r="L34949" t="str">
            <v>Non-proportional</v>
          </cell>
          <cell r="S34949">
            <v>-416.29</v>
          </cell>
          <cell r="X34949" t="str">
            <v>Variation UPR - gross</v>
          </cell>
          <cell r="Y34949" t="str">
            <v>TURKEY</v>
          </cell>
        </row>
        <row r="34950">
          <cell r="L34950" t="str">
            <v>Non-proportional</v>
          </cell>
          <cell r="S34950">
            <v>-57409.96</v>
          </cell>
          <cell r="X34950" t="str">
            <v>Variation UPR - gross</v>
          </cell>
          <cell r="Y34950" t="str">
            <v>UNITED KINGDOM</v>
          </cell>
        </row>
        <row r="34951">
          <cell r="L34951" t="str">
            <v>Non-proportional</v>
          </cell>
          <cell r="S34951">
            <v>5.27</v>
          </cell>
          <cell r="X34951" t="str">
            <v>Variation UPR - gross</v>
          </cell>
          <cell r="Y34951" t="str">
            <v>INDIA</v>
          </cell>
        </row>
        <row r="34952">
          <cell r="L34952" t="str">
            <v>Non-proportional</v>
          </cell>
          <cell r="S34952">
            <v>117112.54</v>
          </cell>
          <cell r="X34952" t="str">
            <v>Variation UPR - gross</v>
          </cell>
          <cell r="Y34952" t="str">
            <v>PERU</v>
          </cell>
        </row>
        <row r="34953">
          <cell r="L34953" t="str">
            <v>Non-proportional</v>
          </cell>
          <cell r="S34953">
            <v>37894.11</v>
          </cell>
          <cell r="X34953" t="str">
            <v>Variation UPR - gross</v>
          </cell>
          <cell r="Y34953" t="str">
            <v>CHILE</v>
          </cell>
        </row>
        <row r="34954">
          <cell r="L34954" t="str">
            <v>Non-proportional</v>
          </cell>
          <cell r="S34954">
            <v>4594.33</v>
          </cell>
          <cell r="X34954" t="str">
            <v>Variation UPR - gross</v>
          </cell>
          <cell r="Y34954" t="str">
            <v>NETHERLANDS</v>
          </cell>
        </row>
        <row r="34955">
          <cell r="L34955" t="str">
            <v>Non-proportional</v>
          </cell>
          <cell r="S34955">
            <v>-21.76</v>
          </cell>
          <cell r="X34955" t="str">
            <v>Variation UPR - gross</v>
          </cell>
          <cell r="Y34955" t="str">
            <v>JAPAN</v>
          </cell>
        </row>
        <row r="34956">
          <cell r="L34956" t="str">
            <v>Non-proportional</v>
          </cell>
          <cell r="S34956">
            <v>84.55</v>
          </cell>
          <cell r="X34956" t="str">
            <v>Variation UPR - gross</v>
          </cell>
          <cell r="Y34956" t="str">
            <v>NEW ZEALAND</v>
          </cell>
        </row>
        <row r="34957">
          <cell r="L34957" t="str">
            <v>Non-proportional</v>
          </cell>
          <cell r="S34957">
            <v>-245.76</v>
          </cell>
          <cell r="X34957" t="str">
            <v>Variation UPR - gross</v>
          </cell>
          <cell r="Y34957" t="str">
            <v>JAPAN</v>
          </cell>
        </row>
        <row r="34958">
          <cell r="L34958" t="str">
            <v>Non-proportional</v>
          </cell>
          <cell r="S34958">
            <v>107273.26</v>
          </cell>
          <cell r="X34958" t="str">
            <v>Variation UPR - gross</v>
          </cell>
          <cell r="Y34958" t="str">
            <v>ISRAEL</v>
          </cell>
        </row>
        <row r="34959">
          <cell r="L34959" t="str">
            <v>Non-proportional</v>
          </cell>
          <cell r="S34959">
            <v>-6200.5</v>
          </cell>
          <cell r="X34959" t="str">
            <v>Variation UPR - gross</v>
          </cell>
          <cell r="Y34959" t="str">
            <v>COLOMBIA</v>
          </cell>
        </row>
        <row r="34960">
          <cell r="L34960" t="str">
            <v>Non-proportional</v>
          </cell>
          <cell r="S34960">
            <v>264.47000000000003</v>
          </cell>
          <cell r="X34960" t="str">
            <v>Variation UPR - gross</v>
          </cell>
          <cell r="Y34960" t="str">
            <v>CHILE</v>
          </cell>
        </row>
        <row r="34961">
          <cell r="L34961" t="str">
            <v>Non-proportional</v>
          </cell>
          <cell r="S34961">
            <v>102.76</v>
          </cell>
          <cell r="X34961" t="str">
            <v>Variation UPR - gross</v>
          </cell>
          <cell r="Y34961" t="str">
            <v>COLOMBIA</v>
          </cell>
        </row>
        <row r="34962">
          <cell r="L34962" t="str">
            <v>Non-proportional</v>
          </cell>
          <cell r="S34962">
            <v>69068.820000000007</v>
          </cell>
          <cell r="X34962" t="str">
            <v>Variation UPR - gross</v>
          </cell>
          <cell r="Y34962" t="str">
            <v>FRANCE</v>
          </cell>
        </row>
        <row r="34963">
          <cell r="L34963" t="str">
            <v>Non-proportional</v>
          </cell>
          <cell r="S34963">
            <v>-40491.199999999997</v>
          </cell>
          <cell r="X34963" t="str">
            <v>Variation UPR - gross</v>
          </cell>
          <cell r="Y34963" t="str">
            <v>UNITED KINGDOM</v>
          </cell>
        </row>
        <row r="34964">
          <cell r="L34964" t="str">
            <v>Proportional</v>
          </cell>
          <cell r="S34964">
            <v>747824.18</v>
          </cell>
          <cell r="X34964" t="str">
            <v>Variation UPR - gross</v>
          </cell>
          <cell r="Y34964" t="str">
            <v>THAILAND</v>
          </cell>
        </row>
        <row r="34965">
          <cell r="L34965" t="str">
            <v>Non-proportional</v>
          </cell>
          <cell r="S34965">
            <v>15817962.27</v>
          </cell>
          <cell r="X34965" t="str">
            <v>Variation UPR - gross</v>
          </cell>
          <cell r="Y34965" t="str">
            <v>UNITED KINGDOM</v>
          </cell>
        </row>
        <row r="34966">
          <cell r="L34966" t="str">
            <v>Non-proportional</v>
          </cell>
          <cell r="S34966">
            <v>-5229.5200000000004</v>
          </cell>
          <cell r="X34966" t="str">
            <v>Variation UPR - gross</v>
          </cell>
          <cell r="Y34966" t="str">
            <v>GUATEMALA</v>
          </cell>
        </row>
        <row r="34967">
          <cell r="L34967" t="str">
            <v>Proportional</v>
          </cell>
          <cell r="S34967">
            <v>4384600</v>
          </cell>
          <cell r="X34967" t="str">
            <v>Variation UPR - gross</v>
          </cell>
          <cell r="Y34967" t="str">
            <v>PORTUGAL</v>
          </cell>
        </row>
        <row r="34968">
          <cell r="L34968" t="str">
            <v>Non-proportional</v>
          </cell>
          <cell r="S34968">
            <v>19800</v>
          </cell>
          <cell r="X34968" t="str">
            <v>Variation UPR - gross</v>
          </cell>
          <cell r="Y34968" t="str">
            <v>PORTUGAL</v>
          </cell>
        </row>
        <row r="34969">
          <cell r="L34969" t="str">
            <v>Non-proportional</v>
          </cell>
          <cell r="S34969">
            <v>15468.75</v>
          </cell>
          <cell r="X34969" t="str">
            <v>Variation UPR - gross</v>
          </cell>
          <cell r="Y34969" t="str">
            <v>GREECE</v>
          </cell>
        </row>
        <row r="34970">
          <cell r="L34970" t="str">
            <v>Non-proportional</v>
          </cell>
          <cell r="S34970">
            <v>86.23</v>
          </cell>
          <cell r="X34970" t="str">
            <v>Variation UPR - gross</v>
          </cell>
          <cell r="Y34970" t="str">
            <v>COLOMBIA</v>
          </cell>
        </row>
        <row r="34971">
          <cell r="L34971" t="str">
            <v>Non-proportional</v>
          </cell>
          <cell r="S34971">
            <v>140.25</v>
          </cell>
          <cell r="X34971" t="str">
            <v>Variation UPR - gross</v>
          </cell>
          <cell r="Y34971" t="str">
            <v>NEW ZEALAND</v>
          </cell>
        </row>
        <row r="34972">
          <cell r="L34972" t="str">
            <v>Non-proportional</v>
          </cell>
          <cell r="S34972">
            <v>-6765.64</v>
          </cell>
          <cell r="X34972" t="str">
            <v>Variation UPR - gross</v>
          </cell>
          <cell r="Y34972" t="str">
            <v>ECUADOR</v>
          </cell>
        </row>
        <row r="34973">
          <cell r="L34973" t="str">
            <v>Non-proportional</v>
          </cell>
          <cell r="S34973">
            <v>-352.68</v>
          </cell>
          <cell r="X34973" t="str">
            <v>Variation UPR - gross</v>
          </cell>
          <cell r="Y34973" t="str">
            <v>DOMINICAN REPUBLIC</v>
          </cell>
        </row>
        <row r="34974">
          <cell r="L34974" t="str">
            <v>Non-proportional</v>
          </cell>
          <cell r="S34974">
            <v>-1360.83</v>
          </cell>
          <cell r="X34974" t="str">
            <v>Variation UPR - gross</v>
          </cell>
          <cell r="Y34974" t="str">
            <v>COLOMBIA</v>
          </cell>
        </row>
        <row r="34975">
          <cell r="L34975" t="str">
            <v>Proportional</v>
          </cell>
          <cell r="S34975">
            <v>-55413.1</v>
          </cell>
          <cell r="X34975" t="str">
            <v>Variation UPR - gross</v>
          </cell>
          <cell r="Y34975" t="str">
            <v>JAPAN</v>
          </cell>
        </row>
        <row r="34976">
          <cell r="L34976" t="str">
            <v>Proportional</v>
          </cell>
          <cell r="S34976">
            <v>-52328.13</v>
          </cell>
          <cell r="X34976" t="str">
            <v>Variation UPR - gross</v>
          </cell>
          <cell r="Y34976" t="str">
            <v>INDIA</v>
          </cell>
        </row>
        <row r="34977">
          <cell r="L34977" t="str">
            <v>Non-proportional</v>
          </cell>
          <cell r="S34977">
            <v>60639.43</v>
          </cell>
          <cell r="X34977" t="str">
            <v>Variation UPR - gross</v>
          </cell>
          <cell r="Y34977" t="str">
            <v>NETHERLANDS</v>
          </cell>
        </row>
        <row r="34978">
          <cell r="L34978" t="str">
            <v>Non-proportional</v>
          </cell>
          <cell r="S34978">
            <v>-2568.29</v>
          </cell>
          <cell r="X34978" t="str">
            <v>Variation UPR - gross</v>
          </cell>
          <cell r="Y34978" t="str">
            <v>NEW ZEALAND</v>
          </cell>
        </row>
        <row r="34979">
          <cell r="L34979" t="str">
            <v>Non-proportional</v>
          </cell>
          <cell r="S34979">
            <v>18310.189999999999</v>
          </cell>
          <cell r="X34979" t="str">
            <v>Variation UPR - gross</v>
          </cell>
          <cell r="Y34979" t="str">
            <v>FRANCE</v>
          </cell>
        </row>
        <row r="34980">
          <cell r="L34980" t="str">
            <v>Non-proportional</v>
          </cell>
          <cell r="S34980">
            <v>-7079.03</v>
          </cell>
          <cell r="X34980" t="str">
            <v>Variation UPR - gross</v>
          </cell>
          <cell r="Y34980" t="str">
            <v>POLAND</v>
          </cell>
        </row>
        <row r="34981">
          <cell r="L34981" t="str">
            <v>Non-proportional</v>
          </cell>
          <cell r="S34981">
            <v>-9277.35</v>
          </cell>
          <cell r="X34981" t="str">
            <v>Variation UPR - gross</v>
          </cell>
          <cell r="Y34981" t="str">
            <v>JAPAN</v>
          </cell>
        </row>
        <row r="34982">
          <cell r="L34982" t="str">
            <v>Non-proportional</v>
          </cell>
          <cell r="S34982">
            <v>-3349.24</v>
          </cell>
          <cell r="X34982" t="str">
            <v>Variation UPR - gross</v>
          </cell>
          <cell r="Y34982" t="str">
            <v>DOMINICAN REPUBLIC</v>
          </cell>
        </row>
        <row r="34983">
          <cell r="L34983" t="str">
            <v>Non-proportional</v>
          </cell>
          <cell r="S34983">
            <v>-459.34</v>
          </cell>
          <cell r="X34983" t="str">
            <v>Variation UPR - gross</v>
          </cell>
          <cell r="Y34983" t="str">
            <v>TURKEY</v>
          </cell>
        </row>
        <row r="34984">
          <cell r="L34984" t="str">
            <v>Non-proportional</v>
          </cell>
          <cell r="S34984">
            <v>-30079.18</v>
          </cell>
          <cell r="X34984" t="str">
            <v>Variation UPR - gross</v>
          </cell>
          <cell r="Y34984" t="str">
            <v>UNITED KINGDOM</v>
          </cell>
        </row>
        <row r="34985">
          <cell r="L34985" t="str">
            <v>Non-proportional</v>
          </cell>
          <cell r="S34985">
            <v>84.99</v>
          </cell>
          <cell r="X34985" t="str">
            <v>Variation UPR - gross</v>
          </cell>
          <cell r="Y34985" t="str">
            <v>BRAZIL</v>
          </cell>
        </row>
        <row r="34986">
          <cell r="L34986" t="str">
            <v>Non-proportional</v>
          </cell>
          <cell r="S34986">
            <v>49866.67</v>
          </cell>
          <cell r="X34986" t="str">
            <v>Variation UPR - gross</v>
          </cell>
          <cell r="Y34986" t="str">
            <v>PORTUGAL</v>
          </cell>
        </row>
        <row r="34987">
          <cell r="L34987" t="str">
            <v>Non-proportional</v>
          </cell>
          <cell r="S34987">
            <v>429.33</v>
          </cell>
          <cell r="X34987" t="str">
            <v>Variation UPR - gross</v>
          </cell>
          <cell r="Y34987" t="str">
            <v>ISRAEL</v>
          </cell>
        </row>
        <row r="34988">
          <cell r="L34988" t="str">
            <v>Proportional</v>
          </cell>
          <cell r="S34988">
            <v>3215643.94</v>
          </cell>
          <cell r="X34988" t="str">
            <v>Variation UPR - gross</v>
          </cell>
          <cell r="Y34988" t="str">
            <v>THAILAND</v>
          </cell>
        </row>
        <row r="34989">
          <cell r="L34989" t="str">
            <v>Non-proportional</v>
          </cell>
          <cell r="S34989">
            <v>-6129.65</v>
          </cell>
          <cell r="X34989" t="str">
            <v>Variation UPR - gross</v>
          </cell>
          <cell r="Y34989" t="str">
            <v>NEW ZEALAND</v>
          </cell>
        </row>
        <row r="34990">
          <cell r="L34990" t="str">
            <v>Non-proportional</v>
          </cell>
          <cell r="S34990">
            <v>-3013.12</v>
          </cell>
          <cell r="X34990" t="str">
            <v>Variation UPR - gross</v>
          </cell>
          <cell r="Y34990" t="str">
            <v>COLOMBIA</v>
          </cell>
        </row>
        <row r="34991">
          <cell r="L34991" t="str">
            <v>Non-proportional</v>
          </cell>
          <cell r="S34991">
            <v>5.12</v>
          </cell>
          <cell r="X34991" t="str">
            <v>Variation UPR - gross</v>
          </cell>
          <cell r="Y34991" t="str">
            <v>INDIA</v>
          </cell>
        </row>
        <row r="34992">
          <cell r="L34992" t="str">
            <v>Non-proportional</v>
          </cell>
          <cell r="S34992">
            <v>22458.33</v>
          </cell>
          <cell r="X34992" t="str">
            <v>Variation UPR - gross</v>
          </cell>
          <cell r="Y34992" t="str">
            <v>ITALY</v>
          </cell>
        </row>
        <row r="34993">
          <cell r="L34993" t="str">
            <v>Proportional</v>
          </cell>
          <cell r="S34993">
            <v>-693.3</v>
          </cell>
          <cell r="X34993" t="str">
            <v>Variation UPR - gross</v>
          </cell>
          <cell r="Y34993" t="str">
            <v>THAILAND</v>
          </cell>
        </row>
        <row r="34994">
          <cell r="L34994" t="str">
            <v>Non-proportional</v>
          </cell>
          <cell r="S34994">
            <v>132014.57999999999</v>
          </cell>
          <cell r="X34994" t="str">
            <v>Variation UPR - gross</v>
          </cell>
          <cell r="Y34994" t="str">
            <v>ITALY</v>
          </cell>
        </row>
        <row r="34995">
          <cell r="L34995" t="str">
            <v>Non-proportional</v>
          </cell>
          <cell r="S34995">
            <v>-52.83</v>
          </cell>
          <cell r="X34995" t="str">
            <v>Variation UPR - gross</v>
          </cell>
          <cell r="Y34995" t="str">
            <v>JAPAN</v>
          </cell>
        </row>
        <row r="34996">
          <cell r="L34996" t="str">
            <v>Non-proportional</v>
          </cell>
          <cell r="S34996">
            <v>149.66999999999999</v>
          </cell>
          <cell r="X34996" t="str">
            <v>Variation UPR - gross</v>
          </cell>
          <cell r="Y34996" t="str">
            <v>JAPAN</v>
          </cell>
        </row>
        <row r="34997">
          <cell r="L34997" t="str">
            <v>Non-proportional</v>
          </cell>
          <cell r="S34997">
            <v>-3052.23</v>
          </cell>
          <cell r="X34997" t="str">
            <v>Variation UPR - gross</v>
          </cell>
          <cell r="Y34997" t="str">
            <v>AUSTRALIA</v>
          </cell>
        </row>
        <row r="34998">
          <cell r="L34998" t="str">
            <v>Non-proportional</v>
          </cell>
          <cell r="S34998">
            <v>-1753.13</v>
          </cell>
          <cell r="X34998" t="str">
            <v>Variation UPR - gross</v>
          </cell>
          <cell r="Y34998" t="str">
            <v>ROMANIA</v>
          </cell>
        </row>
        <row r="34999">
          <cell r="L34999" t="str">
            <v>Non-proportional</v>
          </cell>
          <cell r="S34999">
            <v>32755.29</v>
          </cell>
          <cell r="X34999" t="str">
            <v>Variation UPR - gross</v>
          </cell>
          <cell r="Y34999" t="str">
            <v>ISRAEL</v>
          </cell>
        </row>
        <row r="35000">
          <cell r="L35000" t="str">
            <v>Non-proportional</v>
          </cell>
          <cell r="S35000">
            <v>-2002.38</v>
          </cell>
          <cell r="X35000" t="str">
            <v>Variation UPR - gross</v>
          </cell>
          <cell r="Y35000" t="str">
            <v>CHILE</v>
          </cell>
        </row>
        <row r="35001">
          <cell r="L35001" t="str">
            <v>Non-proportional</v>
          </cell>
          <cell r="S35001">
            <v>-624.41</v>
          </cell>
          <cell r="X35001" t="str">
            <v>Variation UPR - gross</v>
          </cell>
          <cell r="Y35001" t="str">
            <v>JAPAN</v>
          </cell>
        </row>
        <row r="35002">
          <cell r="L35002" t="str">
            <v>Non-proportional</v>
          </cell>
          <cell r="S35002">
            <v>8898.23</v>
          </cell>
          <cell r="X35002" t="str">
            <v>Variation UPR - gross</v>
          </cell>
          <cell r="Y35002" t="str">
            <v>ISRAEL</v>
          </cell>
        </row>
        <row r="35003">
          <cell r="L35003" t="str">
            <v>Non-proportional</v>
          </cell>
          <cell r="S35003">
            <v>-4061.48</v>
          </cell>
          <cell r="X35003" t="str">
            <v>Variation UPR - gross</v>
          </cell>
          <cell r="Y35003" t="str">
            <v>UNITED KINGDOM</v>
          </cell>
        </row>
        <row r="35004">
          <cell r="L35004" t="str">
            <v>Non-proportional</v>
          </cell>
          <cell r="S35004">
            <v>-1274.5999999999999</v>
          </cell>
          <cell r="X35004" t="str">
            <v>Variation UPR - gross</v>
          </cell>
          <cell r="Y35004" t="str">
            <v>NEW ZEALAND</v>
          </cell>
        </row>
        <row r="35005">
          <cell r="L35005" t="str">
            <v>Non-proportional</v>
          </cell>
          <cell r="S35005">
            <v>-75.56</v>
          </cell>
          <cell r="X35005" t="str">
            <v>Variation UPR - gross</v>
          </cell>
          <cell r="Y35005" t="str">
            <v>CHILE</v>
          </cell>
        </row>
        <row r="35006">
          <cell r="L35006" t="str">
            <v>Non-proportional</v>
          </cell>
          <cell r="S35006">
            <v>15575.25</v>
          </cell>
          <cell r="X35006" t="str">
            <v>Variation UPR - gross</v>
          </cell>
          <cell r="Y35006" t="str">
            <v>FRANCE</v>
          </cell>
        </row>
        <row r="35007">
          <cell r="L35007" t="str">
            <v>Non-proportional</v>
          </cell>
          <cell r="S35007">
            <v>-5021.76</v>
          </cell>
          <cell r="X35007" t="str">
            <v>Variation UPR - gross</v>
          </cell>
          <cell r="Y35007" t="str">
            <v>UNITED KINGDOM</v>
          </cell>
        </row>
        <row r="35008">
          <cell r="L35008" t="str">
            <v>Non-proportional</v>
          </cell>
          <cell r="S35008">
            <v>13185.49</v>
          </cell>
          <cell r="X35008" t="str">
            <v>Variation UPR - gross</v>
          </cell>
          <cell r="Y35008" t="str">
            <v>CHILE</v>
          </cell>
        </row>
        <row r="35009">
          <cell r="L35009" t="str">
            <v>Non-proportional</v>
          </cell>
          <cell r="S35009">
            <v>23529.99</v>
          </cell>
          <cell r="X35009" t="str">
            <v>Variation UPR - gross</v>
          </cell>
          <cell r="Y35009" t="str">
            <v>PERU</v>
          </cell>
        </row>
        <row r="35010">
          <cell r="L35010" t="str">
            <v>Non-proportional</v>
          </cell>
          <cell r="S35010">
            <v>-887.59</v>
          </cell>
          <cell r="X35010" t="str">
            <v>Variation UPR - gross</v>
          </cell>
          <cell r="Y35010" t="str">
            <v>INDIA</v>
          </cell>
        </row>
        <row r="35011">
          <cell r="L35011" t="str">
            <v>Non-proportional</v>
          </cell>
          <cell r="S35011">
            <v>12829.18</v>
          </cell>
          <cell r="X35011" t="str">
            <v>Variation UPR - gross</v>
          </cell>
          <cell r="Y35011" t="str">
            <v>ISRAEL</v>
          </cell>
        </row>
        <row r="35012">
          <cell r="L35012" t="str">
            <v>Non-proportional</v>
          </cell>
          <cell r="S35012">
            <v>736057.94</v>
          </cell>
          <cell r="X35012" t="str">
            <v>Variation UPR - gross</v>
          </cell>
          <cell r="Y35012" t="str">
            <v>UNITED KINGDOM</v>
          </cell>
        </row>
        <row r="35013">
          <cell r="L35013" t="str">
            <v>Non-proportional</v>
          </cell>
          <cell r="S35013">
            <v>-1893.14</v>
          </cell>
          <cell r="X35013" t="str">
            <v>Variation UPR - gross</v>
          </cell>
          <cell r="Y35013" t="str">
            <v>JAPAN</v>
          </cell>
        </row>
        <row r="35014">
          <cell r="L35014" t="str">
            <v>Non-proportional</v>
          </cell>
          <cell r="S35014">
            <v>-5607.73</v>
          </cell>
          <cell r="X35014" t="str">
            <v>Variation UPR - gross</v>
          </cell>
          <cell r="Y35014" t="str">
            <v>AUSTRALIA</v>
          </cell>
        </row>
        <row r="35015">
          <cell r="L35015" t="str">
            <v>Non-proportional</v>
          </cell>
          <cell r="S35015">
            <v>75.56</v>
          </cell>
          <cell r="X35015" t="str">
            <v>Variation UPR - gross</v>
          </cell>
          <cell r="Y35015" t="str">
            <v>CHILE</v>
          </cell>
        </row>
        <row r="35016">
          <cell r="L35016" t="str">
            <v>Non-proportional</v>
          </cell>
          <cell r="S35016">
            <v>65768.960000000006</v>
          </cell>
          <cell r="X35016" t="str">
            <v>Variation UPR - gross</v>
          </cell>
          <cell r="Y35016" t="str">
            <v>MEXICO</v>
          </cell>
        </row>
        <row r="35017">
          <cell r="L35017" t="str">
            <v>Non-proportional</v>
          </cell>
          <cell r="S35017">
            <v>0.02</v>
          </cell>
          <cell r="X35017" t="str">
            <v>Variation UPR - gross</v>
          </cell>
          <cell r="Y35017" t="str">
            <v>COLOMBIA</v>
          </cell>
        </row>
        <row r="35018">
          <cell r="L35018" t="str">
            <v>Non-proportional</v>
          </cell>
          <cell r="S35018">
            <v>14341.6</v>
          </cell>
          <cell r="X35018" t="str">
            <v>Variation UPR - gross</v>
          </cell>
          <cell r="Y35018" t="str">
            <v>CYPRUS</v>
          </cell>
        </row>
        <row r="35019">
          <cell r="L35019" t="str">
            <v>Non-proportional</v>
          </cell>
          <cell r="S35019">
            <v>19071.25</v>
          </cell>
          <cell r="X35019" t="str">
            <v>Variation UPR - gross</v>
          </cell>
          <cell r="Y35019" t="str">
            <v>PORTUGAL</v>
          </cell>
        </row>
        <row r="35020">
          <cell r="L35020" t="str">
            <v>Non-proportional</v>
          </cell>
          <cell r="S35020">
            <v>26962.9</v>
          </cell>
          <cell r="X35020" t="str">
            <v>Variation UPR - gross</v>
          </cell>
          <cell r="Y35020" t="str">
            <v>FRANCE</v>
          </cell>
        </row>
        <row r="35021">
          <cell r="L35021" t="str">
            <v>Non-proportional</v>
          </cell>
          <cell r="S35021">
            <v>-20.62</v>
          </cell>
          <cell r="X35021" t="str">
            <v>Variation UPR - gross</v>
          </cell>
          <cell r="Y35021" t="str">
            <v>JAPAN</v>
          </cell>
        </row>
        <row r="35022">
          <cell r="L35022" t="str">
            <v>Non-proportional</v>
          </cell>
          <cell r="S35022">
            <v>-13.51</v>
          </cell>
          <cell r="X35022" t="str">
            <v>Variation UPR - gross</v>
          </cell>
          <cell r="Y35022" t="str">
            <v>JAPAN</v>
          </cell>
        </row>
        <row r="35023">
          <cell r="L35023" t="str">
            <v>Non-proportional</v>
          </cell>
          <cell r="S35023">
            <v>-0.04</v>
          </cell>
          <cell r="X35023" t="str">
            <v>Variation UPR - gross</v>
          </cell>
          <cell r="Y35023" t="str">
            <v>THAILAND</v>
          </cell>
        </row>
        <row r="35024">
          <cell r="L35024" t="str">
            <v>Non-proportional</v>
          </cell>
          <cell r="S35024">
            <v>-53187.5</v>
          </cell>
          <cell r="X35024" t="str">
            <v>Variation UPR - gross</v>
          </cell>
          <cell r="Y35024" t="str">
            <v>BELGIUM</v>
          </cell>
        </row>
        <row r="35025">
          <cell r="L35025" t="str">
            <v>Non-proportional</v>
          </cell>
          <cell r="S35025">
            <v>-22749.7</v>
          </cell>
          <cell r="X35025" t="str">
            <v>Variation UPR - gross</v>
          </cell>
          <cell r="Y35025" t="str">
            <v>UNITED KINGDOM</v>
          </cell>
        </row>
        <row r="35026">
          <cell r="L35026" t="str">
            <v>Non-proportional</v>
          </cell>
          <cell r="S35026">
            <v>-10093.82</v>
          </cell>
          <cell r="X35026" t="str">
            <v>Variation UPR - gross</v>
          </cell>
          <cell r="Y35026" t="str">
            <v>AUSTRALIA</v>
          </cell>
        </row>
        <row r="35027">
          <cell r="L35027" t="str">
            <v>Non-proportional</v>
          </cell>
          <cell r="S35027">
            <v>100962.15</v>
          </cell>
          <cell r="X35027" t="str">
            <v>Variation UPR - gross</v>
          </cell>
          <cell r="Y35027" t="str">
            <v>FRANCE</v>
          </cell>
        </row>
        <row r="35028">
          <cell r="L35028" t="str">
            <v>Non-proportional</v>
          </cell>
          <cell r="S35028">
            <v>26962.9</v>
          </cell>
          <cell r="X35028" t="str">
            <v>Variation UPR - gross</v>
          </cell>
          <cell r="Y35028" t="str">
            <v>FRANCE</v>
          </cell>
        </row>
        <row r="35029">
          <cell r="L35029" t="str">
            <v>Non-proportional</v>
          </cell>
          <cell r="S35029">
            <v>-5242.9</v>
          </cell>
          <cell r="X35029" t="str">
            <v>Variation UPR - gross</v>
          </cell>
          <cell r="Y35029" t="str">
            <v>JAPAN</v>
          </cell>
        </row>
        <row r="35030">
          <cell r="L35030" t="str">
            <v>Non-proportional</v>
          </cell>
          <cell r="S35030">
            <v>-44754.57</v>
          </cell>
          <cell r="X35030" t="str">
            <v>Variation UPR - gross</v>
          </cell>
          <cell r="Y35030" t="str">
            <v>UNITED KINGDOM</v>
          </cell>
        </row>
        <row r="35031">
          <cell r="L35031" t="str">
            <v>Non-proportional</v>
          </cell>
          <cell r="S35031">
            <v>23977.63</v>
          </cell>
          <cell r="X35031" t="str">
            <v>Variation UPR - gross</v>
          </cell>
          <cell r="Y35031" t="str">
            <v>FRANCE</v>
          </cell>
        </row>
        <row r="35032">
          <cell r="L35032" t="str">
            <v>Proportional</v>
          </cell>
          <cell r="S35032">
            <v>1144054.73</v>
          </cell>
          <cell r="X35032" t="str">
            <v>Variation UPR - gross</v>
          </cell>
          <cell r="Y35032" t="str">
            <v>PORTUGAL</v>
          </cell>
        </row>
        <row r="35033">
          <cell r="L35033" t="str">
            <v>Non-proportional</v>
          </cell>
          <cell r="S35033">
            <v>-1202.25</v>
          </cell>
          <cell r="X35033" t="str">
            <v>Variation UPR - gross</v>
          </cell>
          <cell r="Y35033" t="str">
            <v>REPUBLIC OF IRELAND</v>
          </cell>
        </row>
        <row r="35034">
          <cell r="L35034" t="str">
            <v>Non-proportional</v>
          </cell>
          <cell r="S35034">
            <v>35.39</v>
          </cell>
          <cell r="X35034" t="str">
            <v>Variation UPR - gross</v>
          </cell>
          <cell r="Y35034" t="str">
            <v>JAPAN</v>
          </cell>
        </row>
        <row r="35035">
          <cell r="L35035" t="str">
            <v>Non-proportional</v>
          </cell>
          <cell r="S35035">
            <v>390.97</v>
          </cell>
          <cell r="X35035" t="str">
            <v>Variation UPR - gross</v>
          </cell>
          <cell r="Y35035" t="str">
            <v>ISRAEL</v>
          </cell>
        </row>
        <row r="35036">
          <cell r="L35036" t="str">
            <v>Non-proportional</v>
          </cell>
          <cell r="S35036">
            <v>-34604.54</v>
          </cell>
          <cell r="X35036" t="str">
            <v>Variation UPR - gross</v>
          </cell>
          <cell r="Y35036" t="str">
            <v>NEW ZEALAND</v>
          </cell>
        </row>
        <row r="35037">
          <cell r="L35037" t="str">
            <v>Non-proportional</v>
          </cell>
          <cell r="S35037">
            <v>174740.09</v>
          </cell>
          <cell r="X35037" t="str">
            <v>Variation UPR - gross</v>
          </cell>
          <cell r="Y35037" t="str">
            <v>EUROPE</v>
          </cell>
        </row>
        <row r="35038">
          <cell r="L35038" t="str">
            <v>Non-proportional</v>
          </cell>
          <cell r="S35038">
            <v>77.069999999999993</v>
          </cell>
          <cell r="X35038" t="str">
            <v>Variation UPR - gross</v>
          </cell>
          <cell r="Y35038" t="str">
            <v>COLOMBIA</v>
          </cell>
        </row>
        <row r="35039">
          <cell r="L35039" t="str">
            <v>Proportional</v>
          </cell>
          <cell r="S35039">
            <v>207.46</v>
          </cell>
          <cell r="X35039" t="str">
            <v>Variation UPR - gross</v>
          </cell>
          <cell r="Y35039" t="str">
            <v>INDIA</v>
          </cell>
        </row>
        <row r="35040">
          <cell r="L35040" t="str">
            <v>Non-proportional</v>
          </cell>
          <cell r="S35040">
            <v>-3844.65</v>
          </cell>
          <cell r="X35040" t="str">
            <v>Variation UPR - gross</v>
          </cell>
          <cell r="Y35040" t="str">
            <v>AUSTRALIA</v>
          </cell>
        </row>
        <row r="35041">
          <cell r="L35041" t="str">
            <v>Non-proportional</v>
          </cell>
          <cell r="S35041">
            <v>391430.5</v>
          </cell>
          <cell r="X35041" t="str">
            <v>Variation UPR - gross</v>
          </cell>
          <cell r="Y35041" t="str">
            <v>HONG KONG</v>
          </cell>
        </row>
        <row r="35042">
          <cell r="L35042" t="str">
            <v>Non-proportional</v>
          </cell>
          <cell r="S35042">
            <v>-48.69</v>
          </cell>
          <cell r="X35042" t="str">
            <v>Variation UPR - gross</v>
          </cell>
          <cell r="Y35042" t="str">
            <v>INDIA</v>
          </cell>
        </row>
        <row r="35043">
          <cell r="L35043" t="str">
            <v>Non-proportional</v>
          </cell>
          <cell r="S35043">
            <v>56670.93</v>
          </cell>
          <cell r="X35043" t="str">
            <v>Variation UPR - gross</v>
          </cell>
          <cell r="Y35043" t="str">
            <v>ITALY</v>
          </cell>
        </row>
        <row r="35044">
          <cell r="L35044" t="str">
            <v>Non-proportional</v>
          </cell>
          <cell r="S35044">
            <v>149.66999999999999</v>
          </cell>
          <cell r="X35044" t="str">
            <v>Variation UPR - gross</v>
          </cell>
          <cell r="Y35044" t="str">
            <v>JAPAN</v>
          </cell>
        </row>
        <row r="35045">
          <cell r="L35045" t="str">
            <v>Non-proportional</v>
          </cell>
          <cell r="S35045">
            <v>-157.80000000000001</v>
          </cell>
          <cell r="X35045" t="str">
            <v>Variation UPR - gross</v>
          </cell>
          <cell r="Y35045" t="str">
            <v>INDIA</v>
          </cell>
        </row>
        <row r="35046">
          <cell r="L35046" t="str">
            <v>Non-proportional</v>
          </cell>
          <cell r="S35046">
            <v>-110.99</v>
          </cell>
          <cell r="X35046" t="str">
            <v>Variation UPR - gross</v>
          </cell>
          <cell r="Y35046" t="str">
            <v>INDIA</v>
          </cell>
        </row>
        <row r="35047">
          <cell r="L35047" t="str">
            <v>Non-proportional</v>
          </cell>
          <cell r="S35047">
            <v>-134.71</v>
          </cell>
          <cell r="X35047" t="str">
            <v>Variation UPR - gross</v>
          </cell>
          <cell r="Y35047" t="str">
            <v>INDIA</v>
          </cell>
        </row>
        <row r="35048">
          <cell r="L35048" t="str">
            <v>Proportional</v>
          </cell>
          <cell r="S35048">
            <v>3127321.48</v>
          </cell>
          <cell r="X35048" t="str">
            <v>Variation UPR - gross</v>
          </cell>
          <cell r="Y35048" t="str">
            <v>CANADA</v>
          </cell>
        </row>
        <row r="35049">
          <cell r="L35049" t="str">
            <v>Non-proportional</v>
          </cell>
          <cell r="S35049">
            <v>-4085.45</v>
          </cell>
          <cell r="X35049" t="str">
            <v>Variation UPR - gross</v>
          </cell>
          <cell r="Y35049" t="str">
            <v>INDIA</v>
          </cell>
        </row>
        <row r="35050">
          <cell r="L35050" t="str">
            <v>Non-proportional</v>
          </cell>
          <cell r="S35050">
            <v>-13521.93</v>
          </cell>
          <cell r="X35050" t="str">
            <v>Variation UPR - gross</v>
          </cell>
          <cell r="Y35050" t="str">
            <v>INDIA</v>
          </cell>
        </row>
        <row r="35051">
          <cell r="L35051" t="str">
            <v>Non-proportional</v>
          </cell>
          <cell r="S35051">
            <v>-0.02</v>
          </cell>
          <cell r="X35051" t="str">
            <v>Variation UPR - gross</v>
          </cell>
          <cell r="Y35051" t="str">
            <v>JAPAN</v>
          </cell>
        </row>
        <row r="35052">
          <cell r="L35052" t="str">
            <v>Non-proportional</v>
          </cell>
          <cell r="S35052">
            <v>-3227.41</v>
          </cell>
          <cell r="X35052" t="str">
            <v>Variation UPR - gross</v>
          </cell>
          <cell r="Y35052" t="str">
            <v>DOMINICAN REPUBLIC</v>
          </cell>
        </row>
        <row r="35053">
          <cell r="L35053" t="str">
            <v>Non-proportional</v>
          </cell>
          <cell r="S35053">
            <v>52263.91</v>
          </cell>
          <cell r="X35053" t="str">
            <v>Variation UPR - gross</v>
          </cell>
          <cell r="Y35053" t="str">
            <v>FRANCE</v>
          </cell>
        </row>
        <row r="35054">
          <cell r="L35054" t="str">
            <v>Non-proportional</v>
          </cell>
          <cell r="S35054">
            <v>292.33</v>
          </cell>
          <cell r="X35054" t="str">
            <v>Variation UPR - gross</v>
          </cell>
          <cell r="Y35054" t="str">
            <v>COLOMBIA</v>
          </cell>
        </row>
        <row r="35055">
          <cell r="L35055" t="str">
            <v>Non-proportional</v>
          </cell>
          <cell r="S35055">
            <v>-3960.48</v>
          </cell>
          <cell r="X35055" t="str">
            <v>Variation UPR - gross</v>
          </cell>
          <cell r="Y35055" t="str">
            <v>DOMINICAN REPUBLIC</v>
          </cell>
        </row>
        <row r="35056">
          <cell r="L35056" t="str">
            <v>Non-proportional</v>
          </cell>
          <cell r="S35056">
            <v>-2855.95</v>
          </cell>
          <cell r="X35056" t="str">
            <v>Variation UPR - gross</v>
          </cell>
          <cell r="Y35056" t="str">
            <v>POLAND</v>
          </cell>
        </row>
        <row r="35057">
          <cell r="L35057" t="str">
            <v>Non-proportional</v>
          </cell>
          <cell r="S35057">
            <v>-3546.43</v>
          </cell>
          <cell r="X35057" t="str">
            <v>Variation UPR - gross</v>
          </cell>
          <cell r="Y35057" t="str">
            <v>SOUTH AFRICA</v>
          </cell>
        </row>
        <row r="35058">
          <cell r="L35058" t="str">
            <v>Non-proportional</v>
          </cell>
          <cell r="S35058">
            <v>-113852.25</v>
          </cell>
          <cell r="X35058" t="str">
            <v>Variation UPR - gross</v>
          </cell>
          <cell r="Y35058" t="str">
            <v>UNITED KINGDOM</v>
          </cell>
        </row>
        <row r="35059">
          <cell r="L35059" t="str">
            <v>Proportional</v>
          </cell>
          <cell r="S35059">
            <v>168679.67</v>
          </cell>
          <cell r="X35059" t="str">
            <v>Variation UPR - gross</v>
          </cell>
          <cell r="Y35059" t="str">
            <v>HONG KONG</v>
          </cell>
        </row>
        <row r="35060">
          <cell r="L35060" t="str">
            <v>Proportional</v>
          </cell>
          <cell r="S35060">
            <v>-117.11</v>
          </cell>
          <cell r="X35060" t="str">
            <v>Variation UPR - gross</v>
          </cell>
          <cell r="Y35060" t="str">
            <v>Ireland</v>
          </cell>
        </row>
        <row r="35061">
          <cell r="L35061" t="str">
            <v>Non-proportional</v>
          </cell>
          <cell r="S35061">
            <v>-0.09</v>
          </cell>
          <cell r="X35061" t="str">
            <v>Variation UPR - gross</v>
          </cell>
          <cell r="Y35061" t="str">
            <v>COLOMBIA</v>
          </cell>
        </row>
        <row r="35062">
          <cell r="L35062" t="str">
            <v>Non-proportional</v>
          </cell>
          <cell r="S35062">
            <v>-3211.37</v>
          </cell>
          <cell r="X35062" t="str">
            <v>Variation UPR - gross</v>
          </cell>
          <cell r="Y35062" t="str">
            <v>CHILE</v>
          </cell>
        </row>
        <row r="35063">
          <cell r="L35063" t="str">
            <v>Non-proportional</v>
          </cell>
          <cell r="S35063">
            <v>-3702.52</v>
          </cell>
          <cell r="X35063" t="str">
            <v>Variation UPR - gross</v>
          </cell>
          <cell r="Y35063" t="str">
            <v>CHILE</v>
          </cell>
        </row>
        <row r="35064">
          <cell r="L35064" t="str">
            <v>Non-proportional</v>
          </cell>
          <cell r="S35064">
            <v>259938.5</v>
          </cell>
          <cell r="X35064" t="str">
            <v>Variation UPR - gross</v>
          </cell>
          <cell r="Y35064" t="str">
            <v>TURKEY</v>
          </cell>
        </row>
        <row r="35065">
          <cell r="L35065" t="str">
            <v>Non-proportional</v>
          </cell>
          <cell r="S35065">
            <v>-987.86</v>
          </cell>
          <cell r="X35065" t="str">
            <v>Variation UPR - gross</v>
          </cell>
          <cell r="Y35065" t="str">
            <v>INDIA</v>
          </cell>
        </row>
        <row r="35066">
          <cell r="L35066" t="str">
            <v>Non-proportional</v>
          </cell>
          <cell r="S35066">
            <v>54211.74</v>
          </cell>
          <cell r="X35066" t="str">
            <v>Variation UPR - gross</v>
          </cell>
          <cell r="Y35066" t="str">
            <v>UNITED KINGDOM</v>
          </cell>
        </row>
        <row r="35067">
          <cell r="L35067" t="str">
            <v>Non-proportional</v>
          </cell>
          <cell r="S35067">
            <v>-4366.09</v>
          </cell>
          <cell r="X35067" t="str">
            <v>Variation UPR - gross</v>
          </cell>
          <cell r="Y35067" t="str">
            <v>NEW ZEALAND</v>
          </cell>
        </row>
        <row r="35068">
          <cell r="L35068" t="str">
            <v>Non-proportional</v>
          </cell>
          <cell r="S35068">
            <v>98126.720000000001</v>
          </cell>
          <cell r="X35068" t="str">
            <v>Variation UPR - gross</v>
          </cell>
          <cell r="Y35068" t="str">
            <v>MEXICO</v>
          </cell>
        </row>
        <row r="35069">
          <cell r="L35069" t="str">
            <v>Non-proportional</v>
          </cell>
          <cell r="S35069">
            <v>9281.25</v>
          </cell>
          <cell r="X35069" t="str">
            <v>Variation UPR - gross</v>
          </cell>
          <cell r="Y35069" t="str">
            <v>GREECE</v>
          </cell>
        </row>
        <row r="35070">
          <cell r="L35070" t="str">
            <v>Non-proportional</v>
          </cell>
          <cell r="S35070">
            <v>15197.91</v>
          </cell>
          <cell r="X35070" t="str">
            <v>Variation UPR - gross</v>
          </cell>
          <cell r="Y35070" t="str">
            <v>PERU</v>
          </cell>
        </row>
        <row r="35071">
          <cell r="L35071" t="str">
            <v>Non-proportional</v>
          </cell>
          <cell r="S35071">
            <v>802.73</v>
          </cell>
          <cell r="X35071" t="str">
            <v>Variation UPR - gross</v>
          </cell>
          <cell r="Y35071" t="str">
            <v>UNITED KINGDOM</v>
          </cell>
        </row>
        <row r="35072">
          <cell r="L35072" t="str">
            <v>Non-proportional</v>
          </cell>
          <cell r="S35072">
            <v>989321.67</v>
          </cell>
          <cell r="X35072" t="str">
            <v>Variation UPR - gross</v>
          </cell>
          <cell r="Y35072" t="str">
            <v>PORTUGAL</v>
          </cell>
        </row>
        <row r="35073">
          <cell r="L35073" t="str">
            <v>Non-proportional</v>
          </cell>
          <cell r="S35073">
            <v>39776.57</v>
          </cell>
          <cell r="X35073" t="str">
            <v>Variation UPR - gross</v>
          </cell>
          <cell r="Y35073" t="str">
            <v>ISRAEL</v>
          </cell>
        </row>
        <row r="35074">
          <cell r="L35074" t="str">
            <v>Non-proportional</v>
          </cell>
          <cell r="S35074">
            <v>-3036.84</v>
          </cell>
          <cell r="X35074" t="str">
            <v>Variation UPR - gross</v>
          </cell>
          <cell r="Y35074" t="str">
            <v>ECUADOR</v>
          </cell>
        </row>
        <row r="35075">
          <cell r="L35075" t="str">
            <v>Non-proportional</v>
          </cell>
          <cell r="S35075">
            <v>-3157.06</v>
          </cell>
          <cell r="X35075" t="str">
            <v>Variation UPR - gross</v>
          </cell>
          <cell r="Y35075" t="str">
            <v>JAPAN</v>
          </cell>
        </row>
        <row r="35076">
          <cell r="L35076" t="str">
            <v>Non-proportional</v>
          </cell>
          <cell r="S35076">
            <v>150443.04</v>
          </cell>
          <cell r="X35076" t="str">
            <v>Variation UPR - gross</v>
          </cell>
          <cell r="Y35076" t="str">
            <v>CHILE</v>
          </cell>
        </row>
        <row r="35077">
          <cell r="L35077" t="str">
            <v>Non-proportional</v>
          </cell>
          <cell r="S35077">
            <v>32997.160000000003</v>
          </cell>
          <cell r="X35077" t="str">
            <v>Variation UPR - gross</v>
          </cell>
          <cell r="Y35077" t="str">
            <v>NETHERLANDS</v>
          </cell>
        </row>
        <row r="35078">
          <cell r="L35078" t="str">
            <v>Non-proportional</v>
          </cell>
          <cell r="S35078">
            <v>36.64</v>
          </cell>
          <cell r="X35078" t="str">
            <v>Variation UPR - gross</v>
          </cell>
          <cell r="Y35078" t="str">
            <v>INDIA</v>
          </cell>
        </row>
        <row r="35079">
          <cell r="L35079" t="str">
            <v>Non-proportional</v>
          </cell>
          <cell r="S35079">
            <v>31962.53</v>
          </cell>
          <cell r="X35079" t="str">
            <v>Variation UPR - gross</v>
          </cell>
          <cell r="Y35079" t="str">
            <v>CHILE</v>
          </cell>
        </row>
        <row r="35080">
          <cell r="L35080" t="str">
            <v>Non-proportional</v>
          </cell>
          <cell r="S35080">
            <v>-0.09</v>
          </cell>
          <cell r="X35080" t="str">
            <v>Variation UPR - gross</v>
          </cell>
          <cell r="Y35080" t="str">
            <v>COSTA RICA</v>
          </cell>
        </row>
        <row r="35081">
          <cell r="L35081" t="str">
            <v>Non-proportional</v>
          </cell>
          <cell r="S35081">
            <v>153.91</v>
          </cell>
          <cell r="X35081" t="str">
            <v>Variation UPR - gross</v>
          </cell>
          <cell r="Y35081" t="str">
            <v>JAPAN</v>
          </cell>
        </row>
        <row r="35082">
          <cell r="L35082" t="str">
            <v>Non-proportional</v>
          </cell>
          <cell r="S35082">
            <v>130.84</v>
          </cell>
          <cell r="X35082" t="str">
            <v>Variation UPR - gross</v>
          </cell>
          <cell r="Y35082" t="str">
            <v>NEW ZEALAND</v>
          </cell>
        </row>
        <row r="35083">
          <cell r="L35083" t="str">
            <v>Non-proportional</v>
          </cell>
          <cell r="S35083">
            <v>73.61</v>
          </cell>
          <cell r="X35083" t="str">
            <v>Variation UPR - gross</v>
          </cell>
          <cell r="Y35083" t="str">
            <v>COLOMBIA</v>
          </cell>
        </row>
        <row r="35084">
          <cell r="L35084" t="str">
            <v>Non-proportional</v>
          </cell>
          <cell r="S35084">
            <v>-0.02</v>
          </cell>
          <cell r="X35084" t="str">
            <v>Variation UPR - gross</v>
          </cell>
          <cell r="Y35084" t="str">
            <v>DOMINICAN REPUBLIC</v>
          </cell>
        </row>
        <row r="35085">
          <cell r="L35085" t="str">
            <v>Non-proportional</v>
          </cell>
          <cell r="S35085">
            <v>-0.01</v>
          </cell>
          <cell r="X35085" t="str">
            <v>Variation UPR - gross</v>
          </cell>
          <cell r="Y35085" t="str">
            <v>JAPAN</v>
          </cell>
        </row>
        <row r="35086">
          <cell r="L35086" t="str">
            <v>Non-proportional</v>
          </cell>
          <cell r="S35086">
            <v>344477.64</v>
          </cell>
          <cell r="X35086" t="str">
            <v>Variation UPR - gross</v>
          </cell>
          <cell r="Y35086" t="str">
            <v>FRANCE</v>
          </cell>
        </row>
        <row r="35087">
          <cell r="L35087" t="str">
            <v>Proportional</v>
          </cell>
          <cell r="S35087">
            <v>3859752.23</v>
          </cell>
          <cell r="X35087" t="str">
            <v>Variation UPR - gross</v>
          </cell>
          <cell r="Y35087" t="str">
            <v>UNITED STATES</v>
          </cell>
        </row>
        <row r="35088">
          <cell r="L35088" t="str">
            <v>Non-proportional</v>
          </cell>
          <cell r="S35088">
            <v>333805.86</v>
          </cell>
          <cell r="X35088" t="str">
            <v>Variation UPR - gross</v>
          </cell>
          <cell r="Y35088" t="str">
            <v>FRANCE</v>
          </cell>
        </row>
        <row r="35089">
          <cell r="L35089" t="str">
            <v>Non-proportional</v>
          </cell>
          <cell r="S35089">
            <v>60162.13</v>
          </cell>
          <cell r="X35089" t="str">
            <v>Variation UPR - gross</v>
          </cell>
          <cell r="Y35089" t="str">
            <v>ISRAEL</v>
          </cell>
        </row>
        <row r="35090">
          <cell r="L35090" t="str">
            <v>Non-proportional</v>
          </cell>
          <cell r="S35090">
            <v>80.59</v>
          </cell>
          <cell r="X35090" t="str">
            <v>Variation UPR - gross</v>
          </cell>
          <cell r="Y35090" t="str">
            <v>NEW ZEALAND</v>
          </cell>
        </row>
        <row r="35091">
          <cell r="L35091" t="str">
            <v>Non-proportional</v>
          </cell>
          <cell r="S35091">
            <v>-0.03</v>
          </cell>
          <cell r="X35091" t="str">
            <v>Variation UPR - gross</v>
          </cell>
          <cell r="Y35091" t="str">
            <v>DOMINICAN REPUBLIC</v>
          </cell>
        </row>
        <row r="35092">
          <cell r="L35092" t="str">
            <v>Non-proportional</v>
          </cell>
          <cell r="S35092">
            <v>-33992.339999999997</v>
          </cell>
          <cell r="X35092" t="str">
            <v>Variation UPR - gross</v>
          </cell>
          <cell r="Y35092" t="str">
            <v>UNITED KINGDOM</v>
          </cell>
        </row>
        <row r="35093">
          <cell r="L35093" t="str">
            <v>Non-proportional</v>
          </cell>
          <cell r="S35093">
            <v>33056.26</v>
          </cell>
          <cell r="X35093" t="str">
            <v>Variation UPR - gross</v>
          </cell>
          <cell r="Y35093" t="str">
            <v>ISRAEL</v>
          </cell>
        </row>
        <row r="35094">
          <cell r="L35094" t="str">
            <v>Non-proportional</v>
          </cell>
          <cell r="S35094">
            <v>-725.85</v>
          </cell>
          <cell r="X35094" t="str">
            <v>Variation UPR - gross</v>
          </cell>
          <cell r="Y35094" t="str">
            <v>JAPAN</v>
          </cell>
        </row>
        <row r="35095">
          <cell r="L35095" t="str">
            <v>Non-proportional</v>
          </cell>
          <cell r="S35095">
            <v>-13109.93</v>
          </cell>
          <cell r="X35095" t="str">
            <v>Variation UPR - gross</v>
          </cell>
          <cell r="Y35095" t="str">
            <v>CHILE</v>
          </cell>
        </row>
        <row r="35096">
          <cell r="L35096" t="str">
            <v>Non-proportional</v>
          </cell>
          <cell r="S35096">
            <v>44675.02</v>
          </cell>
          <cell r="X35096" t="str">
            <v>Variation UPR - gross</v>
          </cell>
          <cell r="Y35096" t="str">
            <v>FRANCE</v>
          </cell>
        </row>
        <row r="35097">
          <cell r="L35097" t="str">
            <v>Non-proportional</v>
          </cell>
          <cell r="S35097">
            <v>46757.8</v>
          </cell>
          <cell r="X35097" t="str">
            <v>Variation UPR - gross</v>
          </cell>
          <cell r="Y35097" t="str">
            <v>ITALY</v>
          </cell>
        </row>
        <row r="35098">
          <cell r="L35098" t="str">
            <v>Proportional</v>
          </cell>
          <cell r="S35098">
            <v>15334515.689999999</v>
          </cell>
          <cell r="X35098" t="str">
            <v>Variation UPR - gross</v>
          </cell>
          <cell r="Y35098" t="str">
            <v>HONG KONG</v>
          </cell>
        </row>
        <row r="35099">
          <cell r="L35099" t="str">
            <v>Non-proportional</v>
          </cell>
          <cell r="S35099">
            <v>34300.69</v>
          </cell>
          <cell r="X35099" t="str">
            <v>Variation UPR - gross</v>
          </cell>
          <cell r="Y35099" t="str">
            <v>PERU</v>
          </cell>
        </row>
        <row r="35100">
          <cell r="L35100" t="str">
            <v>Proportional</v>
          </cell>
          <cell r="S35100">
            <v>231747.26</v>
          </cell>
          <cell r="X35100" t="str">
            <v>Variation UPR - gross</v>
          </cell>
          <cell r="Y35100" t="str">
            <v>CHILE</v>
          </cell>
        </row>
        <row r="35101">
          <cell r="L35101" t="str">
            <v>Non-proportional</v>
          </cell>
          <cell r="S35101">
            <v>211546.38</v>
          </cell>
          <cell r="X35101" t="str">
            <v>Variation UPR - gross</v>
          </cell>
          <cell r="Y35101" t="str">
            <v>FRANCE</v>
          </cell>
        </row>
        <row r="35102">
          <cell r="L35102" t="str">
            <v>Non-proportional</v>
          </cell>
          <cell r="S35102">
            <v>-4825.5200000000004</v>
          </cell>
          <cell r="X35102" t="str">
            <v>Variation UPR - gross</v>
          </cell>
          <cell r="Y35102" t="str">
            <v>DOMINICAN REPUBLIC</v>
          </cell>
        </row>
        <row r="35103">
          <cell r="L35103" t="str">
            <v>Non-proportional</v>
          </cell>
          <cell r="S35103">
            <v>-9418.7000000000007</v>
          </cell>
          <cell r="X35103" t="str">
            <v>Variation UPR - gross</v>
          </cell>
          <cell r="Y35103" t="str">
            <v>MEXICO</v>
          </cell>
        </row>
        <row r="35104">
          <cell r="L35104" t="str">
            <v>Non-proportional</v>
          </cell>
          <cell r="S35104">
            <v>18489.04</v>
          </cell>
          <cell r="X35104" t="str">
            <v>Variation UPR - gross</v>
          </cell>
          <cell r="Y35104" t="str">
            <v>ISRAEL</v>
          </cell>
        </row>
        <row r="35105">
          <cell r="L35105" t="str">
            <v>Non-proportional</v>
          </cell>
          <cell r="S35105">
            <v>-1878.76</v>
          </cell>
          <cell r="X35105" t="str">
            <v>Variation UPR - gross</v>
          </cell>
          <cell r="Y35105" t="str">
            <v>NEW ZEALAND</v>
          </cell>
        </row>
        <row r="35106">
          <cell r="L35106" t="str">
            <v>Proportional</v>
          </cell>
          <cell r="S35106">
            <v>-15216.88</v>
          </cell>
          <cell r="X35106" t="str">
            <v>Variation UPR - gross</v>
          </cell>
          <cell r="Y35106" t="str">
            <v>THAILAND</v>
          </cell>
        </row>
        <row r="35107">
          <cell r="L35107" t="str">
            <v>Proportional</v>
          </cell>
          <cell r="S35107">
            <v>-359550</v>
          </cell>
          <cell r="X35107" t="str">
            <v>Variation UPR - gross</v>
          </cell>
          <cell r="Y35107" t="str">
            <v>PORTUGAL</v>
          </cell>
        </row>
        <row r="35108">
          <cell r="L35108" t="str">
            <v>Non-proportional</v>
          </cell>
          <cell r="S35108">
            <v>-3595.06</v>
          </cell>
          <cell r="X35108" t="str">
            <v>Variation UPR - gross</v>
          </cell>
          <cell r="Y35108" t="str">
            <v>COLOMBIA</v>
          </cell>
        </row>
        <row r="35109">
          <cell r="L35109" t="str">
            <v>Non-proportional</v>
          </cell>
          <cell r="S35109">
            <v>62702.12</v>
          </cell>
          <cell r="X35109" t="str">
            <v>Variation UPR - gross</v>
          </cell>
          <cell r="Y35109" t="str">
            <v>ITALY</v>
          </cell>
        </row>
        <row r="35110">
          <cell r="L35110" t="str">
            <v>Non-proportional</v>
          </cell>
          <cell r="S35110">
            <v>28710</v>
          </cell>
          <cell r="X35110" t="str">
            <v>Variation UPR - gross</v>
          </cell>
          <cell r="Y35110" t="str">
            <v>GREECE</v>
          </cell>
        </row>
        <row r="35111">
          <cell r="L35111" t="str">
            <v>Non-proportional</v>
          </cell>
          <cell r="S35111">
            <v>114198.28</v>
          </cell>
          <cell r="X35111" t="str">
            <v>Variation UPR - gross</v>
          </cell>
          <cell r="Y35111" t="str">
            <v>COLOMBIA</v>
          </cell>
        </row>
        <row r="35112">
          <cell r="L35112" t="str">
            <v>Non-proportional</v>
          </cell>
          <cell r="S35112">
            <v>516.1</v>
          </cell>
          <cell r="X35112" t="str">
            <v>Variation UPR - gross</v>
          </cell>
          <cell r="Y35112" t="str">
            <v>ISRAEL</v>
          </cell>
        </row>
        <row r="35113">
          <cell r="L35113" t="str">
            <v>Non-proportional</v>
          </cell>
          <cell r="S35113">
            <v>-24555.91</v>
          </cell>
          <cell r="X35113" t="str">
            <v>Variation UPR - gross</v>
          </cell>
          <cell r="Y35113" t="str">
            <v>NEW ZEALAND</v>
          </cell>
        </row>
        <row r="35114">
          <cell r="L35114" t="str">
            <v>Non-proportional</v>
          </cell>
          <cell r="S35114">
            <v>15150.78</v>
          </cell>
          <cell r="X35114" t="str">
            <v>Variation UPR - gross</v>
          </cell>
          <cell r="Y35114" t="str">
            <v>ISRAEL</v>
          </cell>
        </row>
        <row r="35115">
          <cell r="L35115" t="str">
            <v>Non-proportional</v>
          </cell>
          <cell r="S35115">
            <v>-9375.93</v>
          </cell>
          <cell r="X35115" t="str">
            <v>Variation UPR - gross</v>
          </cell>
          <cell r="Y35115" t="str">
            <v>JAPAN</v>
          </cell>
        </row>
        <row r="35116">
          <cell r="L35116" t="str">
            <v>Non-proportional</v>
          </cell>
          <cell r="S35116">
            <v>330000</v>
          </cell>
          <cell r="X35116" t="str">
            <v>Variation UPR - gross</v>
          </cell>
          <cell r="Y35116" t="str">
            <v>FRANCE</v>
          </cell>
        </row>
        <row r="35117">
          <cell r="L35117" t="str">
            <v>Non-proportional</v>
          </cell>
          <cell r="S35117">
            <v>13.86</v>
          </cell>
          <cell r="X35117" t="str">
            <v>Variation UPR - gross</v>
          </cell>
          <cell r="Y35117" t="str">
            <v>INDIA</v>
          </cell>
        </row>
        <row r="35118">
          <cell r="L35118" t="str">
            <v>Non-proportional</v>
          </cell>
          <cell r="S35118">
            <v>151.55000000000001</v>
          </cell>
          <cell r="X35118" t="str">
            <v>Variation UPR - gross</v>
          </cell>
          <cell r="Y35118" t="str">
            <v>INDIA</v>
          </cell>
        </row>
        <row r="35119">
          <cell r="L35119" t="str">
            <v>Non-proportional</v>
          </cell>
          <cell r="S35119">
            <v>-11042.04</v>
          </cell>
          <cell r="X35119" t="str">
            <v>Variation UPR - gross</v>
          </cell>
          <cell r="Y35119" t="str">
            <v>EUROPE</v>
          </cell>
        </row>
        <row r="35120">
          <cell r="L35120" t="str">
            <v>Proportional</v>
          </cell>
          <cell r="S35120">
            <v>36080.639999999999</v>
          </cell>
          <cell r="X35120" t="str">
            <v>Variation UPR - gross</v>
          </cell>
          <cell r="Y35120" t="str">
            <v>CHILE</v>
          </cell>
        </row>
        <row r="35121">
          <cell r="L35121" t="str">
            <v>Non-proportional</v>
          </cell>
          <cell r="S35121">
            <v>-1231.23</v>
          </cell>
          <cell r="X35121" t="str">
            <v>Variation UPR - gross</v>
          </cell>
          <cell r="Y35121" t="str">
            <v>COLOMBIA</v>
          </cell>
        </row>
        <row r="35122">
          <cell r="L35122" t="str">
            <v>Proportional</v>
          </cell>
          <cell r="S35122">
            <v>8325622.7999999998</v>
          </cell>
          <cell r="X35122" t="str">
            <v>Variation UPR - gross</v>
          </cell>
          <cell r="Y35122" t="str">
            <v>UNITED STATES</v>
          </cell>
        </row>
        <row r="35123">
          <cell r="L35123" t="str">
            <v>Non-proportional</v>
          </cell>
          <cell r="S35123">
            <v>6.45</v>
          </cell>
          <cell r="X35123" t="str">
            <v>Variation UPR - gross</v>
          </cell>
          <cell r="Y35123" t="str">
            <v>INDIA</v>
          </cell>
        </row>
        <row r="35124">
          <cell r="L35124" t="str">
            <v>Proportional</v>
          </cell>
          <cell r="S35124">
            <v>824418.71</v>
          </cell>
          <cell r="X35124" t="str">
            <v>Variation UPR - gross</v>
          </cell>
          <cell r="Y35124" t="str">
            <v>UNITED ARAB EMIRATES</v>
          </cell>
        </row>
        <row r="35125">
          <cell r="L35125" t="str">
            <v>Non-proportional</v>
          </cell>
          <cell r="S35125">
            <v>143.38</v>
          </cell>
          <cell r="X35125" t="str">
            <v>Variation UPR - gross</v>
          </cell>
          <cell r="Y35125" t="str">
            <v>UNITED KINGDOM</v>
          </cell>
        </row>
        <row r="35126">
          <cell r="L35126" t="str">
            <v>Non-proportional</v>
          </cell>
          <cell r="S35126">
            <v>-918.81</v>
          </cell>
          <cell r="X35126" t="str">
            <v>Variation UPR - gross</v>
          </cell>
          <cell r="Y35126" t="str">
            <v>AUSTRALIA</v>
          </cell>
        </row>
        <row r="35127">
          <cell r="L35127" t="str">
            <v>Non-proportional</v>
          </cell>
          <cell r="S35127">
            <v>-69343.600000000006</v>
          </cell>
          <cell r="X35127" t="str">
            <v>Variation UPR - gross</v>
          </cell>
          <cell r="Y35127" t="str">
            <v>UNITED KINGDOM</v>
          </cell>
        </row>
        <row r="35128">
          <cell r="L35128" t="str">
            <v>Non-proportional</v>
          </cell>
          <cell r="S35128">
            <v>-7598.8</v>
          </cell>
          <cell r="X35128" t="str">
            <v>Variation UPR - gross</v>
          </cell>
          <cell r="Y35128" t="str">
            <v>NEW ZEALAND</v>
          </cell>
        </row>
        <row r="35129">
          <cell r="L35129" t="str">
            <v>Non-proportional</v>
          </cell>
          <cell r="S35129">
            <v>-9065.83</v>
          </cell>
          <cell r="X35129" t="str">
            <v>Variation UPR - gross</v>
          </cell>
          <cell r="Y35129" t="str">
            <v>AUSTRALIA</v>
          </cell>
        </row>
        <row r="35130">
          <cell r="L35130" t="str">
            <v>Non-proportional</v>
          </cell>
          <cell r="S35130">
            <v>-905.23</v>
          </cell>
          <cell r="X35130" t="str">
            <v>Variation UPR - gross</v>
          </cell>
          <cell r="Y35130" t="str">
            <v>COLOMBIA</v>
          </cell>
        </row>
        <row r="35131">
          <cell r="L35131" t="str">
            <v>Non-proportional</v>
          </cell>
          <cell r="S35131">
            <v>12432.58</v>
          </cell>
          <cell r="X35131" t="str">
            <v>Variation UPR - gross</v>
          </cell>
          <cell r="Y35131" t="str">
            <v>BRAZIL</v>
          </cell>
        </row>
        <row r="35132">
          <cell r="L35132" t="str">
            <v>Non-proportional</v>
          </cell>
          <cell r="S35132">
            <v>71243.429999999993</v>
          </cell>
          <cell r="X35132" t="str">
            <v>Variation UPR - gross</v>
          </cell>
          <cell r="Y35132" t="str">
            <v>ISRAEL</v>
          </cell>
        </row>
        <row r="35133">
          <cell r="L35133" t="str">
            <v>Non-proportional</v>
          </cell>
          <cell r="S35133">
            <v>24.99</v>
          </cell>
          <cell r="X35133" t="str">
            <v>Variation UPR - gross</v>
          </cell>
          <cell r="Y35133" t="str">
            <v>INDIA</v>
          </cell>
        </row>
        <row r="35134">
          <cell r="L35134" t="str">
            <v>Non-proportional</v>
          </cell>
          <cell r="S35134">
            <v>23.22</v>
          </cell>
          <cell r="X35134" t="str">
            <v>Variation UPR - gross</v>
          </cell>
          <cell r="Y35134" t="str">
            <v>COLOMBIA</v>
          </cell>
        </row>
        <row r="35135">
          <cell r="L35135" t="str">
            <v>Non-proportional</v>
          </cell>
          <cell r="S35135">
            <v>-26.49</v>
          </cell>
          <cell r="X35135" t="str">
            <v>Variation UPR - gross</v>
          </cell>
          <cell r="Y35135" t="str">
            <v>JAPAN</v>
          </cell>
        </row>
        <row r="35136">
          <cell r="L35136" t="str">
            <v>Non-proportional</v>
          </cell>
          <cell r="S35136">
            <v>-2196.42</v>
          </cell>
          <cell r="X35136" t="str">
            <v>Variation UPR - gross</v>
          </cell>
          <cell r="Y35136" t="str">
            <v>AUSTRALIA</v>
          </cell>
        </row>
        <row r="35137">
          <cell r="L35137" t="str">
            <v>Proportional</v>
          </cell>
          <cell r="S35137">
            <v>-442631.22</v>
          </cell>
          <cell r="X35137" t="str">
            <v>Variation UPR - gross</v>
          </cell>
          <cell r="Y35137" t="str">
            <v>HONG KONG</v>
          </cell>
        </row>
        <row r="35138">
          <cell r="L35138" t="str">
            <v>Proportional</v>
          </cell>
          <cell r="S35138">
            <v>-191.34</v>
          </cell>
          <cell r="X35138" t="str">
            <v>Variation UPR - gross</v>
          </cell>
          <cell r="Y35138" t="str">
            <v>UNITED STATES</v>
          </cell>
        </row>
        <row r="35139">
          <cell r="L35139" t="str">
            <v>Non-proportional</v>
          </cell>
          <cell r="S35139">
            <v>-3231.76</v>
          </cell>
          <cell r="X35139" t="str">
            <v>Variation UPR - gross</v>
          </cell>
          <cell r="Y35139" t="str">
            <v>NEW ZEALAND</v>
          </cell>
        </row>
        <row r="35140">
          <cell r="L35140" t="str">
            <v>Non-proportional</v>
          </cell>
          <cell r="S35140">
            <v>-141.13</v>
          </cell>
          <cell r="X35140" t="str">
            <v>Variation UPR - gross</v>
          </cell>
          <cell r="Y35140" t="str">
            <v>INDIA</v>
          </cell>
        </row>
        <row r="35141">
          <cell r="L35141" t="str">
            <v>Proportional</v>
          </cell>
          <cell r="S35141">
            <v>-4367.97</v>
          </cell>
          <cell r="X35141" t="str">
            <v>Variation UPR - gross</v>
          </cell>
          <cell r="Y35141" t="str">
            <v>THAILAND</v>
          </cell>
        </row>
        <row r="35142">
          <cell r="L35142" t="str">
            <v>Non-proportional</v>
          </cell>
          <cell r="S35142">
            <v>-52.41</v>
          </cell>
          <cell r="X35142" t="str">
            <v>Variation UPR - gross</v>
          </cell>
          <cell r="Y35142" t="str">
            <v>GUATEMALA</v>
          </cell>
        </row>
        <row r="35143">
          <cell r="L35143" t="str">
            <v>Non-proportional</v>
          </cell>
          <cell r="S35143">
            <v>49961.2</v>
          </cell>
          <cell r="X35143" t="str">
            <v>Variation UPR - gross</v>
          </cell>
          <cell r="Y35143" t="str">
            <v>TURKEY</v>
          </cell>
        </row>
        <row r="35144">
          <cell r="L35144" t="str">
            <v>Non-proportional</v>
          </cell>
          <cell r="S35144">
            <v>-6515.52</v>
          </cell>
          <cell r="X35144" t="str">
            <v>Variation UPR - gross</v>
          </cell>
          <cell r="Y35144" t="str">
            <v>JAPAN</v>
          </cell>
        </row>
        <row r="35145">
          <cell r="L35145" t="str">
            <v>Non-proportional</v>
          </cell>
          <cell r="S35145">
            <v>-460.43</v>
          </cell>
          <cell r="X35145" t="str">
            <v>Variation UPR - gross</v>
          </cell>
          <cell r="Y35145" t="str">
            <v>UNITED KINGDOM</v>
          </cell>
        </row>
        <row r="35146">
          <cell r="L35146" t="str">
            <v>Non-proportional</v>
          </cell>
          <cell r="S35146">
            <v>-4362.34</v>
          </cell>
          <cell r="X35146" t="str">
            <v>Variation UPR - gross</v>
          </cell>
          <cell r="Y35146" t="str">
            <v>UNITED KINGDOM</v>
          </cell>
        </row>
        <row r="35147">
          <cell r="L35147" t="str">
            <v>Non-proportional</v>
          </cell>
          <cell r="S35147">
            <v>-10422.09</v>
          </cell>
          <cell r="X35147" t="str">
            <v>Variation UPR - gross</v>
          </cell>
          <cell r="Y35147" t="str">
            <v>ECUADOR</v>
          </cell>
        </row>
        <row r="35148">
          <cell r="L35148" t="str">
            <v>Non-proportional</v>
          </cell>
          <cell r="S35148">
            <v>11.08</v>
          </cell>
          <cell r="X35148" t="str">
            <v>Variation UPR - gross</v>
          </cell>
          <cell r="Y35148" t="str">
            <v>INDIA</v>
          </cell>
        </row>
        <row r="35149">
          <cell r="L35149" t="str">
            <v>Non-proportional</v>
          </cell>
          <cell r="S35149">
            <v>-18383.62</v>
          </cell>
          <cell r="X35149" t="str">
            <v>Variation UPR - gross</v>
          </cell>
          <cell r="Y35149" t="str">
            <v>UNITED KINGDOM</v>
          </cell>
        </row>
        <row r="35150">
          <cell r="L35150" t="str">
            <v>Non-proportional</v>
          </cell>
          <cell r="S35150">
            <v>2002238.33</v>
          </cell>
          <cell r="X35150" t="str">
            <v>Variation UPR - gross</v>
          </cell>
          <cell r="Y35150" t="str">
            <v>PORTUGAL</v>
          </cell>
        </row>
        <row r="35151">
          <cell r="L35151" t="str">
            <v>Non-proportional</v>
          </cell>
          <cell r="S35151">
            <v>-4056.67</v>
          </cell>
          <cell r="X35151" t="str">
            <v>Variation UPR - gross</v>
          </cell>
          <cell r="Y35151" t="str">
            <v>ECUADOR</v>
          </cell>
        </row>
        <row r="35152">
          <cell r="L35152" t="str">
            <v>Non-proportional</v>
          </cell>
          <cell r="S35152">
            <v>317.64999999999998</v>
          </cell>
          <cell r="X35152" t="str">
            <v>Variation UPR - gross</v>
          </cell>
          <cell r="Y35152" t="str">
            <v>JAPAN</v>
          </cell>
        </row>
        <row r="35153">
          <cell r="L35153" t="str">
            <v>Non-proportional</v>
          </cell>
          <cell r="S35153">
            <v>-3944.11</v>
          </cell>
          <cell r="X35153" t="str">
            <v>Variation UPR - gross</v>
          </cell>
          <cell r="Y35153" t="str">
            <v>INDIA</v>
          </cell>
        </row>
        <row r="35154">
          <cell r="L35154" t="str">
            <v>Non-proportional</v>
          </cell>
          <cell r="S35154">
            <v>153.91</v>
          </cell>
          <cell r="X35154" t="str">
            <v>Variation UPR - gross</v>
          </cell>
          <cell r="Y35154" t="str">
            <v>JAPAN</v>
          </cell>
        </row>
        <row r="35155">
          <cell r="L35155" t="str">
            <v>Non-proportional</v>
          </cell>
          <cell r="S35155">
            <v>-54214.1</v>
          </cell>
          <cell r="X35155" t="str">
            <v>Variation UPR - gross</v>
          </cell>
          <cell r="Y35155" t="str">
            <v>UNITED KINGDOM</v>
          </cell>
        </row>
        <row r="35156">
          <cell r="L35156" t="str">
            <v>Non-proportional</v>
          </cell>
          <cell r="S35156">
            <v>-64982.93</v>
          </cell>
          <cell r="X35156" t="str">
            <v>Variation UPR - gross</v>
          </cell>
          <cell r="Y35156" t="str">
            <v>CHILE</v>
          </cell>
        </row>
        <row r="35157">
          <cell r="L35157" t="str">
            <v>Non-proportional</v>
          </cell>
          <cell r="S35157">
            <v>-5390.4</v>
          </cell>
          <cell r="X35157" t="str">
            <v>Variation UPR - gross</v>
          </cell>
          <cell r="Y35157" t="str">
            <v>ECUADOR</v>
          </cell>
        </row>
        <row r="35158">
          <cell r="L35158" t="str">
            <v>Non-proportional</v>
          </cell>
          <cell r="S35158">
            <v>-7784.31</v>
          </cell>
          <cell r="X35158" t="str">
            <v>Variation UPR - gross</v>
          </cell>
          <cell r="Y35158" t="str">
            <v>INDIA</v>
          </cell>
        </row>
        <row r="35159">
          <cell r="L35159" t="str">
            <v>Non-proportional</v>
          </cell>
          <cell r="S35159">
            <v>-1287.1099999999999</v>
          </cell>
          <cell r="X35159" t="str">
            <v>Variation UPR - gross</v>
          </cell>
          <cell r="Y35159" t="str">
            <v>COLOMBIA</v>
          </cell>
        </row>
        <row r="35160">
          <cell r="L35160" t="str">
            <v>Non-proportional</v>
          </cell>
          <cell r="S35160">
            <v>-2588.5100000000002</v>
          </cell>
          <cell r="X35160" t="str">
            <v>Variation UPR - gross</v>
          </cell>
          <cell r="Y35160" t="str">
            <v>DOMINICAN REPUBLIC</v>
          </cell>
        </row>
        <row r="35161">
          <cell r="L35161" t="str">
            <v>Non-proportional</v>
          </cell>
          <cell r="S35161">
            <v>-3135.8</v>
          </cell>
          <cell r="X35161" t="str">
            <v>Variation UPR - gross</v>
          </cell>
          <cell r="Y35161" t="str">
            <v>CHILE</v>
          </cell>
        </row>
        <row r="35162">
          <cell r="L35162" t="str">
            <v>Non-proportional</v>
          </cell>
          <cell r="S35162">
            <v>-6188.47</v>
          </cell>
          <cell r="X35162" t="str">
            <v>Variation UPR - gross</v>
          </cell>
          <cell r="Y35162" t="str">
            <v>NEW ZEALAND</v>
          </cell>
        </row>
        <row r="35163">
          <cell r="L35163" t="str">
            <v>Non-proportional</v>
          </cell>
          <cell r="S35163">
            <v>46740.42</v>
          </cell>
          <cell r="X35163" t="str">
            <v>Variation UPR - gross</v>
          </cell>
          <cell r="Y35163" t="str">
            <v>ECUADOR</v>
          </cell>
        </row>
        <row r="35164">
          <cell r="L35164" t="str">
            <v>Non-proportional</v>
          </cell>
          <cell r="S35164">
            <v>26556.66</v>
          </cell>
          <cell r="X35164" t="str">
            <v>Variation UPR - gross</v>
          </cell>
          <cell r="Y35164" t="str">
            <v>MEXICO</v>
          </cell>
        </row>
        <row r="35165">
          <cell r="L35165" t="str">
            <v>Non-proportional</v>
          </cell>
          <cell r="S35165">
            <v>103502.68</v>
          </cell>
          <cell r="X35165" t="str">
            <v>Variation UPR - gross</v>
          </cell>
          <cell r="Y35165" t="str">
            <v>ISRAEL</v>
          </cell>
        </row>
        <row r="35166">
          <cell r="L35166" t="str">
            <v>Non-proportional</v>
          </cell>
          <cell r="S35166">
            <v>6165.5</v>
          </cell>
          <cell r="X35166" t="str">
            <v>Variation UPR - gross</v>
          </cell>
          <cell r="Y35166" t="str">
            <v>PORTUGAL</v>
          </cell>
        </row>
        <row r="35167">
          <cell r="L35167" t="str">
            <v>Non-proportional</v>
          </cell>
          <cell r="S35167">
            <v>-8709.92</v>
          </cell>
          <cell r="X35167" t="str">
            <v>Variation UPR - gross</v>
          </cell>
          <cell r="Y35167" t="str">
            <v>INDIA</v>
          </cell>
        </row>
        <row r="35168">
          <cell r="L35168" t="str">
            <v>Non-proportional</v>
          </cell>
          <cell r="S35168">
            <v>-859.98</v>
          </cell>
          <cell r="X35168" t="str">
            <v>Variation UPR - gross</v>
          </cell>
          <cell r="Y35168" t="str">
            <v>INDIA</v>
          </cell>
        </row>
        <row r="35169">
          <cell r="L35169" t="str">
            <v>Non-proportional</v>
          </cell>
          <cell r="S35169">
            <v>-746.65</v>
          </cell>
          <cell r="X35169" t="str">
            <v>Variation UPR - gross</v>
          </cell>
          <cell r="Y35169" t="str">
            <v>JAPAN</v>
          </cell>
        </row>
        <row r="35170">
          <cell r="L35170" t="str">
            <v>Non-proportional</v>
          </cell>
          <cell r="S35170">
            <v>-4344.79</v>
          </cell>
          <cell r="X35170" t="str">
            <v>Variation UPR - gross</v>
          </cell>
          <cell r="Y35170" t="str">
            <v>CHILE</v>
          </cell>
        </row>
        <row r="35171">
          <cell r="L35171" t="str">
            <v>Non-proportional</v>
          </cell>
          <cell r="S35171">
            <v>-212.05</v>
          </cell>
          <cell r="X35171" t="str">
            <v>Variation UPR - gross</v>
          </cell>
          <cell r="Y35171" t="str">
            <v>INDIA</v>
          </cell>
        </row>
        <row r="35172">
          <cell r="L35172" t="str">
            <v>Non-proportional</v>
          </cell>
          <cell r="S35172">
            <v>255062.54</v>
          </cell>
          <cell r="X35172" t="str">
            <v>Variation UPR - gross</v>
          </cell>
          <cell r="Y35172" t="str">
            <v>ITALY</v>
          </cell>
        </row>
        <row r="35173">
          <cell r="L35173" t="str">
            <v>Non-proportional</v>
          </cell>
          <cell r="S35173">
            <v>9415.56</v>
          </cell>
          <cell r="X35173" t="str">
            <v>Variation UPR - gross</v>
          </cell>
          <cell r="Y35173" t="str">
            <v>FRANCE</v>
          </cell>
        </row>
        <row r="35174">
          <cell r="L35174" t="str">
            <v>Non-proportional</v>
          </cell>
          <cell r="S35174">
            <v>70328.03</v>
          </cell>
          <cell r="X35174" t="str">
            <v>Variation UPR - gross</v>
          </cell>
          <cell r="Y35174" t="str">
            <v>NETHERLANDS</v>
          </cell>
        </row>
        <row r="35175">
          <cell r="L35175" t="str">
            <v>Non-proportional</v>
          </cell>
          <cell r="S35175">
            <v>-7110.76</v>
          </cell>
          <cell r="X35175" t="str">
            <v>Variation UPR - gross</v>
          </cell>
          <cell r="Y35175" t="str">
            <v>JAPAN</v>
          </cell>
        </row>
        <row r="35176">
          <cell r="L35176" t="str">
            <v>Non-proportional</v>
          </cell>
          <cell r="S35176">
            <v>-1047.8800000000001</v>
          </cell>
          <cell r="X35176" t="str">
            <v>Variation UPR - gross</v>
          </cell>
          <cell r="Y35176" t="str">
            <v>PERU</v>
          </cell>
        </row>
        <row r="35177">
          <cell r="L35177" t="str">
            <v>Non-proportional</v>
          </cell>
          <cell r="S35177">
            <v>151756.84</v>
          </cell>
          <cell r="X35177" t="str">
            <v>Variation UPR - gross</v>
          </cell>
          <cell r="Y35177" t="str">
            <v>PERU</v>
          </cell>
        </row>
        <row r="35178">
          <cell r="L35178" t="str">
            <v>Non-proportional</v>
          </cell>
          <cell r="S35178">
            <v>-2485.35</v>
          </cell>
          <cell r="X35178" t="str">
            <v>Variation UPR - gross</v>
          </cell>
          <cell r="Y35178" t="str">
            <v>INDIA</v>
          </cell>
        </row>
        <row r="35179">
          <cell r="L35179" t="str">
            <v>Non-proportional</v>
          </cell>
          <cell r="S35179">
            <v>317334.40999999997</v>
          </cell>
          <cell r="X35179" t="str">
            <v>Variation UPR - gross</v>
          </cell>
          <cell r="Y35179" t="str">
            <v>FRANCE</v>
          </cell>
        </row>
        <row r="35180">
          <cell r="L35180" t="str">
            <v>Proportional</v>
          </cell>
          <cell r="S35180">
            <v>2621022.9</v>
          </cell>
          <cell r="X35180" t="str">
            <v>Variation UPR - gross</v>
          </cell>
          <cell r="Y35180" t="str">
            <v>FRANCE</v>
          </cell>
        </row>
        <row r="35181">
          <cell r="L35181" t="str">
            <v>Non-proportional</v>
          </cell>
          <cell r="S35181">
            <v>-7046.87</v>
          </cell>
          <cell r="X35181" t="str">
            <v>Variation UPR - gross</v>
          </cell>
          <cell r="Y35181" t="str">
            <v>UNITED KINGDOM</v>
          </cell>
        </row>
        <row r="35182">
          <cell r="L35182" t="str">
            <v>Non-proportional</v>
          </cell>
          <cell r="S35182">
            <v>168768.01</v>
          </cell>
          <cell r="X35182" t="str">
            <v>Variation UPR - gross</v>
          </cell>
          <cell r="Y35182" t="str">
            <v>ECUADOR</v>
          </cell>
        </row>
        <row r="35183">
          <cell r="L35183" t="str">
            <v>Non-proportional</v>
          </cell>
          <cell r="S35183">
            <v>-194.32</v>
          </cell>
          <cell r="X35183" t="str">
            <v>Variation UPR - gross</v>
          </cell>
          <cell r="Y35183" t="str">
            <v>JAPAN</v>
          </cell>
        </row>
        <row r="35184">
          <cell r="L35184" t="str">
            <v>Non-proportional</v>
          </cell>
          <cell r="S35184">
            <v>114.22</v>
          </cell>
          <cell r="X35184" t="str">
            <v>Variation UPR - gross</v>
          </cell>
          <cell r="Y35184" t="str">
            <v>NEW ZEALAND</v>
          </cell>
        </row>
        <row r="35185">
          <cell r="L35185" t="str">
            <v>Non-proportional</v>
          </cell>
          <cell r="S35185">
            <v>-373.6</v>
          </cell>
          <cell r="X35185" t="str">
            <v>Variation UPR - gross</v>
          </cell>
          <cell r="Y35185" t="str">
            <v>INDIA</v>
          </cell>
        </row>
        <row r="35186">
          <cell r="L35186" t="str">
            <v>Non-proportional</v>
          </cell>
          <cell r="S35186">
            <v>11.98</v>
          </cell>
          <cell r="X35186" t="str">
            <v>Variation UPR - gross</v>
          </cell>
          <cell r="Y35186" t="str">
            <v>JAPAN</v>
          </cell>
        </row>
        <row r="35187">
          <cell r="L35187" t="str">
            <v>Proportional</v>
          </cell>
          <cell r="S35187">
            <v>2659.45</v>
          </cell>
          <cell r="X35187" t="str">
            <v>Variation UPR - gross</v>
          </cell>
          <cell r="Y35187" t="str">
            <v>UNITED STATES</v>
          </cell>
        </row>
        <row r="35188">
          <cell r="L35188" t="str">
            <v>Proportional</v>
          </cell>
          <cell r="S35188">
            <v>-9531.2000000000007</v>
          </cell>
          <cell r="X35188" t="str">
            <v>Variation UPR - gross</v>
          </cell>
          <cell r="Y35188" t="str">
            <v>INDIA</v>
          </cell>
        </row>
        <row r="35189">
          <cell r="S35189">
            <v>26096.26</v>
          </cell>
          <cell r="X35189" t="str">
            <v>Variation UPR - gross</v>
          </cell>
          <cell r="Y35189" t="str">
            <v>PORTUGAL</v>
          </cell>
        </row>
        <row r="35190">
          <cell r="L35190" t="str">
            <v>Non-proportional</v>
          </cell>
          <cell r="S35190">
            <v>39531.25</v>
          </cell>
          <cell r="X35190" t="str">
            <v>Variation UPR - gross</v>
          </cell>
          <cell r="Y35190" t="str">
            <v>GREECE</v>
          </cell>
        </row>
        <row r="35191">
          <cell r="L35191" t="str">
            <v>Proportional</v>
          </cell>
          <cell r="S35191">
            <v>149564.84</v>
          </cell>
          <cell r="X35191" t="str">
            <v>Variation UPR - gross</v>
          </cell>
          <cell r="Y35191" t="str">
            <v>THAILAND</v>
          </cell>
        </row>
        <row r="35192">
          <cell r="L35192" t="str">
            <v>Non-proportional</v>
          </cell>
          <cell r="S35192">
            <v>-5025.26</v>
          </cell>
          <cell r="X35192" t="str">
            <v>Variation UPR - gross</v>
          </cell>
          <cell r="Y35192" t="str">
            <v>AUSTRALIA</v>
          </cell>
        </row>
        <row r="35193">
          <cell r="L35193" t="str">
            <v>Non-proportional</v>
          </cell>
          <cell r="S35193">
            <v>-3114.46</v>
          </cell>
          <cell r="X35193" t="str">
            <v>Variation UPR - gross</v>
          </cell>
          <cell r="Y35193" t="str">
            <v>ECUADOR</v>
          </cell>
        </row>
        <row r="35194">
          <cell r="L35194" t="str">
            <v>Non-proportional</v>
          </cell>
          <cell r="S35194">
            <v>4730.33</v>
          </cell>
          <cell r="X35194" t="str">
            <v>Variation UPR - gross</v>
          </cell>
          <cell r="Y35194" t="str">
            <v>FRANCE</v>
          </cell>
        </row>
        <row r="35195">
          <cell r="L35195" t="str">
            <v>Non-proportional</v>
          </cell>
          <cell r="S35195">
            <v>151.12</v>
          </cell>
          <cell r="X35195" t="str">
            <v>Variation UPR - gross</v>
          </cell>
          <cell r="Y35195" t="str">
            <v>CHILE</v>
          </cell>
        </row>
        <row r="35196">
          <cell r="L35196" t="str">
            <v>Non-proportional</v>
          </cell>
          <cell r="S35196">
            <v>-26.33</v>
          </cell>
          <cell r="X35196" t="str">
            <v>Variation UPR - gross</v>
          </cell>
          <cell r="Y35196" t="str">
            <v>JAPAN</v>
          </cell>
        </row>
        <row r="35197">
          <cell r="L35197" t="str">
            <v>Non-proportional</v>
          </cell>
          <cell r="S35197">
            <v>-138.13999999999999</v>
          </cell>
          <cell r="X35197" t="str">
            <v>Variation UPR - gross</v>
          </cell>
          <cell r="Y35197" t="str">
            <v>JAPAN</v>
          </cell>
        </row>
        <row r="35198">
          <cell r="L35198" t="str">
            <v>Non-proportional</v>
          </cell>
          <cell r="S35198">
            <v>11493.19</v>
          </cell>
          <cell r="X35198" t="str">
            <v>Variation UPR - gross</v>
          </cell>
          <cell r="Y35198" t="str">
            <v>CYPRUS</v>
          </cell>
        </row>
        <row r="35199">
          <cell r="L35199" t="str">
            <v>Non-proportional</v>
          </cell>
          <cell r="S35199">
            <v>-6916.02</v>
          </cell>
          <cell r="X35199" t="str">
            <v>Variation UPR - gross</v>
          </cell>
          <cell r="Y35199" t="str">
            <v>AUSTRALIA</v>
          </cell>
        </row>
        <row r="35200">
          <cell r="L35200" t="str">
            <v>Non-proportional</v>
          </cell>
          <cell r="S35200">
            <v>42395.83</v>
          </cell>
          <cell r="X35200" t="str">
            <v>Variation UPR - gross</v>
          </cell>
          <cell r="Y35200" t="str">
            <v>FRANCE</v>
          </cell>
        </row>
        <row r="35201">
          <cell r="L35201" t="str">
            <v>Non-proportional</v>
          </cell>
          <cell r="S35201">
            <v>-6289.21</v>
          </cell>
          <cell r="X35201" t="str">
            <v>Variation UPR - gross</v>
          </cell>
          <cell r="Y35201" t="str">
            <v>COLOMBIA</v>
          </cell>
        </row>
        <row r="35202">
          <cell r="L35202" t="str">
            <v>Non-proportional</v>
          </cell>
          <cell r="S35202">
            <v>81812.5</v>
          </cell>
          <cell r="X35202" t="str">
            <v>Variation UPR - gross</v>
          </cell>
          <cell r="Y35202" t="str">
            <v>ITALY</v>
          </cell>
        </row>
        <row r="35203">
          <cell r="L35203" t="str">
            <v>Proportional</v>
          </cell>
          <cell r="S35203">
            <v>-5305.94</v>
          </cell>
          <cell r="X35203" t="str">
            <v>Variation UPR - gross</v>
          </cell>
          <cell r="Y35203" t="str">
            <v>UNITED STATES</v>
          </cell>
        </row>
        <row r="35204">
          <cell r="L35204" t="str">
            <v>Proportional</v>
          </cell>
          <cell r="S35204">
            <v>559036.5</v>
          </cell>
          <cell r="X35204" t="str">
            <v>Variation UPR - gross</v>
          </cell>
          <cell r="Y35204" t="str">
            <v>ITALY</v>
          </cell>
        </row>
        <row r="35205">
          <cell r="L35205" t="str">
            <v>Non-proportional</v>
          </cell>
          <cell r="S35205">
            <v>54686.3</v>
          </cell>
          <cell r="X35205" t="str">
            <v>Variation UPR - gross</v>
          </cell>
          <cell r="Y35205" t="str">
            <v>EUROPE</v>
          </cell>
        </row>
        <row r="35206">
          <cell r="L35206" t="str">
            <v>Non-proportional</v>
          </cell>
          <cell r="S35206">
            <v>-0.03</v>
          </cell>
          <cell r="X35206" t="str">
            <v>Variation UPR - gross</v>
          </cell>
          <cell r="Y35206" t="str">
            <v>DOMINICAN REPUBLIC</v>
          </cell>
        </row>
        <row r="35207">
          <cell r="L35207" t="str">
            <v>Proportional</v>
          </cell>
          <cell r="S35207">
            <v>4125000</v>
          </cell>
          <cell r="X35207" t="str">
            <v>Variation UPR - gross</v>
          </cell>
          <cell r="Y35207" t="str">
            <v>PORTUGAL</v>
          </cell>
        </row>
        <row r="35208">
          <cell r="L35208" t="str">
            <v>Non-proportional</v>
          </cell>
          <cell r="S35208">
            <v>-3771.31</v>
          </cell>
          <cell r="X35208" t="str">
            <v>Variation UPR - gross</v>
          </cell>
          <cell r="Y35208" t="str">
            <v>JAPAN</v>
          </cell>
        </row>
        <row r="35209">
          <cell r="L35209" t="str">
            <v>Non-proportional</v>
          </cell>
          <cell r="S35209">
            <v>79406.25</v>
          </cell>
          <cell r="X35209" t="str">
            <v>Variation UPR - gross</v>
          </cell>
          <cell r="Y35209" t="str">
            <v>BELGIUM</v>
          </cell>
        </row>
        <row r="35210">
          <cell r="L35210" t="str">
            <v>Non-proportional</v>
          </cell>
          <cell r="S35210">
            <v>1462.08</v>
          </cell>
          <cell r="X35210" t="str">
            <v>Variation UPR - gross</v>
          </cell>
          <cell r="Y35210" t="str">
            <v>ITALY</v>
          </cell>
        </row>
        <row r="35211">
          <cell r="L35211" t="str">
            <v>Non-proportional</v>
          </cell>
          <cell r="S35211">
            <v>92.19</v>
          </cell>
          <cell r="X35211" t="str">
            <v>Variation UPR - gross</v>
          </cell>
          <cell r="Y35211" t="str">
            <v>INDIA</v>
          </cell>
        </row>
        <row r="35212">
          <cell r="L35212" t="str">
            <v>Non-proportional</v>
          </cell>
          <cell r="S35212">
            <v>-54.82</v>
          </cell>
          <cell r="X35212" t="str">
            <v>Variation UPR - gross</v>
          </cell>
          <cell r="Y35212" t="str">
            <v>GUATEMALA</v>
          </cell>
        </row>
        <row r="35213">
          <cell r="L35213" t="str">
            <v>Non-proportional</v>
          </cell>
          <cell r="S35213">
            <v>35740.019999999997</v>
          </cell>
          <cell r="X35213" t="str">
            <v>Variation UPR - gross</v>
          </cell>
          <cell r="Y35213" t="str">
            <v>FRANCE</v>
          </cell>
        </row>
        <row r="35214">
          <cell r="L35214" t="str">
            <v>Non-proportional</v>
          </cell>
          <cell r="S35214">
            <v>287.07</v>
          </cell>
          <cell r="X35214" t="str">
            <v>Variation UPR - gross</v>
          </cell>
          <cell r="Y35214" t="str">
            <v>COLOMBIA</v>
          </cell>
        </row>
        <row r="35215">
          <cell r="L35215" t="str">
            <v>Non-proportional</v>
          </cell>
          <cell r="S35215">
            <v>-5440.43</v>
          </cell>
          <cell r="X35215" t="str">
            <v>Variation UPR - gross</v>
          </cell>
          <cell r="Y35215" t="str">
            <v>CHILE</v>
          </cell>
        </row>
        <row r="35216">
          <cell r="L35216" t="str">
            <v>Non-proportional</v>
          </cell>
          <cell r="S35216">
            <v>476077.99</v>
          </cell>
          <cell r="X35216" t="str">
            <v>Variation UPR - gross</v>
          </cell>
          <cell r="Y35216" t="str">
            <v>UNITED STATES</v>
          </cell>
        </row>
        <row r="35217">
          <cell r="L35217" t="str">
            <v>Non-proportional</v>
          </cell>
          <cell r="S35217">
            <v>0</v>
          </cell>
          <cell r="X35217" t="str">
            <v>Variation UPR - gross</v>
          </cell>
          <cell r="Y35217" t="str">
            <v>DOMINICAN REPUBLIC</v>
          </cell>
        </row>
        <row r="35218">
          <cell r="L35218" t="str">
            <v>Non-proportional</v>
          </cell>
          <cell r="S35218">
            <v>11.24</v>
          </cell>
          <cell r="X35218" t="str">
            <v>Variation UPR - gross</v>
          </cell>
          <cell r="Y35218" t="str">
            <v>INDIA</v>
          </cell>
        </row>
        <row r="35219">
          <cell r="L35219" t="str">
            <v>Non-proportional</v>
          </cell>
          <cell r="S35219">
            <v>27694.33</v>
          </cell>
          <cell r="X35219" t="str">
            <v>Variation UPR - gross</v>
          </cell>
          <cell r="Y35219" t="str">
            <v>ITALY</v>
          </cell>
        </row>
        <row r="35220">
          <cell r="L35220" t="str">
            <v>Non-proportional</v>
          </cell>
          <cell r="S35220">
            <v>-5097.6400000000003</v>
          </cell>
          <cell r="X35220" t="str">
            <v>Variation UPR - gross</v>
          </cell>
          <cell r="Y35220" t="str">
            <v>DOMINICAN REPUBLIC</v>
          </cell>
        </row>
        <row r="35221">
          <cell r="L35221" t="str">
            <v>Non-proportional</v>
          </cell>
          <cell r="S35221">
            <v>102829.49</v>
          </cell>
          <cell r="X35221" t="str">
            <v>Variation UPR - gross</v>
          </cell>
          <cell r="Y35221" t="str">
            <v>NETHERLANDS</v>
          </cell>
        </row>
        <row r="35222">
          <cell r="L35222" t="str">
            <v>Non-proportional</v>
          </cell>
          <cell r="S35222">
            <v>54440.38</v>
          </cell>
          <cell r="X35222" t="str">
            <v>Variation UPR - gross</v>
          </cell>
          <cell r="Y35222" t="str">
            <v>NETHERLANDS</v>
          </cell>
        </row>
        <row r="35223">
          <cell r="L35223" t="str">
            <v>Non-proportional</v>
          </cell>
          <cell r="S35223">
            <v>-7886.56</v>
          </cell>
          <cell r="X35223" t="str">
            <v>Variation UPR - gross</v>
          </cell>
          <cell r="Y35223" t="str">
            <v>UNITED KINGDOM</v>
          </cell>
        </row>
        <row r="35224">
          <cell r="L35224" t="str">
            <v>Non-proportional</v>
          </cell>
          <cell r="S35224">
            <v>-2220.83</v>
          </cell>
          <cell r="X35224" t="str">
            <v>Variation UPR - gross</v>
          </cell>
          <cell r="Y35224" t="str">
            <v>JAPAN</v>
          </cell>
        </row>
        <row r="35225">
          <cell r="L35225" t="str">
            <v>Non-proportional</v>
          </cell>
          <cell r="S35225">
            <v>-9640.77</v>
          </cell>
          <cell r="X35225" t="str">
            <v>Variation UPR - gross</v>
          </cell>
          <cell r="Y35225" t="str">
            <v>UNITED KINGDOM</v>
          </cell>
        </row>
        <row r="35226">
          <cell r="L35226" t="str">
            <v>Non-proportional</v>
          </cell>
          <cell r="S35226">
            <v>42.64</v>
          </cell>
          <cell r="X35226" t="str">
            <v>Variation UPR - gross</v>
          </cell>
          <cell r="Y35226" t="str">
            <v>INDIA</v>
          </cell>
        </row>
        <row r="35227">
          <cell r="L35227" t="str">
            <v>Non-proportional</v>
          </cell>
          <cell r="S35227">
            <v>84.55</v>
          </cell>
          <cell r="X35227" t="str">
            <v>Variation UPR - gross</v>
          </cell>
          <cell r="Y35227" t="str">
            <v>NEW ZEALAND</v>
          </cell>
        </row>
        <row r="35228">
          <cell r="L35228" t="str">
            <v>Non-proportional</v>
          </cell>
          <cell r="S35228">
            <v>12968564.4</v>
          </cell>
          <cell r="X35228" t="str">
            <v>Variation UPR - gross</v>
          </cell>
          <cell r="Y35228" t="str">
            <v>BELGIUM</v>
          </cell>
        </row>
        <row r="35229">
          <cell r="L35229" t="str">
            <v>Non-proportional</v>
          </cell>
          <cell r="S35229">
            <v>-12141.68</v>
          </cell>
          <cell r="X35229" t="str">
            <v>Variation UPR - gross</v>
          </cell>
          <cell r="Y35229" t="str">
            <v>MEXICO</v>
          </cell>
        </row>
        <row r="35230">
          <cell r="L35230" t="str">
            <v>Non-proportional</v>
          </cell>
          <cell r="S35230">
            <v>18200.91</v>
          </cell>
          <cell r="X35230" t="str">
            <v>Variation UPR - gross</v>
          </cell>
          <cell r="Y35230" t="str">
            <v>ISRAEL</v>
          </cell>
        </row>
        <row r="35231">
          <cell r="L35231" t="str">
            <v>Non-proportional</v>
          </cell>
          <cell r="S35231">
            <v>-35096.1</v>
          </cell>
          <cell r="X35231" t="str">
            <v>Variation UPR - gross</v>
          </cell>
          <cell r="Y35231" t="str">
            <v>TURKEY</v>
          </cell>
        </row>
        <row r="35232">
          <cell r="L35232" t="str">
            <v>Non-proportional</v>
          </cell>
          <cell r="S35232">
            <v>-0.02</v>
          </cell>
          <cell r="X35232" t="str">
            <v>Variation UPR - gross</v>
          </cell>
          <cell r="Y35232" t="str">
            <v>DOMINICAN REPUBLIC</v>
          </cell>
        </row>
        <row r="35233">
          <cell r="L35233" t="str">
            <v>Non-proportional</v>
          </cell>
          <cell r="S35233">
            <v>-37.78</v>
          </cell>
          <cell r="X35233" t="str">
            <v>Variation UPR - gross</v>
          </cell>
          <cell r="Y35233" t="str">
            <v>CHILE</v>
          </cell>
        </row>
        <row r="35234">
          <cell r="L35234" t="str">
            <v>Non-proportional</v>
          </cell>
          <cell r="S35234">
            <v>64364.67</v>
          </cell>
          <cell r="X35234" t="str">
            <v>Variation UPR - gross</v>
          </cell>
          <cell r="Y35234" t="str">
            <v>ITALY</v>
          </cell>
        </row>
        <row r="35235">
          <cell r="L35235" t="str">
            <v>Non-proportional</v>
          </cell>
          <cell r="S35235">
            <v>47917.96</v>
          </cell>
          <cell r="X35235" t="str">
            <v>Variation UPR - gross</v>
          </cell>
          <cell r="Y35235" t="str">
            <v>UNITED KINGDOM</v>
          </cell>
        </row>
        <row r="35236">
          <cell r="L35236" t="str">
            <v>Non-proportional</v>
          </cell>
          <cell r="S35236">
            <v>-1707.93</v>
          </cell>
          <cell r="X35236" t="str">
            <v>Variation UPR - gross</v>
          </cell>
          <cell r="Y35236" t="str">
            <v>ECUADOR</v>
          </cell>
        </row>
        <row r="35237">
          <cell r="L35237" t="str">
            <v>Non-proportional</v>
          </cell>
          <cell r="S35237">
            <v>22098.12</v>
          </cell>
          <cell r="X35237" t="str">
            <v>Variation UPR - gross</v>
          </cell>
          <cell r="Y35237" t="str">
            <v>ISRAEL</v>
          </cell>
        </row>
        <row r="35238">
          <cell r="L35238" t="str">
            <v>Non-proportional</v>
          </cell>
          <cell r="S35238">
            <v>45045</v>
          </cell>
          <cell r="X35238" t="str">
            <v>Variation UPR - gross</v>
          </cell>
          <cell r="Y35238" t="str">
            <v>FRANCE</v>
          </cell>
        </row>
        <row r="35239">
          <cell r="L35239" t="str">
            <v>Non-proportional</v>
          </cell>
          <cell r="S35239">
            <v>14731.09</v>
          </cell>
          <cell r="X35239" t="str">
            <v>Variation UPR - gross</v>
          </cell>
          <cell r="Y35239" t="str">
            <v>COSTA RICA</v>
          </cell>
        </row>
        <row r="35240">
          <cell r="L35240" t="str">
            <v>Non-proportional</v>
          </cell>
          <cell r="S35240">
            <v>-264.47000000000003</v>
          </cell>
          <cell r="X35240" t="str">
            <v>Variation UPR - gross</v>
          </cell>
          <cell r="Y35240" t="str">
            <v>CHILE</v>
          </cell>
        </row>
        <row r="35241">
          <cell r="L35241" t="str">
            <v>Non-proportional</v>
          </cell>
          <cell r="S35241">
            <v>93843.75</v>
          </cell>
          <cell r="X35241" t="str">
            <v>Variation UPR - gross</v>
          </cell>
          <cell r="Y35241" t="str">
            <v>TURKEY</v>
          </cell>
        </row>
        <row r="35242">
          <cell r="L35242" t="str">
            <v>Non-proportional</v>
          </cell>
          <cell r="S35242">
            <v>88225.23</v>
          </cell>
          <cell r="X35242" t="str">
            <v>Variation UPR - gross</v>
          </cell>
          <cell r="Y35242" t="str">
            <v>TURKEY</v>
          </cell>
        </row>
        <row r="35243">
          <cell r="L35243" t="str">
            <v>Non-proportional</v>
          </cell>
          <cell r="S35243">
            <v>179065.42</v>
          </cell>
          <cell r="X35243" t="str">
            <v>Variation UPR - gross</v>
          </cell>
          <cell r="Y35243" t="str">
            <v>ITALY</v>
          </cell>
        </row>
        <row r="35244">
          <cell r="L35244" t="str">
            <v>Non-proportional</v>
          </cell>
          <cell r="S35244">
            <v>457.09</v>
          </cell>
          <cell r="X35244" t="str">
            <v>Variation UPR - gross</v>
          </cell>
          <cell r="Y35244" t="str">
            <v>JAPAN</v>
          </cell>
        </row>
        <row r="35245">
          <cell r="L35245" t="str">
            <v>Proportional</v>
          </cell>
          <cell r="S35245">
            <v>439165.07</v>
          </cell>
          <cell r="X35245" t="str">
            <v>Variation UPR - gross</v>
          </cell>
          <cell r="Y35245" t="str">
            <v>ITALY</v>
          </cell>
        </row>
        <row r="35246">
          <cell r="L35246" t="str">
            <v>Non-proportional</v>
          </cell>
          <cell r="S35246">
            <v>-5334.3</v>
          </cell>
          <cell r="X35246" t="str">
            <v>Variation UPR - gross</v>
          </cell>
          <cell r="Y35246" t="str">
            <v>DOMINICAN REPUBLIC</v>
          </cell>
        </row>
        <row r="35247">
          <cell r="L35247" t="str">
            <v>Non-proportional</v>
          </cell>
          <cell r="S35247">
            <v>-2798.13</v>
          </cell>
          <cell r="X35247" t="str">
            <v>Variation UPR - gross</v>
          </cell>
          <cell r="Y35247" t="str">
            <v>UNITED KINGDOM</v>
          </cell>
        </row>
        <row r="35248">
          <cell r="L35248" t="str">
            <v>Non-proportional</v>
          </cell>
          <cell r="S35248">
            <v>40964.86</v>
          </cell>
          <cell r="X35248" t="str">
            <v>Variation UPR - gross</v>
          </cell>
          <cell r="Y35248" t="str">
            <v>ISRAEL</v>
          </cell>
        </row>
        <row r="35249">
          <cell r="L35249" t="str">
            <v>Non-proportional</v>
          </cell>
          <cell r="S35249">
            <v>126617.06</v>
          </cell>
          <cell r="X35249" t="str">
            <v>Variation UPR - gross</v>
          </cell>
          <cell r="Y35249" t="str">
            <v>EUROPE</v>
          </cell>
        </row>
        <row r="35250">
          <cell r="L35250" t="str">
            <v>Non-proportional</v>
          </cell>
          <cell r="S35250">
            <v>-8393.2800000000007</v>
          </cell>
          <cell r="X35250" t="str">
            <v>Variation UPR - gross</v>
          </cell>
          <cell r="Y35250" t="str">
            <v>MEXICO</v>
          </cell>
        </row>
        <row r="35251">
          <cell r="L35251" t="str">
            <v>Proportional</v>
          </cell>
          <cell r="S35251">
            <v>18890.39</v>
          </cell>
          <cell r="X35251" t="str">
            <v>Variation UPR - gross</v>
          </cell>
          <cell r="Y35251" t="str">
            <v>CHILE</v>
          </cell>
        </row>
        <row r="35252">
          <cell r="L35252" t="str">
            <v>Non-proportional</v>
          </cell>
          <cell r="S35252">
            <v>958521.67</v>
          </cell>
          <cell r="X35252" t="str">
            <v>Variation UPR - gross</v>
          </cell>
          <cell r="Y35252" t="str">
            <v>EUROPE</v>
          </cell>
        </row>
        <row r="35253">
          <cell r="L35253" t="str">
            <v>Non-proportional</v>
          </cell>
          <cell r="S35253">
            <v>116314.24000000001</v>
          </cell>
          <cell r="X35253" t="str">
            <v>Variation UPR - gross</v>
          </cell>
          <cell r="Y35253" t="str">
            <v>COSTA RICA</v>
          </cell>
        </row>
        <row r="35254">
          <cell r="L35254" t="str">
            <v>Non-proportional</v>
          </cell>
          <cell r="S35254">
            <v>-11495.85</v>
          </cell>
          <cell r="X35254" t="str">
            <v>Variation UPR - gross</v>
          </cell>
          <cell r="Y35254" t="str">
            <v>AUSTRALIA</v>
          </cell>
        </row>
        <row r="35255">
          <cell r="L35255" t="str">
            <v>Non-proportional</v>
          </cell>
          <cell r="S35255">
            <v>-0.03</v>
          </cell>
          <cell r="X35255" t="str">
            <v>Variation UPR - gross</v>
          </cell>
          <cell r="Y35255" t="str">
            <v>DOMINICAN REPUBLIC</v>
          </cell>
        </row>
        <row r="35256">
          <cell r="L35256" t="str">
            <v>Non-proportional</v>
          </cell>
          <cell r="S35256">
            <v>8800</v>
          </cell>
          <cell r="X35256" t="str">
            <v>Variation UPR - gross</v>
          </cell>
          <cell r="Y35256" t="str">
            <v>ITALY</v>
          </cell>
        </row>
        <row r="35257">
          <cell r="L35257" t="str">
            <v>Non-proportional</v>
          </cell>
          <cell r="S35257">
            <v>604.49</v>
          </cell>
          <cell r="X35257" t="str">
            <v>Variation UPR - gross</v>
          </cell>
          <cell r="Y35257" t="str">
            <v>CHILE</v>
          </cell>
        </row>
        <row r="35258">
          <cell r="L35258" t="str">
            <v>Non-proportional</v>
          </cell>
          <cell r="S35258">
            <v>17842.34</v>
          </cell>
          <cell r="X35258" t="str">
            <v>Variation UPR - gross</v>
          </cell>
          <cell r="Y35258" t="str">
            <v>GUATEMALA</v>
          </cell>
        </row>
        <row r="35259">
          <cell r="L35259" t="str">
            <v>Non-proportional</v>
          </cell>
          <cell r="S35259">
            <v>488.97</v>
          </cell>
          <cell r="X35259" t="str">
            <v>Variation UPR - gross</v>
          </cell>
          <cell r="Y35259" t="str">
            <v>ISRAEL</v>
          </cell>
        </row>
        <row r="35260">
          <cell r="L35260" t="str">
            <v>Non-proportional</v>
          </cell>
          <cell r="S35260">
            <v>47.4</v>
          </cell>
          <cell r="X35260" t="str">
            <v>Variation UPR - gross</v>
          </cell>
          <cell r="Y35260" t="str">
            <v>NEW ZEALAND</v>
          </cell>
        </row>
        <row r="35261">
          <cell r="L35261" t="str">
            <v>Proportional</v>
          </cell>
          <cell r="S35261">
            <v>285018.15000000002</v>
          </cell>
          <cell r="X35261" t="str">
            <v>Variation UPR - gross</v>
          </cell>
          <cell r="Y35261" t="str">
            <v>CHILE</v>
          </cell>
        </row>
        <row r="35262">
          <cell r="L35262" t="str">
            <v>Non-proportional</v>
          </cell>
          <cell r="S35262">
            <v>33888.54</v>
          </cell>
          <cell r="X35262" t="str">
            <v>Variation UPR - gross</v>
          </cell>
          <cell r="Y35262" t="str">
            <v>UNITED KINGDOM</v>
          </cell>
        </row>
        <row r="35263">
          <cell r="L35263" t="str">
            <v>Non-proportional</v>
          </cell>
          <cell r="S35263">
            <v>-12607.93</v>
          </cell>
          <cell r="X35263" t="str">
            <v>Variation UPR - gross</v>
          </cell>
          <cell r="Y35263" t="str">
            <v>UNITED KINGDOM</v>
          </cell>
        </row>
        <row r="35264">
          <cell r="L35264" t="str">
            <v>Non-proportional</v>
          </cell>
          <cell r="S35264">
            <v>-10857</v>
          </cell>
          <cell r="X35264" t="str">
            <v>Variation UPR - gross</v>
          </cell>
          <cell r="Y35264" t="str">
            <v>POLAND</v>
          </cell>
        </row>
        <row r="35265">
          <cell r="L35265" t="str">
            <v>Proportional</v>
          </cell>
          <cell r="S35265">
            <v>-2803.29</v>
          </cell>
          <cell r="X35265" t="str">
            <v>Variation UPR - gross</v>
          </cell>
          <cell r="Y35265" t="str">
            <v>INDIA</v>
          </cell>
        </row>
        <row r="35266">
          <cell r="L35266" t="str">
            <v>Non-proportional</v>
          </cell>
          <cell r="S35266">
            <v>278282.43</v>
          </cell>
          <cell r="X35266" t="str">
            <v>Variation UPR - gross</v>
          </cell>
          <cell r="Y35266" t="str">
            <v>FRANCE</v>
          </cell>
        </row>
        <row r="35267">
          <cell r="L35267" t="str">
            <v>Non-proportional</v>
          </cell>
          <cell r="S35267">
            <v>-131.35</v>
          </cell>
          <cell r="X35267" t="str">
            <v>Variation UPR - gross</v>
          </cell>
          <cell r="Y35267" t="str">
            <v>JAPAN</v>
          </cell>
        </row>
        <row r="35268">
          <cell r="L35268" t="str">
            <v>Non-proportional</v>
          </cell>
          <cell r="S35268">
            <v>-1363.59</v>
          </cell>
          <cell r="X35268" t="str">
            <v>Variation UPR - gross</v>
          </cell>
          <cell r="Y35268" t="str">
            <v>DOMINICAN REPUBLIC</v>
          </cell>
        </row>
        <row r="35269">
          <cell r="L35269" t="str">
            <v>Non-proportional</v>
          </cell>
          <cell r="S35269">
            <v>11674876.460000001</v>
          </cell>
          <cell r="X35269" t="str">
            <v>Variation UPR - gross</v>
          </cell>
          <cell r="Y35269" t="str">
            <v>BELGIUM</v>
          </cell>
        </row>
        <row r="35270">
          <cell r="L35270" t="str">
            <v>Non-proportional</v>
          </cell>
          <cell r="S35270">
            <v>118235.6</v>
          </cell>
          <cell r="X35270" t="str">
            <v>Variation UPR - gross</v>
          </cell>
          <cell r="Y35270" t="str">
            <v>ITALY</v>
          </cell>
        </row>
        <row r="35271">
          <cell r="L35271" t="str">
            <v>Non-proportional</v>
          </cell>
          <cell r="S35271">
            <v>-4602.74</v>
          </cell>
          <cell r="X35271" t="str">
            <v>Variation UPR - gross</v>
          </cell>
          <cell r="Y35271" t="str">
            <v>COLOMBIA</v>
          </cell>
        </row>
        <row r="35272">
          <cell r="L35272" t="str">
            <v>Non-proportional</v>
          </cell>
          <cell r="S35272">
            <v>219645.04</v>
          </cell>
          <cell r="X35272" t="str">
            <v>Variation UPR - gross</v>
          </cell>
          <cell r="Y35272" t="str">
            <v>FRANCE</v>
          </cell>
        </row>
        <row r="35273">
          <cell r="L35273" t="str">
            <v>Proportional</v>
          </cell>
          <cell r="S35273">
            <v>-217067.27</v>
          </cell>
          <cell r="X35273" t="str">
            <v>Variation UPR - gross</v>
          </cell>
          <cell r="Y35273" t="str">
            <v>CANADA</v>
          </cell>
        </row>
        <row r="35274">
          <cell r="L35274" t="str">
            <v>Non-proportional</v>
          </cell>
          <cell r="S35274">
            <v>-75.56</v>
          </cell>
          <cell r="X35274" t="str">
            <v>Variation UPR - gross</v>
          </cell>
          <cell r="Y35274" t="str">
            <v>CHILE</v>
          </cell>
        </row>
        <row r="35275">
          <cell r="L35275" t="str">
            <v>Non-proportional</v>
          </cell>
          <cell r="S35275">
            <v>17186.080000000002</v>
          </cell>
          <cell r="X35275" t="str">
            <v>Variation UPR - gross</v>
          </cell>
          <cell r="Y35275" t="str">
            <v>FRANCE</v>
          </cell>
        </row>
        <row r="35276">
          <cell r="L35276" t="str">
            <v>Non-proportional</v>
          </cell>
          <cell r="S35276">
            <v>-6618.51</v>
          </cell>
          <cell r="X35276" t="str">
            <v>Variation UPR - gross</v>
          </cell>
          <cell r="Y35276" t="str">
            <v>SPAIN</v>
          </cell>
        </row>
        <row r="35277">
          <cell r="L35277" t="str">
            <v>Non-proportional</v>
          </cell>
          <cell r="S35277">
            <v>-2286.91</v>
          </cell>
          <cell r="X35277" t="str">
            <v>Variation UPR - gross</v>
          </cell>
          <cell r="Y35277" t="str">
            <v>GUATEMALA</v>
          </cell>
        </row>
        <row r="35278">
          <cell r="L35278" t="str">
            <v>Non-proportional</v>
          </cell>
          <cell r="S35278">
            <v>-4257.8599999999997</v>
          </cell>
          <cell r="X35278" t="str">
            <v>Variation UPR - gross</v>
          </cell>
          <cell r="Y35278" t="str">
            <v>COLOMBIA</v>
          </cell>
        </row>
        <row r="35279">
          <cell r="L35279" t="str">
            <v>Non-proportional</v>
          </cell>
          <cell r="S35279">
            <v>41579.980000000003</v>
          </cell>
          <cell r="X35279" t="str">
            <v>Variation UPR - gross</v>
          </cell>
          <cell r="Y35279" t="str">
            <v>GREECE</v>
          </cell>
        </row>
        <row r="35280">
          <cell r="L35280" t="str">
            <v>Non-proportional</v>
          </cell>
          <cell r="S35280">
            <v>7023.72</v>
          </cell>
          <cell r="X35280" t="str">
            <v>Variation UPR - gross</v>
          </cell>
          <cell r="Y35280" t="str">
            <v>MALTA</v>
          </cell>
        </row>
        <row r="35281">
          <cell r="L35281" t="str">
            <v>Non-proportional</v>
          </cell>
          <cell r="S35281">
            <v>1162956.67</v>
          </cell>
          <cell r="X35281" t="str">
            <v>Variation UPR - gross</v>
          </cell>
          <cell r="Y35281" t="str">
            <v>FRANCE</v>
          </cell>
        </row>
        <row r="35282">
          <cell r="L35282" t="str">
            <v>Proportional</v>
          </cell>
          <cell r="S35282">
            <v>871937.5</v>
          </cell>
          <cell r="X35282" t="str">
            <v>Variation UPR - gross</v>
          </cell>
          <cell r="Y35282" t="str">
            <v>ITALY</v>
          </cell>
        </row>
        <row r="35283">
          <cell r="L35283" t="str">
            <v>Non-proportional</v>
          </cell>
          <cell r="S35283">
            <v>-1352.66</v>
          </cell>
          <cell r="X35283" t="str">
            <v>Variation UPR - gross</v>
          </cell>
          <cell r="Y35283" t="str">
            <v>UNITED KINGDOM</v>
          </cell>
        </row>
        <row r="35284">
          <cell r="L35284" t="str">
            <v>Non-proportional</v>
          </cell>
          <cell r="S35284">
            <v>-8917.3700000000008</v>
          </cell>
          <cell r="X35284" t="str">
            <v>Variation UPR - gross</v>
          </cell>
          <cell r="Y35284" t="str">
            <v>MEXICO</v>
          </cell>
        </row>
        <row r="35285">
          <cell r="L35285" t="str">
            <v>Non-proportional</v>
          </cell>
          <cell r="S35285">
            <v>12443.64</v>
          </cell>
          <cell r="X35285" t="str">
            <v>Variation UPR - gross</v>
          </cell>
          <cell r="Y35285" t="str">
            <v>CYPRUS</v>
          </cell>
        </row>
        <row r="35286">
          <cell r="L35286" t="str">
            <v>Non-proportional</v>
          </cell>
          <cell r="S35286">
            <v>119999.82</v>
          </cell>
          <cell r="X35286" t="str">
            <v>Variation UPR - gross</v>
          </cell>
          <cell r="Y35286" t="str">
            <v>ITALY</v>
          </cell>
        </row>
        <row r="35287">
          <cell r="L35287" t="str">
            <v>Non-proportional</v>
          </cell>
          <cell r="S35287">
            <v>-14.5</v>
          </cell>
          <cell r="X35287" t="str">
            <v>Variation UPR - gross</v>
          </cell>
          <cell r="Y35287" t="str">
            <v>JAPAN</v>
          </cell>
        </row>
        <row r="35288">
          <cell r="L35288" t="str">
            <v>Non-proportional</v>
          </cell>
          <cell r="S35288">
            <v>131.52000000000001</v>
          </cell>
          <cell r="X35288" t="str">
            <v>Variation UPR - gross</v>
          </cell>
          <cell r="Y35288" t="str">
            <v>ISRAEL</v>
          </cell>
        </row>
        <row r="35289">
          <cell r="L35289" t="str">
            <v>Non-proportional</v>
          </cell>
          <cell r="S35289">
            <v>245.01</v>
          </cell>
          <cell r="X35289" t="str">
            <v>Variation UPR - gross</v>
          </cell>
          <cell r="Y35289" t="str">
            <v>COLOMBIA</v>
          </cell>
        </row>
        <row r="35290">
          <cell r="L35290" t="str">
            <v>Non-proportional</v>
          </cell>
          <cell r="S35290">
            <v>32.520000000000003</v>
          </cell>
          <cell r="X35290" t="str">
            <v>Variation UPR - gross</v>
          </cell>
          <cell r="Y35290" t="str">
            <v>NEW ZEALAND</v>
          </cell>
        </row>
        <row r="35291">
          <cell r="L35291" t="str">
            <v>Non-proportional</v>
          </cell>
          <cell r="S35291">
            <v>73516.77</v>
          </cell>
          <cell r="X35291" t="str">
            <v>Variation UPR - gross</v>
          </cell>
          <cell r="Y35291" t="str">
            <v>FRANCE</v>
          </cell>
        </row>
        <row r="35292">
          <cell r="L35292" t="str">
            <v>Non-proportional</v>
          </cell>
          <cell r="S35292">
            <v>-3635.46</v>
          </cell>
          <cell r="X35292" t="str">
            <v>Variation UPR - gross</v>
          </cell>
          <cell r="Y35292" t="str">
            <v>BRAZIL</v>
          </cell>
        </row>
        <row r="35293">
          <cell r="L35293" t="str">
            <v>Non-proportional</v>
          </cell>
          <cell r="S35293">
            <v>-10548.55</v>
          </cell>
          <cell r="X35293" t="str">
            <v>Variation UPR - gross</v>
          </cell>
          <cell r="Y35293" t="str">
            <v>ECUADOR</v>
          </cell>
        </row>
        <row r="35294">
          <cell r="L35294" t="str">
            <v>Non-proportional</v>
          </cell>
          <cell r="S35294">
            <v>-124.18</v>
          </cell>
          <cell r="X35294" t="str">
            <v>Variation UPR - gross</v>
          </cell>
          <cell r="Y35294" t="str">
            <v>INDIA</v>
          </cell>
        </row>
        <row r="35295">
          <cell r="L35295" t="str">
            <v>Non-proportional</v>
          </cell>
          <cell r="S35295">
            <v>-286.25</v>
          </cell>
          <cell r="X35295" t="str">
            <v>Variation UPR - gross</v>
          </cell>
          <cell r="Y35295" t="str">
            <v>REPUBLIC OF IRELAND</v>
          </cell>
        </row>
        <row r="35296">
          <cell r="L35296" t="str">
            <v>Non-proportional</v>
          </cell>
          <cell r="S35296">
            <v>-918.83</v>
          </cell>
          <cell r="X35296" t="str">
            <v>Variation UPR - gross</v>
          </cell>
          <cell r="Y35296" t="str">
            <v>UNITED KINGDOM</v>
          </cell>
        </row>
        <row r="35297">
          <cell r="L35297" t="str">
            <v>Non-proportional</v>
          </cell>
          <cell r="S35297">
            <v>503343.22</v>
          </cell>
          <cell r="X35297" t="str">
            <v>Variation UPR - gross</v>
          </cell>
          <cell r="Y35297" t="str">
            <v>TURKEY</v>
          </cell>
        </row>
        <row r="35298">
          <cell r="L35298" t="str">
            <v>Non-proportional</v>
          </cell>
          <cell r="S35298">
            <v>34374.85</v>
          </cell>
          <cell r="X35298" t="str">
            <v>Variation UPR - gross</v>
          </cell>
          <cell r="Y35298" t="str">
            <v>ISRAEL</v>
          </cell>
        </row>
        <row r="35299">
          <cell r="L35299" t="str">
            <v>Non-proportional</v>
          </cell>
          <cell r="S35299">
            <v>-51.6</v>
          </cell>
          <cell r="X35299" t="str">
            <v>Variation UPR - gross</v>
          </cell>
          <cell r="Y35299" t="str">
            <v>INDIA</v>
          </cell>
        </row>
        <row r="35300">
          <cell r="L35300" t="str">
            <v>Non-proportional</v>
          </cell>
          <cell r="S35300">
            <v>90.96</v>
          </cell>
          <cell r="X35300" t="str">
            <v>Variation UPR - gross</v>
          </cell>
          <cell r="Y35300" t="str">
            <v>INDIA</v>
          </cell>
        </row>
        <row r="35301">
          <cell r="L35301" t="str">
            <v>Non-proportional</v>
          </cell>
          <cell r="S35301">
            <v>29.74</v>
          </cell>
          <cell r="X35301" t="str">
            <v>Variation UPR - gross</v>
          </cell>
          <cell r="Y35301" t="str">
            <v>COLOMBIA</v>
          </cell>
        </row>
        <row r="35302">
          <cell r="L35302" t="str">
            <v>Non-proportional</v>
          </cell>
          <cell r="S35302">
            <v>-191.85</v>
          </cell>
          <cell r="X35302" t="str">
            <v>Variation UPR - gross</v>
          </cell>
          <cell r="Y35302" t="str">
            <v>INDIA</v>
          </cell>
        </row>
        <row r="35303">
          <cell r="L35303" t="str">
            <v>Non-proportional</v>
          </cell>
          <cell r="S35303">
            <v>99483.3</v>
          </cell>
          <cell r="X35303" t="str">
            <v>Variation UPR - gross</v>
          </cell>
          <cell r="Y35303" t="str">
            <v>FRANCE</v>
          </cell>
        </row>
        <row r="35304">
          <cell r="L35304" t="str">
            <v>Proportional</v>
          </cell>
          <cell r="S35304">
            <v>2537775.86</v>
          </cell>
          <cell r="X35304" t="str">
            <v>Variation UPR - gross</v>
          </cell>
          <cell r="Y35304" t="str">
            <v>SWITZERLAND</v>
          </cell>
        </row>
        <row r="35305">
          <cell r="L35305" t="str">
            <v>Non-proportional</v>
          </cell>
          <cell r="S35305">
            <v>-2220.83</v>
          </cell>
          <cell r="X35305" t="str">
            <v>Variation UPR - gross</v>
          </cell>
          <cell r="Y35305" t="str">
            <v>JAPAN</v>
          </cell>
        </row>
        <row r="35306">
          <cell r="L35306" t="str">
            <v>Non-proportional</v>
          </cell>
          <cell r="S35306">
            <v>-203.85</v>
          </cell>
          <cell r="X35306" t="str">
            <v>Variation UPR - gross</v>
          </cell>
          <cell r="Y35306" t="str">
            <v>JAPAN</v>
          </cell>
        </row>
        <row r="35307">
          <cell r="L35307" t="str">
            <v>Proportional</v>
          </cell>
          <cell r="S35307">
            <v>24927.47</v>
          </cell>
          <cell r="X35307" t="str">
            <v>Variation UPR - gross</v>
          </cell>
          <cell r="Y35307" t="str">
            <v>THAILAND</v>
          </cell>
        </row>
        <row r="35308">
          <cell r="L35308" t="str">
            <v>Non-proportional</v>
          </cell>
          <cell r="S35308">
            <v>157642.76999999999</v>
          </cell>
          <cell r="X35308" t="str">
            <v>Variation UPR - gross</v>
          </cell>
          <cell r="Y35308" t="str">
            <v>FRANCE</v>
          </cell>
        </row>
        <row r="35309">
          <cell r="L35309" t="str">
            <v>Non-proportional</v>
          </cell>
          <cell r="S35309">
            <v>44859.38</v>
          </cell>
          <cell r="X35309" t="str">
            <v>Variation UPR - gross</v>
          </cell>
          <cell r="Y35309" t="str">
            <v>GREECE</v>
          </cell>
        </row>
        <row r="35310">
          <cell r="L35310" t="str">
            <v>Non-proportional</v>
          </cell>
          <cell r="S35310">
            <v>-167.45</v>
          </cell>
          <cell r="X35310" t="str">
            <v>Variation UPR - gross</v>
          </cell>
          <cell r="Y35310" t="str">
            <v>FRANCE</v>
          </cell>
        </row>
        <row r="35311">
          <cell r="L35311" t="str">
            <v>Non-proportional</v>
          </cell>
          <cell r="S35311">
            <v>-1120.96</v>
          </cell>
          <cell r="X35311" t="str">
            <v>Variation UPR - gross</v>
          </cell>
          <cell r="Y35311" t="str">
            <v>ECUADOR</v>
          </cell>
        </row>
        <row r="35312">
          <cell r="L35312" t="str">
            <v>Non-proportional</v>
          </cell>
          <cell r="S35312">
            <v>-2987.46</v>
          </cell>
          <cell r="X35312" t="str">
            <v>Variation UPR - gross</v>
          </cell>
          <cell r="Y35312" t="str">
            <v>JAPAN</v>
          </cell>
        </row>
        <row r="35313">
          <cell r="L35313" t="str">
            <v>Non-proportional</v>
          </cell>
          <cell r="S35313">
            <v>-1274.5999999999999</v>
          </cell>
          <cell r="X35313" t="str">
            <v>Variation UPR - gross</v>
          </cell>
          <cell r="Y35313" t="str">
            <v>NEW ZEALAND</v>
          </cell>
        </row>
        <row r="35314">
          <cell r="L35314" t="str">
            <v>Non-proportional</v>
          </cell>
          <cell r="S35314">
            <v>37981.15</v>
          </cell>
          <cell r="X35314" t="str">
            <v>Variation UPR - gross</v>
          </cell>
          <cell r="Y35314" t="str">
            <v>ISRAEL</v>
          </cell>
        </row>
        <row r="35315">
          <cell r="L35315" t="str">
            <v>Non-proportional</v>
          </cell>
          <cell r="S35315">
            <v>-0.01</v>
          </cell>
          <cell r="X35315" t="str">
            <v>Variation UPR - gross</v>
          </cell>
          <cell r="Y35315" t="str">
            <v>DOMINICAN REPUBLIC</v>
          </cell>
        </row>
        <row r="35316">
          <cell r="L35316" t="str">
            <v>Non-proportional</v>
          </cell>
          <cell r="S35316">
            <v>18.29</v>
          </cell>
          <cell r="X35316" t="str">
            <v>Variation UPR - gross</v>
          </cell>
          <cell r="Y35316" t="str">
            <v>INDIA</v>
          </cell>
        </row>
        <row r="35317">
          <cell r="L35317" t="str">
            <v>Non-proportional</v>
          </cell>
          <cell r="S35317">
            <v>451.53</v>
          </cell>
          <cell r="X35317" t="str">
            <v>Variation UPR - gross</v>
          </cell>
          <cell r="Y35317" t="str">
            <v>UNITED KINGDOM</v>
          </cell>
        </row>
        <row r="35318">
          <cell r="L35318" t="str">
            <v>Non-proportional</v>
          </cell>
          <cell r="S35318">
            <v>111325.5</v>
          </cell>
          <cell r="X35318" t="str">
            <v>Variation UPR - gross</v>
          </cell>
          <cell r="Y35318" t="str">
            <v>ITALY</v>
          </cell>
        </row>
        <row r="35319">
          <cell r="L35319" t="str">
            <v>Proportional</v>
          </cell>
          <cell r="S35319">
            <v>-24713.279999999999</v>
          </cell>
          <cell r="X35319" t="str">
            <v>Variation UPR - gross</v>
          </cell>
          <cell r="Y35319" t="str">
            <v>THAILAND</v>
          </cell>
        </row>
        <row r="35320">
          <cell r="L35320" t="str">
            <v>Proportional</v>
          </cell>
          <cell r="S35320">
            <v>4167.32</v>
          </cell>
          <cell r="X35320" t="str">
            <v>Variation UPR - gross</v>
          </cell>
          <cell r="Y35320" t="str">
            <v>CANADA</v>
          </cell>
        </row>
        <row r="35321">
          <cell r="L35321" t="str">
            <v>Proportional</v>
          </cell>
          <cell r="S35321">
            <v>-148899.46</v>
          </cell>
          <cell r="X35321" t="str">
            <v>Variation UPR - gross</v>
          </cell>
          <cell r="Y35321" t="str">
            <v>HONG KONG</v>
          </cell>
        </row>
        <row r="35322">
          <cell r="L35322" t="str">
            <v>Non-proportional</v>
          </cell>
          <cell r="S35322">
            <v>-2392.19</v>
          </cell>
          <cell r="X35322" t="str">
            <v>Variation UPR - gross</v>
          </cell>
          <cell r="Y35322" t="str">
            <v>GUATEMALA</v>
          </cell>
        </row>
        <row r="35323">
          <cell r="L35323" t="str">
            <v>Non-proportional</v>
          </cell>
          <cell r="S35323">
            <v>-9936.34</v>
          </cell>
          <cell r="X35323" t="str">
            <v>Variation UPR - gross</v>
          </cell>
          <cell r="Y35323" t="str">
            <v>CHILE</v>
          </cell>
        </row>
        <row r="35324">
          <cell r="L35324" t="str">
            <v>Non-proportional</v>
          </cell>
          <cell r="S35324">
            <v>-4330.84</v>
          </cell>
          <cell r="X35324" t="str">
            <v>Variation UPR - gross</v>
          </cell>
          <cell r="Y35324" t="str">
            <v>COLOMBIA</v>
          </cell>
        </row>
        <row r="35325">
          <cell r="L35325" t="str">
            <v>Non-proportional</v>
          </cell>
          <cell r="S35325">
            <v>-7508.56</v>
          </cell>
          <cell r="X35325" t="str">
            <v>Variation UPR - gross</v>
          </cell>
          <cell r="Y35325" t="str">
            <v>ECUADOR</v>
          </cell>
        </row>
        <row r="35326">
          <cell r="L35326" t="str">
            <v>Non-proportional</v>
          </cell>
          <cell r="S35326">
            <v>6.68</v>
          </cell>
          <cell r="X35326" t="str">
            <v>Variation UPR - gross</v>
          </cell>
          <cell r="Y35326" t="str">
            <v>INDIA</v>
          </cell>
        </row>
        <row r="35327">
          <cell r="L35327" t="str">
            <v>Non-proportional</v>
          </cell>
          <cell r="S35327">
            <v>-42766.12</v>
          </cell>
          <cell r="X35327" t="str">
            <v>Variation UPR - gross</v>
          </cell>
          <cell r="Y35327" t="str">
            <v>UNITED KINGDOM</v>
          </cell>
        </row>
        <row r="35328">
          <cell r="L35328" t="str">
            <v>Non-proportional</v>
          </cell>
          <cell r="S35328">
            <v>-2093.89</v>
          </cell>
          <cell r="X35328" t="str">
            <v>Variation UPR - gross</v>
          </cell>
          <cell r="Y35328" t="str">
            <v>AUSTRALIA</v>
          </cell>
        </row>
        <row r="35329">
          <cell r="L35329" t="str">
            <v>Non-proportional</v>
          </cell>
          <cell r="S35329">
            <v>-1420.66</v>
          </cell>
          <cell r="X35329" t="str">
            <v>Variation UPR - gross</v>
          </cell>
          <cell r="Y35329" t="str">
            <v>INDIA</v>
          </cell>
        </row>
        <row r="35330">
          <cell r="L35330" t="str">
            <v>Proportional</v>
          </cell>
          <cell r="S35330">
            <v>6465532.4299999997</v>
          </cell>
          <cell r="X35330" t="str">
            <v>Variation UPR - gross</v>
          </cell>
          <cell r="Y35330" t="str">
            <v>SWITZERLAND</v>
          </cell>
        </row>
        <row r="35331">
          <cell r="L35331" t="str">
            <v>Proportional</v>
          </cell>
          <cell r="S35331">
            <v>174492.3</v>
          </cell>
          <cell r="X35331" t="str">
            <v>Variation UPR - gross</v>
          </cell>
          <cell r="Y35331" t="str">
            <v>THAILAND</v>
          </cell>
        </row>
        <row r="35332">
          <cell r="L35332" t="str">
            <v>Non-proportional</v>
          </cell>
          <cell r="S35332">
            <v>-79297.509999999995</v>
          </cell>
          <cell r="X35332" t="str">
            <v>Variation UPR - gross</v>
          </cell>
          <cell r="Y35332" t="str">
            <v>UNITED KINGDOM</v>
          </cell>
        </row>
        <row r="35333">
          <cell r="L35333" t="str">
            <v>Non-proportional</v>
          </cell>
          <cell r="S35333">
            <v>-17784.150000000001</v>
          </cell>
          <cell r="X35333" t="str">
            <v>Variation UPR - gross</v>
          </cell>
          <cell r="Y35333" t="str">
            <v>UNITED KINGDOM</v>
          </cell>
        </row>
        <row r="35334">
          <cell r="L35334" t="str">
            <v>Non-proportional</v>
          </cell>
          <cell r="S35334">
            <v>269739.46999999997</v>
          </cell>
          <cell r="X35334" t="str">
            <v>Variation UPR - gross</v>
          </cell>
          <cell r="Y35334" t="str">
            <v>ISRAEL</v>
          </cell>
        </row>
        <row r="35335">
          <cell r="L35335" t="str">
            <v>Non-proportional</v>
          </cell>
          <cell r="S35335">
            <v>16067.3</v>
          </cell>
          <cell r="X35335" t="str">
            <v>Variation UPR - gross</v>
          </cell>
          <cell r="Y35335" t="str">
            <v>ITALY</v>
          </cell>
        </row>
        <row r="35336">
          <cell r="L35336" t="str">
            <v>Non-proportional</v>
          </cell>
          <cell r="S35336">
            <v>14633.67</v>
          </cell>
          <cell r="X35336" t="str">
            <v>Variation UPR - gross</v>
          </cell>
          <cell r="Y35336" t="str">
            <v>FRANCE</v>
          </cell>
        </row>
        <row r="35337">
          <cell r="L35337" t="str">
            <v>Non-proportional</v>
          </cell>
          <cell r="S35337">
            <v>-7913.77</v>
          </cell>
          <cell r="X35337" t="str">
            <v>Variation UPR - gross</v>
          </cell>
          <cell r="Y35337" t="str">
            <v>PUERTO RICO</v>
          </cell>
        </row>
        <row r="35338">
          <cell r="L35338" t="str">
            <v>Proportional</v>
          </cell>
          <cell r="S35338">
            <v>-11734.99</v>
          </cell>
          <cell r="X35338" t="str">
            <v>Variation UPR - gross</v>
          </cell>
          <cell r="Y35338" t="str">
            <v>THAILAND</v>
          </cell>
        </row>
        <row r="35339">
          <cell r="L35339" t="str">
            <v>Non-proportional</v>
          </cell>
          <cell r="S35339">
            <v>-772.88</v>
          </cell>
          <cell r="X35339" t="str">
            <v>Variation UPR - gross</v>
          </cell>
          <cell r="Y35339" t="str">
            <v>REPUBLIC OF IRELAND</v>
          </cell>
        </row>
        <row r="35340">
          <cell r="L35340" t="str">
            <v>Non-proportional</v>
          </cell>
          <cell r="S35340">
            <v>30268.639999999999</v>
          </cell>
          <cell r="X35340" t="str">
            <v>Variation UPR - gross</v>
          </cell>
          <cell r="Y35340" t="str">
            <v>MEXICO</v>
          </cell>
        </row>
        <row r="35341">
          <cell r="L35341" t="str">
            <v>Proportional</v>
          </cell>
          <cell r="S35341">
            <v>-2</v>
          </cell>
          <cell r="X35341" t="str">
            <v>Variation UPR - gross</v>
          </cell>
          <cell r="Y35341" t="str">
            <v>AUSTRALIA</v>
          </cell>
        </row>
        <row r="35342">
          <cell r="L35342" t="str">
            <v>Non-proportional</v>
          </cell>
          <cell r="S35342">
            <v>13251908.43</v>
          </cell>
          <cell r="X35342" t="str">
            <v>Variation UPR - gross</v>
          </cell>
          <cell r="Y35342" t="str">
            <v>UNITED KINGDOM</v>
          </cell>
        </row>
        <row r="35343">
          <cell r="L35343" t="str">
            <v>Proportional</v>
          </cell>
          <cell r="S35343">
            <v>93083.46</v>
          </cell>
          <cell r="X35343" t="str">
            <v>Variation UPR - gross</v>
          </cell>
          <cell r="Y35343" t="str">
            <v>JAPAN</v>
          </cell>
        </row>
        <row r="35344">
          <cell r="L35344" t="str">
            <v>Non-proportional</v>
          </cell>
          <cell r="S35344">
            <v>116557.37</v>
          </cell>
          <cell r="X35344" t="str">
            <v>Variation UPR - gross</v>
          </cell>
          <cell r="Y35344" t="str">
            <v>FRANCE</v>
          </cell>
        </row>
        <row r="35345">
          <cell r="L35345" t="str">
            <v>Non-proportional</v>
          </cell>
          <cell r="S35345">
            <v>-3805.91</v>
          </cell>
          <cell r="X35345" t="str">
            <v>Variation UPR - gross</v>
          </cell>
          <cell r="Y35345" t="str">
            <v>GUATEMALA</v>
          </cell>
        </row>
        <row r="35346">
          <cell r="L35346" t="str">
            <v>Non-proportional</v>
          </cell>
          <cell r="S35346">
            <v>14620.72</v>
          </cell>
          <cell r="X35346" t="str">
            <v>Variation UPR - gross</v>
          </cell>
          <cell r="Y35346" t="str">
            <v>BRAZIL</v>
          </cell>
        </row>
        <row r="35347">
          <cell r="L35347" t="str">
            <v>Non-proportional</v>
          </cell>
          <cell r="S35347">
            <v>-7088.47</v>
          </cell>
          <cell r="X35347" t="str">
            <v>Variation UPR - gross</v>
          </cell>
          <cell r="Y35347" t="str">
            <v>NEW ZEALAND</v>
          </cell>
        </row>
        <row r="35348">
          <cell r="L35348" t="str">
            <v>Proportional</v>
          </cell>
          <cell r="S35348">
            <v>271028.07</v>
          </cell>
          <cell r="X35348" t="str">
            <v>Variation UPR - gross</v>
          </cell>
          <cell r="Y35348" t="str">
            <v>EUROPE</v>
          </cell>
        </row>
        <row r="35349">
          <cell r="L35349" t="str">
            <v>Non-proportional</v>
          </cell>
          <cell r="S35349">
            <v>-9945.4599999999991</v>
          </cell>
          <cell r="X35349" t="str">
            <v>Variation UPR - gross</v>
          </cell>
          <cell r="Y35349" t="str">
            <v>UNITED KINGDOM</v>
          </cell>
        </row>
        <row r="35350">
          <cell r="L35350" t="str">
            <v>Non-proportional</v>
          </cell>
          <cell r="S35350">
            <v>-6803.34</v>
          </cell>
          <cell r="X35350" t="str">
            <v>Variation UPR - gross</v>
          </cell>
          <cell r="Y35350" t="str">
            <v>UNITED KINGDOM</v>
          </cell>
        </row>
        <row r="35351">
          <cell r="L35351" t="str">
            <v>Non-proportional</v>
          </cell>
          <cell r="S35351">
            <v>59.65</v>
          </cell>
          <cell r="X35351" t="str">
            <v>Variation UPR - gross</v>
          </cell>
          <cell r="Y35351" t="str">
            <v>NEW ZEALAND</v>
          </cell>
        </row>
        <row r="35352">
          <cell r="L35352" t="str">
            <v>Non-proportional</v>
          </cell>
          <cell r="S35352">
            <v>99585.34</v>
          </cell>
          <cell r="X35352" t="str">
            <v>Variation UPR - gross</v>
          </cell>
          <cell r="Y35352" t="str">
            <v>ITALY</v>
          </cell>
        </row>
        <row r="35353">
          <cell r="L35353" t="str">
            <v>Non-proportional</v>
          </cell>
          <cell r="S35353">
            <v>-3069.97</v>
          </cell>
          <cell r="X35353" t="str">
            <v>Variation UPR - gross</v>
          </cell>
          <cell r="Y35353" t="str">
            <v>JAPAN</v>
          </cell>
        </row>
        <row r="35354">
          <cell r="L35354" t="str">
            <v>Non-proportional</v>
          </cell>
          <cell r="S35354">
            <v>4262.5</v>
          </cell>
          <cell r="X35354" t="str">
            <v>Variation UPR - gross</v>
          </cell>
          <cell r="Y35354" t="str">
            <v>ITALY</v>
          </cell>
        </row>
        <row r="35355">
          <cell r="L35355" t="str">
            <v>Non-proportional</v>
          </cell>
          <cell r="S35355">
            <v>66949.88</v>
          </cell>
          <cell r="X35355" t="str">
            <v>Variation UPR - gross</v>
          </cell>
          <cell r="Y35355" t="str">
            <v>ITALY</v>
          </cell>
        </row>
        <row r="35356">
          <cell r="L35356" t="str">
            <v>Non-proportional</v>
          </cell>
          <cell r="S35356">
            <v>110000</v>
          </cell>
          <cell r="X35356" t="str">
            <v>Variation UPR - gross</v>
          </cell>
          <cell r="Y35356" t="str">
            <v>ITALY</v>
          </cell>
        </row>
        <row r="35357">
          <cell r="L35357" t="str">
            <v>Non-proportional</v>
          </cell>
          <cell r="S35357">
            <v>86872.5</v>
          </cell>
          <cell r="X35357" t="str">
            <v>Variation UPR - gross</v>
          </cell>
          <cell r="Y35357" t="str">
            <v>ITALY</v>
          </cell>
        </row>
        <row r="35358">
          <cell r="L35358" t="str">
            <v>Non-proportional</v>
          </cell>
          <cell r="S35358">
            <v>-259112.43</v>
          </cell>
          <cell r="X35358" t="str">
            <v>Variation UPR - gross</v>
          </cell>
          <cell r="Y35358" t="str">
            <v>UNITED KINGDOM</v>
          </cell>
        </row>
        <row r="35359">
          <cell r="L35359" t="str">
            <v>Non-proportional</v>
          </cell>
          <cell r="S35359">
            <v>17008738.07</v>
          </cell>
          <cell r="X35359" t="str">
            <v>Variation UPR - gross</v>
          </cell>
          <cell r="Y35359" t="str">
            <v>BELGIUM</v>
          </cell>
        </row>
        <row r="35360">
          <cell r="L35360" t="str">
            <v>Non-proportional</v>
          </cell>
          <cell r="S35360">
            <v>-1169.45</v>
          </cell>
          <cell r="X35360" t="str">
            <v>Variation UPR - gross</v>
          </cell>
          <cell r="Y35360" t="str">
            <v>PERU</v>
          </cell>
        </row>
        <row r="35361">
          <cell r="L35361" t="str">
            <v>Non-proportional</v>
          </cell>
          <cell r="S35361">
            <v>-950.93</v>
          </cell>
          <cell r="X35361" t="str">
            <v>Variation UPR - gross</v>
          </cell>
          <cell r="Y35361" t="str">
            <v>PERU</v>
          </cell>
        </row>
        <row r="35362">
          <cell r="L35362" t="str">
            <v>Non-proportional</v>
          </cell>
          <cell r="S35362">
            <v>-5707.27</v>
          </cell>
          <cell r="X35362" t="str">
            <v>Variation UPR - gross</v>
          </cell>
          <cell r="Y35362" t="str">
            <v>SPAIN</v>
          </cell>
        </row>
        <row r="35363">
          <cell r="L35363" t="str">
            <v>Non-proportional</v>
          </cell>
          <cell r="S35363">
            <v>89036.76</v>
          </cell>
          <cell r="X35363" t="str">
            <v>Variation UPR - gross</v>
          </cell>
          <cell r="Y35363" t="str">
            <v>PERU</v>
          </cell>
        </row>
        <row r="35364">
          <cell r="L35364" t="str">
            <v>Non-proportional</v>
          </cell>
          <cell r="S35364">
            <v>4436261.2300000004</v>
          </cell>
          <cell r="X35364" t="str">
            <v>Variation UPR - gross</v>
          </cell>
          <cell r="Y35364" t="str">
            <v>UNITED KINGDOM</v>
          </cell>
        </row>
        <row r="35365">
          <cell r="L35365" t="str">
            <v>Non-proportional</v>
          </cell>
          <cell r="S35365">
            <v>-86677.97</v>
          </cell>
          <cell r="X35365" t="str">
            <v>Variation UPR - gross</v>
          </cell>
          <cell r="Y35365" t="str">
            <v>UNITED KINGDOM</v>
          </cell>
        </row>
        <row r="35366">
          <cell r="L35366" t="str">
            <v>Non-proportional</v>
          </cell>
          <cell r="S35366">
            <v>-5259.64</v>
          </cell>
          <cell r="X35366" t="str">
            <v>Variation UPR - gross</v>
          </cell>
          <cell r="Y35366" t="str">
            <v>SPAIN</v>
          </cell>
        </row>
        <row r="35367">
          <cell r="L35367" t="str">
            <v>Non-proportional</v>
          </cell>
          <cell r="S35367">
            <v>72854.539999999994</v>
          </cell>
          <cell r="X35367" t="str">
            <v>Variation UPR - gross</v>
          </cell>
          <cell r="Y35367" t="str">
            <v>CYPRUS</v>
          </cell>
        </row>
        <row r="35368">
          <cell r="L35368" t="str">
            <v>Non-proportional</v>
          </cell>
          <cell r="S35368">
            <v>-2945.91</v>
          </cell>
          <cell r="X35368" t="str">
            <v>Variation UPR - gross</v>
          </cell>
          <cell r="Y35368" t="str">
            <v>JAPAN</v>
          </cell>
        </row>
        <row r="35369">
          <cell r="L35369" t="str">
            <v>Non-proportional</v>
          </cell>
          <cell r="S35369">
            <v>-5454.11</v>
          </cell>
          <cell r="X35369" t="str">
            <v>Variation UPR - gross</v>
          </cell>
          <cell r="Y35369" t="str">
            <v>COLOMBIA</v>
          </cell>
        </row>
        <row r="35370">
          <cell r="L35370" t="str">
            <v>Non-proportional</v>
          </cell>
          <cell r="S35370">
            <v>-3850.64</v>
          </cell>
          <cell r="X35370" t="str">
            <v>Variation UPR - gross</v>
          </cell>
          <cell r="Y35370" t="str">
            <v>AUSTRALIA</v>
          </cell>
        </row>
        <row r="35371">
          <cell r="L35371" t="str">
            <v>Non-proportional</v>
          </cell>
          <cell r="S35371">
            <v>30.74</v>
          </cell>
          <cell r="X35371" t="str">
            <v>Variation UPR - gross</v>
          </cell>
          <cell r="Y35371" t="str">
            <v>POLAND</v>
          </cell>
        </row>
        <row r="35372">
          <cell r="L35372" t="str">
            <v>Proportional</v>
          </cell>
          <cell r="S35372">
            <v>-358.95</v>
          </cell>
          <cell r="X35372" t="str">
            <v>Variation UPR - gross</v>
          </cell>
          <cell r="Y35372" t="str">
            <v>THAILAND</v>
          </cell>
        </row>
        <row r="35373">
          <cell r="L35373" t="str">
            <v>Non-proportional</v>
          </cell>
          <cell r="S35373">
            <v>-124526.35</v>
          </cell>
          <cell r="X35373" t="str">
            <v>Variation UPR - gross</v>
          </cell>
          <cell r="Y35373" t="str">
            <v>UNITED KINGDOM</v>
          </cell>
        </row>
        <row r="35374">
          <cell r="L35374" t="str">
            <v>Non-proportional</v>
          </cell>
          <cell r="S35374">
            <v>9.94</v>
          </cell>
          <cell r="X35374" t="str">
            <v>Variation UPR - gross</v>
          </cell>
          <cell r="Y35374" t="str">
            <v>JAPAN</v>
          </cell>
        </row>
        <row r="35375">
          <cell r="L35375" t="str">
            <v>Non-proportional</v>
          </cell>
          <cell r="S35375">
            <v>-5534.24</v>
          </cell>
          <cell r="X35375" t="str">
            <v>Variation UPR - gross</v>
          </cell>
          <cell r="Y35375" t="str">
            <v>DOMINICAN REPUBLIC</v>
          </cell>
        </row>
        <row r="35376">
          <cell r="L35376" t="str">
            <v>Non-proportional</v>
          </cell>
          <cell r="S35376">
            <v>57827.74</v>
          </cell>
          <cell r="X35376" t="str">
            <v>Variation UPR - gross</v>
          </cell>
          <cell r="Y35376" t="str">
            <v>UNITED KINGDOM</v>
          </cell>
        </row>
        <row r="35377">
          <cell r="L35377" t="str">
            <v>Non-proportional</v>
          </cell>
          <cell r="S35377">
            <v>-1946.5</v>
          </cell>
          <cell r="X35377" t="str">
            <v>Variation UPR - gross</v>
          </cell>
          <cell r="Y35377" t="str">
            <v>REPUBLIC OF IRELAND</v>
          </cell>
        </row>
        <row r="35378">
          <cell r="L35378" t="str">
            <v>Non-proportional</v>
          </cell>
          <cell r="S35378">
            <v>-46669.84</v>
          </cell>
          <cell r="X35378" t="str">
            <v>Variation UPR - gross</v>
          </cell>
          <cell r="Y35378" t="str">
            <v>UNITED KINGDOM</v>
          </cell>
        </row>
        <row r="35379">
          <cell r="L35379" t="str">
            <v>Non-proportional</v>
          </cell>
          <cell r="S35379">
            <v>441650</v>
          </cell>
          <cell r="X35379" t="str">
            <v>Variation UPR - gross</v>
          </cell>
          <cell r="Y35379" t="str">
            <v>PORTUGAL</v>
          </cell>
        </row>
        <row r="35380">
          <cell r="L35380" t="str">
            <v>Non-proportional</v>
          </cell>
          <cell r="S35380">
            <v>4550011.6100000003</v>
          </cell>
          <cell r="X35380" t="str">
            <v>Variation UPR - gross</v>
          </cell>
          <cell r="Y35380" t="str">
            <v>UNITED KINGDOM</v>
          </cell>
        </row>
        <row r="35381">
          <cell r="L35381" t="str">
            <v>Non-proportional</v>
          </cell>
          <cell r="S35381">
            <v>-25554.12</v>
          </cell>
          <cell r="X35381" t="str">
            <v>Variation UPR - gross</v>
          </cell>
          <cell r="Y35381" t="str">
            <v>NEW ZEALAND</v>
          </cell>
        </row>
        <row r="35382">
          <cell r="L35382" t="str">
            <v>Non-proportional</v>
          </cell>
          <cell r="S35382">
            <v>-2714.17</v>
          </cell>
          <cell r="X35382" t="str">
            <v>Variation UPR - gross</v>
          </cell>
          <cell r="Y35382" t="str">
            <v>INDIA</v>
          </cell>
        </row>
        <row r="35383">
          <cell r="L35383" t="str">
            <v>Proportional</v>
          </cell>
          <cell r="S35383">
            <v>-189962.21</v>
          </cell>
          <cell r="X35383" t="str">
            <v>Variation UPR - gross</v>
          </cell>
          <cell r="Y35383" t="str">
            <v>THAILAND</v>
          </cell>
        </row>
        <row r="35384">
          <cell r="L35384" t="str">
            <v>Non-proportional</v>
          </cell>
          <cell r="S35384">
            <v>30691.84</v>
          </cell>
          <cell r="X35384" t="str">
            <v>Variation UPR - gross</v>
          </cell>
          <cell r="Y35384" t="str">
            <v>ISRAEL</v>
          </cell>
        </row>
        <row r="35385">
          <cell r="L35385" t="str">
            <v>Non-proportional</v>
          </cell>
          <cell r="S35385">
            <v>-3239.14</v>
          </cell>
          <cell r="X35385" t="str">
            <v>Variation UPR - gross</v>
          </cell>
          <cell r="Y35385" t="str">
            <v>UNITED KINGDOM</v>
          </cell>
        </row>
        <row r="35386">
          <cell r="L35386" t="str">
            <v>Non-proportional</v>
          </cell>
          <cell r="S35386">
            <v>-5138.1899999999996</v>
          </cell>
          <cell r="X35386" t="str">
            <v>Variation UPR - gross</v>
          </cell>
          <cell r="Y35386" t="str">
            <v>CHILE</v>
          </cell>
        </row>
        <row r="35387">
          <cell r="L35387" t="str">
            <v>Non-proportional</v>
          </cell>
          <cell r="S35387">
            <v>34923.24</v>
          </cell>
          <cell r="X35387" t="str">
            <v>Variation UPR - gross</v>
          </cell>
          <cell r="Y35387" t="str">
            <v>ISRAEL</v>
          </cell>
        </row>
        <row r="35388">
          <cell r="L35388" t="str">
            <v>Non-proportional</v>
          </cell>
          <cell r="S35388">
            <v>-40.26</v>
          </cell>
          <cell r="X35388" t="str">
            <v>Variation UPR - gross</v>
          </cell>
          <cell r="Y35388" t="str">
            <v>JAPAN</v>
          </cell>
        </row>
        <row r="35389">
          <cell r="L35389" t="str">
            <v>Non-proportional</v>
          </cell>
          <cell r="S35389">
            <v>-5981.28</v>
          </cell>
          <cell r="X35389" t="str">
            <v>Variation UPR - gross</v>
          </cell>
          <cell r="Y35389" t="str">
            <v>UNITED KINGDOM</v>
          </cell>
        </row>
        <row r="35390">
          <cell r="L35390" t="str">
            <v>Proportional</v>
          </cell>
          <cell r="S35390">
            <v>712213.5</v>
          </cell>
          <cell r="X35390" t="str">
            <v>Variation UPR - gross</v>
          </cell>
          <cell r="Y35390" t="str">
            <v>THAILAND</v>
          </cell>
        </row>
        <row r="35391">
          <cell r="L35391" t="str">
            <v>Non-proportional</v>
          </cell>
          <cell r="S35391">
            <v>-9229.18</v>
          </cell>
          <cell r="X35391" t="str">
            <v>Variation UPR - gross</v>
          </cell>
          <cell r="Y35391" t="str">
            <v>DOMINICAN REPUBLIC</v>
          </cell>
        </row>
        <row r="35392">
          <cell r="L35392" t="str">
            <v>Non-proportional</v>
          </cell>
          <cell r="S35392">
            <v>490.58</v>
          </cell>
          <cell r="X35392" t="str">
            <v>Variation UPR - gross</v>
          </cell>
          <cell r="Y35392" t="str">
            <v>DOMINICAN REPUBLIC</v>
          </cell>
        </row>
        <row r="35393">
          <cell r="L35393" t="str">
            <v>Non-proportional</v>
          </cell>
          <cell r="S35393">
            <v>-73.260000000000005</v>
          </cell>
          <cell r="X35393" t="str">
            <v>Variation UPR - gross</v>
          </cell>
          <cell r="Y35393" t="str">
            <v>JAPAN</v>
          </cell>
        </row>
        <row r="35394">
          <cell r="L35394" t="str">
            <v>Non-proportional</v>
          </cell>
          <cell r="S35394">
            <v>19249.21</v>
          </cell>
          <cell r="X35394" t="str">
            <v>Variation UPR - gross</v>
          </cell>
          <cell r="Y35394" t="str">
            <v>EUROPE</v>
          </cell>
        </row>
        <row r="35395">
          <cell r="L35395" t="str">
            <v>Non-proportional</v>
          </cell>
          <cell r="S35395">
            <v>13.89</v>
          </cell>
          <cell r="X35395" t="str">
            <v>Variation UPR - gross</v>
          </cell>
          <cell r="Y35395" t="str">
            <v>INDIA</v>
          </cell>
        </row>
        <row r="35396">
          <cell r="L35396" t="str">
            <v>Non-proportional</v>
          </cell>
          <cell r="S35396">
            <v>-75.56</v>
          </cell>
          <cell r="X35396" t="str">
            <v>Variation UPR - gross</v>
          </cell>
          <cell r="Y35396" t="str">
            <v>CHILE</v>
          </cell>
        </row>
        <row r="35397">
          <cell r="L35397" t="str">
            <v>Non-proportional</v>
          </cell>
          <cell r="S35397">
            <v>73660.399999999994</v>
          </cell>
          <cell r="X35397" t="str">
            <v>Variation UPR - gross</v>
          </cell>
          <cell r="Y35397" t="str">
            <v>ISRAEL</v>
          </cell>
        </row>
        <row r="35398">
          <cell r="L35398" t="str">
            <v>Non-proportional</v>
          </cell>
          <cell r="S35398">
            <v>-4756.03</v>
          </cell>
          <cell r="X35398" t="str">
            <v>Variation UPR - gross</v>
          </cell>
          <cell r="Y35398" t="str">
            <v>ECUADOR</v>
          </cell>
        </row>
        <row r="35399">
          <cell r="L35399" t="str">
            <v>Non-proportional</v>
          </cell>
          <cell r="S35399">
            <v>-3134.75</v>
          </cell>
          <cell r="X35399" t="str">
            <v>Variation UPR - gross</v>
          </cell>
          <cell r="Y35399" t="str">
            <v>DOMINICAN REPUBLIC</v>
          </cell>
        </row>
        <row r="35400">
          <cell r="L35400" t="str">
            <v>Non-proportional</v>
          </cell>
          <cell r="S35400">
            <v>-1753.13</v>
          </cell>
          <cell r="X35400" t="str">
            <v>Variation UPR - gross</v>
          </cell>
          <cell r="Y35400" t="str">
            <v>ROMANIA</v>
          </cell>
        </row>
        <row r="35401">
          <cell r="L35401" t="str">
            <v>Non-proportional</v>
          </cell>
          <cell r="S35401">
            <v>-31.64</v>
          </cell>
          <cell r="X35401" t="str">
            <v>Variation UPR - gross</v>
          </cell>
          <cell r="Y35401" t="str">
            <v>ISRAEL</v>
          </cell>
        </row>
        <row r="35402">
          <cell r="L35402" t="str">
            <v>Non-proportional</v>
          </cell>
          <cell r="S35402">
            <v>-3570.63</v>
          </cell>
          <cell r="X35402" t="str">
            <v>Variation UPR - gross</v>
          </cell>
          <cell r="Y35402" t="str">
            <v>GREECE</v>
          </cell>
        </row>
        <row r="35403">
          <cell r="L35403" t="str">
            <v>Non-proportional</v>
          </cell>
          <cell r="S35403">
            <v>-8020.48</v>
          </cell>
          <cell r="X35403" t="str">
            <v>Variation UPR - gross</v>
          </cell>
          <cell r="Y35403" t="str">
            <v>TURKEY</v>
          </cell>
        </row>
        <row r="35404">
          <cell r="L35404" t="str">
            <v>Non-proportional</v>
          </cell>
          <cell r="S35404">
            <v>89399.96</v>
          </cell>
          <cell r="X35404" t="str">
            <v>Variation UPR - gross</v>
          </cell>
          <cell r="Y35404" t="str">
            <v>COSTA RICA</v>
          </cell>
        </row>
        <row r="35405">
          <cell r="L35405" t="str">
            <v>Non-proportional</v>
          </cell>
          <cell r="S35405">
            <v>353269.38</v>
          </cell>
          <cell r="X35405" t="str">
            <v>Variation UPR - gross</v>
          </cell>
          <cell r="Y35405" t="str">
            <v>TURKEY</v>
          </cell>
        </row>
        <row r="35406">
          <cell r="L35406" t="str">
            <v>Non-proportional</v>
          </cell>
          <cell r="S35406">
            <v>-5475.24</v>
          </cell>
          <cell r="X35406" t="str">
            <v>Variation UPR - gross</v>
          </cell>
          <cell r="Y35406" t="str">
            <v>DOMINICAN REPUBLIC</v>
          </cell>
        </row>
        <row r="35407">
          <cell r="L35407" t="str">
            <v>Non-proportional</v>
          </cell>
          <cell r="S35407">
            <v>-3074.73</v>
          </cell>
          <cell r="X35407" t="str">
            <v>Variation UPR - gross</v>
          </cell>
          <cell r="Y35407" t="str">
            <v>JAPAN</v>
          </cell>
        </row>
        <row r="35408">
          <cell r="L35408" t="str">
            <v>Non-proportional</v>
          </cell>
          <cell r="S35408">
            <v>-932.28</v>
          </cell>
          <cell r="X35408" t="str">
            <v>Variation UPR - gross</v>
          </cell>
          <cell r="Y35408" t="str">
            <v>UNITED KINGDOM</v>
          </cell>
        </row>
        <row r="35409">
          <cell r="L35409" t="str">
            <v>Non-proportional</v>
          </cell>
          <cell r="S35409">
            <v>103.62</v>
          </cell>
          <cell r="X35409" t="str">
            <v>Variation UPR - gross</v>
          </cell>
          <cell r="Y35409" t="str">
            <v>COLOMBIA</v>
          </cell>
        </row>
        <row r="35410">
          <cell r="L35410" t="str">
            <v>Non-proportional</v>
          </cell>
          <cell r="S35410">
            <v>0.01</v>
          </cell>
          <cell r="X35410" t="str">
            <v>Variation UPR - gross</v>
          </cell>
          <cell r="Y35410" t="str">
            <v>DOMINICAN REPUBLIC</v>
          </cell>
        </row>
        <row r="35411">
          <cell r="L35411" t="str">
            <v>Non-proportional</v>
          </cell>
          <cell r="S35411">
            <v>-4541.93</v>
          </cell>
          <cell r="X35411" t="str">
            <v>Variation UPR - gross</v>
          </cell>
          <cell r="Y35411" t="str">
            <v>TURKEY</v>
          </cell>
        </row>
        <row r="35412">
          <cell r="L35412" t="str">
            <v>Non-proportional</v>
          </cell>
          <cell r="S35412">
            <v>154.76</v>
          </cell>
          <cell r="X35412" t="str">
            <v>Variation UPR - gross</v>
          </cell>
          <cell r="Y35412" t="str">
            <v>CHILE</v>
          </cell>
        </row>
        <row r="35413">
          <cell r="L35413" t="str">
            <v>Non-proportional</v>
          </cell>
          <cell r="S35413">
            <v>-1297.5899999999999</v>
          </cell>
          <cell r="X35413" t="str">
            <v>Variation UPR - gross</v>
          </cell>
          <cell r="Y35413" t="str">
            <v>COLOMBIA</v>
          </cell>
        </row>
        <row r="35414">
          <cell r="L35414" t="str">
            <v>Proportional</v>
          </cell>
          <cell r="S35414">
            <v>-7702.94</v>
          </cell>
          <cell r="X35414" t="str">
            <v>Variation UPR - gross</v>
          </cell>
          <cell r="Y35414" t="str">
            <v>THAILAND</v>
          </cell>
        </row>
        <row r="35415">
          <cell r="L35415" t="str">
            <v>Non-proportional</v>
          </cell>
          <cell r="S35415">
            <v>-5498.55</v>
          </cell>
          <cell r="X35415" t="str">
            <v>Variation UPR - gross</v>
          </cell>
          <cell r="Y35415" t="str">
            <v>COLOMBIA</v>
          </cell>
        </row>
        <row r="35416">
          <cell r="L35416" t="str">
            <v>Non-proportional</v>
          </cell>
          <cell r="S35416">
            <v>-546.88</v>
          </cell>
          <cell r="X35416" t="str">
            <v>Variation UPR - gross</v>
          </cell>
          <cell r="Y35416" t="str">
            <v>ITALY</v>
          </cell>
        </row>
        <row r="35417">
          <cell r="L35417" t="str">
            <v>Non-proportional</v>
          </cell>
          <cell r="S35417">
            <v>-2101.5100000000002</v>
          </cell>
          <cell r="X35417" t="str">
            <v>Variation UPR - gross</v>
          </cell>
          <cell r="Y35417" t="str">
            <v>AUSTRALIA</v>
          </cell>
        </row>
        <row r="35418">
          <cell r="L35418" t="str">
            <v>Non-proportional</v>
          </cell>
          <cell r="S35418">
            <v>-66.83</v>
          </cell>
          <cell r="X35418" t="str">
            <v>Variation UPR - gross</v>
          </cell>
          <cell r="Y35418" t="str">
            <v>ISRAEL</v>
          </cell>
        </row>
        <row r="35419">
          <cell r="L35419" t="str">
            <v>Non-proportional</v>
          </cell>
          <cell r="S35419">
            <v>-47.02</v>
          </cell>
          <cell r="X35419" t="str">
            <v>Variation UPR - gross</v>
          </cell>
          <cell r="Y35419" t="str">
            <v>ISRAEL</v>
          </cell>
        </row>
        <row r="35420">
          <cell r="L35420" t="str">
            <v>Non-proportional</v>
          </cell>
          <cell r="S35420">
            <v>-1468.75</v>
          </cell>
          <cell r="X35420" t="str">
            <v>Variation UPR - gross</v>
          </cell>
          <cell r="Y35420" t="str">
            <v>GREECE</v>
          </cell>
        </row>
        <row r="35421">
          <cell r="L35421" t="str">
            <v>Non-proportional</v>
          </cell>
          <cell r="S35421">
            <v>91.48</v>
          </cell>
          <cell r="X35421" t="str">
            <v>Variation UPR - gross</v>
          </cell>
          <cell r="Y35421" t="str">
            <v>INDIA</v>
          </cell>
        </row>
        <row r="35422">
          <cell r="L35422" t="str">
            <v>Proportional</v>
          </cell>
          <cell r="S35422">
            <v>-39234.769999999997</v>
          </cell>
          <cell r="X35422" t="str">
            <v>Variation UPR - gross</v>
          </cell>
          <cell r="Y35422" t="str">
            <v>UNITED STATES</v>
          </cell>
        </row>
        <row r="35423">
          <cell r="L35423" t="str">
            <v>Non-proportional</v>
          </cell>
          <cell r="S35423">
            <v>-77.38</v>
          </cell>
          <cell r="X35423" t="str">
            <v>Variation UPR - gross</v>
          </cell>
          <cell r="Y35423" t="str">
            <v>CHILE</v>
          </cell>
        </row>
        <row r="35424">
          <cell r="L35424" t="str">
            <v>Non-proportional</v>
          </cell>
          <cell r="S35424">
            <v>-167.45</v>
          </cell>
          <cell r="X35424" t="str">
            <v>Variation UPR - gross</v>
          </cell>
          <cell r="Y35424" t="str">
            <v>FRANCE</v>
          </cell>
        </row>
        <row r="35425">
          <cell r="L35425" t="str">
            <v>Non-proportional</v>
          </cell>
          <cell r="S35425">
            <v>-5274.49</v>
          </cell>
          <cell r="X35425" t="str">
            <v>Variation UPR - gross</v>
          </cell>
          <cell r="Y35425" t="str">
            <v>CYPRUS</v>
          </cell>
        </row>
        <row r="35426">
          <cell r="L35426" t="str">
            <v>Non-proportional</v>
          </cell>
          <cell r="S35426">
            <v>-4971.4799999999996</v>
          </cell>
          <cell r="X35426" t="str">
            <v>Variation UPR - gross</v>
          </cell>
          <cell r="Y35426" t="str">
            <v>EUROPE</v>
          </cell>
        </row>
        <row r="35427">
          <cell r="L35427" t="str">
            <v>Non-proportional</v>
          </cell>
          <cell r="S35427">
            <v>-4577.1099999999997</v>
          </cell>
          <cell r="X35427" t="str">
            <v>Variation UPR - gross</v>
          </cell>
          <cell r="Y35427" t="str">
            <v>NEW ZEALAND</v>
          </cell>
        </row>
        <row r="35428">
          <cell r="L35428" t="str">
            <v>Non-proportional</v>
          </cell>
          <cell r="S35428">
            <v>-4582.6899999999996</v>
          </cell>
          <cell r="X35428" t="str">
            <v>Variation UPR - gross</v>
          </cell>
          <cell r="Y35428" t="str">
            <v>ECUADOR</v>
          </cell>
        </row>
        <row r="35429">
          <cell r="L35429" t="str">
            <v>Non-proportional</v>
          </cell>
          <cell r="S35429">
            <v>-9004.69</v>
          </cell>
          <cell r="X35429" t="str">
            <v>Variation UPR - gross</v>
          </cell>
          <cell r="Y35429" t="str">
            <v>AUSTRALIA</v>
          </cell>
        </row>
        <row r="35430">
          <cell r="L35430" t="str">
            <v>Non-proportional</v>
          </cell>
          <cell r="S35430">
            <v>-104923.14</v>
          </cell>
          <cell r="X35430" t="str">
            <v>Variation UPR - gross</v>
          </cell>
          <cell r="Y35430" t="str">
            <v>UNITED KINGDOM</v>
          </cell>
        </row>
        <row r="35431">
          <cell r="L35431" t="str">
            <v>Non-proportional</v>
          </cell>
          <cell r="S35431">
            <v>0.04</v>
          </cell>
          <cell r="X35431" t="str">
            <v>Variation UPR - gross</v>
          </cell>
          <cell r="Y35431" t="str">
            <v>COLOMBIA</v>
          </cell>
        </row>
        <row r="35432">
          <cell r="L35432" t="str">
            <v>Non-proportional</v>
          </cell>
          <cell r="S35432">
            <v>-111519.81</v>
          </cell>
          <cell r="X35432" t="str">
            <v>Variation UPR - gross</v>
          </cell>
          <cell r="Y35432" t="str">
            <v>UNITED KINGDOM</v>
          </cell>
        </row>
        <row r="35433">
          <cell r="L35433" t="str">
            <v>Non-proportional</v>
          </cell>
          <cell r="S35433">
            <v>-23187.5</v>
          </cell>
          <cell r="X35433" t="str">
            <v>Variation UPR - gross</v>
          </cell>
          <cell r="Y35433" t="str">
            <v>ITALY</v>
          </cell>
        </row>
        <row r="35434">
          <cell r="L35434" t="str">
            <v>Non-proportional</v>
          </cell>
          <cell r="S35434">
            <v>0.01</v>
          </cell>
          <cell r="X35434" t="str">
            <v>Variation UPR - gross</v>
          </cell>
          <cell r="Y35434" t="str">
            <v>JAPAN</v>
          </cell>
        </row>
        <row r="35435">
          <cell r="L35435" t="str">
            <v>Non-proportional</v>
          </cell>
          <cell r="S35435">
            <v>-3015.29</v>
          </cell>
          <cell r="X35435" t="str">
            <v>Variation UPR - gross</v>
          </cell>
          <cell r="Y35435" t="str">
            <v>ITALY</v>
          </cell>
        </row>
        <row r="35436">
          <cell r="L35436" t="str">
            <v>Non-proportional</v>
          </cell>
          <cell r="S35436">
            <v>77.38</v>
          </cell>
          <cell r="X35436" t="str">
            <v>Variation UPR - gross</v>
          </cell>
          <cell r="Y35436" t="str">
            <v>CHILE</v>
          </cell>
        </row>
        <row r="35437">
          <cell r="L35437" t="str">
            <v>Non-proportional</v>
          </cell>
          <cell r="S35437">
            <v>-2295.38</v>
          </cell>
          <cell r="X35437" t="str">
            <v>Variation UPR - gross</v>
          </cell>
          <cell r="Y35437" t="str">
            <v>GUATEMALA</v>
          </cell>
        </row>
        <row r="35438">
          <cell r="L35438" t="str">
            <v>Non-proportional</v>
          </cell>
          <cell r="S35438">
            <v>-3159.65</v>
          </cell>
          <cell r="X35438" t="str">
            <v>Variation UPR - gross</v>
          </cell>
          <cell r="Y35438" t="str">
            <v>JAPAN</v>
          </cell>
        </row>
        <row r="35439">
          <cell r="L35439" t="str">
            <v>Non-proportional</v>
          </cell>
          <cell r="S35439">
            <v>-5628.13</v>
          </cell>
          <cell r="X35439" t="str">
            <v>Variation UPR - gross</v>
          </cell>
          <cell r="Y35439" t="str">
            <v>AUSTRALIA</v>
          </cell>
        </row>
        <row r="35440">
          <cell r="L35440" t="str">
            <v>Non-proportional</v>
          </cell>
          <cell r="S35440">
            <v>-5571.24</v>
          </cell>
          <cell r="X35440" t="str">
            <v>Variation UPR - gross</v>
          </cell>
          <cell r="Y35440" t="str">
            <v>CHILE</v>
          </cell>
        </row>
        <row r="35441">
          <cell r="L35441" t="str">
            <v>Proportional</v>
          </cell>
          <cell r="S35441">
            <v>-375000</v>
          </cell>
          <cell r="X35441" t="str">
            <v>Variation UPR - gross</v>
          </cell>
          <cell r="Y35441" t="str">
            <v>PORTUGAL</v>
          </cell>
        </row>
        <row r="35442">
          <cell r="L35442" t="str">
            <v>Non-proportional</v>
          </cell>
          <cell r="S35442">
            <v>-27391.5</v>
          </cell>
          <cell r="X35442" t="str">
            <v>Variation UPR - gross</v>
          </cell>
          <cell r="Y35442" t="str">
            <v>UNITED KINGDOM</v>
          </cell>
        </row>
        <row r="35443">
          <cell r="L35443" t="str">
            <v>Non-proportional</v>
          </cell>
          <cell r="S35443">
            <v>0.02</v>
          </cell>
          <cell r="X35443" t="str">
            <v>Variation UPR - gross</v>
          </cell>
          <cell r="Y35443" t="str">
            <v>DOMINICAN REPUBLIC</v>
          </cell>
        </row>
        <row r="35444">
          <cell r="L35444" t="str">
            <v>Non-proportional</v>
          </cell>
          <cell r="S35444">
            <v>232.13</v>
          </cell>
          <cell r="X35444" t="str">
            <v>Variation UPR - gross</v>
          </cell>
          <cell r="Y35444" t="str">
            <v>CHILE</v>
          </cell>
        </row>
        <row r="35445">
          <cell r="L35445" t="str">
            <v>Non-proportional</v>
          </cell>
          <cell r="S35445">
            <v>-0.01</v>
          </cell>
          <cell r="X35445" t="str">
            <v>Variation UPR - gross</v>
          </cell>
          <cell r="Y35445" t="str">
            <v>BRAZIL</v>
          </cell>
        </row>
        <row r="35446">
          <cell r="L35446" t="str">
            <v>Non-proportional</v>
          </cell>
          <cell r="S35446">
            <v>-1685.13</v>
          </cell>
          <cell r="X35446" t="str">
            <v>Variation UPR - gross</v>
          </cell>
          <cell r="Y35446" t="str">
            <v>ISRAEL</v>
          </cell>
        </row>
        <row r="35447">
          <cell r="L35447" t="str">
            <v>Non-proportional</v>
          </cell>
          <cell r="S35447">
            <v>-6941.18</v>
          </cell>
          <cell r="X35447" t="str">
            <v>Variation UPR - gross</v>
          </cell>
          <cell r="Y35447" t="str">
            <v>AUSTRALIA</v>
          </cell>
        </row>
        <row r="35448">
          <cell r="L35448" t="str">
            <v>Proportional</v>
          </cell>
          <cell r="S35448">
            <v>-86957.35</v>
          </cell>
          <cell r="X35448" t="str">
            <v>Variation UPR - gross</v>
          </cell>
          <cell r="Y35448" t="str">
            <v>UNITED STATES</v>
          </cell>
        </row>
        <row r="35449">
          <cell r="L35449" t="str">
            <v>Proportional</v>
          </cell>
          <cell r="S35449">
            <v>-4583.3599999999997</v>
          </cell>
          <cell r="X35449" t="str">
            <v>Variation UPR - gross</v>
          </cell>
          <cell r="Y35449" t="str">
            <v>ITALY</v>
          </cell>
        </row>
        <row r="35450">
          <cell r="L35450" t="str">
            <v>Non-proportional</v>
          </cell>
          <cell r="S35450">
            <v>-151.61000000000001</v>
          </cell>
          <cell r="X35450" t="str">
            <v>Variation UPR - gross</v>
          </cell>
          <cell r="Y35450" t="str">
            <v>ISRAEL</v>
          </cell>
        </row>
        <row r="35451">
          <cell r="L35451" t="str">
            <v>Non-proportional</v>
          </cell>
          <cell r="S35451">
            <v>-2179.7800000000002</v>
          </cell>
          <cell r="X35451" t="str">
            <v>Variation UPR - gross</v>
          </cell>
          <cell r="Y35451" t="str">
            <v>FRANCE</v>
          </cell>
        </row>
        <row r="35452">
          <cell r="L35452" t="str">
            <v>Non-proportional</v>
          </cell>
          <cell r="S35452">
            <v>-4449.25</v>
          </cell>
          <cell r="X35452" t="str">
            <v>Variation UPR - gross</v>
          </cell>
          <cell r="Y35452" t="str">
            <v>CHILE</v>
          </cell>
        </row>
        <row r="35453">
          <cell r="L35453" t="str">
            <v>Non-proportional</v>
          </cell>
          <cell r="S35453">
            <v>-1197.92</v>
          </cell>
          <cell r="X35453" t="str">
            <v>Variation UPR - gross</v>
          </cell>
          <cell r="Y35453" t="str">
            <v>GERMANY</v>
          </cell>
        </row>
        <row r="35454">
          <cell r="L35454" t="str">
            <v>Non-proportional</v>
          </cell>
          <cell r="S35454">
            <v>-4509.75</v>
          </cell>
          <cell r="X35454" t="str">
            <v>Variation UPR - gross</v>
          </cell>
          <cell r="Y35454" t="str">
            <v>FRANCE</v>
          </cell>
        </row>
        <row r="35455">
          <cell r="L35455" t="str">
            <v>Non-proportional</v>
          </cell>
          <cell r="S35455">
            <v>-75.349999999999994</v>
          </cell>
          <cell r="X35455" t="str">
            <v>Variation UPR - gross</v>
          </cell>
          <cell r="Y35455" t="str">
            <v>JAPAN</v>
          </cell>
        </row>
        <row r="35456">
          <cell r="L35456" t="str">
            <v>Non-proportional</v>
          </cell>
          <cell r="S35456">
            <v>270.82</v>
          </cell>
          <cell r="X35456" t="str">
            <v>Variation UPR - gross</v>
          </cell>
          <cell r="Y35456" t="str">
            <v>CHILE</v>
          </cell>
        </row>
        <row r="35457">
          <cell r="L35457" t="str">
            <v>Proportional</v>
          </cell>
          <cell r="S35457">
            <v>-111.47</v>
          </cell>
          <cell r="X35457" t="str">
            <v>Variation UPR - gross</v>
          </cell>
          <cell r="Y35457" t="str">
            <v>UNITED STATES</v>
          </cell>
        </row>
        <row r="35458">
          <cell r="L35458" t="str">
            <v>Non-proportional</v>
          </cell>
          <cell r="S35458">
            <v>-1417.39</v>
          </cell>
          <cell r="X35458" t="str">
            <v>Variation UPR - gross</v>
          </cell>
          <cell r="Y35458" t="str">
            <v>COLOMBIA</v>
          </cell>
        </row>
        <row r="35459">
          <cell r="L35459" t="str">
            <v>Non-proportional</v>
          </cell>
          <cell r="S35459">
            <v>-2187.5</v>
          </cell>
          <cell r="X35459" t="str">
            <v>Variation UPR - gross</v>
          </cell>
          <cell r="Y35459" t="str">
            <v>GERMANY</v>
          </cell>
        </row>
        <row r="35460">
          <cell r="L35460" t="str">
            <v>Non-proportional</v>
          </cell>
          <cell r="S35460">
            <v>-8667.07</v>
          </cell>
          <cell r="X35460" t="str">
            <v>Variation UPR - gross</v>
          </cell>
          <cell r="Y35460" t="str">
            <v>AUSTRALIA</v>
          </cell>
        </row>
        <row r="35461">
          <cell r="L35461" t="str">
            <v>Non-proportional</v>
          </cell>
          <cell r="S35461">
            <v>-55.69</v>
          </cell>
          <cell r="X35461" t="str">
            <v>Variation UPR - gross</v>
          </cell>
          <cell r="Y35461" t="str">
            <v>ISRAEL</v>
          </cell>
        </row>
        <row r="35462">
          <cell r="L35462" t="str">
            <v>Non-proportional</v>
          </cell>
          <cell r="S35462">
            <v>-80458.33</v>
          </cell>
          <cell r="X35462" t="str">
            <v>Variation UPR - gross</v>
          </cell>
          <cell r="Y35462" t="str">
            <v>UNITED KINGDOM</v>
          </cell>
        </row>
        <row r="35463">
          <cell r="L35463" t="str">
            <v>Non-proportional</v>
          </cell>
          <cell r="S35463">
            <v>-8708.34</v>
          </cell>
          <cell r="X35463" t="str">
            <v>Variation UPR - gross</v>
          </cell>
          <cell r="Y35463" t="str">
            <v>TURKEY</v>
          </cell>
        </row>
        <row r="35464">
          <cell r="L35464" t="str">
            <v>Proportional</v>
          </cell>
          <cell r="S35464">
            <v>16.84</v>
          </cell>
          <cell r="X35464" t="str">
            <v>Variation UPR - gross</v>
          </cell>
          <cell r="Y35464" t="str">
            <v>UNITED STATES</v>
          </cell>
        </row>
        <row r="35465">
          <cell r="L35465" t="str">
            <v>Non-proportional</v>
          </cell>
          <cell r="S35465">
            <v>-40150</v>
          </cell>
          <cell r="X35465" t="str">
            <v>Variation UPR - gross</v>
          </cell>
          <cell r="Y35465" t="str">
            <v>PORTUGAL</v>
          </cell>
        </row>
        <row r="35466">
          <cell r="L35466" t="str">
            <v>Non-proportional</v>
          </cell>
          <cell r="S35466">
            <v>-9649.81</v>
          </cell>
          <cell r="X35466" t="str">
            <v>Variation UPR - gross</v>
          </cell>
          <cell r="Y35466" t="str">
            <v>JAPAN</v>
          </cell>
        </row>
        <row r="35467">
          <cell r="L35467" t="str">
            <v>Non-proportional</v>
          </cell>
          <cell r="S35467">
            <v>-640.74</v>
          </cell>
          <cell r="X35467" t="str">
            <v>Variation UPR - gross</v>
          </cell>
          <cell r="Y35467" t="str">
            <v>BRAZIL</v>
          </cell>
        </row>
        <row r="35468">
          <cell r="L35468" t="str">
            <v>Non-proportional</v>
          </cell>
          <cell r="S35468">
            <v>-3037.67</v>
          </cell>
          <cell r="X35468" t="str">
            <v>Variation UPR - gross</v>
          </cell>
          <cell r="Y35468" t="str">
            <v>COLOMBIA</v>
          </cell>
        </row>
        <row r="35469">
          <cell r="L35469" t="str">
            <v>Non-proportional</v>
          </cell>
          <cell r="S35469">
            <v>-5151.8999999999996</v>
          </cell>
          <cell r="X35469" t="str">
            <v>Variation UPR - gross</v>
          </cell>
          <cell r="Y35469" t="str">
            <v>ITALY</v>
          </cell>
        </row>
        <row r="35470">
          <cell r="L35470" t="str">
            <v>Proportional</v>
          </cell>
          <cell r="S35470">
            <v>-8921.9699999999993</v>
          </cell>
          <cell r="X35470" t="str">
            <v>Variation UPR - gross</v>
          </cell>
          <cell r="Y35470" t="str">
            <v>THAILAND</v>
          </cell>
        </row>
        <row r="35471">
          <cell r="L35471" t="str">
            <v>Non-proportional</v>
          </cell>
          <cell r="S35471">
            <v>154.08000000000001</v>
          </cell>
          <cell r="X35471" t="str">
            <v>Variation UPR - gross</v>
          </cell>
          <cell r="Y35471" t="str">
            <v>JAPAN</v>
          </cell>
        </row>
        <row r="35472">
          <cell r="L35472" t="str">
            <v>Proportional</v>
          </cell>
          <cell r="S35472">
            <v>-241493.94</v>
          </cell>
          <cell r="X35472" t="str">
            <v>Variation UPR - gross</v>
          </cell>
          <cell r="Y35472" t="str">
            <v>JAPAN</v>
          </cell>
        </row>
        <row r="35473">
          <cell r="L35473" t="str">
            <v>Non-proportional</v>
          </cell>
          <cell r="S35473">
            <v>-696.4</v>
          </cell>
          <cell r="X35473" t="str">
            <v>Variation UPR - gross</v>
          </cell>
          <cell r="Y35473" t="str">
            <v>CHILE</v>
          </cell>
        </row>
        <row r="35474">
          <cell r="L35474" t="str">
            <v>Non-proportional</v>
          </cell>
          <cell r="S35474">
            <v>140.22999999999999</v>
          </cell>
          <cell r="X35474" t="str">
            <v>Variation UPR - gross</v>
          </cell>
          <cell r="Y35474" t="str">
            <v>NEW ZEALAND</v>
          </cell>
        </row>
        <row r="35475">
          <cell r="L35475" t="str">
            <v>Non-proportional</v>
          </cell>
          <cell r="S35475">
            <v>-3761.99</v>
          </cell>
          <cell r="X35475" t="str">
            <v>Variation UPR - gross</v>
          </cell>
          <cell r="Y35475" t="str">
            <v>GUATEMALA</v>
          </cell>
        </row>
        <row r="35476">
          <cell r="L35476" t="str">
            <v>Non-proportional</v>
          </cell>
          <cell r="S35476">
            <v>-9781.9</v>
          </cell>
          <cell r="X35476" t="str">
            <v>Variation UPR - gross</v>
          </cell>
          <cell r="Y35476" t="str">
            <v>UNITED KINGDOM</v>
          </cell>
        </row>
        <row r="35477">
          <cell r="L35477" t="str">
            <v>Non-proportional</v>
          </cell>
          <cell r="S35477">
            <v>-10130.540000000001</v>
          </cell>
          <cell r="X35477" t="str">
            <v>Variation UPR - gross</v>
          </cell>
          <cell r="Y35477" t="str">
            <v>AUSTRALIA</v>
          </cell>
        </row>
        <row r="35478">
          <cell r="L35478" t="str">
            <v>Non-proportional</v>
          </cell>
          <cell r="S35478">
            <v>-14483.94</v>
          </cell>
          <cell r="X35478" t="str">
            <v>Variation UPR - gross</v>
          </cell>
          <cell r="Y35478" t="str">
            <v>FRANCE</v>
          </cell>
        </row>
        <row r="35479">
          <cell r="L35479" t="str">
            <v>Non-proportional</v>
          </cell>
          <cell r="S35479">
            <v>-975</v>
          </cell>
          <cell r="X35479" t="str">
            <v>Variation UPR - gross</v>
          </cell>
          <cell r="Y35479" t="str">
            <v>GREECE</v>
          </cell>
        </row>
        <row r="35480">
          <cell r="L35480" t="str">
            <v>Non-proportional</v>
          </cell>
          <cell r="S35480">
            <v>-1202.25</v>
          </cell>
          <cell r="X35480" t="str">
            <v>Variation UPR - gross</v>
          </cell>
          <cell r="Y35480" t="str">
            <v>REPUBLIC OF IRELAND</v>
          </cell>
        </row>
        <row r="35481">
          <cell r="L35481" t="str">
            <v>Non-proportional</v>
          </cell>
          <cell r="S35481">
            <v>-14.92</v>
          </cell>
          <cell r="X35481" t="str">
            <v>Variation UPR - gross</v>
          </cell>
          <cell r="Y35481" t="str">
            <v>JAPAN</v>
          </cell>
        </row>
        <row r="35482">
          <cell r="L35482" t="str">
            <v>Non-proportional</v>
          </cell>
          <cell r="S35482">
            <v>-4774.08</v>
          </cell>
          <cell r="X35482" t="str">
            <v>Variation UPR - gross</v>
          </cell>
          <cell r="Y35482" t="str">
            <v>DOMINICAN REPUBLIC</v>
          </cell>
        </row>
        <row r="35483">
          <cell r="L35483" t="str">
            <v>Non-proportional</v>
          </cell>
          <cell r="S35483">
            <v>-15354.34</v>
          </cell>
          <cell r="X35483" t="str">
            <v>Variation UPR - gross</v>
          </cell>
          <cell r="Y35483" t="str">
            <v>ECUADOR</v>
          </cell>
        </row>
        <row r="35484">
          <cell r="L35484" t="str">
            <v>Non-proportional</v>
          </cell>
          <cell r="S35484">
            <v>-10000</v>
          </cell>
          <cell r="X35484" t="str">
            <v>Variation UPR - gross</v>
          </cell>
          <cell r="Y35484" t="str">
            <v>EUROPE</v>
          </cell>
        </row>
        <row r="35485">
          <cell r="L35485" t="str">
            <v>Non-proportional</v>
          </cell>
          <cell r="S35485">
            <v>36.43</v>
          </cell>
          <cell r="X35485" t="str">
            <v>Variation UPR - gross</v>
          </cell>
          <cell r="Y35485" t="str">
            <v>JAPAN</v>
          </cell>
        </row>
        <row r="35486">
          <cell r="L35486" t="str">
            <v>Non-proportional</v>
          </cell>
          <cell r="S35486">
            <v>-16278.67</v>
          </cell>
          <cell r="X35486" t="str">
            <v>Variation UPR - gross</v>
          </cell>
          <cell r="Y35486" t="str">
            <v>ITALY</v>
          </cell>
        </row>
        <row r="35487">
          <cell r="L35487" t="str">
            <v>Non-proportional</v>
          </cell>
          <cell r="S35487">
            <v>-3278.27</v>
          </cell>
          <cell r="X35487" t="str">
            <v>Variation UPR - gross</v>
          </cell>
          <cell r="Y35487" t="str">
            <v>ISRAEL</v>
          </cell>
        </row>
        <row r="35488">
          <cell r="L35488" t="str">
            <v>Proportional</v>
          </cell>
          <cell r="S35488">
            <v>-26505.919999999998</v>
          </cell>
          <cell r="X35488" t="str">
            <v>Variation UPR - gross</v>
          </cell>
          <cell r="Y35488" t="str">
            <v>SWITZERLAND</v>
          </cell>
        </row>
        <row r="35489">
          <cell r="L35489" t="str">
            <v>Non-proportional</v>
          </cell>
          <cell r="S35489">
            <v>-14399.65</v>
          </cell>
          <cell r="X35489" t="str">
            <v>Variation UPR - gross</v>
          </cell>
          <cell r="Y35489" t="str">
            <v>MEXICO</v>
          </cell>
        </row>
        <row r="35490">
          <cell r="L35490" t="str">
            <v>Non-proportional</v>
          </cell>
          <cell r="S35490">
            <v>-89938.33</v>
          </cell>
          <cell r="X35490" t="str">
            <v>Variation UPR - gross</v>
          </cell>
          <cell r="Y35490" t="str">
            <v>PORTUGAL</v>
          </cell>
        </row>
        <row r="35491">
          <cell r="L35491" t="str">
            <v>Non-proportional</v>
          </cell>
          <cell r="S35491">
            <v>-2517.67</v>
          </cell>
          <cell r="X35491" t="str">
            <v>Variation UPR - gross</v>
          </cell>
          <cell r="Y35491" t="str">
            <v>ITALY</v>
          </cell>
        </row>
        <row r="35492">
          <cell r="L35492" t="str">
            <v>Non-proportional</v>
          </cell>
          <cell r="S35492">
            <v>-7897.5</v>
          </cell>
          <cell r="X35492" t="str">
            <v>Variation UPR - gross</v>
          </cell>
          <cell r="Y35492" t="str">
            <v>ITALY</v>
          </cell>
        </row>
        <row r="35493">
          <cell r="L35493" t="str">
            <v>Non-proportional</v>
          </cell>
          <cell r="S35493">
            <v>-3125.87</v>
          </cell>
          <cell r="X35493" t="str">
            <v>Variation UPR - gross</v>
          </cell>
          <cell r="Y35493" t="str">
            <v>UNITED KINGDOM</v>
          </cell>
        </row>
        <row r="35494">
          <cell r="L35494" t="str">
            <v>Non-proportional</v>
          </cell>
          <cell r="S35494">
            <v>-52.58</v>
          </cell>
          <cell r="X35494" t="str">
            <v>Variation UPR - gross</v>
          </cell>
          <cell r="Y35494" t="str">
            <v>GUATEMALA</v>
          </cell>
        </row>
        <row r="35495">
          <cell r="L35495" t="str">
            <v>Non-proportional</v>
          </cell>
          <cell r="S35495">
            <v>85.67</v>
          </cell>
          <cell r="X35495" t="str">
            <v>Variation UPR - gross</v>
          </cell>
          <cell r="Y35495" t="str">
            <v>BRAZIL</v>
          </cell>
        </row>
        <row r="35496">
          <cell r="L35496" t="str">
            <v>Proportional</v>
          </cell>
          <cell r="S35496">
            <v>-67529.56</v>
          </cell>
          <cell r="X35496" t="str">
            <v>Variation UPR - gross</v>
          </cell>
          <cell r="Y35496" t="str">
            <v>SWITZERLAND</v>
          </cell>
        </row>
        <row r="35497">
          <cell r="L35497" t="str">
            <v>Non-proportional</v>
          </cell>
          <cell r="S35497">
            <v>-31227.360000000001</v>
          </cell>
          <cell r="X35497" t="str">
            <v>Variation UPR - gross</v>
          </cell>
          <cell r="Y35497" t="str">
            <v>TURKEY</v>
          </cell>
        </row>
        <row r="35498">
          <cell r="L35498" t="str">
            <v>Non-proportional</v>
          </cell>
          <cell r="S35498">
            <v>6.4</v>
          </cell>
          <cell r="X35498" t="str">
            <v>Variation UPR - gross</v>
          </cell>
          <cell r="Y35498" t="str">
            <v>INDIA</v>
          </cell>
        </row>
        <row r="35499">
          <cell r="L35499" t="str">
            <v>Non-proportional</v>
          </cell>
          <cell r="S35499">
            <v>-1152.69</v>
          </cell>
          <cell r="X35499" t="str">
            <v>Variation UPR - gross</v>
          </cell>
          <cell r="Y35499" t="str">
            <v>JAPAN</v>
          </cell>
        </row>
        <row r="35500">
          <cell r="L35500" t="str">
            <v>Non-proportional</v>
          </cell>
          <cell r="S35500">
            <v>-1437.24</v>
          </cell>
          <cell r="X35500" t="str">
            <v>Variation UPR - gross</v>
          </cell>
          <cell r="Y35500" t="str">
            <v>INDIA</v>
          </cell>
        </row>
        <row r="35501">
          <cell r="L35501" t="str">
            <v>Proportional</v>
          </cell>
          <cell r="S35501">
            <v>-9100</v>
          </cell>
          <cell r="X35501" t="str">
            <v>Variation UPR - gross</v>
          </cell>
          <cell r="Y35501" t="str">
            <v>ITALY</v>
          </cell>
        </row>
        <row r="35502">
          <cell r="L35502" t="str">
            <v>Non-proportional</v>
          </cell>
          <cell r="S35502">
            <v>-2047.95</v>
          </cell>
          <cell r="X35502" t="str">
            <v>Variation UPR - gross</v>
          </cell>
          <cell r="Y35502" t="str">
            <v>JAPAN</v>
          </cell>
        </row>
        <row r="35503">
          <cell r="L35503" t="str">
            <v>Non-proportional</v>
          </cell>
          <cell r="S35503">
            <v>-2465.25</v>
          </cell>
          <cell r="X35503" t="str">
            <v>Variation UPR - gross</v>
          </cell>
          <cell r="Y35503" t="str">
            <v>INDIA</v>
          </cell>
        </row>
        <row r="35504">
          <cell r="L35504" t="str">
            <v>Non-proportional</v>
          </cell>
          <cell r="S35504">
            <v>-967.23</v>
          </cell>
          <cell r="X35504" t="str">
            <v>Variation UPR - gross</v>
          </cell>
          <cell r="Y35504" t="str">
            <v>CHILE</v>
          </cell>
        </row>
        <row r="35505">
          <cell r="L35505" t="str">
            <v>Proportional</v>
          </cell>
          <cell r="S35505">
            <v>-27375.4</v>
          </cell>
          <cell r="X35505" t="str">
            <v>Variation UPR - gross</v>
          </cell>
          <cell r="Y35505" t="str">
            <v>FRANCE</v>
          </cell>
        </row>
        <row r="35506">
          <cell r="L35506" t="str">
            <v>Non-proportional</v>
          </cell>
          <cell r="S35506">
            <v>-1172.3</v>
          </cell>
          <cell r="X35506" t="str">
            <v>Variation UPR - gross</v>
          </cell>
          <cell r="Y35506" t="str">
            <v>FRANCE</v>
          </cell>
        </row>
        <row r="35507">
          <cell r="L35507" t="str">
            <v>Non-proportional</v>
          </cell>
          <cell r="S35507">
            <v>-3516.94</v>
          </cell>
          <cell r="X35507" t="str">
            <v>Variation UPR - gross</v>
          </cell>
          <cell r="Y35507" t="str">
            <v>UNITED KINGDOM</v>
          </cell>
        </row>
        <row r="35508">
          <cell r="L35508" t="str">
            <v>Non-proportional</v>
          </cell>
          <cell r="S35508">
            <v>-310.68</v>
          </cell>
          <cell r="X35508" t="str">
            <v>Variation UPR - gross</v>
          </cell>
          <cell r="Y35508" t="str">
            <v>ITALY</v>
          </cell>
        </row>
        <row r="35509">
          <cell r="L35509" t="str">
            <v>Non-proportional</v>
          </cell>
          <cell r="S35509">
            <v>-6054.96</v>
          </cell>
          <cell r="X35509" t="str">
            <v>Variation UPR - gross</v>
          </cell>
          <cell r="Y35509" t="str">
            <v>FRANCE</v>
          </cell>
        </row>
        <row r="35510">
          <cell r="L35510" t="str">
            <v>Non-proportional</v>
          </cell>
          <cell r="S35510">
            <v>-9548.36</v>
          </cell>
          <cell r="X35510" t="str">
            <v>Variation UPR - gross</v>
          </cell>
          <cell r="Y35510" t="str">
            <v>JAPAN</v>
          </cell>
        </row>
        <row r="35511">
          <cell r="L35511" t="str">
            <v>Non-proportional</v>
          </cell>
          <cell r="S35511">
            <v>-2513.98</v>
          </cell>
          <cell r="X35511" t="str">
            <v>Variation UPR - gross</v>
          </cell>
          <cell r="Y35511" t="str">
            <v>JAPAN</v>
          </cell>
        </row>
        <row r="35512">
          <cell r="L35512" t="str">
            <v>Non-proportional</v>
          </cell>
          <cell r="S35512">
            <v>-10175.25</v>
          </cell>
          <cell r="X35512" t="str">
            <v>Variation UPR - gross</v>
          </cell>
          <cell r="Y35512" t="str">
            <v>CHILE</v>
          </cell>
        </row>
        <row r="35513">
          <cell r="L35513" t="str">
            <v>Non-proportional</v>
          </cell>
          <cell r="S35513">
            <v>-12151.01</v>
          </cell>
          <cell r="X35513" t="str">
            <v>Variation UPR - gross</v>
          </cell>
          <cell r="Y35513" t="str">
            <v>MEXICO</v>
          </cell>
        </row>
        <row r="35514">
          <cell r="L35514" t="str">
            <v>Non-proportional</v>
          </cell>
          <cell r="S35514">
            <v>-1121.82</v>
          </cell>
          <cell r="X35514" t="str">
            <v>Variation UPR - gross</v>
          </cell>
          <cell r="Y35514" t="str">
            <v>ECUADOR</v>
          </cell>
        </row>
        <row r="35515">
          <cell r="L35515" t="str">
            <v>Non-proportional</v>
          </cell>
          <cell r="S35515">
            <v>-420.38</v>
          </cell>
          <cell r="X35515" t="str">
            <v>Variation UPR - gross</v>
          </cell>
          <cell r="Y35515" t="str">
            <v>PORTUGAL</v>
          </cell>
        </row>
        <row r="35516">
          <cell r="L35516" t="str">
            <v>Proportional</v>
          </cell>
          <cell r="S35516">
            <v>227.3</v>
          </cell>
          <cell r="X35516" t="str">
            <v>Variation UPR - gross</v>
          </cell>
          <cell r="Y35516" t="str">
            <v>INDIA</v>
          </cell>
        </row>
        <row r="35517">
          <cell r="L35517" t="str">
            <v>Non-proportional</v>
          </cell>
          <cell r="S35517">
            <v>-6500</v>
          </cell>
          <cell r="X35517" t="str">
            <v>Variation UPR - gross</v>
          </cell>
          <cell r="Y35517" t="str">
            <v>FRANCE</v>
          </cell>
        </row>
        <row r="35518">
          <cell r="L35518" t="str">
            <v>Non-proportional</v>
          </cell>
          <cell r="S35518">
            <v>-2708.24</v>
          </cell>
          <cell r="X35518" t="str">
            <v>Variation UPR - gross</v>
          </cell>
          <cell r="Y35518" t="str">
            <v>CHILE</v>
          </cell>
        </row>
        <row r="35519">
          <cell r="L35519" t="str">
            <v>Non-proportional</v>
          </cell>
          <cell r="S35519">
            <v>-18044.490000000002</v>
          </cell>
          <cell r="X35519" t="str">
            <v>Variation UPR - gross</v>
          </cell>
          <cell r="Y35519" t="str">
            <v>UNITED KINGDOM</v>
          </cell>
        </row>
        <row r="35520">
          <cell r="L35520" t="str">
            <v>Non-proportional</v>
          </cell>
          <cell r="S35520">
            <v>-123.18</v>
          </cell>
          <cell r="X35520" t="str">
            <v>Variation UPR - gross</v>
          </cell>
          <cell r="Y35520" t="str">
            <v>INDIA</v>
          </cell>
        </row>
        <row r="35521">
          <cell r="L35521" t="str">
            <v>Non-proportional</v>
          </cell>
          <cell r="S35521">
            <v>-132.91999999999999</v>
          </cell>
          <cell r="X35521" t="str">
            <v>Variation UPR - gross</v>
          </cell>
          <cell r="Y35521" t="str">
            <v>ITALY</v>
          </cell>
        </row>
        <row r="35522">
          <cell r="L35522" t="str">
            <v>Non-proportional</v>
          </cell>
          <cell r="S35522">
            <v>-9333.33</v>
          </cell>
          <cell r="X35522" t="str">
            <v>Variation UPR - gross</v>
          </cell>
          <cell r="Y35522" t="str">
            <v>PORTUGAL</v>
          </cell>
        </row>
        <row r="35523">
          <cell r="L35523" t="str">
            <v>Non-proportional</v>
          </cell>
          <cell r="S35523">
            <v>-912.61</v>
          </cell>
          <cell r="X35523" t="str">
            <v>Variation UPR - gross</v>
          </cell>
          <cell r="Y35523" t="str">
            <v>COLOMBIA</v>
          </cell>
        </row>
        <row r="35524">
          <cell r="L35524" t="str">
            <v>Non-proportional</v>
          </cell>
          <cell r="S35524">
            <v>-3520.71</v>
          </cell>
          <cell r="X35524" t="str">
            <v>Variation UPR - gross</v>
          </cell>
          <cell r="Y35524" t="str">
            <v>CHILE</v>
          </cell>
        </row>
        <row r="35525">
          <cell r="L35525" t="str">
            <v>Proportional</v>
          </cell>
          <cell r="S35525">
            <v>-8985.6</v>
          </cell>
          <cell r="X35525" t="str">
            <v>Variation UPR - gross</v>
          </cell>
          <cell r="Y35525" t="str">
            <v>FRANCE</v>
          </cell>
        </row>
        <row r="35526">
          <cell r="L35526" t="str">
            <v>Non-proportional</v>
          </cell>
          <cell r="S35526">
            <v>-13412.58</v>
          </cell>
          <cell r="X35526" t="str">
            <v>Variation UPR - gross</v>
          </cell>
          <cell r="Y35526" t="str">
            <v>INDIA</v>
          </cell>
        </row>
        <row r="35527">
          <cell r="L35527" t="str">
            <v>Non-proportional</v>
          </cell>
          <cell r="S35527">
            <v>-386186.81</v>
          </cell>
          <cell r="X35527" t="str">
            <v>Variation UPR - gross</v>
          </cell>
          <cell r="Y35527" t="str">
            <v>UNITED KINGDOM</v>
          </cell>
        </row>
        <row r="35528">
          <cell r="L35528" t="str">
            <v>Non-proportional</v>
          </cell>
          <cell r="S35528">
            <v>-6393.46</v>
          </cell>
          <cell r="X35528" t="str">
            <v>Variation UPR - gross</v>
          </cell>
          <cell r="Y35528" t="str">
            <v>NETHERLANDS</v>
          </cell>
        </row>
        <row r="35529">
          <cell r="L35529" t="str">
            <v>Non-proportional</v>
          </cell>
          <cell r="S35529">
            <v>81.239999999999995</v>
          </cell>
          <cell r="X35529" t="str">
            <v>Variation UPR - gross</v>
          </cell>
          <cell r="Y35529" t="str">
            <v>COLOMBIA</v>
          </cell>
        </row>
        <row r="35530">
          <cell r="L35530" t="str">
            <v>Non-proportional</v>
          </cell>
          <cell r="S35530">
            <v>-5600.45</v>
          </cell>
          <cell r="X35530" t="str">
            <v>Variation UPR - gross</v>
          </cell>
          <cell r="Y35530" t="str">
            <v>ISRAEL</v>
          </cell>
        </row>
        <row r="35531">
          <cell r="L35531" t="str">
            <v>Non-proportional</v>
          </cell>
          <cell r="S35531">
            <v>-2132.8200000000002</v>
          </cell>
          <cell r="X35531" t="str">
            <v>Variation UPR - gross</v>
          </cell>
          <cell r="Y35531" t="str">
            <v>JAPAN</v>
          </cell>
        </row>
        <row r="35532">
          <cell r="L35532" t="str">
            <v>Non-proportional</v>
          </cell>
          <cell r="S35532">
            <v>-353.33</v>
          </cell>
          <cell r="X35532" t="str">
            <v>Variation UPR - gross</v>
          </cell>
          <cell r="Y35532" t="str">
            <v>ITALY</v>
          </cell>
        </row>
        <row r="35533">
          <cell r="L35533" t="str">
            <v>Non-proportional</v>
          </cell>
          <cell r="S35533">
            <v>-1330.33</v>
          </cell>
          <cell r="X35533" t="str">
            <v>Variation UPR - gross</v>
          </cell>
          <cell r="Y35533" t="str">
            <v>FRANCE</v>
          </cell>
        </row>
        <row r="35534">
          <cell r="L35534" t="str">
            <v>Non-proportional</v>
          </cell>
          <cell r="S35534">
            <v>-6623.14</v>
          </cell>
          <cell r="X35534" t="str">
            <v>Variation UPR - gross</v>
          </cell>
          <cell r="Y35534" t="str">
            <v>CYPRUS</v>
          </cell>
        </row>
        <row r="35535">
          <cell r="L35535" t="str">
            <v>Non-proportional</v>
          </cell>
          <cell r="S35535">
            <v>-483.64</v>
          </cell>
          <cell r="X35535" t="str">
            <v>Variation UPR - gross</v>
          </cell>
          <cell r="Y35535" t="str">
            <v>NEW ZEALAND</v>
          </cell>
        </row>
        <row r="35536">
          <cell r="L35536" t="str">
            <v>Non-proportional</v>
          </cell>
          <cell r="S35536">
            <v>327</v>
          </cell>
          <cell r="X35536" t="str">
            <v>Variation UPR - gross</v>
          </cell>
          <cell r="Y35536" t="str">
            <v>JAPAN</v>
          </cell>
        </row>
        <row r="35537">
          <cell r="L35537" t="str">
            <v>Non-proportional</v>
          </cell>
          <cell r="S35537">
            <v>130.81</v>
          </cell>
          <cell r="X35537" t="str">
            <v>Variation UPR - gross</v>
          </cell>
          <cell r="Y35537" t="str">
            <v>NEW ZEALAND</v>
          </cell>
        </row>
        <row r="35538">
          <cell r="L35538" t="str">
            <v>Proportional</v>
          </cell>
          <cell r="S35538">
            <v>-2260398.5</v>
          </cell>
          <cell r="X35538" t="str">
            <v>Variation UPR - gross</v>
          </cell>
          <cell r="Y35538" t="str">
            <v>THAILAND</v>
          </cell>
        </row>
        <row r="35539">
          <cell r="L35539" t="str">
            <v>Non-proportional</v>
          </cell>
          <cell r="S35539">
            <v>-1273.54</v>
          </cell>
          <cell r="X35539" t="str">
            <v>Variation UPR - gross</v>
          </cell>
          <cell r="Y35539" t="str">
            <v>NEW ZEALAND</v>
          </cell>
        </row>
        <row r="35540">
          <cell r="L35540" t="str">
            <v>Proportional</v>
          </cell>
          <cell r="S35540">
            <v>-646931.69999999995</v>
          </cell>
          <cell r="X35540" t="str">
            <v>Variation UPR - gross</v>
          </cell>
          <cell r="Y35540" t="str">
            <v>UNITED STATES</v>
          </cell>
        </row>
        <row r="35541">
          <cell r="L35541" t="str">
            <v>Non-proportional</v>
          </cell>
          <cell r="S35541">
            <v>-1380.77</v>
          </cell>
          <cell r="X35541" t="str">
            <v>Variation UPR - gross</v>
          </cell>
          <cell r="Y35541" t="str">
            <v>AUSTRALIA</v>
          </cell>
        </row>
        <row r="35542">
          <cell r="L35542" t="str">
            <v>Non-proportional</v>
          </cell>
          <cell r="S35542">
            <v>-3461.69</v>
          </cell>
          <cell r="X35542" t="str">
            <v>Variation UPR - gross</v>
          </cell>
          <cell r="Y35542" t="str">
            <v>ISRAEL</v>
          </cell>
        </row>
        <row r="35543">
          <cell r="L35543" t="str">
            <v>Non-proportional</v>
          </cell>
          <cell r="S35543">
            <v>-210.33</v>
          </cell>
          <cell r="X35543" t="str">
            <v>Variation UPR - gross</v>
          </cell>
          <cell r="Y35543" t="str">
            <v>INDIA</v>
          </cell>
        </row>
        <row r="35544">
          <cell r="L35544" t="str">
            <v>Non-proportional</v>
          </cell>
          <cell r="S35544">
            <v>-318.19</v>
          </cell>
          <cell r="X35544" t="str">
            <v>Variation UPR - gross</v>
          </cell>
          <cell r="Y35544" t="str">
            <v>MEXICO</v>
          </cell>
        </row>
        <row r="35545">
          <cell r="L35545" t="str">
            <v>Non-proportional</v>
          </cell>
          <cell r="S35545">
            <v>-10575.75</v>
          </cell>
          <cell r="X35545" t="str">
            <v>Variation UPR - gross</v>
          </cell>
          <cell r="Y35545" t="str">
            <v>COLOMBIA</v>
          </cell>
        </row>
        <row r="35546">
          <cell r="L35546" t="str">
            <v>Non-proportional</v>
          </cell>
          <cell r="S35546">
            <v>-7674.04</v>
          </cell>
          <cell r="X35546" t="str">
            <v>Variation UPR - gross</v>
          </cell>
          <cell r="Y35546" t="str">
            <v>COLOMBIA</v>
          </cell>
        </row>
        <row r="35547">
          <cell r="L35547" t="str">
            <v>Proportional</v>
          </cell>
          <cell r="S35547">
            <v>-18858.099999999999</v>
          </cell>
          <cell r="X35547" t="str">
            <v>Variation UPR - gross</v>
          </cell>
          <cell r="Y35547" t="str">
            <v>THAILAND</v>
          </cell>
        </row>
        <row r="35548">
          <cell r="L35548" t="str">
            <v>Non-proportional</v>
          </cell>
          <cell r="S35548">
            <v>-348.92</v>
          </cell>
          <cell r="X35548" t="str">
            <v>Variation UPR - gross</v>
          </cell>
          <cell r="Y35548" t="str">
            <v>DOMINICAN REPUBLIC</v>
          </cell>
        </row>
        <row r="35549">
          <cell r="L35549" t="str">
            <v>Non-proportional</v>
          </cell>
          <cell r="S35549">
            <v>-1260.25</v>
          </cell>
          <cell r="X35549" t="str">
            <v>Variation UPR - gross</v>
          </cell>
          <cell r="Y35549" t="str">
            <v>JAPAN</v>
          </cell>
        </row>
        <row r="35550">
          <cell r="L35550" t="str">
            <v>Non-proportional</v>
          </cell>
          <cell r="S35550">
            <v>-1048.69</v>
          </cell>
          <cell r="X35550" t="str">
            <v>Variation UPR - gross</v>
          </cell>
          <cell r="Y35550" t="str">
            <v>PERU</v>
          </cell>
        </row>
        <row r="35551">
          <cell r="L35551" t="str">
            <v>Non-proportional</v>
          </cell>
          <cell r="S35551">
            <v>246.97</v>
          </cell>
          <cell r="X35551" t="str">
            <v>Variation UPR - gross</v>
          </cell>
          <cell r="Y35551" t="str">
            <v>COLOMBIA</v>
          </cell>
        </row>
        <row r="35552">
          <cell r="L35552" t="str">
            <v>Non-proportional</v>
          </cell>
          <cell r="S35552">
            <v>-1172.3</v>
          </cell>
          <cell r="X35552" t="str">
            <v>Variation UPR - gross</v>
          </cell>
          <cell r="Y35552" t="str">
            <v>FRANCE</v>
          </cell>
        </row>
        <row r="35553">
          <cell r="L35553" t="str">
            <v>Proportional</v>
          </cell>
          <cell r="S35553">
            <v>-2610.7600000000002</v>
          </cell>
          <cell r="X35553" t="str">
            <v>Variation UPR - gross</v>
          </cell>
          <cell r="Y35553" t="str">
            <v>THAILAND</v>
          </cell>
        </row>
        <row r="35554">
          <cell r="L35554" t="str">
            <v>Non-proportional</v>
          </cell>
          <cell r="S35554">
            <v>-103.62</v>
          </cell>
          <cell r="X35554" t="str">
            <v>Variation UPR - gross</v>
          </cell>
          <cell r="Y35554" t="str">
            <v>JAPAN</v>
          </cell>
        </row>
        <row r="35555">
          <cell r="L35555" t="str">
            <v>Non-proportional</v>
          </cell>
          <cell r="S35555">
            <v>-6199.62</v>
          </cell>
          <cell r="X35555" t="str">
            <v>Variation UPR - gross</v>
          </cell>
          <cell r="Y35555" t="str">
            <v>SINGAPORE</v>
          </cell>
        </row>
        <row r="35556">
          <cell r="L35556" t="str">
            <v>Non-proportional</v>
          </cell>
          <cell r="S35556">
            <v>-10156.290000000001</v>
          </cell>
          <cell r="X35556" t="str">
            <v>Variation UPR - gross</v>
          </cell>
          <cell r="Y35556" t="str">
            <v>EUROPE</v>
          </cell>
        </row>
        <row r="35557">
          <cell r="L35557" t="str">
            <v>Non-proportional</v>
          </cell>
          <cell r="S35557">
            <v>-371.35</v>
          </cell>
          <cell r="X35557" t="str">
            <v>Variation UPR - gross</v>
          </cell>
          <cell r="Y35557" t="str">
            <v>INDIA</v>
          </cell>
        </row>
        <row r="35558">
          <cell r="L35558" t="str">
            <v>Non-proportional</v>
          </cell>
          <cell r="S35558">
            <v>-30000</v>
          </cell>
          <cell r="X35558" t="str">
            <v>Variation UPR - gross</v>
          </cell>
          <cell r="Y35558" t="str">
            <v>FRANCE</v>
          </cell>
        </row>
        <row r="35559">
          <cell r="L35559" t="str">
            <v>Proportional</v>
          </cell>
          <cell r="S35559">
            <v>-2567.65</v>
          </cell>
          <cell r="X35559" t="str">
            <v>Variation UPR - gross</v>
          </cell>
          <cell r="Y35559" t="str">
            <v>THAILAND</v>
          </cell>
        </row>
        <row r="35560">
          <cell r="L35560" t="str">
            <v>Non-proportional</v>
          </cell>
          <cell r="S35560">
            <v>-9500.14</v>
          </cell>
          <cell r="X35560" t="str">
            <v>Variation UPR - gross</v>
          </cell>
          <cell r="Y35560" t="str">
            <v>TURKEY</v>
          </cell>
        </row>
        <row r="35561">
          <cell r="L35561" t="str">
            <v>Non-proportional</v>
          </cell>
          <cell r="S35561">
            <v>-31316.15</v>
          </cell>
          <cell r="X35561" t="str">
            <v>Variation UPR - gross</v>
          </cell>
          <cell r="Y35561" t="str">
            <v>FRANCE</v>
          </cell>
        </row>
        <row r="35562">
          <cell r="L35562" t="str">
            <v>Non-proportional</v>
          </cell>
          <cell r="S35562">
            <v>-192601.96</v>
          </cell>
          <cell r="X35562" t="str">
            <v>Variation UPR - gross</v>
          </cell>
          <cell r="Y35562" t="str">
            <v>PORTUGAL</v>
          </cell>
        </row>
        <row r="35563">
          <cell r="L35563" t="str">
            <v>Non-proportional</v>
          </cell>
          <cell r="S35563">
            <v>-46864.67</v>
          </cell>
          <cell r="X35563" t="str">
            <v>Variation UPR - gross</v>
          </cell>
          <cell r="Y35563" t="str">
            <v>FRANCE</v>
          </cell>
        </row>
        <row r="35564">
          <cell r="L35564" t="str">
            <v>Non-proportional</v>
          </cell>
          <cell r="S35564">
            <v>-13425.14</v>
          </cell>
          <cell r="X35564" t="str">
            <v>Variation UPR - gross</v>
          </cell>
          <cell r="Y35564" t="str">
            <v>CHILE</v>
          </cell>
        </row>
        <row r="35565">
          <cell r="L35565" t="str">
            <v>Non-proportional</v>
          </cell>
          <cell r="S35565">
            <v>-43394.07</v>
          </cell>
          <cell r="X35565" t="str">
            <v>Variation UPR - gross</v>
          </cell>
          <cell r="Y35565" t="str">
            <v>UNITED STATES</v>
          </cell>
        </row>
        <row r="35566">
          <cell r="L35566" t="str">
            <v>Proportional</v>
          </cell>
          <cell r="S35566">
            <v>-7336.13</v>
          </cell>
          <cell r="X35566" t="str">
            <v>Variation UPR - gross</v>
          </cell>
          <cell r="Y35566" t="str">
            <v>THAILAND</v>
          </cell>
        </row>
        <row r="35567">
          <cell r="L35567" t="str">
            <v>Non-proportional</v>
          </cell>
          <cell r="S35567">
            <v>-23082.73</v>
          </cell>
          <cell r="X35567" t="str">
            <v>Variation UPR - gross</v>
          </cell>
          <cell r="Y35567" t="str">
            <v>UNITED KINGDOM</v>
          </cell>
        </row>
        <row r="35568">
          <cell r="L35568" t="str">
            <v>Non-proportional</v>
          </cell>
          <cell r="S35568">
            <v>-1718</v>
          </cell>
          <cell r="X35568" t="str">
            <v>Variation UPR - gross</v>
          </cell>
          <cell r="Y35568" t="str">
            <v>FRANCE</v>
          </cell>
        </row>
        <row r="35569">
          <cell r="L35569" t="str">
            <v>Non-proportional</v>
          </cell>
          <cell r="S35569">
            <v>0.02</v>
          </cell>
          <cell r="X35569" t="str">
            <v>Variation UPR - gross</v>
          </cell>
          <cell r="Y35569" t="str">
            <v>DOMINICAN REPUBLIC</v>
          </cell>
        </row>
        <row r="35570">
          <cell r="L35570" t="str">
            <v>Non-proportional</v>
          </cell>
          <cell r="S35570">
            <v>-3126.85</v>
          </cell>
          <cell r="X35570" t="str">
            <v>Variation UPR - gross</v>
          </cell>
          <cell r="Y35570" t="str">
            <v>FRANCE</v>
          </cell>
        </row>
        <row r="35571">
          <cell r="L35571" t="str">
            <v>Non-proportional</v>
          </cell>
          <cell r="S35571">
            <v>-3912.21</v>
          </cell>
          <cell r="X35571" t="str">
            <v>Variation UPR - gross</v>
          </cell>
          <cell r="Y35571" t="str">
            <v>INDIA</v>
          </cell>
        </row>
        <row r="35572">
          <cell r="L35572" t="str">
            <v>Non-proportional</v>
          </cell>
          <cell r="S35572">
            <v>-270.82</v>
          </cell>
          <cell r="X35572" t="str">
            <v>Variation UPR - gross</v>
          </cell>
          <cell r="Y35572" t="str">
            <v>CHILE</v>
          </cell>
        </row>
        <row r="35573">
          <cell r="L35573" t="str">
            <v>Non-proportional</v>
          </cell>
          <cell r="S35573">
            <v>-464.76</v>
          </cell>
          <cell r="X35573" t="str">
            <v>Variation UPR - gross</v>
          </cell>
          <cell r="Y35573" t="str">
            <v>NEW ZEALAND</v>
          </cell>
        </row>
        <row r="35574">
          <cell r="L35574" t="str">
            <v>Proportional</v>
          </cell>
          <cell r="S35574">
            <v>-174.58</v>
          </cell>
          <cell r="X35574" t="str">
            <v>Variation UPR - gross</v>
          </cell>
          <cell r="Y35574" t="str">
            <v>UNITED STATES</v>
          </cell>
        </row>
        <row r="35575">
          <cell r="L35575" t="str">
            <v>Non-proportional</v>
          </cell>
          <cell r="S35575">
            <v>-5172.46</v>
          </cell>
          <cell r="X35575" t="str">
            <v>Variation UPR - gross</v>
          </cell>
          <cell r="Y35575" t="str">
            <v>UNITED KINGDOM</v>
          </cell>
        </row>
        <row r="35576">
          <cell r="L35576" t="str">
            <v>Non-proportional</v>
          </cell>
          <cell r="S35576">
            <v>-136.96</v>
          </cell>
          <cell r="X35576" t="str">
            <v>Variation UPR - gross</v>
          </cell>
          <cell r="Y35576" t="str">
            <v>INDIA</v>
          </cell>
        </row>
        <row r="35577">
          <cell r="S35577">
            <v>-2372.39</v>
          </cell>
          <cell r="X35577" t="str">
            <v>Variation UPR - gross</v>
          </cell>
          <cell r="Y35577" t="str">
            <v>PORTUGAL</v>
          </cell>
        </row>
        <row r="35578">
          <cell r="L35578" t="str">
            <v>Non-proportional</v>
          </cell>
          <cell r="S35578">
            <v>-3177.28</v>
          </cell>
          <cell r="X35578" t="str">
            <v>Variation UPR - gross</v>
          </cell>
          <cell r="Y35578" t="str">
            <v>ISRAEL</v>
          </cell>
        </row>
        <row r="35579">
          <cell r="L35579" t="str">
            <v>Non-proportional</v>
          </cell>
          <cell r="S35579">
            <v>-9251.26</v>
          </cell>
          <cell r="X35579" t="str">
            <v>Variation UPR - gross</v>
          </cell>
          <cell r="Y35579" t="str">
            <v>ITALY</v>
          </cell>
        </row>
        <row r="35580">
          <cell r="L35580" t="str">
            <v>Non-proportional</v>
          </cell>
          <cell r="S35580">
            <v>-48437.04</v>
          </cell>
          <cell r="X35580" t="str">
            <v>Variation UPR - gross</v>
          </cell>
          <cell r="Y35580" t="str">
            <v>UNITED KINGDOM</v>
          </cell>
        </row>
        <row r="35581">
          <cell r="L35581" t="str">
            <v>Non-proportional</v>
          </cell>
          <cell r="S35581">
            <v>-843.75</v>
          </cell>
          <cell r="X35581" t="str">
            <v>Variation UPR - gross</v>
          </cell>
          <cell r="Y35581" t="str">
            <v>GREECE</v>
          </cell>
        </row>
        <row r="35582">
          <cell r="L35582" t="str">
            <v>Non-proportional</v>
          </cell>
          <cell r="S35582">
            <v>-5851.33</v>
          </cell>
          <cell r="X35582" t="str">
            <v>Variation UPR - gross</v>
          </cell>
          <cell r="Y35582" t="str">
            <v>ITALY</v>
          </cell>
        </row>
        <row r="35583">
          <cell r="L35583" t="str">
            <v>Non-proportional</v>
          </cell>
          <cell r="S35583">
            <v>263.13</v>
          </cell>
          <cell r="X35583" t="str">
            <v>Variation UPR - gross</v>
          </cell>
          <cell r="Y35583" t="str">
            <v>JAPAN</v>
          </cell>
        </row>
        <row r="35584">
          <cell r="L35584" t="str">
            <v>Non-proportional</v>
          </cell>
          <cell r="S35584">
            <v>-809.55</v>
          </cell>
          <cell r="X35584" t="str">
            <v>Variation UPR - gross</v>
          </cell>
          <cell r="Y35584" t="str">
            <v>ISRAEL</v>
          </cell>
        </row>
        <row r="35585">
          <cell r="L35585" t="str">
            <v>Non-proportional</v>
          </cell>
          <cell r="S35585">
            <v>-48.29</v>
          </cell>
          <cell r="X35585" t="str">
            <v>Variation UPR - gross</v>
          </cell>
          <cell r="Y35585" t="str">
            <v>INDIA</v>
          </cell>
        </row>
        <row r="35586">
          <cell r="L35586" t="str">
            <v>Non-proportional</v>
          </cell>
          <cell r="S35586">
            <v>-5248.88</v>
          </cell>
          <cell r="X35586" t="str">
            <v>Variation UPR - gross</v>
          </cell>
          <cell r="Y35586" t="str">
            <v>GUATEMALA</v>
          </cell>
        </row>
        <row r="35587">
          <cell r="L35587" t="str">
            <v>Proportional</v>
          </cell>
          <cell r="S35587">
            <v>1247.9000000000001</v>
          </cell>
          <cell r="X35587" t="str">
            <v>Variation UPR - gross</v>
          </cell>
          <cell r="Y35587" t="str">
            <v>INDIA</v>
          </cell>
        </row>
        <row r="35588">
          <cell r="L35588" t="str">
            <v>Non-proportional</v>
          </cell>
          <cell r="S35588">
            <v>470.56</v>
          </cell>
          <cell r="X35588" t="str">
            <v>Variation UPR - gross</v>
          </cell>
          <cell r="Y35588" t="str">
            <v>JAPAN</v>
          </cell>
        </row>
        <row r="35589">
          <cell r="L35589" t="str">
            <v>Non-proportional</v>
          </cell>
          <cell r="S35589">
            <v>-3592.42</v>
          </cell>
          <cell r="X35589" t="str">
            <v>Variation UPR - gross</v>
          </cell>
          <cell r="Y35589" t="str">
            <v>FRANCE</v>
          </cell>
        </row>
        <row r="35590">
          <cell r="L35590" t="str">
            <v>Non-proportional</v>
          </cell>
          <cell r="S35590">
            <v>-3940.82</v>
          </cell>
          <cell r="X35590" t="str">
            <v>Variation UPR - gross</v>
          </cell>
          <cell r="Y35590" t="str">
            <v>ISRAEL</v>
          </cell>
        </row>
        <row r="35591">
          <cell r="L35591" t="str">
            <v>Proportional</v>
          </cell>
          <cell r="S35591">
            <v>-160461.6</v>
          </cell>
          <cell r="X35591" t="str">
            <v>Variation UPR - gross</v>
          </cell>
          <cell r="Y35591" t="str">
            <v>HONG KONG</v>
          </cell>
        </row>
        <row r="35592">
          <cell r="L35592" t="str">
            <v>Non-proportional</v>
          </cell>
          <cell r="S35592">
            <v>-11510.64</v>
          </cell>
          <cell r="X35592" t="str">
            <v>Variation UPR - gross</v>
          </cell>
          <cell r="Y35592" t="str">
            <v>EUROPE</v>
          </cell>
        </row>
        <row r="35593">
          <cell r="L35593" t="str">
            <v>Non-proportional</v>
          </cell>
          <cell r="S35593">
            <v>-489.09</v>
          </cell>
          <cell r="X35593" t="str">
            <v>Variation UPR - gross</v>
          </cell>
          <cell r="Y35593" t="str">
            <v>INDIA</v>
          </cell>
        </row>
        <row r="35594">
          <cell r="L35594" t="str">
            <v>Non-proportional</v>
          </cell>
          <cell r="S35594">
            <v>-19967.73</v>
          </cell>
          <cell r="X35594" t="str">
            <v>Variation UPR - gross</v>
          </cell>
          <cell r="Y35594" t="str">
            <v>FRANCE</v>
          </cell>
        </row>
        <row r="35595">
          <cell r="L35595" t="str">
            <v>Non-proportional</v>
          </cell>
          <cell r="S35595">
            <v>-17419.5</v>
          </cell>
          <cell r="X35595" t="str">
            <v>Variation UPR - gross</v>
          </cell>
          <cell r="Y35595" t="str">
            <v>GREECE</v>
          </cell>
        </row>
        <row r="35596">
          <cell r="L35596" t="str">
            <v>Non-proportional</v>
          </cell>
          <cell r="S35596">
            <v>0.01</v>
          </cell>
          <cell r="X35596" t="str">
            <v>Variation UPR - gross</v>
          </cell>
          <cell r="Y35596" t="str">
            <v>DOMINICAN REPUBLIC</v>
          </cell>
        </row>
        <row r="35597">
          <cell r="L35597" t="str">
            <v>Non-proportional</v>
          </cell>
          <cell r="S35597">
            <v>-24535.54</v>
          </cell>
          <cell r="X35597" t="str">
            <v>Variation UPR - gross</v>
          </cell>
          <cell r="Y35597" t="str">
            <v>NEW ZEALAND</v>
          </cell>
        </row>
        <row r="35598">
          <cell r="L35598" t="str">
            <v>Non-proportional</v>
          </cell>
          <cell r="S35598">
            <v>-2797.32</v>
          </cell>
          <cell r="X35598" t="str">
            <v>Variation UPR - gross</v>
          </cell>
          <cell r="Y35598" t="str">
            <v>ISRAEL</v>
          </cell>
        </row>
        <row r="35599">
          <cell r="L35599" t="str">
            <v>Non-proportional</v>
          </cell>
          <cell r="S35599">
            <v>-6754.14</v>
          </cell>
          <cell r="X35599" t="str">
            <v>Variation UPR - gross</v>
          </cell>
          <cell r="Y35599" t="str">
            <v>AUSTRALIA</v>
          </cell>
        </row>
        <row r="35600">
          <cell r="L35600" t="str">
            <v>Non-proportional</v>
          </cell>
          <cell r="S35600">
            <v>-305588.65000000002</v>
          </cell>
          <cell r="X35600" t="str">
            <v>Variation UPR - gross</v>
          </cell>
          <cell r="Y35600" t="str">
            <v>UNITED KINGDOM</v>
          </cell>
        </row>
        <row r="35601">
          <cell r="L35601" t="str">
            <v>Non-proportional</v>
          </cell>
          <cell r="S35601">
            <v>289.37</v>
          </cell>
          <cell r="X35601" t="str">
            <v>Variation UPR - gross</v>
          </cell>
          <cell r="Y35601" t="str">
            <v>COLOMBIA</v>
          </cell>
        </row>
        <row r="35602">
          <cell r="L35602" t="str">
            <v>Non-proportional</v>
          </cell>
          <cell r="S35602">
            <v>-4806.6099999999997</v>
          </cell>
          <cell r="X35602" t="str">
            <v>Variation UPR - gross</v>
          </cell>
          <cell r="Y35602" t="str">
            <v>UNITED KINGDOM</v>
          </cell>
        </row>
        <row r="35603">
          <cell r="L35603" t="str">
            <v>Non-proportional</v>
          </cell>
          <cell r="S35603">
            <v>-2401.0500000000002</v>
          </cell>
          <cell r="X35603" t="str">
            <v>Variation UPR - gross</v>
          </cell>
          <cell r="Y35603" t="str">
            <v>GUATEMALA</v>
          </cell>
        </row>
        <row r="35604">
          <cell r="L35604" t="str">
            <v>Non-proportional</v>
          </cell>
          <cell r="S35604">
            <v>-3803.85</v>
          </cell>
          <cell r="X35604" t="str">
            <v>Variation UPR - gross</v>
          </cell>
          <cell r="Y35604" t="str">
            <v>DOMINICAN REPUBLIC</v>
          </cell>
        </row>
        <row r="35605">
          <cell r="L35605" t="str">
            <v>Non-proportional</v>
          </cell>
          <cell r="S35605">
            <v>-464.27</v>
          </cell>
          <cell r="X35605" t="str">
            <v>Variation UPR - gross</v>
          </cell>
          <cell r="Y35605" t="str">
            <v>CHILE</v>
          </cell>
        </row>
        <row r="35606">
          <cell r="L35606" t="str">
            <v>Proportional</v>
          </cell>
          <cell r="S35606">
            <v>-9898.01</v>
          </cell>
          <cell r="X35606" t="str">
            <v>Variation UPR - gross</v>
          </cell>
          <cell r="Y35606" t="str">
            <v>HONG KONG</v>
          </cell>
        </row>
        <row r="35607">
          <cell r="L35607" t="str">
            <v>Non-proportional</v>
          </cell>
          <cell r="S35607">
            <v>-6770.84</v>
          </cell>
          <cell r="X35607" t="str">
            <v>Variation UPR - gross</v>
          </cell>
          <cell r="Y35607" t="str">
            <v>ECUADOR</v>
          </cell>
        </row>
        <row r="35608">
          <cell r="L35608" t="str">
            <v>Non-proportional</v>
          </cell>
          <cell r="S35608">
            <v>-4202.33</v>
          </cell>
          <cell r="X35608" t="str">
            <v>Variation UPR - gross</v>
          </cell>
          <cell r="Y35608" t="str">
            <v>AUSTRALIA</v>
          </cell>
        </row>
        <row r="35609">
          <cell r="L35609" t="str">
            <v>Non-proportional</v>
          </cell>
          <cell r="S35609">
            <v>31.03</v>
          </cell>
          <cell r="X35609" t="str">
            <v>Variation UPR - gross</v>
          </cell>
          <cell r="Y35609" t="str">
            <v>POLAND</v>
          </cell>
        </row>
        <row r="35610">
          <cell r="L35610" t="str">
            <v>Non-proportional</v>
          </cell>
          <cell r="S35610">
            <v>-6705.85</v>
          </cell>
          <cell r="X35610" t="str">
            <v>Variation UPR - gross</v>
          </cell>
          <cell r="Y35610" t="str">
            <v>JAPAN</v>
          </cell>
        </row>
        <row r="35611">
          <cell r="L35611" t="str">
            <v>Non-proportional</v>
          </cell>
          <cell r="S35611">
            <v>-9922.98</v>
          </cell>
          <cell r="X35611" t="str">
            <v>Variation UPR - gross</v>
          </cell>
          <cell r="Y35611" t="str">
            <v>UNITED KINGDOM</v>
          </cell>
        </row>
        <row r="35612">
          <cell r="L35612" t="str">
            <v>Non-proportional</v>
          </cell>
          <cell r="S35612">
            <v>-772.88</v>
          </cell>
          <cell r="X35612" t="str">
            <v>Variation UPR - gross</v>
          </cell>
          <cell r="Y35612" t="str">
            <v>REPUBLIC OF IRELAND</v>
          </cell>
        </row>
        <row r="35613">
          <cell r="L35613" t="str">
            <v>Non-proportional</v>
          </cell>
          <cell r="S35613">
            <v>-884.37</v>
          </cell>
          <cell r="X35613" t="str">
            <v>Variation UPR - gross</v>
          </cell>
          <cell r="Y35613" t="str">
            <v>FRANCE</v>
          </cell>
        </row>
        <row r="35614">
          <cell r="L35614" t="str">
            <v>Non-proportional</v>
          </cell>
          <cell r="S35614">
            <v>30.05</v>
          </cell>
          <cell r="X35614" t="str">
            <v>Variation UPR - gross</v>
          </cell>
          <cell r="Y35614" t="str">
            <v>COLOMBIA</v>
          </cell>
        </row>
        <row r="35615">
          <cell r="L35615" t="str">
            <v>Non-proportional</v>
          </cell>
          <cell r="S35615">
            <v>-409.08</v>
          </cell>
          <cell r="X35615" t="str">
            <v>Variation UPR - gross</v>
          </cell>
          <cell r="Y35615" t="str">
            <v>TURKEY</v>
          </cell>
        </row>
        <row r="35616">
          <cell r="L35616" t="str">
            <v>Non-proportional</v>
          </cell>
          <cell r="S35616">
            <v>-2692.22</v>
          </cell>
          <cell r="X35616" t="str">
            <v>Variation UPR - gross</v>
          </cell>
          <cell r="Y35616" t="str">
            <v>INDIA</v>
          </cell>
        </row>
        <row r="35617">
          <cell r="L35617" t="str">
            <v>Non-proportional</v>
          </cell>
          <cell r="S35617">
            <v>-190.3</v>
          </cell>
          <cell r="X35617" t="str">
            <v>Variation UPR - gross</v>
          </cell>
          <cell r="Y35617" t="str">
            <v>INDIA</v>
          </cell>
        </row>
        <row r="35618">
          <cell r="L35618" t="str">
            <v>Non-proportional</v>
          </cell>
          <cell r="S35618">
            <v>-10312.5</v>
          </cell>
          <cell r="X35618" t="str">
            <v>Variation UPR - gross</v>
          </cell>
          <cell r="Y35618" t="str">
            <v>ROMANIA</v>
          </cell>
        </row>
        <row r="35619">
          <cell r="L35619" t="str">
            <v>Non-proportional</v>
          </cell>
          <cell r="S35619">
            <v>-30345.99</v>
          </cell>
          <cell r="X35619" t="str">
            <v>Variation UPR - gross</v>
          </cell>
          <cell r="Y35619" t="str">
            <v>FRANCE</v>
          </cell>
        </row>
        <row r="35620">
          <cell r="L35620" t="str">
            <v>Non-proportional</v>
          </cell>
          <cell r="S35620">
            <v>-12792.49</v>
          </cell>
          <cell r="X35620" t="str">
            <v>Variation UPR - gross</v>
          </cell>
          <cell r="Y35620" t="str">
            <v>UNITED KINGDOM</v>
          </cell>
        </row>
        <row r="35621">
          <cell r="L35621" t="str">
            <v>Non-proportional</v>
          </cell>
          <cell r="S35621">
            <v>-146508.04999999999</v>
          </cell>
          <cell r="X35621" t="str">
            <v>Variation UPR - gross</v>
          </cell>
          <cell r="Y35621" t="str">
            <v>UNITED KINGDOM</v>
          </cell>
        </row>
        <row r="35622">
          <cell r="L35622" t="str">
            <v>Non-proportional</v>
          </cell>
          <cell r="S35622">
            <v>-1371.92</v>
          </cell>
          <cell r="X35622" t="str">
            <v>Variation UPR - gross</v>
          </cell>
          <cell r="Y35622" t="str">
            <v>COLOMBIA</v>
          </cell>
        </row>
        <row r="35623">
          <cell r="L35623" t="str">
            <v>Non-proportional</v>
          </cell>
          <cell r="S35623">
            <v>-1930.26</v>
          </cell>
          <cell r="X35623" t="str">
            <v>Variation UPR - gross</v>
          </cell>
          <cell r="Y35623" t="str">
            <v>UNITED KINGDOM</v>
          </cell>
        </row>
        <row r="35624">
          <cell r="L35624" t="str">
            <v>Non-proportional</v>
          </cell>
          <cell r="S35624">
            <v>-65.3</v>
          </cell>
          <cell r="X35624" t="str">
            <v>Variation UPR - gross</v>
          </cell>
          <cell r="Y35624" t="str">
            <v>ISRAEL</v>
          </cell>
        </row>
        <row r="35625">
          <cell r="L35625" t="str">
            <v>Non-proportional</v>
          </cell>
          <cell r="S35625">
            <v>-49.28</v>
          </cell>
          <cell r="X35625" t="str">
            <v>Variation UPR - gross</v>
          </cell>
          <cell r="Y35625" t="str">
            <v>COLOMBIA</v>
          </cell>
        </row>
        <row r="35626">
          <cell r="L35626" t="str">
            <v>Non-proportional</v>
          </cell>
          <cell r="S35626">
            <v>-2432.3000000000002</v>
          </cell>
          <cell r="X35626" t="str">
            <v>Variation UPR - gross</v>
          </cell>
          <cell r="Y35626" t="str">
            <v>INDIA</v>
          </cell>
        </row>
        <row r="35627">
          <cell r="L35627" t="str">
            <v>Non-proportional</v>
          </cell>
          <cell r="S35627">
            <v>-53187.5</v>
          </cell>
          <cell r="X35627" t="str">
            <v>Variation UPR - gross</v>
          </cell>
          <cell r="Y35627" t="str">
            <v>BELGIUM</v>
          </cell>
        </row>
        <row r="35628">
          <cell r="L35628" t="str">
            <v>Non-proportional</v>
          </cell>
          <cell r="S35628">
            <v>-3791.54</v>
          </cell>
          <cell r="X35628" t="str">
            <v>Variation UPR - gross</v>
          </cell>
          <cell r="Y35628" t="str">
            <v>CHILE</v>
          </cell>
        </row>
        <row r="35629">
          <cell r="L35629" t="str">
            <v>Non-proportional</v>
          </cell>
          <cell r="S35629">
            <v>-9043.94</v>
          </cell>
          <cell r="X35629" t="str">
            <v>Variation UPR - gross</v>
          </cell>
          <cell r="Y35629" t="str">
            <v>FRANCE</v>
          </cell>
        </row>
        <row r="35630">
          <cell r="L35630" t="str">
            <v>Non-proportional</v>
          </cell>
          <cell r="S35630">
            <v>36.36</v>
          </cell>
          <cell r="X35630" t="str">
            <v>Variation UPR - gross</v>
          </cell>
          <cell r="Y35630" t="str">
            <v>INDIA</v>
          </cell>
        </row>
        <row r="35631">
          <cell r="L35631" t="str">
            <v>Non-proportional</v>
          </cell>
          <cell r="S35631">
            <v>-1679.99</v>
          </cell>
          <cell r="X35631" t="str">
            <v>Variation UPR - gross</v>
          </cell>
          <cell r="Y35631" t="str">
            <v>MEXICO</v>
          </cell>
        </row>
        <row r="35632">
          <cell r="L35632" t="str">
            <v>Non-proportional</v>
          </cell>
          <cell r="S35632">
            <v>5.23</v>
          </cell>
          <cell r="X35632" t="str">
            <v>Variation UPR - gross</v>
          </cell>
          <cell r="Y35632" t="str">
            <v>INDIA</v>
          </cell>
        </row>
        <row r="35633">
          <cell r="L35633" t="str">
            <v>Non-proportional</v>
          </cell>
          <cell r="S35633">
            <v>-2651.54</v>
          </cell>
          <cell r="X35633" t="str">
            <v>Variation UPR - gross</v>
          </cell>
          <cell r="Y35633" t="str">
            <v>ISRAEL</v>
          </cell>
        </row>
        <row r="35634">
          <cell r="L35634" t="str">
            <v>Non-proportional</v>
          </cell>
          <cell r="S35634">
            <v>-1459047.11</v>
          </cell>
          <cell r="X35634" t="str">
            <v>Variation UPR - gross</v>
          </cell>
          <cell r="Y35634" t="str">
            <v>UNITED KINGDOM</v>
          </cell>
        </row>
        <row r="35635">
          <cell r="L35635" t="str">
            <v>Non-proportional</v>
          </cell>
          <cell r="S35635">
            <v>-1004.27</v>
          </cell>
          <cell r="X35635" t="str">
            <v>Variation UPR - gross</v>
          </cell>
          <cell r="Y35635" t="str">
            <v>ISRAEL</v>
          </cell>
        </row>
        <row r="35636">
          <cell r="L35636" t="str">
            <v>Non-proportional</v>
          </cell>
          <cell r="S35636">
            <v>-5396.05</v>
          </cell>
          <cell r="X35636" t="str">
            <v>Variation UPR - gross</v>
          </cell>
          <cell r="Y35636" t="str">
            <v>JAPAN</v>
          </cell>
        </row>
        <row r="35637">
          <cell r="L35637" t="str">
            <v>Non-proportional</v>
          </cell>
          <cell r="S35637">
            <v>-1534.19</v>
          </cell>
          <cell r="X35637" t="str">
            <v>Variation UPR - gross</v>
          </cell>
          <cell r="Y35637" t="str">
            <v>UNITED KINGDOM</v>
          </cell>
        </row>
        <row r="35638">
          <cell r="L35638" t="str">
            <v>Non-proportional</v>
          </cell>
          <cell r="S35638">
            <v>-18321.939999999999</v>
          </cell>
          <cell r="X35638" t="str">
            <v>Variation UPR - gross</v>
          </cell>
          <cell r="Y35638" t="str">
            <v>HONG KONG</v>
          </cell>
        </row>
        <row r="35639">
          <cell r="L35639" t="str">
            <v>Non-proportional</v>
          </cell>
          <cell r="S35639">
            <v>-2759.55</v>
          </cell>
          <cell r="X35639" t="str">
            <v>Variation UPR - gross</v>
          </cell>
          <cell r="Y35639" t="str">
            <v>UNITED KINGDOM</v>
          </cell>
        </row>
        <row r="35640">
          <cell r="L35640" t="str">
            <v>Non-proportional</v>
          </cell>
          <cell r="S35640">
            <v>74.2</v>
          </cell>
          <cell r="X35640" t="str">
            <v>Variation UPR - gross</v>
          </cell>
          <cell r="Y35640" t="str">
            <v>COLOMBIA</v>
          </cell>
        </row>
        <row r="35641">
          <cell r="L35641" t="str">
            <v>Non-proportional</v>
          </cell>
          <cell r="S35641">
            <v>-8531.25</v>
          </cell>
          <cell r="X35641" t="str">
            <v>Variation UPR - gross</v>
          </cell>
          <cell r="Y35641" t="str">
            <v>TURKEY</v>
          </cell>
        </row>
        <row r="35642">
          <cell r="L35642" t="str">
            <v>Non-proportional</v>
          </cell>
          <cell r="S35642">
            <v>-3624.35</v>
          </cell>
          <cell r="X35642" t="str">
            <v>Variation UPR - gross</v>
          </cell>
          <cell r="Y35642" t="str">
            <v>COLOMBIA</v>
          </cell>
        </row>
        <row r="35643">
          <cell r="L35643" t="str">
            <v>Non-proportional</v>
          </cell>
          <cell r="S35643">
            <v>-6253.89</v>
          </cell>
          <cell r="X35643" t="str">
            <v>Variation UPR - gross</v>
          </cell>
          <cell r="Y35643" t="str">
            <v>AUSTRALIA</v>
          </cell>
        </row>
        <row r="35644">
          <cell r="L35644" t="str">
            <v>Non-proportional</v>
          </cell>
          <cell r="S35644">
            <v>-21.21</v>
          </cell>
          <cell r="X35644" t="str">
            <v>Variation UPR - gross</v>
          </cell>
          <cell r="Y35644" t="str">
            <v>JAPAN</v>
          </cell>
        </row>
        <row r="35645">
          <cell r="L35645" t="str">
            <v>Non-proportional</v>
          </cell>
          <cell r="S35645">
            <v>128.36000000000001</v>
          </cell>
          <cell r="X35645" t="str">
            <v>Variation UPR - gross</v>
          </cell>
          <cell r="Y35645" t="str">
            <v>JAPAN</v>
          </cell>
        </row>
        <row r="35646">
          <cell r="L35646" t="str">
            <v>Non-proportional</v>
          </cell>
          <cell r="S35646">
            <v>-10748.69</v>
          </cell>
          <cell r="X35646" t="str">
            <v>Variation UPR - gross</v>
          </cell>
          <cell r="Y35646" t="str">
            <v>ITALY</v>
          </cell>
        </row>
        <row r="35647">
          <cell r="L35647" t="str">
            <v>Non-proportional</v>
          </cell>
          <cell r="S35647">
            <v>-5312.78</v>
          </cell>
          <cell r="X35647" t="str">
            <v>Variation UPR - gross</v>
          </cell>
          <cell r="Y35647" t="str">
            <v>NETHERLANDS</v>
          </cell>
        </row>
        <row r="35648">
          <cell r="L35648" t="str">
            <v>Non-proportional</v>
          </cell>
          <cell r="S35648">
            <v>-6124.56</v>
          </cell>
          <cell r="X35648" t="str">
            <v>Variation UPR - gross</v>
          </cell>
          <cell r="Y35648" t="str">
            <v>NEW ZEALAND</v>
          </cell>
        </row>
        <row r="35649">
          <cell r="L35649" t="str">
            <v>Non-proportional</v>
          </cell>
          <cell r="S35649">
            <v>-2437.42</v>
          </cell>
          <cell r="X35649" t="str">
            <v>Variation UPR - gross</v>
          </cell>
          <cell r="Y35649" t="str">
            <v>CHILE</v>
          </cell>
        </row>
        <row r="35650">
          <cell r="L35650" t="str">
            <v>Non-proportional</v>
          </cell>
          <cell r="S35650">
            <v>-6601.68</v>
          </cell>
          <cell r="X35650" t="str">
            <v>Variation UPR - gross</v>
          </cell>
          <cell r="Y35650" t="str">
            <v>ISRAEL</v>
          </cell>
        </row>
        <row r="35651">
          <cell r="L35651" t="str">
            <v>Proportional</v>
          </cell>
          <cell r="S35651">
            <v>-127948.45</v>
          </cell>
          <cell r="X35651" t="str">
            <v>Variation UPR - gross</v>
          </cell>
          <cell r="Y35651" t="str">
            <v>HONG KONG</v>
          </cell>
        </row>
        <row r="35652">
          <cell r="L35652" t="str">
            <v>Non-proportional</v>
          </cell>
          <cell r="S35652">
            <v>-884.93</v>
          </cell>
          <cell r="X35652" t="str">
            <v>Variation UPR - gross</v>
          </cell>
          <cell r="Y35652" t="str">
            <v>ECUADOR</v>
          </cell>
        </row>
        <row r="35653">
          <cell r="L35653" t="str">
            <v>Non-proportional</v>
          </cell>
          <cell r="S35653">
            <v>-38.69</v>
          </cell>
          <cell r="X35653" t="str">
            <v>Variation UPR - gross</v>
          </cell>
          <cell r="Y35653" t="str">
            <v>CHILE</v>
          </cell>
        </row>
        <row r="35654">
          <cell r="L35654" t="str">
            <v>Proportional</v>
          </cell>
          <cell r="S35654">
            <v>-32617.41</v>
          </cell>
          <cell r="X35654" t="str">
            <v>Variation UPR - gross</v>
          </cell>
          <cell r="Y35654" t="str">
            <v>CANADA</v>
          </cell>
        </row>
        <row r="35655">
          <cell r="L35655" t="str">
            <v>Non-proportional</v>
          </cell>
          <cell r="S35655">
            <v>-2416.1</v>
          </cell>
          <cell r="X35655" t="str">
            <v>Variation UPR - gross</v>
          </cell>
          <cell r="Y35655" t="str">
            <v>MEXICO</v>
          </cell>
        </row>
        <row r="35656">
          <cell r="L35656" t="str">
            <v>Non-proportional</v>
          </cell>
          <cell r="S35656">
            <v>-6278.98</v>
          </cell>
          <cell r="X35656" t="str">
            <v>Variation UPR - gross</v>
          </cell>
          <cell r="Y35656" t="str">
            <v>FRANCE</v>
          </cell>
        </row>
        <row r="35657">
          <cell r="L35657" t="str">
            <v>Proportional</v>
          </cell>
          <cell r="S35657">
            <v>-596006.43999999994</v>
          </cell>
          <cell r="X35657" t="str">
            <v>Variation UPR - gross</v>
          </cell>
          <cell r="Y35657" t="str">
            <v>UNITED STATES</v>
          </cell>
        </row>
        <row r="35658">
          <cell r="L35658" t="str">
            <v>Non-proportional</v>
          </cell>
          <cell r="S35658">
            <v>-14583.41</v>
          </cell>
          <cell r="X35658" t="str">
            <v>Variation UPR - gross</v>
          </cell>
          <cell r="Y35658" t="str">
            <v>EUROPE</v>
          </cell>
        </row>
        <row r="35659">
          <cell r="L35659" t="str">
            <v>Non-proportional</v>
          </cell>
          <cell r="S35659">
            <v>-4640.24</v>
          </cell>
          <cell r="X35659" t="str">
            <v>Variation UPR - gross</v>
          </cell>
          <cell r="Y35659" t="str">
            <v>COLOMBIA</v>
          </cell>
        </row>
        <row r="35660">
          <cell r="L35660" t="str">
            <v>Proportional</v>
          </cell>
          <cell r="S35660">
            <v>-101319.78</v>
          </cell>
          <cell r="X35660" t="str">
            <v>Variation UPR - gross</v>
          </cell>
          <cell r="Y35660" t="str">
            <v>AUSTRALIA</v>
          </cell>
        </row>
        <row r="35661">
          <cell r="L35661" t="str">
            <v>Non-proportional</v>
          </cell>
          <cell r="S35661">
            <v>0.04</v>
          </cell>
          <cell r="X35661" t="str">
            <v>Variation UPR - gross</v>
          </cell>
          <cell r="Y35661" t="str">
            <v>COLOMBIA</v>
          </cell>
        </row>
        <row r="35662">
          <cell r="L35662" t="str">
            <v>Non-proportional</v>
          </cell>
          <cell r="S35662">
            <v>84.53</v>
          </cell>
          <cell r="X35662" t="str">
            <v>Variation UPR - gross</v>
          </cell>
          <cell r="Y35662" t="str">
            <v>NEW ZEALAND</v>
          </cell>
        </row>
        <row r="35663">
          <cell r="L35663" t="str">
            <v>Non-proportional</v>
          </cell>
          <cell r="S35663">
            <v>-38026.75</v>
          </cell>
          <cell r="X35663" t="str">
            <v>Variation UPR - gross</v>
          </cell>
          <cell r="Y35663" t="str">
            <v>FRANCE</v>
          </cell>
        </row>
        <row r="35664">
          <cell r="L35664" t="str">
            <v>Non-proportional</v>
          </cell>
          <cell r="S35664">
            <v>-2285.6999999999998</v>
          </cell>
          <cell r="X35664" t="str">
            <v>Variation UPR - gross</v>
          </cell>
          <cell r="Y35664" t="str">
            <v>JAPAN</v>
          </cell>
        </row>
        <row r="35665">
          <cell r="L35665" t="str">
            <v>Non-proportional</v>
          </cell>
          <cell r="S35665">
            <v>-7677.83</v>
          </cell>
          <cell r="X35665" t="str">
            <v>Variation UPR - gross</v>
          </cell>
          <cell r="Y35665" t="str">
            <v>COLOMBIA</v>
          </cell>
        </row>
        <row r="35666">
          <cell r="L35666" t="str">
            <v>Proportional</v>
          </cell>
          <cell r="S35666">
            <v>-22254.21</v>
          </cell>
          <cell r="X35666" t="str">
            <v>Variation UPR - gross</v>
          </cell>
          <cell r="Y35666" t="str">
            <v>THAILAND</v>
          </cell>
        </row>
        <row r="35667">
          <cell r="L35667" t="str">
            <v>Proportional</v>
          </cell>
          <cell r="S35667">
            <v>-45927</v>
          </cell>
          <cell r="X35667" t="str">
            <v>Variation UPR - gross</v>
          </cell>
          <cell r="Y35667" t="str">
            <v>FRANCE</v>
          </cell>
        </row>
        <row r="35668">
          <cell r="L35668" t="str">
            <v>Non-proportional</v>
          </cell>
          <cell r="S35668">
            <v>-6713.58</v>
          </cell>
          <cell r="X35668" t="str">
            <v>Variation UPR - gross</v>
          </cell>
          <cell r="Y35668" t="str">
            <v>ISRAEL</v>
          </cell>
        </row>
        <row r="35669">
          <cell r="L35669" t="str">
            <v>Non-proportional</v>
          </cell>
          <cell r="S35669">
            <v>-90200</v>
          </cell>
          <cell r="X35669" t="str">
            <v>Variation UPR - gross</v>
          </cell>
          <cell r="Y35669" t="str">
            <v>EUROPE</v>
          </cell>
        </row>
        <row r="35670">
          <cell r="L35670" t="str">
            <v>Non-proportional</v>
          </cell>
          <cell r="S35670">
            <v>-5817.4</v>
          </cell>
          <cell r="X35670" t="str">
            <v>Variation UPR - gross</v>
          </cell>
          <cell r="Y35670" t="str">
            <v>ISRAEL</v>
          </cell>
        </row>
        <row r="35671">
          <cell r="L35671" t="str">
            <v>Proportional</v>
          </cell>
          <cell r="S35671">
            <v>-11564.8</v>
          </cell>
          <cell r="X35671" t="str">
            <v>Variation UPR - gross</v>
          </cell>
          <cell r="Y35671" t="str">
            <v>FRANCE</v>
          </cell>
        </row>
        <row r="35672">
          <cell r="L35672" t="str">
            <v>Proportional</v>
          </cell>
          <cell r="S35672">
            <v>-3337.94</v>
          </cell>
          <cell r="X35672" t="str">
            <v>Variation UPR - gross</v>
          </cell>
          <cell r="Y35672" t="str">
            <v>THAILAND</v>
          </cell>
        </row>
        <row r="35673">
          <cell r="L35673" t="str">
            <v>Non-proportional</v>
          </cell>
          <cell r="S35673">
            <v>-12011.95</v>
          </cell>
          <cell r="X35673" t="str">
            <v>Variation UPR - gross</v>
          </cell>
          <cell r="Y35673" t="str">
            <v>FRANCE</v>
          </cell>
        </row>
        <row r="35674">
          <cell r="L35674" t="str">
            <v>Non-proportional</v>
          </cell>
          <cell r="S35674">
            <v>-3290.38</v>
          </cell>
          <cell r="X35674" t="str">
            <v>Variation UPR - gross</v>
          </cell>
          <cell r="Y35674" t="str">
            <v>UNITED KINGDOM</v>
          </cell>
        </row>
        <row r="35675">
          <cell r="L35675" t="str">
            <v>Non-proportional</v>
          </cell>
          <cell r="S35675">
            <v>-16.48</v>
          </cell>
          <cell r="X35675" t="str">
            <v>Variation UPR - gross</v>
          </cell>
          <cell r="Y35675" t="str">
            <v>ISRAEL</v>
          </cell>
        </row>
        <row r="35676">
          <cell r="L35676" t="str">
            <v>Non-proportional</v>
          </cell>
          <cell r="S35676">
            <v>-3381.84</v>
          </cell>
          <cell r="X35676" t="str">
            <v>Variation UPR - gross</v>
          </cell>
          <cell r="Y35676" t="str">
            <v>ITALY</v>
          </cell>
        </row>
        <row r="35677">
          <cell r="L35677" t="str">
            <v>Proportional</v>
          </cell>
          <cell r="S35677">
            <v>-97192.43</v>
          </cell>
          <cell r="X35677" t="str">
            <v>Variation UPR - gross</v>
          </cell>
          <cell r="Y35677" t="str">
            <v>PORTUGAL</v>
          </cell>
        </row>
        <row r="35678">
          <cell r="L35678" t="str">
            <v>Non-proportional</v>
          </cell>
          <cell r="S35678">
            <v>-67893.91</v>
          </cell>
          <cell r="X35678" t="str">
            <v>Variation UPR - gross</v>
          </cell>
          <cell r="Y35678" t="str">
            <v>UNITED KINGDOM</v>
          </cell>
        </row>
        <row r="35679">
          <cell r="L35679" t="str">
            <v>Non-proportional</v>
          </cell>
          <cell r="S35679">
            <v>-300.47000000000003</v>
          </cell>
          <cell r="X35679" t="str">
            <v>Variation UPR - gross</v>
          </cell>
          <cell r="Y35679" t="str">
            <v>INDIA</v>
          </cell>
        </row>
        <row r="35680">
          <cell r="L35680" t="str">
            <v>Non-proportional</v>
          </cell>
          <cell r="S35680">
            <v>-8500</v>
          </cell>
          <cell r="X35680" t="str">
            <v>Variation UPR - gross</v>
          </cell>
          <cell r="Y35680" t="str">
            <v>ITALY</v>
          </cell>
        </row>
        <row r="35681">
          <cell r="L35681" t="str">
            <v>Non-proportional</v>
          </cell>
          <cell r="S35681">
            <v>24.82</v>
          </cell>
          <cell r="X35681" t="str">
            <v>Variation UPR - gross</v>
          </cell>
          <cell r="Y35681" t="str">
            <v>INDIA</v>
          </cell>
        </row>
        <row r="35682">
          <cell r="L35682" t="str">
            <v>Non-proportional</v>
          </cell>
          <cell r="S35682">
            <v>-9985.8700000000008</v>
          </cell>
          <cell r="X35682" t="str">
            <v>Variation UPR - gross</v>
          </cell>
          <cell r="Y35682" t="str">
            <v>FRANCE</v>
          </cell>
        </row>
        <row r="35683">
          <cell r="L35683" t="str">
            <v>Non-proportional</v>
          </cell>
          <cell r="S35683">
            <v>-22851.1</v>
          </cell>
          <cell r="X35683" t="str">
            <v>Variation UPR - gross</v>
          </cell>
          <cell r="Y35683" t="str">
            <v>UNITED KINGDOM</v>
          </cell>
        </row>
        <row r="35684">
          <cell r="L35684" t="str">
            <v>Non-proportional</v>
          </cell>
          <cell r="S35684">
            <v>-9130.7900000000009</v>
          </cell>
          <cell r="X35684" t="str">
            <v>Variation UPR - gross</v>
          </cell>
          <cell r="Y35684" t="str">
            <v>DOMINICAN REPUBLIC</v>
          </cell>
        </row>
        <row r="35685">
          <cell r="L35685" t="str">
            <v>Non-proportional</v>
          </cell>
          <cell r="S35685">
            <v>-7082.59</v>
          </cell>
          <cell r="X35685" t="str">
            <v>Variation UPR - gross</v>
          </cell>
          <cell r="Y35685" t="str">
            <v>NEW ZEALAND</v>
          </cell>
        </row>
        <row r="35686">
          <cell r="L35686" t="str">
            <v>Non-proportional</v>
          </cell>
          <cell r="S35686">
            <v>-905.42</v>
          </cell>
          <cell r="X35686" t="str">
            <v>Variation UPR - gross</v>
          </cell>
          <cell r="Y35686" t="str">
            <v>ITALY</v>
          </cell>
        </row>
        <row r="35687">
          <cell r="L35687" t="str">
            <v>Non-proportional</v>
          </cell>
          <cell r="S35687">
            <v>-4159.57</v>
          </cell>
          <cell r="X35687" t="str">
            <v>Variation UPR - gross</v>
          </cell>
          <cell r="Y35687" t="str">
            <v>SINGAPORE</v>
          </cell>
        </row>
        <row r="35688">
          <cell r="L35688" t="str">
            <v>Non-proportional</v>
          </cell>
          <cell r="S35688">
            <v>-2999.74</v>
          </cell>
          <cell r="X35688" t="str">
            <v>Variation UPR - gross</v>
          </cell>
          <cell r="Y35688" t="str">
            <v>NETHERLANDS</v>
          </cell>
        </row>
        <row r="35689">
          <cell r="L35689" t="str">
            <v>Non-proportional</v>
          </cell>
          <cell r="S35689">
            <v>-1458.33</v>
          </cell>
          <cell r="X35689" t="str">
            <v>Variation UPR - gross</v>
          </cell>
          <cell r="Y35689" t="str">
            <v>GREECE</v>
          </cell>
        </row>
        <row r="35690">
          <cell r="L35690" t="str">
            <v>Non-proportional</v>
          </cell>
          <cell r="S35690">
            <v>-9915.7000000000007</v>
          </cell>
          <cell r="X35690" t="str">
            <v>Variation UPR - gross</v>
          </cell>
          <cell r="Y35690" t="str">
            <v>NETHERLANDS</v>
          </cell>
        </row>
        <row r="35691">
          <cell r="L35691" t="str">
            <v>Non-proportional</v>
          </cell>
          <cell r="S35691">
            <v>-1273.54</v>
          </cell>
          <cell r="X35691" t="str">
            <v>Variation UPR - gross</v>
          </cell>
          <cell r="Y35691" t="str">
            <v>NEW ZEALAND</v>
          </cell>
        </row>
        <row r="35692">
          <cell r="L35692" t="str">
            <v>Non-proportional</v>
          </cell>
          <cell r="S35692">
            <v>-3858.63</v>
          </cell>
          <cell r="X35692" t="str">
            <v>Variation UPR - gross</v>
          </cell>
          <cell r="Y35692" t="str">
            <v>AUSTRALIA</v>
          </cell>
        </row>
        <row r="35693">
          <cell r="L35693" t="str">
            <v>Non-proportional</v>
          </cell>
          <cell r="S35693">
            <v>-1562.37</v>
          </cell>
          <cell r="X35693" t="str">
            <v>Variation UPR - gross</v>
          </cell>
          <cell r="Y35693" t="str">
            <v>FRANCE</v>
          </cell>
        </row>
        <row r="35694">
          <cell r="L35694" t="str">
            <v>Non-proportional</v>
          </cell>
          <cell r="S35694">
            <v>-12625.09</v>
          </cell>
          <cell r="X35694" t="str">
            <v>Variation UPR - gross</v>
          </cell>
          <cell r="Y35694" t="str">
            <v>BELGIUM</v>
          </cell>
        </row>
        <row r="35695">
          <cell r="L35695" t="str">
            <v>Non-proportional</v>
          </cell>
          <cell r="S35695">
            <v>10559.25</v>
          </cell>
          <cell r="X35695" t="str">
            <v>Variation UPR - gross</v>
          </cell>
          <cell r="Y35695" t="str">
            <v>COSTA RICA</v>
          </cell>
        </row>
        <row r="35696">
          <cell r="L35696" t="str">
            <v>Proportional</v>
          </cell>
          <cell r="S35696">
            <v>-13702.74</v>
          </cell>
          <cell r="X35696" t="str">
            <v>Variation UPR - gross</v>
          </cell>
          <cell r="Y35696" t="str">
            <v>THAILAND</v>
          </cell>
        </row>
        <row r="35697">
          <cell r="L35697" t="str">
            <v>Non-proportional</v>
          </cell>
          <cell r="S35697">
            <v>-6474.25</v>
          </cell>
          <cell r="X35697" t="str">
            <v>Variation UPR - gross</v>
          </cell>
          <cell r="Y35697" t="str">
            <v>PERU</v>
          </cell>
        </row>
        <row r="35698">
          <cell r="L35698" t="str">
            <v>Non-proportional</v>
          </cell>
          <cell r="S35698">
            <v>-6086.35</v>
          </cell>
          <cell r="X35698" t="str">
            <v>Variation UPR - gross</v>
          </cell>
          <cell r="Y35698" t="str">
            <v>ITALY</v>
          </cell>
        </row>
        <row r="35699">
          <cell r="L35699" t="str">
            <v>Proportional</v>
          </cell>
          <cell r="S35699">
            <v>-3109.6</v>
          </cell>
          <cell r="X35699" t="str">
            <v>Variation UPR - gross</v>
          </cell>
          <cell r="Y35699" t="str">
            <v>ITALY</v>
          </cell>
        </row>
        <row r="35700">
          <cell r="L35700" t="str">
            <v>Non-proportional</v>
          </cell>
          <cell r="S35700">
            <v>-1385.18</v>
          </cell>
          <cell r="X35700" t="str">
            <v>Variation UPR - gross</v>
          </cell>
          <cell r="Y35700" t="str">
            <v>PERU</v>
          </cell>
        </row>
        <row r="35701">
          <cell r="L35701" t="str">
            <v>Non-proportional</v>
          </cell>
          <cell r="S35701">
            <v>-89196.42</v>
          </cell>
          <cell r="X35701" t="str">
            <v>Variation UPR - gross</v>
          </cell>
          <cell r="Y35701" t="str">
            <v>UNITED KINGDOM</v>
          </cell>
        </row>
        <row r="35702">
          <cell r="L35702" t="str">
            <v>Non-proportional</v>
          </cell>
          <cell r="S35702">
            <v>-178487.38</v>
          </cell>
          <cell r="X35702" t="str">
            <v>Variation UPR - gross</v>
          </cell>
          <cell r="Y35702" t="str">
            <v>PORTUGAL</v>
          </cell>
        </row>
        <row r="35703">
          <cell r="L35703" t="str">
            <v>Non-proportional</v>
          </cell>
          <cell r="S35703">
            <v>-1958.39</v>
          </cell>
          <cell r="X35703" t="str">
            <v>Variation UPR - gross</v>
          </cell>
          <cell r="Y35703" t="str">
            <v>ISRAEL</v>
          </cell>
        </row>
        <row r="35704">
          <cell r="L35704" t="str">
            <v>Non-proportional</v>
          </cell>
          <cell r="S35704">
            <v>-15885.46</v>
          </cell>
          <cell r="X35704" t="str">
            <v>Variation UPR - gross</v>
          </cell>
          <cell r="Y35704" t="str">
            <v>EUROPE</v>
          </cell>
        </row>
        <row r="35705">
          <cell r="L35705" t="str">
            <v>Non-proportional</v>
          </cell>
          <cell r="S35705">
            <v>-1688.43</v>
          </cell>
          <cell r="X35705" t="str">
            <v>Variation UPR - gross</v>
          </cell>
          <cell r="Y35705" t="str">
            <v>AUSTRALIA</v>
          </cell>
        </row>
        <row r="35706">
          <cell r="L35706" t="str">
            <v>Non-proportional</v>
          </cell>
          <cell r="S35706">
            <v>-3229.08</v>
          </cell>
          <cell r="X35706" t="str">
            <v>Variation UPR - gross</v>
          </cell>
          <cell r="Y35706" t="str">
            <v>NEW ZEALAND</v>
          </cell>
        </row>
        <row r="35707">
          <cell r="L35707" t="str">
            <v>Non-proportional</v>
          </cell>
          <cell r="S35707">
            <v>-7159.84</v>
          </cell>
          <cell r="X35707" t="str">
            <v>Variation UPR - gross</v>
          </cell>
          <cell r="Y35707" t="str">
            <v>UNITED KINGDOM</v>
          </cell>
        </row>
        <row r="35708">
          <cell r="L35708" t="str">
            <v>Non-proportional</v>
          </cell>
          <cell r="S35708">
            <v>-601.57000000000005</v>
          </cell>
          <cell r="X35708" t="str">
            <v>Variation UPR - gross</v>
          </cell>
          <cell r="Y35708" t="str">
            <v>AUSTRALIA</v>
          </cell>
        </row>
        <row r="35709">
          <cell r="L35709" t="str">
            <v>Non-proportional</v>
          </cell>
          <cell r="S35709">
            <v>-397097.68</v>
          </cell>
          <cell r="X35709" t="str">
            <v>Variation UPR - gross</v>
          </cell>
          <cell r="Y35709" t="str">
            <v>UNITED KINGDOM</v>
          </cell>
        </row>
        <row r="35710">
          <cell r="L35710" t="str">
            <v>Proportional</v>
          </cell>
          <cell r="S35710">
            <v>-1875.27</v>
          </cell>
          <cell r="X35710" t="str">
            <v>Variation UPR - gross</v>
          </cell>
          <cell r="Y35710" t="str">
            <v>THAILAND</v>
          </cell>
        </row>
        <row r="35711">
          <cell r="L35711" t="str">
            <v>Non-proportional</v>
          </cell>
          <cell r="S35711">
            <v>41666.67</v>
          </cell>
          <cell r="X35711" t="str">
            <v>Variation UPR - gross</v>
          </cell>
          <cell r="Y35711" t="str">
            <v>TURKEY</v>
          </cell>
        </row>
        <row r="35712">
          <cell r="L35712" t="str">
            <v>Non-proportional</v>
          </cell>
          <cell r="S35712">
            <v>-13073.04</v>
          </cell>
          <cell r="X35712" t="str">
            <v>Variation UPR - gross</v>
          </cell>
          <cell r="Y35712" t="str">
            <v>FRANCE</v>
          </cell>
        </row>
        <row r="35713">
          <cell r="L35713" t="str">
            <v>Non-proportional</v>
          </cell>
          <cell r="S35713">
            <v>-2988.48</v>
          </cell>
          <cell r="X35713" t="str">
            <v>Variation UPR - gross</v>
          </cell>
          <cell r="Y35713" t="str">
            <v>INDIA</v>
          </cell>
        </row>
        <row r="35714">
          <cell r="L35714" t="str">
            <v>Non-proportional</v>
          </cell>
          <cell r="S35714">
            <v>-14424.04</v>
          </cell>
          <cell r="X35714" t="str">
            <v>Variation UPR - gross</v>
          </cell>
          <cell r="Y35714" t="str">
            <v>FRANCE</v>
          </cell>
        </row>
        <row r="35715">
          <cell r="L35715" t="str">
            <v>Non-proportional</v>
          </cell>
          <cell r="S35715">
            <v>-54.34</v>
          </cell>
          <cell r="X35715" t="str">
            <v>Variation UPR - gross</v>
          </cell>
          <cell r="Y35715" t="str">
            <v>JAPAN</v>
          </cell>
        </row>
        <row r="35716">
          <cell r="L35716" t="str">
            <v>Proportional</v>
          </cell>
          <cell r="S35716">
            <v>-7.67</v>
          </cell>
          <cell r="X35716" t="str">
            <v>Variation UPR - gross</v>
          </cell>
          <cell r="Y35716" t="str">
            <v>UNITED STATES</v>
          </cell>
        </row>
        <row r="35717">
          <cell r="L35717" t="str">
            <v>Non-proportional</v>
          </cell>
          <cell r="S35717">
            <v>13.75</v>
          </cell>
          <cell r="X35717" t="str">
            <v>Variation UPR - gross</v>
          </cell>
          <cell r="Y35717" t="str">
            <v>INDIA</v>
          </cell>
        </row>
        <row r="35718">
          <cell r="L35718" t="str">
            <v>Non-proportional</v>
          </cell>
          <cell r="S35718">
            <v>-55</v>
          </cell>
          <cell r="X35718" t="str">
            <v>Variation UPR - gross</v>
          </cell>
          <cell r="Y35718" t="str">
            <v>GUATEMALA</v>
          </cell>
        </row>
        <row r="35719">
          <cell r="L35719" t="str">
            <v>Non-proportional</v>
          </cell>
          <cell r="S35719">
            <v>-2285.6999999999998</v>
          </cell>
          <cell r="X35719" t="str">
            <v>Variation UPR - gross</v>
          </cell>
          <cell r="Y35719" t="str">
            <v>JAPAN</v>
          </cell>
        </row>
        <row r="35720">
          <cell r="L35720" t="str">
            <v>Non-proportional</v>
          </cell>
          <cell r="S35720">
            <v>-87138.33</v>
          </cell>
          <cell r="X35720" t="str">
            <v>Variation UPR - gross</v>
          </cell>
          <cell r="Y35720" t="str">
            <v>EUROPE</v>
          </cell>
        </row>
        <row r="35721">
          <cell r="L35721" t="str">
            <v>Non-proportional</v>
          </cell>
          <cell r="S35721">
            <v>-1760.21</v>
          </cell>
          <cell r="X35721" t="str">
            <v>Variation UPR - gross</v>
          </cell>
          <cell r="Y35721" t="str">
            <v>NEW ZEALAND</v>
          </cell>
        </row>
        <row r="35722">
          <cell r="L35722" t="str">
            <v>Non-proportional</v>
          </cell>
          <cell r="S35722">
            <v>-17728.810000000001</v>
          </cell>
          <cell r="X35722" t="str">
            <v>Variation UPR - gross</v>
          </cell>
          <cell r="Y35722" t="str">
            <v>AUSTRALIA</v>
          </cell>
        </row>
        <row r="35723">
          <cell r="L35723" t="str">
            <v>Non-proportional</v>
          </cell>
          <cell r="S35723">
            <v>-2735.29</v>
          </cell>
          <cell r="X35723" t="str">
            <v>Variation UPR - gross</v>
          </cell>
          <cell r="Y35723" t="str">
            <v>AUSTRALIA</v>
          </cell>
        </row>
        <row r="35724">
          <cell r="L35724" t="str">
            <v>Non-proportional</v>
          </cell>
          <cell r="S35724">
            <v>-160806.29999999999</v>
          </cell>
          <cell r="X35724" t="str">
            <v>Variation UPR - gross</v>
          </cell>
          <cell r="Y35724" t="str">
            <v>UNITED KINGDOM</v>
          </cell>
        </row>
        <row r="35725">
          <cell r="L35725" t="str">
            <v>Proportional</v>
          </cell>
          <cell r="S35725">
            <v>-3056.44</v>
          </cell>
          <cell r="X35725" t="str">
            <v>Variation UPR - gross</v>
          </cell>
          <cell r="Y35725" t="str">
            <v>CHILE</v>
          </cell>
        </row>
        <row r="35726">
          <cell r="L35726" t="str">
            <v>Proportional</v>
          </cell>
          <cell r="S35726">
            <v>-10567.31</v>
          </cell>
          <cell r="X35726" t="str">
            <v>Variation UPR - gross</v>
          </cell>
          <cell r="Y35726" t="str">
            <v>THAILAND</v>
          </cell>
        </row>
        <row r="35727">
          <cell r="L35727" t="str">
            <v>Non-proportional</v>
          </cell>
          <cell r="S35727">
            <v>-3917.27</v>
          </cell>
          <cell r="X35727" t="str">
            <v>Variation UPR - gross</v>
          </cell>
          <cell r="Y35727" t="str">
            <v>ITALY</v>
          </cell>
        </row>
        <row r="35728">
          <cell r="L35728" t="str">
            <v>Non-proportional</v>
          </cell>
          <cell r="S35728">
            <v>-2937.09</v>
          </cell>
          <cell r="X35728" t="str">
            <v>Variation UPR - gross</v>
          </cell>
          <cell r="Y35728" t="str">
            <v>NETHERLANDS</v>
          </cell>
        </row>
        <row r="35729">
          <cell r="L35729" t="str">
            <v>Non-proportional</v>
          </cell>
          <cell r="S35729">
            <v>-1406.25</v>
          </cell>
          <cell r="X35729" t="str">
            <v>Variation UPR - gross</v>
          </cell>
          <cell r="Y35729" t="str">
            <v>GREECE</v>
          </cell>
        </row>
        <row r="35730">
          <cell r="L35730" t="str">
            <v>Proportional</v>
          </cell>
          <cell r="S35730">
            <v>-541.65</v>
          </cell>
          <cell r="X35730" t="str">
            <v>Variation UPR - gross</v>
          </cell>
          <cell r="Y35730" t="str">
            <v>CHILE</v>
          </cell>
        </row>
        <row r="35731">
          <cell r="L35731" t="str">
            <v>Non-proportional</v>
          </cell>
          <cell r="S35731">
            <v>-728.75</v>
          </cell>
          <cell r="X35731" t="str">
            <v>Variation UPR - gross</v>
          </cell>
          <cell r="Y35731" t="str">
            <v>ITALY</v>
          </cell>
        </row>
        <row r="35732">
          <cell r="L35732" t="str">
            <v>Non-proportional</v>
          </cell>
          <cell r="S35732">
            <v>-115197.41</v>
          </cell>
          <cell r="X35732" t="str">
            <v>Variation UPR - gross</v>
          </cell>
          <cell r="Y35732" t="str">
            <v>HONG KONG</v>
          </cell>
        </row>
        <row r="35733">
          <cell r="L35733" t="str">
            <v>Non-proportional</v>
          </cell>
          <cell r="S35733">
            <v>14.1</v>
          </cell>
          <cell r="X35733" t="str">
            <v>Variation UPR - gross</v>
          </cell>
          <cell r="Y35733" t="str">
            <v>GUATEMALA</v>
          </cell>
        </row>
        <row r="35734">
          <cell r="L35734" t="str">
            <v>Non-proportional</v>
          </cell>
          <cell r="S35734">
            <v>-8053.43</v>
          </cell>
          <cell r="X35734" t="str">
            <v>Variation UPR - gross</v>
          </cell>
          <cell r="Y35734" t="str">
            <v>UNITED KINGDOM</v>
          </cell>
        </row>
        <row r="35735">
          <cell r="L35735" t="str">
            <v>Non-proportional</v>
          </cell>
          <cell r="S35735">
            <v>-6957.83</v>
          </cell>
          <cell r="X35735" t="str">
            <v>Variation UPR - gross</v>
          </cell>
          <cell r="Y35735" t="str">
            <v>ITALY</v>
          </cell>
        </row>
        <row r="35736">
          <cell r="L35736" t="str">
            <v>Non-proportional</v>
          </cell>
          <cell r="S35736">
            <v>-4949.13</v>
          </cell>
          <cell r="X35736" t="str">
            <v>Variation UPR - gross</v>
          </cell>
          <cell r="Y35736" t="str">
            <v>NETHERLANDS</v>
          </cell>
        </row>
        <row r="35737">
          <cell r="L35737" t="str">
            <v>Non-proportional</v>
          </cell>
          <cell r="S35737">
            <v>-7492.29</v>
          </cell>
          <cell r="X35737" t="str">
            <v>Variation UPR - gross</v>
          </cell>
          <cell r="Y35737" t="str">
            <v>FRANCE</v>
          </cell>
        </row>
        <row r="35738">
          <cell r="L35738" t="str">
            <v>Non-proportional</v>
          </cell>
          <cell r="S35738">
            <v>-35.619999999999997</v>
          </cell>
          <cell r="X35738" t="str">
            <v>Variation UPR - gross</v>
          </cell>
          <cell r="Y35738" t="str">
            <v>ISRAEL</v>
          </cell>
        </row>
        <row r="35739">
          <cell r="L35739" t="str">
            <v>Non-proportional</v>
          </cell>
          <cell r="S35739">
            <v>-27.24</v>
          </cell>
          <cell r="X35739" t="str">
            <v>Variation UPR - gross</v>
          </cell>
          <cell r="Y35739" t="str">
            <v>JAPAN</v>
          </cell>
        </row>
        <row r="35740">
          <cell r="L35740" t="str">
            <v>Non-proportional</v>
          </cell>
          <cell r="S35740">
            <v>154.08000000000001</v>
          </cell>
          <cell r="X35740" t="str">
            <v>Variation UPR - gross</v>
          </cell>
          <cell r="Y35740" t="str">
            <v>JAPAN</v>
          </cell>
        </row>
        <row r="35741">
          <cell r="L35741" t="str">
            <v>Non-proportional</v>
          </cell>
          <cell r="S35741">
            <v>-5471.82</v>
          </cell>
          <cell r="X35741" t="str">
            <v>Variation UPR - gross</v>
          </cell>
          <cell r="Y35741" t="str">
            <v>ISRAEL</v>
          </cell>
        </row>
        <row r="35742">
          <cell r="L35742" t="str">
            <v>Non-proportional</v>
          </cell>
          <cell r="S35742">
            <v>-768.46</v>
          </cell>
          <cell r="X35742" t="str">
            <v>Variation UPR - gross</v>
          </cell>
          <cell r="Y35742" t="str">
            <v>JAPAN</v>
          </cell>
        </row>
        <row r="35743">
          <cell r="L35743" t="str">
            <v>Non-proportional</v>
          </cell>
          <cell r="S35743">
            <v>-1409.17</v>
          </cell>
          <cell r="X35743" t="str">
            <v>Variation UPR - gross</v>
          </cell>
          <cell r="Y35743" t="str">
            <v>INDIA</v>
          </cell>
        </row>
        <row r="35744">
          <cell r="L35744" t="str">
            <v>Non-proportional</v>
          </cell>
          <cell r="S35744">
            <v>-6183.34</v>
          </cell>
          <cell r="X35744" t="str">
            <v>Variation UPR - gross</v>
          </cell>
          <cell r="Y35744" t="str">
            <v>NEW ZEALAND</v>
          </cell>
        </row>
        <row r="35745">
          <cell r="L35745" t="str">
            <v>Non-proportional</v>
          </cell>
          <cell r="S35745">
            <v>-10871.66</v>
          </cell>
          <cell r="X35745" t="str">
            <v>Variation UPR - gross</v>
          </cell>
          <cell r="Y35745" t="str">
            <v>CHILE</v>
          </cell>
        </row>
        <row r="35746">
          <cell r="L35746" t="str">
            <v>Non-proportional</v>
          </cell>
          <cell r="S35746">
            <v>-11268.2</v>
          </cell>
          <cell r="X35746" t="str">
            <v>Variation UPR - gross</v>
          </cell>
          <cell r="Y35746" t="str">
            <v>TURKEY</v>
          </cell>
        </row>
        <row r="35747">
          <cell r="L35747" t="str">
            <v>Non-proportional</v>
          </cell>
          <cell r="S35747">
            <v>-0.01</v>
          </cell>
          <cell r="X35747" t="str">
            <v>Variation UPR - gross</v>
          </cell>
          <cell r="Y35747" t="str">
            <v>COLOMBIA</v>
          </cell>
        </row>
        <row r="35748">
          <cell r="L35748" t="str">
            <v>Non-proportional</v>
          </cell>
          <cell r="S35748">
            <v>29.04</v>
          </cell>
          <cell r="X35748" t="str">
            <v>Variation UPR - gross</v>
          </cell>
          <cell r="Y35748" t="str">
            <v>INDIA</v>
          </cell>
        </row>
        <row r="35749">
          <cell r="L35749" t="str">
            <v>Non-proportional</v>
          </cell>
          <cell r="S35749">
            <v>-286.25</v>
          </cell>
          <cell r="X35749" t="str">
            <v>Variation UPR - gross</v>
          </cell>
          <cell r="Y35749" t="str">
            <v>REPUBLIC OF IRELAND</v>
          </cell>
        </row>
        <row r="35750">
          <cell r="L35750" t="str">
            <v>Non-proportional</v>
          </cell>
          <cell r="S35750">
            <v>-5337.45</v>
          </cell>
          <cell r="X35750" t="str">
            <v>Variation UPR - gross</v>
          </cell>
          <cell r="Y35750" t="str">
            <v>JAPAN</v>
          </cell>
        </row>
        <row r="35751">
          <cell r="L35751" t="str">
            <v>Non-proportional</v>
          </cell>
          <cell r="S35751">
            <v>-79406.25</v>
          </cell>
          <cell r="X35751" t="str">
            <v>Variation UPR - gross</v>
          </cell>
          <cell r="Y35751" t="str">
            <v>BELGIUM</v>
          </cell>
        </row>
        <row r="35752">
          <cell r="L35752" t="str">
            <v>Non-proportional</v>
          </cell>
          <cell r="S35752">
            <v>-4523.41</v>
          </cell>
          <cell r="X35752" t="str">
            <v>Variation UPR - gross</v>
          </cell>
          <cell r="Y35752" t="str">
            <v>THAILAND</v>
          </cell>
        </row>
        <row r="35753">
          <cell r="L35753" t="str">
            <v>Non-proportional</v>
          </cell>
          <cell r="S35753">
            <v>-2883.32</v>
          </cell>
          <cell r="X35753" t="str">
            <v>Variation UPR - gross</v>
          </cell>
          <cell r="Y35753" t="str">
            <v>POLAND</v>
          </cell>
        </row>
        <row r="35754">
          <cell r="L35754" t="str">
            <v>Non-proportional</v>
          </cell>
          <cell r="S35754">
            <v>-40.82</v>
          </cell>
          <cell r="X35754" t="str">
            <v>Variation UPR - gross</v>
          </cell>
          <cell r="Y35754" t="str">
            <v>COSTA RICA</v>
          </cell>
        </row>
        <row r="35755">
          <cell r="L35755" t="str">
            <v>Non-proportional</v>
          </cell>
          <cell r="S35755">
            <v>-11.98</v>
          </cell>
          <cell r="X35755" t="str">
            <v>Variation UPR - gross</v>
          </cell>
          <cell r="Y35755" t="str">
            <v>ISRAEL</v>
          </cell>
        </row>
        <row r="35756">
          <cell r="L35756" t="str">
            <v>Non-proportional</v>
          </cell>
          <cell r="S35756">
            <v>-0.01</v>
          </cell>
          <cell r="X35756" t="str">
            <v>Variation UPR - gross</v>
          </cell>
          <cell r="Y35756" t="str">
            <v>COLOMBIA</v>
          </cell>
        </row>
        <row r="35757">
          <cell r="L35757" t="str">
            <v>Non-proportional</v>
          </cell>
          <cell r="S35757">
            <v>-4250.1899999999996</v>
          </cell>
          <cell r="X35757" t="str">
            <v>Variation UPR - gross</v>
          </cell>
          <cell r="Y35757" t="str">
            <v>ITALY</v>
          </cell>
        </row>
        <row r="35758">
          <cell r="L35758" t="str">
            <v>Non-proportional</v>
          </cell>
          <cell r="S35758">
            <v>0.01</v>
          </cell>
          <cell r="X35758" t="str">
            <v>Variation UPR - gross</v>
          </cell>
          <cell r="Y35758" t="str">
            <v>DOMINICAN REPUBLIC</v>
          </cell>
        </row>
        <row r="35759">
          <cell r="L35759" t="str">
            <v>Non-proportional</v>
          </cell>
          <cell r="S35759">
            <v>-10909.08</v>
          </cell>
          <cell r="X35759" t="str">
            <v>Variation UPR - gross</v>
          </cell>
          <cell r="Y35759" t="str">
            <v>ITALY</v>
          </cell>
        </row>
        <row r="35760">
          <cell r="L35760" t="str">
            <v>Proportional</v>
          </cell>
          <cell r="S35760">
            <v>-939.94</v>
          </cell>
          <cell r="X35760" t="str">
            <v>Variation UPR - gross</v>
          </cell>
          <cell r="Y35760" t="str">
            <v>THAILAND</v>
          </cell>
        </row>
        <row r="35761">
          <cell r="L35761" t="str">
            <v>Non-proportional</v>
          </cell>
          <cell r="S35761">
            <v>0.01</v>
          </cell>
          <cell r="X35761" t="str">
            <v>Variation UPR - gross</v>
          </cell>
          <cell r="Y35761" t="str">
            <v>JAPAN</v>
          </cell>
        </row>
        <row r="35762">
          <cell r="L35762" t="str">
            <v>Non-proportional</v>
          </cell>
          <cell r="S35762">
            <v>-5299.55</v>
          </cell>
          <cell r="X35762" t="str">
            <v>Variation UPR - gross</v>
          </cell>
          <cell r="Y35762" t="str">
            <v>PERU</v>
          </cell>
        </row>
        <row r="35763">
          <cell r="L35763" t="str">
            <v>Non-proportional</v>
          </cell>
          <cell r="S35763">
            <v>-4518.97</v>
          </cell>
          <cell r="X35763" t="str">
            <v>Variation UPR - gross</v>
          </cell>
          <cell r="Y35763" t="str">
            <v>UNITED KINGDOM</v>
          </cell>
        </row>
        <row r="35764">
          <cell r="L35764" t="str">
            <v>Non-proportional</v>
          </cell>
          <cell r="S35764">
            <v>90.25</v>
          </cell>
          <cell r="X35764" t="str">
            <v>Variation UPR - gross</v>
          </cell>
          <cell r="Y35764" t="str">
            <v>INDIA</v>
          </cell>
        </row>
        <row r="35765">
          <cell r="L35765" t="str">
            <v>Non-proportional</v>
          </cell>
          <cell r="S35765">
            <v>158.44999999999999</v>
          </cell>
          <cell r="X35765" t="str">
            <v>Variation UPR - gross</v>
          </cell>
          <cell r="Y35765" t="str">
            <v>JAPAN</v>
          </cell>
        </row>
        <row r="35766">
          <cell r="L35766" t="str">
            <v>Non-proportional</v>
          </cell>
          <cell r="S35766">
            <v>-20197.509999999998</v>
          </cell>
          <cell r="X35766" t="str">
            <v>Variation UPR - gross</v>
          </cell>
          <cell r="Y35766" t="str">
            <v>ITALY</v>
          </cell>
        </row>
        <row r="35767">
          <cell r="L35767" t="str">
            <v>Non-proportional</v>
          </cell>
          <cell r="S35767">
            <v>-1303.78</v>
          </cell>
          <cell r="X35767" t="str">
            <v>Variation UPR - gross</v>
          </cell>
          <cell r="Y35767" t="str">
            <v>CYPRUS</v>
          </cell>
        </row>
        <row r="35768">
          <cell r="L35768" t="str">
            <v>Non-proportional</v>
          </cell>
          <cell r="S35768">
            <v>-3589.79</v>
          </cell>
          <cell r="X35768" t="str">
            <v>Variation UPR - gross</v>
          </cell>
          <cell r="Y35768" t="str">
            <v>INDIA</v>
          </cell>
        </row>
        <row r="35769">
          <cell r="L35769" t="str">
            <v>Non-proportional</v>
          </cell>
          <cell r="S35769">
            <v>-1525.92</v>
          </cell>
          <cell r="X35769" t="str">
            <v>Variation UPR - gross</v>
          </cell>
          <cell r="Y35769" t="str">
            <v>COLOMBIA</v>
          </cell>
        </row>
        <row r="35770">
          <cell r="L35770" t="str">
            <v>Non-proportional</v>
          </cell>
          <cell r="S35770">
            <v>-7080.12</v>
          </cell>
          <cell r="X35770" t="str">
            <v>Variation UPR - gross</v>
          </cell>
          <cell r="Y35770" t="str">
            <v>CHILE</v>
          </cell>
        </row>
        <row r="35771">
          <cell r="L35771" t="str">
            <v>Non-proportional</v>
          </cell>
          <cell r="S35771">
            <v>-922.15</v>
          </cell>
          <cell r="X35771" t="str">
            <v>Variation UPR - gross</v>
          </cell>
          <cell r="Y35771" t="str">
            <v>AUSTRALIA</v>
          </cell>
        </row>
        <row r="35772">
          <cell r="L35772" t="str">
            <v>Non-proportional</v>
          </cell>
          <cell r="S35772">
            <v>-1636801</v>
          </cell>
          <cell r="X35772" t="str">
            <v>Variation UPR - gross</v>
          </cell>
          <cell r="Y35772" t="str">
            <v>UNITED KINGDOM</v>
          </cell>
        </row>
        <row r="35773">
          <cell r="L35773" t="str">
            <v>Non-proportional</v>
          </cell>
          <cell r="S35773">
            <v>53.93</v>
          </cell>
          <cell r="X35773" t="str">
            <v>Variation UPR - gross</v>
          </cell>
          <cell r="Y35773" t="str">
            <v>DOMINICAN REPUBLIC</v>
          </cell>
        </row>
        <row r="35774">
          <cell r="L35774" t="str">
            <v>Non-proportional</v>
          </cell>
          <cell r="S35774">
            <v>250.25</v>
          </cell>
          <cell r="X35774" t="str">
            <v>Variation UPR - gross</v>
          </cell>
          <cell r="Y35774" t="str">
            <v>SOUTH KOREA</v>
          </cell>
        </row>
        <row r="35775">
          <cell r="L35775" t="str">
            <v>Non-proportional</v>
          </cell>
          <cell r="S35775">
            <v>-6907.69</v>
          </cell>
          <cell r="X35775" t="str">
            <v>Variation UPR - gross</v>
          </cell>
          <cell r="Y35775" t="str">
            <v>GREECE</v>
          </cell>
        </row>
        <row r="35776">
          <cell r="L35776" t="str">
            <v>Non-proportional</v>
          </cell>
          <cell r="S35776">
            <v>-45409.72</v>
          </cell>
          <cell r="X35776" t="str">
            <v>Variation UPR - gross</v>
          </cell>
          <cell r="Y35776" t="str">
            <v>UNITED KINGDOM</v>
          </cell>
        </row>
        <row r="35777">
          <cell r="L35777" t="str">
            <v>Non-proportional</v>
          </cell>
          <cell r="S35777">
            <v>-10000</v>
          </cell>
          <cell r="X35777" t="str">
            <v>Variation UPR - gross</v>
          </cell>
          <cell r="Y35777" t="str">
            <v>ITALY</v>
          </cell>
        </row>
        <row r="35778">
          <cell r="L35778" t="str">
            <v>Non-proportional</v>
          </cell>
          <cell r="S35778">
            <v>-4759.68</v>
          </cell>
          <cell r="X35778" t="str">
            <v>Variation UPR - gross</v>
          </cell>
          <cell r="Y35778" t="str">
            <v>ECUADOR</v>
          </cell>
        </row>
        <row r="35779">
          <cell r="L35779" t="str">
            <v>Non-proportional</v>
          </cell>
          <cell r="S35779">
            <v>-5918.43</v>
          </cell>
          <cell r="X35779" t="str">
            <v>Variation UPR - gross</v>
          </cell>
          <cell r="Y35779" t="str">
            <v>EUROPE</v>
          </cell>
        </row>
        <row r="35780">
          <cell r="L35780" t="str">
            <v>Non-proportional</v>
          </cell>
          <cell r="S35780">
            <v>-6481.65</v>
          </cell>
          <cell r="X35780" t="str">
            <v>Variation UPR - gross</v>
          </cell>
          <cell r="Y35780" t="str">
            <v>ISRAEL</v>
          </cell>
        </row>
        <row r="35781">
          <cell r="L35781" t="str">
            <v>Non-proportional</v>
          </cell>
          <cell r="S35781">
            <v>-115518.91</v>
          </cell>
          <cell r="X35781" t="str">
            <v>Variation UPR - gross</v>
          </cell>
          <cell r="Y35781" t="str">
            <v>UNITED KINGDOM</v>
          </cell>
        </row>
        <row r="35782">
          <cell r="L35782" t="str">
            <v>Non-proportional</v>
          </cell>
          <cell r="S35782">
            <v>-8927.4599999999991</v>
          </cell>
          <cell r="X35782" t="str">
            <v>Variation UPR - gross</v>
          </cell>
          <cell r="Y35782" t="str">
            <v>MEXICO</v>
          </cell>
        </row>
        <row r="35783">
          <cell r="L35783" t="str">
            <v>Non-proportional</v>
          </cell>
          <cell r="S35783">
            <v>23.52</v>
          </cell>
          <cell r="X35783" t="str">
            <v>Variation UPR - gross</v>
          </cell>
          <cell r="Y35783" t="str">
            <v>NEW ZEALAND</v>
          </cell>
        </row>
        <row r="35784">
          <cell r="L35784" t="str">
            <v>Non-proportional</v>
          </cell>
          <cell r="S35784">
            <v>17.96</v>
          </cell>
          <cell r="X35784" t="str">
            <v>Variation UPR - gross</v>
          </cell>
          <cell r="Y35784" t="str">
            <v>INDIA</v>
          </cell>
        </row>
        <row r="35785">
          <cell r="L35785" t="str">
            <v>Non-proportional</v>
          </cell>
          <cell r="S35785">
            <v>-4052.41</v>
          </cell>
          <cell r="X35785" t="str">
            <v>Variation UPR - gross</v>
          </cell>
          <cell r="Y35785" t="str">
            <v>INDIA</v>
          </cell>
        </row>
        <row r="35786">
          <cell r="L35786" t="str">
            <v>Non-proportional</v>
          </cell>
          <cell r="S35786">
            <v>-1733.75</v>
          </cell>
          <cell r="X35786" t="str">
            <v>Variation UPR - gross</v>
          </cell>
          <cell r="Y35786" t="str">
            <v>PORTUGAL</v>
          </cell>
        </row>
        <row r="35787">
          <cell r="L35787" t="str">
            <v>Non-proportional</v>
          </cell>
          <cell r="S35787">
            <v>-1546248.92</v>
          </cell>
          <cell r="X35787" t="str">
            <v>Variation UPR - gross</v>
          </cell>
          <cell r="Y35787" t="str">
            <v>BELGIUM</v>
          </cell>
        </row>
        <row r="35788">
          <cell r="L35788" t="str">
            <v>Non-proportional</v>
          </cell>
          <cell r="S35788">
            <v>-6228.96</v>
          </cell>
          <cell r="X35788" t="str">
            <v>Variation UPR - gross</v>
          </cell>
          <cell r="Y35788" t="str">
            <v>CHILE</v>
          </cell>
        </row>
        <row r="35789">
          <cell r="L35789" t="str">
            <v>Proportional</v>
          </cell>
          <cell r="S35789">
            <v>-396.77</v>
          </cell>
          <cell r="X35789" t="str">
            <v>Variation UPR - gross</v>
          </cell>
          <cell r="Y35789" t="str">
            <v>Ireland</v>
          </cell>
        </row>
        <row r="35790">
          <cell r="L35790" t="str">
            <v>Non-proportional</v>
          </cell>
          <cell r="S35790">
            <v>-0.04</v>
          </cell>
          <cell r="X35790" t="str">
            <v>Variation UPR - gross</v>
          </cell>
          <cell r="Y35790" t="str">
            <v>COLOMBIA</v>
          </cell>
        </row>
        <row r="35791">
          <cell r="L35791" t="str">
            <v>Non-proportional</v>
          </cell>
          <cell r="S35791">
            <v>-12001.33</v>
          </cell>
          <cell r="X35791" t="str">
            <v>Variation UPR - gross</v>
          </cell>
          <cell r="Y35791" t="str">
            <v>ITALY</v>
          </cell>
        </row>
        <row r="35792">
          <cell r="L35792" t="str">
            <v>Non-proportional</v>
          </cell>
          <cell r="S35792">
            <v>-3881.48</v>
          </cell>
          <cell r="X35792" t="str">
            <v>Variation UPR - gross</v>
          </cell>
          <cell r="Y35792" t="str">
            <v>JAPAN</v>
          </cell>
        </row>
        <row r="35793">
          <cell r="L35793" t="str">
            <v>Proportional</v>
          </cell>
          <cell r="S35793">
            <v>-209010.94</v>
          </cell>
          <cell r="X35793" t="str">
            <v>Variation UPR - gross</v>
          </cell>
          <cell r="Y35793" t="str">
            <v>THAILAND</v>
          </cell>
        </row>
        <row r="35794">
          <cell r="L35794" t="str">
            <v>Non-proportional</v>
          </cell>
          <cell r="S35794">
            <v>-3286.56</v>
          </cell>
          <cell r="X35794" t="str">
            <v>Variation UPR - gross</v>
          </cell>
          <cell r="Y35794" t="str">
            <v>UNITED KINGDOM</v>
          </cell>
        </row>
        <row r="35795">
          <cell r="L35795" t="str">
            <v>Non-proportional</v>
          </cell>
          <cell r="S35795">
            <v>-20366.28</v>
          </cell>
          <cell r="X35795" t="str">
            <v>Variation UPR - gross</v>
          </cell>
          <cell r="Y35795" t="str">
            <v>CHINA</v>
          </cell>
        </row>
        <row r="35796">
          <cell r="L35796" t="str">
            <v>Non-proportional</v>
          </cell>
          <cell r="S35796">
            <v>-1725.74</v>
          </cell>
          <cell r="X35796" t="str">
            <v>Variation UPR - gross</v>
          </cell>
          <cell r="Y35796" t="str">
            <v>UNITED KINGDOM</v>
          </cell>
        </row>
        <row r="35797">
          <cell r="L35797" t="str">
            <v>Non-proportional</v>
          </cell>
          <cell r="S35797">
            <v>10.23</v>
          </cell>
          <cell r="X35797" t="str">
            <v>Variation UPR - gross</v>
          </cell>
          <cell r="Y35797" t="str">
            <v>JAPAN</v>
          </cell>
        </row>
        <row r="35798">
          <cell r="L35798" t="str">
            <v>Non-proportional</v>
          </cell>
          <cell r="S35798">
            <v>-87.5</v>
          </cell>
          <cell r="X35798" t="str">
            <v>Variation UPR - gross</v>
          </cell>
          <cell r="Y35798" t="str">
            <v>GUATEMALA</v>
          </cell>
        </row>
        <row r="35799">
          <cell r="L35799" t="str">
            <v>Non-proportional</v>
          </cell>
          <cell r="S35799">
            <v>-129823.33</v>
          </cell>
          <cell r="X35799" t="str">
            <v>Variation UPR - gross</v>
          </cell>
          <cell r="Y35799" t="str">
            <v>PORTUGAL</v>
          </cell>
        </row>
        <row r="35800">
          <cell r="L35800" t="str">
            <v>Non-proportional</v>
          </cell>
          <cell r="S35800">
            <v>-1212.67</v>
          </cell>
          <cell r="X35800" t="str">
            <v>Variation UPR - gross</v>
          </cell>
          <cell r="Y35800" t="str">
            <v>COSTA RICA</v>
          </cell>
        </row>
        <row r="35801">
          <cell r="L35801" t="str">
            <v>Non-proportional</v>
          </cell>
          <cell r="S35801">
            <v>-2985.39</v>
          </cell>
          <cell r="X35801" t="str">
            <v>Variation UPR - gross</v>
          </cell>
          <cell r="Y35801" t="str">
            <v>ISRAEL</v>
          </cell>
        </row>
        <row r="35802">
          <cell r="L35802" t="str">
            <v>Non-proportional</v>
          </cell>
          <cell r="S35802">
            <v>-11537.67</v>
          </cell>
          <cell r="X35802" t="str">
            <v>Variation UPR - gross</v>
          </cell>
          <cell r="Y35802" t="str">
            <v>AUSTRALIA</v>
          </cell>
        </row>
        <row r="35803">
          <cell r="L35803" t="str">
            <v>Non-proportional</v>
          </cell>
          <cell r="S35803">
            <v>-9187.5</v>
          </cell>
          <cell r="X35803" t="str">
            <v>Variation UPR - gross</v>
          </cell>
          <cell r="Y35803" t="str">
            <v>TURKEY</v>
          </cell>
        </row>
        <row r="35804">
          <cell r="L35804" t="str">
            <v>Non-proportional</v>
          </cell>
          <cell r="S35804">
            <v>-390</v>
          </cell>
          <cell r="X35804" t="str">
            <v>Variation UPR - gross</v>
          </cell>
          <cell r="Y35804" t="str">
            <v>ITALY</v>
          </cell>
        </row>
        <row r="35805">
          <cell r="L35805" t="str">
            <v>Non-proportional</v>
          </cell>
          <cell r="S35805">
            <v>-1846.85</v>
          </cell>
          <cell r="X35805" t="str">
            <v>Variation UPR - gross</v>
          </cell>
          <cell r="Y35805" t="str">
            <v>FRANCE</v>
          </cell>
        </row>
        <row r="35806">
          <cell r="L35806" t="str">
            <v>Non-proportional</v>
          </cell>
          <cell r="S35806">
            <v>-142.07</v>
          </cell>
          <cell r="X35806" t="str">
            <v>Variation UPR - gross</v>
          </cell>
          <cell r="Y35806" t="str">
            <v>JAPAN</v>
          </cell>
        </row>
        <row r="35807">
          <cell r="L35807" t="str">
            <v>Non-proportional</v>
          </cell>
          <cell r="S35807">
            <v>-1741.01</v>
          </cell>
          <cell r="X35807" t="str">
            <v>Variation UPR - gross</v>
          </cell>
          <cell r="Y35807" t="str">
            <v>CHILE</v>
          </cell>
        </row>
        <row r="35808">
          <cell r="L35808" t="str">
            <v>Non-proportional</v>
          </cell>
          <cell r="S35808">
            <v>-3311.8</v>
          </cell>
          <cell r="X35808" t="str">
            <v>Variation UPR - gross</v>
          </cell>
          <cell r="Y35808" t="str">
            <v>ISRAEL</v>
          </cell>
        </row>
        <row r="35809">
          <cell r="L35809" t="str">
            <v>Non-proportional</v>
          </cell>
          <cell r="S35809">
            <v>-5331.73</v>
          </cell>
          <cell r="X35809" t="str">
            <v>Variation UPR - gross</v>
          </cell>
          <cell r="Y35809" t="str">
            <v>ISRAEL</v>
          </cell>
        </row>
        <row r="35810">
          <cell r="L35810" t="str">
            <v>Non-proportional</v>
          </cell>
          <cell r="S35810">
            <v>-4359.09</v>
          </cell>
          <cell r="X35810" t="str">
            <v>Variation UPR - gross</v>
          </cell>
          <cell r="Y35810" t="str">
            <v>COLOMBIA</v>
          </cell>
        </row>
        <row r="35811">
          <cell r="L35811" t="str">
            <v>Non-proportional</v>
          </cell>
          <cell r="S35811">
            <v>-10530.29</v>
          </cell>
          <cell r="X35811" t="str">
            <v>Variation UPR - gross</v>
          </cell>
          <cell r="Y35811" t="str">
            <v>CHINA</v>
          </cell>
        </row>
        <row r="35812">
          <cell r="L35812" t="str">
            <v>Non-proportional</v>
          </cell>
          <cell r="S35812">
            <v>-0.06</v>
          </cell>
          <cell r="X35812" t="str">
            <v>Variation UPR - gross</v>
          </cell>
          <cell r="Y35812" t="str">
            <v>COLOMBIA</v>
          </cell>
        </row>
        <row r="35813">
          <cell r="L35813" t="str">
            <v>Non-proportional</v>
          </cell>
          <cell r="S35813">
            <v>-87946.83</v>
          </cell>
          <cell r="X35813" t="str">
            <v>Variation UPR - gross</v>
          </cell>
          <cell r="Y35813" t="str">
            <v>UNITED KINGDOM</v>
          </cell>
        </row>
        <row r="35814">
          <cell r="L35814" t="str">
            <v>Non-proportional</v>
          </cell>
          <cell r="S35814">
            <v>-24584.66</v>
          </cell>
          <cell r="X35814" t="str">
            <v>Variation UPR - gross</v>
          </cell>
          <cell r="Y35814" t="str">
            <v>ISRAEL</v>
          </cell>
        </row>
        <row r="35815">
          <cell r="L35815" t="str">
            <v>Non-proportional</v>
          </cell>
          <cell r="S35815">
            <v>-1415.93</v>
          </cell>
          <cell r="X35815" t="str">
            <v>Variation UPR - gross</v>
          </cell>
          <cell r="Y35815" t="str">
            <v>FRANCE</v>
          </cell>
        </row>
        <row r="35816">
          <cell r="L35816" t="str">
            <v>Non-proportional</v>
          </cell>
          <cell r="S35816">
            <v>149297.35999999999</v>
          </cell>
          <cell r="X35816" t="str">
            <v>Variation UPR - gross</v>
          </cell>
          <cell r="Y35816" t="str">
            <v>COSTA RICA</v>
          </cell>
        </row>
        <row r="35817">
          <cell r="L35817" t="str">
            <v>Non-proportional</v>
          </cell>
          <cell r="S35817">
            <v>53852.98</v>
          </cell>
          <cell r="X35817" t="str">
            <v>Variation UPR - gross</v>
          </cell>
          <cell r="Y35817" t="str">
            <v>COSTA RICA</v>
          </cell>
        </row>
        <row r="35818">
          <cell r="L35818" t="str">
            <v>Non-proportional</v>
          </cell>
          <cell r="S35818">
            <v>-637225.6</v>
          </cell>
          <cell r="X35818" t="str">
            <v>Variation UPR - gross</v>
          </cell>
          <cell r="Y35818" t="str">
            <v>BELGIUM</v>
          </cell>
        </row>
        <row r="35819">
          <cell r="L35819" t="str">
            <v>Non-proportional</v>
          </cell>
          <cell r="S35819">
            <v>-5043.3</v>
          </cell>
          <cell r="X35819" t="str">
            <v>Variation UPR - gross</v>
          </cell>
          <cell r="Y35819" t="str">
            <v>DOMINICAN REPUBLIC</v>
          </cell>
        </row>
        <row r="35820">
          <cell r="L35820" t="str">
            <v>Non-proportional</v>
          </cell>
          <cell r="S35820">
            <v>-1380.88</v>
          </cell>
          <cell r="X35820" t="str">
            <v>Variation UPR - gross</v>
          </cell>
          <cell r="Y35820" t="str">
            <v>ISRAEL</v>
          </cell>
        </row>
        <row r="35821">
          <cell r="L35821" t="str">
            <v>Non-proportional</v>
          </cell>
          <cell r="S35821">
            <v>-69.42</v>
          </cell>
          <cell r="X35821" t="str">
            <v>Variation UPR - gross</v>
          </cell>
          <cell r="Y35821" t="str">
            <v>ISRAEL</v>
          </cell>
        </row>
        <row r="35822">
          <cell r="L35822" t="str">
            <v>Non-proportional</v>
          </cell>
          <cell r="S35822">
            <v>205.91</v>
          </cell>
          <cell r="X35822" t="str">
            <v>Variation UPR - gross</v>
          </cell>
          <cell r="Y35822" t="str">
            <v>JAPAN</v>
          </cell>
        </row>
        <row r="35823">
          <cell r="L35823" t="str">
            <v>Non-proportional</v>
          </cell>
          <cell r="S35823">
            <v>18.149999999999999</v>
          </cell>
          <cell r="X35823" t="str">
            <v>Variation UPR - gross</v>
          </cell>
          <cell r="Y35823" t="str">
            <v>INDIA</v>
          </cell>
        </row>
        <row r="35824">
          <cell r="L35824" t="str">
            <v>Non-proportional</v>
          </cell>
          <cell r="S35824">
            <v>-50969.08</v>
          </cell>
          <cell r="X35824" t="str">
            <v>Variation UPR - gross</v>
          </cell>
          <cell r="Y35824" t="str">
            <v>UNITED KINGDOM</v>
          </cell>
        </row>
        <row r="35825">
          <cell r="L35825" t="str">
            <v>Non-proportional</v>
          </cell>
          <cell r="S35825">
            <v>-698.58</v>
          </cell>
          <cell r="X35825" t="str">
            <v>Variation UPR - gross</v>
          </cell>
          <cell r="Y35825" t="str">
            <v>ITALY</v>
          </cell>
        </row>
        <row r="35826">
          <cell r="L35826" t="str">
            <v>Non-proportional</v>
          </cell>
          <cell r="S35826">
            <v>-10565.58</v>
          </cell>
          <cell r="X35826" t="str">
            <v>Variation UPR - gross</v>
          </cell>
          <cell r="Y35826" t="str">
            <v>COSTA RICA</v>
          </cell>
        </row>
        <row r="35827">
          <cell r="L35827" t="str">
            <v>Non-proportional</v>
          </cell>
          <cell r="S35827">
            <v>-2632.34</v>
          </cell>
          <cell r="X35827" t="str">
            <v>Variation UPR - gross</v>
          </cell>
          <cell r="Y35827" t="str">
            <v>JAPAN</v>
          </cell>
        </row>
        <row r="35828">
          <cell r="L35828" t="str">
            <v>Proportional</v>
          </cell>
          <cell r="S35828">
            <v>-193.45</v>
          </cell>
          <cell r="X35828" t="str">
            <v>Variation UPR - gross</v>
          </cell>
          <cell r="Y35828" t="str">
            <v>CHILE</v>
          </cell>
        </row>
        <row r="35829">
          <cell r="L35829" t="str">
            <v>Non-proportional</v>
          </cell>
          <cell r="S35829">
            <v>-8651.64</v>
          </cell>
          <cell r="X35829" t="str">
            <v>Variation UPR - gross</v>
          </cell>
          <cell r="Y35829" t="str">
            <v>MEXICO</v>
          </cell>
        </row>
        <row r="35830">
          <cell r="L35830" t="str">
            <v>Non-proportional</v>
          </cell>
          <cell r="S35830">
            <v>-1895.93</v>
          </cell>
          <cell r="X35830" t="str">
            <v>Variation UPR - gross</v>
          </cell>
          <cell r="Y35830" t="str">
            <v>ECUADOR</v>
          </cell>
        </row>
        <row r="35831">
          <cell r="L35831" t="str">
            <v>Non-proportional</v>
          </cell>
          <cell r="S35831">
            <v>77.709999999999994</v>
          </cell>
          <cell r="X35831" t="str">
            <v>Variation UPR - gross</v>
          </cell>
          <cell r="Y35831" t="str">
            <v>COLOMBIA</v>
          </cell>
        </row>
        <row r="35832">
          <cell r="L35832" t="str">
            <v>Non-proportional</v>
          </cell>
          <cell r="S35832">
            <v>-3478.1</v>
          </cell>
          <cell r="X35832" t="str">
            <v>Variation UPR - gross</v>
          </cell>
          <cell r="Y35832" t="str">
            <v>ECUADOR</v>
          </cell>
        </row>
        <row r="35833">
          <cell r="L35833" t="str">
            <v>Proportional</v>
          </cell>
          <cell r="S35833">
            <v>-27733.48</v>
          </cell>
          <cell r="X35833" t="str">
            <v>Variation UPR - gross</v>
          </cell>
          <cell r="Y35833" t="str">
            <v>BELGIUM</v>
          </cell>
        </row>
        <row r="35834">
          <cell r="L35834" t="str">
            <v>Non-proportional</v>
          </cell>
          <cell r="S35834">
            <v>-5711.65</v>
          </cell>
          <cell r="X35834" t="str">
            <v>Variation UPR - gross</v>
          </cell>
          <cell r="Y35834" t="str">
            <v>SPAIN</v>
          </cell>
        </row>
        <row r="35835">
          <cell r="L35835" t="str">
            <v>Non-proportional</v>
          </cell>
          <cell r="S35835">
            <v>99.9</v>
          </cell>
          <cell r="X35835" t="str">
            <v>Variation UPR - gross</v>
          </cell>
          <cell r="Y35835" t="str">
            <v>INDIA</v>
          </cell>
        </row>
        <row r="35836">
          <cell r="L35836" t="str">
            <v>Non-proportional</v>
          </cell>
          <cell r="S35836">
            <v>-855.96</v>
          </cell>
          <cell r="X35836" t="str">
            <v>Variation UPR - gross</v>
          </cell>
          <cell r="Y35836" t="str">
            <v>FRANCE</v>
          </cell>
        </row>
        <row r="35837">
          <cell r="L35837" t="str">
            <v>Non-proportional</v>
          </cell>
          <cell r="S35837">
            <v>-6683.34</v>
          </cell>
          <cell r="X35837" t="str">
            <v>Variation UPR - gross</v>
          </cell>
          <cell r="Y35837" t="str">
            <v>FRANCE</v>
          </cell>
        </row>
        <row r="35838">
          <cell r="L35838" t="str">
            <v>Non-proportional</v>
          </cell>
          <cell r="S35838">
            <v>-139.97999999999999</v>
          </cell>
          <cell r="X35838" t="str">
            <v>Variation UPR - gross</v>
          </cell>
          <cell r="Y35838" t="str">
            <v>INDIA</v>
          </cell>
        </row>
        <row r="35839">
          <cell r="L35839" t="str">
            <v>Non-proportional</v>
          </cell>
          <cell r="S35839">
            <v>-2442.4499999999998</v>
          </cell>
          <cell r="X35839" t="str">
            <v>Variation UPR - gross</v>
          </cell>
          <cell r="Y35839" t="str">
            <v>CYPRUS</v>
          </cell>
        </row>
        <row r="35840">
          <cell r="L35840" t="str">
            <v>Non-proportional</v>
          </cell>
          <cell r="S35840">
            <v>11.15</v>
          </cell>
          <cell r="X35840" t="str">
            <v>Variation UPR - gross</v>
          </cell>
          <cell r="Y35840" t="str">
            <v>INDIA</v>
          </cell>
        </row>
        <row r="35841">
          <cell r="L35841" t="str">
            <v>Proportional</v>
          </cell>
          <cell r="S35841">
            <v>-72207.72</v>
          </cell>
          <cell r="X35841" t="str">
            <v>Variation UPR - gross</v>
          </cell>
          <cell r="Y35841" t="str">
            <v>HONG KONG</v>
          </cell>
        </row>
        <row r="35842">
          <cell r="L35842" t="str">
            <v>Non-proportional</v>
          </cell>
          <cell r="S35842">
            <v>-30519.51</v>
          </cell>
          <cell r="X35842" t="str">
            <v>Variation UPR - gross</v>
          </cell>
          <cell r="Y35842" t="str">
            <v>UNITED KINGDOM</v>
          </cell>
        </row>
        <row r="35843">
          <cell r="L35843" t="str">
            <v>Non-proportional</v>
          </cell>
          <cell r="S35843">
            <v>-1178960.3999999999</v>
          </cell>
          <cell r="X35843" t="str">
            <v>Variation UPR - gross</v>
          </cell>
          <cell r="Y35843" t="str">
            <v>BELGIUM</v>
          </cell>
        </row>
        <row r="35844">
          <cell r="L35844" t="str">
            <v>Non-proportional</v>
          </cell>
          <cell r="S35844">
            <v>-7552.08</v>
          </cell>
          <cell r="X35844" t="str">
            <v>Variation UPR - gross</v>
          </cell>
          <cell r="Y35844" t="str">
            <v>ROMANIA</v>
          </cell>
        </row>
        <row r="35845">
          <cell r="L35845" t="str">
            <v>Non-proportional</v>
          </cell>
          <cell r="S35845">
            <v>-2029.91</v>
          </cell>
          <cell r="X35845" t="str">
            <v>Variation UPR - gross</v>
          </cell>
          <cell r="Y35845" t="str">
            <v>CYPRUS</v>
          </cell>
        </row>
        <row r="35846">
          <cell r="L35846" t="str">
            <v>Non-proportional</v>
          </cell>
          <cell r="S35846">
            <v>0.02</v>
          </cell>
          <cell r="X35846" t="str">
            <v>Variation UPR - gross</v>
          </cell>
          <cell r="Y35846" t="str">
            <v>DOMINICAN REPUBLIC</v>
          </cell>
        </row>
        <row r="35847">
          <cell r="L35847" t="str">
            <v>Non-proportional</v>
          </cell>
          <cell r="S35847">
            <v>23.82</v>
          </cell>
          <cell r="X35847" t="str">
            <v>Variation UPR - gross</v>
          </cell>
          <cell r="Y35847" t="str">
            <v>COLOMBIA</v>
          </cell>
        </row>
        <row r="35848">
          <cell r="L35848" t="str">
            <v>Non-proportional</v>
          </cell>
          <cell r="S35848">
            <v>-2805.25</v>
          </cell>
          <cell r="X35848" t="str">
            <v>Variation UPR - gross</v>
          </cell>
          <cell r="Y35848" t="str">
            <v>REPUBLIC OF IRELAND</v>
          </cell>
        </row>
        <row r="35849">
          <cell r="L35849" t="str">
            <v>Non-proportional</v>
          </cell>
          <cell r="S35849">
            <v>-2041.67</v>
          </cell>
          <cell r="X35849" t="str">
            <v>Variation UPR - gross</v>
          </cell>
          <cell r="Y35849" t="str">
            <v>ITALY</v>
          </cell>
        </row>
        <row r="35850">
          <cell r="L35850" t="str">
            <v>Proportional</v>
          </cell>
          <cell r="S35850">
            <v>-17221.36</v>
          </cell>
          <cell r="X35850" t="str">
            <v>Variation UPR - gross</v>
          </cell>
          <cell r="Y35850" t="str">
            <v>SWITZERLAND</v>
          </cell>
        </row>
        <row r="35851">
          <cell r="L35851" t="str">
            <v>Non-proportional</v>
          </cell>
          <cell r="S35851">
            <v>-5493.86</v>
          </cell>
          <cell r="X35851" t="str">
            <v>Variation UPR - gross</v>
          </cell>
          <cell r="Y35851" t="str">
            <v>CHILE</v>
          </cell>
        </row>
        <row r="35852">
          <cell r="L35852" t="str">
            <v>Non-proportional</v>
          </cell>
          <cell r="S35852">
            <v>-2566.16</v>
          </cell>
          <cell r="X35852" t="str">
            <v>Variation UPR - gross</v>
          </cell>
          <cell r="Y35852" t="str">
            <v>NEW ZEALAND</v>
          </cell>
        </row>
        <row r="35853">
          <cell r="L35853" t="str">
            <v>Non-proportional</v>
          </cell>
          <cell r="S35853">
            <v>23.46</v>
          </cell>
          <cell r="X35853" t="str">
            <v>Variation UPR - gross</v>
          </cell>
          <cell r="Y35853" t="str">
            <v>COLOMBIA</v>
          </cell>
        </row>
        <row r="35854">
          <cell r="L35854" t="str">
            <v>Non-proportional</v>
          </cell>
          <cell r="S35854">
            <v>-1338.12</v>
          </cell>
          <cell r="X35854" t="str">
            <v>Variation UPR - gross</v>
          </cell>
          <cell r="Y35854" t="str">
            <v>COSTA RICA</v>
          </cell>
        </row>
        <row r="35855">
          <cell r="L35855" t="str">
            <v>Non-proportional</v>
          </cell>
          <cell r="S35855">
            <v>-370.58</v>
          </cell>
          <cell r="X35855" t="str">
            <v>Variation UPR - gross</v>
          </cell>
          <cell r="Y35855" t="str">
            <v>INDIA</v>
          </cell>
        </row>
        <row r="35856">
          <cell r="L35856" t="str">
            <v>Non-proportional</v>
          </cell>
          <cell r="S35856">
            <v>-938.54</v>
          </cell>
          <cell r="X35856" t="str">
            <v>Variation UPR - gross</v>
          </cell>
          <cell r="Y35856" t="str">
            <v>ITALY</v>
          </cell>
        </row>
        <row r="35857">
          <cell r="L35857" t="str">
            <v>Non-proportional</v>
          </cell>
          <cell r="S35857">
            <v>-7150.03</v>
          </cell>
          <cell r="X35857" t="str">
            <v>Variation UPR - gross</v>
          </cell>
          <cell r="Y35857" t="str">
            <v>UNITED KINGDOM</v>
          </cell>
        </row>
        <row r="35858">
          <cell r="L35858" t="str">
            <v>Proportional</v>
          </cell>
          <cell r="S35858">
            <v>-24746.95</v>
          </cell>
          <cell r="X35858" t="str">
            <v>Variation UPR - gross</v>
          </cell>
          <cell r="Y35858" t="str">
            <v>JAPAN</v>
          </cell>
        </row>
        <row r="35859">
          <cell r="L35859" t="str">
            <v>Non-proportional</v>
          </cell>
          <cell r="S35859">
            <v>-375978.63</v>
          </cell>
          <cell r="X35859" t="str">
            <v>Variation UPR - gross</v>
          </cell>
          <cell r="Y35859" t="str">
            <v>PORTUGAL</v>
          </cell>
        </row>
        <row r="35860">
          <cell r="L35860" t="str">
            <v>Proportional</v>
          </cell>
          <cell r="S35860">
            <v>-355068.89</v>
          </cell>
          <cell r="X35860" t="str">
            <v>Variation UPR - gross</v>
          </cell>
          <cell r="Y35860" t="str">
            <v>THAILAND</v>
          </cell>
        </row>
        <row r="35861">
          <cell r="L35861" t="str">
            <v>Non-proportional</v>
          </cell>
          <cell r="S35861">
            <v>-4061.37</v>
          </cell>
          <cell r="X35861" t="str">
            <v>Variation UPR - gross</v>
          </cell>
          <cell r="Y35861" t="str">
            <v>FRANCE</v>
          </cell>
        </row>
        <row r="35862">
          <cell r="L35862" t="str">
            <v>Non-proportional</v>
          </cell>
          <cell r="S35862">
            <v>-464.7</v>
          </cell>
          <cell r="X35862" t="str">
            <v>Variation UPR - gross</v>
          </cell>
          <cell r="Y35862" t="str">
            <v>JAPAN</v>
          </cell>
        </row>
        <row r="35863">
          <cell r="L35863" t="str">
            <v>Non-proportional</v>
          </cell>
          <cell r="S35863">
            <v>-2996.27</v>
          </cell>
          <cell r="X35863" t="str">
            <v>Variation UPR - gross</v>
          </cell>
          <cell r="Y35863" t="str">
            <v>UNITED KINGDOM</v>
          </cell>
        </row>
        <row r="35864">
          <cell r="L35864" t="str">
            <v>Non-proportional</v>
          </cell>
          <cell r="S35864">
            <v>-4362.46</v>
          </cell>
          <cell r="X35864" t="str">
            <v>Variation UPR - gross</v>
          </cell>
          <cell r="Y35864" t="str">
            <v>NEW ZEALAND</v>
          </cell>
        </row>
        <row r="35865">
          <cell r="L35865" t="str">
            <v>Non-proportional</v>
          </cell>
          <cell r="S35865">
            <v>-9005.09</v>
          </cell>
          <cell r="X35865" t="str">
            <v>Variation UPR - gross</v>
          </cell>
          <cell r="Y35865" t="str">
            <v>AUSTRALIA</v>
          </cell>
        </row>
        <row r="35866">
          <cell r="L35866" t="str">
            <v>Non-proportional</v>
          </cell>
          <cell r="S35866">
            <v>-4432.13</v>
          </cell>
          <cell r="X35866" t="str">
            <v>Variation UPR - gross</v>
          </cell>
          <cell r="Y35866" t="str">
            <v>ECUADOR</v>
          </cell>
        </row>
        <row r="35867">
          <cell r="L35867" t="str">
            <v>Non-proportional</v>
          </cell>
          <cell r="S35867">
            <v>-3664.35</v>
          </cell>
          <cell r="X35867" t="str">
            <v>Variation UPR - gross</v>
          </cell>
          <cell r="Y35867" t="str">
            <v>BRAZIL</v>
          </cell>
        </row>
        <row r="35868">
          <cell r="L35868" t="str">
            <v>Proportional</v>
          </cell>
          <cell r="S35868">
            <v>-5834.4</v>
          </cell>
          <cell r="X35868" t="str">
            <v>Variation UPR - gross</v>
          </cell>
          <cell r="Y35868" t="str">
            <v>ITALY</v>
          </cell>
        </row>
        <row r="35869">
          <cell r="L35869" t="str">
            <v>Non-proportional</v>
          </cell>
          <cell r="S35869">
            <v>-1766.38</v>
          </cell>
          <cell r="X35869" t="str">
            <v>Variation UPR - gross</v>
          </cell>
          <cell r="Y35869" t="str">
            <v>NEW ZEALAND</v>
          </cell>
        </row>
        <row r="35870">
          <cell r="L35870" t="str">
            <v>Non-proportional</v>
          </cell>
          <cell r="S35870">
            <v>-782.56</v>
          </cell>
          <cell r="X35870" t="str">
            <v>Variation UPR - gross</v>
          </cell>
          <cell r="Y35870" t="str">
            <v>INDIA</v>
          </cell>
        </row>
        <row r="35871">
          <cell r="L35871" t="str">
            <v>Proportional</v>
          </cell>
          <cell r="S35871">
            <v>-33122.65</v>
          </cell>
          <cell r="X35871" t="str">
            <v>Variation UPR - gross</v>
          </cell>
          <cell r="Y35871" t="str">
            <v>THAILAND</v>
          </cell>
        </row>
        <row r="35872">
          <cell r="L35872" t="str">
            <v>Non-proportional</v>
          </cell>
          <cell r="S35872">
            <v>-2050.5300000000002</v>
          </cell>
          <cell r="X35872" t="str">
            <v>Variation UPR - gross</v>
          </cell>
          <cell r="Y35872" t="str">
            <v>CHILE</v>
          </cell>
        </row>
        <row r="35873">
          <cell r="L35873" t="str">
            <v>Non-proportional</v>
          </cell>
          <cell r="S35873">
            <v>-2901.69</v>
          </cell>
          <cell r="X35873" t="str">
            <v>Variation UPR - gross</v>
          </cell>
          <cell r="Y35873" t="str">
            <v>CHILE</v>
          </cell>
        </row>
        <row r="35874">
          <cell r="L35874" t="str">
            <v>Non-proportional</v>
          </cell>
          <cell r="S35874">
            <v>-16427.04</v>
          </cell>
          <cell r="X35874" t="str">
            <v>Variation UPR - gross</v>
          </cell>
          <cell r="Y35874" t="str">
            <v>AUSTRALIA</v>
          </cell>
        </row>
        <row r="35875">
          <cell r="L35875" t="str">
            <v>Non-proportional</v>
          </cell>
          <cell r="S35875">
            <v>-6971.55</v>
          </cell>
          <cell r="X35875" t="str">
            <v>Variation UPR - gross</v>
          </cell>
          <cell r="Y35875" t="str">
            <v>MEXICO</v>
          </cell>
        </row>
        <row r="35876">
          <cell r="L35876" t="str">
            <v>Non-proportional</v>
          </cell>
          <cell r="S35876">
            <v>-8238.26</v>
          </cell>
          <cell r="X35876" t="str">
            <v>Variation UPR - gross</v>
          </cell>
          <cell r="Y35876" t="str">
            <v>ITALY</v>
          </cell>
        </row>
        <row r="35877">
          <cell r="L35877" t="str">
            <v>Non-proportional</v>
          </cell>
          <cell r="S35877">
            <v>-860</v>
          </cell>
          <cell r="X35877" t="str">
            <v>Variation UPR - gross</v>
          </cell>
          <cell r="Y35877" t="str">
            <v>GREECE</v>
          </cell>
        </row>
        <row r="35878">
          <cell r="L35878" t="str">
            <v>Non-proportional</v>
          </cell>
          <cell r="S35878">
            <v>-740.4</v>
          </cell>
          <cell r="X35878" t="str">
            <v>Variation UPR - gross</v>
          </cell>
          <cell r="Y35878" t="str">
            <v>FRANCE</v>
          </cell>
        </row>
        <row r="35879">
          <cell r="L35879" t="str">
            <v>Non-proportional</v>
          </cell>
          <cell r="S35879">
            <v>-9053.26</v>
          </cell>
          <cell r="X35879" t="str">
            <v>Variation UPR - gross</v>
          </cell>
          <cell r="Y35879" t="str">
            <v>CHILE</v>
          </cell>
        </row>
        <row r="35880">
          <cell r="L35880" t="str">
            <v>Non-proportional</v>
          </cell>
          <cell r="S35880">
            <v>-1097.31</v>
          </cell>
          <cell r="X35880" t="str">
            <v>Variation UPR - gross</v>
          </cell>
          <cell r="Y35880" t="str">
            <v>ECUADOR</v>
          </cell>
        </row>
        <row r="35881">
          <cell r="L35881" t="str">
            <v>Non-proportional</v>
          </cell>
          <cell r="S35881">
            <v>294.67</v>
          </cell>
          <cell r="X35881" t="str">
            <v>Variation UPR - gross</v>
          </cell>
          <cell r="Y35881" t="str">
            <v>COLOMBIA</v>
          </cell>
        </row>
        <row r="35882">
          <cell r="L35882" t="str">
            <v>Non-proportional</v>
          </cell>
          <cell r="S35882">
            <v>-27.08</v>
          </cell>
          <cell r="X35882" t="str">
            <v>Variation UPR - gross</v>
          </cell>
          <cell r="Y35882" t="str">
            <v>JAPAN</v>
          </cell>
        </row>
        <row r="35883">
          <cell r="L35883" t="str">
            <v>Non-proportional</v>
          </cell>
          <cell r="S35883">
            <v>114.2</v>
          </cell>
          <cell r="X35883" t="str">
            <v>Variation UPR - gross</v>
          </cell>
          <cell r="Y35883" t="str">
            <v>NEW ZEALAND</v>
          </cell>
        </row>
        <row r="35884">
          <cell r="L35884" t="str">
            <v>Non-proportional</v>
          </cell>
          <cell r="S35884">
            <v>-904.66</v>
          </cell>
          <cell r="X35884" t="str">
            <v>Variation UPR - gross</v>
          </cell>
          <cell r="Y35884" t="str">
            <v>PERU</v>
          </cell>
        </row>
        <row r="35885">
          <cell r="L35885" t="str">
            <v>Non-proportional</v>
          </cell>
          <cell r="S35885">
            <v>-3552.33</v>
          </cell>
          <cell r="X35885" t="str">
            <v>Variation UPR - gross</v>
          </cell>
          <cell r="Y35885" t="str">
            <v>SOUTH AFRICA</v>
          </cell>
        </row>
        <row r="35886">
          <cell r="L35886" t="str">
            <v>Non-proportional</v>
          </cell>
          <cell r="S35886">
            <v>-4.6900000000000004</v>
          </cell>
          <cell r="X35886" t="str">
            <v>Variation UPR - gross</v>
          </cell>
          <cell r="Y35886" t="str">
            <v>COSTA RICA</v>
          </cell>
        </row>
        <row r="35887">
          <cell r="L35887" t="str">
            <v>Non-proportional</v>
          </cell>
          <cell r="S35887">
            <v>-18598.82</v>
          </cell>
          <cell r="X35887" t="str">
            <v>Variation UPR - gross</v>
          </cell>
          <cell r="Y35887" t="str">
            <v>MEXICO</v>
          </cell>
        </row>
        <row r="35888">
          <cell r="L35888" t="str">
            <v>Non-proportional</v>
          </cell>
          <cell r="S35888">
            <v>-146.28</v>
          </cell>
          <cell r="X35888" t="str">
            <v>Variation UPR - gross</v>
          </cell>
          <cell r="Y35888" t="str">
            <v>FRANCE</v>
          </cell>
        </row>
        <row r="35889">
          <cell r="L35889" t="str">
            <v>Non-proportional</v>
          </cell>
          <cell r="S35889">
            <v>-15042.95</v>
          </cell>
          <cell r="X35889" t="str">
            <v>Variation UPR - gross</v>
          </cell>
          <cell r="Y35889" t="str">
            <v>FRANCE</v>
          </cell>
        </row>
        <row r="35890">
          <cell r="L35890" t="str">
            <v>Non-proportional</v>
          </cell>
          <cell r="S35890">
            <v>-2159.71</v>
          </cell>
          <cell r="X35890" t="str">
            <v>Variation UPR - gross</v>
          </cell>
          <cell r="Y35890" t="str">
            <v>UNITED KINGDOM</v>
          </cell>
        </row>
        <row r="35891">
          <cell r="L35891" t="str">
            <v>Non-proportional</v>
          </cell>
          <cell r="S35891">
            <v>140.22999999999999</v>
          </cell>
          <cell r="X35891" t="str">
            <v>Variation UPR - gross</v>
          </cell>
          <cell r="Y35891" t="str">
            <v>NEW ZEALAND</v>
          </cell>
        </row>
        <row r="35892">
          <cell r="L35892" t="str">
            <v>Non-proportional</v>
          </cell>
          <cell r="S35892">
            <v>-5512.68</v>
          </cell>
          <cell r="X35892" t="str">
            <v>Variation UPR - gross</v>
          </cell>
          <cell r="Y35892" t="str">
            <v>NETHERLANDS</v>
          </cell>
        </row>
        <row r="35893">
          <cell r="L35893" t="str">
            <v>Non-proportional</v>
          </cell>
          <cell r="S35893">
            <v>-5000.49</v>
          </cell>
          <cell r="X35893" t="str">
            <v>Variation UPR - gross</v>
          </cell>
          <cell r="Y35893" t="str">
            <v>UNITED KINGDOM</v>
          </cell>
        </row>
        <row r="35894">
          <cell r="L35894" t="str">
            <v>Non-proportional</v>
          </cell>
          <cell r="S35894">
            <v>-7437.5</v>
          </cell>
          <cell r="X35894" t="str">
            <v>Variation UPR - gross</v>
          </cell>
          <cell r="Y35894" t="str">
            <v>ITALY</v>
          </cell>
        </row>
        <row r="35895">
          <cell r="L35895" t="str">
            <v>Non-proportional</v>
          </cell>
          <cell r="S35895">
            <v>-5152.8599999999997</v>
          </cell>
          <cell r="X35895" t="str">
            <v>Variation UPR - gross</v>
          </cell>
          <cell r="Y35895" t="str">
            <v>PERU</v>
          </cell>
        </row>
        <row r="35896">
          <cell r="L35896" t="str">
            <v>Non-proportional</v>
          </cell>
          <cell r="S35896">
            <v>-3063.33</v>
          </cell>
          <cell r="X35896" t="str">
            <v>Variation UPR - gross</v>
          </cell>
          <cell r="Y35896" t="str">
            <v>AUSTRALIA</v>
          </cell>
        </row>
        <row r="35897">
          <cell r="L35897" t="str">
            <v>Non-proportional</v>
          </cell>
          <cell r="S35897">
            <v>52.29</v>
          </cell>
          <cell r="X35897" t="str">
            <v>Variation UPR - gross</v>
          </cell>
          <cell r="Y35897" t="str">
            <v>INDIA</v>
          </cell>
        </row>
        <row r="35898">
          <cell r="L35898" t="str">
            <v>Non-proportional</v>
          </cell>
          <cell r="S35898">
            <v>-800</v>
          </cell>
          <cell r="X35898" t="str">
            <v>Variation UPR - gross</v>
          </cell>
          <cell r="Y35898" t="str">
            <v>ITALY</v>
          </cell>
        </row>
        <row r="35899">
          <cell r="L35899" t="str">
            <v>Non-proportional</v>
          </cell>
          <cell r="S35899">
            <v>-1634.17</v>
          </cell>
          <cell r="X35899" t="str">
            <v>Variation UPR - gross</v>
          </cell>
          <cell r="Y35899" t="str">
            <v>GUATEMALA</v>
          </cell>
        </row>
        <row r="35900">
          <cell r="L35900" t="str">
            <v>Non-proportional</v>
          </cell>
          <cell r="S35900">
            <v>-34456.800000000003</v>
          </cell>
          <cell r="X35900" t="str">
            <v>Variation UPR - gross</v>
          </cell>
          <cell r="Y35900" t="str">
            <v>TURKEY</v>
          </cell>
        </row>
        <row r="35901">
          <cell r="L35901" t="str">
            <v>Non-proportional</v>
          </cell>
          <cell r="S35901">
            <v>-3964.87</v>
          </cell>
          <cell r="X35901" t="str">
            <v>Variation UPR - gross</v>
          </cell>
          <cell r="Y35901" t="str">
            <v>THAILAND</v>
          </cell>
        </row>
        <row r="35902">
          <cell r="L35902" t="str">
            <v>Non-proportional</v>
          </cell>
          <cell r="S35902">
            <v>-41.41</v>
          </cell>
          <cell r="X35902" t="str">
            <v>Variation UPR - gross</v>
          </cell>
          <cell r="Y35902" t="str">
            <v>JAPAN</v>
          </cell>
        </row>
        <row r="35903">
          <cell r="L35903" t="str">
            <v>Non-proportional</v>
          </cell>
          <cell r="S35903">
            <v>13.78</v>
          </cell>
          <cell r="X35903" t="str">
            <v>Variation UPR - gross</v>
          </cell>
          <cell r="Y35903" t="str">
            <v>INDIA</v>
          </cell>
        </row>
        <row r="35904">
          <cell r="L35904" t="str">
            <v>Non-proportional</v>
          </cell>
          <cell r="S35904">
            <v>-3244.77</v>
          </cell>
          <cell r="X35904" t="str">
            <v>Variation UPR - gross</v>
          </cell>
          <cell r="Y35904" t="str">
            <v>FRANCE</v>
          </cell>
        </row>
        <row r="35905">
          <cell r="L35905" t="str">
            <v>Proportional</v>
          </cell>
          <cell r="S35905">
            <v>-624.30999999999995</v>
          </cell>
          <cell r="X35905" t="str">
            <v>Variation UPR - gross</v>
          </cell>
          <cell r="Y35905" t="str">
            <v>THAILAND</v>
          </cell>
        </row>
        <row r="35906">
          <cell r="L35906" t="str">
            <v>Non-proportional</v>
          </cell>
          <cell r="S35906">
            <v>-9348.14</v>
          </cell>
          <cell r="X35906" t="str">
            <v>Variation UPR - gross</v>
          </cell>
          <cell r="Y35906" t="str">
            <v>NETHERLANDS</v>
          </cell>
        </row>
        <row r="35907">
          <cell r="L35907" t="str">
            <v>Proportional</v>
          </cell>
          <cell r="S35907">
            <v>-26703.53</v>
          </cell>
          <cell r="X35907" t="str">
            <v>Variation UPR - gross</v>
          </cell>
          <cell r="Y35907" t="str">
            <v>THAILAND</v>
          </cell>
        </row>
        <row r="35908">
          <cell r="L35908" t="str">
            <v>Non-proportional</v>
          </cell>
          <cell r="S35908">
            <v>-2206.1999999999998</v>
          </cell>
          <cell r="X35908" t="str">
            <v>Variation UPR - gross</v>
          </cell>
          <cell r="Y35908" t="str">
            <v>AUSTRALIA</v>
          </cell>
        </row>
        <row r="35909">
          <cell r="L35909" t="str">
            <v>Proportional</v>
          </cell>
          <cell r="S35909">
            <v>-2041666.67</v>
          </cell>
          <cell r="X35909" t="str">
            <v>Variation UPR - gross</v>
          </cell>
          <cell r="Y35909" t="str">
            <v>PORTUGAL</v>
          </cell>
        </row>
        <row r="35910">
          <cell r="L35910" t="str">
            <v>Non-proportional</v>
          </cell>
          <cell r="S35910">
            <v>-9977.5</v>
          </cell>
          <cell r="X35910" t="str">
            <v>Variation UPR - gross</v>
          </cell>
          <cell r="Y35910" t="str">
            <v>ITALY</v>
          </cell>
        </row>
        <row r="35911">
          <cell r="L35911" t="str">
            <v>Non-proportional</v>
          </cell>
          <cell r="S35911">
            <v>-3900.8</v>
          </cell>
          <cell r="X35911" t="str">
            <v>Variation UPR - gross</v>
          </cell>
          <cell r="Y35911" t="str">
            <v>EUROPE</v>
          </cell>
        </row>
        <row r="35912">
          <cell r="L35912" t="str">
            <v>Non-proportional</v>
          </cell>
          <cell r="S35912">
            <v>-6666.5</v>
          </cell>
          <cell r="X35912" t="str">
            <v>Variation UPR - gross</v>
          </cell>
          <cell r="Y35912" t="str">
            <v>ITALY</v>
          </cell>
        </row>
        <row r="35913">
          <cell r="L35913" t="str">
            <v>Proportional</v>
          </cell>
          <cell r="S35913">
            <v>-8610.68</v>
          </cell>
          <cell r="X35913" t="str">
            <v>Variation UPR - gross</v>
          </cell>
          <cell r="Y35913" t="str">
            <v>UNITED ARAB EMIRATES</v>
          </cell>
        </row>
        <row r="35914">
          <cell r="L35914" t="str">
            <v>Non-proportional</v>
          </cell>
          <cell r="S35914">
            <v>-7342.39</v>
          </cell>
          <cell r="X35914" t="str">
            <v>Variation UPR - gross</v>
          </cell>
          <cell r="Y35914" t="str">
            <v>FRANCE</v>
          </cell>
        </row>
        <row r="35915">
          <cell r="L35915" t="str">
            <v>Non-proportional</v>
          </cell>
          <cell r="S35915">
            <v>-2401.34</v>
          </cell>
          <cell r="X35915" t="str">
            <v>Variation UPR - gross</v>
          </cell>
          <cell r="Y35915" t="str">
            <v>AUSTRALIA</v>
          </cell>
        </row>
        <row r="35916">
          <cell r="L35916" t="str">
            <v>Non-proportional</v>
          </cell>
          <cell r="S35916">
            <v>-3864.65</v>
          </cell>
          <cell r="X35916" t="str">
            <v>Variation UPR - gross</v>
          </cell>
          <cell r="Y35916" t="str">
            <v>AUSTRALIA</v>
          </cell>
        </row>
        <row r="35917">
          <cell r="L35917" t="str">
            <v>Non-proportional</v>
          </cell>
          <cell r="S35917">
            <v>-5849.64</v>
          </cell>
          <cell r="X35917" t="str">
            <v>Variation UPR - gross</v>
          </cell>
          <cell r="Y35917" t="str">
            <v>PUERTO RICO</v>
          </cell>
        </row>
        <row r="35918">
          <cell r="L35918" t="str">
            <v>Non-proportional</v>
          </cell>
          <cell r="S35918">
            <v>-1946.5</v>
          </cell>
          <cell r="X35918" t="str">
            <v>Variation UPR - gross</v>
          </cell>
          <cell r="Y35918" t="str">
            <v>REPUBLIC OF IRELAND</v>
          </cell>
        </row>
        <row r="35919">
          <cell r="L35919" t="str">
            <v>Non-proportional</v>
          </cell>
          <cell r="S35919">
            <v>-6959.26</v>
          </cell>
          <cell r="X35919" t="str">
            <v>Variation UPR - gross</v>
          </cell>
          <cell r="Y35919" t="str">
            <v>JAPAN</v>
          </cell>
        </row>
        <row r="35920">
          <cell r="L35920" t="str">
            <v>Non-proportional</v>
          </cell>
          <cell r="S35920">
            <v>-10496.43</v>
          </cell>
          <cell r="X35920" t="str">
            <v>Variation UPR - gross</v>
          </cell>
          <cell r="Y35920" t="str">
            <v>MEXICO</v>
          </cell>
        </row>
        <row r="35921">
          <cell r="L35921" t="str">
            <v>Proportional</v>
          </cell>
          <cell r="S35921">
            <v>-197922.86</v>
          </cell>
          <cell r="X35921" t="str">
            <v>Variation UPR - gross</v>
          </cell>
          <cell r="Y35921" t="str">
            <v>CANADA</v>
          </cell>
        </row>
        <row r="35922">
          <cell r="L35922" t="str">
            <v>Non-proportional</v>
          </cell>
          <cell r="S35922">
            <v>0.03</v>
          </cell>
          <cell r="X35922" t="str">
            <v>Variation UPR - gross</v>
          </cell>
          <cell r="Y35922" t="str">
            <v>DOMINICAN REPUBLIC</v>
          </cell>
        </row>
        <row r="35923">
          <cell r="L35923" t="str">
            <v>Non-proportional</v>
          </cell>
          <cell r="S35923">
            <v>-1372.46</v>
          </cell>
          <cell r="X35923" t="str">
            <v>Variation UPR - gross</v>
          </cell>
          <cell r="Y35923" t="str">
            <v>UNITED KINGDOM</v>
          </cell>
        </row>
        <row r="35924">
          <cell r="L35924" t="str">
            <v>Non-proportional</v>
          </cell>
          <cell r="S35924">
            <v>-8750</v>
          </cell>
          <cell r="X35924" t="str">
            <v>Variation UPR - gross</v>
          </cell>
          <cell r="Y35924" t="str">
            <v>EUROPE</v>
          </cell>
        </row>
        <row r="35925">
          <cell r="L35925" t="str">
            <v>Non-proportional</v>
          </cell>
          <cell r="S35925">
            <v>64.209999999999994</v>
          </cell>
          <cell r="X35925" t="str">
            <v>Variation UPR - gross</v>
          </cell>
          <cell r="Y35925" t="str">
            <v>DOMINICAN REPUBLIC</v>
          </cell>
        </row>
        <row r="35926">
          <cell r="L35926" t="str">
            <v>Non-proportional</v>
          </cell>
          <cell r="S35926">
            <v>-77.38</v>
          </cell>
          <cell r="X35926" t="str">
            <v>Variation UPR - gross</v>
          </cell>
          <cell r="Y35926" t="str">
            <v>CHILE</v>
          </cell>
        </row>
        <row r="35927">
          <cell r="L35927" t="str">
            <v>Non-proportional</v>
          </cell>
          <cell r="S35927">
            <v>-2019.24</v>
          </cell>
          <cell r="X35927" t="str">
            <v>Variation UPR - gross</v>
          </cell>
          <cell r="Y35927" t="str">
            <v>PERU</v>
          </cell>
        </row>
        <row r="35928">
          <cell r="L35928" t="str">
            <v>Non-proportional</v>
          </cell>
          <cell r="S35928">
            <v>7218750</v>
          </cell>
          <cell r="X35928" t="str">
            <v>Variation UPR - gross</v>
          </cell>
          <cell r="Y35928" t="str">
            <v>FRANCE</v>
          </cell>
        </row>
        <row r="35929">
          <cell r="L35929" t="str">
            <v>Non-proportional</v>
          </cell>
          <cell r="S35929">
            <v>-109675.48</v>
          </cell>
          <cell r="X35929" t="str">
            <v>Variation UPR - gross</v>
          </cell>
          <cell r="Y35929" t="str">
            <v>EUROPE</v>
          </cell>
        </row>
        <row r="35930">
          <cell r="L35930" t="str">
            <v>Non-proportional</v>
          </cell>
          <cell r="S35930">
            <v>-38090.54</v>
          </cell>
          <cell r="X35930" t="str">
            <v>Variation UPR - gross</v>
          </cell>
          <cell r="Y35930" t="str">
            <v>UNITED STATES</v>
          </cell>
        </row>
        <row r="35931">
          <cell r="L35931" t="str">
            <v>Non-proportional</v>
          </cell>
          <cell r="S35931">
            <v>-182021.67</v>
          </cell>
          <cell r="X35931" t="str">
            <v>Variation UPR - gross</v>
          </cell>
          <cell r="Y35931" t="str">
            <v>PORTUGAL</v>
          </cell>
        </row>
        <row r="35932">
          <cell r="L35932" t="str">
            <v>Non-proportional</v>
          </cell>
          <cell r="S35932">
            <v>-34489.949999999997</v>
          </cell>
          <cell r="X35932" t="str">
            <v>Variation UPR - gross</v>
          </cell>
          <cell r="Y35932" t="str">
            <v>UNITED KINGDOM</v>
          </cell>
        </row>
        <row r="35933">
          <cell r="L35933" t="str">
            <v>Non-proportional</v>
          </cell>
          <cell r="S35933">
            <v>-58.86</v>
          </cell>
          <cell r="X35933" t="str">
            <v>Variation UPR - gross</v>
          </cell>
          <cell r="Y35933" t="str">
            <v>JAPAN</v>
          </cell>
        </row>
        <row r="35934">
          <cell r="L35934" t="str">
            <v>Non-proportional</v>
          </cell>
          <cell r="S35934">
            <v>150.37</v>
          </cell>
          <cell r="X35934" t="str">
            <v>Variation UPR - gross</v>
          </cell>
          <cell r="Y35934" t="str">
            <v>INDIA</v>
          </cell>
        </row>
        <row r="35935">
          <cell r="L35935" t="str">
            <v>Non-proportional</v>
          </cell>
          <cell r="S35935">
            <v>84.53</v>
          </cell>
          <cell r="X35935" t="str">
            <v>Variation UPR - gross</v>
          </cell>
          <cell r="Y35935" t="str">
            <v>NEW ZEALAND</v>
          </cell>
        </row>
        <row r="35936">
          <cell r="L35936" t="str">
            <v>Non-proportional</v>
          </cell>
          <cell r="S35936">
            <v>20.92</v>
          </cell>
          <cell r="X35936" t="str">
            <v>Variation UPR - gross</v>
          </cell>
          <cell r="Y35936" t="str">
            <v>COLOMBIA</v>
          </cell>
        </row>
        <row r="35937">
          <cell r="L35937" t="str">
            <v>Non-proportional</v>
          </cell>
          <cell r="S35937">
            <v>-252.94</v>
          </cell>
          <cell r="X35937" t="str">
            <v>Variation UPR - gross</v>
          </cell>
          <cell r="Y35937" t="str">
            <v>JAPAN</v>
          </cell>
        </row>
        <row r="35938">
          <cell r="L35938" t="str">
            <v>Non-proportional</v>
          </cell>
          <cell r="S35938">
            <v>378282.08</v>
          </cell>
          <cell r="X35938" t="str">
            <v>Variation UPR - gross</v>
          </cell>
          <cell r="Y35938" t="str">
            <v>TURKEY</v>
          </cell>
        </row>
        <row r="35939">
          <cell r="L35939" t="str">
            <v>Non-proportional</v>
          </cell>
          <cell r="S35939">
            <v>-3733.63</v>
          </cell>
          <cell r="X35939" t="str">
            <v>Variation UPR - gross</v>
          </cell>
          <cell r="Y35939" t="str">
            <v>ISRAEL</v>
          </cell>
        </row>
        <row r="35940">
          <cell r="L35940" t="str">
            <v>Non-proportional</v>
          </cell>
          <cell r="S35940">
            <v>-2211.87</v>
          </cell>
          <cell r="X35940" t="str">
            <v>Variation UPR - gross</v>
          </cell>
          <cell r="Y35940" t="str">
            <v>UNITED KINGDOM</v>
          </cell>
        </row>
        <row r="35941">
          <cell r="L35941" t="str">
            <v>Non-proportional</v>
          </cell>
          <cell r="S35941">
            <v>-10091.049999999999</v>
          </cell>
          <cell r="X35941" t="str">
            <v>Variation UPR - gross</v>
          </cell>
          <cell r="Y35941" t="str">
            <v>UNITED KINGDOM</v>
          </cell>
        </row>
        <row r="35942">
          <cell r="L35942" t="str">
            <v>Non-proportional</v>
          </cell>
          <cell r="S35942">
            <v>-8395.5499999999993</v>
          </cell>
          <cell r="X35942" t="str">
            <v>Variation UPR - gross</v>
          </cell>
          <cell r="Y35942" t="str">
            <v>CHILE</v>
          </cell>
        </row>
        <row r="35943">
          <cell r="L35943" t="str">
            <v>Non-proportional</v>
          </cell>
          <cell r="S35943">
            <v>22.66</v>
          </cell>
          <cell r="X35943" t="str">
            <v>Variation UPR - gross</v>
          </cell>
          <cell r="Y35943" t="str">
            <v>JAPAN</v>
          </cell>
        </row>
        <row r="35944">
          <cell r="L35944" t="str">
            <v>Non-proportional</v>
          </cell>
          <cell r="S35944">
            <v>-1664.56</v>
          </cell>
          <cell r="X35944" t="str">
            <v>Variation UPR - gross</v>
          </cell>
          <cell r="Y35944" t="str">
            <v>FRANCE</v>
          </cell>
        </row>
        <row r="35945">
          <cell r="L35945" t="str">
            <v>Non-proportional</v>
          </cell>
          <cell r="S35945">
            <v>-7919.85</v>
          </cell>
          <cell r="X35945" t="str">
            <v>Variation UPR - gross</v>
          </cell>
          <cell r="Y35945" t="str">
            <v>PUERTO RICO</v>
          </cell>
        </row>
        <row r="35946">
          <cell r="L35946" t="str">
            <v>Non-proportional</v>
          </cell>
          <cell r="S35946">
            <v>-6686.83</v>
          </cell>
          <cell r="X35946" t="str">
            <v>Variation UPR - gross</v>
          </cell>
          <cell r="Y35946" t="str">
            <v>UNITED KINGDOM</v>
          </cell>
        </row>
        <row r="35947">
          <cell r="L35947" t="str">
            <v>Non-proportional</v>
          </cell>
          <cell r="S35947">
            <v>-4419.95</v>
          </cell>
          <cell r="X35947" t="str">
            <v>Variation UPR - gross</v>
          </cell>
          <cell r="Y35947" t="str">
            <v>UNITED KINGDOM</v>
          </cell>
        </row>
        <row r="35948">
          <cell r="L35948" t="str">
            <v>Non-proportional</v>
          </cell>
          <cell r="S35948">
            <v>-4666.5</v>
          </cell>
          <cell r="X35948" t="str">
            <v>Variation UPR - gross</v>
          </cell>
          <cell r="Y35948" t="str">
            <v>TURKEY</v>
          </cell>
        </row>
        <row r="35949">
          <cell r="L35949" t="str">
            <v>Non-proportional</v>
          </cell>
          <cell r="S35949">
            <v>-5001.13</v>
          </cell>
          <cell r="X35949" t="str">
            <v>Variation UPR - gross</v>
          </cell>
          <cell r="Y35949" t="str">
            <v>ITALY</v>
          </cell>
        </row>
        <row r="35950">
          <cell r="L35950" t="str">
            <v>Non-proportional</v>
          </cell>
          <cell r="S35950">
            <v>-3249.28</v>
          </cell>
          <cell r="X35950" t="str">
            <v>Variation UPR - gross</v>
          </cell>
          <cell r="Y35950" t="str">
            <v>JAPAN</v>
          </cell>
        </row>
        <row r="35951">
          <cell r="L35951" t="str">
            <v>Non-proportional</v>
          </cell>
          <cell r="S35951">
            <v>-4120.93</v>
          </cell>
          <cell r="X35951" t="str">
            <v>Variation UPR - gross</v>
          </cell>
          <cell r="Y35951" t="str">
            <v>UNITED KINGDOM</v>
          </cell>
        </row>
        <row r="35952">
          <cell r="L35952" t="str">
            <v>Non-proportional</v>
          </cell>
          <cell r="S35952">
            <v>-10596.12</v>
          </cell>
          <cell r="X35952" t="str">
            <v>Variation UPR - gross</v>
          </cell>
          <cell r="Y35952" t="str">
            <v>FRANCE</v>
          </cell>
        </row>
        <row r="35953">
          <cell r="L35953" t="str">
            <v>Non-proportional</v>
          </cell>
          <cell r="S35953">
            <v>-12659.61</v>
          </cell>
          <cell r="X35953" t="str">
            <v>Variation UPR - gross</v>
          </cell>
          <cell r="Y35953" t="str">
            <v>ITALY</v>
          </cell>
        </row>
        <row r="35954">
          <cell r="L35954" t="str">
            <v>Non-proportional</v>
          </cell>
          <cell r="S35954">
            <v>12.88</v>
          </cell>
          <cell r="X35954" t="str">
            <v>Variation UPR - gross</v>
          </cell>
          <cell r="Y35954" t="str">
            <v>INDIA</v>
          </cell>
        </row>
        <row r="35955">
          <cell r="L35955" t="str">
            <v>Non-proportional</v>
          </cell>
          <cell r="S35955">
            <v>-4185.91</v>
          </cell>
          <cell r="X35955" t="str">
            <v>Variation UPR - gross</v>
          </cell>
          <cell r="Y35955" t="str">
            <v>FRANCE</v>
          </cell>
        </row>
        <row r="35956">
          <cell r="L35956" t="str">
            <v>Non-proportional</v>
          </cell>
          <cell r="S35956">
            <v>-1044.8399999999999</v>
          </cell>
          <cell r="X35956" t="str">
            <v>Variation UPR - gross</v>
          </cell>
          <cell r="Y35956" t="str">
            <v>CYPRUS</v>
          </cell>
        </row>
        <row r="35957">
          <cell r="L35957" t="str">
            <v>Non-proportional</v>
          </cell>
          <cell r="S35957">
            <v>-8639.49</v>
          </cell>
          <cell r="X35957" t="str">
            <v>Variation UPR - gross</v>
          </cell>
          <cell r="Y35957" t="str">
            <v>INDIA</v>
          </cell>
        </row>
        <row r="35958">
          <cell r="L35958" t="str">
            <v>Non-proportional</v>
          </cell>
          <cell r="S35958">
            <v>-880.41</v>
          </cell>
          <cell r="X35958" t="str">
            <v>Variation UPR - gross</v>
          </cell>
          <cell r="Y35958" t="str">
            <v>INDIA</v>
          </cell>
        </row>
        <row r="35959">
          <cell r="L35959" t="str">
            <v>Non-proportional</v>
          </cell>
          <cell r="S35959">
            <v>-3827.24</v>
          </cell>
          <cell r="X35959" t="str">
            <v>Variation UPR - gross</v>
          </cell>
          <cell r="Y35959" t="str">
            <v>COLOMBIA</v>
          </cell>
        </row>
        <row r="35960">
          <cell r="L35960" t="str">
            <v>Non-proportional</v>
          </cell>
          <cell r="S35960">
            <v>-1170.3499999999999</v>
          </cell>
          <cell r="X35960" t="str">
            <v>Variation UPR - gross</v>
          </cell>
          <cell r="Y35960" t="str">
            <v>PERU</v>
          </cell>
        </row>
        <row r="35961">
          <cell r="L35961" t="str">
            <v>Non-proportional</v>
          </cell>
          <cell r="S35961">
            <v>-3160.56</v>
          </cell>
          <cell r="X35961" t="str">
            <v>Variation UPR - gross</v>
          </cell>
          <cell r="Y35961" t="str">
            <v>DOMINICAN REPUBLIC</v>
          </cell>
        </row>
        <row r="35962">
          <cell r="L35962" t="str">
            <v>Non-proportional</v>
          </cell>
          <cell r="S35962">
            <v>-35678.53</v>
          </cell>
          <cell r="X35962" t="str">
            <v>Variation UPR - gross</v>
          </cell>
          <cell r="Y35962" t="str">
            <v>HONG KONG</v>
          </cell>
        </row>
        <row r="35963">
          <cell r="L35963" t="str">
            <v>Non-proportional</v>
          </cell>
          <cell r="S35963">
            <v>-3031.96</v>
          </cell>
          <cell r="X35963" t="str">
            <v>Variation UPR - gross</v>
          </cell>
          <cell r="Y35963" t="str">
            <v>JAPAN</v>
          </cell>
        </row>
        <row r="35964">
          <cell r="L35964" t="str">
            <v>Non-proportional</v>
          </cell>
          <cell r="S35964">
            <v>-45758.47</v>
          </cell>
          <cell r="X35964" t="str">
            <v>Variation UPR - gross</v>
          </cell>
          <cell r="Y35964" t="str">
            <v>TURKEY</v>
          </cell>
        </row>
        <row r="35965">
          <cell r="L35965" t="str">
            <v>Proportional</v>
          </cell>
          <cell r="S35965">
            <v>-1706.59</v>
          </cell>
          <cell r="X35965" t="str">
            <v>Variation UPR - gross</v>
          </cell>
          <cell r="Y35965" t="str">
            <v>UNITED STATES</v>
          </cell>
        </row>
        <row r="35966">
          <cell r="L35966" t="str">
            <v>Non-proportional</v>
          </cell>
          <cell r="S35966">
            <v>-1169.28</v>
          </cell>
          <cell r="X35966" t="str">
            <v>Variation UPR - gross</v>
          </cell>
          <cell r="Y35966" t="str">
            <v>ISRAEL</v>
          </cell>
        </row>
        <row r="35967">
          <cell r="L35967" t="str">
            <v>Non-proportional</v>
          </cell>
          <cell r="S35967">
            <v>-4292.5600000000004</v>
          </cell>
          <cell r="X35967" t="str">
            <v>Variation UPR - gross</v>
          </cell>
          <cell r="Y35967" t="str">
            <v>COLOMBIA</v>
          </cell>
        </row>
        <row r="35968">
          <cell r="L35968" t="str">
            <v>Non-proportional</v>
          </cell>
          <cell r="S35968">
            <v>-4366.13</v>
          </cell>
          <cell r="X35968" t="str">
            <v>Variation UPR - gross</v>
          </cell>
          <cell r="Y35968" t="str">
            <v>COLOMBIA</v>
          </cell>
        </row>
        <row r="35969">
          <cell r="L35969" t="str">
            <v>Non-proportional</v>
          </cell>
          <cell r="S35969">
            <v>-5805.09</v>
          </cell>
          <cell r="X35969" t="str">
            <v>Variation UPR - gross</v>
          </cell>
          <cell r="Y35969" t="str">
            <v>ECUADOR</v>
          </cell>
        </row>
        <row r="35970">
          <cell r="L35970" t="str">
            <v>Non-proportional</v>
          </cell>
          <cell r="S35970">
            <v>-14331.16</v>
          </cell>
          <cell r="X35970" t="str">
            <v>Variation UPR - gross</v>
          </cell>
          <cell r="Y35970" t="str">
            <v>FRANCE</v>
          </cell>
        </row>
        <row r="35971">
          <cell r="L35971" t="str">
            <v>Non-proportional</v>
          </cell>
          <cell r="S35971">
            <v>-9777.1299999999992</v>
          </cell>
          <cell r="X35971" t="str">
            <v>Variation UPR - gross</v>
          </cell>
          <cell r="Y35971" t="str">
            <v>ISRAEL</v>
          </cell>
        </row>
        <row r="35972">
          <cell r="L35972" t="str">
            <v>Non-proportional</v>
          </cell>
          <cell r="S35972">
            <v>-2043.75</v>
          </cell>
          <cell r="X35972" t="str">
            <v>Variation UPR - gross</v>
          </cell>
          <cell r="Y35972" t="str">
            <v>GREECE</v>
          </cell>
        </row>
        <row r="35973">
          <cell r="L35973" t="str">
            <v>Non-proportional</v>
          </cell>
          <cell r="S35973">
            <v>5.81</v>
          </cell>
          <cell r="X35973" t="str">
            <v>Variation UPR - gross</v>
          </cell>
          <cell r="Y35973" t="str">
            <v>INDIA</v>
          </cell>
        </row>
        <row r="35974">
          <cell r="L35974" t="str">
            <v>Non-proportional</v>
          </cell>
          <cell r="S35974">
            <v>619.03</v>
          </cell>
          <cell r="X35974" t="str">
            <v>Variation UPR - gross</v>
          </cell>
          <cell r="Y35974" t="str">
            <v>CHILE</v>
          </cell>
        </row>
        <row r="35975">
          <cell r="L35975" t="str">
            <v>Proportional</v>
          </cell>
          <cell r="S35975">
            <v>-3933.34</v>
          </cell>
          <cell r="X35975" t="str">
            <v>Variation UPR - gross</v>
          </cell>
          <cell r="Y35975" t="str">
            <v>THAILAND</v>
          </cell>
        </row>
        <row r="35976">
          <cell r="L35976" t="str">
            <v>Non-proportional</v>
          </cell>
          <cell r="S35976">
            <v>-6902.94</v>
          </cell>
          <cell r="X35976" t="str">
            <v>Variation UPR - gross</v>
          </cell>
          <cell r="Y35976" t="str">
            <v>UNITED KINGDOM</v>
          </cell>
        </row>
        <row r="35977">
          <cell r="L35977" t="str">
            <v>Non-proportional</v>
          </cell>
          <cell r="S35977">
            <v>574.32000000000005</v>
          </cell>
          <cell r="X35977" t="str">
            <v>Variation UPR - gross</v>
          </cell>
          <cell r="Y35977" t="str">
            <v>AUSTRALIA</v>
          </cell>
        </row>
        <row r="35978">
          <cell r="L35978" t="str">
            <v>Non-proportional</v>
          </cell>
          <cell r="S35978">
            <v>-3714.16</v>
          </cell>
          <cell r="X35978" t="str">
            <v>Variation UPR - gross</v>
          </cell>
          <cell r="Y35978" t="str">
            <v>CHILE</v>
          </cell>
        </row>
        <row r="35979">
          <cell r="L35979" t="str">
            <v>Non-proportional</v>
          </cell>
          <cell r="S35979">
            <v>-1222354.5900000001</v>
          </cell>
          <cell r="X35979" t="str">
            <v>Variation UPR - gross</v>
          </cell>
          <cell r="Y35979" t="str">
            <v>UNITED KINGDOM</v>
          </cell>
        </row>
        <row r="35980">
          <cell r="L35980" t="str">
            <v>Non-proportional</v>
          </cell>
          <cell r="S35980">
            <v>-6068.84</v>
          </cell>
          <cell r="X35980" t="str">
            <v>Variation UPR - gross</v>
          </cell>
          <cell r="Y35980" t="str">
            <v>UNITED KINGDOM</v>
          </cell>
        </row>
        <row r="35981">
          <cell r="L35981" t="str">
            <v>Non-proportional</v>
          </cell>
          <cell r="S35981">
            <v>-4751.26</v>
          </cell>
          <cell r="X35981" t="str">
            <v>Variation UPR - gross</v>
          </cell>
          <cell r="Y35981" t="str">
            <v>FRANCE</v>
          </cell>
        </row>
        <row r="35982">
          <cell r="L35982" t="str">
            <v>Non-proportional</v>
          </cell>
          <cell r="S35982">
            <v>-3281.25</v>
          </cell>
          <cell r="X35982" t="str">
            <v>Variation UPR - gross</v>
          </cell>
          <cell r="Y35982" t="str">
            <v>ITALY</v>
          </cell>
        </row>
        <row r="35983">
          <cell r="L35983" t="str">
            <v>Non-proportional</v>
          </cell>
          <cell r="S35983">
            <v>38.68</v>
          </cell>
          <cell r="X35983" t="str">
            <v>Variation UPR - gross</v>
          </cell>
          <cell r="Y35983" t="str">
            <v>NEW ZEALAND</v>
          </cell>
        </row>
        <row r="35984">
          <cell r="L35984" t="str">
            <v>Non-proportional</v>
          </cell>
          <cell r="S35984">
            <v>-9832.7800000000007</v>
          </cell>
          <cell r="X35984" t="str">
            <v>Variation UPR - gross</v>
          </cell>
          <cell r="Y35984" t="str">
            <v>FRANCE</v>
          </cell>
        </row>
        <row r="35985">
          <cell r="L35985" t="str">
            <v>Non-proportional</v>
          </cell>
          <cell r="S35985">
            <v>-6793.14</v>
          </cell>
          <cell r="X35985" t="str">
            <v>Variation UPR - gross</v>
          </cell>
          <cell r="Y35985" t="str">
            <v>DOMINICAN REPUBLIC</v>
          </cell>
        </row>
        <row r="35986">
          <cell r="L35986" t="str">
            <v>Non-proportional</v>
          </cell>
          <cell r="S35986">
            <v>-34575.83</v>
          </cell>
          <cell r="X35986" t="str">
            <v>Variation UPR - gross</v>
          </cell>
          <cell r="Y35986" t="str">
            <v>NEW ZEALAND</v>
          </cell>
        </row>
        <row r="35987">
          <cell r="L35987" t="str">
            <v>Non-proportional</v>
          </cell>
          <cell r="S35987">
            <v>-3348.4</v>
          </cell>
          <cell r="X35987" t="str">
            <v>Variation UPR - gross</v>
          </cell>
          <cell r="Y35987" t="str">
            <v>ISRAEL</v>
          </cell>
        </row>
        <row r="35988">
          <cell r="L35988" t="str">
            <v>Non-proportional</v>
          </cell>
          <cell r="S35988">
            <v>-3288.58</v>
          </cell>
          <cell r="X35988" t="str">
            <v>Variation UPR - gross</v>
          </cell>
          <cell r="Y35988" t="str">
            <v>CHILE</v>
          </cell>
        </row>
        <row r="35989">
          <cell r="L35989" t="str">
            <v>Non-proportional</v>
          </cell>
          <cell r="S35989">
            <v>-19231.490000000002</v>
          </cell>
          <cell r="X35989" t="str">
            <v>Variation UPR - gross</v>
          </cell>
          <cell r="Y35989" t="str">
            <v>FRANCE</v>
          </cell>
        </row>
        <row r="35990">
          <cell r="L35990" t="str">
            <v>Non-proportional</v>
          </cell>
          <cell r="S35990">
            <v>-3392.08</v>
          </cell>
          <cell r="X35990" t="str">
            <v>Variation UPR - gross</v>
          </cell>
          <cell r="Y35990" t="str">
            <v>AUSTRALIA</v>
          </cell>
        </row>
        <row r="35991">
          <cell r="L35991" t="str">
            <v>Non-proportional</v>
          </cell>
          <cell r="S35991">
            <v>-5917.77</v>
          </cell>
          <cell r="X35991" t="str">
            <v>Variation UPR - gross</v>
          </cell>
          <cell r="Y35991" t="str">
            <v>PERU</v>
          </cell>
        </row>
        <row r="35992">
          <cell r="L35992" t="str">
            <v>Proportional</v>
          </cell>
          <cell r="S35992">
            <v>-1797.35</v>
          </cell>
          <cell r="X35992" t="str">
            <v>Variation UPR - gross</v>
          </cell>
          <cell r="Y35992" t="str">
            <v>THAILAND</v>
          </cell>
        </row>
        <row r="35993">
          <cell r="L35993" t="str">
            <v>Non-proportional</v>
          </cell>
          <cell r="S35993">
            <v>-1655.9</v>
          </cell>
          <cell r="X35993" t="str">
            <v>Variation UPR - gross</v>
          </cell>
          <cell r="Y35993" t="str">
            <v>ISRAEL</v>
          </cell>
        </row>
        <row r="35994">
          <cell r="L35994" t="str">
            <v>Non-proportional</v>
          </cell>
          <cell r="S35994">
            <v>-3249.09</v>
          </cell>
          <cell r="X35994" t="str">
            <v>Variation UPR - gross</v>
          </cell>
          <cell r="Y35994" t="str">
            <v>FRANCE</v>
          </cell>
        </row>
        <row r="35995">
          <cell r="L35995" t="str">
            <v>Proportional</v>
          </cell>
          <cell r="S35995">
            <v>-81375.97</v>
          </cell>
          <cell r="X35995" t="str">
            <v>Variation UPR - gross</v>
          </cell>
          <cell r="Y35995" t="str">
            <v>MEXICO</v>
          </cell>
        </row>
        <row r="35996">
          <cell r="L35996" t="str">
            <v>Non-proportional</v>
          </cell>
          <cell r="S35996">
            <v>-7592.5</v>
          </cell>
          <cell r="X35996" t="str">
            <v>Variation UPR - gross</v>
          </cell>
          <cell r="Y35996" t="str">
            <v>NEW ZEALAND</v>
          </cell>
        </row>
        <row r="35997">
          <cell r="L35997" t="str">
            <v>Non-proportional</v>
          </cell>
          <cell r="S35997">
            <v>-1519.59</v>
          </cell>
          <cell r="X35997" t="str">
            <v>Variation UPR - gross</v>
          </cell>
          <cell r="Y35997" t="str">
            <v>AUSTRALIA</v>
          </cell>
        </row>
        <row r="35998">
          <cell r="L35998" t="str">
            <v>Non-proportional</v>
          </cell>
          <cell r="S35998">
            <v>-10466.25</v>
          </cell>
          <cell r="X35998" t="str">
            <v>Variation UPR - gross</v>
          </cell>
          <cell r="Y35998" t="str">
            <v>COLOMBIA</v>
          </cell>
        </row>
        <row r="35999">
          <cell r="L35999" t="str">
            <v>Non-proportional</v>
          </cell>
          <cell r="S35999">
            <v>-417.67</v>
          </cell>
          <cell r="X35999" t="str">
            <v>Variation UPR - gross</v>
          </cell>
          <cell r="Y35999" t="str">
            <v>NETHERLANDS</v>
          </cell>
        </row>
        <row r="36000">
          <cell r="L36000" t="str">
            <v>Non-proportional</v>
          </cell>
          <cell r="S36000">
            <v>-8775.06</v>
          </cell>
          <cell r="X36000" t="str">
            <v>Variation UPR - gross</v>
          </cell>
          <cell r="Y36000" t="str">
            <v>FRANCE</v>
          </cell>
        </row>
        <row r="36001">
          <cell r="L36001" t="str">
            <v>Non-proportional</v>
          </cell>
          <cell r="S36001">
            <v>-3559.16</v>
          </cell>
          <cell r="X36001" t="str">
            <v>Variation UPR - gross</v>
          </cell>
          <cell r="Y36001" t="str">
            <v>COLOMBIA</v>
          </cell>
        </row>
        <row r="36002">
          <cell r="L36002" t="str">
            <v>Non-proportional</v>
          </cell>
          <cell r="S36002">
            <v>-951.66</v>
          </cell>
          <cell r="X36002" t="str">
            <v>Variation UPR - gross</v>
          </cell>
          <cell r="Y36002" t="str">
            <v>PERU</v>
          </cell>
        </row>
        <row r="36003">
          <cell r="L36003" t="str">
            <v>Non-proportional</v>
          </cell>
          <cell r="S36003">
            <v>-2204.41</v>
          </cell>
          <cell r="X36003" t="str">
            <v>Variation UPR - gross</v>
          </cell>
          <cell r="Y36003" t="str">
            <v>AUSTRALIA</v>
          </cell>
        </row>
        <row r="36004">
          <cell r="L36004" t="str">
            <v>Non-proportional</v>
          </cell>
          <cell r="S36004">
            <v>-1387.01</v>
          </cell>
          <cell r="X36004" t="str">
            <v>Variation UPR - gross</v>
          </cell>
          <cell r="Y36004" t="str">
            <v>ECUADOR</v>
          </cell>
        </row>
        <row r="36005">
          <cell r="L36005" t="str">
            <v>Non-proportional</v>
          </cell>
          <cell r="S36005">
            <v>-7.35</v>
          </cell>
          <cell r="X36005" t="str">
            <v>Variation UPR - gross</v>
          </cell>
          <cell r="Y36005" t="str">
            <v>COSTA RICA</v>
          </cell>
        </row>
        <row r="36006">
          <cell r="L36006" t="str">
            <v>Non-proportional</v>
          </cell>
          <cell r="S36006">
            <v>145.16999999999999</v>
          </cell>
          <cell r="X36006" t="str">
            <v>Variation UPR - gross</v>
          </cell>
          <cell r="Y36006" t="str">
            <v>INDIA</v>
          </cell>
        </row>
        <row r="36007">
          <cell r="L36007" t="str">
            <v>Non-proportional</v>
          </cell>
          <cell r="S36007">
            <v>-1449.74</v>
          </cell>
          <cell r="X36007" t="str">
            <v>Variation UPR - gross</v>
          </cell>
          <cell r="Y36007" t="str">
            <v>UNITED ARAB EMIRATES</v>
          </cell>
        </row>
        <row r="36008">
          <cell r="L36008" t="str">
            <v>Proportional</v>
          </cell>
          <cell r="S36008">
            <v>3799.79</v>
          </cell>
          <cell r="X36008" t="str">
            <v>Variation UPR - gross</v>
          </cell>
          <cell r="Y36008" t="str">
            <v>CANADA</v>
          </cell>
        </row>
        <row r="36009">
          <cell r="L36009" t="str">
            <v>Non-proportional</v>
          </cell>
          <cell r="S36009">
            <v>-894.69</v>
          </cell>
          <cell r="X36009" t="str">
            <v>Variation UPR - gross</v>
          </cell>
          <cell r="Y36009" t="str">
            <v>PERU</v>
          </cell>
        </row>
        <row r="36010">
          <cell r="L36010" t="str">
            <v>Non-proportional</v>
          </cell>
          <cell r="S36010">
            <v>-959.91</v>
          </cell>
          <cell r="X36010" t="str">
            <v>Variation UPR - gross</v>
          </cell>
          <cell r="Y36010" t="str">
            <v>MEXICO</v>
          </cell>
        </row>
        <row r="36011">
          <cell r="L36011" t="str">
            <v>Non-proportional</v>
          </cell>
          <cell r="S36011">
            <v>-3720.44</v>
          </cell>
          <cell r="X36011" t="str">
            <v>Variation UPR - gross</v>
          </cell>
          <cell r="Y36011" t="str">
            <v>ISRAEL</v>
          </cell>
        </row>
        <row r="36012">
          <cell r="L36012" t="str">
            <v>Non-proportional</v>
          </cell>
          <cell r="S36012">
            <v>-13.89</v>
          </cell>
          <cell r="X36012" t="str">
            <v>Variation UPR - gross</v>
          </cell>
          <cell r="Y36012" t="str">
            <v>JAPAN</v>
          </cell>
        </row>
        <row r="36013">
          <cell r="L36013" t="str">
            <v>Non-proportional</v>
          </cell>
          <cell r="S36013">
            <v>-2839.09</v>
          </cell>
          <cell r="X36013" t="str">
            <v>Variation UPR - gross</v>
          </cell>
          <cell r="Y36013" t="str">
            <v>UNITED KINGDOM</v>
          </cell>
        </row>
        <row r="36014">
          <cell r="L36014" t="str">
            <v>Non-proportional</v>
          </cell>
          <cell r="S36014">
            <v>-3249.28</v>
          </cell>
          <cell r="X36014" t="str">
            <v>Variation UPR - gross</v>
          </cell>
          <cell r="Y36014" t="str">
            <v>JAPAN</v>
          </cell>
        </row>
        <row r="36015">
          <cell r="L36015" t="str">
            <v>Non-proportional</v>
          </cell>
          <cell r="S36015">
            <v>-7514.33</v>
          </cell>
          <cell r="X36015" t="str">
            <v>Variation UPR - gross</v>
          </cell>
          <cell r="Y36015" t="str">
            <v>ECUADOR</v>
          </cell>
        </row>
        <row r="36016">
          <cell r="L36016" t="str">
            <v>Proportional</v>
          </cell>
          <cell r="S36016">
            <v>-806667.43</v>
          </cell>
          <cell r="X36016" t="str">
            <v>Variation UPR - gross</v>
          </cell>
          <cell r="Y36016" t="str">
            <v>PORTUGAL</v>
          </cell>
        </row>
        <row r="36017">
          <cell r="L36017" t="str">
            <v>Non-proportional</v>
          </cell>
          <cell r="S36017">
            <v>-5095.2700000000004</v>
          </cell>
          <cell r="X36017" t="str">
            <v>Variation UPR - gross</v>
          </cell>
          <cell r="Y36017" t="str">
            <v>UNITED KINGDOM</v>
          </cell>
        </row>
        <row r="36018">
          <cell r="L36018" t="str">
            <v>Non-proportional</v>
          </cell>
          <cell r="S36018">
            <v>-3780</v>
          </cell>
          <cell r="X36018" t="str">
            <v>Variation UPR - gross</v>
          </cell>
          <cell r="Y36018" t="str">
            <v>GREECE</v>
          </cell>
        </row>
        <row r="36019">
          <cell r="L36019" t="str">
            <v>Proportional</v>
          </cell>
          <cell r="S36019">
            <v>66.849999999999994</v>
          </cell>
          <cell r="X36019" t="str">
            <v>Variation UPR - gross</v>
          </cell>
          <cell r="Y36019" t="str">
            <v>INDIA</v>
          </cell>
        </row>
        <row r="36020">
          <cell r="L36020" t="str">
            <v>Non-proportional</v>
          </cell>
          <cell r="S36020">
            <v>-11999.28</v>
          </cell>
          <cell r="X36020" t="str">
            <v>Variation UPR - gross</v>
          </cell>
          <cell r="Y36020" t="str">
            <v>CHILE</v>
          </cell>
        </row>
        <row r="36021">
          <cell r="L36021" t="str">
            <v>Non-proportional</v>
          </cell>
          <cell r="S36021">
            <v>-3820</v>
          </cell>
          <cell r="X36021" t="str">
            <v>Variation UPR - gross</v>
          </cell>
          <cell r="Y36021" t="str">
            <v>GUATEMALA</v>
          </cell>
        </row>
        <row r="36022">
          <cell r="L36022" t="str">
            <v>Non-proportional</v>
          </cell>
          <cell r="S36022">
            <v>-7721.36</v>
          </cell>
          <cell r="X36022" t="str">
            <v>Variation UPR - gross</v>
          </cell>
          <cell r="Y36022" t="str">
            <v>INDIA</v>
          </cell>
        </row>
        <row r="36023">
          <cell r="L36023" t="str">
            <v>Non-proportional</v>
          </cell>
          <cell r="S36023">
            <v>-3074.73</v>
          </cell>
          <cell r="X36023" t="str">
            <v>Variation UPR - gross</v>
          </cell>
          <cell r="Y36023" t="str">
            <v>JAPAN</v>
          </cell>
        </row>
        <row r="36024">
          <cell r="L36024" t="str">
            <v>Non-proportional</v>
          </cell>
          <cell r="S36024">
            <v>-1069.05</v>
          </cell>
          <cell r="X36024" t="str">
            <v>Variation UPR - gross</v>
          </cell>
          <cell r="Y36024" t="str">
            <v>COLOMBIA</v>
          </cell>
        </row>
        <row r="36025">
          <cell r="L36025" t="str">
            <v>Non-proportional</v>
          </cell>
          <cell r="S36025">
            <v>-3193</v>
          </cell>
          <cell r="X36025" t="str">
            <v>Variation UPR - gross</v>
          </cell>
          <cell r="Y36025" t="str">
            <v>DOMINICAN REPUBLIC</v>
          </cell>
        </row>
        <row r="36026">
          <cell r="L36026" t="str">
            <v>Non-proportional</v>
          </cell>
          <cell r="S36026">
            <v>-1655.02</v>
          </cell>
          <cell r="X36026" t="str">
            <v>Variation UPR - gross</v>
          </cell>
          <cell r="Y36026" t="str">
            <v>COLOMBIA</v>
          </cell>
        </row>
        <row r="36027">
          <cell r="L36027" t="str">
            <v>Non-proportional</v>
          </cell>
          <cell r="S36027">
            <v>-1458.33</v>
          </cell>
          <cell r="X36027" t="str">
            <v>Variation UPR - gross</v>
          </cell>
          <cell r="Y36027" t="str">
            <v>ITALY</v>
          </cell>
        </row>
        <row r="36028">
          <cell r="L36028" t="str">
            <v>Non-proportional</v>
          </cell>
          <cell r="S36028">
            <v>-55007.73</v>
          </cell>
          <cell r="X36028" t="str">
            <v>Variation UPR - gross</v>
          </cell>
          <cell r="Y36028" t="str">
            <v>UNITED KINGDOM</v>
          </cell>
        </row>
        <row r="36029">
          <cell r="L36029" t="str">
            <v>Non-proportional</v>
          </cell>
          <cell r="S36029">
            <v>-5700.19</v>
          </cell>
          <cell r="X36029" t="str">
            <v>Variation UPR - gross</v>
          </cell>
          <cell r="Y36029" t="str">
            <v>ITALY</v>
          </cell>
        </row>
        <row r="36030">
          <cell r="L36030" t="str">
            <v>Non-proportional</v>
          </cell>
          <cell r="S36030">
            <v>-4238.47</v>
          </cell>
          <cell r="X36030" t="str">
            <v>Variation UPR - gross</v>
          </cell>
          <cell r="Y36030" t="str">
            <v>FRANCE</v>
          </cell>
        </row>
        <row r="36031">
          <cell r="L36031" t="str">
            <v>Non-proportional</v>
          </cell>
          <cell r="S36031">
            <v>-5983.59</v>
          </cell>
          <cell r="X36031" t="str">
            <v>Variation UPR - gross</v>
          </cell>
          <cell r="Y36031" t="str">
            <v>MEXICO</v>
          </cell>
        </row>
        <row r="36032">
          <cell r="L36032" t="str">
            <v>Non-proportional</v>
          </cell>
          <cell r="S36032">
            <v>-126349.27</v>
          </cell>
          <cell r="X36032" t="str">
            <v>Variation UPR - gross</v>
          </cell>
          <cell r="Y36032" t="str">
            <v>UNITED KINGDOM</v>
          </cell>
        </row>
        <row r="36033">
          <cell r="L36033" t="str">
            <v>Non-proportional</v>
          </cell>
          <cell r="S36033">
            <v>-140.99</v>
          </cell>
          <cell r="X36033" t="str">
            <v>Variation UPR - gross</v>
          </cell>
          <cell r="Y36033" t="str">
            <v>INDIA</v>
          </cell>
        </row>
        <row r="36034">
          <cell r="L36034" t="str">
            <v>Non-proportional</v>
          </cell>
          <cell r="S36034">
            <v>-5263.68</v>
          </cell>
          <cell r="X36034" t="str">
            <v>Variation UPR - gross</v>
          </cell>
          <cell r="Y36034" t="str">
            <v>SPAIN</v>
          </cell>
        </row>
        <row r="36035">
          <cell r="L36035" t="str">
            <v>Non-proportional</v>
          </cell>
          <cell r="S36035">
            <v>-1709.24</v>
          </cell>
          <cell r="X36035" t="str">
            <v>Variation UPR - gross</v>
          </cell>
          <cell r="Y36035" t="str">
            <v>ECUADOR</v>
          </cell>
        </row>
        <row r="36036">
          <cell r="L36036" t="str">
            <v>Non-proportional</v>
          </cell>
          <cell r="S36036">
            <v>-45666.53</v>
          </cell>
          <cell r="X36036" t="str">
            <v>Variation UPR - gross</v>
          </cell>
          <cell r="Y36036" t="str">
            <v>UNITED KINGDOM</v>
          </cell>
        </row>
        <row r="36037">
          <cell r="L36037" t="str">
            <v>Non-proportional</v>
          </cell>
          <cell r="S36037">
            <v>111.46</v>
          </cell>
          <cell r="X36037" t="str">
            <v>Variation UPR - gross</v>
          </cell>
          <cell r="Y36037" t="str">
            <v>JAPAN</v>
          </cell>
        </row>
        <row r="36038">
          <cell r="L36038" t="str">
            <v>Non-proportional</v>
          </cell>
          <cell r="S36038">
            <v>-9053.2099999999991</v>
          </cell>
          <cell r="X36038" t="str">
            <v>Variation UPR - gross</v>
          </cell>
          <cell r="Y36038" t="str">
            <v>ITALY</v>
          </cell>
        </row>
        <row r="36039">
          <cell r="L36039" t="str">
            <v>Non-proportional</v>
          </cell>
          <cell r="S36039">
            <v>-2560.92</v>
          </cell>
          <cell r="X36039" t="str">
            <v>Variation UPR - gross</v>
          </cell>
          <cell r="Y36039" t="str">
            <v>DOMINICAN REPUBLIC</v>
          </cell>
        </row>
        <row r="36040">
          <cell r="L36040" t="str">
            <v>Non-proportional</v>
          </cell>
          <cell r="S36040">
            <v>-350018.84</v>
          </cell>
          <cell r="X36040" t="str">
            <v>Variation UPR - gross</v>
          </cell>
          <cell r="Y36040" t="str">
            <v>EUROPE</v>
          </cell>
        </row>
        <row r="36041">
          <cell r="L36041" t="str">
            <v>Non-proportional</v>
          </cell>
          <cell r="S36041">
            <v>-3116.85</v>
          </cell>
          <cell r="X36041" t="str">
            <v>Variation UPR - gross</v>
          </cell>
          <cell r="Y36041" t="str">
            <v>ECUADOR</v>
          </cell>
        </row>
        <row r="36042">
          <cell r="L36042" t="str">
            <v>Non-proportional</v>
          </cell>
          <cell r="S36042">
            <v>-638.52</v>
          </cell>
          <cell r="X36042" t="str">
            <v>Variation UPR - gross</v>
          </cell>
          <cell r="Y36042" t="str">
            <v>MALTA</v>
          </cell>
        </row>
        <row r="36043">
          <cell r="L36043" t="str">
            <v>Non-proportional</v>
          </cell>
          <cell r="S36043">
            <v>-2979.07</v>
          </cell>
          <cell r="X36043" t="str">
            <v>Variation UPR - gross</v>
          </cell>
          <cell r="Y36043" t="str">
            <v>CHILE</v>
          </cell>
        </row>
        <row r="36044">
          <cell r="L36044" t="str">
            <v>Non-proportional</v>
          </cell>
          <cell r="S36044">
            <v>-11042.04</v>
          </cell>
          <cell r="X36044" t="str">
            <v>Variation UPR - gross</v>
          </cell>
          <cell r="Y36044" t="str">
            <v>EUROPE</v>
          </cell>
        </row>
        <row r="36045">
          <cell r="L36045" t="str">
            <v>Non-proportional</v>
          </cell>
          <cell r="S36045">
            <v>-51.18</v>
          </cell>
          <cell r="X36045" t="str">
            <v>Variation UPR - gross</v>
          </cell>
          <cell r="Y36045" t="str">
            <v>INDIA</v>
          </cell>
        </row>
        <row r="36046">
          <cell r="L36046" t="str">
            <v>Non-proportional</v>
          </cell>
          <cell r="S36046">
            <v>-156.52000000000001</v>
          </cell>
          <cell r="X36046" t="str">
            <v>Variation UPR - gross</v>
          </cell>
          <cell r="Y36046" t="str">
            <v>INDIA</v>
          </cell>
        </row>
        <row r="36047">
          <cell r="L36047" t="str">
            <v>Proportional</v>
          </cell>
          <cell r="S36047">
            <v>-51383.89</v>
          </cell>
          <cell r="X36047" t="str">
            <v>Variation UPR - gross</v>
          </cell>
          <cell r="Y36047" t="str">
            <v>THAILAND</v>
          </cell>
        </row>
        <row r="36048">
          <cell r="L36048" t="str">
            <v>Non-proportional</v>
          </cell>
          <cell r="S36048">
            <v>-4379.91</v>
          </cell>
          <cell r="X36048" t="str">
            <v>Variation UPR - gross</v>
          </cell>
          <cell r="Y36048" t="str">
            <v>MEXICO</v>
          </cell>
        </row>
        <row r="36049">
          <cell r="L36049" t="str">
            <v>Non-proportional</v>
          </cell>
          <cell r="S36049">
            <v>-12664.64</v>
          </cell>
          <cell r="X36049" t="str">
            <v>Variation UPR - gross</v>
          </cell>
          <cell r="Y36049" t="str">
            <v>FRANCE</v>
          </cell>
        </row>
        <row r="36050">
          <cell r="L36050" t="str">
            <v>Non-proportional</v>
          </cell>
          <cell r="S36050">
            <v>-39.119999999999997</v>
          </cell>
          <cell r="X36050" t="str">
            <v>Variation UPR - gross</v>
          </cell>
          <cell r="Y36050" t="str">
            <v>ISRAEL</v>
          </cell>
        </row>
        <row r="36051">
          <cell r="L36051" t="str">
            <v>Non-proportional</v>
          </cell>
          <cell r="S36051">
            <v>-20.11</v>
          </cell>
          <cell r="X36051" t="str">
            <v>Variation UPR - gross</v>
          </cell>
          <cell r="Y36051" t="str">
            <v>ISRAEL</v>
          </cell>
        </row>
        <row r="36052">
          <cell r="L36052" t="str">
            <v>Non-proportional</v>
          </cell>
          <cell r="S36052">
            <v>5.08</v>
          </cell>
          <cell r="X36052" t="str">
            <v>Variation UPR - gross</v>
          </cell>
          <cell r="Y36052" t="str">
            <v>INDIA</v>
          </cell>
        </row>
        <row r="36053">
          <cell r="L36053" t="str">
            <v>Non-proportional</v>
          </cell>
          <cell r="S36053">
            <v>47.4</v>
          </cell>
          <cell r="X36053" t="str">
            <v>Variation UPR - gross</v>
          </cell>
          <cell r="Y36053" t="str">
            <v>NEW ZEALAND</v>
          </cell>
        </row>
        <row r="36054">
          <cell r="L36054" t="str">
            <v>Non-proportional</v>
          </cell>
          <cell r="S36054">
            <v>-1519.91</v>
          </cell>
          <cell r="X36054" t="str">
            <v>Variation UPR - gross</v>
          </cell>
          <cell r="Y36054" t="str">
            <v>MEXICO</v>
          </cell>
        </row>
        <row r="36055">
          <cell r="L36055" t="str">
            <v>Non-proportional</v>
          </cell>
          <cell r="S36055">
            <v>-12806.11</v>
          </cell>
          <cell r="X36055" t="str">
            <v>Variation UPR - gross</v>
          </cell>
          <cell r="Y36055" t="str">
            <v>CHILE</v>
          </cell>
        </row>
        <row r="36056">
          <cell r="L36056" t="str">
            <v>Non-proportional</v>
          </cell>
          <cell r="S36056">
            <v>-44.55</v>
          </cell>
          <cell r="X36056" t="str">
            <v>Variation UPR - gross</v>
          </cell>
          <cell r="Y36056" t="str">
            <v>ISRAEL</v>
          </cell>
        </row>
        <row r="36057">
          <cell r="L36057" t="str">
            <v>Non-proportional</v>
          </cell>
          <cell r="S36057">
            <v>-10120.5</v>
          </cell>
          <cell r="X36057" t="str">
            <v>Variation UPR - gross</v>
          </cell>
          <cell r="Y36057" t="str">
            <v>ITALY</v>
          </cell>
        </row>
        <row r="36058">
          <cell r="L36058" t="str">
            <v>Non-proportional</v>
          </cell>
          <cell r="S36058">
            <v>-6658.89</v>
          </cell>
          <cell r="X36058" t="str">
            <v>Variation UPR - gross</v>
          </cell>
          <cell r="Y36058" t="str">
            <v>CYPRUS</v>
          </cell>
        </row>
        <row r="36059">
          <cell r="L36059" t="str">
            <v>Non-proportional</v>
          </cell>
          <cell r="S36059">
            <v>497.69</v>
          </cell>
          <cell r="X36059" t="str">
            <v>Variation UPR - gross</v>
          </cell>
          <cell r="Y36059" t="str">
            <v>INDIA</v>
          </cell>
        </row>
        <row r="36060">
          <cell r="L36060" t="str">
            <v>Proportional</v>
          </cell>
          <cell r="S36060">
            <v>-695.83</v>
          </cell>
          <cell r="X36060" t="str">
            <v>Variation UPR - gross</v>
          </cell>
          <cell r="Y36060" t="str">
            <v>THAILAND</v>
          </cell>
        </row>
        <row r="36061">
          <cell r="L36061" t="str">
            <v>Non-proportional</v>
          </cell>
          <cell r="S36061">
            <v>-612.5</v>
          </cell>
          <cell r="X36061" t="str">
            <v>Variation UPR - gross</v>
          </cell>
          <cell r="Y36061" t="str">
            <v>GREECE</v>
          </cell>
        </row>
        <row r="36062">
          <cell r="L36062" t="str">
            <v>Non-proportional</v>
          </cell>
          <cell r="S36062">
            <v>-2930.4</v>
          </cell>
          <cell r="X36062" t="str">
            <v>Variation UPR - gross</v>
          </cell>
          <cell r="Y36062" t="str">
            <v>UNITED ARAB EMIRATES</v>
          </cell>
        </row>
        <row r="36063">
          <cell r="L36063" t="str">
            <v>Non-proportional</v>
          </cell>
          <cell r="S36063">
            <v>-1480.8</v>
          </cell>
          <cell r="X36063" t="str">
            <v>Variation UPR - gross</v>
          </cell>
          <cell r="Y36063" t="str">
            <v>FRANCE</v>
          </cell>
        </row>
        <row r="36064">
          <cell r="L36064" t="str">
            <v>Non-proportional</v>
          </cell>
          <cell r="S36064">
            <v>19798.79</v>
          </cell>
          <cell r="X36064" t="str">
            <v>Variation UPR - gross</v>
          </cell>
          <cell r="Y36064" t="str">
            <v>COSTA RICA</v>
          </cell>
        </row>
        <row r="36065">
          <cell r="L36065" t="str">
            <v>Non-proportional</v>
          </cell>
          <cell r="S36065">
            <v>-3313.54</v>
          </cell>
          <cell r="X36065" t="str">
            <v>Variation UPR - gross</v>
          </cell>
          <cell r="Y36065" t="str">
            <v>DOMINICAN REPUBLIC</v>
          </cell>
        </row>
        <row r="36066">
          <cell r="L36066" t="str">
            <v>Non-proportional</v>
          </cell>
          <cell r="S36066">
            <v>-6251.02</v>
          </cell>
          <cell r="X36066" t="str">
            <v>Variation UPR - gross</v>
          </cell>
          <cell r="Y36066" t="str">
            <v>COLOMBIA</v>
          </cell>
        </row>
        <row r="36067">
          <cell r="L36067" t="str">
            <v>Non-proportional</v>
          </cell>
          <cell r="S36067">
            <v>-8933.73</v>
          </cell>
          <cell r="X36067" t="str">
            <v>Variation UPR - gross</v>
          </cell>
          <cell r="Y36067" t="str">
            <v>PERU</v>
          </cell>
        </row>
        <row r="36068">
          <cell r="L36068" t="str">
            <v>Non-proportional</v>
          </cell>
          <cell r="S36068">
            <v>-3796.46</v>
          </cell>
          <cell r="X36068" t="str">
            <v>Variation UPR - gross</v>
          </cell>
          <cell r="Y36068" t="str">
            <v>ITALY</v>
          </cell>
        </row>
        <row r="36069">
          <cell r="L36069" t="str">
            <v>Non-proportional</v>
          </cell>
          <cell r="S36069">
            <v>-2610</v>
          </cell>
          <cell r="X36069" t="str">
            <v>Variation UPR - gross</v>
          </cell>
          <cell r="Y36069" t="str">
            <v>GREECE</v>
          </cell>
        </row>
        <row r="36070">
          <cell r="L36070" t="str">
            <v>Non-proportional</v>
          </cell>
          <cell r="S36070">
            <v>-654.54</v>
          </cell>
          <cell r="X36070" t="str">
            <v>Variation UPR - gross</v>
          </cell>
          <cell r="Y36070" t="str">
            <v>MEXICO</v>
          </cell>
        </row>
        <row r="36071">
          <cell r="L36071" t="str">
            <v>Non-proportional</v>
          </cell>
          <cell r="S36071">
            <v>-747.05</v>
          </cell>
          <cell r="X36071" t="str">
            <v>Variation UPR - gross</v>
          </cell>
          <cell r="Y36071" t="str">
            <v>JAPAN</v>
          </cell>
        </row>
        <row r="36072">
          <cell r="L36072" t="str">
            <v>Non-proportional</v>
          </cell>
          <cell r="S36072">
            <v>-7586.5</v>
          </cell>
          <cell r="X36072" t="str">
            <v>Variation UPR - gross</v>
          </cell>
          <cell r="Y36072" t="str">
            <v>FRANCE</v>
          </cell>
        </row>
        <row r="36073">
          <cell r="L36073" t="str">
            <v>Non-proportional</v>
          </cell>
          <cell r="S36073">
            <v>-151.61000000000001</v>
          </cell>
          <cell r="X36073" t="str">
            <v>Variation UPR - gross</v>
          </cell>
          <cell r="Y36073" t="str">
            <v>ISRAEL</v>
          </cell>
        </row>
        <row r="36074">
          <cell r="L36074" t="str">
            <v>Proportional</v>
          </cell>
          <cell r="S36074">
            <v>-1540.59</v>
          </cell>
          <cell r="X36074" t="str">
            <v>Variation UPR - gross</v>
          </cell>
          <cell r="Y36074" t="str">
            <v>THAILAND</v>
          </cell>
        </row>
        <row r="36075">
          <cell r="L36075" t="str">
            <v>Non-proportional</v>
          </cell>
          <cell r="S36075">
            <v>-898.87</v>
          </cell>
          <cell r="X36075" t="str">
            <v>Variation UPR - gross</v>
          </cell>
          <cell r="Y36075" t="str">
            <v>FRANCE</v>
          </cell>
        </row>
        <row r="36076">
          <cell r="L36076" t="str">
            <v>Non-proportional</v>
          </cell>
          <cell r="S36076">
            <v>-1223.8800000000001</v>
          </cell>
          <cell r="X36076" t="str">
            <v>Variation UPR - gross</v>
          </cell>
          <cell r="Y36076" t="str">
            <v>MEXICO</v>
          </cell>
        </row>
        <row r="36077">
          <cell r="L36077" t="str">
            <v>Non-proportional</v>
          </cell>
          <cell r="S36077">
            <v>-4426.2</v>
          </cell>
          <cell r="X36077" t="str">
            <v>Variation UPR - gross</v>
          </cell>
          <cell r="Y36077" t="str">
            <v>UNITED KINGDOM</v>
          </cell>
        </row>
        <row r="36078">
          <cell r="L36078" t="str">
            <v>Non-proportional</v>
          </cell>
          <cell r="S36078">
            <v>-5.17</v>
          </cell>
          <cell r="X36078" t="str">
            <v>Variation UPR - gross</v>
          </cell>
          <cell r="Y36078" t="str">
            <v>COSTA RICA</v>
          </cell>
        </row>
        <row r="36079">
          <cell r="L36079" t="str">
            <v>Non-proportional</v>
          </cell>
          <cell r="S36079">
            <v>0.02</v>
          </cell>
          <cell r="X36079" t="str">
            <v>Variation UPR - gross</v>
          </cell>
          <cell r="Y36079" t="str">
            <v>DOMINICAN REPUBLIC</v>
          </cell>
        </row>
        <row r="36080">
          <cell r="L36080" t="str">
            <v>Non-proportional</v>
          </cell>
          <cell r="S36080">
            <v>-654.94000000000005</v>
          </cell>
          <cell r="X36080" t="str">
            <v>Variation UPR - gross</v>
          </cell>
          <cell r="Y36080" t="str">
            <v>NEW ZEALAND</v>
          </cell>
        </row>
        <row r="36081">
          <cell r="L36081" t="str">
            <v>Non-proportional</v>
          </cell>
          <cell r="S36081">
            <v>-4250.71</v>
          </cell>
          <cell r="X36081" t="str">
            <v>Variation UPR - gross</v>
          </cell>
          <cell r="Y36081" t="str">
            <v>ITALY</v>
          </cell>
        </row>
        <row r="36082">
          <cell r="L36082" t="str">
            <v>Non-proportional</v>
          </cell>
          <cell r="S36082">
            <v>-14752.06</v>
          </cell>
          <cell r="X36082" t="str">
            <v>Variation UPR - gross</v>
          </cell>
          <cell r="Y36082" t="str">
            <v>INDIA</v>
          </cell>
        </row>
        <row r="36083">
          <cell r="L36083" t="str">
            <v>Proportional</v>
          </cell>
          <cell r="S36083">
            <v>-1273.26</v>
          </cell>
          <cell r="X36083" t="str">
            <v>Variation UPR - gross</v>
          </cell>
          <cell r="Y36083" t="str">
            <v>UNITED STATES</v>
          </cell>
        </row>
        <row r="36084">
          <cell r="L36084" t="str">
            <v>Non-proportional</v>
          </cell>
          <cell r="S36084">
            <v>-25298.400000000001</v>
          </cell>
          <cell r="X36084" t="str">
            <v>Variation UPR - gross</v>
          </cell>
          <cell r="Y36084" t="str">
            <v>FRANCE</v>
          </cell>
        </row>
        <row r="36085">
          <cell r="L36085" t="str">
            <v>Proportional</v>
          </cell>
          <cell r="S36085">
            <v>-3071.32</v>
          </cell>
          <cell r="X36085" t="str">
            <v>Variation UPR - gross</v>
          </cell>
          <cell r="Y36085" t="str">
            <v>INDIA</v>
          </cell>
        </row>
        <row r="36086">
          <cell r="L36086" t="str">
            <v>Non-proportional</v>
          </cell>
          <cell r="S36086">
            <v>-6197.27</v>
          </cell>
          <cell r="X36086" t="str">
            <v>Variation UPR - gross</v>
          </cell>
          <cell r="Y36086" t="str">
            <v>NEW ZEALAND</v>
          </cell>
        </row>
        <row r="36087">
          <cell r="L36087" t="str">
            <v>Non-proportional</v>
          </cell>
          <cell r="S36087">
            <v>-3283.28</v>
          </cell>
          <cell r="X36087" t="str">
            <v>Variation UPR - gross</v>
          </cell>
          <cell r="Y36087" t="str">
            <v>UNITED KINGDOM</v>
          </cell>
        </row>
        <row r="36088">
          <cell r="L36088" t="str">
            <v>Non-proportional</v>
          </cell>
          <cell r="S36088">
            <v>-467.17</v>
          </cell>
          <cell r="X36088" t="str">
            <v>Variation UPR - gross</v>
          </cell>
          <cell r="Y36088" t="str">
            <v>UNITED KINGDOM</v>
          </cell>
        </row>
        <row r="36089">
          <cell r="L36089" t="str">
            <v>Non-proportional</v>
          </cell>
          <cell r="S36089">
            <v>-14497.31</v>
          </cell>
          <cell r="X36089" t="str">
            <v>Variation UPR - gross</v>
          </cell>
          <cell r="Y36089" t="str">
            <v>UNITED KINGDOM</v>
          </cell>
        </row>
        <row r="36090">
          <cell r="L36090" t="str">
            <v>Non-proportional</v>
          </cell>
          <cell r="S36090">
            <v>-2469.62</v>
          </cell>
          <cell r="X36090" t="str">
            <v>Variation UPR - gross</v>
          </cell>
          <cell r="Y36090" t="str">
            <v>FRANCE</v>
          </cell>
        </row>
        <row r="36091">
          <cell r="L36091" t="str">
            <v>Non-proportional</v>
          </cell>
          <cell r="S36091">
            <v>-209.8</v>
          </cell>
          <cell r="X36091" t="str">
            <v>Variation UPR - gross</v>
          </cell>
          <cell r="Y36091" t="str">
            <v>JAPAN</v>
          </cell>
        </row>
        <row r="36092">
          <cell r="L36092" t="str">
            <v>Non-proportional</v>
          </cell>
          <cell r="S36092">
            <v>-133.62</v>
          </cell>
          <cell r="X36092" t="str">
            <v>Variation UPR - gross</v>
          </cell>
          <cell r="Y36092" t="str">
            <v>INDIA</v>
          </cell>
        </row>
        <row r="36093">
          <cell r="L36093" t="str">
            <v>Non-proportional</v>
          </cell>
          <cell r="S36093">
            <v>-28848.58</v>
          </cell>
          <cell r="X36093" t="str">
            <v>Variation UPR - gross</v>
          </cell>
          <cell r="Y36093" t="str">
            <v>FRANCE</v>
          </cell>
        </row>
        <row r="36094">
          <cell r="L36094" t="str">
            <v>Non-proportional</v>
          </cell>
          <cell r="S36094">
            <v>-3159.65</v>
          </cell>
          <cell r="X36094" t="str">
            <v>Variation UPR - gross</v>
          </cell>
          <cell r="Y36094" t="str">
            <v>JAPAN</v>
          </cell>
        </row>
        <row r="36095">
          <cell r="L36095" t="str">
            <v>Non-proportional</v>
          </cell>
          <cell r="S36095">
            <v>-2100.21</v>
          </cell>
          <cell r="X36095" t="str">
            <v>Variation UPR - gross</v>
          </cell>
          <cell r="Y36095" t="str">
            <v>DOMINICAN REPUBLIC</v>
          </cell>
        </row>
        <row r="36096">
          <cell r="L36096" t="str">
            <v>Proportional</v>
          </cell>
          <cell r="S36096">
            <v>-520</v>
          </cell>
          <cell r="X36096" t="str">
            <v>Variation UPR - gross</v>
          </cell>
          <cell r="Y36096" t="str">
            <v>ITALY</v>
          </cell>
        </row>
        <row r="36097">
          <cell r="L36097" t="str">
            <v>Non-proportional</v>
          </cell>
          <cell r="S36097">
            <v>391.37</v>
          </cell>
          <cell r="X36097" t="str">
            <v>Variation UPR - gross</v>
          </cell>
          <cell r="Y36097" t="str">
            <v>COLOMBIA</v>
          </cell>
        </row>
        <row r="36098">
          <cell r="L36098" t="str">
            <v>Non-proportional</v>
          </cell>
          <cell r="S36098">
            <v>-47353.03</v>
          </cell>
          <cell r="X36098" t="str">
            <v>Variation UPR - gross</v>
          </cell>
          <cell r="Y36098" t="str">
            <v>UNITED KINGDOM</v>
          </cell>
        </row>
        <row r="36099">
          <cell r="L36099" t="str">
            <v>Non-proportional</v>
          </cell>
          <cell r="S36099">
            <v>-3868.92</v>
          </cell>
          <cell r="X36099" t="str">
            <v>Variation UPR - gross</v>
          </cell>
          <cell r="Y36099" t="str">
            <v>CHILE</v>
          </cell>
        </row>
        <row r="36100">
          <cell r="L36100" t="str">
            <v>Non-proportional</v>
          </cell>
          <cell r="S36100">
            <v>-387.5</v>
          </cell>
          <cell r="X36100" t="str">
            <v>Variation UPR - gross</v>
          </cell>
          <cell r="Y36100" t="str">
            <v>ITALY</v>
          </cell>
        </row>
        <row r="36101">
          <cell r="L36101" t="str">
            <v>Non-proportional</v>
          </cell>
          <cell r="S36101">
            <v>-6664.36</v>
          </cell>
          <cell r="X36101" t="str">
            <v>Variation UPR - gross</v>
          </cell>
          <cell r="Y36101" t="str">
            <v>THAILAND</v>
          </cell>
        </row>
        <row r="36102">
          <cell r="L36102" t="str">
            <v>Non-proportional</v>
          </cell>
          <cell r="S36102">
            <v>-3918.27</v>
          </cell>
          <cell r="X36102" t="str">
            <v>Variation UPR - gross</v>
          </cell>
          <cell r="Y36102" t="str">
            <v>DOMINICAN REPUBLIC</v>
          </cell>
        </row>
        <row r="36103">
          <cell r="L36103" t="str">
            <v>Proportional</v>
          </cell>
          <cell r="S36103">
            <v>-323.23</v>
          </cell>
          <cell r="X36103" t="str">
            <v>Variation UPR - gross</v>
          </cell>
          <cell r="Y36103" t="str">
            <v>THAILAND</v>
          </cell>
        </row>
        <row r="36104">
          <cell r="L36104" t="str">
            <v>Non-proportional</v>
          </cell>
          <cell r="S36104">
            <v>-135.1</v>
          </cell>
          <cell r="X36104" t="str">
            <v>Variation UPR - gross</v>
          </cell>
          <cell r="Y36104" t="str">
            <v>JAPAN</v>
          </cell>
        </row>
        <row r="36105">
          <cell r="L36105" t="str">
            <v>Non-proportional</v>
          </cell>
          <cell r="S36105">
            <v>-642.65</v>
          </cell>
          <cell r="X36105" t="str">
            <v>Variation UPR - gross</v>
          </cell>
          <cell r="Y36105" t="str">
            <v>JAPAN</v>
          </cell>
        </row>
        <row r="36106">
          <cell r="L36106" t="str">
            <v>Proportional</v>
          </cell>
          <cell r="S36106">
            <v>-6876.06</v>
          </cell>
          <cell r="X36106" t="str">
            <v>Variation UPR - gross</v>
          </cell>
          <cell r="Y36106" t="str">
            <v>THAILAND</v>
          </cell>
        </row>
        <row r="36107">
          <cell r="L36107" t="str">
            <v>Non-proportional</v>
          </cell>
          <cell r="S36107">
            <v>-7503</v>
          </cell>
          <cell r="X36107" t="str">
            <v>Variation UPR - gross</v>
          </cell>
          <cell r="Y36107" t="str">
            <v>CYPRUS</v>
          </cell>
        </row>
        <row r="36108">
          <cell r="L36108" t="str">
            <v>Non-proportional</v>
          </cell>
          <cell r="S36108">
            <v>-2753.8</v>
          </cell>
          <cell r="X36108" t="str">
            <v>Variation UPR - gross</v>
          </cell>
          <cell r="Y36108" t="str">
            <v>MEXICO</v>
          </cell>
        </row>
        <row r="36109">
          <cell r="L36109" t="str">
            <v>Proportional</v>
          </cell>
          <cell r="S36109">
            <v>-40313.360000000001</v>
          </cell>
          <cell r="X36109" t="str">
            <v>Variation UPR - gross</v>
          </cell>
          <cell r="Y36109" t="str">
            <v>UNITED STATES</v>
          </cell>
        </row>
        <row r="36110">
          <cell r="L36110" t="str">
            <v>Non-proportional</v>
          </cell>
          <cell r="S36110">
            <v>-172.58</v>
          </cell>
          <cell r="X36110" t="str">
            <v>Variation UPR - gross</v>
          </cell>
          <cell r="Y36110" t="str">
            <v>INDIA</v>
          </cell>
        </row>
        <row r="36111">
          <cell r="L36111" t="str">
            <v>Non-proportional</v>
          </cell>
          <cell r="S36111">
            <v>-10430.1</v>
          </cell>
          <cell r="X36111" t="str">
            <v>Variation UPR - gross</v>
          </cell>
          <cell r="Y36111" t="str">
            <v>ECUADOR</v>
          </cell>
        </row>
        <row r="36112">
          <cell r="L36112" t="str">
            <v>Non-proportional</v>
          </cell>
          <cell r="S36112">
            <v>-4233.33</v>
          </cell>
          <cell r="X36112" t="str">
            <v>Variation UPR - gross</v>
          </cell>
          <cell r="Y36112" t="str">
            <v>FRANCE</v>
          </cell>
        </row>
        <row r="36113">
          <cell r="L36113" t="str">
            <v>Non-proportional</v>
          </cell>
          <cell r="S36113">
            <v>-4425.46</v>
          </cell>
          <cell r="X36113" t="str">
            <v>Variation UPR - gross</v>
          </cell>
          <cell r="Y36113" t="str">
            <v>FRANCE</v>
          </cell>
        </row>
        <row r="36114">
          <cell r="L36114" t="str">
            <v>Non-proportional</v>
          </cell>
          <cell r="S36114">
            <v>-1257.8</v>
          </cell>
          <cell r="X36114" t="str">
            <v>Variation UPR - gross</v>
          </cell>
          <cell r="Y36114" t="str">
            <v>ITALY</v>
          </cell>
        </row>
        <row r="36115">
          <cell r="L36115" t="str">
            <v>Non-proportional</v>
          </cell>
          <cell r="S36115">
            <v>158.44999999999999</v>
          </cell>
          <cell r="X36115" t="str">
            <v>Variation UPR - gross</v>
          </cell>
          <cell r="Y36115" t="str">
            <v>JAPAN</v>
          </cell>
        </row>
        <row r="36116">
          <cell r="L36116" t="str">
            <v>Proportional</v>
          </cell>
          <cell r="S36116">
            <v>-11974.44</v>
          </cell>
          <cell r="X36116" t="str">
            <v>Variation UPR - gross</v>
          </cell>
          <cell r="Y36116" t="str">
            <v>THAILAND</v>
          </cell>
        </row>
        <row r="36117">
          <cell r="L36117" t="str">
            <v>Non-proportional</v>
          </cell>
          <cell r="S36117">
            <v>32.5</v>
          </cell>
          <cell r="X36117" t="str">
            <v>Variation UPR - gross</v>
          </cell>
          <cell r="Y36117" t="str">
            <v>NEW ZEALAND</v>
          </cell>
        </row>
        <row r="36118">
          <cell r="L36118" t="str">
            <v>Non-proportional</v>
          </cell>
          <cell r="S36118">
            <v>-8924.23</v>
          </cell>
          <cell r="X36118" t="str">
            <v>Variation UPR - gross</v>
          </cell>
          <cell r="Y36118" t="str">
            <v>MEXICO</v>
          </cell>
        </row>
        <row r="36119">
          <cell r="L36119" t="str">
            <v>Proportional</v>
          </cell>
          <cell r="S36119">
            <v>-78344.23</v>
          </cell>
          <cell r="X36119" t="str">
            <v>Variation UPR - gross</v>
          </cell>
          <cell r="Y36119" t="str">
            <v>THAILAND</v>
          </cell>
        </row>
        <row r="36120">
          <cell r="L36120" t="str">
            <v>Non-proportional</v>
          </cell>
          <cell r="S36120">
            <v>-13143.77</v>
          </cell>
          <cell r="X36120" t="str">
            <v>Variation UPR - gross</v>
          </cell>
          <cell r="Y36120" t="str">
            <v>AUSTRALIA</v>
          </cell>
        </row>
        <row r="36121">
          <cell r="L36121" t="str">
            <v>Non-proportional</v>
          </cell>
          <cell r="S36121">
            <v>-4394.82</v>
          </cell>
          <cell r="X36121" t="str">
            <v>Variation UPR - gross</v>
          </cell>
          <cell r="Y36121" t="str">
            <v>UNITED KINGDOM</v>
          </cell>
        </row>
        <row r="36122">
          <cell r="L36122" t="str">
            <v>Non-proportional</v>
          </cell>
          <cell r="S36122">
            <v>-5951.85</v>
          </cell>
          <cell r="X36122" t="str">
            <v>Variation UPR - gross</v>
          </cell>
          <cell r="Y36122" t="str">
            <v>ECUADOR</v>
          </cell>
        </row>
        <row r="36123">
          <cell r="L36123" t="str">
            <v>Non-proportional</v>
          </cell>
          <cell r="S36123">
            <v>-81184.94</v>
          </cell>
          <cell r="X36123" t="str">
            <v>Variation UPR - gross</v>
          </cell>
          <cell r="Y36123" t="str">
            <v>UNITED KINGDOM</v>
          </cell>
        </row>
        <row r="36124">
          <cell r="L36124" t="str">
            <v>Non-proportional</v>
          </cell>
          <cell r="S36124">
            <v>-16612.580000000002</v>
          </cell>
          <cell r="X36124" t="str">
            <v>Variation UPR - gross</v>
          </cell>
          <cell r="Y36124" t="str">
            <v>SOUTH KOREA</v>
          </cell>
        </row>
        <row r="36125">
          <cell r="L36125" t="str">
            <v>Non-proportional</v>
          </cell>
          <cell r="S36125">
            <v>-6894.27</v>
          </cell>
          <cell r="X36125" t="str">
            <v>Variation UPR - gross</v>
          </cell>
          <cell r="Y36125" t="str">
            <v>PERU</v>
          </cell>
        </row>
        <row r="36126">
          <cell r="L36126" t="str">
            <v>Non-proportional</v>
          </cell>
          <cell r="S36126">
            <v>-543.75</v>
          </cell>
          <cell r="X36126" t="str">
            <v>Variation UPR - gross</v>
          </cell>
          <cell r="Y36126" t="str">
            <v>GREECE</v>
          </cell>
        </row>
        <row r="36127">
          <cell r="L36127" t="str">
            <v>Non-proportional</v>
          </cell>
          <cell r="S36127">
            <v>-7267.71</v>
          </cell>
          <cell r="X36127" t="str">
            <v>Variation UPR - gross</v>
          </cell>
          <cell r="Y36127" t="str">
            <v>FRANCE</v>
          </cell>
        </row>
        <row r="36128">
          <cell r="L36128" t="str">
            <v>Non-proportional</v>
          </cell>
          <cell r="S36128">
            <v>-1749.72</v>
          </cell>
          <cell r="X36128" t="str">
            <v>Variation UPR - gross</v>
          </cell>
          <cell r="Y36128" t="str">
            <v>NETHERLANDS</v>
          </cell>
        </row>
        <row r="36129">
          <cell r="L36129" t="str">
            <v>Non-proportional</v>
          </cell>
          <cell r="S36129">
            <v>-451.39</v>
          </cell>
          <cell r="X36129" t="str">
            <v>Variation UPR - gross</v>
          </cell>
          <cell r="Y36129" t="str">
            <v>TURKEY</v>
          </cell>
        </row>
        <row r="36130">
          <cell r="L36130" t="str">
            <v>Proportional</v>
          </cell>
          <cell r="S36130">
            <v>-2566.7199999999998</v>
          </cell>
          <cell r="X36130" t="str">
            <v>Variation UPR - gross</v>
          </cell>
          <cell r="Y36130" t="str">
            <v>FRANCE</v>
          </cell>
        </row>
        <row r="36131">
          <cell r="L36131" t="str">
            <v>Non-proportional</v>
          </cell>
          <cell r="S36131">
            <v>-853.02</v>
          </cell>
          <cell r="X36131" t="str">
            <v>Variation UPR - gross</v>
          </cell>
          <cell r="Y36131" t="str">
            <v>INDIA</v>
          </cell>
        </row>
        <row r="36132">
          <cell r="L36132" t="str">
            <v>Non-proportional</v>
          </cell>
          <cell r="S36132">
            <v>-9178.3799999999992</v>
          </cell>
          <cell r="X36132" t="str">
            <v>Variation UPR - gross</v>
          </cell>
          <cell r="Y36132" t="str">
            <v>FRANCE</v>
          </cell>
        </row>
        <row r="36133">
          <cell r="L36133" t="str">
            <v>Non-proportional</v>
          </cell>
          <cell r="S36133">
            <v>-5029.66</v>
          </cell>
          <cell r="X36133" t="str">
            <v>Variation UPR - gross</v>
          </cell>
          <cell r="Y36133" t="str">
            <v>ECUADOR</v>
          </cell>
        </row>
        <row r="36134">
          <cell r="L36134" t="str">
            <v>Non-proportional</v>
          </cell>
          <cell r="S36134">
            <v>485.45</v>
          </cell>
          <cell r="X36134" t="str">
            <v>Variation UPR - gross</v>
          </cell>
          <cell r="Y36134" t="str">
            <v>DOMINICAN REPUBLIC</v>
          </cell>
        </row>
        <row r="36135">
          <cell r="L36135" t="str">
            <v>Non-proportional</v>
          </cell>
          <cell r="S36135">
            <v>-16547.349999999999</v>
          </cell>
          <cell r="X36135" t="str">
            <v>Variation UPR - gross</v>
          </cell>
          <cell r="Y36135" t="str">
            <v>UNITED KINGDOM</v>
          </cell>
        </row>
        <row r="36136">
          <cell r="L36136" t="str">
            <v>Non-proportional</v>
          </cell>
          <cell r="S36136">
            <v>-3593.75</v>
          </cell>
          <cell r="X36136" t="str">
            <v>Variation UPR - gross</v>
          </cell>
          <cell r="Y36136" t="str">
            <v>GREECE</v>
          </cell>
        </row>
        <row r="36137">
          <cell r="L36137" t="str">
            <v>Non-proportional</v>
          </cell>
          <cell r="S36137">
            <v>-9433.4699999999993</v>
          </cell>
          <cell r="X36137" t="str">
            <v>Variation UPR - gross</v>
          </cell>
          <cell r="Y36137" t="str">
            <v>ISRAEL</v>
          </cell>
        </row>
        <row r="36138">
          <cell r="L36138" t="str">
            <v>Non-proportional</v>
          </cell>
          <cell r="S36138">
            <v>-21666.67</v>
          </cell>
          <cell r="X36138" t="str">
            <v>Variation UPR - gross</v>
          </cell>
          <cell r="Y36138" t="str">
            <v>FRANCE</v>
          </cell>
        </row>
        <row r="36139">
          <cell r="L36139" t="str">
            <v>Non-proportional</v>
          </cell>
          <cell r="S36139">
            <v>-35997.360000000001</v>
          </cell>
          <cell r="X36139" t="str">
            <v>Variation UPR - gross</v>
          </cell>
          <cell r="Y36139" t="str">
            <v>UNITED KINGDOM</v>
          </cell>
        </row>
        <row r="36140">
          <cell r="L36140" t="str">
            <v>Non-proportional</v>
          </cell>
          <cell r="S36140">
            <v>85.89</v>
          </cell>
          <cell r="X36140" t="str">
            <v>Variation UPR - gross</v>
          </cell>
          <cell r="Y36140" t="str">
            <v>COLOMBIA</v>
          </cell>
        </row>
        <row r="36141">
          <cell r="L36141" t="str">
            <v>Non-proportional</v>
          </cell>
          <cell r="S36141">
            <v>-1749.93</v>
          </cell>
          <cell r="X36141" t="str">
            <v>Variation UPR - gross</v>
          </cell>
          <cell r="Y36141" t="str">
            <v>EUROPE</v>
          </cell>
        </row>
        <row r="36142">
          <cell r="L36142" t="str">
            <v>Non-proportional</v>
          </cell>
          <cell r="S36142">
            <v>0.01</v>
          </cell>
          <cell r="X36142" t="str">
            <v>Variation UPR - gross</v>
          </cell>
          <cell r="Y36142" t="str">
            <v>DOMINICAN REPUBLIC</v>
          </cell>
        </row>
        <row r="36143">
          <cell r="L36143" t="str">
            <v>Non-proportional</v>
          </cell>
          <cell r="S36143">
            <v>113.11</v>
          </cell>
          <cell r="X36143" t="str">
            <v>Variation UPR - gross</v>
          </cell>
          <cell r="Y36143" t="str">
            <v>NEW ZEALAND</v>
          </cell>
        </row>
        <row r="36144">
          <cell r="L36144" t="str">
            <v>Non-proportional</v>
          </cell>
          <cell r="S36144">
            <v>80.569999999999993</v>
          </cell>
          <cell r="X36144" t="str">
            <v>Variation UPR - gross</v>
          </cell>
          <cell r="Y36144" t="str">
            <v>NEW ZEALAND</v>
          </cell>
        </row>
        <row r="36145">
          <cell r="L36145" t="str">
            <v>Non-proportional</v>
          </cell>
          <cell r="S36145">
            <v>-4059.79</v>
          </cell>
          <cell r="X36145" t="str">
            <v>Variation UPR - gross</v>
          </cell>
          <cell r="Y36145" t="str">
            <v>ECUADOR</v>
          </cell>
        </row>
        <row r="36146">
          <cell r="L36146" t="str">
            <v>Non-proportional</v>
          </cell>
          <cell r="S36146">
            <v>-3625.33</v>
          </cell>
          <cell r="X36146" t="str">
            <v>Variation UPR - gross</v>
          </cell>
          <cell r="Y36146" t="str">
            <v>ISRAEL</v>
          </cell>
        </row>
        <row r="36147">
          <cell r="L36147" t="str">
            <v>Non-proportional</v>
          </cell>
          <cell r="S36147">
            <v>-5261.73</v>
          </cell>
          <cell r="X36147" t="str">
            <v>Variation UPR - gross</v>
          </cell>
          <cell r="Y36147" t="str">
            <v>CHILE</v>
          </cell>
        </row>
        <row r="36148">
          <cell r="L36148" t="str">
            <v>Non-proportional</v>
          </cell>
          <cell r="S36148">
            <v>-10707.08</v>
          </cell>
          <cell r="X36148" t="str">
            <v>Variation UPR - gross</v>
          </cell>
          <cell r="Y36148" t="str">
            <v>FRANCE</v>
          </cell>
        </row>
        <row r="36149">
          <cell r="L36149" t="str">
            <v>Non-proportional</v>
          </cell>
          <cell r="S36149">
            <v>-4402.74</v>
          </cell>
          <cell r="X36149" t="str">
            <v>Variation UPR - gross</v>
          </cell>
          <cell r="Y36149" t="str">
            <v>THAILAND</v>
          </cell>
        </row>
        <row r="36150">
          <cell r="L36150" t="str">
            <v>Non-proportional</v>
          </cell>
          <cell r="S36150">
            <v>-419692.57</v>
          </cell>
          <cell r="X36150" t="str">
            <v>Variation UPR - gross</v>
          </cell>
          <cell r="Y36150" t="str">
            <v>UNITED KINGDOM</v>
          </cell>
        </row>
        <row r="36151">
          <cell r="L36151" t="str">
            <v>Non-proportional</v>
          </cell>
          <cell r="S36151">
            <v>-70358.710000000006</v>
          </cell>
          <cell r="X36151" t="str">
            <v>Variation UPR - gross</v>
          </cell>
          <cell r="Y36151" t="str">
            <v>UNITED KINGDOM</v>
          </cell>
        </row>
        <row r="36152">
          <cell r="L36152" t="str">
            <v>Non-proportional</v>
          </cell>
          <cell r="S36152">
            <v>154.76</v>
          </cell>
          <cell r="X36152" t="str">
            <v>Variation UPR - gross</v>
          </cell>
          <cell r="Y36152" t="str">
            <v>CHILE</v>
          </cell>
        </row>
        <row r="36153">
          <cell r="L36153" t="str">
            <v>Non-proportional</v>
          </cell>
          <cell r="S36153">
            <v>-3749.94</v>
          </cell>
          <cell r="X36153" t="str">
            <v>Variation UPR - gross</v>
          </cell>
          <cell r="Y36153" t="str">
            <v>EUROPE</v>
          </cell>
        </row>
        <row r="36154">
          <cell r="L36154" t="str">
            <v>Non-proportional</v>
          </cell>
          <cell r="S36154">
            <v>10559.25</v>
          </cell>
          <cell r="X36154" t="str">
            <v>Variation UPR - gross</v>
          </cell>
          <cell r="Y36154" t="str">
            <v>COSTA RICA</v>
          </cell>
        </row>
        <row r="36155">
          <cell r="L36155" t="str">
            <v>Non-proportional</v>
          </cell>
          <cell r="S36155">
            <v>-178.74</v>
          </cell>
          <cell r="X36155" t="str">
            <v>Variation UPR - gross</v>
          </cell>
          <cell r="Y36155" t="str">
            <v>INDIA</v>
          </cell>
        </row>
        <row r="36156">
          <cell r="L36156" t="str">
            <v>Non-proportional</v>
          </cell>
          <cell r="S36156">
            <v>-9098.81</v>
          </cell>
          <cell r="X36156" t="str">
            <v>Variation UPR - gross</v>
          </cell>
          <cell r="Y36156" t="str">
            <v>AUSTRALIA</v>
          </cell>
        </row>
        <row r="36157">
          <cell r="L36157" t="str">
            <v>Non-proportional</v>
          </cell>
          <cell r="S36157">
            <v>-2979.61</v>
          </cell>
          <cell r="X36157" t="str">
            <v>Variation UPR - gross</v>
          </cell>
          <cell r="Y36157" t="str">
            <v>UNITED KINGDOM</v>
          </cell>
        </row>
        <row r="36158">
          <cell r="L36158" t="str">
            <v>Non-proportional</v>
          </cell>
          <cell r="S36158">
            <v>-262905.53000000003</v>
          </cell>
          <cell r="X36158" t="str">
            <v>Variation UPR - gross</v>
          </cell>
          <cell r="Y36158" t="str">
            <v>UNITED KINGDOM</v>
          </cell>
        </row>
        <row r="36159">
          <cell r="L36159" t="str">
            <v>Proportional</v>
          </cell>
          <cell r="S36159">
            <v>-10442.5</v>
          </cell>
          <cell r="X36159" t="str">
            <v>Variation UPR - gross</v>
          </cell>
          <cell r="Y36159" t="str">
            <v>INDIA</v>
          </cell>
        </row>
        <row r="36160">
          <cell r="L36160" t="str">
            <v>Non-proportional</v>
          </cell>
          <cell r="S36160">
            <v>-9371.51</v>
          </cell>
          <cell r="X36160" t="str">
            <v>Variation UPR - gross</v>
          </cell>
          <cell r="Y36160" t="str">
            <v>INDIA</v>
          </cell>
        </row>
        <row r="36161">
          <cell r="L36161" t="str">
            <v>Non-proportional</v>
          </cell>
          <cell r="S36161">
            <v>-1408.67</v>
          </cell>
          <cell r="X36161" t="str">
            <v>Variation UPR - gross</v>
          </cell>
          <cell r="Y36161" t="str">
            <v>DOMINICAN REPUBLIC</v>
          </cell>
        </row>
        <row r="36162">
          <cell r="L36162" t="str">
            <v>Non-proportional</v>
          </cell>
          <cell r="S36162">
            <v>-35.950000000000003</v>
          </cell>
          <cell r="X36162" t="str">
            <v>Variation UPR - gross</v>
          </cell>
          <cell r="Y36162" t="str">
            <v>ISRAEL</v>
          </cell>
        </row>
        <row r="36163">
          <cell r="L36163" t="str">
            <v>Proportional</v>
          </cell>
          <cell r="S36163">
            <v>-36692.339999999997</v>
          </cell>
          <cell r="X36163" t="str">
            <v>Variation UPR - gross</v>
          </cell>
          <cell r="Y36163" t="str">
            <v>THAILAND</v>
          </cell>
        </row>
        <row r="36164">
          <cell r="L36164" t="str">
            <v>Non-proportional</v>
          </cell>
          <cell r="S36164">
            <v>-200</v>
          </cell>
          <cell r="X36164" t="str">
            <v>Variation UPR - gross</v>
          </cell>
          <cell r="Y36164" t="str">
            <v>JAPAN</v>
          </cell>
        </row>
        <row r="36165">
          <cell r="L36165" t="str">
            <v>Non-proportional</v>
          </cell>
          <cell r="S36165">
            <v>-1238.05</v>
          </cell>
          <cell r="X36165" t="str">
            <v>Variation UPR - gross</v>
          </cell>
          <cell r="Y36165" t="str">
            <v>CHILE</v>
          </cell>
        </row>
        <row r="36166">
          <cell r="L36166" t="str">
            <v>Non-proportional</v>
          </cell>
          <cell r="S36166">
            <v>-25532.92</v>
          </cell>
          <cell r="X36166" t="str">
            <v>Variation UPR - gross</v>
          </cell>
          <cell r="Y36166" t="str">
            <v>NEW ZEALAND</v>
          </cell>
        </row>
        <row r="36167">
          <cell r="L36167" t="str">
            <v>Proportional</v>
          </cell>
          <cell r="S36167">
            <v>-32505.18</v>
          </cell>
          <cell r="X36167" t="str">
            <v>Variation UPR - gross</v>
          </cell>
          <cell r="Y36167" t="str">
            <v>MEXICO</v>
          </cell>
        </row>
        <row r="36168">
          <cell r="L36168" t="str">
            <v>Non-proportional</v>
          </cell>
          <cell r="S36168">
            <v>-22172.11</v>
          </cell>
          <cell r="X36168" t="str">
            <v>Variation UPR - gross</v>
          </cell>
          <cell r="Y36168" t="str">
            <v>UNITED KINGDOM</v>
          </cell>
        </row>
        <row r="36169">
          <cell r="L36169" t="str">
            <v>Non-proportional</v>
          </cell>
          <cell r="S36169">
            <v>-41083.94</v>
          </cell>
          <cell r="X36169" t="str">
            <v>Variation UPR - gross</v>
          </cell>
          <cell r="Y36169" t="str">
            <v>UNITED KINGDOM</v>
          </cell>
        </row>
        <row r="36170">
          <cell r="L36170" t="str">
            <v>Non-proportional</v>
          </cell>
          <cell r="S36170">
            <v>-16382.92</v>
          </cell>
          <cell r="X36170" t="str">
            <v>Variation UPR - gross</v>
          </cell>
          <cell r="Y36170" t="str">
            <v>UNITED KINGDOM</v>
          </cell>
        </row>
        <row r="36171">
          <cell r="L36171" t="str">
            <v>Non-proportional</v>
          </cell>
          <cell r="S36171">
            <v>-9818.16</v>
          </cell>
          <cell r="X36171" t="str">
            <v>Variation UPR - gross</v>
          </cell>
          <cell r="Y36171" t="str">
            <v>INDIA</v>
          </cell>
        </row>
        <row r="36172">
          <cell r="L36172" t="str">
            <v>Non-proportional</v>
          </cell>
          <cell r="S36172">
            <v>-9425.94</v>
          </cell>
          <cell r="X36172" t="str">
            <v>Variation UPR - gross</v>
          </cell>
          <cell r="Y36172" t="str">
            <v>MEXICO</v>
          </cell>
        </row>
        <row r="36173">
          <cell r="L36173" t="str">
            <v>Proportional</v>
          </cell>
          <cell r="S36173">
            <v>-2828.59</v>
          </cell>
          <cell r="X36173" t="str">
            <v>Variation UPR - gross</v>
          </cell>
          <cell r="Y36173" t="str">
            <v>EUROPE</v>
          </cell>
        </row>
        <row r="36174">
          <cell r="L36174" t="str">
            <v>Non-proportional</v>
          </cell>
          <cell r="S36174">
            <v>-2205.2800000000002</v>
          </cell>
          <cell r="X36174" t="str">
            <v>Variation UPR - gross</v>
          </cell>
          <cell r="Y36174" t="str">
            <v>CHILE</v>
          </cell>
        </row>
        <row r="36175">
          <cell r="L36175" t="str">
            <v>Non-proportional</v>
          </cell>
          <cell r="S36175">
            <v>-7318.47</v>
          </cell>
          <cell r="X36175" t="str">
            <v>Variation UPR - gross</v>
          </cell>
          <cell r="Y36175" t="str">
            <v>JAPAN</v>
          </cell>
        </row>
        <row r="36176">
          <cell r="L36176" t="str">
            <v>Proportional</v>
          </cell>
          <cell r="S36176">
            <v>-4837.99</v>
          </cell>
          <cell r="X36176" t="str">
            <v>Variation UPR - gross</v>
          </cell>
          <cell r="Y36176" t="str">
            <v>UNITED STATES</v>
          </cell>
        </row>
        <row r="36177">
          <cell r="L36177" t="str">
            <v>Non-proportional</v>
          </cell>
          <cell r="S36177">
            <v>-5099.84</v>
          </cell>
          <cell r="X36177" t="str">
            <v>Variation UPR - gross</v>
          </cell>
          <cell r="Y36177" t="str">
            <v>ISRAEL</v>
          </cell>
        </row>
        <row r="36178">
          <cell r="L36178" t="str">
            <v>Non-proportional</v>
          </cell>
          <cell r="S36178">
            <v>-43392.17</v>
          </cell>
          <cell r="X36178" t="str">
            <v>Variation UPR - gross</v>
          </cell>
          <cell r="Y36178" t="str">
            <v>UNITED KINGDOM</v>
          </cell>
        </row>
        <row r="36179">
          <cell r="L36179" t="str">
            <v>Non-proportional</v>
          </cell>
          <cell r="S36179">
            <v>111.66</v>
          </cell>
          <cell r="X36179" t="str">
            <v>Variation UPR - gross</v>
          </cell>
          <cell r="Y36179" t="str">
            <v>DOMINICAN REPUBLIC</v>
          </cell>
        </row>
        <row r="36180">
          <cell r="L36180" t="str">
            <v>Non-proportional</v>
          </cell>
          <cell r="S36180">
            <v>-10499.88</v>
          </cell>
          <cell r="X36180" t="str">
            <v>Variation UPR - gross</v>
          </cell>
          <cell r="Y36180" t="str">
            <v>ITALY</v>
          </cell>
        </row>
        <row r="36181">
          <cell r="L36181" t="str">
            <v>Proportional</v>
          </cell>
          <cell r="S36181">
            <v>-45760</v>
          </cell>
          <cell r="X36181" t="str">
            <v>Variation UPR - gross</v>
          </cell>
          <cell r="Y36181" t="str">
            <v>PORTUGAL</v>
          </cell>
        </row>
        <row r="36182">
          <cell r="L36182" t="str">
            <v>Non-proportional</v>
          </cell>
          <cell r="S36182">
            <v>-40799.89</v>
          </cell>
          <cell r="X36182" t="str">
            <v>Variation UPR - gross</v>
          </cell>
          <cell r="Y36182" t="str">
            <v>TURKEY</v>
          </cell>
        </row>
        <row r="36183">
          <cell r="L36183" t="str">
            <v>Non-proportional</v>
          </cell>
          <cell r="S36183">
            <v>-1800</v>
          </cell>
          <cell r="X36183" t="str">
            <v>Variation UPR - gross</v>
          </cell>
          <cell r="Y36183" t="str">
            <v>PORTUGAL</v>
          </cell>
        </row>
        <row r="36184">
          <cell r="L36184" t="str">
            <v>Non-proportional</v>
          </cell>
          <cell r="S36184">
            <v>-3012.82</v>
          </cell>
          <cell r="X36184" t="str">
            <v>Variation UPR - gross</v>
          </cell>
          <cell r="Y36184" t="str">
            <v>ISRAEL</v>
          </cell>
        </row>
        <row r="36185">
          <cell r="L36185" t="str">
            <v>Non-proportional</v>
          </cell>
          <cell r="S36185">
            <v>-409200.25</v>
          </cell>
          <cell r="X36185" t="str">
            <v>Variation UPR - gross</v>
          </cell>
          <cell r="Y36185" t="str">
            <v>UNITED KINGDOM</v>
          </cell>
        </row>
        <row r="36186">
          <cell r="L36186" t="str">
            <v>Non-proportional</v>
          </cell>
          <cell r="S36186">
            <v>9.75</v>
          </cell>
          <cell r="X36186" t="str">
            <v>Variation UPR - gross</v>
          </cell>
          <cell r="Y36186" t="str">
            <v>JAPAN</v>
          </cell>
        </row>
        <row r="36187">
          <cell r="L36187" t="str">
            <v>Non-proportional</v>
          </cell>
          <cell r="S36187">
            <v>0.01</v>
          </cell>
          <cell r="X36187" t="str">
            <v>Variation UPR - gross</v>
          </cell>
          <cell r="Y36187" t="str">
            <v>JAPAN</v>
          </cell>
        </row>
        <row r="36188">
          <cell r="L36188" t="str">
            <v>Non-proportional</v>
          </cell>
          <cell r="S36188">
            <v>23.52</v>
          </cell>
          <cell r="X36188" t="str">
            <v>Variation UPR - gross</v>
          </cell>
          <cell r="Y36188" t="str">
            <v>NEW ZEALAND</v>
          </cell>
        </row>
        <row r="36189">
          <cell r="L36189" t="str">
            <v>Non-proportional</v>
          </cell>
          <cell r="S36189">
            <v>71036.42</v>
          </cell>
          <cell r="X36189" t="str">
            <v>Variation UPR - gross</v>
          </cell>
          <cell r="Y36189" t="str">
            <v>COSTA RICA</v>
          </cell>
        </row>
        <row r="36190">
          <cell r="L36190" t="str">
            <v>Non-proportional</v>
          </cell>
          <cell r="S36190">
            <v>-4095</v>
          </cell>
          <cell r="X36190" t="str">
            <v>Variation UPR - gross</v>
          </cell>
          <cell r="Y36190" t="str">
            <v>FRANCE</v>
          </cell>
        </row>
        <row r="36191">
          <cell r="L36191" t="str">
            <v>Non-proportional</v>
          </cell>
          <cell r="S36191">
            <v>-17728.259999999998</v>
          </cell>
          <cell r="X36191" t="str">
            <v>Variation UPR - gross</v>
          </cell>
          <cell r="Y36191" t="str">
            <v>TURKEY</v>
          </cell>
        </row>
        <row r="36192">
          <cell r="L36192" t="str">
            <v>Non-proportional</v>
          </cell>
          <cell r="S36192">
            <v>-7919.85</v>
          </cell>
          <cell r="X36192" t="str">
            <v>Variation UPR - gross</v>
          </cell>
          <cell r="Y36192" t="str">
            <v>PUERTO RICO</v>
          </cell>
        </row>
        <row r="36193">
          <cell r="L36193" t="str">
            <v>Non-proportional</v>
          </cell>
          <cell r="S36193">
            <v>-110754.09</v>
          </cell>
          <cell r="X36193" t="str">
            <v>Variation UPR - gross</v>
          </cell>
          <cell r="Y36193" t="str">
            <v>FRANCE</v>
          </cell>
        </row>
        <row r="36194">
          <cell r="L36194" t="str">
            <v>Non-proportional</v>
          </cell>
          <cell r="S36194">
            <v>-2840.84</v>
          </cell>
          <cell r="X36194" t="str">
            <v>Variation UPR - gross</v>
          </cell>
          <cell r="Y36194" t="str">
            <v>EUROPE</v>
          </cell>
        </row>
        <row r="36195">
          <cell r="L36195" t="str">
            <v>Non-proportional</v>
          </cell>
          <cell r="S36195">
            <v>-1016940.71</v>
          </cell>
          <cell r="X36195" t="str">
            <v>Variation UPR - gross</v>
          </cell>
          <cell r="Y36195" t="str">
            <v>UNITED KINGDOM</v>
          </cell>
        </row>
        <row r="36196">
          <cell r="L36196" t="str">
            <v>Non-proportional</v>
          </cell>
          <cell r="S36196">
            <v>-1948.44</v>
          </cell>
          <cell r="X36196" t="str">
            <v>Variation UPR - gross</v>
          </cell>
          <cell r="Y36196" t="str">
            <v>JAPAN</v>
          </cell>
        </row>
        <row r="36197">
          <cell r="L36197" t="str">
            <v>Non-proportional</v>
          </cell>
          <cell r="S36197">
            <v>-10961.06</v>
          </cell>
          <cell r="X36197" t="str">
            <v>Variation UPR - gross</v>
          </cell>
          <cell r="Y36197" t="str">
            <v>POLAND</v>
          </cell>
        </row>
        <row r="36198">
          <cell r="L36198" t="str">
            <v>Non-proportional</v>
          </cell>
          <cell r="S36198">
            <v>-8249.25</v>
          </cell>
          <cell r="X36198" t="str">
            <v>Variation UPR - gross</v>
          </cell>
          <cell r="Y36198" t="str">
            <v>UNITED KINGDOM</v>
          </cell>
        </row>
        <row r="36199">
          <cell r="L36199" t="str">
            <v>Non-proportional</v>
          </cell>
          <cell r="S36199">
            <v>-4067.27</v>
          </cell>
          <cell r="X36199" t="str">
            <v>Variation UPR - gross</v>
          </cell>
          <cell r="Y36199" t="str">
            <v>UNITED KINGDOM</v>
          </cell>
        </row>
        <row r="36200">
          <cell r="L36200" t="str">
            <v>Non-proportional</v>
          </cell>
          <cell r="S36200">
            <v>6.12</v>
          </cell>
          <cell r="X36200" t="str">
            <v>Variation UPR - gross</v>
          </cell>
          <cell r="Y36200" t="str">
            <v>GUATEMALA</v>
          </cell>
        </row>
        <row r="36201">
          <cell r="L36201" t="str">
            <v>Non-proportional</v>
          </cell>
          <cell r="S36201">
            <v>159.41</v>
          </cell>
          <cell r="X36201" t="str">
            <v>Variation UPR - gross</v>
          </cell>
          <cell r="Y36201" t="str">
            <v>DOMINICAN REPUBLIC</v>
          </cell>
        </row>
        <row r="36202">
          <cell r="L36202" t="str">
            <v>Proportional</v>
          </cell>
          <cell r="S36202">
            <v>-628.5</v>
          </cell>
          <cell r="X36202" t="str">
            <v>Variation UPR - gross</v>
          </cell>
          <cell r="Y36202" t="str">
            <v>ITALY</v>
          </cell>
        </row>
        <row r="36203">
          <cell r="L36203" t="str">
            <v>Non-proportional</v>
          </cell>
          <cell r="S36203">
            <v>-10556.65</v>
          </cell>
          <cell r="X36203" t="str">
            <v>Variation UPR - gross</v>
          </cell>
          <cell r="Y36203" t="str">
            <v>ECUADOR</v>
          </cell>
        </row>
        <row r="36204">
          <cell r="L36204" t="str">
            <v>Non-proportional</v>
          </cell>
          <cell r="S36204">
            <v>-5043.54</v>
          </cell>
          <cell r="X36204" t="str">
            <v>Variation UPR - gross</v>
          </cell>
          <cell r="Y36204" t="str">
            <v>AUSTRALIA</v>
          </cell>
        </row>
        <row r="36205">
          <cell r="L36205" t="str">
            <v>Non-proportional</v>
          </cell>
          <cell r="S36205">
            <v>-3039.18</v>
          </cell>
          <cell r="X36205" t="str">
            <v>Variation UPR - gross</v>
          </cell>
          <cell r="Y36205" t="str">
            <v>ECUADOR</v>
          </cell>
        </row>
        <row r="36206">
          <cell r="L36206" t="str">
            <v>Non-proportional</v>
          </cell>
          <cell r="S36206">
            <v>-14258.46</v>
          </cell>
          <cell r="X36206" t="str">
            <v>Variation UPR - gross</v>
          </cell>
          <cell r="Y36206" t="str">
            <v>AUSTRALIA</v>
          </cell>
        </row>
        <row r="36207">
          <cell r="L36207" t="str">
            <v>Non-proportional</v>
          </cell>
          <cell r="S36207">
            <v>-375.42</v>
          </cell>
          <cell r="X36207" t="str">
            <v>Variation UPR - gross</v>
          </cell>
          <cell r="Y36207" t="str">
            <v>ITALY</v>
          </cell>
        </row>
        <row r="36208">
          <cell r="L36208" t="str">
            <v>Non-proportional</v>
          </cell>
          <cell r="S36208">
            <v>86.92</v>
          </cell>
          <cell r="X36208" t="str">
            <v>Variation UPR - gross</v>
          </cell>
          <cell r="Y36208" t="str">
            <v>COLOMBIA</v>
          </cell>
        </row>
        <row r="36209">
          <cell r="L36209" t="str">
            <v>Non-proportional</v>
          </cell>
          <cell r="S36209">
            <v>-58250.38</v>
          </cell>
          <cell r="X36209" t="str">
            <v>Variation UPR - gross</v>
          </cell>
          <cell r="Y36209" t="str">
            <v>UNITED KINGDOM</v>
          </cell>
        </row>
        <row r="36210">
          <cell r="L36210" t="str">
            <v>Non-proportional</v>
          </cell>
          <cell r="S36210">
            <v>42.31</v>
          </cell>
          <cell r="X36210" t="str">
            <v>Variation UPR - gross</v>
          </cell>
          <cell r="Y36210" t="str">
            <v>INDIA</v>
          </cell>
        </row>
        <row r="36211">
          <cell r="L36211" t="str">
            <v>Non-proportional</v>
          </cell>
          <cell r="S36211">
            <v>-1030.8499999999999</v>
          </cell>
          <cell r="X36211" t="str">
            <v>Variation UPR - gross</v>
          </cell>
          <cell r="Y36211" t="str">
            <v>INDIA</v>
          </cell>
        </row>
        <row r="36212">
          <cell r="L36212" t="str">
            <v>Non-proportional</v>
          </cell>
          <cell r="S36212">
            <v>-7349.77</v>
          </cell>
          <cell r="X36212" t="str">
            <v>Variation UPR - gross</v>
          </cell>
          <cell r="Y36212" t="str">
            <v>MEXICO</v>
          </cell>
        </row>
        <row r="36213">
          <cell r="L36213" t="str">
            <v>Proportional</v>
          </cell>
          <cell r="S36213">
            <v>-14672.27</v>
          </cell>
          <cell r="X36213" t="str">
            <v>Variation UPR - gross</v>
          </cell>
          <cell r="Y36213" t="str">
            <v>THAILAND</v>
          </cell>
        </row>
        <row r="36214">
          <cell r="L36214" t="str">
            <v>Proportional</v>
          </cell>
          <cell r="S36214">
            <v>-11939.96</v>
          </cell>
          <cell r="X36214" t="str">
            <v>Variation UPR - gross</v>
          </cell>
          <cell r="Y36214" t="str">
            <v>PORTUGAL</v>
          </cell>
        </row>
        <row r="36215">
          <cell r="L36215" t="str">
            <v>Non-proportional</v>
          </cell>
          <cell r="S36215">
            <v>-665.05</v>
          </cell>
          <cell r="X36215" t="str">
            <v>Variation UPR - gross</v>
          </cell>
          <cell r="Y36215" t="str">
            <v>FRANCE</v>
          </cell>
        </row>
        <row r="36216">
          <cell r="L36216" t="str">
            <v>Non-proportional</v>
          </cell>
          <cell r="S36216">
            <v>-40000</v>
          </cell>
          <cell r="X36216" t="str">
            <v>Variation UPR - gross</v>
          </cell>
          <cell r="Y36216" t="str">
            <v>PORTUGAL</v>
          </cell>
        </row>
        <row r="36217">
          <cell r="L36217" t="str">
            <v>Non-proportional</v>
          </cell>
          <cell r="S36217">
            <v>0.01</v>
          </cell>
          <cell r="X36217" t="str">
            <v>Variation UPR - gross</v>
          </cell>
          <cell r="Y36217" t="str">
            <v>DOMINICAN REPUBLIC</v>
          </cell>
        </row>
        <row r="36218">
          <cell r="L36218" t="str">
            <v>Non-proportional</v>
          </cell>
          <cell r="S36218">
            <v>-10790.1</v>
          </cell>
          <cell r="X36218" t="str">
            <v>Variation UPR - gross</v>
          </cell>
          <cell r="Y36218" t="str">
            <v>PERU</v>
          </cell>
        </row>
        <row r="36219">
          <cell r="L36219" t="str">
            <v>Non-proportional</v>
          </cell>
          <cell r="S36219">
            <v>-1131.24</v>
          </cell>
          <cell r="X36219" t="str">
            <v>Variation UPR - gross</v>
          </cell>
          <cell r="Y36219" t="str">
            <v>CYPRUS</v>
          </cell>
        </row>
        <row r="36220">
          <cell r="L36220" t="str">
            <v>Proportional</v>
          </cell>
          <cell r="S36220">
            <v>-115366.18</v>
          </cell>
          <cell r="X36220" t="str">
            <v>Variation UPR - gross</v>
          </cell>
          <cell r="Y36220" t="str">
            <v>THAILAND</v>
          </cell>
        </row>
        <row r="36221">
          <cell r="L36221" t="str">
            <v>Non-proportional</v>
          </cell>
          <cell r="S36221">
            <v>-4533.33</v>
          </cell>
          <cell r="X36221" t="str">
            <v>Variation UPR - gross</v>
          </cell>
          <cell r="Y36221" t="str">
            <v>PORTUGAL</v>
          </cell>
        </row>
        <row r="36222">
          <cell r="L36222" t="str">
            <v>Non-proportional</v>
          </cell>
          <cell r="S36222">
            <v>-15455.07</v>
          </cell>
          <cell r="X36222" t="str">
            <v>Variation UPR - gross</v>
          </cell>
          <cell r="Y36222" t="str">
            <v>ISRAEL</v>
          </cell>
        </row>
        <row r="36223">
          <cell r="L36223" t="str">
            <v>Non-proportional</v>
          </cell>
          <cell r="S36223">
            <v>-1061352.4099999999</v>
          </cell>
          <cell r="X36223" t="str">
            <v>Variation UPR - gross</v>
          </cell>
          <cell r="Y36223" t="str">
            <v>BELGIUM</v>
          </cell>
        </row>
        <row r="36224">
          <cell r="L36224" t="str">
            <v>Non-proportional</v>
          </cell>
          <cell r="S36224">
            <v>-3906.16</v>
          </cell>
          <cell r="X36224" t="str">
            <v>Variation UPR - gross</v>
          </cell>
          <cell r="Y36224" t="str">
            <v>EUROPE</v>
          </cell>
        </row>
        <row r="36225">
          <cell r="L36225" t="str">
            <v>Non-proportional</v>
          </cell>
          <cell r="S36225">
            <v>-18010.62</v>
          </cell>
          <cell r="X36225" t="str">
            <v>Variation UPR - gross</v>
          </cell>
          <cell r="Y36225" t="str">
            <v>AUSTRALIA</v>
          </cell>
        </row>
        <row r="36226">
          <cell r="L36226" t="str">
            <v>Non-proportional</v>
          </cell>
          <cell r="S36226">
            <v>-7592.5</v>
          </cell>
          <cell r="X36226" t="str">
            <v>Variation UPR - gross</v>
          </cell>
          <cell r="Y36226" t="str">
            <v>NEW ZEALAND</v>
          </cell>
        </row>
        <row r="36227">
          <cell r="L36227" t="str">
            <v>Non-proportional</v>
          </cell>
          <cell r="S36227">
            <v>-771.5</v>
          </cell>
          <cell r="X36227" t="str">
            <v>Variation UPR - gross</v>
          </cell>
          <cell r="Y36227" t="str">
            <v>GERMANY</v>
          </cell>
        </row>
        <row r="36228">
          <cell r="L36228" t="str">
            <v>Proportional</v>
          </cell>
          <cell r="S36228">
            <v>364.77</v>
          </cell>
          <cell r="X36228" t="str">
            <v>Variation UPR - gross</v>
          </cell>
          <cell r="Y36228" t="str">
            <v>Ireland</v>
          </cell>
        </row>
        <row r="36229">
          <cell r="L36229" t="str">
            <v>Non-proportional</v>
          </cell>
          <cell r="S36229">
            <v>84.07</v>
          </cell>
          <cell r="X36229" t="str">
            <v>Variation UPR - gross</v>
          </cell>
          <cell r="Y36229" t="str">
            <v>DOMINICAN REPUBLIC</v>
          </cell>
        </row>
        <row r="36230">
          <cell r="L36230" t="str">
            <v>Non-proportional</v>
          </cell>
          <cell r="S36230">
            <v>-5241.4799999999996</v>
          </cell>
          <cell r="X36230" t="str">
            <v>Variation UPR - gross</v>
          </cell>
          <cell r="Y36230" t="str">
            <v>PERU</v>
          </cell>
        </row>
        <row r="36231">
          <cell r="L36231" t="str">
            <v>Non-proportional</v>
          </cell>
          <cell r="S36231">
            <v>-120.23</v>
          </cell>
          <cell r="X36231" t="str">
            <v>Variation UPR - gross</v>
          </cell>
          <cell r="Y36231" t="str">
            <v>GUATEMALA</v>
          </cell>
        </row>
        <row r="36232">
          <cell r="L36232" t="str">
            <v>Non-proportional</v>
          </cell>
          <cell r="S36232">
            <v>0.01</v>
          </cell>
          <cell r="X36232" t="str">
            <v>Variation UPR - gross</v>
          </cell>
          <cell r="Y36232" t="str">
            <v>JAPAN</v>
          </cell>
        </row>
        <row r="36233">
          <cell r="L36233" t="str">
            <v>Non-proportional</v>
          </cell>
          <cell r="S36233">
            <v>172.31</v>
          </cell>
          <cell r="X36233" t="str">
            <v>Variation UPR - gross</v>
          </cell>
          <cell r="Y36233" t="str">
            <v>TURKEY</v>
          </cell>
        </row>
        <row r="36234">
          <cell r="L36234" t="str">
            <v>Non-proportional</v>
          </cell>
          <cell r="S36234">
            <v>11</v>
          </cell>
          <cell r="X36234" t="str">
            <v>Variation UPR - gross</v>
          </cell>
          <cell r="Y36234" t="str">
            <v>INDIA</v>
          </cell>
        </row>
        <row r="36235">
          <cell r="L36235" t="str">
            <v>Non-proportional</v>
          </cell>
          <cell r="S36235">
            <v>-9500.14</v>
          </cell>
          <cell r="X36235" t="str">
            <v>Variation UPR - gross</v>
          </cell>
          <cell r="Y36235" t="str">
            <v>TURKEY</v>
          </cell>
        </row>
        <row r="36236">
          <cell r="L36236" t="str">
            <v>Non-proportional</v>
          </cell>
          <cell r="S36236">
            <v>-232.24</v>
          </cell>
          <cell r="X36236" t="str">
            <v>Variation UPR - gross</v>
          </cell>
          <cell r="Y36236" t="str">
            <v>TURKEY</v>
          </cell>
        </row>
        <row r="36237">
          <cell r="L36237" t="str">
            <v>Non-proportional</v>
          </cell>
          <cell r="S36237">
            <v>-110.09</v>
          </cell>
          <cell r="X36237" t="str">
            <v>Variation UPR - gross</v>
          </cell>
          <cell r="Y36237" t="str">
            <v>INDIA</v>
          </cell>
        </row>
        <row r="36238">
          <cell r="L36238" t="str">
            <v>Non-proportional</v>
          </cell>
          <cell r="S36238">
            <v>-138300.32999999999</v>
          </cell>
          <cell r="X36238" t="str">
            <v>Variation UPR - gross</v>
          </cell>
          <cell r="Y36238" t="str">
            <v>PORTUGAL</v>
          </cell>
        </row>
        <row r="36239">
          <cell r="L36239" t="str">
            <v>Non-proportional</v>
          </cell>
          <cell r="S36239">
            <v>-1381.73</v>
          </cell>
          <cell r="X36239" t="str">
            <v>Variation UPR - gross</v>
          </cell>
          <cell r="Y36239" t="str">
            <v>INDIA</v>
          </cell>
        </row>
        <row r="36240">
          <cell r="L36240" t="str">
            <v>Non-proportional</v>
          </cell>
          <cell r="S36240">
            <v>-8399.73</v>
          </cell>
          <cell r="X36240" t="str">
            <v>Variation UPR - gross</v>
          </cell>
          <cell r="Y36240" t="str">
            <v>MEXICO</v>
          </cell>
        </row>
        <row r="36241">
          <cell r="L36241" t="str">
            <v>Proportional</v>
          </cell>
          <cell r="S36241">
            <v>-38090.230000000003</v>
          </cell>
          <cell r="X36241" t="str">
            <v>Variation UPR - gross</v>
          </cell>
          <cell r="Y36241" t="str">
            <v>JAPAN</v>
          </cell>
        </row>
        <row r="36242">
          <cell r="L36242" t="str">
            <v>Non-proportional</v>
          </cell>
          <cell r="S36242">
            <v>-5394.54</v>
          </cell>
          <cell r="X36242" t="str">
            <v>Variation UPR - gross</v>
          </cell>
          <cell r="Y36242" t="str">
            <v>ECUADOR</v>
          </cell>
        </row>
        <row r="36243">
          <cell r="L36243" t="str">
            <v>Non-proportional</v>
          </cell>
          <cell r="S36243">
            <v>-221935</v>
          </cell>
          <cell r="X36243" t="str">
            <v>Variation UPR - gross</v>
          </cell>
          <cell r="Y36243" t="str">
            <v>BELGIUM</v>
          </cell>
        </row>
        <row r="36244">
          <cell r="L36244" t="str">
            <v>Non-proportional</v>
          </cell>
          <cell r="S36244">
            <v>-0.05</v>
          </cell>
          <cell r="X36244" t="str">
            <v>Variation UPR - gross</v>
          </cell>
          <cell r="Y36244" t="str">
            <v>COLOMBIA</v>
          </cell>
        </row>
        <row r="36245">
          <cell r="L36245" t="str">
            <v>Non-proportional</v>
          </cell>
          <cell r="S36245">
            <v>-22.38</v>
          </cell>
          <cell r="X36245" t="str">
            <v>Variation UPR - gross</v>
          </cell>
          <cell r="Y36245" t="str">
            <v>JAPAN</v>
          </cell>
        </row>
        <row r="36246">
          <cell r="L36246" t="str">
            <v>Non-proportional</v>
          </cell>
          <cell r="S36246">
            <v>-4252.3900000000003</v>
          </cell>
          <cell r="X36246" t="str">
            <v>Variation UPR - gross</v>
          </cell>
          <cell r="Y36246" t="str">
            <v>ECUADOR</v>
          </cell>
        </row>
        <row r="36247">
          <cell r="L36247" t="str">
            <v>Non-proportional</v>
          </cell>
          <cell r="S36247">
            <v>-24750</v>
          </cell>
          <cell r="X36247" t="str">
            <v>Variation UPR - gross</v>
          </cell>
          <cell r="Y36247" t="str">
            <v>GREECE</v>
          </cell>
        </row>
        <row r="36248">
          <cell r="L36248" t="str">
            <v>Non-proportional</v>
          </cell>
          <cell r="S36248">
            <v>7.06</v>
          </cell>
          <cell r="X36248" t="str">
            <v>Variation UPR - gross</v>
          </cell>
          <cell r="Y36248" t="str">
            <v>INDIA</v>
          </cell>
        </row>
        <row r="36249">
          <cell r="L36249" t="str">
            <v>Non-proportional</v>
          </cell>
          <cell r="S36249">
            <v>59.64</v>
          </cell>
          <cell r="X36249" t="str">
            <v>Variation UPR - gross</v>
          </cell>
          <cell r="Y36249" t="str">
            <v>NEW ZEALAND</v>
          </cell>
        </row>
        <row r="36250">
          <cell r="L36250" t="str">
            <v>Non-proportional</v>
          </cell>
          <cell r="S36250">
            <v>-105723.33</v>
          </cell>
          <cell r="X36250" t="str">
            <v>Variation UPR - gross</v>
          </cell>
          <cell r="Y36250" t="str">
            <v>FRANCE</v>
          </cell>
        </row>
        <row r="36251">
          <cell r="L36251" t="str">
            <v>Non-proportional</v>
          </cell>
          <cell r="S36251">
            <v>0.01</v>
          </cell>
          <cell r="X36251" t="str">
            <v>Variation UPR - gross</v>
          </cell>
          <cell r="Y36251" t="str">
            <v>DOMINICAN REPUBLIC</v>
          </cell>
        </row>
        <row r="36252">
          <cell r="L36252" t="str">
            <v>Non-proportional</v>
          </cell>
          <cell r="S36252">
            <v>12.34</v>
          </cell>
          <cell r="X36252" t="str">
            <v>Variation UPR - gross</v>
          </cell>
          <cell r="Y36252" t="str">
            <v>JAPAN</v>
          </cell>
        </row>
        <row r="36253">
          <cell r="L36253" t="str">
            <v>Non-proportional</v>
          </cell>
          <cell r="S36253">
            <v>-4890.08</v>
          </cell>
          <cell r="X36253" t="str">
            <v>Variation UPR - gross</v>
          </cell>
          <cell r="Y36253" t="str">
            <v>FRANCE</v>
          </cell>
        </row>
        <row r="36254">
          <cell r="L36254" t="str">
            <v>Non-proportional</v>
          </cell>
          <cell r="S36254">
            <v>-8843.8799999999992</v>
          </cell>
          <cell r="X36254" t="str">
            <v>Variation UPR - gross</v>
          </cell>
          <cell r="Y36254" t="str">
            <v>TURKEY</v>
          </cell>
        </row>
        <row r="36255">
          <cell r="L36255" t="str">
            <v>Non-proportional</v>
          </cell>
          <cell r="S36255">
            <v>-1092.54</v>
          </cell>
          <cell r="X36255" t="str">
            <v>Variation UPR - gross</v>
          </cell>
          <cell r="Y36255" t="str">
            <v>JAPAN</v>
          </cell>
        </row>
        <row r="36256">
          <cell r="L36256" t="str">
            <v>Proportional</v>
          </cell>
          <cell r="S36256">
            <v>-57331.4</v>
          </cell>
          <cell r="X36256" t="str">
            <v>Variation UPR - gross</v>
          </cell>
          <cell r="Y36256" t="str">
            <v>INDIA</v>
          </cell>
        </row>
        <row r="36257">
          <cell r="L36257" t="str">
            <v>Non-proportional</v>
          </cell>
          <cell r="S36257">
            <v>-5334.03</v>
          </cell>
          <cell r="X36257" t="str">
            <v>Variation UPR - gross</v>
          </cell>
          <cell r="Y36257" t="str">
            <v>UNITED KINGDOM</v>
          </cell>
        </row>
        <row r="36258">
          <cell r="L36258" t="str">
            <v>Non-proportional</v>
          </cell>
          <cell r="S36258">
            <v>-6340.46</v>
          </cell>
          <cell r="X36258" t="str">
            <v>Variation UPR - gross</v>
          </cell>
          <cell r="Y36258" t="str">
            <v>COLOMBIA</v>
          </cell>
        </row>
        <row r="36259">
          <cell r="L36259" t="str">
            <v>Non-proportional</v>
          </cell>
          <cell r="S36259">
            <v>-1014.39</v>
          </cell>
          <cell r="X36259" t="str">
            <v>Variation UPR - gross</v>
          </cell>
          <cell r="Y36259" t="str">
            <v>DOMINICAN REPUBLIC</v>
          </cell>
        </row>
        <row r="36260">
          <cell r="L36260" t="str">
            <v>Non-proportional</v>
          </cell>
          <cell r="S36260">
            <v>-12193.91</v>
          </cell>
          <cell r="X36260" t="str">
            <v>Variation UPR - gross</v>
          </cell>
          <cell r="Y36260" t="str">
            <v>AUSTRALIA</v>
          </cell>
        </row>
        <row r="36261">
          <cell r="L36261" t="str">
            <v>Non-proportional</v>
          </cell>
          <cell r="S36261">
            <v>-18652.73</v>
          </cell>
          <cell r="X36261" t="str">
            <v>Variation UPR - gross</v>
          </cell>
          <cell r="Y36261" t="str">
            <v>UNITED KINGDOM</v>
          </cell>
        </row>
        <row r="36262">
          <cell r="L36262" t="str">
            <v>Non-proportional</v>
          </cell>
          <cell r="S36262">
            <v>-1317.12</v>
          </cell>
          <cell r="X36262" t="str">
            <v>Variation UPR - gross</v>
          </cell>
          <cell r="Y36262" t="str">
            <v>PERU</v>
          </cell>
        </row>
        <row r="36263">
          <cell r="L36263" t="str">
            <v>Non-proportional</v>
          </cell>
          <cell r="S36263">
            <v>-5331.73</v>
          </cell>
          <cell r="X36263" t="str">
            <v>Variation UPR - gross</v>
          </cell>
          <cell r="Y36263" t="str">
            <v>ISRAEL</v>
          </cell>
        </row>
        <row r="36264">
          <cell r="L36264" t="str">
            <v>Non-proportional</v>
          </cell>
          <cell r="S36264">
            <v>-3211.2</v>
          </cell>
          <cell r="X36264" t="str">
            <v>Variation UPR - gross</v>
          </cell>
          <cell r="Y36264" t="str">
            <v>CHILE</v>
          </cell>
        </row>
        <row r="36265">
          <cell r="L36265" t="str">
            <v>Non-proportional</v>
          </cell>
          <cell r="S36265">
            <v>-3752.16</v>
          </cell>
          <cell r="X36265" t="str">
            <v>Variation UPR - gross</v>
          </cell>
          <cell r="Y36265" t="str">
            <v>AUSTRALIA</v>
          </cell>
        </row>
        <row r="36266">
          <cell r="L36266" t="str">
            <v>Non-proportional</v>
          </cell>
          <cell r="S36266">
            <v>-6251.78</v>
          </cell>
          <cell r="X36266" t="str">
            <v>Variation UPR - gross</v>
          </cell>
          <cell r="Y36266" t="str">
            <v>AUSTRALIA</v>
          </cell>
        </row>
        <row r="36267">
          <cell r="L36267" t="str">
            <v>Non-proportional</v>
          </cell>
          <cell r="S36267">
            <v>26.12</v>
          </cell>
          <cell r="X36267" t="str">
            <v>Variation UPR - gross</v>
          </cell>
          <cell r="Y36267" t="str">
            <v>INDIA</v>
          </cell>
        </row>
        <row r="36268">
          <cell r="L36268" t="str">
            <v>Non-proportional</v>
          </cell>
          <cell r="S36268">
            <v>114.46</v>
          </cell>
          <cell r="X36268" t="str">
            <v>Variation UPR - gross</v>
          </cell>
          <cell r="Y36268" t="str">
            <v>NEW ZEALAND</v>
          </cell>
        </row>
        <row r="36269">
          <cell r="L36269" t="str">
            <v>Non-proportional</v>
          </cell>
          <cell r="S36269">
            <v>-6623.6</v>
          </cell>
          <cell r="X36269" t="str">
            <v>Variation UPR - gross</v>
          </cell>
          <cell r="Y36269" t="str">
            <v>SPAIN</v>
          </cell>
        </row>
        <row r="36270">
          <cell r="L36270" t="str">
            <v>Proportional</v>
          </cell>
          <cell r="S36270">
            <v>-404918.68</v>
          </cell>
          <cell r="X36270" t="str">
            <v>Variation UPR - gross</v>
          </cell>
          <cell r="Y36270" t="str">
            <v>HONG KONG</v>
          </cell>
        </row>
        <row r="36271">
          <cell r="L36271" t="str">
            <v>Non-proportional</v>
          </cell>
          <cell r="S36271">
            <v>-3443.34</v>
          </cell>
          <cell r="X36271" t="str">
            <v>Variation UPR - gross</v>
          </cell>
          <cell r="Y36271" t="str">
            <v>CHILE</v>
          </cell>
        </row>
        <row r="36272">
          <cell r="L36272" t="str">
            <v>Proportional</v>
          </cell>
          <cell r="S36272">
            <v>-386.89</v>
          </cell>
          <cell r="X36272" t="str">
            <v>Variation UPR - gross</v>
          </cell>
          <cell r="Y36272" t="str">
            <v>CHILE</v>
          </cell>
        </row>
        <row r="36273">
          <cell r="L36273" t="str">
            <v>Proportional</v>
          </cell>
          <cell r="S36273">
            <v>-256.76</v>
          </cell>
          <cell r="X36273" t="str">
            <v>Variation UPR - gross</v>
          </cell>
          <cell r="Y36273" t="str">
            <v>THAILAND</v>
          </cell>
        </row>
        <row r="36274">
          <cell r="L36274" t="str">
            <v>Proportional</v>
          </cell>
          <cell r="S36274">
            <v>-1143.48</v>
          </cell>
          <cell r="X36274" t="str">
            <v>Variation UPR - gross</v>
          </cell>
          <cell r="Y36274" t="str">
            <v>THAILAND</v>
          </cell>
        </row>
        <row r="36275">
          <cell r="L36275" t="str">
            <v>Non-proportional</v>
          </cell>
          <cell r="S36275">
            <v>0</v>
          </cell>
          <cell r="X36275" t="str">
            <v>Variation UPR - gross</v>
          </cell>
          <cell r="Y36275" t="str">
            <v>DOMINICAN REPUBLIC</v>
          </cell>
        </row>
        <row r="36276">
          <cell r="L36276" t="str">
            <v>Non-proportional</v>
          </cell>
          <cell r="S36276">
            <v>-1902.64</v>
          </cell>
          <cell r="X36276" t="str">
            <v>Variation UPR - gross</v>
          </cell>
          <cell r="Y36276" t="str">
            <v>COSTA RICA</v>
          </cell>
        </row>
        <row r="36277">
          <cell r="L36277" t="str">
            <v>Non-proportional</v>
          </cell>
          <cell r="S36277">
            <v>-3387.14</v>
          </cell>
          <cell r="X36277" t="str">
            <v>Variation UPR - gross</v>
          </cell>
          <cell r="Y36277" t="str">
            <v>INDIA</v>
          </cell>
        </row>
        <row r="36278">
          <cell r="L36278" t="str">
            <v>Non-proportional</v>
          </cell>
          <cell r="S36278">
            <v>-5277.44</v>
          </cell>
          <cell r="X36278" t="str">
            <v>Variation UPR - gross</v>
          </cell>
          <cell r="Y36278" t="str">
            <v>DOMINICAN REPUBLIC</v>
          </cell>
        </row>
        <row r="36279">
          <cell r="L36279" t="str">
            <v>Non-proportional</v>
          </cell>
          <cell r="S36279">
            <v>-3101.34</v>
          </cell>
          <cell r="X36279" t="str">
            <v>Variation UPR - gross</v>
          </cell>
          <cell r="Y36279" t="str">
            <v>DOMINICAN REPUBLIC</v>
          </cell>
        </row>
        <row r="36280">
          <cell r="L36280" t="str">
            <v>Non-proportional</v>
          </cell>
          <cell r="S36280">
            <v>-860.11</v>
          </cell>
          <cell r="X36280" t="str">
            <v>Variation UPR - gross</v>
          </cell>
          <cell r="Y36280" t="str">
            <v>JAPAN</v>
          </cell>
        </row>
        <row r="36281">
          <cell r="L36281" t="str">
            <v>Non-proportional</v>
          </cell>
          <cell r="S36281">
            <v>-3468.71</v>
          </cell>
          <cell r="X36281" t="str">
            <v>Variation UPR - gross</v>
          </cell>
          <cell r="Y36281" t="str">
            <v>PERU</v>
          </cell>
        </row>
        <row r="36282">
          <cell r="L36282" t="str">
            <v>Non-proportional</v>
          </cell>
          <cell r="S36282">
            <v>-5184.3500000000004</v>
          </cell>
          <cell r="X36282" t="str">
            <v>Variation UPR - gross</v>
          </cell>
          <cell r="Y36282" t="str">
            <v>CHILE</v>
          </cell>
        </row>
        <row r="36283">
          <cell r="L36283" t="str">
            <v>Non-proportional</v>
          </cell>
          <cell r="S36283">
            <v>-560.5</v>
          </cell>
          <cell r="X36283" t="str">
            <v>Variation UPR - gross</v>
          </cell>
          <cell r="Y36283" t="str">
            <v>PORTUGAL</v>
          </cell>
        </row>
        <row r="36284">
          <cell r="L36284" t="str">
            <v>Non-proportional</v>
          </cell>
          <cell r="S36284">
            <v>-1349.06</v>
          </cell>
          <cell r="X36284" t="str">
            <v>Variation UPR - gross</v>
          </cell>
          <cell r="Y36284" t="str">
            <v>DOMINICAN REPUBLIC</v>
          </cell>
        </row>
        <row r="36285">
          <cell r="L36285" t="str">
            <v>Proportional</v>
          </cell>
          <cell r="S36285">
            <v>-171060.2</v>
          </cell>
          <cell r="X36285" t="str">
            <v>Variation UPR - gross</v>
          </cell>
          <cell r="Y36285" t="str">
            <v>THAILAND</v>
          </cell>
        </row>
        <row r="36286">
          <cell r="L36286" t="str">
            <v>Non-proportional</v>
          </cell>
          <cell r="S36286">
            <v>0.03</v>
          </cell>
          <cell r="X36286" t="str">
            <v>Variation UPR - gross</v>
          </cell>
          <cell r="Y36286" t="str">
            <v>COLOMBIA</v>
          </cell>
        </row>
        <row r="36287">
          <cell r="L36287" t="str">
            <v>Non-proportional</v>
          </cell>
          <cell r="S36287">
            <v>6.63</v>
          </cell>
          <cell r="X36287" t="str">
            <v>Variation UPR - gross</v>
          </cell>
          <cell r="Y36287" t="str">
            <v>INDIA</v>
          </cell>
        </row>
        <row r="36288">
          <cell r="L36288" t="str">
            <v>Non-proportional</v>
          </cell>
          <cell r="S36288">
            <v>-205.67</v>
          </cell>
          <cell r="X36288" t="str">
            <v>Variation UPR - gross</v>
          </cell>
          <cell r="Y36288" t="str">
            <v>FRANCE</v>
          </cell>
        </row>
        <row r="36289">
          <cell r="L36289" t="str">
            <v>Non-proportional</v>
          </cell>
          <cell r="S36289">
            <v>-1252.53</v>
          </cell>
          <cell r="X36289" t="str">
            <v>Variation UPR - gross</v>
          </cell>
          <cell r="Y36289" t="str">
            <v>JAPAN</v>
          </cell>
        </row>
        <row r="36290">
          <cell r="L36290" t="str">
            <v>Non-proportional</v>
          </cell>
          <cell r="S36290">
            <v>-4338.2</v>
          </cell>
          <cell r="X36290" t="str">
            <v>Variation UPR - gross</v>
          </cell>
          <cell r="Y36290" t="str">
            <v>DOMINICAN REPUBLIC</v>
          </cell>
        </row>
        <row r="36291">
          <cell r="L36291" t="str">
            <v>Proportional</v>
          </cell>
          <cell r="S36291">
            <v>-718.04</v>
          </cell>
          <cell r="X36291" t="str">
            <v>Variation UPR - gross</v>
          </cell>
          <cell r="Y36291" t="str">
            <v>UNITED STATES</v>
          </cell>
        </row>
        <row r="36292">
          <cell r="L36292" t="str">
            <v>Non-proportional</v>
          </cell>
          <cell r="S36292">
            <v>-871.75</v>
          </cell>
          <cell r="X36292" t="str">
            <v>Variation UPR - gross</v>
          </cell>
          <cell r="Y36292" t="str">
            <v>BRAZIL</v>
          </cell>
        </row>
        <row r="36293">
          <cell r="L36293" t="str">
            <v>Non-proportional</v>
          </cell>
          <cell r="S36293">
            <v>-544.84</v>
          </cell>
          <cell r="X36293" t="str">
            <v>Variation UPR - gross</v>
          </cell>
          <cell r="Y36293" t="str">
            <v>BRAZIL</v>
          </cell>
        </row>
        <row r="36294">
          <cell r="L36294" t="str">
            <v>Non-proportional</v>
          </cell>
          <cell r="S36294">
            <v>-9322.9</v>
          </cell>
          <cell r="X36294" t="str">
            <v>Variation UPR - gross</v>
          </cell>
          <cell r="Y36294" t="str">
            <v>AUSTRALIA</v>
          </cell>
        </row>
        <row r="36295">
          <cell r="L36295" t="str">
            <v>Proportional</v>
          </cell>
          <cell r="S36295">
            <v>-832102.59</v>
          </cell>
          <cell r="X36295" t="str">
            <v>Variation UPR - gross</v>
          </cell>
          <cell r="Y36295" t="str">
            <v>HONG KONG</v>
          </cell>
        </row>
        <row r="36296">
          <cell r="L36296" t="str">
            <v>Non-proportional</v>
          </cell>
          <cell r="S36296">
            <v>-7146.88</v>
          </cell>
          <cell r="X36296" t="str">
            <v>Variation UPR - gross</v>
          </cell>
          <cell r="Y36296" t="str">
            <v>POLAND</v>
          </cell>
        </row>
        <row r="36297">
          <cell r="L36297" t="str">
            <v>Proportional</v>
          </cell>
          <cell r="S36297">
            <v>-2476.11</v>
          </cell>
          <cell r="X36297" t="str">
            <v>Variation UPR - gross</v>
          </cell>
          <cell r="Y36297" t="str">
            <v>CHILE</v>
          </cell>
        </row>
        <row r="36298">
          <cell r="L36298" t="str">
            <v>Non-proportional</v>
          </cell>
          <cell r="S36298">
            <v>-2686.68</v>
          </cell>
          <cell r="X36298" t="str">
            <v>Variation UPR - gross</v>
          </cell>
          <cell r="Y36298" t="str">
            <v>MALTA</v>
          </cell>
        </row>
        <row r="36299">
          <cell r="L36299" t="str">
            <v>Proportional</v>
          </cell>
          <cell r="S36299">
            <v>-1765.08</v>
          </cell>
          <cell r="X36299" t="str">
            <v>Variation UPR - gross</v>
          </cell>
          <cell r="Y36299" t="str">
            <v>HONG KONG</v>
          </cell>
        </row>
        <row r="36300">
          <cell r="L36300" t="str">
            <v>Non-proportional</v>
          </cell>
          <cell r="S36300">
            <v>-1241.26</v>
          </cell>
          <cell r="X36300" t="str">
            <v>Variation UPR - gross</v>
          </cell>
          <cell r="Y36300" t="str">
            <v>COLOMBIA</v>
          </cell>
        </row>
        <row r="36301">
          <cell r="L36301" t="str">
            <v>Non-proportional</v>
          </cell>
          <cell r="S36301">
            <v>-8002.01</v>
          </cell>
          <cell r="X36301" t="str">
            <v>Variation UPR - gross</v>
          </cell>
          <cell r="Y36301" t="str">
            <v>UNITED KINGDOM</v>
          </cell>
        </row>
        <row r="36302">
          <cell r="L36302" t="str">
            <v>Non-proportional</v>
          </cell>
          <cell r="S36302">
            <v>111.46</v>
          </cell>
          <cell r="X36302" t="str">
            <v>Variation UPR - gross</v>
          </cell>
          <cell r="Y36302" t="str">
            <v>JAPAN</v>
          </cell>
        </row>
        <row r="36303">
          <cell r="L36303" t="str">
            <v>Non-proportional</v>
          </cell>
          <cell r="S36303">
            <v>-4078.13</v>
          </cell>
          <cell r="X36303" t="str">
            <v>Variation UPR - gross</v>
          </cell>
          <cell r="Y36303" t="str">
            <v>GREECE</v>
          </cell>
        </row>
        <row r="36304">
          <cell r="L36304" t="str">
            <v>Non-proportional</v>
          </cell>
          <cell r="S36304">
            <v>-6963.2</v>
          </cell>
          <cell r="X36304" t="str">
            <v>Variation UPR - gross</v>
          </cell>
          <cell r="Y36304" t="str">
            <v>FRANCE</v>
          </cell>
        </row>
        <row r="36305">
          <cell r="L36305" t="str">
            <v>Non-proportional</v>
          </cell>
          <cell r="S36305">
            <v>-4577.1099999999997</v>
          </cell>
          <cell r="X36305" t="str">
            <v>Variation UPR - gross</v>
          </cell>
          <cell r="Y36305" t="str">
            <v>NEW ZEALAND</v>
          </cell>
        </row>
        <row r="36306">
          <cell r="L36306" t="str">
            <v>Non-proportional</v>
          </cell>
          <cell r="S36306">
            <v>-7945.52</v>
          </cell>
          <cell r="X36306" t="str">
            <v>Variation UPR - gross</v>
          </cell>
          <cell r="Y36306" t="str">
            <v>UNITED KINGDOM</v>
          </cell>
        </row>
        <row r="36307">
          <cell r="L36307" t="str">
            <v>Non-proportional</v>
          </cell>
          <cell r="S36307">
            <v>-3133</v>
          </cell>
          <cell r="X36307" t="str">
            <v>Variation UPR - gross</v>
          </cell>
          <cell r="Y36307" t="str">
            <v>ISRAEL</v>
          </cell>
        </row>
        <row r="36308">
          <cell r="L36308" t="str">
            <v>Non-proportional</v>
          </cell>
          <cell r="S36308">
            <v>-3127.23</v>
          </cell>
          <cell r="X36308" t="str">
            <v>Variation UPR - gross</v>
          </cell>
          <cell r="Y36308" t="str">
            <v>THAILAND</v>
          </cell>
        </row>
        <row r="36309">
          <cell r="L36309" t="str">
            <v>Proportional</v>
          </cell>
          <cell r="S36309">
            <v>-6509.75</v>
          </cell>
          <cell r="X36309" t="str">
            <v>Variation UPR - gross</v>
          </cell>
          <cell r="Y36309" t="str">
            <v>HONG KONG</v>
          </cell>
        </row>
        <row r="36310">
          <cell r="L36310" t="str">
            <v>Non-proportional</v>
          </cell>
          <cell r="S36310">
            <v>0.01</v>
          </cell>
          <cell r="X36310" t="str">
            <v>Variation UPR - gross</v>
          </cell>
          <cell r="Y36310" t="str">
            <v>DOMINICAN REPUBLIC</v>
          </cell>
        </row>
        <row r="36311">
          <cell r="L36311" t="str">
            <v>Non-proportional</v>
          </cell>
          <cell r="S36311">
            <v>-979.87</v>
          </cell>
          <cell r="X36311" t="str">
            <v>Variation UPR - gross</v>
          </cell>
          <cell r="Y36311" t="str">
            <v>INDIA</v>
          </cell>
        </row>
        <row r="36312">
          <cell r="L36312" t="str">
            <v>Non-proportional</v>
          </cell>
          <cell r="S36312">
            <v>-3854.17</v>
          </cell>
          <cell r="X36312" t="str">
            <v>Variation UPR - gross</v>
          </cell>
          <cell r="Y36312" t="str">
            <v>FRANCE</v>
          </cell>
        </row>
        <row r="36313">
          <cell r="L36313" t="str">
            <v>Non-proportional</v>
          </cell>
          <cell r="S36313">
            <v>-11097.56</v>
          </cell>
          <cell r="X36313" t="str">
            <v>Variation UPR - gross</v>
          </cell>
          <cell r="Y36313" t="str">
            <v>AUSTRALIA</v>
          </cell>
        </row>
        <row r="36314">
          <cell r="L36314" t="str">
            <v>Non-proportional</v>
          </cell>
          <cell r="S36314">
            <v>-10046.549999999999</v>
          </cell>
          <cell r="X36314" t="str">
            <v>Variation UPR - gross</v>
          </cell>
          <cell r="Y36314" t="str">
            <v>ECUADOR</v>
          </cell>
        </row>
        <row r="36315">
          <cell r="L36315" t="str">
            <v>Non-proportional</v>
          </cell>
          <cell r="S36315">
            <v>-193.53</v>
          </cell>
          <cell r="X36315" t="str">
            <v>Variation UPR - gross</v>
          </cell>
          <cell r="Y36315" t="str">
            <v>JAPAN</v>
          </cell>
        </row>
        <row r="36316">
          <cell r="L36316" t="str">
            <v>Non-proportional</v>
          </cell>
          <cell r="S36316">
            <v>-4541.93</v>
          </cell>
          <cell r="X36316" t="str">
            <v>Variation UPR - gross</v>
          </cell>
          <cell r="Y36316" t="str">
            <v>TURKEY</v>
          </cell>
        </row>
        <row r="36317">
          <cell r="L36317" t="str">
            <v>Non-proportional</v>
          </cell>
          <cell r="S36317">
            <v>-3796.46</v>
          </cell>
          <cell r="X36317" t="str">
            <v>Variation UPR - gross</v>
          </cell>
          <cell r="Y36317" t="str">
            <v>ITALY</v>
          </cell>
        </row>
        <row r="36318">
          <cell r="L36318" t="str">
            <v>Proportional</v>
          </cell>
          <cell r="S36318">
            <v>-11782.81</v>
          </cell>
          <cell r="X36318" t="str">
            <v>Variation UPR - gross</v>
          </cell>
          <cell r="Y36318" t="str">
            <v>THAILAND</v>
          </cell>
        </row>
        <row r="36319">
          <cell r="L36319" t="str">
            <v>Proportional</v>
          </cell>
          <cell r="S36319">
            <v>-10228.200000000001</v>
          </cell>
          <cell r="X36319" t="str">
            <v>Variation UPR - gross</v>
          </cell>
          <cell r="Y36319" t="str">
            <v>THAILAND</v>
          </cell>
        </row>
        <row r="36320">
          <cell r="L36320" t="str">
            <v>Non-proportional</v>
          </cell>
          <cell r="S36320">
            <v>-6006.71</v>
          </cell>
          <cell r="X36320" t="str">
            <v>Variation UPR - gross</v>
          </cell>
          <cell r="Y36320" t="str">
            <v>NEW ZEALAND</v>
          </cell>
        </row>
        <row r="36321">
          <cell r="L36321" t="str">
            <v>Non-proportional</v>
          </cell>
          <cell r="S36321">
            <v>-15800.42</v>
          </cell>
          <cell r="X36321" t="str">
            <v>Variation UPR - gross</v>
          </cell>
          <cell r="Y36321" t="str">
            <v>AUSTRALIA</v>
          </cell>
        </row>
        <row r="36322">
          <cell r="L36322" t="str">
            <v>Non-proportional</v>
          </cell>
          <cell r="S36322">
            <v>-1461.62</v>
          </cell>
          <cell r="X36322" t="str">
            <v>Variation UPR - gross</v>
          </cell>
          <cell r="Y36322" t="str">
            <v>AUSTRALIA</v>
          </cell>
        </row>
        <row r="36323">
          <cell r="L36323" t="str">
            <v>Non-proportional</v>
          </cell>
          <cell r="S36323">
            <v>-28848.58</v>
          </cell>
          <cell r="X36323" t="str">
            <v>Variation UPR - gross</v>
          </cell>
          <cell r="Y36323" t="str">
            <v>FRANCE</v>
          </cell>
        </row>
        <row r="36324">
          <cell r="L36324" t="str">
            <v>Non-proportional</v>
          </cell>
          <cell r="S36324">
            <v>0.02</v>
          </cell>
          <cell r="X36324" t="str">
            <v>Variation UPR - gross</v>
          </cell>
          <cell r="Y36324" t="str">
            <v>DOMINICAN REPUBLIC</v>
          </cell>
        </row>
        <row r="36325">
          <cell r="L36325" t="str">
            <v>Proportional</v>
          </cell>
          <cell r="S36325">
            <v>-13413.33</v>
          </cell>
          <cell r="X36325" t="str">
            <v>Variation UPR - gross</v>
          </cell>
          <cell r="Y36325" t="str">
            <v>THAILAND</v>
          </cell>
        </row>
        <row r="36326">
          <cell r="L36326" t="str">
            <v>Non-proportional</v>
          </cell>
          <cell r="S36326">
            <v>0.01</v>
          </cell>
          <cell r="X36326" t="str">
            <v>Variation UPR - gross</v>
          </cell>
          <cell r="Y36326" t="str">
            <v>JAPAN</v>
          </cell>
        </row>
        <row r="36327">
          <cell r="L36327" t="str">
            <v>Non-proportional</v>
          </cell>
          <cell r="S36327">
            <v>-1464.02</v>
          </cell>
          <cell r="X36327" t="str">
            <v>Variation UPR - gross</v>
          </cell>
          <cell r="Y36327" t="str">
            <v>MEXICO</v>
          </cell>
        </row>
        <row r="36328">
          <cell r="L36328" t="str">
            <v>Non-proportional</v>
          </cell>
          <cell r="S36328">
            <v>-22741.54</v>
          </cell>
          <cell r="X36328" t="str">
            <v>Variation UPR - gross</v>
          </cell>
          <cell r="Y36328" t="str">
            <v>ISRAEL</v>
          </cell>
        </row>
        <row r="36329">
          <cell r="L36329" t="str">
            <v>Non-proportional</v>
          </cell>
          <cell r="S36329">
            <v>-5774.55</v>
          </cell>
          <cell r="X36329" t="str">
            <v>Variation UPR - gross</v>
          </cell>
          <cell r="Y36329" t="str">
            <v>COLOMBIA</v>
          </cell>
        </row>
        <row r="36330">
          <cell r="L36330" t="str">
            <v>Non-proportional</v>
          </cell>
          <cell r="S36330">
            <v>30.74</v>
          </cell>
          <cell r="X36330" t="str">
            <v>Variation UPR - gross</v>
          </cell>
          <cell r="Y36330" t="str">
            <v>POLAND</v>
          </cell>
        </row>
        <row r="36331">
          <cell r="L36331" t="str">
            <v>Non-proportional</v>
          </cell>
          <cell r="S36331">
            <v>-1056.96</v>
          </cell>
          <cell r="X36331" t="str">
            <v>Variation UPR - gross</v>
          </cell>
          <cell r="Y36331" t="str">
            <v>ECUADOR</v>
          </cell>
        </row>
        <row r="36332">
          <cell r="L36332" t="str">
            <v>Non-proportional</v>
          </cell>
          <cell r="S36332">
            <v>-1172.3</v>
          </cell>
          <cell r="X36332" t="str">
            <v>Variation UPR - gross</v>
          </cell>
          <cell r="Y36332" t="str">
            <v>FRANCE</v>
          </cell>
        </row>
        <row r="36333">
          <cell r="L36333" t="str">
            <v>Non-proportional</v>
          </cell>
          <cell r="S36333">
            <v>-871.39</v>
          </cell>
          <cell r="X36333" t="str">
            <v>Variation UPR - gross</v>
          </cell>
          <cell r="Y36333" t="str">
            <v>PERU</v>
          </cell>
        </row>
        <row r="36334">
          <cell r="L36334" t="str">
            <v>Non-proportional</v>
          </cell>
          <cell r="S36334">
            <v>-13422.38</v>
          </cell>
          <cell r="X36334" t="str">
            <v>Variation UPR - gross</v>
          </cell>
          <cell r="Y36334" t="str">
            <v>CHILE</v>
          </cell>
        </row>
        <row r="36335">
          <cell r="L36335" t="str">
            <v>Proportional</v>
          </cell>
          <cell r="S36335">
            <v>-146008.76999999999</v>
          </cell>
          <cell r="X36335" t="str">
            <v>Variation UPR - gross</v>
          </cell>
          <cell r="Y36335" t="str">
            <v>THAILAND</v>
          </cell>
        </row>
        <row r="36336">
          <cell r="L36336" t="str">
            <v>Non-proportional</v>
          </cell>
          <cell r="S36336">
            <v>-10168.450000000001</v>
          </cell>
          <cell r="X36336" t="str">
            <v>Variation UPR - gross</v>
          </cell>
          <cell r="Y36336" t="str">
            <v>ECUADOR</v>
          </cell>
        </row>
        <row r="36337">
          <cell r="L36337" t="str">
            <v>Non-proportional</v>
          </cell>
          <cell r="S36337">
            <v>-16436.95</v>
          </cell>
          <cell r="X36337" t="str">
            <v>Variation UPR - gross</v>
          </cell>
          <cell r="Y36337" t="str">
            <v>TURKEY</v>
          </cell>
        </row>
        <row r="36338">
          <cell r="L36338" t="str">
            <v>Non-proportional</v>
          </cell>
          <cell r="S36338">
            <v>-116.04</v>
          </cell>
          <cell r="X36338" t="str">
            <v>Variation UPR - gross</v>
          </cell>
          <cell r="Y36338" t="str">
            <v>CHILE</v>
          </cell>
        </row>
        <row r="36339">
          <cell r="L36339" t="str">
            <v>Non-proportional</v>
          </cell>
          <cell r="S36339">
            <v>-6380.03</v>
          </cell>
          <cell r="X36339" t="str">
            <v>Variation UPR - gross</v>
          </cell>
          <cell r="Y36339" t="str">
            <v>SPAIN</v>
          </cell>
        </row>
        <row r="36340">
          <cell r="L36340" t="str">
            <v>Non-proportional</v>
          </cell>
          <cell r="S36340">
            <v>-132.91999999999999</v>
          </cell>
          <cell r="X36340" t="str">
            <v>Variation UPR - gross</v>
          </cell>
          <cell r="Y36340" t="str">
            <v>ITALY</v>
          </cell>
        </row>
        <row r="36341">
          <cell r="L36341" t="str">
            <v>Non-proportional</v>
          </cell>
          <cell r="S36341">
            <v>-1826.21</v>
          </cell>
          <cell r="X36341" t="str">
            <v>Variation UPR - gross</v>
          </cell>
          <cell r="Y36341" t="str">
            <v>ECUADOR</v>
          </cell>
        </row>
        <row r="36342">
          <cell r="L36342" t="str">
            <v>Non-proportional</v>
          </cell>
          <cell r="S36342">
            <v>-14583.41</v>
          </cell>
          <cell r="X36342" t="str">
            <v>Variation UPR - gross</v>
          </cell>
          <cell r="Y36342" t="str">
            <v>EUROPE</v>
          </cell>
        </row>
        <row r="36343">
          <cell r="L36343" t="str">
            <v>Proportional</v>
          </cell>
          <cell r="S36343">
            <v>1.57</v>
          </cell>
          <cell r="X36343" t="str">
            <v>Variation UPR - gross</v>
          </cell>
          <cell r="Y36343" t="str">
            <v>AUSTRALIA</v>
          </cell>
        </row>
        <row r="36344">
          <cell r="L36344" t="str">
            <v>Non-proportional</v>
          </cell>
          <cell r="S36344">
            <v>-9333.33</v>
          </cell>
          <cell r="X36344" t="str">
            <v>Variation UPR - gross</v>
          </cell>
          <cell r="Y36344" t="str">
            <v>PORTUGAL</v>
          </cell>
        </row>
        <row r="36345">
          <cell r="L36345" t="str">
            <v>Non-proportional</v>
          </cell>
          <cell r="S36345">
            <v>-365.7</v>
          </cell>
          <cell r="X36345" t="str">
            <v>Variation UPR - gross</v>
          </cell>
          <cell r="Y36345" t="str">
            <v>INDIA</v>
          </cell>
        </row>
        <row r="36346">
          <cell r="L36346" t="str">
            <v>Non-proportional</v>
          </cell>
          <cell r="S36346">
            <v>-4147.6899999999996</v>
          </cell>
          <cell r="X36346" t="str">
            <v>Variation UPR - gross</v>
          </cell>
          <cell r="Y36346" t="str">
            <v>COLOMBIA</v>
          </cell>
        </row>
        <row r="36347">
          <cell r="L36347" t="str">
            <v>Non-proportional</v>
          </cell>
          <cell r="S36347">
            <v>-193.41</v>
          </cell>
          <cell r="X36347" t="str">
            <v>Variation UPR - gross</v>
          </cell>
          <cell r="Y36347" t="str">
            <v>CHILE</v>
          </cell>
        </row>
        <row r="36348">
          <cell r="L36348" t="str">
            <v>Non-proportional</v>
          </cell>
          <cell r="S36348">
            <v>-1253.8</v>
          </cell>
          <cell r="X36348" t="str">
            <v>Variation UPR - gross</v>
          </cell>
          <cell r="Y36348" t="str">
            <v>COLOMBIA</v>
          </cell>
        </row>
        <row r="36349">
          <cell r="L36349" t="str">
            <v>Non-proportional</v>
          </cell>
          <cell r="S36349">
            <v>-1330.33</v>
          </cell>
          <cell r="X36349" t="str">
            <v>Variation UPR - gross</v>
          </cell>
          <cell r="Y36349" t="str">
            <v>FRANCE</v>
          </cell>
        </row>
        <row r="36350">
          <cell r="L36350" t="str">
            <v>Non-proportional</v>
          </cell>
          <cell r="S36350">
            <v>-9832.7800000000007</v>
          </cell>
          <cell r="X36350" t="str">
            <v>Variation UPR - gross</v>
          </cell>
          <cell r="Y36350" t="str">
            <v>FRANCE</v>
          </cell>
        </row>
        <row r="36351">
          <cell r="L36351" t="str">
            <v>Non-proportional</v>
          </cell>
          <cell r="S36351">
            <v>-1733.7</v>
          </cell>
          <cell r="X36351" t="str">
            <v>Variation UPR - gross</v>
          </cell>
          <cell r="Y36351" t="str">
            <v>COSTA RICA</v>
          </cell>
        </row>
        <row r="36352">
          <cell r="L36352" t="str">
            <v>Non-proportional</v>
          </cell>
          <cell r="S36352">
            <v>-8775.06</v>
          </cell>
          <cell r="X36352" t="str">
            <v>Variation UPR - gross</v>
          </cell>
          <cell r="Y36352" t="str">
            <v>FRANCE</v>
          </cell>
        </row>
        <row r="36353">
          <cell r="L36353" t="str">
            <v>Non-proportional</v>
          </cell>
          <cell r="S36353">
            <v>-9044.1299999999992</v>
          </cell>
          <cell r="X36353" t="str">
            <v>Variation UPR - gross</v>
          </cell>
          <cell r="Y36353" t="str">
            <v>ISRAEL</v>
          </cell>
        </row>
        <row r="36354">
          <cell r="L36354" t="str">
            <v>Non-proportional</v>
          </cell>
          <cell r="S36354">
            <v>37.49</v>
          </cell>
          <cell r="X36354" t="str">
            <v>Variation UPR - gross</v>
          </cell>
          <cell r="Y36354" t="str">
            <v>NEW ZEALAND</v>
          </cell>
        </row>
        <row r="36355">
          <cell r="L36355" t="str">
            <v>Non-proportional</v>
          </cell>
          <cell r="S36355">
            <v>-108.51</v>
          </cell>
          <cell r="X36355" t="str">
            <v>Variation UPR - gross</v>
          </cell>
          <cell r="Y36355" t="str">
            <v>INDIA</v>
          </cell>
        </row>
        <row r="36356">
          <cell r="L36356" t="str">
            <v>Non-proportional</v>
          </cell>
          <cell r="S36356">
            <v>-187.4</v>
          </cell>
          <cell r="X36356" t="str">
            <v>Variation UPR - gross</v>
          </cell>
          <cell r="Y36356" t="str">
            <v>INDIA</v>
          </cell>
        </row>
        <row r="36357">
          <cell r="L36357" t="str">
            <v>Non-proportional</v>
          </cell>
          <cell r="S36357">
            <v>0.03</v>
          </cell>
          <cell r="X36357" t="str">
            <v>Variation UPR - gross</v>
          </cell>
          <cell r="Y36357" t="str">
            <v>THAILAND</v>
          </cell>
        </row>
        <row r="36358">
          <cell r="L36358" t="str">
            <v>Non-proportional</v>
          </cell>
          <cell r="S36358">
            <v>-309.45</v>
          </cell>
          <cell r="X36358" t="str">
            <v>Variation UPR - gross</v>
          </cell>
          <cell r="Y36358" t="str">
            <v>CHILE</v>
          </cell>
        </row>
        <row r="36359">
          <cell r="L36359" t="str">
            <v>Non-proportional</v>
          </cell>
          <cell r="S36359">
            <v>-7060.55</v>
          </cell>
          <cell r="X36359" t="str">
            <v>Variation UPR - gross</v>
          </cell>
          <cell r="Y36359" t="str">
            <v>UNITED KINGDOM</v>
          </cell>
        </row>
        <row r="36360">
          <cell r="L36360" t="str">
            <v>Non-proportional</v>
          </cell>
          <cell r="S36360">
            <v>-5634.53</v>
          </cell>
          <cell r="X36360" t="str">
            <v>Variation UPR - gross</v>
          </cell>
          <cell r="Y36360" t="str">
            <v>PUERTO RICO</v>
          </cell>
        </row>
        <row r="36361">
          <cell r="L36361" t="str">
            <v>Non-proportional</v>
          </cell>
          <cell r="S36361">
            <v>-1749.93</v>
          </cell>
          <cell r="X36361" t="str">
            <v>Variation UPR - gross</v>
          </cell>
          <cell r="Y36361" t="str">
            <v>EUROPE</v>
          </cell>
        </row>
        <row r="36362">
          <cell r="L36362" t="str">
            <v>Non-proportional</v>
          </cell>
          <cell r="S36362">
            <v>-3645.38</v>
          </cell>
          <cell r="X36362" t="str">
            <v>Variation UPR - gross</v>
          </cell>
          <cell r="Y36362" t="str">
            <v>ISRAEL</v>
          </cell>
        </row>
        <row r="36363">
          <cell r="L36363" t="str">
            <v>Non-proportional</v>
          </cell>
          <cell r="S36363">
            <v>-3734.02</v>
          </cell>
          <cell r="X36363" t="str">
            <v>Variation UPR - gross</v>
          </cell>
          <cell r="Y36363" t="str">
            <v>DOMINICAN REPUBLIC</v>
          </cell>
        </row>
        <row r="36364">
          <cell r="L36364" t="str">
            <v>Proportional</v>
          </cell>
          <cell r="S36364">
            <v>-650.07000000000005</v>
          </cell>
          <cell r="X36364" t="str">
            <v>Variation UPR - gross</v>
          </cell>
          <cell r="Y36364" t="str">
            <v>UNITED STATES</v>
          </cell>
        </row>
        <row r="36365">
          <cell r="L36365" t="str">
            <v>Non-proportional</v>
          </cell>
          <cell r="S36365">
            <v>0.01</v>
          </cell>
          <cell r="X36365" t="str">
            <v>Variation UPR - gross</v>
          </cell>
          <cell r="Y36365" t="str">
            <v>DOMINICAN REPUBLIC</v>
          </cell>
        </row>
        <row r="36366">
          <cell r="L36366" t="str">
            <v>Proportional</v>
          </cell>
          <cell r="S36366">
            <v>-62865.5</v>
          </cell>
          <cell r="X36366" t="str">
            <v>Variation UPR - gross</v>
          </cell>
          <cell r="Y36366" t="str">
            <v>UNITED STATES</v>
          </cell>
        </row>
        <row r="36367">
          <cell r="L36367" t="str">
            <v>Non-proportional</v>
          </cell>
          <cell r="S36367">
            <v>-3381.84</v>
          </cell>
          <cell r="X36367" t="str">
            <v>Variation UPR - gross</v>
          </cell>
          <cell r="Y36367" t="str">
            <v>ITALY</v>
          </cell>
        </row>
        <row r="36368">
          <cell r="L36368" t="str">
            <v>Non-proportional</v>
          </cell>
          <cell r="S36368">
            <v>-16278.67</v>
          </cell>
          <cell r="X36368" t="str">
            <v>Variation UPR - gross</v>
          </cell>
          <cell r="Y36368" t="str">
            <v>ITALY</v>
          </cell>
        </row>
        <row r="36369">
          <cell r="L36369" t="str">
            <v>Non-proportional</v>
          </cell>
          <cell r="S36369">
            <v>-40799.89</v>
          </cell>
          <cell r="X36369" t="str">
            <v>Variation UPR - gross</v>
          </cell>
          <cell r="Y36369" t="str">
            <v>TURKEY</v>
          </cell>
        </row>
        <row r="36370">
          <cell r="L36370" t="str">
            <v>Non-proportional</v>
          </cell>
          <cell r="S36370">
            <v>-6473.71</v>
          </cell>
          <cell r="X36370" t="str">
            <v>Variation UPR - gross</v>
          </cell>
          <cell r="Y36370" t="str">
            <v>DOMINICAN REPUBLIC</v>
          </cell>
        </row>
        <row r="36371">
          <cell r="L36371" t="str">
            <v>Non-proportional</v>
          </cell>
          <cell r="S36371">
            <v>-3086.75</v>
          </cell>
          <cell r="X36371" t="str">
            <v>Variation UPR - gross</v>
          </cell>
          <cell r="Y36371" t="str">
            <v>UNITED KINGDOM</v>
          </cell>
        </row>
        <row r="36372">
          <cell r="L36372" t="str">
            <v>Non-proportional</v>
          </cell>
          <cell r="S36372">
            <v>-1624.03</v>
          </cell>
          <cell r="X36372" t="str">
            <v>Variation UPR - gross</v>
          </cell>
          <cell r="Y36372" t="str">
            <v>AUSTRALIA</v>
          </cell>
        </row>
        <row r="36373">
          <cell r="L36373" t="str">
            <v>Non-proportional</v>
          </cell>
          <cell r="S36373">
            <v>-137.47999999999999</v>
          </cell>
          <cell r="X36373" t="str">
            <v>Variation UPR - gross</v>
          </cell>
          <cell r="Y36373" t="str">
            <v>JAPAN</v>
          </cell>
        </row>
        <row r="36374">
          <cell r="L36374" t="str">
            <v>Non-proportional</v>
          </cell>
          <cell r="S36374">
            <v>-19612.5</v>
          </cell>
          <cell r="X36374" t="str">
            <v>Variation UPR - gross</v>
          </cell>
          <cell r="Y36374" t="str">
            <v>CHINA</v>
          </cell>
        </row>
        <row r="36375">
          <cell r="L36375" t="str">
            <v>Non-proportional</v>
          </cell>
          <cell r="S36375">
            <v>-80168.92</v>
          </cell>
          <cell r="X36375" t="str">
            <v>Variation UPR - gross</v>
          </cell>
          <cell r="Y36375" t="str">
            <v>UNITED KINGDOM</v>
          </cell>
        </row>
        <row r="36376">
          <cell r="L36376" t="str">
            <v>Non-proportional</v>
          </cell>
          <cell r="S36376">
            <v>24.44</v>
          </cell>
          <cell r="X36376" t="str">
            <v>Variation UPR - gross</v>
          </cell>
          <cell r="Y36376" t="str">
            <v>INDIA</v>
          </cell>
        </row>
        <row r="36377">
          <cell r="L36377" t="str">
            <v>Proportional</v>
          </cell>
          <cell r="S36377">
            <v>-5003.6000000000004</v>
          </cell>
          <cell r="X36377" t="str">
            <v>Variation UPR - gross</v>
          </cell>
          <cell r="Y36377" t="str">
            <v>THAILAND</v>
          </cell>
        </row>
        <row r="36378">
          <cell r="L36378" t="str">
            <v>Non-proportional</v>
          </cell>
          <cell r="S36378">
            <v>-4414.17</v>
          </cell>
          <cell r="X36378" t="str">
            <v>Variation UPR - gross</v>
          </cell>
          <cell r="Y36378" t="str">
            <v>ECUADOR</v>
          </cell>
        </row>
        <row r="36379">
          <cell r="L36379" t="str">
            <v>Non-proportional</v>
          </cell>
          <cell r="S36379">
            <v>-898.87</v>
          </cell>
          <cell r="X36379" t="str">
            <v>Variation UPR - gross</v>
          </cell>
          <cell r="Y36379" t="str">
            <v>FRANCE</v>
          </cell>
        </row>
        <row r="36380">
          <cell r="L36380" t="str">
            <v>Non-proportional</v>
          </cell>
          <cell r="S36380">
            <v>-1558.8</v>
          </cell>
          <cell r="X36380" t="str">
            <v>Variation UPR - gross</v>
          </cell>
          <cell r="Y36380" t="str">
            <v>ISRAEL</v>
          </cell>
        </row>
        <row r="36381">
          <cell r="L36381" t="str">
            <v>Proportional</v>
          </cell>
          <cell r="S36381">
            <v>-23565.63</v>
          </cell>
          <cell r="X36381" t="str">
            <v>Variation UPR - gross</v>
          </cell>
          <cell r="Y36381" t="str">
            <v>THAILAND</v>
          </cell>
        </row>
        <row r="36382">
          <cell r="L36382" t="str">
            <v>Non-proportional</v>
          </cell>
          <cell r="S36382">
            <v>-3015.29</v>
          </cell>
          <cell r="X36382" t="str">
            <v>Variation UPR - gross</v>
          </cell>
          <cell r="Y36382" t="str">
            <v>ITALY</v>
          </cell>
        </row>
        <row r="36383">
          <cell r="L36383" t="str">
            <v>Non-proportional</v>
          </cell>
          <cell r="S36383">
            <v>-2803.56</v>
          </cell>
          <cell r="X36383" t="str">
            <v>Variation UPR - gross</v>
          </cell>
          <cell r="Y36383" t="str">
            <v>UNITED KINGDOM</v>
          </cell>
        </row>
        <row r="36384">
          <cell r="L36384" t="str">
            <v>Non-proportional</v>
          </cell>
          <cell r="S36384">
            <v>-2975.33</v>
          </cell>
          <cell r="X36384" t="str">
            <v>Variation UPR - gross</v>
          </cell>
          <cell r="Y36384" t="str">
            <v>JAPAN</v>
          </cell>
        </row>
        <row r="36385">
          <cell r="L36385" t="str">
            <v>Non-proportional</v>
          </cell>
          <cell r="S36385">
            <v>-10312.5</v>
          </cell>
          <cell r="X36385" t="str">
            <v>Variation UPR - gross</v>
          </cell>
          <cell r="Y36385" t="str">
            <v>ROMANIA</v>
          </cell>
        </row>
        <row r="36386">
          <cell r="L36386" t="str">
            <v>Non-proportional</v>
          </cell>
          <cell r="S36386">
            <v>-3609.03</v>
          </cell>
          <cell r="X36386" t="str">
            <v>Variation UPR - gross</v>
          </cell>
          <cell r="Y36386" t="str">
            <v>AUSTRALIA</v>
          </cell>
        </row>
        <row r="36387">
          <cell r="L36387" t="str">
            <v>Non-proportional</v>
          </cell>
          <cell r="S36387">
            <v>-14789.71</v>
          </cell>
          <cell r="X36387" t="str">
            <v>Variation UPR - gross</v>
          </cell>
          <cell r="Y36387" t="str">
            <v>ECUADOR</v>
          </cell>
        </row>
        <row r="36388">
          <cell r="L36388" t="str">
            <v>Non-proportional</v>
          </cell>
          <cell r="S36388">
            <v>-5048.74</v>
          </cell>
          <cell r="X36388" t="str">
            <v>Variation UPR - gross</v>
          </cell>
          <cell r="Y36388" t="str">
            <v>PERU</v>
          </cell>
        </row>
        <row r="36389">
          <cell r="L36389" t="str">
            <v>Non-proportional</v>
          </cell>
          <cell r="S36389">
            <v>-140.19999999999999</v>
          </cell>
          <cell r="X36389" t="str">
            <v>Variation UPR - gross</v>
          </cell>
          <cell r="Y36389" t="str">
            <v>ISRAEL</v>
          </cell>
        </row>
        <row r="36390">
          <cell r="L36390" t="str">
            <v>Non-proportional</v>
          </cell>
          <cell r="S36390">
            <v>-3441.52</v>
          </cell>
          <cell r="X36390" t="str">
            <v>Variation UPR - gross</v>
          </cell>
          <cell r="Y36390" t="str">
            <v>ISRAEL</v>
          </cell>
        </row>
        <row r="36391">
          <cell r="L36391" t="str">
            <v>Non-proportional</v>
          </cell>
          <cell r="S36391">
            <v>-696.26</v>
          </cell>
          <cell r="X36391" t="str">
            <v>Variation UPR - gross</v>
          </cell>
          <cell r="Y36391" t="str">
            <v>CHILE</v>
          </cell>
        </row>
        <row r="36392">
          <cell r="L36392" t="str">
            <v>Non-proportional</v>
          </cell>
          <cell r="S36392">
            <v>455.35</v>
          </cell>
          <cell r="X36392" t="str">
            <v>Variation UPR - gross</v>
          </cell>
          <cell r="Y36392" t="str">
            <v>JAPAN</v>
          </cell>
        </row>
        <row r="36393">
          <cell r="L36393" t="str">
            <v>Non-proportional</v>
          </cell>
          <cell r="S36393">
            <v>-21666.67</v>
          </cell>
          <cell r="X36393" t="str">
            <v>Variation UPR - gross</v>
          </cell>
          <cell r="Y36393" t="str">
            <v>FRANCE</v>
          </cell>
        </row>
        <row r="36394">
          <cell r="L36394" t="str">
            <v>Non-proportional</v>
          </cell>
          <cell r="S36394">
            <v>-1360.71</v>
          </cell>
          <cell r="X36394" t="str">
            <v>Variation UPR - gross</v>
          </cell>
          <cell r="Y36394" t="str">
            <v>INDIA</v>
          </cell>
        </row>
        <row r="36395">
          <cell r="L36395" t="str">
            <v>Non-proportional</v>
          </cell>
          <cell r="S36395">
            <v>-6431906.25</v>
          </cell>
          <cell r="X36395" t="str">
            <v>Variation UPR - gross</v>
          </cell>
          <cell r="Y36395" t="str">
            <v>FRANCE</v>
          </cell>
        </row>
        <row r="36396">
          <cell r="L36396" t="str">
            <v>Non-proportional</v>
          </cell>
          <cell r="S36396">
            <v>-8967.2800000000007</v>
          </cell>
          <cell r="X36396" t="str">
            <v>Variation UPR - gross</v>
          </cell>
          <cell r="Y36396" t="str">
            <v>AUSTRALIA</v>
          </cell>
        </row>
        <row r="36397">
          <cell r="L36397" t="str">
            <v>Non-proportional</v>
          </cell>
          <cell r="S36397">
            <v>-60.4</v>
          </cell>
          <cell r="X36397" t="str">
            <v>Variation UPR - gross</v>
          </cell>
          <cell r="Y36397" t="str">
            <v>ISRAEL</v>
          </cell>
        </row>
        <row r="36398">
          <cell r="L36398" t="str">
            <v>Non-proportional</v>
          </cell>
          <cell r="S36398">
            <v>-8336.4599999999991</v>
          </cell>
          <cell r="X36398" t="str">
            <v>Variation UPR - gross</v>
          </cell>
          <cell r="Y36398" t="str">
            <v>AUSTRALIA</v>
          </cell>
        </row>
        <row r="36399">
          <cell r="L36399" t="str">
            <v>Non-proportional</v>
          </cell>
          <cell r="S36399">
            <v>-8508</v>
          </cell>
          <cell r="X36399" t="str">
            <v>Variation UPR - gross</v>
          </cell>
          <cell r="Y36399" t="str">
            <v>INDIA</v>
          </cell>
        </row>
        <row r="36400">
          <cell r="L36400" t="str">
            <v>Proportional</v>
          </cell>
          <cell r="S36400">
            <v>-19002.849999999999</v>
          </cell>
          <cell r="X36400" t="str">
            <v>Variation UPR - gross</v>
          </cell>
          <cell r="Y36400" t="str">
            <v>THAILAND</v>
          </cell>
        </row>
        <row r="36401">
          <cell r="L36401" t="str">
            <v>Non-proportional</v>
          </cell>
          <cell r="S36401">
            <v>-7.17</v>
          </cell>
          <cell r="X36401" t="str">
            <v>Variation UPR - gross</v>
          </cell>
          <cell r="Y36401" t="str">
            <v>COSTA RICA</v>
          </cell>
        </row>
        <row r="36402">
          <cell r="L36402" t="str">
            <v>Non-proportional</v>
          </cell>
          <cell r="S36402">
            <v>-1285.6199999999999</v>
          </cell>
          <cell r="X36402" t="str">
            <v>Variation UPR - gross</v>
          </cell>
          <cell r="Y36402" t="str">
            <v>DOMINICAN REPUBLIC</v>
          </cell>
        </row>
        <row r="36403">
          <cell r="L36403" t="str">
            <v>Non-proportional</v>
          </cell>
          <cell r="S36403">
            <v>-3453.72</v>
          </cell>
          <cell r="X36403" t="str">
            <v>Variation UPR - gross</v>
          </cell>
          <cell r="Y36403" t="str">
            <v>ISRAEL</v>
          </cell>
        </row>
        <row r="36404">
          <cell r="L36404" t="str">
            <v>Non-proportional</v>
          </cell>
          <cell r="S36404">
            <v>-3442.63</v>
          </cell>
          <cell r="X36404" t="str">
            <v>Variation UPR - gross</v>
          </cell>
          <cell r="Y36404" t="str">
            <v>CHILE</v>
          </cell>
        </row>
        <row r="36405">
          <cell r="L36405" t="str">
            <v>Non-proportional</v>
          </cell>
          <cell r="S36405">
            <v>-9251.26</v>
          </cell>
          <cell r="X36405" t="str">
            <v>Variation UPR - gross</v>
          </cell>
          <cell r="Y36405" t="str">
            <v>ITALY</v>
          </cell>
        </row>
        <row r="36406">
          <cell r="L36406" t="str">
            <v>Proportional</v>
          </cell>
          <cell r="S36406">
            <v>-111682.71</v>
          </cell>
          <cell r="X36406" t="str">
            <v>Variation UPR - gross</v>
          </cell>
          <cell r="Y36406" t="str">
            <v>HONG KONG</v>
          </cell>
        </row>
        <row r="36407">
          <cell r="L36407" t="str">
            <v>Proportional</v>
          </cell>
          <cell r="S36407">
            <v>-11209.19</v>
          </cell>
          <cell r="X36407" t="str">
            <v>Variation UPR - gross</v>
          </cell>
          <cell r="Y36407" t="str">
            <v>INDIA</v>
          </cell>
        </row>
        <row r="36408">
          <cell r="L36408" t="str">
            <v>Non-proportional</v>
          </cell>
          <cell r="S36408">
            <v>-5763.55</v>
          </cell>
          <cell r="X36408" t="str">
            <v>Variation UPR - gross</v>
          </cell>
          <cell r="Y36408" t="str">
            <v>MEXICO</v>
          </cell>
        </row>
        <row r="36409">
          <cell r="L36409" t="str">
            <v>Non-proportional</v>
          </cell>
          <cell r="S36409">
            <v>-4989.88</v>
          </cell>
          <cell r="X36409" t="str">
            <v>Variation UPR - gross</v>
          </cell>
          <cell r="Y36409" t="str">
            <v>CHILE</v>
          </cell>
        </row>
        <row r="36410">
          <cell r="L36410" t="str">
            <v>Non-proportional</v>
          </cell>
          <cell r="S36410">
            <v>-928.98</v>
          </cell>
          <cell r="X36410" t="str">
            <v>Variation UPR - gross</v>
          </cell>
          <cell r="Y36410" t="str">
            <v>ISRAEL</v>
          </cell>
        </row>
        <row r="36411">
          <cell r="L36411" t="str">
            <v>Non-proportional</v>
          </cell>
          <cell r="S36411">
            <v>22456.97</v>
          </cell>
          <cell r="X36411" t="str">
            <v>Variation UPR - gross</v>
          </cell>
          <cell r="Y36411" t="str">
            <v>ITALY</v>
          </cell>
        </row>
        <row r="36412">
          <cell r="L36412" t="str">
            <v>Proportional</v>
          </cell>
          <cell r="S36412">
            <v>-14947.2</v>
          </cell>
          <cell r="X36412" t="str">
            <v>Variation UPR - gross</v>
          </cell>
          <cell r="Y36412" t="str">
            <v>FRANCE</v>
          </cell>
        </row>
        <row r="36413">
          <cell r="L36413" t="str">
            <v>Non-proportional</v>
          </cell>
          <cell r="S36413">
            <v>-3032.49</v>
          </cell>
          <cell r="X36413" t="str">
            <v>Variation UPR - gross</v>
          </cell>
          <cell r="Y36413" t="str">
            <v>ISRAEL</v>
          </cell>
        </row>
        <row r="36414">
          <cell r="L36414" t="str">
            <v>Non-proportional</v>
          </cell>
          <cell r="S36414">
            <v>-560.5</v>
          </cell>
          <cell r="X36414" t="str">
            <v>Variation UPR - gross</v>
          </cell>
          <cell r="Y36414" t="str">
            <v>PORTUGAL</v>
          </cell>
        </row>
        <row r="36415">
          <cell r="S36415">
            <v>-2372.39</v>
          </cell>
          <cell r="X36415" t="str">
            <v>Variation UPR - gross</v>
          </cell>
          <cell r="Y36415" t="str">
            <v>PORTUGAL</v>
          </cell>
        </row>
        <row r="36416">
          <cell r="L36416" t="str">
            <v>Non-proportional</v>
          </cell>
          <cell r="S36416">
            <v>11.94</v>
          </cell>
          <cell r="X36416" t="str">
            <v>Variation UPR - gross</v>
          </cell>
          <cell r="Y36416" t="str">
            <v>JAPAN</v>
          </cell>
        </row>
        <row r="36417">
          <cell r="L36417" t="str">
            <v>Non-proportional</v>
          </cell>
          <cell r="S36417">
            <v>-5992.89</v>
          </cell>
          <cell r="X36417" t="str">
            <v>Variation UPR - gross</v>
          </cell>
          <cell r="Y36417" t="str">
            <v>UNITED KINGDOM</v>
          </cell>
        </row>
        <row r="36418">
          <cell r="L36418" t="str">
            <v>Non-proportional</v>
          </cell>
          <cell r="S36418">
            <v>-2958.77</v>
          </cell>
          <cell r="X36418" t="str">
            <v>Variation UPR - gross</v>
          </cell>
          <cell r="Y36418" t="str">
            <v>UNITED KINGDOM</v>
          </cell>
        </row>
        <row r="36419">
          <cell r="L36419" t="str">
            <v>Non-proportional</v>
          </cell>
          <cell r="S36419">
            <v>106.41</v>
          </cell>
          <cell r="X36419" t="str">
            <v>Variation UPR - gross</v>
          </cell>
          <cell r="Y36419" t="str">
            <v>DOMINICAN REPUBLIC</v>
          </cell>
        </row>
        <row r="36420">
          <cell r="L36420" t="str">
            <v>Proportional</v>
          </cell>
          <cell r="S36420">
            <v>-375000</v>
          </cell>
          <cell r="X36420" t="str">
            <v>Variation UPR - gross</v>
          </cell>
          <cell r="Y36420" t="str">
            <v>PORTUGAL</v>
          </cell>
        </row>
        <row r="36421">
          <cell r="L36421" t="str">
            <v>Non-proportional</v>
          </cell>
          <cell r="S36421">
            <v>35.81</v>
          </cell>
          <cell r="X36421" t="str">
            <v>Variation UPR - gross</v>
          </cell>
          <cell r="Y36421" t="str">
            <v>INDIA</v>
          </cell>
        </row>
        <row r="36422">
          <cell r="L36422" t="str">
            <v>Non-proportional</v>
          </cell>
          <cell r="S36422">
            <v>-203.02</v>
          </cell>
          <cell r="X36422" t="str">
            <v>Variation UPR - gross</v>
          </cell>
          <cell r="Y36422" t="str">
            <v>JAPAN</v>
          </cell>
        </row>
        <row r="36423">
          <cell r="L36423" t="str">
            <v>Non-proportional</v>
          </cell>
          <cell r="S36423">
            <v>-924.61</v>
          </cell>
          <cell r="X36423" t="str">
            <v>Variation UPR - gross</v>
          </cell>
          <cell r="Y36423" t="str">
            <v>MEXICO</v>
          </cell>
        </row>
        <row r="36424">
          <cell r="L36424" t="str">
            <v>Non-proportional</v>
          </cell>
          <cell r="S36424">
            <v>-182021.67</v>
          </cell>
          <cell r="X36424" t="str">
            <v>Variation UPR - gross</v>
          </cell>
          <cell r="Y36424" t="str">
            <v>PORTUGAL</v>
          </cell>
        </row>
        <row r="36425">
          <cell r="L36425" t="str">
            <v>Non-proportional</v>
          </cell>
          <cell r="S36425">
            <v>151.91</v>
          </cell>
          <cell r="X36425" t="str">
            <v>Variation UPR - gross</v>
          </cell>
          <cell r="Y36425" t="str">
            <v>DOMINICAN REPUBLIC</v>
          </cell>
        </row>
        <row r="36426">
          <cell r="L36426" t="str">
            <v>Non-proportional</v>
          </cell>
          <cell r="S36426">
            <v>-800</v>
          </cell>
          <cell r="X36426" t="str">
            <v>Variation UPR - gross</v>
          </cell>
          <cell r="Y36426" t="str">
            <v>ITALY</v>
          </cell>
        </row>
        <row r="36427">
          <cell r="L36427" t="str">
            <v>Non-proportional</v>
          </cell>
          <cell r="S36427">
            <v>-9668.74</v>
          </cell>
          <cell r="X36427" t="str">
            <v>Variation UPR - gross</v>
          </cell>
          <cell r="Y36427" t="str">
            <v>INDIA</v>
          </cell>
        </row>
        <row r="36428">
          <cell r="L36428" t="str">
            <v>Non-proportional</v>
          </cell>
          <cell r="S36428">
            <v>-84.69</v>
          </cell>
          <cell r="X36428" t="str">
            <v>Variation UPR - gross</v>
          </cell>
          <cell r="Y36428" t="str">
            <v>COLOMBIA</v>
          </cell>
        </row>
        <row r="36429">
          <cell r="L36429" t="str">
            <v>Non-proportional</v>
          </cell>
          <cell r="S36429">
            <v>14286.14</v>
          </cell>
          <cell r="X36429" t="str">
            <v>Variation UPR - gross</v>
          </cell>
          <cell r="Y36429" t="str">
            <v>ITALY</v>
          </cell>
        </row>
        <row r="36430">
          <cell r="L36430" t="str">
            <v>Non-proportional</v>
          </cell>
          <cell r="S36430">
            <v>232.09</v>
          </cell>
          <cell r="X36430" t="str">
            <v>Variation UPR - gross</v>
          </cell>
          <cell r="Y36430" t="str">
            <v>CHILE</v>
          </cell>
        </row>
        <row r="36431">
          <cell r="L36431" t="str">
            <v>Non-proportional</v>
          </cell>
          <cell r="S36431">
            <v>-3624.98</v>
          </cell>
          <cell r="X36431" t="str">
            <v>Variation UPR - gross</v>
          </cell>
          <cell r="Y36431" t="str">
            <v>DOMINICAN REPUBLIC</v>
          </cell>
        </row>
        <row r="36432">
          <cell r="L36432" t="str">
            <v>Non-proportional</v>
          </cell>
          <cell r="S36432">
            <v>-2517.67</v>
          </cell>
          <cell r="X36432" t="str">
            <v>Variation UPR - gross</v>
          </cell>
          <cell r="Y36432" t="str">
            <v>ITALY</v>
          </cell>
        </row>
        <row r="36433">
          <cell r="L36433" t="str">
            <v>Non-proportional</v>
          </cell>
          <cell r="S36433">
            <v>-4932</v>
          </cell>
          <cell r="X36433" t="str">
            <v>Variation UPR - gross</v>
          </cell>
          <cell r="Y36433" t="str">
            <v>ISRAEL</v>
          </cell>
        </row>
        <row r="36434">
          <cell r="L36434" t="str">
            <v>Proportional</v>
          </cell>
          <cell r="S36434">
            <v>-206018.58</v>
          </cell>
          <cell r="X36434" t="str">
            <v>Variation UPR - gross</v>
          </cell>
          <cell r="Y36434" t="str">
            <v>PORTUGAL</v>
          </cell>
        </row>
        <row r="36435">
          <cell r="L36435" t="str">
            <v>Non-proportional</v>
          </cell>
          <cell r="S36435">
            <v>-840.04</v>
          </cell>
          <cell r="X36435" t="str">
            <v>Variation UPR - gross</v>
          </cell>
          <cell r="Y36435" t="str">
            <v>INDIA</v>
          </cell>
        </row>
        <row r="36436">
          <cell r="L36436" t="str">
            <v>Non-proportional</v>
          </cell>
          <cell r="S36436">
            <v>-109675.48</v>
          </cell>
          <cell r="X36436" t="str">
            <v>Variation UPR - gross</v>
          </cell>
          <cell r="Y36436" t="str">
            <v>EUROPE</v>
          </cell>
        </row>
        <row r="36437">
          <cell r="L36437" t="str">
            <v>Non-proportional</v>
          </cell>
          <cell r="S36437">
            <v>-5413.44</v>
          </cell>
          <cell r="X36437" t="str">
            <v>Variation UPR - gross</v>
          </cell>
          <cell r="Y36437" t="str">
            <v>AUSTRALIA</v>
          </cell>
        </row>
        <row r="36438">
          <cell r="L36438" t="str">
            <v>Proportional</v>
          </cell>
          <cell r="S36438">
            <v>-5172.7</v>
          </cell>
          <cell r="X36438" t="str">
            <v>Variation UPR - gross</v>
          </cell>
          <cell r="Y36438" t="str">
            <v>ITALY</v>
          </cell>
        </row>
        <row r="36439">
          <cell r="L36439" t="str">
            <v>Non-proportional</v>
          </cell>
          <cell r="S36439">
            <v>-1664.56</v>
          </cell>
          <cell r="X36439" t="str">
            <v>Variation UPR - gross</v>
          </cell>
          <cell r="Y36439" t="str">
            <v>FRANCE</v>
          </cell>
        </row>
        <row r="36440">
          <cell r="L36440" t="str">
            <v>Non-proportional</v>
          </cell>
          <cell r="S36440">
            <v>-10393.31</v>
          </cell>
          <cell r="X36440" t="str">
            <v>Variation UPR - gross</v>
          </cell>
          <cell r="Y36440" t="str">
            <v>PERU</v>
          </cell>
        </row>
        <row r="36441">
          <cell r="L36441" t="str">
            <v>Non-proportional</v>
          </cell>
          <cell r="S36441">
            <v>149.1</v>
          </cell>
          <cell r="X36441" t="str">
            <v>Variation UPR - gross</v>
          </cell>
          <cell r="Y36441" t="str">
            <v>JAPAN</v>
          </cell>
        </row>
        <row r="36442">
          <cell r="L36442" t="str">
            <v>Non-proportional</v>
          </cell>
          <cell r="S36442">
            <v>-14424.04</v>
          </cell>
          <cell r="X36442" t="str">
            <v>Variation UPR - gross</v>
          </cell>
          <cell r="Y36442" t="str">
            <v>FRANCE</v>
          </cell>
        </row>
        <row r="36443">
          <cell r="L36443" t="str">
            <v>Non-proportional</v>
          </cell>
          <cell r="S36443">
            <v>-6658.89</v>
          </cell>
          <cell r="X36443" t="str">
            <v>Variation UPR - gross</v>
          </cell>
          <cell r="Y36443" t="str">
            <v>CYPRUS</v>
          </cell>
        </row>
        <row r="36444">
          <cell r="L36444" t="str">
            <v>Non-proportional</v>
          </cell>
          <cell r="S36444">
            <v>-1257.8</v>
          </cell>
          <cell r="X36444" t="str">
            <v>Variation UPR - gross</v>
          </cell>
          <cell r="Y36444" t="str">
            <v>ITALY</v>
          </cell>
        </row>
        <row r="36445">
          <cell r="L36445" t="str">
            <v>Proportional</v>
          </cell>
          <cell r="S36445">
            <v>-412.4</v>
          </cell>
          <cell r="X36445" t="str">
            <v>Variation UPR - gross</v>
          </cell>
          <cell r="Y36445" t="str">
            <v>THAILAND</v>
          </cell>
        </row>
        <row r="36446">
          <cell r="L36446" t="str">
            <v>Non-proportional</v>
          </cell>
          <cell r="S36446">
            <v>-3698.08</v>
          </cell>
          <cell r="X36446" t="str">
            <v>Variation UPR - gross</v>
          </cell>
          <cell r="Y36446" t="str">
            <v>COLOMBIA</v>
          </cell>
        </row>
        <row r="36447">
          <cell r="L36447" t="str">
            <v>Non-proportional</v>
          </cell>
          <cell r="S36447">
            <v>-6489.05</v>
          </cell>
          <cell r="X36447" t="str">
            <v>Variation UPR - gross</v>
          </cell>
          <cell r="Y36447" t="str">
            <v>JAPAN</v>
          </cell>
        </row>
        <row r="36448">
          <cell r="L36448" t="str">
            <v>Proportional</v>
          </cell>
          <cell r="S36448">
            <v>-419.93</v>
          </cell>
          <cell r="X36448" t="str">
            <v>Variation UPR - gross</v>
          </cell>
          <cell r="Y36448" t="str">
            <v>THAILAND</v>
          </cell>
        </row>
        <row r="36449">
          <cell r="L36449" t="str">
            <v>Non-proportional</v>
          </cell>
          <cell r="S36449">
            <v>-1032.97</v>
          </cell>
          <cell r="X36449" t="str">
            <v>Variation UPR - gross</v>
          </cell>
          <cell r="Y36449" t="str">
            <v>COLOMBIA</v>
          </cell>
        </row>
        <row r="36450">
          <cell r="L36450" t="str">
            <v>Non-proportional</v>
          </cell>
          <cell r="S36450">
            <v>135.91</v>
          </cell>
          <cell r="X36450" t="str">
            <v>Variation UPR - gross</v>
          </cell>
          <cell r="Y36450" t="str">
            <v>NEW ZEALAND</v>
          </cell>
        </row>
        <row r="36451">
          <cell r="L36451" t="str">
            <v>Proportional</v>
          </cell>
          <cell r="S36451">
            <v>-8629.5</v>
          </cell>
          <cell r="X36451" t="str">
            <v>Variation UPR - gross</v>
          </cell>
          <cell r="Y36451" t="str">
            <v>HONG KONG</v>
          </cell>
        </row>
        <row r="36452">
          <cell r="L36452" t="str">
            <v>Non-proportional</v>
          </cell>
          <cell r="S36452">
            <v>80.12</v>
          </cell>
          <cell r="X36452" t="str">
            <v>Variation UPR - gross</v>
          </cell>
          <cell r="Y36452" t="str">
            <v>DOMINICAN REPUBLIC</v>
          </cell>
        </row>
        <row r="36453">
          <cell r="L36453" t="str">
            <v>Non-proportional</v>
          </cell>
          <cell r="S36453">
            <v>-46864.67</v>
          </cell>
          <cell r="X36453" t="str">
            <v>Variation UPR - gross</v>
          </cell>
          <cell r="Y36453" t="str">
            <v>FRANCE</v>
          </cell>
        </row>
        <row r="36454">
          <cell r="L36454" t="str">
            <v>Non-proportional</v>
          </cell>
          <cell r="S36454">
            <v>-449.68</v>
          </cell>
          <cell r="X36454" t="str">
            <v>Variation UPR - gross</v>
          </cell>
          <cell r="Y36454" t="str">
            <v>JAPAN</v>
          </cell>
        </row>
        <row r="36455">
          <cell r="L36455" t="str">
            <v>Non-proportional</v>
          </cell>
          <cell r="S36455">
            <v>-1212.04</v>
          </cell>
          <cell r="X36455" t="str">
            <v>Variation UPR - gross</v>
          </cell>
          <cell r="Y36455" t="str">
            <v>JAPAN</v>
          </cell>
        </row>
        <row r="36456">
          <cell r="L36456" t="str">
            <v>Non-proportional</v>
          </cell>
          <cell r="S36456">
            <v>-2805.25</v>
          </cell>
          <cell r="X36456" t="str">
            <v>Variation UPR - gross</v>
          </cell>
          <cell r="Y36456" t="str">
            <v>REPUBLIC OF IRELAND</v>
          </cell>
        </row>
        <row r="36457">
          <cell r="L36457" t="str">
            <v>Non-proportional</v>
          </cell>
          <cell r="S36457">
            <v>-40000</v>
          </cell>
          <cell r="X36457" t="str">
            <v>Variation UPR - gross</v>
          </cell>
          <cell r="Y36457" t="str">
            <v>PORTUGAL</v>
          </cell>
        </row>
        <row r="36458">
          <cell r="L36458" t="str">
            <v>Non-proportional</v>
          </cell>
          <cell r="S36458">
            <v>-9500.14</v>
          </cell>
          <cell r="X36458" t="str">
            <v>Variation UPR - gross</v>
          </cell>
          <cell r="Y36458" t="str">
            <v>TURKEY</v>
          </cell>
        </row>
        <row r="36459">
          <cell r="L36459" t="str">
            <v>Non-proportional</v>
          </cell>
          <cell r="S36459">
            <v>-2001.46</v>
          </cell>
          <cell r="X36459" t="str">
            <v>Variation UPR - gross</v>
          </cell>
          <cell r="Y36459" t="str">
            <v>DOMINICAN REPUBLIC</v>
          </cell>
        </row>
        <row r="36460">
          <cell r="L36460" t="str">
            <v>Non-proportional</v>
          </cell>
          <cell r="S36460">
            <v>-2132.69</v>
          </cell>
          <cell r="X36460" t="str">
            <v>Variation UPR - gross</v>
          </cell>
          <cell r="Y36460" t="str">
            <v>UNITED KINGDOM</v>
          </cell>
        </row>
        <row r="36461">
          <cell r="L36461" t="str">
            <v>Non-proportional</v>
          </cell>
          <cell r="S36461">
            <v>-3157.72</v>
          </cell>
          <cell r="X36461" t="str">
            <v>Variation UPR - gross</v>
          </cell>
          <cell r="Y36461" t="str">
            <v>DOMINICAN REPUBLIC</v>
          </cell>
        </row>
        <row r="36462">
          <cell r="L36462" t="str">
            <v>Non-proportional</v>
          </cell>
          <cell r="S36462">
            <v>-110124.15</v>
          </cell>
          <cell r="X36462" t="str">
            <v>Variation UPR - gross</v>
          </cell>
          <cell r="Y36462" t="str">
            <v>UNITED KINGDOM</v>
          </cell>
        </row>
        <row r="36463">
          <cell r="L36463" t="str">
            <v>Non-proportional</v>
          </cell>
          <cell r="S36463">
            <v>-1646.39</v>
          </cell>
          <cell r="X36463" t="str">
            <v>Variation UPR - gross</v>
          </cell>
          <cell r="Y36463" t="str">
            <v>ECUADOR</v>
          </cell>
        </row>
        <row r="36464">
          <cell r="L36464" t="str">
            <v>Non-proportional</v>
          </cell>
          <cell r="S36464">
            <v>-64.209999999999994</v>
          </cell>
          <cell r="X36464" t="str">
            <v>Variation UPR - gross</v>
          </cell>
          <cell r="Y36464" t="str">
            <v>ISRAEL</v>
          </cell>
        </row>
        <row r="36465">
          <cell r="L36465" t="str">
            <v>Non-proportional</v>
          </cell>
          <cell r="S36465">
            <v>-1081.6199999999999</v>
          </cell>
          <cell r="X36465" t="str">
            <v>Variation UPR - gross</v>
          </cell>
          <cell r="Y36465" t="str">
            <v>ISRAEL</v>
          </cell>
        </row>
        <row r="36466">
          <cell r="L36466" t="str">
            <v>Proportional</v>
          </cell>
          <cell r="S36466">
            <v>-11216.82</v>
          </cell>
          <cell r="X36466" t="str">
            <v>Variation UPR - gross</v>
          </cell>
          <cell r="Y36466" t="str">
            <v>THAILAND</v>
          </cell>
        </row>
        <row r="36467">
          <cell r="L36467" t="str">
            <v>Non-proportional</v>
          </cell>
          <cell r="S36467">
            <v>199.14</v>
          </cell>
          <cell r="X36467" t="str">
            <v>Variation UPR - gross</v>
          </cell>
          <cell r="Y36467" t="str">
            <v>JAPAN</v>
          </cell>
        </row>
        <row r="36468">
          <cell r="L36468" t="str">
            <v>Non-proportional</v>
          </cell>
          <cell r="S36468">
            <v>-4717.5</v>
          </cell>
          <cell r="X36468" t="str">
            <v>Variation UPR - gross</v>
          </cell>
          <cell r="Y36468" t="str">
            <v>ISRAEL</v>
          </cell>
        </row>
        <row r="36469">
          <cell r="L36469" t="str">
            <v>Non-proportional</v>
          </cell>
          <cell r="S36469">
            <v>-15885.46</v>
          </cell>
          <cell r="X36469" t="str">
            <v>Variation UPR - gross</v>
          </cell>
          <cell r="Y36469" t="str">
            <v>EUROPE</v>
          </cell>
        </row>
        <row r="36470">
          <cell r="L36470" t="str">
            <v>Non-proportional</v>
          </cell>
          <cell r="S36470">
            <v>-578.62</v>
          </cell>
          <cell r="X36470" t="str">
            <v>Variation UPR - gross</v>
          </cell>
          <cell r="Y36470" t="str">
            <v>AUSTRALIA</v>
          </cell>
        </row>
        <row r="36471">
          <cell r="L36471" t="str">
            <v>Non-proportional</v>
          </cell>
          <cell r="S36471">
            <v>-8661.2000000000007</v>
          </cell>
          <cell r="X36471" t="str">
            <v>Variation UPR - gross</v>
          </cell>
          <cell r="Y36471" t="str">
            <v>AUSTRALIA</v>
          </cell>
        </row>
        <row r="36472">
          <cell r="L36472" t="str">
            <v>Non-proportional</v>
          </cell>
          <cell r="S36472">
            <v>-2933.94</v>
          </cell>
          <cell r="X36472" t="str">
            <v>Variation UPR - gross</v>
          </cell>
          <cell r="Y36472" t="str">
            <v>JAPAN</v>
          </cell>
        </row>
        <row r="36473">
          <cell r="L36473" t="str">
            <v>Non-proportional</v>
          </cell>
          <cell r="S36473">
            <v>-2901.09</v>
          </cell>
          <cell r="X36473" t="str">
            <v>Variation UPR - gross</v>
          </cell>
          <cell r="Y36473" t="str">
            <v>CHILE</v>
          </cell>
        </row>
        <row r="36474">
          <cell r="L36474" t="str">
            <v>Non-proportional</v>
          </cell>
          <cell r="S36474">
            <v>-387.5</v>
          </cell>
          <cell r="X36474" t="str">
            <v>Variation UPR - gross</v>
          </cell>
          <cell r="Y36474" t="str">
            <v>ITALY</v>
          </cell>
        </row>
        <row r="36475">
          <cell r="L36475" t="str">
            <v>Non-proportional</v>
          </cell>
          <cell r="S36475">
            <v>-6957.83</v>
          </cell>
          <cell r="X36475" t="str">
            <v>Variation UPR - gross</v>
          </cell>
          <cell r="Y36475" t="str">
            <v>ITALY</v>
          </cell>
        </row>
        <row r="36476">
          <cell r="L36476" t="str">
            <v>Non-proportional</v>
          </cell>
          <cell r="S36476">
            <v>-6220.38</v>
          </cell>
          <cell r="X36476" t="str">
            <v>Variation UPR - gross</v>
          </cell>
          <cell r="Y36476" t="str">
            <v>COSTA RICA</v>
          </cell>
        </row>
        <row r="36477">
          <cell r="L36477" t="str">
            <v>Proportional</v>
          </cell>
          <cell r="S36477">
            <v>-64593.71</v>
          </cell>
          <cell r="X36477" t="str">
            <v>Variation UPR - gross</v>
          </cell>
          <cell r="Y36477" t="str">
            <v>UNITED STATES</v>
          </cell>
        </row>
        <row r="36478">
          <cell r="L36478" t="str">
            <v>Non-proportional</v>
          </cell>
          <cell r="S36478">
            <v>153.32</v>
          </cell>
          <cell r="X36478" t="str">
            <v>Variation UPR - gross</v>
          </cell>
          <cell r="Y36478" t="str">
            <v>JAPAN</v>
          </cell>
        </row>
        <row r="36479">
          <cell r="L36479" t="str">
            <v>Non-proportional</v>
          </cell>
          <cell r="S36479">
            <v>-121.41</v>
          </cell>
          <cell r="X36479" t="str">
            <v>Variation UPR - gross</v>
          </cell>
          <cell r="Y36479" t="str">
            <v>INDIA</v>
          </cell>
        </row>
        <row r="36480">
          <cell r="L36480" t="str">
            <v>Proportional</v>
          </cell>
          <cell r="S36480">
            <v>-12371.95</v>
          </cell>
          <cell r="X36480" t="str">
            <v>Variation UPR - gross</v>
          </cell>
          <cell r="Y36480" t="str">
            <v>THAILAND</v>
          </cell>
        </row>
        <row r="36481">
          <cell r="L36481" t="str">
            <v>Non-proportional</v>
          </cell>
          <cell r="S36481">
            <v>-17818.669999999998</v>
          </cell>
          <cell r="X36481" t="str">
            <v>Variation UPR - gross</v>
          </cell>
          <cell r="Y36481" t="str">
            <v>UNITED KINGDOM</v>
          </cell>
        </row>
        <row r="36482">
          <cell r="L36482" t="str">
            <v>Non-proportional</v>
          </cell>
          <cell r="S36482">
            <v>-3535.16</v>
          </cell>
          <cell r="X36482" t="str">
            <v>Variation UPR - gross</v>
          </cell>
          <cell r="Y36482" t="str">
            <v>INDIA</v>
          </cell>
        </row>
        <row r="36483">
          <cell r="L36483" t="str">
            <v>Non-proportional</v>
          </cell>
          <cell r="S36483">
            <v>284.77</v>
          </cell>
          <cell r="X36483" t="str">
            <v>Variation UPR - gross</v>
          </cell>
          <cell r="Y36483" t="str">
            <v>COLOMBIA</v>
          </cell>
        </row>
        <row r="36484">
          <cell r="L36484" t="str">
            <v>Non-proportional</v>
          </cell>
          <cell r="S36484">
            <v>-8045.69</v>
          </cell>
          <cell r="X36484" t="str">
            <v>Variation UPR - gross</v>
          </cell>
          <cell r="Y36484" t="str">
            <v>CHILE</v>
          </cell>
        </row>
        <row r="36485">
          <cell r="L36485" t="str">
            <v>Non-proportional</v>
          </cell>
          <cell r="S36485">
            <v>-7070.23</v>
          </cell>
          <cell r="X36485" t="str">
            <v>Variation UPR - gross</v>
          </cell>
          <cell r="Y36485" t="str">
            <v>UNITED KINGDOM</v>
          </cell>
        </row>
        <row r="36486">
          <cell r="L36486" t="str">
            <v>Non-proportional</v>
          </cell>
          <cell r="S36486">
            <v>-6666.5</v>
          </cell>
          <cell r="X36486" t="str">
            <v>Variation UPR - gross</v>
          </cell>
          <cell r="Y36486" t="str">
            <v>ITALY</v>
          </cell>
        </row>
        <row r="36487">
          <cell r="L36487" t="str">
            <v>Non-proportional</v>
          </cell>
          <cell r="S36487">
            <v>-3126.85</v>
          </cell>
          <cell r="X36487" t="str">
            <v>Variation UPR - gross</v>
          </cell>
          <cell r="Y36487" t="str">
            <v>FRANCE</v>
          </cell>
        </row>
        <row r="36488">
          <cell r="L36488" t="str">
            <v>Non-proportional</v>
          </cell>
          <cell r="S36488">
            <v>-4251.01</v>
          </cell>
          <cell r="X36488" t="str">
            <v>Variation UPR - gross</v>
          </cell>
          <cell r="Y36488" t="str">
            <v>THAILAND</v>
          </cell>
        </row>
        <row r="36489">
          <cell r="L36489" t="str">
            <v>Non-proportional</v>
          </cell>
          <cell r="S36489">
            <v>-10904.07</v>
          </cell>
          <cell r="X36489" t="str">
            <v>Variation UPR - gross</v>
          </cell>
          <cell r="Y36489" t="str">
            <v>POLAND</v>
          </cell>
        </row>
        <row r="36490">
          <cell r="L36490" t="str">
            <v>Non-proportional</v>
          </cell>
          <cell r="S36490">
            <v>-1115.43</v>
          </cell>
          <cell r="X36490" t="str">
            <v>Variation UPR - gross</v>
          </cell>
          <cell r="Y36490" t="str">
            <v>JAPAN</v>
          </cell>
        </row>
        <row r="36491">
          <cell r="L36491" t="str">
            <v>Non-proportional</v>
          </cell>
          <cell r="S36491">
            <v>-7437.5</v>
          </cell>
          <cell r="X36491" t="str">
            <v>Variation UPR - gross</v>
          </cell>
          <cell r="Y36491" t="str">
            <v>ITALY</v>
          </cell>
        </row>
        <row r="36492">
          <cell r="L36492" t="str">
            <v>Non-proportional</v>
          </cell>
          <cell r="S36492">
            <v>490.11</v>
          </cell>
          <cell r="X36492" t="str">
            <v>Variation UPR - gross</v>
          </cell>
          <cell r="Y36492" t="str">
            <v>INDIA</v>
          </cell>
        </row>
        <row r="36493">
          <cell r="L36493" t="str">
            <v>Non-proportional</v>
          </cell>
          <cell r="S36493">
            <v>-2327.25</v>
          </cell>
          <cell r="X36493" t="str">
            <v>Variation UPR - gross</v>
          </cell>
          <cell r="Y36493" t="str">
            <v>MEXICO</v>
          </cell>
        </row>
        <row r="36494">
          <cell r="L36494" t="str">
            <v>Non-proportional</v>
          </cell>
          <cell r="S36494">
            <v>-6623.14</v>
          </cell>
          <cell r="X36494" t="str">
            <v>Variation UPR - gross</v>
          </cell>
          <cell r="Y36494" t="str">
            <v>CYPRUS</v>
          </cell>
        </row>
        <row r="36495">
          <cell r="L36495" t="str">
            <v>Non-proportional</v>
          </cell>
          <cell r="S36495">
            <v>126.79</v>
          </cell>
          <cell r="X36495" t="str">
            <v>Variation UPR - gross</v>
          </cell>
          <cell r="Y36495" t="str">
            <v>NEW ZEALAND</v>
          </cell>
        </row>
        <row r="36496">
          <cell r="L36496" t="str">
            <v>Proportional</v>
          </cell>
          <cell r="S36496">
            <v>-745208.14</v>
          </cell>
          <cell r="X36496" t="str">
            <v>Variation UPR - gross</v>
          </cell>
          <cell r="Y36496" t="str">
            <v>HONG KONG</v>
          </cell>
        </row>
        <row r="36497">
          <cell r="L36497" t="str">
            <v>Non-proportional</v>
          </cell>
          <cell r="S36497">
            <v>-771.5</v>
          </cell>
          <cell r="X36497" t="str">
            <v>Variation UPR - gross</v>
          </cell>
          <cell r="Y36497" t="str">
            <v>GERMANY</v>
          </cell>
        </row>
        <row r="36498">
          <cell r="L36498" t="str">
            <v>Proportional</v>
          </cell>
          <cell r="S36498">
            <v>-657.58</v>
          </cell>
          <cell r="X36498" t="str">
            <v>Variation UPR - gross</v>
          </cell>
          <cell r="Y36498" t="str">
            <v>CHILE</v>
          </cell>
        </row>
        <row r="36499">
          <cell r="L36499" t="str">
            <v>Non-proportional</v>
          </cell>
          <cell r="S36499">
            <v>-2211.81</v>
          </cell>
          <cell r="X36499" t="str">
            <v>Variation UPR - gross</v>
          </cell>
          <cell r="Y36499" t="str">
            <v>JAPAN</v>
          </cell>
        </row>
        <row r="36500">
          <cell r="L36500" t="str">
            <v>Non-proportional</v>
          </cell>
          <cell r="S36500">
            <v>-6640.74</v>
          </cell>
          <cell r="X36500" t="str">
            <v>Variation UPR - gross</v>
          </cell>
          <cell r="Y36500" t="str">
            <v>PERU</v>
          </cell>
        </row>
        <row r="36501">
          <cell r="L36501" t="str">
            <v>Non-proportional</v>
          </cell>
          <cell r="S36501">
            <v>-417.67</v>
          </cell>
          <cell r="X36501" t="str">
            <v>Variation UPR - gross</v>
          </cell>
          <cell r="Y36501" t="str">
            <v>NETHERLANDS</v>
          </cell>
        </row>
        <row r="36502">
          <cell r="L36502" t="str">
            <v>Non-proportional</v>
          </cell>
          <cell r="S36502">
            <v>-13.44</v>
          </cell>
          <cell r="X36502" t="str">
            <v>Variation UPR - gross</v>
          </cell>
          <cell r="Y36502" t="str">
            <v>JAPAN</v>
          </cell>
        </row>
        <row r="36503">
          <cell r="L36503" t="str">
            <v>Non-proportional</v>
          </cell>
          <cell r="S36503">
            <v>100.12</v>
          </cell>
          <cell r="X36503" t="str">
            <v>Variation UPR - gross</v>
          </cell>
          <cell r="Y36503" t="str">
            <v>COLOMBIA</v>
          </cell>
        </row>
        <row r="36504">
          <cell r="L36504" t="str">
            <v>Non-proportional</v>
          </cell>
          <cell r="S36504">
            <v>-1355.28</v>
          </cell>
          <cell r="X36504" t="str">
            <v>Variation UPR - gross</v>
          </cell>
          <cell r="Y36504" t="str">
            <v>UNITED KINGDOM</v>
          </cell>
        </row>
        <row r="36505">
          <cell r="L36505" t="str">
            <v>Non-proportional</v>
          </cell>
          <cell r="S36505">
            <v>13.6</v>
          </cell>
          <cell r="X36505" t="str">
            <v>Variation UPR - gross</v>
          </cell>
          <cell r="Y36505" t="str">
            <v>GUATEMALA</v>
          </cell>
        </row>
        <row r="36506">
          <cell r="L36506" t="str">
            <v>Non-proportional</v>
          </cell>
          <cell r="S36506">
            <v>-35546.85</v>
          </cell>
          <cell r="X36506" t="str">
            <v>Variation UPR - gross</v>
          </cell>
          <cell r="Y36506" t="str">
            <v>UNITED KINGDOM</v>
          </cell>
        </row>
        <row r="36507">
          <cell r="L36507" t="str">
            <v>Non-proportional</v>
          </cell>
          <cell r="S36507">
            <v>-41.21</v>
          </cell>
          <cell r="X36507" t="str">
            <v>Variation UPR - gross</v>
          </cell>
          <cell r="Y36507" t="str">
            <v>ISRAEL</v>
          </cell>
        </row>
        <row r="36508">
          <cell r="L36508" t="str">
            <v>Non-proportional</v>
          </cell>
          <cell r="S36508">
            <v>-11.09</v>
          </cell>
          <cell r="X36508" t="str">
            <v>Variation UPR - gross</v>
          </cell>
          <cell r="Y36508" t="str">
            <v>ISRAEL</v>
          </cell>
        </row>
        <row r="36509">
          <cell r="L36509" t="str">
            <v>Non-proportional</v>
          </cell>
          <cell r="S36509">
            <v>71.7</v>
          </cell>
          <cell r="X36509" t="str">
            <v>Variation UPR - gross</v>
          </cell>
          <cell r="Y36509" t="str">
            <v>COLOMBIA</v>
          </cell>
        </row>
        <row r="36510">
          <cell r="L36510" t="str">
            <v>Non-proportional</v>
          </cell>
          <cell r="S36510">
            <v>0.01</v>
          </cell>
          <cell r="X36510" t="str">
            <v>Variation UPR - gross</v>
          </cell>
          <cell r="Y36510" t="str">
            <v>JAPAN</v>
          </cell>
        </row>
        <row r="36511">
          <cell r="L36511" t="str">
            <v>Non-proportional</v>
          </cell>
          <cell r="S36511">
            <v>-4250.1899999999996</v>
          </cell>
          <cell r="X36511" t="str">
            <v>Variation UPR - gross</v>
          </cell>
          <cell r="Y36511" t="str">
            <v>ITALY</v>
          </cell>
        </row>
        <row r="36512">
          <cell r="L36512" t="str">
            <v>Non-proportional</v>
          </cell>
          <cell r="S36512">
            <v>-38.68</v>
          </cell>
          <cell r="X36512" t="str">
            <v>Variation UPR - gross</v>
          </cell>
          <cell r="Y36512" t="str">
            <v>CHILE</v>
          </cell>
        </row>
        <row r="36513">
          <cell r="L36513" t="str">
            <v>Non-proportional</v>
          </cell>
          <cell r="S36513">
            <v>-2427.7399999999998</v>
          </cell>
          <cell r="X36513" t="str">
            <v>Variation UPR - gross</v>
          </cell>
          <cell r="Y36513" t="str">
            <v>INDIA</v>
          </cell>
        </row>
        <row r="36514">
          <cell r="L36514" t="str">
            <v>Proportional</v>
          </cell>
          <cell r="S36514">
            <v>-53199.4</v>
          </cell>
          <cell r="X36514" t="str">
            <v>Variation UPR - gross</v>
          </cell>
          <cell r="Y36514" t="str">
            <v>THAILAND</v>
          </cell>
        </row>
        <row r="36515">
          <cell r="L36515" t="str">
            <v>Non-proportional</v>
          </cell>
          <cell r="S36515">
            <v>-1387.73</v>
          </cell>
          <cell r="X36515" t="str">
            <v>Variation UPR - gross</v>
          </cell>
          <cell r="Y36515" t="str">
            <v>INDIA</v>
          </cell>
        </row>
        <row r="36516">
          <cell r="L36516" t="str">
            <v>Non-proportional</v>
          </cell>
          <cell r="S36516">
            <v>-12632.4</v>
          </cell>
          <cell r="X36516" t="str">
            <v>Variation UPR - gross</v>
          </cell>
          <cell r="Y36516" t="str">
            <v>UNITED KINGDOM</v>
          </cell>
        </row>
        <row r="36517">
          <cell r="L36517" t="str">
            <v>Non-proportional</v>
          </cell>
          <cell r="S36517">
            <v>-38.68</v>
          </cell>
          <cell r="X36517" t="str">
            <v>Variation UPR - gross</v>
          </cell>
          <cell r="Y36517" t="str">
            <v>CHILE</v>
          </cell>
        </row>
        <row r="36518">
          <cell r="L36518" t="str">
            <v>Non-proportional</v>
          </cell>
          <cell r="S36518">
            <v>-6040.07</v>
          </cell>
          <cell r="X36518" t="str">
            <v>Variation UPR - gross</v>
          </cell>
          <cell r="Y36518" t="str">
            <v>COLOMBIA</v>
          </cell>
        </row>
        <row r="36519">
          <cell r="L36519" t="str">
            <v>Non-proportional</v>
          </cell>
          <cell r="S36519">
            <v>0.03</v>
          </cell>
          <cell r="X36519" t="str">
            <v>Variation UPR - gross</v>
          </cell>
          <cell r="Y36519" t="str">
            <v>DOMINICAN REPUBLIC</v>
          </cell>
        </row>
        <row r="36520">
          <cell r="L36520" t="str">
            <v>Proportional</v>
          </cell>
          <cell r="S36520">
            <v>-8613.11</v>
          </cell>
          <cell r="X36520" t="str">
            <v>Variation UPR - gross</v>
          </cell>
          <cell r="Y36520" t="str">
            <v>THAILAND</v>
          </cell>
        </row>
        <row r="36521">
          <cell r="L36521" t="str">
            <v>Proportional</v>
          </cell>
          <cell r="S36521">
            <v>409.32</v>
          </cell>
          <cell r="X36521" t="str">
            <v>Variation UPR - gross</v>
          </cell>
          <cell r="Y36521" t="str">
            <v>Ireland</v>
          </cell>
        </row>
        <row r="36522">
          <cell r="L36522" t="str">
            <v>Non-proportional</v>
          </cell>
          <cell r="S36522">
            <v>-2127.4699999999998</v>
          </cell>
          <cell r="X36522" t="str">
            <v>Variation UPR - gross</v>
          </cell>
          <cell r="Y36522" t="str">
            <v>CHILE</v>
          </cell>
        </row>
        <row r="36523">
          <cell r="L36523" t="str">
            <v>Non-proportional</v>
          </cell>
          <cell r="S36523">
            <v>-6278.98</v>
          </cell>
          <cell r="X36523" t="str">
            <v>Variation UPR - gross</v>
          </cell>
          <cell r="Y36523" t="str">
            <v>FRANCE</v>
          </cell>
        </row>
        <row r="36524">
          <cell r="L36524" t="str">
            <v>Non-proportional</v>
          </cell>
          <cell r="S36524">
            <v>-1182.3499999999999</v>
          </cell>
          <cell r="X36524" t="str">
            <v>Variation UPR - gross</v>
          </cell>
          <cell r="Y36524" t="str">
            <v>COSTA RICA</v>
          </cell>
        </row>
        <row r="36525">
          <cell r="L36525" t="str">
            <v>Non-proportional</v>
          </cell>
          <cell r="S36525">
            <v>-1303.78</v>
          </cell>
          <cell r="X36525" t="str">
            <v>Variation UPR - gross</v>
          </cell>
          <cell r="Y36525" t="str">
            <v>CYPRUS</v>
          </cell>
        </row>
        <row r="36526">
          <cell r="L36526" t="str">
            <v>Non-proportional</v>
          </cell>
          <cell r="S36526">
            <v>153.32</v>
          </cell>
          <cell r="X36526" t="str">
            <v>Variation UPR - gross</v>
          </cell>
          <cell r="Y36526" t="str">
            <v>JAPAN</v>
          </cell>
        </row>
        <row r="36527">
          <cell r="L36527" t="str">
            <v>Non-proportional</v>
          </cell>
          <cell r="S36527">
            <v>-364.94</v>
          </cell>
          <cell r="X36527" t="str">
            <v>Variation UPR - gross</v>
          </cell>
          <cell r="Y36527" t="str">
            <v>INDIA</v>
          </cell>
        </row>
        <row r="36528">
          <cell r="L36528" t="str">
            <v>Non-proportional</v>
          </cell>
          <cell r="S36528">
            <v>-637225.6</v>
          </cell>
          <cell r="X36528" t="str">
            <v>Variation UPR - gross</v>
          </cell>
          <cell r="Y36528" t="str">
            <v>BELGIUM</v>
          </cell>
        </row>
        <row r="36529">
          <cell r="L36529" t="str">
            <v>Proportional</v>
          </cell>
          <cell r="S36529">
            <v>-3296.82</v>
          </cell>
          <cell r="X36529" t="str">
            <v>Variation UPR - gross</v>
          </cell>
          <cell r="Y36529" t="str">
            <v>INDIA</v>
          </cell>
        </row>
        <row r="36530">
          <cell r="L36530" t="str">
            <v>Non-proportional</v>
          </cell>
          <cell r="S36530">
            <v>-2209.83</v>
          </cell>
          <cell r="X36530" t="str">
            <v>Variation UPR - gross</v>
          </cell>
          <cell r="Y36530" t="str">
            <v>GUATEMALA</v>
          </cell>
        </row>
        <row r="36531">
          <cell r="L36531" t="str">
            <v>Non-proportional</v>
          </cell>
          <cell r="S36531">
            <v>-7359.04</v>
          </cell>
          <cell r="X36531" t="str">
            <v>Variation UPR - gross</v>
          </cell>
          <cell r="Y36531" t="str">
            <v>NEW ZEALAND</v>
          </cell>
        </row>
        <row r="36532">
          <cell r="L36532" t="str">
            <v>Non-proportional</v>
          </cell>
          <cell r="S36532">
            <v>88.88</v>
          </cell>
          <cell r="X36532" t="str">
            <v>Variation UPR - gross</v>
          </cell>
          <cell r="Y36532" t="str">
            <v>INDIA</v>
          </cell>
        </row>
        <row r="36533">
          <cell r="L36533" t="str">
            <v>Non-proportional</v>
          </cell>
          <cell r="S36533">
            <v>-4932</v>
          </cell>
          <cell r="X36533" t="str">
            <v>Variation UPR - gross</v>
          </cell>
          <cell r="Y36533" t="str">
            <v>ISRAEL</v>
          </cell>
        </row>
        <row r="36534">
          <cell r="L36534" t="str">
            <v>Non-proportional</v>
          </cell>
          <cell r="S36534">
            <v>21.92</v>
          </cell>
          <cell r="X36534" t="str">
            <v>Variation UPR - gross</v>
          </cell>
          <cell r="Y36534" t="str">
            <v>JAPAN</v>
          </cell>
        </row>
        <row r="36535">
          <cell r="L36535" t="str">
            <v>Non-proportional</v>
          </cell>
          <cell r="S36535">
            <v>124.21</v>
          </cell>
          <cell r="X36535" t="str">
            <v>Variation UPR - gross</v>
          </cell>
          <cell r="Y36535" t="str">
            <v>JAPAN</v>
          </cell>
        </row>
        <row r="36536">
          <cell r="L36536" t="str">
            <v>Non-proportional</v>
          </cell>
          <cell r="S36536">
            <v>-34358.04</v>
          </cell>
          <cell r="X36536" t="str">
            <v>Variation UPR - gross</v>
          </cell>
          <cell r="Y36536" t="str">
            <v>HONG KONG</v>
          </cell>
        </row>
        <row r="36537">
          <cell r="L36537" t="str">
            <v>Non-proportional</v>
          </cell>
          <cell r="S36537">
            <v>-2184.1799999999998</v>
          </cell>
          <cell r="X36537" t="str">
            <v>Variation UPR - gross</v>
          </cell>
          <cell r="Y36537" t="str">
            <v>UNITED KINGDOM</v>
          </cell>
        </row>
        <row r="36538">
          <cell r="L36538" t="str">
            <v>Non-proportional</v>
          </cell>
          <cell r="S36538">
            <v>-390</v>
          </cell>
          <cell r="X36538" t="str">
            <v>Variation UPR - gross</v>
          </cell>
          <cell r="Y36538" t="str">
            <v>ITALY</v>
          </cell>
        </row>
        <row r="36539">
          <cell r="L36539" t="str">
            <v>Non-proportional</v>
          </cell>
          <cell r="S36539">
            <v>-497.53</v>
          </cell>
          <cell r="X36539" t="str">
            <v>Variation UPR - gross</v>
          </cell>
          <cell r="Y36539" t="str">
            <v>BRAZIL</v>
          </cell>
        </row>
        <row r="36540">
          <cell r="L36540" t="str">
            <v>Non-proportional</v>
          </cell>
          <cell r="S36540">
            <v>-3057.5</v>
          </cell>
          <cell r="X36540" t="str">
            <v>Variation UPR - gross</v>
          </cell>
          <cell r="Y36540" t="str">
            <v>JAPAN</v>
          </cell>
        </row>
        <row r="36541">
          <cell r="L36541" t="str">
            <v>Non-proportional</v>
          </cell>
          <cell r="S36541">
            <v>-3042.86</v>
          </cell>
          <cell r="X36541" t="str">
            <v>Variation UPR - gross</v>
          </cell>
          <cell r="Y36541" t="str">
            <v>DOMINICAN REPUBLIC</v>
          </cell>
        </row>
        <row r="36542">
          <cell r="L36542" t="str">
            <v>Non-proportional</v>
          </cell>
          <cell r="S36542">
            <v>-9178.3799999999992</v>
          </cell>
          <cell r="X36542" t="str">
            <v>Variation UPR - gross</v>
          </cell>
          <cell r="Y36542" t="str">
            <v>FRANCE</v>
          </cell>
        </row>
        <row r="36543">
          <cell r="L36543" t="str">
            <v>Non-proportional</v>
          </cell>
          <cell r="S36543">
            <v>-2651.25</v>
          </cell>
          <cell r="X36543" t="str">
            <v>Variation UPR - gross</v>
          </cell>
          <cell r="Y36543" t="str">
            <v>INDIA</v>
          </cell>
        </row>
        <row r="36544">
          <cell r="L36544" t="str">
            <v>Non-proportional</v>
          </cell>
          <cell r="S36544">
            <v>23.02</v>
          </cell>
          <cell r="X36544" t="str">
            <v>Variation UPR - gross</v>
          </cell>
          <cell r="Y36544" t="str">
            <v>COLOMBIA</v>
          </cell>
        </row>
        <row r="36545">
          <cell r="L36545" t="str">
            <v>Non-proportional</v>
          </cell>
          <cell r="S36545">
            <v>-6227.68</v>
          </cell>
          <cell r="X36545" t="str">
            <v>Variation UPR - gross</v>
          </cell>
          <cell r="Y36545" t="str">
            <v>CHILE</v>
          </cell>
        </row>
        <row r="36546">
          <cell r="L36546" t="str">
            <v>Non-proportional</v>
          </cell>
          <cell r="S36546">
            <v>-78.67</v>
          </cell>
          <cell r="X36546" t="str">
            <v>Variation UPR - gross</v>
          </cell>
          <cell r="Y36546" t="str">
            <v>COLOMBIA</v>
          </cell>
        </row>
        <row r="36547">
          <cell r="L36547" t="str">
            <v>Non-proportional</v>
          </cell>
          <cell r="S36547">
            <v>-3144.23</v>
          </cell>
          <cell r="X36547" t="str">
            <v>Variation UPR - gross</v>
          </cell>
          <cell r="Y36547" t="str">
            <v>JAPAN</v>
          </cell>
        </row>
        <row r="36548">
          <cell r="L36548" t="str">
            <v>Proportional</v>
          </cell>
          <cell r="S36548">
            <v>-23498.84</v>
          </cell>
          <cell r="X36548" t="str">
            <v>Variation UPR - gross</v>
          </cell>
          <cell r="Y36548" t="str">
            <v>THAILAND</v>
          </cell>
        </row>
        <row r="36549">
          <cell r="L36549" t="str">
            <v>Non-proportional</v>
          </cell>
          <cell r="S36549">
            <v>-13073.38</v>
          </cell>
          <cell r="X36549" t="str">
            <v>Variation UPR - gross</v>
          </cell>
          <cell r="Y36549" t="str">
            <v>COSTA RICA</v>
          </cell>
        </row>
        <row r="36550">
          <cell r="L36550" t="str">
            <v>Non-proportional</v>
          </cell>
          <cell r="S36550">
            <v>-3190.01</v>
          </cell>
          <cell r="X36550" t="str">
            <v>Variation UPR - gross</v>
          </cell>
          <cell r="Y36550" t="str">
            <v>ISRAEL</v>
          </cell>
        </row>
        <row r="36551">
          <cell r="L36551" t="str">
            <v>Non-proportional</v>
          </cell>
          <cell r="S36551">
            <v>-966.69</v>
          </cell>
          <cell r="X36551" t="str">
            <v>Variation UPR - gross</v>
          </cell>
          <cell r="Y36551" t="str">
            <v>DOMINICAN REPUBLIC</v>
          </cell>
        </row>
        <row r="36552">
          <cell r="L36552" t="str">
            <v>Non-proportional</v>
          </cell>
          <cell r="S36552">
            <v>-3210.54</v>
          </cell>
          <cell r="X36552" t="str">
            <v>Variation UPR - gross</v>
          </cell>
          <cell r="Y36552" t="str">
            <v>CHILE</v>
          </cell>
        </row>
        <row r="36553">
          <cell r="L36553" t="str">
            <v>Proportional</v>
          </cell>
          <cell r="S36553">
            <v>-11704.46</v>
          </cell>
          <cell r="X36553" t="str">
            <v>Variation UPR - gross</v>
          </cell>
          <cell r="Y36553" t="str">
            <v>THAILAND</v>
          </cell>
        </row>
        <row r="36554">
          <cell r="L36554" t="str">
            <v>Non-proportional</v>
          </cell>
          <cell r="S36554">
            <v>-2943</v>
          </cell>
          <cell r="X36554" t="str">
            <v>Variation UPR - gross</v>
          </cell>
          <cell r="Y36554" t="str">
            <v>INDIA</v>
          </cell>
        </row>
        <row r="36555">
          <cell r="L36555" t="str">
            <v>Non-proportional</v>
          </cell>
          <cell r="S36555">
            <v>-1127.31</v>
          </cell>
          <cell r="X36555" t="str">
            <v>Variation UPR - gross</v>
          </cell>
          <cell r="Y36555" t="str">
            <v>PERU</v>
          </cell>
        </row>
        <row r="36556">
          <cell r="L36556" t="str">
            <v>Proportional</v>
          </cell>
          <cell r="S36556">
            <v>183.49</v>
          </cell>
          <cell r="X36556" t="str">
            <v>Variation UPR - gross</v>
          </cell>
          <cell r="Y36556" t="str">
            <v>INDIA</v>
          </cell>
        </row>
        <row r="36557">
          <cell r="L36557" t="str">
            <v>Non-proportional</v>
          </cell>
          <cell r="S36557">
            <v>-4226.08</v>
          </cell>
          <cell r="X36557" t="str">
            <v>Variation UPR - gross</v>
          </cell>
          <cell r="Y36557" t="str">
            <v>COLOMBIA</v>
          </cell>
        </row>
        <row r="36558">
          <cell r="L36558" t="str">
            <v>Non-proportional</v>
          </cell>
          <cell r="S36558">
            <v>3392.04</v>
          </cell>
          <cell r="X36558" t="str">
            <v>Variation UPR - gross</v>
          </cell>
          <cell r="Y36558" t="str">
            <v>COLOMBIA</v>
          </cell>
        </row>
        <row r="36559">
          <cell r="L36559" t="str">
            <v>Non-proportional</v>
          </cell>
          <cell r="S36559">
            <v>-4269.1400000000003</v>
          </cell>
          <cell r="X36559" t="str">
            <v>Variation UPR - gross</v>
          </cell>
          <cell r="Y36559" t="str">
            <v>ECUADOR</v>
          </cell>
        </row>
        <row r="36560">
          <cell r="L36560" t="str">
            <v>Non-proportional</v>
          </cell>
          <cell r="S36560">
            <v>-1458.33</v>
          </cell>
          <cell r="X36560" t="str">
            <v>Variation UPR - gross</v>
          </cell>
          <cell r="Y36560" t="str">
            <v>GREECE</v>
          </cell>
        </row>
        <row r="36561">
          <cell r="L36561" t="str">
            <v>Non-proportional</v>
          </cell>
          <cell r="S36561">
            <v>-7079.49</v>
          </cell>
          <cell r="X36561" t="str">
            <v>Variation UPR - gross</v>
          </cell>
          <cell r="Y36561" t="str">
            <v>MEXICO</v>
          </cell>
        </row>
        <row r="36562">
          <cell r="L36562" t="str">
            <v>Non-proportional</v>
          </cell>
          <cell r="S36562">
            <v>-9079.32</v>
          </cell>
          <cell r="X36562" t="str">
            <v>Variation UPR - gross</v>
          </cell>
          <cell r="Y36562" t="str">
            <v>MEXICO</v>
          </cell>
        </row>
        <row r="36563">
          <cell r="L36563" t="str">
            <v>Proportional</v>
          </cell>
          <cell r="S36563">
            <v>-76120</v>
          </cell>
          <cell r="X36563" t="str">
            <v>Variation UPR - gross</v>
          </cell>
          <cell r="Y36563" t="str">
            <v>PORTUGAL</v>
          </cell>
        </row>
        <row r="36564">
          <cell r="L36564" t="str">
            <v>Non-proportional</v>
          </cell>
          <cell r="S36564">
            <v>-158793.82999999999</v>
          </cell>
          <cell r="X36564" t="str">
            <v>Variation UPR - gross</v>
          </cell>
          <cell r="Y36564" t="str">
            <v>UNITED KINGDOM</v>
          </cell>
        </row>
        <row r="36565">
          <cell r="L36565" t="str">
            <v>Non-proportional</v>
          </cell>
          <cell r="S36565">
            <v>-77.36</v>
          </cell>
          <cell r="X36565" t="str">
            <v>Variation UPR - gross</v>
          </cell>
          <cell r="Y36565" t="str">
            <v>CHILE</v>
          </cell>
        </row>
        <row r="36566">
          <cell r="L36566" t="str">
            <v>Non-proportional</v>
          </cell>
          <cell r="S36566">
            <v>154.72</v>
          </cell>
          <cell r="X36566" t="str">
            <v>Variation UPR - gross</v>
          </cell>
          <cell r="Y36566" t="str">
            <v>CHILE</v>
          </cell>
        </row>
        <row r="36567">
          <cell r="L36567" t="str">
            <v>Non-proportional</v>
          </cell>
          <cell r="S36567">
            <v>-19967.73</v>
          </cell>
          <cell r="X36567" t="str">
            <v>Variation UPR - gross</v>
          </cell>
          <cell r="Y36567" t="str">
            <v>FRANCE</v>
          </cell>
        </row>
        <row r="36568">
          <cell r="L36568" t="str">
            <v>Non-proportional</v>
          </cell>
          <cell r="S36568">
            <v>-5104.67</v>
          </cell>
          <cell r="X36568" t="str">
            <v>Variation UPR - gross</v>
          </cell>
          <cell r="Y36568" t="str">
            <v>PERU</v>
          </cell>
        </row>
        <row r="36569">
          <cell r="L36569" t="str">
            <v>Non-proportional</v>
          </cell>
          <cell r="S36569">
            <v>-3597.35</v>
          </cell>
          <cell r="X36569" t="str">
            <v>Variation UPR - gross</v>
          </cell>
          <cell r="Y36569" t="str">
            <v>CHILE</v>
          </cell>
        </row>
        <row r="36570">
          <cell r="L36570" t="str">
            <v>Proportional</v>
          </cell>
          <cell r="S36570">
            <v>-146114.39000000001</v>
          </cell>
          <cell r="X36570" t="str">
            <v>Variation UPR - gross</v>
          </cell>
          <cell r="Y36570" t="str">
            <v>THAILAND</v>
          </cell>
        </row>
        <row r="36571">
          <cell r="L36571" t="str">
            <v>Non-proportional</v>
          </cell>
          <cell r="S36571">
            <v>-4844.71</v>
          </cell>
          <cell r="X36571" t="str">
            <v>Variation UPR - gross</v>
          </cell>
          <cell r="Y36571" t="str">
            <v>ECUADOR</v>
          </cell>
        </row>
        <row r="36572">
          <cell r="L36572" t="str">
            <v>Non-proportional</v>
          </cell>
          <cell r="S36572">
            <v>0.01</v>
          </cell>
          <cell r="X36572" t="str">
            <v>Variation UPR - gross</v>
          </cell>
          <cell r="Y36572" t="str">
            <v>JAPAN</v>
          </cell>
        </row>
        <row r="36573">
          <cell r="L36573" t="str">
            <v>Non-proportional</v>
          </cell>
          <cell r="S36573">
            <v>-4218.84</v>
          </cell>
          <cell r="X36573" t="str">
            <v>Variation UPR - gross</v>
          </cell>
          <cell r="Y36573" t="str">
            <v>MEXICO</v>
          </cell>
        </row>
        <row r="36574">
          <cell r="L36574" t="str">
            <v>Non-proportional</v>
          </cell>
          <cell r="S36574">
            <v>-4218.78</v>
          </cell>
          <cell r="X36574" t="str">
            <v>Variation UPR - gross</v>
          </cell>
          <cell r="Y36574" t="str">
            <v>COLOMBIA</v>
          </cell>
        </row>
        <row r="36575">
          <cell r="L36575" t="str">
            <v>Non-proportional</v>
          </cell>
          <cell r="S36575">
            <v>-45095.01</v>
          </cell>
          <cell r="X36575" t="str">
            <v>Variation UPR - gross</v>
          </cell>
          <cell r="Y36575" t="str">
            <v>UNITED KINGDOM</v>
          </cell>
        </row>
        <row r="36576">
          <cell r="L36576" t="str">
            <v>Non-proportional</v>
          </cell>
          <cell r="S36576">
            <v>-2898.12</v>
          </cell>
          <cell r="X36576" t="str">
            <v>Variation UPR - gross</v>
          </cell>
          <cell r="Y36576" t="str">
            <v>ISRAEL</v>
          </cell>
        </row>
        <row r="36577">
          <cell r="L36577" t="str">
            <v>Non-proportional</v>
          </cell>
          <cell r="S36577">
            <v>-9500.14</v>
          </cell>
          <cell r="X36577" t="str">
            <v>Variation UPR - gross</v>
          </cell>
          <cell r="Y36577" t="str">
            <v>TURKEY</v>
          </cell>
        </row>
        <row r="36578">
          <cell r="L36578" t="str">
            <v>Non-proportional</v>
          </cell>
          <cell r="S36578">
            <v>-4425.46</v>
          </cell>
          <cell r="X36578" t="str">
            <v>Variation UPR - gross</v>
          </cell>
          <cell r="Y36578" t="str">
            <v>FRANCE</v>
          </cell>
        </row>
        <row r="36579">
          <cell r="L36579" t="str">
            <v>Non-proportional</v>
          </cell>
          <cell r="S36579">
            <v>-6086.35</v>
          </cell>
          <cell r="X36579" t="str">
            <v>Variation UPR - gross</v>
          </cell>
          <cell r="Y36579" t="str">
            <v>ITALY</v>
          </cell>
        </row>
        <row r="36580">
          <cell r="L36580" t="str">
            <v>Non-proportional</v>
          </cell>
          <cell r="S36580">
            <v>0</v>
          </cell>
          <cell r="X36580" t="str">
            <v>Variation UPR - gross</v>
          </cell>
          <cell r="Y36580" t="str">
            <v>DOMINICAN REPUBLIC</v>
          </cell>
        </row>
        <row r="36581">
          <cell r="L36581" t="str">
            <v>Non-proportional</v>
          </cell>
          <cell r="S36581">
            <v>-7901.86</v>
          </cell>
          <cell r="X36581" t="str">
            <v>Variation UPR - gross</v>
          </cell>
          <cell r="Y36581" t="str">
            <v>UNITED KINGDOM</v>
          </cell>
        </row>
        <row r="36582">
          <cell r="L36582" t="str">
            <v>Proportional</v>
          </cell>
          <cell r="S36582">
            <v>-40212.519999999997</v>
          </cell>
          <cell r="X36582" t="str">
            <v>Variation UPR - gross</v>
          </cell>
          <cell r="Y36582" t="str">
            <v>JAPAN</v>
          </cell>
        </row>
        <row r="36583">
          <cell r="L36583" t="str">
            <v>Non-proportional</v>
          </cell>
          <cell r="S36583">
            <v>-6889.04</v>
          </cell>
          <cell r="X36583" t="str">
            <v>Variation UPR - gross</v>
          </cell>
          <cell r="Y36583" t="str">
            <v>COLOMBIA</v>
          </cell>
        </row>
        <row r="36584">
          <cell r="L36584" t="str">
            <v>Non-proportional</v>
          </cell>
          <cell r="S36584">
            <v>-3245.43</v>
          </cell>
          <cell r="X36584" t="str">
            <v>Variation UPR - gross</v>
          </cell>
          <cell r="Y36584" t="str">
            <v>UNITED KINGDOM</v>
          </cell>
        </row>
        <row r="36585">
          <cell r="L36585" t="str">
            <v>Non-proportional</v>
          </cell>
          <cell r="S36585">
            <v>0.01</v>
          </cell>
          <cell r="X36585" t="str">
            <v>Variation UPR - gross</v>
          </cell>
          <cell r="Y36585" t="str">
            <v>DOMINICAN REPUBLIC</v>
          </cell>
        </row>
        <row r="36586">
          <cell r="L36586" t="str">
            <v>Non-proportional</v>
          </cell>
          <cell r="S36586">
            <v>-2179.7800000000002</v>
          </cell>
          <cell r="X36586" t="str">
            <v>Variation UPR - gross</v>
          </cell>
          <cell r="Y36586" t="str">
            <v>FRANCE</v>
          </cell>
        </row>
        <row r="36587">
          <cell r="L36587" t="str">
            <v>Non-proportional</v>
          </cell>
          <cell r="S36587">
            <v>-9744.1</v>
          </cell>
          <cell r="X36587" t="str">
            <v>Variation UPR - gross</v>
          </cell>
          <cell r="Y36587" t="str">
            <v>AUSTRALIA</v>
          </cell>
        </row>
        <row r="36588">
          <cell r="L36588" t="str">
            <v>Non-proportional</v>
          </cell>
          <cell r="S36588">
            <v>-1010.12</v>
          </cell>
          <cell r="X36588" t="str">
            <v>Variation UPR - gross</v>
          </cell>
          <cell r="Y36588" t="str">
            <v>PERU</v>
          </cell>
        </row>
        <row r="36589">
          <cell r="L36589" t="str">
            <v>Non-proportional</v>
          </cell>
          <cell r="S36589">
            <v>-1057.22</v>
          </cell>
          <cell r="X36589" t="str">
            <v>Variation UPR - gross</v>
          </cell>
          <cell r="Y36589" t="str">
            <v>JAPAN</v>
          </cell>
        </row>
        <row r="36590">
          <cell r="L36590" t="str">
            <v>Non-proportional</v>
          </cell>
          <cell r="S36590">
            <v>-8599.17</v>
          </cell>
          <cell r="X36590" t="str">
            <v>Variation UPR - gross</v>
          </cell>
          <cell r="Y36590" t="str">
            <v>MEXICO</v>
          </cell>
        </row>
        <row r="36591">
          <cell r="L36591" t="str">
            <v>Non-proportional</v>
          </cell>
          <cell r="S36591">
            <v>-10596.12</v>
          </cell>
          <cell r="X36591" t="str">
            <v>Variation UPR - gross</v>
          </cell>
          <cell r="Y36591" t="str">
            <v>FRANCE</v>
          </cell>
        </row>
        <row r="36592">
          <cell r="L36592" t="str">
            <v>Non-proportional</v>
          </cell>
          <cell r="S36592">
            <v>83</v>
          </cell>
          <cell r="X36592" t="str">
            <v>Variation UPR - gross</v>
          </cell>
          <cell r="Y36592" t="str">
            <v>COLOMBIA</v>
          </cell>
        </row>
        <row r="36593">
          <cell r="L36593" t="str">
            <v>Non-proportional</v>
          </cell>
          <cell r="S36593">
            <v>-26.2</v>
          </cell>
          <cell r="X36593" t="str">
            <v>Variation UPR - gross</v>
          </cell>
          <cell r="Y36593" t="str">
            <v>JAPAN</v>
          </cell>
        </row>
        <row r="36594">
          <cell r="L36594" t="str">
            <v>Non-proportional</v>
          </cell>
          <cell r="S36594">
            <v>-7603.85</v>
          </cell>
          <cell r="X36594" t="str">
            <v>Variation UPR - gross</v>
          </cell>
          <cell r="Y36594" t="str">
            <v>INDIA</v>
          </cell>
        </row>
        <row r="36595">
          <cell r="L36595" t="str">
            <v>Non-proportional</v>
          </cell>
          <cell r="S36595">
            <v>-6734.28</v>
          </cell>
          <cell r="X36595" t="str">
            <v>Variation UPR - gross</v>
          </cell>
          <cell r="Y36595" t="str">
            <v>JAPAN</v>
          </cell>
        </row>
        <row r="36596">
          <cell r="L36596" t="str">
            <v>Non-proportional</v>
          </cell>
          <cell r="S36596">
            <v>-7081.87</v>
          </cell>
          <cell r="X36596" t="str">
            <v>Variation UPR - gross</v>
          </cell>
          <cell r="Y36596" t="str">
            <v>JAPAN</v>
          </cell>
        </row>
        <row r="36597">
          <cell r="L36597" t="str">
            <v>Proportional</v>
          </cell>
          <cell r="S36597">
            <v>-1444.19</v>
          </cell>
          <cell r="X36597" t="str">
            <v>Variation UPR - gross</v>
          </cell>
          <cell r="Y36597" t="str">
            <v>THAILAND</v>
          </cell>
        </row>
        <row r="36598">
          <cell r="L36598" t="str">
            <v>Non-proportional</v>
          </cell>
          <cell r="S36598">
            <v>-100.27</v>
          </cell>
          <cell r="X36598" t="str">
            <v>Variation UPR - gross</v>
          </cell>
          <cell r="Y36598" t="str">
            <v>JAPAN</v>
          </cell>
        </row>
        <row r="36599">
          <cell r="L36599" t="str">
            <v>Non-proportional</v>
          </cell>
          <cell r="S36599">
            <v>-469.08</v>
          </cell>
          <cell r="X36599" t="str">
            <v>Variation UPR - gross</v>
          </cell>
          <cell r="Y36599" t="str">
            <v>NEW ZEALAND</v>
          </cell>
        </row>
        <row r="36600">
          <cell r="L36600" t="str">
            <v>Proportional</v>
          </cell>
          <cell r="S36600">
            <v>-2474.39</v>
          </cell>
          <cell r="X36600" t="str">
            <v>Variation UPR - gross</v>
          </cell>
          <cell r="Y36600" t="str">
            <v>THAILAND</v>
          </cell>
        </row>
        <row r="36601">
          <cell r="L36601" t="str">
            <v>Non-proportional</v>
          </cell>
          <cell r="S36601">
            <v>-852.39</v>
          </cell>
          <cell r="X36601" t="str">
            <v>Variation UPR - gross</v>
          </cell>
          <cell r="Y36601" t="str">
            <v>ECUADOR</v>
          </cell>
        </row>
        <row r="36602">
          <cell r="L36602" t="str">
            <v>Non-proportional</v>
          </cell>
          <cell r="S36602">
            <v>-461.32</v>
          </cell>
          <cell r="X36602" t="str">
            <v>Variation UPR - gross</v>
          </cell>
          <cell r="Y36602" t="str">
            <v>UNITED KINGDOM</v>
          </cell>
        </row>
        <row r="36603">
          <cell r="L36603" t="str">
            <v>Non-proportional</v>
          </cell>
          <cell r="S36603">
            <v>-23187.5</v>
          </cell>
          <cell r="X36603" t="str">
            <v>Variation UPR - gross</v>
          </cell>
          <cell r="Y36603" t="str">
            <v>ITALY</v>
          </cell>
        </row>
        <row r="36604">
          <cell r="L36604" t="str">
            <v>Non-proportional</v>
          </cell>
          <cell r="S36604">
            <v>-5591.61</v>
          </cell>
          <cell r="X36604" t="str">
            <v>Variation UPR - gross</v>
          </cell>
          <cell r="Y36604" t="str">
            <v>ECUADOR</v>
          </cell>
        </row>
        <row r="36605">
          <cell r="L36605" t="str">
            <v>Non-proportional</v>
          </cell>
          <cell r="S36605">
            <v>31.51</v>
          </cell>
          <cell r="X36605" t="str">
            <v>Variation UPR - gross</v>
          </cell>
          <cell r="Y36605" t="str">
            <v>NEW ZEALAND</v>
          </cell>
        </row>
        <row r="36606">
          <cell r="L36606" t="str">
            <v>Non-proportional</v>
          </cell>
          <cell r="S36606">
            <v>-4016.36</v>
          </cell>
          <cell r="X36606" t="str">
            <v>Variation UPR - gross</v>
          </cell>
          <cell r="Y36606" t="str">
            <v>UNITED KINGDOM</v>
          </cell>
        </row>
        <row r="36607">
          <cell r="L36607" t="str">
            <v>Non-proportional</v>
          </cell>
          <cell r="S36607">
            <v>-42849.120000000003</v>
          </cell>
          <cell r="X36607" t="str">
            <v>Variation UPR - gross</v>
          </cell>
          <cell r="Y36607" t="str">
            <v>UNITED KINGDOM</v>
          </cell>
        </row>
        <row r="36608">
          <cell r="L36608" t="str">
            <v>Non-proportional</v>
          </cell>
          <cell r="S36608">
            <v>-47830.85</v>
          </cell>
          <cell r="X36608" t="str">
            <v>Variation UPR - gross</v>
          </cell>
          <cell r="Y36608" t="str">
            <v>UNITED KINGDOM</v>
          </cell>
        </row>
        <row r="36609">
          <cell r="L36609" t="str">
            <v>Proportional</v>
          </cell>
          <cell r="S36609">
            <v>-87683.25</v>
          </cell>
          <cell r="X36609" t="str">
            <v>Variation UPR - gross</v>
          </cell>
          <cell r="Y36609" t="str">
            <v>MEXICO</v>
          </cell>
        </row>
        <row r="36610">
          <cell r="L36610" t="str">
            <v>Non-proportional</v>
          </cell>
          <cell r="S36610">
            <v>-332.51</v>
          </cell>
          <cell r="X36610" t="str">
            <v>Variation UPR - gross</v>
          </cell>
          <cell r="Y36610" t="str">
            <v>DOMINICAN REPUBLIC</v>
          </cell>
        </row>
        <row r="36611">
          <cell r="L36611" t="str">
            <v>Non-proportional</v>
          </cell>
          <cell r="S36611">
            <v>-8726.23</v>
          </cell>
          <cell r="X36611" t="str">
            <v>Variation UPR - gross</v>
          </cell>
          <cell r="Y36611" t="str">
            <v>ISRAEL</v>
          </cell>
        </row>
        <row r="36612">
          <cell r="L36612" t="str">
            <v>Non-proportional</v>
          </cell>
          <cell r="S36612">
            <v>-375978.63</v>
          </cell>
          <cell r="X36612" t="str">
            <v>Variation UPR - gross</v>
          </cell>
          <cell r="Y36612" t="str">
            <v>PORTUGAL</v>
          </cell>
        </row>
        <row r="36613">
          <cell r="L36613" t="str">
            <v>Non-proportional</v>
          </cell>
          <cell r="S36613">
            <v>-964.96</v>
          </cell>
          <cell r="X36613" t="str">
            <v>Variation UPR - gross</v>
          </cell>
          <cell r="Y36613" t="str">
            <v>INDIA</v>
          </cell>
        </row>
        <row r="36614">
          <cell r="L36614" t="str">
            <v>Proportional</v>
          </cell>
          <cell r="S36614">
            <v>-4705.25</v>
          </cell>
          <cell r="X36614" t="str">
            <v>Variation UPR - gross</v>
          </cell>
          <cell r="Y36614" t="str">
            <v>EUROPE</v>
          </cell>
        </row>
        <row r="36615">
          <cell r="L36615" t="str">
            <v>Non-proportional</v>
          </cell>
          <cell r="S36615">
            <v>-2311.56</v>
          </cell>
          <cell r="X36615" t="str">
            <v>Variation UPR - gross</v>
          </cell>
          <cell r="Y36615" t="str">
            <v>GUATEMALA</v>
          </cell>
        </row>
        <row r="36616">
          <cell r="L36616" t="str">
            <v>Non-proportional</v>
          </cell>
          <cell r="S36616">
            <v>-22565.119999999999</v>
          </cell>
          <cell r="X36616" t="str">
            <v>Variation UPR - gross</v>
          </cell>
          <cell r="Y36616" t="str">
            <v>UNITED KINGDOM</v>
          </cell>
        </row>
        <row r="36617">
          <cell r="L36617" t="str">
            <v>Non-proportional</v>
          </cell>
          <cell r="S36617">
            <v>-144674.51</v>
          </cell>
          <cell r="X36617" t="str">
            <v>Variation UPR - gross</v>
          </cell>
          <cell r="Y36617" t="str">
            <v>UNITED KINGDOM</v>
          </cell>
        </row>
        <row r="36618">
          <cell r="L36618" t="str">
            <v>Non-proportional</v>
          </cell>
          <cell r="S36618">
            <v>-4095</v>
          </cell>
          <cell r="X36618" t="str">
            <v>Variation UPR - gross</v>
          </cell>
          <cell r="Y36618" t="str">
            <v>FRANCE</v>
          </cell>
        </row>
        <row r="36619">
          <cell r="L36619" t="str">
            <v>Non-proportional</v>
          </cell>
          <cell r="S36619">
            <v>-30345.99</v>
          </cell>
          <cell r="X36619" t="str">
            <v>Variation UPR - gross</v>
          </cell>
          <cell r="Y36619" t="str">
            <v>FRANCE</v>
          </cell>
        </row>
        <row r="36620">
          <cell r="L36620" t="str">
            <v>Non-proportional</v>
          </cell>
          <cell r="S36620">
            <v>81.94</v>
          </cell>
          <cell r="X36620" t="str">
            <v>Variation UPR - gross</v>
          </cell>
          <cell r="Y36620" t="str">
            <v>NEW ZEALAND</v>
          </cell>
        </row>
        <row r="36621">
          <cell r="L36621" t="str">
            <v>Non-proportional</v>
          </cell>
          <cell r="S36621">
            <v>-10140.56</v>
          </cell>
          <cell r="X36621" t="str">
            <v>Variation UPR - gross</v>
          </cell>
          <cell r="Y36621" t="str">
            <v>CHINA</v>
          </cell>
        </row>
        <row r="36622">
          <cell r="L36622" t="str">
            <v>Non-proportional</v>
          </cell>
          <cell r="S36622">
            <v>-192601.96</v>
          </cell>
          <cell r="X36622" t="str">
            <v>Variation UPR - gross</v>
          </cell>
          <cell r="Y36622" t="str">
            <v>PORTUGAL</v>
          </cell>
        </row>
        <row r="36623">
          <cell r="L36623" t="str">
            <v>Non-proportional</v>
          </cell>
          <cell r="S36623">
            <v>-392128.04</v>
          </cell>
          <cell r="X36623" t="str">
            <v>Variation UPR - gross</v>
          </cell>
          <cell r="Y36623" t="str">
            <v>UNITED KINGDOM</v>
          </cell>
        </row>
        <row r="36624">
          <cell r="L36624" t="str">
            <v>Non-proportional</v>
          </cell>
          <cell r="S36624">
            <v>-4.57</v>
          </cell>
          <cell r="X36624" t="str">
            <v>Variation UPR - gross</v>
          </cell>
          <cell r="Y36624" t="str">
            <v>COSTA RICA</v>
          </cell>
        </row>
        <row r="36625">
          <cell r="L36625" t="str">
            <v>Non-proportional</v>
          </cell>
          <cell r="S36625">
            <v>-15.24</v>
          </cell>
          <cell r="X36625" t="str">
            <v>Variation UPR - gross</v>
          </cell>
          <cell r="Y36625" t="str">
            <v>ISRAEL</v>
          </cell>
        </row>
        <row r="36626">
          <cell r="L36626" t="str">
            <v>Non-proportional</v>
          </cell>
          <cell r="S36626">
            <v>-2211.81</v>
          </cell>
          <cell r="X36626" t="str">
            <v>Variation UPR - gross</v>
          </cell>
          <cell r="Y36626" t="str">
            <v>JAPAN</v>
          </cell>
        </row>
        <row r="36627">
          <cell r="L36627" t="str">
            <v>Non-proportional</v>
          </cell>
          <cell r="S36627">
            <v>-1811.57</v>
          </cell>
          <cell r="X36627" t="str">
            <v>Variation UPR - gross</v>
          </cell>
          <cell r="Y36627" t="str">
            <v>ISRAEL</v>
          </cell>
        </row>
        <row r="36628">
          <cell r="L36628" t="str">
            <v>Proportional</v>
          </cell>
          <cell r="S36628">
            <v>-27733.48</v>
          </cell>
          <cell r="X36628" t="str">
            <v>Variation UPR - gross</v>
          </cell>
          <cell r="Y36628" t="str">
            <v>BELGIUM</v>
          </cell>
        </row>
        <row r="36629">
          <cell r="L36629" t="str">
            <v>Proportional</v>
          </cell>
          <cell r="S36629">
            <v>-570288.18999999994</v>
          </cell>
          <cell r="X36629" t="str">
            <v>Variation UPR - gross</v>
          </cell>
          <cell r="Y36629" t="str">
            <v>THAILAND</v>
          </cell>
        </row>
        <row r="36630">
          <cell r="L36630" t="str">
            <v>Non-proportional</v>
          </cell>
          <cell r="S36630">
            <v>0.04</v>
          </cell>
          <cell r="X36630" t="str">
            <v>Variation UPR - gross</v>
          </cell>
          <cell r="Y36630" t="str">
            <v>THAILAND</v>
          </cell>
        </row>
        <row r="36631">
          <cell r="L36631" t="str">
            <v>Non-proportional</v>
          </cell>
          <cell r="S36631">
            <v>-3019.46</v>
          </cell>
          <cell r="X36631" t="str">
            <v>Variation UPR - gross</v>
          </cell>
          <cell r="Y36631" t="str">
            <v>THAILAND</v>
          </cell>
        </row>
        <row r="36632">
          <cell r="L36632" t="str">
            <v>Non-proportional</v>
          </cell>
          <cell r="S36632">
            <v>-1480.8</v>
          </cell>
          <cell r="X36632" t="str">
            <v>Variation UPR - gross</v>
          </cell>
          <cell r="Y36632" t="str">
            <v>FRANCE</v>
          </cell>
        </row>
        <row r="36633">
          <cell r="L36633" t="str">
            <v>Non-proportional</v>
          </cell>
          <cell r="S36633">
            <v>-14527.55</v>
          </cell>
          <cell r="X36633" t="str">
            <v>Variation UPR - gross</v>
          </cell>
          <cell r="Y36633" t="str">
            <v>INDIA</v>
          </cell>
        </row>
        <row r="36634">
          <cell r="L36634" t="str">
            <v>Non-proportional</v>
          </cell>
          <cell r="S36634">
            <v>25.72</v>
          </cell>
          <cell r="X36634" t="str">
            <v>Variation UPR - gross</v>
          </cell>
          <cell r="Y36634" t="str">
            <v>INDIA</v>
          </cell>
        </row>
        <row r="36635">
          <cell r="L36635" t="str">
            <v>Non-proportional</v>
          </cell>
          <cell r="S36635">
            <v>-3854.17</v>
          </cell>
          <cell r="X36635" t="str">
            <v>Variation UPR - gross</v>
          </cell>
          <cell r="Y36635" t="str">
            <v>FRANCE</v>
          </cell>
        </row>
        <row r="36636">
          <cell r="L36636" t="str">
            <v>Non-proportional</v>
          </cell>
          <cell r="S36636">
            <v>270.77</v>
          </cell>
          <cell r="X36636" t="str">
            <v>Variation UPR - gross</v>
          </cell>
          <cell r="Y36636" t="str">
            <v>CHILE</v>
          </cell>
        </row>
        <row r="36637">
          <cell r="L36637" t="str">
            <v>Non-proportional</v>
          </cell>
          <cell r="S36637">
            <v>-938.54</v>
          </cell>
          <cell r="X36637" t="str">
            <v>Variation UPR - gross</v>
          </cell>
          <cell r="Y36637" t="str">
            <v>ITALY</v>
          </cell>
        </row>
        <row r="36638">
          <cell r="L36638" t="str">
            <v>Non-proportional</v>
          </cell>
          <cell r="S36638">
            <v>-1981.75</v>
          </cell>
          <cell r="X36638" t="str">
            <v>Variation UPR - gross</v>
          </cell>
          <cell r="Y36638" t="str">
            <v>JAPAN</v>
          </cell>
        </row>
        <row r="36639">
          <cell r="L36639" t="str">
            <v>Non-proportional</v>
          </cell>
          <cell r="S36639">
            <v>-27048.7</v>
          </cell>
          <cell r="X36639" t="str">
            <v>Variation UPR - gross</v>
          </cell>
          <cell r="Y36639" t="str">
            <v>UNITED KINGDOM</v>
          </cell>
        </row>
        <row r="36640">
          <cell r="L36640" t="str">
            <v>Non-proportional</v>
          </cell>
          <cell r="S36640">
            <v>-14886.73</v>
          </cell>
          <cell r="X36640" t="str">
            <v>Variation UPR - gross</v>
          </cell>
          <cell r="Y36640" t="str">
            <v>ISRAEL</v>
          </cell>
        </row>
        <row r="36641">
          <cell r="L36641" t="str">
            <v>Non-proportional</v>
          </cell>
          <cell r="S36641">
            <v>-6907.69</v>
          </cell>
          <cell r="X36641" t="str">
            <v>Variation UPR - gross</v>
          </cell>
          <cell r="Y36641" t="str">
            <v>GREECE</v>
          </cell>
        </row>
        <row r="36642">
          <cell r="L36642" t="str">
            <v>Non-proportional</v>
          </cell>
          <cell r="S36642">
            <v>-215.13</v>
          </cell>
          <cell r="X36642" t="str">
            <v>Variation UPR - gross</v>
          </cell>
          <cell r="Y36642" t="str">
            <v>TURKEY</v>
          </cell>
        </row>
        <row r="36643">
          <cell r="L36643" t="str">
            <v>Non-proportional</v>
          </cell>
          <cell r="S36643">
            <v>78.5</v>
          </cell>
          <cell r="X36643" t="str">
            <v>Variation UPR - gross</v>
          </cell>
          <cell r="Y36643" t="str">
            <v>COLOMBIA</v>
          </cell>
        </row>
        <row r="36644">
          <cell r="L36644" t="str">
            <v>Non-proportional</v>
          </cell>
          <cell r="S36644">
            <v>-54319.31</v>
          </cell>
          <cell r="X36644" t="str">
            <v>Variation UPR - gross</v>
          </cell>
          <cell r="Y36644" t="str">
            <v>UNITED KINGDOM</v>
          </cell>
        </row>
        <row r="36645">
          <cell r="L36645" t="str">
            <v>Non-proportional</v>
          </cell>
          <cell r="S36645">
            <v>-11728.76</v>
          </cell>
          <cell r="X36645" t="str">
            <v>Variation UPR - gross</v>
          </cell>
          <cell r="Y36645" t="str">
            <v>AUSTRALIA</v>
          </cell>
        </row>
        <row r="36646">
          <cell r="L36646" t="str">
            <v>Non-proportional</v>
          </cell>
          <cell r="S36646">
            <v>142.96</v>
          </cell>
          <cell r="X36646" t="str">
            <v>Variation UPR - gross</v>
          </cell>
          <cell r="Y36646" t="str">
            <v>INDIA</v>
          </cell>
        </row>
        <row r="36647">
          <cell r="L36647" t="str">
            <v>Non-proportional</v>
          </cell>
          <cell r="S36647">
            <v>523427.03</v>
          </cell>
          <cell r="X36647" t="str">
            <v>Variation UPR - gross</v>
          </cell>
          <cell r="Y36647" t="str">
            <v>UNITED KINGDOM</v>
          </cell>
        </row>
        <row r="36648">
          <cell r="L36648" t="str">
            <v>Non-proportional</v>
          </cell>
          <cell r="S36648">
            <v>-1562.37</v>
          </cell>
          <cell r="X36648" t="str">
            <v>Variation UPR - gross</v>
          </cell>
          <cell r="Y36648" t="str">
            <v>FRANCE</v>
          </cell>
        </row>
        <row r="36649">
          <cell r="L36649" t="str">
            <v>Non-proportional</v>
          </cell>
          <cell r="S36649">
            <v>-1044.8399999999999</v>
          </cell>
          <cell r="X36649" t="str">
            <v>Variation UPR - gross</v>
          </cell>
          <cell r="Y36649" t="str">
            <v>CYPRUS</v>
          </cell>
        </row>
        <row r="36650">
          <cell r="L36650" t="str">
            <v>Non-proportional</v>
          </cell>
          <cell r="S36650">
            <v>-176.02</v>
          </cell>
          <cell r="X36650" t="str">
            <v>Variation UPR - gross</v>
          </cell>
          <cell r="Y36650" t="str">
            <v>INDIA</v>
          </cell>
        </row>
        <row r="36651">
          <cell r="L36651" t="str">
            <v>Non-proportional</v>
          </cell>
          <cell r="S36651">
            <v>-77.36</v>
          </cell>
          <cell r="X36651" t="str">
            <v>Variation UPR - gross</v>
          </cell>
          <cell r="Y36651" t="str">
            <v>CHILE</v>
          </cell>
        </row>
        <row r="36652">
          <cell r="L36652" t="str">
            <v>Non-proportional</v>
          </cell>
          <cell r="S36652">
            <v>-18419.29</v>
          </cell>
          <cell r="X36652" t="str">
            <v>Variation UPR - gross</v>
          </cell>
          <cell r="Y36652" t="str">
            <v>UNITED KINGDOM</v>
          </cell>
        </row>
        <row r="36653">
          <cell r="L36653" t="str">
            <v>Non-proportional</v>
          </cell>
          <cell r="S36653">
            <v>-34058.31</v>
          </cell>
          <cell r="X36653" t="str">
            <v>Variation UPR - gross</v>
          </cell>
          <cell r="Y36653" t="str">
            <v>UNITED KINGDOM</v>
          </cell>
        </row>
        <row r="36654">
          <cell r="L36654" t="str">
            <v>Non-proportional</v>
          </cell>
          <cell r="S36654">
            <v>-6676.41</v>
          </cell>
          <cell r="X36654" t="str">
            <v>Variation UPR - gross</v>
          </cell>
          <cell r="Y36654" t="str">
            <v>AUSTRALIA</v>
          </cell>
        </row>
        <row r="36655">
          <cell r="L36655" t="str">
            <v>Non-proportional</v>
          </cell>
          <cell r="S36655">
            <v>148.08000000000001</v>
          </cell>
          <cell r="X36655" t="str">
            <v>Variation UPR - gross</v>
          </cell>
          <cell r="Y36655" t="str">
            <v>INDIA</v>
          </cell>
        </row>
        <row r="36656">
          <cell r="L36656" t="str">
            <v>Non-proportional</v>
          </cell>
          <cell r="S36656">
            <v>-2652.54</v>
          </cell>
          <cell r="X36656" t="str">
            <v>Variation UPR - gross</v>
          </cell>
          <cell r="Y36656" t="str">
            <v>MEXICO</v>
          </cell>
        </row>
        <row r="36657">
          <cell r="L36657" t="str">
            <v>Non-proportional</v>
          </cell>
          <cell r="S36657">
            <v>-67044.22</v>
          </cell>
          <cell r="X36657" t="str">
            <v>Variation UPR - gross</v>
          </cell>
          <cell r="Y36657" t="str">
            <v>UNITED KINGDOM</v>
          </cell>
        </row>
        <row r="36658">
          <cell r="L36658" t="str">
            <v>Non-proportional</v>
          </cell>
          <cell r="S36658">
            <v>-6864.82</v>
          </cell>
          <cell r="X36658" t="str">
            <v>Variation UPR - gross</v>
          </cell>
          <cell r="Y36658" t="str">
            <v>NEW ZEALAND</v>
          </cell>
        </row>
        <row r="36659">
          <cell r="L36659" t="str">
            <v>Non-proportional</v>
          </cell>
          <cell r="S36659">
            <v>-1197.92</v>
          </cell>
          <cell r="X36659" t="str">
            <v>Variation UPR - gross</v>
          </cell>
          <cell r="Y36659" t="str">
            <v>GERMANY</v>
          </cell>
        </row>
        <row r="36660">
          <cell r="L36660" t="str">
            <v>Non-proportional</v>
          </cell>
          <cell r="S36660">
            <v>-2725.02</v>
          </cell>
          <cell r="X36660" t="str">
            <v>Variation UPR - gross</v>
          </cell>
          <cell r="Y36660" t="str">
            <v>UNITED KINGDOM</v>
          </cell>
        </row>
        <row r="36661">
          <cell r="L36661" t="str">
            <v>Proportional</v>
          </cell>
          <cell r="S36661">
            <v>-784.99</v>
          </cell>
          <cell r="X36661" t="str">
            <v>Variation UPR - gross</v>
          </cell>
          <cell r="Y36661" t="str">
            <v>THAILAND</v>
          </cell>
        </row>
        <row r="36662">
          <cell r="L36662" t="str">
            <v>Non-proportional</v>
          </cell>
          <cell r="S36662">
            <v>-4715.6899999999996</v>
          </cell>
          <cell r="X36662" t="str">
            <v>Variation UPR - gross</v>
          </cell>
          <cell r="Y36662" t="str">
            <v>COSTA RICA</v>
          </cell>
        </row>
        <row r="36663">
          <cell r="L36663" t="str">
            <v>Non-proportional</v>
          </cell>
          <cell r="S36663">
            <v>-2043.75</v>
          </cell>
          <cell r="X36663" t="str">
            <v>Variation UPR - gross</v>
          </cell>
          <cell r="Y36663" t="str">
            <v>GREECE</v>
          </cell>
        </row>
        <row r="36664">
          <cell r="L36664" t="str">
            <v>Non-proportional</v>
          </cell>
          <cell r="S36664">
            <v>-9053.2099999999991</v>
          </cell>
          <cell r="X36664" t="str">
            <v>Variation UPR - gross</v>
          </cell>
          <cell r="Y36664" t="str">
            <v>ITALY</v>
          </cell>
        </row>
        <row r="36665">
          <cell r="L36665" t="str">
            <v>Non-proportional</v>
          </cell>
          <cell r="S36665">
            <v>-2786.95</v>
          </cell>
          <cell r="X36665" t="str">
            <v>Variation UPR - gross</v>
          </cell>
          <cell r="Y36665" t="str">
            <v>ISRAEL</v>
          </cell>
        </row>
        <row r="36666">
          <cell r="L36666" t="str">
            <v>Non-proportional</v>
          </cell>
          <cell r="S36666">
            <v>-5312.78</v>
          </cell>
          <cell r="X36666" t="str">
            <v>Variation UPR - gross</v>
          </cell>
          <cell r="Y36666" t="str">
            <v>NETHERLANDS</v>
          </cell>
        </row>
        <row r="36667">
          <cell r="L36667" t="str">
            <v>Non-proportional</v>
          </cell>
          <cell r="S36667">
            <v>-10156.290000000001</v>
          </cell>
          <cell r="X36667" t="str">
            <v>Variation UPR - gross</v>
          </cell>
          <cell r="Y36667" t="str">
            <v>EUROPE</v>
          </cell>
        </row>
        <row r="36668">
          <cell r="L36668" t="str">
            <v>Non-proportional</v>
          </cell>
          <cell r="S36668">
            <v>-47.6</v>
          </cell>
          <cell r="X36668" t="str">
            <v>Variation UPR - gross</v>
          </cell>
          <cell r="Y36668" t="str">
            <v>INDIA</v>
          </cell>
        </row>
        <row r="36669">
          <cell r="L36669" t="str">
            <v>Non-proportional</v>
          </cell>
          <cell r="S36669">
            <v>-49.69</v>
          </cell>
          <cell r="X36669" t="str">
            <v>Variation UPR - gross</v>
          </cell>
          <cell r="Y36669" t="str">
            <v>BRAZIL</v>
          </cell>
        </row>
        <row r="36670">
          <cell r="L36670" t="str">
            <v>Non-proportional</v>
          </cell>
          <cell r="S36670">
            <v>-1178960.3999999999</v>
          </cell>
          <cell r="X36670" t="str">
            <v>Variation UPR - gross</v>
          </cell>
          <cell r="Y36670" t="str">
            <v>BELGIUM</v>
          </cell>
        </row>
        <row r="36671">
          <cell r="L36671" t="str">
            <v>Non-proportional</v>
          </cell>
          <cell r="S36671">
            <v>-2942.32</v>
          </cell>
          <cell r="X36671" t="str">
            <v>Variation UPR - gross</v>
          </cell>
          <cell r="Y36671" t="str">
            <v>UNITED KINGDOM</v>
          </cell>
        </row>
        <row r="36672">
          <cell r="L36672" t="str">
            <v>Non-proportional</v>
          </cell>
          <cell r="S36672">
            <v>-57521.38</v>
          </cell>
          <cell r="X36672" t="str">
            <v>Variation UPR - gross</v>
          </cell>
          <cell r="Y36672" t="str">
            <v>UNITED KINGDOM</v>
          </cell>
        </row>
        <row r="36673">
          <cell r="L36673" t="str">
            <v>Non-proportional</v>
          </cell>
          <cell r="S36673">
            <v>-5918.43</v>
          </cell>
          <cell r="X36673" t="str">
            <v>Variation UPR - gross</v>
          </cell>
          <cell r="Y36673" t="str">
            <v>EUROPE</v>
          </cell>
        </row>
        <row r="36674">
          <cell r="L36674" t="str">
            <v>Non-proportional</v>
          </cell>
          <cell r="S36674">
            <v>-4533.33</v>
          </cell>
          <cell r="X36674" t="str">
            <v>Variation UPR - gross</v>
          </cell>
          <cell r="Y36674" t="str">
            <v>PORTUGAL</v>
          </cell>
        </row>
        <row r="36675">
          <cell r="L36675" t="str">
            <v>Non-proportional</v>
          </cell>
          <cell r="S36675">
            <v>-5061.59</v>
          </cell>
          <cell r="X36675" t="str">
            <v>Variation UPR - gross</v>
          </cell>
          <cell r="Y36675" t="str">
            <v>ISRAEL</v>
          </cell>
        </row>
        <row r="36676">
          <cell r="L36676" t="str">
            <v>Non-proportional</v>
          </cell>
          <cell r="S36676">
            <v>-10707.08</v>
          </cell>
          <cell r="X36676" t="str">
            <v>Variation UPR - gross</v>
          </cell>
          <cell r="Y36676" t="str">
            <v>FRANCE</v>
          </cell>
        </row>
        <row r="36677">
          <cell r="L36677" t="str">
            <v>Non-proportional</v>
          </cell>
          <cell r="S36677">
            <v>-3341.16</v>
          </cell>
          <cell r="X36677" t="str">
            <v>Variation UPR - gross</v>
          </cell>
          <cell r="Y36677" t="str">
            <v>PERU</v>
          </cell>
        </row>
        <row r="36678">
          <cell r="L36678" t="str">
            <v>Non-proportional</v>
          </cell>
          <cell r="S36678">
            <v>77.36</v>
          </cell>
          <cell r="X36678" t="str">
            <v>Variation UPR - gross</v>
          </cell>
          <cell r="Y36678" t="str">
            <v>CHILE</v>
          </cell>
        </row>
        <row r="36679">
          <cell r="L36679" t="str">
            <v>Proportional</v>
          </cell>
          <cell r="S36679">
            <v>-2827.47</v>
          </cell>
          <cell r="X36679" t="str">
            <v>Variation UPR - gross</v>
          </cell>
          <cell r="Y36679" t="str">
            <v>HONG KONG</v>
          </cell>
        </row>
        <row r="36680">
          <cell r="L36680" t="str">
            <v>Non-proportional</v>
          </cell>
          <cell r="S36680">
            <v>-40150</v>
          </cell>
          <cell r="X36680" t="str">
            <v>Variation UPR - gross</v>
          </cell>
          <cell r="Y36680" t="str">
            <v>PORTUGAL</v>
          </cell>
        </row>
        <row r="36681">
          <cell r="L36681" t="str">
            <v>Proportional</v>
          </cell>
          <cell r="S36681">
            <v>-42889.440000000002</v>
          </cell>
          <cell r="X36681" t="str">
            <v>Variation UPR - gross</v>
          </cell>
          <cell r="Y36681" t="str">
            <v>THAILAND</v>
          </cell>
        </row>
        <row r="36682">
          <cell r="L36682" t="str">
            <v>Non-proportional</v>
          </cell>
          <cell r="S36682">
            <v>-546.88</v>
          </cell>
          <cell r="X36682" t="str">
            <v>Variation UPR - gross</v>
          </cell>
          <cell r="Y36682" t="str">
            <v>ITALY</v>
          </cell>
        </row>
        <row r="36683">
          <cell r="L36683" t="str">
            <v>Non-proportional</v>
          </cell>
          <cell r="S36683">
            <v>-44841.42</v>
          </cell>
          <cell r="X36683" t="str">
            <v>Variation UPR - gross</v>
          </cell>
          <cell r="Y36683" t="str">
            <v>UNITED KINGDOM</v>
          </cell>
        </row>
        <row r="36684">
          <cell r="L36684" t="str">
            <v>Non-proportional</v>
          </cell>
          <cell r="S36684">
            <v>-12625.09</v>
          </cell>
          <cell r="X36684" t="str">
            <v>Variation UPR - gross</v>
          </cell>
          <cell r="Y36684" t="str">
            <v>BELGIUM</v>
          </cell>
        </row>
        <row r="36685">
          <cell r="L36685" t="str">
            <v>Non-proportional</v>
          </cell>
          <cell r="S36685">
            <v>-3353.53</v>
          </cell>
          <cell r="X36685" t="str">
            <v>Variation UPR - gross</v>
          </cell>
          <cell r="Y36685" t="str">
            <v>ISRAEL</v>
          </cell>
        </row>
        <row r="36686">
          <cell r="L36686" t="str">
            <v>Non-proportional</v>
          </cell>
          <cell r="S36686">
            <v>-11510.64</v>
          </cell>
          <cell r="X36686" t="str">
            <v>Variation UPR - gross</v>
          </cell>
          <cell r="Y36686" t="str">
            <v>EUROPE</v>
          </cell>
        </row>
        <row r="36687">
          <cell r="L36687" t="str">
            <v>Proportional</v>
          </cell>
          <cell r="S36687">
            <v>-61540.65</v>
          </cell>
          <cell r="X36687" t="str">
            <v>Variation UPR - gross</v>
          </cell>
          <cell r="Y36687" t="str">
            <v>INDIA</v>
          </cell>
        </row>
        <row r="36688">
          <cell r="L36688" t="str">
            <v>Non-proportional</v>
          </cell>
          <cell r="S36688">
            <v>-90200</v>
          </cell>
          <cell r="X36688" t="str">
            <v>Variation UPR - gross</v>
          </cell>
          <cell r="Y36688" t="str">
            <v>EUROPE</v>
          </cell>
        </row>
        <row r="36689">
          <cell r="L36689" t="str">
            <v>Non-proportional</v>
          </cell>
          <cell r="S36689">
            <v>9.9</v>
          </cell>
          <cell r="X36689" t="str">
            <v>Variation UPR - gross</v>
          </cell>
          <cell r="Y36689" t="str">
            <v>JAPAN</v>
          </cell>
        </row>
        <row r="36690">
          <cell r="L36690" t="str">
            <v>Non-proportional</v>
          </cell>
          <cell r="S36690">
            <v>-9964.76</v>
          </cell>
          <cell r="X36690" t="str">
            <v>Variation UPR - gross</v>
          </cell>
          <cell r="Y36690" t="str">
            <v>UNITED KINGDOM</v>
          </cell>
        </row>
        <row r="36691">
          <cell r="L36691" t="str">
            <v>Non-proportional</v>
          </cell>
          <cell r="S36691">
            <v>-3555.06</v>
          </cell>
          <cell r="X36691" t="str">
            <v>Variation UPR - gross</v>
          </cell>
          <cell r="Y36691" t="str">
            <v>BRAZIL</v>
          </cell>
        </row>
        <row r="36692">
          <cell r="L36692" t="str">
            <v>Non-proportional</v>
          </cell>
          <cell r="S36692">
            <v>-4436.38</v>
          </cell>
          <cell r="X36692" t="str">
            <v>Variation UPR - gross</v>
          </cell>
          <cell r="Y36692" t="str">
            <v>NEW ZEALAND</v>
          </cell>
        </row>
        <row r="36693">
          <cell r="L36693" t="str">
            <v>Non-proportional</v>
          </cell>
          <cell r="S36693">
            <v>-105723.33</v>
          </cell>
          <cell r="X36693" t="str">
            <v>Variation UPR - gross</v>
          </cell>
          <cell r="Y36693" t="str">
            <v>FRANCE</v>
          </cell>
        </row>
        <row r="36694">
          <cell r="L36694" t="str">
            <v>Non-proportional</v>
          </cell>
          <cell r="S36694">
            <v>-7828.4</v>
          </cell>
          <cell r="X36694" t="str">
            <v>Variation UPR - gross</v>
          </cell>
          <cell r="Y36694" t="str">
            <v>COSTA RICA</v>
          </cell>
        </row>
        <row r="36695">
          <cell r="L36695" t="str">
            <v>Non-proportional</v>
          </cell>
          <cell r="S36695">
            <v>-9187.5</v>
          </cell>
          <cell r="X36695" t="str">
            <v>Variation UPR - gross</v>
          </cell>
          <cell r="Y36695" t="str">
            <v>TURKEY</v>
          </cell>
        </row>
        <row r="36696">
          <cell r="L36696" t="str">
            <v>Non-proportional</v>
          </cell>
          <cell r="S36696">
            <v>-207.31</v>
          </cell>
          <cell r="X36696" t="str">
            <v>Variation UPR - gross</v>
          </cell>
          <cell r="Y36696" t="str">
            <v>INDIA</v>
          </cell>
        </row>
        <row r="36697">
          <cell r="L36697" t="str">
            <v>Non-proportional</v>
          </cell>
          <cell r="S36697">
            <v>-920.61</v>
          </cell>
          <cell r="X36697" t="str">
            <v>Variation UPR - gross</v>
          </cell>
          <cell r="Y36697" t="str">
            <v>UNITED KINGDOM</v>
          </cell>
        </row>
        <row r="36698">
          <cell r="L36698" t="str">
            <v>Non-proportional</v>
          </cell>
          <cell r="S36698">
            <v>-77.36</v>
          </cell>
          <cell r="X36698" t="str">
            <v>Variation UPR - gross</v>
          </cell>
          <cell r="Y36698" t="str">
            <v>CHILE</v>
          </cell>
        </row>
        <row r="36699">
          <cell r="L36699" t="str">
            <v>Non-proportional</v>
          </cell>
          <cell r="S36699">
            <v>-2868.33</v>
          </cell>
          <cell r="X36699" t="str">
            <v>Variation UPR - gross</v>
          </cell>
          <cell r="Y36699" t="str">
            <v>POLAND</v>
          </cell>
        </row>
        <row r="36700">
          <cell r="L36700" t="str">
            <v>Non-proportional</v>
          </cell>
          <cell r="S36700">
            <v>0.01</v>
          </cell>
          <cell r="X36700" t="str">
            <v>Variation UPR - gross</v>
          </cell>
          <cell r="Y36700" t="str">
            <v>DOMINICAN REPUBLIC</v>
          </cell>
        </row>
        <row r="36701">
          <cell r="L36701" t="str">
            <v>Non-proportional</v>
          </cell>
          <cell r="S36701">
            <v>-1415.93</v>
          </cell>
          <cell r="X36701" t="str">
            <v>Variation UPR - gross</v>
          </cell>
          <cell r="Y36701" t="str">
            <v>FRANCE</v>
          </cell>
        </row>
        <row r="36702">
          <cell r="L36702" t="str">
            <v>Non-proportional</v>
          </cell>
          <cell r="S36702">
            <v>-1406.25</v>
          </cell>
          <cell r="X36702" t="str">
            <v>Variation UPR - gross</v>
          </cell>
          <cell r="Y36702" t="str">
            <v>GREECE</v>
          </cell>
        </row>
        <row r="36703">
          <cell r="L36703" t="str">
            <v>Non-proportional</v>
          </cell>
          <cell r="S36703">
            <v>-7897.5</v>
          </cell>
          <cell r="X36703" t="str">
            <v>Variation UPR - gross</v>
          </cell>
          <cell r="Y36703" t="str">
            <v>ITALY</v>
          </cell>
        </row>
        <row r="36704">
          <cell r="L36704" t="str">
            <v>Non-proportional</v>
          </cell>
          <cell r="S36704">
            <v>81.94</v>
          </cell>
          <cell r="X36704" t="str">
            <v>Variation UPR - gross</v>
          </cell>
          <cell r="Y36704" t="str">
            <v>NEW ZEALAND</v>
          </cell>
        </row>
        <row r="36705">
          <cell r="L36705" t="str">
            <v>Non-proportional</v>
          </cell>
          <cell r="S36705">
            <v>-169.95</v>
          </cell>
          <cell r="X36705" t="str">
            <v>Variation UPR - gross</v>
          </cell>
          <cell r="Y36705" t="str">
            <v>INDIA</v>
          </cell>
        </row>
        <row r="36706">
          <cell r="L36706" t="str">
            <v>Non-proportional</v>
          </cell>
          <cell r="S36706">
            <v>-3262.69</v>
          </cell>
          <cell r="X36706" t="str">
            <v>Variation UPR - gross</v>
          </cell>
          <cell r="Y36706" t="str">
            <v>AUSTRALIA</v>
          </cell>
        </row>
        <row r="36707">
          <cell r="L36707" t="str">
            <v>Non-proportional</v>
          </cell>
          <cell r="S36707">
            <v>279.64</v>
          </cell>
          <cell r="X36707" t="str">
            <v>Variation UPR - gross</v>
          </cell>
          <cell r="Y36707" t="str">
            <v>COLOMBIA</v>
          </cell>
        </row>
        <row r="36708">
          <cell r="L36708" t="str">
            <v>Non-proportional</v>
          </cell>
          <cell r="S36708">
            <v>-612.5</v>
          </cell>
          <cell r="X36708" t="str">
            <v>Variation UPR - gross</v>
          </cell>
          <cell r="Y36708" t="str">
            <v>GREECE</v>
          </cell>
        </row>
        <row r="36709">
          <cell r="L36709" t="str">
            <v>Non-proportional</v>
          </cell>
          <cell r="S36709">
            <v>-1304.6600000000001</v>
          </cell>
          <cell r="X36709" t="str">
            <v>Variation UPR - gross</v>
          </cell>
          <cell r="Y36709" t="str">
            <v>COSTA RICA</v>
          </cell>
        </row>
        <row r="36710">
          <cell r="L36710" t="str">
            <v>Non-proportional</v>
          </cell>
          <cell r="S36710">
            <v>-1334.24</v>
          </cell>
          <cell r="X36710" t="str">
            <v>Variation UPR - gross</v>
          </cell>
          <cell r="Y36710" t="str">
            <v>PERU</v>
          </cell>
        </row>
        <row r="36711">
          <cell r="L36711" t="str">
            <v>Non-proportional</v>
          </cell>
          <cell r="S36711">
            <v>57.8</v>
          </cell>
          <cell r="X36711" t="str">
            <v>Variation UPR - gross</v>
          </cell>
          <cell r="Y36711" t="str">
            <v>NEW ZEALAND</v>
          </cell>
        </row>
        <row r="36712">
          <cell r="L36712" t="str">
            <v>Non-proportional</v>
          </cell>
          <cell r="S36712">
            <v>-45758.47</v>
          </cell>
          <cell r="X36712" t="str">
            <v>Variation UPR - gross</v>
          </cell>
          <cell r="Y36712" t="str">
            <v>TURKEY</v>
          </cell>
        </row>
        <row r="36713">
          <cell r="L36713" t="str">
            <v>Proportional</v>
          </cell>
          <cell r="S36713">
            <v>3326.83</v>
          </cell>
          <cell r="X36713" t="str">
            <v>Variation UPR - gross</v>
          </cell>
          <cell r="Y36713" t="str">
            <v>CANADA</v>
          </cell>
        </row>
        <row r="36714">
          <cell r="L36714" t="str">
            <v>Non-proportional</v>
          </cell>
          <cell r="S36714">
            <v>-6963.2</v>
          </cell>
          <cell r="X36714" t="str">
            <v>Variation UPR - gross</v>
          </cell>
          <cell r="Y36714" t="str">
            <v>FRANCE</v>
          </cell>
        </row>
        <row r="36715">
          <cell r="L36715" t="str">
            <v>Non-proportional</v>
          </cell>
          <cell r="S36715">
            <v>-4937.91</v>
          </cell>
          <cell r="X36715" t="str">
            <v>Variation UPR - gross</v>
          </cell>
          <cell r="Y36715" t="str">
            <v>UNITED KINGDOM</v>
          </cell>
        </row>
        <row r="36716">
          <cell r="L36716" t="str">
            <v>Proportional</v>
          </cell>
          <cell r="S36716">
            <v>-4123.9799999999996</v>
          </cell>
          <cell r="X36716" t="str">
            <v>Variation UPR - gross</v>
          </cell>
          <cell r="Y36716" t="str">
            <v>THAILAND</v>
          </cell>
        </row>
        <row r="36717">
          <cell r="L36717" t="str">
            <v>Proportional</v>
          </cell>
          <cell r="S36717">
            <v>-16108.01</v>
          </cell>
          <cell r="X36717" t="str">
            <v>Variation UPR - gross</v>
          </cell>
          <cell r="Y36717" t="str">
            <v>THAILAND</v>
          </cell>
        </row>
        <row r="36718">
          <cell r="L36718" t="str">
            <v>Non-proportional</v>
          </cell>
          <cell r="S36718">
            <v>-426.14</v>
          </cell>
          <cell r="X36718" t="str">
            <v>Variation UPR - gross</v>
          </cell>
          <cell r="Y36718" t="str">
            <v>COLOMBIA</v>
          </cell>
        </row>
        <row r="36719">
          <cell r="L36719" t="str">
            <v>Non-proportional</v>
          </cell>
          <cell r="S36719">
            <v>-146.28</v>
          </cell>
          <cell r="X36719" t="str">
            <v>Variation UPR - gross</v>
          </cell>
          <cell r="Y36719" t="str">
            <v>FRANCE</v>
          </cell>
        </row>
        <row r="36720">
          <cell r="L36720" t="str">
            <v>Non-proportional</v>
          </cell>
          <cell r="S36720">
            <v>-779.78</v>
          </cell>
          <cell r="X36720" t="str">
            <v>Variation UPR - gross</v>
          </cell>
          <cell r="Y36720" t="str">
            <v>ISRAEL</v>
          </cell>
        </row>
        <row r="36721">
          <cell r="L36721" t="str">
            <v>Non-proportional</v>
          </cell>
          <cell r="S36721">
            <v>-375.42</v>
          </cell>
          <cell r="X36721" t="str">
            <v>Variation UPR - gross</v>
          </cell>
          <cell r="Y36721" t="str">
            <v>ITALY</v>
          </cell>
        </row>
        <row r="36722">
          <cell r="L36722" t="str">
            <v>Non-proportional</v>
          </cell>
          <cell r="S36722">
            <v>-4211.99</v>
          </cell>
          <cell r="X36722" t="str">
            <v>Variation UPR - gross</v>
          </cell>
          <cell r="Y36722" t="str">
            <v>COLOMBIA</v>
          </cell>
        </row>
        <row r="36723">
          <cell r="L36723" t="str">
            <v>Non-proportional</v>
          </cell>
          <cell r="S36723">
            <v>-420.38</v>
          </cell>
          <cell r="X36723" t="str">
            <v>Variation UPR - gross</v>
          </cell>
          <cell r="Y36723" t="str">
            <v>PORTUGAL</v>
          </cell>
        </row>
        <row r="36724">
          <cell r="L36724" t="str">
            <v>Non-proportional</v>
          </cell>
          <cell r="S36724">
            <v>-178487.38</v>
          </cell>
          <cell r="X36724" t="str">
            <v>Variation UPR - gross</v>
          </cell>
          <cell r="Y36724" t="str">
            <v>PORTUGAL</v>
          </cell>
        </row>
        <row r="36725">
          <cell r="L36725" t="str">
            <v>Non-proportional</v>
          </cell>
          <cell r="S36725">
            <v>-886.97</v>
          </cell>
          <cell r="X36725" t="str">
            <v>Variation UPR - gross</v>
          </cell>
          <cell r="Y36725" t="str">
            <v>AUSTRALIA</v>
          </cell>
        </row>
        <row r="36726">
          <cell r="L36726" t="str">
            <v>Non-proportional</v>
          </cell>
          <cell r="S36726">
            <v>-3900.8</v>
          </cell>
          <cell r="X36726" t="str">
            <v>Variation UPR - gross</v>
          </cell>
          <cell r="Y36726" t="str">
            <v>EUROPE</v>
          </cell>
        </row>
        <row r="36727">
          <cell r="L36727" t="str">
            <v>Non-proportional</v>
          </cell>
          <cell r="S36727">
            <v>-244.76</v>
          </cell>
          <cell r="X36727" t="str">
            <v>Variation UPR - gross</v>
          </cell>
          <cell r="Y36727" t="str">
            <v>JAPAN</v>
          </cell>
        </row>
        <row r="36728">
          <cell r="L36728" t="str">
            <v>Non-proportional</v>
          </cell>
          <cell r="S36728">
            <v>-286.25</v>
          </cell>
          <cell r="X36728" t="str">
            <v>Variation UPR - gross</v>
          </cell>
          <cell r="Y36728" t="str">
            <v>REPUBLIC OF IRELAND</v>
          </cell>
        </row>
        <row r="36729">
          <cell r="L36729" t="str">
            <v>Non-proportional</v>
          </cell>
          <cell r="S36729">
            <v>-43.5</v>
          </cell>
          <cell r="X36729" t="str">
            <v>Variation UPR - gross</v>
          </cell>
          <cell r="Y36729" t="str">
            <v>ISRAEL</v>
          </cell>
        </row>
        <row r="36730">
          <cell r="L36730" t="str">
            <v>Proportional</v>
          </cell>
          <cell r="S36730">
            <v>-243305.60000000001</v>
          </cell>
          <cell r="X36730" t="str">
            <v>Variation UPR - gross</v>
          </cell>
          <cell r="Y36730" t="str">
            <v>FRANCE</v>
          </cell>
        </row>
        <row r="36731">
          <cell r="L36731" t="str">
            <v>Proportional</v>
          </cell>
          <cell r="S36731">
            <v>-5682.18</v>
          </cell>
          <cell r="X36731" t="str">
            <v>Variation UPR - gross</v>
          </cell>
          <cell r="Y36731" t="str">
            <v>HONG KONG</v>
          </cell>
        </row>
        <row r="36732">
          <cell r="L36732" t="str">
            <v>Non-proportional</v>
          </cell>
          <cell r="S36732">
            <v>-10499.88</v>
          </cell>
          <cell r="X36732" t="str">
            <v>Variation UPR - gross</v>
          </cell>
          <cell r="Y36732" t="str">
            <v>ITALY</v>
          </cell>
        </row>
        <row r="36733">
          <cell r="L36733" t="str">
            <v>Proportional</v>
          </cell>
          <cell r="S36733">
            <v>-4100.21</v>
          </cell>
          <cell r="X36733" t="str">
            <v>Variation UPR - gross</v>
          </cell>
          <cell r="Y36733" t="str">
            <v>CHILE</v>
          </cell>
        </row>
        <row r="36734">
          <cell r="L36734" t="str">
            <v>Non-proportional</v>
          </cell>
          <cell r="S36734">
            <v>-9043.94</v>
          </cell>
          <cell r="X36734" t="str">
            <v>Variation UPR - gross</v>
          </cell>
          <cell r="Y36734" t="str">
            <v>FRANCE</v>
          </cell>
        </row>
        <row r="36735">
          <cell r="L36735" t="str">
            <v>Non-proportional</v>
          </cell>
          <cell r="S36735">
            <v>75.09</v>
          </cell>
          <cell r="X36735" t="str">
            <v>Variation UPR - gross</v>
          </cell>
          <cell r="Y36735" t="str">
            <v>COLOMBIA</v>
          </cell>
        </row>
        <row r="36736">
          <cell r="L36736" t="str">
            <v>Non-proportional</v>
          </cell>
          <cell r="S36736">
            <v>0.05</v>
          </cell>
          <cell r="X36736" t="str">
            <v>Variation UPR - gross</v>
          </cell>
          <cell r="Y36736" t="str">
            <v>THAILAND</v>
          </cell>
        </row>
        <row r="36737">
          <cell r="L36737" t="str">
            <v>Non-proportional</v>
          </cell>
          <cell r="S36737">
            <v>-16177.89</v>
          </cell>
          <cell r="X36737" t="str">
            <v>Variation UPR - gross</v>
          </cell>
          <cell r="Y36737" t="str">
            <v>UNITED KINGDOM</v>
          </cell>
        </row>
        <row r="36738">
          <cell r="L36738" t="str">
            <v>Non-proportional</v>
          </cell>
          <cell r="S36738">
            <v>-4509.75</v>
          </cell>
          <cell r="X36738" t="str">
            <v>Variation UPR - gross</v>
          </cell>
          <cell r="Y36738" t="str">
            <v>FRANCE</v>
          </cell>
        </row>
        <row r="36739">
          <cell r="L36739" t="str">
            <v>Non-proportional</v>
          </cell>
          <cell r="S36739">
            <v>-855.96</v>
          </cell>
          <cell r="X36739" t="str">
            <v>Variation UPR - gross</v>
          </cell>
          <cell r="Y36739" t="str">
            <v>FRANCE</v>
          </cell>
        </row>
        <row r="36740">
          <cell r="L36740" t="str">
            <v>Non-proportional</v>
          </cell>
          <cell r="S36740">
            <v>-3350.2</v>
          </cell>
          <cell r="X36740" t="str">
            <v>Variation UPR - gross</v>
          </cell>
          <cell r="Y36740" t="str">
            <v>ECUADOR</v>
          </cell>
        </row>
        <row r="36741">
          <cell r="L36741" t="str">
            <v>Non-proportional</v>
          </cell>
          <cell r="S36741">
            <v>378.16</v>
          </cell>
          <cell r="X36741" t="str">
            <v>Variation UPR - gross</v>
          </cell>
          <cell r="Y36741" t="str">
            <v>COLOMBIA</v>
          </cell>
        </row>
        <row r="36742">
          <cell r="L36742" t="str">
            <v>Non-proportional</v>
          </cell>
          <cell r="S36742">
            <v>-414440.16</v>
          </cell>
          <cell r="X36742" t="str">
            <v>Variation UPR - gross</v>
          </cell>
          <cell r="Y36742" t="str">
            <v>UNITED KINGDOM</v>
          </cell>
        </row>
        <row r="36743">
          <cell r="L36743" t="str">
            <v>Non-proportional</v>
          </cell>
          <cell r="S36743">
            <v>-6816.55</v>
          </cell>
          <cell r="X36743" t="str">
            <v>Variation UPR - gross</v>
          </cell>
          <cell r="Y36743" t="str">
            <v>UNITED KINGDOM</v>
          </cell>
        </row>
        <row r="36744">
          <cell r="L36744" t="str">
            <v>Non-proportional</v>
          </cell>
          <cell r="S36744">
            <v>-3790.76</v>
          </cell>
          <cell r="X36744" t="str">
            <v>Variation UPR - gross</v>
          </cell>
          <cell r="Y36744" t="str">
            <v>CHILE</v>
          </cell>
        </row>
        <row r="36745">
          <cell r="L36745" t="str">
            <v>Non-proportional</v>
          </cell>
          <cell r="S36745">
            <v>-2120.33</v>
          </cell>
          <cell r="X36745" t="str">
            <v>Variation UPR - gross</v>
          </cell>
          <cell r="Y36745" t="str">
            <v>AUSTRALIA</v>
          </cell>
        </row>
        <row r="36746">
          <cell r="L36746" t="str">
            <v>Non-proportional</v>
          </cell>
          <cell r="S36746">
            <v>-2630.95</v>
          </cell>
          <cell r="X36746" t="str">
            <v>Variation UPR - gross</v>
          </cell>
          <cell r="Y36746" t="str">
            <v>AUSTRALIA</v>
          </cell>
        </row>
        <row r="36747">
          <cell r="L36747" t="str">
            <v>Non-proportional</v>
          </cell>
          <cell r="S36747">
            <v>-351.91</v>
          </cell>
          <cell r="X36747" t="str">
            <v>Variation UPR - gross</v>
          </cell>
          <cell r="Y36747" t="str">
            <v>COLOMBIA</v>
          </cell>
        </row>
        <row r="36748">
          <cell r="L36748" t="str">
            <v>Non-proportional</v>
          </cell>
          <cell r="S36748">
            <v>-3433.11</v>
          </cell>
          <cell r="X36748" t="str">
            <v>Variation UPR - gross</v>
          </cell>
          <cell r="Y36748" t="str">
            <v>SOUTH AFRICA</v>
          </cell>
        </row>
        <row r="36749">
          <cell r="L36749" t="str">
            <v>Non-proportional</v>
          </cell>
          <cell r="S36749">
            <v>-167.45</v>
          </cell>
          <cell r="X36749" t="str">
            <v>Variation UPR - gross</v>
          </cell>
          <cell r="Y36749" t="str">
            <v>FRANCE</v>
          </cell>
        </row>
        <row r="36750">
          <cell r="L36750" t="str">
            <v>Non-proportional</v>
          </cell>
          <cell r="S36750">
            <v>-1595.01</v>
          </cell>
          <cell r="X36750" t="str">
            <v>Variation UPR - gross</v>
          </cell>
          <cell r="Y36750" t="str">
            <v>ISRAEL</v>
          </cell>
        </row>
        <row r="36751">
          <cell r="L36751" t="str">
            <v>Non-proportional</v>
          </cell>
          <cell r="S36751">
            <v>-5732.98</v>
          </cell>
          <cell r="X36751" t="str">
            <v>Variation UPR - gross</v>
          </cell>
          <cell r="Y36751" t="str">
            <v>ECUADOR</v>
          </cell>
        </row>
        <row r="36752">
          <cell r="L36752" t="str">
            <v>Proportional</v>
          </cell>
          <cell r="S36752">
            <v>-5361.18</v>
          </cell>
          <cell r="X36752" t="str">
            <v>Variation UPR - gross</v>
          </cell>
          <cell r="Y36752" t="str">
            <v>THAILAND</v>
          </cell>
        </row>
        <row r="36753">
          <cell r="L36753" t="str">
            <v>Non-proportional</v>
          </cell>
          <cell r="S36753">
            <v>-6603.14</v>
          </cell>
          <cell r="X36753" t="str">
            <v>Variation UPR - gross</v>
          </cell>
          <cell r="Y36753" t="str">
            <v>UNITED KINGDOM</v>
          </cell>
        </row>
        <row r="36754">
          <cell r="L36754" t="str">
            <v>Non-proportional</v>
          </cell>
          <cell r="S36754">
            <v>-205.67</v>
          </cell>
          <cell r="X36754" t="str">
            <v>Variation UPR - gross</v>
          </cell>
          <cell r="Y36754" t="str">
            <v>FRANCE</v>
          </cell>
        </row>
        <row r="36755">
          <cell r="L36755" t="str">
            <v>Non-proportional</v>
          </cell>
          <cell r="S36755">
            <v>-1202.25</v>
          </cell>
          <cell r="X36755" t="str">
            <v>Variation UPR - gross</v>
          </cell>
          <cell r="Y36755" t="str">
            <v>REPUBLIC OF IRELAND</v>
          </cell>
        </row>
        <row r="36756">
          <cell r="L36756" t="str">
            <v>Non-proportional</v>
          </cell>
          <cell r="S36756">
            <v>-8238.26</v>
          </cell>
          <cell r="X36756" t="str">
            <v>Variation UPR - gross</v>
          </cell>
          <cell r="Y36756" t="str">
            <v>ITALY</v>
          </cell>
        </row>
        <row r="36757">
          <cell r="L36757" t="str">
            <v>Non-proportional</v>
          </cell>
          <cell r="S36757">
            <v>6.95</v>
          </cell>
          <cell r="X36757" t="str">
            <v>Variation UPR - gross</v>
          </cell>
          <cell r="Y36757" t="str">
            <v>INDIA</v>
          </cell>
        </row>
        <row r="36758">
          <cell r="L36758" t="str">
            <v>Non-proportional</v>
          </cell>
          <cell r="S36758">
            <v>-638.52</v>
          </cell>
          <cell r="X36758" t="str">
            <v>Variation UPR - gross</v>
          </cell>
          <cell r="Y36758" t="str">
            <v>MALTA</v>
          </cell>
        </row>
        <row r="36759">
          <cell r="L36759" t="str">
            <v>Non-proportional</v>
          </cell>
          <cell r="S36759">
            <v>-1718</v>
          </cell>
          <cell r="X36759" t="str">
            <v>Variation UPR - gross</v>
          </cell>
          <cell r="Y36759" t="str">
            <v>FRANCE</v>
          </cell>
        </row>
        <row r="36760">
          <cell r="L36760" t="str">
            <v>Non-proportional</v>
          </cell>
          <cell r="S36760">
            <v>-861.66</v>
          </cell>
          <cell r="X36760" t="str">
            <v>Variation UPR - gross</v>
          </cell>
          <cell r="Y36760" t="str">
            <v>PERU</v>
          </cell>
        </row>
        <row r="36761">
          <cell r="L36761" t="str">
            <v>Non-proportional</v>
          </cell>
          <cell r="S36761">
            <v>-130.74</v>
          </cell>
          <cell r="X36761" t="str">
            <v>Variation UPR - gross</v>
          </cell>
          <cell r="Y36761" t="str">
            <v>JAPAN</v>
          </cell>
        </row>
        <row r="36762">
          <cell r="L36762" t="str">
            <v>Non-proportional</v>
          </cell>
          <cell r="S36762">
            <v>-77.36</v>
          </cell>
          <cell r="X36762" t="str">
            <v>Variation UPR - gross</v>
          </cell>
          <cell r="Y36762" t="str">
            <v>CHILE</v>
          </cell>
        </row>
        <row r="36763">
          <cell r="L36763" t="str">
            <v>Non-proportional</v>
          </cell>
          <cell r="S36763">
            <v>-14315.88</v>
          </cell>
          <cell r="X36763" t="str">
            <v>Variation UPR - gross</v>
          </cell>
          <cell r="Y36763" t="str">
            <v>UNITED KINGDOM</v>
          </cell>
        </row>
        <row r="36764">
          <cell r="L36764" t="str">
            <v>Non-proportional</v>
          </cell>
          <cell r="S36764">
            <v>-1325.62</v>
          </cell>
          <cell r="X36764" t="str">
            <v>Variation UPR - gross</v>
          </cell>
          <cell r="Y36764" t="str">
            <v>COLOMBIA</v>
          </cell>
        </row>
        <row r="36765">
          <cell r="L36765" t="str">
            <v>Non-proportional</v>
          </cell>
          <cell r="S36765">
            <v>-743.62</v>
          </cell>
          <cell r="X36765" t="str">
            <v>Variation UPR - gross</v>
          </cell>
          <cell r="Y36765" t="str">
            <v>JAPAN</v>
          </cell>
        </row>
        <row r="36766">
          <cell r="L36766" t="str">
            <v>Non-proportional</v>
          </cell>
          <cell r="S36766">
            <v>-6106.75</v>
          </cell>
          <cell r="X36766" t="str">
            <v>Variation UPR - gross</v>
          </cell>
          <cell r="Y36766" t="str">
            <v>ISRAEL</v>
          </cell>
        </row>
        <row r="36767">
          <cell r="L36767" t="str">
            <v>Proportional</v>
          </cell>
          <cell r="S36767">
            <v>41535.5</v>
          </cell>
          <cell r="X36767" t="str">
            <v>Variation UPR - gross</v>
          </cell>
          <cell r="Y36767" t="str">
            <v>GERMANY</v>
          </cell>
        </row>
        <row r="36768">
          <cell r="L36768" t="str">
            <v>Non-proportional</v>
          </cell>
          <cell r="S36768">
            <v>-19231.490000000002</v>
          </cell>
          <cell r="X36768" t="str">
            <v>Variation UPR - gross</v>
          </cell>
          <cell r="Y36768" t="str">
            <v>FRANCE</v>
          </cell>
        </row>
        <row r="36769">
          <cell r="L36769" t="str">
            <v>Non-proportional</v>
          </cell>
          <cell r="S36769">
            <v>-124768.02</v>
          </cell>
          <cell r="X36769" t="str">
            <v>Variation UPR - gross</v>
          </cell>
          <cell r="Y36769" t="str">
            <v>UNITED KINGDOM</v>
          </cell>
        </row>
        <row r="36770">
          <cell r="L36770" t="str">
            <v>Non-proportional</v>
          </cell>
          <cell r="S36770">
            <v>-9659.48</v>
          </cell>
          <cell r="X36770" t="str">
            <v>Variation UPR - gross</v>
          </cell>
          <cell r="Y36770" t="str">
            <v>UNITED KINGDOM</v>
          </cell>
        </row>
        <row r="36771">
          <cell r="L36771" t="str">
            <v>Non-proportional</v>
          </cell>
          <cell r="S36771">
            <v>-79451.399999999994</v>
          </cell>
          <cell r="X36771" t="str">
            <v>Variation UPR - gross</v>
          </cell>
          <cell r="Y36771" t="str">
            <v>UNITED KINGDOM</v>
          </cell>
        </row>
        <row r="36772">
          <cell r="L36772" t="str">
            <v>Non-proportional</v>
          </cell>
          <cell r="S36772">
            <v>-1800</v>
          </cell>
          <cell r="X36772" t="str">
            <v>Variation UPR - gross</v>
          </cell>
          <cell r="Y36772" t="str">
            <v>PORTUGAL</v>
          </cell>
        </row>
        <row r="36773">
          <cell r="L36773" t="str">
            <v>Non-proportional</v>
          </cell>
          <cell r="S36773">
            <v>-1389.73</v>
          </cell>
          <cell r="X36773" t="str">
            <v>Variation UPR - gross</v>
          </cell>
          <cell r="Y36773" t="str">
            <v>COLOMBIA</v>
          </cell>
        </row>
        <row r="36774">
          <cell r="L36774" t="str">
            <v>Non-proportional</v>
          </cell>
          <cell r="S36774">
            <v>-134.87</v>
          </cell>
          <cell r="X36774" t="str">
            <v>Variation UPR - gross</v>
          </cell>
          <cell r="Y36774" t="str">
            <v>INDIA</v>
          </cell>
        </row>
        <row r="36775">
          <cell r="L36775" t="str">
            <v>Proportional</v>
          </cell>
          <cell r="S36775">
            <v>-77353.740000000005</v>
          </cell>
          <cell r="X36775" t="str">
            <v>Variation UPR - gross</v>
          </cell>
          <cell r="Y36775" t="str">
            <v>PORTUGAL</v>
          </cell>
        </row>
        <row r="36776">
          <cell r="L36776" t="str">
            <v>Non-proportional</v>
          </cell>
          <cell r="S36776">
            <v>-4436.38</v>
          </cell>
          <cell r="X36776" t="str">
            <v>Variation UPR - gross</v>
          </cell>
          <cell r="Y36776" t="str">
            <v>NEW ZEALAND</v>
          </cell>
        </row>
        <row r="36777">
          <cell r="L36777" t="str">
            <v>Non-proportional</v>
          </cell>
          <cell r="S36777">
            <v>-38026.75</v>
          </cell>
          <cell r="X36777" t="str">
            <v>Variation UPR - gross</v>
          </cell>
          <cell r="Y36777" t="str">
            <v>FRANCE</v>
          </cell>
        </row>
        <row r="36778">
          <cell r="L36778" t="str">
            <v>Non-proportional</v>
          </cell>
          <cell r="S36778">
            <v>-4666.5</v>
          </cell>
          <cell r="X36778" t="str">
            <v>Variation UPR - gross</v>
          </cell>
          <cell r="Y36778" t="str">
            <v>TURKEY</v>
          </cell>
        </row>
        <row r="36779">
          <cell r="L36779" t="str">
            <v>Non-proportional</v>
          </cell>
          <cell r="S36779">
            <v>-7238</v>
          </cell>
          <cell r="X36779" t="str">
            <v>Variation UPR - gross</v>
          </cell>
          <cell r="Y36779" t="str">
            <v>ECUADOR</v>
          </cell>
        </row>
        <row r="36780">
          <cell r="L36780" t="str">
            <v>Non-proportional</v>
          </cell>
          <cell r="S36780">
            <v>-7267.71</v>
          </cell>
          <cell r="X36780" t="str">
            <v>Variation UPR - gross</v>
          </cell>
          <cell r="Y36780" t="str">
            <v>FRANCE</v>
          </cell>
        </row>
        <row r="36781">
          <cell r="L36781" t="str">
            <v>Non-proportional</v>
          </cell>
          <cell r="S36781">
            <v>-10301.41</v>
          </cell>
          <cell r="X36781" t="str">
            <v>Variation UPR - gross</v>
          </cell>
          <cell r="Y36781" t="str">
            <v>COSTA RICA</v>
          </cell>
        </row>
        <row r="36782">
          <cell r="L36782" t="str">
            <v>Non-proportional</v>
          </cell>
          <cell r="S36782">
            <v>-5029.28</v>
          </cell>
          <cell r="X36782" t="str">
            <v>Variation UPR - gross</v>
          </cell>
          <cell r="Y36782" t="str">
            <v>DOMINICAN REPUBLIC</v>
          </cell>
        </row>
        <row r="36783">
          <cell r="L36783" t="str">
            <v>Non-proportional</v>
          </cell>
          <cell r="S36783">
            <v>-4364.63</v>
          </cell>
          <cell r="X36783" t="str">
            <v>Variation UPR - gross</v>
          </cell>
          <cell r="Y36783" t="str">
            <v>UNITED KINGDOM</v>
          </cell>
        </row>
        <row r="36784">
          <cell r="L36784" t="str">
            <v>Non-proportional</v>
          </cell>
          <cell r="S36784">
            <v>0.01</v>
          </cell>
          <cell r="X36784" t="str">
            <v>Variation UPR - gross</v>
          </cell>
          <cell r="Y36784" t="str">
            <v>JAPAN</v>
          </cell>
        </row>
        <row r="36785">
          <cell r="L36785" t="str">
            <v>Non-proportional</v>
          </cell>
          <cell r="S36785">
            <v>22.79</v>
          </cell>
          <cell r="X36785" t="str">
            <v>Variation UPR - gross</v>
          </cell>
          <cell r="Y36785" t="str">
            <v>NEW ZEALAND</v>
          </cell>
        </row>
        <row r="36786">
          <cell r="L36786" t="str">
            <v>Non-proportional</v>
          </cell>
          <cell r="S36786">
            <v>-9348.14</v>
          </cell>
          <cell r="X36786" t="str">
            <v>Variation UPR - gross</v>
          </cell>
          <cell r="Y36786" t="str">
            <v>NETHERLANDS</v>
          </cell>
        </row>
        <row r="36787">
          <cell r="L36787" t="str">
            <v>Non-proportional</v>
          </cell>
          <cell r="S36787">
            <v>-36680.769999999997</v>
          </cell>
          <cell r="X36787" t="str">
            <v>Variation UPR - gross</v>
          </cell>
          <cell r="Y36787" t="str">
            <v>UNITED STATES</v>
          </cell>
        </row>
        <row r="36788">
          <cell r="L36788" t="str">
            <v>Non-proportional</v>
          </cell>
          <cell r="S36788">
            <v>-1004213.79</v>
          </cell>
          <cell r="X36788" t="str">
            <v>Variation UPR - gross</v>
          </cell>
          <cell r="Y36788" t="str">
            <v>UNITED KINGDOM</v>
          </cell>
        </row>
        <row r="36789">
          <cell r="L36789" t="str">
            <v>Non-proportional</v>
          </cell>
          <cell r="S36789">
            <v>-5031.51</v>
          </cell>
          <cell r="X36789" t="str">
            <v>Variation UPR - gross</v>
          </cell>
          <cell r="Y36789" t="str">
            <v>UNITED KINGDOM</v>
          </cell>
        </row>
        <row r="36790">
          <cell r="L36790" t="str">
            <v>Non-proportional</v>
          </cell>
          <cell r="S36790">
            <v>-38.68</v>
          </cell>
          <cell r="X36790" t="str">
            <v>Variation UPR - gross</v>
          </cell>
          <cell r="Y36790" t="str">
            <v>CHILE</v>
          </cell>
        </row>
        <row r="36791">
          <cell r="L36791" t="str">
            <v>Proportional</v>
          </cell>
          <cell r="S36791">
            <v>-3308.82</v>
          </cell>
          <cell r="X36791" t="str">
            <v>Variation UPR - gross</v>
          </cell>
          <cell r="Y36791" t="str">
            <v>THAILAND</v>
          </cell>
        </row>
        <row r="36792">
          <cell r="L36792" t="str">
            <v>Non-proportional</v>
          </cell>
          <cell r="S36792">
            <v>10.98</v>
          </cell>
          <cell r="X36792" t="str">
            <v>Variation UPR - gross</v>
          </cell>
          <cell r="Y36792" t="str">
            <v>INDIA</v>
          </cell>
        </row>
        <row r="36793">
          <cell r="L36793" t="str">
            <v>Proportional</v>
          </cell>
          <cell r="S36793">
            <v>847700</v>
          </cell>
          <cell r="X36793" t="str">
            <v>Variation UPR - gross</v>
          </cell>
          <cell r="Y36793" t="str">
            <v>ITALY</v>
          </cell>
        </row>
        <row r="36794">
          <cell r="L36794" t="str">
            <v>Non-proportional</v>
          </cell>
          <cell r="S36794">
            <v>-1706.09</v>
          </cell>
          <cell r="X36794" t="str">
            <v>Variation UPR - gross</v>
          </cell>
          <cell r="Y36794" t="str">
            <v>NEW ZEALAND</v>
          </cell>
        </row>
        <row r="36795">
          <cell r="L36795" t="str">
            <v>Non-proportional</v>
          </cell>
          <cell r="S36795">
            <v>-4370.8100000000004</v>
          </cell>
          <cell r="X36795" t="str">
            <v>Variation UPR - gross</v>
          </cell>
          <cell r="Y36795" t="str">
            <v>UNITED KINGDOM</v>
          </cell>
        </row>
        <row r="36796">
          <cell r="L36796" t="str">
            <v>Non-proportional</v>
          </cell>
          <cell r="S36796">
            <v>-1336.01</v>
          </cell>
          <cell r="X36796" t="str">
            <v>Variation UPR - gross</v>
          </cell>
          <cell r="Y36796" t="str">
            <v>ECUADOR</v>
          </cell>
        </row>
        <row r="36797">
          <cell r="L36797" t="str">
            <v>Non-proportional</v>
          </cell>
          <cell r="S36797">
            <v>-33.26</v>
          </cell>
          <cell r="X36797" t="str">
            <v>Variation UPR - gross</v>
          </cell>
          <cell r="Y36797" t="str">
            <v>ISRAEL</v>
          </cell>
        </row>
        <row r="36798">
          <cell r="L36798" t="str">
            <v>Non-proportional</v>
          </cell>
          <cell r="S36798">
            <v>0.02</v>
          </cell>
          <cell r="X36798" t="str">
            <v>Variation UPR - gross</v>
          </cell>
          <cell r="Y36798" t="str">
            <v>DOMINICAN REPUBLIC</v>
          </cell>
        </row>
        <row r="36799">
          <cell r="L36799" t="str">
            <v>Proportional</v>
          </cell>
          <cell r="S36799">
            <v>-78153.59</v>
          </cell>
          <cell r="X36799" t="str">
            <v>Variation UPR - gross</v>
          </cell>
          <cell r="Y36799" t="str">
            <v>THAILAND</v>
          </cell>
        </row>
        <row r="36800">
          <cell r="L36800" t="str">
            <v>Non-proportional</v>
          </cell>
          <cell r="S36800">
            <v>-9985.8700000000008</v>
          </cell>
          <cell r="X36800" t="str">
            <v>Variation UPR - gross</v>
          </cell>
          <cell r="Y36800" t="str">
            <v>FRANCE</v>
          </cell>
        </row>
        <row r="36801">
          <cell r="L36801" t="str">
            <v>Proportional</v>
          </cell>
          <cell r="S36801">
            <v>-6.71</v>
          </cell>
          <cell r="X36801" t="str">
            <v>Variation UPR - gross</v>
          </cell>
          <cell r="Y36801" t="str">
            <v>UNITED STATES</v>
          </cell>
        </row>
        <row r="36802">
          <cell r="L36802" t="str">
            <v>Non-proportional</v>
          </cell>
          <cell r="S36802">
            <v>-2999.74</v>
          </cell>
          <cell r="X36802" t="str">
            <v>Variation UPR - gross</v>
          </cell>
          <cell r="Y36802" t="str">
            <v>NETHERLANDS</v>
          </cell>
        </row>
        <row r="36803">
          <cell r="L36803" t="str">
            <v>Non-proportional</v>
          </cell>
          <cell r="S36803">
            <v>-8090.85</v>
          </cell>
          <cell r="X36803" t="str">
            <v>Variation UPR - gross</v>
          </cell>
          <cell r="Y36803" t="str">
            <v>MEXICO</v>
          </cell>
        </row>
        <row r="36804">
          <cell r="L36804" t="str">
            <v>Non-proportional</v>
          </cell>
          <cell r="S36804">
            <v>-8596.0499999999993</v>
          </cell>
          <cell r="X36804" t="str">
            <v>Variation UPR - gross</v>
          </cell>
          <cell r="Y36804" t="str">
            <v>MEXICO</v>
          </cell>
        </row>
        <row r="36805">
          <cell r="L36805" t="str">
            <v>Non-proportional</v>
          </cell>
          <cell r="S36805">
            <v>154.72</v>
          </cell>
          <cell r="X36805" t="str">
            <v>Variation UPR - gross</v>
          </cell>
          <cell r="Y36805" t="str">
            <v>CHILE</v>
          </cell>
        </row>
        <row r="36806">
          <cell r="L36806" t="str">
            <v>Non-proportional</v>
          </cell>
          <cell r="S36806">
            <v>-635.21</v>
          </cell>
          <cell r="X36806" t="str">
            <v>Variation UPR - gross</v>
          </cell>
          <cell r="Y36806" t="str">
            <v>NEW ZEALAND</v>
          </cell>
        </row>
        <row r="36807">
          <cell r="L36807" t="str">
            <v>Non-proportional</v>
          </cell>
          <cell r="S36807">
            <v>-47.62</v>
          </cell>
          <cell r="X36807" t="str">
            <v>Variation UPR - gross</v>
          </cell>
          <cell r="Y36807" t="str">
            <v>COLOMBIA</v>
          </cell>
        </row>
        <row r="36808">
          <cell r="L36808" t="str">
            <v>Non-proportional</v>
          </cell>
          <cell r="S36808">
            <v>0.01</v>
          </cell>
          <cell r="X36808" t="str">
            <v>Variation UPR - gross</v>
          </cell>
          <cell r="Y36808" t="str">
            <v>DOMINICAN REPUBLIC</v>
          </cell>
        </row>
        <row r="36809">
          <cell r="L36809" t="str">
            <v>Non-proportional</v>
          </cell>
          <cell r="S36809">
            <v>-2309.7399999999998</v>
          </cell>
          <cell r="X36809" t="str">
            <v>Variation UPR - gross</v>
          </cell>
          <cell r="Y36809" t="str">
            <v>AUSTRALIA</v>
          </cell>
        </row>
        <row r="36810">
          <cell r="L36810" t="str">
            <v>Non-proportional</v>
          </cell>
          <cell r="S36810">
            <v>-32.950000000000003</v>
          </cell>
          <cell r="X36810" t="str">
            <v>Variation UPR - gross</v>
          </cell>
          <cell r="Y36810" t="str">
            <v>ISRAEL</v>
          </cell>
        </row>
        <row r="36811">
          <cell r="L36811" t="str">
            <v>Proportional</v>
          </cell>
          <cell r="S36811">
            <v>-158.06</v>
          </cell>
          <cell r="X36811" t="str">
            <v>Variation UPR - gross</v>
          </cell>
          <cell r="Y36811" t="str">
            <v>UNITED STATES</v>
          </cell>
        </row>
        <row r="36812">
          <cell r="L36812" t="str">
            <v>Non-proportional</v>
          </cell>
          <cell r="S36812">
            <v>-2050.1</v>
          </cell>
          <cell r="X36812" t="str">
            <v>Variation UPR - gross</v>
          </cell>
          <cell r="Y36812" t="str">
            <v>CHILE</v>
          </cell>
        </row>
        <row r="36813">
          <cell r="L36813" t="str">
            <v>Non-proportional</v>
          </cell>
          <cell r="S36813">
            <v>-8531.25</v>
          </cell>
          <cell r="X36813" t="str">
            <v>Variation UPR - gross</v>
          </cell>
          <cell r="Y36813" t="str">
            <v>TURKEY</v>
          </cell>
        </row>
        <row r="36814">
          <cell r="L36814" t="str">
            <v>Non-proportional</v>
          </cell>
          <cell r="S36814">
            <v>-8701.44</v>
          </cell>
          <cell r="X36814" t="str">
            <v>Variation UPR - gross</v>
          </cell>
          <cell r="Y36814" t="str">
            <v>DOMINICAN REPUBLIC</v>
          </cell>
        </row>
        <row r="36815">
          <cell r="L36815" t="str">
            <v>Proportional</v>
          </cell>
          <cell r="S36815">
            <v>-19861.66</v>
          </cell>
          <cell r="X36815" t="str">
            <v>Variation UPR - gross</v>
          </cell>
          <cell r="Y36815" t="str">
            <v>PORTUGAL</v>
          </cell>
        </row>
        <row r="36816">
          <cell r="L36816" t="str">
            <v>Non-proportional</v>
          </cell>
          <cell r="S36816">
            <v>-154.72</v>
          </cell>
          <cell r="X36816" t="str">
            <v>Variation UPR - gross</v>
          </cell>
          <cell r="Y36816" t="str">
            <v>CHILE</v>
          </cell>
        </row>
        <row r="36817">
          <cell r="L36817" t="str">
            <v>Non-proportional</v>
          </cell>
          <cell r="S36817">
            <v>19688.03</v>
          </cell>
          <cell r="X36817" t="str">
            <v>Variation UPR - gross</v>
          </cell>
          <cell r="Y36817" t="str">
            <v>SPAIN</v>
          </cell>
        </row>
        <row r="36818">
          <cell r="L36818" t="str">
            <v>Non-proportional</v>
          </cell>
          <cell r="S36818">
            <v>-3621.78</v>
          </cell>
          <cell r="X36818" t="str">
            <v>Variation UPR - gross</v>
          </cell>
          <cell r="Y36818" t="str">
            <v>GUATEMALA</v>
          </cell>
        </row>
        <row r="36819">
          <cell r="L36819" t="str">
            <v>Non-proportional</v>
          </cell>
          <cell r="S36819">
            <v>-1663.29</v>
          </cell>
          <cell r="X36819" t="str">
            <v>Variation UPR - gross</v>
          </cell>
          <cell r="Y36819" t="str">
            <v>CHILE</v>
          </cell>
        </row>
        <row r="36820">
          <cell r="L36820" t="str">
            <v>Non-proportional</v>
          </cell>
          <cell r="S36820">
            <v>-4096.01</v>
          </cell>
          <cell r="X36820" t="str">
            <v>Variation UPR - gross</v>
          </cell>
          <cell r="Y36820" t="str">
            <v>ECUADOR</v>
          </cell>
        </row>
        <row r="36821">
          <cell r="L36821" t="str">
            <v>Non-proportional</v>
          </cell>
          <cell r="S36821">
            <v>-2487.2600000000002</v>
          </cell>
          <cell r="X36821" t="str">
            <v>Variation UPR - gross</v>
          </cell>
          <cell r="Y36821" t="str">
            <v>NEW ZEALAND</v>
          </cell>
        </row>
        <row r="36822">
          <cell r="L36822" t="str">
            <v>Non-proportional</v>
          </cell>
          <cell r="S36822">
            <v>-1458.33</v>
          </cell>
          <cell r="X36822" t="str">
            <v>Variation UPR - gross</v>
          </cell>
          <cell r="Y36822" t="str">
            <v>ITALY</v>
          </cell>
        </row>
        <row r="36823">
          <cell r="L36823" t="str">
            <v>Non-proportional</v>
          </cell>
          <cell r="S36823">
            <v>-1704.14</v>
          </cell>
          <cell r="X36823" t="str">
            <v>Variation UPR - gross</v>
          </cell>
          <cell r="Y36823" t="str">
            <v>UNITED KINGDOM</v>
          </cell>
        </row>
        <row r="36824">
          <cell r="L36824" t="str">
            <v>Non-proportional</v>
          </cell>
          <cell r="S36824">
            <v>5.91</v>
          </cell>
          <cell r="X36824" t="str">
            <v>Variation UPR - gross</v>
          </cell>
          <cell r="Y36824" t="str">
            <v>GUATEMALA</v>
          </cell>
        </row>
        <row r="36825">
          <cell r="L36825" t="str">
            <v>Non-proportional</v>
          </cell>
          <cell r="S36825">
            <v>-3755.99</v>
          </cell>
          <cell r="X36825" t="str">
            <v>Variation UPR - gross</v>
          </cell>
          <cell r="Y36825" t="str">
            <v>JAPAN</v>
          </cell>
        </row>
        <row r="36826">
          <cell r="L36826" t="str">
            <v>Non-proportional</v>
          </cell>
          <cell r="S36826">
            <v>-129823.33</v>
          </cell>
          <cell r="X36826" t="str">
            <v>Variation UPR - gross</v>
          </cell>
          <cell r="Y36826" t="str">
            <v>PORTUGAL</v>
          </cell>
        </row>
        <row r="36827">
          <cell r="L36827" t="str">
            <v>Non-proportional</v>
          </cell>
          <cell r="S36827">
            <v>149.1</v>
          </cell>
          <cell r="X36827" t="str">
            <v>Variation UPR - gross</v>
          </cell>
          <cell r="Y36827" t="str">
            <v>JAPAN</v>
          </cell>
        </row>
        <row r="36828">
          <cell r="L36828" t="str">
            <v>Non-proportional</v>
          </cell>
          <cell r="S36828">
            <v>-2442.4499999999998</v>
          </cell>
          <cell r="X36828" t="str">
            <v>Variation UPR - gross</v>
          </cell>
          <cell r="Y36828" t="str">
            <v>CYPRUS</v>
          </cell>
        </row>
        <row r="36829">
          <cell r="L36829" t="str">
            <v>Non-proportional</v>
          </cell>
          <cell r="S36829">
            <v>-301764.23</v>
          </cell>
          <cell r="X36829" t="str">
            <v>Variation UPR - gross</v>
          </cell>
          <cell r="Y36829" t="str">
            <v>UNITED KINGDOM</v>
          </cell>
        </row>
        <row r="36830">
          <cell r="L36830" t="str">
            <v>Non-proportional</v>
          </cell>
          <cell r="S36830">
            <v>-28952.78</v>
          </cell>
          <cell r="X36830" t="str">
            <v>Variation UPR - gross</v>
          </cell>
          <cell r="Y36830" t="str">
            <v>TURKEY</v>
          </cell>
        </row>
        <row r="36831">
          <cell r="L36831" t="str">
            <v>Non-proportional</v>
          </cell>
          <cell r="S36831">
            <v>-61.82</v>
          </cell>
          <cell r="X36831" t="str">
            <v>Variation UPR - gross</v>
          </cell>
          <cell r="Y36831" t="str">
            <v>ISRAEL</v>
          </cell>
        </row>
        <row r="36832">
          <cell r="L36832" t="str">
            <v>Non-proportional</v>
          </cell>
          <cell r="S36832">
            <v>-464.17</v>
          </cell>
          <cell r="X36832" t="str">
            <v>Variation UPR - gross</v>
          </cell>
          <cell r="Y36832" t="str">
            <v>CHILE</v>
          </cell>
        </row>
        <row r="36833">
          <cell r="L36833" t="str">
            <v>Non-proportional</v>
          </cell>
          <cell r="S36833">
            <v>-1234.3800000000001</v>
          </cell>
          <cell r="X36833" t="str">
            <v>Variation UPR - gross</v>
          </cell>
          <cell r="Y36833" t="str">
            <v>NEW ZEALAND</v>
          </cell>
        </row>
        <row r="36834">
          <cell r="L36834" t="str">
            <v>Non-proportional</v>
          </cell>
          <cell r="S36834">
            <v>78.09</v>
          </cell>
          <cell r="X36834" t="str">
            <v>Variation UPR - gross</v>
          </cell>
          <cell r="Y36834" t="str">
            <v>NEW ZEALAND</v>
          </cell>
        </row>
        <row r="36835">
          <cell r="L36835" t="str">
            <v>Non-proportional</v>
          </cell>
          <cell r="S36835">
            <v>-722.9</v>
          </cell>
          <cell r="X36835" t="str">
            <v>Variation UPR - gross</v>
          </cell>
          <cell r="Y36835" t="str">
            <v>JAPAN</v>
          </cell>
        </row>
        <row r="36836">
          <cell r="L36836" t="str">
            <v>Proportional</v>
          </cell>
          <cell r="S36836">
            <v>-52470.75</v>
          </cell>
          <cell r="X36836" t="str">
            <v>Variation UPR - gross</v>
          </cell>
          <cell r="Y36836" t="str">
            <v>CANADA</v>
          </cell>
        </row>
        <row r="36837">
          <cell r="L36837" t="str">
            <v>Non-proportional</v>
          </cell>
          <cell r="S36837">
            <v>-7846.08</v>
          </cell>
          <cell r="X36837" t="str">
            <v>Variation UPR - gross</v>
          </cell>
          <cell r="Y36837" t="str">
            <v>UNITED KINGDOM</v>
          </cell>
        </row>
        <row r="36838">
          <cell r="L36838" t="str">
            <v>Non-proportional</v>
          </cell>
          <cell r="S36838">
            <v>-5700.19</v>
          </cell>
          <cell r="X36838" t="str">
            <v>Variation UPR - gross</v>
          </cell>
          <cell r="Y36838" t="str">
            <v>ITALY</v>
          </cell>
        </row>
        <row r="36839">
          <cell r="L36839" t="str">
            <v>Non-proportional</v>
          </cell>
          <cell r="S36839">
            <v>-77.36</v>
          </cell>
          <cell r="X36839" t="str">
            <v>Variation UPR - gross</v>
          </cell>
          <cell r="Y36839" t="str">
            <v>CHILE</v>
          </cell>
        </row>
        <row r="36840">
          <cell r="L36840" t="str">
            <v>Non-proportional</v>
          </cell>
          <cell r="S36840">
            <v>-5936.24</v>
          </cell>
          <cell r="X36840" t="str">
            <v>Variation UPR - gross</v>
          </cell>
          <cell r="Y36840" t="str">
            <v>NEW ZEALAND</v>
          </cell>
        </row>
        <row r="36841">
          <cell r="L36841" t="str">
            <v>Non-proportional</v>
          </cell>
          <cell r="S36841">
            <v>28.6</v>
          </cell>
          <cell r="X36841" t="str">
            <v>Variation UPR - gross</v>
          </cell>
          <cell r="Y36841" t="str">
            <v>INDIA</v>
          </cell>
        </row>
        <row r="36842">
          <cell r="L36842" t="str">
            <v>Non-proportional</v>
          </cell>
          <cell r="S36842">
            <v>618.9</v>
          </cell>
          <cell r="X36842" t="str">
            <v>Variation UPR - gross</v>
          </cell>
          <cell r="Y36842" t="str">
            <v>CHILE</v>
          </cell>
        </row>
        <row r="36843">
          <cell r="L36843" t="str">
            <v>Non-proportional</v>
          </cell>
          <cell r="S36843">
            <v>-1573.26</v>
          </cell>
          <cell r="X36843" t="str">
            <v>Variation UPR - gross</v>
          </cell>
          <cell r="Y36843" t="str">
            <v>GUATEMALA</v>
          </cell>
        </row>
        <row r="36844">
          <cell r="L36844" t="str">
            <v>Non-proportional</v>
          </cell>
          <cell r="S36844">
            <v>-56.96</v>
          </cell>
          <cell r="X36844" t="str">
            <v>Variation UPR - gross</v>
          </cell>
          <cell r="Y36844" t="str">
            <v>JAPAN</v>
          </cell>
        </row>
        <row r="36845">
          <cell r="L36845" t="str">
            <v>Non-proportional</v>
          </cell>
          <cell r="S36845">
            <v>-26.36</v>
          </cell>
          <cell r="X36845" t="str">
            <v>Variation UPR - gross</v>
          </cell>
          <cell r="Y36845" t="str">
            <v>JAPAN</v>
          </cell>
        </row>
        <row r="36846">
          <cell r="L36846" t="str">
            <v>Non-proportional</v>
          </cell>
          <cell r="S36846">
            <v>-12659.61</v>
          </cell>
          <cell r="X36846" t="str">
            <v>Variation UPR - gross</v>
          </cell>
          <cell r="Y36846" t="str">
            <v>ITALY</v>
          </cell>
        </row>
        <row r="36847">
          <cell r="L36847" t="str">
            <v>Non-proportional</v>
          </cell>
          <cell r="S36847">
            <v>-3711.44</v>
          </cell>
          <cell r="X36847" t="str">
            <v>Variation UPR - gross</v>
          </cell>
          <cell r="Y36847" t="str">
            <v>AUSTRALIA</v>
          </cell>
        </row>
        <row r="36848">
          <cell r="L36848" t="str">
            <v>Non-proportional</v>
          </cell>
          <cell r="S36848">
            <v>-86846.19</v>
          </cell>
          <cell r="X36848" t="str">
            <v>Variation UPR - gross</v>
          </cell>
          <cell r="Y36848" t="str">
            <v>UNITED KINGDOM</v>
          </cell>
        </row>
        <row r="36849">
          <cell r="L36849" t="str">
            <v>Non-proportional</v>
          </cell>
          <cell r="S36849">
            <v>-10000</v>
          </cell>
          <cell r="X36849" t="str">
            <v>Variation UPR - gross</v>
          </cell>
          <cell r="Y36849" t="str">
            <v>ITALY</v>
          </cell>
        </row>
        <row r="36850">
          <cell r="L36850" t="str">
            <v>Non-proportional</v>
          </cell>
          <cell r="S36850">
            <v>-1712.07</v>
          </cell>
          <cell r="X36850" t="str">
            <v>Variation UPR - gross</v>
          </cell>
          <cell r="Y36850" t="str">
            <v>NEW ZEALAND</v>
          </cell>
        </row>
        <row r="36851">
          <cell r="L36851" t="str">
            <v>Non-proportional</v>
          </cell>
          <cell r="S36851">
            <v>-8146.01</v>
          </cell>
          <cell r="X36851" t="str">
            <v>Variation UPR - gross</v>
          </cell>
          <cell r="Y36851" t="str">
            <v>UNITED KINGDOM</v>
          </cell>
        </row>
        <row r="36852">
          <cell r="L36852" t="str">
            <v>Non-proportional</v>
          </cell>
          <cell r="S36852">
            <v>-13870.12</v>
          </cell>
          <cell r="X36852" t="str">
            <v>Variation UPR - gross</v>
          </cell>
          <cell r="Y36852" t="str">
            <v>MEXICO</v>
          </cell>
        </row>
        <row r="36853">
          <cell r="L36853" t="str">
            <v>Non-proportional</v>
          </cell>
          <cell r="S36853">
            <v>-3060.44</v>
          </cell>
          <cell r="X36853" t="str">
            <v>Variation UPR - gross</v>
          </cell>
          <cell r="Y36853" t="str">
            <v>ISRAEL</v>
          </cell>
        </row>
        <row r="36854">
          <cell r="L36854" t="str">
            <v>Non-proportional</v>
          </cell>
          <cell r="S36854">
            <v>0.01</v>
          </cell>
          <cell r="X36854" t="str">
            <v>Variation UPR - gross</v>
          </cell>
          <cell r="Y36854" t="str">
            <v>DOMINICAN REPUBLIC</v>
          </cell>
        </row>
        <row r="36855">
          <cell r="L36855" t="str">
            <v>Non-proportional</v>
          </cell>
          <cell r="S36855">
            <v>-12642.4</v>
          </cell>
          <cell r="X36855" t="str">
            <v>Variation UPR - gross</v>
          </cell>
          <cell r="Y36855" t="str">
            <v>AUSTRALIA</v>
          </cell>
        </row>
        <row r="36856">
          <cell r="L36856" t="str">
            <v>Non-proportional</v>
          </cell>
          <cell r="S36856">
            <v>-772.88</v>
          </cell>
          <cell r="X36856" t="str">
            <v>Variation UPR - gross</v>
          </cell>
          <cell r="Y36856" t="str">
            <v>REPUBLIC OF IRELAND</v>
          </cell>
        </row>
        <row r="36857">
          <cell r="L36857" t="str">
            <v>Non-proportional</v>
          </cell>
          <cell r="S36857">
            <v>-5217.78</v>
          </cell>
          <cell r="X36857" t="str">
            <v>Variation UPR - gross</v>
          </cell>
          <cell r="Y36857" t="str">
            <v>DOMINICAN REPUBLIC</v>
          </cell>
        </row>
        <row r="36858">
          <cell r="L36858" t="str">
            <v>Non-proportional</v>
          </cell>
          <cell r="S36858">
            <v>-5267.27</v>
          </cell>
          <cell r="X36858" t="str">
            <v>Variation UPR - gross</v>
          </cell>
          <cell r="Y36858" t="str">
            <v>UNITED KINGDOM</v>
          </cell>
        </row>
        <row r="36859">
          <cell r="L36859" t="str">
            <v>Non-proportional</v>
          </cell>
          <cell r="S36859">
            <v>-3828.23</v>
          </cell>
          <cell r="X36859" t="str">
            <v>Variation UPR - gross</v>
          </cell>
          <cell r="Y36859" t="str">
            <v>THAILAND</v>
          </cell>
        </row>
        <row r="36860">
          <cell r="L36860" t="str">
            <v>Non-proportional</v>
          </cell>
          <cell r="S36860">
            <v>-1440787.28</v>
          </cell>
          <cell r="X36860" t="str">
            <v>Variation UPR - gross</v>
          </cell>
          <cell r="Y36860" t="str">
            <v>UNITED KINGDOM</v>
          </cell>
        </row>
        <row r="36861">
          <cell r="L36861" t="str">
            <v>Non-proportional</v>
          </cell>
          <cell r="S36861">
            <v>-4069.36</v>
          </cell>
          <cell r="X36861" t="str">
            <v>Variation UPR - gross</v>
          </cell>
          <cell r="Y36861" t="str">
            <v>UNITED KINGDOM</v>
          </cell>
        </row>
        <row r="36862">
          <cell r="L36862" t="str">
            <v>Non-proportional</v>
          </cell>
          <cell r="S36862">
            <v>-9228.8799999999992</v>
          </cell>
          <cell r="X36862" t="str">
            <v>Variation UPR - gross</v>
          </cell>
          <cell r="Y36862" t="str">
            <v>INDIA</v>
          </cell>
        </row>
        <row r="36863">
          <cell r="L36863" t="str">
            <v>Non-proportional</v>
          </cell>
          <cell r="S36863">
            <v>-9337.84</v>
          </cell>
          <cell r="X36863" t="str">
            <v>Variation UPR - gross</v>
          </cell>
          <cell r="Y36863" t="str">
            <v>JAPAN</v>
          </cell>
        </row>
        <row r="36864">
          <cell r="L36864" t="str">
            <v>Non-proportional</v>
          </cell>
          <cell r="S36864">
            <v>-6715.18</v>
          </cell>
          <cell r="X36864" t="str">
            <v>Variation UPR - gross</v>
          </cell>
          <cell r="Y36864" t="str">
            <v>MEXICO</v>
          </cell>
        </row>
        <row r="36865">
          <cell r="L36865" t="str">
            <v>Non-proportional</v>
          </cell>
          <cell r="S36865">
            <v>-7503</v>
          </cell>
          <cell r="X36865" t="str">
            <v>Variation UPR - gross</v>
          </cell>
          <cell r="Y36865" t="str">
            <v>CYPRUS</v>
          </cell>
        </row>
        <row r="36866">
          <cell r="L36866" t="str">
            <v>Non-proportional</v>
          </cell>
          <cell r="S36866">
            <v>-698.58</v>
          </cell>
          <cell r="X36866" t="str">
            <v>Variation UPR - gross</v>
          </cell>
          <cell r="Y36866" t="str">
            <v>ITALY</v>
          </cell>
        </row>
        <row r="36867">
          <cell r="L36867" t="str">
            <v>Non-proportional</v>
          </cell>
          <cell r="S36867">
            <v>-3287.9</v>
          </cell>
          <cell r="X36867" t="str">
            <v>Variation UPR - gross</v>
          </cell>
          <cell r="Y36867" t="str">
            <v>CHILE</v>
          </cell>
        </row>
        <row r="36868">
          <cell r="L36868" t="str">
            <v>Non-proportional</v>
          </cell>
          <cell r="S36868">
            <v>-8751.73</v>
          </cell>
          <cell r="X36868" t="str">
            <v>Variation UPR - gross</v>
          </cell>
          <cell r="Y36868" t="str">
            <v>AUSTRALIA</v>
          </cell>
        </row>
        <row r="36869">
          <cell r="L36869" t="str">
            <v>Non-proportional</v>
          </cell>
          <cell r="S36869">
            <v>0.01</v>
          </cell>
          <cell r="X36869" t="str">
            <v>Variation UPR - gross</v>
          </cell>
          <cell r="Y36869" t="str">
            <v>DOMINICAN REPUBLIC</v>
          </cell>
        </row>
        <row r="36870">
          <cell r="L36870" t="str">
            <v>Proportional</v>
          </cell>
          <cell r="S36870">
            <v>-348.13</v>
          </cell>
          <cell r="X36870" t="str">
            <v>Variation UPR - gross</v>
          </cell>
          <cell r="Y36870" t="str">
            <v>CHILE</v>
          </cell>
        </row>
        <row r="36871">
          <cell r="L36871" t="str">
            <v>Non-proportional</v>
          </cell>
          <cell r="S36871">
            <v>5.15</v>
          </cell>
          <cell r="X36871" t="str">
            <v>Variation UPR - gross</v>
          </cell>
          <cell r="Y36871" t="str">
            <v>INDIA</v>
          </cell>
        </row>
        <row r="36872">
          <cell r="L36872" t="str">
            <v>Non-proportional</v>
          </cell>
          <cell r="S36872">
            <v>-4339.82</v>
          </cell>
          <cell r="X36872" t="str">
            <v>Variation UPR - gross</v>
          </cell>
          <cell r="Y36872" t="str">
            <v>UNITED KINGDOM</v>
          </cell>
        </row>
        <row r="36873">
          <cell r="L36873" t="str">
            <v>Non-proportional</v>
          </cell>
          <cell r="S36873">
            <v>-9798.7900000000009</v>
          </cell>
          <cell r="X36873" t="str">
            <v>Variation UPR - gross</v>
          </cell>
          <cell r="Y36873" t="str">
            <v>UNITED KINGDOM</v>
          </cell>
        </row>
        <row r="36874">
          <cell r="L36874" t="str">
            <v>Non-proportional</v>
          </cell>
          <cell r="S36874">
            <v>-17052.53</v>
          </cell>
          <cell r="X36874" t="str">
            <v>Variation UPR - gross</v>
          </cell>
          <cell r="Y36874" t="str">
            <v>AUSTRALIA</v>
          </cell>
        </row>
        <row r="36875">
          <cell r="L36875" t="str">
            <v>Non-proportional</v>
          </cell>
          <cell r="S36875">
            <v>-916.66</v>
          </cell>
          <cell r="X36875" t="str">
            <v>Variation UPR - gross</v>
          </cell>
          <cell r="Y36875" t="str">
            <v>PERU</v>
          </cell>
        </row>
        <row r="36876">
          <cell r="L36876" t="str">
            <v>Non-proportional</v>
          </cell>
          <cell r="S36876">
            <v>-1906.1</v>
          </cell>
          <cell r="X36876" t="str">
            <v>Variation UPR - gross</v>
          </cell>
          <cell r="Y36876" t="str">
            <v>UNITED KINGDOM</v>
          </cell>
        </row>
        <row r="36877">
          <cell r="L36877" t="str">
            <v>Non-proportional</v>
          </cell>
          <cell r="S36877">
            <v>-2935.16</v>
          </cell>
          <cell r="X36877" t="str">
            <v>Variation UPR - gross</v>
          </cell>
          <cell r="Y36877" t="str">
            <v>COLOMBIA</v>
          </cell>
        </row>
        <row r="36878">
          <cell r="L36878" t="str">
            <v>Non-proportional</v>
          </cell>
          <cell r="S36878">
            <v>-50.62</v>
          </cell>
          <cell r="X36878" t="str">
            <v>Variation UPR - gross</v>
          </cell>
          <cell r="Y36878" t="str">
            <v>GUATEMALA</v>
          </cell>
        </row>
        <row r="36879">
          <cell r="L36879" t="str">
            <v>Non-proportional</v>
          </cell>
          <cell r="S36879">
            <v>-21894.63</v>
          </cell>
          <cell r="X36879" t="str">
            <v>Variation UPR - gross</v>
          </cell>
          <cell r="Y36879" t="str">
            <v>UNITED KINGDOM</v>
          </cell>
        </row>
        <row r="36880">
          <cell r="L36880" t="str">
            <v>Non-proportional</v>
          </cell>
          <cell r="S36880">
            <v>-6961.1</v>
          </cell>
          <cell r="X36880" t="str">
            <v>Variation UPR - gross</v>
          </cell>
          <cell r="Y36880" t="str">
            <v>COLOMBIA</v>
          </cell>
        </row>
        <row r="36881">
          <cell r="L36881" t="str">
            <v>Non-proportional</v>
          </cell>
          <cell r="S36881">
            <v>-6236.17</v>
          </cell>
          <cell r="X36881" t="str">
            <v>Variation UPR - gross</v>
          </cell>
          <cell r="Y36881" t="str">
            <v>PERU</v>
          </cell>
        </row>
        <row r="36882">
          <cell r="L36882" t="str">
            <v>Non-proportional</v>
          </cell>
          <cell r="S36882">
            <v>-114073.2</v>
          </cell>
          <cell r="X36882" t="str">
            <v>Variation UPR - gross</v>
          </cell>
          <cell r="Y36882" t="str">
            <v>UNITED KINGDOM</v>
          </cell>
        </row>
        <row r="36883">
          <cell r="L36883" t="str">
            <v>Non-proportional</v>
          </cell>
          <cell r="S36883">
            <v>-5260.65</v>
          </cell>
          <cell r="X36883" t="str">
            <v>Variation UPR - gross</v>
          </cell>
          <cell r="Y36883" t="str">
            <v>CHILE</v>
          </cell>
        </row>
        <row r="36884">
          <cell r="L36884" t="str">
            <v>Non-proportional</v>
          </cell>
          <cell r="S36884">
            <v>-7628.61</v>
          </cell>
          <cell r="X36884" t="str">
            <v>Variation UPR - gross</v>
          </cell>
          <cell r="Y36884" t="str">
            <v>PUERTO RICO</v>
          </cell>
        </row>
        <row r="36885">
          <cell r="L36885" t="str">
            <v>Non-proportional</v>
          </cell>
          <cell r="S36885">
            <v>-1219.51</v>
          </cell>
          <cell r="X36885" t="str">
            <v>Variation UPR - gross</v>
          </cell>
          <cell r="Y36885" t="str">
            <v>JAPAN</v>
          </cell>
        </row>
        <row r="36886">
          <cell r="L36886" t="str">
            <v>Proportional</v>
          </cell>
          <cell r="S36886">
            <v>-1198.42</v>
          </cell>
          <cell r="X36886" t="str">
            <v>Variation UPR - gross</v>
          </cell>
          <cell r="Y36886" t="str">
            <v>THAILAND</v>
          </cell>
        </row>
        <row r="36887">
          <cell r="L36887" t="str">
            <v>Non-proportional</v>
          </cell>
          <cell r="S36887">
            <v>-2937.09</v>
          </cell>
          <cell r="X36887" t="str">
            <v>Variation UPR - gross</v>
          </cell>
          <cell r="Y36887" t="str">
            <v>NETHERLANDS</v>
          </cell>
        </row>
        <row r="36888">
          <cell r="L36888" t="str">
            <v>Non-proportional</v>
          </cell>
          <cell r="S36888">
            <v>-15042.95</v>
          </cell>
          <cell r="X36888" t="str">
            <v>Variation UPR - gross</v>
          </cell>
          <cell r="Y36888" t="str">
            <v>FRANCE</v>
          </cell>
        </row>
        <row r="36889">
          <cell r="L36889" t="str">
            <v>Non-proportional</v>
          </cell>
          <cell r="S36889">
            <v>-221935</v>
          </cell>
          <cell r="X36889" t="str">
            <v>Variation UPR - gross</v>
          </cell>
          <cell r="Y36889" t="str">
            <v>BELGIUM</v>
          </cell>
        </row>
        <row r="36890">
          <cell r="L36890" t="str">
            <v>Non-proportional</v>
          </cell>
          <cell r="S36890">
            <v>-381353.72</v>
          </cell>
          <cell r="X36890" t="str">
            <v>Variation UPR - gross</v>
          </cell>
          <cell r="Y36890" t="str">
            <v>UNITED KINGDOM</v>
          </cell>
        </row>
        <row r="36891">
          <cell r="L36891" t="str">
            <v>Non-proportional</v>
          </cell>
          <cell r="S36891">
            <v>-4228.33</v>
          </cell>
          <cell r="X36891" t="str">
            <v>Variation UPR - gross</v>
          </cell>
          <cell r="Y36891" t="str">
            <v>NEW ZEALAND</v>
          </cell>
        </row>
        <row r="36892">
          <cell r="L36892" t="str">
            <v>Non-proportional</v>
          </cell>
          <cell r="S36892">
            <v>-5501.62</v>
          </cell>
          <cell r="X36892" t="str">
            <v>Variation UPR - gross</v>
          </cell>
          <cell r="Y36892" t="str">
            <v>SPAIN</v>
          </cell>
        </row>
        <row r="36893">
          <cell r="L36893" t="str">
            <v>Non-proportional</v>
          </cell>
          <cell r="S36893">
            <v>-30137.56</v>
          </cell>
          <cell r="X36893" t="str">
            <v>Variation UPR - gross</v>
          </cell>
          <cell r="Y36893" t="str">
            <v>UNITED KINGDOM</v>
          </cell>
        </row>
        <row r="36894">
          <cell r="L36894" t="str">
            <v>Non-proportional</v>
          </cell>
          <cell r="S36894">
            <v>238.67</v>
          </cell>
          <cell r="X36894" t="str">
            <v>Variation UPR - gross</v>
          </cell>
          <cell r="Y36894" t="str">
            <v>COLOMBIA</v>
          </cell>
        </row>
        <row r="36895">
          <cell r="L36895" t="str">
            <v>Non-proportional</v>
          </cell>
          <cell r="S36895">
            <v>-4233.33</v>
          </cell>
          <cell r="X36895" t="str">
            <v>Variation UPR - gross</v>
          </cell>
          <cell r="Y36895" t="str">
            <v>FRANCE</v>
          </cell>
        </row>
        <row r="36896">
          <cell r="L36896" t="str">
            <v>Non-proportional</v>
          </cell>
          <cell r="S36896">
            <v>254.62</v>
          </cell>
          <cell r="X36896" t="str">
            <v>Variation UPR - gross</v>
          </cell>
          <cell r="Y36896" t="str">
            <v>JAPAN</v>
          </cell>
        </row>
        <row r="36897">
          <cell r="L36897" t="str">
            <v>Non-proportional</v>
          </cell>
          <cell r="S36897">
            <v>-7952.64</v>
          </cell>
          <cell r="X36897" t="str">
            <v>Variation UPR - gross</v>
          </cell>
          <cell r="Y36897" t="str">
            <v>UNITED KINGDOM</v>
          </cell>
        </row>
        <row r="36898">
          <cell r="L36898" t="str">
            <v>Non-proportional</v>
          </cell>
          <cell r="S36898">
            <v>51.49</v>
          </cell>
          <cell r="X36898" t="str">
            <v>Variation UPR - gross</v>
          </cell>
          <cell r="Y36898" t="str">
            <v>INDIA</v>
          </cell>
        </row>
        <row r="36899">
          <cell r="L36899" t="str">
            <v>Non-proportional</v>
          </cell>
          <cell r="S36899">
            <v>-4806.1499999999996</v>
          </cell>
          <cell r="X36899" t="str">
            <v>Variation UPR - gross</v>
          </cell>
          <cell r="Y36899" t="str">
            <v>DOMINICAN REPUBLIC</v>
          </cell>
        </row>
        <row r="36900">
          <cell r="L36900" t="str">
            <v>Non-proportional</v>
          </cell>
          <cell r="S36900">
            <v>-1342.43</v>
          </cell>
          <cell r="X36900" t="str">
            <v>Variation UPR - gross</v>
          </cell>
          <cell r="Y36900" t="str">
            <v>DOMINICAN REPUBLIC</v>
          </cell>
        </row>
        <row r="36901">
          <cell r="L36901" t="str">
            <v>Non-proportional</v>
          </cell>
          <cell r="S36901">
            <v>-14.44</v>
          </cell>
          <cell r="X36901" t="str">
            <v>Variation UPR - gross</v>
          </cell>
          <cell r="Y36901" t="str">
            <v>JAPAN</v>
          </cell>
        </row>
        <row r="36902">
          <cell r="L36902" t="str">
            <v>Non-proportional</v>
          </cell>
          <cell r="S36902">
            <v>-295.89</v>
          </cell>
          <cell r="X36902" t="str">
            <v>Variation UPR - gross</v>
          </cell>
          <cell r="Y36902" t="str">
            <v>INDIA</v>
          </cell>
        </row>
        <row r="36903">
          <cell r="L36903" t="str">
            <v>Non-proportional</v>
          </cell>
          <cell r="S36903">
            <v>-103610.04</v>
          </cell>
          <cell r="X36903" t="str">
            <v>Variation UPR - gross</v>
          </cell>
          <cell r="Y36903" t="str">
            <v>UNITED KINGDOM</v>
          </cell>
        </row>
        <row r="36904">
          <cell r="L36904" t="str">
            <v>Non-proportional</v>
          </cell>
          <cell r="S36904">
            <v>-154.13999999999999</v>
          </cell>
          <cell r="X36904" t="str">
            <v>Variation UPR - gross</v>
          </cell>
          <cell r="Y36904" t="str">
            <v>INDIA</v>
          </cell>
        </row>
        <row r="36905">
          <cell r="L36905" t="str">
            <v>Non-proportional</v>
          </cell>
          <cell r="S36905">
            <v>-3057.5</v>
          </cell>
          <cell r="X36905" t="str">
            <v>Variation UPR - gross</v>
          </cell>
          <cell r="Y36905" t="str">
            <v>JAPAN</v>
          </cell>
        </row>
        <row r="36906">
          <cell r="L36906" t="str">
            <v>Non-proportional</v>
          </cell>
          <cell r="S36906">
            <v>-2862.41</v>
          </cell>
          <cell r="X36906" t="str">
            <v>Variation UPR - gross</v>
          </cell>
          <cell r="Y36906" t="str">
            <v>CHILE</v>
          </cell>
        </row>
        <row r="36907">
          <cell r="L36907" t="str">
            <v>Non-proportional</v>
          </cell>
          <cell r="S36907">
            <v>-5851.33</v>
          </cell>
          <cell r="X36907" t="str">
            <v>Variation UPR - gross</v>
          </cell>
          <cell r="Y36907" t="str">
            <v>ITALY</v>
          </cell>
        </row>
        <row r="36908">
          <cell r="L36908" t="str">
            <v>Non-proportional</v>
          </cell>
          <cell r="S36908">
            <v>-4061.37</v>
          </cell>
          <cell r="X36908" t="str">
            <v>Variation UPR - gross</v>
          </cell>
          <cell r="Y36908" t="str">
            <v>FRANCE</v>
          </cell>
        </row>
        <row r="36909">
          <cell r="L36909" t="str">
            <v>Non-proportional</v>
          </cell>
          <cell r="S36909">
            <v>-11704.18</v>
          </cell>
          <cell r="X36909" t="str">
            <v>Variation UPR - gross</v>
          </cell>
          <cell r="Y36909" t="str">
            <v>MEXICO</v>
          </cell>
        </row>
        <row r="36910">
          <cell r="L36910" t="str">
            <v>Non-proportional</v>
          </cell>
          <cell r="S36910">
            <v>-13208.45</v>
          </cell>
          <cell r="X36910" t="str">
            <v>Variation UPR - gross</v>
          </cell>
          <cell r="Y36910" t="str">
            <v>INDIA</v>
          </cell>
        </row>
        <row r="36911">
          <cell r="L36911" t="str">
            <v>Non-proportional</v>
          </cell>
          <cell r="S36911">
            <v>-38.68</v>
          </cell>
          <cell r="X36911" t="str">
            <v>Variation UPR - gross</v>
          </cell>
          <cell r="Y36911" t="str">
            <v>CHILE</v>
          </cell>
        </row>
        <row r="36912">
          <cell r="L36912" t="str">
            <v>Non-proportional</v>
          </cell>
          <cell r="S36912">
            <v>-1080.56</v>
          </cell>
          <cell r="X36912" t="str">
            <v>Variation UPR - gross</v>
          </cell>
          <cell r="Y36912" t="str">
            <v>ECUADOR</v>
          </cell>
        </row>
        <row r="36913">
          <cell r="L36913" t="str">
            <v>Non-proportional</v>
          </cell>
          <cell r="S36913">
            <v>-3717.23</v>
          </cell>
          <cell r="X36913" t="str">
            <v>Variation UPR - gross</v>
          </cell>
          <cell r="Y36913" t="str">
            <v>AUSTRALIA</v>
          </cell>
        </row>
        <row r="36914">
          <cell r="L36914" t="str">
            <v>Non-proportional</v>
          </cell>
          <cell r="S36914">
            <v>-46760.41</v>
          </cell>
          <cell r="X36914" t="str">
            <v>Variation UPR - gross</v>
          </cell>
          <cell r="Y36914" t="str">
            <v>UNITED KINGDOM</v>
          </cell>
        </row>
        <row r="36915">
          <cell r="L36915" t="str">
            <v>Non-proportional</v>
          </cell>
          <cell r="S36915">
            <v>84</v>
          </cell>
          <cell r="X36915" t="str">
            <v>Variation UPR - gross</v>
          </cell>
          <cell r="Y36915" t="str">
            <v>COLOMBIA</v>
          </cell>
        </row>
        <row r="36916">
          <cell r="L36916" t="str">
            <v>Non-proportional</v>
          </cell>
          <cell r="S36916">
            <v>51.4</v>
          </cell>
          <cell r="X36916" t="str">
            <v>Variation UPR - gross</v>
          </cell>
          <cell r="Y36916" t="str">
            <v>DOMINICAN REPUBLIC</v>
          </cell>
        </row>
        <row r="36917">
          <cell r="L36917" t="str">
            <v>Proportional</v>
          </cell>
          <cell r="S36917">
            <v>-62195.57</v>
          </cell>
          <cell r="X36917" t="str">
            <v>Variation UPR - gross</v>
          </cell>
          <cell r="Y36917" t="str">
            <v>THAILAND</v>
          </cell>
        </row>
        <row r="36918">
          <cell r="L36918" t="str">
            <v>Non-proportional</v>
          </cell>
          <cell r="S36918">
            <v>-3713.4</v>
          </cell>
          <cell r="X36918" t="str">
            <v>Variation UPR - gross</v>
          </cell>
          <cell r="Y36918" t="str">
            <v>CHILE</v>
          </cell>
        </row>
        <row r="36919">
          <cell r="L36919" t="str">
            <v>Non-proportional</v>
          </cell>
          <cell r="S36919">
            <v>649647.55000000005</v>
          </cell>
          <cell r="X36919" t="str">
            <v>Variation UPR - gross</v>
          </cell>
          <cell r="Y36919" t="str">
            <v>UNITED KINGDOM</v>
          </cell>
        </row>
        <row r="36920">
          <cell r="L36920" t="str">
            <v>Non-proportional</v>
          </cell>
          <cell r="S36920">
            <v>-6013.3</v>
          </cell>
          <cell r="X36920" t="str">
            <v>Variation UPR - gross</v>
          </cell>
          <cell r="Y36920" t="str">
            <v>AUSTRALIA</v>
          </cell>
        </row>
        <row r="36921">
          <cell r="L36921" t="str">
            <v>Non-proportional</v>
          </cell>
          <cell r="S36921">
            <v>-7342.39</v>
          </cell>
          <cell r="X36921" t="str">
            <v>Variation UPR - gross</v>
          </cell>
          <cell r="Y36921" t="str">
            <v>FRANCE</v>
          </cell>
        </row>
        <row r="36922">
          <cell r="L36922" t="str">
            <v>Non-proportional</v>
          </cell>
          <cell r="S36922">
            <v>-14483.94</v>
          </cell>
          <cell r="X36922" t="str">
            <v>Variation UPR - gross</v>
          </cell>
          <cell r="Y36922" t="str">
            <v>FRANCE</v>
          </cell>
        </row>
        <row r="36923">
          <cell r="L36923" t="str">
            <v>Non-proportional</v>
          </cell>
          <cell r="S36923">
            <v>-8708.34</v>
          </cell>
          <cell r="X36923" t="str">
            <v>Variation UPR - gross</v>
          </cell>
          <cell r="Y36923" t="str">
            <v>TURKEY</v>
          </cell>
        </row>
        <row r="36924">
          <cell r="L36924" t="str">
            <v>Non-proportional</v>
          </cell>
          <cell r="S36924">
            <v>-4751.26</v>
          </cell>
          <cell r="X36924" t="str">
            <v>Variation UPR - gross</v>
          </cell>
          <cell r="Y36924" t="str">
            <v>FRANCE</v>
          </cell>
        </row>
        <row r="36925">
          <cell r="L36925" t="str">
            <v>Non-proportional</v>
          </cell>
          <cell r="S36925">
            <v>-31947</v>
          </cell>
          <cell r="X36925" t="str">
            <v>Variation UPR - gross</v>
          </cell>
          <cell r="Y36925" t="str">
            <v>TURKEY</v>
          </cell>
        </row>
        <row r="36926">
          <cell r="L36926" t="str">
            <v>Non-proportional</v>
          </cell>
          <cell r="S36926">
            <v>-1199.3699999999999</v>
          </cell>
          <cell r="X36926" t="str">
            <v>Variation UPR - gross</v>
          </cell>
          <cell r="Y36926" t="str">
            <v>COLOMBIA</v>
          </cell>
        </row>
        <row r="36927">
          <cell r="L36927" t="str">
            <v>Non-proportional</v>
          </cell>
          <cell r="S36927">
            <v>-4851.1499999999996</v>
          </cell>
          <cell r="X36927" t="str">
            <v>Variation UPR - gross</v>
          </cell>
          <cell r="Y36927" t="str">
            <v>AUSTRALIA</v>
          </cell>
        </row>
        <row r="36928">
          <cell r="L36928" t="str">
            <v>Non-proportional</v>
          </cell>
          <cell r="S36928">
            <v>5.72</v>
          </cell>
          <cell r="X36928" t="str">
            <v>Variation UPR - gross</v>
          </cell>
          <cell r="Y36928" t="str">
            <v>INDIA</v>
          </cell>
        </row>
        <row r="36929">
          <cell r="L36929" t="str">
            <v>Non-proportional</v>
          </cell>
          <cell r="S36929">
            <v>-3011.95</v>
          </cell>
          <cell r="X36929" t="str">
            <v>Variation UPR - gross</v>
          </cell>
          <cell r="Y36929" t="str">
            <v>DOMINICAN REPUBLIC</v>
          </cell>
        </row>
        <row r="36930">
          <cell r="L36930" t="str">
            <v>Non-proportional</v>
          </cell>
          <cell r="S36930">
            <v>-10748.69</v>
          </cell>
          <cell r="X36930" t="str">
            <v>Variation UPR - gross</v>
          </cell>
          <cell r="Y36930" t="str">
            <v>ITALY</v>
          </cell>
        </row>
        <row r="36931">
          <cell r="L36931" t="str">
            <v>Non-proportional</v>
          </cell>
          <cell r="S36931">
            <v>-52.59</v>
          </cell>
          <cell r="X36931" t="str">
            <v>Variation UPR - gross</v>
          </cell>
          <cell r="Y36931" t="str">
            <v>JAPAN</v>
          </cell>
        </row>
        <row r="36932">
          <cell r="L36932" t="str">
            <v>Non-proportional</v>
          </cell>
          <cell r="S36932">
            <v>-740.4</v>
          </cell>
          <cell r="X36932" t="str">
            <v>Variation UPR - gross</v>
          </cell>
          <cell r="Y36932" t="str">
            <v>FRANCE</v>
          </cell>
        </row>
        <row r="36933">
          <cell r="L36933" t="str">
            <v>Non-proportional</v>
          </cell>
          <cell r="S36933">
            <v>-7109.72</v>
          </cell>
          <cell r="X36933" t="str">
            <v>Variation UPR - gross</v>
          </cell>
          <cell r="Y36933" t="str">
            <v>POLAND</v>
          </cell>
        </row>
        <row r="36934">
          <cell r="L36934" t="str">
            <v>Non-proportional</v>
          </cell>
          <cell r="S36934">
            <v>-232.09</v>
          </cell>
          <cell r="X36934" t="str">
            <v>Variation UPR - gross</v>
          </cell>
          <cell r="Y36934" t="str">
            <v>CHILE</v>
          </cell>
        </row>
        <row r="36935">
          <cell r="L36935" t="str">
            <v>Non-proportional</v>
          </cell>
          <cell r="S36935">
            <v>-3144.23</v>
          </cell>
          <cell r="X36935" t="str">
            <v>Variation UPR - gross</v>
          </cell>
          <cell r="Y36935" t="str">
            <v>JAPAN</v>
          </cell>
        </row>
        <row r="36936">
          <cell r="L36936" t="str">
            <v>Proportional</v>
          </cell>
          <cell r="S36936">
            <v>-882.04</v>
          </cell>
          <cell r="X36936" t="str">
            <v>Variation UPR - gross</v>
          </cell>
          <cell r="Y36936" t="str">
            <v>THAILAND</v>
          </cell>
        </row>
        <row r="36937">
          <cell r="L36937" t="str">
            <v>Non-proportional</v>
          </cell>
          <cell r="S36937">
            <v>6.53</v>
          </cell>
          <cell r="X36937" t="str">
            <v>Variation UPR - gross</v>
          </cell>
          <cell r="Y36937" t="str">
            <v>INDIA</v>
          </cell>
        </row>
        <row r="36938">
          <cell r="L36938" t="str">
            <v>Non-proportional</v>
          </cell>
          <cell r="S36938">
            <v>-3244.77</v>
          </cell>
          <cell r="X36938" t="str">
            <v>Variation UPR - gross</v>
          </cell>
          <cell r="Y36938" t="str">
            <v>FRANCE</v>
          </cell>
        </row>
        <row r="36939">
          <cell r="L36939" t="str">
            <v>Non-proportional</v>
          </cell>
          <cell r="S36939">
            <v>-20197.509999999998</v>
          </cell>
          <cell r="X36939" t="str">
            <v>Variation UPR - gross</v>
          </cell>
          <cell r="Y36939" t="str">
            <v>ITALY</v>
          </cell>
        </row>
        <row r="36940">
          <cell r="L36940" t="str">
            <v>Non-proportional</v>
          </cell>
          <cell r="S36940">
            <v>-5107.7299999999996</v>
          </cell>
          <cell r="X36940" t="str">
            <v>Variation UPR - gross</v>
          </cell>
          <cell r="Y36940" t="str">
            <v>UNITED KINGDOM</v>
          </cell>
        </row>
        <row r="36941">
          <cell r="L36941" t="str">
            <v>Proportional</v>
          </cell>
          <cell r="S36941">
            <v>-5873.32</v>
          </cell>
          <cell r="X36941" t="str">
            <v>Variation UPR - gross</v>
          </cell>
          <cell r="Y36941" t="str">
            <v>THAILAND</v>
          </cell>
        </row>
        <row r="36942">
          <cell r="L36942" t="str">
            <v>Non-proportional</v>
          </cell>
          <cell r="S36942">
            <v>-52.95</v>
          </cell>
          <cell r="X36942" t="str">
            <v>Variation UPR - gross</v>
          </cell>
          <cell r="Y36942" t="str">
            <v>GUATEMALA</v>
          </cell>
        </row>
        <row r="36943">
          <cell r="L36943" t="str">
            <v>Proportional</v>
          </cell>
          <cell r="S36943">
            <v>-353025.07</v>
          </cell>
          <cell r="X36943" t="str">
            <v>Variation UPR - gross</v>
          </cell>
          <cell r="Y36943" t="str">
            <v>HONG KONG</v>
          </cell>
        </row>
        <row r="36944">
          <cell r="L36944" t="str">
            <v>Non-proportional</v>
          </cell>
          <cell r="S36944">
            <v>-3472.92</v>
          </cell>
          <cell r="X36944" t="str">
            <v>Variation UPR - gross</v>
          </cell>
          <cell r="Y36944" t="str">
            <v>UNITED KINGDOM</v>
          </cell>
        </row>
        <row r="36945">
          <cell r="L36945" t="str">
            <v>Non-proportional</v>
          </cell>
          <cell r="S36945">
            <v>-5570.1</v>
          </cell>
          <cell r="X36945" t="str">
            <v>Variation UPR - gross</v>
          </cell>
          <cell r="Y36945" t="str">
            <v>CHILE</v>
          </cell>
        </row>
        <row r="36946">
          <cell r="L36946" t="str">
            <v>Non-proportional</v>
          </cell>
          <cell r="S36946">
            <v>-11042.04</v>
          </cell>
          <cell r="X36946" t="str">
            <v>Variation UPR - gross</v>
          </cell>
          <cell r="Y36946" t="str">
            <v>EUROPE</v>
          </cell>
        </row>
        <row r="36947">
          <cell r="L36947" t="str">
            <v>Non-proportional</v>
          </cell>
          <cell r="S36947">
            <v>12.69</v>
          </cell>
          <cell r="X36947" t="str">
            <v>Variation UPR - gross</v>
          </cell>
          <cell r="Y36947" t="str">
            <v>INDIA</v>
          </cell>
        </row>
        <row r="36948">
          <cell r="L36948" t="str">
            <v>Proportional</v>
          </cell>
          <cell r="S36948">
            <v>-115669.2</v>
          </cell>
          <cell r="X36948" t="str">
            <v>Variation UPR - gross</v>
          </cell>
          <cell r="Y36948" t="str">
            <v>HONG KONG</v>
          </cell>
        </row>
        <row r="36949">
          <cell r="L36949" t="str">
            <v>Non-proportional</v>
          </cell>
          <cell r="S36949">
            <v>-6992.55</v>
          </cell>
          <cell r="X36949" t="str">
            <v>Variation UPR - gross</v>
          </cell>
          <cell r="Y36949" t="str">
            <v>COLOMBIA</v>
          </cell>
        </row>
        <row r="36950">
          <cell r="L36950" t="str">
            <v>Non-proportional</v>
          </cell>
          <cell r="S36950">
            <v>-543.75</v>
          </cell>
          <cell r="X36950" t="str">
            <v>Variation UPR - gross</v>
          </cell>
          <cell r="Y36950" t="str">
            <v>GREECE</v>
          </cell>
        </row>
        <row r="36951">
          <cell r="L36951" t="str">
            <v>Non-proportional</v>
          </cell>
          <cell r="S36951">
            <v>-7552.08</v>
          </cell>
          <cell r="X36951" t="str">
            <v>Variation UPR - gross</v>
          </cell>
          <cell r="Y36951" t="str">
            <v>ROMANIA</v>
          </cell>
        </row>
        <row r="36952">
          <cell r="L36952" t="str">
            <v>Non-proportional</v>
          </cell>
          <cell r="S36952">
            <v>-1753.13</v>
          </cell>
          <cell r="X36952" t="str">
            <v>Variation UPR - gross</v>
          </cell>
          <cell r="Y36952" t="str">
            <v>ROMANIA</v>
          </cell>
        </row>
        <row r="36953">
          <cell r="L36953" t="str">
            <v>Non-proportional</v>
          </cell>
          <cell r="S36953">
            <v>-14331.16</v>
          </cell>
          <cell r="X36953" t="str">
            <v>Variation UPR - gross</v>
          </cell>
          <cell r="Y36953" t="str">
            <v>FRANCE</v>
          </cell>
        </row>
        <row r="36954">
          <cell r="L36954" t="str">
            <v>Non-proportional</v>
          </cell>
          <cell r="S36954">
            <v>110.69</v>
          </cell>
          <cell r="X36954" t="str">
            <v>Variation UPR - gross</v>
          </cell>
          <cell r="Y36954" t="str">
            <v>NEW ZEALAND</v>
          </cell>
        </row>
        <row r="36955">
          <cell r="L36955" t="str">
            <v>Non-proportional</v>
          </cell>
          <cell r="S36955">
            <v>-77.36</v>
          </cell>
          <cell r="X36955" t="str">
            <v>Variation UPR - gross</v>
          </cell>
          <cell r="Y36955" t="str">
            <v>CHILE</v>
          </cell>
        </row>
        <row r="36956">
          <cell r="L36956" t="str">
            <v>Non-proportional</v>
          </cell>
          <cell r="S36956">
            <v>-4078.13</v>
          </cell>
          <cell r="X36956" t="str">
            <v>Variation UPR - gross</v>
          </cell>
          <cell r="Y36956" t="str">
            <v>GREECE</v>
          </cell>
        </row>
        <row r="36957">
          <cell r="L36957" t="str">
            <v>Non-proportional</v>
          </cell>
          <cell r="S36957">
            <v>-3852.67</v>
          </cell>
          <cell r="X36957" t="str">
            <v>Variation UPR - gross</v>
          </cell>
          <cell r="Y36957" t="str">
            <v>INDIA</v>
          </cell>
        </row>
        <row r="36958">
          <cell r="L36958" t="str">
            <v>Non-proportional</v>
          </cell>
          <cell r="S36958">
            <v>-9239.67</v>
          </cell>
          <cell r="X36958" t="str">
            <v>Variation UPR - gross</v>
          </cell>
          <cell r="Y36958" t="str">
            <v>JAPAN</v>
          </cell>
        </row>
        <row r="36959">
          <cell r="L36959" t="str">
            <v>Proportional</v>
          </cell>
          <cell r="S36959">
            <v>-1494.17</v>
          </cell>
          <cell r="X36959" t="str">
            <v>Variation UPR - gross</v>
          </cell>
          <cell r="Y36959" t="str">
            <v>UNITED STATES</v>
          </cell>
        </row>
        <row r="36960">
          <cell r="L36960" t="str">
            <v>Non-proportional</v>
          </cell>
          <cell r="S36960">
            <v>-17914.88</v>
          </cell>
          <cell r="X36960" t="str">
            <v>Variation UPR - gross</v>
          </cell>
          <cell r="Y36960" t="str">
            <v>MEXICO</v>
          </cell>
        </row>
        <row r="36961">
          <cell r="L36961" t="str">
            <v>Non-proportional</v>
          </cell>
          <cell r="S36961">
            <v>-12001.33</v>
          </cell>
          <cell r="X36961" t="str">
            <v>Variation UPR - gross</v>
          </cell>
          <cell r="Y36961" t="str">
            <v>ITALY</v>
          </cell>
        </row>
        <row r="36962">
          <cell r="L36962" t="str">
            <v>Non-proportional</v>
          </cell>
          <cell r="S36962">
            <v>-6243.3</v>
          </cell>
          <cell r="X36962" t="str">
            <v>Variation UPR - gross</v>
          </cell>
          <cell r="Y36962" t="str">
            <v>ISRAEL</v>
          </cell>
        </row>
        <row r="36963">
          <cell r="L36963" t="str">
            <v>Non-proportional</v>
          </cell>
          <cell r="S36963">
            <v>-4367.5200000000004</v>
          </cell>
          <cell r="X36963" t="str">
            <v>Variation UPR - gross</v>
          </cell>
          <cell r="Y36963" t="str">
            <v>THAILAND</v>
          </cell>
        </row>
        <row r="36964">
          <cell r="L36964" t="str">
            <v>Non-proportional</v>
          </cell>
          <cell r="S36964">
            <v>-5993.21</v>
          </cell>
          <cell r="X36964" t="str">
            <v>Variation UPR - gross</v>
          </cell>
          <cell r="Y36964" t="str">
            <v>NEW ZEALAND</v>
          </cell>
        </row>
        <row r="36965">
          <cell r="L36965" t="str">
            <v>Non-proportional</v>
          </cell>
          <cell r="S36965">
            <v>-5.04</v>
          </cell>
          <cell r="X36965" t="str">
            <v>Variation UPR - gross</v>
          </cell>
          <cell r="Y36965" t="str">
            <v>COSTA RICA</v>
          </cell>
        </row>
        <row r="36966">
          <cell r="L36966" t="str">
            <v>Non-proportional</v>
          </cell>
          <cell r="S36966">
            <v>-7078.66</v>
          </cell>
          <cell r="X36966" t="str">
            <v>Variation UPR - gross</v>
          </cell>
          <cell r="Y36966" t="str">
            <v>CHILE</v>
          </cell>
        </row>
        <row r="36967">
          <cell r="L36967" t="str">
            <v>Non-proportional</v>
          </cell>
          <cell r="S36967">
            <v>-12803.48</v>
          </cell>
          <cell r="X36967" t="str">
            <v>Variation UPR - gross</v>
          </cell>
          <cell r="Y36967" t="str">
            <v>CHILE</v>
          </cell>
        </row>
        <row r="36968">
          <cell r="L36968" t="str">
            <v>Non-proportional</v>
          </cell>
          <cell r="S36968">
            <v>-2452.75</v>
          </cell>
          <cell r="X36968" t="str">
            <v>Variation UPR - gross</v>
          </cell>
          <cell r="Y36968" t="str">
            <v>ISRAEL</v>
          </cell>
        </row>
        <row r="36969">
          <cell r="L36969" t="str">
            <v>Non-proportional</v>
          </cell>
          <cell r="S36969">
            <v>-1616316.59</v>
          </cell>
          <cell r="X36969" t="str">
            <v>Variation UPR - gross</v>
          </cell>
          <cell r="Y36969" t="str">
            <v>UNITED KINGDOM</v>
          </cell>
        </row>
        <row r="36970">
          <cell r="L36970" t="str">
            <v>Non-proportional</v>
          </cell>
          <cell r="S36970">
            <v>-17643.82</v>
          </cell>
          <cell r="X36970" t="str">
            <v>Variation UPR - gross</v>
          </cell>
          <cell r="Y36970" t="str">
            <v>HONG KONG</v>
          </cell>
        </row>
        <row r="36971">
          <cell r="L36971" t="str">
            <v>Non-proportional</v>
          </cell>
          <cell r="S36971">
            <v>-2187.5</v>
          </cell>
          <cell r="X36971" t="str">
            <v>Variation UPR - gross</v>
          </cell>
          <cell r="Y36971" t="str">
            <v>GERMANY</v>
          </cell>
        </row>
        <row r="36972">
          <cell r="L36972" t="str">
            <v>Proportional</v>
          </cell>
          <cell r="S36972">
            <v>-7624.24</v>
          </cell>
          <cell r="X36972" t="str">
            <v>Variation UPR - gross</v>
          </cell>
          <cell r="Y36972" t="str">
            <v>ITALY</v>
          </cell>
        </row>
        <row r="36973">
          <cell r="L36973" t="str">
            <v>Proportional</v>
          </cell>
          <cell r="S36973">
            <v>-26783.759999999998</v>
          </cell>
          <cell r="X36973" t="str">
            <v>Variation UPR - gross</v>
          </cell>
          <cell r="Y36973" t="str">
            <v>JAPAN</v>
          </cell>
        </row>
        <row r="36974">
          <cell r="L36974" t="str">
            <v>Non-proportional</v>
          </cell>
          <cell r="S36974">
            <v>107.85</v>
          </cell>
          <cell r="X36974" t="str">
            <v>Variation UPR - gross</v>
          </cell>
          <cell r="Y36974" t="str">
            <v>JAPAN</v>
          </cell>
        </row>
        <row r="36975">
          <cell r="L36975" t="str">
            <v>Non-proportional</v>
          </cell>
          <cell r="S36975">
            <v>-9977.5</v>
          </cell>
          <cell r="X36975" t="str">
            <v>Variation UPR - gross</v>
          </cell>
          <cell r="Y36975" t="str">
            <v>ITALY</v>
          </cell>
        </row>
        <row r="36976">
          <cell r="L36976" t="str">
            <v>Non-proportional</v>
          </cell>
          <cell r="S36976">
            <v>-10110.44</v>
          </cell>
          <cell r="X36976" t="str">
            <v>Variation UPR - gross</v>
          </cell>
          <cell r="Y36976" t="str">
            <v>MEXICO</v>
          </cell>
        </row>
        <row r="36977">
          <cell r="L36977" t="str">
            <v>Non-proportional</v>
          </cell>
          <cell r="S36977">
            <v>-24750</v>
          </cell>
          <cell r="X36977" t="str">
            <v>Variation UPR - gross</v>
          </cell>
          <cell r="Y36977" t="str">
            <v>GREECE</v>
          </cell>
        </row>
        <row r="36978">
          <cell r="L36978" t="str">
            <v>Non-proportional</v>
          </cell>
          <cell r="S36978">
            <v>-418.12</v>
          </cell>
          <cell r="X36978" t="str">
            <v>Variation UPR - gross</v>
          </cell>
          <cell r="Y36978" t="str">
            <v>TURKEY</v>
          </cell>
        </row>
        <row r="36979">
          <cell r="L36979" t="str">
            <v>Non-proportional</v>
          </cell>
          <cell r="S36979">
            <v>-30000</v>
          </cell>
          <cell r="X36979" t="str">
            <v>Variation UPR - gross</v>
          </cell>
          <cell r="Y36979" t="str">
            <v>FRANCE</v>
          </cell>
        </row>
        <row r="36980">
          <cell r="L36980" t="str">
            <v>Non-proportional</v>
          </cell>
          <cell r="S36980">
            <v>-87138.33</v>
          </cell>
          <cell r="X36980" t="str">
            <v>Variation UPR - gross</v>
          </cell>
          <cell r="Y36980" t="str">
            <v>EUROPE</v>
          </cell>
        </row>
        <row r="36981">
          <cell r="L36981" t="str">
            <v>Non-proportional</v>
          </cell>
          <cell r="S36981">
            <v>-5164.8999999999996</v>
          </cell>
          <cell r="X36981" t="str">
            <v>Variation UPR - gross</v>
          </cell>
          <cell r="Y36981" t="str">
            <v>JAPAN</v>
          </cell>
        </row>
        <row r="36982">
          <cell r="L36982" t="str">
            <v>Non-proportional</v>
          </cell>
          <cell r="S36982">
            <v>-10869.42</v>
          </cell>
          <cell r="X36982" t="str">
            <v>Variation UPR - gross</v>
          </cell>
          <cell r="Y36982" t="str">
            <v>CHILE</v>
          </cell>
        </row>
        <row r="36983">
          <cell r="L36983" t="str">
            <v>Non-proportional</v>
          </cell>
          <cell r="S36983">
            <v>-33512.69</v>
          </cell>
          <cell r="X36983" t="str">
            <v>Variation UPR - gross</v>
          </cell>
          <cell r="Y36983" t="str">
            <v>NEW ZEALAND</v>
          </cell>
        </row>
        <row r="36984">
          <cell r="L36984" t="str">
            <v>Proportional</v>
          </cell>
          <cell r="S36984">
            <v>-27593.62</v>
          </cell>
          <cell r="X36984" t="str">
            <v>Variation UPR - gross</v>
          </cell>
          <cell r="Y36984" t="str">
            <v>SWITZERLAND</v>
          </cell>
        </row>
        <row r="36985">
          <cell r="L36985" t="str">
            <v>Non-proportional</v>
          </cell>
          <cell r="S36985">
            <v>-2686.68</v>
          </cell>
          <cell r="X36985" t="str">
            <v>Variation UPR - gross</v>
          </cell>
          <cell r="Y36985" t="str">
            <v>MALTA</v>
          </cell>
        </row>
        <row r="36986">
          <cell r="L36986" t="str">
            <v>Proportional</v>
          </cell>
          <cell r="S36986">
            <v>-13529.49</v>
          </cell>
          <cell r="X36986" t="str">
            <v>Variation UPR - gross</v>
          </cell>
          <cell r="Y36986" t="str">
            <v>THAILAND</v>
          </cell>
        </row>
        <row r="36987">
          <cell r="L36987" t="str">
            <v>Non-proportional</v>
          </cell>
          <cell r="S36987">
            <v>-3129.79</v>
          </cell>
          <cell r="X36987" t="str">
            <v>Variation UPR - gross</v>
          </cell>
          <cell r="Y36987" t="str">
            <v>NEW ZEALAND</v>
          </cell>
        </row>
        <row r="36988">
          <cell r="L36988" t="str">
            <v>Non-proportional</v>
          </cell>
          <cell r="S36988">
            <v>-77.36</v>
          </cell>
          <cell r="X36988" t="str">
            <v>Variation UPR - gross</v>
          </cell>
          <cell r="Y36988" t="str">
            <v>CHILE</v>
          </cell>
        </row>
        <row r="36989">
          <cell r="L36989" t="str">
            <v>Non-proportional</v>
          </cell>
          <cell r="S36989">
            <v>-796.05</v>
          </cell>
          <cell r="X36989" t="str">
            <v>Variation UPR - gross</v>
          </cell>
          <cell r="Y36989" t="str">
            <v>BRAZIL</v>
          </cell>
        </row>
        <row r="36990">
          <cell r="L36990" t="str">
            <v>Non-proportional</v>
          </cell>
          <cell r="S36990">
            <v>-3097.36</v>
          </cell>
          <cell r="X36990" t="str">
            <v>Variation UPR - gross</v>
          </cell>
          <cell r="Y36990" t="str">
            <v>ISRAEL</v>
          </cell>
        </row>
        <row r="36991">
          <cell r="L36991" t="str">
            <v>Proportional</v>
          </cell>
          <cell r="S36991">
            <v>-7853.3</v>
          </cell>
          <cell r="X36991" t="str">
            <v>Variation UPR - gross</v>
          </cell>
          <cell r="Y36991" t="str">
            <v>THAILAND</v>
          </cell>
        </row>
        <row r="36992">
          <cell r="L36992" t="str">
            <v>Non-proportional</v>
          </cell>
          <cell r="S36992">
            <v>17.690000000000001</v>
          </cell>
          <cell r="X36992" t="str">
            <v>Variation UPR - gross</v>
          </cell>
          <cell r="Y36992" t="str">
            <v>INDIA</v>
          </cell>
        </row>
        <row r="36993">
          <cell r="L36993" t="str">
            <v>Non-proportional</v>
          </cell>
          <cell r="S36993">
            <v>-1855.07</v>
          </cell>
          <cell r="X36993" t="str">
            <v>Variation UPR - gross</v>
          </cell>
          <cell r="Y36993" t="str">
            <v>COSTA RICA</v>
          </cell>
        </row>
        <row r="36994">
          <cell r="L36994" t="str">
            <v>Non-proportional</v>
          </cell>
          <cell r="S36994">
            <v>-1268.68</v>
          </cell>
          <cell r="X36994" t="str">
            <v>Variation UPR - gross</v>
          </cell>
          <cell r="Y36994" t="str">
            <v>PERU</v>
          </cell>
        </row>
        <row r="36995">
          <cell r="L36995" t="str">
            <v>Non-proportional</v>
          </cell>
          <cell r="S36995">
            <v>-21.65</v>
          </cell>
          <cell r="X36995" t="str">
            <v>Variation UPR - gross</v>
          </cell>
          <cell r="Y36995" t="str">
            <v>JAPAN</v>
          </cell>
        </row>
        <row r="36996">
          <cell r="L36996" t="str">
            <v>Non-proportional</v>
          </cell>
          <cell r="S36996">
            <v>-50.45</v>
          </cell>
          <cell r="X36996" t="str">
            <v>Variation UPR - gross</v>
          </cell>
          <cell r="Y36996" t="str">
            <v>INDIA</v>
          </cell>
        </row>
        <row r="36997">
          <cell r="L36997" t="str">
            <v>Non-proportional</v>
          </cell>
          <cell r="S36997">
            <v>-3677.62</v>
          </cell>
          <cell r="X36997" t="str">
            <v>Variation UPR - gross</v>
          </cell>
          <cell r="Y36997" t="str">
            <v>GUATEMALA</v>
          </cell>
        </row>
        <row r="36998">
          <cell r="L36998" t="str">
            <v>Non-proportional</v>
          </cell>
          <cell r="S36998">
            <v>-4971.4799999999996</v>
          </cell>
          <cell r="X36998" t="str">
            <v>Variation UPR - gross</v>
          </cell>
          <cell r="Y36998" t="str">
            <v>EUROPE</v>
          </cell>
        </row>
        <row r="36999">
          <cell r="L36999" t="str">
            <v>Non-proportional</v>
          </cell>
          <cell r="S36999">
            <v>-306.49</v>
          </cell>
          <cell r="X36999" t="str">
            <v>Variation UPR - gross</v>
          </cell>
          <cell r="Y36999" t="str">
            <v>MEXICO</v>
          </cell>
        </row>
        <row r="37000">
          <cell r="L37000" t="str">
            <v>Non-proportional</v>
          </cell>
          <cell r="S37000">
            <v>-3439.05</v>
          </cell>
          <cell r="X37000" t="str">
            <v>Variation UPR - gross</v>
          </cell>
          <cell r="Y37000" t="str">
            <v>COLOMBIA</v>
          </cell>
        </row>
        <row r="37001">
          <cell r="L37001" t="str">
            <v>Non-proportional</v>
          </cell>
          <cell r="S37001">
            <v>-5971.64</v>
          </cell>
          <cell r="X37001" t="str">
            <v>Variation UPR - gross</v>
          </cell>
          <cell r="Y37001" t="str">
            <v>SINGAPORE</v>
          </cell>
        </row>
        <row r="37002">
          <cell r="L37002" t="str">
            <v>Non-proportional</v>
          </cell>
          <cell r="S37002">
            <v>-1733.75</v>
          </cell>
          <cell r="X37002" t="str">
            <v>Variation UPR - gross</v>
          </cell>
          <cell r="Y37002" t="str">
            <v>PORTUGAL</v>
          </cell>
        </row>
        <row r="37003">
          <cell r="L37003" t="str">
            <v>Non-proportional</v>
          </cell>
          <cell r="S37003">
            <v>9.44</v>
          </cell>
          <cell r="X37003" t="str">
            <v>Variation UPR - gross</v>
          </cell>
          <cell r="Y37003" t="str">
            <v>JAPAN</v>
          </cell>
        </row>
        <row r="37004">
          <cell r="L37004" t="str">
            <v>Non-proportional</v>
          </cell>
          <cell r="S37004">
            <v>-2432.6999999999998</v>
          </cell>
          <cell r="X37004" t="str">
            <v>Variation UPR - gross</v>
          </cell>
          <cell r="Y37004" t="str">
            <v>JAPAN</v>
          </cell>
        </row>
        <row r="37005">
          <cell r="L37005" t="str">
            <v>Non-proportional</v>
          </cell>
          <cell r="S37005">
            <v>-2587.61</v>
          </cell>
          <cell r="X37005" t="str">
            <v>Variation UPR - gross</v>
          </cell>
          <cell r="Y37005" t="str">
            <v>ISRAEL</v>
          </cell>
        </row>
        <row r="37006">
          <cell r="L37006" t="str">
            <v>Non-proportional</v>
          </cell>
          <cell r="S37006">
            <v>-2946.48</v>
          </cell>
          <cell r="X37006" t="str">
            <v>Variation UPR - gross</v>
          </cell>
          <cell r="Y37006" t="str">
            <v>AUSTRALIA</v>
          </cell>
        </row>
        <row r="37007">
          <cell r="L37007" t="str">
            <v>Non-proportional</v>
          </cell>
          <cell r="S37007">
            <v>5</v>
          </cell>
          <cell r="X37007" t="str">
            <v>Variation UPR - gross</v>
          </cell>
          <cell r="Y37007" t="str">
            <v>INDIA</v>
          </cell>
        </row>
        <row r="37008">
          <cell r="L37008" t="str">
            <v>Non-proportional</v>
          </cell>
          <cell r="S37008">
            <v>-15704.24</v>
          </cell>
          <cell r="X37008" t="str">
            <v>Variation UPR - gross</v>
          </cell>
          <cell r="Y37008" t="str">
            <v>SOUTH KOREA</v>
          </cell>
        </row>
        <row r="37009">
          <cell r="L37009" t="str">
            <v>Non-proportional</v>
          </cell>
          <cell r="S37009">
            <v>-2822.64</v>
          </cell>
          <cell r="X37009" t="str">
            <v>Variation UPR - gross</v>
          </cell>
          <cell r="Y37009" t="str">
            <v>UNITED ARAB EMIRATES</v>
          </cell>
        </row>
        <row r="37010">
          <cell r="L37010" t="str">
            <v>Non-proportional</v>
          </cell>
          <cell r="S37010">
            <v>-138.84</v>
          </cell>
          <cell r="X37010" t="str">
            <v>Variation UPR - gross</v>
          </cell>
          <cell r="Y37010" t="str">
            <v>INDIA</v>
          </cell>
        </row>
        <row r="37011">
          <cell r="L37011" t="str">
            <v>Proportional</v>
          </cell>
          <cell r="S37011">
            <v>-19008.86</v>
          </cell>
          <cell r="X37011" t="str">
            <v>Variation UPR - gross</v>
          </cell>
          <cell r="Y37011" t="str">
            <v>THAILAND</v>
          </cell>
        </row>
        <row r="37012">
          <cell r="L37012" t="str">
            <v>Non-proportional</v>
          </cell>
          <cell r="S37012">
            <v>-5274.49</v>
          </cell>
          <cell r="X37012" t="str">
            <v>Variation UPR - gross</v>
          </cell>
          <cell r="Y37012" t="str">
            <v>CYPRUS</v>
          </cell>
        </row>
        <row r="37013">
          <cell r="L37013" t="str">
            <v>Non-proportional</v>
          </cell>
          <cell r="S37013">
            <v>-1207056.93</v>
          </cell>
          <cell r="X37013" t="str">
            <v>Variation UPR - gross</v>
          </cell>
          <cell r="Y37013" t="str">
            <v>UNITED KINGDOM</v>
          </cell>
        </row>
        <row r="37014">
          <cell r="L37014" t="str">
            <v>Proportional</v>
          </cell>
          <cell r="S37014">
            <v>-41580</v>
          </cell>
          <cell r="X37014" t="str">
            <v>Variation UPR - gross</v>
          </cell>
          <cell r="Y37014" t="str">
            <v>FRANCE</v>
          </cell>
        </row>
        <row r="37015">
          <cell r="L37015" t="str">
            <v>Non-proportional</v>
          </cell>
          <cell r="S37015">
            <v>-109330.38</v>
          </cell>
          <cell r="X37015" t="str">
            <v>Variation UPR - gross</v>
          </cell>
          <cell r="Y37015" t="str">
            <v>FRANCE</v>
          </cell>
        </row>
        <row r="37016">
          <cell r="L37016" t="str">
            <v>Non-proportional</v>
          </cell>
          <cell r="S37016">
            <v>-10909.08</v>
          </cell>
          <cell r="X37016" t="str">
            <v>Variation UPR - gross</v>
          </cell>
          <cell r="Y37016" t="str">
            <v>ITALY</v>
          </cell>
        </row>
        <row r="37017">
          <cell r="L37017" t="str">
            <v>Non-proportional</v>
          </cell>
          <cell r="S37017">
            <v>-5001.13</v>
          </cell>
          <cell r="X37017" t="str">
            <v>Variation UPR - gross</v>
          </cell>
          <cell r="Y37017" t="str">
            <v>ITALY</v>
          </cell>
        </row>
        <row r="37018">
          <cell r="L37018" t="str">
            <v>Non-proportional</v>
          </cell>
          <cell r="S37018">
            <v>-131.69</v>
          </cell>
          <cell r="X37018" t="str">
            <v>Variation UPR - gross</v>
          </cell>
          <cell r="Y37018" t="str">
            <v>INDIA</v>
          </cell>
        </row>
        <row r="37019">
          <cell r="L37019" t="str">
            <v>Non-proportional</v>
          </cell>
          <cell r="S37019">
            <v>20.21</v>
          </cell>
          <cell r="X37019" t="str">
            <v>Variation UPR - gross</v>
          </cell>
          <cell r="Y37019" t="str">
            <v>COLOMBIA</v>
          </cell>
        </row>
        <row r="37020">
          <cell r="L37020" t="str">
            <v>Non-proportional</v>
          </cell>
          <cell r="S37020">
            <v>-770.65</v>
          </cell>
          <cell r="X37020" t="str">
            <v>Variation UPR - gross</v>
          </cell>
          <cell r="Y37020" t="str">
            <v>INDIA</v>
          </cell>
        </row>
        <row r="37021">
          <cell r="L37021" t="str">
            <v>Non-proportional</v>
          </cell>
          <cell r="S37021">
            <v>-832.3</v>
          </cell>
          <cell r="X37021" t="str">
            <v>Variation UPR - gross</v>
          </cell>
          <cell r="Y37021" t="str">
            <v>JAPAN</v>
          </cell>
        </row>
        <row r="37022">
          <cell r="L37022" t="str">
            <v>Proportional</v>
          </cell>
          <cell r="S37022">
            <v>-564161.32999999996</v>
          </cell>
          <cell r="X37022" t="str">
            <v>Variation UPR - gross</v>
          </cell>
          <cell r="Y37022" t="str">
            <v>UNITED STATES</v>
          </cell>
        </row>
        <row r="37023">
          <cell r="L37023" t="str">
            <v>Non-proportional</v>
          </cell>
          <cell r="S37023">
            <v>-310.68</v>
          </cell>
          <cell r="X37023" t="str">
            <v>Variation UPR - gross</v>
          </cell>
          <cell r="Y37023" t="str">
            <v>ITALY</v>
          </cell>
        </row>
        <row r="37024">
          <cell r="L37024" t="str">
            <v>Non-proportional</v>
          </cell>
          <cell r="S37024">
            <v>-29.27</v>
          </cell>
          <cell r="X37024" t="str">
            <v>Variation UPR - gross</v>
          </cell>
          <cell r="Y37024" t="str">
            <v>ISRAEL</v>
          </cell>
        </row>
        <row r="37025">
          <cell r="L37025" t="str">
            <v>Non-proportional</v>
          </cell>
          <cell r="S37025">
            <v>-17323.59</v>
          </cell>
          <cell r="X37025" t="str">
            <v>Variation UPR - gross</v>
          </cell>
          <cell r="Y37025" t="str">
            <v>AUSTRALIA</v>
          </cell>
        </row>
        <row r="37026">
          <cell r="L37026" t="str">
            <v>Non-proportional</v>
          </cell>
          <cell r="S37026">
            <v>-2469.62</v>
          </cell>
          <cell r="X37026" t="str">
            <v>Variation UPR - gross</v>
          </cell>
          <cell r="Y37026" t="str">
            <v>FRANCE</v>
          </cell>
        </row>
        <row r="37027">
          <cell r="L37027" t="str">
            <v>Non-proportional</v>
          </cell>
          <cell r="S37027">
            <v>316.43</v>
          </cell>
          <cell r="X37027" t="str">
            <v>Variation UPR - gross</v>
          </cell>
          <cell r="Y37027" t="str">
            <v>JAPAN</v>
          </cell>
        </row>
        <row r="37028">
          <cell r="L37028" t="str">
            <v>Non-proportional</v>
          </cell>
          <cell r="S37028">
            <v>-4890.08</v>
          </cell>
          <cell r="X37028" t="str">
            <v>Variation UPR - gross</v>
          </cell>
          <cell r="Y37028" t="str">
            <v>FRANCE</v>
          </cell>
        </row>
        <row r="37029">
          <cell r="L37029" t="str">
            <v>Non-proportional</v>
          </cell>
          <cell r="S37029">
            <v>-665.05</v>
          </cell>
          <cell r="X37029" t="str">
            <v>Variation UPR - gross</v>
          </cell>
          <cell r="Y37029" t="str">
            <v>FRANCE</v>
          </cell>
        </row>
        <row r="37030">
          <cell r="L37030" t="str">
            <v>Non-proportional</v>
          </cell>
          <cell r="S37030">
            <v>-2398.2399999999998</v>
          </cell>
          <cell r="X37030" t="str">
            <v>Variation UPR - gross</v>
          </cell>
          <cell r="Y37030" t="str">
            <v>CHILE</v>
          </cell>
        </row>
        <row r="37031">
          <cell r="L37031" t="str">
            <v>Non-proportional</v>
          </cell>
          <cell r="S37031">
            <v>-1468.75</v>
          </cell>
          <cell r="X37031" t="str">
            <v>Variation UPR - gross</v>
          </cell>
          <cell r="Y37031" t="str">
            <v>GREECE</v>
          </cell>
        </row>
        <row r="37032">
          <cell r="L37032" t="str">
            <v>Proportional</v>
          </cell>
          <cell r="S37032">
            <v>-552.12</v>
          </cell>
          <cell r="X37032" t="str">
            <v>Variation UPR - gross</v>
          </cell>
          <cell r="Y37032" t="str">
            <v>UNITED STATES</v>
          </cell>
        </row>
        <row r="37033">
          <cell r="L37033" t="str">
            <v>Non-proportional</v>
          </cell>
          <cell r="S37033">
            <v>-5221.6000000000004</v>
          </cell>
          <cell r="X37033" t="str">
            <v>Variation UPR - gross</v>
          </cell>
          <cell r="Y37033" t="str">
            <v>JAPAN</v>
          </cell>
        </row>
        <row r="37034">
          <cell r="L37034" t="str">
            <v>Non-proportional</v>
          </cell>
          <cell r="S37034">
            <v>-353.33</v>
          </cell>
          <cell r="X37034" t="str">
            <v>Variation UPR - gross</v>
          </cell>
          <cell r="Y37034" t="str">
            <v>ITALY</v>
          </cell>
        </row>
        <row r="37035">
          <cell r="L37035" t="str">
            <v>Proportional</v>
          </cell>
          <cell r="S37035">
            <v>-15137.5</v>
          </cell>
          <cell r="X37035" t="str">
            <v>Variation UPR - gross</v>
          </cell>
          <cell r="Y37035" t="str">
            <v>ITALY</v>
          </cell>
        </row>
        <row r="37036">
          <cell r="L37036" t="str">
            <v>Proportional</v>
          </cell>
          <cell r="S37036">
            <v>-361.03</v>
          </cell>
          <cell r="X37036" t="str">
            <v>Variation UPR - gross</v>
          </cell>
          <cell r="Y37036" t="str">
            <v>UNITED STATES</v>
          </cell>
        </row>
        <row r="37037">
          <cell r="L37037" t="str">
            <v>Non-proportional</v>
          </cell>
          <cell r="S37037">
            <v>462.62</v>
          </cell>
          <cell r="X37037" t="str">
            <v>Variation UPR - gross</v>
          </cell>
          <cell r="Y37037" t="str">
            <v>DOMINICAN REPUBLIC</v>
          </cell>
        </row>
        <row r="37038">
          <cell r="L37038" t="str">
            <v>Non-proportional</v>
          </cell>
          <cell r="S37038">
            <v>-4166.67</v>
          </cell>
          <cell r="X37038" t="str">
            <v>Variation UPR - gross</v>
          </cell>
          <cell r="Y37038" t="str">
            <v>TURKEY</v>
          </cell>
        </row>
        <row r="37039">
          <cell r="L37039" t="str">
            <v>Non-proportional</v>
          </cell>
          <cell r="S37039">
            <v>-3403.95</v>
          </cell>
          <cell r="X37039" t="str">
            <v>Variation UPR - gross</v>
          </cell>
          <cell r="Y37039" t="str">
            <v>CHILE</v>
          </cell>
        </row>
        <row r="37040">
          <cell r="L37040" t="str">
            <v>Non-proportional</v>
          </cell>
          <cell r="S37040">
            <v>-3749.94</v>
          </cell>
          <cell r="X37040" t="str">
            <v>Variation UPR - gross</v>
          </cell>
          <cell r="Y37040" t="str">
            <v>EUROPE</v>
          </cell>
        </row>
        <row r="37041">
          <cell r="L37041" t="str">
            <v>Non-proportional</v>
          </cell>
          <cell r="S37041">
            <v>-2122.04</v>
          </cell>
          <cell r="X37041" t="str">
            <v>Variation UPR - gross</v>
          </cell>
          <cell r="Y37041" t="str">
            <v>AUSTRALIA</v>
          </cell>
        </row>
        <row r="37042">
          <cell r="L37042" t="str">
            <v>Non-proportional</v>
          </cell>
          <cell r="S37042">
            <v>22.79</v>
          </cell>
          <cell r="X37042" t="str">
            <v>Variation UPR - gross</v>
          </cell>
          <cell r="Y37042" t="str">
            <v>NEW ZEALAND</v>
          </cell>
        </row>
        <row r="37043">
          <cell r="L37043" t="str">
            <v>Non-proportional</v>
          </cell>
          <cell r="S37043">
            <v>-5151.8999999999996</v>
          </cell>
          <cell r="X37043" t="str">
            <v>Variation UPR - gross</v>
          </cell>
          <cell r="Y37043" t="str">
            <v>ITALY</v>
          </cell>
        </row>
        <row r="37044">
          <cell r="L37044" t="str">
            <v>Non-proportional</v>
          </cell>
          <cell r="S37044">
            <v>-5051.1499999999996</v>
          </cell>
          <cell r="X37044" t="str">
            <v>Variation UPR - gross</v>
          </cell>
          <cell r="Y37044" t="str">
            <v>COLOMBIA</v>
          </cell>
        </row>
        <row r="37045">
          <cell r="L37045" t="str">
            <v>Non-proportional</v>
          </cell>
          <cell r="S37045">
            <v>-1885.45</v>
          </cell>
          <cell r="X37045" t="str">
            <v>Variation UPR - gross</v>
          </cell>
          <cell r="Y37045" t="str">
            <v>JAPAN</v>
          </cell>
        </row>
        <row r="37046">
          <cell r="L37046" t="str">
            <v>Non-proportional</v>
          </cell>
          <cell r="S37046">
            <v>-2975.33</v>
          </cell>
          <cell r="X37046" t="str">
            <v>Variation UPR - gross</v>
          </cell>
          <cell r="Y37046" t="str">
            <v>JAPAN</v>
          </cell>
        </row>
        <row r="37047">
          <cell r="L37047" t="str">
            <v>Non-proportional</v>
          </cell>
          <cell r="S37047">
            <v>98.38</v>
          </cell>
          <cell r="X37047" t="str">
            <v>Variation UPR - gross</v>
          </cell>
          <cell r="Y37047" t="str">
            <v>INDIA</v>
          </cell>
        </row>
        <row r="37048">
          <cell r="L37048" t="str">
            <v>Non-proportional</v>
          </cell>
          <cell r="S37048">
            <v>-6015.33</v>
          </cell>
          <cell r="X37048" t="str">
            <v>Variation UPR - gross</v>
          </cell>
          <cell r="Y37048" t="str">
            <v>AUSTRALIA</v>
          </cell>
        </row>
        <row r="37049">
          <cell r="L37049" t="str">
            <v>Non-proportional</v>
          </cell>
          <cell r="S37049">
            <v>-7586.5</v>
          </cell>
          <cell r="X37049" t="str">
            <v>Variation UPR - gross</v>
          </cell>
          <cell r="Y37049" t="str">
            <v>FRANCE</v>
          </cell>
        </row>
        <row r="37050">
          <cell r="L37050" t="str">
            <v>Non-proportional</v>
          </cell>
          <cell r="S37050">
            <v>-1618.22</v>
          </cell>
          <cell r="X37050" t="str">
            <v>Variation UPR - gross</v>
          </cell>
          <cell r="Y37050" t="str">
            <v>MEXICO</v>
          </cell>
        </row>
        <row r="37051">
          <cell r="L37051" t="str">
            <v>Non-proportional</v>
          </cell>
          <cell r="S37051">
            <v>-3249.2</v>
          </cell>
          <cell r="X37051" t="str">
            <v>Variation UPR - gross</v>
          </cell>
          <cell r="Y37051" t="str">
            <v>UNITED KINGDOM</v>
          </cell>
        </row>
        <row r="37052">
          <cell r="L37052" t="str">
            <v>Proportional</v>
          </cell>
          <cell r="S37052">
            <v>53.97</v>
          </cell>
          <cell r="X37052" t="str">
            <v>Variation UPR - gross</v>
          </cell>
          <cell r="Y37052" t="str">
            <v>INDIA</v>
          </cell>
        </row>
        <row r="37053">
          <cell r="L37053" t="str">
            <v>Non-proportional</v>
          </cell>
          <cell r="S37053">
            <v>13.54</v>
          </cell>
          <cell r="X37053" t="str">
            <v>Variation UPR - gross</v>
          </cell>
          <cell r="Y37053" t="str">
            <v>INDIA</v>
          </cell>
        </row>
        <row r="37054">
          <cell r="L37054" t="str">
            <v>Non-proportional</v>
          </cell>
          <cell r="S37054">
            <v>-1514.99</v>
          </cell>
          <cell r="X37054" t="str">
            <v>Variation UPR - gross</v>
          </cell>
          <cell r="Y37054" t="str">
            <v>UNITED KINGDOM</v>
          </cell>
        </row>
        <row r="37055">
          <cell r="L37055" t="str">
            <v>Non-proportional</v>
          </cell>
          <cell r="S37055">
            <v>-860</v>
          </cell>
          <cell r="X37055" t="str">
            <v>Variation UPR - gross</v>
          </cell>
          <cell r="Y37055" t="str">
            <v>GREECE</v>
          </cell>
        </row>
        <row r="37056">
          <cell r="L37056" t="str">
            <v>Non-proportional</v>
          </cell>
          <cell r="S37056">
            <v>-5180.58</v>
          </cell>
          <cell r="X37056" t="str">
            <v>Variation UPR - gross</v>
          </cell>
          <cell r="Y37056" t="str">
            <v>ISRAEL</v>
          </cell>
        </row>
        <row r="37057">
          <cell r="L37057" t="str">
            <v>Non-proportional</v>
          </cell>
          <cell r="S37057">
            <v>-3242.19</v>
          </cell>
          <cell r="X37057" t="str">
            <v>Variation UPR - gross</v>
          </cell>
          <cell r="Y37057" t="str">
            <v>UNITED KINGDOM</v>
          </cell>
        </row>
        <row r="37058">
          <cell r="L37058" t="str">
            <v>Non-proportional</v>
          </cell>
          <cell r="S37058">
            <v>-9915.7000000000007</v>
          </cell>
          <cell r="X37058" t="str">
            <v>Variation UPR - gross</v>
          </cell>
          <cell r="Y37058" t="str">
            <v>NETHERLANDS</v>
          </cell>
        </row>
        <row r="37059">
          <cell r="L37059" t="str">
            <v>Non-proportional</v>
          </cell>
          <cell r="S37059">
            <v>-4238.47</v>
          </cell>
          <cell r="X37059" t="str">
            <v>Variation UPR - gross</v>
          </cell>
          <cell r="Y37059" t="str">
            <v>FRANCE</v>
          </cell>
        </row>
        <row r="37060">
          <cell r="L37060" t="str">
            <v>Non-proportional</v>
          </cell>
          <cell r="S37060">
            <v>160</v>
          </cell>
          <cell r="X37060" t="str">
            <v>Variation UPR - gross</v>
          </cell>
          <cell r="Y37060" t="str">
            <v>TURKEY</v>
          </cell>
        </row>
        <row r="37061">
          <cell r="L37061" t="str">
            <v>Non-proportional</v>
          </cell>
          <cell r="S37061">
            <v>83.19</v>
          </cell>
          <cell r="X37061" t="str">
            <v>Variation UPR - gross</v>
          </cell>
          <cell r="Y37061" t="str">
            <v>BRAZIL</v>
          </cell>
        </row>
        <row r="37062">
          <cell r="L37062" t="str">
            <v>Non-proportional</v>
          </cell>
          <cell r="S37062">
            <v>-1749.72</v>
          </cell>
          <cell r="X37062" t="str">
            <v>Variation UPR - gross</v>
          </cell>
          <cell r="Y37062" t="str">
            <v>NETHERLANDS</v>
          </cell>
        </row>
        <row r="37063">
          <cell r="L37063" t="str">
            <v>Proportional</v>
          </cell>
          <cell r="S37063">
            <v>-13796.81</v>
          </cell>
          <cell r="X37063" t="str">
            <v>Variation UPR - gross</v>
          </cell>
          <cell r="Y37063" t="str">
            <v>UNITED ARAB EMIRATES</v>
          </cell>
        </row>
        <row r="37064">
          <cell r="L37064" t="str">
            <v>Non-proportional</v>
          </cell>
          <cell r="S37064">
            <v>107.85</v>
          </cell>
          <cell r="X37064" t="str">
            <v>Variation UPR - gross</v>
          </cell>
          <cell r="Y37064" t="str">
            <v>JAPAN</v>
          </cell>
        </row>
        <row r="37065">
          <cell r="L37065" t="str">
            <v>Non-proportional</v>
          </cell>
          <cell r="S37065">
            <v>-2955.5</v>
          </cell>
          <cell r="X37065" t="str">
            <v>Variation UPR - gross</v>
          </cell>
          <cell r="Y37065" t="str">
            <v>DOMINICAN REPUBLIC</v>
          </cell>
        </row>
        <row r="37066">
          <cell r="L37066" t="str">
            <v>Non-proportional</v>
          </cell>
          <cell r="S37066">
            <v>-5053.25</v>
          </cell>
          <cell r="X37066" t="str">
            <v>Variation UPR - gross</v>
          </cell>
          <cell r="Y37066" t="str">
            <v>GUATEMALA</v>
          </cell>
        </row>
        <row r="37067">
          <cell r="L37067" t="str">
            <v>Proportional</v>
          </cell>
          <cell r="S37067">
            <v>-136292.23000000001</v>
          </cell>
          <cell r="X37067" t="str">
            <v>Variation UPR - gross</v>
          </cell>
          <cell r="Y37067" t="str">
            <v>AUSTRALIA</v>
          </cell>
        </row>
        <row r="37068">
          <cell r="L37068" t="str">
            <v>Non-proportional</v>
          </cell>
          <cell r="S37068">
            <v>-4617.49</v>
          </cell>
          <cell r="X37068" t="str">
            <v>Variation UPR - gross</v>
          </cell>
          <cell r="Y37068" t="str">
            <v>COLOMBIA</v>
          </cell>
        </row>
        <row r="37069">
          <cell r="L37069" t="str">
            <v>Non-proportional</v>
          </cell>
          <cell r="S37069">
            <v>-10120.5</v>
          </cell>
          <cell r="X37069" t="str">
            <v>Variation UPR - gross</v>
          </cell>
          <cell r="Y37069" t="str">
            <v>ITALY</v>
          </cell>
        </row>
        <row r="37070">
          <cell r="L37070" t="str">
            <v>Non-proportional</v>
          </cell>
          <cell r="S37070">
            <v>110.94</v>
          </cell>
          <cell r="X37070" t="str">
            <v>Variation UPR - gross</v>
          </cell>
          <cell r="Y37070" t="str">
            <v>NEW ZEALAND</v>
          </cell>
        </row>
        <row r="37071">
          <cell r="L37071" t="str">
            <v>Proportional</v>
          </cell>
          <cell r="S37071">
            <v>14.74</v>
          </cell>
          <cell r="X37071" t="str">
            <v>Variation UPR - gross</v>
          </cell>
          <cell r="Y37071" t="str">
            <v>UNITED STATES</v>
          </cell>
        </row>
        <row r="37072">
          <cell r="L37072" t="str">
            <v>Non-proportional</v>
          </cell>
          <cell r="S37072">
            <v>-1415.37</v>
          </cell>
          <cell r="X37072" t="str">
            <v>Variation UPR - gross</v>
          </cell>
          <cell r="Y37072" t="str">
            <v>INDIA</v>
          </cell>
        </row>
        <row r="37073">
          <cell r="L37073" t="str">
            <v>Proportional</v>
          </cell>
          <cell r="S37073">
            <v>-43890.55</v>
          </cell>
          <cell r="X37073" t="str">
            <v>Variation UPR - gross</v>
          </cell>
          <cell r="Y37073" t="str">
            <v>THAILAND</v>
          </cell>
        </row>
        <row r="37074">
          <cell r="L37074" t="str">
            <v>Non-proportional</v>
          </cell>
          <cell r="S37074">
            <v>-23781.119999999999</v>
          </cell>
          <cell r="X37074" t="str">
            <v>Variation UPR - gross</v>
          </cell>
          <cell r="Y37074" t="str">
            <v>NEW ZEALAND</v>
          </cell>
        </row>
        <row r="37075">
          <cell r="L37075" t="str">
            <v>Non-proportional</v>
          </cell>
          <cell r="S37075">
            <v>-51.5</v>
          </cell>
          <cell r="X37075" t="str">
            <v>Variation UPR - gross</v>
          </cell>
          <cell r="Y37075" t="str">
            <v>ISRAEL</v>
          </cell>
        </row>
        <row r="37076">
          <cell r="L37076" t="str">
            <v>Non-proportional</v>
          </cell>
          <cell r="S37076">
            <v>-2630.32</v>
          </cell>
          <cell r="X37076" t="str">
            <v>Variation UPR - gross</v>
          </cell>
          <cell r="Y37076" t="str">
            <v>CHILE</v>
          </cell>
        </row>
        <row r="37077">
          <cell r="L37077" t="str">
            <v>Non-proportional</v>
          </cell>
          <cell r="S37077">
            <v>-13073.04</v>
          </cell>
          <cell r="X37077" t="str">
            <v>Variation UPR - gross</v>
          </cell>
          <cell r="Y37077" t="str">
            <v>FRANCE</v>
          </cell>
        </row>
        <row r="37078">
          <cell r="L37078" t="str">
            <v>Non-proportional</v>
          </cell>
          <cell r="S37078">
            <v>-1178.8699999999999</v>
          </cell>
          <cell r="X37078" t="str">
            <v>Variation UPR - gross</v>
          </cell>
          <cell r="Y37078" t="str">
            <v>MEXICO</v>
          </cell>
        </row>
        <row r="37079">
          <cell r="L37079" t="str">
            <v>Non-proportional</v>
          </cell>
          <cell r="S37079">
            <v>-3910.49</v>
          </cell>
          <cell r="X37079" t="str">
            <v>Variation UPR - gross</v>
          </cell>
          <cell r="Y37079" t="str">
            <v>ECUADOR</v>
          </cell>
        </row>
        <row r="37080">
          <cell r="L37080" t="str">
            <v>Non-proportional</v>
          </cell>
          <cell r="S37080">
            <v>-1777.5</v>
          </cell>
          <cell r="X37080" t="str">
            <v>Variation UPR - gross</v>
          </cell>
          <cell r="Y37080" t="str">
            <v>GREECE</v>
          </cell>
        </row>
        <row r="37081">
          <cell r="L37081" t="str">
            <v>Non-proportional</v>
          </cell>
          <cell r="S37081">
            <v>-22793.85</v>
          </cell>
          <cell r="X37081" t="str">
            <v>Variation UPR - gross</v>
          </cell>
          <cell r="Y37081" t="str">
            <v>UNITED KINGDOM</v>
          </cell>
        </row>
        <row r="37082">
          <cell r="L37082" t="str">
            <v>Non-proportional</v>
          </cell>
          <cell r="S37082">
            <v>-10173.16</v>
          </cell>
          <cell r="X37082" t="str">
            <v>Variation UPR - gross</v>
          </cell>
          <cell r="Y37082" t="str">
            <v>CHILE</v>
          </cell>
        </row>
        <row r="37083">
          <cell r="L37083" t="str">
            <v>Non-proportional</v>
          </cell>
          <cell r="S37083">
            <v>-137.97</v>
          </cell>
          <cell r="X37083" t="str">
            <v>Variation UPR - gross</v>
          </cell>
          <cell r="Y37083" t="str">
            <v>INDIA</v>
          </cell>
        </row>
        <row r="37084">
          <cell r="L37084" t="str">
            <v>Proportional</v>
          </cell>
          <cell r="S37084">
            <v>-254886.49</v>
          </cell>
          <cell r="X37084" t="str">
            <v>Variation UPR - gross</v>
          </cell>
          <cell r="Y37084" t="str">
            <v>JAPAN</v>
          </cell>
        </row>
        <row r="37085">
          <cell r="L37085" t="str">
            <v>Proportional</v>
          </cell>
          <cell r="S37085">
            <v>-4269.6400000000003</v>
          </cell>
          <cell r="X37085" t="str">
            <v>Variation UPR - gross</v>
          </cell>
          <cell r="Y37085" t="str">
            <v>FRANCE</v>
          </cell>
        </row>
        <row r="37086">
          <cell r="L37086" t="str">
            <v>Non-proportional</v>
          </cell>
          <cell r="S37086">
            <v>-154.72</v>
          </cell>
          <cell r="X37086" t="str">
            <v>Variation UPR - gross</v>
          </cell>
          <cell r="Y37086" t="str">
            <v>CHILE</v>
          </cell>
        </row>
        <row r="37087">
          <cell r="L37087" t="str">
            <v>Non-proportional</v>
          </cell>
          <cell r="S37087">
            <v>-24747.83</v>
          </cell>
          <cell r="X37087" t="str">
            <v>Variation UPR - gross</v>
          </cell>
          <cell r="Y37087" t="str">
            <v>NEW ZEALAND</v>
          </cell>
        </row>
        <row r="37088">
          <cell r="L37088" t="str">
            <v>Non-proportional</v>
          </cell>
          <cell r="S37088">
            <v>-8020.48</v>
          </cell>
          <cell r="X37088" t="str">
            <v>Variation UPR - gross</v>
          </cell>
          <cell r="Y37088" t="str">
            <v>TURKEY</v>
          </cell>
        </row>
        <row r="37089">
          <cell r="L37089" t="str">
            <v>Non-proportional</v>
          </cell>
          <cell r="S37089">
            <v>-4006.61</v>
          </cell>
          <cell r="X37089" t="str">
            <v>Variation UPR - gross</v>
          </cell>
          <cell r="Y37089" t="str">
            <v>SINGAPORE</v>
          </cell>
        </row>
        <row r="37090">
          <cell r="L37090" t="str">
            <v>Non-proportional</v>
          </cell>
          <cell r="S37090">
            <v>-20.53</v>
          </cell>
          <cell r="X37090" t="str">
            <v>Variation UPR - gross</v>
          </cell>
          <cell r="Y37090" t="str">
            <v>JAPAN</v>
          </cell>
        </row>
        <row r="37091">
          <cell r="L37091" t="str">
            <v>Non-proportional</v>
          </cell>
          <cell r="S37091">
            <v>-18.600000000000001</v>
          </cell>
          <cell r="X37091" t="str">
            <v>Variation UPR - gross</v>
          </cell>
          <cell r="Y37091" t="str">
            <v>ISRAEL</v>
          </cell>
        </row>
        <row r="37092">
          <cell r="L37092" t="str">
            <v>Non-proportional</v>
          </cell>
          <cell r="S37092">
            <v>-13714.56</v>
          </cell>
          <cell r="X37092" t="str">
            <v>Variation UPR - gross</v>
          </cell>
          <cell r="Y37092" t="str">
            <v>AUSTRALIA</v>
          </cell>
        </row>
        <row r="37093">
          <cell r="L37093" t="str">
            <v>Non-proportional</v>
          </cell>
          <cell r="S37093">
            <v>-140.19999999999999</v>
          </cell>
          <cell r="X37093" t="str">
            <v>Variation UPR - gross</v>
          </cell>
          <cell r="Y37093" t="str">
            <v>ISRAEL</v>
          </cell>
        </row>
        <row r="37094">
          <cell r="L37094" t="str">
            <v>Non-proportional</v>
          </cell>
          <cell r="S37094">
            <v>41.67</v>
          </cell>
          <cell r="X37094" t="str">
            <v>Variation UPR - gross</v>
          </cell>
          <cell r="Y37094" t="str">
            <v>INDIA</v>
          </cell>
        </row>
        <row r="37095">
          <cell r="L37095" t="str">
            <v>Non-proportional</v>
          </cell>
          <cell r="S37095">
            <v>13.57</v>
          </cell>
          <cell r="X37095" t="str">
            <v>Variation UPR - gross</v>
          </cell>
          <cell r="Y37095" t="str">
            <v>INDIA</v>
          </cell>
        </row>
        <row r="37096">
          <cell r="L37096" t="str">
            <v>Non-proportional</v>
          </cell>
          <cell r="S37096">
            <v>-50331.21</v>
          </cell>
          <cell r="X37096" t="str">
            <v>Variation UPR - gross</v>
          </cell>
          <cell r="Y37096" t="str">
            <v>UNITED KINGDOM</v>
          </cell>
        </row>
        <row r="37097">
          <cell r="L37097" t="str">
            <v>Non-proportional</v>
          </cell>
          <cell r="S37097">
            <v>-5196.16</v>
          </cell>
          <cell r="X37097" t="str">
            <v>Variation UPR - gross</v>
          </cell>
          <cell r="Y37097" t="str">
            <v>ECUADOR</v>
          </cell>
        </row>
        <row r="37098">
          <cell r="L37098" t="str">
            <v>Non-proportional</v>
          </cell>
          <cell r="S37098">
            <v>-928.35</v>
          </cell>
          <cell r="X37098" t="str">
            <v>Variation UPR - gross</v>
          </cell>
          <cell r="Y37098" t="str">
            <v>CHILE</v>
          </cell>
        </row>
        <row r="37099">
          <cell r="L37099" t="str">
            <v>Non-proportional</v>
          </cell>
          <cell r="S37099">
            <v>-6393.46</v>
          </cell>
          <cell r="X37099" t="str">
            <v>Variation UPR - gross</v>
          </cell>
          <cell r="Y37099" t="str">
            <v>NETHERLANDS</v>
          </cell>
        </row>
        <row r="37100">
          <cell r="L37100" t="str">
            <v>Non-proportional</v>
          </cell>
          <cell r="S37100">
            <v>-8750</v>
          </cell>
          <cell r="X37100" t="str">
            <v>Variation UPR - gross</v>
          </cell>
          <cell r="Y37100" t="str">
            <v>EUROPE</v>
          </cell>
        </row>
        <row r="37101">
          <cell r="L37101" t="str">
            <v>Proportional</v>
          </cell>
          <cell r="S37101">
            <v>-257042.66</v>
          </cell>
          <cell r="X37101" t="str">
            <v>Variation UPR - gross</v>
          </cell>
          <cell r="Y37101" t="str">
            <v>HONG KONG</v>
          </cell>
        </row>
        <row r="37102">
          <cell r="L37102" t="str">
            <v>Non-proportional</v>
          </cell>
          <cell r="S37102">
            <v>-5700.16</v>
          </cell>
          <cell r="X37102" t="str">
            <v>Variation UPR - gross</v>
          </cell>
          <cell r="Y37102" t="str">
            <v>PERU</v>
          </cell>
        </row>
        <row r="37103">
          <cell r="L37103" t="str">
            <v>Non-proportional</v>
          </cell>
          <cell r="S37103">
            <v>-975</v>
          </cell>
          <cell r="X37103" t="str">
            <v>Variation UPR - gross</v>
          </cell>
          <cell r="Y37103" t="str">
            <v>GREECE</v>
          </cell>
        </row>
        <row r="37104">
          <cell r="L37104" t="str">
            <v>Non-proportional</v>
          </cell>
          <cell r="S37104">
            <v>236.57</v>
          </cell>
          <cell r="X37104" t="str">
            <v>Variation UPR - gross</v>
          </cell>
          <cell r="Y37104" t="str">
            <v>SOUTH KOREA</v>
          </cell>
        </row>
        <row r="37105">
          <cell r="L37105" t="str">
            <v>Proportional</v>
          </cell>
          <cell r="S37105">
            <v>-99.66</v>
          </cell>
          <cell r="X37105" t="str">
            <v>Variation UPR - gross</v>
          </cell>
          <cell r="Y37105" t="str">
            <v>UNITED STATES</v>
          </cell>
        </row>
        <row r="37106">
          <cell r="L37106" t="str">
            <v>Proportional</v>
          </cell>
          <cell r="S37106">
            <v>-350.91</v>
          </cell>
          <cell r="X37106" t="str">
            <v>Variation UPR - gross</v>
          </cell>
          <cell r="Y37106" t="str">
            <v>Ireland</v>
          </cell>
        </row>
        <row r="37107">
          <cell r="L37107" t="str">
            <v>Non-proportional</v>
          </cell>
          <cell r="S37107">
            <v>-8605.2099999999991</v>
          </cell>
          <cell r="X37107" t="str">
            <v>Variation UPR - gross</v>
          </cell>
          <cell r="Y37107" t="str">
            <v>PERU</v>
          </cell>
        </row>
        <row r="37108">
          <cell r="L37108" t="str">
            <v>Non-proportional</v>
          </cell>
          <cell r="S37108">
            <v>-1290.8900000000001</v>
          </cell>
          <cell r="X37108" t="str">
            <v>Variation UPR - gross</v>
          </cell>
          <cell r="Y37108" t="str">
            <v>COLOMBIA</v>
          </cell>
        </row>
        <row r="37109">
          <cell r="L37109" t="str">
            <v>Proportional</v>
          </cell>
          <cell r="S37109">
            <v>-66919.240000000005</v>
          </cell>
          <cell r="X37109" t="str">
            <v>Variation UPR - gross</v>
          </cell>
          <cell r="Y37109" t="str">
            <v>THAILAND</v>
          </cell>
        </row>
        <row r="37110">
          <cell r="L37110" t="str">
            <v>Non-proportional</v>
          </cell>
          <cell r="S37110">
            <v>-138300.32999999999</v>
          </cell>
          <cell r="X37110" t="str">
            <v>Variation UPR - gross</v>
          </cell>
          <cell r="Y37110" t="str">
            <v>PORTUGAL</v>
          </cell>
        </row>
        <row r="37111">
          <cell r="L37111" t="str">
            <v>Non-proportional</v>
          </cell>
          <cell r="S37111">
            <v>-35326.94</v>
          </cell>
          <cell r="X37111" t="str">
            <v>Variation UPR - gross</v>
          </cell>
          <cell r="Y37111" t="str">
            <v>TURKEY</v>
          </cell>
        </row>
        <row r="37112">
          <cell r="L37112" t="str">
            <v>Non-proportional</v>
          </cell>
          <cell r="S37112">
            <v>-8500</v>
          </cell>
          <cell r="X37112" t="str">
            <v>Variation UPR - gross</v>
          </cell>
          <cell r="Y37112" t="str">
            <v>ITALY</v>
          </cell>
        </row>
        <row r="37113">
          <cell r="L37113" t="str">
            <v>Non-proportional</v>
          </cell>
          <cell r="S37113">
            <v>-1172.3</v>
          </cell>
          <cell r="X37113" t="str">
            <v>Variation UPR - gross</v>
          </cell>
          <cell r="Y37113" t="str">
            <v>FRANCE</v>
          </cell>
        </row>
        <row r="37114">
          <cell r="L37114" t="str">
            <v>Non-proportional</v>
          </cell>
          <cell r="S37114">
            <v>-1946.5</v>
          </cell>
          <cell r="X37114" t="str">
            <v>Variation UPR - gross</v>
          </cell>
          <cell r="Y37114" t="str">
            <v>REPUBLIC OF IRELAND</v>
          </cell>
        </row>
        <row r="37115">
          <cell r="L37115" t="str">
            <v>Non-proportional</v>
          </cell>
          <cell r="S37115">
            <v>-10000</v>
          </cell>
          <cell r="X37115" t="str">
            <v>Variation UPR - gross</v>
          </cell>
          <cell r="Y37115" t="str">
            <v>EUROPE</v>
          </cell>
        </row>
        <row r="37116">
          <cell r="L37116" t="str">
            <v>Proportional</v>
          </cell>
          <cell r="S37116">
            <v>-5067.24</v>
          </cell>
          <cell r="X37116" t="str">
            <v>Variation UPR - gross</v>
          </cell>
          <cell r="Y37116" t="str">
            <v>CHILE</v>
          </cell>
        </row>
        <row r="37117">
          <cell r="L37117" t="str">
            <v>Non-proportional</v>
          </cell>
          <cell r="S37117">
            <v>-1944.98</v>
          </cell>
          <cell r="X37117" t="str">
            <v>Variation UPR - gross</v>
          </cell>
          <cell r="Y37117" t="str">
            <v>PERU</v>
          </cell>
        </row>
        <row r="37118">
          <cell r="L37118" t="str">
            <v>Non-proportional</v>
          </cell>
          <cell r="S37118">
            <v>0.01</v>
          </cell>
          <cell r="X37118" t="str">
            <v>Variation UPR - gross</v>
          </cell>
          <cell r="Y37118" t="str">
            <v>JAPAN</v>
          </cell>
        </row>
        <row r="37119">
          <cell r="L37119" t="str">
            <v>Non-proportional</v>
          </cell>
          <cell r="S37119">
            <v>-3780</v>
          </cell>
          <cell r="X37119" t="str">
            <v>Variation UPR - gross</v>
          </cell>
          <cell r="Y37119" t="str">
            <v>GREECE</v>
          </cell>
        </row>
        <row r="37120">
          <cell r="L37120" t="str">
            <v>Non-proportional</v>
          </cell>
          <cell r="S37120">
            <v>-3990.74</v>
          </cell>
          <cell r="X37120" t="str">
            <v>Variation UPR - gross</v>
          </cell>
          <cell r="Y37120" t="str">
            <v>INDIA</v>
          </cell>
        </row>
        <row r="37121">
          <cell r="L37121" t="str">
            <v>Proportional</v>
          </cell>
          <cell r="S37121">
            <v>-173287.56</v>
          </cell>
          <cell r="X37121" t="str">
            <v>Variation UPR - gross</v>
          </cell>
          <cell r="Y37121" t="str">
            <v>CANADA</v>
          </cell>
        </row>
        <row r="37122">
          <cell r="L37122" t="str">
            <v>Non-proportional</v>
          </cell>
          <cell r="S37122">
            <v>-36.19</v>
          </cell>
          <cell r="X37122" t="str">
            <v>Variation UPR - gross</v>
          </cell>
          <cell r="Y37122" t="str">
            <v>ISRAEL</v>
          </cell>
        </row>
        <row r="37123">
          <cell r="L37123" t="str">
            <v>Non-proportional</v>
          </cell>
          <cell r="S37123">
            <v>0.02</v>
          </cell>
          <cell r="X37123" t="str">
            <v>Variation UPR - gross</v>
          </cell>
          <cell r="Y37123" t="str">
            <v>DOMINICAN REPUBLIC</v>
          </cell>
        </row>
        <row r="37124">
          <cell r="L37124" t="str">
            <v>Proportional</v>
          </cell>
          <cell r="S37124">
            <v>-25670.01</v>
          </cell>
          <cell r="X37124" t="str">
            <v>Variation UPR - gross</v>
          </cell>
          <cell r="Y37124" t="str">
            <v>THAILAND</v>
          </cell>
        </row>
        <row r="37125">
          <cell r="L37125" t="str">
            <v>Non-proportional</v>
          </cell>
          <cell r="S37125">
            <v>-11558.02</v>
          </cell>
          <cell r="X37125" t="str">
            <v>Variation UPR - gross</v>
          </cell>
          <cell r="Y37125" t="str">
            <v>CHILE</v>
          </cell>
        </row>
        <row r="37126">
          <cell r="L37126" t="str">
            <v>Non-proportional</v>
          </cell>
          <cell r="S37126">
            <v>-5512.68</v>
          </cell>
          <cell r="X37126" t="str">
            <v>Variation UPR - gross</v>
          </cell>
          <cell r="Y37126" t="str">
            <v>NETHERLANDS</v>
          </cell>
        </row>
        <row r="37127">
          <cell r="L37127" t="str">
            <v>Non-proportional</v>
          </cell>
          <cell r="S37127">
            <v>-270.77</v>
          </cell>
          <cell r="X37127" t="str">
            <v>Variation UPR - gross</v>
          </cell>
          <cell r="Y37127" t="str">
            <v>CHILE</v>
          </cell>
        </row>
        <row r="37128">
          <cell r="L37128" t="str">
            <v>Non-proportional</v>
          </cell>
          <cell r="S37128">
            <v>-110933.84</v>
          </cell>
          <cell r="X37128" t="str">
            <v>Variation UPR - gross</v>
          </cell>
          <cell r="Y37128" t="str">
            <v>HONG KONG</v>
          </cell>
        </row>
        <row r="37129">
          <cell r="L37129" t="str">
            <v>Non-proportional</v>
          </cell>
          <cell r="S37129">
            <v>-40569.78</v>
          </cell>
          <cell r="X37129" t="str">
            <v>Variation UPR - gross</v>
          </cell>
          <cell r="Y37129" t="str">
            <v>UNITED KINGDOM</v>
          </cell>
        </row>
        <row r="37130">
          <cell r="L37130" t="str">
            <v>Non-proportional</v>
          </cell>
          <cell r="S37130">
            <v>-7628.61</v>
          </cell>
          <cell r="X37130" t="str">
            <v>Variation UPR - gross</v>
          </cell>
          <cell r="Y37130" t="str">
            <v>PUERTO RICO</v>
          </cell>
        </row>
        <row r="37131">
          <cell r="L37131" t="str">
            <v>Proportional</v>
          </cell>
          <cell r="S37131">
            <v>-9705.2999999999993</v>
          </cell>
          <cell r="X37131" t="str">
            <v>Variation UPR - gross</v>
          </cell>
          <cell r="Y37131" t="str">
            <v>ITALY</v>
          </cell>
        </row>
        <row r="37132">
          <cell r="L37132" t="str">
            <v>Non-proportional</v>
          </cell>
          <cell r="S37132">
            <v>-72.91</v>
          </cell>
          <cell r="X37132" t="str">
            <v>Variation UPR - gross</v>
          </cell>
          <cell r="Y37132" t="str">
            <v>JAPAN</v>
          </cell>
        </row>
        <row r="37133">
          <cell r="L37133" t="str">
            <v>Proportional</v>
          </cell>
          <cell r="S37133">
            <v>-2886.79</v>
          </cell>
          <cell r="X37133" t="str">
            <v>Variation UPR - gross</v>
          </cell>
          <cell r="Y37133" t="str">
            <v>THAILAND</v>
          </cell>
        </row>
        <row r="37134">
          <cell r="L37134" t="str">
            <v>Non-proportional</v>
          </cell>
          <cell r="S37134">
            <v>61.19</v>
          </cell>
          <cell r="X37134" t="str">
            <v>Variation UPR - gross</v>
          </cell>
          <cell r="Y37134" t="str">
            <v>DOMINICAN REPUBLIC</v>
          </cell>
        </row>
        <row r="37135">
          <cell r="L37135" t="str">
            <v>Non-proportional</v>
          </cell>
          <cell r="S37135">
            <v>-16340.26</v>
          </cell>
          <cell r="X37135" t="str">
            <v>Variation UPR - gross</v>
          </cell>
          <cell r="Y37135" t="str">
            <v>UNITED KINGDOM</v>
          </cell>
        </row>
        <row r="37136">
          <cell r="L37136" t="str">
            <v>Non-proportional</v>
          </cell>
          <cell r="S37136">
            <v>-8661.59</v>
          </cell>
          <cell r="X37136" t="str">
            <v>Variation UPR - gross</v>
          </cell>
          <cell r="Y37136" t="str">
            <v>AUSTRALIA</v>
          </cell>
        </row>
        <row r="37137">
          <cell r="L37137" t="str">
            <v>Non-proportional</v>
          </cell>
          <cell r="S37137">
            <v>-31316.15</v>
          </cell>
          <cell r="X37137" t="str">
            <v>Variation UPR - gross</v>
          </cell>
          <cell r="Y37137" t="str">
            <v>FRANCE</v>
          </cell>
        </row>
        <row r="37138">
          <cell r="L37138" t="str">
            <v>Non-proportional</v>
          </cell>
          <cell r="S37138">
            <v>-10447.44</v>
          </cell>
          <cell r="X37138" t="str">
            <v>Variation UPR - gross</v>
          </cell>
          <cell r="Y37138" t="str">
            <v>TURKEY</v>
          </cell>
        </row>
        <row r="37139">
          <cell r="L37139" t="str">
            <v>Non-proportional</v>
          </cell>
          <cell r="S37139">
            <v>-721875</v>
          </cell>
          <cell r="X37139" t="str">
            <v>Variation UPR - gross</v>
          </cell>
          <cell r="Y37139" t="str">
            <v>FRANCE</v>
          </cell>
        </row>
        <row r="37140">
          <cell r="L37140" t="str">
            <v>Non-proportional</v>
          </cell>
          <cell r="S37140">
            <v>17.87</v>
          </cell>
          <cell r="X37140" t="str">
            <v>Variation UPR - gross</v>
          </cell>
          <cell r="Y37140" t="str">
            <v>INDIA</v>
          </cell>
        </row>
        <row r="37141">
          <cell r="L37141" t="str">
            <v>Non-proportional</v>
          </cell>
          <cell r="S37141">
            <v>-4477.74</v>
          </cell>
          <cell r="X37141" t="str">
            <v>Variation UPR - gross</v>
          </cell>
          <cell r="Y37141" t="str">
            <v>COLOMBIA</v>
          </cell>
        </row>
        <row r="37142">
          <cell r="L37142" t="str">
            <v>Non-proportional</v>
          </cell>
          <cell r="S37142">
            <v>-5381.27</v>
          </cell>
          <cell r="X37142" t="str">
            <v>Variation UPR - gross</v>
          </cell>
          <cell r="Y37142" t="str">
            <v>ISRAEL</v>
          </cell>
        </row>
        <row r="37143">
          <cell r="L37143" t="str">
            <v>Non-proportional</v>
          </cell>
          <cell r="S37143">
            <v>-2440.4899999999998</v>
          </cell>
          <cell r="X37143" t="str">
            <v>Variation UPR - gross</v>
          </cell>
          <cell r="Y37143" t="str">
            <v>DOMINICAN REPUBLIC</v>
          </cell>
        </row>
        <row r="37144">
          <cell r="L37144" t="str">
            <v>Proportional</v>
          </cell>
          <cell r="S37144">
            <v>-35456.47</v>
          </cell>
          <cell r="X37144" t="str">
            <v>Variation UPR - gross</v>
          </cell>
          <cell r="Y37144" t="str">
            <v>MEXICO</v>
          </cell>
        </row>
        <row r="37145">
          <cell r="L37145" t="str">
            <v>Non-proportional</v>
          </cell>
          <cell r="S37145">
            <v>-40.07</v>
          </cell>
          <cell r="X37145" t="str">
            <v>Variation UPR - gross</v>
          </cell>
          <cell r="Y37145" t="str">
            <v>JAPAN</v>
          </cell>
        </row>
        <row r="37146">
          <cell r="L37146" t="str">
            <v>Non-proportional</v>
          </cell>
          <cell r="S37146">
            <v>-5492.73</v>
          </cell>
          <cell r="X37146" t="str">
            <v>Variation UPR - gross</v>
          </cell>
          <cell r="Y37146" t="str">
            <v>CHILE</v>
          </cell>
        </row>
        <row r="37147">
          <cell r="L37147" t="str">
            <v>Non-proportional</v>
          </cell>
          <cell r="S37147">
            <v>-8333.49</v>
          </cell>
          <cell r="X37147" t="str">
            <v>Variation UPR - gross</v>
          </cell>
          <cell r="Y37147" t="str">
            <v>MEXICO</v>
          </cell>
        </row>
        <row r="37148">
          <cell r="L37148" t="str">
            <v>Non-proportional</v>
          </cell>
          <cell r="S37148">
            <v>-728.75</v>
          </cell>
          <cell r="X37148" t="str">
            <v>Variation UPR - gross</v>
          </cell>
          <cell r="Y37148" t="str">
            <v>ITALY</v>
          </cell>
        </row>
        <row r="37149">
          <cell r="L37149" t="str">
            <v>Proportional</v>
          </cell>
          <cell r="S37149">
            <v>-1045.48</v>
          </cell>
          <cell r="X37149" t="str">
            <v>Variation UPR - gross</v>
          </cell>
          <cell r="Y37149" t="str">
            <v>ITALY</v>
          </cell>
        </row>
        <row r="37150">
          <cell r="L37150" t="str">
            <v>Non-proportional</v>
          </cell>
          <cell r="S37150">
            <v>-8843.8799999999992</v>
          </cell>
          <cell r="X37150" t="str">
            <v>Variation UPR - gross</v>
          </cell>
          <cell r="Y37150" t="str">
            <v>TURKEY</v>
          </cell>
        </row>
        <row r="37151">
          <cell r="L37151" t="str">
            <v>Non-proportional</v>
          </cell>
          <cell r="S37151">
            <v>-4250.71</v>
          </cell>
          <cell r="X37151" t="str">
            <v>Variation UPR - gross</v>
          </cell>
          <cell r="Y37151" t="str">
            <v>ITALY</v>
          </cell>
        </row>
        <row r="37152">
          <cell r="L37152" t="str">
            <v>Non-proportional</v>
          </cell>
          <cell r="S37152">
            <v>-3593.75</v>
          </cell>
          <cell r="X37152" t="str">
            <v>Variation UPR - gross</v>
          </cell>
          <cell r="Y37152" t="str">
            <v>GREECE</v>
          </cell>
        </row>
        <row r="37153">
          <cell r="L37153" t="str">
            <v>Non-proportional</v>
          </cell>
          <cell r="S37153">
            <v>-867.01</v>
          </cell>
          <cell r="X37153" t="str">
            <v>Variation UPR - gross</v>
          </cell>
          <cell r="Y37153" t="str">
            <v>INDIA</v>
          </cell>
        </row>
        <row r="37154">
          <cell r="L37154" t="str">
            <v>Non-proportional</v>
          </cell>
          <cell r="S37154">
            <v>-7359.04</v>
          </cell>
          <cell r="X37154" t="str">
            <v>Variation UPR - gross</v>
          </cell>
          <cell r="Y37154" t="str">
            <v>NEW ZEALAND</v>
          </cell>
        </row>
        <row r="37155">
          <cell r="L37155" t="str">
            <v>Non-proportional</v>
          </cell>
          <cell r="S37155">
            <v>-39.799999999999997</v>
          </cell>
          <cell r="X37155" t="str">
            <v>Variation UPR - gross</v>
          </cell>
          <cell r="Y37155" t="str">
            <v>COSTA RICA</v>
          </cell>
        </row>
        <row r="37156">
          <cell r="L37156" t="str">
            <v>Proportional</v>
          </cell>
          <cell r="S37156">
            <v>-1113227.29</v>
          </cell>
          <cell r="X37156" t="str">
            <v>Variation UPR - gross</v>
          </cell>
          <cell r="Y37156" t="str">
            <v>THAILAND</v>
          </cell>
        </row>
        <row r="37157">
          <cell r="L37157" t="str">
            <v>Non-proportional</v>
          </cell>
          <cell r="S37157">
            <v>-4584.6499999999996</v>
          </cell>
          <cell r="X37157" t="str">
            <v>Variation UPR - gross</v>
          </cell>
          <cell r="Y37157" t="str">
            <v>ECUADOR</v>
          </cell>
        </row>
        <row r="37158">
          <cell r="L37158" t="str">
            <v>Non-proportional</v>
          </cell>
          <cell r="S37158">
            <v>-881.81</v>
          </cell>
          <cell r="X37158" t="str">
            <v>Variation UPR - gross</v>
          </cell>
          <cell r="Y37158" t="str">
            <v>COLOMBIA</v>
          </cell>
        </row>
        <row r="37159">
          <cell r="L37159" t="str">
            <v>Non-proportional</v>
          </cell>
          <cell r="S37159">
            <v>-924.63</v>
          </cell>
          <cell r="X37159" t="str">
            <v>Variation UPR - gross</v>
          </cell>
          <cell r="Y37159" t="str">
            <v>COSTA RICA</v>
          </cell>
        </row>
        <row r="37160">
          <cell r="L37160" t="str">
            <v>Non-proportional</v>
          </cell>
          <cell r="S37160">
            <v>-259615.29</v>
          </cell>
          <cell r="X37160" t="str">
            <v>Variation UPR - gross</v>
          </cell>
          <cell r="Y37160" t="str">
            <v>UNITED KINGDOM</v>
          </cell>
        </row>
        <row r="37161">
          <cell r="L37161" t="str">
            <v>Non-proportional</v>
          </cell>
          <cell r="S37161">
            <v>-2840.84</v>
          </cell>
          <cell r="X37161" t="str">
            <v>Variation UPR - gross</v>
          </cell>
          <cell r="Y37161" t="str">
            <v>EUROPE</v>
          </cell>
        </row>
        <row r="37162">
          <cell r="L37162" t="str">
            <v>Non-proportional</v>
          </cell>
          <cell r="S37162">
            <v>-3335.59</v>
          </cell>
          <cell r="X37162" t="str">
            <v>Variation UPR - gross</v>
          </cell>
          <cell r="Y37162" t="str">
            <v>INDIA</v>
          </cell>
        </row>
        <row r="37163">
          <cell r="L37163" t="str">
            <v>Non-proportional</v>
          </cell>
          <cell r="S37163">
            <v>6.31</v>
          </cell>
          <cell r="X37163" t="str">
            <v>Variation UPR - gross</v>
          </cell>
          <cell r="Y37163" t="str">
            <v>INDIA</v>
          </cell>
        </row>
        <row r="37164">
          <cell r="L37164" t="str">
            <v>Non-proportional</v>
          </cell>
          <cell r="S37164">
            <v>-31.07</v>
          </cell>
          <cell r="X37164" t="str">
            <v>Variation UPR - gross</v>
          </cell>
          <cell r="Y37164" t="str">
            <v>BRAZIL</v>
          </cell>
        </row>
        <row r="37165">
          <cell r="L37165" t="str">
            <v>Non-proportional</v>
          </cell>
          <cell r="S37165">
            <v>-843.75</v>
          </cell>
          <cell r="X37165" t="str">
            <v>Variation UPR - gross</v>
          </cell>
          <cell r="Y37165" t="str">
            <v>GREECE</v>
          </cell>
        </row>
        <row r="37166">
          <cell r="L37166" t="str">
            <v>Non-proportional</v>
          </cell>
          <cell r="S37166">
            <v>-2029.91</v>
          </cell>
          <cell r="X37166" t="str">
            <v>Variation UPR - gross</v>
          </cell>
          <cell r="Y37166" t="str">
            <v>CYPRUS</v>
          </cell>
        </row>
        <row r="37167">
          <cell r="L37167" t="str">
            <v>Non-proportional</v>
          </cell>
          <cell r="S37167">
            <v>552.41</v>
          </cell>
          <cell r="X37167" t="str">
            <v>Variation UPR - gross</v>
          </cell>
          <cell r="Y37167" t="str">
            <v>AUSTRALIA</v>
          </cell>
        </row>
        <row r="37168">
          <cell r="L37168" t="str">
            <v>Non-proportional</v>
          </cell>
          <cell r="S37168">
            <v>-1015.16</v>
          </cell>
          <cell r="X37168" t="str">
            <v>Variation UPR - gross</v>
          </cell>
          <cell r="Y37168" t="str">
            <v>INDIA</v>
          </cell>
        </row>
        <row r="37169">
          <cell r="L37169" t="str">
            <v>Non-proportional</v>
          </cell>
          <cell r="S37169">
            <v>-37828.21</v>
          </cell>
          <cell r="X37169" t="str">
            <v>Variation UPR - gross</v>
          </cell>
          <cell r="Y37169" t="str">
            <v>TURKEY</v>
          </cell>
        </row>
        <row r="37170">
          <cell r="L37170" t="str">
            <v>Non-proportional</v>
          </cell>
          <cell r="S37170">
            <v>-905.42</v>
          </cell>
          <cell r="X37170" t="str">
            <v>Variation UPR - gross</v>
          </cell>
          <cell r="Y37170" t="str">
            <v>ITALY</v>
          </cell>
        </row>
        <row r="37171">
          <cell r="L37171" t="str">
            <v>Non-proportional</v>
          </cell>
          <cell r="S37171">
            <v>-585.09</v>
          </cell>
          <cell r="X37171" t="str">
            <v>Variation UPR - gross</v>
          </cell>
          <cell r="Y37171" t="str">
            <v>BRAZIL</v>
          </cell>
        </row>
        <row r="37172">
          <cell r="L37172" t="str">
            <v>Proportional</v>
          </cell>
          <cell r="S37172">
            <v>-13476.53</v>
          </cell>
          <cell r="X37172" t="str">
            <v>Variation UPR - gross</v>
          </cell>
          <cell r="Y37172" t="str">
            <v>THAILAND</v>
          </cell>
        </row>
        <row r="37173">
          <cell r="L37173" t="str">
            <v>Non-proportional</v>
          </cell>
          <cell r="S37173">
            <v>-12664.64</v>
          </cell>
          <cell r="X37173" t="str">
            <v>Variation UPR - gross</v>
          </cell>
          <cell r="Y37173" t="str">
            <v>FRANCE</v>
          </cell>
        </row>
        <row r="37174">
          <cell r="L37174" t="str">
            <v>Non-proportional</v>
          </cell>
          <cell r="S37174">
            <v>-4549.59</v>
          </cell>
          <cell r="X37174" t="str">
            <v>Variation UPR - gross</v>
          </cell>
          <cell r="Y37174" t="str">
            <v>DOMINICAN REPUBLIC</v>
          </cell>
        </row>
        <row r="37175">
          <cell r="L37175" t="str">
            <v>Non-proportional</v>
          </cell>
          <cell r="S37175">
            <v>-4949.13</v>
          </cell>
          <cell r="X37175" t="str">
            <v>Variation UPR - gross</v>
          </cell>
          <cell r="Y37175" t="str">
            <v>NETHERLANDS</v>
          </cell>
        </row>
        <row r="37176">
          <cell r="L37176" t="str">
            <v>Non-proportional</v>
          </cell>
          <cell r="S37176">
            <v>-84.24</v>
          </cell>
          <cell r="X37176" t="str">
            <v>Variation UPR - gross</v>
          </cell>
          <cell r="Y37176" t="str">
            <v>GUATEMALA</v>
          </cell>
        </row>
        <row r="37177">
          <cell r="L37177" t="str">
            <v>Non-proportional</v>
          </cell>
          <cell r="S37177">
            <v>35.25</v>
          </cell>
          <cell r="X37177" t="str">
            <v>Variation UPR - gross</v>
          </cell>
          <cell r="Y37177" t="str">
            <v>JAPAN</v>
          </cell>
        </row>
        <row r="37178">
          <cell r="L37178" t="str">
            <v>Non-proportional</v>
          </cell>
          <cell r="S37178">
            <v>-89938.33</v>
          </cell>
          <cell r="X37178" t="str">
            <v>Variation UPR - gross</v>
          </cell>
          <cell r="Y37178" t="str">
            <v>PORTUGAL</v>
          </cell>
        </row>
        <row r="37179">
          <cell r="L37179" t="str">
            <v>Non-proportional</v>
          </cell>
          <cell r="S37179">
            <v>-481.64</v>
          </cell>
          <cell r="X37179" t="str">
            <v>Variation UPR - gross</v>
          </cell>
          <cell r="Y37179" t="str">
            <v>INDIA</v>
          </cell>
        </row>
        <row r="37180">
          <cell r="L37180" t="str">
            <v>Non-proportional</v>
          </cell>
          <cell r="S37180">
            <v>-36.54</v>
          </cell>
          <cell r="X37180" t="str">
            <v>Variation UPR - gross</v>
          </cell>
          <cell r="Y37180" t="str">
            <v>BRAZIL</v>
          </cell>
        </row>
        <row r="37181">
          <cell r="L37181" t="str">
            <v>Proportional</v>
          </cell>
          <cell r="S37181">
            <v>-139330.94</v>
          </cell>
          <cell r="X37181" t="str">
            <v>Variation UPR - gross</v>
          </cell>
          <cell r="Y37181" t="str">
            <v>UNITED STATES</v>
          </cell>
        </row>
        <row r="37182">
          <cell r="L37182" t="str">
            <v>Non-proportional</v>
          </cell>
          <cell r="S37182">
            <v>-7492.29</v>
          </cell>
          <cell r="X37182" t="str">
            <v>Variation UPR - gross</v>
          </cell>
          <cell r="Y37182" t="str">
            <v>FRANCE</v>
          </cell>
        </row>
        <row r="37183">
          <cell r="L37183" t="str">
            <v>Non-proportional</v>
          </cell>
          <cell r="S37183">
            <v>109.64</v>
          </cell>
          <cell r="X37183" t="str">
            <v>Variation UPR - gross</v>
          </cell>
          <cell r="Y37183" t="str">
            <v>NEW ZEALAND</v>
          </cell>
        </row>
        <row r="37184">
          <cell r="L37184" t="str">
            <v>Non-proportional</v>
          </cell>
          <cell r="S37184">
            <v>-378.94</v>
          </cell>
          <cell r="X37184" t="str">
            <v>Variation UPR - gross</v>
          </cell>
          <cell r="Y37184" t="str">
            <v>TURKEY</v>
          </cell>
        </row>
        <row r="37185">
          <cell r="L37185" t="str">
            <v>Non-proportional</v>
          </cell>
          <cell r="S37185">
            <v>-4042.03</v>
          </cell>
          <cell r="X37185" t="str">
            <v>Variation UPR - gross</v>
          </cell>
          <cell r="Y37185" t="str">
            <v>AUSTRALIA</v>
          </cell>
        </row>
        <row r="37186">
          <cell r="L37186" t="str">
            <v>Proportional</v>
          </cell>
          <cell r="S37186">
            <v>-519751.6</v>
          </cell>
          <cell r="X37186" t="str">
            <v>Variation UPR - gross</v>
          </cell>
          <cell r="Y37186" t="str">
            <v>UNITED STATES</v>
          </cell>
        </row>
        <row r="37187">
          <cell r="L37187" t="str">
            <v>Proportional</v>
          </cell>
          <cell r="S37187">
            <v>-108201.96</v>
          </cell>
          <cell r="X37187" t="str">
            <v>Variation UPR - gross</v>
          </cell>
          <cell r="Y37187" t="str">
            <v>SWITZERLAND</v>
          </cell>
        </row>
        <row r="37188">
          <cell r="L37188" t="str">
            <v>Non-proportional</v>
          </cell>
          <cell r="S37188">
            <v>0.01</v>
          </cell>
          <cell r="X37188" t="str">
            <v>Variation UPR - gross</v>
          </cell>
          <cell r="Y37188" t="str">
            <v>DOMINICAN REPUBLIC</v>
          </cell>
        </row>
        <row r="37189">
          <cell r="L37189" t="str">
            <v>Non-proportional</v>
          </cell>
          <cell r="S37189">
            <v>90.08</v>
          </cell>
          <cell r="X37189" t="str">
            <v>Variation UPR - gross</v>
          </cell>
          <cell r="Y37189" t="str">
            <v>INDIA</v>
          </cell>
        </row>
        <row r="37190">
          <cell r="L37190" t="str">
            <v>Non-proportional</v>
          </cell>
          <cell r="S37190">
            <v>-1277.3499999999999</v>
          </cell>
          <cell r="X37190" t="str">
            <v>Variation UPR - gross</v>
          </cell>
          <cell r="Y37190" t="str">
            <v>ISRAEL</v>
          </cell>
        </row>
        <row r="37191">
          <cell r="L37191" t="str">
            <v>Non-proportional</v>
          </cell>
          <cell r="S37191">
            <v>-450.75</v>
          </cell>
          <cell r="X37191" t="str">
            <v>Variation UPR - gross</v>
          </cell>
          <cell r="Y37191" t="str">
            <v>NEW ZEALAND</v>
          </cell>
        </row>
        <row r="37192">
          <cell r="L37192" t="str">
            <v>Non-proportional</v>
          </cell>
          <cell r="S37192">
            <v>-41788.019999999997</v>
          </cell>
          <cell r="X37192" t="str">
            <v>Variation UPR - gross</v>
          </cell>
          <cell r="Y37192" t="str">
            <v>UNITED STATES</v>
          </cell>
        </row>
        <row r="37193">
          <cell r="L37193" t="str">
            <v>Non-proportional</v>
          </cell>
          <cell r="S37193">
            <v>-5312.99</v>
          </cell>
          <cell r="X37193" t="str">
            <v>Variation UPR - gross</v>
          </cell>
          <cell r="Y37193" t="str">
            <v>COLOMBIA</v>
          </cell>
        </row>
        <row r="37194">
          <cell r="L37194" t="str">
            <v>Non-proportional</v>
          </cell>
          <cell r="S37194">
            <v>-5070.12</v>
          </cell>
          <cell r="X37194" t="str">
            <v>Variation UPR - gross</v>
          </cell>
          <cell r="Y37194" t="str">
            <v>SPAIN</v>
          </cell>
        </row>
        <row r="37195">
          <cell r="L37195" t="str">
            <v>Non-proportional</v>
          </cell>
          <cell r="S37195">
            <v>0</v>
          </cell>
          <cell r="X37195" t="str">
            <v>Variation UPR - gross</v>
          </cell>
          <cell r="Y37195" t="str">
            <v>DOMINICAN REPUBLIC</v>
          </cell>
        </row>
        <row r="37196">
          <cell r="L37196" t="str">
            <v>Non-proportional</v>
          </cell>
          <cell r="S37196">
            <v>-3002.24</v>
          </cell>
          <cell r="X37196" t="str">
            <v>Variation UPR - gross</v>
          </cell>
          <cell r="Y37196" t="str">
            <v>ECUADOR</v>
          </cell>
        </row>
        <row r="37197">
          <cell r="L37197" t="str">
            <v>Non-proportional</v>
          </cell>
          <cell r="S37197">
            <v>-3249.09</v>
          </cell>
          <cell r="X37197" t="str">
            <v>Variation UPR - gross</v>
          </cell>
          <cell r="Y37197" t="str">
            <v>FRANCE</v>
          </cell>
        </row>
        <row r="37198">
          <cell r="L37198" t="str">
            <v>Non-proportional</v>
          </cell>
          <cell r="S37198">
            <v>-12011.95</v>
          </cell>
          <cell r="X37198" t="str">
            <v>Variation UPR - gross</v>
          </cell>
          <cell r="Y37198" t="str">
            <v>FRANCE</v>
          </cell>
        </row>
        <row r="37199">
          <cell r="L37199" t="str">
            <v>Non-proportional</v>
          </cell>
          <cell r="S37199">
            <v>-350018.84</v>
          </cell>
          <cell r="X37199" t="str">
            <v>Variation UPR - gross</v>
          </cell>
          <cell r="Y37199" t="str">
            <v>EUROPE</v>
          </cell>
        </row>
        <row r="37200">
          <cell r="L37200" t="str">
            <v>Non-proportional</v>
          </cell>
          <cell r="S37200">
            <v>-6521.85</v>
          </cell>
          <cell r="X37200" t="str">
            <v>Variation UPR - gross</v>
          </cell>
          <cell r="Y37200" t="str">
            <v>ECUADOR</v>
          </cell>
        </row>
        <row r="37201">
          <cell r="L37201" t="str">
            <v>Non-proportional</v>
          </cell>
          <cell r="S37201">
            <v>-4448.34</v>
          </cell>
          <cell r="X37201" t="str">
            <v>Variation UPR - gross</v>
          </cell>
          <cell r="Y37201" t="str">
            <v>CHILE</v>
          </cell>
        </row>
        <row r="37202">
          <cell r="L37202" t="str">
            <v>Proportional</v>
          </cell>
          <cell r="S37202">
            <v>-889.67</v>
          </cell>
          <cell r="X37202" t="str">
            <v>Variation UPR - gross</v>
          </cell>
          <cell r="Y37202" t="str">
            <v>CHILE</v>
          </cell>
        </row>
        <row r="37203">
          <cell r="L37203" t="str">
            <v>Non-proportional</v>
          </cell>
          <cell r="S37203">
            <v>-630.47</v>
          </cell>
          <cell r="X37203" t="str">
            <v>Variation UPR - gross</v>
          </cell>
          <cell r="Y37203" t="str">
            <v>MEXICO</v>
          </cell>
        </row>
        <row r="37204">
          <cell r="L37204" t="str">
            <v>Non-proportional</v>
          </cell>
          <cell r="S37204">
            <v>-4134.21</v>
          </cell>
          <cell r="X37204" t="str">
            <v>Variation UPR - gross</v>
          </cell>
          <cell r="Y37204" t="str">
            <v>DOMINICAN REPUBLIC</v>
          </cell>
        </row>
        <row r="37205">
          <cell r="L37205" t="str">
            <v>Non-proportional</v>
          </cell>
          <cell r="S37205">
            <v>-2547.2399999999998</v>
          </cell>
          <cell r="X37205" t="str">
            <v>Variation UPR - gross</v>
          </cell>
          <cell r="Y37205" t="str">
            <v>JAPAN</v>
          </cell>
        </row>
        <row r="37206">
          <cell r="L37206" t="str">
            <v>Non-proportional</v>
          </cell>
          <cell r="S37206">
            <v>-77.36</v>
          </cell>
          <cell r="X37206" t="str">
            <v>Variation UPR - gross</v>
          </cell>
          <cell r="Y37206" t="str">
            <v>CHILE</v>
          </cell>
        </row>
        <row r="37207">
          <cell r="L37207" t="str">
            <v>Proportional</v>
          </cell>
          <cell r="S37207">
            <v>-6208.84</v>
          </cell>
          <cell r="X37207" t="str">
            <v>Variation UPR - gross</v>
          </cell>
          <cell r="Y37207" t="str">
            <v>THAILAND</v>
          </cell>
        </row>
        <row r="37208">
          <cell r="L37208" t="str">
            <v>Non-proportional</v>
          </cell>
          <cell r="S37208">
            <v>-1234.3800000000001</v>
          </cell>
          <cell r="X37208" t="str">
            <v>Variation UPR - gross</v>
          </cell>
          <cell r="Y37208" t="str">
            <v>NEW ZEALAND</v>
          </cell>
        </row>
        <row r="37209">
          <cell r="L37209" t="str">
            <v>Non-proportional</v>
          </cell>
          <cell r="S37209">
            <v>-4746.46</v>
          </cell>
          <cell r="X37209" t="str">
            <v>Variation UPR - gross</v>
          </cell>
          <cell r="Y37209" t="str">
            <v>UNITED KINGDOM</v>
          </cell>
        </row>
        <row r="37210">
          <cell r="L37210" t="str">
            <v>Proportional</v>
          </cell>
          <cell r="S37210">
            <v>-42470.18</v>
          </cell>
          <cell r="X37210" t="str">
            <v>Variation UPR - gross</v>
          </cell>
          <cell r="Y37210" t="str">
            <v>SWITZERLAND</v>
          </cell>
        </row>
        <row r="37211">
          <cell r="L37211" t="str">
            <v>Non-proportional</v>
          </cell>
          <cell r="S37211">
            <v>-6683.34</v>
          </cell>
          <cell r="X37211" t="str">
            <v>Variation UPR - gross</v>
          </cell>
          <cell r="Y37211" t="str">
            <v>FRANCE</v>
          </cell>
        </row>
        <row r="37212">
          <cell r="L37212" t="str">
            <v>Non-proportional</v>
          </cell>
          <cell r="S37212">
            <v>45.94</v>
          </cell>
          <cell r="X37212" t="str">
            <v>Variation UPR - gross</v>
          </cell>
          <cell r="Y37212" t="str">
            <v>NEW ZEALAND</v>
          </cell>
        </row>
        <row r="37213">
          <cell r="L37213" t="str">
            <v>Non-proportional</v>
          </cell>
          <cell r="S37213">
            <v>-1131.24</v>
          </cell>
          <cell r="X37213" t="str">
            <v>Variation UPR - gross</v>
          </cell>
          <cell r="Y37213" t="str">
            <v>CYPRUS</v>
          </cell>
        </row>
        <row r="37214">
          <cell r="L37214" t="str">
            <v>Non-proportional</v>
          </cell>
          <cell r="S37214">
            <v>-8819.32</v>
          </cell>
          <cell r="X37214" t="str">
            <v>Variation UPR - gross</v>
          </cell>
          <cell r="Y37214" t="str">
            <v>CHILE</v>
          </cell>
        </row>
        <row r="37215">
          <cell r="L37215" t="str">
            <v>Non-proportional</v>
          </cell>
          <cell r="S37215">
            <v>-6434.68</v>
          </cell>
          <cell r="X37215" t="str">
            <v>Variation UPR - gross</v>
          </cell>
          <cell r="Y37215" t="str">
            <v>THAILAND</v>
          </cell>
        </row>
        <row r="37216">
          <cell r="L37216" t="str">
            <v>Non-proportional</v>
          </cell>
          <cell r="S37216">
            <v>22.67</v>
          </cell>
          <cell r="X37216" t="str">
            <v>Variation UPR - gross</v>
          </cell>
          <cell r="Y37216" t="str">
            <v>COLOMBIA</v>
          </cell>
        </row>
        <row r="37217">
          <cell r="L37217" t="str">
            <v>Proportional</v>
          </cell>
          <cell r="S37217">
            <v>-27170.39</v>
          </cell>
          <cell r="X37217" t="str">
            <v>Variation UPR - gross</v>
          </cell>
          <cell r="Y37217" t="str">
            <v>THAILAND</v>
          </cell>
        </row>
        <row r="37218">
          <cell r="L37218" t="str">
            <v>Non-proportional</v>
          </cell>
          <cell r="S37218">
            <v>135.91</v>
          </cell>
          <cell r="X37218" t="str">
            <v>Variation UPR - gross</v>
          </cell>
          <cell r="Y37218" t="str">
            <v>NEW ZEALAND</v>
          </cell>
        </row>
        <row r="37219">
          <cell r="L37219" t="str">
            <v>Non-proportional</v>
          </cell>
          <cell r="S37219">
            <v>-3906.16</v>
          </cell>
          <cell r="X37219" t="str">
            <v>Variation UPR - gross</v>
          </cell>
          <cell r="Y37219" t="str">
            <v>EUROPE</v>
          </cell>
        </row>
        <row r="37220">
          <cell r="L37220" t="str">
            <v>Non-proportional</v>
          </cell>
          <cell r="S37220">
            <v>-115.75</v>
          </cell>
          <cell r="X37220" t="str">
            <v>Variation UPR - gross</v>
          </cell>
          <cell r="Y37220" t="str">
            <v>GUATEMALA</v>
          </cell>
        </row>
        <row r="37221">
          <cell r="L37221" t="str">
            <v>Non-proportional</v>
          </cell>
          <cell r="S37221">
            <v>-1599.16</v>
          </cell>
          <cell r="X37221" t="str">
            <v>Variation UPR - gross</v>
          </cell>
          <cell r="Y37221" t="str">
            <v>COLOMBIA</v>
          </cell>
        </row>
        <row r="37222">
          <cell r="L37222" t="str">
            <v>Non-proportional</v>
          </cell>
          <cell r="S37222">
            <v>-2610</v>
          </cell>
          <cell r="X37222" t="str">
            <v>Variation UPR - gross</v>
          </cell>
          <cell r="Y37222" t="str">
            <v>GREECE</v>
          </cell>
        </row>
        <row r="37223">
          <cell r="L37223" t="str">
            <v>Non-proportional</v>
          </cell>
          <cell r="S37223">
            <v>-3281.25</v>
          </cell>
          <cell r="X37223" t="str">
            <v>Variation UPR - gross</v>
          </cell>
          <cell r="Y37223" t="str">
            <v>ITALY</v>
          </cell>
        </row>
        <row r="37224">
          <cell r="L37224" t="str">
            <v>Non-proportional</v>
          </cell>
          <cell r="S37224">
            <v>-924.63</v>
          </cell>
          <cell r="X37224" t="str">
            <v>Variation UPR - gross</v>
          </cell>
          <cell r="Y37224" t="str">
            <v>COSTA RICA</v>
          </cell>
        </row>
        <row r="37225">
          <cell r="L37225" t="str">
            <v>Non-proportional</v>
          </cell>
          <cell r="S37225">
            <v>-1396.43</v>
          </cell>
          <cell r="X37225" t="str">
            <v>Variation UPR - gross</v>
          </cell>
          <cell r="Y37225" t="str">
            <v>UNITED ARAB EMIRATES</v>
          </cell>
        </row>
        <row r="37226">
          <cell r="L37226" t="str">
            <v>Non-proportional</v>
          </cell>
          <cell r="S37226">
            <v>-2761.57</v>
          </cell>
          <cell r="X37226" t="str">
            <v>Variation UPR - gross</v>
          </cell>
          <cell r="Y37226" t="str">
            <v>ISRAEL</v>
          </cell>
        </row>
        <row r="37227">
          <cell r="L37227" t="str">
            <v>Proportional</v>
          </cell>
          <cell r="S37227">
            <v>-1930763.24</v>
          </cell>
          <cell r="X37227" t="str">
            <v>Variation UPR - gross</v>
          </cell>
          <cell r="Y37227" t="str">
            <v>THAILAND</v>
          </cell>
        </row>
        <row r="37228">
          <cell r="L37228" t="str">
            <v>Non-proportional</v>
          </cell>
          <cell r="S37228">
            <v>-884.37</v>
          </cell>
          <cell r="X37228" t="str">
            <v>Variation UPR - gross</v>
          </cell>
          <cell r="Y37228" t="str">
            <v>FRANCE</v>
          </cell>
        </row>
        <row r="37229">
          <cell r="L37229" t="str">
            <v>Non-proportional</v>
          </cell>
          <cell r="S37229">
            <v>-1328.1</v>
          </cell>
          <cell r="X37229" t="str">
            <v>Variation UPR - gross</v>
          </cell>
          <cell r="Y37229" t="str">
            <v>AUSTRALIA</v>
          </cell>
        </row>
        <row r="37230">
          <cell r="L37230" t="str">
            <v>Non-proportional</v>
          </cell>
          <cell r="S37230">
            <v>-1846.85</v>
          </cell>
          <cell r="X37230" t="str">
            <v>Variation UPR - gross</v>
          </cell>
          <cell r="Y37230" t="str">
            <v>FRANCE</v>
          </cell>
        </row>
        <row r="37231">
          <cell r="L37231" t="str">
            <v>Non-proportional</v>
          </cell>
          <cell r="S37231">
            <v>-3570.63</v>
          </cell>
          <cell r="X37231" t="str">
            <v>Variation UPR - gross</v>
          </cell>
          <cell r="Y37231" t="str">
            <v>GREECE</v>
          </cell>
        </row>
        <row r="37232">
          <cell r="L37232" t="str">
            <v>Non-proportional</v>
          </cell>
          <cell r="S37232">
            <v>-6210.25</v>
          </cell>
          <cell r="X37232" t="str">
            <v>Variation UPR - gross</v>
          </cell>
          <cell r="Y37232" t="str">
            <v>ISRAEL</v>
          </cell>
        </row>
        <row r="37233">
          <cell r="L37233" t="str">
            <v>Non-proportional</v>
          </cell>
          <cell r="S37233">
            <v>29.04</v>
          </cell>
          <cell r="X37233" t="str">
            <v>Variation UPR - gross</v>
          </cell>
          <cell r="Y37233" t="str">
            <v>COLOMBIA</v>
          </cell>
        </row>
        <row r="37234">
          <cell r="L37234" t="str">
            <v>Non-proportional</v>
          </cell>
          <cell r="S37234">
            <v>-2063.87</v>
          </cell>
          <cell r="X37234" t="str">
            <v>Variation UPR - gross</v>
          </cell>
          <cell r="Y37234" t="str">
            <v>JAPAN</v>
          </cell>
        </row>
        <row r="37235">
          <cell r="L37235" t="str">
            <v>Non-proportional</v>
          </cell>
          <cell r="S37235">
            <v>-3917.27</v>
          </cell>
          <cell r="X37235" t="str">
            <v>Variation UPR - gross</v>
          </cell>
          <cell r="Y37235" t="str">
            <v>ITALY</v>
          </cell>
        </row>
        <row r="37236">
          <cell r="L37236" t="str">
            <v>Non-proportional</v>
          </cell>
          <cell r="S37236">
            <v>-6496.49</v>
          </cell>
          <cell r="X37236" t="str">
            <v>Variation UPR - gross</v>
          </cell>
          <cell r="Y37236" t="str">
            <v>AUSTRALIA</v>
          </cell>
        </row>
        <row r="37237">
          <cell r="L37237" t="str">
            <v>Non-proportional</v>
          </cell>
          <cell r="S37237">
            <v>-1160.44</v>
          </cell>
          <cell r="X37237" t="str">
            <v>Variation UPR - gross</v>
          </cell>
          <cell r="Y37237" t="str">
            <v>CHILE</v>
          </cell>
        </row>
        <row r="37238">
          <cell r="L37238" t="str">
            <v>Non-proportional</v>
          </cell>
          <cell r="S37238">
            <v>-3592.42</v>
          </cell>
          <cell r="X37238" t="str">
            <v>Variation UPR - gross</v>
          </cell>
          <cell r="Y37238" t="str">
            <v>FRANCE</v>
          </cell>
        </row>
        <row r="37239">
          <cell r="L37239" t="str">
            <v>Non-proportional</v>
          </cell>
          <cell r="S37239">
            <v>-1061352.4099999999</v>
          </cell>
          <cell r="X37239" t="str">
            <v>Variation UPR - gross</v>
          </cell>
          <cell r="Y37239" t="str">
            <v>BELGIUM</v>
          </cell>
        </row>
        <row r="37240">
          <cell r="L37240" t="str">
            <v>Non-proportional</v>
          </cell>
          <cell r="S37240">
            <v>-1546248.92</v>
          </cell>
          <cell r="X37240" t="str">
            <v>Variation UPR - gross</v>
          </cell>
          <cell r="Y37240" t="str">
            <v>BELGIUM</v>
          </cell>
        </row>
        <row r="37241">
          <cell r="L37241" t="str">
            <v>Proportional</v>
          </cell>
          <cell r="S37241">
            <v>1007.39</v>
          </cell>
          <cell r="X37241" t="str">
            <v>Variation UPR - gross</v>
          </cell>
          <cell r="Y37241" t="str">
            <v>INDIA</v>
          </cell>
        </row>
        <row r="37242">
          <cell r="L37242" t="str">
            <v>Non-proportional</v>
          </cell>
          <cell r="S37242">
            <v>-2021.34</v>
          </cell>
          <cell r="X37242" t="str">
            <v>Variation UPR - gross</v>
          </cell>
          <cell r="Y37242" t="str">
            <v>AUSTRALIA</v>
          </cell>
        </row>
        <row r="37243">
          <cell r="L37243" t="str">
            <v>Non-proportional</v>
          </cell>
          <cell r="S37243">
            <v>-3202.16</v>
          </cell>
          <cell r="X37243" t="str">
            <v>Variation UPR - gross</v>
          </cell>
          <cell r="Y37243" t="str">
            <v>ISRAEL</v>
          </cell>
        </row>
        <row r="37244">
          <cell r="L37244" t="str">
            <v>Non-proportional</v>
          </cell>
          <cell r="S37244">
            <v>-6054.96</v>
          </cell>
          <cell r="X37244" t="str">
            <v>Variation UPR - gross</v>
          </cell>
          <cell r="Y37244" t="str">
            <v>FRANCE</v>
          </cell>
        </row>
        <row r="37245">
          <cell r="L37245" t="str">
            <v>Non-proportional</v>
          </cell>
          <cell r="S37245">
            <v>-2395.2800000000002</v>
          </cell>
          <cell r="X37245" t="str">
            <v>Variation UPR - gross</v>
          </cell>
          <cell r="Y37245" t="str">
            <v>INDIA</v>
          </cell>
        </row>
        <row r="37246">
          <cell r="L37246" t="str">
            <v>Proportional</v>
          </cell>
          <cell r="S37246">
            <v>-178530.75</v>
          </cell>
          <cell r="X37246" t="str">
            <v>Variation UPR - gross</v>
          </cell>
          <cell r="Y37246" t="str">
            <v>THAILAND</v>
          </cell>
        </row>
        <row r="37247">
          <cell r="L37247" t="str">
            <v>Proportional</v>
          </cell>
          <cell r="S37247">
            <v>-865</v>
          </cell>
          <cell r="X37247" t="str">
            <v>Variation UPR - gross</v>
          </cell>
          <cell r="Y37247" t="str">
            <v>ITALY</v>
          </cell>
        </row>
        <row r="37248">
          <cell r="L37248" t="str">
            <v>Non-proportional</v>
          </cell>
          <cell r="S37248">
            <v>-25298.400000000001</v>
          </cell>
          <cell r="X37248" t="str">
            <v>Variation UPR - gross</v>
          </cell>
          <cell r="Y37248" t="str">
            <v>FRANCE</v>
          </cell>
        </row>
        <row r="37249">
          <cell r="L37249" t="str">
            <v>Proportional</v>
          </cell>
          <cell r="S37249">
            <v>-19237.599999999999</v>
          </cell>
          <cell r="X37249" t="str">
            <v>Variation UPR - gross</v>
          </cell>
          <cell r="Y37249" t="str">
            <v>FRANCE</v>
          </cell>
        </row>
        <row r="37250">
          <cell r="L37250" t="str">
            <v>Non-proportional</v>
          </cell>
          <cell r="S37250">
            <v>-621.87</v>
          </cell>
          <cell r="X37250" t="str">
            <v>Variation UPR - gross</v>
          </cell>
          <cell r="Y37250" t="str">
            <v>JAPAN</v>
          </cell>
        </row>
        <row r="37251">
          <cell r="L37251" t="str">
            <v>Non-proportional</v>
          </cell>
          <cell r="S37251">
            <v>-53187.5</v>
          </cell>
          <cell r="X37251" t="str">
            <v>Variation UPR - gross</v>
          </cell>
          <cell r="Y37251" t="str">
            <v>BELGIUM</v>
          </cell>
        </row>
        <row r="37252">
          <cell r="L37252" t="str">
            <v>Non-proportional</v>
          </cell>
          <cell r="S37252">
            <v>-4185.91</v>
          </cell>
          <cell r="X37252" t="str">
            <v>Variation UPR - gross</v>
          </cell>
          <cell r="Y37252" t="str">
            <v>FRANCE</v>
          </cell>
        </row>
        <row r="37253">
          <cell r="L37253" t="str">
            <v>Non-proportional</v>
          </cell>
          <cell r="S37253">
            <v>-3502.04</v>
          </cell>
          <cell r="X37253" t="str">
            <v>Variation UPR - gross</v>
          </cell>
          <cell r="Y37253" t="str">
            <v>COLOMBIA</v>
          </cell>
        </row>
        <row r="37254">
          <cell r="L37254" t="str">
            <v>Non-proportional</v>
          </cell>
          <cell r="S37254">
            <v>-404079.15</v>
          </cell>
          <cell r="X37254" t="str">
            <v>Variation UPR - gross</v>
          </cell>
          <cell r="Y37254" t="str">
            <v>UNITED KINGDOM</v>
          </cell>
        </row>
        <row r="37255">
          <cell r="L37255" t="str">
            <v>Non-proportional</v>
          </cell>
          <cell r="S37255">
            <v>-69478.179999999993</v>
          </cell>
          <cell r="X37255" t="str">
            <v>Variation UPR - gross</v>
          </cell>
          <cell r="Y37255" t="str">
            <v>UNITED KINGDOM</v>
          </cell>
        </row>
        <row r="37256">
          <cell r="L37256" t="str">
            <v>Non-proportional</v>
          </cell>
          <cell r="S37256">
            <v>-257.55</v>
          </cell>
          <cell r="X37256" t="str">
            <v>Variation UPR - gross</v>
          </cell>
          <cell r="Y37256" t="str">
            <v>COLOMBIA</v>
          </cell>
        </row>
        <row r="37257">
          <cell r="L37257" t="str">
            <v>Non-proportional</v>
          </cell>
          <cell r="S37257">
            <v>-4462.41</v>
          </cell>
          <cell r="X37257" t="str">
            <v>Variation UPR - gross</v>
          </cell>
          <cell r="Y37257" t="str">
            <v>UNITED KINGDOM</v>
          </cell>
        </row>
        <row r="37258">
          <cell r="L37258" t="str">
            <v>Proportional</v>
          </cell>
          <cell r="S37258">
            <v>-43863.34</v>
          </cell>
          <cell r="X37258" t="str">
            <v>Variation UPR - gross</v>
          </cell>
          <cell r="Y37258" t="str">
            <v>FRANCE</v>
          </cell>
        </row>
        <row r="37259">
          <cell r="L37259" t="str">
            <v>Non-proportional</v>
          </cell>
          <cell r="S37259">
            <v>10.84</v>
          </cell>
          <cell r="X37259" t="str">
            <v>Variation UPR - gross</v>
          </cell>
          <cell r="Y37259" t="str">
            <v>INDIA</v>
          </cell>
        </row>
        <row r="37260">
          <cell r="L37260" t="str">
            <v>Proportional</v>
          </cell>
          <cell r="S37260">
            <v>-2041666.67</v>
          </cell>
          <cell r="X37260" t="str">
            <v>Variation UPR - gross</v>
          </cell>
          <cell r="Y37260" t="str">
            <v>PORTUGAL</v>
          </cell>
        </row>
        <row r="37261">
          <cell r="L37261" t="str">
            <v>Non-proportional</v>
          </cell>
          <cell r="S37261">
            <v>-6500</v>
          </cell>
          <cell r="X37261" t="str">
            <v>Variation UPR - gross</v>
          </cell>
          <cell r="Y37261" t="str">
            <v>FRANCE</v>
          </cell>
        </row>
        <row r="37262">
          <cell r="L37262" t="str">
            <v>Non-proportional</v>
          </cell>
          <cell r="S37262">
            <v>-2041.67</v>
          </cell>
          <cell r="X37262" t="str">
            <v>Variation UPR - gross</v>
          </cell>
          <cell r="Y37262" t="str">
            <v>ITALY</v>
          </cell>
        </row>
        <row r="37263">
          <cell r="L37263" t="str">
            <v>Non-proportional</v>
          </cell>
          <cell r="S37263">
            <v>-2927.42</v>
          </cell>
          <cell r="X37263" t="str">
            <v>Variation UPR - gross</v>
          </cell>
          <cell r="Y37263" t="str">
            <v>ECUADOR</v>
          </cell>
        </row>
        <row r="37264">
          <cell r="L37264" t="str">
            <v>Proportional</v>
          </cell>
          <cell r="S37264">
            <v>-4235.8</v>
          </cell>
          <cell r="X37264" t="str">
            <v>Variation UPR - gross</v>
          </cell>
          <cell r="Y37264" t="str">
            <v>UNITED STATES</v>
          </cell>
        </row>
        <row r="37265">
          <cell r="L37265" t="str">
            <v>Non-proportional</v>
          </cell>
          <cell r="S37265">
            <v>-4963.37</v>
          </cell>
          <cell r="X37265" t="str">
            <v>Variation UPR - gross</v>
          </cell>
          <cell r="Y37265" t="str">
            <v>PERU</v>
          </cell>
        </row>
        <row r="37266">
          <cell r="L37266" t="str">
            <v>Non-proportional</v>
          </cell>
          <cell r="S37266">
            <v>-116.04</v>
          </cell>
          <cell r="X37266" t="str">
            <v>Variation UPR - gross</v>
          </cell>
          <cell r="Y37266" t="str">
            <v>CHILE</v>
          </cell>
        </row>
        <row r="37267">
          <cell r="L37267" t="str">
            <v>Non-proportional</v>
          </cell>
          <cell r="S37267">
            <v>342206.17</v>
          </cell>
          <cell r="X37267" t="str">
            <v>Variation UPR - gross</v>
          </cell>
          <cell r="Y37267" t="str">
            <v>JAPAN</v>
          </cell>
        </row>
        <row r="37268">
          <cell r="L37268" t="str">
            <v>Non-proportional</v>
          </cell>
          <cell r="S37268">
            <v>-48.47</v>
          </cell>
          <cell r="X37268" t="str">
            <v>Variation UPR - gross</v>
          </cell>
          <cell r="Y37268" t="str">
            <v>BRAZIL</v>
          </cell>
        </row>
        <row r="37269">
          <cell r="L37269" t="str">
            <v>Non-proportional</v>
          </cell>
          <cell r="S37269">
            <v>-1800</v>
          </cell>
          <cell r="X37269" t="str">
            <v>Variation UPR - gross</v>
          </cell>
          <cell r="Y37269" t="str">
            <v>PORTUGAL</v>
          </cell>
        </row>
        <row r="37270">
          <cell r="L37270" t="str">
            <v>Non-proportional</v>
          </cell>
          <cell r="S37270">
            <v>-73.069999999999993</v>
          </cell>
          <cell r="X37270" t="str">
            <v>Variation UPR - gross</v>
          </cell>
          <cell r="Y37270" t="str">
            <v>CHILE</v>
          </cell>
        </row>
        <row r="37271">
          <cell r="L37271" t="str">
            <v>Non-proportional</v>
          </cell>
          <cell r="S37271">
            <v>-453.74</v>
          </cell>
          <cell r="X37271" t="str">
            <v>Variation UPR - gross</v>
          </cell>
          <cell r="Y37271" t="str">
            <v>UNITED KINGDOM</v>
          </cell>
        </row>
        <row r="37272">
          <cell r="L37272" t="str">
            <v>Non-proportional</v>
          </cell>
          <cell r="S37272">
            <v>-7687.66</v>
          </cell>
          <cell r="X37272" t="str">
            <v>Variation UPR - gross</v>
          </cell>
          <cell r="Y37272" t="str">
            <v>MEXICO</v>
          </cell>
        </row>
        <row r="37273">
          <cell r="L37273" t="str">
            <v>Non-proportional</v>
          </cell>
          <cell r="S37273">
            <v>-2999.74</v>
          </cell>
          <cell r="X37273" t="str">
            <v>Variation UPR - gross</v>
          </cell>
          <cell r="Y37273" t="str">
            <v>NETHERLANDS</v>
          </cell>
        </row>
        <row r="37274">
          <cell r="L37274" t="str">
            <v>Non-proportional</v>
          </cell>
          <cell r="S37274">
            <v>2088.34</v>
          </cell>
          <cell r="X37274" t="str">
            <v>Variation UPR - gross</v>
          </cell>
          <cell r="Y37274" t="str">
            <v>JAPAN</v>
          </cell>
        </row>
        <row r="37275">
          <cell r="L37275" t="str">
            <v>Non-proportional</v>
          </cell>
          <cell r="S37275">
            <v>-2061.8000000000002</v>
          </cell>
          <cell r="X37275" t="str">
            <v>Variation UPR - gross</v>
          </cell>
          <cell r="Y37275" t="str">
            <v>AUSTRALIA</v>
          </cell>
        </row>
        <row r="37276">
          <cell r="L37276" t="str">
            <v>Non-proportional</v>
          </cell>
          <cell r="S37276">
            <v>-3015.29</v>
          </cell>
          <cell r="X37276" t="str">
            <v>Variation UPR - gross</v>
          </cell>
          <cell r="Y37276" t="str">
            <v>ITALY</v>
          </cell>
        </row>
        <row r="37277">
          <cell r="L37277" t="str">
            <v>Non-proportional</v>
          </cell>
          <cell r="S37277">
            <v>-2610</v>
          </cell>
          <cell r="X37277" t="str">
            <v>Variation UPR - gross</v>
          </cell>
          <cell r="Y37277" t="str">
            <v>GREECE</v>
          </cell>
        </row>
        <row r="37278">
          <cell r="L37278" t="str">
            <v>Non-proportional</v>
          </cell>
          <cell r="S37278">
            <v>-1111.1199999999999</v>
          </cell>
          <cell r="X37278" t="str">
            <v>Variation UPR - gross</v>
          </cell>
          <cell r="Y37278" t="str">
            <v>COSTA RICA</v>
          </cell>
        </row>
        <row r="37279">
          <cell r="L37279" t="str">
            <v>Non-proportional</v>
          </cell>
          <cell r="S37279">
            <v>20.98</v>
          </cell>
          <cell r="X37279" t="str">
            <v>Variation UPR - gross</v>
          </cell>
          <cell r="Y37279" t="str">
            <v>COLOMBIA</v>
          </cell>
        </row>
        <row r="37280">
          <cell r="L37280" t="str">
            <v>Non-proportional</v>
          </cell>
          <cell r="S37280">
            <v>-570.53</v>
          </cell>
          <cell r="X37280" t="str">
            <v>Variation UPR - gross</v>
          </cell>
          <cell r="Y37280" t="str">
            <v>BRAZIL</v>
          </cell>
        </row>
        <row r="37281">
          <cell r="L37281" t="str">
            <v>Non-proportional</v>
          </cell>
          <cell r="S37281">
            <v>-36.53</v>
          </cell>
          <cell r="X37281" t="str">
            <v>Variation UPR - gross</v>
          </cell>
          <cell r="Y37281" t="str">
            <v>CHILE</v>
          </cell>
        </row>
        <row r="37282">
          <cell r="L37282" t="str">
            <v>Non-proportional</v>
          </cell>
          <cell r="S37282">
            <v>-35326.94</v>
          </cell>
          <cell r="X37282" t="str">
            <v>Variation UPR - gross</v>
          </cell>
          <cell r="Y37282" t="str">
            <v>TURKEY</v>
          </cell>
        </row>
        <row r="37283">
          <cell r="L37283" t="str">
            <v>Non-proportional</v>
          </cell>
          <cell r="S37283">
            <v>-8415.7199999999993</v>
          </cell>
          <cell r="X37283" t="str">
            <v>Variation UPR - gross</v>
          </cell>
          <cell r="Y37283" t="str">
            <v>AUSTRALIA</v>
          </cell>
        </row>
        <row r="37284">
          <cell r="L37284" t="str">
            <v>Non-proportional</v>
          </cell>
          <cell r="S37284">
            <v>-23621.59</v>
          </cell>
          <cell r="X37284" t="str">
            <v>Variation UPR - gross</v>
          </cell>
          <cell r="Y37284" t="str">
            <v>NEW ZEALAND</v>
          </cell>
        </row>
        <row r="37285">
          <cell r="L37285" t="str">
            <v>Non-proportional</v>
          </cell>
          <cell r="S37285">
            <v>-14483.94</v>
          </cell>
          <cell r="X37285" t="str">
            <v>Variation UPR - gross</v>
          </cell>
          <cell r="Y37285" t="str">
            <v>FRANCE</v>
          </cell>
        </row>
        <row r="37286">
          <cell r="L37286" t="str">
            <v>Non-proportional</v>
          </cell>
          <cell r="S37286">
            <v>11670.03</v>
          </cell>
          <cell r="X37286" t="str">
            <v>Variation UPR - gross</v>
          </cell>
          <cell r="Y37286" t="str">
            <v>JAPAN</v>
          </cell>
        </row>
        <row r="37287">
          <cell r="L37287" t="str">
            <v>Non-proportional</v>
          </cell>
          <cell r="S37287">
            <v>-3251.49</v>
          </cell>
          <cell r="X37287" t="str">
            <v>Variation UPR - gross</v>
          </cell>
          <cell r="Y37287" t="str">
            <v>CHILE</v>
          </cell>
        </row>
        <row r="37288">
          <cell r="L37288" t="str">
            <v>Non-proportional</v>
          </cell>
          <cell r="S37288">
            <v>-109675.48</v>
          </cell>
          <cell r="X37288" t="str">
            <v>Variation UPR - gross</v>
          </cell>
          <cell r="Y37288" t="str">
            <v>EUROPE</v>
          </cell>
        </row>
        <row r="37289">
          <cell r="L37289" t="str">
            <v>Non-proportional</v>
          </cell>
          <cell r="S37289">
            <v>-3919.79</v>
          </cell>
          <cell r="X37289" t="str">
            <v>Variation UPR - gross</v>
          </cell>
          <cell r="Y37289" t="str">
            <v>COLOMBIA</v>
          </cell>
        </row>
        <row r="37290">
          <cell r="L37290" t="str">
            <v>Non-proportional</v>
          </cell>
          <cell r="S37290">
            <v>-13517.32</v>
          </cell>
          <cell r="X37290" t="str">
            <v>Variation UPR - gross</v>
          </cell>
          <cell r="Y37290" t="str">
            <v>ECUADOR</v>
          </cell>
        </row>
        <row r="37291">
          <cell r="L37291" t="str">
            <v>Proportional</v>
          </cell>
          <cell r="S37291">
            <v>-92666.67</v>
          </cell>
          <cell r="X37291" t="str">
            <v>Variation UPR - gross</v>
          </cell>
          <cell r="Y37291" t="str">
            <v>FRANCE</v>
          </cell>
        </row>
        <row r="37292">
          <cell r="L37292" t="str">
            <v>Non-proportional</v>
          </cell>
          <cell r="S37292">
            <v>-5151.8999999999996</v>
          </cell>
          <cell r="X37292" t="str">
            <v>Variation UPR - gross</v>
          </cell>
          <cell r="Y37292" t="str">
            <v>ITALY</v>
          </cell>
        </row>
        <row r="37293">
          <cell r="L37293" t="str">
            <v>Non-proportional</v>
          </cell>
          <cell r="S37293">
            <v>-456.19</v>
          </cell>
          <cell r="X37293" t="str">
            <v>Variation UPR - gross</v>
          </cell>
          <cell r="Y37293" t="str">
            <v>NEW ZEALAND</v>
          </cell>
        </row>
        <row r="37294">
          <cell r="L37294" t="str">
            <v>Non-proportional</v>
          </cell>
          <cell r="S37294">
            <v>-9660.6200000000008</v>
          </cell>
          <cell r="X37294" t="str">
            <v>Variation UPR - gross</v>
          </cell>
          <cell r="Y37294" t="str">
            <v>CHINA</v>
          </cell>
        </row>
        <row r="37295">
          <cell r="L37295" t="str">
            <v>Non-proportional</v>
          </cell>
          <cell r="S37295">
            <v>-4817.46</v>
          </cell>
          <cell r="X37295" t="str">
            <v>Variation UPR - gross</v>
          </cell>
          <cell r="Y37295" t="str">
            <v>SPAIN</v>
          </cell>
        </row>
        <row r="37296">
          <cell r="L37296" t="str">
            <v>Non-proportional</v>
          </cell>
          <cell r="S37296">
            <v>-33287.879999999997</v>
          </cell>
          <cell r="X37296" t="str">
            <v>Variation UPR - gross</v>
          </cell>
          <cell r="Y37296" t="str">
            <v>NEW ZEALAND</v>
          </cell>
        </row>
        <row r="37297">
          <cell r="L37297" t="str">
            <v>Non-proportional</v>
          </cell>
          <cell r="S37297">
            <v>40537.75</v>
          </cell>
          <cell r="X37297" t="str">
            <v>Variation UPR - gross</v>
          </cell>
          <cell r="Y37297" t="str">
            <v>JAPAN</v>
          </cell>
        </row>
        <row r="37298">
          <cell r="L37298" t="str">
            <v>Non-proportional</v>
          </cell>
          <cell r="S37298">
            <v>-775.4</v>
          </cell>
          <cell r="X37298" t="str">
            <v>Variation UPR - gross</v>
          </cell>
          <cell r="Y37298" t="str">
            <v>JAPAN</v>
          </cell>
        </row>
        <row r="37299">
          <cell r="L37299" t="str">
            <v>Non-proportional</v>
          </cell>
          <cell r="S37299">
            <v>-3611.71</v>
          </cell>
          <cell r="X37299" t="str">
            <v>Variation UPR - gross</v>
          </cell>
          <cell r="Y37299" t="str">
            <v>AUSTRALIA</v>
          </cell>
        </row>
        <row r="37300">
          <cell r="L37300" t="str">
            <v>Non-proportional</v>
          </cell>
          <cell r="S37300">
            <v>-975</v>
          </cell>
          <cell r="X37300" t="str">
            <v>Variation UPR - gross</v>
          </cell>
          <cell r="Y37300" t="str">
            <v>GREECE</v>
          </cell>
        </row>
        <row r="37301">
          <cell r="L37301" t="str">
            <v>Non-proportional</v>
          </cell>
          <cell r="S37301">
            <v>-4238.47</v>
          </cell>
          <cell r="X37301" t="str">
            <v>Variation UPR - gross</v>
          </cell>
          <cell r="Y37301" t="str">
            <v>FRANCE</v>
          </cell>
        </row>
        <row r="37302">
          <cell r="L37302" t="str">
            <v>Non-proportional</v>
          </cell>
          <cell r="S37302">
            <v>-37.520000000000003</v>
          </cell>
          <cell r="X37302" t="str">
            <v>Variation UPR - gross</v>
          </cell>
          <cell r="Y37302" t="str">
            <v>COSTA RICA</v>
          </cell>
        </row>
        <row r="37303">
          <cell r="L37303" t="str">
            <v>Non-proportional</v>
          </cell>
          <cell r="S37303">
            <v>-4.3099999999999996</v>
          </cell>
          <cell r="X37303" t="str">
            <v>Variation UPR - gross</v>
          </cell>
          <cell r="Y37303" t="str">
            <v>COSTA RICA</v>
          </cell>
        </row>
        <row r="37304">
          <cell r="L37304" t="str">
            <v>Proportional</v>
          </cell>
          <cell r="S37304">
            <v>-36091.160000000003</v>
          </cell>
          <cell r="X37304" t="str">
            <v>Variation UPR - gross</v>
          </cell>
          <cell r="Y37304" t="str">
            <v>THAILAND</v>
          </cell>
        </row>
        <row r="37305">
          <cell r="L37305" t="str">
            <v>Proportional</v>
          </cell>
          <cell r="S37305">
            <v>51.45</v>
          </cell>
          <cell r="X37305" t="str">
            <v>Variation UPR - gross</v>
          </cell>
          <cell r="Y37305" t="str">
            <v>INDIA</v>
          </cell>
        </row>
        <row r="37306">
          <cell r="L37306" t="str">
            <v>Non-proportional</v>
          </cell>
          <cell r="S37306">
            <v>-4298.96</v>
          </cell>
          <cell r="X37306" t="str">
            <v>Variation UPR - gross</v>
          </cell>
          <cell r="Y37306" t="str">
            <v>UNITED KINGDOM</v>
          </cell>
        </row>
        <row r="37307">
          <cell r="L37307" t="str">
            <v>Non-proportional</v>
          </cell>
          <cell r="S37307">
            <v>-353.65</v>
          </cell>
          <cell r="X37307" t="str">
            <v>Variation UPR - gross</v>
          </cell>
          <cell r="Y37307" t="str">
            <v>JAPAN</v>
          </cell>
        </row>
        <row r="37308">
          <cell r="L37308" t="str">
            <v>Non-proportional</v>
          </cell>
          <cell r="S37308">
            <v>2641.13</v>
          </cell>
          <cell r="X37308" t="str">
            <v>Variation UPR - gross</v>
          </cell>
          <cell r="Y37308" t="str">
            <v>JAPAN</v>
          </cell>
        </row>
        <row r="37309">
          <cell r="L37309" t="str">
            <v>Non-proportional</v>
          </cell>
          <cell r="S37309">
            <v>21977.71</v>
          </cell>
          <cell r="X37309" t="str">
            <v>Variation UPR - gross</v>
          </cell>
          <cell r="Y37309" t="str">
            <v>GUATEMALA</v>
          </cell>
        </row>
        <row r="37310">
          <cell r="L37310" t="str">
            <v>Non-proportional</v>
          </cell>
          <cell r="S37310">
            <v>-22419.15</v>
          </cell>
          <cell r="X37310" t="str">
            <v>Variation UPR - gross</v>
          </cell>
          <cell r="Y37310" t="str">
            <v>UNITED KINGDOM</v>
          </cell>
        </row>
        <row r="37311">
          <cell r="L37311" t="str">
            <v>Non-proportional</v>
          </cell>
          <cell r="S37311">
            <v>-6666.5</v>
          </cell>
          <cell r="X37311" t="str">
            <v>Variation UPR - gross</v>
          </cell>
          <cell r="Y37311" t="str">
            <v>ITALY</v>
          </cell>
        </row>
        <row r="37312">
          <cell r="L37312" t="str">
            <v>Non-proportional</v>
          </cell>
          <cell r="S37312">
            <v>-2720.56</v>
          </cell>
          <cell r="X37312" t="str">
            <v>Variation UPR - gross</v>
          </cell>
          <cell r="Y37312" t="str">
            <v>NEW ZEALAND</v>
          </cell>
        </row>
        <row r="37313">
          <cell r="L37313" t="str">
            <v>Non-proportional</v>
          </cell>
          <cell r="S37313">
            <v>-3570.63</v>
          </cell>
          <cell r="X37313" t="str">
            <v>Variation UPR - gross</v>
          </cell>
          <cell r="Y37313" t="str">
            <v>GREECE</v>
          </cell>
        </row>
        <row r="37314">
          <cell r="L37314" t="str">
            <v>Non-proportional</v>
          </cell>
          <cell r="S37314">
            <v>10515.54</v>
          </cell>
          <cell r="X37314" t="str">
            <v>Variation UPR - gross</v>
          </cell>
          <cell r="Y37314" t="str">
            <v>ECUADOR</v>
          </cell>
        </row>
        <row r="37315">
          <cell r="L37315" t="str">
            <v>Non-proportional</v>
          </cell>
          <cell r="S37315">
            <v>19406.3</v>
          </cell>
          <cell r="X37315" t="str">
            <v>Variation UPR - gross</v>
          </cell>
          <cell r="Y37315" t="str">
            <v>ECUADOR</v>
          </cell>
        </row>
        <row r="37316">
          <cell r="L37316" t="str">
            <v>Non-proportional</v>
          </cell>
          <cell r="S37316">
            <v>23763.35</v>
          </cell>
          <cell r="X37316" t="str">
            <v>Variation UPR - gross</v>
          </cell>
          <cell r="Y37316" t="str">
            <v>GUATEMALA</v>
          </cell>
        </row>
        <row r="37317">
          <cell r="L37317" t="str">
            <v>Proportional</v>
          </cell>
          <cell r="S37317">
            <v>-10685.72</v>
          </cell>
          <cell r="X37317" t="str">
            <v>Variation UPR - gross</v>
          </cell>
          <cell r="Y37317" t="str">
            <v>INDIA</v>
          </cell>
        </row>
        <row r="37318">
          <cell r="L37318" t="str">
            <v>Non-proportional</v>
          </cell>
          <cell r="S37318">
            <v>-5318.42</v>
          </cell>
          <cell r="X37318" t="str">
            <v>Variation UPR - gross</v>
          </cell>
          <cell r="Y37318" t="str">
            <v>DOMINICAN REPUBLIC</v>
          </cell>
        </row>
        <row r="37319">
          <cell r="L37319" t="str">
            <v>Non-proportional</v>
          </cell>
          <cell r="S37319">
            <v>-2680.22</v>
          </cell>
          <cell r="X37319" t="str">
            <v>Variation UPR - gross</v>
          </cell>
          <cell r="Y37319" t="str">
            <v>UNITED KINGDOM</v>
          </cell>
        </row>
        <row r="37320">
          <cell r="L37320" t="str">
            <v>Non-proportional</v>
          </cell>
          <cell r="S37320">
            <v>-5851.33</v>
          </cell>
          <cell r="X37320" t="str">
            <v>Variation UPR - gross</v>
          </cell>
          <cell r="Y37320" t="str">
            <v>ITALY</v>
          </cell>
        </row>
        <row r="37321">
          <cell r="L37321" t="str">
            <v>Non-proportional</v>
          </cell>
          <cell r="S37321">
            <v>-14424.04</v>
          </cell>
          <cell r="X37321" t="str">
            <v>Variation UPR - gross</v>
          </cell>
          <cell r="Y37321" t="str">
            <v>FRANCE</v>
          </cell>
        </row>
        <row r="37322">
          <cell r="L37322" t="str">
            <v>Non-proportional</v>
          </cell>
          <cell r="S37322">
            <v>-1589746.32</v>
          </cell>
          <cell r="X37322" t="str">
            <v>Variation UPR - gross</v>
          </cell>
          <cell r="Y37322" t="str">
            <v>UNITED KINGDOM</v>
          </cell>
        </row>
        <row r="37323">
          <cell r="L37323" t="str">
            <v>Proportional</v>
          </cell>
          <cell r="S37323">
            <v>-1033.04</v>
          </cell>
          <cell r="X37323" t="str">
            <v>Variation UPR - gross</v>
          </cell>
          <cell r="Y37323" t="str">
            <v>THAILAND</v>
          </cell>
        </row>
        <row r="37324">
          <cell r="L37324" t="str">
            <v>Non-proportional</v>
          </cell>
          <cell r="S37324">
            <v>-3195.79</v>
          </cell>
          <cell r="X37324" t="str">
            <v>Variation UPR - gross</v>
          </cell>
          <cell r="Y37324" t="str">
            <v>UNITED KINGDOM</v>
          </cell>
        </row>
        <row r="37325">
          <cell r="L37325" t="str">
            <v>Non-proportional</v>
          </cell>
          <cell r="S37325">
            <v>-44104.28</v>
          </cell>
          <cell r="X37325" t="str">
            <v>Variation UPR - gross</v>
          </cell>
          <cell r="Y37325" t="str">
            <v>UNITED KINGDOM</v>
          </cell>
        </row>
        <row r="37326">
          <cell r="L37326" t="str">
            <v>Non-proportional</v>
          </cell>
          <cell r="S37326">
            <v>5.61</v>
          </cell>
          <cell r="X37326" t="str">
            <v>Variation UPR - gross</v>
          </cell>
          <cell r="Y37326" t="str">
            <v>GUATEMALA</v>
          </cell>
        </row>
        <row r="37327">
          <cell r="L37327" t="str">
            <v>Non-proportional</v>
          </cell>
          <cell r="S37327">
            <v>-11395.83</v>
          </cell>
          <cell r="X37327" t="str">
            <v>Variation UPR - gross</v>
          </cell>
          <cell r="Y37327" t="str">
            <v>AUSTRALIA</v>
          </cell>
        </row>
        <row r="37328">
          <cell r="L37328" t="str">
            <v>Non-proportional</v>
          </cell>
          <cell r="S37328">
            <v>19491.13</v>
          </cell>
          <cell r="X37328" t="str">
            <v>Variation UPR - gross</v>
          </cell>
          <cell r="Y37328" t="str">
            <v>JAPAN</v>
          </cell>
        </row>
        <row r="37329">
          <cell r="L37329" t="str">
            <v>Non-proportional</v>
          </cell>
          <cell r="S37329">
            <v>-4292.88</v>
          </cell>
          <cell r="X37329" t="str">
            <v>Variation UPR - gross</v>
          </cell>
          <cell r="Y37329" t="str">
            <v>UNITED KINGDOM</v>
          </cell>
        </row>
        <row r="37330">
          <cell r="L37330" t="str">
            <v>Non-proportional</v>
          </cell>
          <cell r="S37330">
            <v>-2265.08</v>
          </cell>
          <cell r="X37330" t="str">
            <v>Variation UPR - gross</v>
          </cell>
          <cell r="Y37330" t="str">
            <v>CHILE</v>
          </cell>
        </row>
        <row r="37331">
          <cell r="L37331" t="str">
            <v>Non-proportional</v>
          </cell>
          <cell r="S37331">
            <v>-255347.53</v>
          </cell>
          <cell r="X37331" t="str">
            <v>Variation UPR - gross</v>
          </cell>
          <cell r="Y37331" t="str">
            <v>UNITED KINGDOM</v>
          </cell>
        </row>
        <row r="37332">
          <cell r="L37332" t="str">
            <v>Non-proportional</v>
          </cell>
          <cell r="S37332">
            <v>-5260.84</v>
          </cell>
          <cell r="X37332" t="str">
            <v>Variation UPR - gross</v>
          </cell>
          <cell r="Y37332" t="str">
            <v>CHILE</v>
          </cell>
        </row>
        <row r="37333">
          <cell r="L37333" t="str">
            <v>Non-proportional</v>
          </cell>
          <cell r="S37333">
            <v>31925.58</v>
          </cell>
          <cell r="X37333" t="str">
            <v>Variation UPR - gross</v>
          </cell>
          <cell r="Y37333" t="str">
            <v>JAPAN</v>
          </cell>
        </row>
        <row r="37334">
          <cell r="L37334" t="str">
            <v>Non-proportional</v>
          </cell>
          <cell r="S37334">
            <v>-375.42</v>
          </cell>
          <cell r="X37334" t="str">
            <v>Variation UPR - gross</v>
          </cell>
          <cell r="Y37334" t="str">
            <v>ITALY</v>
          </cell>
        </row>
        <row r="37335">
          <cell r="L37335" t="str">
            <v>Non-proportional</v>
          </cell>
          <cell r="S37335">
            <v>-4233.33</v>
          </cell>
          <cell r="X37335" t="str">
            <v>Variation UPR - gross</v>
          </cell>
          <cell r="Y37335" t="str">
            <v>FRANCE</v>
          </cell>
        </row>
        <row r="37336">
          <cell r="L37336" t="str">
            <v>Non-proportional</v>
          </cell>
          <cell r="S37336">
            <v>-146.22999999999999</v>
          </cell>
          <cell r="X37336" t="str">
            <v>Variation UPR - gross</v>
          </cell>
          <cell r="Y37336" t="str">
            <v>NEW ZEALAND</v>
          </cell>
        </row>
        <row r="37337">
          <cell r="L37337" t="str">
            <v>Proportional</v>
          </cell>
          <cell r="S37337">
            <v>-7349.15</v>
          </cell>
          <cell r="X37337" t="str">
            <v>Variation UPR - gross</v>
          </cell>
          <cell r="Y37337" t="str">
            <v>HONG KONG</v>
          </cell>
        </row>
        <row r="37338">
          <cell r="L37338" t="str">
            <v>Non-proportional</v>
          </cell>
          <cell r="S37338">
            <v>-375084.73</v>
          </cell>
          <cell r="X37338" t="str">
            <v>Variation UPR - gross</v>
          </cell>
          <cell r="Y37338" t="str">
            <v>UNITED KINGDOM</v>
          </cell>
        </row>
        <row r="37339">
          <cell r="L37339" t="str">
            <v>Non-proportional</v>
          </cell>
          <cell r="S37339">
            <v>-2907.94</v>
          </cell>
          <cell r="X37339" t="str">
            <v>Variation UPR - gross</v>
          </cell>
          <cell r="Y37339" t="str">
            <v>ISRAEL</v>
          </cell>
        </row>
        <row r="37340">
          <cell r="L37340" t="str">
            <v>Non-proportional</v>
          </cell>
          <cell r="S37340">
            <v>-2495.2199999999998</v>
          </cell>
          <cell r="X37340" t="str">
            <v>Variation UPR - gross</v>
          </cell>
          <cell r="Y37340" t="str">
            <v>ITALY</v>
          </cell>
        </row>
        <row r="37341">
          <cell r="L37341" t="str">
            <v>Proportional</v>
          </cell>
          <cell r="S37341">
            <v>-58666.68</v>
          </cell>
          <cell r="X37341" t="str">
            <v>Variation UPR - gross</v>
          </cell>
          <cell r="Y37341" t="str">
            <v>INDIA</v>
          </cell>
        </row>
        <row r="37342">
          <cell r="L37342" t="str">
            <v>Non-proportional</v>
          </cell>
          <cell r="S37342">
            <v>-1187214.3899999999</v>
          </cell>
          <cell r="X37342" t="str">
            <v>Variation UPR - gross</v>
          </cell>
          <cell r="Y37342" t="str">
            <v>UNITED KINGDOM</v>
          </cell>
        </row>
        <row r="37343">
          <cell r="L37343" t="str">
            <v>Proportional</v>
          </cell>
          <cell r="S37343">
            <v>1291666.68</v>
          </cell>
          <cell r="X37343" t="str">
            <v>Variation UPR - gross</v>
          </cell>
          <cell r="Y37343" t="str">
            <v>PORTUGAL</v>
          </cell>
        </row>
        <row r="37344">
          <cell r="L37344" t="str">
            <v>Non-proportional</v>
          </cell>
          <cell r="S37344">
            <v>-5447.3</v>
          </cell>
          <cell r="X37344" t="str">
            <v>Variation UPR - gross</v>
          </cell>
          <cell r="Y37344" t="str">
            <v>ECUADOR</v>
          </cell>
        </row>
        <row r="37345">
          <cell r="L37345" t="str">
            <v>Proportional</v>
          </cell>
          <cell r="S37345">
            <v>-16826.060000000001</v>
          </cell>
          <cell r="X37345" t="str">
            <v>Variation UPR - gross</v>
          </cell>
          <cell r="Y37345" t="str">
            <v>THAILAND</v>
          </cell>
        </row>
        <row r="37346">
          <cell r="L37346" t="str">
            <v>Non-proportional</v>
          </cell>
          <cell r="S37346">
            <v>10405.25</v>
          </cell>
          <cell r="X37346" t="str">
            <v>Variation UPR - gross</v>
          </cell>
          <cell r="Y37346" t="str">
            <v>INDIA</v>
          </cell>
        </row>
        <row r="37347">
          <cell r="L37347" t="str">
            <v>Proportional</v>
          </cell>
          <cell r="S37347">
            <v>-4697.95</v>
          </cell>
          <cell r="X37347" t="str">
            <v>Variation UPR - gross</v>
          </cell>
          <cell r="Y37347" t="str">
            <v>JAPAN</v>
          </cell>
        </row>
        <row r="37348">
          <cell r="L37348" t="str">
            <v>Non-proportional</v>
          </cell>
          <cell r="S37348">
            <v>-32.19</v>
          </cell>
          <cell r="X37348" t="str">
            <v>Variation UPR - gross</v>
          </cell>
          <cell r="Y37348" t="str">
            <v>ISRAEL</v>
          </cell>
        </row>
        <row r="37349">
          <cell r="L37349" t="str">
            <v>Non-proportional</v>
          </cell>
          <cell r="S37349">
            <v>27643.08</v>
          </cell>
          <cell r="X37349" t="str">
            <v>Variation UPR - gross</v>
          </cell>
          <cell r="Y37349" t="str">
            <v>SOUTH AFRICA</v>
          </cell>
        </row>
        <row r="37350">
          <cell r="L37350" t="str">
            <v>Non-proportional</v>
          </cell>
          <cell r="S37350">
            <v>-2681.98</v>
          </cell>
          <cell r="X37350" t="str">
            <v>Variation UPR - gross</v>
          </cell>
          <cell r="Y37350" t="str">
            <v>UNITED ARAB EMIRATES</v>
          </cell>
        </row>
        <row r="37351">
          <cell r="L37351" t="str">
            <v>Non-proportional</v>
          </cell>
          <cell r="S37351">
            <v>-9250.8700000000008</v>
          </cell>
          <cell r="X37351" t="str">
            <v>Variation UPR - gross</v>
          </cell>
          <cell r="Y37351" t="str">
            <v>COLOMBIA</v>
          </cell>
        </row>
        <row r="37352">
          <cell r="L37352" t="str">
            <v>Non-proportional</v>
          </cell>
          <cell r="S37352">
            <v>-0.03</v>
          </cell>
          <cell r="X37352" t="str">
            <v>Variation UPR - gross</v>
          </cell>
          <cell r="Y37352" t="str">
            <v>THAILAND</v>
          </cell>
        </row>
        <row r="37353">
          <cell r="L37353" t="str">
            <v>Proportional</v>
          </cell>
          <cell r="S37353">
            <v>-125859.93</v>
          </cell>
          <cell r="X37353" t="str">
            <v>Variation UPR - gross</v>
          </cell>
          <cell r="Y37353" t="str">
            <v>THAILAND</v>
          </cell>
        </row>
        <row r="37354">
          <cell r="L37354" t="str">
            <v>Non-proportional</v>
          </cell>
          <cell r="S37354">
            <v>-132.91999999999999</v>
          </cell>
          <cell r="X37354" t="str">
            <v>Variation UPR - gross</v>
          </cell>
          <cell r="Y37354" t="str">
            <v>ITALY</v>
          </cell>
        </row>
        <row r="37355">
          <cell r="L37355" t="str">
            <v>Non-proportional</v>
          </cell>
          <cell r="S37355">
            <v>12342.82</v>
          </cell>
          <cell r="X37355" t="str">
            <v>Variation UPR - gross</v>
          </cell>
          <cell r="Y37355" t="str">
            <v>JAPAN</v>
          </cell>
        </row>
        <row r="37356">
          <cell r="L37356" t="str">
            <v>Non-proportional</v>
          </cell>
          <cell r="S37356">
            <v>-804.23</v>
          </cell>
          <cell r="X37356" t="str">
            <v>Variation UPR - gross</v>
          </cell>
          <cell r="Y37356" t="str">
            <v>JAPAN</v>
          </cell>
        </row>
        <row r="37357">
          <cell r="L37357" t="str">
            <v>Non-proportional</v>
          </cell>
          <cell r="S37357">
            <v>-5918.43</v>
          </cell>
          <cell r="X37357" t="str">
            <v>Variation UPR - gross</v>
          </cell>
          <cell r="Y37357" t="str">
            <v>EUROPE</v>
          </cell>
        </row>
        <row r="37358">
          <cell r="L37358" t="str">
            <v>Proportional</v>
          </cell>
          <cell r="S37358">
            <v>-87.12</v>
          </cell>
          <cell r="X37358" t="str">
            <v>Variation UPR - gross</v>
          </cell>
          <cell r="Y37358" t="str">
            <v>UNITED STATES</v>
          </cell>
        </row>
        <row r="37359">
          <cell r="L37359" t="str">
            <v>Non-proportional</v>
          </cell>
          <cell r="S37359">
            <v>-8329.66</v>
          </cell>
          <cell r="X37359" t="str">
            <v>Variation UPR - gross</v>
          </cell>
          <cell r="Y37359" t="str">
            <v>CHILE</v>
          </cell>
        </row>
        <row r="37360">
          <cell r="L37360" t="str">
            <v>Non-proportional</v>
          </cell>
          <cell r="S37360">
            <v>-2148.2800000000002</v>
          </cell>
          <cell r="X37360" t="str">
            <v>Variation UPR - gross</v>
          </cell>
          <cell r="Y37360" t="str">
            <v>UNITED KINGDOM</v>
          </cell>
        </row>
        <row r="37361">
          <cell r="L37361" t="str">
            <v>Non-proportional</v>
          </cell>
          <cell r="S37361">
            <v>-612.5</v>
          </cell>
          <cell r="X37361" t="str">
            <v>Variation UPR - gross</v>
          </cell>
          <cell r="Y37361" t="str">
            <v>GREECE</v>
          </cell>
        </row>
        <row r="37362">
          <cell r="L37362" t="str">
            <v>Non-proportional</v>
          </cell>
          <cell r="S37362">
            <v>219.2</v>
          </cell>
          <cell r="X37362" t="str">
            <v>Variation UPR - gross</v>
          </cell>
          <cell r="Y37362" t="str">
            <v>CHILE</v>
          </cell>
        </row>
        <row r="37363">
          <cell r="L37363" t="str">
            <v>Non-proportional</v>
          </cell>
          <cell r="S37363">
            <v>-3854.17</v>
          </cell>
          <cell r="X37363" t="str">
            <v>Variation UPR - gross</v>
          </cell>
          <cell r="Y37363" t="str">
            <v>FRANCE</v>
          </cell>
        </row>
        <row r="37364">
          <cell r="L37364" t="str">
            <v>Non-proportional</v>
          </cell>
          <cell r="S37364">
            <v>-7492.29</v>
          </cell>
          <cell r="X37364" t="str">
            <v>Variation UPR - gross</v>
          </cell>
          <cell r="Y37364" t="str">
            <v>FRANCE</v>
          </cell>
        </row>
        <row r="37365">
          <cell r="L37365" t="str">
            <v>Non-proportional</v>
          </cell>
          <cell r="S37365">
            <v>-286.25</v>
          </cell>
          <cell r="X37365" t="str">
            <v>Variation UPR - gross</v>
          </cell>
          <cell r="Y37365" t="str">
            <v>REPUBLIC OF IRELAND</v>
          </cell>
        </row>
        <row r="37366">
          <cell r="L37366" t="str">
            <v>Non-proportional</v>
          </cell>
          <cell r="S37366">
            <v>-9251.26</v>
          </cell>
          <cell r="X37366" t="str">
            <v>Variation UPR - gross</v>
          </cell>
          <cell r="Y37366" t="str">
            <v>ITALY</v>
          </cell>
        </row>
        <row r="37367">
          <cell r="L37367" t="str">
            <v>Non-proportional</v>
          </cell>
          <cell r="S37367">
            <v>800191.33</v>
          </cell>
          <cell r="X37367" t="str">
            <v>Variation UPR - gross</v>
          </cell>
          <cell r="Y37367" t="str">
            <v>UNITED KINGDOM</v>
          </cell>
        </row>
        <row r="37368">
          <cell r="L37368" t="str">
            <v>Non-proportional</v>
          </cell>
          <cell r="S37368">
            <v>-4533.33</v>
          </cell>
          <cell r="X37368" t="str">
            <v>Variation UPR - gross</v>
          </cell>
          <cell r="Y37368" t="str">
            <v>PORTUGAL</v>
          </cell>
        </row>
        <row r="37369">
          <cell r="L37369" t="str">
            <v>Non-proportional</v>
          </cell>
          <cell r="S37369">
            <v>35281.78</v>
          </cell>
          <cell r="X37369" t="str">
            <v>Variation UPR - gross</v>
          </cell>
          <cell r="Y37369" t="str">
            <v>GUATEMALA</v>
          </cell>
        </row>
        <row r="37370">
          <cell r="L37370" t="str">
            <v>Non-proportional</v>
          </cell>
          <cell r="S37370">
            <v>-7771.97</v>
          </cell>
          <cell r="X37370" t="str">
            <v>Variation UPR - gross</v>
          </cell>
          <cell r="Y37370" t="str">
            <v>UNITED KINGDOM</v>
          </cell>
        </row>
        <row r="37371">
          <cell r="L37371" t="str">
            <v>Non-proportional</v>
          </cell>
          <cell r="S37371">
            <v>43602.26</v>
          </cell>
          <cell r="X37371" t="str">
            <v>Variation UPR - gross</v>
          </cell>
          <cell r="Y37371" t="str">
            <v>UNITED KINGDOM</v>
          </cell>
        </row>
        <row r="37372">
          <cell r="L37372" t="str">
            <v>Non-proportional</v>
          </cell>
          <cell r="S37372">
            <v>-7918.22</v>
          </cell>
          <cell r="X37372" t="str">
            <v>Variation UPR - gross</v>
          </cell>
          <cell r="Y37372" t="str">
            <v>MEXICO</v>
          </cell>
        </row>
        <row r="37373">
          <cell r="L37373" t="str">
            <v>Non-proportional</v>
          </cell>
          <cell r="S37373">
            <v>-201.3</v>
          </cell>
          <cell r="X37373" t="str">
            <v>Variation UPR - gross</v>
          </cell>
          <cell r="Y37373" t="str">
            <v>TURKEY</v>
          </cell>
        </row>
        <row r="37374">
          <cell r="L37374" t="str">
            <v>Non-proportional</v>
          </cell>
          <cell r="S37374">
            <v>23984.01</v>
          </cell>
          <cell r="X37374" t="str">
            <v>Variation UPR - gross</v>
          </cell>
          <cell r="Y37374" t="str">
            <v>JAPAN</v>
          </cell>
        </row>
        <row r="37375">
          <cell r="L37375" t="str">
            <v>Non-proportional</v>
          </cell>
          <cell r="S37375">
            <v>-5844.58</v>
          </cell>
          <cell r="X37375" t="str">
            <v>Variation UPR - gross</v>
          </cell>
          <cell r="Y37375" t="str">
            <v>AUSTRALIA</v>
          </cell>
        </row>
        <row r="37376">
          <cell r="L37376" t="str">
            <v>Non-proportional</v>
          </cell>
          <cell r="S37376">
            <v>29408.240000000002</v>
          </cell>
          <cell r="X37376" t="str">
            <v>Variation UPR - gross</v>
          </cell>
          <cell r="Y37376" t="str">
            <v>AUSTRALIA</v>
          </cell>
        </row>
        <row r="37377">
          <cell r="L37377" t="str">
            <v>Non-proportional</v>
          </cell>
          <cell r="S37377">
            <v>-9500.14</v>
          </cell>
          <cell r="X37377" t="str">
            <v>Variation UPR - gross</v>
          </cell>
          <cell r="Y37377" t="str">
            <v>TURKEY</v>
          </cell>
        </row>
        <row r="37378">
          <cell r="L37378" t="str">
            <v>Non-proportional</v>
          </cell>
          <cell r="S37378">
            <v>-4713.45</v>
          </cell>
          <cell r="X37378" t="str">
            <v>Variation UPR - gross</v>
          </cell>
          <cell r="Y37378" t="str">
            <v>AUSTRALIA</v>
          </cell>
        </row>
        <row r="37379">
          <cell r="L37379" t="str">
            <v>Non-proportional</v>
          </cell>
          <cell r="S37379">
            <v>70743.600000000006</v>
          </cell>
          <cell r="X37379" t="str">
            <v>Variation UPR - gross</v>
          </cell>
          <cell r="Y37379" t="str">
            <v>NEW ZEALAND</v>
          </cell>
        </row>
        <row r="37380">
          <cell r="L37380" t="str">
            <v>Non-proportional</v>
          </cell>
          <cell r="S37380">
            <v>-30.3</v>
          </cell>
          <cell r="X37380" t="str">
            <v>Variation UPR - gross</v>
          </cell>
          <cell r="Y37380" t="str">
            <v>BRAZIL</v>
          </cell>
        </row>
        <row r="37381">
          <cell r="L37381" t="str">
            <v>Non-proportional</v>
          </cell>
          <cell r="S37381">
            <v>-5910.41</v>
          </cell>
          <cell r="X37381" t="str">
            <v>Variation UPR - gross</v>
          </cell>
          <cell r="Y37381" t="str">
            <v>COSTA RICA</v>
          </cell>
        </row>
        <row r="37382">
          <cell r="L37382" t="str">
            <v>Non-proportional</v>
          </cell>
          <cell r="S37382">
            <v>4214.29</v>
          </cell>
          <cell r="X37382" t="str">
            <v>Variation UPR - gross</v>
          </cell>
          <cell r="Y37382" t="str">
            <v>INDIA</v>
          </cell>
        </row>
        <row r="37383">
          <cell r="L37383" t="str">
            <v>Non-proportional</v>
          </cell>
          <cell r="S37383">
            <v>-870.98</v>
          </cell>
          <cell r="X37383" t="str">
            <v>Variation UPR - gross</v>
          </cell>
          <cell r="Y37383" t="str">
            <v>PERU</v>
          </cell>
        </row>
        <row r="37384">
          <cell r="L37384" t="str">
            <v>Non-proportional</v>
          </cell>
          <cell r="S37384">
            <v>-5126.28</v>
          </cell>
          <cell r="X37384" t="str">
            <v>Variation UPR - gross</v>
          </cell>
          <cell r="Y37384" t="str">
            <v>DOMINICAN REPUBLIC</v>
          </cell>
        </row>
        <row r="37385">
          <cell r="L37385" t="str">
            <v>Non-proportional</v>
          </cell>
          <cell r="S37385">
            <v>-4356.1899999999996</v>
          </cell>
          <cell r="X37385" t="str">
            <v>Variation UPR - gross</v>
          </cell>
          <cell r="Y37385" t="str">
            <v>ECUADOR</v>
          </cell>
        </row>
        <row r="37386">
          <cell r="L37386" t="str">
            <v>Non-proportional</v>
          </cell>
          <cell r="S37386">
            <v>12.91</v>
          </cell>
          <cell r="X37386" t="str">
            <v>Variation UPR - gross</v>
          </cell>
          <cell r="Y37386" t="str">
            <v>GUATEMALA</v>
          </cell>
        </row>
        <row r="37387">
          <cell r="L37387" t="str">
            <v>Non-proportional</v>
          </cell>
          <cell r="S37387">
            <v>-53187.5</v>
          </cell>
          <cell r="X37387" t="str">
            <v>Variation UPR - gross</v>
          </cell>
          <cell r="Y37387" t="str">
            <v>BELGIUM</v>
          </cell>
        </row>
        <row r="37388">
          <cell r="L37388" t="str">
            <v>Non-proportional</v>
          </cell>
          <cell r="S37388">
            <v>-5251.05</v>
          </cell>
          <cell r="X37388" t="str">
            <v>Variation UPR - gross</v>
          </cell>
          <cell r="Y37388" t="str">
            <v>ISRAEL</v>
          </cell>
        </row>
        <row r="37389">
          <cell r="L37389" t="str">
            <v>Proportional</v>
          </cell>
          <cell r="S37389">
            <v>-37170</v>
          </cell>
          <cell r="X37389" t="str">
            <v>Variation UPR - gross</v>
          </cell>
          <cell r="Y37389" t="str">
            <v>FRANCE</v>
          </cell>
        </row>
        <row r="37390">
          <cell r="L37390" t="str">
            <v>Non-proportional</v>
          </cell>
          <cell r="S37390">
            <v>-3694.9</v>
          </cell>
          <cell r="X37390" t="str">
            <v>Variation UPR - gross</v>
          </cell>
          <cell r="Y37390" t="str">
            <v>DOMINICAN REPUBLIC</v>
          </cell>
        </row>
        <row r="37391">
          <cell r="L37391" t="str">
            <v>Non-proportional</v>
          </cell>
          <cell r="S37391">
            <v>199998.5</v>
          </cell>
          <cell r="X37391" t="str">
            <v>Variation UPR - gross</v>
          </cell>
          <cell r="Y37391" t="str">
            <v>FRANCE</v>
          </cell>
        </row>
        <row r="37392">
          <cell r="L37392" t="str">
            <v>Non-proportional</v>
          </cell>
          <cell r="S37392">
            <v>-968.83</v>
          </cell>
          <cell r="X37392" t="str">
            <v>Variation UPR - gross</v>
          </cell>
          <cell r="Y37392" t="str">
            <v>AUSTRALIA</v>
          </cell>
        </row>
        <row r="37393">
          <cell r="L37393" t="str">
            <v>Non-proportional</v>
          </cell>
          <cell r="S37393">
            <v>-73.069999999999993</v>
          </cell>
          <cell r="X37393" t="str">
            <v>Variation UPR - gross</v>
          </cell>
          <cell r="Y37393" t="str">
            <v>CHILE</v>
          </cell>
        </row>
        <row r="37394">
          <cell r="L37394" t="str">
            <v>Non-proportional</v>
          </cell>
          <cell r="S37394">
            <v>-2484.29</v>
          </cell>
          <cell r="X37394" t="str">
            <v>Variation UPR - gross</v>
          </cell>
          <cell r="Y37394" t="str">
            <v>CHILE</v>
          </cell>
        </row>
        <row r="37395">
          <cell r="L37395" t="str">
            <v>Non-proportional</v>
          </cell>
          <cell r="S37395">
            <v>-101906.81</v>
          </cell>
          <cell r="X37395" t="str">
            <v>Variation UPR - gross</v>
          </cell>
          <cell r="Y37395" t="str">
            <v>UNITED KINGDOM</v>
          </cell>
        </row>
        <row r="37396">
          <cell r="L37396" t="str">
            <v>Non-proportional</v>
          </cell>
          <cell r="S37396">
            <v>-7516.62</v>
          </cell>
          <cell r="X37396" t="str">
            <v>Variation UPR - gross</v>
          </cell>
          <cell r="Y37396" t="str">
            <v>ECUADOR</v>
          </cell>
        </row>
        <row r="37397">
          <cell r="L37397" t="str">
            <v>Non-proportional</v>
          </cell>
          <cell r="S37397">
            <v>-5958.97</v>
          </cell>
          <cell r="X37397" t="str">
            <v>Variation UPR - gross</v>
          </cell>
          <cell r="Y37397" t="str">
            <v>ISRAEL</v>
          </cell>
        </row>
        <row r="37398">
          <cell r="L37398" t="str">
            <v>Non-proportional</v>
          </cell>
          <cell r="S37398">
            <v>-1753.13</v>
          </cell>
          <cell r="X37398" t="str">
            <v>Variation UPR - gross</v>
          </cell>
          <cell r="Y37398" t="str">
            <v>ROMANIA</v>
          </cell>
        </row>
        <row r="37399">
          <cell r="L37399" t="str">
            <v>Non-proportional</v>
          </cell>
          <cell r="S37399">
            <v>58594.43</v>
          </cell>
          <cell r="X37399" t="str">
            <v>Variation UPR - gross</v>
          </cell>
          <cell r="Y37399" t="str">
            <v>NEW ZEALAND</v>
          </cell>
        </row>
        <row r="37400">
          <cell r="L37400" t="str">
            <v>Non-proportional</v>
          </cell>
          <cell r="S37400">
            <v>-860</v>
          </cell>
          <cell r="X37400" t="str">
            <v>Variation UPR - gross</v>
          </cell>
          <cell r="Y37400" t="str">
            <v>GREECE</v>
          </cell>
        </row>
        <row r="37401">
          <cell r="L37401" t="str">
            <v>Proportional</v>
          </cell>
          <cell r="S37401">
            <v>-28012.98</v>
          </cell>
          <cell r="X37401" t="str">
            <v>Variation UPR - gross</v>
          </cell>
          <cell r="Y37401" t="str">
            <v>PORTUGAL</v>
          </cell>
        </row>
        <row r="37402">
          <cell r="L37402" t="str">
            <v>Non-proportional</v>
          </cell>
          <cell r="S37402">
            <v>24956.43</v>
          </cell>
          <cell r="X37402" t="str">
            <v>Variation UPR - gross</v>
          </cell>
          <cell r="Y37402" t="str">
            <v>ECUADOR</v>
          </cell>
        </row>
        <row r="37403">
          <cell r="L37403" t="str">
            <v>Non-proportional</v>
          </cell>
          <cell r="S37403">
            <v>8539.26</v>
          </cell>
          <cell r="X37403" t="str">
            <v>Variation UPR - gross</v>
          </cell>
          <cell r="Y37403" t="str">
            <v>INDIA</v>
          </cell>
        </row>
        <row r="37404">
          <cell r="L37404" t="str">
            <v>Non-proportional</v>
          </cell>
          <cell r="S37404">
            <v>-4099.1400000000003</v>
          </cell>
          <cell r="X37404" t="str">
            <v>Variation UPR - gross</v>
          </cell>
          <cell r="Y37404" t="str">
            <v>THAILAND</v>
          </cell>
        </row>
        <row r="37405">
          <cell r="L37405" t="str">
            <v>Non-proportional</v>
          </cell>
          <cell r="S37405">
            <v>-85418.54</v>
          </cell>
          <cell r="X37405" t="str">
            <v>Variation UPR - gross</v>
          </cell>
          <cell r="Y37405" t="str">
            <v>UNITED KINGDOM</v>
          </cell>
        </row>
        <row r="37406">
          <cell r="L37406" t="str">
            <v>Non-proportional</v>
          </cell>
          <cell r="S37406">
            <v>-878.54</v>
          </cell>
          <cell r="X37406" t="str">
            <v>Variation UPR - gross</v>
          </cell>
          <cell r="Y37406" t="str">
            <v>MEXICO</v>
          </cell>
        </row>
        <row r="37407">
          <cell r="L37407" t="str">
            <v>Non-proportional</v>
          </cell>
          <cell r="S37407">
            <v>-652.46</v>
          </cell>
          <cell r="X37407" t="str">
            <v>Variation UPR - gross</v>
          </cell>
          <cell r="Y37407" t="str">
            <v>JAPAN</v>
          </cell>
        </row>
        <row r="37408">
          <cell r="L37408" t="str">
            <v>Non-proportional</v>
          </cell>
          <cell r="S37408">
            <v>5190.13</v>
          </cell>
          <cell r="X37408" t="str">
            <v>Variation UPR - gross</v>
          </cell>
          <cell r="Y37408" t="str">
            <v>JAPAN</v>
          </cell>
        </row>
        <row r="37409">
          <cell r="L37409" t="str">
            <v>Non-proportional</v>
          </cell>
          <cell r="S37409">
            <v>2241.89</v>
          </cell>
          <cell r="X37409" t="str">
            <v>Variation UPR - gross</v>
          </cell>
          <cell r="Y37409" t="str">
            <v>JAPAN</v>
          </cell>
        </row>
        <row r="37410">
          <cell r="L37410" t="str">
            <v>Non-proportional</v>
          </cell>
          <cell r="S37410">
            <v>-546.88</v>
          </cell>
          <cell r="X37410" t="str">
            <v>Variation UPR - gross</v>
          </cell>
          <cell r="Y37410" t="str">
            <v>ITALY</v>
          </cell>
        </row>
        <row r="37411">
          <cell r="L37411" t="str">
            <v>Non-proportional</v>
          </cell>
          <cell r="S37411">
            <v>-29894.17</v>
          </cell>
          <cell r="X37411" t="str">
            <v>Variation UPR - gross</v>
          </cell>
          <cell r="Y37411" t="str">
            <v>TURKEY</v>
          </cell>
        </row>
        <row r="37412">
          <cell r="L37412" t="str">
            <v>Non-proportional</v>
          </cell>
          <cell r="S37412">
            <v>52.38</v>
          </cell>
          <cell r="X37412" t="str">
            <v>Variation UPR - gross</v>
          </cell>
          <cell r="Y37412" t="str">
            <v>DOMINICAN REPUBLIC</v>
          </cell>
        </row>
        <row r="37413">
          <cell r="L37413" t="str">
            <v>Non-proportional</v>
          </cell>
          <cell r="S37413">
            <v>-1226.06</v>
          </cell>
          <cell r="X37413" t="str">
            <v>Variation UPR - gross</v>
          </cell>
          <cell r="Y37413" t="str">
            <v>COSTA RICA</v>
          </cell>
        </row>
        <row r="37414">
          <cell r="L37414" t="str">
            <v>Non-proportional</v>
          </cell>
          <cell r="S37414">
            <v>-5476.34</v>
          </cell>
          <cell r="X37414" t="str">
            <v>Variation UPR - gross</v>
          </cell>
          <cell r="Y37414" t="str">
            <v>MEXICO</v>
          </cell>
        </row>
        <row r="37415">
          <cell r="L37415" t="str">
            <v>Non-proportional</v>
          </cell>
          <cell r="S37415">
            <v>10143.32</v>
          </cell>
          <cell r="X37415" t="str">
            <v>Variation UPR - gross</v>
          </cell>
          <cell r="Y37415" t="str">
            <v>ECUADOR</v>
          </cell>
        </row>
        <row r="37416">
          <cell r="L37416" t="str">
            <v>Non-proportional</v>
          </cell>
          <cell r="S37416">
            <v>-4211.4799999999996</v>
          </cell>
          <cell r="X37416" t="str">
            <v>Variation UPR - gross</v>
          </cell>
          <cell r="Y37416" t="str">
            <v>THAILAND</v>
          </cell>
        </row>
        <row r="37417">
          <cell r="L37417" t="str">
            <v>Non-proportional</v>
          </cell>
          <cell r="S37417">
            <v>-156183.45000000001</v>
          </cell>
          <cell r="X37417" t="str">
            <v>Variation UPR - gross</v>
          </cell>
          <cell r="Y37417" t="str">
            <v>UNITED KINGDOM</v>
          </cell>
        </row>
        <row r="37418">
          <cell r="L37418" t="str">
            <v>Non-proportional</v>
          </cell>
          <cell r="S37418">
            <v>-13325.26</v>
          </cell>
          <cell r="X37418" t="str">
            <v>Variation UPR - gross</v>
          </cell>
          <cell r="Y37418" t="str">
            <v>AUSTRALIA</v>
          </cell>
        </row>
        <row r="37419">
          <cell r="L37419" t="str">
            <v>Non-proportional</v>
          </cell>
          <cell r="S37419">
            <v>81.040000000000006</v>
          </cell>
          <cell r="X37419" t="str">
            <v>Variation UPR - gross</v>
          </cell>
          <cell r="Y37419" t="str">
            <v>BRAZIL</v>
          </cell>
        </row>
        <row r="37420">
          <cell r="L37420" t="str">
            <v>Non-proportional</v>
          </cell>
          <cell r="S37420">
            <v>12340</v>
          </cell>
          <cell r="X37420" t="str">
            <v>Variation UPR - gross</v>
          </cell>
          <cell r="Y37420" t="str">
            <v>FRANCE</v>
          </cell>
        </row>
        <row r="37421">
          <cell r="L37421" t="str">
            <v>Non-proportional</v>
          </cell>
          <cell r="S37421">
            <v>-9500.14</v>
          </cell>
          <cell r="X37421" t="str">
            <v>Variation UPR - gross</v>
          </cell>
          <cell r="Y37421" t="str">
            <v>TURKEY</v>
          </cell>
        </row>
        <row r="37422">
          <cell r="L37422" t="str">
            <v>Proportional</v>
          </cell>
          <cell r="S37422">
            <v>-43868.61</v>
          </cell>
          <cell r="X37422" t="str">
            <v>Variation UPR - gross</v>
          </cell>
          <cell r="Y37422" t="str">
            <v>GERMANY</v>
          </cell>
        </row>
        <row r="37423">
          <cell r="L37423" t="str">
            <v>Proportional</v>
          </cell>
          <cell r="S37423">
            <v>-150049.32</v>
          </cell>
          <cell r="X37423" t="str">
            <v>Variation UPR - gross</v>
          </cell>
          <cell r="Y37423" t="str">
            <v>THAILAND</v>
          </cell>
        </row>
        <row r="37424">
          <cell r="L37424" t="str">
            <v>Non-proportional</v>
          </cell>
          <cell r="S37424">
            <v>-15911.94</v>
          </cell>
          <cell r="X37424" t="str">
            <v>Variation UPR - gross</v>
          </cell>
          <cell r="Y37424" t="str">
            <v>UNITED KINGDOM</v>
          </cell>
        </row>
        <row r="37425">
          <cell r="L37425" t="str">
            <v>Non-proportional</v>
          </cell>
          <cell r="S37425">
            <v>-4008.61</v>
          </cell>
          <cell r="X37425" t="str">
            <v>Variation UPR - gross</v>
          </cell>
          <cell r="Y37425" t="str">
            <v>MEXICO</v>
          </cell>
        </row>
        <row r="37426">
          <cell r="L37426" t="str">
            <v>Non-proportional</v>
          </cell>
          <cell r="S37426">
            <v>-40150</v>
          </cell>
          <cell r="X37426" t="str">
            <v>Variation UPR - gross</v>
          </cell>
          <cell r="Y37426" t="str">
            <v>PORTUGAL</v>
          </cell>
        </row>
        <row r="37427">
          <cell r="L37427" t="str">
            <v>Non-proportional</v>
          </cell>
          <cell r="S37427">
            <v>-7598.99</v>
          </cell>
          <cell r="X37427" t="str">
            <v>Variation UPR - gross</v>
          </cell>
          <cell r="Y37427" t="str">
            <v>CHILE</v>
          </cell>
        </row>
        <row r="37428">
          <cell r="L37428" t="str">
            <v>Proportional</v>
          </cell>
          <cell r="S37428">
            <v>-345375.9</v>
          </cell>
          <cell r="X37428" t="str">
            <v>Variation UPR - gross</v>
          </cell>
          <cell r="Y37428" t="str">
            <v>HONG KONG</v>
          </cell>
        </row>
        <row r="37429">
          <cell r="L37429" t="str">
            <v>Non-proportional</v>
          </cell>
          <cell r="S37429">
            <v>-0.05</v>
          </cell>
          <cell r="X37429" t="str">
            <v>Variation UPR - gross</v>
          </cell>
          <cell r="Y37429" t="str">
            <v>COLOMBIA</v>
          </cell>
        </row>
        <row r="37430">
          <cell r="L37430" t="str">
            <v>Proportional</v>
          </cell>
          <cell r="S37430">
            <v>-37686.67</v>
          </cell>
          <cell r="X37430" t="str">
            <v>Variation UPR - gross</v>
          </cell>
          <cell r="Y37430" t="str">
            <v>MEXICO</v>
          </cell>
        </row>
        <row r="37431">
          <cell r="L37431" t="str">
            <v>Non-proportional</v>
          </cell>
          <cell r="S37431">
            <v>-6062.1</v>
          </cell>
          <cell r="X37431" t="str">
            <v>Variation UPR - gross</v>
          </cell>
          <cell r="Y37431" t="str">
            <v>SPAIN</v>
          </cell>
        </row>
        <row r="37432">
          <cell r="L37432" t="str">
            <v>Non-proportional</v>
          </cell>
          <cell r="S37432">
            <v>-8843.8799999999992</v>
          </cell>
          <cell r="X37432" t="str">
            <v>Variation UPR - gross</v>
          </cell>
          <cell r="Y37432" t="str">
            <v>TURKEY</v>
          </cell>
        </row>
        <row r="37433">
          <cell r="L37433" t="str">
            <v>Non-proportional</v>
          </cell>
          <cell r="S37433">
            <v>-7552.08</v>
          </cell>
          <cell r="X37433" t="str">
            <v>Variation UPR - gross</v>
          </cell>
          <cell r="Y37433" t="str">
            <v>ROMANIA</v>
          </cell>
        </row>
        <row r="37434">
          <cell r="L37434" t="str">
            <v>Non-proportional</v>
          </cell>
          <cell r="S37434">
            <v>139981.70000000001</v>
          </cell>
          <cell r="X37434" t="str">
            <v>Variation UPR - gross</v>
          </cell>
          <cell r="Y37434" t="str">
            <v>NEW ZEALAND</v>
          </cell>
        </row>
        <row r="37435">
          <cell r="L37435" t="str">
            <v>Non-proportional</v>
          </cell>
          <cell r="S37435">
            <v>-2179.7800000000002</v>
          </cell>
          <cell r="X37435" t="str">
            <v>Variation UPR - gross</v>
          </cell>
          <cell r="Y37435" t="str">
            <v>FRANCE</v>
          </cell>
        </row>
        <row r="37436">
          <cell r="L37436" t="str">
            <v>Proportional</v>
          </cell>
          <cell r="S37436">
            <v>-7291.29</v>
          </cell>
          <cell r="X37436" t="str">
            <v>Variation UPR - gross</v>
          </cell>
          <cell r="Y37436" t="str">
            <v>THAILAND</v>
          </cell>
        </row>
        <row r="37437">
          <cell r="L37437" t="str">
            <v>Non-proportional</v>
          </cell>
          <cell r="S37437">
            <v>-1546248.92</v>
          </cell>
          <cell r="X37437" t="str">
            <v>Variation UPR - gross</v>
          </cell>
          <cell r="Y37437" t="str">
            <v>BELGIUM</v>
          </cell>
        </row>
        <row r="37438">
          <cell r="L37438" t="str">
            <v>Proportional</v>
          </cell>
          <cell r="S37438">
            <v>6753.62</v>
          </cell>
          <cell r="X37438" t="str">
            <v>Variation UPR - gross</v>
          </cell>
          <cell r="Y37438" t="str">
            <v>UNITED STATES</v>
          </cell>
        </row>
        <row r="37439">
          <cell r="L37439" t="str">
            <v>Non-proportional</v>
          </cell>
          <cell r="S37439">
            <v>-1936.28</v>
          </cell>
          <cell r="X37439" t="str">
            <v>Variation UPR - gross</v>
          </cell>
          <cell r="Y37439" t="str">
            <v>CHILE</v>
          </cell>
        </row>
        <row r="37440">
          <cell r="L37440" t="str">
            <v>Non-proportional</v>
          </cell>
          <cell r="S37440">
            <v>-2862.84</v>
          </cell>
          <cell r="X37440" t="str">
            <v>Variation UPR - gross</v>
          </cell>
          <cell r="Y37440" t="str">
            <v>AUSTRALIA</v>
          </cell>
        </row>
        <row r="37441">
          <cell r="L37441" t="str">
            <v>Non-proportional</v>
          </cell>
          <cell r="S37441">
            <v>536.54999999999995</v>
          </cell>
          <cell r="X37441" t="str">
            <v>Variation UPR - gross</v>
          </cell>
          <cell r="Y37441" t="str">
            <v>AUSTRALIA</v>
          </cell>
        </row>
        <row r="37442">
          <cell r="L37442" t="str">
            <v>Non-proportional</v>
          </cell>
          <cell r="S37442">
            <v>-40799.89</v>
          </cell>
          <cell r="X37442" t="str">
            <v>Variation UPR - gross</v>
          </cell>
          <cell r="Y37442" t="str">
            <v>TURKEY</v>
          </cell>
        </row>
        <row r="37443">
          <cell r="L37443" t="str">
            <v>Non-proportional</v>
          </cell>
          <cell r="S37443">
            <v>-655.29999999999995</v>
          </cell>
          <cell r="X37443" t="str">
            <v>Variation UPR - gross</v>
          </cell>
          <cell r="Y37443" t="str">
            <v>JAPAN</v>
          </cell>
        </row>
        <row r="37444">
          <cell r="L37444" t="str">
            <v>Proportional</v>
          </cell>
          <cell r="S37444">
            <v>-84247.4</v>
          </cell>
          <cell r="X37444" t="str">
            <v>Variation UPR - gross</v>
          </cell>
          <cell r="Y37444" t="str">
            <v>UNITED STATES</v>
          </cell>
        </row>
        <row r="37445">
          <cell r="L37445" t="str">
            <v>Non-proportional</v>
          </cell>
          <cell r="S37445">
            <v>-3370.07</v>
          </cell>
          <cell r="X37445" t="str">
            <v>Variation UPR - gross</v>
          </cell>
          <cell r="Y37445" t="str">
            <v>INDIA</v>
          </cell>
        </row>
        <row r="37446">
          <cell r="L37446" t="str">
            <v>Non-proportional</v>
          </cell>
          <cell r="S37446">
            <v>74582.64</v>
          </cell>
          <cell r="X37446" t="str">
            <v>Variation UPR - gross</v>
          </cell>
          <cell r="Y37446" t="str">
            <v>JAPAN</v>
          </cell>
        </row>
        <row r="37447">
          <cell r="L37447" t="str">
            <v>Non-proportional</v>
          </cell>
          <cell r="S37447">
            <v>-0.02</v>
          </cell>
          <cell r="X37447" t="str">
            <v>Variation UPR - gross</v>
          </cell>
          <cell r="Y37447" t="str">
            <v>JAPAN</v>
          </cell>
        </row>
        <row r="37448">
          <cell r="L37448" t="str">
            <v>Non-proportional</v>
          </cell>
          <cell r="S37448">
            <v>-1458.33</v>
          </cell>
          <cell r="X37448" t="str">
            <v>Variation UPR - gross</v>
          </cell>
          <cell r="Y37448" t="str">
            <v>GREECE</v>
          </cell>
        </row>
        <row r="37449">
          <cell r="L37449" t="str">
            <v>Non-proportional</v>
          </cell>
          <cell r="S37449">
            <v>-377.29</v>
          </cell>
          <cell r="X37449" t="str">
            <v>Variation UPR - gross</v>
          </cell>
          <cell r="Y37449" t="str">
            <v>JAPAN</v>
          </cell>
        </row>
        <row r="37450">
          <cell r="L37450" t="str">
            <v>Proportional</v>
          </cell>
          <cell r="S37450">
            <v>-0.74</v>
          </cell>
          <cell r="X37450" t="str">
            <v>Variation UPR - gross</v>
          </cell>
          <cell r="Y37450" t="str">
            <v>AUSTRALIA</v>
          </cell>
        </row>
        <row r="37451">
          <cell r="L37451" t="str">
            <v>Non-proportional</v>
          </cell>
          <cell r="S37451">
            <v>-90200</v>
          </cell>
          <cell r="X37451" t="str">
            <v>Variation UPR - gross</v>
          </cell>
          <cell r="Y37451" t="str">
            <v>EUROPE</v>
          </cell>
        </row>
        <row r="37452">
          <cell r="L37452" t="str">
            <v>Non-proportional</v>
          </cell>
          <cell r="S37452">
            <v>-876.81</v>
          </cell>
          <cell r="X37452" t="str">
            <v>Variation UPR - gross</v>
          </cell>
          <cell r="Y37452" t="str">
            <v>CHILE</v>
          </cell>
        </row>
        <row r="37453">
          <cell r="L37453" t="str">
            <v>Non-proportional</v>
          </cell>
          <cell r="S37453">
            <v>-14052.71</v>
          </cell>
          <cell r="X37453" t="str">
            <v>Variation UPR - gross</v>
          </cell>
          <cell r="Y37453" t="str">
            <v>ECUADOR</v>
          </cell>
        </row>
        <row r="37454">
          <cell r="L37454" t="str">
            <v>Non-proportional</v>
          </cell>
          <cell r="S37454">
            <v>-9985.8700000000008</v>
          </cell>
          <cell r="X37454" t="str">
            <v>Variation UPR - gross</v>
          </cell>
          <cell r="Y37454" t="str">
            <v>FRANCE</v>
          </cell>
        </row>
        <row r="37455">
          <cell r="L37455" t="str">
            <v>Non-proportional</v>
          </cell>
          <cell r="S37455">
            <v>51426.45</v>
          </cell>
          <cell r="X37455" t="str">
            <v>Variation UPR - gross</v>
          </cell>
          <cell r="Y37455" t="str">
            <v>CYPRUS</v>
          </cell>
        </row>
        <row r="37456">
          <cell r="L37456" t="str">
            <v>Non-proportional</v>
          </cell>
          <cell r="S37456">
            <v>-2187.56</v>
          </cell>
          <cell r="X37456" t="str">
            <v>Variation UPR - gross</v>
          </cell>
          <cell r="Y37456" t="str">
            <v>SPAIN</v>
          </cell>
        </row>
        <row r="37457">
          <cell r="L37457" t="str">
            <v>Non-proportional</v>
          </cell>
          <cell r="S37457">
            <v>-3448.87</v>
          </cell>
          <cell r="X37457" t="str">
            <v>Variation UPR - gross</v>
          </cell>
          <cell r="Y37457" t="str">
            <v>GUATEMALA</v>
          </cell>
        </row>
        <row r="37458">
          <cell r="L37458" t="str">
            <v>Non-proportional</v>
          </cell>
          <cell r="S37458">
            <v>-1480.8</v>
          </cell>
          <cell r="X37458" t="str">
            <v>Variation UPR - gross</v>
          </cell>
          <cell r="Y37458" t="str">
            <v>FRANCE</v>
          </cell>
        </row>
        <row r="37459">
          <cell r="L37459" t="str">
            <v>Proportional</v>
          </cell>
          <cell r="S37459">
            <v>47.39</v>
          </cell>
          <cell r="X37459" t="str">
            <v>Variation UPR - gross</v>
          </cell>
          <cell r="Y37459" t="str">
            <v>UNITED STATES</v>
          </cell>
        </row>
        <row r="37460">
          <cell r="L37460" t="str">
            <v>Non-proportional</v>
          </cell>
          <cell r="S37460">
            <v>-9187.5</v>
          </cell>
          <cell r="X37460" t="str">
            <v>Variation UPR - gross</v>
          </cell>
          <cell r="Y37460" t="str">
            <v>TURKEY</v>
          </cell>
        </row>
        <row r="37461">
          <cell r="L37461" t="str">
            <v>Non-proportional</v>
          </cell>
          <cell r="S37461">
            <v>35769.61</v>
          </cell>
          <cell r="X37461" t="str">
            <v>Variation UPR - gross</v>
          </cell>
          <cell r="Y37461" t="str">
            <v>ECUADOR</v>
          </cell>
        </row>
        <row r="37462">
          <cell r="L37462" t="str">
            <v>Non-proportional</v>
          </cell>
          <cell r="S37462">
            <v>-39810.25</v>
          </cell>
          <cell r="X37462" t="str">
            <v>Variation UPR - gross</v>
          </cell>
          <cell r="Y37462" t="str">
            <v>UNITED STATES</v>
          </cell>
        </row>
        <row r="37463">
          <cell r="L37463" t="str">
            <v>Non-proportional</v>
          </cell>
          <cell r="S37463">
            <v>-16071.65</v>
          </cell>
          <cell r="X37463" t="str">
            <v>Variation UPR - gross</v>
          </cell>
          <cell r="Y37463" t="str">
            <v>UNITED KINGDOM</v>
          </cell>
        </row>
        <row r="37464">
          <cell r="L37464" t="str">
            <v>Non-proportional</v>
          </cell>
          <cell r="S37464">
            <v>-15351.91</v>
          </cell>
          <cell r="X37464" t="str">
            <v>Variation UPR - gross</v>
          </cell>
          <cell r="Y37464" t="str">
            <v>AUSTRALIA</v>
          </cell>
        </row>
        <row r="37465">
          <cell r="L37465" t="str">
            <v>Non-proportional</v>
          </cell>
          <cell r="S37465">
            <v>-4541.93</v>
          </cell>
          <cell r="X37465" t="str">
            <v>Variation UPR - gross</v>
          </cell>
          <cell r="Y37465" t="str">
            <v>TURKEY</v>
          </cell>
        </row>
        <row r="37466">
          <cell r="L37466" t="str">
            <v>Non-proportional</v>
          </cell>
          <cell r="S37466">
            <v>-1749.72</v>
          </cell>
          <cell r="X37466" t="str">
            <v>Variation UPR - gross</v>
          </cell>
          <cell r="Y37466" t="str">
            <v>NETHERLANDS</v>
          </cell>
        </row>
        <row r="37467">
          <cell r="L37467" t="str">
            <v>Non-proportional</v>
          </cell>
          <cell r="S37467">
            <v>13873.43</v>
          </cell>
          <cell r="X37467" t="str">
            <v>Variation UPR - gross</v>
          </cell>
          <cell r="Y37467" t="str">
            <v>UNITED KINGDOM</v>
          </cell>
        </row>
        <row r="37468">
          <cell r="L37468" t="str">
            <v>Non-proportional</v>
          </cell>
          <cell r="S37468">
            <v>-6944.48</v>
          </cell>
          <cell r="X37468" t="str">
            <v>Variation UPR - gross</v>
          </cell>
          <cell r="Y37468" t="str">
            <v>UNITED KINGDOM</v>
          </cell>
        </row>
        <row r="37469">
          <cell r="L37469" t="str">
            <v>Non-proportional</v>
          </cell>
          <cell r="S37469">
            <v>14624.13</v>
          </cell>
          <cell r="X37469" t="str">
            <v>Variation UPR - gross</v>
          </cell>
          <cell r="Y37469" t="str">
            <v>JAPAN</v>
          </cell>
        </row>
        <row r="37470">
          <cell r="L37470" t="str">
            <v>Non-proportional</v>
          </cell>
          <cell r="S37470">
            <v>-1081.76</v>
          </cell>
          <cell r="X37470" t="str">
            <v>Variation UPR - gross</v>
          </cell>
          <cell r="Y37470" t="str">
            <v>JAPAN</v>
          </cell>
        </row>
        <row r="37471">
          <cell r="L37471" t="str">
            <v>Non-proportional</v>
          </cell>
          <cell r="S37471">
            <v>18877.53</v>
          </cell>
          <cell r="X37471" t="str">
            <v>Variation UPR - gross</v>
          </cell>
          <cell r="Y37471" t="str">
            <v>SOUTH AFRICA</v>
          </cell>
        </row>
        <row r="37472">
          <cell r="L37472" t="str">
            <v>Non-proportional</v>
          </cell>
          <cell r="S37472">
            <v>112411.45</v>
          </cell>
          <cell r="X37472" t="str">
            <v>Variation UPR - gross</v>
          </cell>
          <cell r="Y37472" t="str">
            <v>NEW ZEALAND</v>
          </cell>
        </row>
        <row r="37473">
          <cell r="L37473" t="str">
            <v>Non-proportional</v>
          </cell>
          <cell r="S37473">
            <v>-10265.94</v>
          </cell>
          <cell r="X37473" t="str">
            <v>Variation UPR - gross</v>
          </cell>
          <cell r="Y37473" t="str">
            <v>CHILE</v>
          </cell>
        </row>
        <row r="37474">
          <cell r="L37474" t="str">
            <v>Non-proportional</v>
          </cell>
          <cell r="S37474">
            <v>-44.22</v>
          </cell>
          <cell r="X37474" t="str">
            <v>Variation UPR - gross</v>
          </cell>
          <cell r="Y37474" t="str">
            <v>COLOMBIA</v>
          </cell>
        </row>
        <row r="37475">
          <cell r="L37475" t="str">
            <v>Non-proportional</v>
          </cell>
          <cell r="S37475">
            <v>-16808.77</v>
          </cell>
          <cell r="X37475" t="str">
            <v>Variation UPR - gross</v>
          </cell>
          <cell r="Y37475" t="str">
            <v>HONG KONG</v>
          </cell>
        </row>
        <row r="37476">
          <cell r="L37476" t="str">
            <v>Non-proportional</v>
          </cell>
          <cell r="S37476">
            <v>-1061352.4099999999</v>
          </cell>
          <cell r="X37476" t="str">
            <v>Variation UPR - gross</v>
          </cell>
          <cell r="Y37476" t="str">
            <v>BELGIUM</v>
          </cell>
        </row>
        <row r="37477">
          <cell r="L37477" t="str">
            <v>Proportional</v>
          </cell>
          <cell r="S37477">
            <v>-30620.14</v>
          </cell>
          <cell r="X37477" t="str">
            <v>Variation UPR - gross</v>
          </cell>
          <cell r="Y37477" t="str">
            <v>THAILAND</v>
          </cell>
        </row>
        <row r="37478">
          <cell r="L37478" t="str">
            <v>Non-proportional</v>
          </cell>
          <cell r="S37478">
            <v>-6968.55</v>
          </cell>
          <cell r="X37478" t="str">
            <v>Variation UPR - gross</v>
          </cell>
          <cell r="Y37478" t="str">
            <v>POLAND</v>
          </cell>
        </row>
        <row r="37479">
          <cell r="L37479" t="str">
            <v>Non-proportional</v>
          </cell>
          <cell r="S37479">
            <v>33460.160000000003</v>
          </cell>
          <cell r="X37479" t="str">
            <v>Variation UPR - gross</v>
          </cell>
          <cell r="Y37479" t="str">
            <v>JAPAN</v>
          </cell>
        </row>
        <row r="37480">
          <cell r="L37480" t="str">
            <v>Non-proportional</v>
          </cell>
          <cell r="S37480">
            <v>-395.25</v>
          </cell>
          <cell r="X37480" t="str">
            <v>Variation UPR - gross</v>
          </cell>
          <cell r="Y37480" t="str">
            <v>COLOMBIA</v>
          </cell>
        </row>
        <row r="37481">
          <cell r="L37481" t="str">
            <v>Proportional</v>
          </cell>
          <cell r="S37481">
            <v>-9668.93</v>
          </cell>
          <cell r="X37481" t="str">
            <v>Variation UPR - gross</v>
          </cell>
          <cell r="Y37481" t="str">
            <v>THAILAND</v>
          </cell>
        </row>
        <row r="37482">
          <cell r="L37482" t="str">
            <v>Non-proportional</v>
          </cell>
          <cell r="S37482">
            <v>-3415.83</v>
          </cell>
          <cell r="X37482" t="str">
            <v>Variation UPR - gross</v>
          </cell>
          <cell r="Y37482" t="str">
            <v>UNITED KINGDOM</v>
          </cell>
        </row>
        <row r="37483">
          <cell r="L37483" t="str">
            <v>Non-proportional</v>
          </cell>
          <cell r="S37483">
            <v>-1537.58</v>
          </cell>
          <cell r="X37483" t="str">
            <v>Variation UPR - gross</v>
          </cell>
          <cell r="Y37483" t="str">
            <v>MEXICO</v>
          </cell>
        </row>
        <row r="37484">
          <cell r="L37484" t="str">
            <v>Non-proportional</v>
          </cell>
          <cell r="S37484">
            <v>-2937.09</v>
          </cell>
          <cell r="X37484" t="str">
            <v>Variation UPR - gross</v>
          </cell>
          <cell r="Y37484" t="str">
            <v>NETHERLANDS</v>
          </cell>
        </row>
        <row r="37485">
          <cell r="L37485" t="str">
            <v>Non-proportional</v>
          </cell>
          <cell r="S37485">
            <v>-30000</v>
          </cell>
          <cell r="X37485" t="str">
            <v>Variation UPR - gross</v>
          </cell>
          <cell r="Y37485" t="str">
            <v>FRANCE</v>
          </cell>
        </row>
        <row r="37486">
          <cell r="L37486" t="str">
            <v>Proportional</v>
          </cell>
          <cell r="S37486">
            <v>234745.81</v>
          </cell>
          <cell r="X37486" t="str">
            <v>Variation UPR - gross</v>
          </cell>
          <cell r="Y37486" t="str">
            <v>UNITED KINGDOM</v>
          </cell>
        </row>
        <row r="37487">
          <cell r="L37487" t="str">
            <v>Proportional</v>
          </cell>
          <cell r="S37487">
            <v>-11562.32</v>
          </cell>
          <cell r="X37487" t="str">
            <v>Variation UPR - gross</v>
          </cell>
          <cell r="Y37487" t="str">
            <v>THAILAND</v>
          </cell>
        </row>
        <row r="37488">
          <cell r="L37488" t="str">
            <v>Non-proportional</v>
          </cell>
          <cell r="S37488">
            <v>-387.5</v>
          </cell>
          <cell r="X37488" t="str">
            <v>Variation UPR - gross</v>
          </cell>
          <cell r="Y37488" t="str">
            <v>ITALY</v>
          </cell>
        </row>
        <row r="37489">
          <cell r="L37489" t="str">
            <v>Non-proportional</v>
          </cell>
          <cell r="S37489">
            <v>-1415.93</v>
          </cell>
          <cell r="X37489" t="str">
            <v>Variation UPR - gross</v>
          </cell>
          <cell r="Y37489" t="str">
            <v>FRANCE</v>
          </cell>
        </row>
        <row r="37490">
          <cell r="L37490" t="str">
            <v>Non-proportional</v>
          </cell>
          <cell r="S37490">
            <v>-898.87</v>
          </cell>
          <cell r="X37490" t="str">
            <v>Variation UPR - gross</v>
          </cell>
          <cell r="Y37490" t="str">
            <v>FRANCE</v>
          </cell>
        </row>
        <row r="37491">
          <cell r="L37491" t="str">
            <v>Non-proportional</v>
          </cell>
          <cell r="S37491">
            <v>-5416.11</v>
          </cell>
          <cell r="X37491" t="str">
            <v>Variation UPR - gross</v>
          </cell>
          <cell r="Y37491" t="str">
            <v>PERU</v>
          </cell>
        </row>
        <row r="37492">
          <cell r="L37492" t="str">
            <v>Non-proportional</v>
          </cell>
          <cell r="S37492">
            <v>-0.03</v>
          </cell>
          <cell r="X37492" t="str">
            <v>Variation UPR - gross</v>
          </cell>
          <cell r="Y37492" t="str">
            <v>THAILAND</v>
          </cell>
        </row>
        <row r="37493">
          <cell r="L37493" t="str">
            <v>Non-proportional</v>
          </cell>
          <cell r="S37493">
            <v>-9220.32</v>
          </cell>
          <cell r="X37493" t="str">
            <v>Variation UPR - gross</v>
          </cell>
          <cell r="Y37493" t="str">
            <v>JAPAN</v>
          </cell>
        </row>
        <row r="37494">
          <cell r="L37494" t="str">
            <v>Non-proportional</v>
          </cell>
          <cell r="S37494">
            <v>-657.6</v>
          </cell>
          <cell r="X37494" t="str">
            <v>Variation UPR - gross</v>
          </cell>
          <cell r="Y37494" t="str">
            <v>CHILE</v>
          </cell>
        </row>
        <row r="37495">
          <cell r="L37495" t="str">
            <v>Non-proportional</v>
          </cell>
          <cell r="S37495">
            <v>-1963.96</v>
          </cell>
          <cell r="X37495" t="str">
            <v>Variation UPR - gross</v>
          </cell>
          <cell r="Y37495" t="str">
            <v>AUSTRALIA</v>
          </cell>
        </row>
        <row r="37496">
          <cell r="L37496" t="str">
            <v>Non-proportional</v>
          </cell>
          <cell r="S37496">
            <v>-985.34</v>
          </cell>
          <cell r="X37496" t="str">
            <v>Variation UPR - gross</v>
          </cell>
          <cell r="Y37496" t="str">
            <v>DOMINICAN REPUBLIC</v>
          </cell>
        </row>
        <row r="37497">
          <cell r="L37497" t="str">
            <v>Proportional</v>
          </cell>
          <cell r="S37497">
            <v>-1220</v>
          </cell>
          <cell r="X37497" t="str">
            <v>Variation UPR - gross</v>
          </cell>
          <cell r="Y37497" t="str">
            <v>ITALY</v>
          </cell>
        </row>
        <row r="37498">
          <cell r="L37498" t="str">
            <v>Non-proportional</v>
          </cell>
          <cell r="S37498">
            <v>-1290.4000000000001</v>
          </cell>
          <cell r="X37498" t="str">
            <v>Variation UPR - gross</v>
          </cell>
          <cell r="Y37498" t="str">
            <v>AUSTRALIA</v>
          </cell>
        </row>
        <row r="37499">
          <cell r="L37499" t="str">
            <v>Non-proportional</v>
          </cell>
          <cell r="S37499">
            <v>-2244.17</v>
          </cell>
          <cell r="X37499" t="str">
            <v>Variation UPR - gross</v>
          </cell>
          <cell r="Y37499" t="str">
            <v>AUSTRALIA</v>
          </cell>
        </row>
        <row r="37500">
          <cell r="L37500" t="str">
            <v>Non-proportional</v>
          </cell>
          <cell r="S37500">
            <v>-5023.76</v>
          </cell>
          <cell r="X37500" t="str">
            <v>Variation UPR - gross</v>
          </cell>
          <cell r="Y37500" t="str">
            <v>UNITED KINGDOM</v>
          </cell>
        </row>
        <row r="37501">
          <cell r="L37501" t="str">
            <v>Proportional</v>
          </cell>
          <cell r="S37501">
            <v>-13659.13</v>
          </cell>
          <cell r="X37501" t="str">
            <v>Variation UPR - gross</v>
          </cell>
          <cell r="Y37501" t="str">
            <v>THAILAND</v>
          </cell>
        </row>
        <row r="37502">
          <cell r="L37502" t="str">
            <v>Proportional</v>
          </cell>
          <cell r="S37502">
            <v>174.92</v>
          </cell>
          <cell r="X37502" t="str">
            <v>Variation UPR - gross</v>
          </cell>
          <cell r="Y37502" t="str">
            <v>INDIA</v>
          </cell>
        </row>
        <row r="37503">
          <cell r="L37503" t="str">
            <v>Non-proportional</v>
          </cell>
          <cell r="S37503">
            <v>-4213.95</v>
          </cell>
          <cell r="X37503" t="str">
            <v>Variation UPR - gross</v>
          </cell>
          <cell r="Y37503" t="str">
            <v>DOMINICAN REPUBLIC</v>
          </cell>
        </row>
        <row r="37504">
          <cell r="L37504" t="str">
            <v>Non-proportional</v>
          </cell>
          <cell r="S37504">
            <v>-3192.08</v>
          </cell>
          <cell r="X37504" t="str">
            <v>Variation UPR - gross</v>
          </cell>
          <cell r="Y37504" t="str">
            <v>UNITED KINGDOM</v>
          </cell>
        </row>
        <row r="37505">
          <cell r="L37505" t="str">
            <v>Non-proportional</v>
          </cell>
          <cell r="S37505">
            <v>19186.939999999999</v>
          </cell>
          <cell r="X37505" t="str">
            <v>Variation UPR - gross</v>
          </cell>
          <cell r="Y37505" t="str">
            <v>JAPAN</v>
          </cell>
        </row>
        <row r="37506">
          <cell r="L37506" t="str">
            <v>Non-proportional</v>
          </cell>
          <cell r="S37506">
            <v>-3358.24</v>
          </cell>
          <cell r="X37506" t="str">
            <v>Variation UPR - gross</v>
          </cell>
          <cell r="Y37506" t="str">
            <v>ISRAEL</v>
          </cell>
        </row>
        <row r="37507">
          <cell r="L37507" t="str">
            <v>Non-proportional</v>
          </cell>
          <cell r="S37507">
            <v>-6059.98</v>
          </cell>
          <cell r="X37507" t="str">
            <v>Variation UPR - gross</v>
          </cell>
          <cell r="Y37507" t="str">
            <v>ISRAEL</v>
          </cell>
        </row>
        <row r="37508">
          <cell r="L37508" t="str">
            <v>Non-proportional</v>
          </cell>
          <cell r="S37508">
            <v>-4425.46</v>
          </cell>
          <cell r="X37508" t="str">
            <v>Variation UPR - gross</v>
          </cell>
          <cell r="Y37508" t="str">
            <v>FRANCE</v>
          </cell>
        </row>
        <row r="37509">
          <cell r="L37509" t="str">
            <v>Non-proportional</v>
          </cell>
          <cell r="S37509">
            <v>259.38</v>
          </cell>
          <cell r="X37509" t="str">
            <v>Variation UPR - gross</v>
          </cell>
          <cell r="Y37509" t="str">
            <v>COLOMBIA</v>
          </cell>
        </row>
        <row r="37510">
          <cell r="L37510" t="str">
            <v>Proportional</v>
          </cell>
          <cell r="S37510">
            <v>-4815.6000000000004</v>
          </cell>
          <cell r="X37510" t="str">
            <v>Variation UPR - gross</v>
          </cell>
          <cell r="Y37510" t="str">
            <v>HONG KONG</v>
          </cell>
        </row>
        <row r="37511">
          <cell r="L37511" t="str">
            <v>Non-proportional</v>
          </cell>
          <cell r="S37511">
            <v>-5894.37</v>
          </cell>
          <cell r="X37511" t="str">
            <v>Variation UPR - gross</v>
          </cell>
          <cell r="Y37511" t="str">
            <v>UNITED KINGDOM</v>
          </cell>
        </row>
        <row r="37512">
          <cell r="L37512" t="str">
            <v>Non-proportional</v>
          </cell>
          <cell r="S37512">
            <v>-11120.94</v>
          </cell>
          <cell r="X37512" t="str">
            <v>Variation UPR - gross</v>
          </cell>
          <cell r="Y37512" t="str">
            <v>MEXICO</v>
          </cell>
        </row>
        <row r="37513">
          <cell r="L37513" t="str">
            <v>Non-proportional</v>
          </cell>
          <cell r="S37513">
            <v>-45.34</v>
          </cell>
          <cell r="X37513" t="str">
            <v>Variation UPR - gross</v>
          </cell>
          <cell r="Y37513" t="str">
            <v>INDIA</v>
          </cell>
        </row>
        <row r="37514">
          <cell r="L37514" t="str">
            <v>Non-proportional</v>
          </cell>
          <cell r="S37514">
            <v>-5055.21</v>
          </cell>
          <cell r="X37514" t="str">
            <v>Variation UPR - gross</v>
          </cell>
          <cell r="Y37514" t="str">
            <v>ISRAEL</v>
          </cell>
        </row>
        <row r="37515">
          <cell r="L37515" t="str">
            <v>Non-proportional</v>
          </cell>
          <cell r="S37515">
            <v>93594.85</v>
          </cell>
          <cell r="X37515" t="str">
            <v>Variation UPR - gross</v>
          </cell>
          <cell r="Y37515" t="str">
            <v>JAPAN</v>
          </cell>
        </row>
        <row r="37516">
          <cell r="L37516" t="str">
            <v>Non-proportional</v>
          </cell>
          <cell r="S37516">
            <v>-1577.93</v>
          </cell>
          <cell r="X37516" t="str">
            <v>Variation UPR - gross</v>
          </cell>
          <cell r="Y37516" t="str">
            <v>AUSTRALIA</v>
          </cell>
        </row>
        <row r="37517">
          <cell r="L37517" t="str">
            <v>Non-proportional</v>
          </cell>
          <cell r="S37517">
            <v>-4250.1899999999996</v>
          </cell>
          <cell r="X37517" t="str">
            <v>Variation UPR - gross</v>
          </cell>
          <cell r="Y37517" t="str">
            <v>ITALY</v>
          </cell>
        </row>
        <row r="37518">
          <cell r="L37518" t="str">
            <v>Non-proportional</v>
          </cell>
          <cell r="S37518">
            <v>-14331.16</v>
          </cell>
          <cell r="X37518" t="str">
            <v>Variation UPR - gross</v>
          </cell>
          <cell r="Y37518" t="str">
            <v>FRANCE</v>
          </cell>
        </row>
        <row r="37519">
          <cell r="L37519" t="str">
            <v>Non-proportional</v>
          </cell>
          <cell r="S37519">
            <v>-5674.06</v>
          </cell>
          <cell r="X37519" t="str">
            <v>Variation UPR - gross</v>
          </cell>
          <cell r="Y37519" t="str">
            <v>SINGAPORE</v>
          </cell>
        </row>
        <row r="37520">
          <cell r="L37520" t="str">
            <v>Non-proportional</v>
          </cell>
          <cell r="S37520">
            <v>-40000</v>
          </cell>
          <cell r="X37520" t="str">
            <v>Variation UPR - gross</v>
          </cell>
          <cell r="Y37520" t="str">
            <v>PORTUGAL</v>
          </cell>
        </row>
        <row r="37521">
          <cell r="L37521" t="str">
            <v>Non-proportional</v>
          </cell>
          <cell r="S37521">
            <v>-1733.75</v>
          </cell>
          <cell r="X37521" t="str">
            <v>Variation UPR - gross</v>
          </cell>
          <cell r="Y37521" t="str">
            <v>PORTUGAL</v>
          </cell>
        </row>
        <row r="37522">
          <cell r="L37522" t="str">
            <v>Non-proportional</v>
          </cell>
          <cell r="S37522">
            <v>-0.02</v>
          </cell>
          <cell r="X37522" t="str">
            <v>Variation UPR - gross</v>
          </cell>
          <cell r="Y37522" t="str">
            <v>COLOMBIA</v>
          </cell>
        </row>
        <row r="37523">
          <cell r="L37523" t="str">
            <v>Non-proportional</v>
          </cell>
          <cell r="S37523">
            <v>-13849.11</v>
          </cell>
          <cell r="X37523" t="str">
            <v>Variation UPR - gross</v>
          </cell>
          <cell r="Y37523" t="str">
            <v>INDIA</v>
          </cell>
        </row>
        <row r="37524">
          <cell r="L37524" t="str">
            <v>Non-proportional</v>
          </cell>
          <cell r="S37524">
            <v>-417.67</v>
          </cell>
          <cell r="X37524" t="str">
            <v>Variation UPR - gross</v>
          </cell>
          <cell r="Y37524" t="str">
            <v>NETHERLANDS</v>
          </cell>
        </row>
        <row r="37525">
          <cell r="L37525" t="str">
            <v>Non-proportional</v>
          </cell>
          <cell r="S37525">
            <v>-197.46</v>
          </cell>
          <cell r="X37525" t="str">
            <v>Variation UPR - gross</v>
          </cell>
          <cell r="Y37525" t="str">
            <v>INDIA</v>
          </cell>
        </row>
        <row r="37526">
          <cell r="L37526" t="str">
            <v>Non-proportional</v>
          </cell>
          <cell r="S37526">
            <v>-3249.09</v>
          </cell>
          <cell r="X37526" t="str">
            <v>Variation UPR - gross</v>
          </cell>
          <cell r="Y37526" t="str">
            <v>FRANCE</v>
          </cell>
        </row>
        <row r="37527">
          <cell r="L37527" t="str">
            <v>Non-proportional</v>
          </cell>
          <cell r="S37527">
            <v>-2501.98</v>
          </cell>
          <cell r="X37527" t="str">
            <v>Variation UPR - gross</v>
          </cell>
          <cell r="Y37527" t="str">
            <v>JAPAN</v>
          </cell>
        </row>
        <row r="37528">
          <cell r="L37528" t="str">
            <v>Non-proportional</v>
          </cell>
          <cell r="S37528">
            <v>-58088.02</v>
          </cell>
          <cell r="X37528" t="str">
            <v>Variation UPR - gross</v>
          </cell>
          <cell r="Y37528" t="str">
            <v>UNITED KINGDOM</v>
          </cell>
        </row>
        <row r="37529">
          <cell r="L37529" t="str">
            <v>Non-proportional</v>
          </cell>
          <cell r="S37529">
            <v>-1570.94</v>
          </cell>
          <cell r="X37529" t="str">
            <v>Variation UPR - gross</v>
          </cell>
          <cell r="Y37529" t="str">
            <v>CHILE</v>
          </cell>
        </row>
        <row r="37530">
          <cell r="L37530" t="str">
            <v>Non-proportional</v>
          </cell>
          <cell r="S37530">
            <v>-884.37</v>
          </cell>
          <cell r="X37530" t="str">
            <v>Variation UPR - gross</v>
          </cell>
          <cell r="Y37530" t="str">
            <v>FRANCE</v>
          </cell>
        </row>
        <row r="37531">
          <cell r="L37531" t="str">
            <v>Proportional</v>
          </cell>
          <cell r="S37531">
            <v>-6758.72</v>
          </cell>
          <cell r="X37531" t="str">
            <v>Variation UPR - gross</v>
          </cell>
          <cell r="Y37531" t="str">
            <v>CHILE</v>
          </cell>
        </row>
        <row r="37532">
          <cell r="L37532" t="str">
            <v>Non-proportional</v>
          </cell>
          <cell r="S37532">
            <v>77.91</v>
          </cell>
          <cell r="X37532" t="str">
            <v>Variation UPR - gross</v>
          </cell>
          <cell r="Y37532" t="str">
            <v>COLOMBIA</v>
          </cell>
        </row>
        <row r="37533">
          <cell r="L37533" t="str">
            <v>Non-proportional</v>
          </cell>
          <cell r="S37533">
            <v>-397436.58</v>
          </cell>
          <cell r="X37533" t="str">
            <v>Variation UPR - gross</v>
          </cell>
          <cell r="Y37533" t="str">
            <v>UNITED KINGDOM</v>
          </cell>
        </row>
        <row r="37534">
          <cell r="L37534" t="str">
            <v>Proportional</v>
          </cell>
          <cell r="S37534">
            <v>375000</v>
          </cell>
          <cell r="X37534" t="str">
            <v>Variation UPR - gross</v>
          </cell>
          <cell r="Y37534" t="str">
            <v>PORTUGAL</v>
          </cell>
        </row>
        <row r="37535">
          <cell r="L37535" t="str">
            <v>Non-proportional</v>
          </cell>
          <cell r="S37535">
            <v>-18.21</v>
          </cell>
          <cell r="X37535" t="str">
            <v>Variation UPR - gross</v>
          </cell>
          <cell r="Y37535" t="str">
            <v>GUATEMALA</v>
          </cell>
        </row>
        <row r="37536">
          <cell r="L37536" t="str">
            <v>Non-proportional</v>
          </cell>
          <cell r="S37536">
            <v>-32724.37</v>
          </cell>
          <cell r="X37536" t="str">
            <v>Variation UPR - gross</v>
          </cell>
          <cell r="Y37536" t="str">
            <v>HONG KONG</v>
          </cell>
        </row>
        <row r="37537">
          <cell r="L37537" t="str">
            <v>Non-proportional</v>
          </cell>
          <cell r="S37537">
            <v>-5881.91</v>
          </cell>
          <cell r="X37537" t="str">
            <v>Variation UPR - gross</v>
          </cell>
          <cell r="Y37537" t="str">
            <v>CHILE</v>
          </cell>
        </row>
        <row r="37538">
          <cell r="L37538" t="str">
            <v>Non-proportional</v>
          </cell>
          <cell r="S37538">
            <v>-4201.3599999999997</v>
          </cell>
          <cell r="X37538" t="str">
            <v>Variation UPR - gross</v>
          </cell>
          <cell r="Y37538" t="str">
            <v>CHILE</v>
          </cell>
        </row>
        <row r="37539">
          <cell r="L37539" t="str">
            <v>Non-proportional</v>
          </cell>
          <cell r="S37539">
            <v>-817.9</v>
          </cell>
          <cell r="X37539" t="str">
            <v>Variation UPR - gross</v>
          </cell>
          <cell r="Y37539" t="str">
            <v>COLOMBIA</v>
          </cell>
        </row>
        <row r="37540">
          <cell r="L37540" t="str">
            <v>Non-proportional</v>
          </cell>
          <cell r="S37540">
            <v>-3950.34</v>
          </cell>
          <cell r="X37540" t="str">
            <v>Variation UPR - gross</v>
          </cell>
          <cell r="Y37540" t="str">
            <v>UNITED KINGDOM</v>
          </cell>
        </row>
        <row r="37541">
          <cell r="L37541" t="str">
            <v>Non-proportional</v>
          </cell>
          <cell r="S37541">
            <v>-3126.85</v>
          </cell>
          <cell r="X37541" t="str">
            <v>Variation UPR - gross</v>
          </cell>
          <cell r="Y37541" t="str">
            <v>FRANCE</v>
          </cell>
        </row>
        <row r="37542">
          <cell r="L37542" t="str">
            <v>Non-proportional</v>
          </cell>
          <cell r="S37542">
            <v>-20197.509999999998</v>
          </cell>
          <cell r="X37542" t="str">
            <v>Variation UPR - gross</v>
          </cell>
          <cell r="Y37542" t="str">
            <v>ITALY</v>
          </cell>
        </row>
        <row r="37543">
          <cell r="L37543" t="str">
            <v>Non-proportional</v>
          </cell>
          <cell r="S37543">
            <v>-630.83000000000004</v>
          </cell>
          <cell r="X37543" t="str">
            <v>Variation UPR - gross</v>
          </cell>
          <cell r="Y37543" t="str">
            <v>NEW ZEALAND</v>
          </cell>
        </row>
        <row r="37544">
          <cell r="L37544" t="str">
            <v>Non-proportional</v>
          </cell>
          <cell r="S37544">
            <v>-1718</v>
          </cell>
          <cell r="X37544" t="str">
            <v>Variation UPR - gross</v>
          </cell>
          <cell r="Y37544" t="str">
            <v>FRANCE</v>
          </cell>
        </row>
        <row r="37545">
          <cell r="L37545" t="str">
            <v>Proportional</v>
          </cell>
          <cell r="S37545">
            <v>-560.87</v>
          </cell>
          <cell r="X37545" t="str">
            <v>Variation UPR - gross</v>
          </cell>
          <cell r="Y37545" t="str">
            <v>THAILAND</v>
          </cell>
        </row>
        <row r="37546">
          <cell r="L37546" t="str">
            <v>Non-proportional</v>
          </cell>
          <cell r="S37546">
            <v>-560.5</v>
          </cell>
          <cell r="X37546" t="str">
            <v>Variation UPR - gross</v>
          </cell>
          <cell r="Y37546" t="str">
            <v>PORTUGAL</v>
          </cell>
        </row>
        <row r="37547">
          <cell r="L37547" t="str">
            <v>Non-proportional</v>
          </cell>
          <cell r="S37547">
            <v>-115.64</v>
          </cell>
          <cell r="X37547" t="str">
            <v>Variation UPR - gross</v>
          </cell>
          <cell r="Y37547" t="str">
            <v>INDIA</v>
          </cell>
        </row>
        <row r="37548">
          <cell r="L37548" t="str">
            <v>Non-proportional</v>
          </cell>
          <cell r="S37548">
            <v>-9348.14</v>
          </cell>
          <cell r="X37548" t="str">
            <v>Variation UPR - gross</v>
          </cell>
          <cell r="Y37548" t="str">
            <v>NETHERLANDS</v>
          </cell>
        </row>
        <row r="37549">
          <cell r="L37549" t="str">
            <v>Non-proportional</v>
          </cell>
          <cell r="S37549">
            <v>15209.17</v>
          </cell>
          <cell r="X37549" t="str">
            <v>Variation UPR - gross</v>
          </cell>
          <cell r="Y37549" t="str">
            <v>JAPAN</v>
          </cell>
        </row>
        <row r="37550">
          <cell r="L37550" t="str">
            <v>Non-proportional</v>
          </cell>
          <cell r="S37550">
            <v>-698.58</v>
          </cell>
          <cell r="X37550" t="str">
            <v>Variation UPR - gross</v>
          </cell>
          <cell r="Y37550" t="str">
            <v>ITALY</v>
          </cell>
        </row>
        <row r="37551">
          <cell r="L37551" t="str">
            <v>Non-proportional</v>
          </cell>
          <cell r="S37551">
            <v>-296803.59999999998</v>
          </cell>
          <cell r="X37551" t="str">
            <v>Variation UPR - gross</v>
          </cell>
          <cell r="Y37551" t="str">
            <v>UNITED KINGDOM</v>
          </cell>
        </row>
        <row r="37552">
          <cell r="L37552" t="str">
            <v>Non-proportional</v>
          </cell>
          <cell r="S37552">
            <v>-1121.82</v>
          </cell>
          <cell r="X37552" t="str">
            <v>Variation UPR - gross</v>
          </cell>
          <cell r="Y37552" t="str">
            <v>AUSTRALIA</v>
          </cell>
        </row>
        <row r="37553">
          <cell r="L37553" t="str">
            <v>Non-proportional</v>
          </cell>
          <cell r="S37553">
            <v>-405.47</v>
          </cell>
          <cell r="X37553" t="str">
            <v>Variation UPR - gross</v>
          </cell>
          <cell r="Y37553" t="str">
            <v>JAPAN</v>
          </cell>
        </row>
        <row r="37554">
          <cell r="L37554" t="str">
            <v>Non-proportional</v>
          </cell>
          <cell r="S37554">
            <v>-44353.71</v>
          </cell>
          <cell r="X37554" t="str">
            <v>Variation UPR - gross</v>
          </cell>
          <cell r="Y37554" t="str">
            <v>UNITED KINGDOM</v>
          </cell>
        </row>
        <row r="37555">
          <cell r="L37555" t="str">
            <v>Non-proportional</v>
          </cell>
          <cell r="S37555">
            <v>-12625.09</v>
          </cell>
          <cell r="X37555" t="str">
            <v>Variation UPR - gross</v>
          </cell>
          <cell r="Y37555" t="str">
            <v>BELGIUM</v>
          </cell>
        </row>
        <row r="37556">
          <cell r="L37556" t="str">
            <v>Non-proportional</v>
          </cell>
          <cell r="S37556">
            <v>-34944.720000000001</v>
          </cell>
          <cell r="X37556" t="str">
            <v>Variation UPR - gross</v>
          </cell>
          <cell r="Y37556" t="str">
            <v>UNITED STATES</v>
          </cell>
        </row>
        <row r="37557">
          <cell r="S37557">
            <v>-2372.39</v>
          </cell>
          <cell r="X37557" t="str">
            <v>Variation UPR - gross</v>
          </cell>
          <cell r="Y37557" t="str">
            <v>PORTUGAL</v>
          </cell>
        </row>
        <row r="37558">
          <cell r="L37558" t="str">
            <v>Proportional</v>
          </cell>
          <cell r="S37558">
            <v>471.54</v>
          </cell>
          <cell r="X37558" t="str">
            <v>Variation UPR - gross</v>
          </cell>
          <cell r="Y37558" t="str">
            <v>UNITED STATES</v>
          </cell>
        </row>
        <row r="37559">
          <cell r="L37559" t="str">
            <v>Non-proportional</v>
          </cell>
          <cell r="S37559">
            <v>-6485.75</v>
          </cell>
          <cell r="X37559" t="str">
            <v>Variation UPR - gross</v>
          </cell>
          <cell r="Y37559" t="str">
            <v>COLOMBIA</v>
          </cell>
        </row>
        <row r="37560">
          <cell r="L37560" t="str">
            <v>Non-proportional</v>
          </cell>
          <cell r="S37560">
            <v>-9734.7900000000009</v>
          </cell>
          <cell r="X37560" t="str">
            <v>Variation UPR - gross</v>
          </cell>
          <cell r="Y37560" t="str">
            <v>ECUADOR</v>
          </cell>
        </row>
        <row r="37561">
          <cell r="L37561" t="str">
            <v>Non-proportional</v>
          </cell>
          <cell r="S37561">
            <v>-3105.36</v>
          </cell>
          <cell r="X37561" t="str">
            <v>Variation UPR - gross</v>
          </cell>
          <cell r="Y37561" t="str">
            <v>CHILE</v>
          </cell>
        </row>
        <row r="37562">
          <cell r="L37562" t="str">
            <v>Non-proportional</v>
          </cell>
          <cell r="S37562">
            <v>-1458.33</v>
          </cell>
          <cell r="X37562" t="str">
            <v>Variation UPR - gross</v>
          </cell>
          <cell r="Y37562" t="str">
            <v>ITALY</v>
          </cell>
        </row>
        <row r="37563">
          <cell r="L37563" t="str">
            <v>Proportional</v>
          </cell>
          <cell r="S37563">
            <v>-676.66</v>
          </cell>
          <cell r="X37563" t="str">
            <v>Variation UPR - gross</v>
          </cell>
          <cell r="Y37563" t="str">
            <v>THAILAND</v>
          </cell>
        </row>
        <row r="37564">
          <cell r="L37564" t="str">
            <v>Non-proportional</v>
          </cell>
          <cell r="S37564">
            <v>-37880.65</v>
          </cell>
          <cell r="X37564" t="str">
            <v>Variation UPR - gross</v>
          </cell>
          <cell r="Y37564" t="str">
            <v>UNITED KINGDOM</v>
          </cell>
        </row>
        <row r="37565">
          <cell r="L37565" t="str">
            <v>Non-proportional</v>
          </cell>
          <cell r="S37565">
            <v>-3819.9</v>
          </cell>
          <cell r="X37565" t="str">
            <v>Variation UPR - gross</v>
          </cell>
          <cell r="Y37565" t="str">
            <v>ECUADOR</v>
          </cell>
        </row>
        <row r="37566">
          <cell r="L37566" t="str">
            <v>Non-proportional</v>
          </cell>
          <cell r="S37566">
            <v>231.09</v>
          </cell>
          <cell r="X37566" t="str">
            <v>Variation UPR - gross</v>
          </cell>
          <cell r="Y37566" t="str">
            <v>SOUTH KOREA</v>
          </cell>
        </row>
        <row r="37567">
          <cell r="L37567" t="str">
            <v>Non-proportional</v>
          </cell>
          <cell r="S37567">
            <v>-1562.37</v>
          </cell>
          <cell r="X37567" t="str">
            <v>Variation UPR - gross</v>
          </cell>
          <cell r="Y37567" t="str">
            <v>FRANCE</v>
          </cell>
        </row>
        <row r="37568">
          <cell r="L37568" t="str">
            <v>Non-proportional</v>
          </cell>
          <cell r="S37568">
            <v>-6957.83</v>
          </cell>
          <cell r="X37568" t="str">
            <v>Variation UPR - gross</v>
          </cell>
          <cell r="Y37568" t="str">
            <v>ITALY</v>
          </cell>
        </row>
        <row r="37569">
          <cell r="L37569" t="str">
            <v>Proportional</v>
          </cell>
          <cell r="S37569">
            <v>-3142.86</v>
          </cell>
          <cell r="X37569" t="str">
            <v>Variation UPR - gross</v>
          </cell>
          <cell r="Y37569" t="str">
            <v>INDIA</v>
          </cell>
        </row>
        <row r="37570">
          <cell r="L37570" t="str">
            <v>Non-proportional</v>
          </cell>
          <cell r="S37570">
            <v>26.87</v>
          </cell>
          <cell r="X37570" t="str">
            <v>Variation UPR - gross</v>
          </cell>
          <cell r="Y37570" t="str">
            <v>COLOMBIA</v>
          </cell>
        </row>
        <row r="37571">
          <cell r="L37571" t="str">
            <v>Proportional</v>
          </cell>
          <cell r="S37571">
            <v>-18489.400000000001</v>
          </cell>
          <cell r="X37571" t="str">
            <v>Variation UPR - gross</v>
          </cell>
          <cell r="Y37571" t="str">
            <v>UNITED ARAB EMIRATES</v>
          </cell>
        </row>
        <row r="37572">
          <cell r="L37572" t="str">
            <v>Proportional</v>
          </cell>
          <cell r="S37572">
            <v>-5608.69</v>
          </cell>
          <cell r="X37572" t="str">
            <v>Variation UPR - gross</v>
          </cell>
          <cell r="Y37572" t="str">
            <v>THAILAND</v>
          </cell>
        </row>
        <row r="37573">
          <cell r="L37573" t="str">
            <v>Non-proportional</v>
          </cell>
          <cell r="S37573">
            <v>8291.8799999999992</v>
          </cell>
          <cell r="X37573" t="str">
            <v>Variation UPR - gross</v>
          </cell>
          <cell r="Y37573" t="str">
            <v>JAPAN</v>
          </cell>
        </row>
        <row r="37574">
          <cell r="L37574" t="str">
            <v>Non-proportional</v>
          </cell>
          <cell r="S37574">
            <v>-599.04999999999995</v>
          </cell>
          <cell r="X37574" t="str">
            <v>Variation UPR - gross</v>
          </cell>
          <cell r="Y37574" t="str">
            <v>MEXICO</v>
          </cell>
        </row>
        <row r="37575">
          <cell r="L37575" t="str">
            <v>Proportional</v>
          </cell>
          <cell r="S37575">
            <v>-86563.42</v>
          </cell>
          <cell r="X37575" t="str">
            <v>Variation UPR - gross</v>
          </cell>
          <cell r="Y37575" t="str">
            <v>UNITED STATES</v>
          </cell>
        </row>
        <row r="37576">
          <cell r="L37576" t="str">
            <v>Proportional</v>
          </cell>
          <cell r="S37576">
            <v>1241.97</v>
          </cell>
          <cell r="X37576" t="str">
            <v>Variation UPR - gross</v>
          </cell>
          <cell r="Y37576" t="str">
            <v>UNITED STATES</v>
          </cell>
        </row>
        <row r="37577">
          <cell r="L37577" t="str">
            <v>Non-proportional</v>
          </cell>
          <cell r="S37577">
            <v>-630.14</v>
          </cell>
          <cell r="X37577" t="str">
            <v>Variation UPR - gross</v>
          </cell>
          <cell r="Y37577" t="str">
            <v>JAPAN</v>
          </cell>
        </row>
        <row r="37578">
          <cell r="L37578" t="str">
            <v>Non-proportional</v>
          </cell>
          <cell r="S37578">
            <v>-9467.51</v>
          </cell>
          <cell r="X37578" t="str">
            <v>Variation UPR - gross</v>
          </cell>
          <cell r="Y37578" t="str">
            <v>AUSTRALIA</v>
          </cell>
        </row>
        <row r="37579">
          <cell r="L37579" t="str">
            <v>Non-proportional</v>
          </cell>
          <cell r="S37579">
            <v>-38026.75</v>
          </cell>
          <cell r="X37579" t="str">
            <v>Variation UPR - gross</v>
          </cell>
          <cell r="Y37579" t="str">
            <v>FRANCE</v>
          </cell>
        </row>
        <row r="37580">
          <cell r="L37580" t="str">
            <v>Non-proportional</v>
          </cell>
          <cell r="S37580">
            <v>-1587.35</v>
          </cell>
          <cell r="X37580" t="str">
            <v>Variation UPR - gross</v>
          </cell>
          <cell r="Y37580" t="str">
            <v>ITALY</v>
          </cell>
        </row>
        <row r="37581">
          <cell r="L37581" t="str">
            <v>Non-proportional</v>
          </cell>
          <cell r="S37581">
            <v>-5700.19</v>
          </cell>
          <cell r="X37581" t="str">
            <v>Variation UPR - gross</v>
          </cell>
          <cell r="Y37581" t="str">
            <v>ITALY</v>
          </cell>
        </row>
        <row r="37582">
          <cell r="L37582" t="str">
            <v>Non-proportional</v>
          </cell>
          <cell r="S37582">
            <v>-4666.5</v>
          </cell>
          <cell r="X37582" t="str">
            <v>Variation UPR - gross</v>
          </cell>
          <cell r="Y37582" t="str">
            <v>TURKEY</v>
          </cell>
        </row>
        <row r="37583">
          <cell r="L37583" t="str">
            <v>Non-proportional</v>
          </cell>
          <cell r="S37583">
            <v>-112197.98</v>
          </cell>
          <cell r="X37583" t="str">
            <v>Variation UPR - gross</v>
          </cell>
          <cell r="Y37583" t="str">
            <v>UNITED KINGDOM</v>
          </cell>
        </row>
        <row r="37584">
          <cell r="L37584" t="str">
            <v>Non-proportional</v>
          </cell>
          <cell r="S37584">
            <v>-3281.25</v>
          </cell>
          <cell r="X37584" t="str">
            <v>Variation UPR - gross</v>
          </cell>
          <cell r="Y37584" t="str">
            <v>ITALY</v>
          </cell>
        </row>
        <row r="37585">
          <cell r="L37585" t="str">
            <v>Non-proportional</v>
          </cell>
          <cell r="S37585">
            <v>-6623.14</v>
          </cell>
          <cell r="X37585" t="str">
            <v>Variation UPR - gross</v>
          </cell>
          <cell r="Y37585" t="str">
            <v>CYPRUS</v>
          </cell>
        </row>
        <row r="37586">
          <cell r="L37586" t="str">
            <v>Non-proportional</v>
          </cell>
          <cell r="S37586">
            <v>-12001.33</v>
          </cell>
          <cell r="X37586" t="str">
            <v>Variation UPR - gross</v>
          </cell>
          <cell r="Y37586" t="str">
            <v>ITALY</v>
          </cell>
        </row>
        <row r="37587">
          <cell r="L37587" t="str">
            <v>Non-proportional</v>
          </cell>
          <cell r="S37587">
            <v>-728.75</v>
          </cell>
          <cell r="X37587" t="str">
            <v>Variation UPR - gross</v>
          </cell>
          <cell r="Y37587" t="str">
            <v>ITALY</v>
          </cell>
        </row>
        <row r="37588">
          <cell r="L37588" t="str">
            <v>Non-proportional</v>
          </cell>
          <cell r="S37588">
            <v>-7586.5</v>
          </cell>
          <cell r="X37588" t="str">
            <v>Variation UPR - gross</v>
          </cell>
          <cell r="Y37588" t="str">
            <v>FRANCE</v>
          </cell>
        </row>
        <row r="37589">
          <cell r="L37589" t="str">
            <v>Proportional</v>
          </cell>
          <cell r="S37589">
            <v>-3799.13</v>
          </cell>
          <cell r="X37589" t="str">
            <v>Variation UPR - gross</v>
          </cell>
          <cell r="Y37589" t="str">
            <v>HONG KONG</v>
          </cell>
        </row>
        <row r="37590">
          <cell r="L37590" t="str">
            <v>Non-proportional</v>
          </cell>
          <cell r="S37590">
            <v>-7821.91</v>
          </cell>
          <cell r="X37590" t="str">
            <v>Variation UPR - gross</v>
          </cell>
          <cell r="Y37590" t="str">
            <v>UNITED KINGDOM</v>
          </cell>
        </row>
        <row r="37591">
          <cell r="L37591" t="str">
            <v>Non-proportional</v>
          </cell>
          <cell r="S37591">
            <v>-10000</v>
          </cell>
          <cell r="X37591" t="str">
            <v>Variation UPR - gross</v>
          </cell>
          <cell r="Y37591" t="str">
            <v>EUROPE</v>
          </cell>
        </row>
        <row r="37592">
          <cell r="L37592" t="str">
            <v>Non-proportional</v>
          </cell>
          <cell r="S37592">
            <v>-15042.95</v>
          </cell>
          <cell r="X37592" t="str">
            <v>Variation UPR - gross</v>
          </cell>
          <cell r="Y37592" t="str">
            <v>FRANCE</v>
          </cell>
        </row>
        <row r="37593">
          <cell r="L37593" t="str">
            <v>Non-proportional</v>
          </cell>
          <cell r="S37593">
            <v>-50.27</v>
          </cell>
          <cell r="X37593" t="str">
            <v>Variation UPR - gross</v>
          </cell>
          <cell r="Y37593" t="str">
            <v>ISRAEL</v>
          </cell>
        </row>
        <row r="37594">
          <cell r="L37594" t="str">
            <v>Non-proportional</v>
          </cell>
          <cell r="S37594">
            <v>-21666.67</v>
          </cell>
          <cell r="X37594" t="str">
            <v>Variation UPR - gross</v>
          </cell>
          <cell r="Y37594" t="str">
            <v>FRANCE</v>
          </cell>
        </row>
        <row r="37595">
          <cell r="L37595" t="str">
            <v>Proportional</v>
          </cell>
          <cell r="S37595">
            <v>2953.37</v>
          </cell>
          <cell r="X37595" t="str">
            <v>Variation UPR - gross</v>
          </cell>
          <cell r="Y37595" t="str">
            <v>CANADA</v>
          </cell>
        </row>
        <row r="37596">
          <cell r="L37596" t="str">
            <v>Non-proportional</v>
          </cell>
          <cell r="S37596">
            <v>-0.02</v>
          </cell>
          <cell r="X37596" t="str">
            <v>Variation UPR - gross</v>
          </cell>
          <cell r="Y37596" t="str">
            <v>DOMINICAN REPUBLIC</v>
          </cell>
        </row>
        <row r="37597">
          <cell r="L37597" t="str">
            <v>Non-proportional</v>
          </cell>
          <cell r="S37597">
            <v>-6645.38</v>
          </cell>
          <cell r="X37597" t="str">
            <v>Variation UPR - gross</v>
          </cell>
          <cell r="Y37597" t="str">
            <v>COLOMBIA</v>
          </cell>
        </row>
        <row r="37598">
          <cell r="L37598" t="str">
            <v>Proportional</v>
          </cell>
          <cell r="S37598">
            <v>-4313.12</v>
          </cell>
          <cell r="X37598" t="str">
            <v>Variation UPR - gross</v>
          </cell>
          <cell r="Y37598" t="str">
            <v>THAILAND</v>
          </cell>
        </row>
        <row r="37599">
          <cell r="L37599" t="str">
            <v>Non-proportional</v>
          </cell>
          <cell r="S37599">
            <v>-8167.69</v>
          </cell>
          <cell r="X37599" t="str">
            <v>Variation UPR - gross</v>
          </cell>
          <cell r="Y37599" t="str">
            <v>MEXICO</v>
          </cell>
        </row>
        <row r="37600">
          <cell r="L37600" t="str">
            <v>Non-proportional</v>
          </cell>
          <cell r="S37600">
            <v>-227685.62</v>
          </cell>
          <cell r="X37600" t="str">
            <v>Variation UPR - gross</v>
          </cell>
          <cell r="Y37600" t="str">
            <v>FRANCE</v>
          </cell>
        </row>
        <row r="37601">
          <cell r="L37601" t="str">
            <v>Non-proportional</v>
          </cell>
          <cell r="S37601">
            <v>-2811.37</v>
          </cell>
          <cell r="X37601" t="str">
            <v>Variation UPR - gross</v>
          </cell>
          <cell r="Y37601" t="str">
            <v>POLAND</v>
          </cell>
        </row>
        <row r="37602">
          <cell r="L37602" t="str">
            <v>Non-proportional</v>
          </cell>
          <cell r="S37602">
            <v>-3466.58</v>
          </cell>
          <cell r="X37602" t="str">
            <v>Variation UPR - gross</v>
          </cell>
          <cell r="Y37602" t="str">
            <v>BRAZIL</v>
          </cell>
        </row>
        <row r="37603">
          <cell r="L37603" t="str">
            <v>Non-proportional</v>
          </cell>
          <cell r="S37603">
            <v>125720.45</v>
          </cell>
          <cell r="X37603" t="str">
            <v>Variation UPR - gross</v>
          </cell>
          <cell r="Y37603" t="str">
            <v>NEW ZEALAND</v>
          </cell>
        </row>
        <row r="37604">
          <cell r="L37604" t="str">
            <v>Non-proportional</v>
          </cell>
          <cell r="S37604">
            <v>-7503</v>
          </cell>
          <cell r="X37604" t="str">
            <v>Variation UPR - gross</v>
          </cell>
          <cell r="Y37604" t="str">
            <v>CYPRUS</v>
          </cell>
        </row>
        <row r="37605">
          <cell r="L37605" t="str">
            <v>Non-proportional</v>
          </cell>
          <cell r="S37605">
            <v>-42.49</v>
          </cell>
          <cell r="X37605" t="str">
            <v>Variation UPR - gross</v>
          </cell>
          <cell r="Y37605" t="str">
            <v>ISRAEL</v>
          </cell>
        </row>
        <row r="37606">
          <cell r="L37606" t="str">
            <v>Proportional</v>
          </cell>
          <cell r="S37606">
            <v>-107360</v>
          </cell>
          <cell r="X37606" t="str">
            <v>Variation UPR - gross</v>
          </cell>
          <cell r="Y37606" t="str">
            <v>PORTUGAL</v>
          </cell>
        </row>
        <row r="37607">
          <cell r="L37607" t="str">
            <v>Non-proportional</v>
          </cell>
          <cell r="S37607">
            <v>-192601.96</v>
          </cell>
          <cell r="X37607" t="str">
            <v>Variation UPR - gross</v>
          </cell>
          <cell r="Y37607" t="str">
            <v>PORTUGAL</v>
          </cell>
        </row>
        <row r="37608">
          <cell r="L37608" t="str">
            <v>Proportional</v>
          </cell>
          <cell r="S37608">
            <v>-760.32</v>
          </cell>
          <cell r="X37608" t="str">
            <v>Variation UPR - gross</v>
          </cell>
          <cell r="Y37608" t="str">
            <v>THAILAND</v>
          </cell>
        </row>
        <row r="37609">
          <cell r="L37609" t="str">
            <v>Non-proportional</v>
          </cell>
          <cell r="S37609">
            <v>-1197.33</v>
          </cell>
          <cell r="X37609" t="str">
            <v>Variation UPR - gross</v>
          </cell>
          <cell r="Y37609" t="str">
            <v>COLOMBIA</v>
          </cell>
        </row>
        <row r="37610">
          <cell r="L37610" t="str">
            <v>Non-proportional</v>
          </cell>
          <cell r="S37610">
            <v>-9832.7800000000007</v>
          </cell>
          <cell r="X37610" t="str">
            <v>Variation UPR - gross</v>
          </cell>
          <cell r="Y37610" t="str">
            <v>FRANCE</v>
          </cell>
        </row>
        <row r="37611">
          <cell r="L37611" t="str">
            <v>Non-proportional</v>
          </cell>
          <cell r="S37611">
            <v>-4812.66</v>
          </cell>
          <cell r="X37611" t="str">
            <v>Variation UPR - gross</v>
          </cell>
          <cell r="Y37611" t="str">
            <v>ISRAEL</v>
          </cell>
        </row>
        <row r="37612">
          <cell r="L37612" t="str">
            <v>Non-proportional</v>
          </cell>
          <cell r="S37612">
            <v>-9680.7900000000009</v>
          </cell>
          <cell r="X37612" t="str">
            <v>Variation UPR - gross</v>
          </cell>
          <cell r="Y37612" t="str">
            <v>COSTA RICA</v>
          </cell>
        </row>
        <row r="37613">
          <cell r="L37613" t="str">
            <v>Proportional</v>
          </cell>
          <cell r="S37613">
            <v>-32049.64</v>
          </cell>
          <cell r="X37613" t="str">
            <v>Variation UPR - gross</v>
          </cell>
          <cell r="Y37613" t="str">
            <v>THAILAND</v>
          </cell>
        </row>
        <row r="37614">
          <cell r="L37614" t="str">
            <v>Non-proportional</v>
          </cell>
          <cell r="S37614">
            <v>221.37</v>
          </cell>
          <cell r="X37614" t="str">
            <v>Variation UPR - gross</v>
          </cell>
          <cell r="Y37614" t="str">
            <v>COLOMBIA</v>
          </cell>
        </row>
        <row r="37615">
          <cell r="L37615" t="str">
            <v>Proportional</v>
          </cell>
          <cell r="S37615">
            <v>-375000</v>
          </cell>
          <cell r="X37615" t="str">
            <v>Variation UPR - gross</v>
          </cell>
          <cell r="Y37615" t="str">
            <v>PORTUGAL</v>
          </cell>
        </row>
        <row r="37616">
          <cell r="L37616" t="str">
            <v>Non-proportional</v>
          </cell>
          <cell r="S37616">
            <v>8740.8799999999992</v>
          </cell>
          <cell r="X37616" t="str">
            <v>Variation UPR - gross</v>
          </cell>
          <cell r="Y37616" t="str">
            <v>INDIA</v>
          </cell>
        </row>
        <row r="37617">
          <cell r="L37617" t="str">
            <v>Non-proportional</v>
          </cell>
          <cell r="S37617">
            <v>-8712.73</v>
          </cell>
          <cell r="X37617" t="str">
            <v>Variation UPR - gross</v>
          </cell>
          <cell r="Y37617" t="str">
            <v>AUSTRALIA</v>
          </cell>
        </row>
        <row r="37618">
          <cell r="L37618" t="str">
            <v>Non-proportional</v>
          </cell>
          <cell r="S37618">
            <v>-1767.73</v>
          </cell>
          <cell r="X37618" t="str">
            <v>Variation UPR - gross</v>
          </cell>
          <cell r="Y37618" t="str">
            <v>ISRAEL</v>
          </cell>
        </row>
        <row r="37619">
          <cell r="L37619" t="str">
            <v>Non-proportional</v>
          </cell>
          <cell r="S37619">
            <v>8814.01</v>
          </cell>
          <cell r="X37619" t="str">
            <v>Variation UPR - gross</v>
          </cell>
          <cell r="Y37619" t="str">
            <v>JAPAN</v>
          </cell>
        </row>
        <row r="37620">
          <cell r="L37620" t="str">
            <v>Non-proportional</v>
          </cell>
          <cell r="S37620">
            <v>14835.86</v>
          </cell>
          <cell r="X37620" t="str">
            <v>Variation UPR - gross</v>
          </cell>
          <cell r="Y37620" t="str">
            <v>NEW ZEALAND</v>
          </cell>
        </row>
        <row r="37621">
          <cell r="L37621" t="str">
            <v>Non-proportional</v>
          </cell>
          <cell r="S37621">
            <v>-12659.61</v>
          </cell>
          <cell r="X37621" t="str">
            <v>Variation UPR - gross</v>
          </cell>
          <cell r="Y37621" t="str">
            <v>ITALY</v>
          </cell>
        </row>
        <row r="37622">
          <cell r="L37622" t="str">
            <v>Non-proportional</v>
          </cell>
          <cell r="S37622">
            <v>-178487.38</v>
          </cell>
          <cell r="X37622" t="str">
            <v>Variation UPR - gross</v>
          </cell>
          <cell r="Y37622" t="str">
            <v>PORTUGAL</v>
          </cell>
        </row>
        <row r="37623">
          <cell r="L37623" t="str">
            <v>Non-proportional</v>
          </cell>
          <cell r="S37623">
            <v>-4637.34</v>
          </cell>
          <cell r="X37623" t="str">
            <v>Variation UPR - gross</v>
          </cell>
          <cell r="Y37623" t="str">
            <v>DOMINICAN REPUBLIC</v>
          </cell>
        </row>
        <row r="37624">
          <cell r="L37624" t="str">
            <v>Non-proportional</v>
          </cell>
          <cell r="S37624">
            <v>-938.54</v>
          </cell>
          <cell r="X37624" t="str">
            <v>Variation UPR - gross</v>
          </cell>
          <cell r="Y37624" t="str">
            <v>ITALY</v>
          </cell>
        </row>
        <row r="37625">
          <cell r="L37625" t="str">
            <v>Non-proportional</v>
          </cell>
          <cell r="S37625">
            <v>100420.47</v>
          </cell>
          <cell r="X37625" t="str">
            <v>Variation UPR - gross</v>
          </cell>
          <cell r="Y37625" t="str">
            <v>NEW ZEALAND</v>
          </cell>
        </row>
        <row r="37626">
          <cell r="L37626" t="str">
            <v>Non-proportional</v>
          </cell>
          <cell r="S37626">
            <v>20181.39</v>
          </cell>
          <cell r="X37626" t="str">
            <v>Variation UPR - gross</v>
          </cell>
          <cell r="Y37626" t="str">
            <v>JAPAN</v>
          </cell>
        </row>
        <row r="37627">
          <cell r="L37627" t="str">
            <v>Non-proportional</v>
          </cell>
          <cell r="S37627">
            <v>-2041.67</v>
          </cell>
          <cell r="X37627" t="str">
            <v>Variation UPR - gross</v>
          </cell>
          <cell r="Y37627" t="str">
            <v>ITALY</v>
          </cell>
        </row>
        <row r="37628">
          <cell r="L37628" t="str">
            <v>Non-proportional</v>
          </cell>
          <cell r="S37628">
            <v>-2840.84</v>
          </cell>
          <cell r="X37628" t="str">
            <v>Variation UPR - gross</v>
          </cell>
          <cell r="Y37628" t="str">
            <v>EUROPE</v>
          </cell>
        </row>
        <row r="37629">
          <cell r="L37629" t="str">
            <v>Proportional</v>
          </cell>
          <cell r="S37629">
            <v>-36978.800000000003</v>
          </cell>
          <cell r="X37629" t="str">
            <v>Variation UPR - gross</v>
          </cell>
          <cell r="Y37629" t="str">
            <v>SWITZERLAND</v>
          </cell>
        </row>
        <row r="37630">
          <cell r="L37630" t="str">
            <v>Non-proportional</v>
          </cell>
          <cell r="S37630">
            <v>-73.069999999999993</v>
          </cell>
          <cell r="X37630" t="str">
            <v>Variation UPR - gross</v>
          </cell>
          <cell r="Y37630" t="str">
            <v>CHILE</v>
          </cell>
        </row>
        <row r="37631">
          <cell r="L37631" t="str">
            <v>Non-proportional</v>
          </cell>
          <cell r="S37631">
            <v>-3036.01</v>
          </cell>
          <cell r="X37631" t="str">
            <v>Variation UPR - gross</v>
          </cell>
          <cell r="Y37631" t="str">
            <v>UNITED KINGDOM</v>
          </cell>
        </row>
        <row r="37632">
          <cell r="L37632" t="str">
            <v>Non-proportional</v>
          </cell>
          <cell r="S37632">
            <v>-138300.32999999999</v>
          </cell>
          <cell r="X37632" t="str">
            <v>Variation UPR - gross</v>
          </cell>
          <cell r="Y37632" t="str">
            <v>PORTUGAL</v>
          </cell>
        </row>
        <row r="37633">
          <cell r="L37633" t="str">
            <v>Non-proportional</v>
          </cell>
          <cell r="S37633">
            <v>-3214.96</v>
          </cell>
          <cell r="X37633" t="str">
            <v>Variation UPR - gross</v>
          </cell>
          <cell r="Y37633" t="str">
            <v>CHILE</v>
          </cell>
        </row>
        <row r="37634">
          <cell r="L37634" t="str">
            <v>Non-proportional</v>
          </cell>
          <cell r="S37634">
            <v>-167.8</v>
          </cell>
          <cell r="X37634" t="str">
            <v>Variation UPR - gross</v>
          </cell>
          <cell r="Y37634" t="str">
            <v>JAPAN</v>
          </cell>
        </row>
        <row r="37635">
          <cell r="L37635" t="str">
            <v>Non-proportional</v>
          </cell>
          <cell r="S37635">
            <v>-21534.71</v>
          </cell>
          <cell r="X37635" t="str">
            <v>Variation UPR - gross</v>
          </cell>
          <cell r="Y37635" t="str">
            <v>UNITED KINGDOM</v>
          </cell>
        </row>
        <row r="37636">
          <cell r="L37636" t="str">
            <v>Non-proportional</v>
          </cell>
          <cell r="S37636">
            <v>20515.59</v>
          </cell>
          <cell r="X37636" t="str">
            <v>Variation UPR - gross</v>
          </cell>
          <cell r="Y37636" t="str">
            <v>NEW ZEALAND</v>
          </cell>
        </row>
        <row r="37637">
          <cell r="L37637" t="str">
            <v>Non-proportional</v>
          </cell>
          <cell r="S37637">
            <v>26250</v>
          </cell>
          <cell r="X37637" t="str">
            <v>Variation UPR - gross</v>
          </cell>
          <cell r="Y37637" t="str">
            <v>ITALY</v>
          </cell>
        </row>
        <row r="37638">
          <cell r="L37638" t="str">
            <v>Non-proportional</v>
          </cell>
          <cell r="S37638">
            <v>-4.75</v>
          </cell>
          <cell r="X37638" t="str">
            <v>Variation UPR - gross</v>
          </cell>
          <cell r="Y37638" t="str">
            <v>COSTA RICA</v>
          </cell>
        </row>
        <row r="37639">
          <cell r="L37639" t="str">
            <v>Non-proportional</v>
          </cell>
          <cell r="S37639">
            <v>-5227.46</v>
          </cell>
          <cell r="X37639" t="str">
            <v>Variation UPR - gross</v>
          </cell>
          <cell r="Y37639" t="str">
            <v>SPAIN</v>
          </cell>
        </row>
        <row r="37640">
          <cell r="L37640" t="str">
            <v>Non-proportional</v>
          </cell>
          <cell r="S37640">
            <v>-9217.2099999999991</v>
          </cell>
          <cell r="X37640" t="str">
            <v>Variation UPR - gross</v>
          </cell>
          <cell r="Y37640" t="str">
            <v>INDIA</v>
          </cell>
        </row>
        <row r="37641">
          <cell r="L37641" t="str">
            <v>Non-proportional</v>
          </cell>
          <cell r="S37641">
            <v>-4095</v>
          </cell>
          <cell r="X37641" t="str">
            <v>Variation UPR - gross</v>
          </cell>
          <cell r="Y37641" t="str">
            <v>FRANCE</v>
          </cell>
        </row>
        <row r="37642">
          <cell r="L37642" t="str">
            <v>Non-proportional</v>
          </cell>
          <cell r="S37642">
            <v>10938.9</v>
          </cell>
          <cell r="X37642" t="str">
            <v>Variation UPR - gross</v>
          </cell>
          <cell r="Y37642" t="str">
            <v>JAPAN</v>
          </cell>
        </row>
        <row r="37643">
          <cell r="L37643" t="str">
            <v>Non-proportional</v>
          </cell>
          <cell r="S37643">
            <v>-2805.25</v>
          </cell>
          <cell r="X37643" t="str">
            <v>Variation UPR - gross</v>
          </cell>
          <cell r="Y37643" t="str">
            <v>REPUBLIC OF IRELAND</v>
          </cell>
        </row>
        <row r="37644">
          <cell r="L37644" t="str">
            <v>Non-proportional</v>
          </cell>
          <cell r="S37644">
            <v>-40.26</v>
          </cell>
          <cell r="X37644" t="str">
            <v>Variation UPR - gross</v>
          </cell>
          <cell r="Y37644" t="str">
            <v>ISRAEL</v>
          </cell>
        </row>
        <row r="37645">
          <cell r="L37645" t="str">
            <v>Non-proportional</v>
          </cell>
          <cell r="S37645">
            <v>-878.56</v>
          </cell>
          <cell r="X37645" t="str">
            <v>Variation UPR - gross</v>
          </cell>
          <cell r="Y37645" t="str">
            <v>COSTA RICA</v>
          </cell>
        </row>
        <row r="37646">
          <cell r="L37646" t="str">
            <v>Non-proportional</v>
          </cell>
          <cell r="S37646">
            <v>-4166.67</v>
          </cell>
          <cell r="X37646" t="str">
            <v>Variation UPR - gross</v>
          </cell>
          <cell r="Y37646" t="str">
            <v>TURKEY</v>
          </cell>
        </row>
        <row r="37647">
          <cell r="L37647" t="str">
            <v>Non-proportional</v>
          </cell>
          <cell r="S37647">
            <v>-1071.1400000000001</v>
          </cell>
          <cell r="X37647" t="str">
            <v>Variation UPR - gross</v>
          </cell>
          <cell r="Y37647" t="str">
            <v>PERU</v>
          </cell>
        </row>
        <row r="37648">
          <cell r="L37648" t="str">
            <v>Non-proportional</v>
          </cell>
          <cell r="S37648">
            <v>-2487.5700000000002</v>
          </cell>
          <cell r="X37648" t="str">
            <v>Variation UPR - gross</v>
          </cell>
          <cell r="Y37648" t="str">
            <v>DOMINICAN REPUBLIC</v>
          </cell>
        </row>
        <row r="37649">
          <cell r="L37649" t="str">
            <v>Non-proportional</v>
          </cell>
          <cell r="S37649">
            <v>-6726.71</v>
          </cell>
          <cell r="X37649" t="str">
            <v>Variation UPR - gross</v>
          </cell>
          <cell r="Y37649" t="str">
            <v>MEXICO</v>
          </cell>
        </row>
        <row r="37650">
          <cell r="L37650" t="str">
            <v>Non-proportional</v>
          </cell>
          <cell r="S37650">
            <v>-12283.53</v>
          </cell>
          <cell r="X37650" t="str">
            <v>Variation UPR - gross</v>
          </cell>
          <cell r="Y37650" t="str">
            <v>AUSTRALIA</v>
          </cell>
        </row>
        <row r="37651">
          <cell r="L37651" t="str">
            <v>Non-proportional</v>
          </cell>
          <cell r="S37651">
            <v>-4185.91</v>
          </cell>
          <cell r="X37651" t="str">
            <v>Variation UPR - gross</v>
          </cell>
          <cell r="Y37651" t="str">
            <v>FRANCE</v>
          </cell>
        </row>
        <row r="37652">
          <cell r="L37652" t="str">
            <v>Non-proportional</v>
          </cell>
          <cell r="S37652">
            <v>24875.759999999998</v>
          </cell>
          <cell r="X37652" t="str">
            <v>Variation UPR - gross</v>
          </cell>
          <cell r="Y37652" t="str">
            <v>JAPAN</v>
          </cell>
        </row>
        <row r="37653">
          <cell r="L37653" t="str">
            <v>Non-proportional</v>
          </cell>
          <cell r="S37653">
            <v>-3272.38</v>
          </cell>
          <cell r="X37653" t="str">
            <v>Variation UPR - gross</v>
          </cell>
          <cell r="Y37653" t="str">
            <v>ISRAEL</v>
          </cell>
        </row>
        <row r="37654">
          <cell r="L37654" t="str">
            <v>Non-proportional</v>
          </cell>
          <cell r="S37654">
            <v>15209.17</v>
          </cell>
          <cell r="X37654" t="str">
            <v>Variation UPR - gross</v>
          </cell>
          <cell r="Y37654" t="str">
            <v>JAPAN</v>
          </cell>
        </row>
        <row r="37655">
          <cell r="L37655" t="str">
            <v>Non-proportional</v>
          </cell>
          <cell r="S37655">
            <v>112411.45</v>
          </cell>
          <cell r="X37655" t="str">
            <v>Variation UPR - gross</v>
          </cell>
          <cell r="Y37655" t="str">
            <v>NEW ZEALAND</v>
          </cell>
        </row>
        <row r="37656">
          <cell r="L37656" t="str">
            <v>Non-proportional</v>
          </cell>
          <cell r="S37656">
            <v>-6954.01</v>
          </cell>
          <cell r="X37656" t="str">
            <v>Variation UPR - gross</v>
          </cell>
          <cell r="Y37656" t="str">
            <v>UNITED KINGDOM</v>
          </cell>
        </row>
        <row r="37657">
          <cell r="L37657" t="str">
            <v>Non-proportional</v>
          </cell>
          <cell r="S37657">
            <v>-16278.67</v>
          </cell>
          <cell r="X37657" t="str">
            <v>Variation UPR - gross</v>
          </cell>
          <cell r="Y37657" t="str">
            <v>ITALY</v>
          </cell>
        </row>
        <row r="37658">
          <cell r="L37658" t="str">
            <v>Non-proportional</v>
          </cell>
          <cell r="S37658">
            <v>-125.44</v>
          </cell>
          <cell r="X37658" t="str">
            <v>Variation UPR - gross</v>
          </cell>
          <cell r="Y37658" t="str">
            <v>INDIA</v>
          </cell>
        </row>
        <row r="37659">
          <cell r="L37659" t="str">
            <v>Non-proportional</v>
          </cell>
          <cell r="S37659">
            <v>88476.54</v>
          </cell>
          <cell r="X37659" t="str">
            <v>Variation UPR - gross</v>
          </cell>
          <cell r="Y37659" t="str">
            <v>NEW ZEALAND</v>
          </cell>
        </row>
        <row r="37660">
          <cell r="L37660" t="str">
            <v>Non-proportional</v>
          </cell>
          <cell r="S37660">
            <v>-7897.5</v>
          </cell>
          <cell r="X37660" t="str">
            <v>Variation UPR - gross</v>
          </cell>
          <cell r="Y37660" t="str">
            <v>ITALY</v>
          </cell>
        </row>
        <row r="37661">
          <cell r="L37661" t="str">
            <v>Non-proportional</v>
          </cell>
          <cell r="S37661">
            <v>-3592.42</v>
          </cell>
          <cell r="X37661" t="str">
            <v>Variation UPR - gross</v>
          </cell>
          <cell r="Y37661" t="str">
            <v>FRANCE</v>
          </cell>
        </row>
        <row r="37662">
          <cell r="L37662" t="str">
            <v>Non-proportional</v>
          </cell>
          <cell r="S37662">
            <v>-26604.05</v>
          </cell>
          <cell r="X37662" t="str">
            <v>Variation UPR - gross</v>
          </cell>
          <cell r="Y37662" t="str">
            <v>UNITED KINGDOM</v>
          </cell>
        </row>
        <row r="37663">
          <cell r="L37663" t="str">
            <v>Non-proportional</v>
          </cell>
          <cell r="S37663">
            <v>-3218.63</v>
          </cell>
          <cell r="X37663" t="str">
            <v>Variation UPR - gross</v>
          </cell>
          <cell r="Y37663" t="str">
            <v>DOMINICAN REPUBLIC</v>
          </cell>
        </row>
        <row r="37664">
          <cell r="L37664" t="str">
            <v>Non-proportional</v>
          </cell>
          <cell r="S37664">
            <v>-16831.849999999999</v>
          </cell>
          <cell r="X37664" t="str">
            <v>Variation UPR - gross</v>
          </cell>
          <cell r="Y37664" t="str">
            <v>AUSTRALIA</v>
          </cell>
        </row>
        <row r="37665">
          <cell r="L37665" t="str">
            <v>Non-proportional</v>
          </cell>
          <cell r="S37665">
            <v>154.79</v>
          </cell>
          <cell r="X37665" t="str">
            <v>Variation UPR - gross</v>
          </cell>
          <cell r="Y37665" t="str">
            <v>DOMINICAN REPUBLIC</v>
          </cell>
        </row>
        <row r="37666">
          <cell r="L37666" t="str">
            <v>Non-proportional</v>
          </cell>
          <cell r="S37666">
            <v>-1490.08</v>
          </cell>
          <cell r="X37666" t="str">
            <v>Variation UPR - gross</v>
          </cell>
          <cell r="Y37666" t="str">
            <v>UNITED KINGDOM</v>
          </cell>
        </row>
        <row r="37667">
          <cell r="L37667" t="str">
            <v>Non-proportional</v>
          </cell>
          <cell r="S37667">
            <v>-12424.74</v>
          </cell>
          <cell r="X37667" t="str">
            <v>Variation UPR - gross</v>
          </cell>
          <cell r="Y37667" t="str">
            <v>UNITED KINGDOM</v>
          </cell>
        </row>
        <row r="37668">
          <cell r="L37668" t="str">
            <v>Proportional</v>
          </cell>
          <cell r="S37668">
            <v>52067.13</v>
          </cell>
          <cell r="X37668" t="str">
            <v>Variation UPR - gross</v>
          </cell>
          <cell r="Y37668" t="str">
            <v>REPUBLIC OF IRELAND</v>
          </cell>
        </row>
        <row r="37669">
          <cell r="L37669" t="str">
            <v>Non-proportional</v>
          </cell>
          <cell r="S37669">
            <v>-391.26</v>
          </cell>
          <cell r="X37669" t="str">
            <v>Variation UPR - gross</v>
          </cell>
          <cell r="Y37669" t="str">
            <v>TURKEY</v>
          </cell>
        </row>
        <row r="37670">
          <cell r="L37670" t="str">
            <v>Non-proportional</v>
          </cell>
          <cell r="S37670">
            <v>9430.74</v>
          </cell>
          <cell r="X37670" t="str">
            <v>Variation UPR - gross</v>
          </cell>
          <cell r="Y37670" t="str">
            <v>SOUTH AFRICA</v>
          </cell>
        </row>
        <row r="37671">
          <cell r="L37671" t="str">
            <v>Non-proportional</v>
          </cell>
          <cell r="S37671">
            <v>-8503.31</v>
          </cell>
          <cell r="X37671" t="str">
            <v>Variation UPR - gross</v>
          </cell>
          <cell r="Y37671" t="str">
            <v>AUSTRALIA</v>
          </cell>
        </row>
        <row r="37672">
          <cell r="L37672" t="str">
            <v>Proportional</v>
          </cell>
          <cell r="S37672">
            <v>-107411.77</v>
          </cell>
          <cell r="X37672" t="str">
            <v>Variation UPR - gross</v>
          </cell>
          <cell r="Y37672" t="str">
            <v>JAPAN</v>
          </cell>
        </row>
        <row r="37673">
          <cell r="L37673" t="str">
            <v>Non-proportional</v>
          </cell>
          <cell r="S37673">
            <v>-18116.5</v>
          </cell>
          <cell r="X37673" t="str">
            <v>Variation UPR - gross</v>
          </cell>
          <cell r="Y37673" t="str">
            <v>UNITED KINGDOM</v>
          </cell>
        </row>
        <row r="37674">
          <cell r="L37674" t="str">
            <v>Non-proportional</v>
          </cell>
          <cell r="S37674">
            <v>-605.17999999999995</v>
          </cell>
          <cell r="X37674" t="str">
            <v>Variation UPR - gross</v>
          </cell>
          <cell r="Y37674" t="str">
            <v>JAPAN</v>
          </cell>
        </row>
        <row r="37675">
          <cell r="L37675" t="str">
            <v>Non-proportional</v>
          </cell>
          <cell r="S37675">
            <v>-0.02</v>
          </cell>
          <cell r="X37675" t="str">
            <v>Variation UPR - gross</v>
          </cell>
          <cell r="Y37675" t="str">
            <v>JAPAN</v>
          </cell>
        </row>
        <row r="37676">
          <cell r="L37676" t="str">
            <v>Non-proportional</v>
          </cell>
          <cell r="S37676">
            <v>-6420.21</v>
          </cell>
          <cell r="X37676" t="str">
            <v>Variation UPR - gross</v>
          </cell>
          <cell r="Y37676" t="str">
            <v>JAPAN</v>
          </cell>
        </row>
        <row r="37677">
          <cell r="L37677" t="str">
            <v>Proportional</v>
          </cell>
          <cell r="S37677">
            <v>-72352.070000000007</v>
          </cell>
          <cell r="X37677" t="str">
            <v>Variation UPR - gross</v>
          </cell>
          <cell r="Y37677" t="str">
            <v>THAILAND</v>
          </cell>
        </row>
        <row r="37678">
          <cell r="L37678" t="str">
            <v>Non-proportional</v>
          </cell>
          <cell r="S37678">
            <v>-2211.2800000000002</v>
          </cell>
          <cell r="X37678" t="str">
            <v>Variation UPR - gross</v>
          </cell>
          <cell r="Y37678" t="str">
            <v>MEXICO</v>
          </cell>
        </row>
        <row r="37679">
          <cell r="L37679" t="str">
            <v>Non-proportional</v>
          </cell>
          <cell r="S37679">
            <v>-1096.01</v>
          </cell>
          <cell r="X37679" t="str">
            <v>Variation UPR - gross</v>
          </cell>
          <cell r="Y37679" t="str">
            <v>CHILE</v>
          </cell>
        </row>
        <row r="37680">
          <cell r="L37680" t="str">
            <v>Non-proportional</v>
          </cell>
          <cell r="S37680">
            <v>-637225.6</v>
          </cell>
          <cell r="X37680" t="str">
            <v>Variation UPR - gross</v>
          </cell>
          <cell r="Y37680" t="str">
            <v>BELGIUM</v>
          </cell>
        </row>
        <row r="37681">
          <cell r="L37681" t="str">
            <v>Non-proportional</v>
          </cell>
          <cell r="S37681">
            <v>-0.02</v>
          </cell>
          <cell r="X37681" t="str">
            <v>Variation UPR - gross</v>
          </cell>
          <cell r="Y37681" t="str">
            <v>INDIA</v>
          </cell>
        </row>
        <row r="37682">
          <cell r="L37682" t="str">
            <v>Non-proportional</v>
          </cell>
          <cell r="S37682">
            <v>-0.03</v>
          </cell>
          <cell r="X37682" t="str">
            <v>Variation UPR - gross</v>
          </cell>
          <cell r="Y37682" t="str">
            <v>THAILAND</v>
          </cell>
        </row>
        <row r="37683">
          <cell r="L37683" t="str">
            <v>Proportional</v>
          </cell>
          <cell r="S37683">
            <v>-1244.9000000000001</v>
          </cell>
          <cell r="X37683" t="str">
            <v>Variation UPR - gross</v>
          </cell>
          <cell r="Y37683" t="str">
            <v>THAILAND</v>
          </cell>
        </row>
        <row r="37684">
          <cell r="L37684" t="str">
            <v>Non-proportional</v>
          </cell>
          <cell r="S37684">
            <v>-3343.38</v>
          </cell>
          <cell r="X37684" t="str">
            <v>Variation UPR - gross</v>
          </cell>
          <cell r="Y37684" t="str">
            <v>ECUADOR</v>
          </cell>
        </row>
        <row r="37685">
          <cell r="L37685" t="str">
            <v>Proportional</v>
          </cell>
          <cell r="S37685">
            <v>-6021.92</v>
          </cell>
          <cell r="X37685" t="str">
            <v>Variation UPR - gross</v>
          </cell>
          <cell r="Y37685" t="str">
            <v>FRANCE</v>
          </cell>
        </row>
        <row r="37686">
          <cell r="L37686" t="str">
            <v>Non-proportional</v>
          </cell>
          <cell r="S37686">
            <v>-1846.85</v>
          </cell>
          <cell r="X37686" t="str">
            <v>Variation UPR - gross</v>
          </cell>
          <cell r="Y37686" t="str">
            <v>FRANCE</v>
          </cell>
        </row>
        <row r="37687">
          <cell r="L37687" t="str">
            <v>Non-proportional</v>
          </cell>
          <cell r="S37687">
            <v>-3025.9</v>
          </cell>
          <cell r="X37687" t="str">
            <v>Variation UPR - gross</v>
          </cell>
          <cell r="Y37687" t="str">
            <v>JAPAN</v>
          </cell>
        </row>
        <row r="37688">
          <cell r="L37688" t="str">
            <v>Non-proportional</v>
          </cell>
          <cell r="S37688">
            <v>-0.04</v>
          </cell>
          <cell r="X37688" t="str">
            <v>Variation UPR - gross</v>
          </cell>
          <cell r="Y37688" t="str">
            <v>DOMINICAN REPUBLIC</v>
          </cell>
        </row>
        <row r="37689">
          <cell r="L37689" t="str">
            <v>Non-proportional</v>
          </cell>
          <cell r="S37689">
            <v>-10163.52</v>
          </cell>
          <cell r="X37689" t="str">
            <v>Variation UPR - gross</v>
          </cell>
          <cell r="Y37689" t="str">
            <v>COLOMBIA</v>
          </cell>
        </row>
        <row r="37690">
          <cell r="L37690" t="str">
            <v>Non-proportional</v>
          </cell>
          <cell r="S37690">
            <v>-0.02</v>
          </cell>
          <cell r="X37690" t="str">
            <v>Variation UPR - gross</v>
          </cell>
          <cell r="Y37690" t="str">
            <v>INDIA</v>
          </cell>
        </row>
        <row r="37691">
          <cell r="L37691" t="str">
            <v>Non-proportional</v>
          </cell>
          <cell r="S37691">
            <v>-3179.82</v>
          </cell>
          <cell r="X37691" t="str">
            <v>Variation UPR - gross</v>
          </cell>
          <cell r="Y37691" t="str">
            <v>INDIA</v>
          </cell>
        </row>
        <row r="37692">
          <cell r="L37692" t="str">
            <v>Non-proportional</v>
          </cell>
          <cell r="S37692">
            <v>-11510.64</v>
          </cell>
          <cell r="X37692" t="str">
            <v>Variation UPR - gross</v>
          </cell>
          <cell r="Y37692" t="str">
            <v>EUROPE</v>
          </cell>
        </row>
        <row r="37693">
          <cell r="L37693" t="str">
            <v>Non-proportional</v>
          </cell>
          <cell r="S37693">
            <v>-19231.490000000002</v>
          </cell>
          <cell r="X37693" t="str">
            <v>Variation UPR - gross</v>
          </cell>
          <cell r="Y37693" t="str">
            <v>FRANCE</v>
          </cell>
        </row>
        <row r="37694">
          <cell r="L37694" t="str">
            <v>Non-proportional</v>
          </cell>
          <cell r="S37694">
            <v>-10687.56</v>
          </cell>
          <cell r="X37694" t="str">
            <v>Variation UPR - gross</v>
          </cell>
          <cell r="Y37694" t="str">
            <v>POLAND</v>
          </cell>
        </row>
        <row r="37695">
          <cell r="L37695" t="str">
            <v>Non-proportional</v>
          </cell>
          <cell r="S37695">
            <v>94316.66</v>
          </cell>
          <cell r="X37695" t="str">
            <v>Variation UPR - gross</v>
          </cell>
          <cell r="Y37695" t="str">
            <v>CANADA</v>
          </cell>
        </row>
        <row r="37696">
          <cell r="L37696" t="str">
            <v>Non-proportional</v>
          </cell>
          <cell r="S37696">
            <v>-182021.67</v>
          </cell>
          <cell r="X37696" t="str">
            <v>Variation UPR - gross</v>
          </cell>
          <cell r="Y37696" t="str">
            <v>PORTUGAL</v>
          </cell>
        </row>
        <row r="37697">
          <cell r="L37697" t="str">
            <v>Non-proportional</v>
          </cell>
          <cell r="S37697">
            <v>-5932.19</v>
          </cell>
          <cell r="X37697" t="str">
            <v>Variation UPR - gross</v>
          </cell>
          <cell r="Y37697" t="str">
            <v>ISRAEL</v>
          </cell>
        </row>
        <row r="37698">
          <cell r="L37698" t="str">
            <v>Non-proportional</v>
          </cell>
          <cell r="S37698">
            <v>-3248.22</v>
          </cell>
          <cell r="X37698" t="str">
            <v>Variation UPR - gross</v>
          </cell>
          <cell r="Y37698" t="str">
            <v>COLOMBIA</v>
          </cell>
        </row>
        <row r="37699">
          <cell r="L37699" t="str">
            <v>Non-proportional</v>
          </cell>
          <cell r="S37699">
            <v>-3806.04</v>
          </cell>
          <cell r="X37699" t="str">
            <v>Variation UPR - gross</v>
          </cell>
          <cell r="Y37699" t="str">
            <v>DOMINICAN REPUBLIC</v>
          </cell>
        </row>
        <row r="37700">
          <cell r="L37700" t="str">
            <v>Non-proportional</v>
          </cell>
          <cell r="S37700">
            <v>-1172.3</v>
          </cell>
          <cell r="X37700" t="str">
            <v>Variation UPR - gross</v>
          </cell>
          <cell r="Y37700" t="str">
            <v>FRANCE</v>
          </cell>
        </row>
        <row r="37701">
          <cell r="L37701" t="str">
            <v>Non-proportional</v>
          </cell>
          <cell r="S37701">
            <v>-906.5</v>
          </cell>
          <cell r="X37701" t="str">
            <v>Variation UPR - gross</v>
          </cell>
          <cell r="Y37701" t="str">
            <v>ISRAEL</v>
          </cell>
        </row>
        <row r="37702">
          <cell r="L37702" t="str">
            <v>Non-proportional</v>
          </cell>
          <cell r="S37702">
            <v>-5187.7700000000004</v>
          </cell>
          <cell r="X37702" t="str">
            <v>Variation UPR - gross</v>
          </cell>
          <cell r="Y37702" t="str">
            <v>CHILE</v>
          </cell>
        </row>
        <row r="37703">
          <cell r="L37703" t="str">
            <v>Non-proportional</v>
          </cell>
          <cell r="S37703">
            <v>-1777.5</v>
          </cell>
          <cell r="X37703" t="str">
            <v>Variation UPR - gross</v>
          </cell>
          <cell r="Y37703" t="str">
            <v>GREECE</v>
          </cell>
        </row>
        <row r="37704">
          <cell r="L37704" t="str">
            <v>Proportional</v>
          </cell>
          <cell r="S37704">
            <v>-58330.35</v>
          </cell>
          <cell r="X37704" t="str">
            <v>Variation UPR - gross</v>
          </cell>
          <cell r="Y37704" t="str">
            <v>THAILAND</v>
          </cell>
        </row>
        <row r="37705">
          <cell r="L37705" t="str">
            <v>Non-proportional</v>
          </cell>
          <cell r="S37705">
            <v>-818.84</v>
          </cell>
          <cell r="X37705" t="str">
            <v>Variation UPR - gross</v>
          </cell>
          <cell r="Y37705" t="str">
            <v>PERU</v>
          </cell>
        </row>
        <row r="37706">
          <cell r="L37706" t="str">
            <v>Non-proportional</v>
          </cell>
          <cell r="S37706">
            <v>-4268.4799999999996</v>
          </cell>
          <cell r="X37706" t="str">
            <v>Variation UPR - gross</v>
          </cell>
          <cell r="Y37706" t="str">
            <v>UNITED KINGDOM</v>
          </cell>
        </row>
        <row r="37707">
          <cell r="L37707" t="str">
            <v>Non-proportional</v>
          </cell>
          <cell r="S37707">
            <v>-219.2</v>
          </cell>
          <cell r="X37707" t="str">
            <v>Variation UPR - gross</v>
          </cell>
          <cell r="Y37707" t="str">
            <v>CHILE</v>
          </cell>
        </row>
        <row r="37708">
          <cell r="L37708" t="str">
            <v>Proportional</v>
          </cell>
          <cell r="S37708">
            <v>-936.08</v>
          </cell>
          <cell r="X37708" t="str">
            <v>Variation UPR - gross</v>
          </cell>
          <cell r="Y37708" t="str">
            <v>THAILAND</v>
          </cell>
        </row>
        <row r="37709">
          <cell r="L37709" t="str">
            <v>Non-proportional</v>
          </cell>
          <cell r="S37709">
            <v>-1735.21</v>
          </cell>
          <cell r="X37709" t="str">
            <v>Variation UPR - gross</v>
          </cell>
          <cell r="Y37709" t="str">
            <v>ECUADOR</v>
          </cell>
        </row>
        <row r="37710">
          <cell r="L37710" t="str">
            <v>Non-proportional</v>
          </cell>
          <cell r="S37710">
            <v>-30345.99</v>
          </cell>
          <cell r="X37710" t="str">
            <v>Variation UPR - gross</v>
          </cell>
          <cell r="Y37710" t="str">
            <v>FRANCE</v>
          </cell>
        </row>
        <row r="37711">
          <cell r="L37711" t="str">
            <v>Non-proportional</v>
          </cell>
          <cell r="S37711">
            <v>-1257.8</v>
          </cell>
          <cell r="X37711" t="str">
            <v>Variation UPR - gross</v>
          </cell>
          <cell r="Y37711" t="str">
            <v>ITALY</v>
          </cell>
        </row>
        <row r="37712">
          <cell r="L37712" t="str">
            <v>Non-proportional</v>
          </cell>
          <cell r="S37712">
            <v>-73.069999999999993</v>
          </cell>
          <cell r="X37712" t="str">
            <v>Variation UPR - gross</v>
          </cell>
          <cell r="Y37712" t="str">
            <v>CHILE</v>
          </cell>
        </row>
        <row r="37713">
          <cell r="L37713" t="str">
            <v>Proportional</v>
          </cell>
          <cell r="S37713">
            <v>-6636.31</v>
          </cell>
          <cell r="X37713" t="str">
            <v>Variation UPR - gross</v>
          </cell>
          <cell r="Y37713" t="str">
            <v>EUROPE</v>
          </cell>
        </row>
        <row r="37714">
          <cell r="L37714" t="str">
            <v>Non-proportional</v>
          </cell>
          <cell r="S37714">
            <v>-375978.63</v>
          </cell>
          <cell r="X37714" t="str">
            <v>Variation UPR - gross</v>
          </cell>
          <cell r="Y37714" t="str">
            <v>PORTUGAL</v>
          </cell>
        </row>
        <row r="37715">
          <cell r="L37715" t="str">
            <v>Non-proportional</v>
          </cell>
          <cell r="S37715">
            <v>-4716.04</v>
          </cell>
          <cell r="X37715" t="str">
            <v>Variation UPR - gross</v>
          </cell>
          <cell r="Y37715" t="str">
            <v>PERU</v>
          </cell>
        </row>
        <row r="37716">
          <cell r="L37716" t="str">
            <v>Non-proportional</v>
          </cell>
          <cell r="S37716">
            <v>-4668.43</v>
          </cell>
          <cell r="X37716" t="str">
            <v>Variation UPR - gross</v>
          </cell>
          <cell r="Y37716" t="str">
            <v>UNITED KINGDOM</v>
          </cell>
        </row>
        <row r="37717">
          <cell r="L37717" t="str">
            <v>Non-proportional</v>
          </cell>
          <cell r="S37717">
            <v>-354.59</v>
          </cell>
          <cell r="X37717" t="str">
            <v>Variation UPR - gross</v>
          </cell>
          <cell r="Y37717" t="str">
            <v>TURKEY</v>
          </cell>
        </row>
        <row r="37718">
          <cell r="L37718" t="str">
            <v>Non-proportional</v>
          </cell>
          <cell r="S37718">
            <v>-1664.56</v>
          </cell>
          <cell r="X37718" t="str">
            <v>Variation UPR - gross</v>
          </cell>
          <cell r="Y37718" t="str">
            <v>FRANCE</v>
          </cell>
        </row>
        <row r="37719">
          <cell r="L37719" t="str">
            <v>Non-proportional</v>
          </cell>
          <cell r="S37719">
            <v>198.83</v>
          </cell>
          <cell r="X37719" t="str">
            <v>Variation UPR - gross</v>
          </cell>
          <cell r="Y37719" t="str">
            <v>JAPAN</v>
          </cell>
        </row>
        <row r="37720">
          <cell r="L37720" t="str">
            <v>Non-proportional</v>
          </cell>
          <cell r="S37720">
            <v>-353.33</v>
          </cell>
          <cell r="X37720" t="str">
            <v>Variation UPR - gross</v>
          </cell>
          <cell r="Y37720" t="str">
            <v>ITALY</v>
          </cell>
        </row>
        <row r="37721">
          <cell r="L37721" t="str">
            <v>Non-proportional</v>
          </cell>
          <cell r="S37721">
            <v>-6685.65</v>
          </cell>
          <cell r="X37721" t="str">
            <v>Variation UPR - gross</v>
          </cell>
          <cell r="Y37721" t="str">
            <v>CHILE</v>
          </cell>
        </row>
        <row r="37722">
          <cell r="L37722" t="str">
            <v>Non-proportional</v>
          </cell>
          <cell r="S37722">
            <v>-6500</v>
          </cell>
          <cell r="X37722" t="str">
            <v>Variation UPR - gross</v>
          </cell>
          <cell r="Y37722" t="str">
            <v>FRANCE</v>
          </cell>
        </row>
        <row r="37723">
          <cell r="L37723" t="str">
            <v>Non-proportional</v>
          </cell>
          <cell r="S37723">
            <v>-8012.1</v>
          </cell>
          <cell r="X37723" t="str">
            <v>Variation UPR - gross</v>
          </cell>
          <cell r="Y37723" t="str">
            <v>UNITED KINGDOM</v>
          </cell>
        </row>
        <row r="37724">
          <cell r="L37724" t="str">
            <v>Non-proportional</v>
          </cell>
          <cell r="S37724">
            <v>-0.08</v>
          </cell>
          <cell r="X37724" t="str">
            <v>Variation UPR - gross</v>
          </cell>
          <cell r="Y37724" t="str">
            <v>COLOMBIA</v>
          </cell>
        </row>
        <row r="37725">
          <cell r="L37725" t="str">
            <v>Non-proportional</v>
          </cell>
          <cell r="S37725">
            <v>-3691.46</v>
          </cell>
          <cell r="X37725" t="str">
            <v>Variation UPR - gross</v>
          </cell>
          <cell r="Y37725" t="str">
            <v>THAILAND</v>
          </cell>
        </row>
        <row r="37726">
          <cell r="L37726" t="str">
            <v>Non-proportional</v>
          </cell>
          <cell r="S37726">
            <v>-1368.32</v>
          </cell>
          <cell r="X37726" t="str">
            <v>Variation UPR - gross</v>
          </cell>
          <cell r="Y37726" t="str">
            <v>DOMINICAN REPUBLIC</v>
          </cell>
        </row>
        <row r="37727">
          <cell r="L37727" t="str">
            <v>Non-proportional</v>
          </cell>
          <cell r="S37727">
            <v>-665.05</v>
          </cell>
          <cell r="X37727" t="str">
            <v>Variation UPR - gross</v>
          </cell>
          <cell r="Y37727" t="str">
            <v>FRANCE</v>
          </cell>
        </row>
        <row r="37728">
          <cell r="L37728" t="str">
            <v>Non-proportional</v>
          </cell>
          <cell r="S37728">
            <v>-205.76</v>
          </cell>
          <cell r="X37728" t="str">
            <v>Variation UPR - gross</v>
          </cell>
          <cell r="Y37728" t="str">
            <v>JAPAN</v>
          </cell>
        </row>
        <row r="37729">
          <cell r="L37729" t="str">
            <v>Non-proportional</v>
          </cell>
          <cell r="S37729">
            <v>-36.53</v>
          </cell>
          <cell r="X37729" t="str">
            <v>Variation UPR - gross</v>
          </cell>
          <cell r="Y37729" t="str">
            <v>CHILE</v>
          </cell>
        </row>
        <row r="37730">
          <cell r="L37730" t="str">
            <v>Proportional</v>
          </cell>
          <cell r="S37730">
            <v>-45101.2</v>
          </cell>
          <cell r="X37730" t="str">
            <v>Variation UPR - gross</v>
          </cell>
          <cell r="Y37730" t="str">
            <v>THAILAND</v>
          </cell>
        </row>
        <row r="37731">
          <cell r="L37731" t="str">
            <v>Non-proportional</v>
          </cell>
          <cell r="S37731">
            <v>-182.67</v>
          </cell>
          <cell r="X37731" t="str">
            <v>Variation UPR - gross</v>
          </cell>
          <cell r="Y37731" t="str">
            <v>CHILE</v>
          </cell>
        </row>
        <row r="37732">
          <cell r="L37732" t="str">
            <v>Non-proportional</v>
          </cell>
          <cell r="S37732">
            <v>-8176.39</v>
          </cell>
          <cell r="X37732" t="str">
            <v>Variation UPR - gross</v>
          </cell>
          <cell r="Y37732" t="str">
            <v>PERU</v>
          </cell>
        </row>
        <row r="37733">
          <cell r="L37733" t="str">
            <v>Non-proportional</v>
          </cell>
          <cell r="S37733">
            <v>-420.38</v>
          </cell>
          <cell r="X37733" t="str">
            <v>Variation UPR - gross</v>
          </cell>
          <cell r="Y37733" t="str">
            <v>PORTUGAL</v>
          </cell>
        </row>
        <row r="37734">
          <cell r="L37734" t="str">
            <v>Proportional</v>
          </cell>
          <cell r="S37734">
            <v>960.35</v>
          </cell>
          <cell r="X37734" t="str">
            <v>Variation UPR - gross</v>
          </cell>
          <cell r="Y37734" t="str">
            <v>INDIA</v>
          </cell>
        </row>
        <row r="37735">
          <cell r="L37735" t="str">
            <v>Non-proportional</v>
          </cell>
          <cell r="S37735">
            <v>-3580.29</v>
          </cell>
          <cell r="X37735" t="str">
            <v>Variation UPR - gross</v>
          </cell>
          <cell r="Y37735" t="str">
            <v>CHILE</v>
          </cell>
        </row>
        <row r="37736">
          <cell r="L37736" t="str">
            <v>Non-proportional</v>
          </cell>
          <cell r="S37736">
            <v>-108313.84</v>
          </cell>
          <cell r="X37736" t="str">
            <v>Variation UPR - gross</v>
          </cell>
          <cell r="Y37736" t="str">
            <v>UNITED KINGDOM</v>
          </cell>
        </row>
        <row r="37737">
          <cell r="L37737" t="str">
            <v>Non-proportional</v>
          </cell>
          <cell r="S37737">
            <v>-5937.75</v>
          </cell>
          <cell r="X37737" t="str">
            <v>Variation UPR - gross</v>
          </cell>
          <cell r="Y37737" t="str">
            <v>ECUADOR</v>
          </cell>
        </row>
        <row r="37738">
          <cell r="L37738" t="str">
            <v>Non-proportional</v>
          </cell>
          <cell r="S37738">
            <v>-85.39</v>
          </cell>
          <cell r="X37738" t="str">
            <v>Variation UPR - gross</v>
          </cell>
          <cell r="Y37738" t="str">
            <v>JAPAN</v>
          </cell>
        </row>
        <row r="37739">
          <cell r="L37739" t="str">
            <v>Non-proportional</v>
          </cell>
          <cell r="S37739">
            <v>-2469.62</v>
          </cell>
          <cell r="X37739" t="str">
            <v>Variation UPR - gross</v>
          </cell>
          <cell r="Y37739" t="str">
            <v>FRANCE</v>
          </cell>
        </row>
        <row r="37740">
          <cell r="L37740" t="str">
            <v>Non-proportional</v>
          </cell>
          <cell r="S37740">
            <v>-740.92</v>
          </cell>
          <cell r="X37740" t="str">
            <v>Variation UPR - gross</v>
          </cell>
          <cell r="Y37740" t="str">
            <v>ISRAEL</v>
          </cell>
        </row>
        <row r="37741">
          <cell r="L37741" t="str">
            <v>Proportional</v>
          </cell>
          <cell r="S37741">
            <v>-308.55</v>
          </cell>
          <cell r="X37741" t="str">
            <v>Variation UPR - gross</v>
          </cell>
          <cell r="Y37741" t="str">
            <v>THAILAND</v>
          </cell>
        </row>
        <row r="37742">
          <cell r="L37742" t="str">
            <v>Proportional</v>
          </cell>
          <cell r="S37742">
            <v>-634641.92000000004</v>
          </cell>
          <cell r="X37742" t="str">
            <v>Variation UPR - gross</v>
          </cell>
          <cell r="Y37742" t="str">
            <v>HONG KONG</v>
          </cell>
        </row>
        <row r="37743">
          <cell r="L37743" t="str">
            <v>Non-proportional</v>
          </cell>
          <cell r="S37743">
            <v>-6494.59</v>
          </cell>
          <cell r="X37743" t="str">
            <v>Variation UPR - gross</v>
          </cell>
          <cell r="Y37743" t="str">
            <v>UNITED KINGDOM</v>
          </cell>
        </row>
        <row r="37744">
          <cell r="L37744" t="str">
            <v>Non-proportional</v>
          </cell>
          <cell r="S37744">
            <v>-562.20000000000005</v>
          </cell>
          <cell r="X37744" t="str">
            <v>Variation UPR - gross</v>
          </cell>
          <cell r="Y37744" t="str">
            <v>AUSTRALIA</v>
          </cell>
        </row>
        <row r="37745">
          <cell r="L37745" t="str">
            <v>Non-proportional</v>
          </cell>
          <cell r="S37745">
            <v>-8531.25</v>
          </cell>
          <cell r="X37745" t="str">
            <v>Variation UPR - gross</v>
          </cell>
          <cell r="Y37745" t="str">
            <v>TURKEY</v>
          </cell>
        </row>
        <row r="37746">
          <cell r="L37746" t="str">
            <v>Non-proportional</v>
          </cell>
          <cell r="S37746">
            <v>-4939.1099999999997</v>
          </cell>
          <cell r="X37746" t="str">
            <v>Variation UPR - gross</v>
          </cell>
          <cell r="Y37746" t="str">
            <v>ISRAEL</v>
          </cell>
        </row>
        <row r="37747">
          <cell r="L37747" t="str">
            <v>Non-proportional</v>
          </cell>
          <cell r="S37747">
            <v>-14583.41</v>
          </cell>
          <cell r="X37747" t="str">
            <v>Variation UPR - gross</v>
          </cell>
          <cell r="Y37747" t="str">
            <v>EUROPE</v>
          </cell>
        </row>
        <row r="37748">
          <cell r="L37748" t="str">
            <v>Non-proportional</v>
          </cell>
          <cell r="S37748">
            <v>-12664.64</v>
          </cell>
          <cell r="X37748" t="str">
            <v>Variation UPR - gross</v>
          </cell>
          <cell r="Y37748" t="str">
            <v>FRANCE</v>
          </cell>
        </row>
        <row r="37749">
          <cell r="L37749" t="str">
            <v>Non-proportional</v>
          </cell>
          <cell r="S37749">
            <v>-10.83</v>
          </cell>
          <cell r="X37749" t="str">
            <v>Variation UPR - gross</v>
          </cell>
          <cell r="Y37749" t="str">
            <v>ISRAEL</v>
          </cell>
        </row>
        <row r="37750">
          <cell r="L37750" t="str">
            <v>Non-proportional</v>
          </cell>
          <cell r="S37750">
            <v>-12677.16</v>
          </cell>
          <cell r="X37750" t="str">
            <v>Variation UPR - gross</v>
          </cell>
          <cell r="Y37750" t="str">
            <v>CHILE</v>
          </cell>
        </row>
        <row r="37751">
          <cell r="L37751" t="str">
            <v>Proportional</v>
          </cell>
          <cell r="S37751">
            <v>-148652.93</v>
          </cell>
          <cell r="X37751" t="str">
            <v>Variation UPR - gross</v>
          </cell>
          <cell r="Y37751" t="str">
            <v>AUSTRALIA</v>
          </cell>
        </row>
        <row r="37752">
          <cell r="L37752" t="str">
            <v>Proportional</v>
          </cell>
          <cell r="S37752">
            <v>-775601.38</v>
          </cell>
          <cell r="X37752" t="str">
            <v>Variation UPR - gross</v>
          </cell>
          <cell r="Y37752" t="str">
            <v>THAILAND</v>
          </cell>
        </row>
        <row r="37753">
          <cell r="L37753" t="str">
            <v>Non-proportional</v>
          </cell>
          <cell r="S37753">
            <v>-18684.27</v>
          </cell>
          <cell r="X37753" t="str">
            <v>Variation UPR - gross</v>
          </cell>
          <cell r="Y37753" t="str">
            <v>CHINA</v>
          </cell>
        </row>
        <row r="37754">
          <cell r="L37754" t="str">
            <v>Non-proportional</v>
          </cell>
          <cell r="S37754">
            <v>-3430.06</v>
          </cell>
          <cell r="X37754" t="str">
            <v>Variation UPR - gross</v>
          </cell>
          <cell r="Y37754" t="str">
            <v>COLOMBIA</v>
          </cell>
        </row>
        <row r="37755">
          <cell r="L37755" t="str">
            <v>Non-proportional</v>
          </cell>
          <cell r="S37755">
            <v>50166.67</v>
          </cell>
          <cell r="X37755" t="str">
            <v>Variation UPR - gross</v>
          </cell>
          <cell r="Y37755" t="str">
            <v>ITALY</v>
          </cell>
        </row>
        <row r="37756">
          <cell r="L37756" t="str">
            <v>Non-proportional</v>
          </cell>
          <cell r="S37756">
            <v>-5274.49</v>
          </cell>
          <cell r="X37756" t="str">
            <v>Variation UPR - gross</v>
          </cell>
          <cell r="Y37756" t="str">
            <v>CYPRUS</v>
          </cell>
        </row>
        <row r="37757">
          <cell r="L37757" t="str">
            <v>Non-proportional</v>
          </cell>
          <cell r="S37757">
            <v>19362.740000000002</v>
          </cell>
          <cell r="X37757" t="str">
            <v>Variation UPR - gross</v>
          </cell>
          <cell r="Y37757" t="str">
            <v>NEW ZEALAND</v>
          </cell>
        </row>
        <row r="37758">
          <cell r="L37758" t="str">
            <v>Non-proportional</v>
          </cell>
          <cell r="S37758">
            <v>-6907.69</v>
          </cell>
          <cell r="X37758" t="str">
            <v>Variation UPR - gross</v>
          </cell>
          <cell r="Y37758" t="str">
            <v>GREECE</v>
          </cell>
        </row>
        <row r="37759">
          <cell r="L37759" t="str">
            <v>Non-proportional</v>
          </cell>
          <cell r="S37759">
            <v>-353.65</v>
          </cell>
          <cell r="X37759" t="str">
            <v>Variation UPR - gross</v>
          </cell>
          <cell r="Y37759" t="str">
            <v>JAPAN</v>
          </cell>
        </row>
        <row r="37760">
          <cell r="L37760" t="str">
            <v>Non-proportional</v>
          </cell>
          <cell r="S37760">
            <v>-8708.34</v>
          </cell>
          <cell r="X37760" t="str">
            <v>Variation UPR - gross</v>
          </cell>
          <cell r="Y37760" t="str">
            <v>TURKEY</v>
          </cell>
        </row>
        <row r="37761">
          <cell r="L37761" t="str">
            <v>Non-proportional</v>
          </cell>
          <cell r="S37761">
            <v>-12421.91</v>
          </cell>
          <cell r="X37761" t="str">
            <v>Variation UPR - gross</v>
          </cell>
          <cell r="Y37761" t="str">
            <v>COSTA RICA</v>
          </cell>
        </row>
        <row r="37762">
          <cell r="L37762" t="str">
            <v>Non-proportional</v>
          </cell>
          <cell r="S37762">
            <v>-7438.3</v>
          </cell>
          <cell r="X37762" t="str">
            <v>Variation UPR - gross</v>
          </cell>
          <cell r="Y37762" t="str">
            <v>COSTA RICA</v>
          </cell>
        </row>
        <row r="37763">
          <cell r="L37763" t="str">
            <v>Non-proportional</v>
          </cell>
          <cell r="S37763">
            <v>-0.05</v>
          </cell>
          <cell r="X37763" t="str">
            <v>Variation UPR - gross</v>
          </cell>
          <cell r="Y37763" t="str">
            <v>DOMINICAN REPUBLIC</v>
          </cell>
        </row>
        <row r="37764">
          <cell r="L37764" t="str">
            <v>Non-proportional</v>
          </cell>
          <cell r="S37764">
            <v>-7248.46</v>
          </cell>
          <cell r="X37764" t="str">
            <v>Variation UPR - gross</v>
          </cell>
          <cell r="Y37764" t="str">
            <v>PUERTO RICO</v>
          </cell>
        </row>
        <row r="37765">
          <cell r="L37765" t="str">
            <v>Non-proportional</v>
          </cell>
          <cell r="S37765">
            <v>-4948.8</v>
          </cell>
          <cell r="X37765" t="str">
            <v>Variation UPR - gross</v>
          </cell>
          <cell r="Y37765" t="str">
            <v>UNITED KINGDOM</v>
          </cell>
        </row>
        <row r="37766">
          <cell r="L37766" t="str">
            <v>Non-proportional</v>
          </cell>
          <cell r="S37766">
            <v>-338.93</v>
          </cell>
          <cell r="X37766" t="str">
            <v>Variation UPR - gross</v>
          </cell>
          <cell r="Y37766" t="str">
            <v>DOMINICAN REPUBLIC</v>
          </cell>
        </row>
        <row r="37767">
          <cell r="L37767" t="str">
            <v>Non-proportional</v>
          </cell>
          <cell r="S37767">
            <v>-1120.1300000000001</v>
          </cell>
          <cell r="X37767" t="str">
            <v>Variation UPR - gross</v>
          </cell>
          <cell r="Y37767" t="str">
            <v>MEXICO</v>
          </cell>
        </row>
        <row r="37768">
          <cell r="L37768" t="str">
            <v>Non-proportional</v>
          </cell>
          <cell r="S37768">
            <v>584.54</v>
          </cell>
          <cell r="X37768" t="str">
            <v>Variation UPR - gross</v>
          </cell>
          <cell r="Y37768" t="str">
            <v>CHILE</v>
          </cell>
        </row>
        <row r="37769">
          <cell r="L37769" t="str">
            <v>Non-proportional</v>
          </cell>
          <cell r="S37769">
            <v>-390</v>
          </cell>
          <cell r="X37769" t="str">
            <v>Variation UPR - gross</v>
          </cell>
          <cell r="Y37769" t="str">
            <v>ITALY</v>
          </cell>
        </row>
        <row r="37770">
          <cell r="L37770" t="str">
            <v>Proportional</v>
          </cell>
          <cell r="S37770">
            <v>-21350</v>
          </cell>
          <cell r="X37770" t="str">
            <v>Variation UPR - gross</v>
          </cell>
          <cell r="Y37770" t="str">
            <v>ITALY</v>
          </cell>
        </row>
        <row r="37771">
          <cell r="L37771" t="str">
            <v>Non-proportional</v>
          </cell>
          <cell r="S37771">
            <v>-46802.05</v>
          </cell>
          <cell r="X37771" t="str">
            <v>Variation UPR - gross</v>
          </cell>
          <cell r="Y37771" t="str">
            <v>UNITED KINGDOM</v>
          </cell>
        </row>
        <row r="37772">
          <cell r="L37772" t="str">
            <v>Non-proportional</v>
          </cell>
          <cell r="S37772">
            <v>14789.38</v>
          </cell>
          <cell r="X37772" t="str">
            <v>Variation UPR - gross</v>
          </cell>
          <cell r="Y37772" t="str">
            <v>PUERTO RICO</v>
          </cell>
        </row>
        <row r="37773">
          <cell r="L37773" t="str">
            <v>Non-proportional</v>
          </cell>
          <cell r="S37773">
            <v>37453.75</v>
          </cell>
          <cell r="X37773" t="str">
            <v>Variation UPR - gross</v>
          </cell>
          <cell r="Y37773" t="str">
            <v>UNITED KINGDOM</v>
          </cell>
        </row>
        <row r="37774">
          <cell r="L37774" t="str">
            <v>Non-proportional</v>
          </cell>
          <cell r="S37774">
            <v>-221935</v>
          </cell>
          <cell r="X37774" t="str">
            <v>Variation UPR - gross</v>
          </cell>
          <cell r="Y37774" t="str">
            <v>BELGIUM</v>
          </cell>
        </row>
        <row r="37775">
          <cell r="L37775" t="str">
            <v>Non-proportional</v>
          </cell>
          <cell r="S37775">
            <v>23838.77</v>
          </cell>
          <cell r="X37775" t="str">
            <v>Variation UPR - gross</v>
          </cell>
          <cell r="Y37775" t="str">
            <v>INDIA</v>
          </cell>
        </row>
        <row r="37776">
          <cell r="L37776" t="str">
            <v>Non-proportional</v>
          </cell>
          <cell r="S37776">
            <v>-105641.03</v>
          </cell>
          <cell r="X37776" t="str">
            <v>Variation UPR - gross</v>
          </cell>
          <cell r="Y37776" t="str">
            <v>HONG KONG</v>
          </cell>
        </row>
        <row r="37777">
          <cell r="L37777" t="str">
            <v>Non-proportional</v>
          </cell>
          <cell r="S37777">
            <v>-3906.71</v>
          </cell>
          <cell r="X37777" t="str">
            <v>Variation UPR - gross</v>
          </cell>
          <cell r="Y37777" t="str">
            <v>COLOMBIA</v>
          </cell>
        </row>
        <row r="37778">
          <cell r="L37778" t="str">
            <v>Proportional</v>
          </cell>
          <cell r="S37778">
            <v>-21081.599999999999</v>
          </cell>
          <cell r="X37778" t="str">
            <v>Variation UPR - gross</v>
          </cell>
          <cell r="Y37778" t="str">
            <v>FRANCE</v>
          </cell>
        </row>
        <row r="37779">
          <cell r="L37779" t="str">
            <v>Non-proportional</v>
          </cell>
          <cell r="S37779">
            <v>-4949.13</v>
          </cell>
          <cell r="X37779" t="str">
            <v>Variation UPR - gross</v>
          </cell>
          <cell r="Y37779" t="str">
            <v>NETHERLANDS</v>
          </cell>
        </row>
        <row r="37780">
          <cell r="L37780" t="str">
            <v>Non-proportional</v>
          </cell>
          <cell r="S37780">
            <v>-4968.57</v>
          </cell>
          <cell r="X37780" t="str">
            <v>Variation UPR - gross</v>
          </cell>
          <cell r="Y37780" t="str">
            <v>CHILE</v>
          </cell>
        </row>
        <row r="37781">
          <cell r="L37781" t="str">
            <v>Non-proportional</v>
          </cell>
          <cell r="S37781">
            <v>-15380.76</v>
          </cell>
          <cell r="X37781" t="str">
            <v>Variation UPR - gross</v>
          </cell>
          <cell r="Y37781" t="str">
            <v>TURKEY</v>
          </cell>
        </row>
        <row r="37782">
          <cell r="L37782" t="str">
            <v>Non-proportional</v>
          </cell>
          <cell r="S37782">
            <v>-10909.08</v>
          </cell>
          <cell r="X37782" t="str">
            <v>Variation UPR - gross</v>
          </cell>
          <cell r="Y37782" t="str">
            <v>ITALY</v>
          </cell>
        </row>
        <row r="37783">
          <cell r="L37783" t="str">
            <v>Non-proportional</v>
          </cell>
          <cell r="S37783">
            <v>-0.02</v>
          </cell>
          <cell r="X37783" t="str">
            <v>Variation UPR - gross</v>
          </cell>
          <cell r="Y37783" t="str">
            <v>DOMINICAN REPUBLIC</v>
          </cell>
        </row>
        <row r="37784">
          <cell r="L37784" t="str">
            <v>Non-proportional</v>
          </cell>
          <cell r="S37784">
            <v>81.61</v>
          </cell>
          <cell r="X37784" t="str">
            <v>Variation UPR - gross</v>
          </cell>
          <cell r="Y37784" t="str">
            <v>DOMINICAN REPUBLIC</v>
          </cell>
        </row>
        <row r="37785">
          <cell r="L37785" t="str">
            <v>Non-proportional</v>
          </cell>
          <cell r="S37785">
            <v>-284.95999999999998</v>
          </cell>
          <cell r="X37785" t="str">
            <v>Variation UPR - gross</v>
          </cell>
          <cell r="Y37785" t="str">
            <v>JAPAN</v>
          </cell>
        </row>
        <row r="37786">
          <cell r="L37786" t="str">
            <v>Non-proportional</v>
          </cell>
          <cell r="S37786">
            <v>-3397.63</v>
          </cell>
          <cell r="X37786" t="str">
            <v>Variation UPR - gross</v>
          </cell>
          <cell r="Y37786" t="str">
            <v>CHILE</v>
          </cell>
        </row>
        <row r="37787">
          <cell r="L37787" t="str">
            <v>Non-proportional</v>
          </cell>
          <cell r="S37787">
            <v>-3847.08</v>
          </cell>
          <cell r="X37787" t="str">
            <v>Variation UPR - gross</v>
          </cell>
          <cell r="Y37787" t="str">
            <v>COLOMBIA</v>
          </cell>
        </row>
        <row r="37788">
          <cell r="L37788" t="str">
            <v>Non-proportional</v>
          </cell>
          <cell r="S37788">
            <v>-438.4</v>
          </cell>
          <cell r="X37788" t="str">
            <v>Variation UPR - gross</v>
          </cell>
          <cell r="Y37788" t="str">
            <v>CHILE</v>
          </cell>
        </row>
        <row r="37789">
          <cell r="L37789" t="str">
            <v>Non-proportional</v>
          </cell>
          <cell r="S37789">
            <v>-1406.25</v>
          </cell>
          <cell r="X37789" t="str">
            <v>Variation UPR - gross</v>
          </cell>
          <cell r="Y37789" t="str">
            <v>GREECE</v>
          </cell>
        </row>
        <row r="37790">
          <cell r="L37790" t="str">
            <v>Non-proportional</v>
          </cell>
          <cell r="S37790">
            <v>-4856.7299999999996</v>
          </cell>
          <cell r="X37790" t="str">
            <v>Variation UPR - gross</v>
          </cell>
          <cell r="Y37790" t="str">
            <v>UNITED KINGDOM</v>
          </cell>
        </row>
        <row r="37791">
          <cell r="L37791" t="str">
            <v>Non-proportional</v>
          </cell>
          <cell r="S37791">
            <v>130495.49</v>
          </cell>
          <cell r="X37791" t="str">
            <v>Variation UPR - gross</v>
          </cell>
          <cell r="Y37791" t="str">
            <v>EUROPE</v>
          </cell>
        </row>
        <row r="37792">
          <cell r="L37792" t="str">
            <v>Non-proportional</v>
          </cell>
          <cell r="S37792">
            <v>-8170.65</v>
          </cell>
          <cell r="X37792" t="str">
            <v>Variation UPR - gross</v>
          </cell>
          <cell r="Y37792" t="str">
            <v>MEXICO</v>
          </cell>
        </row>
        <row r="37793">
          <cell r="L37793" t="str">
            <v>Non-proportional</v>
          </cell>
          <cell r="S37793">
            <v>-146.13</v>
          </cell>
          <cell r="X37793" t="str">
            <v>Variation UPR - gross</v>
          </cell>
          <cell r="Y37793" t="str">
            <v>CHILE</v>
          </cell>
        </row>
        <row r="37794">
          <cell r="L37794" t="str">
            <v>Non-proportional</v>
          </cell>
          <cell r="S37794">
            <v>-109.6</v>
          </cell>
          <cell r="X37794" t="str">
            <v>Variation UPR - gross</v>
          </cell>
          <cell r="Y37794" t="str">
            <v>CHILE</v>
          </cell>
        </row>
        <row r="37795">
          <cell r="L37795" t="str">
            <v>Non-proportional</v>
          </cell>
          <cell r="S37795">
            <v>-2703.49</v>
          </cell>
          <cell r="X37795" t="str">
            <v>Variation UPR - gross</v>
          </cell>
          <cell r="Y37795" t="str">
            <v>CHILE</v>
          </cell>
        </row>
        <row r="37796">
          <cell r="L37796" t="str">
            <v>Non-proportional</v>
          </cell>
          <cell r="S37796">
            <v>-2740.02</v>
          </cell>
          <cell r="X37796" t="str">
            <v>Variation UPR - gross</v>
          </cell>
          <cell r="Y37796" t="str">
            <v>CHILE</v>
          </cell>
        </row>
        <row r="37797">
          <cell r="L37797" t="str">
            <v>Non-proportional</v>
          </cell>
          <cell r="S37797">
            <v>-465.63</v>
          </cell>
          <cell r="X37797" t="str">
            <v>Variation UPR - gross</v>
          </cell>
          <cell r="Y37797" t="str">
            <v>NEW ZEALAND</v>
          </cell>
        </row>
        <row r="37798">
          <cell r="L37798" t="str">
            <v>Non-proportional</v>
          </cell>
          <cell r="S37798">
            <v>12541.71</v>
          </cell>
          <cell r="X37798" t="str">
            <v>Variation UPR - gross</v>
          </cell>
          <cell r="Y37798" t="str">
            <v>JAPAN</v>
          </cell>
        </row>
        <row r="37799">
          <cell r="L37799" t="str">
            <v>Non-proportional</v>
          </cell>
          <cell r="S37799">
            <v>146.13</v>
          </cell>
          <cell r="X37799" t="str">
            <v>Variation UPR - gross</v>
          </cell>
          <cell r="Y37799" t="str">
            <v>CHILE</v>
          </cell>
        </row>
        <row r="37800">
          <cell r="L37800" t="str">
            <v>Non-proportional</v>
          </cell>
          <cell r="S37800">
            <v>10938.9</v>
          </cell>
          <cell r="X37800" t="str">
            <v>Variation UPR - gross</v>
          </cell>
          <cell r="Y37800" t="str">
            <v>JAPAN</v>
          </cell>
        </row>
        <row r="37801">
          <cell r="L37801" t="str">
            <v>Non-proportional</v>
          </cell>
          <cell r="S37801">
            <v>-3749.94</v>
          </cell>
          <cell r="X37801" t="str">
            <v>Variation UPR - gross</v>
          </cell>
          <cell r="Y37801" t="str">
            <v>EUROPE</v>
          </cell>
        </row>
        <row r="37802">
          <cell r="L37802" t="str">
            <v>Non-proportional</v>
          </cell>
          <cell r="S37802">
            <v>-10982.06</v>
          </cell>
          <cell r="X37802" t="str">
            <v>Variation UPR - gross</v>
          </cell>
          <cell r="Y37802" t="str">
            <v>CHILE</v>
          </cell>
        </row>
        <row r="37803">
          <cell r="L37803" t="str">
            <v>Non-proportional</v>
          </cell>
          <cell r="S37803">
            <v>-399.04</v>
          </cell>
          <cell r="X37803" t="str">
            <v>Variation UPR - gross</v>
          </cell>
          <cell r="Y37803" t="str">
            <v>JAPAN</v>
          </cell>
        </row>
        <row r="37804">
          <cell r="L37804" t="str">
            <v>Non-proportional</v>
          </cell>
          <cell r="S37804">
            <v>-0.01</v>
          </cell>
          <cell r="X37804" t="str">
            <v>Variation UPR - gross</v>
          </cell>
          <cell r="Y37804" t="str">
            <v>FRANCE</v>
          </cell>
        </row>
        <row r="37805">
          <cell r="L37805" t="str">
            <v>Non-proportional</v>
          </cell>
          <cell r="S37805">
            <v>-8797.89</v>
          </cell>
          <cell r="X37805" t="str">
            <v>Variation UPR - gross</v>
          </cell>
          <cell r="Y37805" t="str">
            <v>INDIA</v>
          </cell>
        </row>
        <row r="37806">
          <cell r="L37806" t="str">
            <v>Non-proportional</v>
          </cell>
          <cell r="S37806">
            <v>-5842.61</v>
          </cell>
          <cell r="X37806" t="str">
            <v>Variation UPR - gross</v>
          </cell>
          <cell r="Y37806" t="str">
            <v>AUSTRALIA</v>
          </cell>
        </row>
        <row r="37807">
          <cell r="L37807" t="str">
            <v>Proportional</v>
          </cell>
          <cell r="S37807">
            <v>-21350</v>
          </cell>
          <cell r="X37807" t="str">
            <v>Variation UPR - gross</v>
          </cell>
          <cell r="Y37807" t="str">
            <v>ITALY</v>
          </cell>
        </row>
        <row r="37808">
          <cell r="L37808" t="str">
            <v>Non-proportional</v>
          </cell>
          <cell r="S37808">
            <v>-15352.37</v>
          </cell>
          <cell r="X37808" t="str">
            <v>Variation UPR - gross</v>
          </cell>
          <cell r="Y37808" t="str">
            <v>SOUTH KOREA</v>
          </cell>
        </row>
        <row r="37809">
          <cell r="L37809" t="str">
            <v>Non-proportional</v>
          </cell>
          <cell r="S37809">
            <v>-1515.52</v>
          </cell>
          <cell r="X37809" t="str">
            <v>Variation UPR - gross</v>
          </cell>
          <cell r="Y37809" t="str">
            <v>ISRAEL</v>
          </cell>
        </row>
        <row r="37810">
          <cell r="L37810" t="str">
            <v>Proportional</v>
          </cell>
          <cell r="S37810">
            <v>-94650.22</v>
          </cell>
          <cell r="X37810" t="str">
            <v>Variation UPR - gross</v>
          </cell>
          <cell r="Y37810" t="str">
            <v>HONG KONG</v>
          </cell>
        </row>
        <row r="37811">
          <cell r="L37811" t="str">
            <v>Non-proportional</v>
          </cell>
          <cell r="S37811">
            <v>-5925.41</v>
          </cell>
          <cell r="X37811" t="str">
            <v>Variation UPR - gross</v>
          </cell>
          <cell r="Y37811" t="str">
            <v>PERU</v>
          </cell>
        </row>
        <row r="37812">
          <cell r="L37812" t="str">
            <v>Non-proportional</v>
          </cell>
          <cell r="S37812">
            <v>-2959.11</v>
          </cell>
          <cell r="X37812" t="str">
            <v>Variation UPR - gross</v>
          </cell>
          <cell r="Y37812" t="str">
            <v>ISRAEL</v>
          </cell>
        </row>
        <row r="37813">
          <cell r="L37813" t="str">
            <v>Non-proportional</v>
          </cell>
          <cell r="S37813">
            <v>-11063.45</v>
          </cell>
          <cell r="X37813" t="str">
            <v>Variation UPR - gross</v>
          </cell>
          <cell r="Y37813" t="str">
            <v>JAPAN</v>
          </cell>
        </row>
        <row r="37814">
          <cell r="L37814" t="str">
            <v>Non-proportional</v>
          </cell>
          <cell r="S37814">
            <v>20839.48</v>
          </cell>
          <cell r="X37814" t="str">
            <v>Variation UPR - gross</v>
          </cell>
          <cell r="Y37814" t="str">
            <v>JAPAN</v>
          </cell>
        </row>
        <row r="37815">
          <cell r="L37815" t="str">
            <v>Non-proportional</v>
          </cell>
          <cell r="S37815">
            <v>-3022.41</v>
          </cell>
          <cell r="X37815" t="str">
            <v>Variation UPR - gross</v>
          </cell>
          <cell r="Y37815" t="str">
            <v>ISRAEL</v>
          </cell>
        </row>
        <row r="37816">
          <cell r="L37816" t="str">
            <v>Non-proportional</v>
          </cell>
          <cell r="S37816">
            <v>126568.66</v>
          </cell>
          <cell r="X37816" t="str">
            <v>Variation UPR - gross</v>
          </cell>
          <cell r="Y37816" t="str">
            <v>MEXICO</v>
          </cell>
        </row>
        <row r="37817">
          <cell r="L37817" t="str">
            <v>Non-proportional</v>
          </cell>
          <cell r="S37817">
            <v>-5932.69</v>
          </cell>
          <cell r="X37817" t="str">
            <v>Variation UPR - gross</v>
          </cell>
          <cell r="Y37817" t="str">
            <v>ECUADOR</v>
          </cell>
        </row>
        <row r="37818">
          <cell r="L37818" t="str">
            <v>Non-proportional</v>
          </cell>
          <cell r="S37818">
            <v>70743.600000000006</v>
          </cell>
          <cell r="X37818" t="str">
            <v>Variation UPR - gross</v>
          </cell>
          <cell r="Y37818" t="str">
            <v>NEW ZEALAND</v>
          </cell>
        </row>
        <row r="37819">
          <cell r="L37819" t="str">
            <v>Non-proportional</v>
          </cell>
          <cell r="S37819">
            <v>11518.19</v>
          </cell>
          <cell r="X37819" t="str">
            <v>Variation UPR - gross</v>
          </cell>
          <cell r="Y37819" t="str">
            <v>SOUTH AFRICA</v>
          </cell>
        </row>
        <row r="37820">
          <cell r="L37820" t="str">
            <v>Non-proportional</v>
          </cell>
          <cell r="S37820">
            <v>-10782.55</v>
          </cell>
          <cell r="X37820" t="str">
            <v>Variation UPR - gross</v>
          </cell>
          <cell r="Y37820" t="str">
            <v>AUSTRALIA</v>
          </cell>
        </row>
        <row r="37821">
          <cell r="L37821" t="str">
            <v>Proportional</v>
          </cell>
          <cell r="S37821">
            <v>-60319.63</v>
          </cell>
          <cell r="X37821" t="str">
            <v>Variation UPR - gross</v>
          </cell>
          <cell r="Y37821" t="str">
            <v>CANADA</v>
          </cell>
        </row>
        <row r="37822">
          <cell r="L37822" t="str">
            <v>Proportional</v>
          </cell>
          <cell r="S37822">
            <v>789035.39</v>
          </cell>
          <cell r="X37822" t="str">
            <v>Variation UPR - gross</v>
          </cell>
          <cell r="Y37822" t="str">
            <v>JAPAN</v>
          </cell>
        </row>
        <row r="37823">
          <cell r="L37823" t="str">
            <v>Proportional</v>
          </cell>
          <cell r="S37823">
            <v>-155419.16</v>
          </cell>
          <cell r="X37823" t="str">
            <v>Variation UPR - gross</v>
          </cell>
          <cell r="Y37823" t="str">
            <v>HONG KONG</v>
          </cell>
        </row>
        <row r="37824">
          <cell r="L37824" t="str">
            <v>Non-proportional</v>
          </cell>
          <cell r="S37824">
            <v>24550.37</v>
          </cell>
          <cell r="X37824" t="str">
            <v>Variation UPR - gross</v>
          </cell>
          <cell r="Y37824" t="str">
            <v>INDIA</v>
          </cell>
        </row>
        <row r="37825">
          <cell r="L37825" t="str">
            <v>Non-proportional</v>
          </cell>
          <cell r="S37825">
            <v>-36.53</v>
          </cell>
          <cell r="X37825" t="str">
            <v>Variation UPR - gross</v>
          </cell>
          <cell r="Y37825" t="str">
            <v>CHILE</v>
          </cell>
        </row>
        <row r="37826">
          <cell r="L37826" t="str">
            <v>Proportional</v>
          </cell>
          <cell r="S37826">
            <v>-1439095.56</v>
          </cell>
          <cell r="X37826" t="str">
            <v>Variation UPR - gross</v>
          </cell>
          <cell r="Y37826" t="str">
            <v>THAILAND</v>
          </cell>
        </row>
        <row r="37827">
          <cell r="L37827" t="str">
            <v>Non-proportional</v>
          </cell>
          <cell r="S37827">
            <v>-1310.42</v>
          </cell>
          <cell r="X37827" t="str">
            <v>Variation UPR - gross</v>
          </cell>
          <cell r="Y37827" t="str">
            <v>DOMINICAN REPUBLIC</v>
          </cell>
        </row>
        <row r="37828">
          <cell r="L37828" t="str">
            <v>Non-proportional</v>
          </cell>
          <cell r="S37828">
            <v>32952.699999999997</v>
          </cell>
          <cell r="X37828" t="str">
            <v>Variation UPR - gross</v>
          </cell>
          <cell r="Y37828" t="str">
            <v>JAPAN</v>
          </cell>
        </row>
        <row r="37829">
          <cell r="L37829" t="str">
            <v>Proportional</v>
          </cell>
          <cell r="S37829">
            <v>-5480.04</v>
          </cell>
          <cell r="X37829" t="str">
            <v>Variation UPR - gross</v>
          </cell>
          <cell r="Y37829" t="str">
            <v>CHILE</v>
          </cell>
        </row>
        <row r="37830">
          <cell r="L37830" t="str">
            <v>Non-proportional</v>
          </cell>
          <cell r="S37830">
            <v>-3381.84</v>
          </cell>
          <cell r="X37830" t="str">
            <v>Variation UPR - gross</v>
          </cell>
          <cell r="Y37830" t="str">
            <v>ITALY</v>
          </cell>
        </row>
        <row r="37831">
          <cell r="L37831" t="str">
            <v>Proportional</v>
          </cell>
          <cell r="S37831">
            <v>-58782.19</v>
          </cell>
          <cell r="X37831" t="str">
            <v>Variation UPR - gross</v>
          </cell>
          <cell r="Y37831" t="str">
            <v>FRANCE</v>
          </cell>
        </row>
        <row r="37832">
          <cell r="L37832" t="str">
            <v>Non-proportional</v>
          </cell>
          <cell r="S37832">
            <v>25521.01</v>
          </cell>
          <cell r="X37832" t="str">
            <v>Variation UPR - gross</v>
          </cell>
          <cell r="Y37832" t="str">
            <v>ECUADOR</v>
          </cell>
        </row>
        <row r="37833">
          <cell r="L37833" t="str">
            <v>Non-proportional</v>
          </cell>
          <cell r="S37833">
            <v>-326.41000000000003</v>
          </cell>
          <cell r="X37833" t="str">
            <v>Variation UPR - gross</v>
          </cell>
          <cell r="Y37833" t="str">
            <v>COLOMBIA</v>
          </cell>
        </row>
        <row r="37834">
          <cell r="L37834" t="str">
            <v>Non-proportional</v>
          </cell>
          <cell r="S37834">
            <v>-3012.51</v>
          </cell>
          <cell r="X37834" t="str">
            <v>Variation UPR - gross</v>
          </cell>
          <cell r="Y37834" t="str">
            <v>DOMINICAN REPUBLIC</v>
          </cell>
        </row>
        <row r="37835">
          <cell r="L37835" t="str">
            <v>Proportional</v>
          </cell>
          <cell r="S37835">
            <v>-840.27</v>
          </cell>
          <cell r="X37835" t="str">
            <v>Variation UPR - gross</v>
          </cell>
          <cell r="Y37835" t="str">
            <v>CHILE</v>
          </cell>
        </row>
        <row r="37836">
          <cell r="L37836" t="str">
            <v>Non-proportional</v>
          </cell>
          <cell r="S37836">
            <v>-10312.5</v>
          </cell>
          <cell r="X37836" t="str">
            <v>Variation UPR - gross</v>
          </cell>
          <cell r="Y37836" t="str">
            <v>ROMANIA</v>
          </cell>
        </row>
        <row r="37837">
          <cell r="L37837" t="str">
            <v>Non-proportional</v>
          </cell>
          <cell r="S37837">
            <v>-32.479999999999997</v>
          </cell>
          <cell r="X37837" t="str">
            <v>Variation UPR - gross</v>
          </cell>
          <cell r="Y37837" t="str">
            <v>ISRAEL</v>
          </cell>
        </row>
        <row r="37838">
          <cell r="L37838" t="str">
            <v>Proportional</v>
          </cell>
          <cell r="S37838">
            <v>-212874.31</v>
          </cell>
          <cell r="X37838" t="str">
            <v>Variation UPR - gross</v>
          </cell>
          <cell r="Y37838" t="str">
            <v>CANADA</v>
          </cell>
        </row>
        <row r="37839">
          <cell r="L37839" t="str">
            <v>Non-proportional</v>
          </cell>
          <cell r="S37839">
            <v>264.13</v>
          </cell>
          <cell r="X37839" t="str">
            <v>Variation UPR - gross</v>
          </cell>
          <cell r="Y37839" t="str">
            <v>COLOMBIA</v>
          </cell>
        </row>
        <row r="37840">
          <cell r="L37840" t="str">
            <v>Non-proportional</v>
          </cell>
          <cell r="S37840">
            <v>-0.03</v>
          </cell>
          <cell r="X37840" t="str">
            <v>Variation UPR - gross</v>
          </cell>
          <cell r="Y37840" t="str">
            <v>DOMINICAN REPUBLIC</v>
          </cell>
        </row>
        <row r="37841">
          <cell r="L37841" t="str">
            <v>Non-proportional</v>
          </cell>
          <cell r="S37841">
            <v>-905.48</v>
          </cell>
          <cell r="X37841" t="str">
            <v>Variation UPR - gross</v>
          </cell>
          <cell r="Y37841" t="str">
            <v>UNITED KINGDOM</v>
          </cell>
        </row>
        <row r="37842">
          <cell r="L37842" t="str">
            <v>Non-proportional</v>
          </cell>
          <cell r="S37842">
            <v>-42144.73</v>
          </cell>
          <cell r="X37842" t="str">
            <v>Variation UPR - gross</v>
          </cell>
          <cell r="Y37842" t="str">
            <v>UNITED KINGDOM</v>
          </cell>
        </row>
        <row r="37843">
          <cell r="L37843" t="str">
            <v>Non-proportional</v>
          </cell>
          <cell r="S37843">
            <v>-9019.2000000000007</v>
          </cell>
          <cell r="X37843" t="str">
            <v>Variation UPR - gross</v>
          </cell>
          <cell r="Y37843" t="str">
            <v>UNITED KINGDOM</v>
          </cell>
        </row>
        <row r="37844">
          <cell r="L37844" t="str">
            <v>Non-proportional</v>
          </cell>
          <cell r="S37844">
            <v>-1172.3</v>
          </cell>
          <cell r="X37844" t="str">
            <v>Variation UPR - gross</v>
          </cell>
          <cell r="Y37844" t="str">
            <v>FRANCE</v>
          </cell>
        </row>
        <row r="37845">
          <cell r="L37845" t="str">
            <v>Non-proportional</v>
          </cell>
          <cell r="S37845">
            <v>-9053.2099999999991</v>
          </cell>
          <cell r="X37845" t="str">
            <v>Variation UPR - gross</v>
          </cell>
          <cell r="Y37845" t="str">
            <v>ITALY</v>
          </cell>
        </row>
        <row r="37846">
          <cell r="L37846" t="str">
            <v>Non-proportional</v>
          </cell>
          <cell r="S37846">
            <v>149.49</v>
          </cell>
          <cell r="X37846" t="str">
            <v>Variation UPR - gross</v>
          </cell>
          <cell r="Y37846" t="str">
            <v>TURKEY</v>
          </cell>
        </row>
        <row r="37847">
          <cell r="L37847" t="str">
            <v>Proportional</v>
          </cell>
          <cell r="S37847">
            <v>-8388.06</v>
          </cell>
          <cell r="X37847" t="str">
            <v>Variation UPR - gross</v>
          </cell>
          <cell r="Y37847" t="str">
            <v>THAILAND</v>
          </cell>
        </row>
        <row r="37848">
          <cell r="L37848" t="str">
            <v>Non-proportional</v>
          </cell>
          <cell r="S37848">
            <v>-958.11</v>
          </cell>
          <cell r="X37848" t="str">
            <v>Variation UPR - gross</v>
          </cell>
          <cell r="Y37848" t="str">
            <v>COLOMBIA</v>
          </cell>
        </row>
        <row r="37849">
          <cell r="L37849" t="str">
            <v>Non-proportional</v>
          </cell>
          <cell r="S37849">
            <v>-8750</v>
          </cell>
          <cell r="X37849" t="str">
            <v>Variation UPR - gross</v>
          </cell>
          <cell r="Y37849" t="str">
            <v>EUROPE</v>
          </cell>
        </row>
        <row r="37850">
          <cell r="L37850" t="str">
            <v>Non-proportional</v>
          </cell>
          <cell r="S37850">
            <v>176119.4</v>
          </cell>
          <cell r="X37850" t="str">
            <v>Variation UPR - gross</v>
          </cell>
          <cell r="Y37850" t="str">
            <v>NEW ZEALAND</v>
          </cell>
        </row>
        <row r="37851">
          <cell r="L37851" t="str">
            <v>Non-proportional</v>
          </cell>
          <cell r="S37851">
            <v>40687.06</v>
          </cell>
          <cell r="X37851" t="str">
            <v>Variation UPR - gross</v>
          </cell>
          <cell r="Y37851" t="str">
            <v>NEW ZEALAND</v>
          </cell>
        </row>
        <row r="37852">
          <cell r="L37852" t="str">
            <v>Non-proportional</v>
          </cell>
          <cell r="S37852">
            <v>54040.25</v>
          </cell>
          <cell r="X37852" t="str">
            <v>Variation UPR - gross</v>
          </cell>
          <cell r="Y37852" t="str">
            <v>ECUADOR</v>
          </cell>
        </row>
        <row r="37853">
          <cell r="L37853" t="str">
            <v>Non-proportional</v>
          </cell>
          <cell r="S37853">
            <v>-45758.47</v>
          </cell>
          <cell r="X37853" t="str">
            <v>Variation UPR - gross</v>
          </cell>
          <cell r="Y37853" t="str">
            <v>TURKEY</v>
          </cell>
        </row>
        <row r="37854">
          <cell r="L37854" t="str">
            <v>Non-proportional</v>
          </cell>
          <cell r="S37854">
            <v>-6393.46</v>
          </cell>
          <cell r="X37854" t="str">
            <v>Variation UPR - gross</v>
          </cell>
          <cell r="Y37854" t="str">
            <v>NETHERLANDS</v>
          </cell>
        </row>
        <row r="37855">
          <cell r="L37855" t="str">
            <v>Non-proportional</v>
          </cell>
          <cell r="S37855">
            <v>-2393.4</v>
          </cell>
          <cell r="X37855" t="str">
            <v>Variation UPR - gross</v>
          </cell>
          <cell r="Y37855" t="str">
            <v>ISRAEL</v>
          </cell>
        </row>
        <row r="37856">
          <cell r="L37856" t="str">
            <v>Non-proportional</v>
          </cell>
          <cell r="S37856">
            <v>-15885.46</v>
          </cell>
          <cell r="X37856" t="str">
            <v>Variation UPR - gross</v>
          </cell>
          <cell r="Y37856" t="str">
            <v>EUROPE</v>
          </cell>
        </row>
        <row r="37857">
          <cell r="L37857" t="str">
            <v>Non-proportional</v>
          </cell>
          <cell r="S37857">
            <v>32660.03</v>
          </cell>
          <cell r="X37857" t="str">
            <v>Variation UPR - gross</v>
          </cell>
          <cell r="Y37857" t="str">
            <v>JAPAN</v>
          </cell>
        </row>
        <row r="37858">
          <cell r="L37858" t="str">
            <v>Non-proportional</v>
          </cell>
          <cell r="S37858">
            <v>53345.43</v>
          </cell>
          <cell r="X37858" t="str">
            <v>Variation UPR - gross</v>
          </cell>
          <cell r="Y37858" t="str">
            <v>NEW ZEALAND</v>
          </cell>
        </row>
        <row r="37859">
          <cell r="L37859" t="str">
            <v>Non-proportional</v>
          </cell>
          <cell r="S37859">
            <v>-116.23</v>
          </cell>
          <cell r="X37859" t="str">
            <v>Variation UPR - gross</v>
          </cell>
          <cell r="Y37859" t="str">
            <v>NEW ZEALAND</v>
          </cell>
        </row>
        <row r="37860">
          <cell r="L37860" t="str">
            <v>Proportional</v>
          </cell>
          <cell r="S37860">
            <v>752924.95</v>
          </cell>
          <cell r="X37860" t="str">
            <v>Variation UPR - gross</v>
          </cell>
          <cell r="Y37860" t="str">
            <v>CANADA</v>
          </cell>
        </row>
        <row r="37861">
          <cell r="L37861" t="str">
            <v>Proportional</v>
          </cell>
          <cell r="S37861">
            <v>-3365.21</v>
          </cell>
          <cell r="X37861" t="str">
            <v>Variation UPR - gross</v>
          </cell>
          <cell r="Y37861" t="str">
            <v>THAILAND</v>
          </cell>
        </row>
        <row r="37862">
          <cell r="L37862" t="str">
            <v>Non-proportional</v>
          </cell>
          <cell r="S37862">
            <v>-45991.73</v>
          </cell>
          <cell r="X37862" t="str">
            <v>Variation UPR - gross</v>
          </cell>
          <cell r="Y37862" t="str">
            <v>UNITED KINGDOM</v>
          </cell>
        </row>
        <row r="37863">
          <cell r="L37863" t="str">
            <v>Proportional</v>
          </cell>
          <cell r="S37863">
            <v>-2852.21</v>
          </cell>
          <cell r="X37863" t="str">
            <v>Variation UPR - gross</v>
          </cell>
          <cell r="Y37863" t="str">
            <v>THAILAND</v>
          </cell>
        </row>
        <row r="37864">
          <cell r="L37864" t="str">
            <v>Proportional</v>
          </cell>
          <cell r="S37864">
            <v>-361.98</v>
          </cell>
          <cell r="X37864" t="str">
            <v>Variation UPR - gross</v>
          </cell>
          <cell r="Y37864" t="str">
            <v>THAILAND</v>
          </cell>
        </row>
        <row r="37865">
          <cell r="L37865" t="str">
            <v>Proportional</v>
          </cell>
          <cell r="S37865">
            <v>52067.13</v>
          </cell>
          <cell r="X37865" t="str">
            <v>Variation UPR - gross</v>
          </cell>
          <cell r="Y37865" t="str">
            <v>REPUBLIC OF IRELAND</v>
          </cell>
        </row>
        <row r="37866">
          <cell r="L37866" t="str">
            <v>Proportional</v>
          </cell>
          <cell r="S37866">
            <v>-13688.4</v>
          </cell>
          <cell r="X37866" t="str">
            <v>Variation UPR - gross</v>
          </cell>
          <cell r="Y37866" t="str">
            <v>ITALY</v>
          </cell>
        </row>
        <row r="37867">
          <cell r="L37867" t="str">
            <v>Proportional</v>
          </cell>
          <cell r="S37867">
            <v>-145003.76</v>
          </cell>
          <cell r="X37867" t="str">
            <v>Variation UPR - gross</v>
          </cell>
          <cell r="Y37867" t="str">
            <v>SWITZERLAND</v>
          </cell>
        </row>
        <row r="37868">
          <cell r="L37868" t="str">
            <v>Proportional</v>
          </cell>
          <cell r="S37868">
            <v>-375000</v>
          </cell>
          <cell r="X37868" t="str">
            <v>Variation UPR - gross</v>
          </cell>
          <cell r="Y37868" t="str">
            <v>PORTUGAL</v>
          </cell>
        </row>
        <row r="37869">
          <cell r="L37869" t="str">
            <v>Non-proportional</v>
          </cell>
          <cell r="S37869">
            <v>-6309.82</v>
          </cell>
          <cell r="X37869" t="str">
            <v>Variation UPR - gross</v>
          </cell>
          <cell r="Y37869" t="str">
            <v>PERU</v>
          </cell>
        </row>
        <row r="37870">
          <cell r="L37870" t="str">
            <v>Non-proportional</v>
          </cell>
          <cell r="S37870">
            <v>-3101.55</v>
          </cell>
          <cell r="X37870" t="str">
            <v>Variation UPR - gross</v>
          </cell>
          <cell r="Y37870" t="str">
            <v>DOMINICAN REPUBLIC</v>
          </cell>
        </row>
        <row r="37871">
          <cell r="L37871" t="str">
            <v>Non-proportional</v>
          </cell>
          <cell r="S37871">
            <v>-9178.3799999999992</v>
          </cell>
          <cell r="X37871" t="str">
            <v>Variation UPR - gross</v>
          </cell>
          <cell r="Y37871" t="str">
            <v>FRANCE</v>
          </cell>
        </row>
        <row r="37872">
          <cell r="L37872" t="str">
            <v>Non-proportional</v>
          </cell>
          <cell r="S37872">
            <v>-10499.88</v>
          </cell>
          <cell r="X37872" t="str">
            <v>Variation UPR - gross</v>
          </cell>
          <cell r="Y37872" t="str">
            <v>ITALY</v>
          </cell>
        </row>
        <row r="37873">
          <cell r="L37873" t="str">
            <v>Proportional</v>
          </cell>
          <cell r="S37873">
            <v>-184168.12</v>
          </cell>
          <cell r="X37873" t="str">
            <v>Variation UPR - gross</v>
          </cell>
          <cell r="Y37873" t="str">
            <v>PORTUGAL</v>
          </cell>
        </row>
        <row r="37874">
          <cell r="L37874" t="str">
            <v>Non-proportional</v>
          </cell>
          <cell r="S37874">
            <v>-109.6</v>
          </cell>
          <cell r="X37874" t="str">
            <v>Variation UPR - gross</v>
          </cell>
          <cell r="Y37874" t="str">
            <v>CHILE</v>
          </cell>
        </row>
        <row r="37875">
          <cell r="L37875" t="str">
            <v>Non-proportional</v>
          </cell>
          <cell r="S37875">
            <v>-5356.02</v>
          </cell>
          <cell r="X37875" t="str">
            <v>Variation UPR - gross</v>
          </cell>
          <cell r="Y37875" t="str">
            <v>COLOMBIA</v>
          </cell>
        </row>
        <row r="37876">
          <cell r="L37876" t="str">
            <v>Non-proportional</v>
          </cell>
          <cell r="S37876">
            <v>-68336.039999999994</v>
          </cell>
          <cell r="X37876" t="str">
            <v>Variation UPR - gross</v>
          </cell>
          <cell r="Y37876" t="str">
            <v>UNITED KINGDOM</v>
          </cell>
        </row>
        <row r="37877">
          <cell r="L37877" t="str">
            <v>Non-proportional</v>
          </cell>
          <cell r="S37877">
            <v>-861.8</v>
          </cell>
          <cell r="X37877" t="str">
            <v>Variation UPR - gross</v>
          </cell>
          <cell r="Y37877" t="str">
            <v>AUSTRALIA</v>
          </cell>
        </row>
        <row r="37878">
          <cell r="L37878" t="str">
            <v>Non-proportional</v>
          </cell>
          <cell r="S37878">
            <v>-6658.89</v>
          </cell>
          <cell r="X37878" t="str">
            <v>Variation UPR - gross</v>
          </cell>
          <cell r="Y37878" t="str">
            <v>CYPRUS</v>
          </cell>
        </row>
        <row r="37879">
          <cell r="L37879" t="str">
            <v>Non-proportional</v>
          </cell>
          <cell r="S37879">
            <v>-3174.66</v>
          </cell>
          <cell r="X37879" t="str">
            <v>Variation UPR - gross</v>
          </cell>
          <cell r="Y37879" t="str">
            <v>PERU</v>
          </cell>
        </row>
        <row r="37880">
          <cell r="L37880" t="str">
            <v>Non-proportional</v>
          </cell>
          <cell r="S37880">
            <v>-6598.57</v>
          </cell>
          <cell r="X37880" t="str">
            <v>Variation UPR - gross</v>
          </cell>
          <cell r="Y37880" t="str">
            <v>DOMINICAN REPUBLIC</v>
          </cell>
        </row>
        <row r="37881">
          <cell r="L37881" t="str">
            <v>Non-proportional</v>
          </cell>
          <cell r="S37881">
            <v>-310.68</v>
          </cell>
          <cell r="X37881" t="str">
            <v>Variation UPR - gross</v>
          </cell>
          <cell r="Y37881" t="str">
            <v>ITALY</v>
          </cell>
        </row>
        <row r="37882">
          <cell r="L37882" t="str">
            <v>Non-proportional</v>
          </cell>
          <cell r="S37882">
            <v>-28.59</v>
          </cell>
          <cell r="X37882" t="str">
            <v>Variation UPR - gross</v>
          </cell>
          <cell r="Y37882" t="str">
            <v>ISRAEL</v>
          </cell>
        </row>
        <row r="37883">
          <cell r="L37883" t="str">
            <v>Non-proportional</v>
          </cell>
          <cell r="S37883">
            <v>-0.04</v>
          </cell>
          <cell r="X37883" t="str">
            <v>Variation UPR - gross</v>
          </cell>
          <cell r="Y37883" t="str">
            <v>DOMINICAN REPUBLIC</v>
          </cell>
        </row>
        <row r="37884">
          <cell r="L37884" t="str">
            <v>Non-proportional</v>
          </cell>
          <cell r="S37884">
            <v>-1498.15</v>
          </cell>
          <cell r="X37884" t="str">
            <v>Variation UPR - gross</v>
          </cell>
          <cell r="Y37884" t="str">
            <v>GUATEMALA</v>
          </cell>
        </row>
        <row r="37885">
          <cell r="L37885" t="str">
            <v>Non-proportional</v>
          </cell>
          <cell r="S37885">
            <v>-35.630000000000003</v>
          </cell>
          <cell r="X37885" t="str">
            <v>Variation UPR - gross</v>
          </cell>
          <cell r="Y37885" t="str">
            <v>BRAZIL</v>
          </cell>
        </row>
        <row r="37886">
          <cell r="L37886" t="str">
            <v>Non-proportional</v>
          </cell>
          <cell r="S37886">
            <v>-1391.07</v>
          </cell>
          <cell r="X37886" t="str">
            <v>Variation UPR - gross</v>
          </cell>
          <cell r="Y37886" t="str">
            <v>MEXICO</v>
          </cell>
        </row>
        <row r="37887">
          <cell r="L37887" t="str">
            <v>Non-proportional</v>
          </cell>
          <cell r="S37887">
            <v>-14080.54</v>
          </cell>
          <cell r="X37887" t="str">
            <v>Variation UPR - gross</v>
          </cell>
          <cell r="Y37887" t="str">
            <v>UNITED KINGDOM</v>
          </cell>
        </row>
        <row r="37888">
          <cell r="L37888" t="str">
            <v>Proportional</v>
          </cell>
          <cell r="S37888">
            <v>-438.4</v>
          </cell>
          <cell r="X37888" t="str">
            <v>Variation UPR - gross</v>
          </cell>
          <cell r="Y37888" t="str">
            <v>CHILE</v>
          </cell>
        </row>
        <row r="37889">
          <cell r="L37889" t="str">
            <v>Non-proportional</v>
          </cell>
          <cell r="S37889">
            <v>19186.939999999999</v>
          </cell>
          <cell r="X37889" t="str">
            <v>Variation UPR - gross</v>
          </cell>
          <cell r="Y37889" t="str">
            <v>JAPAN</v>
          </cell>
        </row>
        <row r="37890">
          <cell r="L37890" t="str">
            <v>Non-proportional</v>
          </cell>
          <cell r="S37890">
            <v>-855.96</v>
          </cell>
          <cell r="X37890" t="str">
            <v>Variation UPR - gross</v>
          </cell>
          <cell r="Y37890" t="str">
            <v>FRANCE</v>
          </cell>
        </row>
        <row r="37891">
          <cell r="L37891" t="str">
            <v>Non-proportional</v>
          </cell>
          <cell r="S37891">
            <v>25397.64</v>
          </cell>
          <cell r="X37891" t="str">
            <v>Variation UPR - gross</v>
          </cell>
          <cell r="Y37891" t="str">
            <v>AUSTRALIA</v>
          </cell>
        </row>
        <row r="37892">
          <cell r="L37892" t="str">
            <v>Non-proportional</v>
          </cell>
          <cell r="S37892">
            <v>-4712.83</v>
          </cell>
          <cell r="X37892" t="str">
            <v>Variation UPR - gross</v>
          </cell>
          <cell r="Y37892" t="str">
            <v>CHILE</v>
          </cell>
        </row>
        <row r="37893">
          <cell r="L37893" t="str">
            <v>Non-proportional</v>
          </cell>
          <cell r="S37893">
            <v>-3188.9</v>
          </cell>
          <cell r="X37893" t="str">
            <v>Variation UPR - gross</v>
          </cell>
          <cell r="Y37893" t="str">
            <v>UNITED KINGDOM</v>
          </cell>
        </row>
        <row r="37894">
          <cell r="L37894" t="str">
            <v>Proportional</v>
          </cell>
          <cell r="S37894">
            <v>-27733.48</v>
          </cell>
          <cell r="X37894" t="str">
            <v>Variation UPR - gross</v>
          </cell>
          <cell r="Y37894" t="str">
            <v>BELGIUM</v>
          </cell>
        </row>
        <row r="37895">
          <cell r="L37895" t="str">
            <v>Non-proportional</v>
          </cell>
          <cell r="S37895">
            <v>24906.17</v>
          </cell>
          <cell r="X37895" t="str">
            <v>Variation UPR - gross</v>
          </cell>
          <cell r="Y37895" t="str">
            <v>INDIA</v>
          </cell>
        </row>
        <row r="37896">
          <cell r="L37896" t="str">
            <v>Non-proportional</v>
          </cell>
          <cell r="S37896">
            <v>-6.76</v>
          </cell>
          <cell r="X37896" t="str">
            <v>Variation UPR - gross</v>
          </cell>
          <cell r="Y37896" t="str">
            <v>COSTA RICA</v>
          </cell>
        </row>
        <row r="37897">
          <cell r="L37897" t="str">
            <v>Non-proportional</v>
          </cell>
          <cell r="S37897">
            <v>-33498.43</v>
          </cell>
          <cell r="X37897" t="str">
            <v>Variation UPR - gross</v>
          </cell>
          <cell r="Y37897" t="str">
            <v>UNITED KINGDOM</v>
          </cell>
        </row>
        <row r="37898">
          <cell r="L37898" t="str">
            <v>Non-proportional</v>
          </cell>
          <cell r="S37898">
            <v>-6704.49</v>
          </cell>
          <cell r="X37898" t="str">
            <v>Variation UPR - gross</v>
          </cell>
          <cell r="Y37898" t="str">
            <v>UNITED KINGDOM</v>
          </cell>
        </row>
        <row r="37899">
          <cell r="L37899" t="str">
            <v>Non-proportional</v>
          </cell>
          <cell r="S37899">
            <v>73.069999999999993</v>
          </cell>
          <cell r="X37899" t="str">
            <v>Variation UPR - gross</v>
          </cell>
          <cell r="Y37899" t="str">
            <v>CHILE</v>
          </cell>
        </row>
        <row r="37900">
          <cell r="L37900" t="str">
            <v>Non-proportional</v>
          </cell>
          <cell r="S37900">
            <v>-2517.67</v>
          </cell>
          <cell r="X37900" t="str">
            <v>Variation UPR - gross</v>
          </cell>
          <cell r="Y37900" t="str">
            <v>ITALY</v>
          </cell>
        </row>
        <row r="37901">
          <cell r="L37901" t="str">
            <v>Non-proportional</v>
          </cell>
          <cell r="S37901">
            <v>-5180.6899999999996</v>
          </cell>
          <cell r="X37901" t="str">
            <v>Variation UPR - gross</v>
          </cell>
          <cell r="Y37901" t="str">
            <v>UNITED KINGDOM</v>
          </cell>
        </row>
        <row r="37902">
          <cell r="L37902" t="str">
            <v>Non-proportional</v>
          </cell>
          <cell r="S37902">
            <v>-1205.46</v>
          </cell>
          <cell r="X37902" t="str">
            <v>Variation UPR - gross</v>
          </cell>
          <cell r="Y37902" t="str">
            <v>PERU</v>
          </cell>
        </row>
        <row r="37903">
          <cell r="L37903" t="str">
            <v>Non-proportional</v>
          </cell>
          <cell r="S37903">
            <v>-3189.8</v>
          </cell>
          <cell r="X37903" t="str">
            <v>Variation UPR - gross</v>
          </cell>
          <cell r="Y37903" t="str">
            <v>COLOMBIA</v>
          </cell>
        </row>
        <row r="37904">
          <cell r="L37904" t="str">
            <v>Non-proportional</v>
          </cell>
          <cell r="S37904">
            <v>-1676.13</v>
          </cell>
          <cell r="X37904" t="str">
            <v>Variation UPR - gross</v>
          </cell>
          <cell r="Y37904" t="str">
            <v>UNITED KINGDOM</v>
          </cell>
        </row>
        <row r="37905">
          <cell r="L37905" t="str">
            <v>Non-proportional</v>
          </cell>
          <cell r="S37905">
            <v>20269.169999999998</v>
          </cell>
          <cell r="X37905" t="str">
            <v>Variation UPR - gross</v>
          </cell>
          <cell r="Y37905" t="str">
            <v>JAPAN</v>
          </cell>
        </row>
        <row r="37906">
          <cell r="L37906" t="str">
            <v>Proportional</v>
          </cell>
          <cell r="S37906">
            <v>-581.13</v>
          </cell>
          <cell r="X37906" t="str">
            <v>Variation UPR - gross</v>
          </cell>
          <cell r="Y37906" t="str">
            <v>UNITED STATES</v>
          </cell>
        </row>
        <row r="37907">
          <cell r="L37907" t="str">
            <v>Non-proportional</v>
          </cell>
          <cell r="S37907">
            <v>-3593.75</v>
          </cell>
          <cell r="X37907" t="str">
            <v>Variation UPR - gross</v>
          </cell>
          <cell r="Y37907" t="str">
            <v>GREECE</v>
          </cell>
        </row>
        <row r="37908">
          <cell r="L37908" t="str">
            <v>Non-proportional</v>
          </cell>
          <cell r="S37908">
            <v>-62.73</v>
          </cell>
          <cell r="X37908" t="str">
            <v>Variation UPR - gross</v>
          </cell>
          <cell r="Y37908" t="str">
            <v>ISRAEL</v>
          </cell>
        </row>
        <row r="37909">
          <cell r="L37909" t="str">
            <v>Non-proportional</v>
          </cell>
          <cell r="S37909">
            <v>-1946.5</v>
          </cell>
          <cell r="X37909" t="str">
            <v>Variation UPR - gross</v>
          </cell>
          <cell r="Y37909" t="str">
            <v>REPUBLIC OF IRELAND</v>
          </cell>
        </row>
        <row r="37910">
          <cell r="L37910" t="str">
            <v>Proportional</v>
          </cell>
          <cell r="S37910">
            <v>-229347.33</v>
          </cell>
          <cell r="X37910" t="str">
            <v>Variation UPR - gross</v>
          </cell>
          <cell r="Y37910" t="str">
            <v>UNITED KINGDOM</v>
          </cell>
        </row>
        <row r="37911">
          <cell r="L37911" t="str">
            <v>Non-proportional</v>
          </cell>
          <cell r="S37911">
            <v>-8825.27</v>
          </cell>
          <cell r="X37911" t="str">
            <v>Variation UPR - gross</v>
          </cell>
          <cell r="Y37911" t="str">
            <v>ISRAEL</v>
          </cell>
        </row>
        <row r="37912">
          <cell r="L37912" t="str">
            <v>Non-proportional</v>
          </cell>
          <cell r="S37912">
            <v>-136.87</v>
          </cell>
          <cell r="X37912" t="str">
            <v>Variation UPR - gross</v>
          </cell>
          <cell r="Y37912" t="str">
            <v>ISRAEL</v>
          </cell>
        </row>
        <row r="37913">
          <cell r="L37913" t="str">
            <v>Non-proportional</v>
          </cell>
          <cell r="S37913">
            <v>-543.75</v>
          </cell>
          <cell r="X37913" t="str">
            <v>Variation UPR - gross</v>
          </cell>
          <cell r="Y37913" t="str">
            <v>GREECE</v>
          </cell>
        </row>
        <row r="37914">
          <cell r="L37914" t="str">
            <v>Non-proportional</v>
          </cell>
          <cell r="S37914">
            <v>-407627.27</v>
          </cell>
          <cell r="X37914" t="str">
            <v>Variation UPR - gross</v>
          </cell>
          <cell r="Y37914" t="str">
            <v>UNITED KINGDOM</v>
          </cell>
        </row>
        <row r="37915">
          <cell r="L37915" t="str">
            <v>Non-proportional</v>
          </cell>
          <cell r="S37915">
            <v>-485.14</v>
          </cell>
          <cell r="X37915" t="str">
            <v>Variation UPR - gross</v>
          </cell>
          <cell r="Y37915" t="str">
            <v>BRAZIL</v>
          </cell>
        </row>
        <row r="37916">
          <cell r="L37916" t="str">
            <v>Proportional</v>
          </cell>
          <cell r="S37916">
            <v>-784669.13</v>
          </cell>
          <cell r="X37916" t="str">
            <v>Variation UPR - gross</v>
          </cell>
          <cell r="Y37916" t="str">
            <v>UNITED STATES</v>
          </cell>
        </row>
        <row r="37917">
          <cell r="L37917" t="str">
            <v>Non-proportional</v>
          </cell>
          <cell r="S37917">
            <v>-2722.43</v>
          </cell>
          <cell r="X37917" t="str">
            <v>Variation UPR - gross</v>
          </cell>
          <cell r="Y37917" t="str">
            <v>COLOMBIA</v>
          </cell>
        </row>
        <row r="37918">
          <cell r="L37918" t="str">
            <v>Non-proportional</v>
          </cell>
          <cell r="S37918">
            <v>-1330.33</v>
          </cell>
          <cell r="X37918" t="str">
            <v>Variation UPR - gross</v>
          </cell>
          <cell r="Y37918" t="str">
            <v>FRANCE</v>
          </cell>
        </row>
        <row r="37919">
          <cell r="L37919" t="str">
            <v>Non-proportional</v>
          </cell>
          <cell r="S37919">
            <v>-35.35</v>
          </cell>
          <cell r="X37919" t="str">
            <v>Variation UPR - gross</v>
          </cell>
          <cell r="Y37919" t="str">
            <v>ISRAEL</v>
          </cell>
        </row>
        <row r="37920">
          <cell r="L37920" t="str">
            <v>Non-proportional</v>
          </cell>
          <cell r="S37920">
            <v>-6086.35</v>
          </cell>
          <cell r="X37920" t="str">
            <v>Variation UPR - gross</v>
          </cell>
          <cell r="Y37920" t="str">
            <v>ITALY</v>
          </cell>
        </row>
        <row r="37921">
          <cell r="L37921" t="str">
            <v>Non-proportional</v>
          </cell>
          <cell r="S37921">
            <v>-3900.8</v>
          </cell>
          <cell r="X37921" t="str">
            <v>Variation UPR - gross</v>
          </cell>
          <cell r="Y37921" t="str">
            <v>EUROPE</v>
          </cell>
        </row>
        <row r="37922">
          <cell r="L37922" t="str">
            <v>Non-proportional</v>
          </cell>
          <cell r="S37922">
            <v>-4509.75</v>
          </cell>
          <cell r="X37922" t="str">
            <v>Variation UPR - gross</v>
          </cell>
          <cell r="Y37922" t="str">
            <v>FRANCE</v>
          </cell>
        </row>
        <row r="37923">
          <cell r="L37923" t="str">
            <v>Non-proportional</v>
          </cell>
          <cell r="S37923">
            <v>-2009.35</v>
          </cell>
          <cell r="X37923" t="str">
            <v>Variation UPR - gross</v>
          </cell>
          <cell r="Y37923" t="str">
            <v>CHILE</v>
          </cell>
        </row>
        <row r="37924">
          <cell r="L37924" t="str">
            <v>Non-proportional</v>
          </cell>
          <cell r="S37924">
            <v>-65942.100000000006</v>
          </cell>
          <cell r="X37924" t="str">
            <v>Variation UPR - gross</v>
          </cell>
          <cell r="Y37924" t="str">
            <v>UNITED KINGDOM</v>
          </cell>
        </row>
        <row r="37925">
          <cell r="L37925" t="str">
            <v>Proportional</v>
          </cell>
          <cell r="S37925">
            <v>-110139</v>
          </cell>
          <cell r="X37925" t="str">
            <v>Variation UPR - gross</v>
          </cell>
          <cell r="Y37925" t="str">
            <v>THAILAND</v>
          </cell>
        </row>
        <row r="37926">
          <cell r="L37926" t="str">
            <v>Proportional</v>
          </cell>
          <cell r="S37926">
            <v>-16024.82</v>
          </cell>
          <cell r="X37926" t="str">
            <v>Variation UPR - gross</v>
          </cell>
          <cell r="Y37926" t="str">
            <v>THAILAND</v>
          </cell>
        </row>
        <row r="37927">
          <cell r="L37927" t="str">
            <v>Proportional</v>
          </cell>
          <cell r="S37927">
            <v>-0.51</v>
          </cell>
          <cell r="X37927" t="str">
            <v>Variation UPR - gross</v>
          </cell>
          <cell r="Y37927" t="str">
            <v>UNITED STATES</v>
          </cell>
        </row>
        <row r="37928">
          <cell r="L37928" t="str">
            <v>Non-proportional</v>
          </cell>
          <cell r="S37928">
            <v>-4078.13</v>
          </cell>
          <cell r="X37928" t="str">
            <v>Variation UPR - gross</v>
          </cell>
          <cell r="Y37928" t="str">
            <v>GREECE</v>
          </cell>
        </row>
        <row r="37929">
          <cell r="L37929" t="str">
            <v>Non-proportional</v>
          </cell>
          <cell r="S37929">
            <v>-1743.31</v>
          </cell>
          <cell r="X37929" t="str">
            <v>Variation UPR - gross</v>
          </cell>
          <cell r="Y37929" t="str">
            <v>COSTA RICA</v>
          </cell>
        </row>
        <row r="37930">
          <cell r="L37930" t="str">
            <v>Non-proportional</v>
          </cell>
          <cell r="S37930">
            <v>-2520.36</v>
          </cell>
          <cell r="X37930" t="str">
            <v>Variation UPR - gross</v>
          </cell>
          <cell r="Y37930" t="str">
            <v>MEXICO</v>
          </cell>
        </row>
        <row r="37931">
          <cell r="L37931" t="str">
            <v>Non-proportional</v>
          </cell>
          <cell r="S37931">
            <v>-78145.31</v>
          </cell>
          <cell r="X37931" t="str">
            <v>Variation UPR - gross</v>
          </cell>
          <cell r="Y37931" t="str">
            <v>UNITED KINGDOM</v>
          </cell>
        </row>
        <row r="37932">
          <cell r="L37932" t="str">
            <v>Non-proportional</v>
          </cell>
          <cell r="S37932">
            <v>-2911.59</v>
          </cell>
          <cell r="X37932" t="str">
            <v>Variation UPR - gross</v>
          </cell>
          <cell r="Y37932" t="str">
            <v>THAILAND</v>
          </cell>
        </row>
        <row r="37933">
          <cell r="L37933" t="str">
            <v>Non-proportional</v>
          </cell>
          <cell r="S37933">
            <v>-4850.29</v>
          </cell>
          <cell r="X37933" t="str">
            <v>Variation UPR - gross</v>
          </cell>
          <cell r="Y37933" t="str">
            <v>PERU</v>
          </cell>
        </row>
        <row r="37934">
          <cell r="L37934" t="str">
            <v>Non-proportional</v>
          </cell>
          <cell r="S37934">
            <v>-1044.8399999999999</v>
          </cell>
          <cell r="X37934" t="str">
            <v>Variation UPR - gross</v>
          </cell>
          <cell r="Y37934" t="str">
            <v>CYPRUS</v>
          </cell>
        </row>
        <row r="37935">
          <cell r="L37935" t="str">
            <v>Proportional</v>
          </cell>
          <cell r="S37935">
            <v>-10753.26</v>
          </cell>
          <cell r="X37935" t="str">
            <v>Variation UPR - gross</v>
          </cell>
          <cell r="Y37935" t="str">
            <v>ITALY</v>
          </cell>
        </row>
        <row r="37936">
          <cell r="L37936" t="str">
            <v>Non-proportional</v>
          </cell>
          <cell r="S37936">
            <v>-10120.5</v>
          </cell>
          <cell r="X37936" t="str">
            <v>Variation UPR - gross</v>
          </cell>
          <cell r="Y37936" t="str">
            <v>ITALY</v>
          </cell>
        </row>
        <row r="37937">
          <cell r="L37937" t="str">
            <v>Non-proportional</v>
          </cell>
          <cell r="S37937">
            <v>-59</v>
          </cell>
          <cell r="X37937" t="str">
            <v>Variation UPR - gross</v>
          </cell>
          <cell r="Y37937" t="str">
            <v>ISRAEL</v>
          </cell>
        </row>
        <row r="37938">
          <cell r="L37938" t="str">
            <v>Non-proportional</v>
          </cell>
          <cell r="S37938">
            <v>-6054.96</v>
          </cell>
          <cell r="X37938" t="str">
            <v>Variation UPR - gross</v>
          </cell>
          <cell r="Y37938" t="str">
            <v>FRANCE</v>
          </cell>
        </row>
        <row r="37939">
          <cell r="L37939" t="str">
            <v>Non-proportional</v>
          </cell>
          <cell r="S37939">
            <v>-4751.26</v>
          </cell>
          <cell r="X37939" t="str">
            <v>Variation UPR - gross</v>
          </cell>
          <cell r="Y37939" t="str">
            <v>FRANCE</v>
          </cell>
        </row>
        <row r="37940">
          <cell r="L37940" t="str">
            <v>Non-proportional</v>
          </cell>
          <cell r="S37940">
            <v>-3507.23</v>
          </cell>
          <cell r="X37940" t="str">
            <v>Variation UPR - gross</v>
          </cell>
          <cell r="Y37940" t="str">
            <v>CHILE</v>
          </cell>
        </row>
        <row r="37941">
          <cell r="L37941" t="str">
            <v>Non-proportional</v>
          </cell>
          <cell r="S37941">
            <v>-268.08</v>
          </cell>
          <cell r="X37941" t="str">
            <v>Variation UPR - gross</v>
          </cell>
          <cell r="Y37941" t="str">
            <v>JAPAN</v>
          </cell>
        </row>
        <row r="37942">
          <cell r="L37942" t="str">
            <v>Non-proportional</v>
          </cell>
          <cell r="S37942">
            <v>-740.4</v>
          </cell>
          <cell r="X37942" t="str">
            <v>Variation UPR - gross</v>
          </cell>
          <cell r="Y37942" t="str">
            <v>FRANCE</v>
          </cell>
        </row>
        <row r="37943">
          <cell r="L37943" t="str">
            <v>Non-proportional</v>
          </cell>
          <cell r="S37943">
            <v>-8238.26</v>
          </cell>
          <cell r="X37943" t="str">
            <v>Variation UPR - gross</v>
          </cell>
          <cell r="Y37943" t="str">
            <v>ITALY</v>
          </cell>
        </row>
        <row r="37944">
          <cell r="L37944" t="str">
            <v>Non-proportional</v>
          </cell>
          <cell r="S37944">
            <v>-3032.29</v>
          </cell>
          <cell r="X37944" t="str">
            <v>Variation UPR - gross</v>
          </cell>
          <cell r="Y37944" t="str">
            <v>CHILE</v>
          </cell>
        </row>
        <row r="37945">
          <cell r="L37945" t="str">
            <v>Non-proportional</v>
          </cell>
          <cell r="S37945">
            <v>-9977.5</v>
          </cell>
          <cell r="X37945" t="str">
            <v>Variation UPR - gross</v>
          </cell>
          <cell r="Y37945" t="str">
            <v>ITALY</v>
          </cell>
        </row>
        <row r="37946">
          <cell r="L37946" t="str">
            <v>Non-proportional</v>
          </cell>
          <cell r="S37946">
            <v>30.26</v>
          </cell>
          <cell r="X37946" t="str">
            <v>Variation UPR - gross</v>
          </cell>
          <cell r="Y37946" t="str">
            <v>POLAND</v>
          </cell>
        </row>
        <row r="37947">
          <cell r="L37947" t="str">
            <v>Non-proportional</v>
          </cell>
          <cell r="S37947">
            <v>-78.55</v>
          </cell>
          <cell r="X37947" t="str">
            <v>Variation UPR - gross</v>
          </cell>
          <cell r="Y37947" t="str">
            <v>COLOMBIA</v>
          </cell>
        </row>
        <row r="37948">
          <cell r="L37948" t="str">
            <v>Proportional</v>
          </cell>
          <cell r="S37948">
            <v>-56915.199999999997</v>
          </cell>
          <cell r="X37948" t="str">
            <v>Variation UPR - gross</v>
          </cell>
          <cell r="Y37948" t="str">
            <v>SWITZERLAND</v>
          </cell>
        </row>
        <row r="37949">
          <cell r="L37949" t="str">
            <v>Non-proportional</v>
          </cell>
          <cell r="S37949">
            <v>-1417102.49</v>
          </cell>
          <cell r="X37949" t="str">
            <v>Variation UPR - gross</v>
          </cell>
          <cell r="Y37949" t="str">
            <v>UNITED KINGDOM</v>
          </cell>
        </row>
        <row r="37950">
          <cell r="L37950" t="str">
            <v>Proportional</v>
          </cell>
          <cell r="S37950">
            <v>-3926.08</v>
          </cell>
          <cell r="X37950" t="str">
            <v>Variation UPR - gross</v>
          </cell>
          <cell r="Y37950" t="str">
            <v>THAILAND</v>
          </cell>
        </row>
        <row r="37951">
          <cell r="L37951" t="str">
            <v>Non-proportional</v>
          </cell>
          <cell r="S37951">
            <v>-4002.46</v>
          </cell>
          <cell r="X37951" t="str">
            <v>Variation UPR - gross</v>
          </cell>
          <cell r="Y37951" t="str">
            <v>UNITED KINGDOM</v>
          </cell>
        </row>
        <row r="37952">
          <cell r="L37952" t="str">
            <v>Non-proportional</v>
          </cell>
          <cell r="S37952">
            <v>-3606.09</v>
          </cell>
          <cell r="X37952" t="str">
            <v>Variation UPR - gross</v>
          </cell>
          <cell r="Y37952" t="str">
            <v>AUSTRALIA</v>
          </cell>
        </row>
        <row r="37953">
          <cell r="L37953" t="str">
            <v>Non-proportional</v>
          </cell>
          <cell r="S37953">
            <v>-60.39</v>
          </cell>
          <cell r="X37953" t="str">
            <v>Variation UPR - gross</v>
          </cell>
          <cell r="Y37953" t="str">
            <v>ISRAEL</v>
          </cell>
        </row>
        <row r="37954">
          <cell r="L37954" t="str">
            <v>Non-proportional</v>
          </cell>
          <cell r="S37954">
            <v>-5512.68</v>
          </cell>
          <cell r="X37954" t="str">
            <v>Variation UPR - gross</v>
          </cell>
          <cell r="Y37954" t="str">
            <v>NETHERLANDS</v>
          </cell>
        </row>
        <row r="37955">
          <cell r="L37955" t="str">
            <v>Non-proportional</v>
          </cell>
          <cell r="S37955">
            <v>-772.88</v>
          </cell>
          <cell r="X37955" t="str">
            <v>Variation UPR - gross</v>
          </cell>
          <cell r="Y37955" t="str">
            <v>REPUBLIC OF IRELAND</v>
          </cell>
        </row>
        <row r="37956">
          <cell r="L37956" t="str">
            <v>Non-proportional</v>
          </cell>
          <cell r="S37956">
            <v>-6963.2</v>
          </cell>
          <cell r="X37956" t="str">
            <v>Variation UPR - gross</v>
          </cell>
          <cell r="Y37956" t="str">
            <v>FRANCE</v>
          </cell>
        </row>
        <row r="37957">
          <cell r="L37957" t="str">
            <v>Non-proportional</v>
          </cell>
          <cell r="S37957">
            <v>-0.02</v>
          </cell>
          <cell r="X37957" t="str">
            <v>Variation UPR - gross</v>
          </cell>
          <cell r="Y37957" t="str">
            <v>DOMINICAN REPUBLIC</v>
          </cell>
        </row>
        <row r="37958">
          <cell r="L37958" t="str">
            <v>Non-proportional</v>
          </cell>
          <cell r="S37958">
            <v>-1065.3599999999999</v>
          </cell>
          <cell r="X37958" t="str">
            <v>Variation UPR - gross</v>
          </cell>
          <cell r="Y37958" t="str">
            <v>JAPAN</v>
          </cell>
        </row>
        <row r="37959">
          <cell r="L37959" t="str">
            <v>Non-proportional</v>
          </cell>
          <cell r="S37959">
            <v>-4039.21</v>
          </cell>
          <cell r="X37959" t="str">
            <v>Variation UPR - gross</v>
          </cell>
          <cell r="Y37959" t="str">
            <v>ECUADOR</v>
          </cell>
        </row>
        <row r="37960">
          <cell r="L37960" t="str">
            <v>Proportional</v>
          </cell>
          <cell r="S37960">
            <v>-1169.08</v>
          </cell>
          <cell r="X37960" t="str">
            <v>Variation UPR - gross</v>
          </cell>
          <cell r="Y37960" t="str">
            <v>CHILE</v>
          </cell>
        </row>
        <row r="37961">
          <cell r="L37961" t="str">
            <v>Non-proportional</v>
          </cell>
          <cell r="S37961">
            <v>-8760.9699999999993</v>
          </cell>
          <cell r="X37961" t="str">
            <v>Variation UPR - gross</v>
          </cell>
          <cell r="Y37961" t="str">
            <v>AUSTRALIA</v>
          </cell>
        </row>
        <row r="37962">
          <cell r="L37962" t="str">
            <v>Non-proportional</v>
          </cell>
          <cell r="S37962">
            <v>-4812.66</v>
          </cell>
          <cell r="X37962" t="str">
            <v>Variation UPR - gross</v>
          </cell>
          <cell r="Y37962" t="str">
            <v>ISRAEL</v>
          </cell>
        </row>
        <row r="37963">
          <cell r="L37963" t="str">
            <v>Non-proportional</v>
          </cell>
          <cell r="S37963">
            <v>-167.45</v>
          </cell>
          <cell r="X37963" t="str">
            <v>Variation UPR - gross</v>
          </cell>
          <cell r="Y37963" t="str">
            <v>FRANCE</v>
          </cell>
        </row>
        <row r="37964">
          <cell r="L37964" t="str">
            <v>Non-proportional</v>
          </cell>
          <cell r="S37964">
            <v>-2106.75</v>
          </cell>
          <cell r="X37964" t="str">
            <v>Variation UPR - gross</v>
          </cell>
          <cell r="Y37964" t="str">
            <v>JAPAN</v>
          </cell>
        </row>
        <row r="37965">
          <cell r="L37965" t="str">
            <v>Non-proportional</v>
          </cell>
          <cell r="S37965">
            <v>-73.069999999999993</v>
          </cell>
          <cell r="X37965" t="str">
            <v>Variation UPR - gross</v>
          </cell>
          <cell r="Y37965" t="str">
            <v>CHILE</v>
          </cell>
        </row>
        <row r="37966">
          <cell r="L37966" t="str">
            <v>Non-proportional</v>
          </cell>
          <cell r="S37966">
            <v>-9333.33</v>
          </cell>
          <cell r="X37966" t="str">
            <v>Variation UPR - gross</v>
          </cell>
          <cell r="Y37966" t="str">
            <v>PORTUGAL</v>
          </cell>
        </row>
        <row r="37967">
          <cell r="L37967" t="str">
            <v>Proportional</v>
          </cell>
          <cell r="S37967">
            <v>-69149.56</v>
          </cell>
          <cell r="X37967" t="str">
            <v>Variation UPR - gross</v>
          </cell>
          <cell r="Y37967" t="str">
            <v>PORTUGAL</v>
          </cell>
        </row>
        <row r="37968">
          <cell r="L37968" t="str">
            <v>Non-proportional</v>
          </cell>
          <cell r="S37968">
            <v>7072.56</v>
          </cell>
          <cell r="X37968" t="str">
            <v>Variation UPR - gross</v>
          </cell>
          <cell r="Y37968" t="str">
            <v>INDIA</v>
          </cell>
        </row>
        <row r="37969">
          <cell r="L37969" t="str">
            <v>Non-proportional</v>
          </cell>
          <cell r="S37969">
            <v>-620.30999999999995</v>
          </cell>
          <cell r="X37969" t="str">
            <v>Variation UPR - gross</v>
          </cell>
          <cell r="Y37969" t="str">
            <v>JAPAN</v>
          </cell>
        </row>
        <row r="37970">
          <cell r="L37970" t="str">
            <v>Non-proportional</v>
          </cell>
          <cell r="S37970">
            <v>146.13</v>
          </cell>
          <cell r="X37970" t="str">
            <v>Variation UPR - gross</v>
          </cell>
          <cell r="Y37970" t="str">
            <v>CHILE</v>
          </cell>
        </row>
        <row r="37971">
          <cell r="L37971" t="str">
            <v>Non-proportional</v>
          </cell>
          <cell r="S37971">
            <v>-1197.92</v>
          </cell>
          <cell r="X37971" t="str">
            <v>Variation UPR - gross</v>
          </cell>
          <cell r="Y37971" t="str">
            <v>GERMANY</v>
          </cell>
        </row>
        <row r="37972">
          <cell r="L37972" t="str">
            <v>Non-proportional</v>
          </cell>
          <cell r="S37972">
            <v>-48.05</v>
          </cell>
          <cell r="X37972" t="str">
            <v>Variation UPR - gross</v>
          </cell>
          <cell r="Y37972" t="str">
            <v>INDIA</v>
          </cell>
        </row>
        <row r="37973">
          <cell r="L37973" t="str">
            <v>Non-proportional</v>
          </cell>
          <cell r="S37973">
            <v>77389.02</v>
          </cell>
          <cell r="X37973" t="str">
            <v>Variation UPR - gross</v>
          </cell>
          <cell r="Y37973" t="str">
            <v>JAPAN</v>
          </cell>
        </row>
        <row r="37974">
          <cell r="L37974" t="str">
            <v>Non-proportional</v>
          </cell>
          <cell r="S37974">
            <v>-1310.57</v>
          </cell>
          <cell r="X37974" t="str">
            <v>Variation UPR - gross</v>
          </cell>
          <cell r="Y37974" t="str">
            <v>JAPAN</v>
          </cell>
        </row>
        <row r="37975">
          <cell r="L37975" t="str">
            <v>Non-proportional</v>
          </cell>
          <cell r="S37975">
            <v>19491.13</v>
          </cell>
          <cell r="X37975" t="str">
            <v>Variation UPR - gross</v>
          </cell>
          <cell r="Y37975" t="str">
            <v>JAPAN</v>
          </cell>
        </row>
        <row r="37976">
          <cell r="L37976" t="str">
            <v>Proportional</v>
          </cell>
          <cell r="S37976">
            <v>-1474.55</v>
          </cell>
          <cell r="X37976" t="str">
            <v>Variation UPR - gross</v>
          </cell>
          <cell r="Y37976" t="str">
            <v>ITALY</v>
          </cell>
        </row>
        <row r="37977">
          <cell r="L37977" t="str">
            <v>Proportional</v>
          </cell>
          <cell r="S37977">
            <v>2333.12</v>
          </cell>
          <cell r="X37977" t="str">
            <v>Variation UPR - gross</v>
          </cell>
          <cell r="Y37977" t="str">
            <v>GERMANY</v>
          </cell>
        </row>
        <row r="37978">
          <cell r="L37978" t="str">
            <v>Non-proportional</v>
          </cell>
          <cell r="S37978">
            <v>-350018.84</v>
          </cell>
          <cell r="X37978" t="str">
            <v>Variation UPR - gross</v>
          </cell>
          <cell r="Y37978" t="str">
            <v>EUROPE</v>
          </cell>
        </row>
        <row r="37979">
          <cell r="L37979" t="str">
            <v>Non-proportional</v>
          </cell>
          <cell r="S37979">
            <v>9996.02</v>
          </cell>
          <cell r="X37979" t="str">
            <v>Variation UPR - gross</v>
          </cell>
          <cell r="Y37979" t="str">
            <v>PUERTO RICO</v>
          </cell>
        </row>
        <row r="37980">
          <cell r="L37980" t="str">
            <v>Non-proportional</v>
          </cell>
          <cell r="S37980">
            <v>21.3</v>
          </cell>
          <cell r="X37980" t="str">
            <v>Variation UPR - gross</v>
          </cell>
          <cell r="Y37980" t="str">
            <v>COLOMBIA</v>
          </cell>
        </row>
        <row r="37981">
          <cell r="L37981" t="str">
            <v>Non-proportional</v>
          </cell>
          <cell r="S37981">
            <v>-3070.04</v>
          </cell>
          <cell r="X37981" t="str">
            <v>Variation UPR - gross</v>
          </cell>
          <cell r="Y37981" t="str">
            <v>DOMINICAN REPUBLIC</v>
          </cell>
        </row>
        <row r="37982">
          <cell r="L37982" t="str">
            <v>Non-proportional</v>
          </cell>
          <cell r="S37982">
            <v>-31316.15</v>
          </cell>
          <cell r="X37982" t="str">
            <v>Variation UPR - gross</v>
          </cell>
          <cell r="Y37982" t="str">
            <v>FRANCE</v>
          </cell>
        </row>
        <row r="37983">
          <cell r="L37983" t="str">
            <v>Non-proportional</v>
          </cell>
          <cell r="S37983">
            <v>-146.28</v>
          </cell>
          <cell r="X37983" t="str">
            <v>Variation UPR - gross</v>
          </cell>
          <cell r="Y37983" t="str">
            <v>FRANCE</v>
          </cell>
        </row>
        <row r="37984">
          <cell r="L37984" t="str">
            <v>Non-proportional</v>
          </cell>
          <cell r="S37984">
            <v>12162.96</v>
          </cell>
          <cell r="X37984" t="str">
            <v>Variation UPR - gross</v>
          </cell>
          <cell r="Y37984" t="str">
            <v>SOUTH AFRICA</v>
          </cell>
        </row>
        <row r="37985">
          <cell r="L37985" t="str">
            <v>Non-proportional</v>
          </cell>
          <cell r="S37985">
            <v>-24750</v>
          </cell>
          <cell r="X37985" t="str">
            <v>Variation UPR - gross</v>
          </cell>
          <cell r="Y37985" t="str">
            <v>GREECE</v>
          </cell>
        </row>
        <row r="37986">
          <cell r="L37986" t="str">
            <v>Non-proportional</v>
          </cell>
          <cell r="S37986">
            <v>-620.30999999999995</v>
          </cell>
          <cell r="X37986" t="str">
            <v>Variation UPR - gross</v>
          </cell>
          <cell r="Y37986" t="str">
            <v>JAPAN</v>
          </cell>
        </row>
        <row r="37987">
          <cell r="L37987" t="str">
            <v>Non-proportional</v>
          </cell>
          <cell r="S37987">
            <v>-2442.4499999999998</v>
          </cell>
          <cell r="X37987" t="str">
            <v>Variation UPR - gross</v>
          </cell>
          <cell r="Y37987" t="str">
            <v>CYPRUS</v>
          </cell>
        </row>
        <row r="37988">
          <cell r="L37988" t="str">
            <v>Non-proportional</v>
          </cell>
          <cell r="S37988">
            <v>-89938.33</v>
          </cell>
          <cell r="X37988" t="str">
            <v>Variation UPR - gross</v>
          </cell>
          <cell r="Y37988" t="str">
            <v>PORTUGAL</v>
          </cell>
        </row>
        <row r="37989">
          <cell r="L37989" t="str">
            <v>Non-proportional</v>
          </cell>
          <cell r="S37989">
            <v>-7342.39</v>
          </cell>
          <cell r="X37989" t="str">
            <v>Variation UPR - gross</v>
          </cell>
          <cell r="Y37989" t="str">
            <v>FRANCE</v>
          </cell>
        </row>
        <row r="37990">
          <cell r="L37990" t="str">
            <v>Non-proportional</v>
          </cell>
          <cell r="S37990">
            <v>-1303.78</v>
          </cell>
          <cell r="X37990" t="str">
            <v>Variation UPR - gross</v>
          </cell>
          <cell r="Y37990" t="str">
            <v>CYPRUS</v>
          </cell>
        </row>
        <row r="37991">
          <cell r="L37991" t="str">
            <v>Non-proportional</v>
          </cell>
          <cell r="S37991">
            <v>-1202.25</v>
          </cell>
          <cell r="X37991" t="str">
            <v>Variation UPR - gross</v>
          </cell>
          <cell r="Y37991" t="str">
            <v>REPUBLIC OF IRELAND</v>
          </cell>
        </row>
        <row r="37992">
          <cell r="L37992" t="str">
            <v>Non-proportional</v>
          </cell>
          <cell r="S37992">
            <v>-0.01</v>
          </cell>
          <cell r="X37992" t="str">
            <v>Variation UPR - gross</v>
          </cell>
          <cell r="Y37992" t="str">
            <v>DOMINICAN REPUBLIC</v>
          </cell>
        </row>
        <row r="37993">
          <cell r="L37993" t="str">
            <v>Proportional</v>
          </cell>
          <cell r="S37993">
            <v>3526302.09</v>
          </cell>
          <cell r="X37993" t="str">
            <v>Variation UPR - gross</v>
          </cell>
          <cell r="Y37993" t="str">
            <v>JAPAN</v>
          </cell>
        </row>
        <row r="37994">
          <cell r="L37994" t="str">
            <v>Non-proportional</v>
          </cell>
          <cell r="S37994">
            <v>-0.05</v>
          </cell>
          <cell r="X37994" t="str">
            <v>Variation UPR - gross</v>
          </cell>
          <cell r="Y37994" t="str">
            <v>THAILAND</v>
          </cell>
        </row>
        <row r="37995">
          <cell r="L37995" t="str">
            <v>Non-proportional</v>
          </cell>
          <cell r="S37995">
            <v>-46864.67</v>
          </cell>
          <cell r="X37995" t="str">
            <v>Variation UPR - gross</v>
          </cell>
          <cell r="Y37995" t="str">
            <v>FRANCE</v>
          </cell>
        </row>
        <row r="37996">
          <cell r="L37996" t="str">
            <v>Non-proportional</v>
          </cell>
          <cell r="S37996">
            <v>-2719.51</v>
          </cell>
          <cell r="X37996" t="str">
            <v>Variation UPR - gross</v>
          </cell>
          <cell r="Y37996" t="str">
            <v>ISRAEL</v>
          </cell>
        </row>
        <row r="37997">
          <cell r="L37997" t="str">
            <v>Non-proportional</v>
          </cell>
          <cell r="S37997">
            <v>-7218.75</v>
          </cell>
          <cell r="X37997" t="str">
            <v>Variation UPR - gross</v>
          </cell>
          <cell r="Y37997" t="str">
            <v>FRANCE</v>
          </cell>
        </row>
        <row r="37998">
          <cell r="L37998" t="str">
            <v>Non-proportional</v>
          </cell>
          <cell r="S37998">
            <v>-8775.06</v>
          </cell>
          <cell r="X37998" t="str">
            <v>Variation UPR - gross</v>
          </cell>
          <cell r="Y37998" t="str">
            <v>FRANCE</v>
          </cell>
        </row>
        <row r="37999">
          <cell r="L37999" t="str">
            <v>Non-proportional</v>
          </cell>
          <cell r="S37999">
            <v>-1468.75</v>
          </cell>
          <cell r="X37999" t="str">
            <v>Variation UPR - gross</v>
          </cell>
          <cell r="Y37999" t="str">
            <v>GREECE</v>
          </cell>
        </row>
        <row r="38000">
          <cell r="L38000" t="str">
            <v>Proportional</v>
          </cell>
          <cell r="S38000">
            <v>-242823.05</v>
          </cell>
          <cell r="X38000" t="str">
            <v>Variation UPR - gross</v>
          </cell>
          <cell r="Y38000" t="str">
            <v>JAPAN</v>
          </cell>
        </row>
        <row r="38001">
          <cell r="L38001" t="str">
            <v>Non-proportional</v>
          </cell>
          <cell r="S38001">
            <v>-2187.5</v>
          </cell>
          <cell r="X38001" t="str">
            <v>Variation UPR - gross</v>
          </cell>
          <cell r="Y38001" t="str">
            <v>GERMANY</v>
          </cell>
        </row>
        <row r="38002">
          <cell r="L38002" t="str">
            <v>Non-proportional</v>
          </cell>
          <cell r="S38002">
            <v>-491.72</v>
          </cell>
          <cell r="X38002" t="str">
            <v>Variation UPR - gross</v>
          </cell>
          <cell r="Y38002" t="str">
            <v>JAPAN</v>
          </cell>
        </row>
        <row r="38003">
          <cell r="L38003" t="str">
            <v>Proportional</v>
          </cell>
          <cell r="S38003">
            <v>-119391.34</v>
          </cell>
          <cell r="X38003" t="str">
            <v>Variation UPR - gross</v>
          </cell>
          <cell r="Y38003" t="str">
            <v>CANADA</v>
          </cell>
        </row>
        <row r="38004">
          <cell r="L38004" t="str">
            <v>Non-proportional</v>
          </cell>
          <cell r="S38004">
            <v>-1749.93</v>
          </cell>
          <cell r="X38004" t="str">
            <v>Variation UPR - gross</v>
          </cell>
          <cell r="Y38004" t="str">
            <v>EUROPE</v>
          </cell>
        </row>
        <row r="38005">
          <cell r="L38005" t="str">
            <v>Proportional</v>
          </cell>
          <cell r="S38005">
            <v>111.39</v>
          </cell>
          <cell r="X38005" t="str">
            <v>Variation UPR - gross</v>
          </cell>
          <cell r="Y38005" t="str">
            <v>UNITED STATES</v>
          </cell>
        </row>
        <row r="38006">
          <cell r="L38006" t="str">
            <v>Non-proportional</v>
          </cell>
          <cell r="S38006">
            <v>-0.04</v>
          </cell>
          <cell r="X38006" t="str">
            <v>Variation UPR - gross</v>
          </cell>
          <cell r="Y38006" t="str">
            <v>DOMINICAN REPUBLIC</v>
          </cell>
        </row>
        <row r="38007">
          <cell r="L38007" t="str">
            <v>Non-proportional</v>
          </cell>
          <cell r="S38007">
            <v>24181.49</v>
          </cell>
          <cell r="X38007" t="str">
            <v>Variation UPR - gross</v>
          </cell>
          <cell r="Y38007" t="str">
            <v>COLOMBIA</v>
          </cell>
        </row>
        <row r="38008">
          <cell r="L38008" t="str">
            <v>Non-proportional</v>
          </cell>
          <cell r="S38008">
            <v>-6278.98</v>
          </cell>
          <cell r="X38008" t="str">
            <v>Variation UPR - gross</v>
          </cell>
          <cell r="Y38008" t="str">
            <v>FRANCE</v>
          </cell>
        </row>
        <row r="38009">
          <cell r="L38009" t="str">
            <v>Non-proportional</v>
          </cell>
          <cell r="S38009">
            <v>-1246.44</v>
          </cell>
          <cell r="X38009" t="str">
            <v>Variation UPR - gross</v>
          </cell>
          <cell r="Y38009" t="str">
            <v>ISRAEL</v>
          </cell>
        </row>
        <row r="38010">
          <cell r="L38010" t="str">
            <v>Non-proportional</v>
          </cell>
          <cell r="S38010">
            <v>-5001.13</v>
          </cell>
          <cell r="X38010" t="str">
            <v>Variation UPR - gross</v>
          </cell>
          <cell r="Y38010" t="str">
            <v>ITALY</v>
          </cell>
        </row>
        <row r="38011">
          <cell r="L38011" t="str">
            <v>Non-proportional</v>
          </cell>
          <cell r="S38011">
            <v>-800</v>
          </cell>
          <cell r="X38011" t="str">
            <v>Variation UPR - gross</v>
          </cell>
          <cell r="Y38011" t="str">
            <v>ITALY</v>
          </cell>
        </row>
        <row r="38012">
          <cell r="L38012" t="str">
            <v>Non-proportional</v>
          </cell>
          <cell r="S38012">
            <v>-3506.59</v>
          </cell>
          <cell r="X38012" t="str">
            <v>Variation UPR - gross</v>
          </cell>
          <cell r="Y38012" t="str">
            <v>AUSTRALIA</v>
          </cell>
        </row>
        <row r="38013">
          <cell r="L38013" t="str">
            <v>Non-proportional</v>
          </cell>
          <cell r="S38013">
            <v>-3780</v>
          </cell>
          <cell r="X38013" t="str">
            <v>Variation UPR - gross</v>
          </cell>
          <cell r="Y38013" t="str">
            <v>GREECE</v>
          </cell>
        </row>
        <row r="38014">
          <cell r="L38014" t="str">
            <v>Non-proportional</v>
          </cell>
          <cell r="S38014">
            <v>-827.97</v>
          </cell>
          <cell r="X38014" t="str">
            <v>Variation UPR - gross</v>
          </cell>
          <cell r="Y38014" t="str">
            <v>PERU</v>
          </cell>
        </row>
        <row r="38015">
          <cell r="L38015" t="str">
            <v>Non-proportional</v>
          </cell>
          <cell r="S38015">
            <v>-3917.27</v>
          </cell>
          <cell r="X38015" t="str">
            <v>Variation UPR - gross</v>
          </cell>
          <cell r="Y38015" t="str">
            <v>ITALY</v>
          </cell>
        </row>
        <row r="38016">
          <cell r="L38016" t="str">
            <v>Non-proportional</v>
          </cell>
          <cell r="S38016">
            <v>-2040.06</v>
          </cell>
          <cell r="X38016" t="str">
            <v>Variation UPR - gross</v>
          </cell>
          <cell r="Y38016" t="str">
            <v>DOMINICAN REPUBLIC</v>
          </cell>
        </row>
        <row r="38017">
          <cell r="L38017" t="str">
            <v>Non-proportional</v>
          </cell>
          <cell r="S38017">
            <v>-5259.78</v>
          </cell>
          <cell r="X38017" t="str">
            <v>Variation UPR - gross</v>
          </cell>
          <cell r="Y38017" t="str">
            <v>AUSTRALIA</v>
          </cell>
        </row>
        <row r="38018">
          <cell r="L38018" t="str">
            <v>Non-proportional</v>
          </cell>
          <cell r="S38018">
            <v>58594.43</v>
          </cell>
          <cell r="X38018" t="str">
            <v>Variation UPR - gross</v>
          </cell>
          <cell r="Y38018" t="str">
            <v>NEW ZEALAND</v>
          </cell>
        </row>
        <row r="38019">
          <cell r="L38019" t="str">
            <v>Non-proportional</v>
          </cell>
          <cell r="S38019">
            <v>-18.170000000000002</v>
          </cell>
          <cell r="X38019" t="str">
            <v>Variation UPR - gross</v>
          </cell>
          <cell r="Y38019" t="str">
            <v>ISRAEL</v>
          </cell>
        </row>
        <row r="38020">
          <cell r="L38020" t="str">
            <v>Proportional</v>
          </cell>
          <cell r="S38020">
            <v>-7295.6</v>
          </cell>
          <cell r="X38020" t="str">
            <v>Variation UPR - gross</v>
          </cell>
          <cell r="Y38020" t="str">
            <v>ITALY</v>
          </cell>
        </row>
        <row r="38021">
          <cell r="L38021" t="str">
            <v>Non-proportional</v>
          </cell>
          <cell r="S38021">
            <v>-776.23</v>
          </cell>
          <cell r="X38021" t="str">
            <v>Variation UPR - gross</v>
          </cell>
          <cell r="Y38021" t="str">
            <v>BRAZIL</v>
          </cell>
        </row>
        <row r="38022">
          <cell r="L38022" t="str">
            <v>Non-proportional</v>
          </cell>
          <cell r="S38022">
            <v>-56575.8</v>
          </cell>
          <cell r="X38022" t="str">
            <v>Variation UPR - gross</v>
          </cell>
          <cell r="Y38022" t="str">
            <v>UNITED KINGDOM</v>
          </cell>
        </row>
        <row r="38023">
          <cell r="L38023" t="str">
            <v>Non-proportional</v>
          </cell>
          <cell r="S38023">
            <v>-72.97</v>
          </cell>
          <cell r="X38023" t="str">
            <v>Variation UPR - gross</v>
          </cell>
          <cell r="Y38023" t="str">
            <v>COLOMBIA</v>
          </cell>
        </row>
        <row r="38024">
          <cell r="L38024" t="str">
            <v>Non-proportional</v>
          </cell>
          <cell r="S38024">
            <v>-23187.5</v>
          </cell>
          <cell r="X38024" t="str">
            <v>Variation UPR - gross</v>
          </cell>
          <cell r="Y38024" t="str">
            <v>ITALY</v>
          </cell>
        </row>
        <row r="38025">
          <cell r="L38025" t="str">
            <v>Non-proportional</v>
          </cell>
          <cell r="S38025">
            <v>-87138.33</v>
          </cell>
          <cell r="X38025" t="str">
            <v>Variation UPR - gross</v>
          </cell>
          <cell r="Y38025" t="str">
            <v>EUROPE</v>
          </cell>
        </row>
        <row r="38026">
          <cell r="L38026" t="str">
            <v>Non-proportional</v>
          </cell>
          <cell r="S38026">
            <v>-0.03</v>
          </cell>
          <cell r="X38026" t="str">
            <v>Variation UPR - gross</v>
          </cell>
          <cell r="Y38026" t="str">
            <v>DOMINICAN REPUBLIC</v>
          </cell>
        </row>
        <row r="38027">
          <cell r="L38027" t="str">
            <v>Non-proportional</v>
          </cell>
          <cell r="S38027">
            <v>-2097.63</v>
          </cell>
          <cell r="X38027" t="str">
            <v>Variation UPR - gross</v>
          </cell>
          <cell r="Y38027" t="str">
            <v>UNITED KINGDOM</v>
          </cell>
        </row>
        <row r="38028">
          <cell r="L38028" t="str">
            <v>Non-proportional</v>
          </cell>
          <cell r="S38028">
            <v>-4603.34</v>
          </cell>
          <cell r="X38028" t="str">
            <v>Variation UPR - gross</v>
          </cell>
          <cell r="Y38028" t="str">
            <v>ISRAEL</v>
          </cell>
        </row>
        <row r="38029">
          <cell r="L38029" t="str">
            <v>Non-proportional</v>
          </cell>
          <cell r="S38029">
            <v>-105723.33</v>
          </cell>
          <cell r="X38029" t="str">
            <v>Variation UPR - gross</v>
          </cell>
          <cell r="Y38029" t="str">
            <v>FRANCE</v>
          </cell>
        </row>
        <row r="38030">
          <cell r="L38030" t="str">
            <v>Non-proportional</v>
          </cell>
          <cell r="S38030">
            <v>-8500</v>
          </cell>
          <cell r="X38030" t="str">
            <v>Variation UPR - gross</v>
          </cell>
          <cell r="Y38030" t="str">
            <v>ITALY</v>
          </cell>
        </row>
        <row r="38031">
          <cell r="L38031" t="str">
            <v>Non-proportional</v>
          </cell>
          <cell r="S38031">
            <v>157846.53</v>
          </cell>
          <cell r="X38031" t="str">
            <v>Variation UPR - gross</v>
          </cell>
          <cell r="Y38031" t="str">
            <v>UNITED KINGDOM</v>
          </cell>
        </row>
        <row r="38032">
          <cell r="L38032" t="str">
            <v>Non-proportional</v>
          </cell>
          <cell r="S38032">
            <v>-0.01</v>
          </cell>
          <cell r="X38032" t="str">
            <v>Variation UPR - gross</v>
          </cell>
          <cell r="Y38032" t="str">
            <v>DOMINICAN REPUBLIC</v>
          </cell>
        </row>
        <row r="38033">
          <cell r="L38033" t="str">
            <v>Non-proportional</v>
          </cell>
          <cell r="S38033">
            <v>48978.93</v>
          </cell>
          <cell r="X38033" t="str">
            <v>Variation UPR - gross</v>
          </cell>
          <cell r="Y38033" t="str">
            <v>GUATEMALA</v>
          </cell>
        </row>
        <row r="38034">
          <cell r="L38034" t="str">
            <v>Non-proportional</v>
          </cell>
          <cell r="S38034">
            <v>-7.0000000000000007E-2</v>
          </cell>
          <cell r="X38034" t="str">
            <v>Variation UPR - gross</v>
          </cell>
          <cell r="Y38034" t="str">
            <v>COLOMBIA</v>
          </cell>
        </row>
        <row r="38035">
          <cell r="L38035" t="str">
            <v>Non-proportional</v>
          </cell>
          <cell r="S38035">
            <v>-2893.96</v>
          </cell>
          <cell r="X38035" t="str">
            <v>Variation UPR - gross</v>
          </cell>
          <cell r="Y38035" t="str">
            <v>UNITED KINGDOM</v>
          </cell>
        </row>
        <row r="38036">
          <cell r="L38036" t="str">
            <v>Non-proportional</v>
          </cell>
          <cell r="S38036">
            <v>-2694.75</v>
          </cell>
          <cell r="X38036" t="str">
            <v>Variation UPR - gross</v>
          </cell>
          <cell r="Y38036" t="str">
            <v>ISRAEL</v>
          </cell>
        </row>
        <row r="38037">
          <cell r="L38037" t="str">
            <v>Non-proportional</v>
          </cell>
          <cell r="S38037">
            <v>-905.42</v>
          </cell>
          <cell r="X38037" t="str">
            <v>Variation UPR - gross</v>
          </cell>
          <cell r="Y38037" t="str">
            <v>ITALY</v>
          </cell>
        </row>
        <row r="38038">
          <cell r="L38038" t="str">
            <v>Non-proportional</v>
          </cell>
          <cell r="S38038">
            <v>23095.1</v>
          </cell>
          <cell r="X38038" t="str">
            <v>Variation UPR - gross</v>
          </cell>
          <cell r="Y38038" t="str">
            <v>JAPAN</v>
          </cell>
        </row>
        <row r="38039">
          <cell r="L38039" t="str">
            <v>Non-proportional</v>
          </cell>
          <cell r="S38039">
            <v>66.510000000000005</v>
          </cell>
          <cell r="X38039" t="str">
            <v>Variation UPR - gross</v>
          </cell>
          <cell r="Y38039" t="str">
            <v>COLOMBIA</v>
          </cell>
        </row>
        <row r="38040">
          <cell r="L38040" t="str">
            <v>Non-proportional</v>
          </cell>
          <cell r="S38040">
            <v>-1420.13</v>
          </cell>
          <cell r="X38040" t="str">
            <v>Variation UPR - gross</v>
          </cell>
          <cell r="Y38040" t="str">
            <v>AUSTRALIA</v>
          </cell>
        </row>
        <row r="38041">
          <cell r="L38041" t="str">
            <v>Non-proportional</v>
          </cell>
          <cell r="S38041">
            <v>-7267.71</v>
          </cell>
          <cell r="X38041" t="str">
            <v>Variation UPR - gross</v>
          </cell>
          <cell r="Y38041" t="str">
            <v>FRANCE</v>
          </cell>
        </row>
        <row r="38042">
          <cell r="L38042" t="str">
            <v>Non-proportional</v>
          </cell>
          <cell r="S38042">
            <v>-131.41999999999999</v>
          </cell>
          <cell r="X38042" t="str">
            <v>Variation UPR - gross</v>
          </cell>
          <cell r="Y38042" t="str">
            <v>INDIA</v>
          </cell>
        </row>
        <row r="38043">
          <cell r="L38043" t="str">
            <v>Non-proportional</v>
          </cell>
          <cell r="S38043">
            <v>-10000</v>
          </cell>
          <cell r="X38043" t="str">
            <v>Variation UPR - gross</v>
          </cell>
          <cell r="Y38043" t="str">
            <v>ITALY</v>
          </cell>
        </row>
        <row r="38044">
          <cell r="L38044" t="str">
            <v>Non-proportional</v>
          </cell>
          <cell r="S38044">
            <v>-9608.34</v>
          </cell>
          <cell r="X38044" t="str">
            <v>Variation UPR - gross</v>
          </cell>
          <cell r="Y38044" t="str">
            <v>CHILE</v>
          </cell>
        </row>
        <row r="38045">
          <cell r="L38045" t="str">
            <v>Non-proportional</v>
          </cell>
          <cell r="S38045">
            <v>-638.52</v>
          </cell>
          <cell r="X38045" t="str">
            <v>Variation UPR - gross</v>
          </cell>
          <cell r="Y38045" t="str">
            <v>MALTA</v>
          </cell>
        </row>
        <row r="38046">
          <cell r="L38046" t="str">
            <v>Non-proportional</v>
          </cell>
          <cell r="S38046">
            <v>-1647.31</v>
          </cell>
          <cell r="X38046" t="str">
            <v>Variation UPR - gross</v>
          </cell>
          <cell r="Y38046" t="str">
            <v>COSTA RICA</v>
          </cell>
        </row>
        <row r="38047">
          <cell r="L38047" t="str">
            <v>Non-proportional</v>
          </cell>
          <cell r="S38047">
            <v>-78851.039999999994</v>
          </cell>
          <cell r="X38047" t="str">
            <v>Variation UPR - gross</v>
          </cell>
          <cell r="Y38047" t="str">
            <v>UNITED KINGDOM</v>
          </cell>
        </row>
        <row r="38048">
          <cell r="L38048" t="str">
            <v>Non-proportional</v>
          </cell>
          <cell r="S38048">
            <v>-987705.74</v>
          </cell>
          <cell r="X38048" t="str">
            <v>Variation UPR - gross</v>
          </cell>
          <cell r="Y38048" t="str">
            <v>UNITED KINGDOM</v>
          </cell>
        </row>
        <row r="38049">
          <cell r="L38049" t="str">
            <v>Non-proportional</v>
          </cell>
          <cell r="S38049">
            <v>-73.069999999999993</v>
          </cell>
          <cell r="X38049" t="str">
            <v>Variation UPR - gross</v>
          </cell>
          <cell r="Y38049" t="str">
            <v>CHILE</v>
          </cell>
        </row>
        <row r="38050">
          <cell r="L38050" t="str">
            <v>Non-proportional</v>
          </cell>
          <cell r="S38050">
            <v>-12092.62</v>
          </cell>
          <cell r="X38050" t="str">
            <v>Variation UPR - gross</v>
          </cell>
          <cell r="Y38050" t="str">
            <v>CHILE</v>
          </cell>
        </row>
        <row r="38051">
          <cell r="L38051" t="str">
            <v>Non-proportional</v>
          </cell>
          <cell r="S38051">
            <v>-4898.8500000000004</v>
          </cell>
          <cell r="X38051" t="str">
            <v>Variation UPR - gross</v>
          </cell>
          <cell r="Y38051" t="str">
            <v>DOMINICAN REPUBLIC</v>
          </cell>
        </row>
        <row r="38052">
          <cell r="L38052" t="str">
            <v>Non-proportional</v>
          </cell>
          <cell r="S38052">
            <v>-33190.660000000003</v>
          </cell>
          <cell r="X38052" t="str">
            <v>Variation UPR - gross</v>
          </cell>
          <cell r="Y38052" t="str">
            <v>UNITED KINGDOM</v>
          </cell>
        </row>
        <row r="38053">
          <cell r="L38053" t="str">
            <v>Non-proportional</v>
          </cell>
          <cell r="S38053">
            <v>-4458.8</v>
          </cell>
          <cell r="X38053" t="str">
            <v>Variation UPR - gross</v>
          </cell>
          <cell r="Y38053" t="str">
            <v>ECUADOR</v>
          </cell>
        </row>
        <row r="38054">
          <cell r="L38054" t="str">
            <v>Non-proportional</v>
          </cell>
          <cell r="S38054">
            <v>-25.28</v>
          </cell>
          <cell r="X38054" t="str">
            <v>Variation UPR - gross</v>
          </cell>
          <cell r="Y38054" t="str">
            <v>GUATEMALA</v>
          </cell>
        </row>
        <row r="38055">
          <cell r="L38055" t="str">
            <v>Non-proportional</v>
          </cell>
          <cell r="S38055">
            <v>2621.08</v>
          </cell>
          <cell r="X38055" t="str">
            <v>Variation UPR - gross</v>
          </cell>
          <cell r="Y38055" t="str">
            <v>INDIA</v>
          </cell>
        </row>
        <row r="38056">
          <cell r="L38056" t="str">
            <v>Non-proportional</v>
          </cell>
          <cell r="S38056">
            <v>-4797.1499999999996</v>
          </cell>
          <cell r="X38056" t="str">
            <v>Variation UPR - gross</v>
          </cell>
          <cell r="Y38056" t="str">
            <v>PERU</v>
          </cell>
        </row>
        <row r="38057">
          <cell r="L38057" t="str">
            <v>Non-proportional</v>
          </cell>
          <cell r="S38057">
            <v>-1874.77</v>
          </cell>
          <cell r="X38057" t="str">
            <v>Variation UPR - gross</v>
          </cell>
          <cell r="Y38057" t="str">
            <v>UNITED KINGDOM</v>
          </cell>
        </row>
        <row r="38058">
          <cell r="L38058" t="str">
            <v>Non-proportional</v>
          </cell>
          <cell r="S38058">
            <v>108.44</v>
          </cell>
          <cell r="X38058" t="str">
            <v>Variation UPR - gross</v>
          </cell>
          <cell r="Y38058" t="str">
            <v>DOMINICAN REPUBLIC</v>
          </cell>
        </row>
        <row r="38059">
          <cell r="L38059" t="str">
            <v>Non-proportional</v>
          </cell>
          <cell r="S38059">
            <v>25313.56</v>
          </cell>
          <cell r="X38059" t="str">
            <v>Variation UPR - gross</v>
          </cell>
          <cell r="Y38059" t="str">
            <v>UNITED KINGDOM</v>
          </cell>
        </row>
        <row r="38060">
          <cell r="L38060" t="str">
            <v>Non-proportional</v>
          </cell>
          <cell r="S38060">
            <v>-12.26</v>
          </cell>
          <cell r="X38060" t="str">
            <v>Variation UPR - gross</v>
          </cell>
          <cell r="Y38060" t="str">
            <v>GUATEMALA</v>
          </cell>
        </row>
        <row r="38061">
          <cell r="L38061" t="str">
            <v>Non-proportional</v>
          </cell>
          <cell r="S38061">
            <v>-8626.8799999999992</v>
          </cell>
          <cell r="X38061" t="str">
            <v>Variation UPR - gross</v>
          </cell>
          <cell r="Y38061" t="str">
            <v>MEXICO</v>
          </cell>
        </row>
        <row r="38062">
          <cell r="L38062" t="str">
            <v>Non-proportional</v>
          </cell>
          <cell r="S38062">
            <v>-2060.14</v>
          </cell>
          <cell r="X38062" t="str">
            <v>Variation UPR - gross</v>
          </cell>
          <cell r="Y38062" t="str">
            <v>AUSTRALIA</v>
          </cell>
        </row>
        <row r="38063">
          <cell r="L38063" t="str">
            <v>Non-proportional</v>
          </cell>
          <cell r="S38063">
            <v>32831.269999999997</v>
          </cell>
          <cell r="X38063" t="str">
            <v>Variation UPR - gross</v>
          </cell>
          <cell r="Y38063" t="str">
            <v>JAPAN</v>
          </cell>
        </row>
        <row r="38064">
          <cell r="L38064" t="str">
            <v>Proportional</v>
          </cell>
          <cell r="S38064">
            <v>3451.01</v>
          </cell>
          <cell r="X38064" t="str">
            <v>Variation UPR - gross</v>
          </cell>
          <cell r="Y38064" t="str">
            <v>UNITED STATES</v>
          </cell>
        </row>
        <row r="38065">
          <cell r="L38065" t="str">
            <v>Non-proportional</v>
          </cell>
          <cell r="S38065">
            <v>-53426.37</v>
          </cell>
          <cell r="X38065" t="str">
            <v>Variation UPR - gross</v>
          </cell>
          <cell r="Y38065" t="str">
            <v>UNITED KINGDOM</v>
          </cell>
        </row>
        <row r="38066">
          <cell r="L38066" t="str">
            <v>Non-proportional</v>
          </cell>
          <cell r="S38066">
            <v>-24581.82</v>
          </cell>
          <cell r="X38066" t="str">
            <v>Variation UPR - gross</v>
          </cell>
          <cell r="Y38066" t="str">
            <v>NEW ZEALAND</v>
          </cell>
        </row>
        <row r="38067">
          <cell r="L38067" t="str">
            <v>Non-proportional</v>
          </cell>
          <cell r="S38067">
            <v>-8415.35</v>
          </cell>
          <cell r="X38067" t="str">
            <v>Variation UPR - gross</v>
          </cell>
          <cell r="Y38067" t="str">
            <v>AUSTRALIA</v>
          </cell>
        </row>
        <row r="38068">
          <cell r="L38068" t="str">
            <v>Non-proportional</v>
          </cell>
          <cell r="S38068">
            <v>-6312.09</v>
          </cell>
          <cell r="X38068" t="str">
            <v>Variation UPR - gross</v>
          </cell>
          <cell r="Y38068" t="str">
            <v>AUSTRALIA</v>
          </cell>
        </row>
        <row r="38069">
          <cell r="L38069" t="str">
            <v>Non-proportional</v>
          </cell>
          <cell r="S38069">
            <v>-146.13</v>
          </cell>
          <cell r="X38069" t="str">
            <v>Variation UPR - gross</v>
          </cell>
          <cell r="Y38069" t="str">
            <v>CHILE</v>
          </cell>
        </row>
        <row r="38070">
          <cell r="L38070" t="str">
            <v>Non-proportional</v>
          </cell>
          <cell r="S38070">
            <v>-3891.9</v>
          </cell>
          <cell r="X38070" t="str">
            <v>Variation UPR - gross</v>
          </cell>
          <cell r="Y38070" t="str">
            <v>ECUADOR</v>
          </cell>
        </row>
        <row r="38071">
          <cell r="L38071" t="str">
            <v>Non-proportional</v>
          </cell>
          <cell r="S38071">
            <v>-73.069999999999993</v>
          </cell>
          <cell r="X38071" t="str">
            <v>Variation UPR - gross</v>
          </cell>
          <cell r="Y38071" t="str">
            <v>CHILE</v>
          </cell>
        </row>
        <row r="38072">
          <cell r="L38072" t="str">
            <v>Non-proportional</v>
          </cell>
          <cell r="S38072">
            <v>-1289</v>
          </cell>
          <cell r="X38072" t="str">
            <v>Variation UPR - gross</v>
          </cell>
          <cell r="Y38072" t="str">
            <v>COLOMBIA</v>
          </cell>
        </row>
        <row r="38073">
          <cell r="L38073" t="str">
            <v>Non-proportional</v>
          </cell>
          <cell r="S38073">
            <v>-67.52</v>
          </cell>
          <cell r="X38073" t="str">
            <v>Variation UPR - gross</v>
          </cell>
          <cell r="Y38073" t="str">
            <v>JAPAN</v>
          </cell>
        </row>
        <row r="38074">
          <cell r="L38074" t="str">
            <v>Non-proportional</v>
          </cell>
          <cell r="S38074">
            <v>-72.48</v>
          </cell>
          <cell r="X38074" t="str">
            <v>Variation UPR - gross</v>
          </cell>
          <cell r="Y38074" t="str">
            <v>JAPAN</v>
          </cell>
        </row>
        <row r="38075">
          <cell r="L38075" t="str">
            <v>Non-proportional</v>
          </cell>
          <cell r="S38075">
            <v>-491.72</v>
          </cell>
          <cell r="X38075" t="str">
            <v>Variation UPR - gross</v>
          </cell>
          <cell r="Y38075" t="str">
            <v>JAPAN</v>
          </cell>
        </row>
        <row r="38076">
          <cell r="L38076" t="str">
            <v>Non-proportional</v>
          </cell>
          <cell r="S38076">
            <v>-4890.08</v>
          </cell>
          <cell r="X38076" t="str">
            <v>Variation UPR - gross</v>
          </cell>
          <cell r="Y38076" t="str">
            <v>FRANCE</v>
          </cell>
        </row>
        <row r="38077">
          <cell r="L38077" t="str">
            <v>Non-proportional</v>
          </cell>
          <cell r="S38077">
            <v>-103.35</v>
          </cell>
          <cell r="X38077" t="str">
            <v>Variation UPR - gross</v>
          </cell>
          <cell r="Y38077" t="str">
            <v>INDIA</v>
          </cell>
        </row>
        <row r="38078">
          <cell r="L38078" t="str">
            <v>Non-proportional</v>
          </cell>
          <cell r="S38078">
            <v>-2524.9899999999998</v>
          </cell>
          <cell r="X38078" t="str">
            <v>Variation UPR - gross</v>
          </cell>
          <cell r="Y38078" t="str">
            <v>ISRAEL</v>
          </cell>
        </row>
        <row r="38079">
          <cell r="L38079" t="str">
            <v>Non-proportional</v>
          </cell>
          <cell r="S38079">
            <v>-878.56</v>
          </cell>
          <cell r="X38079" t="str">
            <v>Variation UPR - gross</v>
          </cell>
          <cell r="Y38079" t="str">
            <v>COSTA RICA</v>
          </cell>
        </row>
        <row r="38080">
          <cell r="L38080" t="str">
            <v>Non-proportional</v>
          </cell>
          <cell r="S38080">
            <v>-11.34</v>
          </cell>
          <cell r="X38080" t="str">
            <v>Variation UPR - gross</v>
          </cell>
          <cell r="Y38080" t="str">
            <v>GUATEMALA</v>
          </cell>
        </row>
        <row r="38081">
          <cell r="L38081" t="str">
            <v>Non-proportional</v>
          </cell>
          <cell r="S38081">
            <v>-1333</v>
          </cell>
          <cell r="X38081" t="str">
            <v>Variation UPR - gross</v>
          </cell>
          <cell r="Y38081" t="str">
            <v>UNITED KINGDOM</v>
          </cell>
        </row>
        <row r="38082">
          <cell r="L38082" t="str">
            <v>Non-proportional</v>
          </cell>
          <cell r="S38082">
            <v>-9661.74</v>
          </cell>
          <cell r="X38082" t="str">
            <v>Variation UPR - gross</v>
          </cell>
          <cell r="Y38082" t="str">
            <v>ECUADOR</v>
          </cell>
        </row>
        <row r="38083">
          <cell r="L38083" t="str">
            <v>Non-proportional</v>
          </cell>
          <cell r="S38083">
            <v>-9637.7099999999991</v>
          </cell>
          <cell r="X38083" t="str">
            <v>Variation UPR - gross</v>
          </cell>
          <cell r="Y38083" t="str">
            <v>UNITED KINGDOM</v>
          </cell>
        </row>
        <row r="38084">
          <cell r="L38084" t="str">
            <v>Non-proportional</v>
          </cell>
          <cell r="S38084">
            <v>-9606.6200000000008</v>
          </cell>
          <cell r="X38084" t="str">
            <v>Variation UPR - gross</v>
          </cell>
          <cell r="Y38084" t="str">
            <v>MEXICO</v>
          </cell>
        </row>
        <row r="38085">
          <cell r="L38085" t="str">
            <v>Non-proportional</v>
          </cell>
          <cell r="S38085">
            <v>-14.89</v>
          </cell>
          <cell r="X38085" t="str">
            <v>Variation UPR - gross</v>
          </cell>
          <cell r="Y38085" t="str">
            <v>ISRAEL</v>
          </cell>
        </row>
        <row r="38086">
          <cell r="L38086" t="str">
            <v>Non-proportional</v>
          </cell>
          <cell r="S38086">
            <v>-136.87</v>
          </cell>
          <cell r="X38086" t="str">
            <v>Variation UPR - gross</v>
          </cell>
          <cell r="Y38086" t="str">
            <v>ISRAEL</v>
          </cell>
        </row>
        <row r="38087">
          <cell r="L38087" t="str">
            <v>Non-proportional</v>
          </cell>
          <cell r="S38087">
            <v>-9043.94</v>
          </cell>
          <cell r="X38087" t="str">
            <v>Variation UPR - gross</v>
          </cell>
          <cell r="Y38087" t="str">
            <v>FRANCE</v>
          </cell>
        </row>
        <row r="38088">
          <cell r="L38088" t="str">
            <v>Non-proportional</v>
          </cell>
          <cell r="S38088">
            <v>-6204.8</v>
          </cell>
          <cell r="X38088" t="str">
            <v>Variation UPR - gross</v>
          </cell>
          <cell r="Y38088" t="str">
            <v>THAILAND</v>
          </cell>
        </row>
        <row r="38089">
          <cell r="L38089" t="str">
            <v>Non-proportional</v>
          </cell>
          <cell r="S38089">
            <v>-142296.24</v>
          </cell>
          <cell r="X38089" t="str">
            <v>Variation UPR - gross</v>
          </cell>
          <cell r="Y38089" t="str">
            <v>UNITED KINGDOM</v>
          </cell>
        </row>
        <row r="38090">
          <cell r="L38090" t="str">
            <v>Non-proportional</v>
          </cell>
          <cell r="S38090">
            <v>-28139.919999999998</v>
          </cell>
          <cell r="X38090" t="str">
            <v>Variation UPR - gross</v>
          </cell>
          <cell r="Y38090" t="str">
            <v>UNITED KINGDOM</v>
          </cell>
        </row>
        <row r="38091">
          <cell r="L38091" t="str">
            <v>Non-proportional</v>
          </cell>
          <cell r="S38091">
            <v>-4927.92</v>
          </cell>
          <cell r="X38091" t="str">
            <v>Variation UPR - gross</v>
          </cell>
          <cell r="Y38091" t="str">
            <v>COLOMBIA</v>
          </cell>
        </row>
        <row r="38092">
          <cell r="L38092" t="str">
            <v>Proportional</v>
          </cell>
          <cell r="S38092">
            <v>69755</v>
          </cell>
          <cell r="X38092" t="str">
            <v>Variation UPR - gross</v>
          </cell>
          <cell r="Y38092" t="str">
            <v>SAUDI ARABIA</v>
          </cell>
        </row>
        <row r="38093">
          <cell r="L38093" t="str">
            <v>Non-proportional</v>
          </cell>
          <cell r="S38093">
            <v>-4250.71</v>
          </cell>
          <cell r="X38093" t="str">
            <v>Variation UPR - gross</v>
          </cell>
          <cell r="Y38093" t="str">
            <v>ITALY</v>
          </cell>
        </row>
        <row r="38094">
          <cell r="L38094" t="str">
            <v>Non-proportional</v>
          </cell>
          <cell r="S38094">
            <v>-3557.16</v>
          </cell>
          <cell r="X38094" t="str">
            <v>Variation UPR - gross</v>
          </cell>
          <cell r="Y38094" t="str">
            <v>ISRAEL</v>
          </cell>
        </row>
        <row r="38095">
          <cell r="L38095" t="str">
            <v>Non-proportional</v>
          </cell>
          <cell r="S38095">
            <v>-8515.07</v>
          </cell>
          <cell r="X38095" t="str">
            <v>Variation UPR - gross</v>
          </cell>
          <cell r="Y38095" t="str">
            <v>ISRAEL</v>
          </cell>
        </row>
        <row r="38096">
          <cell r="L38096" t="str">
            <v>Non-proportional</v>
          </cell>
          <cell r="S38096">
            <v>-3244.77</v>
          </cell>
          <cell r="X38096" t="str">
            <v>Variation UPR - gross</v>
          </cell>
          <cell r="Y38096" t="str">
            <v>FRANCE</v>
          </cell>
        </row>
        <row r="38097">
          <cell r="L38097" t="str">
            <v>Proportional</v>
          </cell>
          <cell r="S38097">
            <v>123.37</v>
          </cell>
          <cell r="X38097" t="str">
            <v>Variation UPR - gross</v>
          </cell>
          <cell r="Y38097" t="str">
            <v>Ireland</v>
          </cell>
        </row>
        <row r="38098">
          <cell r="L38098" t="str">
            <v>Proportional</v>
          </cell>
          <cell r="S38098">
            <v>-186720.37</v>
          </cell>
          <cell r="X38098" t="str">
            <v>Variation UPR - gross</v>
          </cell>
          <cell r="Y38098" t="str">
            <v>UNITED STATES</v>
          </cell>
        </row>
        <row r="38099">
          <cell r="L38099" t="str">
            <v>Non-proportional</v>
          </cell>
          <cell r="S38099">
            <v>-4480.7</v>
          </cell>
          <cell r="X38099" t="str">
            <v>Variation UPR - gross</v>
          </cell>
          <cell r="Y38099" t="str">
            <v>COSTA RICA</v>
          </cell>
        </row>
        <row r="38100">
          <cell r="L38100" t="str">
            <v>Non-proportional</v>
          </cell>
          <cell r="S38100">
            <v>62.34</v>
          </cell>
          <cell r="X38100" t="str">
            <v>Variation UPR - gross</v>
          </cell>
          <cell r="Y38100" t="str">
            <v>DOMINICAN REPUBLIC</v>
          </cell>
        </row>
        <row r="38101">
          <cell r="L38101" t="str">
            <v>Non-proportional</v>
          </cell>
          <cell r="S38101">
            <v>-255.74</v>
          </cell>
          <cell r="X38101" t="str">
            <v>Variation UPR - gross</v>
          </cell>
          <cell r="Y38101" t="str">
            <v>CHILE</v>
          </cell>
        </row>
        <row r="38102">
          <cell r="L38102" t="str">
            <v>Non-proportional</v>
          </cell>
          <cell r="S38102">
            <v>-447.44</v>
          </cell>
          <cell r="X38102" t="str">
            <v>Variation UPR - gross</v>
          </cell>
          <cell r="Y38102" t="str">
            <v>NEW ZEALAND</v>
          </cell>
        </row>
        <row r="38103">
          <cell r="L38103" t="str">
            <v>Non-proportional</v>
          </cell>
          <cell r="S38103">
            <v>-10748.69</v>
          </cell>
          <cell r="X38103" t="str">
            <v>Variation UPR - gross</v>
          </cell>
          <cell r="Y38103" t="str">
            <v>ITALY</v>
          </cell>
        </row>
        <row r="38104">
          <cell r="L38104" t="str">
            <v>Non-proportional</v>
          </cell>
          <cell r="S38104">
            <v>-1640.31</v>
          </cell>
          <cell r="X38104" t="str">
            <v>Variation UPR - gross</v>
          </cell>
          <cell r="Y38104" t="str">
            <v>NEW ZEALAND</v>
          </cell>
        </row>
        <row r="38105">
          <cell r="L38105" t="str">
            <v>Non-proportional</v>
          </cell>
          <cell r="S38105">
            <v>-843.75</v>
          </cell>
          <cell r="X38105" t="str">
            <v>Variation UPR - gross</v>
          </cell>
          <cell r="Y38105" t="str">
            <v>GREECE</v>
          </cell>
        </row>
        <row r="38106">
          <cell r="L38106" t="str">
            <v>Non-proportional</v>
          </cell>
          <cell r="S38106">
            <v>-4971.4799999999996</v>
          </cell>
          <cell r="X38106" t="str">
            <v>Variation UPR - gross</v>
          </cell>
          <cell r="Y38106" t="str">
            <v>EUROPE</v>
          </cell>
        </row>
        <row r="38107">
          <cell r="L38107" t="str">
            <v>Non-proportional</v>
          </cell>
          <cell r="S38107">
            <v>-14144.9</v>
          </cell>
          <cell r="X38107" t="str">
            <v>Variation UPR - gross</v>
          </cell>
          <cell r="Y38107" t="str">
            <v>ISRAEL</v>
          </cell>
        </row>
        <row r="38108">
          <cell r="L38108" t="str">
            <v>Non-proportional</v>
          </cell>
          <cell r="S38108">
            <v>-1326.84</v>
          </cell>
          <cell r="X38108" t="str">
            <v>Variation UPR - gross</v>
          </cell>
          <cell r="Y38108" t="str">
            <v>UNITED ARAB EMIRATES</v>
          </cell>
        </row>
        <row r="38109">
          <cell r="L38109" t="str">
            <v>Non-proportional</v>
          </cell>
          <cell r="S38109">
            <v>18.71</v>
          </cell>
          <cell r="X38109" t="str">
            <v>Variation UPR - gross</v>
          </cell>
          <cell r="Y38109" t="str">
            <v>COLOMBIA</v>
          </cell>
        </row>
        <row r="38110">
          <cell r="L38110" t="str">
            <v>Non-proportional</v>
          </cell>
          <cell r="S38110">
            <v>-37828.21</v>
          </cell>
          <cell r="X38110" t="str">
            <v>Variation UPR - gross</v>
          </cell>
          <cell r="Y38110" t="str">
            <v>TURKEY</v>
          </cell>
        </row>
        <row r="38111">
          <cell r="L38111" t="str">
            <v>Non-proportional</v>
          </cell>
          <cell r="S38111">
            <v>-292.27</v>
          </cell>
          <cell r="X38111" t="str">
            <v>Variation UPR - gross</v>
          </cell>
          <cell r="Y38111" t="str">
            <v>CHILE</v>
          </cell>
        </row>
        <row r="38112">
          <cell r="L38112" t="str">
            <v>Non-proportional</v>
          </cell>
          <cell r="S38112">
            <v>-13178.95</v>
          </cell>
          <cell r="X38112" t="str">
            <v>Variation UPR - gross</v>
          </cell>
          <cell r="Y38112" t="str">
            <v>MEXICO</v>
          </cell>
        </row>
        <row r="38113">
          <cell r="L38113" t="str">
            <v>Non-proportional</v>
          </cell>
          <cell r="S38113">
            <v>-109330.38</v>
          </cell>
          <cell r="X38113" t="str">
            <v>Variation UPR - gross</v>
          </cell>
          <cell r="Y38113" t="str">
            <v>FRANCE</v>
          </cell>
        </row>
        <row r="38114">
          <cell r="L38114" t="str">
            <v>Non-proportional</v>
          </cell>
          <cell r="S38114">
            <v>-16568.48</v>
          </cell>
          <cell r="X38114" t="str">
            <v>Variation UPR - gross</v>
          </cell>
          <cell r="Y38114" t="str">
            <v>AUSTRALIA</v>
          </cell>
        </row>
        <row r="38115">
          <cell r="L38115" t="str">
            <v>Non-proportional</v>
          </cell>
          <cell r="S38115">
            <v>-2686.68</v>
          </cell>
          <cell r="X38115" t="str">
            <v>Variation UPR - gross</v>
          </cell>
          <cell r="Y38115" t="str">
            <v>MALTA</v>
          </cell>
        </row>
        <row r="38116">
          <cell r="L38116" t="str">
            <v>Non-proportional</v>
          </cell>
          <cell r="S38116">
            <v>19362.740000000002</v>
          </cell>
          <cell r="X38116" t="str">
            <v>Variation UPR - gross</v>
          </cell>
          <cell r="Y38116" t="str">
            <v>NEW ZEALAND</v>
          </cell>
        </row>
        <row r="38117">
          <cell r="L38117" t="str">
            <v>Non-proportional</v>
          </cell>
          <cell r="S38117">
            <v>-2043.75</v>
          </cell>
          <cell r="X38117" t="str">
            <v>Variation UPR - gross</v>
          </cell>
          <cell r="Y38117" t="str">
            <v>GREECE</v>
          </cell>
        </row>
        <row r="38118">
          <cell r="L38118" t="str">
            <v>Non-proportional</v>
          </cell>
          <cell r="S38118">
            <v>-9776.11</v>
          </cell>
          <cell r="X38118" t="str">
            <v>Variation UPR - gross</v>
          </cell>
          <cell r="Y38118" t="str">
            <v>TURKEY</v>
          </cell>
        </row>
        <row r="38119">
          <cell r="L38119" t="str">
            <v>Non-proportional</v>
          </cell>
          <cell r="S38119">
            <v>-1267.75</v>
          </cell>
          <cell r="X38119" t="str">
            <v>Variation UPR - gross</v>
          </cell>
          <cell r="Y38119" t="str">
            <v>PERU</v>
          </cell>
        </row>
        <row r="38120">
          <cell r="L38120" t="str">
            <v>Proportional</v>
          </cell>
          <cell r="S38120">
            <v>-92023.89</v>
          </cell>
          <cell r="X38120" t="str">
            <v>Variation UPR - gross</v>
          </cell>
          <cell r="Y38120" t="str">
            <v>MEXICO</v>
          </cell>
        </row>
        <row r="38121">
          <cell r="L38121" t="str">
            <v>Non-proportional</v>
          </cell>
          <cell r="S38121">
            <v>-3170.07</v>
          </cell>
          <cell r="X38121" t="str">
            <v>Variation UPR - gross</v>
          </cell>
          <cell r="Y38121" t="str">
            <v>AUSTRALIA</v>
          </cell>
        </row>
        <row r="38122">
          <cell r="L38122" t="str">
            <v>Non-proportional</v>
          </cell>
          <cell r="S38122">
            <v>-2556.27</v>
          </cell>
          <cell r="X38122" t="str">
            <v>Variation UPR - gross</v>
          </cell>
          <cell r="Y38122" t="str">
            <v>AUSTRALIA</v>
          </cell>
        </row>
        <row r="38123">
          <cell r="L38123" t="str">
            <v>Non-proportional</v>
          </cell>
          <cell r="S38123">
            <v>-12011.95</v>
          </cell>
          <cell r="X38123" t="str">
            <v>Variation UPR - gross</v>
          </cell>
          <cell r="Y38123" t="str">
            <v>FRANCE</v>
          </cell>
        </row>
        <row r="38124">
          <cell r="L38124" t="str">
            <v>Non-proportional</v>
          </cell>
          <cell r="S38124">
            <v>-8020.48</v>
          </cell>
          <cell r="X38124" t="str">
            <v>Variation UPR - gross</v>
          </cell>
          <cell r="Y38124" t="str">
            <v>TURKEY</v>
          </cell>
        </row>
        <row r="38125">
          <cell r="L38125" t="str">
            <v>Non-proportional</v>
          </cell>
          <cell r="S38125">
            <v>229671.65</v>
          </cell>
          <cell r="X38125" t="str">
            <v>Variation UPR - gross</v>
          </cell>
          <cell r="Y38125" t="str">
            <v>AUSTRALIA</v>
          </cell>
        </row>
        <row r="38126">
          <cell r="L38126" t="str">
            <v>Non-proportional</v>
          </cell>
          <cell r="S38126">
            <v>18719.11</v>
          </cell>
          <cell r="X38126" t="str">
            <v>Variation UPR - gross</v>
          </cell>
          <cell r="Y38126" t="str">
            <v>JAPAN</v>
          </cell>
        </row>
        <row r="38127">
          <cell r="L38127" t="str">
            <v>Non-proportional</v>
          </cell>
          <cell r="S38127">
            <v>-22191.22</v>
          </cell>
          <cell r="X38127" t="str">
            <v>Variation UPR - gross</v>
          </cell>
          <cell r="Y38127" t="str">
            <v>ISRAEL</v>
          </cell>
        </row>
        <row r="38128">
          <cell r="L38128" t="str">
            <v>Non-proportional</v>
          </cell>
          <cell r="S38128">
            <v>-630.14</v>
          </cell>
          <cell r="X38128" t="str">
            <v>Variation UPR - gross</v>
          </cell>
          <cell r="Y38128" t="str">
            <v>JAPAN</v>
          </cell>
        </row>
        <row r="38129">
          <cell r="L38129" t="str">
            <v>Non-proportional</v>
          </cell>
          <cell r="S38129">
            <v>-238.88</v>
          </cell>
          <cell r="X38129" t="str">
            <v>Variation UPR - gross</v>
          </cell>
          <cell r="Y38129" t="str">
            <v>COLOMBIA</v>
          </cell>
        </row>
        <row r="38130">
          <cell r="L38130" t="str">
            <v>Non-proportional</v>
          </cell>
          <cell r="S38130">
            <v>-3913.02</v>
          </cell>
          <cell r="X38130" t="str">
            <v>Variation UPR - gross</v>
          </cell>
          <cell r="Y38130" t="str">
            <v>COLOMBIA</v>
          </cell>
        </row>
        <row r="38131">
          <cell r="L38131" t="str">
            <v>Non-proportional</v>
          </cell>
          <cell r="S38131">
            <v>-8099.82</v>
          </cell>
          <cell r="X38131" t="str">
            <v>Variation UPR - gross</v>
          </cell>
          <cell r="Y38131" t="str">
            <v>AUSTRALIA</v>
          </cell>
        </row>
        <row r="38132">
          <cell r="L38132" t="str">
            <v>Non-proportional</v>
          </cell>
          <cell r="S38132">
            <v>-3370.14</v>
          </cell>
          <cell r="X38132" t="str">
            <v>Variation UPR - gross</v>
          </cell>
          <cell r="Y38132" t="str">
            <v>ISRAEL</v>
          </cell>
        </row>
        <row r="38133">
          <cell r="L38133" t="str">
            <v>Non-proportional</v>
          </cell>
          <cell r="S38133">
            <v>-27092.35</v>
          </cell>
          <cell r="X38133" t="str">
            <v>Variation UPR - gross</v>
          </cell>
          <cell r="Y38133" t="str">
            <v>TURKEY</v>
          </cell>
        </row>
        <row r="38134">
          <cell r="L38134" t="str">
            <v>Non-proportional</v>
          </cell>
          <cell r="S38134">
            <v>-959.79</v>
          </cell>
          <cell r="X38134" t="str">
            <v>Variation UPR - gross</v>
          </cell>
          <cell r="Y38134" t="str">
            <v>PERU</v>
          </cell>
        </row>
        <row r="38135">
          <cell r="L38135" t="str">
            <v>Proportional</v>
          </cell>
          <cell r="S38135">
            <v>17406.55</v>
          </cell>
          <cell r="X38135" t="str">
            <v>Variation UPR - gross</v>
          </cell>
          <cell r="Y38135" t="str">
            <v>CANADA</v>
          </cell>
        </row>
        <row r="38136">
          <cell r="L38136" t="str">
            <v>Non-proportional</v>
          </cell>
          <cell r="S38136">
            <v>-4061.37</v>
          </cell>
          <cell r="X38136" t="str">
            <v>Variation UPR - gross</v>
          </cell>
          <cell r="Y38136" t="str">
            <v>FRANCE</v>
          </cell>
        </row>
        <row r="38137">
          <cell r="L38137" t="str">
            <v>Non-proportional</v>
          </cell>
          <cell r="S38137">
            <v>-8869.27</v>
          </cell>
          <cell r="X38137" t="str">
            <v>Variation UPR - gross</v>
          </cell>
          <cell r="Y38137" t="str">
            <v>DOMINICAN REPUBLIC</v>
          </cell>
        </row>
        <row r="38138">
          <cell r="L38138" t="str">
            <v>Non-proportional</v>
          </cell>
          <cell r="S38138">
            <v>198584.88</v>
          </cell>
          <cell r="X38138" t="str">
            <v>Variation UPR - gross</v>
          </cell>
          <cell r="Y38138" t="str">
            <v>JAPAN</v>
          </cell>
        </row>
        <row r="38139">
          <cell r="L38139" t="str">
            <v>Non-proportional</v>
          </cell>
          <cell r="S38139">
            <v>-0.02</v>
          </cell>
          <cell r="X38139" t="str">
            <v>Variation UPR - gross</v>
          </cell>
          <cell r="Y38139" t="str">
            <v>JAPAN</v>
          </cell>
        </row>
        <row r="38140">
          <cell r="L38140" t="str">
            <v>Non-proportional</v>
          </cell>
          <cell r="S38140">
            <v>-3796.46</v>
          </cell>
          <cell r="X38140" t="str">
            <v>Variation UPR - gross</v>
          </cell>
          <cell r="Y38140" t="str">
            <v>ITALY</v>
          </cell>
        </row>
        <row r="38141">
          <cell r="L38141" t="str">
            <v>Non-proportional</v>
          </cell>
          <cell r="S38141">
            <v>-2827.99</v>
          </cell>
          <cell r="X38141" t="str">
            <v>Variation UPR - gross</v>
          </cell>
          <cell r="Y38141" t="str">
            <v>ISRAEL</v>
          </cell>
        </row>
        <row r="38142">
          <cell r="L38142" t="str">
            <v>Proportional</v>
          </cell>
          <cell r="S38142">
            <v>-300646.89</v>
          </cell>
          <cell r="X38142" t="str">
            <v>Variation UPR - gross</v>
          </cell>
          <cell r="Y38142" t="str">
            <v>HONG KONG</v>
          </cell>
        </row>
        <row r="38143">
          <cell r="L38143" t="str">
            <v>Proportional</v>
          </cell>
          <cell r="S38143">
            <v>-4895.74</v>
          </cell>
          <cell r="X38143" t="str">
            <v>Variation UPR - gross</v>
          </cell>
          <cell r="Y38143" t="str">
            <v>THAILAND</v>
          </cell>
        </row>
        <row r="38144">
          <cell r="L38144" t="str">
            <v>Non-proportional</v>
          </cell>
          <cell r="S38144">
            <v>12097.28</v>
          </cell>
          <cell r="X38144" t="str">
            <v>Variation UPR - gross</v>
          </cell>
          <cell r="Y38144" t="str">
            <v>INDIA</v>
          </cell>
        </row>
        <row r="38145">
          <cell r="L38145" t="str">
            <v>Non-proportional</v>
          </cell>
          <cell r="S38145">
            <v>-630.54</v>
          </cell>
          <cell r="X38145" t="str">
            <v>Variation UPR - gross</v>
          </cell>
          <cell r="Y38145" t="str">
            <v>NEW ZEALAND</v>
          </cell>
        </row>
        <row r="38146">
          <cell r="L38146" t="str">
            <v>Non-proportional</v>
          </cell>
          <cell r="S38146">
            <v>-5312.78</v>
          </cell>
          <cell r="X38146" t="str">
            <v>Variation UPR - gross</v>
          </cell>
          <cell r="Y38146" t="str">
            <v>NETHERLANDS</v>
          </cell>
        </row>
        <row r="38147">
          <cell r="L38147" t="str">
            <v>Non-proportional</v>
          </cell>
          <cell r="S38147">
            <v>-2411.25</v>
          </cell>
          <cell r="X38147" t="str">
            <v>Variation UPR - gross</v>
          </cell>
          <cell r="Y38147" t="str">
            <v>JAPAN</v>
          </cell>
        </row>
        <row r="38148">
          <cell r="L38148" t="str">
            <v>Non-proportional</v>
          </cell>
          <cell r="S38148">
            <v>-673.73</v>
          </cell>
          <cell r="X38148" t="str">
            <v>Variation UPR - gross</v>
          </cell>
          <cell r="Y38148" t="str">
            <v>JAPAN</v>
          </cell>
        </row>
        <row r="38149">
          <cell r="L38149" t="str">
            <v>Non-proportional</v>
          </cell>
          <cell r="S38149">
            <v>-205.67</v>
          </cell>
          <cell r="X38149" t="str">
            <v>Variation UPR - gross</v>
          </cell>
          <cell r="Y38149" t="str">
            <v>FRANCE</v>
          </cell>
        </row>
        <row r="38150">
          <cell r="L38150" t="str">
            <v>Non-proportional</v>
          </cell>
          <cell r="S38150">
            <v>-1055.45</v>
          </cell>
          <cell r="X38150" t="str">
            <v>Variation UPR - gross</v>
          </cell>
          <cell r="Y38150" t="str">
            <v>ISRAEL</v>
          </cell>
        </row>
        <row r="38151">
          <cell r="L38151" t="str">
            <v>Non-proportional</v>
          </cell>
          <cell r="S38151">
            <v>-9875.4</v>
          </cell>
          <cell r="X38151" t="str">
            <v>Variation UPR - gross</v>
          </cell>
          <cell r="Y38151" t="str">
            <v>PERU</v>
          </cell>
        </row>
        <row r="38152">
          <cell r="L38152" t="str">
            <v>Non-proportional</v>
          </cell>
          <cell r="S38152">
            <v>-0.02</v>
          </cell>
          <cell r="X38152" t="str">
            <v>Variation UPR - gross</v>
          </cell>
          <cell r="Y38152" t="str">
            <v>DOMINICAN REPUBLIC</v>
          </cell>
        </row>
        <row r="38153">
          <cell r="L38153" t="str">
            <v>Non-proportional</v>
          </cell>
          <cell r="S38153">
            <v>-17525.75</v>
          </cell>
          <cell r="X38153" t="str">
            <v>Variation UPR - gross</v>
          </cell>
          <cell r="Y38153" t="str">
            <v>UNITED KINGDOM</v>
          </cell>
        </row>
        <row r="38154">
          <cell r="L38154" t="str">
            <v>Non-proportional</v>
          </cell>
          <cell r="S38154">
            <v>-22194.18</v>
          </cell>
          <cell r="X38154" t="str">
            <v>Variation UPR - gross</v>
          </cell>
          <cell r="Y38154" t="str">
            <v>UNITED KINGDOM</v>
          </cell>
        </row>
        <row r="38155">
          <cell r="L38155" t="str">
            <v>Non-proportional</v>
          </cell>
          <cell r="S38155">
            <v>6364.45</v>
          </cell>
          <cell r="X38155" t="str">
            <v>Variation UPR - gross</v>
          </cell>
          <cell r="Y38155" t="str">
            <v>JAPAN</v>
          </cell>
        </row>
        <row r="38156">
          <cell r="L38156" t="str">
            <v>Non-proportional</v>
          </cell>
          <cell r="S38156">
            <v>-19967.73</v>
          </cell>
          <cell r="X38156" t="str">
            <v>Variation UPR - gross</v>
          </cell>
          <cell r="Y38156" t="str">
            <v>FRANCE</v>
          </cell>
        </row>
        <row r="38157">
          <cell r="L38157" t="str">
            <v>Non-proportional</v>
          </cell>
          <cell r="S38157">
            <v>-10596.12</v>
          </cell>
          <cell r="X38157" t="str">
            <v>Variation UPR - gross</v>
          </cell>
          <cell r="Y38157" t="str">
            <v>FRANCE</v>
          </cell>
        </row>
        <row r="38158">
          <cell r="L38158" t="str">
            <v>Non-proportional</v>
          </cell>
          <cell r="S38158">
            <v>-10707.08</v>
          </cell>
          <cell r="X38158" t="str">
            <v>Variation UPR - gross</v>
          </cell>
          <cell r="Y38158" t="str">
            <v>FRANCE</v>
          </cell>
        </row>
        <row r="38159">
          <cell r="L38159" t="str">
            <v>Non-proportional</v>
          </cell>
          <cell r="S38159">
            <v>-104.38</v>
          </cell>
          <cell r="X38159" t="str">
            <v>Variation UPR - gross</v>
          </cell>
          <cell r="Y38159" t="str">
            <v>NEW ZEALAND</v>
          </cell>
        </row>
        <row r="38160">
          <cell r="L38160" t="str">
            <v>Non-proportional</v>
          </cell>
          <cell r="S38160">
            <v>-49503.83</v>
          </cell>
          <cell r="X38160" t="str">
            <v>Variation UPR - gross</v>
          </cell>
          <cell r="Y38160" t="str">
            <v>UNITED KINGDOM</v>
          </cell>
        </row>
        <row r="38161">
          <cell r="L38161" t="str">
            <v>Proportional</v>
          </cell>
          <cell r="S38161">
            <v>210540.96</v>
          </cell>
          <cell r="X38161" t="str">
            <v>Variation UPR - gross</v>
          </cell>
          <cell r="Y38161" t="str">
            <v>UNITED KINGDOM</v>
          </cell>
        </row>
        <row r="38162">
          <cell r="L38162" t="str">
            <v>Proportional</v>
          </cell>
          <cell r="S38162">
            <v>-1133053.3799999999</v>
          </cell>
          <cell r="X38162" t="str">
            <v>Variation UPR - gross</v>
          </cell>
          <cell r="Y38162" t="str">
            <v>UNITED STATES</v>
          </cell>
        </row>
        <row r="38163">
          <cell r="L38163" t="str">
            <v>Non-proportional</v>
          </cell>
          <cell r="S38163">
            <v>255.74</v>
          </cell>
          <cell r="X38163" t="str">
            <v>Variation UPR - gross</v>
          </cell>
          <cell r="Y38163" t="str">
            <v>CHILE</v>
          </cell>
        </row>
        <row r="38164">
          <cell r="L38164" t="str">
            <v>Non-proportional</v>
          </cell>
          <cell r="S38164">
            <v>-0.02</v>
          </cell>
          <cell r="X38164" t="str">
            <v>Variation UPR - gross</v>
          </cell>
          <cell r="Y38164" t="str">
            <v>INDIA</v>
          </cell>
        </row>
        <row r="38165">
          <cell r="L38165" t="str">
            <v>Non-proportional</v>
          </cell>
          <cell r="S38165">
            <v>-5353.75</v>
          </cell>
          <cell r="X38165" t="str">
            <v>Variation UPR - gross</v>
          </cell>
          <cell r="Y38165" t="str">
            <v>PUERTO RICO</v>
          </cell>
        </row>
        <row r="38166">
          <cell r="L38166" t="str">
            <v>Non-proportional</v>
          </cell>
          <cell r="S38166">
            <v>-4862.8599999999997</v>
          </cell>
          <cell r="X38166" t="str">
            <v>Variation UPR - gross</v>
          </cell>
          <cell r="Y38166" t="str">
            <v>ECUADOR</v>
          </cell>
        </row>
        <row r="38167">
          <cell r="L38167" t="str">
            <v>Non-proportional</v>
          </cell>
          <cell r="S38167">
            <v>-9800.9500000000007</v>
          </cell>
          <cell r="X38167" t="str">
            <v>Variation UPR - gross</v>
          </cell>
          <cell r="Y38167" t="str">
            <v>UNITED KINGDOM</v>
          </cell>
        </row>
        <row r="38168">
          <cell r="L38168" t="str">
            <v>Non-proportional</v>
          </cell>
          <cell r="S38168">
            <v>-47044.57</v>
          </cell>
          <cell r="X38168" t="str">
            <v>Variation UPR - gross</v>
          </cell>
          <cell r="Y38168" t="str">
            <v>UNITED KINGDOM</v>
          </cell>
        </row>
        <row r="38169">
          <cell r="L38169" t="str">
            <v>Non-proportional</v>
          </cell>
          <cell r="S38169">
            <v>-7437.5</v>
          </cell>
          <cell r="X38169" t="str">
            <v>Variation UPR - gross</v>
          </cell>
          <cell r="Y38169" t="str">
            <v>ITALY</v>
          </cell>
        </row>
        <row r="38170">
          <cell r="L38170" t="str">
            <v>Non-proportional</v>
          </cell>
          <cell r="S38170">
            <v>19675.46</v>
          </cell>
          <cell r="X38170" t="str">
            <v>Variation UPR - gross</v>
          </cell>
          <cell r="Y38170" t="str">
            <v>SOUTH AFRICA</v>
          </cell>
        </row>
        <row r="38171">
          <cell r="L38171" t="str">
            <v>Non-proportional</v>
          </cell>
          <cell r="S38171">
            <v>471.45</v>
          </cell>
          <cell r="X38171" t="str">
            <v>Variation UPR - gross</v>
          </cell>
          <cell r="Y38171" t="str">
            <v>DOMINICAN REPUBLIC</v>
          </cell>
        </row>
        <row r="38172">
          <cell r="L38172" t="str">
            <v>Non-proportional</v>
          </cell>
          <cell r="S38172">
            <v>-129823.33</v>
          </cell>
          <cell r="X38172" t="str">
            <v>Variation UPR - gross</v>
          </cell>
          <cell r="Y38172" t="str">
            <v>PORTUGAL</v>
          </cell>
        </row>
        <row r="38173">
          <cell r="L38173" t="str">
            <v>Non-proportional</v>
          </cell>
          <cell r="S38173">
            <v>-1848.06</v>
          </cell>
          <cell r="X38173" t="str">
            <v>Variation UPR - gross</v>
          </cell>
          <cell r="Y38173" t="str">
            <v>PERU</v>
          </cell>
        </row>
        <row r="38174">
          <cell r="L38174" t="str">
            <v>Proportional</v>
          </cell>
          <cell r="S38174">
            <v>-7560.57</v>
          </cell>
          <cell r="X38174" t="str">
            <v>Variation UPR - gross</v>
          </cell>
          <cell r="Y38174" t="str">
            <v>THAILAND</v>
          </cell>
        </row>
        <row r="38175">
          <cell r="L38175" t="str">
            <v>Non-proportional</v>
          </cell>
          <cell r="S38175">
            <v>-3927.29</v>
          </cell>
          <cell r="X38175" t="str">
            <v>Variation UPR - gross</v>
          </cell>
          <cell r="Y38175" t="str">
            <v>AUSTRALIA</v>
          </cell>
        </row>
        <row r="38176">
          <cell r="L38176" t="str">
            <v>Non-proportional</v>
          </cell>
          <cell r="S38176">
            <v>-8110.68</v>
          </cell>
          <cell r="X38176" t="str">
            <v>Variation UPR - gross</v>
          </cell>
          <cell r="Y38176" t="str">
            <v>INDIA</v>
          </cell>
        </row>
        <row r="38177">
          <cell r="L38177" t="str">
            <v>Non-proportional</v>
          </cell>
          <cell r="S38177">
            <v>-9915.7000000000007</v>
          </cell>
          <cell r="X38177" t="str">
            <v>Variation UPR - gross</v>
          </cell>
          <cell r="Y38177" t="str">
            <v>NETHERLANDS</v>
          </cell>
        </row>
        <row r="38178">
          <cell r="L38178" t="str">
            <v>Non-proportional</v>
          </cell>
          <cell r="S38178">
            <v>-10156.290000000001</v>
          </cell>
          <cell r="X38178" t="str">
            <v>Variation UPR - gross</v>
          </cell>
          <cell r="Y38178" t="str">
            <v>EUROPE</v>
          </cell>
        </row>
        <row r="38179">
          <cell r="L38179" t="str">
            <v>Non-proportional</v>
          </cell>
          <cell r="S38179">
            <v>-13073.04</v>
          </cell>
          <cell r="X38179" t="str">
            <v>Variation UPR - gross</v>
          </cell>
          <cell r="Y38179" t="str">
            <v>FRANCE</v>
          </cell>
        </row>
        <row r="38180">
          <cell r="L38180" t="str">
            <v>Non-proportional</v>
          </cell>
          <cell r="S38180">
            <v>30625</v>
          </cell>
          <cell r="X38180" t="str">
            <v>Variation UPR - gross</v>
          </cell>
          <cell r="Y38180" t="str">
            <v>ITALY</v>
          </cell>
        </row>
        <row r="38181">
          <cell r="L38181" t="str">
            <v>Non-proportional</v>
          </cell>
          <cell r="S38181">
            <v>-1131.24</v>
          </cell>
          <cell r="X38181" t="str">
            <v>Variation UPR - gross</v>
          </cell>
          <cell r="Y38181" t="str">
            <v>CYPRUS</v>
          </cell>
        </row>
        <row r="38182">
          <cell r="L38182" t="str">
            <v>Non-proportional</v>
          </cell>
          <cell r="S38182">
            <v>-3906.16</v>
          </cell>
          <cell r="X38182" t="str">
            <v>Variation UPR - gross</v>
          </cell>
          <cell r="Y38182" t="str">
            <v>EUROPE</v>
          </cell>
        </row>
        <row r="38183">
          <cell r="L38183" t="str">
            <v>Non-proportional</v>
          </cell>
          <cell r="S38183">
            <v>24280.36</v>
          </cell>
          <cell r="X38183" t="str">
            <v>Variation UPR - gross</v>
          </cell>
          <cell r="Y38183" t="str">
            <v>UNITED KINGDOM</v>
          </cell>
        </row>
        <row r="38184">
          <cell r="L38184" t="str">
            <v>Non-proportional</v>
          </cell>
          <cell r="S38184">
            <v>-7248.46</v>
          </cell>
          <cell r="X38184" t="str">
            <v>Variation UPR - gross</v>
          </cell>
          <cell r="Y38184" t="str">
            <v>PUERTO RICO</v>
          </cell>
        </row>
        <row r="38185">
          <cell r="L38185" t="str">
            <v>Non-proportional</v>
          </cell>
          <cell r="S38185">
            <v>-2029.91</v>
          </cell>
          <cell r="X38185" t="str">
            <v>Variation UPR - gross</v>
          </cell>
          <cell r="Y38185" t="str">
            <v>CYPRUS</v>
          </cell>
        </row>
        <row r="38186">
          <cell r="L38186" t="str">
            <v>Non-proportional</v>
          </cell>
          <cell r="S38186">
            <v>65164.36</v>
          </cell>
          <cell r="X38186" t="str">
            <v>Variation UPR - gross</v>
          </cell>
          <cell r="Y38186" t="str">
            <v>JAPAN</v>
          </cell>
        </row>
        <row r="38187">
          <cell r="L38187" t="str">
            <v>Non-proportional</v>
          </cell>
          <cell r="S38187">
            <v>-1521.08</v>
          </cell>
          <cell r="X38187" t="str">
            <v>Variation UPR - gross</v>
          </cell>
          <cell r="Y38187" t="str">
            <v>ISRAEL</v>
          </cell>
        </row>
        <row r="38188">
          <cell r="L38188" t="str">
            <v>Non-proportional</v>
          </cell>
          <cell r="S38188">
            <v>52500</v>
          </cell>
          <cell r="X38188" t="str">
            <v>Variation UPR - gross</v>
          </cell>
          <cell r="Y38188" t="str">
            <v>ITALY</v>
          </cell>
        </row>
        <row r="38189">
          <cell r="L38189" t="str">
            <v>Non-proportional</v>
          </cell>
          <cell r="S38189">
            <v>-3124.68</v>
          </cell>
          <cell r="X38189" t="str">
            <v>Variation UPR - gross</v>
          </cell>
          <cell r="Y38189" t="str">
            <v>ISRAEL</v>
          </cell>
        </row>
        <row r="38190">
          <cell r="L38190" t="str">
            <v>Non-proportional</v>
          </cell>
          <cell r="S38190">
            <v>-771.5</v>
          </cell>
          <cell r="X38190" t="str">
            <v>Variation UPR - gross</v>
          </cell>
          <cell r="Y38190" t="str">
            <v>GERMANY</v>
          </cell>
        </row>
        <row r="38191">
          <cell r="L38191" t="str">
            <v>Non-proportional</v>
          </cell>
          <cell r="S38191">
            <v>-7717.1</v>
          </cell>
          <cell r="X38191" t="str">
            <v>Variation UPR - gross</v>
          </cell>
          <cell r="Y38191" t="str">
            <v>UNITED KINGDOM</v>
          </cell>
        </row>
        <row r="38192">
          <cell r="L38192" t="str">
            <v>Non-proportional</v>
          </cell>
          <cell r="S38192">
            <v>-6380.55</v>
          </cell>
          <cell r="X38192" t="str">
            <v>Variation UPR - gross</v>
          </cell>
          <cell r="Y38192" t="str">
            <v>MEXICO</v>
          </cell>
        </row>
        <row r="38193">
          <cell r="L38193" t="str">
            <v>Non-proportional</v>
          </cell>
          <cell r="S38193">
            <v>-291.22000000000003</v>
          </cell>
          <cell r="X38193" t="str">
            <v>Variation UPR - gross</v>
          </cell>
          <cell r="Y38193" t="str">
            <v>MEXICO</v>
          </cell>
        </row>
        <row r="38194">
          <cell r="L38194" t="str">
            <v>Non-proportional</v>
          </cell>
          <cell r="S38194">
            <v>-472.79</v>
          </cell>
          <cell r="X38194" t="str">
            <v>Variation UPR - gross</v>
          </cell>
          <cell r="Y38194" t="str">
            <v>JAPAN</v>
          </cell>
        </row>
        <row r="38195">
          <cell r="L38195" t="str">
            <v>Non-proportional</v>
          </cell>
          <cell r="S38195">
            <v>-17022.14</v>
          </cell>
          <cell r="X38195" t="str">
            <v>Variation UPR - gross</v>
          </cell>
          <cell r="Y38195" t="str">
            <v>MEXICO</v>
          </cell>
        </row>
        <row r="38196">
          <cell r="L38196" t="str">
            <v>Non-proportional</v>
          </cell>
          <cell r="S38196">
            <v>-6486.89</v>
          </cell>
          <cell r="X38196" t="str">
            <v>Variation UPR - gross</v>
          </cell>
          <cell r="Y38196" t="str">
            <v>AUSTRALIA</v>
          </cell>
        </row>
        <row r="38197">
          <cell r="L38197" t="str">
            <v>Non-proportional</v>
          </cell>
          <cell r="S38197">
            <v>-28848.58</v>
          </cell>
          <cell r="X38197" t="str">
            <v>Variation UPR - gross</v>
          </cell>
          <cell r="Y38197" t="str">
            <v>FRANCE</v>
          </cell>
        </row>
        <row r="38198">
          <cell r="L38198" t="str">
            <v>Non-proportional</v>
          </cell>
          <cell r="S38198">
            <v>-6683.34</v>
          </cell>
          <cell r="X38198" t="str">
            <v>Variation UPR - gross</v>
          </cell>
          <cell r="Y38198" t="str">
            <v>FRANCE</v>
          </cell>
        </row>
        <row r="38199">
          <cell r="L38199" t="str">
            <v>Non-proportional</v>
          </cell>
          <cell r="S38199">
            <v>-3031.05</v>
          </cell>
          <cell r="X38199" t="str">
            <v>Variation UPR - gross</v>
          </cell>
          <cell r="Y38199" t="str">
            <v>ISRAEL</v>
          </cell>
        </row>
        <row r="38200">
          <cell r="L38200" t="str">
            <v>Non-proportional</v>
          </cell>
          <cell r="S38200">
            <v>-0.02</v>
          </cell>
          <cell r="X38200" t="str">
            <v>Variation UPR - gross</v>
          </cell>
          <cell r="Y38200" t="str">
            <v>JAPAN</v>
          </cell>
        </row>
        <row r="38201">
          <cell r="L38201" t="str">
            <v>Non-proportional</v>
          </cell>
          <cell r="S38201">
            <v>-3806.95</v>
          </cell>
          <cell r="X38201" t="str">
            <v>Variation UPR - gross</v>
          </cell>
          <cell r="Y38201" t="str">
            <v>SINGAPORE</v>
          </cell>
        </row>
        <row r="38202">
          <cell r="L38202" t="str">
            <v>Non-proportional</v>
          </cell>
          <cell r="S38202">
            <v>7886.66</v>
          </cell>
          <cell r="X38202" t="str">
            <v>Variation UPR - gross</v>
          </cell>
          <cell r="Y38202" t="str">
            <v>ECUADOR</v>
          </cell>
        </row>
        <row r="38203">
          <cell r="L38203" t="str">
            <v>Non-proportional</v>
          </cell>
          <cell r="S38203">
            <v>-1178960.3999999999</v>
          </cell>
          <cell r="X38203" t="str">
            <v>Variation UPR - gross</v>
          </cell>
          <cell r="Y38203" t="str">
            <v>BELGIUM</v>
          </cell>
        </row>
        <row r="38204">
          <cell r="L38204" t="str">
            <v>Non-proportional</v>
          </cell>
          <cell r="S38204">
            <v>-7248.75</v>
          </cell>
          <cell r="X38204" t="str">
            <v>Variation UPR - gross</v>
          </cell>
          <cell r="Y38204" t="str">
            <v>INDIA</v>
          </cell>
        </row>
        <row r="38205">
          <cell r="L38205" t="str">
            <v>Non-proportional</v>
          </cell>
          <cell r="S38205">
            <v>48813.65</v>
          </cell>
          <cell r="X38205" t="str">
            <v>Variation UPR - gross</v>
          </cell>
          <cell r="Y38205" t="str">
            <v>SOUTH AFRICA</v>
          </cell>
        </row>
        <row r="38206">
          <cell r="L38206" t="str">
            <v>Non-proportional</v>
          </cell>
          <cell r="S38206">
            <v>-30824.71</v>
          </cell>
          <cell r="X38206" t="str">
            <v>Variation UPR - gross</v>
          </cell>
          <cell r="Y38206" t="str">
            <v>JAPAN</v>
          </cell>
        </row>
        <row r="38207">
          <cell r="L38207" t="str">
            <v>Non-proportional</v>
          </cell>
          <cell r="S38207">
            <v>-141.31</v>
          </cell>
          <cell r="X38207" t="str">
            <v>Variation UPR - gross</v>
          </cell>
          <cell r="Y38207" t="str">
            <v>ISRAEL</v>
          </cell>
        </row>
        <row r="38208">
          <cell r="L38208" t="str">
            <v>Non-proportional</v>
          </cell>
          <cell r="S38208">
            <v>-30040.69</v>
          </cell>
          <cell r="X38208" t="str">
            <v>Variation UPR - gross</v>
          </cell>
          <cell r="Y38208" t="str">
            <v>UNITED KINGDOM</v>
          </cell>
        </row>
        <row r="38209">
          <cell r="L38209" t="str">
            <v>Non-proportional</v>
          </cell>
          <cell r="S38209">
            <v>-4675.13</v>
          </cell>
          <cell r="X38209" t="str">
            <v>Variation UPR - gross</v>
          </cell>
          <cell r="Y38209" t="str">
            <v>CYPRUS</v>
          </cell>
        </row>
        <row r="38210">
          <cell r="L38210" t="str">
            <v>Proportional</v>
          </cell>
          <cell r="S38210">
            <v>616670.06999999995</v>
          </cell>
          <cell r="X38210" t="str">
            <v>Variation UPR - gross</v>
          </cell>
          <cell r="Y38210" t="str">
            <v>HONG KONG</v>
          </cell>
        </row>
        <row r="38211">
          <cell r="L38211" t="str">
            <v>Proportional</v>
          </cell>
          <cell r="S38211">
            <v>-27300</v>
          </cell>
          <cell r="X38211" t="str">
            <v>Variation UPR - gross</v>
          </cell>
          <cell r="Y38211" t="str">
            <v>ITALY</v>
          </cell>
        </row>
        <row r="38212">
          <cell r="L38212" t="str">
            <v>Non-proportional</v>
          </cell>
          <cell r="S38212">
            <v>-2486.3000000000002</v>
          </cell>
          <cell r="X38212" t="str">
            <v>Variation UPR - gross</v>
          </cell>
          <cell r="Y38212" t="str">
            <v>DOMINICAN REPUBLIC</v>
          </cell>
        </row>
        <row r="38213">
          <cell r="L38213" t="str">
            <v>Non-proportional</v>
          </cell>
          <cell r="S38213">
            <v>-742.46</v>
          </cell>
          <cell r="X38213" t="str">
            <v>Variation UPR - gross</v>
          </cell>
          <cell r="Y38213" t="str">
            <v>ISRAEL</v>
          </cell>
        </row>
        <row r="38214">
          <cell r="L38214" t="str">
            <v>Non-proportional</v>
          </cell>
          <cell r="S38214">
            <v>-3057.46</v>
          </cell>
          <cell r="X38214" t="str">
            <v>Variation UPR - gross</v>
          </cell>
          <cell r="Y38214" t="str">
            <v>UNITED KINGDOM</v>
          </cell>
        </row>
        <row r="38215">
          <cell r="L38215" t="str">
            <v>Proportional</v>
          </cell>
          <cell r="S38215">
            <v>1495.16</v>
          </cell>
          <cell r="X38215" t="str">
            <v>Variation UPR - gross</v>
          </cell>
          <cell r="Y38215" t="str">
            <v>THAILAND</v>
          </cell>
        </row>
        <row r="38216">
          <cell r="L38216" t="str">
            <v>Non-proportional</v>
          </cell>
          <cell r="S38216">
            <v>-7994.35</v>
          </cell>
          <cell r="X38216" t="str">
            <v>Variation UPR - gross</v>
          </cell>
          <cell r="Y38216" t="str">
            <v>UNITED KINGDOM</v>
          </cell>
        </row>
        <row r="38217">
          <cell r="L38217" t="str">
            <v>Non-proportional</v>
          </cell>
          <cell r="S38217">
            <v>-0.03</v>
          </cell>
          <cell r="X38217" t="str">
            <v>Variation UPR - gross</v>
          </cell>
          <cell r="Y38217" t="str">
            <v>THAILAND</v>
          </cell>
        </row>
        <row r="38218">
          <cell r="L38218" t="str">
            <v>Proportional</v>
          </cell>
          <cell r="S38218">
            <v>-1096.01</v>
          </cell>
          <cell r="X38218" t="str">
            <v>Variation UPR - gross</v>
          </cell>
          <cell r="Y38218" t="str">
            <v>CHILE</v>
          </cell>
        </row>
        <row r="38219">
          <cell r="L38219" t="str">
            <v>Non-proportional</v>
          </cell>
          <cell r="S38219">
            <v>-3214.63</v>
          </cell>
          <cell r="X38219" t="str">
            <v>Variation UPR - gross</v>
          </cell>
          <cell r="Y38219" t="str">
            <v>UNITED KINGDOM</v>
          </cell>
        </row>
        <row r="38220">
          <cell r="L38220" t="str">
            <v>Non-proportional</v>
          </cell>
          <cell r="S38220">
            <v>-8193.34</v>
          </cell>
          <cell r="X38220" t="str">
            <v>Variation UPR - gross</v>
          </cell>
          <cell r="Y38220" t="str">
            <v>PERU</v>
          </cell>
        </row>
        <row r="38221">
          <cell r="L38221" t="str">
            <v>Non-proportional</v>
          </cell>
          <cell r="S38221">
            <v>-4533.33</v>
          </cell>
          <cell r="X38221" t="str">
            <v>Variation UPR - gross</v>
          </cell>
          <cell r="Y38221" t="str">
            <v>PORTUGAL</v>
          </cell>
        </row>
        <row r="38222">
          <cell r="L38222" t="str">
            <v>Non-proportional</v>
          </cell>
          <cell r="S38222">
            <v>-1817.87</v>
          </cell>
          <cell r="X38222" t="str">
            <v>Variation UPR - gross</v>
          </cell>
          <cell r="Y38222" t="str">
            <v>JAPAN</v>
          </cell>
        </row>
        <row r="38223">
          <cell r="L38223" t="str">
            <v>Non-proportional</v>
          </cell>
          <cell r="S38223">
            <v>-3424.35</v>
          </cell>
          <cell r="X38223" t="str">
            <v>Variation UPR - gross</v>
          </cell>
          <cell r="Y38223" t="str">
            <v>BRAZIL</v>
          </cell>
        </row>
        <row r="38224">
          <cell r="L38224" t="str">
            <v>Non-proportional</v>
          </cell>
          <cell r="S38224">
            <v>-3204.17</v>
          </cell>
          <cell r="X38224" t="str">
            <v>Variation UPR - gross</v>
          </cell>
          <cell r="Y38224" t="str">
            <v>AUSTRALIA</v>
          </cell>
        </row>
        <row r="38225">
          <cell r="L38225" t="str">
            <v>Non-proportional</v>
          </cell>
          <cell r="S38225">
            <v>-8794.8700000000008</v>
          </cell>
          <cell r="X38225" t="str">
            <v>Variation UPR - gross</v>
          </cell>
          <cell r="Y38225" t="str">
            <v>ISRAEL</v>
          </cell>
        </row>
        <row r="38226">
          <cell r="L38226" t="str">
            <v>Non-proportional</v>
          </cell>
          <cell r="S38226">
            <v>-9895.86</v>
          </cell>
          <cell r="X38226" t="str">
            <v>Variation UPR - gross</v>
          </cell>
          <cell r="Y38226" t="str">
            <v>PERU</v>
          </cell>
        </row>
        <row r="38227">
          <cell r="L38227" t="str">
            <v>Non-proportional</v>
          </cell>
          <cell r="S38227">
            <v>-12625.09</v>
          </cell>
          <cell r="X38227" t="str">
            <v>Variation UPR - gross</v>
          </cell>
          <cell r="Y38227" t="str">
            <v>BELGIUM</v>
          </cell>
        </row>
        <row r="38228">
          <cell r="L38228" t="str">
            <v>Non-proportional</v>
          </cell>
          <cell r="S38228">
            <v>-1888.01</v>
          </cell>
          <cell r="X38228" t="str">
            <v>Variation UPR - gross</v>
          </cell>
          <cell r="Y38228" t="str">
            <v>UNITED KINGDOM</v>
          </cell>
        </row>
        <row r="38229">
          <cell r="L38229" t="str">
            <v>Non-proportional</v>
          </cell>
          <cell r="S38229">
            <v>-3853.46</v>
          </cell>
          <cell r="X38229" t="str">
            <v>Variation UPR - gross</v>
          </cell>
          <cell r="Y38229" t="str">
            <v>ECUADOR</v>
          </cell>
        </row>
        <row r="38230">
          <cell r="L38230" t="str">
            <v>Non-proportional</v>
          </cell>
          <cell r="S38230">
            <v>-1178960.3999999999</v>
          </cell>
          <cell r="X38230" t="str">
            <v>Variation UPR - gross</v>
          </cell>
          <cell r="Y38230" t="str">
            <v>BELGIUM</v>
          </cell>
        </row>
        <row r="38231">
          <cell r="L38231" t="str">
            <v>Proportional</v>
          </cell>
          <cell r="S38231">
            <v>-27733.48</v>
          </cell>
          <cell r="X38231" t="str">
            <v>Variation UPR - gross</v>
          </cell>
          <cell r="Y38231" t="str">
            <v>BELGIUM</v>
          </cell>
        </row>
        <row r="38232">
          <cell r="L38232" t="str">
            <v>Proportional</v>
          </cell>
          <cell r="S38232">
            <v>-9328.7999999999993</v>
          </cell>
          <cell r="X38232" t="str">
            <v>Variation UPR - gross</v>
          </cell>
          <cell r="Y38232" t="str">
            <v>ITALY</v>
          </cell>
        </row>
        <row r="38233">
          <cell r="L38233" t="str">
            <v>Non-proportional</v>
          </cell>
          <cell r="S38233">
            <v>-843.75</v>
          </cell>
          <cell r="X38233" t="str">
            <v>Variation UPR - gross</v>
          </cell>
          <cell r="Y38233" t="str">
            <v>GREECE</v>
          </cell>
        </row>
        <row r="38234">
          <cell r="L38234" t="str">
            <v>Non-proportional</v>
          </cell>
          <cell r="S38234">
            <v>-1369.99</v>
          </cell>
          <cell r="X38234" t="str">
            <v>Variation UPR - gross</v>
          </cell>
          <cell r="Y38234" t="str">
            <v>JAPAN</v>
          </cell>
        </row>
        <row r="38235">
          <cell r="L38235" t="str">
            <v>Non-proportional</v>
          </cell>
          <cell r="S38235">
            <v>-47377</v>
          </cell>
          <cell r="X38235" t="str">
            <v>Variation UPR - gross</v>
          </cell>
          <cell r="Y38235" t="str">
            <v>UNITED KINGDOM</v>
          </cell>
        </row>
        <row r="38236">
          <cell r="L38236" t="str">
            <v>Non-proportional</v>
          </cell>
          <cell r="S38236">
            <v>-58498.49</v>
          </cell>
          <cell r="X38236" t="str">
            <v>Variation UPR - gross</v>
          </cell>
          <cell r="Y38236" t="str">
            <v>UNITED KINGDOM</v>
          </cell>
        </row>
        <row r="38237">
          <cell r="L38237" t="str">
            <v>Non-proportional</v>
          </cell>
          <cell r="S38237">
            <v>-3256.69</v>
          </cell>
          <cell r="X38237" t="str">
            <v>Variation UPR - gross</v>
          </cell>
          <cell r="Y38237" t="str">
            <v>ECUADOR</v>
          </cell>
        </row>
        <row r="38238">
          <cell r="L38238" t="str">
            <v>Non-proportional</v>
          </cell>
          <cell r="S38238">
            <v>-40799.89</v>
          </cell>
          <cell r="X38238" t="str">
            <v>Variation UPR - gross</v>
          </cell>
          <cell r="Y38238" t="str">
            <v>TURKEY</v>
          </cell>
        </row>
        <row r="38239">
          <cell r="L38239" t="str">
            <v>Non-proportional</v>
          </cell>
          <cell r="S38239">
            <v>-125.15</v>
          </cell>
          <cell r="X38239" t="str">
            <v>Variation UPR - gross</v>
          </cell>
          <cell r="Y38239" t="str">
            <v>INDIA</v>
          </cell>
        </row>
        <row r="38240">
          <cell r="L38240" t="str">
            <v>Non-proportional</v>
          </cell>
          <cell r="S38240">
            <v>-3258.52</v>
          </cell>
          <cell r="X38240" t="str">
            <v>Variation UPR - gross</v>
          </cell>
          <cell r="Y38240" t="str">
            <v>ECUADOR</v>
          </cell>
        </row>
        <row r="38241">
          <cell r="L38241" t="str">
            <v>Non-proportional</v>
          </cell>
          <cell r="S38241">
            <v>-2823.16</v>
          </cell>
          <cell r="X38241" t="str">
            <v>Variation UPR - gross</v>
          </cell>
          <cell r="Y38241" t="str">
            <v>POLAND</v>
          </cell>
        </row>
        <row r="38242">
          <cell r="L38242" t="str">
            <v>Non-proportional</v>
          </cell>
          <cell r="S38242">
            <v>-6623.14</v>
          </cell>
          <cell r="X38242" t="str">
            <v>Variation UPR - gross</v>
          </cell>
          <cell r="Y38242" t="str">
            <v>CYPRUS</v>
          </cell>
        </row>
        <row r="38243">
          <cell r="L38243" t="str">
            <v>Non-proportional</v>
          </cell>
          <cell r="S38243">
            <v>-138300.32999999999</v>
          </cell>
          <cell r="X38243" t="str">
            <v>Variation UPR - gross</v>
          </cell>
          <cell r="Y38243" t="str">
            <v>PORTUGAL</v>
          </cell>
        </row>
        <row r="38244">
          <cell r="L38244" t="str">
            <v>Non-proportional</v>
          </cell>
          <cell r="S38244">
            <v>-5312.78</v>
          </cell>
          <cell r="X38244" t="str">
            <v>Variation UPR - gross</v>
          </cell>
          <cell r="Y38244" t="str">
            <v>NETHERLANDS</v>
          </cell>
        </row>
        <row r="38245">
          <cell r="L38245" t="str">
            <v>Non-proportional</v>
          </cell>
          <cell r="S38245">
            <v>-2687.54</v>
          </cell>
          <cell r="X38245" t="str">
            <v>Variation UPR - gross</v>
          </cell>
          <cell r="Y38245" t="str">
            <v>UNITED ARAB EMIRATES</v>
          </cell>
        </row>
        <row r="38246">
          <cell r="L38246" t="str">
            <v>Non-proportional</v>
          </cell>
          <cell r="S38246">
            <v>-718.46</v>
          </cell>
          <cell r="X38246" t="str">
            <v>Variation UPR - gross</v>
          </cell>
          <cell r="Y38246" t="str">
            <v>ECUADOR</v>
          </cell>
        </row>
        <row r="38247">
          <cell r="L38247" t="str">
            <v>Non-proportional</v>
          </cell>
          <cell r="S38247">
            <v>-5502.21</v>
          </cell>
          <cell r="X38247" t="str">
            <v>Variation UPR - gross</v>
          </cell>
          <cell r="Y38247" t="str">
            <v>COLOMBIA</v>
          </cell>
        </row>
        <row r="38248">
          <cell r="L38248" t="str">
            <v>Non-proportional</v>
          </cell>
          <cell r="S38248">
            <v>-469.26</v>
          </cell>
          <cell r="X38248" t="str">
            <v>Variation UPR - gross</v>
          </cell>
          <cell r="Y38248" t="str">
            <v>NEW ZEALAND</v>
          </cell>
        </row>
        <row r="38249">
          <cell r="L38249" t="str">
            <v>Proportional</v>
          </cell>
          <cell r="S38249">
            <v>299.02999999999997</v>
          </cell>
          <cell r="X38249" t="str">
            <v>Variation UPR - gross</v>
          </cell>
          <cell r="Y38249" t="str">
            <v>THAILAND</v>
          </cell>
        </row>
        <row r="38250">
          <cell r="L38250" t="str">
            <v>Non-proportional</v>
          </cell>
          <cell r="S38250">
            <v>-47.88</v>
          </cell>
          <cell r="X38250" t="str">
            <v>Variation UPR - gross</v>
          </cell>
          <cell r="Y38250" t="str">
            <v>BRAZIL</v>
          </cell>
        </row>
        <row r="38251">
          <cell r="L38251" t="str">
            <v>Non-proportional</v>
          </cell>
          <cell r="S38251">
            <v>-24119.61</v>
          </cell>
          <cell r="X38251" t="str">
            <v>Variation UPR - gross</v>
          </cell>
          <cell r="Y38251" t="str">
            <v>UNITED KINGDOM</v>
          </cell>
        </row>
        <row r="38252">
          <cell r="L38252" t="str">
            <v>Non-proportional</v>
          </cell>
          <cell r="S38252">
            <v>118.62</v>
          </cell>
          <cell r="X38252" t="str">
            <v>Variation UPR - gross</v>
          </cell>
          <cell r="Y38252" t="str">
            <v>JAPAN</v>
          </cell>
        </row>
        <row r="38253">
          <cell r="L38253" t="str">
            <v>Non-proportional</v>
          </cell>
          <cell r="S38253">
            <v>-17887.82</v>
          </cell>
          <cell r="X38253" t="str">
            <v>Variation UPR - gross</v>
          </cell>
          <cell r="Y38253" t="str">
            <v>JAPAN</v>
          </cell>
        </row>
        <row r="38254">
          <cell r="L38254" t="str">
            <v>Non-proportional</v>
          </cell>
          <cell r="S38254">
            <v>-8105.99</v>
          </cell>
          <cell r="X38254" t="str">
            <v>Variation UPR - gross</v>
          </cell>
          <cell r="Y38254" t="str">
            <v>NEW ZEALAND</v>
          </cell>
        </row>
        <row r="38255">
          <cell r="L38255" t="str">
            <v>Non-proportional</v>
          </cell>
          <cell r="S38255">
            <v>-2969.06</v>
          </cell>
          <cell r="X38255" t="str">
            <v>Variation UPR - gross</v>
          </cell>
          <cell r="Y38255" t="str">
            <v>THAILAND</v>
          </cell>
        </row>
        <row r="38256">
          <cell r="L38256" t="str">
            <v>Non-proportional</v>
          </cell>
          <cell r="S38256">
            <v>62.34</v>
          </cell>
          <cell r="X38256" t="str">
            <v>Variation UPR - gross</v>
          </cell>
          <cell r="Y38256" t="str">
            <v>DOMINICAN REPUBLIC</v>
          </cell>
        </row>
        <row r="38257">
          <cell r="L38257" t="str">
            <v>Non-proportional</v>
          </cell>
          <cell r="S38257">
            <v>-51.9</v>
          </cell>
          <cell r="X38257" t="str">
            <v>Variation UPR - gross</v>
          </cell>
          <cell r="Y38257" t="str">
            <v>ISRAEL</v>
          </cell>
        </row>
        <row r="38258">
          <cell r="L38258" t="str">
            <v>Non-proportional</v>
          </cell>
          <cell r="S38258">
            <v>85675.74</v>
          </cell>
          <cell r="X38258" t="str">
            <v>Variation UPR - gross</v>
          </cell>
          <cell r="Y38258" t="str">
            <v>PUERTO RICO</v>
          </cell>
        </row>
        <row r="38259">
          <cell r="L38259" t="str">
            <v>Non-proportional</v>
          </cell>
          <cell r="S38259">
            <v>150.30000000000001</v>
          </cell>
          <cell r="X38259" t="str">
            <v>Variation UPR - gross</v>
          </cell>
          <cell r="Y38259" t="str">
            <v>NEW ZEALAND</v>
          </cell>
        </row>
        <row r="38260">
          <cell r="L38260" t="str">
            <v>Proportional</v>
          </cell>
          <cell r="S38260">
            <v>-543.4</v>
          </cell>
          <cell r="X38260" t="str">
            <v>Variation UPR - gross</v>
          </cell>
          <cell r="Y38260" t="str">
            <v>REPUBLIC OF IRELAND</v>
          </cell>
        </row>
        <row r="38261">
          <cell r="L38261" t="str">
            <v>Non-proportional</v>
          </cell>
          <cell r="S38261">
            <v>-10265.94</v>
          </cell>
          <cell r="X38261" t="str">
            <v>Variation UPR - gross</v>
          </cell>
          <cell r="Y38261" t="str">
            <v>CHILE</v>
          </cell>
        </row>
        <row r="38262">
          <cell r="L38262" t="str">
            <v>Non-proportional</v>
          </cell>
          <cell r="S38262">
            <v>-2215.86</v>
          </cell>
          <cell r="X38262" t="str">
            <v>Variation UPR - gross</v>
          </cell>
          <cell r="Y38262" t="str">
            <v>MEXICO</v>
          </cell>
        </row>
        <row r="38263">
          <cell r="L38263" t="str">
            <v>Non-proportional</v>
          </cell>
          <cell r="S38263">
            <v>-1749.93</v>
          </cell>
          <cell r="X38263" t="str">
            <v>Variation UPR - gross</v>
          </cell>
          <cell r="Y38263" t="str">
            <v>EUROPE</v>
          </cell>
        </row>
        <row r="38264">
          <cell r="L38264" t="str">
            <v>Non-proportional</v>
          </cell>
          <cell r="S38264">
            <v>-4026.77</v>
          </cell>
          <cell r="X38264" t="str">
            <v>Variation UPR - gross</v>
          </cell>
          <cell r="Y38264" t="str">
            <v>COLOMBIA</v>
          </cell>
        </row>
        <row r="38265">
          <cell r="L38265" t="str">
            <v>Non-proportional</v>
          </cell>
          <cell r="S38265">
            <v>-8238.26</v>
          </cell>
          <cell r="X38265" t="str">
            <v>Variation UPR - gross</v>
          </cell>
          <cell r="Y38265" t="str">
            <v>ITALY</v>
          </cell>
        </row>
        <row r="38266">
          <cell r="L38266" t="str">
            <v>Non-proportional</v>
          </cell>
          <cell r="S38266">
            <v>147.05000000000001</v>
          </cell>
          <cell r="X38266" t="str">
            <v>Variation UPR - gross</v>
          </cell>
          <cell r="Y38266" t="str">
            <v>TURKEY</v>
          </cell>
        </row>
        <row r="38267">
          <cell r="L38267" t="str">
            <v>Proportional</v>
          </cell>
          <cell r="S38267">
            <v>348.87</v>
          </cell>
          <cell r="X38267" t="str">
            <v>Variation UPR - gross</v>
          </cell>
          <cell r="Y38267" t="str">
            <v>THAILAND</v>
          </cell>
        </row>
        <row r="38268">
          <cell r="L38268" t="str">
            <v>Non-proportional</v>
          </cell>
          <cell r="S38268">
            <v>-400245.01</v>
          </cell>
          <cell r="X38268" t="str">
            <v>Variation UPR - gross</v>
          </cell>
          <cell r="Y38268" t="str">
            <v>UNITED KINGDOM</v>
          </cell>
        </row>
        <row r="38269">
          <cell r="L38269" t="str">
            <v>Non-proportional</v>
          </cell>
          <cell r="S38269">
            <v>95.97</v>
          </cell>
          <cell r="X38269" t="str">
            <v>Variation UPR - gross</v>
          </cell>
          <cell r="Y38269" t="str">
            <v>JAPAN</v>
          </cell>
        </row>
        <row r="38270">
          <cell r="L38270" t="str">
            <v>Non-proportional</v>
          </cell>
          <cell r="S38270">
            <v>-6562.5</v>
          </cell>
          <cell r="X38270" t="str">
            <v>Variation UPR - gross</v>
          </cell>
          <cell r="Y38270" t="str">
            <v>ITALY</v>
          </cell>
        </row>
        <row r="38271">
          <cell r="L38271" t="str">
            <v>Non-proportional</v>
          </cell>
          <cell r="S38271">
            <v>-9681.76</v>
          </cell>
          <cell r="X38271" t="str">
            <v>Variation UPR - gross</v>
          </cell>
          <cell r="Y38271" t="str">
            <v>ECUADOR</v>
          </cell>
        </row>
        <row r="38272">
          <cell r="L38272" t="str">
            <v>Non-proportional</v>
          </cell>
          <cell r="S38272">
            <v>-18.75</v>
          </cell>
          <cell r="X38272" t="str">
            <v>Variation UPR - gross</v>
          </cell>
          <cell r="Y38272" t="str">
            <v>ISRAEL</v>
          </cell>
        </row>
        <row r="38273">
          <cell r="L38273" t="str">
            <v>Non-proportional</v>
          </cell>
          <cell r="S38273">
            <v>22003.33</v>
          </cell>
          <cell r="X38273" t="str">
            <v>Variation UPR - gross</v>
          </cell>
          <cell r="Y38273" t="str">
            <v>GERMANY</v>
          </cell>
        </row>
        <row r="38274">
          <cell r="L38274" t="str">
            <v>Non-proportional</v>
          </cell>
          <cell r="S38274">
            <v>-410507.71</v>
          </cell>
          <cell r="X38274" t="str">
            <v>Variation UPR - gross</v>
          </cell>
          <cell r="Y38274" t="str">
            <v>UNITED KINGDOM</v>
          </cell>
        </row>
        <row r="38275">
          <cell r="L38275" t="str">
            <v>Non-proportional</v>
          </cell>
          <cell r="S38275">
            <v>-1044.8399999999999</v>
          </cell>
          <cell r="X38275" t="str">
            <v>Variation UPR - gross</v>
          </cell>
          <cell r="Y38275" t="str">
            <v>CYPRUS</v>
          </cell>
        </row>
        <row r="38276">
          <cell r="L38276" t="str">
            <v>Non-proportional</v>
          </cell>
          <cell r="S38276">
            <v>-936.29</v>
          </cell>
          <cell r="X38276" t="str">
            <v>Variation UPR - gross</v>
          </cell>
          <cell r="Y38276" t="str">
            <v>ISRAEL</v>
          </cell>
        </row>
        <row r="38277">
          <cell r="L38277" t="str">
            <v>Non-proportional</v>
          </cell>
          <cell r="S38277">
            <v>-957.94</v>
          </cell>
          <cell r="X38277" t="str">
            <v>Variation UPR - gross</v>
          </cell>
          <cell r="Y38277" t="str">
            <v>ECUADOR</v>
          </cell>
        </row>
        <row r="38278">
          <cell r="L38278" t="str">
            <v>Proportional</v>
          </cell>
          <cell r="S38278">
            <v>6172.5</v>
          </cell>
          <cell r="X38278" t="str">
            <v>Variation UPR - gross</v>
          </cell>
          <cell r="Y38278" t="str">
            <v>CANADA</v>
          </cell>
        </row>
        <row r="38279">
          <cell r="L38279" t="str">
            <v>Non-proportional</v>
          </cell>
          <cell r="S38279">
            <v>-7598.99</v>
          </cell>
          <cell r="X38279" t="str">
            <v>Variation UPR - gross</v>
          </cell>
          <cell r="Y38279" t="str">
            <v>CHILE</v>
          </cell>
        </row>
        <row r="38280">
          <cell r="L38280" t="str">
            <v>Non-proportional</v>
          </cell>
          <cell r="S38280">
            <v>-90200</v>
          </cell>
          <cell r="X38280" t="str">
            <v>Variation UPR - gross</v>
          </cell>
          <cell r="Y38280" t="str">
            <v>EUROPE</v>
          </cell>
        </row>
        <row r="38281">
          <cell r="L38281" t="str">
            <v>Non-proportional</v>
          </cell>
          <cell r="S38281">
            <v>-29.93</v>
          </cell>
          <cell r="X38281" t="str">
            <v>Variation UPR - gross</v>
          </cell>
          <cell r="Y38281" t="str">
            <v>BRAZIL</v>
          </cell>
        </row>
        <row r="38282">
          <cell r="L38282" t="str">
            <v>Proportional</v>
          </cell>
          <cell r="S38282">
            <v>381384.07</v>
          </cell>
          <cell r="X38282" t="str">
            <v>Variation UPR - gross</v>
          </cell>
          <cell r="Y38282" t="str">
            <v>UNITED STATES</v>
          </cell>
        </row>
        <row r="38283">
          <cell r="L38283" t="str">
            <v>Non-proportional</v>
          </cell>
          <cell r="S38283">
            <v>31.86</v>
          </cell>
          <cell r="X38283" t="str">
            <v>Variation UPR - gross</v>
          </cell>
          <cell r="Y38283" t="str">
            <v>JAPAN</v>
          </cell>
        </row>
        <row r="38284">
          <cell r="L38284" t="str">
            <v>Proportional</v>
          </cell>
          <cell r="S38284">
            <v>-162629.82</v>
          </cell>
          <cell r="X38284" t="str">
            <v>Variation UPR - gross</v>
          </cell>
          <cell r="Y38284" t="str">
            <v>PORTUGAL</v>
          </cell>
        </row>
        <row r="38285">
          <cell r="L38285" t="str">
            <v>Non-proportional</v>
          </cell>
          <cell r="S38285">
            <v>-2008.11</v>
          </cell>
          <cell r="X38285" t="str">
            <v>Variation UPR - gross</v>
          </cell>
          <cell r="Y38285" t="str">
            <v>GUATEMALA</v>
          </cell>
        </row>
        <row r="38286">
          <cell r="L38286" t="str">
            <v>Non-proportional</v>
          </cell>
          <cell r="S38286">
            <v>-4250.1899999999996</v>
          </cell>
          <cell r="X38286" t="str">
            <v>Variation UPR - gross</v>
          </cell>
          <cell r="Y38286" t="str">
            <v>ITALY</v>
          </cell>
        </row>
        <row r="38287">
          <cell r="L38287" t="str">
            <v>Non-proportional</v>
          </cell>
          <cell r="S38287">
            <v>-112990.81</v>
          </cell>
          <cell r="X38287" t="str">
            <v>Variation UPR - gross</v>
          </cell>
          <cell r="Y38287" t="str">
            <v>UNITED KINGDOM</v>
          </cell>
        </row>
        <row r="38288">
          <cell r="L38288" t="str">
            <v>Non-proportional</v>
          </cell>
          <cell r="S38288">
            <v>115.95</v>
          </cell>
          <cell r="X38288" t="str">
            <v>Variation UPR - gross</v>
          </cell>
          <cell r="Y38288" t="str">
            <v>JAPAN</v>
          </cell>
        </row>
        <row r="38289">
          <cell r="L38289" t="str">
            <v>Non-proportional</v>
          </cell>
          <cell r="S38289">
            <v>-5059.26</v>
          </cell>
          <cell r="X38289" t="str">
            <v>Variation UPR - gross</v>
          </cell>
          <cell r="Y38289" t="str">
            <v>UNITED KINGDOM</v>
          </cell>
        </row>
        <row r="38290">
          <cell r="L38290" t="str">
            <v>Non-proportional</v>
          </cell>
          <cell r="S38290">
            <v>-9579.06</v>
          </cell>
          <cell r="X38290" t="str">
            <v>Variation UPR - gross</v>
          </cell>
          <cell r="Y38290" t="str">
            <v>CHINA</v>
          </cell>
        </row>
        <row r="38291">
          <cell r="L38291" t="str">
            <v>Non-proportional</v>
          </cell>
          <cell r="S38291">
            <v>-12447.65</v>
          </cell>
          <cell r="X38291" t="str">
            <v>Variation UPR - gross</v>
          </cell>
          <cell r="Y38291" t="str">
            <v>COSTA RICA</v>
          </cell>
        </row>
        <row r="38292">
          <cell r="L38292" t="str">
            <v>Non-proportional</v>
          </cell>
          <cell r="S38292">
            <v>-73.069999999999993</v>
          </cell>
          <cell r="X38292" t="str">
            <v>Variation UPR - gross</v>
          </cell>
          <cell r="Y38292" t="str">
            <v>CHILE</v>
          </cell>
        </row>
        <row r="38293">
          <cell r="L38293" t="str">
            <v>Non-proportional</v>
          </cell>
          <cell r="S38293">
            <v>21.6</v>
          </cell>
          <cell r="X38293" t="str">
            <v>Variation UPR - gross</v>
          </cell>
          <cell r="Y38293" t="str">
            <v>COLOMBIA</v>
          </cell>
        </row>
        <row r="38294">
          <cell r="L38294" t="str">
            <v>Non-proportional</v>
          </cell>
          <cell r="S38294">
            <v>-905.42</v>
          </cell>
          <cell r="X38294" t="str">
            <v>Variation UPR - gross</v>
          </cell>
          <cell r="Y38294" t="str">
            <v>ITALY</v>
          </cell>
        </row>
        <row r="38295">
          <cell r="L38295" t="str">
            <v>Non-proportional</v>
          </cell>
          <cell r="S38295">
            <v>-40150</v>
          </cell>
          <cell r="X38295" t="str">
            <v>Variation UPR - gross</v>
          </cell>
          <cell r="Y38295" t="str">
            <v>PORTUGAL</v>
          </cell>
        </row>
        <row r="38296">
          <cell r="L38296" t="str">
            <v>Non-proportional</v>
          </cell>
          <cell r="S38296">
            <v>-9832.7800000000007</v>
          </cell>
          <cell r="X38296" t="str">
            <v>Variation UPR - gross</v>
          </cell>
          <cell r="Y38296" t="str">
            <v>FRANCE</v>
          </cell>
        </row>
        <row r="38297">
          <cell r="L38297" t="str">
            <v>Non-proportional</v>
          </cell>
          <cell r="S38297">
            <v>-32456.52</v>
          </cell>
          <cell r="X38297" t="str">
            <v>Variation UPR - gross</v>
          </cell>
          <cell r="Y38297" t="str">
            <v>HONG KONG</v>
          </cell>
        </row>
        <row r="38298">
          <cell r="L38298" t="str">
            <v>Non-proportional</v>
          </cell>
          <cell r="S38298">
            <v>-11510.64</v>
          </cell>
          <cell r="X38298" t="str">
            <v>Variation UPR - gross</v>
          </cell>
          <cell r="Y38298" t="str">
            <v>EUROPE</v>
          </cell>
        </row>
        <row r="38299">
          <cell r="L38299" t="str">
            <v>Non-proportional</v>
          </cell>
          <cell r="S38299">
            <v>-9503.36</v>
          </cell>
          <cell r="X38299" t="str">
            <v>Variation UPR - gross</v>
          </cell>
          <cell r="Y38299" t="str">
            <v>COLOMBIA</v>
          </cell>
        </row>
        <row r="38300">
          <cell r="L38300" t="str">
            <v>Non-proportional</v>
          </cell>
          <cell r="S38300">
            <v>-3650.56</v>
          </cell>
          <cell r="X38300" t="str">
            <v>Variation UPR - gross</v>
          </cell>
          <cell r="Y38300" t="str">
            <v>AUSTRALIA</v>
          </cell>
        </row>
        <row r="38301">
          <cell r="L38301" t="str">
            <v>Non-proportional</v>
          </cell>
          <cell r="S38301">
            <v>-3978.25</v>
          </cell>
          <cell r="X38301" t="str">
            <v>Variation UPR - gross</v>
          </cell>
          <cell r="Y38301" t="str">
            <v>UNITED KINGDOM</v>
          </cell>
        </row>
        <row r="38302">
          <cell r="L38302" t="str">
            <v>Proportional</v>
          </cell>
          <cell r="S38302">
            <v>-19769.57</v>
          </cell>
          <cell r="X38302" t="str">
            <v>Variation UPR - gross</v>
          </cell>
          <cell r="Y38302" t="str">
            <v>UNITED KINGDOM</v>
          </cell>
        </row>
        <row r="38303">
          <cell r="L38303" t="str">
            <v>Non-proportional</v>
          </cell>
          <cell r="S38303">
            <v>-10156.290000000001</v>
          </cell>
          <cell r="X38303" t="str">
            <v>Variation UPR - gross</v>
          </cell>
          <cell r="Y38303" t="str">
            <v>EUROPE</v>
          </cell>
        </row>
        <row r="38304">
          <cell r="L38304" t="str">
            <v>Non-proportional</v>
          </cell>
          <cell r="S38304">
            <v>-24999.81</v>
          </cell>
          <cell r="X38304" t="str">
            <v>Variation UPR - gross</v>
          </cell>
          <cell r="Y38304" t="str">
            <v>FRANCE</v>
          </cell>
        </row>
        <row r="38305">
          <cell r="L38305" t="str">
            <v>Proportional</v>
          </cell>
          <cell r="S38305">
            <v>-485112.95</v>
          </cell>
          <cell r="X38305" t="str">
            <v>Variation UPR - gross</v>
          </cell>
          <cell r="Y38305" t="str">
            <v>HONG KONG</v>
          </cell>
        </row>
        <row r="38306">
          <cell r="L38306" t="str">
            <v>Non-proportional</v>
          </cell>
          <cell r="S38306">
            <v>-2607.96</v>
          </cell>
          <cell r="X38306" t="str">
            <v>Variation UPR - gross</v>
          </cell>
          <cell r="Y38306" t="str">
            <v>ISRAEL</v>
          </cell>
        </row>
        <row r="38307">
          <cell r="L38307" t="str">
            <v>Non-proportional</v>
          </cell>
          <cell r="S38307">
            <v>-2029.91</v>
          </cell>
          <cell r="X38307" t="str">
            <v>Variation UPR - gross</v>
          </cell>
          <cell r="Y38307" t="str">
            <v>CYPRUS</v>
          </cell>
        </row>
        <row r="38308">
          <cell r="L38308" t="str">
            <v>Non-proportional</v>
          </cell>
          <cell r="S38308">
            <v>-2258.9299999999998</v>
          </cell>
          <cell r="X38308" t="str">
            <v>Variation UPR - gross</v>
          </cell>
          <cell r="Y38308" t="str">
            <v>INDIA</v>
          </cell>
        </row>
        <row r="38309">
          <cell r="L38309" t="str">
            <v>Non-proportional</v>
          </cell>
          <cell r="S38309">
            <v>-3428.94</v>
          </cell>
          <cell r="X38309" t="str">
            <v>Variation UPR - gross</v>
          </cell>
          <cell r="Y38309" t="str">
            <v>UNITED KINGDOM</v>
          </cell>
        </row>
        <row r="38310">
          <cell r="L38310" t="str">
            <v>Non-proportional</v>
          </cell>
          <cell r="S38310">
            <v>-1329.59</v>
          </cell>
          <cell r="X38310" t="str">
            <v>Variation UPR - gross</v>
          </cell>
          <cell r="Y38310" t="str">
            <v>UNITED ARAB EMIRATES</v>
          </cell>
        </row>
        <row r="38311">
          <cell r="L38311" t="str">
            <v>Non-proportional</v>
          </cell>
          <cell r="S38311">
            <v>-6963.2</v>
          </cell>
          <cell r="X38311" t="str">
            <v>Variation UPR - gross</v>
          </cell>
          <cell r="Y38311" t="str">
            <v>FRANCE</v>
          </cell>
        </row>
        <row r="38312">
          <cell r="L38312" t="str">
            <v>Non-proportional</v>
          </cell>
          <cell r="S38312">
            <v>-2703.49</v>
          </cell>
          <cell r="X38312" t="str">
            <v>Variation UPR - gross</v>
          </cell>
          <cell r="Y38312" t="str">
            <v>CHILE</v>
          </cell>
        </row>
        <row r="38313">
          <cell r="L38313" t="str">
            <v>Non-proportional</v>
          </cell>
          <cell r="S38313">
            <v>471.31</v>
          </cell>
          <cell r="X38313" t="str">
            <v>Variation UPR - gross</v>
          </cell>
          <cell r="Y38313" t="str">
            <v>DOMINICAN REPUBLIC</v>
          </cell>
        </row>
        <row r="38314">
          <cell r="L38314" t="str">
            <v>Non-proportional</v>
          </cell>
          <cell r="S38314">
            <v>0.02</v>
          </cell>
          <cell r="X38314" t="str">
            <v>Variation UPR - gross</v>
          </cell>
          <cell r="Y38314" t="str">
            <v>DOMINICAN REPUBLIC</v>
          </cell>
        </row>
        <row r="38315">
          <cell r="L38315" t="str">
            <v>Non-proportional</v>
          </cell>
          <cell r="S38315">
            <v>-10732.36</v>
          </cell>
          <cell r="X38315" t="str">
            <v>Variation UPR - gross</v>
          </cell>
          <cell r="Y38315" t="str">
            <v>POLAND</v>
          </cell>
        </row>
        <row r="38316">
          <cell r="L38316" t="str">
            <v>Non-proportional</v>
          </cell>
          <cell r="S38316">
            <v>155.41999999999999</v>
          </cell>
          <cell r="X38316" t="str">
            <v>Variation UPR - gross</v>
          </cell>
          <cell r="Y38316" t="str">
            <v>NEW ZEALAND</v>
          </cell>
        </row>
        <row r="38317">
          <cell r="L38317" t="str">
            <v>Non-proportional</v>
          </cell>
          <cell r="S38317">
            <v>36.53</v>
          </cell>
          <cell r="X38317" t="str">
            <v>Variation UPR - gross</v>
          </cell>
          <cell r="Y38317" t="str">
            <v>JAPAN</v>
          </cell>
        </row>
        <row r="38318">
          <cell r="L38318" t="str">
            <v>Non-proportional</v>
          </cell>
          <cell r="S38318">
            <v>-1879.59</v>
          </cell>
          <cell r="X38318" t="str">
            <v>Variation UPR - gross</v>
          </cell>
          <cell r="Y38318" t="str">
            <v>NEW ZEALAND</v>
          </cell>
        </row>
        <row r="38319">
          <cell r="L38319" t="str">
            <v>Non-proportional</v>
          </cell>
          <cell r="S38319">
            <v>-2171.27</v>
          </cell>
          <cell r="X38319" t="str">
            <v>Variation UPR - gross</v>
          </cell>
          <cell r="Y38319" t="str">
            <v>GUATEMALA</v>
          </cell>
        </row>
        <row r="38320">
          <cell r="L38320" t="str">
            <v>Non-proportional</v>
          </cell>
          <cell r="S38320">
            <v>-3223.71</v>
          </cell>
          <cell r="X38320" t="str">
            <v>Variation UPR - gross</v>
          </cell>
          <cell r="Y38320" t="str">
            <v>GUATEMALA</v>
          </cell>
        </row>
        <row r="38321">
          <cell r="L38321" t="str">
            <v>Non-proportional</v>
          </cell>
          <cell r="S38321">
            <v>-35.19</v>
          </cell>
          <cell r="X38321" t="str">
            <v>Variation UPR - gross</v>
          </cell>
          <cell r="Y38321" t="str">
            <v>BRAZIL</v>
          </cell>
        </row>
        <row r="38322">
          <cell r="L38322" t="str">
            <v>Proportional</v>
          </cell>
          <cell r="S38322">
            <v>-213.52</v>
          </cell>
          <cell r="X38322" t="str">
            <v>Variation UPR - gross</v>
          </cell>
          <cell r="Y38322" t="str">
            <v>THAILAND</v>
          </cell>
        </row>
        <row r="38323">
          <cell r="L38323" t="str">
            <v>Non-proportional</v>
          </cell>
          <cell r="S38323">
            <v>-60075.199999999997</v>
          </cell>
          <cell r="X38323" t="str">
            <v>Variation UPR - gross</v>
          </cell>
          <cell r="Y38323" t="str">
            <v>UNITED KINGDOM</v>
          </cell>
        </row>
        <row r="38324">
          <cell r="L38324" t="str">
            <v>Non-proportional</v>
          </cell>
          <cell r="S38324">
            <v>217.22</v>
          </cell>
          <cell r="X38324" t="str">
            <v>Variation UPR - gross</v>
          </cell>
          <cell r="Y38324" t="str">
            <v>JAPAN</v>
          </cell>
        </row>
        <row r="38325">
          <cell r="L38325" t="str">
            <v>Non-proportional</v>
          </cell>
          <cell r="S38325">
            <v>-4425.46</v>
          </cell>
          <cell r="X38325" t="str">
            <v>Variation UPR - gross</v>
          </cell>
          <cell r="Y38325" t="str">
            <v>FRANCE</v>
          </cell>
        </row>
        <row r="38326">
          <cell r="L38326" t="str">
            <v>Non-proportional</v>
          </cell>
          <cell r="S38326">
            <v>-30345.99</v>
          </cell>
          <cell r="X38326" t="str">
            <v>Variation UPR - gross</v>
          </cell>
          <cell r="Y38326" t="str">
            <v>FRANCE</v>
          </cell>
        </row>
        <row r="38327">
          <cell r="L38327" t="str">
            <v>Non-proportional</v>
          </cell>
          <cell r="S38327">
            <v>-9053.2099999999991</v>
          </cell>
          <cell r="X38327" t="str">
            <v>Variation UPR - gross</v>
          </cell>
          <cell r="Y38327" t="str">
            <v>ITALY</v>
          </cell>
        </row>
        <row r="38328">
          <cell r="L38328" t="str">
            <v>Non-proportional</v>
          </cell>
          <cell r="S38328">
            <v>-4970.79</v>
          </cell>
          <cell r="X38328" t="str">
            <v>Variation UPR - gross</v>
          </cell>
          <cell r="Y38328" t="str">
            <v>ISRAEL</v>
          </cell>
        </row>
        <row r="38329">
          <cell r="L38329" t="str">
            <v>Non-proportional</v>
          </cell>
          <cell r="S38329">
            <v>-4807.09</v>
          </cell>
          <cell r="X38329" t="str">
            <v>Variation UPR - gross</v>
          </cell>
          <cell r="Y38329" t="str">
            <v>PERU</v>
          </cell>
        </row>
        <row r="38330">
          <cell r="L38330" t="str">
            <v>Proportional</v>
          </cell>
          <cell r="S38330">
            <v>-941.16</v>
          </cell>
          <cell r="X38330" t="str">
            <v>Variation UPR - gross</v>
          </cell>
          <cell r="Y38330" t="str">
            <v>THAILAND</v>
          </cell>
        </row>
        <row r="38331">
          <cell r="L38331" t="str">
            <v>Non-proportional</v>
          </cell>
          <cell r="S38331">
            <v>-41.54</v>
          </cell>
          <cell r="X38331" t="str">
            <v>Variation UPR - gross</v>
          </cell>
          <cell r="Y38331" t="str">
            <v>ISRAEL</v>
          </cell>
        </row>
        <row r="38332">
          <cell r="L38332" t="str">
            <v>Non-proportional</v>
          </cell>
          <cell r="S38332">
            <v>61985</v>
          </cell>
          <cell r="X38332" t="str">
            <v>Variation UPR - gross</v>
          </cell>
          <cell r="Y38332" t="str">
            <v>GERMANY</v>
          </cell>
        </row>
        <row r="38333">
          <cell r="L38333" t="str">
            <v>Proportional</v>
          </cell>
          <cell r="S38333">
            <v>99.49</v>
          </cell>
          <cell r="X38333" t="str">
            <v>Variation UPR - gross</v>
          </cell>
          <cell r="Y38333" t="str">
            <v>UNITED STATES</v>
          </cell>
        </row>
        <row r="38334">
          <cell r="L38334" t="str">
            <v>Non-proportional</v>
          </cell>
          <cell r="S38334">
            <v>-385.24</v>
          </cell>
          <cell r="X38334" t="str">
            <v>Variation UPR - gross</v>
          </cell>
          <cell r="Y38334" t="str">
            <v>TURKEY</v>
          </cell>
        </row>
        <row r="38335">
          <cell r="L38335" t="str">
            <v>Proportional</v>
          </cell>
          <cell r="S38335">
            <v>-27988.07</v>
          </cell>
          <cell r="X38335" t="str">
            <v>Variation UPR - gross</v>
          </cell>
          <cell r="Y38335" t="str">
            <v>JAPAN</v>
          </cell>
        </row>
        <row r="38336">
          <cell r="L38336" t="str">
            <v>Non-proportional</v>
          </cell>
          <cell r="S38336">
            <v>-8806.44</v>
          </cell>
          <cell r="X38336" t="str">
            <v>Variation UPR - gross</v>
          </cell>
          <cell r="Y38336" t="str">
            <v>AUSTRALIA</v>
          </cell>
        </row>
        <row r="38337">
          <cell r="L38337" t="str">
            <v>Non-proportional</v>
          </cell>
          <cell r="S38337">
            <v>-9500.14</v>
          </cell>
          <cell r="X38337" t="str">
            <v>Variation UPR - gross</v>
          </cell>
          <cell r="Y38337" t="str">
            <v>TURKEY</v>
          </cell>
        </row>
        <row r="38338">
          <cell r="L38338" t="str">
            <v>Non-proportional</v>
          </cell>
          <cell r="S38338">
            <v>-5427.33</v>
          </cell>
          <cell r="X38338" t="str">
            <v>Variation UPR - gross</v>
          </cell>
          <cell r="Y38338" t="str">
            <v>PERU</v>
          </cell>
        </row>
        <row r="38339">
          <cell r="L38339" t="str">
            <v>Non-proportional</v>
          </cell>
          <cell r="S38339">
            <v>-4166.67</v>
          </cell>
          <cell r="X38339" t="str">
            <v>Variation UPR - gross</v>
          </cell>
          <cell r="Y38339" t="str">
            <v>TURKEY</v>
          </cell>
        </row>
        <row r="38340">
          <cell r="L38340" t="str">
            <v>Non-proportional</v>
          </cell>
          <cell r="S38340">
            <v>19.260000000000002</v>
          </cell>
          <cell r="X38340" t="str">
            <v>Variation UPR - gross</v>
          </cell>
          <cell r="Y38340" t="str">
            <v>COLOMBIA</v>
          </cell>
        </row>
        <row r="38341">
          <cell r="L38341" t="str">
            <v>Non-proportional</v>
          </cell>
          <cell r="S38341">
            <v>-11143.99</v>
          </cell>
          <cell r="X38341" t="str">
            <v>Variation UPR - gross</v>
          </cell>
          <cell r="Y38341" t="str">
            <v>MEXICO</v>
          </cell>
        </row>
        <row r="38342">
          <cell r="L38342" t="str">
            <v>Non-proportional</v>
          </cell>
          <cell r="S38342">
            <v>-3899.97</v>
          </cell>
          <cell r="X38342" t="str">
            <v>Variation UPR - gross</v>
          </cell>
          <cell r="Y38342" t="str">
            <v>ECUADOR</v>
          </cell>
        </row>
        <row r="38343">
          <cell r="L38343" t="str">
            <v>Non-proportional</v>
          </cell>
          <cell r="S38343">
            <v>-1257.8</v>
          </cell>
          <cell r="X38343" t="str">
            <v>Variation UPR - gross</v>
          </cell>
          <cell r="Y38343" t="str">
            <v>ITALY</v>
          </cell>
        </row>
        <row r="38344">
          <cell r="L38344" t="str">
            <v>Non-proportional</v>
          </cell>
          <cell r="S38344">
            <v>-47.94</v>
          </cell>
          <cell r="X38344" t="str">
            <v>Variation UPR - gross</v>
          </cell>
          <cell r="Y38344" t="str">
            <v>INDIA</v>
          </cell>
        </row>
        <row r="38345">
          <cell r="L38345" t="str">
            <v>Proportional</v>
          </cell>
          <cell r="S38345">
            <v>5183.24</v>
          </cell>
          <cell r="X38345" t="str">
            <v>Variation UPR - gross</v>
          </cell>
          <cell r="Y38345" t="str">
            <v>THAILAND</v>
          </cell>
        </row>
        <row r="38346">
          <cell r="L38346" t="str">
            <v>Non-proportional</v>
          </cell>
          <cell r="S38346">
            <v>227.38</v>
          </cell>
          <cell r="X38346" t="str">
            <v>Variation UPR - gross</v>
          </cell>
          <cell r="Y38346" t="str">
            <v>COLOMBIA</v>
          </cell>
        </row>
        <row r="38347">
          <cell r="L38347" t="str">
            <v>Non-proportional</v>
          </cell>
          <cell r="S38347">
            <v>-3544.3</v>
          </cell>
          <cell r="X38347" t="str">
            <v>Variation UPR - gross</v>
          </cell>
          <cell r="Y38347" t="str">
            <v>AUSTRALIA</v>
          </cell>
        </row>
        <row r="38348">
          <cell r="L38348" t="str">
            <v>Proportional</v>
          </cell>
          <cell r="S38348">
            <v>-42059.66</v>
          </cell>
          <cell r="X38348" t="str">
            <v>Variation UPR - gross</v>
          </cell>
          <cell r="Y38348" t="str">
            <v>THAILAND</v>
          </cell>
        </row>
        <row r="38349">
          <cell r="L38349" t="str">
            <v>Non-proportional</v>
          </cell>
          <cell r="S38349">
            <v>-2610</v>
          </cell>
          <cell r="X38349" t="str">
            <v>Variation UPR - gross</v>
          </cell>
          <cell r="Y38349" t="str">
            <v>GREECE</v>
          </cell>
        </row>
        <row r="38350">
          <cell r="L38350" t="str">
            <v>Non-proportional</v>
          </cell>
          <cell r="S38350">
            <v>-45758.47</v>
          </cell>
          <cell r="X38350" t="str">
            <v>Variation UPR - gross</v>
          </cell>
          <cell r="Y38350" t="str">
            <v>TURKEY</v>
          </cell>
        </row>
        <row r="38351">
          <cell r="L38351" t="str">
            <v>Non-proportional</v>
          </cell>
          <cell r="S38351">
            <v>-4712.83</v>
          </cell>
          <cell r="X38351" t="str">
            <v>Variation UPR - gross</v>
          </cell>
          <cell r="Y38351" t="str">
            <v>CHILE</v>
          </cell>
        </row>
        <row r="38352">
          <cell r="L38352" t="str">
            <v>Non-proportional</v>
          </cell>
          <cell r="S38352">
            <v>-1347.27</v>
          </cell>
          <cell r="X38352" t="str">
            <v>Variation UPR - gross</v>
          </cell>
          <cell r="Y38352" t="str">
            <v>PUERTO RICO</v>
          </cell>
        </row>
        <row r="38353">
          <cell r="L38353" t="str">
            <v>Non-proportional</v>
          </cell>
          <cell r="S38353">
            <v>-2224.3000000000002</v>
          </cell>
          <cell r="X38353" t="str">
            <v>Variation UPR - gross</v>
          </cell>
          <cell r="Y38353" t="str">
            <v>ECUADOR</v>
          </cell>
        </row>
        <row r="38354">
          <cell r="L38354" t="str">
            <v>Non-proportional</v>
          </cell>
          <cell r="S38354">
            <v>-560.5</v>
          </cell>
          <cell r="X38354" t="str">
            <v>Variation UPR - gross</v>
          </cell>
          <cell r="Y38354" t="str">
            <v>PORTUGAL</v>
          </cell>
        </row>
        <row r="38355">
          <cell r="L38355" t="str">
            <v>Non-proportional</v>
          </cell>
          <cell r="S38355">
            <v>-1546248.92</v>
          </cell>
          <cell r="X38355" t="str">
            <v>Variation UPR - gross</v>
          </cell>
          <cell r="Y38355" t="str">
            <v>BELGIUM</v>
          </cell>
        </row>
        <row r="38356">
          <cell r="L38356" t="str">
            <v>Non-proportional</v>
          </cell>
          <cell r="S38356">
            <v>-9915.7000000000007</v>
          </cell>
          <cell r="X38356" t="str">
            <v>Variation UPR - gross</v>
          </cell>
          <cell r="Y38356" t="str">
            <v>NETHERLANDS</v>
          </cell>
        </row>
        <row r="38357">
          <cell r="L38357" t="str">
            <v>Non-proportional</v>
          </cell>
          <cell r="S38357">
            <v>-417.67</v>
          </cell>
          <cell r="X38357" t="str">
            <v>Variation UPR - gross</v>
          </cell>
          <cell r="Y38357" t="str">
            <v>NETHERLANDS</v>
          </cell>
        </row>
        <row r="38358">
          <cell r="L38358" t="str">
            <v>Non-proportional</v>
          </cell>
          <cell r="S38358">
            <v>-2273.46</v>
          </cell>
          <cell r="X38358" t="str">
            <v>Variation UPR - gross</v>
          </cell>
          <cell r="Y38358" t="str">
            <v>ECUADOR</v>
          </cell>
        </row>
        <row r="38359">
          <cell r="L38359" t="str">
            <v>Proportional</v>
          </cell>
          <cell r="S38359">
            <v>-137280</v>
          </cell>
          <cell r="X38359" t="str">
            <v>Variation UPR - gross</v>
          </cell>
          <cell r="Y38359" t="str">
            <v>PORTUGAL</v>
          </cell>
        </row>
        <row r="38360">
          <cell r="L38360" t="str">
            <v>Non-proportional</v>
          </cell>
          <cell r="S38360">
            <v>-985.34</v>
          </cell>
          <cell r="X38360" t="str">
            <v>Variation UPR - gross</v>
          </cell>
          <cell r="Y38360" t="str">
            <v>JAPAN</v>
          </cell>
        </row>
        <row r="38361">
          <cell r="L38361" t="str">
            <v>Non-proportional</v>
          </cell>
          <cell r="S38361">
            <v>0.04</v>
          </cell>
          <cell r="X38361" t="str">
            <v>Variation UPR - gross</v>
          </cell>
          <cell r="Y38361" t="str">
            <v>COLOMBIA</v>
          </cell>
        </row>
        <row r="38362">
          <cell r="L38362" t="str">
            <v>Non-proportional</v>
          </cell>
          <cell r="S38362">
            <v>20685.72</v>
          </cell>
          <cell r="X38362" t="str">
            <v>Variation UPR - gross</v>
          </cell>
          <cell r="Y38362" t="str">
            <v>THAILAND</v>
          </cell>
        </row>
        <row r="38363">
          <cell r="L38363" t="str">
            <v>Non-proportional</v>
          </cell>
          <cell r="S38363">
            <v>-3674.05</v>
          </cell>
          <cell r="X38363" t="str">
            <v>Variation UPR - gross</v>
          </cell>
          <cell r="Y38363" t="str">
            <v>ISRAEL</v>
          </cell>
        </row>
        <row r="38364">
          <cell r="L38364" t="str">
            <v>Non-proportional</v>
          </cell>
          <cell r="S38364">
            <v>-4078.13</v>
          </cell>
          <cell r="X38364" t="str">
            <v>Variation UPR - gross</v>
          </cell>
          <cell r="Y38364" t="str">
            <v>GREECE</v>
          </cell>
        </row>
        <row r="38365">
          <cell r="L38365" t="str">
            <v>Non-proportional</v>
          </cell>
          <cell r="S38365">
            <v>-5937.69</v>
          </cell>
          <cell r="X38365" t="str">
            <v>Variation UPR - gross</v>
          </cell>
          <cell r="Y38365" t="str">
            <v>PERU</v>
          </cell>
        </row>
        <row r="38366">
          <cell r="L38366" t="str">
            <v>Non-proportional</v>
          </cell>
          <cell r="S38366">
            <v>-9333.33</v>
          </cell>
          <cell r="X38366" t="str">
            <v>Variation UPR - gross</v>
          </cell>
          <cell r="Y38366" t="str">
            <v>PORTUGAL</v>
          </cell>
        </row>
        <row r="38367">
          <cell r="L38367" t="str">
            <v>Non-proportional</v>
          </cell>
          <cell r="S38367">
            <v>-4860.3500000000004</v>
          </cell>
          <cell r="X38367" t="str">
            <v>Variation UPR - gross</v>
          </cell>
          <cell r="Y38367" t="str">
            <v>PERU</v>
          </cell>
        </row>
        <row r="38368">
          <cell r="L38368" t="str">
            <v>Non-proportional</v>
          </cell>
          <cell r="S38368">
            <v>-820.54</v>
          </cell>
          <cell r="X38368" t="str">
            <v>Variation UPR - gross</v>
          </cell>
          <cell r="Y38368" t="str">
            <v>PERU</v>
          </cell>
        </row>
        <row r="38369">
          <cell r="L38369" t="str">
            <v>Proportional</v>
          </cell>
          <cell r="S38369">
            <v>-242448.89</v>
          </cell>
          <cell r="X38369" t="str">
            <v>Variation UPR - gross</v>
          </cell>
          <cell r="Y38369" t="str">
            <v>UNITED STATES</v>
          </cell>
        </row>
        <row r="38370">
          <cell r="L38370" t="str">
            <v>Non-proportional</v>
          </cell>
          <cell r="S38370">
            <v>-985.34</v>
          </cell>
          <cell r="X38370" t="str">
            <v>Variation UPR - gross</v>
          </cell>
          <cell r="Y38370" t="str">
            <v>JAPAN</v>
          </cell>
        </row>
        <row r="38371">
          <cell r="L38371" t="str">
            <v>Non-proportional</v>
          </cell>
          <cell r="S38371">
            <v>-188.11</v>
          </cell>
          <cell r="X38371" t="str">
            <v>Variation UPR - gross</v>
          </cell>
          <cell r="Y38371" t="str">
            <v>JAPAN</v>
          </cell>
        </row>
        <row r="38372">
          <cell r="L38372" t="str">
            <v>Non-proportional</v>
          </cell>
          <cell r="S38372">
            <v>21.93</v>
          </cell>
          <cell r="X38372" t="str">
            <v>Variation UPR - gross</v>
          </cell>
          <cell r="Y38372" t="str">
            <v>COLOMBIA</v>
          </cell>
        </row>
        <row r="38373">
          <cell r="L38373" t="str">
            <v>Non-proportional</v>
          </cell>
          <cell r="S38373">
            <v>-9654.84</v>
          </cell>
          <cell r="X38373" t="str">
            <v>Variation UPR - gross</v>
          </cell>
          <cell r="Y38373" t="str">
            <v>COSTA RICA</v>
          </cell>
        </row>
        <row r="38374">
          <cell r="L38374" t="str">
            <v>Non-proportional</v>
          </cell>
          <cell r="S38374">
            <v>44.3</v>
          </cell>
          <cell r="X38374" t="str">
            <v>Variation UPR - gross</v>
          </cell>
          <cell r="Y38374" t="str">
            <v>JAPAN</v>
          </cell>
        </row>
        <row r="38375">
          <cell r="L38375" t="str">
            <v>Non-proportional</v>
          </cell>
          <cell r="S38375">
            <v>83.88</v>
          </cell>
          <cell r="X38375" t="str">
            <v>Variation UPR - gross</v>
          </cell>
          <cell r="Y38375" t="str">
            <v>JAPAN</v>
          </cell>
        </row>
        <row r="38376">
          <cell r="L38376" t="str">
            <v>Non-proportional</v>
          </cell>
          <cell r="S38376">
            <v>-984.26</v>
          </cell>
          <cell r="X38376" t="str">
            <v>Variation UPR - gross</v>
          </cell>
          <cell r="Y38376" t="str">
            <v>COLOMBIA</v>
          </cell>
        </row>
        <row r="38377">
          <cell r="L38377" t="str">
            <v>Non-proportional</v>
          </cell>
          <cell r="S38377">
            <v>-33547.26</v>
          </cell>
          <cell r="X38377" t="str">
            <v>Variation UPR - gross</v>
          </cell>
          <cell r="Y38377" t="str">
            <v>NEW ZEALAND</v>
          </cell>
        </row>
        <row r="38378">
          <cell r="L38378" t="str">
            <v>Non-proportional</v>
          </cell>
          <cell r="S38378">
            <v>-8329.66</v>
          </cell>
          <cell r="X38378" t="str">
            <v>Variation UPR - gross</v>
          </cell>
          <cell r="Y38378" t="str">
            <v>CHILE</v>
          </cell>
        </row>
        <row r="38379">
          <cell r="L38379" t="str">
            <v>Non-proportional</v>
          </cell>
          <cell r="S38379">
            <v>-4180.0600000000004</v>
          </cell>
          <cell r="X38379" t="str">
            <v>Variation UPR - gross</v>
          </cell>
          <cell r="Y38379" t="str">
            <v>THAILAND</v>
          </cell>
        </row>
        <row r="38380">
          <cell r="L38380" t="str">
            <v>Non-proportional</v>
          </cell>
          <cell r="S38380">
            <v>4427.6000000000004</v>
          </cell>
          <cell r="X38380" t="str">
            <v>Variation UPR - gross</v>
          </cell>
          <cell r="Y38380" t="str">
            <v>AUSTRALIA</v>
          </cell>
        </row>
        <row r="38381">
          <cell r="L38381" t="str">
            <v>Non-proportional</v>
          </cell>
          <cell r="S38381">
            <v>-8186.94</v>
          </cell>
          <cell r="X38381" t="str">
            <v>Variation UPR - gross</v>
          </cell>
          <cell r="Y38381" t="str">
            <v>AUSTRALIA</v>
          </cell>
        </row>
        <row r="38382">
          <cell r="L38382" t="str">
            <v>Non-proportional</v>
          </cell>
          <cell r="S38382">
            <v>-3969.53</v>
          </cell>
          <cell r="X38382" t="str">
            <v>Variation UPR - gross</v>
          </cell>
          <cell r="Y38382" t="str">
            <v>AUSTRALIA</v>
          </cell>
        </row>
        <row r="38383">
          <cell r="L38383" t="str">
            <v>Non-proportional</v>
          </cell>
          <cell r="S38383">
            <v>-12824.76</v>
          </cell>
          <cell r="X38383" t="str">
            <v>Variation UPR - gross</v>
          </cell>
          <cell r="Y38383" t="str">
            <v>NEW ZEALAND</v>
          </cell>
        </row>
        <row r="38384">
          <cell r="L38384" t="str">
            <v>Non-proportional</v>
          </cell>
          <cell r="S38384">
            <v>-1097.19</v>
          </cell>
          <cell r="X38384" t="str">
            <v>Variation UPR - gross</v>
          </cell>
          <cell r="Y38384" t="str">
            <v>INDIA</v>
          </cell>
        </row>
        <row r="38385">
          <cell r="L38385" t="str">
            <v>Non-proportional</v>
          </cell>
          <cell r="S38385">
            <v>-4475.22</v>
          </cell>
          <cell r="X38385" t="str">
            <v>Variation UPR - gross</v>
          </cell>
          <cell r="Y38385" t="str">
            <v>GUATEMALA</v>
          </cell>
        </row>
        <row r="38386">
          <cell r="L38386" t="str">
            <v>Non-proportional</v>
          </cell>
          <cell r="S38386">
            <v>-1755.69</v>
          </cell>
          <cell r="X38386" t="str">
            <v>Variation UPR - gross</v>
          </cell>
          <cell r="Y38386" t="str">
            <v>JAPAN</v>
          </cell>
        </row>
        <row r="38387">
          <cell r="L38387" t="str">
            <v>Proportional</v>
          </cell>
          <cell r="S38387">
            <v>-1520.44</v>
          </cell>
          <cell r="X38387" t="str">
            <v>Variation UPR - gross</v>
          </cell>
          <cell r="Y38387" t="str">
            <v>THAILAND</v>
          </cell>
        </row>
        <row r="38388">
          <cell r="L38388" t="str">
            <v>Non-proportional</v>
          </cell>
          <cell r="S38388">
            <v>-961.78</v>
          </cell>
          <cell r="X38388" t="str">
            <v>Variation UPR - gross</v>
          </cell>
          <cell r="Y38388" t="str">
            <v>PERU</v>
          </cell>
        </row>
        <row r="38389">
          <cell r="L38389" t="str">
            <v>Non-proportional</v>
          </cell>
          <cell r="S38389">
            <v>-7703.6</v>
          </cell>
          <cell r="X38389" t="str">
            <v>Variation UPR - gross</v>
          </cell>
          <cell r="Y38389" t="str">
            <v>MEXICO</v>
          </cell>
        </row>
        <row r="38390">
          <cell r="L38390" t="str">
            <v>Non-proportional</v>
          </cell>
          <cell r="S38390">
            <v>-5062.42</v>
          </cell>
          <cell r="X38390" t="str">
            <v>Variation UPR - gross</v>
          </cell>
          <cell r="Y38390" t="str">
            <v>COLOMBIA</v>
          </cell>
        </row>
        <row r="38391">
          <cell r="L38391" t="str">
            <v>Proportional</v>
          </cell>
          <cell r="S38391">
            <v>-77.48</v>
          </cell>
          <cell r="X38391" t="str">
            <v>Variation UPR - gross</v>
          </cell>
          <cell r="Y38391" t="str">
            <v>UNITED STATES</v>
          </cell>
        </row>
        <row r="38392">
          <cell r="L38392" t="str">
            <v>Non-proportional</v>
          </cell>
          <cell r="S38392">
            <v>-12011.95</v>
          </cell>
          <cell r="X38392" t="str">
            <v>Variation UPR - gross</v>
          </cell>
          <cell r="Y38392" t="str">
            <v>FRANCE</v>
          </cell>
        </row>
        <row r="38393">
          <cell r="L38393" t="str">
            <v>Non-proportional</v>
          </cell>
          <cell r="S38393">
            <v>-1061352.4099999999</v>
          </cell>
          <cell r="X38393" t="str">
            <v>Variation UPR - gross</v>
          </cell>
          <cell r="Y38393" t="str">
            <v>BELGIUM</v>
          </cell>
        </row>
        <row r="38394">
          <cell r="L38394" t="str">
            <v>Proportional</v>
          </cell>
          <cell r="S38394">
            <v>-229.79</v>
          </cell>
          <cell r="X38394" t="str">
            <v>Variation UPR - gross</v>
          </cell>
          <cell r="Y38394" t="str">
            <v>THAILAND</v>
          </cell>
        </row>
        <row r="38395">
          <cell r="L38395" t="str">
            <v>Non-proportional</v>
          </cell>
          <cell r="S38395">
            <v>-1202.25</v>
          </cell>
          <cell r="X38395" t="str">
            <v>Variation UPR - gross</v>
          </cell>
          <cell r="Y38395" t="str">
            <v>REPUBLIC OF IRELAND</v>
          </cell>
        </row>
        <row r="38396">
          <cell r="L38396" t="str">
            <v>Non-proportional</v>
          </cell>
          <cell r="S38396">
            <v>89.03</v>
          </cell>
          <cell r="X38396" t="str">
            <v>Variation UPR - gross</v>
          </cell>
          <cell r="Y38396" t="str">
            <v>AUSTRALIA</v>
          </cell>
        </row>
        <row r="38397">
          <cell r="L38397" t="str">
            <v>Non-proportional</v>
          </cell>
          <cell r="S38397">
            <v>-771.5</v>
          </cell>
          <cell r="X38397" t="str">
            <v>Variation UPR - gross</v>
          </cell>
          <cell r="Y38397" t="str">
            <v>GERMANY</v>
          </cell>
        </row>
        <row r="38398">
          <cell r="L38398" t="str">
            <v>Non-proportional</v>
          </cell>
          <cell r="S38398">
            <v>-3216.99</v>
          </cell>
          <cell r="X38398" t="str">
            <v>Variation UPR - gross</v>
          </cell>
          <cell r="Y38398" t="str">
            <v>DOMINICAN REPUBLIC</v>
          </cell>
        </row>
        <row r="38399">
          <cell r="L38399" t="str">
            <v>Non-proportional</v>
          </cell>
          <cell r="S38399">
            <v>-6556.66</v>
          </cell>
          <cell r="X38399" t="str">
            <v>Variation UPR - gross</v>
          </cell>
          <cell r="Y38399" t="str">
            <v>AUSTRALIA</v>
          </cell>
        </row>
        <row r="38400">
          <cell r="L38400" t="str">
            <v>Non-proportional</v>
          </cell>
          <cell r="S38400">
            <v>-3056.35</v>
          </cell>
          <cell r="X38400" t="str">
            <v>Variation UPR - gross</v>
          </cell>
          <cell r="Y38400" t="str">
            <v>ISRAEL</v>
          </cell>
        </row>
        <row r="38401">
          <cell r="L38401" t="str">
            <v>Non-proportional</v>
          </cell>
          <cell r="S38401">
            <v>-10728.28</v>
          </cell>
          <cell r="X38401" t="str">
            <v>Variation UPR - gross</v>
          </cell>
          <cell r="Y38401" t="str">
            <v>NEW ZEALAND</v>
          </cell>
        </row>
        <row r="38402">
          <cell r="L38402" t="str">
            <v>Non-proportional</v>
          </cell>
          <cell r="S38402">
            <v>-2226.66</v>
          </cell>
          <cell r="X38402" t="str">
            <v>Variation UPR - gross</v>
          </cell>
          <cell r="Y38402" t="str">
            <v>INDIA</v>
          </cell>
        </row>
        <row r="38403">
          <cell r="L38403" t="str">
            <v>Non-proportional</v>
          </cell>
          <cell r="S38403">
            <v>-3883.07</v>
          </cell>
          <cell r="X38403" t="str">
            <v>Variation UPR - gross</v>
          </cell>
          <cell r="Y38403" t="str">
            <v>NEW ZEALAND</v>
          </cell>
        </row>
        <row r="38404">
          <cell r="L38404" t="str">
            <v>Non-proportional</v>
          </cell>
          <cell r="S38404">
            <v>-665.05</v>
          </cell>
          <cell r="X38404" t="str">
            <v>Variation UPR - gross</v>
          </cell>
          <cell r="Y38404" t="str">
            <v>FRANCE</v>
          </cell>
        </row>
        <row r="38405">
          <cell r="L38405" t="str">
            <v>Non-proportional</v>
          </cell>
          <cell r="S38405">
            <v>-45967.34</v>
          </cell>
          <cell r="X38405" t="str">
            <v>Variation UPR - gross</v>
          </cell>
          <cell r="Y38405" t="str">
            <v>UNITED KINGDOM</v>
          </cell>
        </row>
        <row r="38406">
          <cell r="L38406" t="str">
            <v>Non-proportional</v>
          </cell>
          <cell r="S38406">
            <v>80.02</v>
          </cell>
          <cell r="X38406" t="str">
            <v>Variation UPR - gross</v>
          </cell>
          <cell r="Y38406" t="str">
            <v>COLOMBIA</v>
          </cell>
        </row>
        <row r="38407">
          <cell r="L38407" t="str">
            <v>Non-proportional</v>
          </cell>
          <cell r="S38407">
            <v>-2796.73</v>
          </cell>
          <cell r="X38407" t="str">
            <v>Variation UPR - gross</v>
          </cell>
          <cell r="Y38407" t="str">
            <v>COLOMBIA</v>
          </cell>
        </row>
        <row r="38408">
          <cell r="L38408" t="str">
            <v>Non-proportional</v>
          </cell>
          <cell r="S38408">
            <v>7.69</v>
          </cell>
          <cell r="X38408" t="str">
            <v>Variation UPR - gross</v>
          </cell>
          <cell r="Y38408" t="str">
            <v>JAPAN</v>
          </cell>
        </row>
        <row r="38409">
          <cell r="L38409" t="str">
            <v>Non-proportional</v>
          </cell>
          <cell r="S38409">
            <v>-5423.59</v>
          </cell>
          <cell r="X38409" t="str">
            <v>Variation UPR - gross</v>
          </cell>
          <cell r="Y38409" t="str">
            <v>ISRAEL</v>
          </cell>
        </row>
        <row r="38410">
          <cell r="L38410" t="str">
            <v>Non-proportional</v>
          </cell>
          <cell r="S38410">
            <v>-1108.1400000000001</v>
          </cell>
          <cell r="X38410" t="str">
            <v>Variation UPR - gross</v>
          </cell>
          <cell r="Y38410" t="str">
            <v>COSTA RICA</v>
          </cell>
        </row>
        <row r="38411">
          <cell r="L38411" t="str">
            <v>Non-proportional</v>
          </cell>
          <cell r="S38411">
            <v>-1172.3</v>
          </cell>
          <cell r="X38411" t="str">
            <v>Variation UPR - gross</v>
          </cell>
          <cell r="Y38411" t="str">
            <v>FRANCE</v>
          </cell>
        </row>
        <row r="38412">
          <cell r="L38412" t="str">
            <v>Non-proportional</v>
          </cell>
          <cell r="S38412">
            <v>-2160.39</v>
          </cell>
          <cell r="X38412" t="str">
            <v>Variation UPR - gross</v>
          </cell>
          <cell r="Y38412" t="str">
            <v>JAPAN</v>
          </cell>
        </row>
        <row r="38413">
          <cell r="L38413" t="str">
            <v>Non-proportional</v>
          </cell>
          <cell r="S38413">
            <v>98134.57</v>
          </cell>
          <cell r="X38413" t="str">
            <v>Variation UPR - gross</v>
          </cell>
          <cell r="Y38413" t="str">
            <v>PUERTO RICO</v>
          </cell>
        </row>
        <row r="38414">
          <cell r="L38414" t="str">
            <v>Non-proportional</v>
          </cell>
          <cell r="S38414">
            <v>-1778.28</v>
          </cell>
          <cell r="X38414" t="str">
            <v>Variation UPR - gross</v>
          </cell>
          <cell r="Y38414" t="str">
            <v>SOUTH AFRICA</v>
          </cell>
        </row>
        <row r="38415">
          <cell r="L38415" t="str">
            <v>Non-proportional</v>
          </cell>
          <cell r="S38415">
            <v>-40439.39</v>
          </cell>
          <cell r="X38415" t="str">
            <v>Variation UPR - gross</v>
          </cell>
          <cell r="Y38415" t="str">
            <v>UNITED KINGDOM</v>
          </cell>
        </row>
        <row r="38416">
          <cell r="L38416" t="str">
            <v>Non-proportional</v>
          </cell>
          <cell r="S38416">
            <v>266.42</v>
          </cell>
          <cell r="X38416" t="str">
            <v>Variation UPR - gross</v>
          </cell>
          <cell r="Y38416" t="str">
            <v>COLOMBIA</v>
          </cell>
        </row>
        <row r="38417">
          <cell r="L38417" t="str">
            <v>Proportional</v>
          </cell>
          <cell r="S38417">
            <v>-92666.67</v>
          </cell>
          <cell r="X38417" t="str">
            <v>Variation UPR - gross</v>
          </cell>
          <cell r="Y38417" t="str">
            <v>FRANCE</v>
          </cell>
        </row>
        <row r="38418">
          <cell r="L38418" t="str">
            <v>Non-proportional</v>
          </cell>
          <cell r="S38418">
            <v>-1195603.67</v>
          </cell>
          <cell r="X38418" t="str">
            <v>Variation UPR - gross</v>
          </cell>
          <cell r="Y38418" t="str">
            <v>UNITED KINGDOM</v>
          </cell>
        </row>
        <row r="38419">
          <cell r="L38419" t="str">
            <v>Non-proportional</v>
          </cell>
          <cell r="S38419">
            <v>25.67</v>
          </cell>
          <cell r="X38419" t="str">
            <v>Variation UPR - gross</v>
          </cell>
          <cell r="Y38419" t="str">
            <v>JAPAN</v>
          </cell>
        </row>
        <row r="38420">
          <cell r="L38420" t="str">
            <v>Non-proportional</v>
          </cell>
          <cell r="S38420">
            <v>-22577.57</v>
          </cell>
          <cell r="X38420" t="str">
            <v>Variation UPR - gross</v>
          </cell>
          <cell r="Y38420" t="str">
            <v>UNITED KINGDOM</v>
          </cell>
        </row>
        <row r="38421">
          <cell r="L38421" t="str">
            <v>Non-proportional</v>
          </cell>
          <cell r="S38421">
            <v>-3211.43</v>
          </cell>
          <cell r="X38421" t="str">
            <v>Variation UPR - gross</v>
          </cell>
          <cell r="Y38421" t="str">
            <v>UNITED KINGDOM</v>
          </cell>
        </row>
        <row r="38422">
          <cell r="L38422" t="str">
            <v>Proportional</v>
          </cell>
          <cell r="S38422">
            <v>6429.21</v>
          </cell>
          <cell r="X38422" t="str">
            <v>Variation UPR - gross</v>
          </cell>
          <cell r="Y38422" t="str">
            <v>THAILAND</v>
          </cell>
        </row>
        <row r="38423">
          <cell r="L38423" t="str">
            <v>Non-proportional</v>
          </cell>
          <cell r="S38423">
            <v>-29.5</v>
          </cell>
          <cell r="X38423" t="str">
            <v>Variation UPR - gross</v>
          </cell>
          <cell r="Y38423" t="str">
            <v>ISRAEL</v>
          </cell>
        </row>
        <row r="38424">
          <cell r="L38424" t="str">
            <v>Proportional</v>
          </cell>
          <cell r="S38424">
            <v>-728</v>
          </cell>
          <cell r="X38424" t="str">
            <v>Variation UPR - gross</v>
          </cell>
          <cell r="Y38424" t="str">
            <v>SAUDI ARABIA</v>
          </cell>
        </row>
        <row r="38425">
          <cell r="L38425" t="str">
            <v>Proportional</v>
          </cell>
          <cell r="S38425">
            <v>-151253.76999999999</v>
          </cell>
          <cell r="X38425" t="str">
            <v>Variation UPR - gross</v>
          </cell>
          <cell r="Y38425" t="str">
            <v>CANADA</v>
          </cell>
        </row>
        <row r="38426">
          <cell r="L38426" t="str">
            <v>Non-proportional</v>
          </cell>
          <cell r="S38426">
            <v>-102626.92</v>
          </cell>
          <cell r="X38426" t="str">
            <v>Variation UPR - gross</v>
          </cell>
          <cell r="Y38426" t="str">
            <v>UNITED KINGDOM</v>
          </cell>
        </row>
        <row r="38427">
          <cell r="L38427" t="str">
            <v>Non-proportional</v>
          </cell>
          <cell r="S38427">
            <v>118.06</v>
          </cell>
          <cell r="X38427" t="str">
            <v>Variation UPR - gross</v>
          </cell>
          <cell r="Y38427" t="str">
            <v>JAPAN</v>
          </cell>
        </row>
        <row r="38428">
          <cell r="L38428" t="str">
            <v>Non-proportional</v>
          </cell>
          <cell r="S38428">
            <v>-2517.67</v>
          </cell>
          <cell r="X38428" t="str">
            <v>Variation UPR - gross</v>
          </cell>
          <cell r="Y38428" t="str">
            <v>ITALY</v>
          </cell>
        </row>
        <row r="38429">
          <cell r="L38429" t="str">
            <v>Non-proportional</v>
          </cell>
          <cell r="S38429">
            <v>-860</v>
          </cell>
          <cell r="X38429" t="str">
            <v>Variation UPR - gross</v>
          </cell>
          <cell r="Y38429" t="str">
            <v>GREECE</v>
          </cell>
        </row>
        <row r="38430">
          <cell r="L38430" t="str">
            <v>Non-proportional</v>
          </cell>
          <cell r="S38430">
            <v>-19231.490000000002</v>
          </cell>
          <cell r="X38430" t="str">
            <v>Variation UPR - gross</v>
          </cell>
          <cell r="Y38430" t="str">
            <v>FRANCE</v>
          </cell>
        </row>
        <row r="38431">
          <cell r="L38431" t="str">
            <v>Non-proportional</v>
          </cell>
          <cell r="S38431">
            <v>-924.04</v>
          </cell>
          <cell r="X38431" t="str">
            <v>Variation UPR - gross</v>
          </cell>
          <cell r="Y38431" t="str">
            <v>ECUADOR</v>
          </cell>
        </row>
        <row r="38432">
          <cell r="L38432" t="str">
            <v>Proportional</v>
          </cell>
          <cell r="S38432">
            <v>-2458333.33</v>
          </cell>
          <cell r="X38432" t="str">
            <v>Variation UPR - gross</v>
          </cell>
          <cell r="Y38432" t="str">
            <v>PORTUGAL</v>
          </cell>
        </row>
        <row r="38433">
          <cell r="L38433" t="str">
            <v>Non-proportional</v>
          </cell>
          <cell r="S38433">
            <v>-146.13</v>
          </cell>
          <cell r="X38433" t="str">
            <v>Variation UPR - gross</v>
          </cell>
          <cell r="Y38433" t="str">
            <v>CHILE</v>
          </cell>
        </row>
        <row r="38434">
          <cell r="L38434" t="str">
            <v>Non-proportional</v>
          </cell>
          <cell r="S38434">
            <v>154.76</v>
          </cell>
          <cell r="X38434" t="str">
            <v>Variation UPR - gross</v>
          </cell>
          <cell r="Y38434" t="str">
            <v>DOMINICAN REPUBLIC</v>
          </cell>
        </row>
        <row r="38435">
          <cell r="L38435" t="str">
            <v>Non-proportional</v>
          </cell>
          <cell r="S38435">
            <v>24944.54</v>
          </cell>
          <cell r="X38435" t="str">
            <v>Variation UPR - gross</v>
          </cell>
          <cell r="Y38435" t="str">
            <v>THAILAND</v>
          </cell>
        </row>
        <row r="38436">
          <cell r="L38436" t="str">
            <v>Non-proportional</v>
          </cell>
          <cell r="S38436">
            <v>270.22000000000003</v>
          </cell>
          <cell r="X38436" t="str">
            <v>Variation UPR - gross</v>
          </cell>
          <cell r="Y38436" t="str">
            <v>NEW ZEALAND</v>
          </cell>
        </row>
        <row r="38437">
          <cell r="L38437" t="str">
            <v>Non-proportional</v>
          </cell>
          <cell r="S38437">
            <v>-2039.02</v>
          </cell>
          <cell r="X38437" t="str">
            <v>Variation UPR - gross</v>
          </cell>
          <cell r="Y38437" t="str">
            <v>DOMINICAN REPUBLIC</v>
          </cell>
        </row>
        <row r="38438">
          <cell r="L38438" t="str">
            <v>Non-proportional</v>
          </cell>
          <cell r="S38438">
            <v>-9569.33</v>
          </cell>
          <cell r="X38438" t="str">
            <v>Variation UPR - gross</v>
          </cell>
          <cell r="Y38438" t="str">
            <v>AUSTRALIA</v>
          </cell>
        </row>
        <row r="38439">
          <cell r="L38439" t="str">
            <v>Non-proportional</v>
          </cell>
          <cell r="S38439">
            <v>-479.24</v>
          </cell>
          <cell r="X38439" t="str">
            <v>Variation UPR - gross</v>
          </cell>
          <cell r="Y38439" t="str">
            <v>BRAZIL</v>
          </cell>
        </row>
        <row r="38440">
          <cell r="L38440" t="str">
            <v>Non-proportional</v>
          </cell>
          <cell r="S38440">
            <v>-20197.509999999998</v>
          </cell>
          <cell r="X38440" t="str">
            <v>Variation UPR - gross</v>
          </cell>
          <cell r="Y38440" t="str">
            <v>ITALY</v>
          </cell>
        </row>
        <row r="38441">
          <cell r="L38441" t="str">
            <v>Proportional</v>
          </cell>
          <cell r="S38441">
            <v>-437899.8</v>
          </cell>
          <cell r="X38441" t="str">
            <v>Variation UPR - gross</v>
          </cell>
          <cell r="Y38441" t="str">
            <v>HONG KONG</v>
          </cell>
        </row>
        <row r="38442">
          <cell r="L38442" t="str">
            <v>Non-proportional</v>
          </cell>
          <cell r="S38442">
            <v>-6826.76</v>
          </cell>
          <cell r="X38442" t="str">
            <v>Variation UPR - gross</v>
          </cell>
          <cell r="Y38442" t="str">
            <v>COLOMBIA</v>
          </cell>
        </row>
        <row r="38443">
          <cell r="L38443" t="str">
            <v>Non-proportional</v>
          </cell>
          <cell r="S38443">
            <v>-44667.12</v>
          </cell>
          <cell r="X38443" t="str">
            <v>Variation UPR - gross</v>
          </cell>
          <cell r="Y38443" t="str">
            <v>UNITED KINGDOM</v>
          </cell>
        </row>
        <row r="38444">
          <cell r="L38444" t="str">
            <v>Non-proportional</v>
          </cell>
          <cell r="S38444">
            <v>429.38</v>
          </cell>
          <cell r="X38444" t="str">
            <v>Variation UPR - gross</v>
          </cell>
          <cell r="Y38444" t="str">
            <v>NEW ZEALAND</v>
          </cell>
        </row>
        <row r="38445">
          <cell r="L38445" t="str">
            <v>Proportional</v>
          </cell>
          <cell r="S38445">
            <v>-22899.759999999998</v>
          </cell>
          <cell r="X38445" t="str">
            <v>Variation UPR - gross</v>
          </cell>
          <cell r="Y38445" t="str">
            <v>JAPAN</v>
          </cell>
        </row>
        <row r="38446">
          <cell r="L38446" t="str">
            <v>Non-proportional</v>
          </cell>
          <cell r="S38446">
            <v>-16746.669999999998</v>
          </cell>
          <cell r="X38446" t="str">
            <v>Variation UPR - gross</v>
          </cell>
          <cell r="Y38446" t="str">
            <v>AUSTRALIA</v>
          </cell>
        </row>
        <row r="38447">
          <cell r="L38447" t="str">
            <v>Proportional</v>
          </cell>
          <cell r="S38447">
            <v>-107949.47</v>
          </cell>
          <cell r="X38447" t="str">
            <v>Variation UPR - gross</v>
          </cell>
          <cell r="Y38447" t="str">
            <v>UNITED STATES</v>
          </cell>
        </row>
        <row r="38448">
          <cell r="L38448" t="str">
            <v>Non-proportional</v>
          </cell>
          <cell r="S38448">
            <v>-2041.67</v>
          </cell>
          <cell r="X38448" t="str">
            <v>Variation UPR - gross</v>
          </cell>
          <cell r="Y38448" t="str">
            <v>ITALY</v>
          </cell>
        </row>
        <row r="38449">
          <cell r="L38449" t="str">
            <v>Non-proportional</v>
          </cell>
          <cell r="S38449">
            <v>-1406.25</v>
          </cell>
          <cell r="X38449" t="str">
            <v>Variation UPR - gross</v>
          </cell>
          <cell r="Y38449" t="str">
            <v>GREECE</v>
          </cell>
        </row>
        <row r="38450">
          <cell r="L38450" t="str">
            <v>Non-proportional</v>
          </cell>
          <cell r="S38450">
            <v>-2043.75</v>
          </cell>
          <cell r="X38450" t="str">
            <v>Variation UPR - gross</v>
          </cell>
          <cell r="Y38450" t="str">
            <v>GREECE</v>
          </cell>
        </row>
        <row r="38451">
          <cell r="L38451" t="str">
            <v>Non-proportional</v>
          </cell>
          <cell r="S38451">
            <v>-3121.73</v>
          </cell>
          <cell r="X38451" t="str">
            <v>Variation UPR - gross</v>
          </cell>
          <cell r="Y38451" t="str">
            <v>ISRAEL</v>
          </cell>
        </row>
        <row r="38452">
          <cell r="L38452" t="str">
            <v>Non-proportional</v>
          </cell>
          <cell r="S38452">
            <v>-4751.26</v>
          </cell>
          <cell r="X38452" t="str">
            <v>Variation UPR - gross</v>
          </cell>
          <cell r="Y38452" t="str">
            <v>FRANCE</v>
          </cell>
        </row>
        <row r="38453">
          <cell r="L38453" t="str">
            <v>Non-proportional</v>
          </cell>
          <cell r="S38453">
            <v>-6327.29</v>
          </cell>
          <cell r="X38453" t="str">
            <v>Variation UPR - gross</v>
          </cell>
          <cell r="Y38453" t="str">
            <v>THAILAND</v>
          </cell>
        </row>
        <row r="38454">
          <cell r="L38454" t="str">
            <v>Non-proportional</v>
          </cell>
          <cell r="S38454">
            <v>-237.9</v>
          </cell>
          <cell r="X38454" t="str">
            <v>Variation UPR - gross</v>
          </cell>
          <cell r="Y38454" t="str">
            <v>JAPAN</v>
          </cell>
        </row>
        <row r="38455">
          <cell r="L38455" t="str">
            <v>Non-proportional</v>
          </cell>
          <cell r="S38455">
            <v>76823.83</v>
          </cell>
          <cell r="X38455" t="str">
            <v>Variation UPR - gross</v>
          </cell>
          <cell r="Y38455" t="str">
            <v>GERMANY</v>
          </cell>
        </row>
        <row r="38456">
          <cell r="L38456" t="str">
            <v>Non-proportional</v>
          </cell>
          <cell r="S38456">
            <v>97.45</v>
          </cell>
          <cell r="X38456" t="str">
            <v>Variation UPR - gross</v>
          </cell>
          <cell r="Y38456" t="str">
            <v>JAPAN</v>
          </cell>
        </row>
        <row r="38457">
          <cell r="L38457" t="str">
            <v>Proportional</v>
          </cell>
          <cell r="S38457">
            <v>-104039.16</v>
          </cell>
          <cell r="X38457" t="str">
            <v>Variation UPR - gross</v>
          </cell>
          <cell r="Y38457" t="str">
            <v>THAILAND</v>
          </cell>
        </row>
        <row r="38458">
          <cell r="L38458" t="str">
            <v>Non-proportional</v>
          </cell>
          <cell r="S38458">
            <v>-292.27</v>
          </cell>
          <cell r="X38458" t="str">
            <v>Variation UPR - gross</v>
          </cell>
          <cell r="Y38458" t="str">
            <v>CHILE</v>
          </cell>
        </row>
        <row r="38459">
          <cell r="L38459" t="str">
            <v>Non-proportional</v>
          </cell>
          <cell r="S38459">
            <v>-7003.15</v>
          </cell>
          <cell r="X38459" t="str">
            <v>Variation UPR - gross</v>
          </cell>
          <cell r="Y38459" t="str">
            <v>UNITED KINGDOM</v>
          </cell>
        </row>
        <row r="38460">
          <cell r="L38460" t="str">
            <v>Non-proportional</v>
          </cell>
          <cell r="S38460">
            <v>-4323.22</v>
          </cell>
          <cell r="X38460" t="str">
            <v>Variation UPR - gross</v>
          </cell>
          <cell r="Y38460" t="str">
            <v>UNITED KINGDOM</v>
          </cell>
        </row>
        <row r="38461">
          <cell r="L38461" t="str">
            <v>Proportional</v>
          </cell>
          <cell r="S38461">
            <v>-23691.19</v>
          </cell>
          <cell r="X38461" t="str">
            <v>Variation UPR - gross</v>
          </cell>
          <cell r="Y38461" t="str">
            <v>UNITED ARAB EMIRATES</v>
          </cell>
        </row>
        <row r="38462">
          <cell r="L38462" t="str">
            <v>Non-proportional</v>
          </cell>
          <cell r="S38462">
            <v>-2324.9</v>
          </cell>
          <cell r="X38462" t="str">
            <v>Variation UPR - gross</v>
          </cell>
          <cell r="Y38462" t="str">
            <v>ECUADOR</v>
          </cell>
        </row>
        <row r="38463">
          <cell r="L38463" t="str">
            <v>Non-proportional</v>
          </cell>
          <cell r="S38463">
            <v>-6662.77</v>
          </cell>
          <cell r="X38463" t="str">
            <v>Variation UPR - gross</v>
          </cell>
          <cell r="Y38463" t="str">
            <v>COLOMBIA</v>
          </cell>
        </row>
        <row r="38464">
          <cell r="L38464" t="str">
            <v>Non-proportional</v>
          </cell>
          <cell r="S38464">
            <v>-5851.33</v>
          </cell>
          <cell r="X38464" t="str">
            <v>Variation UPR - gross</v>
          </cell>
          <cell r="Y38464" t="str">
            <v>ITALY</v>
          </cell>
        </row>
        <row r="38465">
          <cell r="L38465" t="str">
            <v>Proportional</v>
          </cell>
          <cell r="S38465">
            <v>498.38</v>
          </cell>
          <cell r="X38465" t="str">
            <v>Variation UPR - gross</v>
          </cell>
          <cell r="Y38465" t="str">
            <v>THAILAND</v>
          </cell>
        </row>
        <row r="38466">
          <cell r="L38466" t="str">
            <v>Non-proportional</v>
          </cell>
          <cell r="S38466">
            <v>-36.47</v>
          </cell>
          <cell r="X38466" t="str">
            <v>Variation UPR - gross</v>
          </cell>
          <cell r="Y38466" t="str">
            <v>ISRAEL</v>
          </cell>
        </row>
        <row r="38467">
          <cell r="L38467" t="str">
            <v>Non-proportional</v>
          </cell>
          <cell r="S38467">
            <v>-888.39</v>
          </cell>
          <cell r="X38467" t="str">
            <v>Variation UPR - gross</v>
          </cell>
          <cell r="Y38467" t="str">
            <v>SOUTH AFRICA</v>
          </cell>
        </row>
        <row r="38468">
          <cell r="L38468" t="str">
            <v>Non-proportional</v>
          </cell>
          <cell r="S38468">
            <v>-310.68</v>
          </cell>
          <cell r="X38468" t="str">
            <v>Variation UPR - gross</v>
          </cell>
          <cell r="Y38468" t="str">
            <v>ITALY</v>
          </cell>
        </row>
        <row r="38469">
          <cell r="L38469" t="str">
            <v>Non-proportional</v>
          </cell>
          <cell r="S38469">
            <v>-2163.46</v>
          </cell>
          <cell r="X38469" t="str">
            <v>Variation UPR - gross</v>
          </cell>
          <cell r="Y38469" t="str">
            <v>UNITED KINGDOM</v>
          </cell>
        </row>
        <row r="38470">
          <cell r="L38470" t="str">
            <v>Non-proportional</v>
          </cell>
          <cell r="S38470">
            <v>-7267.71</v>
          </cell>
          <cell r="X38470" t="str">
            <v>Variation UPR - gross</v>
          </cell>
          <cell r="Y38470" t="str">
            <v>FRANCE</v>
          </cell>
        </row>
        <row r="38471">
          <cell r="L38471" t="str">
            <v>Non-proportional</v>
          </cell>
          <cell r="S38471">
            <v>-1571.06</v>
          </cell>
          <cell r="X38471" t="str">
            <v>Variation UPR - gross</v>
          </cell>
          <cell r="Y38471" t="str">
            <v>ISRAEL</v>
          </cell>
        </row>
        <row r="38472">
          <cell r="L38472" t="str">
            <v>Proportional</v>
          </cell>
          <cell r="S38472">
            <v>-17503.2</v>
          </cell>
          <cell r="X38472" t="str">
            <v>Variation UPR - gross</v>
          </cell>
          <cell r="Y38472" t="str">
            <v>ITALY</v>
          </cell>
        </row>
        <row r="38473">
          <cell r="L38473" t="str">
            <v>Non-proportional</v>
          </cell>
          <cell r="S38473">
            <v>-1207.96</v>
          </cell>
          <cell r="X38473" t="str">
            <v>Variation UPR - gross</v>
          </cell>
          <cell r="Y38473" t="str">
            <v>PERU</v>
          </cell>
        </row>
        <row r="38474">
          <cell r="L38474" t="str">
            <v>Non-proportional</v>
          </cell>
          <cell r="S38474">
            <v>-6259.1</v>
          </cell>
          <cell r="X38474" t="str">
            <v>Variation UPR - gross</v>
          </cell>
          <cell r="Y38474" t="str">
            <v>ISRAEL</v>
          </cell>
        </row>
        <row r="38475">
          <cell r="L38475" t="str">
            <v>Non-proportional</v>
          </cell>
          <cell r="S38475">
            <v>0.01</v>
          </cell>
          <cell r="X38475" t="str">
            <v>Variation UPR - gross</v>
          </cell>
          <cell r="Y38475" t="str">
            <v>DOMINICAN REPUBLIC</v>
          </cell>
        </row>
        <row r="38476">
          <cell r="L38476" t="str">
            <v>Non-proportional</v>
          </cell>
          <cell r="S38476">
            <v>-73.069999999999993</v>
          </cell>
          <cell r="X38476" t="str">
            <v>Variation UPR - gross</v>
          </cell>
          <cell r="Y38476" t="str">
            <v>CHILE</v>
          </cell>
        </row>
        <row r="38477">
          <cell r="L38477" t="str">
            <v>Non-proportional</v>
          </cell>
          <cell r="S38477">
            <v>-938.54</v>
          </cell>
          <cell r="X38477" t="str">
            <v>Variation UPR - gross</v>
          </cell>
          <cell r="Y38477" t="str">
            <v>ITALY</v>
          </cell>
        </row>
        <row r="38478">
          <cell r="L38478" t="str">
            <v>Non-proportional</v>
          </cell>
          <cell r="S38478">
            <v>24.15</v>
          </cell>
          <cell r="X38478" t="str">
            <v>Variation UPR - gross</v>
          </cell>
          <cell r="Y38478" t="str">
            <v>JAPAN</v>
          </cell>
        </row>
        <row r="38479">
          <cell r="L38479" t="str">
            <v>Non-proportional</v>
          </cell>
          <cell r="S38479">
            <v>-3439.97</v>
          </cell>
          <cell r="X38479" t="str">
            <v>Variation UPR - gross</v>
          </cell>
          <cell r="Y38479" t="str">
            <v>UNITED KINGDOM</v>
          </cell>
        </row>
        <row r="38480">
          <cell r="L38480" t="str">
            <v>Non-proportional</v>
          </cell>
          <cell r="S38480">
            <v>-11518.18</v>
          </cell>
          <cell r="X38480" t="str">
            <v>Variation UPR - gross</v>
          </cell>
          <cell r="Y38480" t="str">
            <v>NEW ZEALAND</v>
          </cell>
        </row>
        <row r="38481">
          <cell r="L38481" t="str">
            <v>Non-proportional</v>
          </cell>
          <cell r="S38481">
            <v>-4185.91</v>
          </cell>
          <cell r="X38481" t="str">
            <v>Variation UPR - gross</v>
          </cell>
          <cell r="Y38481" t="str">
            <v>FRANCE</v>
          </cell>
        </row>
        <row r="38482">
          <cell r="L38482" t="str">
            <v>Non-proportional</v>
          </cell>
          <cell r="S38482">
            <v>-1317.29</v>
          </cell>
          <cell r="X38482" t="str">
            <v>Variation UPR - gross</v>
          </cell>
          <cell r="Y38482" t="str">
            <v>JAPAN</v>
          </cell>
        </row>
        <row r="38483">
          <cell r="L38483" t="str">
            <v>Non-proportional</v>
          </cell>
          <cell r="S38483">
            <v>-1755.69</v>
          </cell>
          <cell r="X38483" t="str">
            <v>Variation UPR - gross</v>
          </cell>
          <cell r="Y38483" t="str">
            <v>JAPAN</v>
          </cell>
        </row>
        <row r="38484">
          <cell r="L38484" t="str">
            <v>Non-proportional</v>
          </cell>
          <cell r="S38484">
            <v>-1145.76</v>
          </cell>
          <cell r="X38484" t="str">
            <v>Variation UPR - gross</v>
          </cell>
          <cell r="Y38484" t="str">
            <v>SOUTH AFRICA</v>
          </cell>
        </row>
        <row r="38485">
          <cell r="L38485" t="str">
            <v>Non-proportional</v>
          </cell>
          <cell r="S38485">
            <v>55.88</v>
          </cell>
          <cell r="X38485" t="str">
            <v>Variation UPR - gross</v>
          </cell>
          <cell r="Y38485" t="str">
            <v>JAPAN</v>
          </cell>
        </row>
        <row r="38486">
          <cell r="L38486" t="str">
            <v>Non-proportional</v>
          </cell>
          <cell r="S38486">
            <v>578.37</v>
          </cell>
          <cell r="X38486" t="str">
            <v>Variation UPR - gross</v>
          </cell>
          <cell r="Y38486" t="str">
            <v>JAPAN</v>
          </cell>
        </row>
        <row r="38487">
          <cell r="L38487" t="str">
            <v>Non-proportional</v>
          </cell>
          <cell r="S38487">
            <v>-7437.5</v>
          </cell>
          <cell r="X38487" t="str">
            <v>Variation UPR - gross</v>
          </cell>
          <cell r="Y38487" t="str">
            <v>ITALY</v>
          </cell>
        </row>
        <row r="38488">
          <cell r="L38488" t="str">
            <v>Proportional</v>
          </cell>
          <cell r="S38488">
            <v>-513.16</v>
          </cell>
          <cell r="X38488" t="str">
            <v>Variation UPR - gross</v>
          </cell>
          <cell r="Y38488" t="str">
            <v>UNITED STATES</v>
          </cell>
        </row>
        <row r="38489">
          <cell r="L38489" t="str">
            <v>Non-proportional</v>
          </cell>
          <cell r="S38489">
            <v>-1733.75</v>
          </cell>
          <cell r="X38489" t="str">
            <v>Variation UPR - gross</v>
          </cell>
          <cell r="Y38489" t="str">
            <v>PORTUGAL</v>
          </cell>
        </row>
        <row r="38490">
          <cell r="L38490" t="str">
            <v>Non-proportional</v>
          </cell>
          <cell r="S38490">
            <v>-353.33</v>
          </cell>
          <cell r="X38490" t="str">
            <v>Variation UPR - gross</v>
          </cell>
          <cell r="Y38490" t="str">
            <v>ITALY</v>
          </cell>
        </row>
        <row r="38491">
          <cell r="L38491" t="str">
            <v>Non-proportional</v>
          </cell>
          <cell r="S38491">
            <v>-3593.75</v>
          </cell>
          <cell r="X38491" t="str">
            <v>Variation UPR - gross</v>
          </cell>
          <cell r="Y38491" t="str">
            <v>GREECE</v>
          </cell>
        </row>
        <row r="38492">
          <cell r="L38492" t="str">
            <v>Non-proportional</v>
          </cell>
          <cell r="S38492">
            <v>-73.069999999999993</v>
          </cell>
          <cell r="X38492" t="str">
            <v>Variation UPR - gross</v>
          </cell>
          <cell r="Y38492" t="str">
            <v>CHILE</v>
          </cell>
        </row>
        <row r="38493">
          <cell r="L38493" t="str">
            <v>Non-proportional</v>
          </cell>
          <cell r="S38493">
            <v>-9628.42</v>
          </cell>
          <cell r="X38493" t="str">
            <v>Variation UPR - gross</v>
          </cell>
          <cell r="Y38493" t="str">
            <v>UNITED KINGDOM</v>
          </cell>
        </row>
        <row r="38494">
          <cell r="L38494" t="str">
            <v>Non-proportional</v>
          </cell>
          <cell r="S38494">
            <v>-3015.29</v>
          </cell>
          <cell r="X38494" t="str">
            <v>Variation UPR - gross</v>
          </cell>
          <cell r="Y38494" t="str">
            <v>ITALY</v>
          </cell>
        </row>
        <row r="38495">
          <cell r="L38495" t="str">
            <v>Proportional</v>
          </cell>
          <cell r="S38495">
            <v>-32823</v>
          </cell>
          <cell r="X38495" t="str">
            <v>Variation UPR - gross</v>
          </cell>
          <cell r="Y38495" t="str">
            <v>FRANCE</v>
          </cell>
        </row>
        <row r="38496">
          <cell r="L38496" t="str">
            <v>Non-proportional</v>
          </cell>
          <cell r="S38496">
            <v>-1435.41</v>
          </cell>
          <cell r="X38496" t="str">
            <v>Variation UPR - gross</v>
          </cell>
          <cell r="Y38496" t="str">
            <v>AUSTRALIA</v>
          </cell>
        </row>
        <row r="38497">
          <cell r="L38497" t="str">
            <v>Non-proportional</v>
          </cell>
          <cell r="S38497">
            <v>-3381.84</v>
          </cell>
          <cell r="X38497" t="str">
            <v>Variation UPR - gross</v>
          </cell>
          <cell r="Y38497" t="str">
            <v>ITALY</v>
          </cell>
        </row>
        <row r="38498">
          <cell r="L38498" t="str">
            <v>Non-proportional</v>
          </cell>
          <cell r="S38498">
            <v>-2783.29</v>
          </cell>
          <cell r="X38498" t="str">
            <v>Variation UPR - gross</v>
          </cell>
          <cell r="Y38498" t="str">
            <v>ISRAEL</v>
          </cell>
        </row>
        <row r="38499">
          <cell r="L38499" t="str">
            <v>Non-proportional</v>
          </cell>
          <cell r="S38499">
            <v>-3126.85</v>
          </cell>
          <cell r="X38499" t="str">
            <v>Variation UPR - gross</v>
          </cell>
          <cell r="Y38499" t="str">
            <v>FRANCE</v>
          </cell>
        </row>
        <row r="38500">
          <cell r="L38500" t="str">
            <v>Non-proportional</v>
          </cell>
          <cell r="S38500">
            <v>-5869.77</v>
          </cell>
          <cell r="X38500" t="str">
            <v>Variation UPR - gross</v>
          </cell>
          <cell r="Y38500" t="str">
            <v>JAPAN</v>
          </cell>
        </row>
        <row r="38501">
          <cell r="L38501" t="str">
            <v>Non-proportional</v>
          </cell>
          <cell r="S38501">
            <v>-34649.699999999997</v>
          </cell>
          <cell r="X38501" t="str">
            <v>Variation UPR - gross</v>
          </cell>
          <cell r="Y38501" t="str">
            <v>UNITED STATES</v>
          </cell>
        </row>
        <row r="38502">
          <cell r="L38502" t="str">
            <v>Non-proportional</v>
          </cell>
          <cell r="S38502">
            <v>-740.4</v>
          </cell>
          <cell r="X38502" t="str">
            <v>Variation UPR - gross</v>
          </cell>
          <cell r="Y38502" t="str">
            <v>FRANCE</v>
          </cell>
        </row>
        <row r="38503">
          <cell r="L38503" t="str">
            <v>Non-proportional</v>
          </cell>
          <cell r="S38503">
            <v>-14451.08</v>
          </cell>
          <cell r="X38503" t="str">
            <v>Variation UPR - gross</v>
          </cell>
          <cell r="Y38503" t="str">
            <v>UNITED KINGDOM</v>
          </cell>
        </row>
        <row r="38504">
          <cell r="L38504" t="str">
            <v>Non-proportional</v>
          </cell>
          <cell r="S38504">
            <v>-617</v>
          </cell>
          <cell r="X38504" t="str">
            <v>Variation UPR - gross</v>
          </cell>
          <cell r="Y38504" t="str">
            <v>FRANCE</v>
          </cell>
        </row>
        <row r="38505">
          <cell r="L38505" t="str">
            <v>Non-proportional</v>
          </cell>
          <cell r="S38505">
            <v>-36.53</v>
          </cell>
          <cell r="X38505" t="str">
            <v>Variation UPR - gross</v>
          </cell>
          <cell r="Y38505" t="str">
            <v>CHILE</v>
          </cell>
        </row>
        <row r="38506">
          <cell r="L38506" t="str">
            <v>Non-proportional</v>
          </cell>
          <cell r="S38506">
            <v>-31316.15</v>
          </cell>
          <cell r="X38506" t="str">
            <v>Variation UPR - gross</v>
          </cell>
          <cell r="Y38506" t="str">
            <v>FRANCE</v>
          </cell>
        </row>
        <row r="38507">
          <cell r="L38507" t="str">
            <v>Non-proportional</v>
          </cell>
          <cell r="S38507">
            <v>-4754.6099999999997</v>
          </cell>
          <cell r="X38507" t="str">
            <v>Variation UPR - gross</v>
          </cell>
          <cell r="Y38507" t="str">
            <v>ISRAEL</v>
          </cell>
        </row>
        <row r="38508">
          <cell r="L38508" t="str">
            <v>Non-proportional</v>
          </cell>
          <cell r="S38508">
            <v>-9251.26</v>
          </cell>
          <cell r="X38508" t="str">
            <v>Variation UPR - gross</v>
          </cell>
          <cell r="Y38508" t="str">
            <v>ITALY</v>
          </cell>
        </row>
        <row r="38509">
          <cell r="L38509" t="str">
            <v>Non-proportional</v>
          </cell>
          <cell r="S38509">
            <v>0.02</v>
          </cell>
          <cell r="X38509" t="str">
            <v>Variation UPR - gross</v>
          </cell>
          <cell r="Y38509" t="str">
            <v>DOMINICAN REPUBLIC</v>
          </cell>
        </row>
        <row r="38510">
          <cell r="L38510" t="str">
            <v>Proportional</v>
          </cell>
          <cell r="S38510">
            <v>647.9</v>
          </cell>
          <cell r="X38510" t="str">
            <v>Variation UPR - gross</v>
          </cell>
          <cell r="Y38510" t="str">
            <v>THAILAND</v>
          </cell>
        </row>
        <row r="38511">
          <cell r="L38511" t="str">
            <v>Non-proportional</v>
          </cell>
          <cell r="S38511">
            <v>-47132.77</v>
          </cell>
          <cell r="X38511" t="str">
            <v>Variation UPR - gross</v>
          </cell>
          <cell r="Y38511" t="str">
            <v>UNITED KINGDOM</v>
          </cell>
        </row>
        <row r="38512">
          <cell r="L38512" t="str">
            <v>Proportional</v>
          </cell>
          <cell r="S38512">
            <v>-213881.08</v>
          </cell>
          <cell r="X38512" t="str">
            <v>Variation UPR - gross</v>
          </cell>
          <cell r="Y38512" t="str">
            <v>JAPAN</v>
          </cell>
        </row>
        <row r="38513">
          <cell r="L38513" t="str">
            <v>Non-proportional</v>
          </cell>
          <cell r="S38513">
            <v>-5316.35</v>
          </cell>
          <cell r="X38513" t="str">
            <v>Variation UPR - gross</v>
          </cell>
          <cell r="Y38513" t="str">
            <v>AUSTRALIA</v>
          </cell>
        </row>
        <row r="38514">
          <cell r="L38514" t="str">
            <v>Non-proportional</v>
          </cell>
          <cell r="S38514">
            <v>-12677.16</v>
          </cell>
          <cell r="X38514" t="str">
            <v>Variation UPR - gross</v>
          </cell>
          <cell r="Y38514" t="str">
            <v>CHILE</v>
          </cell>
        </row>
        <row r="38515">
          <cell r="L38515" t="str">
            <v>Non-proportional</v>
          </cell>
          <cell r="S38515">
            <v>-5905.45</v>
          </cell>
          <cell r="X38515" t="str">
            <v>Variation UPR - gross</v>
          </cell>
          <cell r="Y38515" t="str">
            <v>AUSTRALIA</v>
          </cell>
        </row>
        <row r="38516">
          <cell r="L38516" t="str">
            <v>Non-proportional</v>
          </cell>
          <cell r="S38516">
            <v>-2583.7600000000002</v>
          </cell>
          <cell r="X38516" t="str">
            <v>Variation UPR - gross</v>
          </cell>
          <cell r="Y38516" t="str">
            <v>AUSTRALIA</v>
          </cell>
        </row>
        <row r="38517">
          <cell r="L38517" t="str">
            <v>Non-proportional</v>
          </cell>
          <cell r="S38517">
            <v>15.11</v>
          </cell>
          <cell r="X38517" t="str">
            <v>Variation UPR - gross</v>
          </cell>
          <cell r="Y38517" t="str">
            <v>JAPAN</v>
          </cell>
        </row>
        <row r="38518">
          <cell r="L38518" t="str">
            <v>Non-proportional</v>
          </cell>
          <cell r="S38518">
            <v>-6957.83</v>
          </cell>
          <cell r="X38518" t="str">
            <v>Variation UPR - gross</v>
          </cell>
          <cell r="Y38518" t="str">
            <v>ITALY</v>
          </cell>
        </row>
        <row r="38519">
          <cell r="L38519" t="str">
            <v>Non-proportional</v>
          </cell>
          <cell r="S38519">
            <v>-2808.87</v>
          </cell>
          <cell r="X38519" t="str">
            <v>Variation UPR - gross</v>
          </cell>
          <cell r="Y38519" t="str">
            <v>ISRAEL</v>
          </cell>
        </row>
        <row r="38520">
          <cell r="L38520" t="str">
            <v>Non-proportional</v>
          </cell>
          <cell r="S38520">
            <v>-22920.41</v>
          </cell>
          <cell r="X38520" t="str">
            <v>Variation UPR - gross</v>
          </cell>
          <cell r="Y38520" t="str">
            <v>ISRAEL</v>
          </cell>
        </row>
        <row r="38521">
          <cell r="L38521" t="str">
            <v>Non-proportional</v>
          </cell>
          <cell r="S38521">
            <v>-28848.58</v>
          </cell>
          <cell r="X38521" t="str">
            <v>Variation UPR - gross</v>
          </cell>
          <cell r="Y38521" t="str">
            <v>FRANCE</v>
          </cell>
        </row>
        <row r="38522">
          <cell r="L38522" t="str">
            <v>Non-proportional</v>
          </cell>
          <cell r="S38522">
            <v>-6658.89</v>
          </cell>
          <cell r="X38522" t="str">
            <v>Variation UPR - gross</v>
          </cell>
          <cell r="Y38522" t="str">
            <v>CYPRUS</v>
          </cell>
        </row>
        <row r="38523">
          <cell r="L38523" t="str">
            <v>Non-proportional</v>
          </cell>
          <cell r="S38523">
            <v>52.36</v>
          </cell>
          <cell r="X38523" t="str">
            <v>Variation UPR - gross</v>
          </cell>
          <cell r="Y38523" t="str">
            <v>DOMINICAN REPUBLIC</v>
          </cell>
        </row>
        <row r="38524">
          <cell r="L38524" t="str">
            <v>Non-proportional</v>
          </cell>
          <cell r="S38524">
            <v>-1172.3</v>
          </cell>
          <cell r="X38524" t="str">
            <v>Variation UPR - gross</v>
          </cell>
          <cell r="Y38524" t="str">
            <v>FRANCE</v>
          </cell>
        </row>
        <row r="38525">
          <cell r="L38525" t="str">
            <v>Non-proportional</v>
          </cell>
          <cell r="S38525">
            <v>16502.5</v>
          </cell>
          <cell r="X38525" t="str">
            <v>Variation UPR - gross</v>
          </cell>
          <cell r="Y38525" t="str">
            <v>GERMANY</v>
          </cell>
        </row>
        <row r="38526">
          <cell r="L38526" t="str">
            <v>Non-proportional</v>
          </cell>
          <cell r="S38526">
            <v>-143301.75</v>
          </cell>
          <cell r="X38526" t="str">
            <v>Variation UPR - gross</v>
          </cell>
          <cell r="Y38526" t="str">
            <v>UNITED KINGDOM</v>
          </cell>
        </row>
        <row r="38527">
          <cell r="L38527" t="str">
            <v>Non-proportional</v>
          </cell>
          <cell r="S38527">
            <v>-10000</v>
          </cell>
          <cell r="X38527" t="str">
            <v>Variation UPR - gross</v>
          </cell>
          <cell r="Y38527" t="str">
            <v>EUROPE</v>
          </cell>
        </row>
        <row r="38528">
          <cell r="L38528" t="str">
            <v>Non-proportional</v>
          </cell>
          <cell r="S38528">
            <v>-442447.02</v>
          </cell>
          <cell r="X38528" t="str">
            <v>Variation UPR - gross</v>
          </cell>
          <cell r="Y38528" t="str">
            <v>UNITED KINGDOM</v>
          </cell>
        </row>
        <row r="38529">
          <cell r="L38529" t="str">
            <v>Non-proportional</v>
          </cell>
          <cell r="S38529">
            <v>-3828.13</v>
          </cell>
          <cell r="X38529" t="str">
            <v>Variation UPR - gross</v>
          </cell>
          <cell r="Y38529" t="str">
            <v>ITALY</v>
          </cell>
        </row>
        <row r="38530">
          <cell r="L38530" t="str">
            <v>Non-proportional</v>
          </cell>
          <cell r="S38530">
            <v>56.77</v>
          </cell>
          <cell r="X38530" t="str">
            <v>Variation UPR - gross</v>
          </cell>
          <cell r="Y38530" t="str">
            <v>JAPAN</v>
          </cell>
        </row>
        <row r="38531">
          <cell r="L38531" t="str">
            <v>Proportional</v>
          </cell>
          <cell r="S38531">
            <v>-1497.88</v>
          </cell>
          <cell r="X38531" t="str">
            <v>Variation UPR - gross</v>
          </cell>
          <cell r="Y38531" t="str">
            <v>CHILE</v>
          </cell>
        </row>
        <row r="38532">
          <cell r="L38532" t="str">
            <v>Non-proportional</v>
          </cell>
          <cell r="S38532">
            <v>-9608.34</v>
          </cell>
          <cell r="X38532" t="str">
            <v>Variation UPR - gross</v>
          </cell>
          <cell r="Y38532" t="str">
            <v>CHILE</v>
          </cell>
        </row>
        <row r="38533">
          <cell r="L38533" t="str">
            <v>Proportional</v>
          </cell>
          <cell r="S38533">
            <v>-75319.91</v>
          </cell>
          <cell r="X38533" t="str">
            <v>Variation UPR - gross</v>
          </cell>
          <cell r="Y38533" t="str">
            <v>FRANCE</v>
          </cell>
        </row>
        <row r="38534">
          <cell r="L38534" t="str">
            <v>Non-proportional</v>
          </cell>
          <cell r="S38534">
            <v>-21666.67</v>
          </cell>
          <cell r="X38534" t="str">
            <v>Variation UPR - gross</v>
          </cell>
          <cell r="Y38534" t="str">
            <v>FRANCE</v>
          </cell>
        </row>
        <row r="38535">
          <cell r="L38535" t="str">
            <v>Non-proportional</v>
          </cell>
          <cell r="S38535">
            <v>-1359.23</v>
          </cell>
          <cell r="X38535" t="str">
            <v>Variation UPR - gross</v>
          </cell>
          <cell r="Y38535" t="str">
            <v>NEW ZEALAND</v>
          </cell>
        </row>
        <row r="38536">
          <cell r="L38536" t="str">
            <v>Proportional</v>
          </cell>
          <cell r="S38536">
            <v>-253.29</v>
          </cell>
          <cell r="X38536" t="str">
            <v>Variation UPR - gross</v>
          </cell>
          <cell r="Y38536" t="str">
            <v>THAILAND</v>
          </cell>
        </row>
        <row r="38537">
          <cell r="L38537" t="str">
            <v>Non-proportional</v>
          </cell>
          <cell r="S38537">
            <v>-62.31</v>
          </cell>
          <cell r="X38537" t="str">
            <v>Variation UPR - gross</v>
          </cell>
          <cell r="Y38537" t="str">
            <v>ISRAEL</v>
          </cell>
        </row>
        <row r="38538">
          <cell r="L38538" t="str">
            <v>Non-proportional</v>
          </cell>
          <cell r="S38538">
            <v>-3276.86</v>
          </cell>
          <cell r="X38538" t="str">
            <v>Variation UPR - gross</v>
          </cell>
          <cell r="Y38538" t="str">
            <v>COLOMBIA</v>
          </cell>
        </row>
        <row r="38539">
          <cell r="L38539" t="str">
            <v>Proportional</v>
          </cell>
          <cell r="S38539">
            <v>-1741.44</v>
          </cell>
          <cell r="X38539" t="str">
            <v>Variation UPR - gross</v>
          </cell>
          <cell r="Y38539" t="str">
            <v>UNITED STATES</v>
          </cell>
        </row>
        <row r="38540">
          <cell r="L38540" t="str">
            <v>Non-proportional</v>
          </cell>
          <cell r="S38540">
            <v>-17057.43</v>
          </cell>
          <cell r="X38540" t="str">
            <v>Variation UPR - gross</v>
          </cell>
          <cell r="Y38540" t="str">
            <v>MEXICO</v>
          </cell>
        </row>
        <row r="38541">
          <cell r="L38541" t="str">
            <v>Proportional</v>
          </cell>
          <cell r="S38541">
            <v>-185798.96</v>
          </cell>
          <cell r="X38541" t="str">
            <v>Variation UPR - gross</v>
          </cell>
          <cell r="Y38541" t="str">
            <v>SWITZERLAND</v>
          </cell>
        </row>
        <row r="38542">
          <cell r="L38542" t="str">
            <v>Non-proportional</v>
          </cell>
          <cell r="S38542">
            <v>-5907.44</v>
          </cell>
          <cell r="X38542" t="str">
            <v>Variation UPR - gross</v>
          </cell>
          <cell r="Y38542" t="str">
            <v>AUSTRALIA</v>
          </cell>
        </row>
        <row r="38543">
          <cell r="L38543" t="str">
            <v>Non-proportional</v>
          </cell>
          <cell r="S38543">
            <v>-456.94</v>
          </cell>
          <cell r="X38543" t="str">
            <v>Variation UPR - gross</v>
          </cell>
          <cell r="Y38543" t="str">
            <v>UNITED KINGDOM</v>
          </cell>
        </row>
        <row r="38544">
          <cell r="L38544" t="str">
            <v>Non-proportional</v>
          </cell>
          <cell r="S38544">
            <v>-1367.62</v>
          </cell>
          <cell r="X38544" t="str">
            <v>Variation UPR - gross</v>
          </cell>
          <cell r="Y38544" t="str">
            <v>DOMINICAN REPUBLIC</v>
          </cell>
        </row>
        <row r="38545">
          <cell r="L38545" t="str">
            <v>Non-proportional</v>
          </cell>
          <cell r="S38545">
            <v>-4725.82</v>
          </cell>
          <cell r="X38545" t="str">
            <v>Variation UPR - gross</v>
          </cell>
          <cell r="Y38545" t="str">
            <v>PERU</v>
          </cell>
        </row>
        <row r="38546">
          <cell r="L38546" t="str">
            <v>Non-proportional</v>
          </cell>
          <cell r="S38546">
            <v>-4211.8</v>
          </cell>
          <cell r="X38546" t="str">
            <v>Variation UPR - gross</v>
          </cell>
          <cell r="Y38546" t="str">
            <v>DOMINICAN REPUBLIC</v>
          </cell>
        </row>
        <row r="38547">
          <cell r="L38547" t="str">
            <v>Non-proportional</v>
          </cell>
          <cell r="S38547">
            <v>35.950000000000003</v>
          </cell>
          <cell r="X38547" t="str">
            <v>Variation UPR - gross</v>
          </cell>
          <cell r="Y38547" t="str">
            <v>JAPAN</v>
          </cell>
        </row>
        <row r="38548">
          <cell r="L38548" t="str">
            <v>Non-proportional</v>
          </cell>
          <cell r="S38548">
            <v>-1847.94</v>
          </cell>
          <cell r="X38548" t="str">
            <v>Variation UPR - gross</v>
          </cell>
          <cell r="Y38548" t="str">
            <v>NEW ZEALAND</v>
          </cell>
        </row>
        <row r="38549">
          <cell r="L38549" t="str">
            <v>Non-proportional</v>
          </cell>
          <cell r="S38549">
            <v>-5221.32</v>
          </cell>
          <cell r="X38549" t="str">
            <v>Variation UPR - gross</v>
          </cell>
          <cell r="Y38549" t="str">
            <v>ISRAEL</v>
          </cell>
        </row>
        <row r="38550">
          <cell r="L38550" t="str">
            <v>Non-proportional</v>
          </cell>
          <cell r="S38550">
            <v>-6270.83</v>
          </cell>
          <cell r="X38550" t="str">
            <v>Variation UPR - gross</v>
          </cell>
          <cell r="Y38550" t="str">
            <v>ITALY</v>
          </cell>
        </row>
        <row r="38551">
          <cell r="L38551" t="str">
            <v>Non-proportional</v>
          </cell>
          <cell r="S38551">
            <v>-2991.68</v>
          </cell>
          <cell r="X38551" t="str">
            <v>Variation UPR - gross</v>
          </cell>
          <cell r="Y38551" t="str">
            <v>JAPAN</v>
          </cell>
        </row>
        <row r="38552">
          <cell r="L38552" t="str">
            <v>Proportional</v>
          </cell>
          <cell r="S38552">
            <v>-61062.58</v>
          </cell>
          <cell r="X38552" t="str">
            <v>Variation UPR - gross</v>
          </cell>
          <cell r="Y38552" t="str">
            <v>PORTUGAL</v>
          </cell>
        </row>
        <row r="38553">
          <cell r="L38553" t="str">
            <v>Non-proportional</v>
          </cell>
          <cell r="S38553">
            <v>-2840.84</v>
          </cell>
          <cell r="X38553" t="str">
            <v>Variation UPR - gross</v>
          </cell>
          <cell r="Y38553" t="str">
            <v>EUROPE</v>
          </cell>
        </row>
        <row r="38554">
          <cell r="L38554" t="str">
            <v>Non-proportional</v>
          </cell>
          <cell r="S38554">
            <v>31.86</v>
          </cell>
          <cell r="X38554" t="str">
            <v>Variation UPR - gross</v>
          </cell>
          <cell r="Y38554" t="str">
            <v>JAPAN</v>
          </cell>
        </row>
        <row r="38555">
          <cell r="L38555" t="str">
            <v>Proportional</v>
          </cell>
          <cell r="S38555">
            <v>-6434.88</v>
          </cell>
          <cell r="X38555" t="str">
            <v>Variation UPR - gross</v>
          </cell>
          <cell r="Y38555" t="str">
            <v>HONG KONG</v>
          </cell>
        </row>
        <row r="38556">
          <cell r="L38556" t="str">
            <v>Non-proportional</v>
          </cell>
          <cell r="S38556">
            <v>-2620.7399999999998</v>
          </cell>
          <cell r="X38556" t="str">
            <v>Variation UPR - gross</v>
          </cell>
          <cell r="Y38556" t="str">
            <v>ECUADOR</v>
          </cell>
        </row>
        <row r="38557">
          <cell r="L38557" t="str">
            <v>Non-proportional</v>
          </cell>
          <cell r="S38557">
            <v>-9348.14</v>
          </cell>
          <cell r="X38557" t="str">
            <v>Variation UPR - gross</v>
          </cell>
          <cell r="Y38557" t="str">
            <v>NETHERLANDS</v>
          </cell>
        </row>
        <row r="38558">
          <cell r="L38558" t="str">
            <v>Non-proportional</v>
          </cell>
          <cell r="S38558">
            <v>-1664.56</v>
          </cell>
          <cell r="X38558" t="str">
            <v>Variation UPR - gross</v>
          </cell>
          <cell r="Y38558" t="str">
            <v>FRANCE</v>
          </cell>
        </row>
        <row r="38559">
          <cell r="L38559" t="str">
            <v>Non-proportional</v>
          </cell>
          <cell r="S38559">
            <v>-5944.48</v>
          </cell>
          <cell r="X38559" t="str">
            <v>Variation UPR - gross</v>
          </cell>
          <cell r="Y38559" t="str">
            <v>ISRAEL</v>
          </cell>
        </row>
        <row r="38560">
          <cell r="L38560" t="str">
            <v>Non-proportional</v>
          </cell>
          <cell r="S38560">
            <v>-201.94</v>
          </cell>
          <cell r="X38560" t="str">
            <v>Variation UPR - gross</v>
          </cell>
          <cell r="Y38560" t="str">
            <v>JAPAN</v>
          </cell>
        </row>
        <row r="38561">
          <cell r="L38561" t="str">
            <v>Non-proportional</v>
          </cell>
          <cell r="S38561">
            <v>-335.39</v>
          </cell>
          <cell r="X38561" t="str">
            <v>Variation UPR - gross</v>
          </cell>
          <cell r="Y38561" t="str">
            <v>COLOMBIA</v>
          </cell>
        </row>
        <row r="38562">
          <cell r="L38562" t="str">
            <v>Non-proportional</v>
          </cell>
          <cell r="S38562">
            <v>-8750</v>
          </cell>
          <cell r="X38562" t="str">
            <v>Variation UPR - gross</v>
          </cell>
          <cell r="Y38562" t="str">
            <v>EUROPE</v>
          </cell>
        </row>
        <row r="38563">
          <cell r="L38563" t="str">
            <v>Non-proportional</v>
          </cell>
          <cell r="S38563">
            <v>-3693.02</v>
          </cell>
          <cell r="X38563" t="str">
            <v>Variation UPR - gross</v>
          </cell>
          <cell r="Y38563" t="str">
            <v>DOMINICAN REPUBLIC</v>
          </cell>
        </row>
        <row r="38564">
          <cell r="L38564" t="str">
            <v>Non-proportional</v>
          </cell>
          <cell r="S38564">
            <v>-221935</v>
          </cell>
          <cell r="X38564" t="str">
            <v>Variation UPR - gross</v>
          </cell>
          <cell r="Y38564" t="str">
            <v>BELGIUM</v>
          </cell>
        </row>
        <row r="38565">
          <cell r="L38565" t="str">
            <v>Non-proportional</v>
          </cell>
          <cell r="S38565">
            <v>-36.53</v>
          </cell>
          <cell r="X38565" t="str">
            <v>Variation UPR - gross</v>
          </cell>
          <cell r="Y38565" t="str">
            <v>CHILE</v>
          </cell>
        </row>
        <row r="38566">
          <cell r="L38566" t="str">
            <v>Non-proportional</v>
          </cell>
          <cell r="S38566">
            <v>-2469.62</v>
          </cell>
          <cell r="X38566" t="str">
            <v>Variation UPR - gross</v>
          </cell>
          <cell r="Y38566" t="str">
            <v>FRANCE</v>
          </cell>
        </row>
        <row r="38567">
          <cell r="L38567" t="str">
            <v>Non-proportional</v>
          </cell>
          <cell r="S38567">
            <v>-2240.7199999999998</v>
          </cell>
          <cell r="X38567" t="str">
            <v>Variation UPR - gross</v>
          </cell>
          <cell r="Y38567" t="str">
            <v>JAPAN</v>
          </cell>
        </row>
        <row r="38568">
          <cell r="L38568" t="str">
            <v>Non-proportional</v>
          </cell>
          <cell r="S38568">
            <v>-1111.8</v>
          </cell>
          <cell r="X38568" t="str">
            <v>Variation UPR - gross</v>
          </cell>
          <cell r="Y38568" t="str">
            <v>JAPAN</v>
          </cell>
        </row>
        <row r="38569">
          <cell r="L38569" t="str">
            <v>Non-proportional</v>
          </cell>
          <cell r="S38569">
            <v>-146.13</v>
          </cell>
          <cell r="X38569" t="str">
            <v>Variation UPR - gross</v>
          </cell>
          <cell r="Y38569" t="str">
            <v>CHILE</v>
          </cell>
        </row>
        <row r="38570">
          <cell r="L38570" t="str">
            <v>Non-proportional</v>
          </cell>
          <cell r="S38570">
            <v>-2187.56</v>
          </cell>
          <cell r="X38570" t="str">
            <v>Variation UPR - gross</v>
          </cell>
          <cell r="Y38570" t="str">
            <v>SPAIN</v>
          </cell>
        </row>
        <row r="38571">
          <cell r="L38571" t="str">
            <v>Non-proportional</v>
          </cell>
          <cell r="S38571">
            <v>-237.73</v>
          </cell>
          <cell r="X38571" t="str">
            <v>Variation UPR - gross</v>
          </cell>
          <cell r="Y38571" t="str">
            <v>INDIA</v>
          </cell>
        </row>
        <row r="38572">
          <cell r="L38572" t="str">
            <v>Non-proportional</v>
          </cell>
          <cell r="S38572">
            <v>-884.37</v>
          </cell>
          <cell r="X38572" t="str">
            <v>Variation UPR - gross</v>
          </cell>
          <cell r="Y38572" t="str">
            <v>FRANCE</v>
          </cell>
        </row>
        <row r="38573">
          <cell r="L38573" t="str">
            <v>Non-proportional</v>
          </cell>
          <cell r="S38573">
            <v>-4882.34</v>
          </cell>
          <cell r="X38573" t="str">
            <v>Variation UPR - gross</v>
          </cell>
          <cell r="Y38573" t="str">
            <v>ECUADOR</v>
          </cell>
        </row>
        <row r="38574">
          <cell r="L38574" t="str">
            <v>Non-proportional</v>
          </cell>
          <cell r="S38574">
            <v>-7231.89</v>
          </cell>
          <cell r="X38574" t="str">
            <v>Variation UPR - gross</v>
          </cell>
          <cell r="Y38574" t="str">
            <v>INDIA</v>
          </cell>
        </row>
        <row r="38575">
          <cell r="L38575" t="str">
            <v>Non-proportional</v>
          </cell>
          <cell r="S38575">
            <v>-2525.58</v>
          </cell>
          <cell r="X38575" t="str">
            <v>Variation UPR - gross</v>
          </cell>
          <cell r="Y38575" t="str">
            <v>MEXICO</v>
          </cell>
        </row>
        <row r="38576">
          <cell r="L38576" t="str">
            <v>Non-proportional</v>
          </cell>
          <cell r="S38576">
            <v>-5487.69</v>
          </cell>
          <cell r="X38576" t="str">
            <v>Variation UPR - gross</v>
          </cell>
          <cell r="Y38576" t="str">
            <v>MEXICO</v>
          </cell>
        </row>
        <row r="38577">
          <cell r="L38577" t="str">
            <v>Non-proportional</v>
          </cell>
          <cell r="S38577">
            <v>-16666.86</v>
          </cell>
          <cell r="X38577" t="str">
            <v>Variation UPR - gross</v>
          </cell>
          <cell r="Y38577" t="str">
            <v>HONG KONG</v>
          </cell>
        </row>
        <row r="38578">
          <cell r="L38578" t="str">
            <v>Non-proportional</v>
          </cell>
          <cell r="S38578">
            <v>-33.21</v>
          </cell>
          <cell r="X38578" t="str">
            <v>Variation UPR - gross</v>
          </cell>
          <cell r="Y38578" t="str">
            <v>ISRAEL</v>
          </cell>
        </row>
        <row r="38579">
          <cell r="L38579" t="str">
            <v>Non-proportional</v>
          </cell>
          <cell r="S38579">
            <v>103.09</v>
          </cell>
          <cell r="X38579" t="str">
            <v>Variation UPR - gross</v>
          </cell>
          <cell r="Y38579" t="str">
            <v>AUSTRALIA</v>
          </cell>
        </row>
        <row r="38580">
          <cell r="L38580" t="str">
            <v>Non-proportional</v>
          </cell>
          <cell r="S38580">
            <v>-2740.02</v>
          </cell>
          <cell r="X38580" t="str">
            <v>Variation UPR - gross</v>
          </cell>
          <cell r="Y38580" t="str">
            <v>CHILE</v>
          </cell>
        </row>
        <row r="38581">
          <cell r="L38581" t="str">
            <v>Non-proportional</v>
          </cell>
          <cell r="S38581">
            <v>-546.88</v>
          </cell>
          <cell r="X38581" t="str">
            <v>Variation UPR - gross</v>
          </cell>
          <cell r="Y38581" t="str">
            <v>ITALY</v>
          </cell>
        </row>
        <row r="38582">
          <cell r="L38582" t="str">
            <v>Non-proportional</v>
          </cell>
          <cell r="S38582">
            <v>-8500</v>
          </cell>
          <cell r="X38582" t="str">
            <v>Variation UPR - gross</v>
          </cell>
          <cell r="Y38582" t="str">
            <v>ITALY</v>
          </cell>
        </row>
        <row r="38583">
          <cell r="L38583" t="str">
            <v>Non-proportional</v>
          </cell>
          <cell r="S38583">
            <v>-3010.98</v>
          </cell>
          <cell r="X38583" t="str">
            <v>Variation UPR - gross</v>
          </cell>
          <cell r="Y38583" t="str">
            <v>DOMINICAN REPUBLIC</v>
          </cell>
        </row>
        <row r="38584">
          <cell r="L38584" t="str">
            <v>Non-proportional</v>
          </cell>
          <cell r="S38584">
            <v>33.99</v>
          </cell>
          <cell r="X38584" t="str">
            <v>Variation UPR - gross</v>
          </cell>
          <cell r="Y38584" t="str">
            <v>JAPAN</v>
          </cell>
        </row>
        <row r="38585">
          <cell r="L38585" t="str">
            <v>Non-proportional</v>
          </cell>
          <cell r="S38585">
            <v>-10120.5</v>
          </cell>
          <cell r="X38585" t="str">
            <v>Variation UPR - gross</v>
          </cell>
          <cell r="Y38585" t="str">
            <v>ITALY</v>
          </cell>
        </row>
        <row r="38586">
          <cell r="L38586" t="str">
            <v>Non-proportional</v>
          </cell>
          <cell r="S38586">
            <v>-1129.71</v>
          </cell>
          <cell r="X38586" t="str">
            <v>Variation UPR - gross</v>
          </cell>
          <cell r="Y38586" t="str">
            <v>JAPAN</v>
          </cell>
        </row>
        <row r="38587">
          <cell r="L38587" t="str">
            <v>Non-proportional</v>
          </cell>
          <cell r="S38587">
            <v>-3917.27</v>
          </cell>
          <cell r="X38587" t="str">
            <v>Variation UPR - gross</v>
          </cell>
          <cell r="Y38587" t="str">
            <v>ITALY</v>
          </cell>
        </row>
        <row r="38588">
          <cell r="L38588" t="str">
            <v>Proportional</v>
          </cell>
          <cell r="S38588">
            <v>3894.8</v>
          </cell>
          <cell r="X38588" t="str">
            <v>Variation UPR - gross</v>
          </cell>
          <cell r="Y38588" t="str">
            <v>INDIA</v>
          </cell>
        </row>
        <row r="38589">
          <cell r="L38589" t="str">
            <v>Non-proportional</v>
          </cell>
          <cell r="S38589">
            <v>81.62</v>
          </cell>
          <cell r="X38589" t="str">
            <v>Variation UPR - gross</v>
          </cell>
          <cell r="Y38589" t="str">
            <v>DOMINICAN REPUBLIC</v>
          </cell>
        </row>
        <row r="38590">
          <cell r="L38590" t="str">
            <v>Non-proportional</v>
          </cell>
          <cell r="S38590">
            <v>249.27</v>
          </cell>
          <cell r="X38590" t="str">
            <v>Variation UPR - gross</v>
          </cell>
          <cell r="Y38590" t="str">
            <v>NEW ZEALAND</v>
          </cell>
        </row>
        <row r="38591">
          <cell r="L38591" t="str">
            <v>Non-proportional</v>
          </cell>
          <cell r="S38591">
            <v>-6154.78</v>
          </cell>
          <cell r="X38591" t="str">
            <v>Variation UPR - gross</v>
          </cell>
          <cell r="Y38591" t="str">
            <v>ISRAEL</v>
          </cell>
        </row>
        <row r="38592">
          <cell r="L38592" t="str">
            <v>Non-proportional</v>
          </cell>
          <cell r="S38592">
            <v>-5700.19</v>
          </cell>
          <cell r="X38592" t="str">
            <v>Variation UPR - gross</v>
          </cell>
          <cell r="Y38592" t="str">
            <v>ITALY</v>
          </cell>
        </row>
        <row r="38593">
          <cell r="L38593" t="str">
            <v>Non-proportional</v>
          </cell>
          <cell r="S38593">
            <v>-1222.78</v>
          </cell>
          <cell r="X38593" t="str">
            <v>Variation UPR - gross</v>
          </cell>
          <cell r="Y38593" t="str">
            <v>COSTA RICA</v>
          </cell>
        </row>
        <row r="38594">
          <cell r="L38594" t="str">
            <v>Non-proportional</v>
          </cell>
          <cell r="S38594">
            <v>-19967.73</v>
          </cell>
          <cell r="X38594" t="str">
            <v>Variation UPR - gross</v>
          </cell>
          <cell r="Y38594" t="str">
            <v>FRANCE</v>
          </cell>
        </row>
        <row r="38595">
          <cell r="L38595" t="str">
            <v>Non-proportional</v>
          </cell>
          <cell r="S38595">
            <v>-5145.97</v>
          </cell>
          <cell r="X38595" t="str">
            <v>Variation UPR - gross</v>
          </cell>
          <cell r="Y38595" t="str">
            <v>UNITED KINGDOM</v>
          </cell>
        </row>
        <row r="38596">
          <cell r="L38596" t="str">
            <v>Non-proportional</v>
          </cell>
          <cell r="S38596">
            <v>-68818.929999999993</v>
          </cell>
          <cell r="X38596" t="str">
            <v>Variation UPR - gross</v>
          </cell>
          <cell r="Y38596" t="str">
            <v>UNITED KINGDOM</v>
          </cell>
        </row>
        <row r="38597">
          <cell r="L38597" t="str">
            <v>Non-proportional</v>
          </cell>
          <cell r="S38597">
            <v>-89938.33</v>
          </cell>
          <cell r="X38597" t="str">
            <v>Variation UPR - gross</v>
          </cell>
          <cell r="Y38597" t="str">
            <v>PORTUGAL</v>
          </cell>
        </row>
        <row r="38598">
          <cell r="L38598" t="str">
            <v>Non-proportional</v>
          </cell>
          <cell r="S38598">
            <v>-3644.88</v>
          </cell>
          <cell r="X38598" t="str">
            <v>Variation UPR - gross</v>
          </cell>
          <cell r="Y38598" t="str">
            <v>AUSTRALIA</v>
          </cell>
        </row>
        <row r="38599">
          <cell r="L38599" t="str">
            <v>Non-proportional</v>
          </cell>
          <cell r="S38599">
            <v>-568.25</v>
          </cell>
          <cell r="X38599" t="str">
            <v>Variation UPR - gross</v>
          </cell>
          <cell r="Y38599" t="str">
            <v>AUSTRALIA</v>
          </cell>
        </row>
        <row r="38600">
          <cell r="L38600" t="str">
            <v>Non-proportional</v>
          </cell>
          <cell r="S38600">
            <v>-13816.89</v>
          </cell>
          <cell r="X38600" t="str">
            <v>Variation UPR - gross</v>
          </cell>
          <cell r="Y38600" t="str">
            <v>INDIA</v>
          </cell>
        </row>
        <row r="38601">
          <cell r="L38601" t="str">
            <v>Non-proportional</v>
          </cell>
          <cell r="S38601">
            <v>6.08</v>
          </cell>
          <cell r="X38601" t="str">
            <v>Variation UPR - gross</v>
          </cell>
          <cell r="Y38601" t="str">
            <v>JAPAN</v>
          </cell>
        </row>
        <row r="38602">
          <cell r="L38602" t="str">
            <v>Non-proportional</v>
          </cell>
          <cell r="S38602">
            <v>-375978.63</v>
          </cell>
          <cell r="X38602" t="str">
            <v>Variation UPR - gross</v>
          </cell>
          <cell r="Y38602" t="str">
            <v>PORTUGAL</v>
          </cell>
        </row>
        <row r="38603">
          <cell r="L38603" t="str">
            <v>Non-proportional</v>
          </cell>
          <cell r="S38603">
            <v>-1825.82</v>
          </cell>
          <cell r="X38603" t="str">
            <v>Variation UPR - gross</v>
          </cell>
          <cell r="Y38603" t="str">
            <v>ISRAEL</v>
          </cell>
        </row>
        <row r="38604">
          <cell r="L38604" t="str">
            <v>Proportional</v>
          </cell>
          <cell r="S38604">
            <v>-100771.33</v>
          </cell>
          <cell r="X38604" t="str">
            <v>Variation UPR - gross</v>
          </cell>
          <cell r="Y38604" t="str">
            <v>THAILAND</v>
          </cell>
        </row>
        <row r="38605">
          <cell r="L38605" t="str">
            <v>Non-proportional</v>
          </cell>
          <cell r="S38605">
            <v>-3468.59</v>
          </cell>
          <cell r="X38605" t="str">
            <v>Variation UPR - gross</v>
          </cell>
          <cell r="Y38605" t="str">
            <v>ISRAEL</v>
          </cell>
        </row>
        <row r="38606">
          <cell r="L38606" t="str">
            <v>Non-proportional</v>
          </cell>
          <cell r="S38606">
            <v>-6086.35</v>
          </cell>
          <cell r="X38606" t="str">
            <v>Variation UPR - gross</v>
          </cell>
          <cell r="Y38606" t="str">
            <v>ITALY</v>
          </cell>
        </row>
        <row r="38607">
          <cell r="L38607" t="str">
            <v>Non-proportional</v>
          </cell>
          <cell r="S38607">
            <v>-1825.77</v>
          </cell>
          <cell r="X38607" t="str">
            <v>Variation UPR - gross</v>
          </cell>
          <cell r="Y38607" t="str">
            <v>JAPAN</v>
          </cell>
        </row>
        <row r="38608">
          <cell r="L38608" t="str">
            <v>Non-proportional</v>
          </cell>
          <cell r="S38608">
            <v>-167.45</v>
          </cell>
          <cell r="X38608" t="str">
            <v>Variation UPR - gross</v>
          </cell>
          <cell r="Y38608" t="str">
            <v>FRANCE</v>
          </cell>
        </row>
        <row r="38609">
          <cell r="L38609" t="str">
            <v>Non-proportional</v>
          </cell>
          <cell r="S38609">
            <v>-2978.61</v>
          </cell>
          <cell r="X38609" t="str">
            <v>Variation UPR - gross</v>
          </cell>
          <cell r="Y38609" t="str">
            <v>ECUADOR</v>
          </cell>
        </row>
        <row r="38610">
          <cell r="L38610" t="str">
            <v>Non-proportional</v>
          </cell>
          <cell r="S38610">
            <v>225.39</v>
          </cell>
          <cell r="X38610" t="str">
            <v>Variation UPR - gross</v>
          </cell>
          <cell r="Y38610" t="str">
            <v>JAPAN</v>
          </cell>
        </row>
        <row r="38611">
          <cell r="L38611" t="str">
            <v>Non-proportional</v>
          </cell>
          <cell r="S38611">
            <v>-6683.34</v>
          </cell>
          <cell r="X38611" t="str">
            <v>Variation UPR - gross</v>
          </cell>
          <cell r="Y38611" t="str">
            <v>FRANCE</v>
          </cell>
        </row>
        <row r="38612">
          <cell r="L38612" t="str">
            <v>Non-proportional</v>
          </cell>
          <cell r="S38612">
            <v>-3592.42</v>
          </cell>
          <cell r="X38612" t="str">
            <v>Variation UPR - gross</v>
          </cell>
          <cell r="Y38612" t="str">
            <v>FRANCE</v>
          </cell>
        </row>
        <row r="38613">
          <cell r="L38613" t="str">
            <v>Non-proportional</v>
          </cell>
          <cell r="S38613">
            <v>-29406.83</v>
          </cell>
          <cell r="X38613" t="str">
            <v>Variation UPR - gross</v>
          </cell>
          <cell r="Y38613" t="str">
            <v>TURKEY</v>
          </cell>
        </row>
        <row r="38614">
          <cell r="L38614" t="str">
            <v>Non-proportional</v>
          </cell>
          <cell r="S38614">
            <v>-1393.95</v>
          </cell>
          <cell r="X38614" t="str">
            <v>Variation UPR - gross</v>
          </cell>
          <cell r="Y38614" t="str">
            <v>MEXICO</v>
          </cell>
        </row>
        <row r="38615">
          <cell r="L38615" t="str">
            <v>Non-proportional</v>
          </cell>
          <cell r="S38615">
            <v>-2920.91</v>
          </cell>
          <cell r="X38615" t="str">
            <v>Variation UPR - gross</v>
          </cell>
          <cell r="Y38615" t="str">
            <v>ISRAEL</v>
          </cell>
        </row>
        <row r="38616">
          <cell r="L38616" t="str">
            <v>Non-proportional</v>
          </cell>
          <cell r="S38616">
            <v>-8777.43</v>
          </cell>
          <cell r="X38616" t="str">
            <v>Variation UPR - gross</v>
          </cell>
          <cell r="Y38616" t="str">
            <v>INDIA</v>
          </cell>
        </row>
        <row r="38617">
          <cell r="L38617" t="str">
            <v>Non-proportional</v>
          </cell>
          <cell r="S38617">
            <v>-1270.3800000000001</v>
          </cell>
          <cell r="X38617" t="str">
            <v>Variation UPR - gross</v>
          </cell>
          <cell r="Y38617" t="str">
            <v>PERU</v>
          </cell>
        </row>
        <row r="38618">
          <cell r="L38618" t="str">
            <v>Non-proportional</v>
          </cell>
          <cell r="S38618">
            <v>-5512.68</v>
          </cell>
          <cell r="X38618" t="str">
            <v>Variation UPR - gross</v>
          </cell>
          <cell r="Y38618" t="str">
            <v>NETHERLANDS</v>
          </cell>
        </row>
        <row r="38619">
          <cell r="L38619" t="str">
            <v>Non-proportional</v>
          </cell>
          <cell r="S38619">
            <v>-3281.25</v>
          </cell>
          <cell r="X38619" t="str">
            <v>Variation UPR - gross</v>
          </cell>
          <cell r="Y38619" t="str">
            <v>ITALY</v>
          </cell>
        </row>
        <row r="38620">
          <cell r="L38620" t="str">
            <v>Non-proportional</v>
          </cell>
          <cell r="S38620">
            <v>-3249.09</v>
          </cell>
          <cell r="X38620" t="str">
            <v>Variation UPR - gross</v>
          </cell>
          <cell r="Y38620" t="str">
            <v>FRANCE</v>
          </cell>
        </row>
        <row r="38621">
          <cell r="L38621" t="str">
            <v>Non-proportional</v>
          </cell>
          <cell r="S38621">
            <v>-2265.08</v>
          </cell>
          <cell r="X38621" t="str">
            <v>Variation UPR - gross</v>
          </cell>
          <cell r="Y38621" t="str">
            <v>CHILE</v>
          </cell>
        </row>
        <row r="38622">
          <cell r="L38622" t="str">
            <v>Non-proportional</v>
          </cell>
          <cell r="S38622">
            <v>-876.81</v>
          </cell>
          <cell r="X38622" t="str">
            <v>Variation UPR - gross</v>
          </cell>
          <cell r="Y38622" t="str">
            <v>CHILE</v>
          </cell>
        </row>
        <row r="38623">
          <cell r="L38623" t="str">
            <v>Non-proportional</v>
          </cell>
          <cell r="S38623">
            <v>108.41</v>
          </cell>
          <cell r="X38623" t="str">
            <v>Variation UPR - gross</v>
          </cell>
          <cell r="Y38623" t="str">
            <v>DOMINICAN REPUBLIC</v>
          </cell>
        </row>
        <row r="38624">
          <cell r="L38624" t="str">
            <v>Non-proportional</v>
          </cell>
          <cell r="S38624">
            <v>0.01</v>
          </cell>
          <cell r="X38624" t="str">
            <v>Variation UPR - gross</v>
          </cell>
          <cell r="Y38624" t="str">
            <v>DOMINICAN REPUBLIC</v>
          </cell>
        </row>
        <row r="38625">
          <cell r="L38625" t="str">
            <v>Non-proportional</v>
          </cell>
          <cell r="S38625">
            <v>-349.13</v>
          </cell>
          <cell r="X38625" t="str">
            <v>Variation UPR - gross</v>
          </cell>
          <cell r="Y38625" t="str">
            <v>TURKEY</v>
          </cell>
        </row>
        <row r="38626">
          <cell r="L38626" t="str">
            <v>Non-proportional</v>
          </cell>
          <cell r="S38626">
            <v>-0.04</v>
          </cell>
          <cell r="X38626" t="str">
            <v>Variation UPR - gross</v>
          </cell>
          <cell r="Y38626" t="str">
            <v>THAILAND</v>
          </cell>
        </row>
        <row r="38627">
          <cell r="L38627" t="str">
            <v>Non-proportional</v>
          </cell>
          <cell r="S38627">
            <v>-4030.75</v>
          </cell>
          <cell r="X38627" t="str">
            <v>Variation UPR - gross</v>
          </cell>
          <cell r="Y38627" t="str">
            <v>UNITED KINGDOM</v>
          </cell>
        </row>
        <row r="38628">
          <cell r="L38628" t="str">
            <v>Non-proportional</v>
          </cell>
          <cell r="S38628">
            <v>-3068.48</v>
          </cell>
          <cell r="X38628" t="str">
            <v>Variation UPR - gross</v>
          </cell>
          <cell r="Y38628" t="str">
            <v>DOMINICAN REPUBLIC</v>
          </cell>
        </row>
        <row r="38629">
          <cell r="L38629" t="str">
            <v>Proportional</v>
          </cell>
          <cell r="S38629">
            <v>-101069.26</v>
          </cell>
          <cell r="X38629" t="str">
            <v>Variation UPR - gross</v>
          </cell>
          <cell r="Y38629" t="str">
            <v>MEXICO</v>
          </cell>
        </row>
        <row r="38630">
          <cell r="L38630" t="str">
            <v>Non-proportional</v>
          </cell>
          <cell r="S38630">
            <v>-6278.98</v>
          </cell>
          <cell r="X38630" t="str">
            <v>Variation UPR - gross</v>
          </cell>
          <cell r="Y38630" t="str">
            <v>FRANCE</v>
          </cell>
        </row>
        <row r="38631">
          <cell r="L38631" t="str">
            <v>Non-proportional</v>
          </cell>
          <cell r="S38631">
            <v>-4250.71</v>
          </cell>
          <cell r="X38631" t="str">
            <v>Variation UPR - gross</v>
          </cell>
          <cell r="Y38631" t="str">
            <v>ITALY</v>
          </cell>
        </row>
        <row r="38632">
          <cell r="L38632" t="str">
            <v>Non-proportional</v>
          </cell>
          <cell r="S38632">
            <v>-30000</v>
          </cell>
          <cell r="X38632" t="str">
            <v>Variation UPR - gross</v>
          </cell>
          <cell r="Y38632" t="str">
            <v>FRANCE</v>
          </cell>
        </row>
        <row r="38633">
          <cell r="L38633" t="str">
            <v>Non-proportional</v>
          </cell>
          <cell r="S38633">
            <v>-1085.03</v>
          </cell>
          <cell r="X38633" t="str">
            <v>Variation UPR - gross</v>
          </cell>
          <cell r="Y38633" t="str">
            <v>SOUTH AFRICA</v>
          </cell>
        </row>
        <row r="38634">
          <cell r="L38634" t="str">
            <v>Non-proportional</v>
          </cell>
          <cell r="S38634">
            <v>68.31</v>
          </cell>
          <cell r="X38634" t="str">
            <v>Variation UPR - gross</v>
          </cell>
          <cell r="Y38634" t="str">
            <v>COLOMBIA</v>
          </cell>
        </row>
        <row r="38635">
          <cell r="L38635" t="str">
            <v>Non-proportional</v>
          </cell>
          <cell r="S38635">
            <v>-4016.92</v>
          </cell>
          <cell r="X38635" t="str">
            <v>Variation UPR - gross</v>
          </cell>
          <cell r="Y38635" t="str">
            <v>MEXICO</v>
          </cell>
        </row>
        <row r="38636">
          <cell r="L38636" t="str">
            <v>Non-proportional</v>
          </cell>
          <cell r="S38636">
            <v>-35326.94</v>
          </cell>
          <cell r="X38636" t="str">
            <v>Variation UPR - gross</v>
          </cell>
          <cell r="Y38636" t="str">
            <v>TURKEY</v>
          </cell>
        </row>
        <row r="38637">
          <cell r="L38637" t="str">
            <v>Proportional</v>
          </cell>
          <cell r="S38637">
            <v>-72927.649999999994</v>
          </cell>
          <cell r="X38637" t="str">
            <v>Variation UPR - gross</v>
          </cell>
          <cell r="Y38637" t="str">
            <v>SWITZERLAND</v>
          </cell>
        </row>
        <row r="38638">
          <cell r="L38638" t="str">
            <v>Non-proportional</v>
          </cell>
          <cell r="S38638">
            <v>-8775.06</v>
          </cell>
          <cell r="X38638" t="str">
            <v>Variation UPR - gross</v>
          </cell>
          <cell r="Y38638" t="str">
            <v>FRANCE</v>
          </cell>
        </row>
        <row r="38639">
          <cell r="L38639" t="str">
            <v>Non-proportional</v>
          </cell>
          <cell r="S38639">
            <v>-14424.04</v>
          </cell>
          <cell r="X38639" t="str">
            <v>Variation UPR - gross</v>
          </cell>
          <cell r="Y38639" t="str">
            <v>FRANCE</v>
          </cell>
        </row>
        <row r="38640">
          <cell r="L38640" t="str">
            <v>Non-proportional</v>
          </cell>
          <cell r="S38640">
            <v>-793.94</v>
          </cell>
          <cell r="X38640" t="str">
            <v>Variation UPR - gross</v>
          </cell>
          <cell r="Y38640" t="str">
            <v>JAPAN</v>
          </cell>
        </row>
        <row r="38641">
          <cell r="L38641" t="str">
            <v>Non-proportional</v>
          </cell>
          <cell r="S38641">
            <v>-255.74</v>
          </cell>
          <cell r="X38641" t="str">
            <v>Variation UPR - gross</v>
          </cell>
          <cell r="Y38641" t="str">
            <v>CHILE</v>
          </cell>
        </row>
        <row r="38642">
          <cell r="L38642" t="str">
            <v>Non-proportional</v>
          </cell>
          <cell r="S38642">
            <v>240.26</v>
          </cell>
          <cell r="X38642" t="str">
            <v>Variation UPR - gross</v>
          </cell>
          <cell r="Y38642" t="str">
            <v>SOUTH KOREA</v>
          </cell>
        </row>
        <row r="38643">
          <cell r="L38643" t="str">
            <v>Non-proportional</v>
          </cell>
          <cell r="S38643">
            <v>-13468.58</v>
          </cell>
          <cell r="X38643" t="str">
            <v>Variation UPR - gross</v>
          </cell>
          <cell r="Y38643" t="str">
            <v>AUSTRALIA</v>
          </cell>
        </row>
        <row r="38644">
          <cell r="L38644" t="str">
            <v>Non-proportional</v>
          </cell>
          <cell r="S38644">
            <v>-10499.88</v>
          </cell>
          <cell r="X38644" t="str">
            <v>Variation UPR - gross</v>
          </cell>
          <cell r="Y38644" t="str">
            <v>ITALY</v>
          </cell>
        </row>
        <row r="38645">
          <cell r="L38645" t="str">
            <v>Non-proportional</v>
          </cell>
          <cell r="S38645">
            <v>-10748.69</v>
          </cell>
          <cell r="X38645" t="str">
            <v>Variation UPR - gross</v>
          </cell>
          <cell r="Y38645" t="str">
            <v>ITALY</v>
          </cell>
        </row>
        <row r="38646">
          <cell r="L38646" t="str">
            <v>Non-proportional</v>
          </cell>
          <cell r="S38646">
            <v>-1303.78</v>
          </cell>
          <cell r="X38646" t="str">
            <v>Variation UPR - gross</v>
          </cell>
          <cell r="Y38646" t="str">
            <v>CYPRUS</v>
          </cell>
        </row>
        <row r="38647">
          <cell r="L38647" t="str">
            <v>Non-proportional</v>
          </cell>
          <cell r="S38647">
            <v>-406.13</v>
          </cell>
          <cell r="X38647" t="str">
            <v>Variation UPR - gross</v>
          </cell>
          <cell r="Y38647" t="str">
            <v>COLOMBIA</v>
          </cell>
        </row>
        <row r="38648">
          <cell r="L38648" t="str">
            <v>Non-proportional</v>
          </cell>
          <cell r="S38648">
            <v>76823.83</v>
          </cell>
          <cell r="X38648" t="str">
            <v>Variation UPR - gross</v>
          </cell>
          <cell r="Y38648" t="str">
            <v>GERMANY</v>
          </cell>
        </row>
        <row r="38649">
          <cell r="L38649" t="str">
            <v>Non-proportional</v>
          </cell>
          <cell r="S38649">
            <v>24792.44</v>
          </cell>
          <cell r="X38649" t="str">
            <v>Variation UPR - gross</v>
          </cell>
          <cell r="Y38649" t="str">
            <v>THAILAND</v>
          </cell>
        </row>
        <row r="38650">
          <cell r="L38650" t="str">
            <v>Non-proportional</v>
          </cell>
          <cell r="S38650">
            <v>-2333.71</v>
          </cell>
          <cell r="X38650" t="str">
            <v>Variation UPR - gross</v>
          </cell>
          <cell r="Y38650" t="str">
            <v>AUSTRALIA</v>
          </cell>
        </row>
        <row r="38651">
          <cell r="L38651" t="str">
            <v>Non-proportional</v>
          </cell>
          <cell r="S38651">
            <v>41.8</v>
          </cell>
          <cell r="X38651" t="str">
            <v>Variation UPR - gross</v>
          </cell>
          <cell r="Y38651" t="str">
            <v>NEW ZEALAND</v>
          </cell>
        </row>
        <row r="38652">
          <cell r="L38652" t="str">
            <v>Non-proportional</v>
          </cell>
          <cell r="S38652">
            <v>-1304.28</v>
          </cell>
          <cell r="X38652" t="str">
            <v>Variation UPR - gross</v>
          </cell>
          <cell r="Y38652" t="str">
            <v>AUSTRALIA</v>
          </cell>
        </row>
        <row r="38653">
          <cell r="L38653" t="str">
            <v>Non-proportional</v>
          </cell>
          <cell r="S38653">
            <v>-3032.29</v>
          </cell>
          <cell r="X38653" t="str">
            <v>Variation UPR - gross</v>
          </cell>
          <cell r="Y38653" t="str">
            <v>CHILE</v>
          </cell>
        </row>
        <row r="38654">
          <cell r="L38654" t="str">
            <v>Non-proportional</v>
          </cell>
          <cell r="S38654">
            <v>-2164.19</v>
          </cell>
          <cell r="X38654" t="str">
            <v>Variation UPR - gross</v>
          </cell>
          <cell r="Y38654" t="str">
            <v>JAPAN</v>
          </cell>
        </row>
        <row r="38655">
          <cell r="L38655" t="str">
            <v>Non-proportional</v>
          </cell>
          <cell r="S38655">
            <v>-1946.5</v>
          </cell>
          <cell r="X38655" t="str">
            <v>Variation UPR - gross</v>
          </cell>
          <cell r="Y38655" t="str">
            <v>REPUBLIC OF IRELAND</v>
          </cell>
        </row>
        <row r="38656">
          <cell r="L38656" t="str">
            <v>Non-proportional</v>
          </cell>
          <cell r="S38656">
            <v>-1800</v>
          </cell>
          <cell r="X38656" t="str">
            <v>Variation UPR - gross</v>
          </cell>
          <cell r="Y38656" t="str">
            <v>PORTUGAL</v>
          </cell>
        </row>
        <row r="38657">
          <cell r="L38657" t="str">
            <v>Non-proportional</v>
          </cell>
          <cell r="S38657">
            <v>-1753.13</v>
          </cell>
          <cell r="X38657" t="str">
            <v>Variation UPR - gross</v>
          </cell>
          <cell r="Y38657" t="str">
            <v>ROMANIA</v>
          </cell>
        </row>
        <row r="38658">
          <cell r="L38658" t="str">
            <v>Non-proportional</v>
          </cell>
          <cell r="S38658">
            <v>-2914.41</v>
          </cell>
          <cell r="X38658" t="str">
            <v>Variation UPR - gross</v>
          </cell>
          <cell r="Y38658" t="str">
            <v>UNITED KINGDOM</v>
          </cell>
        </row>
        <row r="38659">
          <cell r="L38659" t="str">
            <v>Non-proportional</v>
          </cell>
          <cell r="S38659">
            <v>-3105.36</v>
          </cell>
          <cell r="X38659" t="str">
            <v>Variation UPR - gross</v>
          </cell>
          <cell r="Y38659" t="str">
            <v>CHILE</v>
          </cell>
        </row>
        <row r="38660">
          <cell r="L38660" t="str">
            <v>Non-proportional</v>
          </cell>
          <cell r="S38660">
            <v>-6074.66</v>
          </cell>
          <cell r="X38660" t="str">
            <v>Variation UPR - gross</v>
          </cell>
          <cell r="Y38660" t="str">
            <v>SPAIN</v>
          </cell>
        </row>
        <row r="38661">
          <cell r="L38661" t="str">
            <v>Non-proportional</v>
          </cell>
          <cell r="S38661">
            <v>-6740.65</v>
          </cell>
          <cell r="X38661" t="str">
            <v>Variation UPR - gross</v>
          </cell>
          <cell r="Y38661" t="str">
            <v>MEXICO</v>
          </cell>
        </row>
        <row r="38662">
          <cell r="L38662" t="str">
            <v>Non-proportional</v>
          </cell>
          <cell r="S38662">
            <v>-1131.24</v>
          </cell>
          <cell r="X38662" t="str">
            <v>Variation UPR - gross</v>
          </cell>
          <cell r="Y38662" t="str">
            <v>CYPRUS</v>
          </cell>
        </row>
        <row r="38663">
          <cell r="L38663" t="str">
            <v>Proportional</v>
          </cell>
          <cell r="S38663">
            <v>-305.83</v>
          </cell>
          <cell r="X38663" t="str">
            <v>Variation UPR - gross</v>
          </cell>
          <cell r="Y38663" t="str">
            <v>THAILAND</v>
          </cell>
        </row>
        <row r="38664">
          <cell r="L38664" t="str">
            <v>Non-proportional</v>
          </cell>
          <cell r="S38664">
            <v>-15.36</v>
          </cell>
          <cell r="X38664" t="str">
            <v>Variation UPR - gross</v>
          </cell>
          <cell r="Y38664" t="str">
            <v>ISRAEL</v>
          </cell>
        </row>
        <row r="38665">
          <cell r="L38665" t="str">
            <v>Non-proportional</v>
          </cell>
          <cell r="S38665">
            <v>-146.28</v>
          </cell>
          <cell r="X38665" t="str">
            <v>Variation UPR - gross</v>
          </cell>
          <cell r="Y38665" t="str">
            <v>FRANCE</v>
          </cell>
        </row>
        <row r="38666">
          <cell r="L38666" t="str">
            <v>Proportional</v>
          </cell>
          <cell r="S38666">
            <v>-4299.29</v>
          </cell>
          <cell r="X38666" t="str">
            <v>Variation UPR - gross</v>
          </cell>
          <cell r="Y38666" t="str">
            <v>HONG KONG</v>
          </cell>
        </row>
        <row r="38667">
          <cell r="L38667" t="str">
            <v>Non-proportional</v>
          </cell>
          <cell r="S38667">
            <v>60.7</v>
          </cell>
          <cell r="X38667" t="str">
            <v>Variation UPR - gross</v>
          </cell>
          <cell r="Y38667" t="str">
            <v>JAPAN</v>
          </cell>
        </row>
        <row r="38668">
          <cell r="L38668" t="str">
            <v>Non-proportional</v>
          </cell>
          <cell r="S38668">
            <v>-6481.35</v>
          </cell>
          <cell r="X38668" t="str">
            <v>Variation UPR - gross</v>
          </cell>
          <cell r="Y38668" t="str">
            <v>NEW ZEALAND</v>
          </cell>
        </row>
        <row r="38669">
          <cell r="L38669" t="str">
            <v>Non-proportional</v>
          </cell>
          <cell r="S38669">
            <v>-2317.5</v>
          </cell>
          <cell r="X38669" t="str">
            <v>Variation UPR - gross</v>
          </cell>
          <cell r="Y38669" t="str">
            <v>UNITED KINGDOM</v>
          </cell>
        </row>
        <row r="38670">
          <cell r="L38670" t="str">
            <v>Non-proportional</v>
          </cell>
          <cell r="S38670">
            <v>-8843.8799999999992</v>
          </cell>
          <cell r="X38670" t="str">
            <v>Variation UPR - gross</v>
          </cell>
          <cell r="Y38670" t="str">
            <v>TURKEY</v>
          </cell>
        </row>
        <row r="38671">
          <cell r="L38671" t="str">
            <v>Proportional</v>
          </cell>
          <cell r="S38671">
            <v>-36491.65</v>
          </cell>
          <cell r="X38671" t="str">
            <v>Variation UPR - gross</v>
          </cell>
          <cell r="Y38671" t="str">
            <v>JAPAN</v>
          </cell>
        </row>
        <row r="38672">
          <cell r="L38672" t="str">
            <v>Non-proportional</v>
          </cell>
          <cell r="S38672">
            <v>-382.23</v>
          </cell>
          <cell r="X38672" t="str">
            <v>Variation UPR - gross</v>
          </cell>
          <cell r="Y38672" t="str">
            <v>INDIA</v>
          </cell>
        </row>
        <row r="38673">
          <cell r="L38673" t="str">
            <v>Non-proportional</v>
          </cell>
          <cell r="S38673">
            <v>-1846.85</v>
          </cell>
          <cell r="X38673" t="str">
            <v>Variation UPR - gross</v>
          </cell>
          <cell r="Y38673" t="str">
            <v>FRANCE</v>
          </cell>
        </row>
        <row r="38674">
          <cell r="L38674" t="str">
            <v>Non-proportional</v>
          </cell>
          <cell r="S38674">
            <v>-3507.23</v>
          </cell>
          <cell r="X38674" t="str">
            <v>Variation UPR - gross</v>
          </cell>
          <cell r="Y38674" t="str">
            <v>CHILE</v>
          </cell>
        </row>
        <row r="38675">
          <cell r="L38675" t="str">
            <v>Proportional</v>
          </cell>
          <cell r="S38675">
            <v>-382.94</v>
          </cell>
          <cell r="X38675" t="str">
            <v>Variation UPR - gross</v>
          </cell>
          <cell r="Y38675" t="str">
            <v>THAILAND</v>
          </cell>
        </row>
        <row r="38676">
          <cell r="L38676" t="str">
            <v>Non-proportional</v>
          </cell>
          <cell r="S38676">
            <v>30.38</v>
          </cell>
          <cell r="X38676" t="str">
            <v>Variation UPR - gross</v>
          </cell>
          <cell r="Y38676" t="str">
            <v>POLAND</v>
          </cell>
        </row>
        <row r="38677">
          <cell r="L38677" t="str">
            <v>Proportional</v>
          </cell>
          <cell r="S38677">
            <v>89635.44</v>
          </cell>
          <cell r="X38677" t="str">
            <v>Variation UPR - gross</v>
          </cell>
          <cell r="Y38677" t="str">
            <v>UNITED STATES</v>
          </cell>
        </row>
        <row r="38678">
          <cell r="L38678" t="str">
            <v>Non-proportional</v>
          </cell>
          <cell r="S38678">
            <v>-3949.94</v>
          </cell>
          <cell r="X38678" t="str">
            <v>Variation UPR - gross</v>
          </cell>
          <cell r="Y38678" t="str">
            <v>ECUADOR</v>
          </cell>
        </row>
        <row r="38679">
          <cell r="L38679" t="str">
            <v>Proportional</v>
          </cell>
          <cell r="S38679">
            <v>-1080250.8</v>
          </cell>
          <cell r="X38679" t="str">
            <v>Variation UPR - gross</v>
          </cell>
          <cell r="Y38679" t="str">
            <v>THAILAND</v>
          </cell>
        </row>
        <row r="38680">
          <cell r="L38680" t="str">
            <v>Non-proportional</v>
          </cell>
          <cell r="S38680">
            <v>-8505.85</v>
          </cell>
          <cell r="X38680" t="str">
            <v>Variation UPR - gross</v>
          </cell>
          <cell r="Y38680" t="str">
            <v>AUSTRALIA</v>
          </cell>
        </row>
        <row r="38681">
          <cell r="L38681" t="str">
            <v>Non-proportional</v>
          </cell>
          <cell r="S38681">
            <v>-8671.5400000000009</v>
          </cell>
          <cell r="X38681" t="str">
            <v>Variation UPR - gross</v>
          </cell>
          <cell r="Y38681" t="str">
            <v>CANADA</v>
          </cell>
        </row>
        <row r="38682">
          <cell r="L38682" t="str">
            <v>Non-proportional</v>
          </cell>
          <cell r="S38682">
            <v>-14180.04</v>
          </cell>
          <cell r="X38682" t="str">
            <v>Variation UPR - gross</v>
          </cell>
          <cell r="Y38682" t="str">
            <v>UNITED KINGDOM</v>
          </cell>
        </row>
        <row r="38683">
          <cell r="L38683" t="str">
            <v>Proportional</v>
          </cell>
          <cell r="S38683">
            <v>-1364411.16</v>
          </cell>
          <cell r="X38683" t="str">
            <v>Variation UPR - gross</v>
          </cell>
          <cell r="Y38683" t="str">
            <v>THAILAND</v>
          </cell>
        </row>
        <row r="38684">
          <cell r="L38684" t="str">
            <v>Non-proportional</v>
          </cell>
          <cell r="S38684">
            <v>-3523.68</v>
          </cell>
          <cell r="X38684" t="str">
            <v>Variation UPR - gross</v>
          </cell>
          <cell r="Y38684" t="str">
            <v>COLOMBIA</v>
          </cell>
        </row>
        <row r="38685">
          <cell r="L38685" t="str">
            <v>Non-proportional</v>
          </cell>
          <cell r="S38685">
            <v>-23187.5</v>
          </cell>
          <cell r="X38685" t="str">
            <v>Variation UPR - gross</v>
          </cell>
          <cell r="Y38685" t="str">
            <v>ITALY</v>
          </cell>
        </row>
        <row r="38686">
          <cell r="L38686" t="str">
            <v>Non-proportional</v>
          </cell>
          <cell r="S38686">
            <v>-4887.37</v>
          </cell>
          <cell r="X38686" t="str">
            <v>Variation UPR - gross</v>
          </cell>
          <cell r="Y38686" t="str">
            <v>NEW ZEALAND</v>
          </cell>
        </row>
        <row r="38687">
          <cell r="L38687" t="str">
            <v>Non-proportional</v>
          </cell>
          <cell r="S38687">
            <v>-1728.29</v>
          </cell>
          <cell r="X38687" t="str">
            <v>Variation UPR - gross</v>
          </cell>
          <cell r="Y38687" t="str">
            <v>JAPAN</v>
          </cell>
        </row>
        <row r="38688">
          <cell r="L38688" t="str">
            <v>Non-proportional</v>
          </cell>
          <cell r="S38688">
            <v>-286.25</v>
          </cell>
          <cell r="X38688" t="str">
            <v>Variation UPR - gross</v>
          </cell>
          <cell r="Y38688" t="str">
            <v>REPUBLIC OF IRELAND</v>
          </cell>
        </row>
        <row r="38689">
          <cell r="L38689" t="str">
            <v>Non-proportional</v>
          </cell>
          <cell r="S38689">
            <v>-73.069999999999993</v>
          </cell>
          <cell r="X38689" t="str">
            <v>Variation UPR - gross</v>
          </cell>
          <cell r="Y38689" t="str">
            <v>CHILE</v>
          </cell>
        </row>
        <row r="38690">
          <cell r="L38690" t="str">
            <v>Non-proportional</v>
          </cell>
          <cell r="S38690">
            <v>-1985.09</v>
          </cell>
          <cell r="X38690" t="str">
            <v>Variation UPR - gross</v>
          </cell>
          <cell r="Y38690" t="str">
            <v>AUSTRALIA</v>
          </cell>
        </row>
        <row r="38691">
          <cell r="L38691" t="str">
            <v>Proportional</v>
          </cell>
          <cell r="S38691">
            <v>-2076385.82</v>
          </cell>
          <cell r="X38691" t="str">
            <v>Variation UPR - gross</v>
          </cell>
          <cell r="Y38691" t="str">
            <v>HONG KONG</v>
          </cell>
        </row>
        <row r="38692">
          <cell r="L38692" t="str">
            <v>Non-proportional</v>
          </cell>
          <cell r="S38692">
            <v>-994685.22</v>
          </cell>
          <cell r="X38692" t="str">
            <v>Variation UPR - gross</v>
          </cell>
          <cell r="Y38692" t="str">
            <v>UNITED KINGDOM</v>
          </cell>
        </row>
        <row r="38693">
          <cell r="L38693" t="str">
            <v>Non-proportional</v>
          </cell>
          <cell r="S38693">
            <v>-3796.46</v>
          </cell>
          <cell r="X38693" t="str">
            <v>Variation UPR - gross</v>
          </cell>
          <cell r="Y38693" t="str">
            <v>ITALY</v>
          </cell>
        </row>
        <row r="38694">
          <cell r="L38694" t="str">
            <v>Non-proportional</v>
          </cell>
          <cell r="S38694">
            <v>-1767.87</v>
          </cell>
          <cell r="X38694" t="str">
            <v>Variation UPR - gross</v>
          </cell>
          <cell r="Y38694" t="str">
            <v>ECUADOR</v>
          </cell>
        </row>
        <row r="38695">
          <cell r="L38695" t="str">
            <v>Non-proportional</v>
          </cell>
          <cell r="S38695">
            <v>-16278.67</v>
          </cell>
          <cell r="X38695" t="str">
            <v>Variation UPR - gross</v>
          </cell>
          <cell r="Y38695" t="str">
            <v>ITALY</v>
          </cell>
        </row>
        <row r="38696">
          <cell r="L38696" t="str">
            <v>Non-proportional</v>
          </cell>
          <cell r="S38696">
            <v>-975</v>
          </cell>
          <cell r="X38696" t="str">
            <v>Variation UPR - gross</v>
          </cell>
          <cell r="Y38696" t="str">
            <v>GREECE</v>
          </cell>
        </row>
        <row r="38697">
          <cell r="L38697" t="str">
            <v>Non-proportional</v>
          </cell>
          <cell r="S38697">
            <v>-1936.28</v>
          </cell>
          <cell r="X38697" t="str">
            <v>Variation UPR - gross</v>
          </cell>
          <cell r="Y38697" t="str">
            <v>CHILE</v>
          </cell>
        </row>
        <row r="38698">
          <cell r="L38698" t="str">
            <v>Proportional</v>
          </cell>
          <cell r="S38698">
            <v>-1560</v>
          </cell>
          <cell r="X38698" t="str">
            <v>Variation UPR - gross</v>
          </cell>
          <cell r="Y38698" t="str">
            <v>ITALY</v>
          </cell>
        </row>
        <row r="38699">
          <cell r="L38699" t="str">
            <v>Non-proportional</v>
          </cell>
          <cell r="S38699">
            <v>-26650.69</v>
          </cell>
          <cell r="X38699" t="str">
            <v>Variation UPR - gross</v>
          </cell>
          <cell r="Y38699" t="str">
            <v>TURKEY</v>
          </cell>
        </row>
        <row r="38700">
          <cell r="L38700" t="str">
            <v>Non-proportional</v>
          </cell>
          <cell r="S38700">
            <v>-33735.14</v>
          </cell>
          <cell r="X38700" t="str">
            <v>Variation UPR - gross</v>
          </cell>
          <cell r="Y38700" t="str">
            <v>UNITED KINGDOM</v>
          </cell>
        </row>
        <row r="38701">
          <cell r="L38701" t="str">
            <v>Non-proportional</v>
          </cell>
          <cell r="S38701">
            <v>-105723.33</v>
          </cell>
          <cell r="X38701" t="str">
            <v>Variation UPR - gross</v>
          </cell>
          <cell r="Y38701" t="str">
            <v>FRANCE</v>
          </cell>
        </row>
        <row r="38702">
          <cell r="L38702" t="str">
            <v>Non-proportional</v>
          </cell>
          <cell r="S38702">
            <v>0.04</v>
          </cell>
          <cell r="X38702" t="str">
            <v>Variation UPR - gross</v>
          </cell>
          <cell r="Y38702" t="str">
            <v>COLOMBIA</v>
          </cell>
        </row>
        <row r="38703">
          <cell r="L38703" t="str">
            <v>Non-proportional</v>
          </cell>
          <cell r="S38703">
            <v>-1197.92</v>
          </cell>
          <cell r="X38703" t="str">
            <v>Variation UPR - gross</v>
          </cell>
          <cell r="Y38703" t="str">
            <v>GERMANY</v>
          </cell>
        </row>
        <row r="38704">
          <cell r="L38704" t="str">
            <v>Non-proportional</v>
          </cell>
          <cell r="S38704">
            <v>-698.58</v>
          </cell>
          <cell r="X38704" t="str">
            <v>Variation UPR - gross</v>
          </cell>
          <cell r="Y38704" t="str">
            <v>ITALY</v>
          </cell>
        </row>
        <row r="38705">
          <cell r="L38705" t="str">
            <v>Proportional</v>
          </cell>
          <cell r="S38705">
            <v>42.32</v>
          </cell>
          <cell r="X38705" t="str">
            <v>Variation UPR - gross</v>
          </cell>
          <cell r="Y38705" t="str">
            <v>UNITED STATES</v>
          </cell>
        </row>
        <row r="38706">
          <cell r="L38706" t="str">
            <v>Non-proportional</v>
          </cell>
          <cell r="S38706">
            <v>-79408.23</v>
          </cell>
          <cell r="X38706" t="str">
            <v>Variation UPR - gross</v>
          </cell>
          <cell r="Y38706" t="str">
            <v>UNITED KINGDOM</v>
          </cell>
        </row>
        <row r="38707">
          <cell r="L38707" t="str">
            <v>Non-proportional</v>
          </cell>
          <cell r="S38707">
            <v>55.88</v>
          </cell>
          <cell r="X38707" t="str">
            <v>Variation UPR - gross</v>
          </cell>
          <cell r="Y38707" t="str">
            <v>JAPAN</v>
          </cell>
        </row>
        <row r="38708">
          <cell r="L38708" t="str">
            <v>Non-proportional</v>
          </cell>
          <cell r="S38708">
            <v>1.04</v>
          </cell>
          <cell r="X38708" t="str">
            <v>Variation UPR - gross</v>
          </cell>
          <cell r="Y38708" t="str">
            <v>GUATEMALA</v>
          </cell>
        </row>
        <row r="38709">
          <cell r="L38709" t="str">
            <v>Non-proportional</v>
          </cell>
          <cell r="S38709">
            <v>-2937.09</v>
          </cell>
          <cell r="X38709" t="str">
            <v>Variation UPR - gross</v>
          </cell>
          <cell r="Y38709" t="str">
            <v>NETHERLANDS</v>
          </cell>
        </row>
        <row r="38710">
          <cell r="L38710" t="str">
            <v>Non-proportional</v>
          </cell>
          <cell r="S38710">
            <v>-6322.9</v>
          </cell>
          <cell r="X38710" t="str">
            <v>Variation UPR - gross</v>
          </cell>
          <cell r="Y38710" t="str">
            <v>PERU</v>
          </cell>
        </row>
        <row r="38711">
          <cell r="L38711" t="str">
            <v>Proportional</v>
          </cell>
          <cell r="S38711">
            <v>-31858.79</v>
          </cell>
          <cell r="X38711" t="str">
            <v>Variation UPR - gross</v>
          </cell>
          <cell r="Y38711" t="str">
            <v>INDIA</v>
          </cell>
        </row>
        <row r="38712">
          <cell r="L38712" t="str">
            <v>Non-proportional</v>
          </cell>
          <cell r="S38712">
            <v>-197</v>
          </cell>
          <cell r="X38712" t="str">
            <v>Variation UPR - gross</v>
          </cell>
          <cell r="Y38712" t="str">
            <v>INDIA</v>
          </cell>
        </row>
        <row r="38713">
          <cell r="L38713" t="str">
            <v>Non-proportional</v>
          </cell>
          <cell r="S38713">
            <v>-219.2</v>
          </cell>
          <cell r="X38713" t="str">
            <v>Variation UPR - gross</v>
          </cell>
          <cell r="Y38713" t="str">
            <v>CHILE</v>
          </cell>
        </row>
        <row r="38714">
          <cell r="L38714" t="str">
            <v>Non-proportional</v>
          </cell>
          <cell r="S38714">
            <v>223.82</v>
          </cell>
          <cell r="X38714" t="str">
            <v>Variation UPR - gross</v>
          </cell>
          <cell r="Y38714" t="str">
            <v>NEW ZEALAND</v>
          </cell>
        </row>
        <row r="38715">
          <cell r="L38715" t="str">
            <v>Non-proportional</v>
          </cell>
          <cell r="S38715">
            <v>-26792.04</v>
          </cell>
          <cell r="X38715" t="str">
            <v>Variation UPR - gross</v>
          </cell>
          <cell r="Y38715" t="str">
            <v>UNITED KINGDOM</v>
          </cell>
        </row>
        <row r="38716">
          <cell r="L38716" t="str">
            <v>Non-proportional</v>
          </cell>
          <cell r="S38716">
            <v>-2268.31</v>
          </cell>
          <cell r="X38716" t="str">
            <v>Variation UPR - gross</v>
          </cell>
          <cell r="Y38716" t="str">
            <v>AUSTRALIA</v>
          </cell>
        </row>
        <row r="38717">
          <cell r="L38717" t="str">
            <v>Non-proportional</v>
          </cell>
          <cell r="S38717">
            <v>-12092.62</v>
          </cell>
          <cell r="X38717" t="str">
            <v>Variation UPR - gross</v>
          </cell>
          <cell r="Y38717" t="str">
            <v>CHILE</v>
          </cell>
        </row>
        <row r="38718">
          <cell r="L38718" t="str">
            <v>Non-proportional</v>
          </cell>
          <cell r="S38718">
            <v>-6685.65</v>
          </cell>
          <cell r="X38718" t="str">
            <v>Variation UPR - gross</v>
          </cell>
          <cell r="Y38718" t="str">
            <v>CHILE</v>
          </cell>
        </row>
        <row r="38719">
          <cell r="L38719" t="str">
            <v>Non-proportional</v>
          </cell>
          <cell r="S38719">
            <v>-13206.27</v>
          </cell>
          <cell r="X38719" t="str">
            <v>Variation UPR - gross</v>
          </cell>
          <cell r="Y38719" t="str">
            <v>MEXICO</v>
          </cell>
        </row>
        <row r="38720">
          <cell r="L38720" t="str">
            <v>Non-proportional</v>
          </cell>
          <cell r="S38720">
            <v>-880.38</v>
          </cell>
          <cell r="X38720" t="str">
            <v>Variation UPR - gross</v>
          </cell>
          <cell r="Y38720" t="str">
            <v>COSTA RICA</v>
          </cell>
        </row>
        <row r="38721">
          <cell r="L38721" t="str">
            <v>Non-proportional</v>
          </cell>
          <cell r="S38721">
            <v>-1570.94</v>
          </cell>
          <cell r="X38721" t="str">
            <v>Variation UPR - gross</v>
          </cell>
          <cell r="Y38721" t="str">
            <v>CHILE</v>
          </cell>
        </row>
        <row r="38722">
          <cell r="L38722" t="str">
            <v>Non-proportional</v>
          </cell>
          <cell r="S38722">
            <v>-245.45</v>
          </cell>
          <cell r="X38722" t="str">
            <v>Variation UPR - gross</v>
          </cell>
          <cell r="Y38722" t="str">
            <v>COLOMBIA</v>
          </cell>
        </row>
        <row r="38723">
          <cell r="L38723" t="str">
            <v>Non-proportional</v>
          </cell>
          <cell r="S38723">
            <v>-80.709999999999994</v>
          </cell>
          <cell r="X38723" t="str">
            <v>Variation UPR - gross</v>
          </cell>
          <cell r="Y38723" t="str">
            <v>COLOMBIA</v>
          </cell>
        </row>
        <row r="38724">
          <cell r="L38724" t="str">
            <v>Non-proportional</v>
          </cell>
          <cell r="S38724">
            <v>-205.67</v>
          </cell>
          <cell r="X38724" t="str">
            <v>Variation UPR - gross</v>
          </cell>
          <cell r="Y38724" t="str">
            <v>FRANCE</v>
          </cell>
        </row>
        <row r="38725">
          <cell r="L38725" t="str">
            <v>Proportional</v>
          </cell>
          <cell r="S38725">
            <v>808.71</v>
          </cell>
          <cell r="X38725" t="str">
            <v>Variation UPR - gross</v>
          </cell>
          <cell r="Y38725" t="str">
            <v>UNITED STATES</v>
          </cell>
        </row>
        <row r="38726">
          <cell r="L38726" t="str">
            <v>Proportional</v>
          </cell>
          <cell r="S38726">
            <v>-41712.92</v>
          </cell>
          <cell r="X38726" t="str">
            <v>Variation UPR - gross</v>
          </cell>
          <cell r="Y38726" t="str">
            <v>MEXICO</v>
          </cell>
        </row>
        <row r="38727">
          <cell r="L38727" t="str">
            <v>Proportional</v>
          </cell>
          <cell r="S38727">
            <v>40371.089999999997</v>
          </cell>
          <cell r="X38727" t="str">
            <v>Variation UPR - gross</v>
          </cell>
          <cell r="Y38727" t="str">
            <v>CANADA</v>
          </cell>
        </row>
        <row r="38728">
          <cell r="L38728" t="str">
            <v>Non-proportional</v>
          </cell>
          <cell r="S38728">
            <v>-3651.49</v>
          </cell>
          <cell r="X38728" t="str">
            <v>Variation UPR - gross</v>
          </cell>
          <cell r="Y38728" t="str">
            <v>JAPAN</v>
          </cell>
        </row>
        <row r="38729">
          <cell r="L38729" t="str">
            <v>Non-proportional</v>
          </cell>
          <cell r="S38729">
            <v>-45.37</v>
          </cell>
          <cell r="X38729" t="str">
            <v>Variation UPR - gross</v>
          </cell>
          <cell r="Y38729" t="str">
            <v>COLOMBIA</v>
          </cell>
        </row>
        <row r="38730">
          <cell r="L38730" t="str">
            <v>Proportional</v>
          </cell>
          <cell r="S38730">
            <v>-19437.68</v>
          </cell>
          <cell r="X38730" t="str">
            <v>Variation UPR - gross</v>
          </cell>
          <cell r="Y38730" t="str">
            <v>THAILAND</v>
          </cell>
        </row>
        <row r="38731">
          <cell r="L38731" t="str">
            <v>Non-proportional</v>
          </cell>
          <cell r="S38731">
            <v>-6993.55</v>
          </cell>
          <cell r="X38731" t="str">
            <v>Variation UPR - gross</v>
          </cell>
          <cell r="Y38731" t="str">
            <v>UNITED KINGDOM</v>
          </cell>
        </row>
        <row r="38732">
          <cell r="L38732" t="str">
            <v>Non-proportional</v>
          </cell>
          <cell r="S38732">
            <v>-6379.97</v>
          </cell>
          <cell r="X38732" t="str">
            <v>Variation UPR - gross</v>
          </cell>
          <cell r="Y38732" t="str">
            <v>AUSTRALIA</v>
          </cell>
        </row>
        <row r="38733">
          <cell r="L38733" t="str">
            <v>Non-proportional</v>
          </cell>
          <cell r="S38733">
            <v>-132.91999999999999</v>
          </cell>
          <cell r="X38733" t="str">
            <v>Variation UPR - gross</v>
          </cell>
          <cell r="Y38733" t="str">
            <v>ITALY</v>
          </cell>
        </row>
        <row r="38734">
          <cell r="L38734" t="str">
            <v>Proportional</v>
          </cell>
          <cell r="S38734">
            <v>-199914.81</v>
          </cell>
          <cell r="X38734" t="str">
            <v>Variation UPR - gross</v>
          </cell>
          <cell r="Y38734" t="str">
            <v>AUSTRALIA</v>
          </cell>
        </row>
        <row r="38735">
          <cell r="L38735" t="str">
            <v>Non-proportional</v>
          </cell>
          <cell r="S38735">
            <v>-4896.3599999999997</v>
          </cell>
          <cell r="X38735" t="str">
            <v>Variation UPR - gross</v>
          </cell>
          <cell r="Y38735" t="str">
            <v>DOMINICAN REPUBLIC</v>
          </cell>
        </row>
        <row r="38736">
          <cell r="L38736" t="str">
            <v>Non-proportional</v>
          </cell>
          <cell r="S38736">
            <v>-8644.76</v>
          </cell>
          <cell r="X38736" t="str">
            <v>Variation UPR - gross</v>
          </cell>
          <cell r="Y38736" t="str">
            <v>MEXICO</v>
          </cell>
        </row>
        <row r="38737">
          <cell r="L38737" t="str">
            <v>Non-proportional</v>
          </cell>
          <cell r="S38737">
            <v>-4298.6400000000003</v>
          </cell>
          <cell r="X38737" t="str">
            <v>Variation UPR - gross</v>
          </cell>
          <cell r="Y38737" t="str">
            <v>UNITED KINGDOM</v>
          </cell>
        </row>
        <row r="38738">
          <cell r="L38738" t="str">
            <v>Non-proportional</v>
          </cell>
          <cell r="S38738">
            <v>-943.73</v>
          </cell>
          <cell r="X38738" t="str">
            <v>Variation UPR - gross</v>
          </cell>
          <cell r="Y38738" t="str">
            <v>INDIA</v>
          </cell>
        </row>
        <row r="38739">
          <cell r="L38739" t="str">
            <v>Non-proportional</v>
          </cell>
          <cell r="S38739">
            <v>-73258.7</v>
          </cell>
          <cell r="X38739" t="str">
            <v>Variation UPR - gross</v>
          </cell>
          <cell r="Y38739" t="str">
            <v>UNITED KINGDOM</v>
          </cell>
        </row>
        <row r="38740">
          <cell r="L38740" t="str">
            <v>Proportional</v>
          </cell>
          <cell r="S38740">
            <v>-365.22</v>
          </cell>
          <cell r="X38740" t="str">
            <v>Variation UPR - gross</v>
          </cell>
          <cell r="Y38740" t="str">
            <v>THAILAND</v>
          </cell>
        </row>
        <row r="38741">
          <cell r="L38741" t="str">
            <v>Non-proportional</v>
          </cell>
          <cell r="S38741">
            <v>-73.069999999999993</v>
          </cell>
          <cell r="X38741" t="str">
            <v>Variation UPR - gross</v>
          </cell>
          <cell r="Y38741" t="str">
            <v>CHILE</v>
          </cell>
        </row>
        <row r="38742">
          <cell r="L38742" t="str">
            <v>Non-proportional</v>
          </cell>
          <cell r="S38742">
            <v>-898.87</v>
          </cell>
          <cell r="X38742" t="str">
            <v>Variation UPR - gross</v>
          </cell>
          <cell r="Y38742" t="str">
            <v>FRANCE</v>
          </cell>
        </row>
        <row r="38743">
          <cell r="L38743" t="str">
            <v>Non-proportional</v>
          </cell>
          <cell r="S38743">
            <v>146.13</v>
          </cell>
          <cell r="X38743" t="str">
            <v>Variation UPR - gross</v>
          </cell>
          <cell r="Y38743" t="str">
            <v>CHILE</v>
          </cell>
        </row>
        <row r="38744">
          <cell r="L38744" t="str">
            <v>Non-proportional</v>
          </cell>
          <cell r="S38744">
            <v>271.3</v>
          </cell>
          <cell r="X38744" t="str">
            <v>Variation UPR - gross</v>
          </cell>
          <cell r="Y38744" t="str">
            <v>COLOMBIA</v>
          </cell>
        </row>
        <row r="38745">
          <cell r="L38745" t="str">
            <v>Non-proportional</v>
          </cell>
          <cell r="S38745">
            <v>-1073.3599999999999</v>
          </cell>
          <cell r="X38745" t="str">
            <v>Variation UPR - gross</v>
          </cell>
          <cell r="Y38745" t="str">
            <v>PERU</v>
          </cell>
        </row>
        <row r="38746">
          <cell r="L38746" t="str">
            <v>Non-proportional</v>
          </cell>
          <cell r="S38746">
            <v>-15949.41</v>
          </cell>
          <cell r="X38746" t="str">
            <v>Variation UPR - gross</v>
          </cell>
          <cell r="Y38746" t="str">
            <v>SOUTH KOREA</v>
          </cell>
        </row>
        <row r="38747">
          <cell r="L38747" t="str">
            <v>Non-proportional</v>
          </cell>
          <cell r="S38747">
            <v>-4541.93</v>
          </cell>
          <cell r="X38747" t="str">
            <v>Variation UPR - gross</v>
          </cell>
          <cell r="Y38747" t="str">
            <v>TURKEY</v>
          </cell>
        </row>
        <row r="38748">
          <cell r="L38748" t="str">
            <v>Proportional</v>
          </cell>
          <cell r="S38748">
            <v>68920.02</v>
          </cell>
          <cell r="X38748" t="str">
            <v>Variation UPR - gross</v>
          </cell>
          <cell r="Y38748" t="str">
            <v>THAILAND</v>
          </cell>
        </row>
        <row r="38749">
          <cell r="L38749" t="str">
            <v>Non-proportional</v>
          </cell>
          <cell r="S38749">
            <v>-40000</v>
          </cell>
          <cell r="X38749" t="str">
            <v>Variation UPR - gross</v>
          </cell>
          <cell r="Y38749" t="str">
            <v>PORTUGAL</v>
          </cell>
        </row>
        <row r="38750">
          <cell r="L38750" t="str">
            <v>Non-proportional</v>
          </cell>
          <cell r="S38750">
            <v>-45.23</v>
          </cell>
          <cell r="X38750" t="str">
            <v>Variation UPR - gross</v>
          </cell>
          <cell r="Y38750" t="str">
            <v>INDIA</v>
          </cell>
        </row>
        <row r="38751">
          <cell r="L38751" t="str">
            <v>Non-proportional</v>
          </cell>
          <cell r="S38751">
            <v>-5238.3</v>
          </cell>
          <cell r="X38751" t="str">
            <v>Variation UPR - gross</v>
          </cell>
          <cell r="Y38751" t="str">
            <v>SPAIN</v>
          </cell>
        </row>
        <row r="38752">
          <cell r="L38752" t="str">
            <v>Non-proportional</v>
          </cell>
          <cell r="S38752">
            <v>-182021.67</v>
          </cell>
          <cell r="X38752" t="str">
            <v>Variation UPR - gross</v>
          </cell>
          <cell r="Y38752" t="str">
            <v>PORTUGAL</v>
          </cell>
        </row>
        <row r="38753">
          <cell r="L38753" t="str">
            <v>Non-proportional</v>
          </cell>
          <cell r="S38753">
            <v>-800</v>
          </cell>
          <cell r="X38753" t="str">
            <v>Variation UPR - gross</v>
          </cell>
          <cell r="Y38753" t="str">
            <v>ITALY</v>
          </cell>
        </row>
        <row r="38754">
          <cell r="L38754" t="str">
            <v>Non-proportional</v>
          </cell>
          <cell r="S38754">
            <v>0.01</v>
          </cell>
          <cell r="X38754" t="str">
            <v>Variation UPR - gross</v>
          </cell>
          <cell r="Y38754" t="str">
            <v>DOMINICAN REPUBLIC</v>
          </cell>
        </row>
        <row r="38755">
          <cell r="L38755" t="str">
            <v>Non-proportional</v>
          </cell>
          <cell r="S38755">
            <v>-9195.77</v>
          </cell>
          <cell r="X38755" t="str">
            <v>Variation UPR - gross</v>
          </cell>
          <cell r="Y38755" t="str">
            <v>INDIA</v>
          </cell>
        </row>
        <row r="38756">
          <cell r="L38756" t="str">
            <v>Non-proportional</v>
          </cell>
          <cell r="S38756">
            <v>-9135.8700000000008</v>
          </cell>
          <cell r="X38756" t="str">
            <v>Variation UPR - gross</v>
          </cell>
          <cell r="Y38756" t="str">
            <v>JAPAN</v>
          </cell>
        </row>
        <row r="38757">
          <cell r="L38757" t="str">
            <v>Non-proportional</v>
          </cell>
          <cell r="S38757">
            <v>-9583.89</v>
          </cell>
          <cell r="X38757" t="str">
            <v>Variation UPR - gross</v>
          </cell>
          <cell r="Y38757" t="str">
            <v>NEW ZEALAND</v>
          </cell>
        </row>
        <row r="38758">
          <cell r="L38758" t="str">
            <v>Non-proportional</v>
          </cell>
          <cell r="S38758">
            <v>-104796.53</v>
          </cell>
          <cell r="X38758" t="str">
            <v>Variation UPR - gross</v>
          </cell>
          <cell r="Y38758" t="str">
            <v>HONG KONG</v>
          </cell>
        </row>
        <row r="38759">
          <cell r="L38759" t="str">
            <v>Non-proportional</v>
          </cell>
          <cell r="S38759">
            <v>-8020.48</v>
          </cell>
          <cell r="X38759" t="str">
            <v>Variation UPR - gross</v>
          </cell>
          <cell r="Y38759" t="str">
            <v>TURKEY</v>
          </cell>
        </row>
        <row r="38760">
          <cell r="L38760" t="str">
            <v>Proportional</v>
          </cell>
          <cell r="S38760">
            <v>-7014.45</v>
          </cell>
          <cell r="X38760" t="str">
            <v>Variation UPR - gross</v>
          </cell>
          <cell r="Y38760" t="str">
            <v>CHILE</v>
          </cell>
        </row>
        <row r="38761">
          <cell r="L38761" t="str">
            <v>Non-proportional</v>
          </cell>
          <cell r="S38761">
            <v>584.54</v>
          </cell>
          <cell r="X38761" t="str">
            <v>Variation UPR - gross</v>
          </cell>
          <cell r="Y38761" t="str">
            <v>CHILE</v>
          </cell>
        </row>
        <row r="38762">
          <cell r="L38762" t="str">
            <v>Non-proportional</v>
          </cell>
          <cell r="S38762">
            <v>-140778.59</v>
          </cell>
          <cell r="X38762" t="str">
            <v>Variation UPR - gross</v>
          </cell>
          <cell r="Y38762" t="str">
            <v>UNITED KINGDOM</v>
          </cell>
        </row>
        <row r="38763">
          <cell r="L38763" t="str">
            <v>Non-proportional</v>
          </cell>
          <cell r="S38763">
            <v>-43.84</v>
          </cell>
          <cell r="X38763" t="str">
            <v>Variation UPR - gross</v>
          </cell>
          <cell r="Y38763" t="str">
            <v>ISRAEL</v>
          </cell>
        </row>
        <row r="38764">
          <cell r="L38764" t="str">
            <v>Proportional</v>
          </cell>
          <cell r="S38764">
            <v>-116.01</v>
          </cell>
          <cell r="X38764" t="str">
            <v>Variation UPR - gross</v>
          </cell>
          <cell r="Y38764" t="str">
            <v>THAILAND</v>
          </cell>
        </row>
        <row r="38765">
          <cell r="L38765" t="str">
            <v>Proportional</v>
          </cell>
          <cell r="S38765">
            <v>-13750.08</v>
          </cell>
          <cell r="X38765" t="str">
            <v>Variation UPR - gross</v>
          </cell>
          <cell r="Y38765" t="str">
            <v>ITALY</v>
          </cell>
        </row>
        <row r="38766">
          <cell r="L38766" t="str">
            <v>Non-proportional</v>
          </cell>
          <cell r="S38766">
            <v>-4329.34</v>
          </cell>
          <cell r="X38766" t="str">
            <v>Variation UPR - gross</v>
          </cell>
          <cell r="Y38766" t="str">
            <v>UNITED KINGDOM</v>
          </cell>
        </row>
        <row r="38767">
          <cell r="L38767" t="str">
            <v>Non-proportional</v>
          </cell>
          <cell r="S38767">
            <v>-6997.76</v>
          </cell>
          <cell r="X38767" t="str">
            <v>Variation UPR - gross</v>
          </cell>
          <cell r="Y38767" t="str">
            <v>POLAND</v>
          </cell>
        </row>
        <row r="38768">
          <cell r="L38768" t="str">
            <v>Non-proportional</v>
          </cell>
          <cell r="S38768">
            <v>-73.069999999999993</v>
          </cell>
          <cell r="X38768" t="str">
            <v>Variation UPR - gross</v>
          </cell>
          <cell r="Y38768" t="str">
            <v>CHILE</v>
          </cell>
        </row>
        <row r="38769">
          <cell r="L38769" t="str">
            <v>Non-proportional</v>
          </cell>
          <cell r="S38769">
            <v>-641.46</v>
          </cell>
          <cell r="X38769" t="str">
            <v>Variation UPR - gross</v>
          </cell>
          <cell r="Y38769" t="str">
            <v>INDIA</v>
          </cell>
        </row>
        <row r="38770">
          <cell r="L38770" t="str">
            <v>Non-proportional</v>
          </cell>
          <cell r="S38770">
            <v>-350018.84</v>
          </cell>
          <cell r="X38770" t="str">
            <v>Variation UPR - gross</v>
          </cell>
          <cell r="Y38770" t="str">
            <v>EUROPE</v>
          </cell>
        </row>
        <row r="38771">
          <cell r="L38771" t="str">
            <v>Non-proportional</v>
          </cell>
          <cell r="S38771">
            <v>-3764.33</v>
          </cell>
          <cell r="X38771" t="str">
            <v>Variation UPR - gross</v>
          </cell>
          <cell r="Y38771" t="str">
            <v>THAILAND</v>
          </cell>
        </row>
        <row r="38772">
          <cell r="L38772" t="str">
            <v>Non-proportional</v>
          </cell>
          <cell r="S38772">
            <v>-31977.26</v>
          </cell>
          <cell r="X38772" t="str">
            <v>Variation UPR - gross</v>
          </cell>
          <cell r="Y38772" t="str">
            <v>UNITED KINGDOM</v>
          </cell>
        </row>
        <row r="38773">
          <cell r="L38773" t="str">
            <v>Non-proportional</v>
          </cell>
          <cell r="S38773">
            <v>-74.97</v>
          </cell>
          <cell r="X38773" t="str">
            <v>Variation UPR - gross</v>
          </cell>
          <cell r="Y38773" t="str">
            <v>COLOMBIA</v>
          </cell>
        </row>
        <row r="38774">
          <cell r="L38774" t="str">
            <v>Non-proportional</v>
          </cell>
          <cell r="S38774">
            <v>-2604.0100000000002</v>
          </cell>
          <cell r="X38774" t="str">
            <v>Variation UPR - gross</v>
          </cell>
          <cell r="Y38774" t="str">
            <v>SOUTH AFRICA</v>
          </cell>
        </row>
        <row r="38775">
          <cell r="L38775" t="str">
            <v>Proportional</v>
          </cell>
          <cell r="S38775">
            <v>-8485.7800000000007</v>
          </cell>
          <cell r="X38775" t="str">
            <v>Variation UPR - gross</v>
          </cell>
          <cell r="Y38775" t="str">
            <v>EUROPE</v>
          </cell>
        </row>
        <row r="38776">
          <cell r="L38776" t="str">
            <v>Non-proportional</v>
          </cell>
          <cell r="S38776">
            <v>-3172.42</v>
          </cell>
          <cell r="X38776" t="str">
            <v>Variation UPR - gross</v>
          </cell>
          <cell r="Y38776" t="str">
            <v>INDIA</v>
          </cell>
        </row>
        <row r="38777">
          <cell r="L38777" t="str">
            <v>Non-proportional</v>
          </cell>
          <cell r="S38777">
            <v>-3227.35</v>
          </cell>
          <cell r="X38777" t="str">
            <v>Variation UPR - gross</v>
          </cell>
          <cell r="Y38777" t="str">
            <v>ISRAEL</v>
          </cell>
        </row>
        <row r="38778">
          <cell r="L38778" t="str">
            <v>Proportional</v>
          </cell>
          <cell r="S38778">
            <v>1423.97</v>
          </cell>
          <cell r="X38778" t="str">
            <v>Variation UPR - gross</v>
          </cell>
          <cell r="Y38778" t="str">
            <v>THAILAND</v>
          </cell>
        </row>
        <row r="38779">
          <cell r="L38779" t="str">
            <v>Non-proportional</v>
          </cell>
          <cell r="S38779">
            <v>-2702.23</v>
          </cell>
          <cell r="X38779" t="str">
            <v>Variation UPR - gross</v>
          </cell>
          <cell r="Y38779" t="str">
            <v>AUSTRALIA</v>
          </cell>
        </row>
        <row r="38780">
          <cell r="L38780" t="str">
            <v>Non-proportional</v>
          </cell>
          <cell r="S38780">
            <v>58.78</v>
          </cell>
          <cell r="X38780" t="str">
            <v>Variation UPR - gross</v>
          </cell>
          <cell r="Y38780" t="str">
            <v>JAPAN</v>
          </cell>
        </row>
        <row r="38781">
          <cell r="L38781" t="str">
            <v>Non-proportional</v>
          </cell>
          <cell r="S38781">
            <v>-2551.87</v>
          </cell>
          <cell r="X38781" t="str">
            <v>Variation UPR - gross</v>
          </cell>
          <cell r="Y38781" t="str">
            <v>ECUADOR</v>
          </cell>
        </row>
        <row r="38782">
          <cell r="L38782" t="str">
            <v>Non-proportional</v>
          </cell>
          <cell r="S38782">
            <v>-7934.63</v>
          </cell>
          <cell r="X38782" t="str">
            <v>Variation UPR - gross</v>
          </cell>
          <cell r="Y38782" t="str">
            <v>MEXICO</v>
          </cell>
        </row>
        <row r="38783">
          <cell r="L38783" t="str">
            <v>Non-proportional</v>
          </cell>
          <cell r="S38783">
            <v>-5101.3999999999996</v>
          </cell>
          <cell r="X38783" t="str">
            <v>Variation UPR - gross</v>
          </cell>
          <cell r="Y38783" t="str">
            <v>ISRAEL</v>
          </cell>
        </row>
        <row r="38784">
          <cell r="L38784" t="str">
            <v>Non-proportional</v>
          </cell>
          <cell r="S38784">
            <v>-1324.18</v>
          </cell>
          <cell r="X38784" t="str">
            <v>Variation UPR - gross</v>
          </cell>
          <cell r="Y38784" t="str">
            <v>COLOMBIA</v>
          </cell>
        </row>
        <row r="38785">
          <cell r="L38785" t="str">
            <v>Non-proportional</v>
          </cell>
          <cell r="S38785">
            <v>-4489.99</v>
          </cell>
          <cell r="X38785" t="str">
            <v>Variation UPR - gross</v>
          </cell>
          <cell r="Y38785" t="str">
            <v>COSTA RICA</v>
          </cell>
        </row>
        <row r="38786">
          <cell r="L38786" t="str">
            <v>Non-proportional</v>
          </cell>
          <cell r="S38786">
            <v>-5151.8999999999996</v>
          </cell>
          <cell r="X38786" t="str">
            <v>Variation UPR - gross</v>
          </cell>
          <cell r="Y38786" t="str">
            <v>ITALY</v>
          </cell>
        </row>
        <row r="38787">
          <cell r="L38787" t="str">
            <v>Proportional</v>
          </cell>
          <cell r="S38787">
            <v>-0.46</v>
          </cell>
          <cell r="X38787" t="str">
            <v>Variation UPR - gross</v>
          </cell>
          <cell r="Y38787" t="str">
            <v>UNITED STATES</v>
          </cell>
        </row>
        <row r="38788">
          <cell r="L38788" t="str">
            <v>Non-proportional</v>
          </cell>
          <cell r="S38788">
            <v>-35432.61</v>
          </cell>
          <cell r="X38788" t="str">
            <v>Variation UPR - gross</v>
          </cell>
          <cell r="Y38788" t="str">
            <v>UNITED KINGDOM</v>
          </cell>
        </row>
        <row r="38789">
          <cell r="L38789" t="str">
            <v>Proportional</v>
          </cell>
          <cell r="S38789">
            <v>-781.17</v>
          </cell>
          <cell r="X38789" t="str">
            <v>Variation UPR - gross</v>
          </cell>
          <cell r="Y38789" t="str">
            <v>THAILAND</v>
          </cell>
        </row>
        <row r="38790">
          <cell r="L38790" t="str">
            <v>Non-proportional</v>
          </cell>
          <cell r="S38790">
            <v>-420.38</v>
          </cell>
          <cell r="X38790" t="str">
            <v>Variation UPR - gross</v>
          </cell>
          <cell r="Y38790" t="str">
            <v>PORTUGAL</v>
          </cell>
        </row>
        <row r="38791">
          <cell r="L38791" t="str">
            <v>Non-proportional</v>
          </cell>
          <cell r="S38791">
            <v>-18244.52</v>
          </cell>
          <cell r="X38791" t="str">
            <v>Variation UPR - gross</v>
          </cell>
          <cell r="Y38791" t="str">
            <v>UNITED KINGDOM</v>
          </cell>
        </row>
        <row r="38792">
          <cell r="L38792" t="str">
            <v>Non-proportional</v>
          </cell>
          <cell r="S38792">
            <v>-5592.11</v>
          </cell>
          <cell r="X38792" t="str">
            <v>Variation UPR - gross</v>
          </cell>
          <cell r="Y38792" t="str">
            <v>NEW ZEALAND</v>
          </cell>
        </row>
        <row r="38793">
          <cell r="L38793" t="str">
            <v>Non-proportional</v>
          </cell>
          <cell r="S38793">
            <v>-6907.69</v>
          </cell>
          <cell r="X38793" t="str">
            <v>Variation UPR - gross</v>
          </cell>
          <cell r="Y38793" t="str">
            <v>GREECE</v>
          </cell>
        </row>
        <row r="38794">
          <cell r="L38794" t="str">
            <v>Non-proportional</v>
          </cell>
          <cell r="S38794">
            <v>-109675.48</v>
          </cell>
          <cell r="X38794" t="str">
            <v>Variation UPR - gross</v>
          </cell>
          <cell r="Y38794" t="str">
            <v>EUROPE</v>
          </cell>
        </row>
        <row r="38795">
          <cell r="L38795" t="str">
            <v>Non-proportional</v>
          </cell>
          <cell r="S38795">
            <v>-3013.97</v>
          </cell>
          <cell r="X38795" t="str">
            <v>Variation UPR - gross</v>
          </cell>
          <cell r="Y38795" t="str">
            <v>JAPAN</v>
          </cell>
        </row>
        <row r="38796">
          <cell r="L38796" t="str">
            <v>Non-proportional</v>
          </cell>
          <cell r="S38796">
            <v>-638.52</v>
          </cell>
          <cell r="X38796" t="str">
            <v>Variation UPR - gross</v>
          </cell>
          <cell r="Y38796" t="str">
            <v>MALTA</v>
          </cell>
        </row>
        <row r="38797">
          <cell r="L38797" t="str">
            <v>Non-proportional</v>
          </cell>
          <cell r="S38797">
            <v>-129823.33</v>
          </cell>
          <cell r="X38797" t="str">
            <v>Variation UPR - gross</v>
          </cell>
          <cell r="Y38797" t="str">
            <v>PORTUGAL</v>
          </cell>
        </row>
        <row r="38798">
          <cell r="L38798" t="str">
            <v>Non-proportional</v>
          </cell>
          <cell r="S38798">
            <v>-1330.33</v>
          </cell>
          <cell r="X38798" t="str">
            <v>Variation UPR - gross</v>
          </cell>
          <cell r="Y38798" t="str">
            <v>FRANCE</v>
          </cell>
        </row>
        <row r="38799">
          <cell r="L38799" t="str">
            <v>Non-proportional</v>
          </cell>
          <cell r="S38799">
            <v>-9043.94</v>
          </cell>
          <cell r="X38799" t="str">
            <v>Variation UPR - gross</v>
          </cell>
          <cell r="Y38799" t="str">
            <v>FRANCE</v>
          </cell>
        </row>
        <row r="38800">
          <cell r="L38800" t="str">
            <v>Proportional</v>
          </cell>
          <cell r="S38800">
            <v>-4687.04</v>
          </cell>
          <cell r="X38800" t="str">
            <v>Variation UPR - gross</v>
          </cell>
          <cell r="Y38800" t="str">
            <v>THAILAND</v>
          </cell>
        </row>
        <row r="38801">
          <cell r="L38801" t="str">
            <v>Non-proportional</v>
          </cell>
          <cell r="S38801">
            <v>-2968.26</v>
          </cell>
          <cell r="X38801" t="str">
            <v>Variation UPR - gross</v>
          </cell>
          <cell r="Y38801" t="str">
            <v>JAPAN</v>
          </cell>
        </row>
        <row r="38802">
          <cell r="L38802" t="str">
            <v>Non-proportional</v>
          </cell>
          <cell r="S38802">
            <v>-1468.75</v>
          </cell>
          <cell r="X38802" t="str">
            <v>Variation UPR - gross</v>
          </cell>
          <cell r="Y38802" t="str">
            <v>GREECE</v>
          </cell>
        </row>
        <row r="38803">
          <cell r="L38803" t="str">
            <v>Non-proportional</v>
          </cell>
          <cell r="S38803">
            <v>146.13</v>
          </cell>
          <cell r="X38803" t="str">
            <v>Variation UPR - gross</v>
          </cell>
          <cell r="Y38803" t="str">
            <v>CHILE</v>
          </cell>
        </row>
        <row r="38804">
          <cell r="L38804" t="str">
            <v>Non-proportional</v>
          </cell>
          <cell r="S38804">
            <v>-94832.99</v>
          </cell>
          <cell r="X38804" t="str">
            <v>Variation UPR - gross</v>
          </cell>
          <cell r="Y38804" t="str">
            <v>UNITED KINGDOM</v>
          </cell>
        </row>
        <row r="38805">
          <cell r="L38805" t="str">
            <v>Non-proportional</v>
          </cell>
          <cell r="S38805">
            <v>72.45</v>
          </cell>
          <cell r="X38805" t="str">
            <v>Variation UPR - gross</v>
          </cell>
          <cell r="Y38805" t="str">
            <v>JAPAN</v>
          </cell>
        </row>
        <row r="38806">
          <cell r="L38806" t="str">
            <v>Non-proportional</v>
          </cell>
          <cell r="S38806">
            <v>-1122.45</v>
          </cell>
          <cell r="X38806" t="str">
            <v>Variation UPR - gross</v>
          </cell>
          <cell r="Y38806" t="str">
            <v>MEXICO</v>
          </cell>
        </row>
        <row r="38807">
          <cell r="L38807" t="str">
            <v>Proportional</v>
          </cell>
          <cell r="S38807">
            <v>-63678.6</v>
          </cell>
          <cell r="X38807" t="str">
            <v>Variation UPR - gross</v>
          </cell>
          <cell r="Y38807" t="str">
            <v>CANADA</v>
          </cell>
        </row>
        <row r="38808">
          <cell r="L38808" t="str">
            <v>Non-proportional</v>
          </cell>
          <cell r="S38808">
            <v>-24750</v>
          </cell>
          <cell r="X38808" t="str">
            <v>Variation UPR - gross</v>
          </cell>
          <cell r="Y38808" t="str">
            <v>GREECE</v>
          </cell>
        </row>
        <row r="38809">
          <cell r="L38809" t="str">
            <v>Proportional</v>
          </cell>
          <cell r="S38809">
            <v>2847.93</v>
          </cell>
          <cell r="X38809" t="str">
            <v>Variation UPR - gross</v>
          </cell>
          <cell r="Y38809" t="str">
            <v>THAILAND</v>
          </cell>
        </row>
        <row r="38810">
          <cell r="L38810" t="str">
            <v>Proportional</v>
          </cell>
          <cell r="S38810">
            <v>-86068.1</v>
          </cell>
          <cell r="X38810" t="str">
            <v>Variation UPR - gross</v>
          </cell>
          <cell r="Y38810" t="str">
            <v>INDIA</v>
          </cell>
        </row>
        <row r="38811">
          <cell r="L38811" t="str">
            <v>Non-proportional</v>
          </cell>
          <cell r="S38811">
            <v>-3804.1</v>
          </cell>
          <cell r="X38811" t="str">
            <v>Variation UPR - gross</v>
          </cell>
          <cell r="Y38811" t="str">
            <v>DOMINICAN REPUBLIC</v>
          </cell>
        </row>
        <row r="38812">
          <cell r="L38812" t="str">
            <v>Non-proportional</v>
          </cell>
          <cell r="S38812">
            <v>-2699.16</v>
          </cell>
          <cell r="X38812" t="str">
            <v>Variation UPR - gross</v>
          </cell>
          <cell r="Y38812" t="str">
            <v>UNITED KINGDOM</v>
          </cell>
        </row>
        <row r="38813">
          <cell r="L38813" t="str">
            <v>Non-proportional</v>
          </cell>
          <cell r="S38813">
            <v>-2179.7800000000002</v>
          </cell>
          <cell r="X38813" t="str">
            <v>Variation UPR - gross</v>
          </cell>
          <cell r="Y38813" t="str">
            <v>FRANCE</v>
          </cell>
        </row>
        <row r="38814">
          <cell r="L38814" t="str">
            <v>Non-proportional</v>
          </cell>
          <cell r="S38814">
            <v>-44415.94</v>
          </cell>
          <cell r="X38814" t="str">
            <v>Variation UPR - gross</v>
          </cell>
          <cell r="Y38814" t="str">
            <v>UNITED KINGDOM</v>
          </cell>
        </row>
        <row r="38815">
          <cell r="L38815" t="str">
            <v>Non-proportional</v>
          </cell>
          <cell r="S38815">
            <v>13.02</v>
          </cell>
          <cell r="X38815" t="str">
            <v>Variation UPR - gross</v>
          </cell>
          <cell r="Y38815" t="str">
            <v>GUATEMALA</v>
          </cell>
        </row>
        <row r="38816">
          <cell r="L38816" t="str">
            <v>Non-proportional</v>
          </cell>
          <cell r="S38816">
            <v>-6393.78</v>
          </cell>
          <cell r="X38816" t="str">
            <v>Variation UPR - gross</v>
          </cell>
          <cell r="Y38816" t="str">
            <v>MEXICO</v>
          </cell>
        </row>
        <row r="38817">
          <cell r="S38817">
            <v>-2372.39</v>
          </cell>
          <cell r="X38817" t="str">
            <v>Variation UPR - gross</v>
          </cell>
          <cell r="Y38817" t="str">
            <v>PORTUGAL</v>
          </cell>
        </row>
        <row r="38818">
          <cell r="L38818" t="str">
            <v>Non-proportional</v>
          </cell>
          <cell r="S38818">
            <v>42608.36</v>
          </cell>
          <cell r="X38818" t="str">
            <v>Variation UPR - gross</v>
          </cell>
          <cell r="Y38818" t="str">
            <v>CHINA</v>
          </cell>
        </row>
        <row r="38819">
          <cell r="L38819" t="str">
            <v>Proportional</v>
          </cell>
          <cell r="S38819">
            <v>372.29</v>
          </cell>
          <cell r="X38819" t="str">
            <v>Variation UPR - gross</v>
          </cell>
          <cell r="Y38819" t="str">
            <v>UNITED STATES</v>
          </cell>
        </row>
        <row r="38820">
          <cell r="L38820" t="str">
            <v>Non-proportional</v>
          </cell>
          <cell r="S38820">
            <v>-18526.53</v>
          </cell>
          <cell r="X38820" t="str">
            <v>Variation UPR - gross</v>
          </cell>
          <cell r="Y38820" t="str">
            <v>CHINA</v>
          </cell>
        </row>
        <row r="38821">
          <cell r="L38821" t="str">
            <v>Non-proportional</v>
          </cell>
          <cell r="S38821">
            <v>-5592.11</v>
          </cell>
          <cell r="X38821" t="str">
            <v>Variation UPR - gross</v>
          </cell>
          <cell r="Y38821" t="str">
            <v>NEW ZEALAND</v>
          </cell>
        </row>
        <row r="38822">
          <cell r="L38822" t="str">
            <v>Non-proportional</v>
          </cell>
          <cell r="S38822">
            <v>-467.51</v>
          </cell>
          <cell r="X38822" t="str">
            <v>Variation UPR - gross</v>
          </cell>
          <cell r="Y38822" t="str">
            <v>JAPAN</v>
          </cell>
        </row>
        <row r="38823">
          <cell r="L38823" t="str">
            <v>Proportional</v>
          </cell>
          <cell r="S38823">
            <v>-7700.16</v>
          </cell>
          <cell r="X38823" t="str">
            <v>Variation UPR - gross</v>
          </cell>
          <cell r="Y38823" t="str">
            <v>FRANCE</v>
          </cell>
        </row>
        <row r="38824">
          <cell r="L38824" t="str">
            <v>Non-proportional</v>
          </cell>
          <cell r="S38824">
            <v>-103.11</v>
          </cell>
          <cell r="X38824" t="str">
            <v>Variation UPR - gross</v>
          </cell>
          <cell r="Y38824" t="str">
            <v>INDIA</v>
          </cell>
        </row>
        <row r="38825">
          <cell r="L38825" t="str">
            <v>Non-proportional</v>
          </cell>
          <cell r="S38825">
            <v>-11530.09</v>
          </cell>
          <cell r="X38825" t="str">
            <v>Variation UPR - gross</v>
          </cell>
          <cell r="Y38825" t="str">
            <v>MEXICO</v>
          </cell>
        </row>
        <row r="38826">
          <cell r="L38826" t="str">
            <v>Non-proportional</v>
          </cell>
          <cell r="S38826">
            <v>0.01</v>
          </cell>
          <cell r="X38826" t="str">
            <v>Variation UPR - gross</v>
          </cell>
          <cell r="Y38826" t="str">
            <v>DOMINICAN REPUBLIC</v>
          </cell>
        </row>
        <row r="38827">
          <cell r="L38827" t="str">
            <v>Non-proportional</v>
          </cell>
          <cell r="S38827">
            <v>-141.31</v>
          </cell>
          <cell r="X38827" t="str">
            <v>Variation UPR - gross</v>
          </cell>
          <cell r="Y38827" t="str">
            <v>ISRAEL</v>
          </cell>
        </row>
        <row r="38828">
          <cell r="L38828" t="str">
            <v>Non-proportional</v>
          </cell>
          <cell r="S38828">
            <v>-86022.14</v>
          </cell>
          <cell r="X38828" t="str">
            <v>Variation UPR - gross</v>
          </cell>
          <cell r="Y38828" t="str">
            <v>UNITED KINGDOM</v>
          </cell>
        </row>
        <row r="38829">
          <cell r="L38829" t="str">
            <v>Non-proportional</v>
          </cell>
          <cell r="S38829">
            <v>-9870.2099999999991</v>
          </cell>
          <cell r="X38829" t="str">
            <v>Variation UPR - gross</v>
          </cell>
          <cell r="Y38829" t="str">
            <v>UNITED KINGDOM</v>
          </cell>
        </row>
        <row r="38830">
          <cell r="L38830" t="str">
            <v>Non-proportional</v>
          </cell>
          <cell r="S38830">
            <v>-53803.9</v>
          </cell>
          <cell r="X38830" t="str">
            <v>Variation UPR - gross</v>
          </cell>
          <cell r="Y38830" t="str">
            <v>UNITED KINGDOM</v>
          </cell>
        </row>
        <row r="38831">
          <cell r="L38831" t="str">
            <v>Proportional</v>
          </cell>
          <cell r="S38831">
            <v>3819.29</v>
          </cell>
          <cell r="X38831" t="str">
            <v>Variation UPR - gross</v>
          </cell>
          <cell r="Y38831" t="str">
            <v>CANADA</v>
          </cell>
        </row>
        <row r="38832">
          <cell r="L38832" t="str">
            <v>Non-proportional</v>
          </cell>
          <cell r="S38832">
            <v>-3099.97</v>
          </cell>
          <cell r="X38832" t="str">
            <v>Variation UPR - gross</v>
          </cell>
          <cell r="Y38832" t="str">
            <v>DOMINICAN REPUBLIC</v>
          </cell>
        </row>
        <row r="38833">
          <cell r="L38833" t="str">
            <v>Non-proportional</v>
          </cell>
          <cell r="S38833">
            <v>-53187.5</v>
          </cell>
          <cell r="X38833" t="str">
            <v>Variation UPR - gross</v>
          </cell>
          <cell r="Y38833" t="str">
            <v>BELGIUM</v>
          </cell>
        </row>
        <row r="38834">
          <cell r="L38834" t="str">
            <v>Non-proportional</v>
          </cell>
          <cell r="S38834">
            <v>-4019.82</v>
          </cell>
          <cell r="X38834" t="str">
            <v>Variation UPR - gross</v>
          </cell>
          <cell r="Y38834" t="str">
            <v>COLOMBIA</v>
          </cell>
        </row>
        <row r="38835">
          <cell r="L38835" t="str">
            <v>Non-proportional</v>
          </cell>
          <cell r="S38835">
            <v>-8187.59</v>
          </cell>
          <cell r="X38835" t="str">
            <v>Variation UPR - gross</v>
          </cell>
          <cell r="Y38835" t="str">
            <v>MEXICO</v>
          </cell>
        </row>
        <row r="38836">
          <cell r="L38836" t="str">
            <v>Non-proportional</v>
          </cell>
          <cell r="S38836">
            <v>-377735.21</v>
          </cell>
          <cell r="X38836" t="str">
            <v>Variation UPR - gross</v>
          </cell>
          <cell r="Y38836" t="str">
            <v>UNITED KINGDOM</v>
          </cell>
        </row>
        <row r="38837">
          <cell r="L38837" t="str">
            <v>Non-proportional</v>
          </cell>
          <cell r="S38837">
            <v>-6054.96</v>
          </cell>
          <cell r="X38837" t="str">
            <v>Variation UPR - gross</v>
          </cell>
          <cell r="Y38837" t="str">
            <v>FRANCE</v>
          </cell>
        </row>
        <row r="38838">
          <cell r="L38838" t="str">
            <v>Non-proportional</v>
          </cell>
          <cell r="S38838">
            <v>-36.53</v>
          </cell>
          <cell r="X38838" t="str">
            <v>Variation UPR - gross</v>
          </cell>
          <cell r="Y38838" t="str">
            <v>CHILE</v>
          </cell>
        </row>
        <row r="38839">
          <cell r="L38839" t="str">
            <v>Non-proportional</v>
          </cell>
          <cell r="S38839">
            <v>13.45</v>
          </cell>
          <cell r="X38839" t="str">
            <v>Variation UPR - gross</v>
          </cell>
          <cell r="Y38839" t="str">
            <v>NEW ZEALAND</v>
          </cell>
        </row>
        <row r="38840">
          <cell r="L38840" t="str">
            <v>Non-proportional</v>
          </cell>
          <cell r="S38840">
            <v>-0.03</v>
          </cell>
          <cell r="X38840" t="str">
            <v>Variation UPR - gross</v>
          </cell>
          <cell r="Y38840" t="str">
            <v>THAILAND</v>
          </cell>
        </row>
        <row r="38841">
          <cell r="L38841" t="str">
            <v>Non-proportional</v>
          </cell>
          <cell r="S38841">
            <v>-438.4</v>
          </cell>
          <cell r="X38841" t="str">
            <v>Variation UPR - gross</v>
          </cell>
          <cell r="Y38841" t="str">
            <v>CHILE</v>
          </cell>
        </row>
        <row r="38842">
          <cell r="L38842" t="str">
            <v>Non-proportional</v>
          </cell>
          <cell r="S38842">
            <v>-872.79</v>
          </cell>
          <cell r="X38842" t="str">
            <v>Variation UPR - gross</v>
          </cell>
          <cell r="Y38842" t="str">
            <v>PERU</v>
          </cell>
        </row>
        <row r="38843">
          <cell r="L38843" t="str">
            <v>Non-proportional</v>
          </cell>
          <cell r="S38843">
            <v>-5315.71</v>
          </cell>
          <cell r="X38843" t="str">
            <v>Variation UPR - gross</v>
          </cell>
          <cell r="Y38843" t="str">
            <v>DOMINICAN REPUBLIC</v>
          </cell>
        </row>
        <row r="38844">
          <cell r="L38844" t="str">
            <v>Proportional</v>
          </cell>
          <cell r="S38844">
            <v>-135397.20000000001</v>
          </cell>
          <cell r="X38844" t="str">
            <v>Variation UPR - gross</v>
          </cell>
          <cell r="Y38844" t="str">
            <v>UNITED STATES</v>
          </cell>
        </row>
        <row r="38845">
          <cell r="L38845" t="str">
            <v>Non-proportional</v>
          </cell>
          <cell r="S38845">
            <v>-13073.04</v>
          </cell>
          <cell r="X38845" t="str">
            <v>Variation UPR - gross</v>
          </cell>
          <cell r="Y38845" t="str">
            <v>FRANCE</v>
          </cell>
        </row>
        <row r="38846">
          <cell r="L38846" t="str">
            <v>Non-proportional</v>
          </cell>
          <cell r="S38846">
            <v>-2686.68</v>
          </cell>
          <cell r="X38846" t="str">
            <v>Variation UPR - gross</v>
          </cell>
          <cell r="Y38846" t="str">
            <v>MALTA</v>
          </cell>
        </row>
        <row r="38847">
          <cell r="L38847" t="str">
            <v>Non-proportional</v>
          </cell>
          <cell r="S38847">
            <v>-1562.37</v>
          </cell>
          <cell r="X38847" t="str">
            <v>Variation UPR - gross</v>
          </cell>
          <cell r="Y38847" t="str">
            <v>FRANCE</v>
          </cell>
        </row>
        <row r="38848">
          <cell r="L38848" t="str">
            <v>Non-proportional</v>
          </cell>
          <cell r="S38848">
            <v>-4949.13</v>
          </cell>
          <cell r="X38848" t="str">
            <v>Variation UPR - gross</v>
          </cell>
          <cell r="Y38848" t="str">
            <v>NETHERLANDS</v>
          </cell>
        </row>
        <row r="38849">
          <cell r="L38849" t="str">
            <v>Non-proportional</v>
          </cell>
          <cell r="S38849">
            <v>-5458.59</v>
          </cell>
          <cell r="X38849" t="str">
            <v>Variation UPR - gross</v>
          </cell>
          <cell r="Y38849" t="str">
            <v>ECUADOR</v>
          </cell>
        </row>
        <row r="38850">
          <cell r="L38850" t="str">
            <v>Proportional</v>
          </cell>
          <cell r="S38850">
            <v>2008.89</v>
          </cell>
          <cell r="X38850" t="str">
            <v>Variation UPR - gross</v>
          </cell>
          <cell r="Y38850" t="str">
            <v>UNITED STATES</v>
          </cell>
        </row>
        <row r="38851">
          <cell r="L38851" t="str">
            <v>Non-proportional</v>
          </cell>
          <cell r="S38851">
            <v>-2913.96</v>
          </cell>
          <cell r="X38851" t="str">
            <v>Variation UPR - gross</v>
          </cell>
          <cell r="Y38851" t="str">
            <v>ISRAEL</v>
          </cell>
        </row>
        <row r="38852">
          <cell r="L38852" t="str">
            <v>Non-proportional</v>
          </cell>
          <cell r="S38852">
            <v>103425.29</v>
          </cell>
          <cell r="X38852" t="str">
            <v>Variation UPR - gross</v>
          </cell>
          <cell r="Y38852" t="str">
            <v>PUERTO RICO</v>
          </cell>
        </row>
        <row r="38853">
          <cell r="L38853" t="str">
            <v>Non-proportional</v>
          </cell>
          <cell r="S38853">
            <v>383.58</v>
          </cell>
          <cell r="X38853" t="str">
            <v>Variation UPR - gross</v>
          </cell>
          <cell r="Y38853" t="str">
            <v>NEW ZEALAND</v>
          </cell>
        </row>
        <row r="38854">
          <cell r="L38854" t="str">
            <v>Non-proportional</v>
          </cell>
          <cell r="S38854">
            <v>-338.75</v>
          </cell>
          <cell r="X38854" t="str">
            <v>Variation UPR - gross</v>
          </cell>
          <cell r="Y38854" t="str">
            <v>DOMINICAN REPUBLIC</v>
          </cell>
        </row>
        <row r="38855">
          <cell r="L38855" t="str">
            <v>Non-proportional</v>
          </cell>
          <cell r="S38855">
            <v>0.01</v>
          </cell>
          <cell r="X38855" t="str">
            <v>Variation UPR - gross</v>
          </cell>
          <cell r="Y38855" t="str">
            <v>COLOMBIA</v>
          </cell>
        </row>
        <row r="38856">
          <cell r="L38856" t="str">
            <v>Non-proportional</v>
          </cell>
          <cell r="S38856">
            <v>-3379.91</v>
          </cell>
          <cell r="X38856" t="str">
            <v>Variation UPR - gross</v>
          </cell>
          <cell r="Y38856" t="str">
            <v>ISRAEL</v>
          </cell>
        </row>
        <row r="38857">
          <cell r="L38857" t="str">
            <v>Proportional</v>
          </cell>
          <cell r="S38857">
            <v>-6684.04</v>
          </cell>
          <cell r="X38857" t="str">
            <v>Variation UPR - gross</v>
          </cell>
          <cell r="Y38857" t="str">
            <v>THAILAND</v>
          </cell>
        </row>
        <row r="38858">
          <cell r="L38858" t="str">
            <v>Non-proportional</v>
          </cell>
          <cell r="S38858">
            <v>-12512.53</v>
          </cell>
          <cell r="X38858" t="str">
            <v>Variation UPR - gross</v>
          </cell>
          <cell r="Y38858" t="str">
            <v>UNITED KINGDOM</v>
          </cell>
        </row>
        <row r="38859">
          <cell r="L38859" t="str">
            <v>Proportional</v>
          </cell>
          <cell r="S38859">
            <v>-7357.79</v>
          </cell>
          <cell r="X38859" t="str">
            <v>Variation UPR - gross</v>
          </cell>
          <cell r="Y38859" t="str">
            <v>THAILAND</v>
          </cell>
        </row>
        <row r="38860">
          <cell r="L38860" t="str">
            <v>Proportional</v>
          </cell>
          <cell r="S38860">
            <v>-22319.23</v>
          </cell>
          <cell r="X38860" t="str">
            <v>Variation UPR - gross</v>
          </cell>
          <cell r="Y38860" t="str">
            <v>THAILAND</v>
          </cell>
        </row>
        <row r="38861">
          <cell r="L38861" t="str">
            <v>Non-proportional</v>
          </cell>
          <cell r="S38861">
            <v>-1342.42</v>
          </cell>
          <cell r="X38861" t="str">
            <v>Variation UPR - gross</v>
          </cell>
          <cell r="Y38861" t="str">
            <v>UNITED KINGDOM</v>
          </cell>
        </row>
        <row r="38862">
          <cell r="L38862" t="str">
            <v>Non-proportional</v>
          </cell>
          <cell r="S38862">
            <v>-14331.16</v>
          </cell>
          <cell r="X38862" t="str">
            <v>Variation UPR - gross</v>
          </cell>
          <cell r="Y38862" t="str">
            <v>FRANCE</v>
          </cell>
        </row>
        <row r="38863">
          <cell r="L38863" t="str">
            <v>Non-proportional</v>
          </cell>
          <cell r="S38863">
            <v>-8769.77</v>
          </cell>
          <cell r="X38863" t="str">
            <v>Variation UPR - gross</v>
          </cell>
          <cell r="Y38863" t="str">
            <v>ECUADOR</v>
          </cell>
        </row>
        <row r="38864">
          <cell r="L38864" t="str">
            <v>Non-proportional</v>
          </cell>
          <cell r="S38864">
            <v>-1853.45</v>
          </cell>
          <cell r="X38864" t="str">
            <v>Variation UPR - gross</v>
          </cell>
          <cell r="Y38864" t="str">
            <v>SOUTH AFRICA</v>
          </cell>
        </row>
        <row r="38865">
          <cell r="L38865" t="str">
            <v>Proportional</v>
          </cell>
          <cell r="S38865">
            <v>-584.54</v>
          </cell>
          <cell r="X38865" t="str">
            <v>Variation UPR - gross</v>
          </cell>
          <cell r="Y38865" t="str">
            <v>CHILE</v>
          </cell>
        </row>
        <row r="38866">
          <cell r="L38866" t="str">
            <v>Non-proportional</v>
          </cell>
          <cell r="S38866">
            <v>-1600980.03</v>
          </cell>
          <cell r="X38866" t="str">
            <v>Variation UPR - gross</v>
          </cell>
          <cell r="Y38866" t="str">
            <v>UNITED KINGDOM</v>
          </cell>
        </row>
        <row r="38867">
          <cell r="L38867" t="str">
            <v>Non-proportional</v>
          </cell>
          <cell r="S38867">
            <v>-3336.87</v>
          </cell>
          <cell r="X38867" t="str">
            <v>Variation UPR - gross</v>
          </cell>
          <cell r="Y38867" t="str">
            <v>COLOMBIA</v>
          </cell>
        </row>
        <row r="38868">
          <cell r="L38868" t="str">
            <v>Non-proportional</v>
          </cell>
          <cell r="S38868">
            <v>-16135.61</v>
          </cell>
          <cell r="X38868" t="str">
            <v>Variation UPR - gross</v>
          </cell>
          <cell r="Y38868" t="str">
            <v>NEW ZEALAND</v>
          </cell>
        </row>
        <row r="38869">
          <cell r="L38869" t="str">
            <v>Non-proportional</v>
          </cell>
          <cell r="S38869">
            <v>-3854.17</v>
          </cell>
          <cell r="X38869" t="str">
            <v>Variation UPR - gross</v>
          </cell>
          <cell r="Y38869" t="str">
            <v>FRANCE</v>
          </cell>
        </row>
        <row r="38870">
          <cell r="L38870" t="str">
            <v>Non-proportional</v>
          </cell>
          <cell r="S38870">
            <v>-7492.29</v>
          </cell>
          <cell r="X38870" t="str">
            <v>Variation UPR - gross</v>
          </cell>
          <cell r="Y38870" t="str">
            <v>FRANCE</v>
          </cell>
        </row>
        <row r="38871">
          <cell r="L38871" t="str">
            <v>Non-proportional</v>
          </cell>
          <cell r="S38871">
            <v>-766.78</v>
          </cell>
          <cell r="X38871" t="str">
            <v>Variation UPR - gross</v>
          </cell>
          <cell r="Y38871" t="str">
            <v>BRAZIL</v>
          </cell>
        </row>
        <row r="38872">
          <cell r="L38872" t="str">
            <v>Non-proportional</v>
          </cell>
          <cell r="S38872">
            <v>0.01</v>
          </cell>
          <cell r="X38872" t="str">
            <v>Variation UPR - gross</v>
          </cell>
          <cell r="Y38872" t="str">
            <v>DOMINICAN REPUBLIC</v>
          </cell>
        </row>
        <row r="38873">
          <cell r="L38873" t="str">
            <v>Non-proportional</v>
          </cell>
          <cell r="S38873">
            <v>-4968.57</v>
          </cell>
          <cell r="X38873" t="str">
            <v>Variation UPR - gross</v>
          </cell>
          <cell r="Y38873" t="str">
            <v>CHILE</v>
          </cell>
        </row>
        <row r="38874">
          <cell r="L38874" t="str">
            <v>Non-proportional</v>
          </cell>
          <cell r="S38874">
            <v>5.66</v>
          </cell>
          <cell r="X38874" t="str">
            <v>Variation UPR - gross</v>
          </cell>
          <cell r="Y38874" t="str">
            <v>GUATEMALA</v>
          </cell>
        </row>
        <row r="38875">
          <cell r="L38875" t="str">
            <v>Proportional</v>
          </cell>
          <cell r="S38875">
            <v>-468.59</v>
          </cell>
          <cell r="X38875" t="str">
            <v>Variation UPR - gross</v>
          </cell>
          <cell r="Y38875" t="str">
            <v>UNITED STATES</v>
          </cell>
        </row>
        <row r="38876">
          <cell r="L38876" t="str">
            <v>Non-proportional</v>
          </cell>
          <cell r="S38876">
            <v>-192601.96</v>
          </cell>
          <cell r="X38876" t="str">
            <v>Variation UPR - gross</v>
          </cell>
          <cell r="Y38876" t="str">
            <v>PORTUGAL</v>
          </cell>
        </row>
        <row r="38877">
          <cell r="L38877" t="str">
            <v>Non-proportional</v>
          </cell>
          <cell r="S38877">
            <v>-14583.41</v>
          </cell>
          <cell r="X38877" t="str">
            <v>Variation UPR - gross</v>
          </cell>
          <cell r="Y38877" t="str">
            <v>EUROPE</v>
          </cell>
        </row>
        <row r="38878">
          <cell r="L38878" t="str">
            <v>Non-proportional</v>
          </cell>
          <cell r="S38878">
            <v>-1686.15</v>
          </cell>
          <cell r="X38878" t="str">
            <v>Variation UPR - gross</v>
          </cell>
          <cell r="Y38878" t="str">
            <v>JAPAN</v>
          </cell>
        </row>
        <row r="38879">
          <cell r="L38879" t="str">
            <v>Non-proportional</v>
          </cell>
          <cell r="S38879">
            <v>-4365.22</v>
          </cell>
          <cell r="X38879" t="str">
            <v>Variation UPR - gross</v>
          </cell>
          <cell r="Y38879" t="str">
            <v>ECUADOR</v>
          </cell>
        </row>
        <row r="38880">
          <cell r="L38880" t="str">
            <v>Non-proportional</v>
          </cell>
          <cell r="S38880">
            <v>-3244.77</v>
          </cell>
          <cell r="X38880" t="str">
            <v>Variation UPR - gross</v>
          </cell>
          <cell r="Y38880" t="str">
            <v>FRANCE</v>
          </cell>
        </row>
        <row r="38881">
          <cell r="L38881" t="str">
            <v>Non-proportional</v>
          </cell>
          <cell r="S38881">
            <v>-8430.69</v>
          </cell>
          <cell r="X38881" t="str">
            <v>Variation UPR - gross</v>
          </cell>
          <cell r="Y38881" t="str">
            <v>JAPAN</v>
          </cell>
        </row>
        <row r="38882">
          <cell r="L38882" t="str">
            <v>Non-proportional</v>
          </cell>
          <cell r="S38882">
            <v>64000.800000000003</v>
          </cell>
          <cell r="X38882" t="str">
            <v>Variation UPR - gross</v>
          </cell>
          <cell r="Y38882" t="str">
            <v>PUERTO RICO</v>
          </cell>
        </row>
        <row r="38883">
          <cell r="L38883" t="str">
            <v>Non-proportional</v>
          </cell>
          <cell r="S38883">
            <v>542.5</v>
          </cell>
          <cell r="X38883" t="str">
            <v>Variation UPR - gross</v>
          </cell>
          <cell r="Y38883" t="str">
            <v>AUSTRALIA</v>
          </cell>
        </row>
        <row r="38884">
          <cell r="L38884" t="str">
            <v>Non-proportional</v>
          </cell>
          <cell r="S38884">
            <v>-157287.1</v>
          </cell>
          <cell r="X38884" t="str">
            <v>Variation UPR - gross</v>
          </cell>
          <cell r="Y38884" t="str">
            <v>UNITED KINGDOM</v>
          </cell>
        </row>
        <row r="38885">
          <cell r="L38885" t="str">
            <v>Proportional</v>
          </cell>
          <cell r="S38885">
            <v>-44638.46</v>
          </cell>
          <cell r="X38885" t="str">
            <v>Variation UPR - gross</v>
          </cell>
          <cell r="Y38885" t="str">
            <v>THAILAND</v>
          </cell>
        </row>
        <row r="38886">
          <cell r="L38886" t="str">
            <v>Proportional</v>
          </cell>
          <cell r="S38886">
            <v>-27300</v>
          </cell>
          <cell r="X38886" t="str">
            <v>Variation UPR - gross</v>
          </cell>
          <cell r="Y38886" t="str">
            <v>ITALY</v>
          </cell>
        </row>
        <row r="38887">
          <cell r="L38887" t="str">
            <v>Non-proportional</v>
          </cell>
          <cell r="S38887">
            <v>-1540.76</v>
          </cell>
          <cell r="X38887" t="str">
            <v>Variation UPR - gross</v>
          </cell>
          <cell r="Y38887" t="str">
            <v>MEXICO</v>
          </cell>
        </row>
        <row r="38888">
          <cell r="L38888" t="str">
            <v>Non-proportional</v>
          </cell>
          <cell r="S38888">
            <v>-5922.66</v>
          </cell>
          <cell r="X38888" t="str">
            <v>Variation UPR - gross</v>
          </cell>
          <cell r="Y38888" t="str">
            <v>COSTA RICA</v>
          </cell>
        </row>
        <row r="38889">
          <cell r="L38889" t="str">
            <v>Non-proportional</v>
          </cell>
          <cell r="S38889">
            <v>-116070.88</v>
          </cell>
          <cell r="X38889" t="str">
            <v>Variation UPR - gross</v>
          </cell>
          <cell r="Y38889" t="str">
            <v>AUSTRALIA</v>
          </cell>
        </row>
        <row r="38890">
          <cell r="L38890" t="str">
            <v>Non-proportional</v>
          </cell>
          <cell r="S38890">
            <v>-1738.63</v>
          </cell>
          <cell r="X38890" t="str">
            <v>Variation UPR - gross</v>
          </cell>
          <cell r="Y38890" t="str">
            <v>COSTA RICA</v>
          </cell>
        </row>
        <row r="38891">
          <cell r="L38891" t="str">
            <v>Proportional</v>
          </cell>
          <cell r="S38891">
            <v>-7261.94</v>
          </cell>
          <cell r="X38891" t="str">
            <v>Variation UPR - gross</v>
          </cell>
          <cell r="Y38891" t="str">
            <v>THAILAND</v>
          </cell>
        </row>
        <row r="38892">
          <cell r="L38892" t="str">
            <v>Non-proportional</v>
          </cell>
          <cell r="S38892">
            <v>-9977.5</v>
          </cell>
          <cell r="X38892" t="str">
            <v>Variation UPR - gross</v>
          </cell>
          <cell r="Y38892" t="str">
            <v>ITALY</v>
          </cell>
        </row>
        <row r="38893">
          <cell r="L38893" t="str">
            <v>Non-proportional</v>
          </cell>
          <cell r="S38893">
            <v>-10000</v>
          </cell>
          <cell r="X38893" t="str">
            <v>Variation UPR - gross</v>
          </cell>
          <cell r="Y38893" t="str">
            <v>ITALY</v>
          </cell>
        </row>
        <row r="38894">
          <cell r="L38894" t="str">
            <v>Non-proportional</v>
          </cell>
          <cell r="S38894">
            <v>-2805.25</v>
          </cell>
          <cell r="X38894" t="str">
            <v>Variation UPR - gross</v>
          </cell>
          <cell r="Y38894" t="str">
            <v>REPUBLIC OF IRELAND</v>
          </cell>
        </row>
        <row r="38895">
          <cell r="L38895" t="str">
            <v>Non-proportional</v>
          </cell>
          <cell r="S38895">
            <v>-3251.49</v>
          </cell>
          <cell r="X38895" t="str">
            <v>Variation UPR - gross</v>
          </cell>
          <cell r="Y38895" t="str">
            <v>CHILE</v>
          </cell>
        </row>
        <row r="38896">
          <cell r="L38896" t="str">
            <v>Non-proportional</v>
          </cell>
          <cell r="S38896">
            <v>-10909.08</v>
          </cell>
          <cell r="X38896" t="str">
            <v>Variation UPR - gross</v>
          </cell>
          <cell r="Y38896" t="str">
            <v>ITALY</v>
          </cell>
        </row>
        <row r="38897">
          <cell r="L38897" t="str">
            <v>Non-proportional</v>
          </cell>
          <cell r="S38897">
            <v>-3780</v>
          </cell>
          <cell r="X38897" t="str">
            <v>Variation UPR - gross</v>
          </cell>
          <cell r="Y38897" t="str">
            <v>GREECE</v>
          </cell>
        </row>
        <row r="38898">
          <cell r="L38898" t="str">
            <v>Proportional</v>
          </cell>
          <cell r="S38898">
            <v>49.84</v>
          </cell>
          <cell r="X38898" t="str">
            <v>Variation UPR - gross</v>
          </cell>
          <cell r="Y38898" t="str">
            <v>THAILAND</v>
          </cell>
        </row>
        <row r="38899">
          <cell r="L38899" t="str">
            <v>Non-proportional</v>
          </cell>
          <cell r="S38899">
            <v>-68657.37</v>
          </cell>
          <cell r="X38899" t="str">
            <v>Variation UPR - gross</v>
          </cell>
          <cell r="Y38899" t="str">
            <v>UNITED KINGDOM</v>
          </cell>
        </row>
        <row r="38900">
          <cell r="L38900" t="str">
            <v>Proportional</v>
          </cell>
          <cell r="S38900">
            <v>-10155.25</v>
          </cell>
          <cell r="X38900" t="str">
            <v>Variation UPR - gross</v>
          </cell>
          <cell r="Y38900" t="str">
            <v>THAILAND</v>
          </cell>
        </row>
        <row r="38901">
          <cell r="L38901" t="str">
            <v>Non-proportional</v>
          </cell>
          <cell r="S38901">
            <v>-17012.88</v>
          </cell>
          <cell r="X38901" t="str">
            <v>Variation UPR - gross</v>
          </cell>
          <cell r="Y38901" t="str">
            <v>AUSTRALIA</v>
          </cell>
        </row>
        <row r="38902">
          <cell r="L38902" t="str">
            <v>Non-proportional</v>
          </cell>
          <cell r="S38902">
            <v>-637225.6</v>
          </cell>
          <cell r="X38902" t="str">
            <v>Variation UPR - gross</v>
          </cell>
          <cell r="Y38902" t="str">
            <v>BELGIUM</v>
          </cell>
        </row>
        <row r="38903">
          <cell r="L38903" t="str">
            <v>Non-proportional</v>
          </cell>
          <cell r="S38903">
            <v>-10728.28</v>
          </cell>
          <cell r="X38903" t="str">
            <v>Variation UPR - gross</v>
          </cell>
          <cell r="Y38903" t="str">
            <v>NEW ZEALAND</v>
          </cell>
        </row>
        <row r="38904">
          <cell r="L38904" t="str">
            <v>Non-proportional</v>
          </cell>
          <cell r="S38904">
            <v>-11.17</v>
          </cell>
          <cell r="X38904" t="str">
            <v>Variation UPR - gross</v>
          </cell>
          <cell r="Y38904" t="str">
            <v>ISRAEL</v>
          </cell>
        </row>
        <row r="38905">
          <cell r="L38905" t="str">
            <v>Non-proportional</v>
          </cell>
          <cell r="S38905">
            <v>40915.129999999997</v>
          </cell>
          <cell r="X38905" t="str">
            <v>Variation UPR - gross</v>
          </cell>
          <cell r="Y38905" t="str">
            <v>THAILAND</v>
          </cell>
        </row>
        <row r="38906">
          <cell r="L38906" t="str">
            <v>Proportional</v>
          </cell>
          <cell r="S38906">
            <v>-7095.85</v>
          </cell>
          <cell r="X38906" t="str">
            <v>Variation UPR - gross</v>
          </cell>
          <cell r="Y38906" t="str">
            <v>INDIA</v>
          </cell>
        </row>
        <row r="38907">
          <cell r="L38907" t="str">
            <v>Non-proportional</v>
          </cell>
          <cell r="S38907">
            <v>-7586.5</v>
          </cell>
          <cell r="X38907" t="str">
            <v>Variation UPR - gross</v>
          </cell>
          <cell r="Y38907" t="str">
            <v>FRANCE</v>
          </cell>
        </row>
        <row r="38908">
          <cell r="L38908" t="str">
            <v>Non-proportional</v>
          </cell>
          <cell r="S38908">
            <v>-8068.71</v>
          </cell>
          <cell r="X38908" t="str">
            <v>Variation UPR - gross</v>
          </cell>
          <cell r="Y38908" t="str">
            <v>UNITED KINGDOM</v>
          </cell>
        </row>
        <row r="38909">
          <cell r="L38909" t="str">
            <v>Non-proportional</v>
          </cell>
          <cell r="S38909">
            <v>-1458.33</v>
          </cell>
          <cell r="X38909" t="str">
            <v>Variation UPR - gross</v>
          </cell>
          <cell r="Y38909" t="str">
            <v>GREECE</v>
          </cell>
        </row>
        <row r="38910">
          <cell r="L38910" t="str">
            <v>Non-proportional</v>
          </cell>
          <cell r="S38910">
            <v>-8531.25</v>
          </cell>
          <cell r="X38910" t="str">
            <v>Variation UPR - gross</v>
          </cell>
          <cell r="Y38910" t="str">
            <v>TURKEY</v>
          </cell>
        </row>
        <row r="38911">
          <cell r="L38911" t="str">
            <v>Proportional</v>
          </cell>
          <cell r="S38911">
            <v>-7811.73</v>
          </cell>
          <cell r="X38911" t="str">
            <v>Variation UPR - gross</v>
          </cell>
          <cell r="Y38911" t="str">
            <v>THAILAND</v>
          </cell>
        </row>
        <row r="38912">
          <cell r="L38912" t="str">
            <v>Non-proportional</v>
          </cell>
          <cell r="S38912">
            <v>-4238.47</v>
          </cell>
          <cell r="X38912" t="str">
            <v>Variation UPR - gross</v>
          </cell>
          <cell r="Y38912" t="str">
            <v>FRANCE</v>
          </cell>
        </row>
        <row r="38913">
          <cell r="L38913" t="str">
            <v>Non-proportional</v>
          </cell>
          <cell r="S38913">
            <v>-6666.5</v>
          </cell>
          <cell r="X38913" t="str">
            <v>Variation UPR - gross</v>
          </cell>
          <cell r="Y38913" t="str">
            <v>ITALY</v>
          </cell>
        </row>
        <row r="38914">
          <cell r="L38914" t="str">
            <v>Non-proportional</v>
          </cell>
          <cell r="S38914">
            <v>-12001.33</v>
          </cell>
          <cell r="X38914" t="str">
            <v>Variation UPR - gross</v>
          </cell>
          <cell r="Y38914" t="str">
            <v>ITALY</v>
          </cell>
        </row>
        <row r="38915">
          <cell r="L38915" t="str">
            <v>Non-proportional</v>
          </cell>
          <cell r="S38915">
            <v>-2187.5</v>
          </cell>
          <cell r="X38915" t="str">
            <v>Variation UPR - gross</v>
          </cell>
          <cell r="Y38915" t="str">
            <v>GERMANY</v>
          </cell>
        </row>
        <row r="38916">
          <cell r="L38916" t="str">
            <v>Non-proportional</v>
          </cell>
          <cell r="S38916">
            <v>-5881.91</v>
          </cell>
          <cell r="X38916" t="str">
            <v>Variation UPR - gross</v>
          </cell>
          <cell r="Y38916" t="str">
            <v>CHILE</v>
          </cell>
        </row>
        <row r="38917">
          <cell r="L38917" t="str">
            <v>Non-proportional</v>
          </cell>
          <cell r="S38917">
            <v>-1518.67</v>
          </cell>
          <cell r="X38917" t="str">
            <v>Variation UPR - gross</v>
          </cell>
          <cell r="Y38917" t="str">
            <v>ISRAEL</v>
          </cell>
        </row>
        <row r="38918">
          <cell r="L38918" t="str">
            <v>Non-proportional</v>
          </cell>
          <cell r="S38918">
            <v>80.05</v>
          </cell>
          <cell r="X38918" t="str">
            <v>Variation UPR - gross</v>
          </cell>
          <cell r="Y38918" t="str">
            <v>BRAZIL</v>
          </cell>
        </row>
        <row r="38919">
          <cell r="L38919" t="str">
            <v>Non-proportional</v>
          </cell>
          <cell r="S38919">
            <v>280000</v>
          </cell>
          <cell r="X38919" t="str">
            <v>Variation UPR - gross</v>
          </cell>
          <cell r="Y38919" t="str">
            <v>ITALY</v>
          </cell>
        </row>
        <row r="38920">
          <cell r="L38920" t="str">
            <v>Non-proportional</v>
          </cell>
          <cell r="S38920">
            <v>-73.069999999999993</v>
          </cell>
          <cell r="X38920" t="str">
            <v>Variation UPR - gross</v>
          </cell>
          <cell r="Y38920" t="str">
            <v>CHILE</v>
          </cell>
        </row>
        <row r="38921">
          <cell r="L38921" t="str">
            <v>Proportional</v>
          </cell>
          <cell r="S38921">
            <v>-85656.97</v>
          </cell>
          <cell r="X38921" t="str">
            <v>Variation UPR - gross</v>
          </cell>
          <cell r="Y38921" t="str">
            <v>THAILAND</v>
          </cell>
        </row>
        <row r="38922">
          <cell r="L38922" t="str">
            <v>Non-proportional</v>
          </cell>
          <cell r="S38922">
            <v>-1594.9</v>
          </cell>
          <cell r="X38922" t="str">
            <v>Variation UPR - gross</v>
          </cell>
          <cell r="Y38922" t="str">
            <v>AUSTRALIA</v>
          </cell>
        </row>
        <row r="38923">
          <cell r="L38923" t="str">
            <v>Non-proportional</v>
          </cell>
          <cell r="S38923">
            <v>-3749.94</v>
          </cell>
          <cell r="X38923" t="str">
            <v>Variation UPR - gross</v>
          </cell>
          <cell r="Y38923" t="str">
            <v>EUROPE</v>
          </cell>
        </row>
        <row r="38924">
          <cell r="L38924" t="str">
            <v>Non-proportional</v>
          </cell>
          <cell r="S38924">
            <v>-7897.5</v>
          </cell>
          <cell r="X38924" t="str">
            <v>Variation UPR - gross</v>
          </cell>
          <cell r="Y38924" t="str">
            <v>ITALY</v>
          </cell>
        </row>
        <row r="38925">
          <cell r="L38925" t="str">
            <v>Non-proportional</v>
          </cell>
          <cell r="S38925">
            <v>-390</v>
          </cell>
          <cell r="X38925" t="str">
            <v>Variation UPR - gross</v>
          </cell>
          <cell r="Y38925" t="str">
            <v>ITALY</v>
          </cell>
        </row>
        <row r="38926">
          <cell r="L38926" t="str">
            <v>Non-proportional</v>
          </cell>
          <cell r="S38926">
            <v>-131.11000000000001</v>
          </cell>
          <cell r="X38926" t="str">
            <v>Variation UPR - gross</v>
          </cell>
          <cell r="Y38926" t="str">
            <v>INDIA</v>
          </cell>
        </row>
        <row r="38927">
          <cell r="L38927" t="str">
            <v>Non-proportional</v>
          </cell>
          <cell r="S38927">
            <v>-37.299999999999997</v>
          </cell>
          <cell r="X38927" t="str">
            <v>Variation UPR - gross</v>
          </cell>
          <cell r="Y38927" t="str">
            <v>COSTA RICA</v>
          </cell>
        </row>
        <row r="38928">
          <cell r="L38928" t="str">
            <v>Proportional</v>
          </cell>
          <cell r="S38928">
            <v>18331.37</v>
          </cell>
          <cell r="X38928" t="str">
            <v>Variation UPR - gross</v>
          </cell>
          <cell r="Y38928" t="str">
            <v>AUSTRALIA</v>
          </cell>
        </row>
        <row r="38929">
          <cell r="L38929" t="str">
            <v>Non-proportional</v>
          </cell>
          <cell r="S38929">
            <v>-11863.23</v>
          </cell>
          <cell r="X38929" t="str">
            <v>Variation UPR - gross</v>
          </cell>
          <cell r="Y38929" t="str">
            <v>EUROPE</v>
          </cell>
        </row>
        <row r="38930">
          <cell r="L38930" t="str">
            <v>Non-proportional</v>
          </cell>
          <cell r="S38930">
            <v>57.8</v>
          </cell>
          <cell r="X38930" t="str">
            <v>Variation UPR - gross</v>
          </cell>
          <cell r="Y38930" t="str">
            <v>NEW ZEALAND</v>
          </cell>
        </row>
        <row r="38931">
          <cell r="L38931" t="str">
            <v>Non-proportional</v>
          </cell>
          <cell r="S38931">
            <v>119.24</v>
          </cell>
          <cell r="X38931" t="str">
            <v>Variation UPR - gross</v>
          </cell>
          <cell r="Y38931" t="str">
            <v>JAPAN</v>
          </cell>
        </row>
        <row r="38932">
          <cell r="L38932" t="str">
            <v>Proportional</v>
          </cell>
          <cell r="S38932">
            <v>-26956.799999999999</v>
          </cell>
          <cell r="X38932" t="str">
            <v>Variation UPR - gross</v>
          </cell>
          <cell r="Y38932" t="str">
            <v>FRANCE</v>
          </cell>
        </row>
        <row r="38933">
          <cell r="L38933" t="str">
            <v>Non-proportional</v>
          </cell>
          <cell r="S38933">
            <v>-6393.46</v>
          </cell>
          <cell r="X38933" t="str">
            <v>Variation UPR - gross</v>
          </cell>
          <cell r="Y38933" t="str">
            <v>NETHERLANDS</v>
          </cell>
        </row>
        <row r="38934">
          <cell r="L38934" t="str">
            <v>Non-proportional</v>
          </cell>
          <cell r="S38934">
            <v>-10440.93</v>
          </cell>
          <cell r="X38934" t="str">
            <v>Variation UPR - gross</v>
          </cell>
          <cell r="Y38934" t="str">
            <v>COLOMBIA</v>
          </cell>
        </row>
        <row r="38935">
          <cell r="L38935" t="str">
            <v>Non-proportional</v>
          </cell>
          <cell r="S38935">
            <v>-1877.14</v>
          </cell>
          <cell r="X38935" t="str">
            <v>Variation UPR - gross</v>
          </cell>
          <cell r="Y38935" t="str">
            <v>JAPAN</v>
          </cell>
        </row>
        <row r="38936">
          <cell r="L38936" t="str">
            <v>Non-proportional</v>
          </cell>
          <cell r="S38936">
            <v>-115.37</v>
          </cell>
          <cell r="X38936" t="str">
            <v>Variation UPR - gross</v>
          </cell>
          <cell r="Y38936" t="str">
            <v>INDIA</v>
          </cell>
        </row>
        <row r="38937">
          <cell r="L38937" t="str">
            <v>Non-proportional</v>
          </cell>
          <cell r="S38937">
            <v>-64.72</v>
          </cell>
          <cell r="X38937" t="str">
            <v>Variation UPR - gross</v>
          </cell>
          <cell r="Y38937" t="str">
            <v>ISRAEL</v>
          </cell>
        </row>
        <row r="38938">
          <cell r="L38938" t="str">
            <v>Non-proportional</v>
          </cell>
          <cell r="S38938">
            <v>-1230.01</v>
          </cell>
          <cell r="X38938" t="str">
            <v>Variation UPR - gross</v>
          </cell>
          <cell r="Y38938" t="str">
            <v>COLOMBIA</v>
          </cell>
        </row>
        <row r="38939">
          <cell r="L38939" t="str">
            <v>Non-proportional</v>
          </cell>
          <cell r="S38939">
            <v>-1458.33</v>
          </cell>
          <cell r="X38939" t="str">
            <v>Variation UPR - gross</v>
          </cell>
          <cell r="Y38939" t="str">
            <v>ITALY</v>
          </cell>
        </row>
        <row r="38940">
          <cell r="L38940" t="str">
            <v>Non-proportional</v>
          </cell>
          <cell r="S38940">
            <v>-6318.89</v>
          </cell>
          <cell r="X38940" t="str">
            <v>Variation UPR - gross</v>
          </cell>
          <cell r="Y38940" t="str">
            <v>ECUADOR</v>
          </cell>
        </row>
        <row r="38941">
          <cell r="L38941" t="str">
            <v>Non-proportional</v>
          </cell>
          <cell r="S38941">
            <v>-2999.74</v>
          </cell>
          <cell r="X38941" t="str">
            <v>Variation UPR - gross</v>
          </cell>
          <cell r="Y38941" t="str">
            <v>NETHERLANDS</v>
          </cell>
        </row>
        <row r="38942">
          <cell r="L38942" t="str">
            <v>Non-proportional</v>
          </cell>
          <cell r="S38942">
            <v>-3900.8</v>
          </cell>
          <cell r="X38942" t="str">
            <v>Variation UPR - gross</v>
          </cell>
          <cell r="Y38942" t="str">
            <v>EUROPE</v>
          </cell>
        </row>
        <row r="38943">
          <cell r="L38943" t="str">
            <v>Non-proportional</v>
          </cell>
          <cell r="S38943">
            <v>-42442.54</v>
          </cell>
          <cell r="X38943" t="str">
            <v>Variation UPR - gross</v>
          </cell>
          <cell r="Y38943" t="str">
            <v>UNITED KINGDOM</v>
          </cell>
        </row>
        <row r="38944">
          <cell r="L38944" t="str">
            <v>Non-proportional</v>
          </cell>
          <cell r="S38944">
            <v>9.6</v>
          </cell>
          <cell r="X38944" t="str">
            <v>Variation UPR - gross</v>
          </cell>
          <cell r="Y38944" t="str">
            <v>NEW ZEALAND</v>
          </cell>
        </row>
        <row r="38945">
          <cell r="L38945" t="str">
            <v>Non-proportional</v>
          </cell>
          <cell r="S38945">
            <v>223.82</v>
          </cell>
          <cell r="X38945" t="str">
            <v>Variation UPR - gross</v>
          </cell>
          <cell r="Y38945" t="str">
            <v>NEW ZEALAND</v>
          </cell>
        </row>
        <row r="38946">
          <cell r="L38946" t="str">
            <v>Non-proportional</v>
          </cell>
          <cell r="S38946">
            <v>-984.84</v>
          </cell>
          <cell r="X38946" t="str">
            <v>Variation UPR - gross</v>
          </cell>
          <cell r="Y38946" t="str">
            <v>DOMINICAN REPUBLIC</v>
          </cell>
        </row>
        <row r="38947">
          <cell r="L38947" t="str">
            <v>Proportional</v>
          </cell>
          <cell r="S38947">
            <v>750000</v>
          </cell>
          <cell r="X38947" t="str">
            <v>Variation UPR - gross</v>
          </cell>
          <cell r="Y38947" t="str">
            <v>PORTUGAL</v>
          </cell>
        </row>
        <row r="38948">
          <cell r="L38948" t="str">
            <v>Non-proportional</v>
          </cell>
          <cell r="S38948">
            <v>-8091.81</v>
          </cell>
          <cell r="X38948" t="str">
            <v>Variation UPR - gross</v>
          </cell>
          <cell r="Y38948" t="str">
            <v>INDIA</v>
          </cell>
        </row>
        <row r="38949">
          <cell r="L38949" t="str">
            <v>Non-proportional</v>
          </cell>
          <cell r="S38949">
            <v>-6500</v>
          </cell>
          <cell r="X38949" t="str">
            <v>Variation UPR - gross</v>
          </cell>
          <cell r="Y38949" t="str">
            <v>FRANCE</v>
          </cell>
        </row>
        <row r="38950">
          <cell r="L38950" t="str">
            <v>Non-proportional</v>
          </cell>
          <cell r="S38950">
            <v>-1718</v>
          </cell>
          <cell r="X38950" t="str">
            <v>Variation UPR - gross</v>
          </cell>
          <cell r="Y38950" t="str">
            <v>FRANCE</v>
          </cell>
        </row>
        <row r="38951">
          <cell r="L38951" t="str">
            <v>Non-proportional</v>
          </cell>
          <cell r="S38951">
            <v>-1051.19</v>
          </cell>
          <cell r="X38951" t="str">
            <v>Variation UPR - gross</v>
          </cell>
          <cell r="Y38951" t="str">
            <v>JAPAN</v>
          </cell>
        </row>
        <row r="38952">
          <cell r="L38952" t="str">
            <v>Non-proportional</v>
          </cell>
          <cell r="S38952">
            <v>27.67</v>
          </cell>
          <cell r="X38952" t="str">
            <v>Variation UPR - gross</v>
          </cell>
          <cell r="Y38952" t="str">
            <v>COLOMBIA</v>
          </cell>
        </row>
        <row r="38953">
          <cell r="L38953" t="str">
            <v>Proportional</v>
          </cell>
          <cell r="S38953">
            <v>695063.44</v>
          </cell>
          <cell r="X38953" t="str">
            <v>Variation UPR - gross</v>
          </cell>
          <cell r="Y38953" t="str">
            <v>AUSTRALIA</v>
          </cell>
        </row>
        <row r="38954">
          <cell r="L38954" t="str">
            <v>Proportional</v>
          </cell>
          <cell r="S38954">
            <v>-375000</v>
          </cell>
          <cell r="X38954" t="str">
            <v>Variation UPR - gross</v>
          </cell>
          <cell r="Y38954" t="str">
            <v>PORTUGAL</v>
          </cell>
        </row>
        <row r="38955">
          <cell r="L38955" t="str">
            <v>Non-proportional</v>
          </cell>
          <cell r="S38955">
            <v>0.01</v>
          </cell>
          <cell r="X38955" t="str">
            <v>Variation UPR - gross</v>
          </cell>
          <cell r="Y38955" t="str">
            <v>DOMINICAN REPUBLIC</v>
          </cell>
        </row>
        <row r="38956">
          <cell r="L38956" t="str">
            <v>Non-proportional</v>
          </cell>
          <cell r="S38956">
            <v>-38026.75</v>
          </cell>
          <cell r="X38956" t="str">
            <v>Variation UPR - gross</v>
          </cell>
          <cell r="Y38956" t="str">
            <v>FRANCE</v>
          </cell>
        </row>
        <row r="38957">
          <cell r="L38957" t="str">
            <v>Non-proportional</v>
          </cell>
          <cell r="S38957">
            <v>-3037.33</v>
          </cell>
          <cell r="X38957" t="str">
            <v>Variation UPR - gross</v>
          </cell>
          <cell r="Y38957" t="str">
            <v>ISRAEL</v>
          </cell>
        </row>
        <row r="38958">
          <cell r="L38958" t="str">
            <v>Non-proportional</v>
          </cell>
          <cell r="S38958">
            <v>-3060.51</v>
          </cell>
          <cell r="X38958" t="str">
            <v>Variation UPR - gross</v>
          </cell>
          <cell r="Y38958" t="str">
            <v>JAPAN</v>
          </cell>
        </row>
        <row r="38959">
          <cell r="L38959" t="str">
            <v>Non-proportional</v>
          </cell>
          <cell r="S38959">
            <v>-772.88</v>
          </cell>
          <cell r="X38959" t="str">
            <v>Variation UPR - gross</v>
          </cell>
          <cell r="Y38959" t="str">
            <v>REPUBLIC OF IRELAND</v>
          </cell>
        </row>
        <row r="38960">
          <cell r="L38960" t="str">
            <v>Non-proportional</v>
          </cell>
          <cell r="S38960">
            <v>54.52</v>
          </cell>
          <cell r="X38960" t="str">
            <v>Variation UPR - gross</v>
          </cell>
          <cell r="Y38960" t="str">
            <v>JAPAN</v>
          </cell>
        </row>
        <row r="38961">
          <cell r="L38961" t="str">
            <v>Non-proportional</v>
          </cell>
          <cell r="S38961">
            <v>-871.06</v>
          </cell>
          <cell r="X38961" t="str">
            <v>Variation UPR - gross</v>
          </cell>
          <cell r="Y38961" t="str">
            <v>AUSTRALIA</v>
          </cell>
        </row>
        <row r="38962">
          <cell r="L38962" t="str">
            <v>Non-proportional</v>
          </cell>
          <cell r="S38962">
            <v>-4634.9799999999996</v>
          </cell>
          <cell r="X38962" t="str">
            <v>Variation UPR - gross</v>
          </cell>
          <cell r="Y38962" t="str">
            <v>DOMINICAN REPUBLIC</v>
          </cell>
        </row>
        <row r="38963">
          <cell r="L38963" t="str">
            <v>Non-proportional</v>
          </cell>
          <cell r="S38963">
            <v>-3952.08</v>
          </cell>
          <cell r="X38963" t="str">
            <v>Variation UPR - gross</v>
          </cell>
          <cell r="Y38963" t="str">
            <v>COLOMBIA</v>
          </cell>
        </row>
        <row r="38964">
          <cell r="L38964" t="str">
            <v>Non-proportional</v>
          </cell>
          <cell r="S38964">
            <v>-4061.37</v>
          </cell>
          <cell r="X38964" t="str">
            <v>Variation UPR - gross</v>
          </cell>
          <cell r="Y38964" t="str">
            <v>FRANCE</v>
          </cell>
        </row>
        <row r="38965">
          <cell r="L38965" t="str">
            <v>Non-proportional</v>
          </cell>
          <cell r="S38965">
            <v>-4294.62</v>
          </cell>
          <cell r="X38965" t="str">
            <v>Variation UPR - gross</v>
          </cell>
          <cell r="Y38965" t="str">
            <v>THAILAND</v>
          </cell>
        </row>
        <row r="38966">
          <cell r="L38966" t="str">
            <v>Non-proportional</v>
          </cell>
          <cell r="S38966">
            <v>-2112.4499999999998</v>
          </cell>
          <cell r="X38966" t="str">
            <v>Variation UPR - gross</v>
          </cell>
          <cell r="Y38966" t="str">
            <v>UNITED KINGDOM</v>
          </cell>
        </row>
        <row r="38967">
          <cell r="L38967" t="str">
            <v>Proportional</v>
          </cell>
          <cell r="S38967">
            <v>-8251.86</v>
          </cell>
          <cell r="X38967" t="str">
            <v>Variation UPR - gross</v>
          </cell>
          <cell r="Y38967" t="str">
            <v>JAPAN</v>
          </cell>
        </row>
        <row r="38968">
          <cell r="L38968" t="str">
            <v>Non-proportional</v>
          </cell>
          <cell r="S38968">
            <v>-573.29</v>
          </cell>
          <cell r="X38968" t="str">
            <v>Variation UPR - gross</v>
          </cell>
          <cell r="Y38968" t="str">
            <v>JAPAN</v>
          </cell>
        </row>
        <row r="38969">
          <cell r="L38969" t="str">
            <v>Non-proportional</v>
          </cell>
          <cell r="S38969">
            <v>-1777.5</v>
          </cell>
          <cell r="X38969" t="str">
            <v>Variation UPR - gross</v>
          </cell>
          <cell r="Y38969" t="str">
            <v>GREECE</v>
          </cell>
        </row>
        <row r="38970">
          <cell r="L38970" t="str">
            <v>Non-proportional</v>
          </cell>
          <cell r="S38970">
            <v>-5123.67</v>
          </cell>
          <cell r="X38970" t="str">
            <v>Variation UPR - gross</v>
          </cell>
          <cell r="Y38970" t="str">
            <v>DOMINICAN REPUBLIC</v>
          </cell>
        </row>
        <row r="38971">
          <cell r="L38971" t="str">
            <v>Non-proportional</v>
          </cell>
          <cell r="S38971">
            <v>-6595.21</v>
          </cell>
          <cell r="X38971" t="str">
            <v>Variation UPR - gross</v>
          </cell>
          <cell r="Y38971" t="str">
            <v>DOMINICAN REPUBLIC</v>
          </cell>
        </row>
        <row r="38972">
          <cell r="L38972" t="str">
            <v>Non-proportional</v>
          </cell>
          <cell r="S38972">
            <v>-4764.1400000000003</v>
          </cell>
          <cell r="X38972" t="str">
            <v>Variation UPR - gross</v>
          </cell>
          <cell r="Y38972" t="str">
            <v>AUSTRALIA</v>
          </cell>
        </row>
        <row r="38973">
          <cell r="L38973" t="str">
            <v>Proportional</v>
          </cell>
          <cell r="S38973">
            <v>1572.16</v>
          </cell>
          <cell r="X38973" t="str">
            <v>Variation UPR - gross</v>
          </cell>
          <cell r="Y38973" t="str">
            <v>UNITED STATES</v>
          </cell>
        </row>
        <row r="38974">
          <cell r="L38974" t="str">
            <v>Non-proportional</v>
          </cell>
          <cell r="S38974">
            <v>-11004.83</v>
          </cell>
          <cell r="X38974" t="str">
            <v>Variation UPR - gross</v>
          </cell>
          <cell r="Y38974" t="str">
            <v>CHILE</v>
          </cell>
        </row>
        <row r="38975">
          <cell r="L38975" t="str">
            <v>Non-proportional</v>
          </cell>
          <cell r="S38975">
            <v>-9115.27</v>
          </cell>
          <cell r="X38975" t="str">
            <v>Variation UPR - gross</v>
          </cell>
          <cell r="Y38975" t="str">
            <v>ISRAEL</v>
          </cell>
        </row>
        <row r="38976">
          <cell r="L38976" t="str">
            <v>Non-proportional</v>
          </cell>
          <cell r="S38976">
            <v>-1505.75</v>
          </cell>
          <cell r="X38976" t="str">
            <v>Variation UPR - gross</v>
          </cell>
          <cell r="Y38976" t="str">
            <v>GUATEMALA</v>
          </cell>
        </row>
        <row r="38977">
          <cell r="L38977" t="str">
            <v>Non-proportional</v>
          </cell>
          <cell r="S38977">
            <v>-87138.33</v>
          </cell>
          <cell r="X38977" t="str">
            <v>Variation UPR - gross</v>
          </cell>
          <cell r="Y38977" t="str">
            <v>EUROPE</v>
          </cell>
        </row>
        <row r="38978">
          <cell r="L38978" t="str">
            <v>Proportional</v>
          </cell>
          <cell r="S38978">
            <v>-197054.91</v>
          </cell>
          <cell r="X38978" t="str">
            <v>Variation UPR - gross</v>
          </cell>
          <cell r="Y38978" t="str">
            <v>HONG KONG</v>
          </cell>
        </row>
        <row r="38979">
          <cell r="L38979" t="str">
            <v>Non-proportional</v>
          </cell>
          <cell r="S38979">
            <v>0</v>
          </cell>
          <cell r="X38979" t="str">
            <v>Variation UPR - gross</v>
          </cell>
          <cell r="Y38979" t="str">
            <v>DOMINICAN REPUBLIC</v>
          </cell>
        </row>
        <row r="38980">
          <cell r="L38980" t="str">
            <v>Non-proportional</v>
          </cell>
          <cell r="S38980">
            <v>-19309.89</v>
          </cell>
          <cell r="X38980" t="str">
            <v>Variation UPR - gross</v>
          </cell>
          <cell r="Y38980" t="str">
            <v>UNITED KINGDOM</v>
          </cell>
        </row>
        <row r="38981">
          <cell r="L38981" t="str">
            <v>Non-proportional</v>
          </cell>
          <cell r="S38981">
            <v>-60.88</v>
          </cell>
          <cell r="X38981" t="str">
            <v>Variation UPR - gross</v>
          </cell>
          <cell r="Y38981" t="str">
            <v>ISRAEL</v>
          </cell>
        </row>
        <row r="38982">
          <cell r="L38982" t="str">
            <v>Non-proportional</v>
          </cell>
          <cell r="S38982">
            <v>-3362.23</v>
          </cell>
          <cell r="X38982" t="str">
            <v>Variation UPR - gross</v>
          </cell>
          <cell r="Y38982" t="str">
            <v>INDIA</v>
          </cell>
        </row>
        <row r="38983">
          <cell r="L38983" t="str">
            <v>Non-proportional</v>
          </cell>
          <cell r="S38983">
            <v>-3570.63</v>
          </cell>
          <cell r="X38983" t="str">
            <v>Variation UPR - gross</v>
          </cell>
          <cell r="Y38983" t="str">
            <v>GREECE</v>
          </cell>
        </row>
        <row r="38984">
          <cell r="L38984" t="str">
            <v>Proportional</v>
          </cell>
          <cell r="S38984">
            <v>811.04</v>
          </cell>
          <cell r="X38984" t="str">
            <v>Variation UPR - gross</v>
          </cell>
          <cell r="Y38984" t="str">
            <v>UNITED STATES</v>
          </cell>
        </row>
        <row r="38985">
          <cell r="L38985" t="str">
            <v>Non-proportional</v>
          </cell>
          <cell r="S38985">
            <v>-2258.3200000000002</v>
          </cell>
          <cell r="X38985" t="str">
            <v>Variation UPR - gross</v>
          </cell>
          <cell r="Y38985" t="str">
            <v>COLOMBIA</v>
          </cell>
        </row>
        <row r="38986">
          <cell r="L38986" t="str">
            <v>Non-proportional</v>
          </cell>
          <cell r="S38986">
            <v>-9985.8700000000008</v>
          </cell>
          <cell r="X38986" t="str">
            <v>Variation UPR - gross</v>
          </cell>
          <cell r="Y38986" t="str">
            <v>FRANCE</v>
          </cell>
        </row>
        <row r="38987">
          <cell r="L38987" t="str">
            <v>Non-proportional</v>
          </cell>
          <cell r="S38987">
            <v>-3281.25</v>
          </cell>
          <cell r="X38987" t="str">
            <v>Variation UPR - gross</v>
          </cell>
          <cell r="Y38987" t="str">
            <v>ITALY</v>
          </cell>
        </row>
        <row r="38988">
          <cell r="L38988" t="str">
            <v>Non-proportional</v>
          </cell>
          <cell r="S38988">
            <v>0.01</v>
          </cell>
          <cell r="X38988" t="str">
            <v>Variation UPR - gross</v>
          </cell>
          <cell r="Y38988" t="str">
            <v>DOMINICAN REPUBLIC</v>
          </cell>
        </row>
        <row r="38989">
          <cell r="L38989" t="str">
            <v>Non-proportional</v>
          </cell>
          <cell r="S38989">
            <v>-37306.800000000003</v>
          </cell>
          <cell r="X38989" t="str">
            <v>Variation UPR - gross</v>
          </cell>
          <cell r="Y38989" t="str">
            <v>UNITED KINGDOM</v>
          </cell>
        </row>
        <row r="38990">
          <cell r="L38990" t="str">
            <v>Non-proportional</v>
          </cell>
          <cell r="S38990">
            <v>-19046.18</v>
          </cell>
          <cell r="X38990" t="str">
            <v>Variation UPR - gross</v>
          </cell>
          <cell r="Y38990" t="str">
            <v>UNITED KINGDOM</v>
          </cell>
        </row>
        <row r="38991">
          <cell r="L38991" t="str">
            <v>Non-proportional</v>
          </cell>
          <cell r="S38991">
            <v>-4971.4799999999996</v>
          </cell>
          <cell r="X38991" t="str">
            <v>Variation UPR - gross</v>
          </cell>
          <cell r="Y38991" t="str">
            <v>EUROPE</v>
          </cell>
        </row>
        <row r="38992">
          <cell r="L38992" t="str">
            <v>Non-proportional</v>
          </cell>
          <cell r="S38992">
            <v>-600.29</v>
          </cell>
          <cell r="X38992" t="str">
            <v>Variation UPR - gross</v>
          </cell>
          <cell r="Y38992" t="str">
            <v>MEXICO</v>
          </cell>
        </row>
        <row r="38993">
          <cell r="L38993" t="str">
            <v>Non-proportional</v>
          </cell>
          <cell r="S38993">
            <v>-1415.93</v>
          </cell>
          <cell r="X38993" t="str">
            <v>Variation UPR - gross</v>
          </cell>
          <cell r="Y38993" t="str">
            <v>FRANCE</v>
          </cell>
        </row>
        <row r="38994">
          <cell r="L38994" t="str">
            <v>Proportional</v>
          </cell>
          <cell r="S38994">
            <v>-81242</v>
          </cell>
          <cell r="X38994" t="str">
            <v>Variation UPR - gross</v>
          </cell>
          <cell r="Y38994" t="str">
            <v>THAILAND</v>
          </cell>
        </row>
        <row r="38995">
          <cell r="L38995" t="str">
            <v>Non-proportional</v>
          </cell>
          <cell r="S38995">
            <v>-5260.84</v>
          </cell>
          <cell r="X38995" t="str">
            <v>Variation UPR - gross</v>
          </cell>
          <cell r="Y38995" t="str">
            <v>CHILE</v>
          </cell>
        </row>
        <row r="38996">
          <cell r="L38996" t="str">
            <v>Proportional</v>
          </cell>
          <cell r="S38996">
            <v>-23435.19</v>
          </cell>
          <cell r="X38996" t="str">
            <v>Variation UPR - gross</v>
          </cell>
          <cell r="Y38996" t="str">
            <v>THAILAND</v>
          </cell>
        </row>
        <row r="38997">
          <cell r="L38997" t="str">
            <v>Non-proportional</v>
          </cell>
          <cell r="S38997">
            <v>-7826.89</v>
          </cell>
          <cell r="X38997" t="str">
            <v>Variation UPR - gross</v>
          </cell>
          <cell r="Y38997" t="str">
            <v>UNITED KINGDOM</v>
          </cell>
        </row>
        <row r="38998">
          <cell r="L38998" t="str">
            <v>Non-proportional</v>
          </cell>
          <cell r="S38998">
            <v>-37828.21</v>
          </cell>
          <cell r="X38998" t="str">
            <v>Variation UPR - gross</v>
          </cell>
          <cell r="Y38998" t="str">
            <v>TURKEY</v>
          </cell>
        </row>
        <row r="38999">
          <cell r="L38999" t="str">
            <v>Non-proportional</v>
          </cell>
          <cell r="S38999">
            <v>-4970.79</v>
          </cell>
          <cell r="X38999" t="str">
            <v>Variation UPR - gross</v>
          </cell>
          <cell r="Y38999" t="str">
            <v>ISRAEL</v>
          </cell>
        </row>
        <row r="39000">
          <cell r="L39000" t="str">
            <v>Non-proportional</v>
          </cell>
          <cell r="S39000">
            <v>-3466.37</v>
          </cell>
          <cell r="X39000" t="str">
            <v>Variation UPR - gross</v>
          </cell>
          <cell r="Y39000" t="str">
            <v>GUATEMALA</v>
          </cell>
        </row>
        <row r="39001">
          <cell r="L39001" t="str">
            <v>Non-proportional</v>
          </cell>
          <cell r="S39001">
            <v>254202.77</v>
          </cell>
          <cell r="X39001" t="str">
            <v>Variation UPR - gross</v>
          </cell>
          <cell r="Y39001" t="str">
            <v>PUERTO RICO</v>
          </cell>
        </row>
        <row r="39002">
          <cell r="L39002" t="str">
            <v>Non-proportional</v>
          </cell>
          <cell r="S39002">
            <v>-2009.35</v>
          </cell>
          <cell r="X39002" t="str">
            <v>Variation UPR - gross</v>
          </cell>
          <cell r="Y39002" t="str">
            <v>CHILE</v>
          </cell>
        </row>
        <row r="39003">
          <cell r="L39003" t="str">
            <v>Non-proportional</v>
          </cell>
          <cell r="S39003">
            <v>-33.520000000000003</v>
          </cell>
          <cell r="X39003" t="str">
            <v>Variation UPR - gross</v>
          </cell>
          <cell r="Y39003" t="str">
            <v>ISRAEL</v>
          </cell>
        </row>
        <row r="39004">
          <cell r="L39004" t="str">
            <v>Non-proportional</v>
          </cell>
          <cell r="S39004">
            <v>-387.5</v>
          </cell>
          <cell r="X39004" t="str">
            <v>Variation UPR - gross</v>
          </cell>
          <cell r="Y39004" t="str">
            <v>ITALY</v>
          </cell>
        </row>
        <row r="39005">
          <cell r="L39005" t="str">
            <v>Non-proportional</v>
          </cell>
          <cell r="S39005">
            <v>-7218.75</v>
          </cell>
          <cell r="X39005" t="str">
            <v>Variation UPR - gross</v>
          </cell>
          <cell r="Y39005" t="str">
            <v>FRANCE</v>
          </cell>
        </row>
        <row r="39006">
          <cell r="L39006" t="str">
            <v>Non-proportional</v>
          </cell>
          <cell r="S39006">
            <v>-3580.29</v>
          </cell>
          <cell r="X39006" t="str">
            <v>Variation UPR - gross</v>
          </cell>
          <cell r="Y39006" t="str">
            <v>CHILE</v>
          </cell>
        </row>
        <row r="39007">
          <cell r="L39007" t="str">
            <v>Non-proportional</v>
          </cell>
          <cell r="S39007">
            <v>-12415.64</v>
          </cell>
          <cell r="X39007" t="str">
            <v>Variation UPR - gross</v>
          </cell>
          <cell r="Y39007" t="str">
            <v>AUSTRALIA</v>
          </cell>
        </row>
        <row r="39008">
          <cell r="L39008" t="str">
            <v>Non-proportional</v>
          </cell>
          <cell r="S39008">
            <v>-5187.7700000000004</v>
          </cell>
          <cell r="X39008" t="str">
            <v>Variation UPR - gross</v>
          </cell>
          <cell r="Y39008" t="str">
            <v>CHILE</v>
          </cell>
        </row>
        <row r="39009">
          <cell r="L39009" t="str">
            <v>Non-proportional</v>
          </cell>
          <cell r="S39009">
            <v>-4666.5</v>
          </cell>
          <cell r="X39009" t="str">
            <v>Variation UPR - gross</v>
          </cell>
          <cell r="Y39009" t="str">
            <v>TURKEY</v>
          </cell>
        </row>
        <row r="39010">
          <cell r="L39010" t="str">
            <v>Non-proportional</v>
          </cell>
          <cell r="S39010">
            <v>-4201.3599999999997</v>
          </cell>
          <cell r="X39010" t="str">
            <v>Variation UPR - gross</v>
          </cell>
          <cell r="Y39010" t="str">
            <v>CHILE</v>
          </cell>
        </row>
        <row r="39011">
          <cell r="L39011" t="str">
            <v>Non-proportional</v>
          </cell>
          <cell r="S39011">
            <v>-1500.61</v>
          </cell>
          <cell r="X39011" t="str">
            <v>Variation UPR - gross</v>
          </cell>
          <cell r="Y39011" t="str">
            <v>UNITED KINGDOM</v>
          </cell>
        </row>
        <row r="39012">
          <cell r="L39012" t="str">
            <v>Non-proportional</v>
          </cell>
          <cell r="S39012">
            <v>-7552.08</v>
          </cell>
          <cell r="X39012" t="str">
            <v>Variation UPR - gross</v>
          </cell>
          <cell r="Y39012" t="str">
            <v>ROMANIA</v>
          </cell>
        </row>
        <row r="39013">
          <cell r="L39013" t="str">
            <v>Proportional</v>
          </cell>
          <cell r="S39013">
            <v>-34749.08</v>
          </cell>
          <cell r="X39013" t="str">
            <v>Variation UPR - gross</v>
          </cell>
          <cell r="Y39013" t="str">
            <v>THAILAND</v>
          </cell>
        </row>
        <row r="39014">
          <cell r="L39014" t="str">
            <v>Non-proportional</v>
          </cell>
          <cell r="S39014">
            <v>6.53</v>
          </cell>
          <cell r="X39014" t="str">
            <v>Variation UPR - gross</v>
          </cell>
          <cell r="Y39014" t="str">
            <v>JAPAN</v>
          </cell>
        </row>
        <row r="39015">
          <cell r="L39015" t="str">
            <v>Non-proportional</v>
          </cell>
          <cell r="S39015">
            <v>18.54</v>
          </cell>
          <cell r="X39015" t="str">
            <v>Variation UPR - gross</v>
          </cell>
          <cell r="Y39015" t="str">
            <v>JAPAN</v>
          </cell>
        </row>
        <row r="39016">
          <cell r="L39016" t="str">
            <v>Non-proportional</v>
          </cell>
          <cell r="S39016">
            <v>-612.5</v>
          </cell>
          <cell r="X39016" t="str">
            <v>Variation UPR - gross</v>
          </cell>
          <cell r="Y39016" t="str">
            <v>GREECE</v>
          </cell>
        </row>
        <row r="39017">
          <cell r="L39017" t="str">
            <v>Non-proportional</v>
          </cell>
          <cell r="S39017">
            <v>-15885.46</v>
          </cell>
          <cell r="X39017" t="str">
            <v>Variation UPR - gross</v>
          </cell>
          <cell r="Y39017" t="str">
            <v>EUROPE</v>
          </cell>
        </row>
        <row r="39018">
          <cell r="L39018" t="str">
            <v>Non-proportional</v>
          </cell>
          <cell r="S39018">
            <v>-10596.12</v>
          </cell>
          <cell r="X39018" t="str">
            <v>Variation UPR - gross</v>
          </cell>
          <cell r="Y39018" t="str">
            <v>FRANCE</v>
          </cell>
        </row>
        <row r="39019">
          <cell r="L39019" t="str">
            <v>Non-proportional</v>
          </cell>
          <cell r="S39019">
            <v>-12659.61</v>
          </cell>
          <cell r="X39019" t="str">
            <v>Variation UPR - gross</v>
          </cell>
          <cell r="Y39019" t="str">
            <v>ITALY</v>
          </cell>
        </row>
        <row r="39020">
          <cell r="L39020" t="str">
            <v>Non-proportional</v>
          </cell>
          <cell r="S39020">
            <v>-3076.55</v>
          </cell>
          <cell r="X39020" t="str">
            <v>Variation UPR - gross</v>
          </cell>
          <cell r="Y39020" t="str">
            <v>JAPAN</v>
          </cell>
        </row>
        <row r="39021">
          <cell r="L39021" t="str">
            <v>Proportional</v>
          </cell>
          <cell r="S39021">
            <v>-1842.82</v>
          </cell>
          <cell r="X39021" t="str">
            <v>Variation UPR - gross</v>
          </cell>
          <cell r="Y39021" t="str">
            <v>UNITED STATES</v>
          </cell>
        </row>
        <row r="39022">
          <cell r="L39022" t="str">
            <v>Proportional</v>
          </cell>
          <cell r="S39022">
            <v>-4816.8999999999996</v>
          </cell>
          <cell r="X39022" t="str">
            <v>Variation UPR - gross</v>
          </cell>
          <cell r="Y39022" t="str">
            <v>HONG KONG</v>
          </cell>
        </row>
        <row r="39023">
          <cell r="L39023" t="str">
            <v>Non-proportional</v>
          </cell>
          <cell r="S39023">
            <v>189.79</v>
          </cell>
          <cell r="X39023" t="str">
            <v>Variation UPR - gross</v>
          </cell>
          <cell r="Y39023" t="str">
            <v>JAPAN</v>
          </cell>
        </row>
        <row r="39024">
          <cell r="L39024" t="str">
            <v>Non-proportional</v>
          </cell>
          <cell r="S39024">
            <v>-14174.21</v>
          </cell>
          <cell r="X39024" t="str">
            <v>Variation UPR - gross</v>
          </cell>
          <cell r="Y39024" t="str">
            <v>ISRAEL</v>
          </cell>
        </row>
        <row r="39025">
          <cell r="L39025" t="str">
            <v>Non-proportional</v>
          </cell>
          <cell r="S39025">
            <v>-774.49</v>
          </cell>
          <cell r="X39025" t="str">
            <v>Variation UPR - gross</v>
          </cell>
          <cell r="Y39025" t="str">
            <v>INDIA</v>
          </cell>
        </row>
        <row r="39026">
          <cell r="L39026" t="str">
            <v>Non-proportional</v>
          </cell>
          <cell r="S39026">
            <v>-2162.12</v>
          </cell>
          <cell r="X39026" t="str">
            <v>Variation UPR - gross</v>
          </cell>
          <cell r="Y39026" t="str">
            <v>INDIA</v>
          </cell>
        </row>
        <row r="39027">
          <cell r="L39027" t="str">
            <v>Non-proportional</v>
          </cell>
          <cell r="S39027">
            <v>-4922.93</v>
          </cell>
          <cell r="X39027" t="str">
            <v>Variation UPR - gross</v>
          </cell>
          <cell r="Y39027" t="str">
            <v>ECUADOR</v>
          </cell>
        </row>
        <row r="39028">
          <cell r="L39028" t="str">
            <v>Non-proportional</v>
          </cell>
          <cell r="S39028">
            <v>-9187.5</v>
          </cell>
          <cell r="X39028" t="str">
            <v>Variation UPR - gross</v>
          </cell>
          <cell r="Y39028" t="str">
            <v>TURKEY</v>
          </cell>
        </row>
        <row r="39029">
          <cell r="L39029" t="str">
            <v>Non-proportional</v>
          </cell>
          <cell r="S39029">
            <v>-4890.08</v>
          </cell>
          <cell r="X39029" t="str">
            <v>Variation UPR - gross</v>
          </cell>
          <cell r="Y39029" t="str">
            <v>FRANCE</v>
          </cell>
        </row>
        <row r="39030">
          <cell r="L39030" t="str">
            <v>Proportional</v>
          </cell>
          <cell r="S39030">
            <v>709.41</v>
          </cell>
          <cell r="X39030" t="str">
            <v>Variation UPR - gross</v>
          </cell>
          <cell r="Y39030" t="str">
            <v>INDIA</v>
          </cell>
        </row>
        <row r="39031">
          <cell r="L39031" t="str">
            <v>Non-proportional</v>
          </cell>
          <cell r="S39031">
            <v>-182.67</v>
          </cell>
          <cell r="X39031" t="str">
            <v>Variation UPR - gross</v>
          </cell>
          <cell r="Y39031" t="str">
            <v>CHILE</v>
          </cell>
        </row>
        <row r="39032">
          <cell r="L39032" t="str">
            <v>Non-proportional</v>
          </cell>
          <cell r="S39032">
            <v>-8594.76</v>
          </cell>
          <cell r="X39032" t="str">
            <v>Variation UPR - gross</v>
          </cell>
          <cell r="Y39032" t="str">
            <v>AUSTRALIA</v>
          </cell>
        </row>
        <row r="39033">
          <cell r="L39033" t="str">
            <v>Proportional</v>
          </cell>
          <cell r="S39033">
            <v>-5148.04</v>
          </cell>
          <cell r="X39033" t="str">
            <v>Variation UPR - gross</v>
          </cell>
          <cell r="Y39033" t="str">
            <v>UNITED STATES</v>
          </cell>
        </row>
        <row r="39034">
          <cell r="L39034" t="str">
            <v>Non-proportional</v>
          </cell>
          <cell r="S39034">
            <v>-375.42</v>
          </cell>
          <cell r="X39034" t="str">
            <v>Variation UPR - gross</v>
          </cell>
          <cell r="Y39034" t="str">
            <v>ITALY</v>
          </cell>
        </row>
        <row r="39035">
          <cell r="L39035" t="str">
            <v>Proportional</v>
          </cell>
          <cell r="S39035">
            <v>-8621.93</v>
          </cell>
          <cell r="X39035" t="str">
            <v>Variation UPR - gross</v>
          </cell>
          <cell r="Y39035" t="str">
            <v>CHILE</v>
          </cell>
        </row>
        <row r="39036">
          <cell r="L39036" t="str">
            <v>Non-proportional</v>
          </cell>
          <cell r="S39036">
            <v>-2484.29</v>
          </cell>
          <cell r="X39036" t="str">
            <v>Variation UPR - gross</v>
          </cell>
          <cell r="Y39036" t="str">
            <v>CHILE</v>
          </cell>
        </row>
        <row r="39037">
          <cell r="L39037" t="str">
            <v>Non-proportional</v>
          </cell>
          <cell r="S39037">
            <v>-635.45000000000005</v>
          </cell>
          <cell r="X39037" t="str">
            <v>Variation UPR - gross</v>
          </cell>
          <cell r="Y39037" t="str">
            <v>NEW ZEALAND</v>
          </cell>
        </row>
        <row r="39038">
          <cell r="L39038" t="str">
            <v>Non-proportional</v>
          </cell>
          <cell r="S39038">
            <v>-109.6</v>
          </cell>
          <cell r="X39038" t="str">
            <v>Variation UPR - gross</v>
          </cell>
          <cell r="Y39038" t="str">
            <v>CHILE</v>
          </cell>
        </row>
        <row r="39039">
          <cell r="L39039" t="str">
            <v>Proportional</v>
          </cell>
          <cell r="S39039">
            <v>-149660.76999999999</v>
          </cell>
          <cell r="X39039" t="str">
            <v>Variation UPR - gross</v>
          </cell>
          <cell r="Y39039" t="str">
            <v>UNITED STATES</v>
          </cell>
        </row>
        <row r="39040">
          <cell r="L39040" t="str">
            <v>Non-proportional</v>
          </cell>
          <cell r="S39040">
            <v>59.03</v>
          </cell>
          <cell r="X39040" t="str">
            <v>Variation UPR - gross</v>
          </cell>
          <cell r="Y39040" t="str">
            <v>JAPAN</v>
          </cell>
        </row>
        <row r="39041">
          <cell r="L39041" t="str">
            <v>Non-proportional</v>
          </cell>
          <cell r="S39041">
            <v>31868.28</v>
          </cell>
          <cell r="X39041" t="str">
            <v>Variation UPR - gross</v>
          </cell>
          <cell r="Y39041" t="str">
            <v>CHINA</v>
          </cell>
        </row>
        <row r="39042">
          <cell r="L39042" t="str">
            <v>Non-proportional</v>
          </cell>
          <cell r="S39042">
            <v>-3397.63</v>
          </cell>
          <cell r="X39042" t="str">
            <v>Variation UPR - gross</v>
          </cell>
          <cell r="Y39042" t="str">
            <v>CHILE</v>
          </cell>
        </row>
        <row r="39043">
          <cell r="L39043" t="str">
            <v>Non-proportional</v>
          </cell>
          <cell r="S39043">
            <v>-7453.72</v>
          </cell>
          <cell r="X39043" t="str">
            <v>Variation UPR - gross</v>
          </cell>
          <cell r="Y39043" t="str">
            <v>COSTA RICA</v>
          </cell>
        </row>
        <row r="39044">
          <cell r="L39044" t="str">
            <v>Proportional</v>
          </cell>
          <cell r="S39044">
            <v>-56</v>
          </cell>
          <cell r="X39044" t="str">
            <v>Variation UPR - gross</v>
          </cell>
          <cell r="Y39044" t="str">
            <v>Ireland</v>
          </cell>
        </row>
        <row r="39045">
          <cell r="L39045" t="str">
            <v>Non-proportional</v>
          </cell>
          <cell r="S39045">
            <v>-1480.8</v>
          </cell>
          <cell r="X39045" t="str">
            <v>Variation UPR - gross</v>
          </cell>
          <cell r="Y39045" t="str">
            <v>FRANCE</v>
          </cell>
        </row>
        <row r="39046">
          <cell r="L39046" t="str">
            <v>Non-proportional</v>
          </cell>
          <cell r="S39046">
            <v>-910.61</v>
          </cell>
          <cell r="X39046" t="str">
            <v>Variation UPR - gross</v>
          </cell>
          <cell r="Y39046" t="str">
            <v>PUERTO RICO</v>
          </cell>
        </row>
        <row r="39047">
          <cell r="L39047" t="str">
            <v>Non-proportional</v>
          </cell>
          <cell r="S39047">
            <v>-3480.88</v>
          </cell>
          <cell r="X39047" t="str">
            <v>Variation UPR - gross</v>
          </cell>
          <cell r="Y39047" t="str">
            <v>ISRAEL</v>
          </cell>
        </row>
        <row r="39048">
          <cell r="L39048" t="str">
            <v>Non-proportional</v>
          </cell>
          <cell r="S39048">
            <v>-1587.35</v>
          </cell>
          <cell r="X39048" t="str">
            <v>Variation UPR - gross</v>
          </cell>
          <cell r="Y39048" t="str">
            <v>ITALY</v>
          </cell>
        </row>
        <row r="39049">
          <cell r="L39049" t="str">
            <v>Non-proportional</v>
          </cell>
          <cell r="S39049">
            <v>-543.75</v>
          </cell>
          <cell r="X39049" t="str">
            <v>Variation UPR - gross</v>
          </cell>
          <cell r="Y39049" t="str">
            <v>GREECE</v>
          </cell>
        </row>
        <row r="39050">
          <cell r="L39050" t="str">
            <v>Non-proportional</v>
          </cell>
          <cell r="S39050">
            <v>-1096.01</v>
          </cell>
          <cell r="X39050" t="str">
            <v>Variation UPR - gross</v>
          </cell>
          <cell r="Y39050" t="str">
            <v>CHILE</v>
          </cell>
        </row>
        <row r="39051">
          <cell r="L39051" t="str">
            <v>Proportional</v>
          </cell>
          <cell r="S39051">
            <v>-28208.76</v>
          </cell>
          <cell r="X39051" t="str">
            <v>Variation UPR - gross</v>
          </cell>
          <cell r="Y39051" t="str">
            <v>THAILAND</v>
          </cell>
        </row>
        <row r="39052">
          <cell r="L39052" t="str">
            <v>Non-proportional</v>
          </cell>
          <cell r="S39052">
            <v>-3218.37</v>
          </cell>
          <cell r="X39052" t="str">
            <v>Variation UPR - gross</v>
          </cell>
          <cell r="Y39052" t="str">
            <v>UNITED KINGDOM</v>
          </cell>
        </row>
        <row r="39053">
          <cell r="L39053" t="str">
            <v>Non-proportional</v>
          </cell>
          <cell r="S39053">
            <v>-880.36</v>
          </cell>
          <cell r="X39053" t="str">
            <v>Variation UPR - gross</v>
          </cell>
          <cell r="Y39053" t="str">
            <v>MEXICO</v>
          </cell>
        </row>
        <row r="39054">
          <cell r="L39054" t="str">
            <v>Non-proportional</v>
          </cell>
          <cell r="S39054">
            <v>-2893.63</v>
          </cell>
          <cell r="X39054" t="str">
            <v>Variation UPR - gross</v>
          </cell>
          <cell r="Y39054" t="str">
            <v>AUSTRALIA</v>
          </cell>
        </row>
        <row r="39055">
          <cell r="L39055" t="str">
            <v>Non-proportional</v>
          </cell>
          <cell r="S39055">
            <v>-6540.49</v>
          </cell>
          <cell r="X39055" t="str">
            <v>Variation UPR - gross</v>
          </cell>
          <cell r="Y39055" t="str">
            <v>UNITED KINGDOM</v>
          </cell>
        </row>
        <row r="39056">
          <cell r="L39056" t="str">
            <v>Non-proportional</v>
          </cell>
          <cell r="S39056">
            <v>-1287.4000000000001</v>
          </cell>
          <cell r="X39056" t="str">
            <v>Variation UPR - gross</v>
          </cell>
          <cell r="Y39056" t="str">
            <v>ISRAEL</v>
          </cell>
        </row>
        <row r="39057">
          <cell r="L39057" t="str">
            <v>Non-proportional</v>
          </cell>
          <cell r="S39057">
            <v>-46864.67</v>
          </cell>
          <cell r="X39057" t="str">
            <v>Variation UPR - gross</v>
          </cell>
          <cell r="Y39057" t="str">
            <v>FRANCE</v>
          </cell>
        </row>
        <row r="39058">
          <cell r="L39058" t="str">
            <v>Non-proportional</v>
          </cell>
          <cell r="S39058">
            <v>-8708.34</v>
          </cell>
          <cell r="X39058" t="str">
            <v>Variation UPR - gross</v>
          </cell>
          <cell r="Y39058" t="str">
            <v>TURKEY</v>
          </cell>
        </row>
        <row r="39059">
          <cell r="L39059" t="str">
            <v>Non-proportional</v>
          </cell>
          <cell r="S39059">
            <v>44.3</v>
          </cell>
          <cell r="X39059" t="str">
            <v>Variation UPR - gross</v>
          </cell>
          <cell r="Y39059" t="str">
            <v>JAPAN</v>
          </cell>
        </row>
        <row r="39060">
          <cell r="L39060" t="str">
            <v>Non-proportional</v>
          </cell>
          <cell r="S39060">
            <v>-2083.98</v>
          </cell>
          <cell r="X39060" t="str">
            <v>Variation UPR - gross</v>
          </cell>
          <cell r="Y39060" t="str">
            <v>AUSTRALIA</v>
          </cell>
        </row>
        <row r="39061">
          <cell r="L39061" t="str">
            <v>Proportional</v>
          </cell>
          <cell r="S39061">
            <v>-47382.37</v>
          </cell>
          <cell r="X39061" t="str">
            <v>Variation UPR - gross</v>
          </cell>
          <cell r="Y39061" t="str">
            <v>SWITZERLAND</v>
          </cell>
        </row>
        <row r="39062">
          <cell r="L39062" t="str">
            <v>Non-proportional</v>
          </cell>
          <cell r="S39062">
            <v>-11518.39</v>
          </cell>
          <cell r="X39062" t="str">
            <v>Variation UPR - gross</v>
          </cell>
          <cell r="Y39062" t="str">
            <v>AUSTRALIA</v>
          </cell>
        </row>
        <row r="39063">
          <cell r="L39063" t="str">
            <v>Non-proportional</v>
          </cell>
          <cell r="S39063">
            <v>-10312.5</v>
          </cell>
          <cell r="X39063" t="str">
            <v>Variation UPR - gross</v>
          </cell>
          <cell r="Y39063" t="str">
            <v>ROMANIA</v>
          </cell>
        </row>
        <row r="39064">
          <cell r="L39064" t="str">
            <v>Non-proportional</v>
          </cell>
          <cell r="S39064">
            <v>-6751.6</v>
          </cell>
          <cell r="X39064" t="str">
            <v>Variation UPR - gross</v>
          </cell>
          <cell r="Y39064" t="str">
            <v>NEW ZEALAND</v>
          </cell>
        </row>
        <row r="39065">
          <cell r="L39065" t="str">
            <v>Proportional</v>
          </cell>
          <cell r="S39065">
            <v>208.65</v>
          </cell>
          <cell r="X39065" t="str">
            <v>Variation UPR - gross</v>
          </cell>
          <cell r="Y39065" t="str">
            <v>INDIA</v>
          </cell>
        </row>
        <row r="39066">
          <cell r="L39066" t="str">
            <v>Non-proportional</v>
          </cell>
          <cell r="S39066">
            <v>255.74</v>
          </cell>
          <cell r="X39066" t="str">
            <v>Variation UPR - gross</v>
          </cell>
          <cell r="Y39066" t="str">
            <v>CHILE</v>
          </cell>
        </row>
        <row r="39067">
          <cell r="L39067" t="str">
            <v>Non-proportional</v>
          </cell>
          <cell r="S39067">
            <v>56.77</v>
          </cell>
          <cell r="X39067" t="str">
            <v>Variation UPR - gross</v>
          </cell>
          <cell r="Y39067" t="str">
            <v>JAPAN</v>
          </cell>
        </row>
        <row r="39068">
          <cell r="L39068" t="str">
            <v>Non-proportional</v>
          </cell>
          <cell r="S39068">
            <v>-2472.04</v>
          </cell>
          <cell r="X39068" t="str">
            <v>Variation UPR - gross</v>
          </cell>
          <cell r="Y39068" t="str">
            <v>ISRAEL</v>
          </cell>
        </row>
        <row r="39069">
          <cell r="L39069" t="str">
            <v>Proportional</v>
          </cell>
          <cell r="S39069">
            <v>-110917.08</v>
          </cell>
          <cell r="X39069" t="str">
            <v>Variation UPR - gross</v>
          </cell>
          <cell r="Y39069" t="str">
            <v>UNITED STATES</v>
          </cell>
        </row>
        <row r="39070">
          <cell r="L39070" t="str">
            <v>Non-proportional</v>
          </cell>
          <cell r="S39070">
            <v>-4095</v>
          </cell>
          <cell r="X39070" t="str">
            <v>Variation UPR - gross</v>
          </cell>
          <cell r="Y39070" t="str">
            <v>FRANCE</v>
          </cell>
        </row>
        <row r="39071">
          <cell r="L39071" t="str">
            <v>Non-proportional</v>
          </cell>
          <cell r="S39071">
            <v>39972.1</v>
          </cell>
          <cell r="X39071" t="str">
            <v>Variation UPR - gross</v>
          </cell>
          <cell r="Y39071" t="str">
            <v>CHINA</v>
          </cell>
        </row>
        <row r="39072">
          <cell r="L39072" t="str">
            <v>Non-proportional</v>
          </cell>
          <cell r="S39072">
            <v>-1847.94</v>
          </cell>
          <cell r="X39072" t="str">
            <v>Variation UPR - gross</v>
          </cell>
          <cell r="Y39072" t="str">
            <v>NEW ZEALAND</v>
          </cell>
        </row>
        <row r="39073">
          <cell r="L39073" t="str">
            <v>Non-proportional</v>
          </cell>
          <cell r="S39073">
            <v>-9616.74</v>
          </cell>
          <cell r="X39073" t="str">
            <v>Variation UPR - gross</v>
          </cell>
          <cell r="Y39073" t="str">
            <v>TURKEY</v>
          </cell>
        </row>
        <row r="39074">
          <cell r="L39074" t="str">
            <v>Non-proportional</v>
          </cell>
          <cell r="S39074">
            <v>0.03</v>
          </cell>
          <cell r="X39074" t="str">
            <v>Variation UPR - gross</v>
          </cell>
          <cell r="Y39074" t="str">
            <v>COLOMBIA</v>
          </cell>
        </row>
        <row r="39075">
          <cell r="L39075" t="str">
            <v>Non-proportional</v>
          </cell>
          <cell r="S39075">
            <v>-657.6</v>
          </cell>
          <cell r="X39075" t="str">
            <v>Variation UPR - gross</v>
          </cell>
          <cell r="Y39075" t="str">
            <v>CHILE</v>
          </cell>
        </row>
        <row r="39076">
          <cell r="L39076" t="str">
            <v>Non-proportional</v>
          </cell>
          <cell r="S39076">
            <v>-298900.92</v>
          </cell>
          <cell r="X39076" t="str">
            <v>Variation UPR - gross</v>
          </cell>
          <cell r="Y39076" t="str">
            <v>UNITED KINGDOM</v>
          </cell>
        </row>
        <row r="39077">
          <cell r="L39077" t="str">
            <v>Non-proportional</v>
          </cell>
          <cell r="S39077">
            <v>-23805.65</v>
          </cell>
          <cell r="X39077" t="str">
            <v>Variation UPR - gross</v>
          </cell>
          <cell r="Y39077" t="str">
            <v>NEW ZEALAND</v>
          </cell>
        </row>
        <row r="39078">
          <cell r="L39078" t="str">
            <v>Proportional</v>
          </cell>
          <cell r="S39078">
            <v>-35819.879999999997</v>
          </cell>
          <cell r="X39078" t="str">
            <v>Variation UPR - gross</v>
          </cell>
          <cell r="Y39078" t="str">
            <v>PORTUGAL</v>
          </cell>
        </row>
        <row r="39079">
          <cell r="L39079" t="str">
            <v>Non-proportional</v>
          </cell>
          <cell r="S39079">
            <v>-10898.51</v>
          </cell>
          <cell r="X39079" t="str">
            <v>Variation UPR - gross</v>
          </cell>
          <cell r="Y39079" t="str">
            <v>AUSTRALIA</v>
          </cell>
        </row>
        <row r="39080">
          <cell r="L39080" t="str">
            <v>Non-proportional</v>
          </cell>
          <cell r="S39080">
            <v>73.959999999999994</v>
          </cell>
          <cell r="X39080" t="str">
            <v>Variation UPR - gross</v>
          </cell>
          <cell r="Y39080" t="str">
            <v>NEW ZEALAND</v>
          </cell>
        </row>
        <row r="39081">
          <cell r="L39081" t="str">
            <v>Non-proportional</v>
          </cell>
          <cell r="S39081">
            <v>-8506.23</v>
          </cell>
          <cell r="X39081" t="str">
            <v>Variation UPR - gross</v>
          </cell>
          <cell r="Y39081" t="str">
            <v>AUSTRALIA</v>
          </cell>
        </row>
        <row r="39082">
          <cell r="L39082" t="str">
            <v>Non-proportional</v>
          </cell>
          <cell r="S39082">
            <v>1.1299999999999999</v>
          </cell>
          <cell r="X39082" t="str">
            <v>Variation UPR - gross</v>
          </cell>
          <cell r="Y39082" t="str">
            <v>GUATEMALA</v>
          </cell>
        </row>
        <row r="39083">
          <cell r="L39083" t="str">
            <v>Non-proportional</v>
          </cell>
          <cell r="S39083">
            <v>-4013.34</v>
          </cell>
          <cell r="X39083" t="str">
            <v>Variation UPR - gross</v>
          </cell>
          <cell r="Y39083" t="str">
            <v>COLOMBIA</v>
          </cell>
        </row>
        <row r="39084">
          <cell r="L39084" t="str">
            <v>Non-proportional</v>
          </cell>
          <cell r="S39084">
            <v>-5001.13</v>
          </cell>
          <cell r="X39084" t="str">
            <v>Variation UPR - gross</v>
          </cell>
          <cell r="Y39084" t="str">
            <v>ITALY</v>
          </cell>
        </row>
        <row r="39085">
          <cell r="L39085" t="str">
            <v>Non-proportional</v>
          </cell>
          <cell r="S39085">
            <v>-7503</v>
          </cell>
          <cell r="X39085" t="str">
            <v>Variation UPR - gross</v>
          </cell>
          <cell r="Y39085" t="str">
            <v>CYPRUS</v>
          </cell>
        </row>
        <row r="39086">
          <cell r="L39086" t="str">
            <v>Non-proportional</v>
          </cell>
          <cell r="S39086">
            <v>-17715.66</v>
          </cell>
          <cell r="X39086" t="str">
            <v>Variation UPR - gross</v>
          </cell>
          <cell r="Y39086" t="str">
            <v>UNITED KINGDOM</v>
          </cell>
        </row>
        <row r="39087">
          <cell r="L39087" t="str">
            <v>Non-proportional</v>
          </cell>
          <cell r="S39087">
            <v>61985</v>
          </cell>
          <cell r="X39087" t="str">
            <v>Variation UPR - gross</v>
          </cell>
          <cell r="Y39087" t="str">
            <v>GERMANY</v>
          </cell>
        </row>
        <row r="39088">
          <cell r="L39088" t="str">
            <v>Proportional</v>
          </cell>
          <cell r="S39088">
            <v>-543.4</v>
          </cell>
          <cell r="X39088" t="str">
            <v>Variation UPR - gross</v>
          </cell>
          <cell r="Y39088" t="str">
            <v>REPUBLIC OF IRELAND</v>
          </cell>
        </row>
        <row r="39089">
          <cell r="L39089" t="str">
            <v>Non-proportional</v>
          </cell>
          <cell r="S39089">
            <v>42.59</v>
          </cell>
          <cell r="X39089" t="str">
            <v>Variation UPR - gross</v>
          </cell>
          <cell r="Y39089" t="str">
            <v>JAPAN</v>
          </cell>
        </row>
        <row r="39090">
          <cell r="L39090" t="str">
            <v>Non-proportional</v>
          </cell>
          <cell r="S39090">
            <v>-563.58000000000004</v>
          </cell>
          <cell r="X39090" t="str">
            <v>Variation UPR - gross</v>
          </cell>
          <cell r="Y39090" t="str">
            <v>BRAZIL</v>
          </cell>
        </row>
        <row r="39091">
          <cell r="L39091" t="str">
            <v>Non-proportional</v>
          </cell>
          <cell r="S39091">
            <v>-5685.82</v>
          </cell>
          <cell r="X39091" t="str">
            <v>Variation UPR - gross</v>
          </cell>
          <cell r="Y39091" t="str">
            <v>SINGAPORE</v>
          </cell>
        </row>
        <row r="39092">
          <cell r="L39092" t="str">
            <v>Non-proportional</v>
          </cell>
          <cell r="S39092">
            <v>-792.78</v>
          </cell>
          <cell r="X39092" t="str">
            <v>Variation UPR - gross</v>
          </cell>
          <cell r="Y39092" t="str">
            <v>INDIA</v>
          </cell>
        </row>
        <row r="39093">
          <cell r="L39093" t="str">
            <v>Non-proportional</v>
          </cell>
          <cell r="S39093">
            <v>-1749.72</v>
          </cell>
          <cell r="X39093" t="str">
            <v>Variation UPR - gross</v>
          </cell>
          <cell r="Y39093" t="str">
            <v>NETHERLANDS</v>
          </cell>
        </row>
        <row r="39094">
          <cell r="L39094" t="str">
            <v>Non-proportional</v>
          </cell>
          <cell r="S39094">
            <v>-4509.75</v>
          </cell>
          <cell r="X39094" t="str">
            <v>Variation UPR - gross</v>
          </cell>
          <cell r="Y39094" t="str">
            <v>FRANCE</v>
          </cell>
        </row>
        <row r="39095">
          <cell r="L39095" t="str">
            <v>Non-proportional</v>
          </cell>
          <cell r="S39095">
            <v>-3214.96</v>
          </cell>
          <cell r="X39095" t="str">
            <v>Variation UPR - gross</v>
          </cell>
          <cell r="Y39095" t="str">
            <v>CHILE</v>
          </cell>
        </row>
        <row r="39096">
          <cell r="L39096" t="str">
            <v>Non-proportional</v>
          </cell>
          <cell r="S39096">
            <v>197.01</v>
          </cell>
          <cell r="X39096" t="str">
            <v>Variation UPR - gross</v>
          </cell>
          <cell r="Y39096" t="str">
            <v>JAPAN</v>
          </cell>
        </row>
        <row r="39097">
          <cell r="L39097" t="str">
            <v>Non-proportional</v>
          </cell>
          <cell r="S39097">
            <v>-855.96</v>
          </cell>
          <cell r="X39097" t="str">
            <v>Variation UPR - gross</v>
          </cell>
          <cell r="Y39097" t="str">
            <v>FRANCE</v>
          </cell>
        </row>
        <row r="39098">
          <cell r="L39098" t="str">
            <v>Non-proportional</v>
          </cell>
          <cell r="S39098">
            <v>272.58999999999997</v>
          </cell>
          <cell r="X39098" t="str">
            <v>Variation UPR - gross</v>
          </cell>
          <cell r="Y39098" t="str">
            <v>JAPAN</v>
          </cell>
        </row>
        <row r="39099">
          <cell r="L39099" t="str">
            <v>Non-proportional</v>
          </cell>
          <cell r="S39099">
            <v>2.3199999999999998</v>
          </cell>
          <cell r="X39099" t="str">
            <v>Variation UPR - gross</v>
          </cell>
          <cell r="Y39099" t="str">
            <v>GUATEMALA</v>
          </cell>
        </row>
        <row r="39100">
          <cell r="L39100" t="str">
            <v>Non-proportional</v>
          </cell>
          <cell r="S39100">
            <v>1.67</v>
          </cell>
          <cell r="X39100" t="str">
            <v>Variation UPR - gross</v>
          </cell>
          <cell r="Y39100" t="str">
            <v>GUATEMALA</v>
          </cell>
        </row>
        <row r="39101">
          <cell r="L39101" t="str">
            <v>Non-proportional</v>
          </cell>
          <cell r="S39101">
            <v>-2495.2199999999998</v>
          </cell>
          <cell r="X39101" t="str">
            <v>Variation UPR - gross</v>
          </cell>
          <cell r="Y39101" t="str">
            <v>ITALY</v>
          </cell>
        </row>
        <row r="39102">
          <cell r="L39102" t="str">
            <v>Non-proportional</v>
          </cell>
          <cell r="S39102">
            <v>-7771.63</v>
          </cell>
          <cell r="X39102" t="str">
            <v>Variation UPR - gross</v>
          </cell>
          <cell r="Y39102" t="str">
            <v>UNITED KINGDOM</v>
          </cell>
        </row>
        <row r="39103">
          <cell r="L39103" t="str">
            <v>Non-proportional</v>
          </cell>
          <cell r="S39103">
            <v>-2442.4499999999998</v>
          </cell>
          <cell r="X39103" t="str">
            <v>Variation UPR - gross</v>
          </cell>
          <cell r="Y39103" t="str">
            <v>CYPRUS</v>
          </cell>
        </row>
        <row r="39104">
          <cell r="L39104" t="str">
            <v>Non-proportional</v>
          </cell>
          <cell r="S39104">
            <v>-1090.1300000000001</v>
          </cell>
          <cell r="X39104" t="str">
            <v>Variation UPR - gross</v>
          </cell>
          <cell r="Y39104" t="str">
            <v>ISRAEL</v>
          </cell>
        </row>
        <row r="39105">
          <cell r="L39105" t="str">
            <v>Non-proportional</v>
          </cell>
          <cell r="S39105">
            <v>-46091.16</v>
          </cell>
          <cell r="X39105" t="str">
            <v>Variation UPR - gross</v>
          </cell>
          <cell r="Y39105" t="str">
            <v>UNITED KINGDOM</v>
          </cell>
        </row>
        <row r="39106">
          <cell r="L39106" t="str">
            <v>Non-proportional</v>
          </cell>
          <cell r="S39106">
            <v>-73.069999999999993</v>
          </cell>
          <cell r="X39106" t="str">
            <v>Variation UPR - gross</v>
          </cell>
          <cell r="Y39106" t="str">
            <v>CHILE</v>
          </cell>
        </row>
        <row r="39107">
          <cell r="L39107" t="str">
            <v>Non-proportional</v>
          </cell>
          <cell r="S39107">
            <v>-5918.43</v>
          </cell>
          <cell r="X39107" t="str">
            <v>Variation UPR - gross</v>
          </cell>
          <cell r="Y39107" t="str">
            <v>EUROPE</v>
          </cell>
        </row>
        <row r="39108">
          <cell r="L39108" t="str">
            <v>Non-proportional</v>
          </cell>
          <cell r="S39108">
            <v>-46316.72</v>
          </cell>
          <cell r="X39108" t="str">
            <v>Variation UPR - gross</v>
          </cell>
          <cell r="Y39108" t="str">
            <v>UNITED KINGDOM</v>
          </cell>
        </row>
        <row r="39109">
          <cell r="L39109" t="str">
            <v>Non-proportional</v>
          </cell>
          <cell r="S39109">
            <v>-198.21</v>
          </cell>
          <cell r="X39109" t="str">
            <v>Variation UPR - gross</v>
          </cell>
          <cell r="Y39109" t="str">
            <v>TURKEY</v>
          </cell>
        </row>
        <row r="39110">
          <cell r="L39110" t="str">
            <v>Non-proportional</v>
          </cell>
          <cell r="S39110">
            <v>-450.92</v>
          </cell>
          <cell r="X39110" t="str">
            <v>Variation UPR - gross</v>
          </cell>
          <cell r="Y39110" t="str">
            <v>NEW ZEALAND</v>
          </cell>
        </row>
        <row r="39111">
          <cell r="L39111" t="str">
            <v>Proportional</v>
          </cell>
          <cell r="S39111">
            <v>-1885.49</v>
          </cell>
          <cell r="X39111" t="str">
            <v>Variation UPR - gross</v>
          </cell>
          <cell r="Y39111" t="str">
            <v>ITALY</v>
          </cell>
        </row>
        <row r="39112">
          <cell r="L39112" t="str">
            <v>Non-proportional</v>
          </cell>
          <cell r="S39112">
            <v>-24773.360000000001</v>
          </cell>
          <cell r="X39112" t="str">
            <v>Variation UPR - gross</v>
          </cell>
          <cell r="Y39112" t="str">
            <v>NEW ZEALAND</v>
          </cell>
        </row>
        <row r="39113">
          <cell r="L39113" t="str">
            <v>Non-proportional</v>
          </cell>
          <cell r="S39113">
            <v>-178487.38</v>
          </cell>
          <cell r="X39113" t="str">
            <v>Variation UPR - gross</v>
          </cell>
          <cell r="Y39113" t="str">
            <v>PORTUGAL</v>
          </cell>
        </row>
        <row r="39114">
          <cell r="L39114" t="str">
            <v>Non-proportional</v>
          </cell>
          <cell r="S39114">
            <v>-9500.14</v>
          </cell>
          <cell r="X39114" t="str">
            <v>Variation UPR - gross</v>
          </cell>
          <cell r="Y39114" t="str">
            <v>TURKEY</v>
          </cell>
        </row>
        <row r="39115">
          <cell r="L39115" t="str">
            <v>Non-proportional</v>
          </cell>
          <cell r="S39115">
            <v>-14081.84</v>
          </cell>
          <cell r="X39115" t="str">
            <v>Variation UPR - gross</v>
          </cell>
          <cell r="Y39115" t="str">
            <v>ECUADOR</v>
          </cell>
        </row>
        <row r="39116">
          <cell r="L39116" t="str">
            <v>Non-proportional</v>
          </cell>
          <cell r="S39116">
            <v>-3814.84</v>
          </cell>
          <cell r="X39116" t="str">
            <v>Variation UPR - gross</v>
          </cell>
          <cell r="Y39116" t="str">
            <v>SINGAPORE</v>
          </cell>
        </row>
        <row r="39117">
          <cell r="L39117" t="str">
            <v>Non-proportional</v>
          </cell>
          <cell r="S39117">
            <v>-880.38</v>
          </cell>
          <cell r="X39117" t="str">
            <v>Variation UPR - gross</v>
          </cell>
          <cell r="Y39117" t="str">
            <v>COSTA RICA</v>
          </cell>
        </row>
        <row r="39118">
          <cell r="L39118" t="str">
            <v>Non-proportional</v>
          </cell>
          <cell r="S39118">
            <v>0.02</v>
          </cell>
          <cell r="X39118" t="str">
            <v>Variation UPR - gross</v>
          </cell>
          <cell r="Y39118" t="str">
            <v>DOMINICAN REPUBLIC</v>
          </cell>
        </row>
        <row r="39119">
          <cell r="L39119" t="str">
            <v>Non-proportional</v>
          </cell>
          <cell r="S39119">
            <v>-257151.91</v>
          </cell>
          <cell r="X39119" t="str">
            <v>Variation UPR - gross</v>
          </cell>
          <cell r="Y39119" t="str">
            <v>UNITED KINGDOM</v>
          </cell>
        </row>
        <row r="39120">
          <cell r="L39120" t="str">
            <v>Non-proportional</v>
          </cell>
          <cell r="S39120">
            <v>-6.72</v>
          </cell>
          <cell r="X39120" t="str">
            <v>Variation UPR - gross</v>
          </cell>
          <cell r="Y39120" t="str">
            <v>COSTA RICA</v>
          </cell>
        </row>
        <row r="39121">
          <cell r="L39121" t="str">
            <v>Non-proportional</v>
          </cell>
          <cell r="S39121">
            <v>161005.10999999999</v>
          </cell>
          <cell r="X39121" t="str">
            <v>Variation UPR - gross</v>
          </cell>
          <cell r="Y39121" t="str">
            <v>PUERTO RICO</v>
          </cell>
        </row>
        <row r="39122">
          <cell r="L39122" t="str">
            <v>Non-proportional</v>
          </cell>
          <cell r="S39122">
            <v>-1369.99</v>
          </cell>
          <cell r="X39122" t="str">
            <v>Variation UPR - gross</v>
          </cell>
          <cell r="Y39122" t="str">
            <v>JAPAN</v>
          </cell>
        </row>
        <row r="39123">
          <cell r="L39123" t="str">
            <v>Proportional</v>
          </cell>
          <cell r="S39123">
            <v>-750000</v>
          </cell>
          <cell r="X39123" t="str">
            <v>Variation UPR - gross</v>
          </cell>
          <cell r="Y39123" t="str">
            <v>PORTUGAL</v>
          </cell>
        </row>
        <row r="39124">
          <cell r="L39124" t="str">
            <v>Non-proportional</v>
          </cell>
          <cell r="S39124">
            <v>-109079.23</v>
          </cell>
          <cell r="X39124" t="str">
            <v>Variation UPR - gross</v>
          </cell>
          <cell r="Y39124" t="str">
            <v>UNITED KINGDOM</v>
          </cell>
        </row>
        <row r="39125">
          <cell r="L39125" t="str">
            <v>Non-proportional</v>
          </cell>
          <cell r="S39125">
            <v>73.069999999999993</v>
          </cell>
          <cell r="X39125" t="str">
            <v>Variation UPR - gross</v>
          </cell>
          <cell r="Y39125" t="str">
            <v>CHILE</v>
          </cell>
        </row>
        <row r="39126">
          <cell r="L39126" t="str">
            <v>Non-proportional</v>
          </cell>
          <cell r="S39126">
            <v>-15042.95</v>
          </cell>
          <cell r="X39126" t="str">
            <v>Variation UPR - gross</v>
          </cell>
          <cell r="Y39126" t="str">
            <v>FRANCE</v>
          </cell>
        </row>
        <row r="39127">
          <cell r="L39127" t="str">
            <v>Proportional</v>
          </cell>
          <cell r="S39127">
            <v>-2591.11</v>
          </cell>
          <cell r="X39127" t="str">
            <v>Variation UPR - gross</v>
          </cell>
          <cell r="Y39127" t="str">
            <v>THAILAND</v>
          </cell>
        </row>
        <row r="39128">
          <cell r="L39128" t="str">
            <v>Non-proportional</v>
          </cell>
          <cell r="S39128">
            <v>0.03</v>
          </cell>
          <cell r="X39128" t="str">
            <v>Variation UPR - gross</v>
          </cell>
          <cell r="Y39128" t="str">
            <v>DOMINICAN REPUBLIC</v>
          </cell>
        </row>
        <row r="39129">
          <cell r="L39129" t="str">
            <v>Non-proportional</v>
          </cell>
          <cell r="S39129">
            <v>429.38</v>
          </cell>
          <cell r="X39129" t="str">
            <v>Variation UPR - gross</v>
          </cell>
          <cell r="Y39129" t="str">
            <v>NEW ZEALAND</v>
          </cell>
        </row>
        <row r="39130">
          <cell r="L39130" t="str">
            <v>Non-proportional</v>
          </cell>
          <cell r="S39130">
            <v>-829.68</v>
          </cell>
          <cell r="X39130" t="str">
            <v>Variation UPR - gross</v>
          </cell>
          <cell r="Y39130" t="str">
            <v>PERU</v>
          </cell>
        </row>
        <row r="39131">
          <cell r="L39131" t="str">
            <v>Non-proportional</v>
          </cell>
          <cell r="S39131">
            <v>-14483.94</v>
          </cell>
          <cell r="X39131" t="str">
            <v>Variation UPR - gross</v>
          </cell>
          <cell r="Y39131" t="str">
            <v>FRANCE</v>
          </cell>
        </row>
        <row r="39132">
          <cell r="L39132" t="str">
            <v>Non-proportional</v>
          </cell>
          <cell r="S39132">
            <v>-2222.9</v>
          </cell>
          <cell r="X39132" t="str">
            <v>Variation UPR - gross</v>
          </cell>
          <cell r="Y39132" t="str">
            <v>UNITED KINGDOM</v>
          </cell>
        </row>
        <row r="39133">
          <cell r="L39133" t="str">
            <v>Non-proportional</v>
          </cell>
          <cell r="S39133">
            <v>-3906.16</v>
          </cell>
          <cell r="X39133" t="str">
            <v>Variation UPR - gross</v>
          </cell>
          <cell r="Y39133" t="str">
            <v>EUROPE</v>
          </cell>
        </row>
        <row r="39134">
          <cell r="L39134" t="str">
            <v>Non-proportional</v>
          </cell>
          <cell r="S39134">
            <v>-6970.93</v>
          </cell>
          <cell r="X39134" t="str">
            <v>Variation UPR - gross</v>
          </cell>
          <cell r="Y39134" t="str">
            <v>JAPAN</v>
          </cell>
        </row>
        <row r="39135">
          <cell r="L39135" t="str">
            <v>Proportional</v>
          </cell>
          <cell r="S39135">
            <v>-621.37</v>
          </cell>
          <cell r="X39135" t="str">
            <v>Variation UPR - gross</v>
          </cell>
          <cell r="Y39135" t="str">
            <v>THAILAND</v>
          </cell>
        </row>
        <row r="39136">
          <cell r="L39136" t="str">
            <v>Non-proportional</v>
          </cell>
          <cell r="S39136">
            <v>-4.28</v>
          </cell>
          <cell r="X39136" t="str">
            <v>Variation UPR - gross</v>
          </cell>
          <cell r="Y39136" t="str">
            <v>COSTA RICA</v>
          </cell>
        </row>
        <row r="39137">
          <cell r="L39137" t="str">
            <v>Non-proportional</v>
          </cell>
          <cell r="S39137">
            <v>-8864.75</v>
          </cell>
          <cell r="X39137" t="str">
            <v>Variation UPR - gross</v>
          </cell>
          <cell r="Y39137" t="str">
            <v>DOMINICAN REPUBLIC</v>
          </cell>
        </row>
        <row r="39138">
          <cell r="L39138" t="str">
            <v>Non-proportional</v>
          </cell>
          <cell r="S39138">
            <v>-728.75</v>
          </cell>
          <cell r="X39138" t="str">
            <v>Variation UPR - gross</v>
          </cell>
          <cell r="Y39138" t="str">
            <v>ITALY</v>
          </cell>
        </row>
        <row r="39139">
          <cell r="L39139" t="str">
            <v>Non-proportional</v>
          </cell>
          <cell r="S39139">
            <v>-36.53</v>
          </cell>
          <cell r="X39139" t="str">
            <v>Variation UPR - gross</v>
          </cell>
          <cell r="Y39139" t="str">
            <v>CHILE</v>
          </cell>
        </row>
        <row r="39140">
          <cell r="L39140" t="str">
            <v>Non-proportional</v>
          </cell>
          <cell r="S39140">
            <v>996.65</v>
          </cell>
          <cell r="X39140" t="str">
            <v>Variation UPR - gross</v>
          </cell>
          <cell r="Y39140" t="str">
            <v>JAPAN</v>
          </cell>
        </row>
        <row r="39141">
          <cell r="L39141" t="str">
            <v>Non-proportional</v>
          </cell>
          <cell r="S39141">
            <v>-1309.75</v>
          </cell>
          <cell r="X39141" t="str">
            <v>Variation UPR - gross</v>
          </cell>
          <cell r="Y39141" t="str">
            <v>DOMINICAN REPUBLIC</v>
          </cell>
        </row>
        <row r="39142">
          <cell r="L39142" t="str">
            <v>Non-proportional</v>
          </cell>
          <cell r="S39142">
            <v>-4827.45</v>
          </cell>
          <cell r="X39142" t="str">
            <v>Variation UPR - gross</v>
          </cell>
          <cell r="Y39142" t="str">
            <v>SPAIN</v>
          </cell>
        </row>
        <row r="39143">
          <cell r="L39143" t="str">
            <v>Non-proportional</v>
          </cell>
          <cell r="S39143">
            <v>-7342.39</v>
          </cell>
          <cell r="X39143" t="str">
            <v>Variation UPR - gross</v>
          </cell>
          <cell r="Y39143" t="str">
            <v>FRANCE</v>
          </cell>
        </row>
        <row r="39144">
          <cell r="L39144" t="str">
            <v>Non-proportional</v>
          </cell>
          <cell r="S39144">
            <v>-4233.33</v>
          </cell>
          <cell r="X39144" t="str">
            <v>Variation UPR - gross</v>
          </cell>
          <cell r="Y39144" t="str">
            <v>FRANCE</v>
          </cell>
        </row>
        <row r="39145">
          <cell r="L39145" t="str">
            <v>Non-proportional</v>
          </cell>
          <cell r="S39145">
            <v>-5217.3</v>
          </cell>
          <cell r="X39145" t="str">
            <v>Variation UPR - gross</v>
          </cell>
          <cell r="Y39145" t="str">
            <v>UNITED KINGDOM</v>
          </cell>
        </row>
        <row r="39146">
          <cell r="L39146" t="str">
            <v>Non-proportional</v>
          </cell>
          <cell r="S39146">
            <v>-746.9</v>
          </cell>
          <cell r="X39146" t="str">
            <v>Variation UPR - gross</v>
          </cell>
          <cell r="Y39146" t="str">
            <v>JAPAN</v>
          </cell>
        </row>
        <row r="39147">
          <cell r="L39147" t="str">
            <v>Non-proportional</v>
          </cell>
          <cell r="S39147">
            <v>-6718.14</v>
          </cell>
          <cell r="X39147" t="str">
            <v>Variation UPR - gross</v>
          </cell>
          <cell r="Y39147" t="str">
            <v>JAPAN</v>
          </cell>
        </row>
        <row r="39148">
          <cell r="L39148" t="str">
            <v>Non-proportional</v>
          </cell>
          <cell r="S39148">
            <v>-39474.15</v>
          </cell>
          <cell r="X39148" t="str">
            <v>Variation UPR - gross</v>
          </cell>
          <cell r="Y39148" t="str">
            <v>UNITED STATES</v>
          </cell>
        </row>
        <row r="39149">
          <cell r="L39149" t="str">
            <v>Non-proportional</v>
          </cell>
          <cell r="S39149">
            <v>-4.72</v>
          </cell>
          <cell r="X39149" t="str">
            <v>Variation UPR - gross</v>
          </cell>
          <cell r="Y39149" t="str">
            <v>COSTA RICA</v>
          </cell>
        </row>
        <row r="39150">
          <cell r="L39150" t="str">
            <v>Non-proportional</v>
          </cell>
          <cell r="S39150">
            <v>-1650.72</v>
          </cell>
          <cell r="X39150" t="str">
            <v>Variation UPR - gross</v>
          </cell>
          <cell r="Y39150" t="str">
            <v>COSTA RICA</v>
          </cell>
        </row>
        <row r="39151">
          <cell r="L39151" t="str">
            <v>Non-proportional</v>
          </cell>
          <cell r="S39151">
            <v>0.02</v>
          </cell>
          <cell r="X39151" t="str">
            <v>Variation UPR - gross</v>
          </cell>
          <cell r="Y39151" t="str">
            <v>DOMINICAN REPUBLIC</v>
          </cell>
        </row>
        <row r="39152">
          <cell r="L39152" t="str">
            <v>Non-proportional</v>
          </cell>
          <cell r="S39152">
            <v>73.959999999999994</v>
          </cell>
          <cell r="X39152" t="str">
            <v>Variation UPR - gross</v>
          </cell>
          <cell r="Y39152" t="str">
            <v>NEW ZEALAND</v>
          </cell>
        </row>
        <row r="39153">
          <cell r="L39153" t="str">
            <v>Non-proportional</v>
          </cell>
          <cell r="S39153">
            <v>-21686.880000000001</v>
          </cell>
          <cell r="X39153" t="str">
            <v>Variation UPR - gross</v>
          </cell>
          <cell r="Y39153" t="str">
            <v>UNITED KINGDOM</v>
          </cell>
        </row>
        <row r="39154">
          <cell r="L39154" t="str">
            <v>Non-proportional</v>
          </cell>
          <cell r="S39154">
            <v>-8184.62</v>
          </cell>
          <cell r="X39154" t="str">
            <v>Variation UPR - gross</v>
          </cell>
          <cell r="Y39154" t="str">
            <v>MEXICO</v>
          </cell>
        </row>
        <row r="39155">
          <cell r="L39155" t="str">
            <v>Non-proportional</v>
          </cell>
          <cell r="S39155">
            <v>-291.82</v>
          </cell>
          <cell r="X39155" t="str">
            <v>Variation UPR - gross</v>
          </cell>
          <cell r="Y39155" t="str">
            <v>MEXICO</v>
          </cell>
        </row>
        <row r="39156">
          <cell r="L39156" t="str">
            <v>Non-proportional</v>
          </cell>
          <cell r="S39156">
            <v>-1851.89</v>
          </cell>
          <cell r="X39156" t="str">
            <v>Variation UPR - gross</v>
          </cell>
          <cell r="Y39156" t="str">
            <v>PERU</v>
          </cell>
        </row>
        <row r="39157">
          <cell r="L39157" t="str">
            <v>Proportional</v>
          </cell>
          <cell r="S39157">
            <v>-5468.21</v>
          </cell>
          <cell r="X39157" t="str">
            <v>Variation UPR - gross</v>
          </cell>
          <cell r="Y39157" t="str">
            <v>THAILAND</v>
          </cell>
        </row>
        <row r="39158">
          <cell r="L39158" t="str">
            <v>Non-proportional</v>
          </cell>
          <cell r="S39158">
            <v>-4891.05</v>
          </cell>
          <cell r="X39158" t="str">
            <v>Variation UPR - gross</v>
          </cell>
          <cell r="Y39158" t="str">
            <v>UNITED KINGDOM</v>
          </cell>
        </row>
        <row r="39159">
          <cell r="L39159" t="str">
            <v>Non-proportional</v>
          </cell>
          <cell r="S39159">
            <v>205800.08</v>
          </cell>
          <cell r="X39159" t="str">
            <v>Variation UPR - gross</v>
          </cell>
          <cell r="Y39159" t="str">
            <v>PUERTO RICO</v>
          </cell>
        </row>
        <row r="39160">
          <cell r="L39160" t="str">
            <v>Non-proportional</v>
          </cell>
          <cell r="S39160">
            <v>-66408.070000000007</v>
          </cell>
          <cell r="X39160" t="str">
            <v>Variation UPR - gross</v>
          </cell>
          <cell r="Y39160" t="str">
            <v>UNITED KINGDOM</v>
          </cell>
        </row>
        <row r="39161">
          <cell r="L39161" t="str">
            <v>Non-proportional</v>
          </cell>
          <cell r="S39161">
            <v>-1728.29</v>
          </cell>
          <cell r="X39161" t="str">
            <v>Variation UPR - gross</v>
          </cell>
          <cell r="Y39161" t="str">
            <v>JAPAN</v>
          </cell>
        </row>
        <row r="39162">
          <cell r="L39162" t="str">
            <v>Non-proportional</v>
          </cell>
          <cell r="S39162">
            <v>-911.87</v>
          </cell>
          <cell r="X39162" t="str">
            <v>Variation UPR - gross</v>
          </cell>
          <cell r="Y39162" t="str">
            <v>UNITED KINGDOM</v>
          </cell>
        </row>
        <row r="39163">
          <cell r="L39163" t="str">
            <v>Non-proportional</v>
          </cell>
          <cell r="S39163">
            <v>-4983.7700000000004</v>
          </cell>
          <cell r="X39163" t="str">
            <v>Variation UPR - gross</v>
          </cell>
          <cell r="Y39163" t="str">
            <v>UNITED KINGDOM</v>
          </cell>
        </row>
        <row r="39164">
          <cell r="L39164" t="str">
            <v>Non-proportional</v>
          </cell>
          <cell r="S39164">
            <v>-840.22</v>
          </cell>
          <cell r="X39164" t="str">
            <v>Variation UPR - gross</v>
          </cell>
          <cell r="Y39164" t="str">
            <v>COLOMBIA</v>
          </cell>
        </row>
        <row r="39165">
          <cell r="L39165" t="str">
            <v>Non-proportional</v>
          </cell>
          <cell r="S39165">
            <v>69.849999999999994</v>
          </cell>
          <cell r="X39165" t="str">
            <v>Variation UPR - gross</v>
          </cell>
          <cell r="Y39165" t="str">
            <v>JAPAN</v>
          </cell>
        </row>
        <row r="39166">
          <cell r="L39166" t="str">
            <v>Non-proportional</v>
          </cell>
          <cell r="S39166">
            <v>-9178.3799999999992</v>
          </cell>
          <cell r="X39166" t="str">
            <v>Variation UPR - gross</v>
          </cell>
          <cell r="Y39166" t="str">
            <v>FRANCE</v>
          </cell>
        </row>
        <row r="39167">
          <cell r="L39167" t="str">
            <v>Proportional</v>
          </cell>
          <cell r="S39167">
            <v>220.17</v>
          </cell>
          <cell r="X39167" t="str">
            <v>Variation UPR - gross</v>
          </cell>
          <cell r="Y39167" t="str">
            <v>Ireland</v>
          </cell>
        </row>
        <row r="39168">
          <cell r="L39168" t="str">
            <v>Non-proportional</v>
          </cell>
          <cell r="S39168">
            <v>219.2</v>
          </cell>
          <cell r="X39168" t="str">
            <v>Variation UPR - gross</v>
          </cell>
          <cell r="Y39168" t="str">
            <v>CHILE</v>
          </cell>
        </row>
        <row r="39169">
          <cell r="L39169" t="str">
            <v>Non-proportional</v>
          </cell>
          <cell r="S39169">
            <v>-109.6</v>
          </cell>
          <cell r="X39169" t="str">
            <v>Variation UPR - gross</v>
          </cell>
          <cell r="Y39169" t="str">
            <v>CHILE</v>
          </cell>
        </row>
        <row r="39170">
          <cell r="L39170" t="str">
            <v>Non-proportional</v>
          </cell>
          <cell r="S39170">
            <v>17795.8</v>
          </cell>
          <cell r="X39170" t="str">
            <v>Variation UPR - gross</v>
          </cell>
          <cell r="Y39170" t="str">
            <v>THAILAND</v>
          </cell>
        </row>
        <row r="39171">
          <cell r="L39171" t="str">
            <v>Proportional</v>
          </cell>
          <cell r="S39171">
            <v>1154.96</v>
          </cell>
          <cell r="X39171" t="str">
            <v>Variation UPR - gross</v>
          </cell>
          <cell r="Y39171" t="str">
            <v>THAILAND</v>
          </cell>
        </row>
        <row r="39172">
          <cell r="L39172" t="str">
            <v>Non-proportional</v>
          </cell>
          <cell r="S39172">
            <v>10.69</v>
          </cell>
          <cell r="X39172" t="str">
            <v>Variation UPR - gross</v>
          </cell>
          <cell r="Y39172" t="str">
            <v>NEW ZEALAND</v>
          </cell>
        </row>
        <row r="39173">
          <cell r="L39173" t="str">
            <v>Non-proportional</v>
          </cell>
          <cell r="S39173">
            <v>-2082.3000000000002</v>
          </cell>
          <cell r="X39173" t="str">
            <v>Variation UPR - gross</v>
          </cell>
          <cell r="Y39173" t="str">
            <v>AUSTRALIA</v>
          </cell>
        </row>
        <row r="39174">
          <cell r="L39174" t="str">
            <v>Non-proportional</v>
          </cell>
          <cell r="S39174">
            <v>-10707.08</v>
          </cell>
          <cell r="X39174" t="str">
            <v>Variation UPR - gross</v>
          </cell>
          <cell r="Y39174" t="str">
            <v>FRANCE</v>
          </cell>
        </row>
        <row r="39175">
          <cell r="L39175" t="str">
            <v>Non-proportional</v>
          </cell>
          <cell r="S39175">
            <v>-109330.38</v>
          </cell>
          <cell r="X39175" t="str">
            <v>Variation UPR - gross</v>
          </cell>
          <cell r="Y39175" t="str">
            <v>FRANCE</v>
          </cell>
        </row>
        <row r="39176">
          <cell r="L39176" t="str">
            <v>Non-proportional</v>
          </cell>
          <cell r="S39176">
            <v>-1738.81</v>
          </cell>
          <cell r="X39176" t="str">
            <v>Variation UPR - gross</v>
          </cell>
          <cell r="Y39176" t="str">
            <v>ECUADOR</v>
          </cell>
        </row>
        <row r="39177">
          <cell r="L39177" t="str">
            <v>Non-proportional</v>
          </cell>
          <cell r="S39177">
            <v>-15130.02</v>
          </cell>
          <cell r="X39177" t="str">
            <v>Variation UPR - gross</v>
          </cell>
          <cell r="Y39177" t="str">
            <v>TURKEY</v>
          </cell>
        </row>
        <row r="39178">
          <cell r="L39178" t="str">
            <v>Non-proportional</v>
          </cell>
          <cell r="S39178">
            <v>-9626.5300000000007</v>
          </cell>
          <cell r="X39178" t="str">
            <v>Variation UPR - gross</v>
          </cell>
          <cell r="Y39178" t="str">
            <v>MEXICO</v>
          </cell>
        </row>
        <row r="39179">
          <cell r="L39179" t="str">
            <v>Non-proportional</v>
          </cell>
          <cell r="S39179">
            <v>-15517.02</v>
          </cell>
          <cell r="X39179" t="str">
            <v>Variation UPR - gross</v>
          </cell>
          <cell r="Y39179" t="str">
            <v>AUSTRALIA</v>
          </cell>
        </row>
        <row r="39180">
          <cell r="L39180" t="str">
            <v>Non-proportional</v>
          </cell>
          <cell r="S39180">
            <v>-1427116.24</v>
          </cell>
          <cell r="X39180" t="str">
            <v>Variation UPR - gross</v>
          </cell>
          <cell r="Y39180" t="str">
            <v>UNITED KINGDOM</v>
          </cell>
        </row>
        <row r="39181">
          <cell r="L39181" t="str">
            <v>Non-proportional</v>
          </cell>
          <cell r="S39181">
            <v>-5274.49</v>
          </cell>
          <cell r="X39181" t="str">
            <v>Variation UPR - gross</v>
          </cell>
          <cell r="Y39181" t="str">
            <v>CYPRUS</v>
          </cell>
        </row>
        <row r="39182">
          <cell r="L39182" t="str">
            <v>Non-proportional</v>
          </cell>
          <cell r="S39182">
            <v>-12664.64</v>
          </cell>
          <cell r="X39182" t="str">
            <v>Variation UPR - gross</v>
          </cell>
          <cell r="Y39182" t="str">
            <v>FRANCE</v>
          </cell>
        </row>
        <row r="39183">
          <cell r="L39183" t="str">
            <v>Non-proportional</v>
          </cell>
          <cell r="S39183">
            <v>-3181.24</v>
          </cell>
          <cell r="X39183" t="str">
            <v>Variation UPR - gross</v>
          </cell>
          <cell r="Y39183" t="str">
            <v>PERU</v>
          </cell>
        </row>
        <row r="39184">
          <cell r="L39184" t="str">
            <v>Proportional</v>
          </cell>
          <cell r="S39184">
            <v>-33425</v>
          </cell>
          <cell r="X39184" t="str">
            <v>Variation UPR - gross</v>
          </cell>
          <cell r="Y39184" t="str">
            <v>ITALY</v>
          </cell>
        </row>
        <row r="39185">
          <cell r="L39185" t="str">
            <v>Non-proportional</v>
          </cell>
          <cell r="S39185">
            <v>-6957.83</v>
          </cell>
          <cell r="X39185" t="str">
            <v>Variation UPR - gross</v>
          </cell>
          <cell r="Y39185" t="str">
            <v>ITALY</v>
          </cell>
        </row>
        <row r="39186">
          <cell r="L39186" t="str">
            <v>Non-proportional</v>
          </cell>
          <cell r="S39186">
            <v>-11.3</v>
          </cell>
          <cell r="X39186" t="str">
            <v>Variation UPR - gross</v>
          </cell>
          <cell r="Y39186" t="str">
            <v>ISRAEL</v>
          </cell>
        </row>
        <row r="39187">
          <cell r="L39187" t="str">
            <v>Non-proportional</v>
          </cell>
          <cell r="S39187">
            <v>-568.04</v>
          </cell>
          <cell r="X39187" t="str">
            <v>Variation UPR - gross</v>
          </cell>
          <cell r="Y39187" t="str">
            <v>BRAZIL</v>
          </cell>
        </row>
        <row r="39188">
          <cell r="L39188" t="str">
            <v>Non-proportional</v>
          </cell>
          <cell r="S39188">
            <v>0.01</v>
          </cell>
          <cell r="X39188" t="str">
            <v>Variation UPR - gross</v>
          </cell>
          <cell r="Y39188" t="str">
            <v>DOMINICAN REPUBLIC</v>
          </cell>
        </row>
        <row r="39189">
          <cell r="L39189" t="str">
            <v>Non-proportional</v>
          </cell>
          <cell r="S39189">
            <v>-2469.62</v>
          </cell>
          <cell r="X39189" t="str">
            <v>Variation UPR - gross</v>
          </cell>
          <cell r="Y39189" t="str">
            <v>FRANCE</v>
          </cell>
        </row>
        <row r="39190">
          <cell r="L39190" t="str">
            <v>Non-proportional</v>
          </cell>
          <cell r="S39190">
            <v>-11317.07</v>
          </cell>
          <cell r="X39190" t="str">
            <v>Variation UPR - gross</v>
          </cell>
          <cell r="Y39190" t="str">
            <v>AUSTRALIA</v>
          </cell>
        </row>
        <row r="39191">
          <cell r="L39191" t="str">
            <v>Non-proportional</v>
          </cell>
          <cell r="S39191">
            <v>-6331.69</v>
          </cell>
          <cell r="X39191" t="str">
            <v>Variation UPR - gross</v>
          </cell>
          <cell r="Y39191" t="str">
            <v>DOMINICAN REPUBLIC</v>
          </cell>
        </row>
        <row r="39192">
          <cell r="L39192" t="str">
            <v>Non-proportional</v>
          </cell>
          <cell r="S39192">
            <v>-12011.95</v>
          </cell>
          <cell r="X39192" t="str">
            <v>Variation UPR - gross</v>
          </cell>
          <cell r="Y39192" t="str">
            <v>FRANCE</v>
          </cell>
        </row>
        <row r="39193">
          <cell r="L39193" t="str">
            <v>Proportional</v>
          </cell>
          <cell r="S39193">
            <v>-66.11</v>
          </cell>
          <cell r="X39193" t="str">
            <v>Variation UPR - gross</v>
          </cell>
          <cell r="Y39193" t="str">
            <v>UNITED STATES</v>
          </cell>
        </row>
        <row r="39194">
          <cell r="L39194" t="str">
            <v>Non-proportional</v>
          </cell>
          <cell r="S39194">
            <v>-63.02</v>
          </cell>
          <cell r="X39194" t="str">
            <v>Variation UPR - gross</v>
          </cell>
          <cell r="Y39194" t="str">
            <v>ISRAEL</v>
          </cell>
        </row>
        <row r="39195">
          <cell r="L39195" t="str">
            <v>Non-proportional</v>
          </cell>
          <cell r="S39195">
            <v>-33.9</v>
          </cell>
          <cell r="X39195" t="str">
            <v>Variation UPR - gross</v>
          </cell>
          <cell r="Y39195" t="str">
            <v>ISRAEL</v>
          </cell>
        </row>
        <row r="39196">
          <cell r="L39196" t="str">
            <v>Non-proportional</v>
          </cell>
          <cell r="S39196">
            <v>-5280.8</v>
          </cell>
          <cell r="X39196" t="str">
            <v>Variation UPR - gross</v>
          </cell>
          <cell r="Y39196" t="str">
            <v>ISRAEL</v>
          </cell>
        </row>
        <row r="39197">
          <cell r="L39197" t="str">
            <v>Non-proportional</v>
          </cell>
          <cell r="S39197">
            <v>141.01</v>
          </cell>
          <cell r="X39197" t="str">
            <v>Variation UPR - gross</v>
          </cell>
          <cell r="Y39197" t="str">
            <v>TURKEY</v>
          </cell>
        </row>
        <row r="39198">
          <cell r="L39198" t="str">
            <v>Non-proportional</v>
          </cell>
          <cell r="S39198">
            <v>-1044.8399999999999</v>
          </cell>
          <cell r="X39198" t="str">
            <v>Variation UPR - gross</v>
          </cell>
          <cell r="Y39198" t="str">
            <v>CYPRUS</v>
          </cell>
        </row>
        <row r="39199">
          <cell r="L39199" t="str">
            <v>Non-proportional</v>
          </cell>
          <cell r="S39199">
            <v>-1073.3</v>
          </cell>
          <cell r="X39199" t="str">
            <v>Variation UPR - gross</v>
          </cell>
          <cell r="Y39199" t="str">
            <v>CHILE</v>
          </cell>
        </row>
        <row r="39200">
          <cell r="L39200" t="str">
            <v>Non-proportional</v>
          </cell>
          <cell r="S39200">
            <v>-748.21</v>
          </cell>
          <cell r="X39200" t="str">
            <v>Variation UPR - gross</v>
          </cell>
          <cell r="Y39200" t="str">
            <v>INDIA</v>
          </cell>
        </row>
        <row r="39201">
          <cell r="L39201" t="str">
            <v>Non-proportional</v>
          </cell>
          <cell r="S39201">
            <v>-10909.08</v>
          </cell>
          <cell r="X39201" t="str">
            <v>Variation UPR - gross</v>
          </cell>
          <cell r="Y39201" t="str">
            <v>ITALY</v>
          </cell>
        </row>
        <row r="39202">
          <cell r="L39202" t="str">
            <v>Non-proportional</v>
          </cell>
          <cell r="S39202">
            <v>-21784.83</v>
          </cell>
          <cell r="X39202" t="str">
            <v>Variation UPR - gross</v>
          </cell>
          <cell r="Y39202" t="str">
            <v>UNITED KINGDOM</v>
          </cell>
        </row>
        <row r="39203">
          <cell r="L39203" t="str">
            <v>Non-proportional</v>
          </cell>
          <cell r="S39203">
            <v>-4794.92</v>
          </cell>
          <cell r="X39203" t="str">
            <v>Variation UPR - gross</v>
          </cell>
          <cell r="Y39203" t="str">
            <v>ECUADOR</v>
          </cell>
        </row>
        <row r="39204">
          <cell r="L39204" t="str">
            <v>Non-proportional</v>
          </cell>
          <cell r="S39204">
            <v>12.6</v>
          </cell>
          <cell r="X39204" t="str">
            <v>Variation UPR - gross</v>
          </cell>
          <cell r="Y39204" t="str">
            <v>GUATEMALA</v>
          </cell>
        </row>
        <row r="39205">
          <cell r="L39205" t="str">
            <v>Non-proportional</v>
          </cell>
          <cell r="S39205">
            <v>-1967.72</v>
          </cell>
          <cell r="X39205" t="str">
            <v>Variation UPR - gross</v>
          </cell>
          <cell r="Y39205" t="str">
            <v>CHILE</v>
          </cell>
        </row>
        <row r="39206">
          <cell r="L39206" t="str">
            <v>Proportional</v>
          </cell>
          <cell r="S39206">
            <v>978.91</v>
          </cell>
          <cell r="X39206" t="str">
            <v>Variation UPR - gross</v>
          </cell>
          <cell r="Y39206" t="str">
            <v>THAILAND</v>
          </cell>
        </row>
        <row r="39207">
          <cell r="L39207" t="str">
            <v>Non-proportional</v>
          </cell>
          <cell r="S39207">
            <v>94.15</v>
          </cell>
          <cell r="X39207" t="str">
            <v>Variation UPR - gross</v>
          </cell>
          <cell r="Y39207" t="str">
            <v>JAPAN</v>
          </cell>
        </row>
        <row r="39208">
          <cell r="L39208" t="str">
            <v>Non-proportional</v>
          </cell>
          <cell r="S39208">
            <v>-5499.95</v>
          </cell>
          <cell r="X39208" t="str">
            <v>Variation UPR - gross</v>
          </cell>
          <cell r="Y39208" t="str">
            <v>NEW ZEALAND</v>
          </cell>
        </row>
        <row r="39209">
          <cell r="L39209" t="str">
            <v>Proportional</v>
          </cell>
          <cell r="S39209">
            <v>-309.55</v>
          </cell>
          <cell r="X39209" t="str">
            <v>Variation UPR - gross</v>
          </cell>
          <cell r="Y39209" t="str">
            <v>THAILAND</v>
          </cell>
        </row>
        <row r="39210">
          <cell r="L39210" t="str">
            <v>Non-proportional</v>
          </cell>
          <cell r="S39210">
            <v>56.78</v>
          </cell>
          <cell r="X39210" t="str">
            <v>Variation UPR - gross</v>
          </cell>
          <cell r="Y39210" t="str">
            <v>JAPAN</v>
          </cell>
        </row>
        <row r="39211">
          <cell r="L39211" t="str">
            <v>Non-proportional</v>
          </cell>
          <cell r="S39211">
            <v>-1350.97</v>
          </cell>
          <cell r="X39211" t="str">
            <v>Variation UPR - gross</v>
          </cell>
          <cell r="Y39211" t="str">
            <v>MEXICO</v>
          </cell>
        </row>
        <row r="39212">
          <cell r="L39212" t="str">
            <v>Non-proportional</v>
          </cell>
          <cell r="S39212">
            <v>-71.55</v>
          </cell>
          <cell r="X39212" t="str">
            <v>Variation UPR - gross</v>
          </cell>
          <cell r="Y39212" t="str">
            <v>CHILE</v>
          </cell>
        </row>
        <row r="39213">
          <cell r="L39213" t="str">
            <v>Non-proportional</v>
          </cell>
          <cell r="S39213">
            <v>377.34</v>
          </cell>
          <cell r="X39213" t="str">
            <v>Variation UPR - gross</v>
          </cell>
          <cell r="Y39213" t="str">
            <v>NEW ZEALAND</v>
          </cell>
        </row>
        <row r="39214">
          <cell r="L39214" t="str">
            <v>Non-proportional</v>
          </cell>
          <cell r="S39214">
            <v>-10708.02</v>
          </cell>
          <cell r="X39214" t="str">
            <v>Variation UPR - gross</v>
          </cell>
          <cell r="Y39214" t="str">
            <v>AUSTRALIA</v>
          </cell>
        </row>
        <row r="39215">
          <cell r="L39215" t="str">
            <v>Non-proportional</v>
          </cell>
          <cell r="S39215">
            <v>-5080.3</v>
          </cell>
          <cell r="X39215" t="str">
            <v>Variation UPR - gross</v>
          </cell>
          <cell r="Y39215" t="str">
            <v>CHILE</v>
          </cell>
        </row>
        <row r="39216">
          <cell r="L39216" t="str">
            <v>Non-proportional</v>
          </cell>
          <cell r="S39216">
            <v>-3893.4</v>
          </cell>
          <cell r="X39216" t="str">
            <v>Variation UPR - gross</v>
          </cell>
          <cell r="Y39216" t="str">
            <v>COLOMBIA</v>
          </cell>
        </row>
        <row r="39217">
          <cell r="L39217" t="str">
            <v>Non-proportional</v>
          </cell>
          <cell r="S39217">
            <v>-0.06</v>
          </cell>
          <cell r="X39217" t="str">
            <v>Variation UPR - gross</v>
          </cell>
          <cell r="Y39217" t="str">
            <v>INDIA</v>
          </cell>
        </row>
        <row r="39218">
          <cell r="L39218" t="str">
            <v>Non-proportional</v>
          </cell>
          <cell r="S39218">
            <v>-800</v>
          </cell>
          <cell r="X39218" t="str">
            <v>Variation UPR - gross</v>
          </cell>
          <cell r="Y39218" t="str">
            <v>ITALY</v>
          </cell>
        </row>
        <row r="39219">
          <cell r="L39219" t="str">
            <v>Non-proportional</v>
          </cell>
          <cell r="S39219">
            <v>-3353.87</v>
          </cell>
          <cell r="X39219" t="str">
            <v>Variation UPR - gross</v>
          </cell>
          <cell r="Y39219" t="str">
            <v>GUATEMALA</v>
          </cell>
        </row>
        <row r="39220">
          <cell r="L39220" t="str">
            <v>Proportional</v>
          </cell>
          <cell r="S39220">
            <v>-13303.44</v>
          </cell>
          <cell r="X39220" t="str">
            <v>Variation UPR - gross</v>
          </cell>
          <cell r="Y39220" t="str">
            <v>JAPAN</v>
          </cell>
        </row>
        <row r="39221">
          <cell r="L39221" t="str">
            <v>Non-proportional</v>
          </cell>
          <cell r="S39221">
            <v>-3780</v>
          </cell>
          <cell r="X39221" t="str">
            <v>Variation UPR - gross</v>
          </cell>
          <cell r="Y39221" t="str">
            <v>GREECE</v>
          </cell>
        </row>
        <row r="39222">
          <cell r="L39222" t="str">
            <v>Non-proportional</v>
          </cell>
          <cell r="S39222">
            <v>376835.39</v>
          </cell>
          <cell r="X39222" t="str">
            <v>Variation UPR - gross</v>
          </cell>
          <cell r="Y39222" t="str">
            <v>NEW ZEALAND</v>
          </cell>
        </row>
        <row r="39223">
          <cell r="L39223" t="str">
            <v>Non-proportional</v>
          </cell>
          <cell r="S39223">
            <v>-2824.12</v>
          </cell>
          <cell r="X39223" t="str">
            <v>Variation UPR - gross</v>
          </cell>
          <cell r="Y39223" t="str">
            <v>ISRAEL</v>
          </cell>
        </row>
        <row r="39224">
          <cell r="L39224" t="str">
            <v>Proportional</v>
          </cell>
          <cell r="S39224">
            <v>527461.44999999995</v>
          </cell>
          <cell r="X39224" t="str">
            <v>Variation UPR - gross</v>
          </cell>
          <cell r="Y39224" t="str">
            <v>INDIA</v>
          </cell>
        </row>
        <row r="39225">
          <cell r="L39225" t="str">
            <v>Non-proportional</v>
          </cell>
          <cell r="S39225">
            <v>-1846.85</v>
          </cell>
          <cell r="X39225" t="str">
            <v>Variation UPR - gross</v>
          </cell>
          <cell r="Y39225" t="str">
            <v>FRANCE</v>
          </cell>
        </row>
        <row r="39226">
          <cell r="L39226" t="str">
            <v>Non-proportional</v>
          </cell>
          <cell r="S39226">
            <v>-6547.15</v>
          </cell>
          <cell r="X39226" t="str">
            <v>Variation UPR - gross</v>
          </cell>
          <cell r="Y39226" t="str">
            <v>CHILE</v>
          </cell>
        </row>
        <row r="39227">
          <cell r="L39227" t="str">
            <v>Proportional</v>
          </cell>
          <cell r="S39227">
            <v>-236375.19</v>
          </cell>
          <cell r="X39227" t="str">
            <v>Variation UPR - gross</v>
          </cell>
          <cell r="Y39227" t="str">
            <v>JAPAN</v>
          </cell>
        </row>
        <row r="39228">
          <cell r="L39228" t="str">
            <v>Non-proportional</v>
          </cell>
          <cell r="S39228">
            <v>-15740.05</v>
          </cell>
          <cell r="X39228" t="str">
            <v>Variation UPR - gross</v>
          </cell>
          <cell r="Y39228" t="str">
            <v>UNITED KINGDOM</v>
          </cell>
        </row>
        <row r="39229">
          <cell r="L39229" t="str">
            <v>Non-proportional</v>
          </cell>
          <cell r="S39229">
            <v>-11863.23</v>
          </cell>
          <cell r="X39229" t="str">
            <v>Variation UPR - gross</v>
          </cell>
          <cell r="Y39229" t="str">
            <v>EUROPE</v>
          </cell>
        </row>
        <row r="39230">
          <cell r="L39230" t="str">
            <v>Non-proportional</v>
          </cell>
          <cell r="S39230">
            <v>-34929.9</v>
          </cell>
          <cell r="X39230" t="str">
            <v>Variation UPR - gross</v>
          </cell>
          <cell r="Y39230" t="str">
            <v>UNITED KINGDOM</v>
          </cell>
        </row>
        <row r="39231">
          <cell r="L39231" t="str">
            <v>Non-proportional</v>
          </cell>
          <cell r="S39231">
            <v>-2538.6</v>
          </cell>
          <cell r="X39231" t="str">
            <v>Variation UPR - gross</v>
          </cell>
          <cell r="Y39231" t="str">
            <v>AUSTRALIA</v>
          </cell>
        </row>
        <row r="39232">
          <cell r="L39232" t="str">
            <v>Non-proportional</v>
          </cell>
          <cell r="S39232">
            <v>-3172.71</v>
          </cell>
          <cell r="X39232" t="str">
            <v>Variation UPR - gross</v>
          </cell>
          <cell r="Y39232" t="str">
            <v>UNITED KINGDOM</v>
          </cell>
        </row>
        <row r="39233">
          <cell r="L39233" t="str">
            <v>Non-proportional</v>
          </cell>
          <cell r="S39233">
            <v>-375.42</v>
          </cell>
          <cell r="X39233" t="str">
            <v>Variation UPR - gross</v>
          </cell>
          <cell r="Y39233" t="str">
            <v>ITALY</v>
          </cell>
        </row>
        <row r="39234">
          <cell r="L39234" t="str">
            <v>Non-proportional</v>
          </cell>
          <cell r="S39234">
            <v>-1756.25</v>
          </cell>
          <cell r="X39234" t="str">
            <v>Variation UPR - gross</v>
          </cell>
          <cell r="Y39234" t="str">
            <v>JAPAN</v>
          </cell>
        </row>
        <row r="39235">
          <cell r="L39235" t="str">
            <v>Non-proportional</v>
          </cell>
          <cell r="S39235">
            <v>-9425.9500000000007</v>
          </cell>
          <cell r="X39235" t="str">
            <v>Variation UPR - gross</v>
          </cell>
          <cell r="Y39235" t="str">
            <v>NEW ZEALAND</v>
          </cell>
        </row>
        <row r="39236">
          <cell r="L39236" t="str">
            <v>Non-proportional</v>
          </cell>
          <cell r="S39236">
            <v>-1817.48</v>
          </cell>
          <cell r="X39236" t="str">
            <v>Variation UPR - gross</v>
          </cell>
          <cell r="Y39236" t="str">
            <v>NEW ZEALAND</v>
          </cell>
        </row>
        <row r="39237">
          <cell r="L39237" t="str">
            <v>Non-proportional</v>
          </cell>
          <cell r="S39237">
            <v>-5274.49</v>
          </cell>
          <cell r="X39237" t="str">
            <v>Variation UPR - gross</v>
          </cell>
          <cell r="Y39237" t="str">
            <v>CYPRUS</v>
          </cell>
        </row>
        <row r="39238">
          <cell r="L39238" t="str">
            <v>Non-proportional</v>
          </cell>
          <cell r="S39238">
            <v>-7661.37</v>
          </cell>
          <cell r="X39238" t="str">
            <v>Variation UPR - gross</v>
          </cell>
          <cell r="Y39238" t="str">
            <v>UNITED KINGDOM</v>
          </cell>
        </row>
        <row r="39239">
          <cell r="L39239" t="str">
            <v>Non-proportional</v>
          </cell>
          <cell r="S39239">
            <v>-5700.19</v>
          </cell>
          <cell r="X39239" t="str">
            <v>Variation UPR - gross</v>
          </cell>
          <cell r="Y39239" t="str">
            <v>ITALY</v>
          </cell>
        </row>
        <row r="39240">
          <cell r="L39240" t="str">
            <v>Non-proportional</v>
          </cell>
          <cell r="S39240">
            <v>-38212.910000000003</v>
          </cell>
          <cell r="X39240" t="str">
            <v>Variation UPR - gross</v>
          </cell>
          <cell r="Y39240" t="str">
            <v>UNITED STATES</v>
          </cell>
        </row>
        <row r="39241">
          <cell r="L39241" t="str">
            <v>Non-proportional</v>
          </cell>
          <cell r="S39241">
            <v>115.2</v>
          </cell>
          <cell r="X39241" t="str">
            <v>Variation UPR - gross</v>
          </cell>
          <cell r="Y39241" t="str">
            <v>JAPAN</v>
          </cell>
        </row>
        <row r="39242">
          <cell r="L39242" t="str">
            <v>Non-proportional</v>
          </cell>
          <cell r="S39242">
            <v>-3506.12</v>
          </cell>
          <cell r="X39242" t="str">
            <v>Variation UPR - gross</v>
          </cell>
          <cell r="Y39242" t="str">
            <v>CHILE</v>
          </cell>
        </row>
        <row r="39243">
          <cell r="L39243" t="str">
            <v>Proportional</v>
          </cell>
          <cell r="S39243">
            <v>-28094.04</v>
          </cell>
          <cell r="X39243" t="str">
            <v>Variation UPR - gross</v>
          </cell>
          <cell r="Y39243" t="str">
            <v>THAILAND</v>
          </cell>
        </row>
        <row r="39244">
          <cell r="L39244" t="str">
            <v>Non-proportional</v>
          </cell>
          <cell r="S39244">
            <v>-5103.32</v>
          </cell>
          <cell r="X39244" t="str">
            <v>Variation UPR - gross</v>
          </cell>
          <cell r="Y39244" t="str">
            <v>DOMINICAN REPUBLIC</v>
          </cell>
        </row>
        <row r="39245">
          <cell r="L39245" t="str">
            <v>Non-proportional</v>
          </cell>
          <cell r="S39245">
            <v>-2088.7399999999998</v>
          </cell>
          <cell r="X39245" t="str">
            <v>Variation UPR - gross</v>
          </cell>
          <cell r="Y39245" t="str">
            <v>INDIA</v>
          </cell>
        </row>
        <row r="39246">
          <cell r="L39246" t="str">
            <v>Non-proportional</v>
          </cell>
          <cell r="S39246">
            <v>-15768.6</v>
          </cell>
          <cell r="X39246" t="str">
            <v>Variation UPR - gross</v>
          </cell>
          <cell r="Y39246" t="str">
            <v>SOUTH KOREA</v>
          </cell>
        </row>
        <row r="39247">
          <cell r="L39247" t="str">
            <v>Non-proportional</v>
          </cell>
          <cell r="S39247">
            <v>-181.73</v>
          </cell>
          <cell r="X39247" t="str">
            <v>Variation UPR - gross</v>
          </cell>
          <cell r="Y39247" t="str">
            <v>JAPAN</v>
          </cell>
        </row>
        <row r="39248">
          <cell r="L39248" t="str">
            <v>Non-proportional</v>
          </cell>
          <cell r="S39248">
            <v>0.04</v>
          </cell>
          <cell r="X39248" t="str">
            <v>Variation UPR - gross</v>
          </cell>
          <cell r="Y39248" t="str">
            <v>COLOMBIA</v>
          </cell>
        </row>
        <row r="39249">
          <cell r="L39249" t="str">
            <v>Non-proportional</v>
          </cell>
          <cell r="S39249">
            <v>-1749.93</v>
          </cell>
          <cell r="X39249" t="str">
            <v>Variation UPR - gross</v>
          </cell>
          <cell r="Y39249" t="str">
            <v>EUROPE</v>
          </cell>
        </row>
        <row r="39250">
          <cell r="L39250" t="str">
            <v>Non-proportional</v>
          </cell>
          <cell r="S39250">
            <v>-8043.84</v>
          </cell>
          <cell r="X39250" t="str">
            <v>Variation UPR - gross</v>
          </cell>
          <cell r="Y39250" t="str">
            <v>AUSTRALIA</v>
          </cell>
        </row>
        <row r="39251">
          <cell r="L39251" t="str">
            <v>Non-proportional</v>
          </cell>
          <cell r="S39251">
            <v>-3091.5</v>
          </cell>
          <cell r="X39251" t="str">
            <v>Variation UPR - gross</v>
          </cell>
          <cell r="Y39251" t="str">
            <v>ECUADOR</v>
          </cell>
        </row>
        <row r="39252">
          <cell r="L39252" t="str">
            <v>Non-proportional</v>
          </cell>
          <cell r="S39252">
            <v>-5448.68</v>
          </cell>
          <cell r="X39252" t="str">
            <v>Variation UPR - gross</v>
          </cell>
          <cell r="Y39252" t="str">
            <v>UNITED KINGDOM</v>
          </cell>
        </row>
        <row r="39253">
          <cell r="L39253" t="str">
            <v>Non-proportional</v>
          </cell>
          <cell r="S39253">
            <v>572.42999999999995</v>
          </cell>
          <cell r="X39253" t="str">
            <v>Variation UPR - gross</v>
          </cell>
          <cell r="Y39253" t="str">
            <v>CHILE</v>
          </cell>
        </row>
        <row r="39254">
          <cell r="L39254" t="str">
            <v>Non-proportional</v>
          </cell>
          <cell r="S39254">
            <v>-71.55</v>
          </cell>
          <cell r="X39254" t="str">
            <v>Variation UPR - gross</v>
          </cell>
          <cell r="Y39254" t="str">
            <v>CHILE</v>
          </cell>
        </row>
        <row r="39255">
          <cell r="L39255" t="str">
            <v>Non-proportional</v>
          </cell>
          <cell r="S39255">
            <v>-1946.5</v>
          </cell>
          <cell r="X39255" t="str">
            <v>Variation UPR - gross</v>
          </cell>
          <cell r="Y39255" t="str">
            <v>REPUBLIC OF IRELAND</v>
          </cell>
        </row>
        <row r="39256">
          <cell r="L39256" t="str">
            <v>Non-proportional</v>
          </cell>
          <cell r="S39256">
            <v>-5740.05</v>
          </cell>
          <cell r="X39256" t="str">
            <v>Variation UPR - gross</v>
          </cell>
          <cell r="Y39256" t="str">
            <v>COSTA RICA</v>
          </cell>
        </row>
        <row r="39257">
          <cell r="L39257" t="str">
            <v>Non-proportional</v>
          </cell>
          <cell r="S39257">
            <v>-101448.17</v>
          </cell>
          <cell r="X39257" t="str">
            <v>Variation UPR - gross</v>
          </cell>
          <cell r="Y39257" t="str">
            <v>HONG KONG</v>
          </cell>
        </row>
        <row r="39258">
          <cell r="L39258" t="str">
            <v>Proportional</v>
          </cell>
          <cell r="S39258">
            <v>-12291666.67</v>
          </cell>
          <cell r="X39258" t="str">
            <v>Variation UPR - gross</v>
          </cell>
          <cell r="Y39258" t="str">
            <v>PORTUGAL</v>
          </cell>
        </row>
        <row r="39259">
          <cell r="L39259" t="str">
            <v>Non-proportional</v>
          </cell>
          <cell r="S39259">
            <v>-1480.8</v>
          </cell>
          <cell r="X39259" t="str">
            <v>Variation UPR - gross</v>
          </cell>
          <cell r="Y39259" t="str">
            <v>FRANCE</v>
          </cell>
        </row>
        <row r="39260">
          <cell r="L39260" t="str">
            <v>Non-proportional</v>
          </cell>
          <cell r="S39260">
            <v>-33.590000000000003</v>
          </cell>
          <cell r="X39260" t="str">
            <v>Variation UPR - gross</v>
          </cell>
          <cell r="Y39260" t="str">
            <v>ISRAEL</v>
          </cell>
        </row>
        <row r="39261">
          <cell r="L39261" t="str">
            <v>Non-proportional</v>
          </cell>
          <cell r="S39261">
            <v>-4095</v>
          </cell>
          <cell r="X39261" t="str">
            <v>Variation UPR - gross</v>
          </cell>
          <cell r="Y39261" t="str">
            <v>FRANCE</v>
          </cell>
        </row>
        <row r="39262">
          <cell r="L39262" t="str">
            <v>Proportional</v>
          </cell>
          <cell r="S39262">
            <v>-7233.57</v>
          </cell>
          <cell r="X39262" t="str">
            <v>Variation UPR - gross</v>
          </cell>
          <cell r="Y39262" t="str">
            <v>THAILAND</v>
          </cell>
        </row>
        <row r="39263">
          <cell r="L39263" t="str">
            <v>Non-proportional</v>
          </cell>
          <cell r="S39263">
            <v>-6086.35</v>
          </cell>
          <cell r="X39263" t="str">
            <v>Variation UPR - gross</v>
          </cell>
          <cell r="Y39263" t="str">
            <v>ITALY</v>
          </cell>
        </row>
        <row r="39264">
          <cell r="L39264" t="str">
            <v>Non-proportional</v>
          </cell>
          <cell r="S39264">
            <v>-14424.04</v>
          </cell>
          <cell r="X39264" t="str">
            <v>Variation UPR - gross</v>
          </cell>
          <cell r="Y39264" t="str">
            <v>FRANCE</v>
          </cell>
        </row>
        <row r="39265">
          <cell r="L39265" t="str">
            <v>Non-proportional</v>
          </cell>
          <cell r="S39265">
            <v>-855.96</v>
          </cell>
          <cell r="X39265" t="str">
            <v>Variation UPR - gross</v>
          </cell>
          <cell r="Y39265" t="str">
            <v>FRANCE</v>
          </cell>
        </row>
        <row r="39266">
          <cell r="L39266" t="str">
            <v>Non-proportional</v>
          </cell>
          <cell r="S39266">
            <v>-16531.52</v>
          </cell>
          <cell r="X39266" t="str">
            <v>Variation UPR - gross</v>
          </cell>
          <cell r="Y39266" t="str">
            <v>MEXICO</v>
          </cell>
        </row>
        <row r="39267">
          <cell r="L39267" t="str">
            <v>Non-proportional</v>
          </cell>
          <cell r="S39267">
            <v>-4.18</v>
          </cell>
          <cell r="X39267" t="str">
            <v>Variation UPR - gross</v>
          </cell>
          <cell r="Y39267" t="str">
            <v>COSTA RICA</v>
          </cell>
        </row>
        <row r="39268">
          <cell r="L39268" t="str">
            <v>Non-proportional</v>
          </cell>
          <cell r="S39268">
            <v>-71.55</v>
          </cell>
          <cell r="X39268" t="str">
            <v>Variation UPR - gross</v>
          </cell>
          <cell r="Y39268" t="str">
            <v>CHILE</v>
          </cell>
        </row>
        <row r="39269">
          <cell r="L39269" t="str">
            <v>Non-proportional</v>
          </cell>
          <cell r="S39269">
            <v>-3148.36</v>
          </cell>
          <cell r="X39269" t="str">
            <v>Variation UPR - gross</v>
          </cell>
          <cell r="Y39269" t="str">
            <v>CHILE</v>
          </cell>
        </row>
        <row r="39270">
          <cell r="L39270" t="str">
            <v>Non-proportional</v>
          </cell>
          <cell r="S39270">
            <v>-2432.8200000000002</v>
          </cell>
          <cell r="X39270" t="str">
            <v>Variation UPR - gross</v>
          </cell>
          <cell r="Y39270" t="str">
            <v>CHILE</v>
          </cell>
        </row>
        <row r="39271">
          <cell r="L39271" t="str">
            <v>Non-proportional</v>
          </cell>
          <cell r="S39271">
            <v>-772.84</v>
          </cell>
          <cell r="X39271" t="str">
            <v>Variation UPR - gross</v>
          </cell>
          <cell r="Y39271" t="str">
            <v>BRAZIL</v>
          </cell>
        </row>
        <row r="39272">
          <cell r="L39272" t="str">
            <v>Non-proportional</v>
          </cell>
          <cell r="S39272">
            <v>-3527.73</v>
          </cell>
          <cell r="X39272" t="str">
            <v>Variation UPR - gross</v>
          </cell>
          <cell r="Y39272" t="str">
            <v>JAPAN</v>
          </cell>
        </row>
        <row r="39273">
          <cell r="L39273" t="str">
            <v>Non-proportional</v>
          </cell>
          <cell r="S39273">
            <v>42.8</v>
          </cell>
          <cell r="X39273" t="str">
            <v>Variation UPR - gross</v>
          </cell>
          <cell r="Y39273" t="str">
            <v>JAPAN</v>
          </cell>
        </row>
        <row r="39274">
          <cell r="L39274" t="str">
            <v>Non-proportional</v>
          </cell>
          <cell r="S39274">
            <v>-558.30999999999995</v>
          </cell>
          <cell r="X39274" t="str">
            <v>Variation UPR - gross</v>
          </cell>
          <cell r="Y39274" t="str">
            <v>AUSTRALIA</v>
          </cell>
        </row>
        <row r="39275">
          <cell r="L39275" t="str">
            <v>Proportional</v>
          </cell>
          <cell r="S39275">
            <v>-416.84</v>
          </cell>
          <cell r="X39275" t="str">
            <v>Variation UPR - gross</v>
          </cell>
          <cell r="Y39275" t="str">
            <v>UNITED STATES</v>
          </cell>
        </row>
        <row r="39276">
          <cell r="L39276" t="str">
            <v>Proportional</v>
          </cell>
          <cell r="S39276">
            <v>-5618.81</v>
          </cell>
          <cell r="X39276" t="str">
            <v>Variation UPR - gross</v>
          </cell>
          <cell r="Y39276" t="str">
            <v>THAILAND</v>
          </cell>
        </row>
        <row r="39277">
          <cell r="L39277" t="str">
            <v>Non-proportional</v>
          </cell>
          <cell r="S39277">
            <v>-369.25</v>
          </cell>
          <cell r="X39277" t="str">
            <v>Variation UPR - gross</v>
          </cell>
          <cell r="Y39277" t="str">
            <v>INDIA</v>
          </cell>
        </row>
        <row r="39278">
          <cell r="L39278" t="str">
            <v>Non-proportional</v>
          </cell>
          <cell r="S39278">
            <v>-4678.6099999999997</v>
          </cell>
          <cell r="X39278" t="str">
            <v>Variation UPR - gross</v>
          </cell>
          <cell r="Y39278" t="str">
            <v>SPAIN</v>
          </cell>
        </row>
        <row r="39279">
          <cell r="L39279" t="str">
            <v>Non-proportional</v>
          </cell>
          <cell r="S39279">
            <v>5.88</v>
          </cell>
          <cell r="X39279" t="str">
            <v>Variation UPR - gross</v>
          </cell>
          <cell r="Y39279" t="str">
            <v>JAPAN</v>
          </cell>
        </row>
        <row r="39280">
          <cell r="L39280" t="str">
            <v>Non-proportional</v>
          </cell>
          <cell r="S39280">
            <v>-10800.4</v>
          </cell>
          <cell r="X39280" t="str">
            <v>Variation UPR - gross</v>
          </cell>
          <cell r="Y39280" t="str">
            <v>MEXICO</v>
          </cell>
        </row>
        <row r="39281">
          <cell r="L39281" t="str">
            <v>Non-proportional</v>
          </cell>
          <cell r="S39281">
            <v>-3228.2</v>
          </cell>
          <cell r="X39281" t="str">
            <v>Variation UPR - gross</v>
          </cell>
          <cell r="Y39281" t="str">
            <v>COLOMBIA</v>
          </cell>
        </row>
        <row r="39282">
          <cell r="L39282" t="str">
            <v>Non-proportional</v>
          </cell>
          <cell r="S39282">
            <v>-5802.23</v>
          </cell>
          <cell r="X39282" t="str">
            <v>Variation UPR - gross</v>
          </cell>
          <cell r="Y39282" t="str">
            <v>AUSTRALIA</v>
          </cell>
        </row>
        <row r="39283">
          <cell r="L39283" t="str">
            <v>Non-proportional</v>
          </cell>
          <cell r="S39283">
            <v>-24519.09</v>
          </cell>
          <cell r="X39283" t="str">
            <v>Variation UPR - gross</v>
          </cell>
          <cell r="Y39283" t="str">
            <v>UNITED KINGDOM</v>
          </cell>
        </row>
        <row r="39284">
          <cell r="L39284" t="str">
            <v>Non-proportional</v>
          </cell>
          <cell r="S39284">
            <v>-1669.71</v>
          </cell>
          <cell r="X39284" t="str">
            <v>Variation UPR - gross</v>
          </cell>
          <cell r="Y39284" t="str">
            <v>JAPAN</v>
          </cell>
        </row>
        <row r="39285">
          <cell r="L39285" t="str">
            <v>Non-proportional</v>
          </cell>
          <cell r="S39285">
            <v>-4061.37</v>
          </cell>
          <cell r="X39285" t="str">
            <v>Variation UPR - gross</v>
          </cell>
          <cell r="Y39285" t="str">
            <v>FRANCE</v>
          </cell>
        </row>
        <row r="39286">
          <cell r="L39286" t="str">
            <v>Non-proportional</v>
          </cell>
          <cell r="S39286">
            <v>-114917.49</v>
          </cell>
          <cell r="X39286" t="str">
            <v>Variation UPR - gross</v>
          </cell>
          <cell r="Y39286" t="str">
            <v>UNITED KINGDOM</v>
          </cell>
        </row>
        <row r="39287">
          <cell r="L39287" t="str">
            <v>Non-proportional</v>
          </cell>
          <cell r="S39287">
            <v>-2187.5</v>
          </cell>
          <cell r="X39287" t="str">
            <v>Variation UPR - gross</v>
          </cell>
          <cell r="Y39287" t="str">
            <v>GERMANY</v>
          </cell>
        </row>
        <row r="39288">
          <cell r="L39288" t="str">
            <v>Non-proportional</v>
          </cell>
          <cell r="S39288">
            <v>32.840000000000003</v>
          </cell>
          <cell r="X39288" t="str">
            <v>Variation UPR - gross</v>
          </cell>
          <cell r="Y39288" t="str">
            <v>JAPAN</v>
          </cell>
        </row>
        <row r="39289">
          <cell r="L39289" t="str">
            <v>Non-proportional</v>
          </cell>
          <cell r="S39289">
            <v>-0.04</v>
          </cell>
          <cell r="X39289" t="str">
            <v>Variation UPR - gross</v>
          </cell>
          <cell r="Y39289" t="str">
            <v>INDIA</v>
          </cell>
        </row>
        <row r="39290">
          <cell r="L39290" t="str">
            <v>Non-proportional</v>
          </cell>
          <cell r="S39290">
            <v>-8238.26</v>
          </cell>
          <cell r="X39290" t="str">
            <v>Variation UPR - gross</v>
          </cell>
          <cell r="Y39290" t="str">
            <v>ITALY</v>
          </cell>
        </row>
        <row r="39291">
          <cell r="L39291" t="str">
            <v>Non-proportional</v>
          </cell>
          <cell r="S39291">
            <v>-400.01</v>
          </cell>
          <cell r="X39291" t="str">
            <v>Variation UPR - gross</v>
          </cell>
          <cell r="Y39291" t="str">
            <v>COLOMBIA</v>
          </cell>
        </row>
        <row r="39292">
          <cell r="L39292" t="str">
            <v>Non-proportional</v>
          </cell>
          <cell r="S39292">
            <v>-4533.33</v>
          </cell>
          <cell r="X39292" t="str">
            <v>Variation UPR - gross</v>
          </cell>
          <cell r="Y39292" t="str">
            <v>PORTUGAL</v>
          </cell>
        </row>
        <row r="39293">
          <cell r="L39293" t="str">
            <v>Non-proportional</v>
          </cell>
          <cell r="S39293">
            <v>-167.45</v>
          </cell>
          <cell r="X39293" t="str">
            <v>Variation UPR - gross</v>
          </cell>
          <cell r="Y39293" t="str">
            <v>FRANCE</v>
          </cell>
        </row>
        <row r="39294">
          <cell r="L39294" t="str">
            <v>Non-proportional</v>
          </cell>
          <cell r="S39294">
            <v>72.760000000000005</v>
          </cell>
          <cell r="X39294" t="str">
            <v>Variation UPR - gross</v>
          </cell>
          <cell r="Y39294" t="str">
            <v>NEW ZEALAND</v>
          </cell>
        </row>
        <row r="39295">
          <cell r="L39295" t="str">
            <v>Non-proportional</v>
          </cell>
          <cell r="S39295">
            <v>-1272.6400000000001</v>
          </cell>
          <cell r="X39295" t="str">
            <v>Variation UPR - gross</v>
          </cell>
          <cell r="Y39295" t="str">
            <v>JAPAN</v>
          </cell>
        </row>
        <row r="39296">
          <cell r="L39296" t="str">
            <v>Non-proportional</v>
          </cell>
          <cell r="S39296">
            <v>-5223.42</v>
          </cell>
          <cell r="X39296" t="str">
            <v>Variation UPR - gross</v>
          </cell>
          <cell r="Y39296" t="str">
            <v>AUSTRALIA</v>
          </cell>
        </row>
        <row r="39297">
          <cell r="L39297" t="str">
            <v>Non-proportional</v>
          </cell>
          <cell r="S39297">
            <v>-3953.75</v>
          </cell>
          <cell r="X39297" t="str">
            <v>Variation UPR - gross</v>
          </cell>
          <cell r="Y39297" t="str">
            <v>COLOMBIA</v>
          </cell>
        </row>
        <row r="39298">
          <cell r="L39298" t="str">
            <v>Non-proportional</v>
          </cell>
          <cell r="S39298">
            <v>-1740.77</v>
          </cell>
          <cell r="X39298" t="str">
            <v>Variation UPR - gross</v>
          </cell>
          <cell r="Y39298" t="str">
            <v>SOUTH AFRICA</v>
          </cell>
        </row>
        <row r="39299">
          <cell r="L39299" t="str">
            <v>Non-proportional</v>
          </cell>
          <cell r="S39299">
            <v>-7267.71</v>
          </cell>
          <cell r="X39299" t="str">
            <v>Variation UPR - gross</v>
          </cell>
          <cell r="Y39299" t="str">
            <v>FRANCE</v>
          </cell>
        </row>
        <row r="39300">
          <cell r="L39300" t="str">
            <v>Non-proportional</v>
          </cell>
          <cell r="S39300">
            <v>-37828.21</v>
          </cell>
          <cell r="X39300" t="str">
            <v>Variation UPR - gross</v>
          </cell>
          <cell r="Y39300" t="str">
            <v>TURKEY</v>
          </cell>
        </row>
        <row r="39301">
          <cell r="L39301" t="str">
            <v>Non-proportional</v>
          </cell>
          <cell r="S39301">
            <v>-42.01</v>
          </cell>
          <cell r="X39301" t="str">
            <v>Variation UPR - gross</v>
          </cell>
          <cell r="Y39301" t="str">
            <v>ISRAEL</v>
          </cell>
        </row>
        <row r="39302">
          <cell r="L39302" t="str">
            <v>Non-proportional</v>
          </cell>
          <cell r="S39302">
            <v>-1193.3499999999999</v>
          </cell>
          <cell r="X39302" t="str">
            <v>Variation UPR - gross</v>
          </cell>
          <cell r="Y39302" t="str">
            <v>COSTA RICA</v>
          </cell>
        </row>
        <row r="39303">
          <cell r="L39303" t="str">
            <v>Non-proportional</v>
          </cell>
          <cell r="S39303">
            <v>-2284.62</v>
          </cell>
          <cell r="X39303" t="str">
            <v>Variation UPR - gross</v>
          </cell>
          <cell r="Y39303" t="str">
            <v>UNITED KINGDOM</v>
          </cell>
        </row>
        <row r="39304">
          <cell r="L39304" t="str">
            <v>Non-proportional</v>
          </cell>
          <cell r="S39304">
            <v>-107.33</v>
          </cell>
          <cell r="X39304" t="str">
            <v>Variation UPR - gross</v>
          </cell>
          <cell r="Y39304" t="str">
            <v>CHILE</v>
          </cell>
        </row>
        <row r="39305">
          <cell r="L39305" t="str">
            <v>Non-proportional</v>
          </cell>
          <cell r="S39305">
            <v>53.99</v>
          </cell>
          <cell r="X39305" t="str">
            <v>Variation UPR - gross</v>
          </cell>
          <cell r="Y39305" t="str">
            <v>JAPAN</v>
          </cell>
        </row>
        <row r="39306">
          <cell r="L39306" t="str">
            <v>Proportional</v>
          </cell>
          <cell r="S39306">
            <v>-1550.85</v>
          </cell>
          <cell r="X39306" t="str">
            <v>Variation UPR - gross</v>
          </cell>
          <cell r="Y39306" t="str">
            <v>UNITED STATES</v>
          </cell>
        </row>
        <row r="39307">
          <cell r="L39307" t="str">
            <v>Proportional</v>
          </cell>
          <cell r="S39307">
            <v>-53512.46</v>
          </cell>
          <cell r="X39307" t="str">
            <v>Variation UPR - gross</v>
          </cell>
          <cell r="Y39307" t="str">
            <v>THAILAND</v>
          </cell>
        </row>
        <row r="39308">
          <cell r="L39308" t="str">
            <v>Non-proportional</v>
          </cell>
          <cell r="S39308">
            <v>-1330.33</v>
          </cell>
          <cell r="X39308" t="str">
            <v>Variation UPR - gross</v>
          </cell>
          <cell r="Y39308" t="str">
            <v>FRANCE</v>
          </cell>
        </row>
        <row r="39309">
          <cell r="L39309" t="str">
            <v>Non-proportional</v>
          </cell>
          <cell r="S39309">
            <v>54704.34</v>
          </cell>
          <cell r="X39309" t="str">
            <v>Variation UPR - gross</v>
          </cell>
          <cell r="Y39309" t="str">
            <v>INDIA</v>
          </cell>
        </row>
        <row r="39310">
          <cell r="L39310" t="str">
            <v>Proportional</v>
          </cell>
          <cell r="S39310">
            <v>-120804.38</v>
          </cell>
          <cell r="X39310" t="str">
            <v>Variation UPR - gross</v>
          </cell>
          <cell r="Y39310" t="str">
            <v>THAILAND</v>
          </cell>
        </row>
        <row r="39311">
          <cell r="L39311" t="str">
            <v>Non-proportional</v>
          </cell>
          <cell r="S39311">
            <v>-459669.97</v>
          </cell>
          <cell r="X39311" t="str">
            <v>Variation UPR - gross</v>
          </cell>
          <cell r="Y39311" t="str">
            <v>UNITED KINGDOM</v>
          </cell>
        </row>
        <row r="39312">
          <cell r="L39312" t="str">
            <v>Non-proportional</v>
          </cell>
          <cell r="S39312">
            <v>148.58000000000001</v>
          </cell>
          <cell r="X39312" t="str">
            <v>Variation UPR - gross</v>
          </cell>
          <cell r="Y39312" t="str">
            <v>DOMINICAN REPUBLIC</v>
          </cell>
        </row>
        <row r="39313">
          <cell r="L39313" t="str">
            <v>Non-proportional</v>
          </cell>
          <cell r="S39313">
            <v>-8708.34</v>
          </cell>
          <cell r="X39313" t="str">
            <v>Variation UPR - gross</v>
          </cell>
          <cell r="Y39313" t="str">
            <v>TURKEY</v>
          </cell>
        </row>
        <row r="39314">
          <cell r="L39314" t="str">
            <v>Non-proportional</v>
          </cell>
          <cell r="S39314">
            <v>422.4</v>
          </cell>
          <cell r="X39314" t="str">
            <v>Variation UPR - gross</v>
          </cell>
          <cell r="Y39314" t="str">
            <v>NEW ZEALAND</v>
          </cell>
        </row>
        <row r="39315">
          <cell r="L39315" t="str">
            <v>Non-proportional</v>
          </cell>
          <cell r="S39315">
            <v>-1634.71</v>
          </cell>
          <cell r="X39315" t="str">
            <v>Variation UPR - gross</v>
          </cell>
          <cell r="Y39315" t="str">
            <v>CHINA</v>
          </cell>
        </row>
        <row r="39316">
          <cell r="L39316" t="str">
            <v>Non-proportional</v>
          </cell>
          <cell r="S39316">
            <v>-3900.14</v>
          </cell>
          <cell r="X39316" t="str">
            <v>Variation UPR - gross</v>
          </cell>
          <cell r="Y39316" t="str">
            <v>AUSTRALIA</v>
          </cell>
        </row>
        <row r="39317">
          <cell r="L39317" t="str">
            <v>Proportional</v>
          </cell>
          <cell r="S39317">
            <v>-5709.18</v>
          </cell>
          <cell r="X39317" t="str">
            <v>Variation UPR - gross</v>
          </cell>
          <cell r="Y39317" t="str">
            <v>HONG KONG</v>
          </cell>
        </row>
        <row r="39318">
          <cell r="L39318" t="str">
            <v>Non-proportional</v>
          </cell>
          <cell r="S39318">
            <v>-2386.96</v>
          </cell>
          <cell r="X39318" t="str">
            <v>Variation UPR - gross</v>
          </cell>
          <cell r="Y39318" t="str">
            <v>DOMINICAN REPUBLIC</v>
          </cell>
        </row>
        <row r="39319">
          <cell r="L39319" t="str">
            <v>Non-proportional</v>
          </cell>
          <cell r="S39319">
            <v>1.62</v>
          </cell>
          <cell r="X39319" t="str">
            <v>Variation UPR - gross</v>
          </cell>
          <cell r="Y39319" t="str">
            <v>GUATEMALA</v>
          </cell>
        </row>
        <row r="39320">
          <cell r="L39320" t="str">
            <v>Proportional</v>
          </cell>
          <cell r="S39320">
            <v>-264.16000000000003</v>
          </cell>
          <cell r="X39320" t="str">
            <v>Variation UPR - gross</v>
          </cell>
          <cell r="Y39320" t="str">
            <v>THAILAND</v>
          </cell>
        </row>
        <row r="39321">
          <cell r="L39321" t="str">
            <v>Non-proportional</v>
          </cell>
          <cell r="S39321">
            <v>-2956.77</v>
          </cell>
          <cell r="X39321" t="str">
            <v>Variation UPR - gross</v>
          </cell>
          <cell r="Y39321" t="str">
            <v>JAPAN</v>
          </cell>
        </row>
        <row r="39322">
          <cell r="L39322" t="str">
            <v>Non-proportional</v>
          </cell>
          <cell r="S39322">
            <v>-1664.56</v>
          </cell>
          <cell r="X39322" t="str">
            <v>Variation UPR - gross</v>
          </cell>
          <cell r="Y39322" t="str">
            <v>FRANCE</v>
          </cell>
        </row>
        <row r="39323">
          <cell r="L39323" t="str">
            <v>Non-proportional</v>
          </cell>
          <cell r="S39323">
            <v>-31316.15</v>
          </cell>
          <cell r="X39323" t="str">
            <v>Variation UPR - gross</v>
          </cell>
          <cell r="Y39323" t="str">
            <v>FRANCE</v>
          </cell>
        </row>
        <row r="39324">
          <cell r="L39324" t="str">
            <v>Non-proportional</v>
          </cell>
          <cell r="S39324">
            <v>-2805.25</v>
          </cell>
          <cell r="X39324" t="str">
            <v>Variation UPR - gross</v>
          </cell>
          <cell r="Y39324" t="str">
            <v>REPUBLIC OF IRELAND</v>
          </cell>
        </row>
        <row r="39325">
          <cell r="L39325" t="str">
            <v>Non-proportional</v>
          </cell>
          <cell r="S39325">
            <v>-4751.26</v>
          </cell>
          <cell r="X39325" t="str">
            <v>Variation UPR - gross</v>
          </cell>
          <cell r="Y39325" t="str">
            <v>FRANCE</v>
          </cell>
        </row>
        <row r="39326">
          <cell r="L39326" t="str">
            <v>Non-proportional</v>
          </cell>
          <cell r="S39326">
            <v>-5318.5</v>
          </cell>
          <cell r="X39326" t="str">
            <v>Variation UPR - gross</v>
          </cell>
          <cell r="Y39326" t="str">
            <v>MEXICO</v>
          </cell>
        </row>
        <row r="39327">
          <cell r="L39327" t="str">
            <v>Non-proportional</v>
          </cell>
          <cell r="S39327">
            <v>-2045.9</v>
          </cell>
          <cell r="X39327" t="str">
            <v>Variation UPR - gross</v>
          </cell>
          <cell r="Y39327" t="str">
            <v>AUSTRALIA</v>
          </cell>
        </row>
        <row r="39328">
          <cell r="L39328" t="str">
            <v>Non-proportional</v>
          </cell>
          <cell r="S39328">
            <v>265.82</v>
          </cell>
          <cell r="X39328" t="str">
            <v>Variation UPR - gross</v>
          </cell>
          <cell r="Y39328" t="str">
            <v>NEW ZEALAND</v>
          </cell>
        </row>
        <row r="39329">
          <cell r="L39329" t="str">
            <v>Non-proportional</v>
          </cell>
          <cell r="S39329">
            <v>-9409.2900000000009</v>
          </cell>
          <cell r="X39329" t="str">
            <v>Variation UPR - gross</v>
          </cell>
          <cell r="Y39329" t="str">
            <v>CHILE</v>
          </cell>
        </row>
        <row r="39330">
          <cell r="L39330" t="str">
            <v>Non-proportional</v>
          </cell>
          <cell r="S39330">
            <v>217.75</v>
          </cell>
          <cell r="X39330" t="str">
            <v>Variation UPR - gross</v>
          </cell>
          <cell r="Y39330" t="str">
            <v>JAPAN</v>
          </cell>
        </row>
        <row r="39331">
          <cell r="L39331" t="str">
            <v>Non-proportional</v>
          </cell>
          <cell r="S39331">
            <v>-6278.98</v>
          </cell>
          <cell r="X39331" t="str">
            <v>Variation UPR - gross</v>
          </cell>
          <cell r="Y39331" t="str">
            <v>FRANCE</v>
          </cell>
        </row>
        <row r="39332">
          <cell r="L39332" t="str">
            <v>Non-proportional</v>
          </cell>
          <cell r="S39332">
            <v>-4541.93</v>
          </cell>
          <cell r="X39332" t="str">
            <v>Variation UPR - gross</v>
          </cell>
          <cell r="Y39332" t="str">
            <v>TURKEY</v>
          </cell>
        </row>
        <row r="39333">
          <cell r="L39333" t="str">
            <v>Non-proportional</v>
          </cell>
          <cell r="S39333">
            <v>-721.59</v>
          </cell>
          <cell r="X39333" t="str">
            <v>Variation UPR - gross</v>
          </cell>
          <cell r="Y39333" t="str">
            <v>JAPAN</v>
          </cell>
        </row>
        <row r="39334">
          <cell r="L39334" t="str">
            <v>Non-proportional</v>
          </cell>
          <cell r="S39334">
            <v>267.31</v>
          </cell>
          <cell r="X39334" t="str">
            <v>Variation UPR - gross</v>
          </cell>
          <cell r="Y39334" t="str">
            <v>COLOMBIA</v>
          </cell>
        </row>
        <row r="39335">
          <cell r="L39335" t="str">
            <v>Non-proportional</v>
          </cell>
          <cell r="S39335">
            <v>-1059.96</v>
          </cell>
          <cell r="X39335" t="str">
            <v>Variation UPR - gross</v>
          </cell>
          <cell r="Y39335" t="str">
            <v>INDIA</v>
          </cell>
        </row>
        <row r="39336">
          <cell r="L39336" t="str">
            <v>Non-proportional</v>
          </cell>
          <cell r="S39336">
            <v>-2893.41</v>
          </cell>
          <cell r="X39336" t="str">
            <v>Variation UPR - gross</v>
          </cell>
          <cell r="Y39336" t="str">
            <v>THAILAND</v>
          </cell>
        </row>
        <row r="39337">
          <cell r="L39337" t="str">
            <v>Non-proportional</v>
          </cell>
          <cell r="S39337">
            <v>-325.22000000000003</v>
          </cell>
          <cell r="X39337" t="str">
            <v>Variation UPR - gross</v>
          </cell>
          <cell r="Y39337" t="str">
            <v>DOMINICAN REPUBLIC</v>
          </cell>
        </row>
        <row r="39338">
          <cell r="L39338" t="str">
            <v>Non-proportional</v>
          </cell>
          <cell r="S39338">
            <v>-229.66</v>
          </cell>
          <cell r="X39338" t="str">
            <v>Variation UPR - gross</v>
          </cell>
          <cell r="Y39338" t="str">
            <v>INDIA</v>
          </cell>
        </row>
        <row r="39339">
          <cell r="L39339" t="str">
            <v>Non-proportional</v>
          </cell>
          <cell r="S39339">
            <v>-1471.84</v>
          </cell>
          <cell r="X39339" t="str">
            <v>Variation UPR - gross</v>
          </cell>
          <cell r="Y39339" t="str">
            <v>ISRAEL</v>
          </cell>
        </row>
        <row r="39340">
          <cell r="L39340" t="str">
            <v>Non-proportional</v>
          </cell>
          <cell r="S39340">
            <v>0.02</v>
          </cell>
          <cell r="X39340" t="str">
            <v>Variation UPR - gross</v>
          </cell>
          <cell r="Y39340" t="str">
            <v>DOMINICAN REPUBLIC</v>
          </cell>
        </row>
        <row r="39341">
          <cell r="L39341" t="str">
            <v>Non-proportional</v>
          </cell>
          <cell r="S39341">
            <v>-9985.8700000000008</v>
          </cell>
          <cell r="X39341" t="str">
            <v>Variation UPR - gross</v>
          </cell>
          <cell r="Y39341" t="str">
            <v>FRANCE</v>
          </cell>
        </row>
        <row r="39342">
          <cell r="L39342" t="str">
            <v>Non-proportional</v>
          </cell>
          <cell r="S39342">
            <v>114.59</v>
          </cell>
          <cell r="X39342" t="str">
            <v>Variation UPR - gross</v>
          </cell>
          <cell r="Y39342" t="str">
            <v>JAPAN</v>
          </cell>
        </row>
        <row r="39343">
          <cell r="L39343" t="str">
            <v>Non-proportional</v>
          </cell>
          <cell r="S39343">
            <v>-1733.75</v>
          </cell>
          <cell r="X39343" t="str">
            <v>Variation UPR - gross</v>
          </cell>
          <cell r="Y39343" t="str">
            <v>PORTUGAL</v>
          </cell>
        </row>
        <row r="39344">
          <cell r="L39344" t="str">
            <v>Non-proportional</v>
          </cell>
          <cell r="S39344">
            <v>2.25</v>
          </cell>
          <cell r="X39344" t="str">
            <v>Variation UPR - gross</v>
          </cell>
          <cell r="Y39344" t="str">
            <v>GUATEMALA</v>
          </cell>
        </row>
        <row r="39345">
          <cell r="L39345" t="str">
            <v>Non-proportional</v>
          </cell>
          <cell r="S39345">
            <v>9728.32</v>
          </cell>
          <cell r="X39345" t="str">
            <v>Variation UPR - gross</v>
          </cell>
          <cell r="Y39345" t="str">
            <v>UNITED KINGDOM</v>
          </cell>
        </row>
        <row r="39346">
          <cell r="L39346" t="str">
            <v>Non-proportional</v>
          </cell>
          <cell r="S39346">
            <v>-2164.77</v>
          </cell>
          <cell r="X39346" t="str">
            <v>Variation UPR - gross</v>
          </cell>
          <cell r="Y39346" t="str">
            <v>JAPAN</v>
          </cell>
        </row>
        <row r="39347">
          <cell r="L39347" t="str">
            <v>Non-proportional</v>
          </cell>
          <cell r="S39347">
            <v>0.02</v>
          </cell>
          <cell r="X39347" t="str">
            <v>Variation UPR - gross</v>
          </cell>
          <cell r="Y39347" t="str">
            <v>INDIA</v>
          </cell>
        </row>
        <row r="39348">
          <cell r="L39348" t="str">
            <v>Non-proportional</v>
          </cell>
          <cell r="S39348">
            <v>-5001.13</v>
          </cell>
          <cell r="X39348" t="str">
            <v>Variation UPR - gross</v>
          </cell>
          <cell r="Y39348" t="str">
            <v>ITALY</v>
          </cell>
        </row>
        <row r="39349">
          <cell r="L39349" t="str">
            <v>Non-proportional</v>
          </cell>
          <cell r="S39349">
            <v>-10665.53</v>
          </cell>
          <cell r="X39349" t="str">
            <v>Variation UPR - gross</v>
          </cell>
          <cell r="Y39349" t="str">
            <v>CHILE</v>
          </cell>
        </row>
        <row r="39350">
          <cell r="L39350" t="str">
            <v>Non-proportional</v>
          </cell>
          <cell r="S39350">
            <v>-3734.65</v>
          </cell>
          <cell r="X39350" t="str">
            <v>Variation UPR - gross</v>
          </cell>
          <cell r="Y39350" t="str">
            <v>ECUADOR</v>
          </cell>
        </row>
        <row r="39351">
          <cell r="L39351" t="str">
            <v>Non-proportional</v>
          </cell>
          <cell r="S39351">
            <v>-368.49</v>
          </cell>
          <cell r="X39351" t="str">
            <v>Variation UPR - gross</v>
          </cell>
          <cell r="Y39351" t="str">
            <v>TURKEY</v>
          </cell>
        </row>
        <row r="39352">
          <cell r="L39352" t="str">
            <v>Non-proportional</v>
          </cell>
          <cell r="S39352">
            <v>-5760.06</v>
          </cell>
          <cell r="X39352" t="str">
            <v>Variation UPR - gross</v>
          </cell>
          <cell r="Y39352" t="str">
            <v>CHILE</v>
          </cell>
        </row>
        <row r="39353">
          <cell r="L39353" t="str">
            <v>Non-proportional</v>
          </cell>
          <cell r="S39353">
            <v>-8357.56</v>
          </cell>
          <cell r="X39353" t="str">
            <v>Variation UPR - gross</v>
          </cell>
          <cell r="Y39353" t="str">
            <v>AUSTRALIA</v>
          </cell>
        </row>
        <row r="39354">
          <cell r="L39354" t="str">
            <v>Non-proportional</v>
          </cell>
          <cell r="S39354">
            <v>-9500.14</v>
          </cell>
          <cell r="X39354" t="str">
            <v>Variation UPR - gross</v>
          </cell>
          <cell r="Y39354" t="str">
            <v>TURKEY</v>
          </cell>
        </row>
        <row r="39355">
          <cell r="L39355" t="str">
            <v>Proportional</v>
          </cell>
          <cell r="S39355">
            <v>-24979.49</v>
          </cell>
          <cell r="X39355" t="str">
            <v>Variation UPR - gross</v>
          </cell>
          <cell r="Y39355" t="str">
            <v>JAPAN</v>
          </cell>
        </row>
        <row r="39356">
          <cell r="L39356" t="str">
            <v>Non-proportional</v>
          </cell>
          <cell r="S39356">
            <v>-740.4</v>
          </cell>
          <cell r="X39356" t="str">
            <v>Variation UPR - gross</v>
          </cell>
          <cell r="Y39356" t="str">
            <v>FRANCE</v>
          </cell>
        </row>
        <row r="39357">
          <cell r="L39357" t="str">
            <v>Non-proportional</v>
          </cell>
          <cell r="S39357">
            <v>114.06</v>
          </cell>
          <cell r="X39357" t="str">
            <v>Variation UPR - gross</v>
          </cell>
          <cell r="Y39357" t="str">
            <v>JAPAN</v>
          </cell>
        </row>
        <row r="39358">
          <cell r="L39358" t="str">
            <v>Non-proportional</v>
          </cell>
          <cell r="S39358">
            <v>-9422.51</v>
          </cell>
          <cell r="X39358" t="str">
            <v>Variation UPR - gross</v>
          </cell>
          <cell r="Y39358" t="str">
            <v>COSTA RICA</v>
          </cell>
        </row>
        <row r="39359">
          <cell r="L39359" t="str">
            <v>Non-proportional</v>
          </cell>
          <cell r="S39359">
            <v>-7342.39</v>
          </cell>
          <cell r="X39359" t="str">
            <v>Variation UPR - gross</v>
          </cell>
          <cell r="Y39359" t="str">
            <v>FRANCE</v>
          </cell>
        </row>
        <row r="39360">
          <cell r="L39360" t="str">
            <v>Non-proportional</v>
          </cell>
          <cell r="S39360">
            <v>-6124.07</v>
          </cell>
          <cell r="X39360" t="str">
            <v>Variation UPR - gross</v>
          </cell>
          <cell r="Y39360" t="str">
            <v>ECUADOR</v>
          </cell>
        </row>
        <row r="39361">
          <cell r="L39361" t="str">
            <v>Non-proportional</v>
          </cell>
          <cell r="S39361">
            <v>-898.87</v>
          </cell>
          <cell r="X39361" t="str">
            <v>Variation UPR - gross</v>
          </cell>
          <cell r="Y39361" t="str">
            <v>FRANCE</v>
          </cell>
        </row>
        <row r="39362">
          <cell r="L39362" t="str">
            <v>Non-proportional</v>
          </cell>
          <cell r="S39362">
            <v>-1718</v>
          </cell>
          <cell r="X39362" t="str">
            <v>Variation UPR - gross</v>
          </cell>
          <cell r="Y39362" t="str">
            <v>FRANCE</v>
          </cell>
        </row>
        <row r="39363">
          <cell r="L39363" t="str">
            <v>Non-proportional</v>
          </cell>
          <cell r="S39363">
            <v>-938.54</v>
          </cell>
          <cell r="X39363" t="str">
            <v>Variation UPR - gross</v>
          </cell>
          <cell r="Y39363" t="str">
            <v>ITALY</v>
          </cell>
        </row>
        <row r="39364">
          <cell r="L39364" t="str">
            <v>Non-proportional</v>
          </cell>
          <cell r="S39364">
            <v>-1813.52</v>
          </cell>
          <cell r="X39364" t="str">
            <v>Variation UPR - gross</v>
          </cell>
          <cell r="Y39364" t="str">
            <v>JAPAN</v>
          </cell>
        </row>
        <row r="39365">
          <cell r="L39365" t="str">
            <v>Non-proportional</v>
          </cell>
          <cell r="S39365">
            <v>-3819.08</v>
          </cell>
          <cell r="X39365" t="str">
            <v>Variation UPR - gross</v>
          </cell>
          <cell r="Y39365" t="str">
            <v>NEW ZEALAND</v>
          </cell>
        </row>
        <row r="39366">
          <cell r="L39366" t="str">
            <v>Non-proportional</v>
          </cell>
          <cell r="S39366">
            <v>-3327.24</v>
          </cell>
          <cell r="X39366" t="str">
            <v>Variation UPR - gross</v>
          </cell>
          <cell r="Y39366" t="str">
            <v>CHILE</v>
          </cell>
        </row>
        <row r="39367">
          <cell r="L39367" t="str">
            <v>Non-proportional</v>
          </cell>
          <cell r="S39367">
            <v>-7492.29</v>
          </cell>
          <cell r="X39367" t="str">
            <v>Variation UPR - gross</v>
          </cell>
          <cell r="Y39367" t="str">
            <v>FRANCE</v>
          </cell>
        </row>
        <row r="39368">
          <cell r="L39368" t="str">
            <v>Non-proportional</v>
          </cell>
          <cell r="S39368">
            <v>-44033.4</v>
          </cell>
          <cell r="X39368" t="str">
            <v>Variation UPR - gross</v>
          </cell>
          <cell r="Y39368" t="str">
            <v>UNITED KINGDOM</v>
          </cell>
        </row>
        <row r="39369">
          <cell r="L39369" t="str">
            <v>Non-proportional</v>
          </cell>
          <cell r="S39369">
            <v>-6.56</v>
          </cell>
          <cell r="X39369" t="str">
            <v>Variation UPR - gross</v>
          </cell>
          <cell r="Y39369" t="str">
            <v>COSTA RICA</v>
          </cell>
        </row>
        <row r="39370">
          <cell r="L39370" t="str">
            <v>Non-proportional</v>
          </cell>
          <cell r="S39370">
            <v>36.65</v>
          </cell>
          <cell r="X39370" t="str">
            <v>Variation UPR - gross</v>
          </cell>
          <cell r="Y39370" t="str">
            <v>COLOMBIA</v>
          </cell>
        </row>
        <row r="39371">
          <cell r="L39371" t="str">
            <v>Non-proportional</v>
          </cell>
          <cell r="S39371">
            <v>-114042.09</v>
          </cell>
          <cell r="X39371" t="str">
            <v>Variation UPR - gross</v>
          </cell>
          <cell r="Y39371" t="str">
            <v>AUSTRALIA</v>
          </cell>
        </row>
        <row r="39372">
          <cell r="L39372" t="str">
            <v>Non-proportional</v>
          </cell>
          <cell r="S39372">
            <v>-2840.86</v>
          </cell>
          <cell r="X39372" t="str">
            <v>Variation UPR - gross</v>
          </cell>
          <cell r="Y39372" t="str">
            <v>ISRAEL</v>
          </cell>
        </row>
        <row r="39373">
          <cell r="L39373" t="str">
            <v>Proportional</v>
          </cell>
          <cell r="S39373">
            <v>-324.57</v>
          </cell>
          <cell r="X39373" t="str">
            <v>Variation UPR - gross</v>
          </cell>
          <cell r="Y39373" t="str">
            <v>THAILAND</v>
          </cell>
        </row>
        <row r="39374">
          <cell r="L39374" t="str">
            <v>Non-proportional</v>
          </cell>
          <cell r="S39374">
            <v>-1131.24</v>
          </cell>
          <cell r="X39374" t="str">
            <v>Variation UPR - gross</v>
          </cell>
          <cell r="Y39374" t="str">
            <v>CYPRUS</v>
          </cell>
        </row>
        <row r="39375">
          <cell r="L39375" t="str">
            <v>Proportional</v>
          </cell>
          <cell r="S39375">
            <v>-15.57</v>
          </cell>
          <cell r="X39375" t="str">
            <v>Variation UPR - gross</v>
          </cell>
          <cell r="Y39375" t="str">
            <v>UNITED STATES</v>
          </cell>
        </row>
        <row r="39376">
          <cell r="L39376" t="str">
            <v>Proportional</v>
          </cell>
          <cell r="S39376">
            <v>-27733.48</v>
          </cell>
          <cell r="X39376" t="str">
            <v>Variation UPR - gross</v>
          </cell>
          <cell r="Y39376" t="str">
            <v>BELGIUM</v>
          </cell>
        </row>
        <row r="39377">
          <cell r="L39377" t="str">
            <v>Non-proportional</v>
          </cell>
          <cell r="S39377">
            <v>-2495.2199999999998</v>
          </cell>
          <cell r="X39377" t="str">
            <v>Variation UPR - gross</v>
          </cell>
          <cell r="Y39377" t="str">
            <v>ITALY</v>
          </cell>
        </row>
        <row r="39378">
          <cell r="L39378" t="str">
            <v>Non-proportional</v>
          </cell>
          <cell r="S39378">
            <v>-945.49</v>
          </cell>
          <cell r="X39378" t="str">
            <v>Variation UPR - gross</v>
          </cell>
          <cell r="Y39378" t="str">
            <v>DOMINICAN REPUBLIC</v>
          </cell>
        </row>
        <row r="39379">
          <cell r="L39379" t="str">
            <v>Non-proportional</v>
          </cell>
          <cell r="S39379">
            <v>152.88999999999999</v>
          </cell>
          <cell r="X39379" t="str">
            <v>Variation UPR - gross</v>
          </cell>
          <cell r="Y39379" t="str">
            <v>NEW ZEALAND</v>
          </cell>
        </row>
        <row r="39380">
          <cell r="L39380" t="str">
            <v>Non-proportional</v>
          </cell>
          <cell r="S39380">
            <v>1.01</v>
          </cell>
          <cell r="X39380" t="str">
            <v>Variation UPR - gross</v>
          </cell>
          <cell r="Y39380" t="str">
            <v>GUATEMALA</v>
          </cell>
        </row>
        <row r="39381">
          <cell r="L39381" t="str">
            <v>Non-proportional</v>
          </cell>
          <cell r="S39381">
            <v>-2655</v>
          </cell>
          <cell r="X39381" t="str">
            <v>Variation UPR - gross</v>
          </cell>
          <cell r="Y39381" t="str">
            <v>AUSTRALIA</v>
          </cell>
        </row>
        <row r="39382">
          <cell r="L39382" t="str">
            <v>Non-proportional</v>
          </cell>
          <cell r="S39382">
            <v>-4949.13</v>
          </cell>
          <cell r="X39382" t="str">
            <v>Variation UPR - gross</v>
          </cell>
          <cell r="Y39382" t="str">
            <v>NETHERLANDS</v>
          </cell>
        </row>
        <row r="39383">
          <cell r="L39383" t="str">
            <v>Non-proportional</v>
          </cell>
          <cell r="S39383">
            <v>-3779.73</v>
          </cell>
          <cell r="X39383" t="str">
            <v>Variation UPR - gross</v>
          </cell>
          <cell r="Y39383" t="str">
            <v>ECUADOR</v>
          </cell>
        </row>
        <row r="39384">
          <cell r="L39384" t="str">
            <v>Non-proportional</v>
          </cell>
          <cell r="S39384">
            <v>-2954.19</v>
          </cell>
          <cell r="X39384" t="str">
            <v>Variation UPR - gross</v>
          </cell>
          <cell r="Y39384" t="str">
            <v>ISRAEL</v>
          </cell>
        </row>
        <row r="39385">
          <cell r="L39385" t="str">
            <v>Non-proportional</v>
          </cell>
          <cell r="S39385">
            <v>-71.55</v>
          </cell>
          <cell r="X39385" t="str">
            <v>Variation UPR - gross</v>
          </cell>
          <cell r="Y39385" t="str">
            <v>CHILE</v>
          </cell>
        </row>
        <row r="39386">
          <cell r="L39386" t="str">
            <v>Non-proportional</v>
          </cell>
          <cell r="S39386">
            <v>-35.78</v>
          </cell>
          <cell r="X39386" t="str">
            <v>Variation UPR - gross</v>
          </cell>
          <cell r="Y39386" t="str">
            <v>CHILE</v>
          </cell>
        </row>
        <row r="39387">
          <cell r="L39387" t="str">
            <v>Non-proportional</v>
          </cell>
          <cell r="S39387">
            <v>-33542.6</v>
          </cell>
          <cell r="X39387" t="str">
            <v>Variation UPR - gross</v>
          </cell>
          <cell r="Y39387" t="str">
            <v>UNITED STATES</v>
          </cell>
        </row>
        <row r="39388">
          <cell r="L39388" t="str">
            <v>Non-proportional</v>
          </cell>
          <cell r="S39388">
            <v>-2660.86</v>
          </cell>
          <cell r="X39388" t="str">
            <v>Variation UPR - gross</v>
          </cell>
          <cell r="Y39388" t="str">
            <v>UNITED KINGDOM</v>
          </cell>
        </row>
        <row r="39389">
          <cell r="L39389" t="str">
            <v>Non-proportional</v>
          </cell>
          <cell r="S39389">
            <v>-420.38</v>
          </cell>
          <cell r="X39389" t="str">
            <v>Variation UPR - gross</v>
          </cell>
          <cell r="Y39389" t="str">
            <v>PORTUGAL</v>
          </cell>
        </row>
        <row r="39390">
          <cell r="L39390" t="str">
            <v>Proportional</v>
          </cell>
          <cell r="S39390">
            <v>-43856.39</v>
          </cell>
          <cell r="X39390" t="str">
            <v>Variation UPR - gross</v>
          </cell>
          <cell r="Y39390" t="str">
            <v>PORTUGAL</v>
          </cell>
        </row>
        <row r="39391">
          <cell r="L39391" t="str">
            <v>Non-proportional</v>
          </cell>
          <cell r="S39391">
            <v>90929.47</v>
          </cell>
          <cell r="X39391" t="str">
            <v>Variation UPR - gross</v>
          </cell>
          <cell r="Y39391" t="str">
            <v>INDIA</v>
          </cell>
        </row>
        <row r="39392">
          <cell r="L39392" t="str">
            <v>Non-proportional</v>
          </cell>
          <cell r="S39392">
            <v>-105723.33</v>
          </cell>
          <cell r="X39392" t="str">
            <v>Variation UPR - gross</v>
          </cell>
          <cell r="Y39392" t="str">
            <v>FRANCE</v>
          </cell>
        </row>
        <row r="39393">
          <cell r="L39393" t="str">
            <v>Non-proportional</v>
          </cell>
          <cell r="S39393">
            <v>-553.86</v>
          </cell>
          <cell r="X39393" t="str">
            <v>Variation UPR - gross</v>
          </cell>
          <cell r="Y39393" t="str">
            <v>JAPAN</v>
          </cell>
        </row>
        <row r="39394">
          <cell r="L39394" t="str">
            <v>Non-proportional</v>
          </cell>
          <cell r="S39394">
            <v>-294660.15999999997</v>
          </cell>
          <cell r="X39394" t="str">
            <v>Variation UPR - gross</v>
          </cell>
          <cell r="Y39394" t="str">
            <v>UNITED KINGDOM</v>
          </cell>
        </row>
        <row r="39395">
          <cell r="L39395" t="str">
            <v>Proportional</v>
          </cell>
          <cell r="S39395">
            <v>-903.92</v>
          </cell>
          <cell r="X39395" t="str">
            <v>Variation UPR - gross</v>
          </cell>
          <cell r="Y39395" t="str">
            <v>REPUBLIC OF IRELAND</v>
          </cell>
        </row>
        <row r="39396">
          <cell r="L39396" t="str">
            <v>Non-proportional</v>
          </cell>
          <cell r="S39396">
            <v>-7715.84</v>
          </cell>
          <cell r="X39396" t="str">
            <v>Variation UPR - gross</v>
          </cell>
          <cell r="Y39396" t="str">
            <v>UNITED KINGDOM</v>
          </cell>
        </row>
        <row r="39397">
          <cell r="L39397" t="str">
            <v>Proportional</v>
          </cell>
          <cell r="S39397">
            <v>-438857142.85000002</v>
          </cell>
          <cell r="X39397" t="str">
            <v>Variation UPR - gross</v>
          </cell>
          <cell r="Y39397" t="str">
            <v>ITALY</v>
          </cell>
        </row>
        <row r="39398">
          <cell r="L39398" t="str">
            <v>Non-proportional</v>
          </cell>
          <cell r="S39398">
            <v>-1696.18</v>
          </cell>
          <cell r="X39398" t="str">
            <v>Variation UPR - gross</v>
          </cell>
          <cell r="Y39398" t="str">
            <v>JAPAN</v>
          </cell>
        </row>
        <row r="39399">
          <cell r="L39399" t="str">
            <v>Proportional</v>
          </cell>
          <cell r="S39399">
            <v>-97392.68</v>
          </cell>
          <cell r="X39399" t="str">
            <v>Variation UPR - gross</v>
          </cell>
          <cell r="Y39399" t="str">
            <v>THAILAND</v>
          </cell>
        </row>
        <row r="39400">
          <cell r="L39400" t="str">
            <v>Non-proportional</v>
          </cell>
          <cell r="S39400">
            <v>-87138.33</v>
          </cell>
          <cell r="X39400" t="str">
            <v>Variation UPR - gross</v>
          </cell>
          <cell r="Y39400" t="str">
            <v>EUROPE</v>
          </cell>
        </row>
        <row r="39401">
          <cell r="L39401" t="str">
            <v>Non-proportional</v>
          </cell>
          <cell r="S39401">
            <v>-3249.09</v>
          </cell>
          <cell r="X39401" t="str">
            <v>Variation UPR - gross</v>
          </cell>
          <cell r="Y39401" t="str">
            <v>FRANCE</v>
          </cell>
        </row>
        <row r="39402">
          <cell r="L39402" t="str">
            <v>Non-proportional</v>
          </cell>
          <cell r="S39402">
            <v>-483.02</v>
          </cell>
          <cell r="X39402" t="str">
            <v>Variation UPR - gross</v>
          </cell>
          <cell r="Y39402" t="str">
            <v>BRAZIL</v>
          </cell>
        </row>
        <row r="39403">
          <cell r="L39403" t="str">
            <v>Non-proportional</v>
          </cell>
          <cell r="S39403">
            <v>-3434.57</v>
          </cell>
          <cell r="X39403" t="str">
            <v>Variation UPR - gross</v>
          </cell>
          <cell r="Y39403" t="str">
            <v>CHILE</v>
          </cell>
        </row>
        <row r="39404">
          <cell r="L39404" t="str">
            <v>Non-proportional</v>
          </cell>
          <cell r="S39404">
            <v>112.02</v>
          </cell>
          <cell r="X39404" t="str">
            <v>Variation UPR - gross</v>
          </cell>
          <cell r="Y39404" t="str">
            <v>JAPAN</v>
          </cell>
        </row>
        <row r="39405">
          <cell r="L39405" t="str">
            <v>Non-proportional</v>
          </cell>
          <cell r="S39405">
            <v>-855.84</v>
          </cell>
          <cell r="X39405" t="str">
            <v>Variation UPR - gross</v>
          </cell>
          <cell r="Y39405" t="str">
            <v>AUSTRALIA</v>
          </cell>
        </row>
        <row r="39406">
          <cell r="L39406" t="str">
            <v>Proportional</v>
          </cell>
          <cell r="S39406">
            <v>-33425</v>
          </cell>
          <cell r="X39406" t="str">
            <v>Variation UPR - gross</v>
          </cell>
          <cell r="Y39406" t="str">
            <v>ITALY</v>
          </cell>
        </row>
        <row r="39407">
          <cell r="L39407" t="str">
            <v>Proportional</v>
          </cell>
          <cell r="S39407">
            <v>-37304.78</v>
          </cell>
          <cell r="X39407" t="str">
            <v>Variation UPR - gross</v>
          </cell>
          <cell r="Y39407" t="str">
            <v>THAILAND</v>
          </cell>
        </row>
        <row r="39408">
          <cell r="L39408" t="str">
            <v>Non-proportional</v>
          </cell>
          <cell r="S39408">
            <v>-8843.8799999999992</v>
          </cell>
          <cell r="X39408" t="str">
            <v>Variation UPR - gross</v>
          </cell>
          <cell r="Y39408" t="str">
            <v>TURKEY</v>
          </cell>
        </row>
        <row r="39409">
          <cell r="L39409" t="str">
            <v>Non-proportional</v>
          </cell>
          <cell r="S39409">
            <v>-946.95</v>
          </cell>
          <cell r="X39409" t="str">
            <v>Variation UPR - gross</v>
          </cell>
          <cell r="Y39409" t="str">
            <v>ISRAEL</v>
          </cell>
        </row>
        <row r="39410">
          <cell r="L39410" t="str">
            <v>Non-proportional</v>
          </cell>
          <cell r="S39410">
            <v>-330.34</v>
          </cell>
          <cell r="X39410" t="str">
            <v>Variation UPR - gross</v>
          </cell>
          <cell r="Y39410" t="str">
            <v>COLOMBIA</v>
          </cell>
        </row>
        <row r="39411">
          <cell r="L39411" t="str">
            <v>Non-proportional</v>
          </cell>
          <cell r="S39411">
            <v>-5151.8999999999996</v>
          </cell>
          <cell r="X39411" t="str">
            <v>Variation UPR - gross</v>
          </cell>
          <cell r="Y39411" t="str">
            <v>ITALY</v>
          </cell>
        </row>
        <row r="39412">
          <cell r="L39412" t="str">
            <v>Non-proportional</v>
          </cell>
          <cell r="S39412">
            <v>-6054.96</v>
          </cell>
          <cell r="X39412" t="str">
            <v>Variation UPR - gross</v>
          </cell>
          <cell r="Y39412" t="str">
            <v>FRANCE</v>
          </cell>
        </row>
        <row r="39413">
          <cell r="L39413" t="str">
            <v>Non-proportional</v>
          </cell>
          <cell r="S39413">
            <v>-7932.28</v>
          </cell>
          <cell r="X39413" t="str">
            <v>Variation UPR - gross</v>
          </cell>
          <cell r="Y39413" t="str">
            <v>MEXICO</v>
          </cell>
        </row>
        <row r="39414">
          <cell r="L39414" t="str">
            <v>Non-proportional</v>
          </cell>
          <cell r="S39414">
            <v>-3652.1</v>
          </cell>
          <cell r="X39414" t="str">
            <v>Variation UPR - gross</v>
          </cell>
          <cell r="Y39414" t="str">
            <v>DOMINICAN REPUBLIC</v>
          </cell>
        </row>
        <row r="39415">
          <cell r="L39415" t="str">
            <v>Non-proportional</v>
          </cell>
          <cell r="S39415">
            <v>-1848.61</v>
          </cell>
          <cell r="X39415" t="str">
            <v>Variation UPR - gross</v>
          </cell>
          <cell r="Y39415" t="str">
            <v>NEW ZEALAND</v>
          </cell>
        </row>
        <row r="39416">
          <cell r="L39416" t="str">
            <v>Non-proportional</v>
          </cell>
          <cell r="S39416">
            <v>-10156.290000000001</v>
          </cell>
          <cell r="X39416" t="str">
            <v>Variation UPR - gross</v>
          </cell>
          <cell r="Y39416" t="str">
            <v>EUROPE</v>
          </cell>
        </row>
        <row r="39417">
          <cell r="L39417" t="str">
            <v>Non-proportional</v>
          </cell>
          <cell r="S39417">
            <v>-3966.98</v>
          </cell>
          <cell r="X39417" t="str">
            <v>Variation UPR - gross</v>
          </cell>
          <cell r="Y39417" t="str">
            <v>COLOMBIA</v>
          </cell>
        </row>
        <row r="39418">
          <cell r="L39418" t="str">
            <v>Non-proportional</v>
          </cell>
          <cell r="S39418">
            <v>-2976.11</v>
          </cell>
          <cell r="X39418" t="str">
            <v>Variation UPR - gross</v>
          </cell>
          <cell r="Y39418" t="str">
            <v>DOMINICAN REPUBLIC</v>
          </cell>
        </row>
        <row r="39419">
          <cell r="L39419" t="str">
            <v>Proportional</v>
          </cell>
          <cell r="S39419">
            <v>-1910</v>
          </cell>
          <cell r="X39419" t="str">
            <v>Variation UPR - gross</v>
          </cell>
          <cell r="Y39419" t="str">
            <v>ITALY</v>
          </cell>
        </row>
        <row r="39420">
          <cell r="L39420" t="str">
            <v>Proportional</v>
          </cell>
          <cell r="S39420">
            <v>-44308.71</v>
          </cell>
          <cell r="X39420" t="str">
            <v>Variation UPR - gross</v>
          </cell>
          <cell r="Y39420" t="str">
            <v>MEXICO</v>
          </cell>
        </row>
        <row r="39421">
          <cell r="L39421" t="str">
            <v>Non-proportional</v>
          </cell>
          <cell r="S39421">
            <v>-67842.539999999994</v>
          </cell>
          <cell r="X39421" t="str">
            <v>Variation UPR - gross</v>
          </cell>
          <cell r="Y39421" t="str">
            <v>UNITED KINGDOM</v>
          </cell>
        </row>
        <row r="39422">
          <cell r="L39422" t="str">
            <v>Proportional</v>
          </cell>
          <cell r="S39422">
            <v>-81.69</v>
          </cell>
          <cell r="X39422" t="str">
            <v>Variation UPR - gross</v>
          </cell>
          <cell r="Y39422" t="str">
            <v>UNITED STATES</v>
          </cell>
        </row>
        <row r="39423">
          <cell r="L39423" t="str">
            <v>Non-proportional</v>
          </cell>
          <cell r="S39423">
            <v>-2911.81</v>
          </cell>
          <cell r="X39423" t="str">
            <v>Variation UPR - gross</v>
          </cell>
          <cell r="Y39423" t="str">
            <v>JAPAN</v>
          </cell>
        </row>
        <row r="39424">
          <cell r="L39424" t="str">
            <v>Non-proportional</v>
          </cell>
          <cell r="S39424">
            <v>92.72</v>
          </cell>
          <cell r="X39424" t="str">
            <v>Variation UPR - gross</v>
          </cell>
          <cell r="Y39424" t="str">
            <v>JAPAN</v>
          </cell>
        </row>
        <row r="39425">
          <cell r="L39425" t="str">
            <v>Non-proportional</v>
          </cell>
          <cell r="S39425">
            <v>-2890.27</v>
          </cell>
          <cell r="X39425" t="str">
            <v>Variation UPR - gross</v>
          </cell>
          <cell r="Y39425" t="str">
            <v>JAPAN</v>
          </cell>
        </row>
        <row r="39426">
          <cell r="L39426" t="str">
            <v>Non-proportional</v>
          </cell>
          <cell r="S39426">
            <v>-14246.05</v>
          </cell>
          <cell r="X39426" t="str">
            <v>Variation UPR - gross</v>
          </cell>
          <cell r="Y39426" t="str">
            <v>UNITED KINGDOM</v>
          </cell>
        </row>
        <row r="39427">
          <cell r="L39427" t="str">
            <v>Non-proportional</v>
          </cell>
          <cell r="S39427">
            <v>-3244.77</v>
          </cell>
          <cell r="X39427" t="str">
            <v>Variation UPR - gross</v>
          </cell>
          <cell r="Y39427" t="str">
            <v>FRANCE</v>
          </cell>
        </row>
        <row r="39428">
          <cell r="L39428" t="str">
            <v>Non-proportional</v>
          </cell>
          <cell r="S39428">
            <v>-2357.5</v>
          </cell>
          <cell r="X39428" t="str">
            <v>Variation UPR - gross</v>
          </cell>
          <cell r="Y39428" t="str">
            <v>GERMANY</v>
          </cell>
        </row>
        <row r="39429">
          <cell r="L39429" t="str">
            <v>Proportional</v>
          </cell>
          <cell r="S39429">
            <v>-0.39</v>
          </cell>
          <cell r="X39429" t="str">
            <v>Variation UPR - gross</v>
          </cell>
          <cell r="Y39429" t="str">
            <v>UNITED STATES</v>
          </cell>
        </row>
        <row r="39430">
          <cell r="L39430" t="str">
            <v>Non-proportional</v>
          </cell>
          <cell r="S39430">
            <v>-1172.3</v>
          </cell>
          <cell r="X39430" t="str">
            <v>Variation UPR - gross</v>
          </cell>
          <cell r="Y39430" t="str">
            <v>FRANCE</v>
          </cell>
        </row>
        <row r="39431">
          <cell r="L39431" t="str">
            <v>Proportional</v>
          </cell>
          <cell r="S39431">
            <v>-19489.09</v>
          </cell>
          <cell r="X39431" t="str">
            <v>Variation UPR - gross</v>
          </cell>
          <cell r="Y39431" t="str">
            <v>UNITED KINGDOM</v>
          </cell>
        </row>
        <row r="39432">
          <cell r="L39432" t="str">
            <v>Proportional</v>
          </cell>
          <cell r="S39432">
            <v>-9427.76</v>
          </cell>
          <cell r="X39432" t="str">
            <v>Variation UPR - gross</v>
          </cell>
          <cell r="Y39432" t="str">
            <v>FRANCE</v>
          </cell>
        </row>
        <row r="39433">
          <cell r="L39433" t="str">
            <v>Proportional</v>
          </cell>
          <cell r="S39433">
            <v>73.510000000000005</v>
          </cell>
          <cell r="X39433" t="str">
            <v>Variation UPR - gross</v>
          </cell>
          <cell r="Y39433" t="str">
            <v>Ireland</v>
          </cell>
        </row>
        <row r="39434">
          <cell r="L39434" t="str">
            <v>Non-proportional</v>
          </cell>
          <cell r="S39434">
            <v>-1336.83</v>
          </cell>
          <cell r="X39434" t="str">
            <v>Variation UPR - gross</v>
          </cell>
          <cell r="Y39434" t="str">
            <v>NEW ZEALAND</v>
          </cell>
        </row>
        <row r="39435">
          <cell r="L39435" t="str">
            <v>Non-proportional</v>
          </cell>
          <cell r="S39435">
            <v>-12001.33</v>
          </cell>
          <cell r="X39435" t="str">
            <v>Variation UPR - gross</v>
          </cell>
          <cell r="Y39435" t="str">
            <v>ITALY</v>
          </cell>
        </row>
        <row r="39436">
          <cell r="L39436" t="str">
            <v>Non-proportional</v>
          </cell>
          <cell r="S39436">
            <v>0.02</v>
          </cell>
          <cell r="X39436" t="str">
            <v>Variation UPR - gross</v>
          </cell>
          <cell r="Y39436" t="str">
            <v>INDIA</v>
          </cell>
        </row>
        <row r="39437">
          <cell r="L39437" t="str">
            <v>Non-proportional</v>
          </cell>
          <cell r="S39437">
            <v>-1749.72</v>
          </cell>
          <cell r="X39437" t="str">
            <v>Variation UPR - gross</v>
          </cell>
          <cell r="Y39437" t="str">
            <v>NETHERLANDS</v>
          </cell>
        </row>
        <row r="39438">
          <cell r="L39438" t="str">
            <v>Non-proportional</v>
          </cell>
          <cell r="S39438">
            <v>-4821.66</v>
          </cell>
          <cell r="X39438" t="str">
            <v>Variation UPR - gross</v>
          </cell>
          <cell r="Y39438" t="str">
            <v>UNITED KINGDOM</v>
          </cell>
        </row>
        <row r="39439">
          <cell r="L39439" t="str">
            <v>Non-proportional</v>
          </cell>
          <cell r="S39439">
            <v>-4425.46</v>
          </cell>
          <cell r="X39439" t="str">
            <v>Variation UPR - gross</v>
          </cell>
          <cell r="Y39439" t="str">
            <v>FRANCE</v>
          </cell>
        </row>
        <row r="39440">
          <cell r="L39440" t="str">
            <v>Non-proportional</v>
          </cell>
          <cell r="S39440">
            <v>-2489.1799999999998</v>
          </cell>
          <cell r="X39440" t="str">
            <v>Variation UPR - gross</v>
          </cell>
          <cell r="Y39440" t="str">
            <v>THAILAND</v>
          </cell>
        </row>
        <row r="39441">
          <cell r="L39441" t="str">
            <v>Non-proportional</v>
          </cell>
          <cell r="S39441">
            <v>214.66</v>
          </cell>
          <cell r="X39441" t="str">
            <v>Variation UPR - gross</v>
          </cell>
          <cell r="Y39441" t="str">
            <v>CHILE</v>
          </cell>
        </row>
        <row r="39442">
          <cell r="L39442" t="str">
            <v>Non-proportional</v>
          </cell>
          <cell r="S39442">
            <v>-771.5</v>
          </cell>
          <cell r="X39442" t="str">
            <v>Variation UPR - gross</v>
          </cell>
          <cell r="Y39442" t="str">
            <v>GERMANY</v>
          </cell>
        </row>
        <row r="39443">
          <cell r="L39443" t="str">
            <v>Non-proportional</v>
          </cell>
          <cell r="S39443">
            <v>-10499.88</v>
          </cell>
          <cell r="X39443" t="str">
            <v>Variation UPR - gross</v>
          </cell>
          <cell r="Y39443" t="str">
            <v>ITALY</v>
          </cell>
        </row>
        <row r="39444">
          <cell r="L39444" t="str">
            <v>Non-proportional</v>
          </cell>
          <cell r="S39444">
            <v>-6683.34</v>
          </cell>
          <cell r="X39444" t="str">
            <v>Variation UPR - gross</v>
          </cell>
          <cell r="Y39444" t="str">
            <v>FRANCE</v>
          </cell>
        </row>
        <row r="39445">
          <cell r="L39445" t="str">
            <v>Proportional</v>
          </cell>
          <cell r="S39445">
            <v>-26756.23</v>
          </cell>
          <cell r="X39445" t="str">
            <v>Variation UPR - gross</v>
          </cell>
          <cell r="Y39445" t="str">
            <v>THAILAND</v>
          </cell>
        </row>
        <row r="39446">
          <cell r="L39446" t="str">
            <v>Non-proportional</v>
          </cell>
          <cell r="S39446">
            <v>-8020.48</v>
          </cell>
          <cell r="X39446" t="str">
            <v>Variation UPR - gross</v>
          </cell>
          <cell r="Y39446" t="str">
            <v>TURKEY</v>
          </cell>
        </row>
        <row r="39447">
          <cell r="L39447" t="str">
            <v>Proportional</v>
          </cell>
          <cell r="S39447">
            <v>-7127.26</v>
          </cell>
          <cell r="X39447" t="str">
            <v>Variation UPR - gross</v>
          </cell>
          <cell r="Y39447" t="str">
            <v>AUSTRALIA</v>
          </cell>
        </row>
        <row r="39448">
          <cell r="L39448" t="str">
            <v>Non-proportional</v>
          </cell>
          <cell r="S39448">
            <v>-142.91999999999999</v>
          </cell>
          <cell r="X39448" t="str">
            <v>Variation UPR - gross</v>
          </cell>
          <cell r="Y39448" t="str">
            <v>ISRAEL</v>
          </cell>
        </row>
        <row r="39449">
          <cell r="L39449" t="str">
            <v>Non-proportional</v>
          </cell>
          <cell r="S39449">
            <v>-142.91999999999999</v>
          </cell>
          <cell r="X39449" t="str">
            <v>Variation UPR - gross</v>
          </cell>
          <cell r="Y39449" t="str">
            <v>ISRAEL</v>
          </cell>
        </row>
        <row r="39450">
          <cell r="L39450" t="str">
            <v>Non-proportional</v>
          </cell>
          <cell r="S39450">
            <v>-21666.67</v>
          </cell>
          <cell r="X39450" t="str">
            <v>Variation UPR - gross</v>
          </cell>
          <cell r="Y39450" t="str">
            <v>FRANCE</v>
          </cell>
        </row>
        <row r="39451">
          <cell r="L39451" t="str">
            <v>Proportional</v>
          </cell>
          <cell r="S39451">
            <v>-10389.64</v>
          </cell>
          <cell r="X39451" t="str">
            <v>Variation UPR - gross</v>
          </cell>
          <cell r="Y39451" t="str">
            <v>EUROPE</v>
          </cell>
        </row>
        <row r="39452">
          <cell r="L39452" t="str">
            <v>Non-proportional</v>
          </cell>
          <cell r="S39452">
            <v>-19231.490000000002</v>
          </cell>
          <cell r="X39452" t="str">
            <v>Variation UPR - gross</v>
          </cell>
          <cell r="Y39452" t="str">
            <v>FRANCE</v>
          </cell>
        </row>
        <row r="39453">
          <cell r="L39453" t="str">
            <v>Non-proportional</v>
          </cell>
          <cell r="S39453">
            <v>-17202.5</v>
          </cell>
          <cell r="X39453" t="str">
            <v>Variation UPR - gross</v>
          </cell>
          <cell r="Y39453" t="str">
            <v>UNITED KINGDOM</v>
          </cell>
        </row>
        <row r="39454">
          <cell r="L39454" t="str">
            <v>Non-proportional</v>
          </cell>
          <cell r="S39454">
            <v>41.11</v>
          </cell>
          <cell r="X39454" t="str">
            <v>Variation UPR - gross</v>
          </cell>
          <cell r="Y39454" t="str">
            <v>NEW ZEALAND</v>
          </cell>
        </row>
        <row r="39455">
          <cell r="L39455" t="str">
            <v>Non-proportional</v>
          </cell>
          <cell r="S39455">
            <v>23.33</v>
          </cell>
          <cell r="X39455" t="str">
            <v>Variation UPR - gross</v>
          </cell>
          <cell r="Y39455" t="str">
            <v>JAPAN</v>
          </cell>
        </row>
        <row r="39456">
          <cell r="L39456" t="str">
            <v>Non-proportional</v>
          </cell>
          <cell r="S39456">
            <v>18068.900000000001</v>
          </cell>
          <cell r="X39456" t="str">
            <v>Variation UPR - gross</v>
          </cell>
          <cell r="Y39456" t="str">
            <v>PERU</v>
          </cell>
        </row>
        <row r="39457">
          <cell r="L39457" t="str">
            <v>Non-proportional</v>
          </cell>
          <cell r="S39457">
            <v>0.01</v>
          </cell>
          <cell r="X39457" t="str">
            <v>Variation UPR - gross</v>
          </cell>
          <cell r="Y39457" t="str">
            <v>DOMINICAN REPUBLIC</v>
          </cell>
        </row>
        <row r="39458">
          <cell r="L39458" t="str">
            <v>Non-proportional</v>
          </cell>
          <cell r="S39458">
            <v>-4230.63</v>
          </cell>
          <cell r="X39458" t="str">
            <v>Variation UPR - gross</v>
          </cell>
          <cell r="Y39458" t="str">
            <v>ECUADOR</v>
          </cell>
        </row>
        <row r="39459">
          <cell r="L39459" t="str">
            <v>Non-proportional</v>
          </cell>
          <cell r="S39459">
            <v>-638.52</v>
          </cell>
          <cell r="X39459" t="str">
            <v>Variation UPR - gross</v>
          </cell>
          <cell r="Y39459" t="str">
            <v>MALTA</v>
          </cell>
        </row>
        <row r="39460">
          <cell r="L39460" t="str">
            <v>Non-proportional</v>
          </cell>
          <cell r="S39460">
            <v>-6725.39</v>
          </cell>
          <cell r="X39460" t="str">
            <v>Variation UPR - gross</v>
          </cell>
          <cell r="Y39460" t="str">
            <v>COLOMBIA</v>
          </cell>
        </row>
        <row r="39461">
          <cell r="L39461" t="str">
            <v>Non-proportional</v>
          </cell>
          <cell r="S39461">
            <v>-3749.94</v>
          </cell>
          <cell r="X39461" t="str">
            <v>Variation UPR - gross</v>
          </cell>
          <cell r="Y39461" t="str">
            <v>EUROPE</v>
          </cell>
        </row>
        <row r="39462">
          <cell r="L39462" t="str">
            <v>Proportional</v>
          </cell>
          <cell r="S39462">
            <v>-20093.080000000002</v>
          </cell>
          <cell r="X39462" t="str">
            <v>Variation UPR - gross</v>
          </cell>
          <cell r="Y39462" t="str">
            <v>JAPAN</v>
          </cell>
        </row>
        <row r="39463">
          <cell r="L39463" t="str">
            <v>Non-proportional</v>
          </cell>
          <cell r="S39463">
            <v>-7012.01</v>
          </cell>
          <cell r="X39463" t="str">
            <v>Variation UPR - gross</v>
          </cell>
          <cell r="Y39463" t="str">
            <v>POLAND</v>
          </cell>
        </row>
        <row r="39464">
          <cell r="L39464" t="str">
            <v>Non-proportional</v>
          </cell>
          <cell r="S39464">
            <v>-200405.65</v>
          </cell>
          <cell r="X39464" t="str">
            <v>Variation UPR - gross</v>
          </cell>
          <cell r="Y39464" t="str">
            <v>UNITED KINGDOM</v>
          </cell>
        </row>
        <row r="39465">
          <cell r="L39465" t="str">
            <v>Non-proportional</v>
          </cell>
          <cell r="S39465">
            <v>17.91</v>
          </cell>
          <cell r="X39465" t="str">
            <v>Variation UPR - gross</v>
          </cell>
          <cell r="Y39465" t="str">
            <v>JAPAN</v>
          </cell>
        </row>
        <row r="39466">
          <cell r="L39466" t="str">
            <v>Proportional</v>
          </cell>
          <cell r="S39466">
            <v>7707.32</v>
          </cell>
          <cell r="X39466" t="str">
            <v>Variation UPR - gross</v>
          </cell>
          <cell r="Y39466" t="str">
            <v>THAILAND</v>
          </cell>
        </row>
        <row r="39467">
          <cell r="L39467" t="str">
            <v>Non-proportional</v>
          </cell>
          <cell r="S39467">
            <v>-4351.55</v>
          </cell>
          <cell r="X39467" t="str">
            <v>Variation UPR - gross</v>
          </cell>
          <cell r="Y39467" t="str">
            <v>COSTA RICA</v>
          </cell>
        </row>
        <row r="39468">
          <cell r="L39468" t="str">
            <v>Non-proportional</v>
          </cell>
          <cell r="S39468">
            <v>-2203.37</v>
          </cell>
          <cell r="X39468" t="str">
            <v>Variation UPR - gross</v>
          </cell>
          <cell r="Y39468" t="str">
            <v>ECUADOR</v>
          </cell>
        </row>
        <row r="39469">
          <cell r="L39469" t="str">
            <v>Non-proportional</v>
          </cell>
          <cell r="S39469">
            <v>-9491.82</v>
          </cell>
          <cell r="X39469" t="str">
            <v>Variation UPR - gross</v>
          </cell>
          <cell r="Y39469" t="str">
            <v>UNITED KINGDOM</v>
          </cell>
        </row>
        <row r="39470">
          <cell r="L39470" t="str">
            <v>Non-proportional</v>
          </cell>
          <cell r="S39470">
            <v>-1493.26</v>
          </cell>
          <cell r="X39470" t="str">
            <v>Variation UPR - gross</v>
          </cell>
          <cell r="Y39470" t="str">
            <v>MEXICO</v>
          </cell>
        </row>
        <row r="39471">
          <cell r="L39471" t="str">
            <v>Non-proportional</v>
          </cell>
          <cell r="S39471">
            <v>-4731.8100000000004</v>
          </cell>
          <cell r="X39471" t="str">
            <v>Variation UPR - gross</v>
          </cell>
          <cell r="Y39471" t="str">
            <v>ECUADOR</v>
          </cell>
        </row>
        <row r="39472">
          <cell r="L39472" t="str">
            <v>Non-proportional</v>
          </cell>
          <cell r="S39472">
            <v>-310.68</v>
          </cell>
          <cell r="X39472" t="str">
            <v>Variation UPR - gross</v>
          </cell>
          <cell r="Y39472" t="str">
            <v>ITALY</v>
          </cell>
        </row>
        <row r="39473">
          <cell r="L39473" t="str">
            <v>Non-proportional</v>
          </cell>
          <cell r="S39473">
            <v>-12613.42</v>
          </cell>
          <cell r="X39473" t="str">
            <v>Variation UPR - gross</v>
          </cell>
          <cell r="Y39473" t="str">
            <v>NEW ZEALAND</v>
          </cell>
        </row>
        <row r="39474">
          <cell r="L39474" t="str">
            <v>Non-proportional</v>
          </cell>
          <cell r="S39474">
            <v>-129823.33</v>
          </cell>
          <cell r="X39474" t="str">
            <v>Variation UPR - gross</v>
          </cell>
          <cell r="Y39474" t="str">
            <v>PORTUGAL</v>
          </cell>
        </row>
        <row r="39475">
          <cell r="L39475" t="str">
            <v>Non-proportional</v>
          </cell>
          <cell r="S39475">
            <v>-30000</v>
          </cell>
          <cell r="X39475" t="str">
            <v>Variation UPR - gross</v>
          </cell>
          <cell r="Y39475" t="str">
            <v>FRANCE</v>
          </cell>
        </row>
        <row r="39476">
          <cell r="L39476" t="str">
            <v>Non-proportional</v>
          </cell>
          <cell r="S39476">
            <v>-29.84</v>
          </cell>
          <cell r="X39476" t="str">
            <v>Variation UPR - gross</v>
          </cell>
          <cell r="Y39476" t="str">
            <v>ISRAEL</v>
          </cell>
        </row>
        <row r="39477">
          <cell r="L39477" t="str">
            <v>Proportional</v>
          </cell>
          <cell r="S39477">
            <v>83.73</v>
          </cell>
          <cell r="X39477" t="str">
            <v>Variation UPR - gross</v>
          </cell>
          <cell r="Y39477" t="str">
            <v>UNITED STATES</v>
          </cell>
        </row>
        <row r="39478">
          <cell r="L39478" t="str">
            <v>Non-proportional</v>
          </cell>
          <cell r="S39478">
            <v>-1578265.61</v>
          </cell>
          <cell r="X39478" t="str">
            <v>Variation UPR - gross</v>
          </cell>
          <cell r="Y39478" t="str">
            <v>UNITED KINGDOM</v>
          </cell>
        </row>
        <row r="39479">
          <cell r="L39479" t="str">
            <v>Proportional</v>
          </cell>
          <cell r="S39479">
            <v>-61907.35</v>
          </cell>
          <cell r="X39479" t="str">
            <v>Variation UPR - gross</v>
          </cell>
          <cell r="Y39479" t="str">
            <v>CANADA</v>
          </cell>
        </row>
        <row r="39480">
          <cell r="L39480" t="str">
            <v>Non-proportional</v>
          </cell>
          <cell r="S39480">
            <v>-2755.2</v>
          </cell>
          <cell r="X39480" t="str">
            <v>Variation UPR - gross</v>
          </cell>
          <cell r="Y39480" t="str">
            <v>COLOMBIA</v>
          </cell>
        </row>
        <row r="39481">
          <cell r="L39481" t="str">
            <v>Non-proportional</v>
          </cell>
          <cell r="S39481">
            <v>-8500</v>
          </cell>
          <cell r="X39481" t="str">
            <v>Variation UPR - gross</v>
          </cell>
          <cell r="Y39481" t="str">
            <v>ITALY</v>
          </cell>
        </row>
        <row r="39482">
          <cell r="L39482" t="str">
            <v>Non-proportional</v>
          </cell>
          <cell r="S39482">
            <v>-5722.99</v>
          </cell>
          <cell r="X39482" t="str">
            <v>Variation UPR - gross</v>
          </cell>
          <cell r="Y39482" t="str">
            <v>THAILAND</v>
          </cell>
        </row>
        <row r="39483">
          <cell r="L39483" t="str">
            <v>Proportional</v>
          </cell>
          <cell r="S39483">
            <v>6418.23</v>
          </cell>
          <cell r="X39483" t="str">
            <v>Variation UPR - gross</v>
          </cell>
          <cell r="Y39483" t="str">
            <v>UNITED STATES</v>
          </cell>
        </row>
        <row r="39484">
          <cell r="L39484" t="str">
            <v>Non-proportional</v>
          </cell>
          <cell r="S39484">
            <v>-89938.33</v>
          </cell>
          <cell r="X39484" t="str">
            <v>Variation UPR - gross</v>
          </cell>
          <cell r="Y39484" t="str">
            <v>PORTUGAL</v>
          </cell>
        </row>
        <row r="39485">
          <cell r="L39485" t="str">
            <v>Non-proportional</v>
          </cell>
          <cell r="S39485">
            <v>-429.32</v>
          </cell>
          <cell r="X39485" t="str">
            <v>Variation UPR - gross</v>
          </cell>
          <cell r="Y39485" t="str">
            <v>CHILE</v>
          </cell>
        </row>
        <row r="39486">
          <cell r="L39486" t="str">
            <v>Non-proportional</v>
          </cell>
          <cell r="S39486">
            <v>14.6</v>
          </cell>
          <cell r="X39486" t="str">
            <v>Variation UPR - gross</v>
          </cell>
          <cell r="Y39486" t="str">
            <v>JAPAN</v>
          </cell>
        </row>
        <row r="39487">
          <cell r="L39487" t="str">
            <v>Proportional</v>
          </cell>
          <cell r="S39487">
            <v>-194.76</v>
          </cell>
          <cell r="X39487" t="str">
            <v>Variation UPR - gross</v>
          </cell>
          <cell r="Y39487" t="str">
            <v>THAILAND</v>
          </cell>
        </row>
        <row r="39488">
          <cell r="L39488" t="str">
            <v>Non-proportional</v>
          </cell>
          <cell r="S39488">
            <v>-1562.37</v>
          </cell>
          <cell r="X39488" t="str">
            <v>Variation UPR - gross</v>
          </cell>
          <cell r="Y39488" t="str">
            <v>FRANCE</v>
          </cell>
        </row>
        <row r="39489">
          <cell r="L39489" t="str">
            <v>Non-proportional</v>
          </cell>
          <cell r="S39489">
            <v>-3281.25</v>
          </cell>
          <cell r="X39489" t="str">
            <v>Variation UPR - gross</v>
          </cell>
          <cell r="Y39489" t="str">
            <v>ITALY</v>
          </cell>
        </row>
        <row r="39490">
          <cell r="L39490" t="str">
            <v>Proportional</v>
          </cell>
          <cell r="S39490">
            <v>-138049.16</v>
          </cell>
          <cell r="X39490" t="str">
            <v>Variation UPR - gross</v>
          </cell>
          <cell r="Y39490" t="str">
            <v>UNITED STATES</v>
          </cell>
        </row>
        <row r="39491">
          <cell r="L39491" t="str">
            <v>Proportional</v>
          </cell>
          <cell r="S39491">
            <v>1738777.82</v>
          </cell>
          <cell r="X39491" t="str">
            <v>Variation UPR - gross</v>
          </cell>
          <cell r="Y39491" t="str">
            <v>MEXICO</v>
          </cell>
        </row>
        <row r="39492">
          <cell r="L39492" t="str">
            <v>Non-proportional</v>
          </cell>
          <cell r="S39492">
            <v>-6894.33</v>
          </cell>
          <cell r="X39492" t="str">
            <v>Variation UPR - gross</v>
          </cell>
          <cell r="Y39492" t="str">
            <v>UNITED KINGDOM</v>
          </cell>
        </row>
        <row r="39493">
          <cell r="L39493" t="str">
            <v>Non-proportional</v>
          </cell>
          <cell r="S39493">
            <v>-3467.83</v>
          </cell>
          <cell r="X39493" t="str">
            <v>Variation UPR - gross</v>
          </cell>
          <cell r="Y39493" t="str">
            <v>THAILAND</v>
          </cell>
        </row>
        <row r="39494">
          <cell r="L39494" t="str">
            <v>Non-proportional</v>
          </cell>
          <cell r="S39494">
            <v>-15334.33</v>
          </cell>
          <cell r="X39494" t="str">
            <v>Variation UPR - gross</v>
          </cell>
          <cell r="Y39494" t="str">
            <v>UNITED KINGDOM</v>
          </cell>
        </row>
        <row r="39495">
          <cell r="L39495" t="str">
            <v>Non-proportional</v>
          </cell>
          <cell r="S39495">
            <v>-4233.33</v>
          </cell>
          <cell r="X39495" t="str">
            <v>Variation UPR - gross</v>
          </cell>
          <cell r="Y39495" t="str">
            <v>FRANCE</v>
          </cell>
        </row>
        <row r="39496">
          <cell r="L39496" t="str">
            <v>Non-proportional</v>
          </cell>
          <cell r="S39496">
            <v>-772.88</v>
          </cell>
          <cell r="X39496" t="str">
            <v>Variation UPR - gross</v>
          </cell>
          <cell r="Y39496" t="str">
            <v>REPUBLIC OF IRELAND</v>
          </cell>
        </row>
        <row r="39497">
          <cell r="L39497" t="str">
            <v>Non-proportional</v>
          </cell>
          <cell r="S39497">
            <v>-35.46</v>
          </cell>
          <cell r="X39497" t="str">
            <v>Variation UPR - gross</v>
          </cell>
          <cell r="Y39497" t="str">
            <v>BRAZIL</v>
          </cell>
        </row>
        <row r="39498">
          <cell r="L39498" t="str">
            <v>Non-proportional</v>
          </cell>
          <cell r="S39498">
            <v>-6330.4</v>
          </cell>
          <cell r="X39498" t="str">
            <v>Variation UPR - gross</v>
          </cell>
          <cell r="Y39498" t="str">
            <v>ISRAEL</v>
          </cell>
        </row>
        <row r="39499">
          <cell r="L39499" t="str">
            <v>Non-proportional</v>
          </cell>
          <cell r="S39499">
            <v>-2182.27</v>
          </cell>
          <cell r="X39499" t="str">
            <v>Variation UPR - gross</v>
          </cell>
          <cell r="Y39499" t="str">
            <v>INDIA</v>
          </cell>
        </row>
        <row r="39500">
          <cell r="S39500">
            <v>-2372.39</v>
          </cell>
          <cell r="X39500" t="str">
            <v>Variation UPR - gross</v>
          </cell>
          <cell r="Y39500" t="str">
            <v>PORTUGAL</v>
          </cell>
        </row>
        <row r="39501">
          <cell r="L39501" t="str">
            <v>Proportional</v>
          </cell>
          <cell r="S39501">
            <v>4546.1099999999997</v>
          </cell>
          <cell r="X39501" t="str">
            <v>Variation UPR - gross</v>
          </cell>
          <cell r="Y39501" t="str">
            <v>CANADA</v>
          </cell>
        </row>
        <row r="39502">
          <cell r="L39502" t="str">
            <v>Non-proportional</v>
          </cell>
          <cell r="S39502">
            <v>21.61</v>
          </cell>
          <cell r="X39502" t="str">
            <v>Variation UPR - gross</v>
          </cell>
          <cell r="Y39502" t="str">
            <v>COLOMBIA</v>
          </cell>
        </row>
        <row r="39503">
          <cell r="L39503" t="str">
            <v>Non-proportional</v>
          </cell>
          <cell r="S39503">
            <v>-28154.44</v>
          </cell>
          <cell r="X39503" t="str">
            <v>Variation UPR - gross</v>
          </cell>
          <cell r="Y39503" t="str">
            <v>TURKEY</v>
          </cell>
        </row>
        <row r="39504">
          <cell r="L39504" t="str">
            <v>Non-proportional</v>
          </cell>
          <cell r="S39504">
            <v>-969.64</v>
          </cell>
          <cell r="X39504" t="str">
            <v>Variation UPR - gross</v>
          </cell>
          <cell r="Y39504" t="str">
            <v>COLOMBIA</v>
          </cell>
        </row>
        <row r="39505">
          <cell r="L39505" t="str">
            <v>Non-proportional</v>
          </cell>
          <cell r="S39505">
            <v>-1587.35</v>
          </cell>
          <cell r="X39505" t="str">
            <v>Variation UPR - gross</v>
          </cell>
          <cell r="Y39505" t="str">
            <v>ITALY</v>
          </cell>
        </row>
        <row r="39506">
          <cell r="L39506" t="str">
            <v>Non-proportional</v>
          </cell>
          <cell r="S39506">
            <v>-1202.25</v>
          </cell>
          <cell r="X39506" t="str">
            <v>Variation UPR - gross</v>
          </cell>
          <cell r="Y39506" t="str">
            <v>REPUBLIC OF IRELAND</v>
          </cell>
        </row>
        <row r="39507">
          <cell r="L39507" t="str">
            <v>Non-proportional</v>
          </cell>
          <cell r="S39507">
            <v>-4166.67</v>
          </cell>
          <cell r="X39507" t="str">
            <v>Variation UPR - gross</v>
          </cell>
          <cell r="Y39507" t="str">
            <v>TURKEY</v>
          </cell>
        </row>
        <row r="39508">
          <cell r="L39508" t="str">
            <v>Non-proportional</v>
          </cell>
          <cell r="S39508">
            <v>-1406.25</v>
          </cell>
          <cell r="X39508" t="str">
            <v>Variation UPR - gross</v>
          </cell>
          <cell r="Y39508" t="str">
            <v>GREECE</v>
          </cell>
        </row>
        <row r="39509">
          <cell r="L39509" t="str">
            <v>Non-proportional</v>
          </cell>
          <cell r="S39509">
            <v>-4771.1499999999996</v>
          </cell>
          <cell r="X39509" t="str">
            <v>Variation UPR - gross</v>
          </cell>
          <cell r="Y39509" t="str">
            <v>ECUADOR</v>
          </cell>
        </row>
        <row r="39510">
          <cell r="L39510" t="str">
            <v>Non-proportional</v>
          </cell>
          <cell r="S39510">
            <v>-911.7</v>
          </cell>
          <cell r="X39510" t="str">
            <v>Variation UPR - gross</v>
          </cell>
          <cell r="Y39510" t="str">
            <v>INDIA</v>
          </cell>
        </row>
        <row r="39511">
          <cell r="L39511" t="str">
            <v>Non-proportional</v>
          </cell>
          <cell r="S39511">
            <v>104.08</v>
          </cell>
          <cell r="X39511" t="str">
            <v>Variation UPR - gross</v>
          </cell>
          <cell r="Y39511" t="str">
            <v>DOMINICAN REPUBLIC</v>
          </cell>
        </row>
        <row r="39512">
          <cell r="L39512" t="str">
            <v>Non-proportional</v>
          </cell>
          <cell r="S39512">
            <v>-1777.5</v>
          </cell>
          <cell r="X39512" t="str">
            <v>Variation UPR - gross</v>
          </cell>
          <cell r="Y39512" t="str">
            <v>GREECE</v>
          </cell>
        </row>
        <row r="39513">
          <cell r="L39513" t="str">
            <v>Non-proportional</v>
          </cell>
          <cell r="S39513">
            <v>-3796.46</v>
          </cell>
          <cell r="X39513" t="str">
            <v>Variation UPR - gross</v>
          </cell>
          <cell r="Y39513" t="str">
            <v>ITALY</v>
          </cell>
        </row>
        <row r="39514">
          <cell r="L39514" t="str">
            <v>Non-proportional</v>
          </cell>
          <cell r="S39514">
            <v>-2447.71</v>
          </cell>
          <cell r="X39514" t="str">
            <v>Variation UPR - gross</v>
          </cell>
          <cell r="Y39514" t="str">
            <v>MEXICO</v>
          </cell>
        </row>
        <row r="39515">
          <cell r="L39515" t="str">
            <v>Proportional</v>
          </cell>
          <cell r="S39515">
            <v>-2552.48</v>
          </cell>
          <cell r="X39515" t="str">
            <v>Variation UPR - gross</v>
          </cell>
          <cell r="Y39515" t="str">
            <v>HONG KONG</v>
          </cell>
        </row>
        <row r="39516">
          <cell r="L39516" t="str">
            <v>Non-proportional</v>
          </cell>
          <cell r="S39516">
            <v>-853.22</v>
          </cell>
          <cell r="X39516" t="str">
            <v>Variation UPR - gross</v>
          </cell>
          <cell r="Y39516" t="str">
            <v>MEXICO</v>
          </cell>
        </row>
        <row r="39517">
          <cell r="L39517" t="str">
            <v>Proportional</v>
          </cell>
          <cell r="S39517">
            <v>-73142857.140000001</v>
          </cell>
          <cell r="X39517" t="str">
            <v>Variation UPR - gross</v>
          </cell>
          <cell r="Y39517" t="str">
            <v>ITALY</v>
          </cell>
        </row>
        <row r="39518">
          <cell r="L39518" t="str">
            <v>Non-proportional</v>
          </cell>
          <cell r="S39518">
            <v>4002.49</v>
          </cell>
          <cell r="X39518" t="str">
            <v>Variation UPR - gross</v>
          </cell>
          <cell r="Y39518" t="str">
            <v>NEW ZEALAND</v>
          </cell>
        </row>
        <row r="39519">
          <cell r="L39519" t="str">
            <v>Non-proportional</v>
          </cell>
          <cell r="S39519">
            <v>-1458.33</v>
          </cell>
          <cell r="X39519" t="str">
            <v>Variation UPR - gross</v>
          </cell>
          <cell r="Y39519" t="str">
            <v>GREECE</v>
          </cell>
        </row>
        <row r="39520">
          <cell r="L39520" t="str">
            <v>Non-proportional</v>
          </cell>
          <cell r="S39520">
            <v>-1800</v>
          </cell>
          <cell r="X39520" t="str">
            <v>Variation UPR - gross</v>
          </cell>
          <cell r="Y39520" t="str">
            <v>PORTUGAL</v>
          </cell>
        </row>
        <row r="39521">
          <cell r="L39521" t="str">
            <v>Non-proportional</v>
          </cell>
          <cell r="S39521">
            <v>-178.88</v>
          </cell>
          <cell r="X39521" t="str">
            <v>Variation UPR - gross</v>
          </cell>
          <cell r="Y39521" t="str">
            <v>CHILE</v>
          </cell>
        </row>
        <row r="39522">
          <cell r="L39522" t="str">
            <v>Non-proportional</v>
          </cell>
          <cell r="S39522">
            <v>-1015.56</v>
          </cell>
          <cell r="X39522" t="str">
            <v>Variation UPR - gross</v>
          </cell>
          <cell r="Y39522" t="str">
            <v>JAPAN</v>
          </cell>
        </row>
        <row r="39523">
          <cell r="L39523" t="str">
            <v>Non-proportional</v>
          </cell>
          <cell r="S39523">
            <v>-4918.95</v>
          </cell>
          <cell r="X39523" t="str">
            <v>Variation UPR - gross</v>
          </cell>
          <cell r="Y39523" t="str">
            <v>DOMINICAN REPUBLIC</v>
          </cell>
        </row>
        <row r="39524">
          <cell r="L39524" t="str">
            <v>Non-proportional</v>
          </cell>
          <cell r="S39524">
            <v>-101170.87</v>
          </cell>
          <cell r="X39524" t="str">
            <v>Variation UPR - gross</v>
          </cell>
          <cell r="Y39524" t="str">
            <v>UNITED KINGDOM</v>
          </cell>
        </row>
        <row r="39525">
          <cell r="L39525" t="str">
            <v>Non-proportional</v>
          </cell>
          <cell r="S39525">
            <v>-6447.69</v>
          </cell>
          <cell r="X39525" t="str">
            <v>Variation UPR - gross</v>
          </cell>
          <cell r="Y39525" t="str">
            <v>UNITED KINGDOM</v>
          </cell>
        </row>
        <row r="39526">
          <cell r="L39526" t="str">
            <v>Non-proportional</v>
          </cell>
          <cell r="S39526">
            <v>-6818.34</v>
          </cell>
          <cell r="X39526" t="str">
            <v>Variation UPR - gross</v>
          </cell>
          <cell r="Y39526" t="str">
            <v>UNITED KINGDOM</v>
          </cell>
        </row>
        <row r="39527">
          <cell r="L39527" t="str">
            <v>Non-proportional</v>
          </cell>
          <cell r="S39527">
            <v>-1846.62</v>
          </cell>
          <cell r="X39527" t="str">
            <v>Variation UPR - gross</v>
          </cell>
          <cell r="Y39527" t="str">
            <v>ISRAEL</v>
          </cell>
        </row>
        <row r="39528">
          <cell r="L39528" t="str">
            <v>Non-proportional</v>
          </cell>
          <cell r="S39528">
            <v>128194.57</v>
          </cell>
          <cell r="X39528" t="str">
            <v>Variation UPR - gross</v>
          </cell>
          <cell r="Y39528" t="str">
            <v>PERU</v>
          </cell>
        </row>
        <row r="39529">
          <cell r="L39529" t="str">
            <v>Non-proportional</v>
          </cell>
          <cell r="S39529">
            <v>-15042.95</v>
          </cell>
          <cell r="X39529" t="str">
            <v>Variation UPR - gross</v>
          </cell>
          <cell r="Y39529" t="str">
            <v>FRANCE</v>
          </cell>
        </row>
        <row r="39530">
          <cell r="L39530" t="str">
            <v>Proportional</v>
          </cell>
          <cell r="S39530">
            <v>-58762.95</v>
          </cell>
          <cell r="X39530" t="str">
            <v>Variation UPR - gross</v>
          </cell>
          <cell r="Y39530" t="str">
            <v>JAPAN</v>
          </cell>
        </row>
        <row r="39531">
          <cell r="L39531" t="str">
            <v>Non-proportional</v>
          </cell>
          <cell r="S39531">
            <v>-157826.57</v>
          </cell>
          <cell r="X39531" t="str">
            <v>Variation UPR - gross</v>
          </cell>
          <cell r="Y39531" t="str">
            <v>UNITED KINGDOM</v>
          </cell>
        </row>
        <row r="39532">
          <cell r="L39532" t="str">
            <v>Non-proportional</v>
          </cell>
          <cell r="S39532">
            <v>-4509.75</v>
          </cell>
          <cell r="X39532" t="str">
            <v>Variation UPR - gross</v>
          </cell>
          <cell r="Y39532" t="str">
            <v>FRANCE</v>
          </cell>
        </row>
        <row r="39533">
          <cell r="L39533" t="str">
            <v>Non-proportional</v>
          </cell>
          <cell r="S39533">
            <v>-65.459999999999994</v>
          </cell>
          <cell r="X39533" t="str">
            <v>Variation UPR - gross</v>
          </cell>
          <cell r="Y39533" t="str">
            <v>ISRAEL</v>
          </cell>
        </row>
        <row r="39534">
          <cell r="L39534" t="str">
            <v>Non-proportional</v>
          </cell>
          <cell r="S39534">
            <v>-2843.05</v>
          </cell>
          <cell r="X39534" t="str">
            <v>Variation UPR - gross</v>
          </cell>
          <cell r="Y39534" t="str">
            <v>AUSTRALIA</v>
          </cell>
        </row>
        <row r="39535">
          <cell r="L39535" t="str">
            <v>Proportional</v>
          </cell>
          <cell r="S39535">
            <v>-208.45</v>
          </cell>
          <cell r="X39535" t="str">
            <v>Variation UPR - gross</v>
          </cell>
          <cell r="Y39535" t="str">
            <v>UNITED STATES</v>
          </cell>
        </row>
        <row r="39536">
          <cell r="L39536" t="str">
            <v>Proportional</v>
          </cell>
          <cell r="S39536">
            <v>-90755.15</v>
          </cell>
          <cell r="X39536" t="str">
            <v>Variation UPR - gross</v>
          </cell>
          <cell r="Y39536" t="str">
            <v>THAILAND</v>
          </cell>
        </row>
        <row r="39537">
          <cell r="L39537" t="str">
            <v>Non-proportional</v>
          </cell>
          <cell r="S39537">
            <v>41.15</v>
          </cell>
          <cell r="X39537" t="str">
            <v>Variation UPR - gross</v>
          </cell>
          <cell r="Y39537" t="str">
            <v>JAPAN</v>
          </cell>
        </row>
        <row r="39538">
          <cell r="L39538" t="str">
            <v>Non-proportional</v>
          </cell>
          <cell r="S39538">
            <v>-951.94</v>
          </cell>
          <cell r="X39538" t="str">
            <v>Variation UPR - gross</v>
          </cell>
          <cell r="Y39538" t="str">
            <v>JAPAN</v>
          </cell>
        </row>
        <row r="39539">
          <cell r="L39539" t="str">
            <v>Non-proportional</v>
          </cell>
          <cell r="S39539">
            <v>-1456.89</v>
          </cell>
          <cell r="X39539" t="str">
            <v>Variation UPR - gross</v>
          </cell>
          <cell r="Y39539" t="str">
            <v>GUATEMALA</v>
          </cell>
        </row>
        <row r="39540">
          <cell r="L39540" t="str">
            <v>Non-proportional</v>
          </cell>
          <cell r="S39540">
            <v>260371.78</v>
          </cell>
          <cell r="X39540" t="str">
            <v>Variation UPR - gross</v>
          </cell>
          <cell r="Y39540" t="str">
            <v>NEW ZEALAND</v>
          </cell>
        </row>
        <row r="39541">
          <cell r="L39541" t="str">
            <v>Non-proportional</v>
          </cell>
          <cell r="S39541">
            <v>-9273</v>
          </cell>
          <cell r="X39541" t="str">
            <v>Variation UPR - gross</v>
          </cell>
          <cell r="Y39541" t="str">
            <v>CHINA</v>
          </cell>
        </row>
        <row r="39542">
          <cell r="L39542" t="str">
            <v>Non-proportional</v>
          </cell>
          <cell r="S39542">
            <v>-40000</v>
          </cell>
          <cell r="X39542" t="str">
            <v>Variation UPR - gross</v>
          </cell>
          <cell r="Y39542" t="str">
            <v>ITALY</v>
          </cell>
        </row>
        <row r="39543">
          <cell r="L39543" t="str">
            <v>Non-proportional</v>
          </cell>
          <cell r="S39543">
            <v>0.02</v>
          </cell>
          <cell r="X39543" t="str">
            <v>Variation UPR - gross</v>
          </cell>
          <cell r="Y39543" t="str">
            <v>DOMINICAN REPUBLIC</v>
          </cell>
        </row>
        <row r="39544">
          <cell r="L39544" t="str">
            <v>Non-proportional</v>
          </cell>
          <cell r="S39544">
            <v>-3119.09</v>
          </cell>
          <cell r="X39544" t="str">
            <v>Variation UPR - gross</v>
          </cell>
          <cell r="Y39544" t="str">
            <v>GUATEMALA</v>
          </cell>
        </row>
        <row r="39545">
          <cell r="L39545" t="str">
            <v>Non-proportional</v>
          </cell>
          <cell r="S39545">
            <v>-1468.75</v>
          </cell>
          <cell r="X39545" t="str">
            <v>Variation UPR - gross</v>
          </cell>
          <cell r="Y39545" t="str">
            <v>GREECE</v>
          </cell>
        </row>
        <row r="39546">
          <cell r="L39546" t="str">
            <v>Non-proportional</v>
          </cell>
          <cell r="S39546">
            <v>-1685.2</v>
          </cell>
          <cell r="X39546" t="str">
            <v>Variation UPR - gross</v>
          </cell>
          <cell r="Y39546" t="str">
            <v>ECUADOR</v>
          </cell>
        </row>
        <row r="39547">
          <cell r="L39547" t="str">
            <v>Non-proportional</v>
          </cell>
          <cell r="S39547">
            <v>-6500</v>
          </cell>
          <cell r="X39547" t="str">
            <v>Variation UPR - gross</v>
          </cell>
          <cell r="Y39547" t="str">
            <v>FRANCE</v>
          </cell>
        </row>
        <row r="39548">
          <cell r="L39548" t="str">
            <v>Proportional</v>
          </cell>
          <cell r="S39548">
            <v>23880.55</v>
          </cell>
          <cell r="X39548" t="str">
            <v>Variation UPR - gross</v>
          </cell>
          <cell r="Y39548" t="str">
            <v>ITALY</v>
          </cell>
        </row>
        <row r="39549">
          <cell r="L39549" t="str">
            <v>Non-proportional</v>
          </cell>
          <cell r="S39549">
            <v>-6268.46</v>
          </cell>
          <cell r="X39549" t="str">
            <v>Variation UPR - gross</v>
          </cell>
          <cell r="Y39549" t="str">
            <v>AUSTRALIA</v>
          </cell>
        </row>
        <row r="39550">
          <cell r="L39550" t="str">
            <v>Non-proportional</v>
          </cell>
          <cell r="S39550">
            <v>-3921.81</v>
          </cell>
          <cell r="X39550" t="str">
            <v>Variation UPR - gross</v>
          </cell>
          <cell r="Y39550" t="str">
            <v>UNITED KINGDOM</v>
          </cell>
        </row>
        <row r="39551">
          <cell r="L39551" t="str">
            <v>Non-proportional</v>
          </cell>
          <cell r="S39551">
            <v>-5533.72</v>
          </cell>
          <cell r="X39551" t="str">
            <v>Variation UPR - gross</v>
          </cell>
          <cell r="Y39551" t="str">
            <v>UNITED KINGDOM</v>
          </cell>
        </row>
        <row r="39552">
          <cell r="L39552" t="str">
            <v>Non-proportional</v>
          </cell>
          <cell r="S39552">
            <v>-372375.97</v>
          </cell>
          <cell r="X39552" t="str">
            <v>Variation UPR - gross</v>
          </cell>
          <cell r="Y39552" t="str">
            <v>UNITED KINGDOM</v>
          </cell>
        </row>
        <row r="39553">
          <cell r="L39553" t="str">
            <v>Non-proportional</v>
          </cell>
          <cell r="S39553">
            <v>-1814.35</v>
          </cell>
          <cell r="X39553" t="str">
            <v>Variation UPR - gross</v>
          </cell>
          <cell r="Y39553" t="str">
            <v>SOUTH AFRICA</v>
          </cell>
        </row>
        <row r="39554">
          <cell r="L39554" t="str">
            <v>Non-proportional</v>
          </cell>
          <cell r="S39554">
            <v>-35326.94</v>
          </cell>
          <cell r="X39554" t="str">
            <v>Variation UPR - gross</v>
          </cell>
          <cell r="Y39554" t="str">
            <v>TURKEY</v>
          </cell>
        </row>
        <row r="39555">
          <cell r="L39555" t="str">
            <v>Non-proportional</v>
          </cell>
          <cell r="S39555">
            <v>-2907.08</v>
          </cell>
          <cell r="X39555" t="str">
            <v>Variation UPR - gross</v>
          </cell>
          <cell r="Y39555" t="str">
            <v>THAILAND</v>
          </cell>
        </row>
        <row r="39556">
          <cell r="L39556" t="str">
            <v>Non-proportional</v>
          </cell>
          <cell r="S39556">
            <v>-4204.96</v>
          </cell>
          <cell r="X39556" t="str">
            <v>Variation UPR - gross</v>
          </cell>
          <cell r="Y39556" t="str">
            <v>THAILAND</v>
          </cell>
        </row>
        <row r="39557">
          <cell r="L39557" t="str">
            <v>Non-proportional</v>
          </cell>
          <cell r="S39557">
            <v>-53040.54</v>
          </cell>
          <cell r="X39557" t="str">
            <v>Variation UPR - gross</v>
          </cell>
          <cell r="Y39557" t="str">
            <v>UNITED KINGDOM</v>
          </cell>
        </row>
        <row r="39558">
          <cell r="L39558" t="str">
            <v>Non-proportional</v>
          </cell>
          <cell r="S39558">
            <v>183.35</v>
          </cell>
          <cell r="X39558" t="str">
            <v>Variation UPR - gross</v>
          </cell>
          <cell r="Y39558" t="str">
            <v>JAPAN</v>
          </cell>
        </row>
        <row r="39559">
          <cell r="L39559" t="str">
            <v>Non-proportional</v>
          </cell>
          <cell r="S39559">
            <v>-1323.55</v>
          </cell>
          <cell r="X39559" t="str">
            <v>Variation UPR - gross</v>
          </cell>
          <cell r="Y39559" t="str">
            <v>JAPAN</v>
          </cell>
        </row>
        <row r="39560">
          <cell r="L39560" t="str">
            <v>Proportional</v>
          </cell>
          <cell r="S39560">
            <v>-60600.47</v>
          </cell>
          <cell r="X39560" t="str">
            <v>Variation UPR - gross</v>
          </cell>
          <cell r="Y39560" t="str">
            <v>JAPAN</v>
          </cell>
        </row>
        <row r="39561">
          <cell r="L39561" t="str">
            <v>Proportional</v>
          </cell>
          <cell r="S39561">
            <v>-5025.2700000000004</v>
          </cell>
          <cell r="X39561" t="str">
            <v>Variation UPR - gross</v>
          </cell>
          <cell r="Y39561" t="str">
            <v>INDIA</v>
          </cell>
        </row>
        <row r="39562">
          <cell r="L39562" t="str">
            <v>Non-proportional</v>
          </cell>
          <cell r="S39562">
            <v>-11174.6</v>
          </cell>
          <cell r="X39562" t="str">
            <v>Variation UPR - gross</v>
          </cell>
          <cell r="Y39562" t="str">
            <v>MEXICO</v>
          </cell>
        </row>
        <row r="39563">
          <cell r="L39563" t="str">
            <v>Non-proportional</v>
          </cell>
          <cell r="S39563">
            <v>-6734.65</v>
          </cell>
          <cell r="X39563" t="str">
            <v>Variation UPR - gross</v>
          </cell>
          <cell r="Y39563" t="str">
            <v>JAPAN</v>
          </cell>
        </row>
        <row r="39564">
          <cell r="L39564" t="str">
            <v>Proportional</v>
          </cell>
          <cell r="S39564">
            <v>-138200.56</v>
          </cell>
          <cell r="X39564" t="str">
            <v>Variation UPR - gross</v>
          </cell>
          <cell r="Y39564" t="str">
            <v>THAILAND</v>
          </cell>
        </row>
        <row r="39565">
          <cell r="L39565" t="str">
            <v>Non-proportional</v>
          </cell>
          <cell r="S39565">
            <v>-3391.16</v>
          </cell>
          <cell r="X39565" t="str">
            <v>Variation UPR - gross</v>
          </cell>
          <cell r="Y39565" t="str">
            <v>UNITED KINGDOM</v>
          </cell>
        </row>
        <row r="39566">
          <cell r="L39566" t="str">
            <v>Non-proportional</v>
          </cell>
          <cell r="S39566">
            <v>-2999.74</v>
          </cell>
          <cell r="X39566" t="str">
            <v>Variation UPR - gross</v>
          </cell>
          <cell r="Y39566" t="str">
            <v>NETHERLANDS</v>
          </cell>
        </row>
        <row r="39567">
          <cell r="L39567" t="str">
            <v>Non-proportional</v>
          </cell>
          <cell r="S39567">
            <v>-3593.75</v>
          </cell>
          <cell r="X39567" t="str">
            <v>Variation UPR - gross</v>
          </cell>
          <cell r="Y39567" t="str">
            <v>GREECE</v>
          </cell>
        </row>
        <row r="39568">
          <cell r="L39568" t="str">
            <v>Non-proportional</v>
          </cell>
          <cell r="S39568">
            <v>24.8</v>
          </cell>
          <cell r="X39568" t="str">
            <v>Variation UPR - gross</v>
          </cell>
          <cell r="Y39568" t="str">
            <v>JAPAN</v>
          </cell>
        </row>
        <row r="39569">
          <cell r="L39569" t="str">
            <v>Non-proportional</v>
          </cell>
          <cell r="S39569">
            <v>-192601.96</v>
          </cell>
          <cell r="X39569" t="str">
            <v>Variation UPR - gross</v>
          </cell>
          <cell r="Y39569" t="str">
            <v>PORTUGAL</v>
          </cell>
        </row>
        <row r="39570">
          <cell r="L39570" t="str">
            <v>Non-proportional</v>
          </cell>
          <cell r="S39570">
            <v>27.26</v>
          </cell>
          <cell r="X39570" t="str">
            <v>Variation UPR - gross</v>
          </cell>
          <cell r="Y39570" t="str">
            <v>COLOMBIA</v>
          </cell>
        </row>
        <row r="39571">
          <cell r="L39571" t="str">
            <v>Non-proportional</v>
          </cell>
          <cell r="S39571">
            <v>-109330.38</v>
          </cell>
          <cell r="X39571" t="str">
            <v>Variation UPR - gross</v>
          </cell>
          <cell r="Y39571" t="str">
            <v>FRANCE</v>
          </cell>
        </row>
        <row r="39572">
          <cell r="L39572" t="str">
            <v>Non-proportional</v>
          </cell>
          <cell r="S39572">
            <v>-843.75</v>
          </cell>
          <cell r="X39572" t="str">
            <v>Variation UPR - gross</v>
          </cell>
          <cell r="Y39572" t="str">
            <v>GREECE</v>
          </cell>
        </row>
        <row r="39573">
          <cell r="L39573" t="str">
            <v>Non-proportional</v>
          </cell>
          <cell r="S39573">
            <v>-9915.7000000000007</v>
          </cell>
          <cell r="X39573" t="str">
            <v>Variation UPR - gross</v>
          </cell>
          <cell r="Y39573" t="str">
            <v>NETHERLANDS</v>
          </cell>
        </row>
        <row r="39574">
          <cell r="L39574" t="str">
            <v>Non-proportional</v>
          </cell>
          <cell r="S39574">
            <v>-9590.76</v>
          </cell>
          <cell r="X39574" t="str">
            <v>Variation UPR - gross</v>
          </cell>
          <cell r="Y39574" t="str">
            <v>PERU</v>
          </cell>
        </row>
        <row r="39575">
          <cell r="L39575" t="str">
            <v>Non-proportional</v>
          </cell>
          <cell r="S39575">
            <v>-7940.73</v>
          </cell>
          <cell r="X39575" t="str">
            <v>Variation UPR - gross</v>
          </cell>
          <cell r="Y39575" t="str">
            <v>PERU</v>
          </cell>
        </row>
        <row r="39576">
          <cell r="L39576" t="str">
            <v>Non-proportional</v>
          </cell>
          <cell r="S39576">
            <v>-2191.36</v>
          </cell>
          <cell r="X39576" t="str">
            <v>Variation UPR - gross</v>
          </cell>
          <cell r="Y39576" t="str">
            <v>UNITED KINGDOM</v>
          </cell>
        </row>
        <row r="39577">
          <cell r="L39577" t="str">
            <v>Non-proportional</v>
          </cell>
          <cell r="S39577">
            <v>-15245.8</v>
          </cell>
          <cell r="X39577" t="str">
            <v>Variation UPR - gross</v>
          </cell>
          <cell r="Y39577" t="str">
            <v>AUSTRALIA</v>
          </cell>
        </row>
        <row r="39578">
          <cell r="L39578" t="str">
            <v>Non-proportional</v>
          </cell>
          <cell r="S39578">
            <v>-26153.7</v>
          </cell>
          <cell r="X39578" t="str">
            <v>Variation UPR - gross</v>
          </cell>
          <cell r="Y39578" t="str">
            <v>UNITED KINGDOM</v>
          </cell>
        </row>
        <row r="39579">
          <cell r="L39579" t="str">
            <v>Non-proportional</v>
          </cell>
          <cell r="S39579">
            <v>-182021.67</v>
          </cell>
          <cell r="X39579" t="str">
            <v>Variation UPR - gross</v>
          </cell>
          <cell r="Y39579" t="str">
            <v>PORTUGAL</v>
          </cell>
        </row>
        <row r="39580">
          <cell r="L39580" t="str">
            <v>Non-proportional</v>
          </cell>
          <cell r="S39580">
            <v>-1629</v>
          </cell>
          <cell r="X39580" t="str">
            <v>Variation UPR - gross</v>
          </cell>
          <cell r="Y39580" t="str">
            <v>JAPAN</v>
          </cell>
        </row>
        <row r="39581">
          <cell r="L39581" t="str">
            <v>Non-proportional</v>
          </cell>
          <cell r="S39581">
            <v>-3014.09</v>
          </cell>
          <cell r="X39581" t="str">
            <v>Variation UPR - gross</v>
          </cell>
          <cell r="Y39581" t="str">
            <v>UNITED KINGDOM</v>
          </cell>
        </row>
        <row r="39582">
          <cell r="L39582" t="str">
            <v>Non-proportional</v>
          </cell>
          <cell r="S39582">
            <v>125755.34</v>
          </cell>
          <cell r="X39582" t="str">
            <v>Variation UPR - gross</v>
          </cell>
          <cell r="Y39582" t="str">
            <v>CHILE</v>
          </cell>
        </row>
        <row r="39583">
          <cell r="L39583" t="str">
            <v>Non-proportional</v>
          </cell>
          <cell r="S39583">
            <v>-6442.05</v>
          </cell>
          <cell r="X39583" t="str">
            <v>Variation UPR - gross</v>
          </cell>
          <cell r="Y39583" t="str">
            <v>AUSTRALIA</v>
          </cell>
        </row>
        <row r="39584">
          <cell r="L39584" t="str">
            <v>Non-proportional</v>
          </cell>
          <cell r="S39584">
            <v>-1410.32</v>
          </cell>
          <cell r="X39584" t="str">
            <v>Variation UPR - gross</v>
          </cell>
          <cell r="Y39584" t="str">
            <v>AUSTRALIA</v>
          </cell>
        </row>
        <row r="39585">
          <cell r="L39585" t="str">
            <v>Non-proportional</v>
          </cell>
          <cell r="S39585">
            <v>-643.98</v>
          </cell>
          <cell r="X39585" t="str">
            <v>Variation UPR - gross</v>
          </cell>
          <cell r="Y39585" t="str">
            <v>CHILE</v>
          </cell>
        </row>
        <row r="39586">
          <cell r="L39586" t="str">
            <v>Non-proportional</v>
          </cell>
          <cell r="S39586">
            <v>-1479.32</v>
          </cell>
          <cell r="X39586" t="str">
            <v>Variation UPR - gross</v>
          </cell>
          <cell r="Y39586" t="str">
            <v>UNITED KINGDOM</v>
          </cell>
        </row>
        <row r="39587">
          <cell r="L39587" t="str">
            <v>Non-proportional</v>
          </cell>
          <cell r="S39587">
            <v>0.02</v>
          </cell>
          <cell r="X39587" t="str">
            <v>Variation UPR - gross</v>
          </cell>
          <cell r="Y39587" t="str">
            <v>INDIA</v>
          </cell>
        </row>
        <row r="39588">
          <cell r="L39588" t="str">
            <v>Non-proportional</v>
          </cell>
          <cell r="S39588">
            <v>-3126.85</v>
          </cell>
          <cell r="X39588" t="str">
            <v>Variation UPR - gross</v>
          </cell>
          <cell r="Y39588" t="str">
            <v>FRANCE</v>
          </cell>
        </row>
        <row r="39589">
          <cell r="L39589" t="str">
            <v>Non-proportional</v>
          </cell>
          <cell r="S39589">
            <v>-2261.42</v>
          </cell>
          <cell r="X39589" t="str">
            <v>Variation UPR - gross</v>
          </cell>
          <cell r="Y39589" t="str">
            <v>COLOMBIA</v>
          </cell>
        </row>
        <row r="39590">
          <cell r="L39590" t="str">
            <v>Non-proportional</v>
          </cell>
          <cell r="S39590">
            <v>-7437.5</v>
          </cell>
          <cell r="X39590" t="str">
            <v>Variation UPR - gross</v>
          </cell>
          <cell r="Y39590" t="str">
            <v>ITALY</v>
          </cell>
        </row>
        <row r="39591">
          <cell r="L39591" t="str">
            <v>Non-proportional</v>
          </cell>
          <cell r="S39591">
            <v>53.99</v>
          </cell>
          <cell r="X39591" t="str">
            <v>Variation UPR - gross</v>
          </cell>
          <cell r="Y39591" t="str">
            <v>JAPAN</v>
          </cell>
        </row>
        <row r="39592">
          <cell r="L39592" t="str">
            <v>Non-proportional</v>
          </cell>
          <cell r="S39592">
            <v>-1312.98</v>
          </cell>
          <cell r="X39592" t="str">
            <v>Variation UPR - gross</v>
          </cell>
          <cell r="Y39592" t="str">
            <v>DOMINICAN REPUBLIC</v>
          </cell>
        </row>
        <row r="39593">
          <cell r="L39593" t="str">
            <v>Non-proportional</v>
          </cell>
          <cell r="S39593">
            <v>-4185.91</v>
          </cell>
          <cell r="X39593" t="str">
            <v>Variation UPR - gross</v>
          </cell>
          <cell r="Y39593" t="str">
            <v>FRANCE</v>
          </cell>
        </row>
        <row r="39594">
          <cell r="L39594" t="str">
            <v>Non-proportional</v>
          </cell>
          <cell r="S39594">
            <v>-5918.43</v>
          </cell>
          <cell r="X39594" t="str">
            <v>Variation UPR - gross</v>
          </cell>
          <cell r="Y39594" t="str">
            <v>EUROPE</v>
          </cell>
        </row>
        <row r="39595">
          <cell r="L39595" t="str">
            <v>Proportional</v>
          </cell>
          <cell r="S39595">
            <v>-33004.800000000003</v>
          </cell>
          <cell r="X39595" t="str">
            <v>Variation UPR - gross</v>
          </cell>
          <cell r="Y39595" t="str">
            <v>FRANCE</v>
          </cell>
        </row>
        <row r="39596">
          <cell r="L39596" t="str">
            <v>Proportional</v>
          </cell>
          <cell r="S39596">
            <v>6213.65</v>
          </cell>
          <cell r="X39596" t="str">
            <v>Variation UPR - gross</v>
          </cell>
          <cell r="Y39596" t="str">
            <v>THAILAND</v>
          </cell>
        </row>
        <row r="39597">
          <cell r="L39597" t="str">
            <v>Non-proportional</v>
          </cell>
          <cell r="S39597">
            <v>-12063.87</v>
          </cell>
          <cell r="X39597" t="str">
            <v>Variation UPR - gross</v>
          </cell>
          <cell r="Y39597" t="str">
            <v>COSTA RICA</v>
          </cell>
        </row>
        <row r="39598">
          <cell r="L39598" t="str">
            <v>Non-proportional</v>
          </cell>
          <cell r="S39598">
            <v>-4261.88</v>
          </cell>
          <cell r="X39598" t="str">
            <v>Variation UPR - gross</v>
          </cell>
          <cell r="Y39598" t="str">
            <v>UNITED KINGDOM</v>
          </cell>
        </row>
        <row r="39599">
          <cell r="L39599" t="str">
            <v>Non-proportional</v>
          </cell>
          <cell r="S39599">
            <v>9469593.6699999999</v>
          </cell>
          <cell r="X39599" t="str">
            <v>Variation UPR - gross</v>
          </cell>
          <cell r="Y39599" t="str">
            <v>UNITED KINGDOM</v>
          </cell>
        </row>
        <row r="39600">
          <cell r="L39600" t="str">
            <v>Non-proportional</v>
          </cell>
          <cell r="S39600">
            <v>-975</v>
          </cell>
          <cell r="X39600" t="str">
            <v>Variation UPR - gross</v>
          </cell>
          <cell r="Y39600" t="str">
            <v>GREECE</v>
          </cell>
        </row>
        <row r="39601">
          <cell r="L39601" t="str">
            <v>Non-proportional</v>
          </cell>
          <cell r="S39601">
            <v>-1257.8</v>
          </cell>
          <cell r="X39601" t="str">
            <v>Variation UPR - gross</v>
          </cell>
          <cell r="Y39601" t="str">
            <v>ITALY</v>
          </cell>
        </row>
        <row r="39602">
          <cell r="L39602" t="str">
            <v>Non-proportional</v>
          </cell>
          <cell r="S39602">
            <v>-4092.79</v>
          </cell>
          <cell r="X39602" t="str">
            <v>Variation UPR - gross</v>
          </cell>
          <cell r="Y39602" t="str">
            <v>THAILAND</v>
          </cell>
        </row>
        <row r="39603">
          <cell r="L39603" t="str">
            <v>Non-proportional</v>
          </cell>
          <cell r="S39603">
            <v>-4743.1899999999996</v>
          </cell>
          <cell r="X39603" t="str">
            <v>Variation UPR - gross</v>
          </cell>
          <cell r="Y39603" t="str">
            <v>UNITED KINGDOM</v>
          </cell>
        </row>
        <row r="39604">
          <cell r="L39604" t="str">
            <v>Non-proportional</v>
          </cell>
          <cell r="S39604">
            <v>-132.91999999999999</v>
          </cell>
          <cell r="X39604" t="str">
            <v>Variation UPR - gross</v>
          </cell>
          <cell r="Y39604" t="str">
            <v>ITALY</v>
          </cell>
        </row>
        <row r="39605">
          <cell r="L39605" t="str">
            <v>Non-proportional</v>
          </cell>
          <cell r="S39605">
            <v>-205.67</v>
          </cell>
          <cell r="X39605" t="str">
            <v>Variation UPR - gross</v>
          </cell>
          <cell r="Y39605" t="str">
            <v>FRANCE</v>
          </cell>
        </row>
        <row r="39606">
          <cell r="L39606" t="str">
            <v>Proportional</v>
          </cell>
          <cell r="S39606">
            <v>3414.1</v>
          </cell>
          <cell r="X39606" t="str">
            <v>Variation UPR - gross</v>
          </cell>
          <cell r="Y39606" t="str">
            <v>THAILAND</v>
          </cell>
        </row>
        <row r="39607">
          <cell r="L39607" t="str">
            <v>Proportional</v>
          </cell>
          <cell r="S39607">
            <v>597.47</v>
          </cell>
          <cell r="X39607" t="str">
            <v>Variation UPR - gross</v>
          </cell>
          <cell r="Y39607" t="str">
            <v>THAILAND</v>
          </cell>
        </row>
        <row r="39608">
          <cell r="L39608" t="str">
            <v>Non-proportional</v>
          </cell>
          <cell r="S39608">
            <v>-6640.33</v>
          </cell>
          <cell r="X39608" t="str">
            <v>Variation UPR - gross</v>
          </cell>
          <cell r="Y39608" t="str">
            <v>NEW ZEALAND</v>
          </cell>
        </row>
        <row r="39609">
          <cell r="L39609" t="str">
            <v>Proportional</v>
          </cell>
          <cell r="S39609">
            <v>1792.4</v>
          </cell>
          <cell r="X39609" t="str">
            <v>Variation UPR - gross</v>
          </cell>
          <cell r="Y39609" t="str">
            <v>THAILAND</v>
          </cell>
        </row>
        <row r="39610">
          <cell r="L39610" t="str">
            <v>Non-proportional</v>
          </cell>
          <cell r="S39610">
            <v>-4.6100000000000003</v>
          </cell>
          <cell r="X39610" t="str">
            <v>Variation UPR - gross</v>
          </cell>
          <cell r="Y39610" t="str">
            <v>COSTA RICA</v>
          </cell>
        </row>
        <row r="39611">
          <cell r="L39611" t="str">
            <v>Non-proportional</v>
          </cell>
          <cell r="S39611">
            <v>-12198.63</v>
          </cell>
          <cell r="X39611" t="str">
            <v>Variation UPR - gross</v>
          </cell>
          <cell r="Y39611" t="str">
            <v>AUSTRALIA</v>
          </cell>
        </row>
        <row r="39612">
          <cell r="L39612" t="str">
            <v>Non-proportional</v>
          </cell>
          <cell r="S39612">
            <v>-1957.55</v>
          </cell>
          <cell r="X39612" t="str">
            <v>Variation UPR - gross</v>
          </cell>
          <cell r="Y39612" t="str">
            <v>DOMINICAN REPUBLIC</v>
          </cell>
        </row>
        <row r="39613">
          <cell r="L39613" t="str">
            <v>Non-proportional</v>
          </cell>
          <cell r="S39613">
            <v>-1861.23</v>
          </cell>
          <cell r="X39613" t="str">
            <v>Variation UPR - gross</v>
          </cell>
          <cell r="Y39613" t="str">
            <v>UNITED KINGDOM</v>
          </cell>
        </row>
        <row r="39614">
          <cell r="L39614" t="str">
            <v>Non-proportional</v>
          </cell>
          <cell r="S39614">
            <v>67.48</v>
          </cell>
          <cell r="X39614" t="str">
            <v>Variation UPR - gross</v>
          </cell>
          <cell r="Y39614" t="str">
            <v>JAPAN</v>
          </cell>
        </row>
        <row r="39615">
          <cell r="L39615" t="str">
            <v>Non-proportional</v>
          </cell>
          <cell r="S39615">
            <v>-6666.5</v>
          </cell>
          <cell r="X39615" t="str">
            <v>Variation UPR - gross</v>
          </cell>
          <cell r="Y39615" t="str">
            <v>ITALY</v>
          </cell>
        </row>
        <row r="39616">
          <cell r="L39616" t="str">
            <v>Non-proportional</v>
          </cell>
          <cell r="S39616">
            <v>-2815</v>
          </cell>
          <cell r="X39616" t="str">
            <v>Variation UPR - gross</v>
          </cell>
          <cell r="Y39616" t="str">
            <v>ISRAEL</v>
          </cell>
        </row>
        <row r="39617">
          <cell r="L39617" t="str">
            <v>Proportional</v>
          </cell>
          <cell r="S39617">
            <v>-98.33</v>
          </cell>
          <cell r="X39617" t="str">
            <v>Variation UPR - gross</v>
          </cell>
          <cell r="Y39617" t="str">
            <v>THAILAND</v>
          </cell>
        </row>
        <row r="39618">
          <cell r="L39618" t="str">
            <v>Non-proportional</v>
          </cell>
          <cell r="S39618">
            <v>-795.24</v>
          </cell>
          <cell r="X39618" t="str">
            <v>Variation UPR - gross</v>
          </cell>
          <cell r="Y39618" t="str">
            <v>PERU</v>
          </cell>
        </row>
        <row r="39619">
          <cell r="L39619" t="str">
            <v>Non-proportional</v>
          </cell>
          <cell r="S39619">
            <v>-5761.2</v>
          </cell>
          <cell r="X39619" t="str">
            <v>Variation UPR - gross</v>
          </cell>
          <cell r="Y39619" t="str">
            <v>ISRAEL</v>
          </cell>
        </row>
        <row r="39620">
          <cell r="L39620" t="str">
            <v>Proportional</v>
          </cell>
          <cell r="S39620">
            <v>-33.44</v>
          </cell>
          <cell r="X39620" t="str">
            <v>Variation UPR - gross</v>
          </cell>
          <cell r="Y39620" t="str">
            <v>UNITED STATES</v>
          </cell>
        </row>
        <row r="39621">
          <cell r="L39621" t="str">
            <v>Non-proportional</v>
          </cell>
          <cell r="S39621">
            <v>-2840.84</v>
          </cell>
          <cell r="X39621" t="str">
            <v>Variation UPR - gross</v>
          </cell>
          <cell r="Y39621" t="str">
            <v>EUROPE</v>
          </cell>
        </row>
        <row r="39622">
          <cell r="L39622" t="str">
            <v>Non-proportional</v>
          </cell>
          <cell r="S39622">
            <v>-2047.55</v>
          </cell>
          <cell r="X39622" t="str">
            <v>Variation UPR - gross</v>
          </cell>
          <cell r="Y39622" t="str">
            <v>AUSTRALIA</v>
          </cell>
        </row>
        <row r="39623">
          <cell r="L39623" t="str">
            <v>Non-proportional</v>
          </cell>
          <cell r="S39623">
            <v>-546.88</v>
          </cell>
          <cell r="X39623" t="str">
            <v>Variation UPR - gross</v>
          </cell>
          <cell r="Y39623" t="str">
            <v>ITALY</v>
          </cell>
        </row>
        <row r="39624">
          <cell r="L39624" t="str">
            <v>Non-proportional</v>
          </cell>
          <cell r="S39624">
            <v>-138781.25</v>
          </cell>
          <cell r="X39624" t="str">
            <v>Variation UPR - gross</v>
          </cell>
          <cell r="Y39624" t="str">
            <v>UNITED KINGDOM</v>
          </cell>
        </row>
        <row r="39625">
          <cell r="L39625" t="str">
            <v>Non-proportional</v>
          </cell>
          <cell r="S39625">
            <v>-1567.02</v>
          </cell>
          <cell r="X39625" t="str">
            <v>Variation UPR - gross</v>
          </cell>
          <cell r="Y39625" t="str">
            <v>AUSTRALIA</v>
          </cell>
        </row>
        <row r="39626">
          <cell r="L39626" t="str">
            <v>Non-proportional</v>
          </cell>
          <cell r="S39626">
            <v>-1172.3</v>
          </cell>
          <cell r="X39626" t="str">
            <v>Variation UPR - gross</v>
          </cell>
          <cell r="Y39626" t="str">
            <v>FRANCE</v>
          </cell>
        </row>
        <row r="39627">
          <cell r="L39627" t="str">
            <v>Non-proportional</v>
          </cell>
          <cell r="S39627">
            <v>-71.55</v>
          </cell>
          <cell r="X39627" t="str">
            <v>Variation UPR - gross</v>
          </cell>
          <cell r="Y39627" t="str">
            <v>CHILE</v>
          </cell>
        </row>
        <row r="39628">
          <cell r="L39628" t="str">
            <v>Non-proportional</v>
          </cell>
          <cell r="S39628">
            <v>-16715.509999999998</v>
          </cell>
          <cell r="X39628" t="str">
            <v>Variation UPR - gross</v>
          </cell>
          <cell r="Y39628" t="str">
            <v>AUSTRALIA</v>
          </cell>
        </row>
        <row r="39629">
          <cell r="L39629" t="str">
            <v>Non-proportional</v>
          </cell>
          <cell r="S39629">
            <v>-10000</v>
          </cell>
          <cell r="X39629" t="str">
            <v>Variation UPR - gross</v>
          </cell>
          <cell r="Y39629" t="str">
            <v>EUROPE</v>
          </cell>
        </row>
        <row r="39630">
          <cell r="L39630" t="str">
            <v>Non-proportional</v>
          </cell>
          <cell r="S39630">
            <v>-853.23</v>
          </cell>
          <cell r="X39630" t="str">
            <v>Variation UPR - gross</v>
          </cell>
          <cell r="Y39630" t="str">
            <v>COSTA RICA</v>
          </cell>
        </row>
        <row r="39631">
          <cell r="L39631" t="str">
            <v>Non-proportional</v>
          </cell>
          <cell r="S39631">
            <v>-25515.68</v>
          </cell>
          <cell r="X39631" t="str">
            <v>Variation UPR - gross</v>
          </cell>
          <cell r="Y39631" t="str">
            <v>TURKEY</v>
          </cell>
        </row>
        <row r="39632">
          <cell r="L39632" t="str">
            <v>Non-proportional</v>
          </cell>
          <cell r="S39632">
            <v>-2701.37</v>
          </cell>
          <cell r="X39632" t="str">
            <v>Variation UPR - gross</v>
          </cell>
          <cell r="Y39632" t="str">
            <v>ECUADOR</v>
          </cell>
        </row>
        <row r="39633">
          <cell r="L39633" t="str">
            <v>Non-proportional</v>
          </cell>
          <cell r="S39633">
            <v>-0.1</v>
          </cell>
          <cell r="X39633" t="str">
            <v>Variation UPR - gross</v>
          </cell>
          <cell r="Y39633" t="str">
            <v>INDIA</v>
          </cell>
        </row>
        <row r="39634">
          <cell r="L39634" t="str">
            <v>Non-proportional</v>
          </cell>
          <cell r="S39634">
            <v>-869.65</v>
          </cell>
          <cell r="X39634" t="str">
            <v>Variation UPR - gross</v>
          </cell>
          <cell r="Y39634" t="str">
            <v>SOUTH AFRICA</v>
          </cell>
        </row>
        <row r="39635">
          <cell r="L39635" t="str">
            <v>Non-proportional</v>
          </cell>
          <cell r="S39635">
            <v>0.03</v>
          </cell>
          <cell r="X39635" t="str">
            <v>Variation UPR - gross</v>
          </cell>
          <cell r="Y39635" t="str">
            <v>THAILAND</v>
          </cell>
        </row>
        <row r="39636">
          <cell r="L39636" t="str">
            <v>Non-proportional</v>
          </cell>
          <cell r="S39636">
            <v>-24750</v>
          </cell>
          <cell r="X39636" t="str">
            <v>Variation UPR - gross</v>
          </cell>
          <cell r="Y39636" t="str">
            <v>GREECE</v>
          </cell>
        </row>
        <row r="39637">
          <cell r="L39637" t="str">
            <v>Non-proportional</v>
          </cell>
          <cell r="S39637">
            <v>-1304.52</v>
          </cell>
          <cell r="X39637" t="str">
            <v>Variation UPR - gross</v>
          </cell>
          <cell r="Y39637" t="str">
            <v>COLOMBIA</v>
          </cell>
        </row>
        <row r="39638">
          <cell r="L39638" t="str">
            <v>Non-proportional</v>
          </cell>
          <cell r="S39638">
            <v>-804.1</v>
          </cell>
          <cell r="X39638" t="str">
            <v>Variation UPR - gross</v>
          </cell>
          <cell r="Y39638" t="str">
            <v>PERU</v>
          </cell>
        </row>
        <row r="39639">
          <cell r="L39639" t="str">
            <v>Non-proportional</v>
          </cell>
          <cell r="S39639">
            <v>38139.06</v>
          </cell>
          <cell r="X39639" t="str">
            <v>Variation UPR - gross</v>
          </cell>
          <cell r="Y39639" t="str">
            <v>UNITED KINGDOM</v>
          </cell>
        </row>
        <row r="39640">
          <cell r="L39640" t="str">
            <v>Non-proportional</v>
          </cell>
          <cell r="S39640">
            <v>-1121.5999999999999</v>
          </cell>
          <cell r="X39640" t="str">
            <v>Variation UPR - gross</v>
          </cell>
          <cell r="Y39640" t="str">
            <v>SOUTH AFRICA</v>
          </cell>
        </row>
        <row r="39641">
          <cell r="L39641" t="str">
            <v>Proportional</v>
          </cell>
          <cell r="S39641">
            <v>776.71</v>
          </cell>
          <cell r="X39641" t="str">
            <v>Variation UPR - gross</v>
          </cell>
          <cell r="Y39641" t="str">
            <v>THAILAND</v>
          </cell>
        </row>
        <row r="39642">
          <cell r="L39642" t="str">
            <v>Non-proportional</v>
          </cell>
          <cell r="S39642">
            <v>0.03</v>
          </cell>
          <cell r="X39642" t="str">
            <v>Variation UPR - gross</v>
          </cell>
          <cell r="Y39642" t="str">
            <v>THAILAND</v>
          </cell>
        </row>
        <row r="39643">
          <cell r="L39643" t="str">
            <v>Non-proportional</v>
          </cell>
          <cell r="S39643">
            <v>-9383.26</v>
          </cell>
          <cell r="X39643" t="str">
            <v>Variation UPR - gross</v>
          </cell>
          <cell r="Y39643" t="str">
            <v>ECUADOR</v>
          </cell>
        </row>
        <row r="39644">
          <cell r="L39644" t="str">
            <v>Non-proportional</v>
          </cell>
          <cell r="S39644">
            <v>-3854.17</v>
          </cell>
          <cell r="X39644" t="str">
            <v>Variation UPR - gross</v>
          </cell>
          <cell r="Y39644" t="str">
            <v>FRANCE</v>
          </cell>
        </row>
        <row r="39645">
          <cell r="L39645" t="str">
            <v>Non-proportional</v>
          </cell>
          <cell r="S39645">
            <v>-146.28</v>
          </cell>
          <cell r="X39645" t="str">
            <v>Variation UPR - gross</v>
          </cell>
          <cell r="Y39645" t="str">
            <v>FRANCE</v>
          </cell>
        </row>
        <row r="39646">
          <cell r="L39646" t="str">
            <v>Proportional</v>
          </cell>
          <cell r="S39646">
            <v>19585.46</v>
          </cell>
          <cell r="X39646" t="str">
            <v>Variation UPR - gross</v>
          </cell>
          <cell r="Y39646" t="str">
            <v>HONG KONG</v>
          </cell>
        </row>
        <row r="39647">
          <cell r="L39647" t="str">
            <v>Non-proportional</v>
          </cell>
          <cell r="S39647">
            <v>-90200</v>
          </cell>
          <cell r="X39647" t="str">
            <v>Variation UPR - gross</v>
          </cell>
          <cell r="Y39647" t="str">
            <v>EUROPE</v>
          </cell>
        </row>
        <row r="39648">
          <cell r="L39648" t="str">
            <v>Non-proportional</v>
          </cell>
          <cell r="S39648">
            <v>-1696.18</v>
          </cell>
          <cell r="X39648" t="str">
            <v>Variation UPR - gross</v>
          </cell>
          <cell r="Y39648" t="str">
            <v>JAPAN</v>
          </cell>
        </row>
        <row r="39649">
          <cell r="L39649" t="str">
            <v>Non-proportional</v>
          </cell>
          <cell r="S39649">
            <v>-9348.14</v>
          </cell>
          <cell r="X39649" t="str">
            <v>Variation UPR - gross</v>
          </cell>
          <cell r="Y39649" t="str">
            <v>NETHERLANDS</v>
          </cell>
        </row>
        <row r="39650">
          <cell r="L39650" t="str">
            <v>Non-proportional</v>
          </cell>
          <cell r="S39650">
            <v>-7223.91</v>
          </cell>
          <cell r="X39650" t="str">
            <v>Variation UPR - gross</v>
          </cell>
          <cell r="Y39650" t="str">
            <v>COSTA RICA</v>
          </cell>
        </row>
        <row r="39651">
          <cell r="L39651" t="str">
            <v>Non-proportional</v>
          </cell>
          <cell r="S39651">
            <v>13.23</v>
          </cell>
          <cell r="X39651" t="str">
            <v>Variation UPR - gross</v>
          </cell>
          <cell r="Y39651" t="str">
            <v>NEW ZEALAND</v>
          </cell>
        </row>
        <row r="39652">
          <cell r="L39652" t="str">
            <v>Proportional</v>
          </cell>
          <cell r="S39652">
            <v>-1895.69</v>
          </cell>
          <cell r="X39652" t="str">
            <v>Variation UPR - gross</v>
          </cell>
          <cell r="Y39652" t="str">
            <v>INDIA</v>
          </cell>
        </row>
        <row r="39653">
          <cell r="L39653" t="str">
            <v>Non-proportional</v>
          </cell>
          <cell r="S39653">
            <v>-1415.93</v>
          </cell>
          <cell r="X39653" t="str">
            <v>Variation UPR - gross</v>
          </cell>
          <cell r="Y39653" t="str">
            <v>FRANCE</v>
          </cell>
        </row>
        <row r="39654">
          <cell r="L39654" t="str">
            <v>Non-proportional</v>
          </cell>
          <cell r="S39654">
            <v>-1588.95</v>
          </cell>
          <cell r="X39654" t="str">
            <v>Variation UPR - gross</v>
          </cell>
          <cell r="Y39654" t="str">
            <v>ISRAEL</v>
          </cell>
        </row>
        <row r="39655">
          <cell r="L39655" t="str">
            <v>Non-proportional</v>
          </cell>
          <cell r="S39655">
            <v>-22396.84</v>
          </cell>
          <cell r="X39655" t="str">
            <v>Variation UPR - gross</v>
          </cell>
          <cell r="Y39655" t="str">
            <v>PUERTO RICO</v>
          </cell>
        </row>
        <row r="39656">
          <cell r="L39656" t="str">
            <v>Proportional</v>
          </cell>
          <cell r="S39656">
            <v>-220470.91</v>
          </cell>
          <cell r="X39656" t="str">
            <v>Variation UPR - gross</v>
          </cell>
          <cell r="Y39656" t="str">
            <v>SWITZERLAND</v>
          </cell>
        </row>
        <row r="39657">
          <cell r="L39657" t="str">
            <v>Proportional</v>
          </cell>
          <cell r="S39657">
            <v>-2308.52</v>
          </cell>
          <cell r="X39657" t="str">
            <v>Variation UPR - gross</v>
          </cell>
          <cell r="Y39657" t="str">
            <v>ITALY</v>
          </cell>
        </row>
        <row r="39658">
          <cell r="L39658" t="str">
            <v>Non-proportional</v>
          </cell>
          <cell r="S39658">
            <v>-7897.5</v>
          </cell>
          <cell r="X39658" t="str">
            <v>Variation UPR - gross</v>
          </cell>
          <cell r="Y39658" t="str">
            <v>ITALY</v>
          </cell>
        </row>
        <row r="39659">
          <cell r="L39659" t="str">
            <v>Proportional</v>
          </cell>
          <cell r="S39659">
            <v>-6555.28</v>
          </cell>
          <cell r="X39659" t="str">
            <v>Variation UPR - gross</v>
          </cell>
          <cell r="Y39659" t="str">
            <v>THAILAND</v>
          </cell>
        </row>
        <row r="39660">
          <cell r="L39660" t="str">
            <v>Non-proportional</v>
          </cell>
          <cell r="S39660">
            <v>-5260</v>
          </cell>
          <cell r="X39660" t="str">
            <v>Variation UPR - gross</v>
          </cell>
          <cell r="Y39660" t="str">
            <v>PERU</v>
          </cell>
        </row>
        <row r="39661">
          <cell r="L39661" t="str">
            <v>Non-proportional</v>
          </cell>
          <cell r="S39661">
            <v>-6963.2</v>
          </cell>
          <cell r="X39661" t="str">
            <v>Variation UPR - gross</v>
          </cell>
          <cell r="Y39661" t="str">
            <v>FRANCE</v>
          </cell>
        </row>
        <row r="39662">
          <cell r="L39662" t="str">
            <v>Proportional</v>
          </cell>
          <cell r="S39662">
            <v>-28413</v>
          </cell>
          <cell r="X39662" t="str">
            <v>Variation UPR - gross</v>
          </cell>
          <cell r="Y39662" t="str">
            <v>FRANCE</v>
          </cell>
        </row>
        <row r="39663">
          <cell r="L39663" t="str">
            <v>Non-proportional</v>
          </cell>
          <cell r="S39663">
            <v>13552.69</v>
          </cell>
          <cell r="X39663" t="str">
            <v>Variation UPR - gross</v>
          </cell>
          <cell r="Y39663" t="str">
            <v>UNITED KINGDOM</v>
          </cell>
        </row>
        <row r="39664">
          <cell r="L39664" t="str">
            <v>Non-proportional</v>
          </cell>
          <cell r="S39664">
            <v>-728.75</v>
          </cell>
          <cell r="X39664" t="str">
            <v>Variation UPR - gross</v>
          </cell>
          <cell r="Y39664" t="str">
            <v>ITALY</v>
          </cell>
        </row>
        <row r="39665">
          <cell r="L39665" t="str">
            <v>Non-proportional</v>
          </cell>
          <cell r="S39665">
            <v>143.11000000000001</v>
          </cell>
          <cell r="X39665" t="str">
            <v>Variation UPR - gross</v>
          </cell>
          <cell r="Y39665" t="str">
            <v>CHILE</v>
          </cell>
        </row>
        <row r="39666">
          <cell r="L39666" t="str">
            <v>Non-proportional</v>
          </cell>
          <cell r="S39666">
            <v>-637225.6</v>
          </cell>
          <cell r="X39666" t="str">
            <v>Variation UPR - gross</v>
          </cell>
          <cell r="Y39666" t="str">
            <v>BELGIUM</v>
          </cell>
        </row>
        <row r="39667">
          <cell r="L39667" t="str">
            <v>Non-proportional</v>
          </cell>
          <cell r="S39667">
            <v>-1061352.4099999999</v>
          </cell>
          <cell r="X39667" t="str">
            <v>Variation UPR - gross</v>
          </cell>
          <cell r="Y39667" t="str">
            <v>BELGIUM</v>
          </cell>
        </row>
        <row r="39668">
          <cell r="L39668" t="str">
            <v>Non-proportional</v>
          </cell>
          <cell r="S39668">
            <v>-3264.11</v>
          </cell>
          <cell r="X39668" t="str">
            <v>Variation UPR - gross</v>
          </cell>
          <cell r="Y39668" t="str">
            <v>ISRAEL</v>
          </cell>
        </row>
        <row r="39669">
          <cell r="L39669" t="str">
            <v>Non-proportional</v>
          </cell>
          <cell r="S39669">
            <v>-2637.67</v>
          </cell>
          <cell r="X39669" t="str">
            <v>Variation UPR - gross</v>
          </cell>
          <cell r="Y39669" t="str">
            <v>ISRAEL</v>
          </cell>
        </row>
        <row r="39670">
          <cell r="L39670" t="str">
            <v>Non-proportional</v>
          </cell>
          <cell r="S39670">
            <v>-1211.74</v>
          </cell>
          <cell r="X39670" t="str">
            <v>Variation UPR - gross</v>
          </cell>
          <cell r="Y39670" t="str">
            <v>COLOMBIA</v>
          </cell>
        </row>
        <row r="39671">
          <cell r="L39671" t="str">
            <v>Non-proportional</v>
          </cell>
          <cell r="S39671">
            <v>-9500.14</v>
          </cell>
          <cell r="X39671" t="str">
            <v>Variation UPR - gross</v>
          </cell>
          <cell r="Y39671" t="str">
            <v>TURKEY</v>
          </cell>
        </row>
        <row r="39672">
          <cell r="L39672" t="str">
            <v>Proportional</v>
          </cell>
          <cell r="S39672">
            <v>3406.49</v>
          </cell>
          <cell r="X39672" t="str">
            <v>Variation UPR - gross</v>
          </cell>
          <cell r="Y39672" t="str">
            <v>INDIA</v>
          </cell>
        </row>
        <row r="39673">
          <cell r="L39673" t="str">
            <v>Non-proportional</v>
          </cell>
          <cell r="S39673">
            <v>-543.75</v>
          </cell>
          <cell r="X39673" t="str">
            <v>Variation UPR - gross</v>
          </cell>
          <cell r="Y39673" t="str">
            <v>GREECE</v>
          </cell>
        </row>
        <row r="39674">
          <cell r="L39674" t="str">
            <v>Non-proportional</v>
          </cell>
          <cell r="S39674">
            <v>-3715.9</v>
          </cell>
          <cell r="X39674" t="str">
            <v>Variation UPR - gross</v>
          </cell>
          <cell r="Y39674" t="str">
            <v>ISRAEL</v>
          </cell>
        </row>
        <row r="39675">
          <cell r="L39675" t="str">
            <v>Non-proportional</v>
          </cell>
          <cell r="S39675">
            <v>-3697.23</v>
          </cell>
          <cell r="X39675" t="str">
            <v>Variation UPR - gross</v>
          </cell>
          <cell r="Y39675" t="str">
            <v>SINGAPORE</v>
          </cell>
        </row>
        <row r="39676">
          <cell r="L39676" t="str">
            <v>Non-proportional</v>
          </cell>
          <cell r="S39676">
            <v>-1713.36</v>
          </cell>
          <cell r="X39676" t="str">
            <v>Variation UPR - gross</v>
          </cell>
          <cell r="Y39676" t="str">
            <v>ECUADOR</v>
          </cell>
        </row>
        <row r="39677">
          <cell r="L39677" t="str">
            <v>Non-proportional</v>
          </cell>
          <cell r="S39677">
            <v>84394.84</v>
          </cell>
          <cell r="X39677" t="str">
            <v>Variation UPR - gross</v>
          </cell>
          <cell r="Y39677" t="str">
            <v>JAPAN</v>
          </cell>
        </row>
        <row r="39678">
          <cell r="L39678" t="str">
            <v>Non-proportional</v>
          </cell>
          <cell r="S39678">
            <v>-4778.3999999999996</v>
          </cell>
          <cell r="X39678" t="str">
            <v>Variation UPR - gross</v>
          </cell>
          <cell r="Y39678" t="str">
            <v>SOUTH AFRICA</v>
          </cell>
        </row>
        <row r="39679">
          <cell r="L39679" t="str">
            <v>Non-proportional</v>
          </cell>
          <cell r="S39679">
            <v>-61.57</v>
          </cell>
          <cell r="X39679" t="str">
            <v>Variation UPR - gross</v>
          </cell>
          <cell r="Y39679" t="str">
            <v>ISRAEL</v>
          </cell>
        </row>
        <row r="39680">
          <cell r="L39680" t="str">
            <v>Non-proportional</v>
          </cell>
          <cell r="S39680">
            <v>-3471.35</v>
          </cell>
          <cell r="X39680" t="str">
            <v>Variation UPR - gross</v>
          </cell>
          <cell r="Y39680" t="str">
            <v>COLOMBIA</v>
          </cell>
        </row>
        <row r="39681">
          <cell r="L39681" t="str">
            <v>Non-proportional</v>
          </cell>
          <cell r="S39681">
            <v>-0.04</v>
          </cell>
          <cell r="X39681" t="str">
            <v>Variation UPR - gross</v>
          </cell>
          <cell r="Y39681" t="str">
            <v>INDIA</v>
          </cell>
        </row>
        <row r="39682">
          <cell r="L39682" t="str">
            <v>Non-proportional</v>
          </cell>
          <cell r="S39682">
            <v>-15.54</v>
          </cell>
          <cell r="X39682" t="str">
            <v>Variation UPR - gross</v>
          </cell>
          <cell r="Y39682" t="str">
            <v>ISRAEL</v>
          </cell>
        </row>
        <row r="39683">
          <cell r="L39683" t="str">
            <v>Non-proportional</v>
          </cell>
          <cell r="S39683">
            <v>-1696.8</v>
          </cell>
          <cell r="X39683" t="str">
            <v>Variation UPR - gross</v>
          </cell>
          <cell r="Y39683" t="str">
            <v>COSTA RICA</v>
          </cell>
        </row>
        <row r="39684">
          <cell r="L39684" t="str">
            <v>Non-proportional</v>
          </cell>
          <cell r="S39684">
            <v>-241.76</v>
          </cell>
          <cell r="X39684" t="str">
            <v>Variation UPR - gross</v>
          </cell>
          <cell r="Y39684" t="str">
            <v>COLOMBIA</v>
          </cell>
        </row>
        <row r="39685">
          <cell r="L39685" t="str">
            <v>Non-proportional</v>
          </cell>
          <cell r="S39685">
            <v>-2521279.3199999998</v>
          </cell>
          <cell r="X39685" t="str">
            <v>Variation UPR - gross</v>
          </cell>
          <cell r="Y39685" t="str">
            <v>UNITED KINGDOM</v>
          </cell>
        </row>
        <row r="39686">
          <cell r="L39686" t="str">
            <v>Non-proportional</v>
          </cell>
          <cell r="S39686">
            <v>-12659.61</v>
          </cell>
          <cell r="X39686" t="str">
            <v>Variation UPR - gross</v>
          </cell>
          <cell r="Y39686" t="str">
            <v>ITALY</v>
          </cell>
        </row>
        <row r="39687">
          <cell r="L39687" t="str">
            <v>Non-proportional</v>
          </cell>
          <cell r="S39687">
            <v>21.28</v>
          </cell>
          <cell r="X39687" t="str">
            <v>Variation UPR - gross</v>
          </cell>
          <cell r="Y39687" t="str">
            <v>COLOMBIA</v>
          </cell>
        </row>
        <row r="39688">
          <cell r="L39688" t="str">
            <v>Non-proportional</v>
          </cell>
          <cell r="S39688">
            <v>-9362.25</v>
          </cell>
          <cell r="X39688" t="str">
            <v>Variation UPR - gross</v>
          </cell>
          <cell r="Y39688" t="str">
            <v>COLOMBIA</v>
          </cell>
        </row>
        <row r="39689">
          <cell r="L39689" t="str">
            <v>Non-proportional</v>
          </cell>
          <cell r="S39689">
            <v>558.76</v>
          </cell>
          <cell r="X39689" t="str">
            <v>Variation UPR - gross</v>
          </cell>
          <cell r="Y39689" t="str">
            <v>JAPAN</v>
          </cell>
        </row>
        <row r="39690">
          <cell r="L39690" t="str">
            <v>Proportional</v>
          </cell>
          <cell r="S39690">
            <v>-252482.08</v>
          </cell>
          <cell r="X39690" t="str">
            <v>Variation UPR - gross</v>
          </cell>
          <cell r="Y39690" t="str">
            <v>HONG KONG</v>
          </cell>
        </row>
        <row r="39691">
          <cell r="L39691" t="str">
            <v>Non-proportional</v>
          </cell>
          <cell r="S39691">
            <v>-8750</v>
          </cell>
          <cell r="X39691" t="str">
            <v>Variation UPR - gross</v>
          </cell>
          <cell r="Y39691" t="str">
            <v>EUROPE</v>
          </cell>
        </row>
        <row r="39692">
          <cell r="L39692" t="str">
            <v>Non-proportional</v>
          </cell>
          <cell r="S39692">
            <v>-1323.55</v>
          </cell>
          <cell r="X39692" t="str">
            <v>Variation UPR - gross</v>
          </cell>
          <cell r="Y39692" t="str">
            <v>JAPAN</v>
          </cell>
        </row>
        <row r="39693">
          <cell r="L39693" t="str">
            <v>Proportional</v>
          </cell>
          <cell r="S39693">
            <v>-519016.09</v>
          </cell>
          <cell r="X39693" t="str">
            <v>Variation UPR - gross</v>
          </cell>
          <cell r="Y39693" t="str">
            <v>HONG KONG</v>
          </cell>
        </row>
        <row r="39694">
          <cell r="L39694" t="str">
            <v>Proportional</v>
          </cell>
          <cell r="S39694">
            <v>-25416.92</v>
          </cell>
          <cell r="X39694" t="str">
            <v>Variation UPR - gross</v>
          </cell>
          <cell r="Y39694" t="str">
            <v>THAILAND</v>
          </cell>
        </row>
        <row r="39695">
          <cell r="L39695" t="str">
            <v>Non-proportional</v>
          </cell>
          <cell r="S39695">
            <v>-3281.25</v>
          </cell>
          <cell r="X39695" t="str">
            <v>Variation UPR - gross</v>
          </cell>
          <cell r="Y39695" t="str">
            <v>ITALY</v>
          </cell>
        </row>
        <row r="39696">
          <cell r="L39696" t="str">
            <v>Non-proportional</v>
          </cell>
          <cell r="S39696">
            <v>-40150</v>
          </cell>
          <cell r="X39696" t="str">
            <v>Variation UPR - gross</v>
          </cell>
          <cell r="Y39696" t="str">
            <v>PORTUGAL</v>
          </cell>
        </row>
        <row r="39697">
          <cell r="L39697" t="str">
            <v>Proportional</v>
          </cell>
          <cell r="S39697">
            <v>-936.47</v>
          </cell>
          <cell r="X39697" t="str">
            <v>Variation UPR - gross</v>
          </cell>
          <cell r="Y39697" t="str">
            <v>THAILAND</v>
          </cell>
        </row>
        <row r="39698">
          <cell r="L39698" t="str">
            <v>Non-proportional</v>
          </cell>
          <cell r="S39698">
            <v>-28848.58</v>
          </cell>
          <cell r="X39698" t="str">
            <v>Variation UPR - gross</v>
          </cell>
          <cell r="Y39698" t="str">
            <v>FRANCE</v>
          </cell>
        </row>
        <row r="39699">
          <cell r="L39699" t="str">
            <v>Non-proportional</v>
          </cell>
          <cell r="S39699">
            <v>-195.1</v>
          </cell>
          <cell r="X39699" t="str">
            <v>Variation UPR - gross</v>
          </cell>
          <cell r="Y39699" t="str">
            <v>JAPAN</v>
          </cell>
        </row>
        <row r="39700">
          <cell r="L39700" t="str">
            <v>Non-proportional</v>
          </cell>
          <cell r="S39700">
            <v>-333.95</v>
          </cell>
          <cell r="X39700" t="str">
            <v>Variation UPR - gross</v>
          </cell>
          <cell r="Y39700" t="str">
            <v>TURKEY</v>
          </cell>
        </row>
        <row r="39701">
          <cell r="L39701" t="str">
            <v>Non-proportional</v>
          </cell>
          <cell r="S39701">
            <v>2765.5</v>
          </cell>
          <cell r="X39701" t="str">
            <v>Variation UPR - gross</v>
          </cell>
          <cell r="Y39701" t="str">
            <v>NEW ZEALAND</v>
          </cell>
        </row>
        <row r="39702">
          <cell r="L39702" t="str">
            <v>Non-proportional</v>
          </cell>
          <cell r="S39702">
            <v>-5638.87</v>
          </cell>
          <cell r="X39702" t="str">
            <v>Variation UPR - gross</v>
          </cell>
          <cell r="Y39702" t="str">
            <v>PUERTO RICO</v>
          </cell>
        </row>
        <row r="39703">
          <cell r="L39703" t="str">
            <v>Non-proportional</v>
          </cell>
          <cell r="S39703">
            <v>245.17</v>
          </cell>
          <cell r="X39703" t="str">
            <v>Variation UPR - gross</v>
          </cell>
          <cell r="Y39703" t="str">
            <v>NEW ZEALAND</v>
          </cell>
        </row>
        <row r="39704">
          <cell r="L39704" t="str">
            <v>Proportional</v>
          </cell>
          <cell r="S39704">
            <v>-215155.93</v>
          </cell>
          <cell r="X39704" t="str">
            <v>Variation UPR - gross</v>
          </cell>
          <cell r="Y39704" t="str">
            <v>AUSTRALIA</v>
          </cell>
        </row>
        <row r="39705">
          <cell r="L39705" t="str">
            <v>Non-proportional</v>
          </cell>
          <cell r="S39705">
            <v>-905.42</v>
          </cell>
          <cell r="X39705" t="str">
            <v>Variation UPR - gross</v>
          </cell>
          <cell r="Y39705" t="str">
            <v>ITALY</v>
          </cell>
        </row>
        <row r="39706">
          <cell r="L39706" t="str">
            <v>Non-proportional</v>
          </cell>
          <cell r="S39706">
            <v>-3917.27</v>
          </cell>
          <cell r="X39706" t="str">
            <v>Variation UPR - gross</v>
          </cell>
          <cell r="Y39706" t="str">
            <v>ITALY</v>
          </cell>
        </row>
        <row r="39707">
          <cell r="L39707" t="str">
            <v>Proportional</v>
          </cell>
          <cell r="S39707">
            <v>-89375.37</v>
          </cell>
          <cell r="X39707" t="str">
            <v>Variation UPR - gross</v>
          </cell>
          <cell r="Y39707" t="str">
            <v>FRANCE</v>
          </cell>
        </row>
        <row r="39708">
          <cell r="L39708" t="str">
            <v>Non-proportional</v>
          </cell>
          <cell r="S39708">
            <v>-21379.19</v>
          </cell>
          <cell r="X39708" t="str">
            <v>Variation UPR - gross</v>
          </cell>
          <cell r="Y39708" t="str">
            <v>UNITED KINGDOM</v>
          </cell>
        </row>
        <row r="39709">
          <cell r="L39709" t="str">
            <v>Proportional</v>
          </cell>
          <cell r="S39709">
            <v>-328066.19</v>
          </cell>
          <cell r="X39709" t="str">
            <v>Variation UPR - gross</v>
          </cell>
          <cell r="Y39709" t="str">
            <v>UNITED STATES</v>
          </cell>
        </row>
        <row r="39710">
          <cell r="L39710" t="str">
            <v>Non-proportional</v>
          </cell>
          <cell r="S39710">
            <v>-30345.99</v>
          </cell>
          <cell r="X39710" t="str">
            <v>Variation UPR - gross</v>
          </cell>
          <cell r="Y39710" t="str">
            <v>FRANCE</v>
          </cell>
        </row>
        <row r="39711">
          <cell r="L39711" t="str">
            <v>Non-proportional</v>
          </cell>
          <cell r="S39711">
            <v>-2686.68</v>
          </cell>
          <cell r="X39711" t="str">
            <v>Variation UPR - gross</v>
          </cell>
          <cell r="Y39711" t="str">
            <v>MALTA</v>
          </cell>
        </row>
        <row r="39712">
          <cell r="L39712" t="str">
            <v>Non-proportional</v>
          </cell>
          <cell r="S39712">
            <v>78.849999999999994</v>
          </cell>
          <cell r="X39712" t="str">
            <v>Variation UPR - gross</v>
          </cell>
          <cell r="Y39712" t="str">
            <v>COLOMBIA</v>
          </cell>
        </row>
        <row r="39713">
          <cell r="L39713" t="str">
            <v>Non-proportional</v>
          </cell>
          <cell r="S39713">
            <v>-6907.69</v>
          </cell>
          <cell r="X39713" t="str">
            <v>Variation UPR - gross</v>
          </cell>
          <cell r="Y39713" t="str">
            <v>GREECE</v>
          </cell>
        </row>
        <row r="39714">
          <cell r="L39714" t="str">
            <v>Non-proportional</v>
          </cell>
          <cell r="S39714">
            <v>133705.43</v>
          </cell>
          <cell r="X39714" t="str">
            <v>Variation UPR - gross</v>
          </cell>
          <cell r="Y39714" t="str">
            <v>INDIA</v>
          </cell>
        </row>
        <row r="39715">
          <cell r="L39715" t="str">
            <v>Non-proportional</v>
          </cell>
          <cell r="S39715">
            <v>-4078.13</v>
          </cell>
          <cell r="X39715" t="str">
            <v>Variation UPR - gross</v>
          </cell>
          <cell r="Y39715" t="str">
            <v>GREECE</v>
          </cell>
        </row>
        <row r="39716">
          <cell r="L39716" t="str">
            <v>Non-proportional</v>
          </cell>
          <cell r="S39716">
            <v>-617</v>
          </cell>
          <cell r="X39716" t="str">
            <v>Variation UPR - gross</v>
          </cell>
          <cell r="Y39716" t="str">
            <v>FRANCE</v>
          </cell>
        </row>
        <row r="39717">
          <cell r="L39717" t="str">
            <v>Non-proportional</v>
          </cell>
          <cell r="S39717">
            <v>-698.58</v>
          </cell>
          <cell r="X39717" t="str">
            <v>Variation UPR - gross</v>
          </cell>
          <cell r="Y39717" t="str">
            <v>ITALY</v>
          </cell>
        </row>
        <row r="39718">
          <cell r="L39718" t="str">
            <v>Non-proportional</v>
          </cell>
          <cell r="S39718">
            <v>-253503.48</v>
          </cell>
          <cell r="X39718" t="str">
            <v>Variation UPR - gross</v>
          </cell>
          <cell r="Y39718" t="str">
            <v>UNITED KINGDOM</v>
          </cell>
        </row>
        <row r="39719">
          <cell r="L39719" t="str">
            <v>Non-proportional</v>
          </cell>
          <cell r="S39719">
            <v>-75308.61</v>
          </cell>
          <cell r="X39719" t="str">
            <v>Variation UPR - gross</v>
          </cell>
          <cell r="Y39719" t="str">
            <v>UNITED KINGDOM</v>
          </cell>
        </row>
        <row r="39720">
          <cell r="L39720" t="str">
            <v>Non-proportional</v>
          </cell>
          <cell r="S39720">
            <v>-3520.53</v>
          </cell>
          <cell r="X39720" t="str">
            <v>Variation UPR - gross</v>
          </cell>
          <cell r="Y39720" t="str">
            <v>ISRAEL</v>
          </cell>
        </row>
        <row r="39721">
          <cell r="L39721" t="str">
            <v>Proportional</v>
          </cell>
          <cell r="S39721">
            <v>-283769.32</v>
          </cell>
          <cell r="X39721" t="str">
            <v>Variation UPR - gross</v>
          </cell>
          <cell r="Y39721" t="str">
            <v>UNITED STATES</v>
          </cell>
        </row>
        <row r="39722">
          <cell r="L39722" t="str">
            <v>Proportional</v>
          </cell>
          <cell r="S39722">
            <v>-127289.84</v>
          </cell>
          <cell r="X39722" t="str">
            <v>Variation UPR - gross</v>
          </cell>
          <cell r="Y39722" t="str">
            <v>CANADA</v>
          </cell>
        </row>
        <row r="39723">
          <cell r="L39723" t="str">
            <v>Non-proportional</v>
          </cell>
          <cell r="S39723">
            <v>54.84</v>
          </cell>
          <cell r="X39723" t="str">
            <v>Variation UPR - gross</v>
          </cell>
          <cell r="Y39723" t="str">
            <v>JAPAN</v>
          </cell>
        </row>
        <row r="39724">
          <cell r="L39724" t="str">
            <v>Proportional</v>
          </cell>
          <cell r="S39724">
            <v>-46113.16</v>
          </cell>
          <cell r="X39724" t="str">
            <v>Variation UPR - gross</v>
          </cell>
          <cell r="Y39724" t="str">
            <v>ITALY</v>
          </cell>
        </row>
        <row r="39725">
          <cell r="L39725" t="str">
            <v>Non-proportional</v>
          </cell>
          <cell r="S39725">
            <v>50.27</v>
          </cell>
          <cell r="X39725" t="str">
            <v>Variation UPR - gross</v>
          </cell>
          <cell r="Y39725" t="str">
            <v>DOMINICAN REPUBLIC</v>
          </cell>
        </row>
        <row r="39726">
          <cell r="L39726" t="str">
            <v>Non-proportional</v>
          </cell>
          <cell r="S39726">
            <v>-111387.71</v>
          </cell>
          <cell r="X39726" t="str">
            <v>Variation UPR - gross</v>
          </cell>
          <cell r="Y39726" t="str">
            <v>UNITED KINGDOM</v>
          </cell>
        </row>
        <row r="39727">
          <cell r="L39727" t="str">
            <v>Non-proportional</v>
          </cell>
          <cell r="S39727">
            <v>-2867.65</v>
          </cell>
          <cell r="X39727" t="str">
            <v>Variation UPR - gross</v>
          </cell>
          <cell r="Y39727" t="str">
            <v>JAPAN</v>
          </cell>
        </row>
        <row r="39728">
          <cell r="L39728" t="str">
            <v>Non-proportional</v>
          </cell>
          <cell r="S39728">
            <v>0.04</v>
          </cell>
          <cell r="X39728" t="str">
            <v>Variation UPR - gross</v>
          </cell>
          <cell r="Y39728" t="str">
            <v>COLOMBIA</v>
          </cell>
        </row>
        <row r="39729">
          <cell r="L39729" t="str">
            <v>Non-proportional</v>
          </cell>
          <cell r="S39729">
            <v>-18.96</v>
          </cell>
          <cell r="X39729" t="str">
            <v>Variation UPR - gross</v>
          </cell>
          <cell r="Y39729" t="str">
            <v>ISRAEL</v>
          </cell>
        </row>
        <row r="39730">
          <cell r="L39730" t="str">
            <v>Non-proportional</v>
          </cell>
          <cell r="S39730">
            <v>31770.48</v>
          </cell>
          <cell r="X39730" t="str">
            <v>Variation UPR - gross</v>
          </cell>
          <cell r="Y39730" t="str">
            <v>JAPAN</v>
          </cell>
        </row>
        <row r="39731">
          <cell r="L39731" t="str">
            <v>Non-proportional</v>
          </cell>
          <cell r="S39731">
            <v>-882.53</v>
          </cell>
          <cell r="X39731" t="str">
            <v>Variation UPR - gross</v>
          </cell>
          <cell r="Y39731" t="str">
            <v>PUERTO RICO</v>
          </cell>
        </row>
        <row r="39732">
          <cell r="L39732" t="str">
            <v>Non-proportional</v>
          </cell>
          <cell r="S39732">
            <v>105605.95</v>
          </cell>
          <cell r="X39732" t="str">
            <v>Variation UPR - gross</v>
          </cell>
          <cell r="Y39732" t="str">
            <v>MEXICO</v>
          </cell>
        </row>
        <row r="39733">
          <cell r="L39733" t="str">
            <v>Non-proportional</v>
          </cell>
          <cell r="S39733">
            <v>-18132.27</v>
          </cell>
          <cell r="X39733" t="str">
            <v>Variation UPR - gross</v>
          </cell>
          <cell r="Y39733" t="str">
            <v>PUERTO RICO</v>
          </cell>
        </row>
        <row r="39734">
          <cell r="L39734" t="str">
            <v>Non-proportional</v>
          </cell>
          <cell r="S39734">
            <v>-581.78</v>
          </cell>
          <cell r="X39734" t="str">
            <v>Variation UPR - gross</v>
          </cell>
          <cell r="Y39734" t="str">
            <v>MEXICO</v>
          </cell>
        </row>
        <row r="39735">
          <cell r="L39735" t="str">
            <v>Non-proportional</v>
          </cell>
          <cell r="S39735">
            <v>-8855</v>
          </cell>
          <cell r="X39735" t="str">
            <v>Variation UPR - gross</v>
          </cell>
          <cell r="Y39735" t="str">
            <v>GERMANY</v>
          </cell>
        </row>
        <row r="39736">
          <cell r="L39736" t="str">
            <v>Non-proportional</v>
          </cell>
          <cell r="S39736">
            <v>5.47</v>
          </cell>
          <cell r="X39736" t="str">
            <v>Variation UPR - gross</v>
          </cell>
          <cell r="Y39736" t="str">
            <v>GUATEMALA</v>
          </cell>
        </row>
        <row r="39737">
          <cell r="L39737" t="str">
            <v>Non-proportional</v>
          </cell>
          <cell r="S39737">
            <v>278668.18</v>
          </cell>
          <cell r="X39737" t="str">
            <v>Variation UPR - gross</v>
          </cell>
          <cell r="Y39737" t="str">
            <v>NEW ZEALAND</v>
          </cell>
        </row>
        <row r="39738">
          <cell r="L39738" t="str">
            <v>Non-proportional</v>
          </cell>
          <cell r="S39738">
            <v>-7503</v>
          </cell>
          <cell r="X39738" t="str">
            <v>Variation UPR - gross</v>
          </cell>
          <cell r="Y39738" t="str">
            <v>CYPRUS</v>
          </cell>
        </row>
        <row r="39739">
          <cell r="L39739" t="str">
            <v>Proportional</v>
          </cell>
          <cell r="S39739">
            <v>-4562.01</v>
          </cell>
          <cell r="X39739" t="str">
            <v>Variation UPR - gross</v>
          </cell>
          <cell r="Y39739" t="str">
            <v>THAILAND</v>
          </cell>
        </row>
        <row r="39740">
          <cell r="L39740" t="str">
            <v>Non-proportional</v>
          </cell>
          <cell r="S39740">
            <v>-6224.89</v>
          </cell>
          <cell r="X39740" t="str">
            <v>Variation UPR - gross</v>
          </cell>
          <cell r="Y39740" t="str">
            <v>ISRAEL</v>
          </cell>
        </row>
        <row r="39741">
          <cell r="L39741" t="str">
            <v>Non-proportional</v>
          </cell>
          <cell r="S39741">
            <v>-3685.74</v>
          </cell>
          <cell r="X39741" t="str">
            <v>Variation UPR - gross</v>
          </cell>
          <cell r="Y39741" t="str">
            <v>THAILAND</v>
          </cell>
        </row>
        <row r="39742">
          <cell r="L39742" t="str">
            <v>Non-proportional</v>
          </cell>
          <cell r="S39742">
            <v>9.44</v>
          </cell>
          <cell r="X39742" t="str">
            <v>Variation UPR - gross</v>
          </cell>
          <cell r="Y39742" t="str">
            <v>NEW ZEALAND</v>
          </cell>
        </row>
        <row r="39743">
          <cell r="L39743" t="str">
            <v>Proportional</v>
          </cell>
          <cell r="S39743">
            <v>620.47</v>
          </cell>
          <cell r="X39743" t="str">
            <v>Variation UPR - gross</v>
          </cell>
          <cell r="Y39743" t="str">
            <v>INDIA</v>
          </cell>
        </row>
        <row r="39744">
          <cell r="L39744" t="str">
            <v>Proportional</v>
          </cell>
          <cell r="S39744">
            <v>-990933.05</v>
          </cell>
          <cell r="X39744" t="str">
            <v>Variation UPR - gross</v>
          </cell>
          <cell r="Y39744" t="str">
            <v>HONG KONG</v>
          </cell>
        </row>
        <row r="39745">
          <cell r="L39745" t="str">
            <v>Non-proportional</v>
          </cell>
          <cell r="S39745">
            <v>262.5</v>
          </cell>
          <cell r="X39745" t="str">
            <v>Variation UPR - gross</v>
          </cell>
          <cell r="Y39745" t="str">
            <v>COLOMBIA</v>
          </cell>
        </row>
        <row r="39746">
          <cell r="L39746" t="str">
            <v>Non-proportional</v>
          </cell>
          <cell r="S39746">
            <v>-4237.6499999999996</v>
          </cell>
          <cell r="X39746" t="str">
            <v>Variation UPR - gross</v>
          </cell>
          <cell r="Y39746" t="str">
            <v>UNITED KINGDOM</v>
          </cell>
        </row>
        <row r="39747">
          <cell r="L39747" t="str">
            <v>Non-proportional</v>
          </cell>
          <cell r="S39747">
            <v>2367398.42</v>
          </cell>
          <cell r="X39747" t="str">
            <v>Variation UPR - gross</v>
          </cell>
          <cell r="Y39747" t="str">
            <v>UNITED KINGDOM</v>
          </cell>
        </row>
        <row r="39748">
          <cell r="L39748" t="str">
            <v>Non-proportional</v>
          </cell>
          <cell r="S39748">
            <v>-3451.42</v>
          </cell>
          <cell r="X39748" t="str">
            <v>Variation UPR - gross</v>
          </cell>
          <cell r="Y39748" t="str">
            <v>BRAZIL</v>
          </cell>
        </row>
        <row r="39749">
          <cell r="L39749" t="str">
            <v>Non-proportional</v>
          </cell>
          <cell r="S39749">
            <v>-39865.65</v>
          </cell>
          <cell r="X39749" t="str">
            <v>Variation UPR - gross</v>
          </cell>
          <cell r="Y39749" t="str">
            <v>UNITED KINGDOM</v>
          </cell>
        </row>
        <row r="39750">
          <cell r="L39750" t="str">
            <v>Non-proportional</v>
          </cell>
          <cell r="S39750">
            <v>-2041.67</v>
          </cell>
          <cell r="X39750" t="str">
            <v>Variation UPR - gross</v>
          </cell>
          <cell r="Y39750" t="str">
            <v>ITALY</v>
          </cell>
        </row>
        <row r="39751">
          <cell r="L39751" t="str">
            <v>Non-proportional</v>
          </cell>
          <cell r="S39751">
            <v>-8652.51</v>
          </cell>
          <cell r="X39751" t="str">
            <v>Variation UPR - gross</v>
          </cell>
          <cell r="Y39751" t="str">
            <v>AUSTRALIA</v>
          </cell>
        </row>
        <row r="39752">
          <cell r="L39752" t="str">
            <v>Non-proportional</v>
          </cell>
          <cell r="S39752">
            <v>-4865.6400000000003</v>
          </cell>
          <cell r="X39752" t="str">
            <v>Variation UPR - gross</v>
          </cell>
          <cell r="Y39752" t="str">
            <v>CHILE</v>
          </cell>
        </row>
        <row r="39753">
          <cell r="L39753" t="str">
            <v>Non-proportional</v>
          </cell>
          <cell r="S39753">
            <v>-78281.600000000006</v>
          </cell>
          <cell r="X39753" t="str">
            <v>Variation UPR - gross</v>
          </cell>
          <cell r="Y39753" t="str">
            <v>UNITED KINGDOM</v>
          </cell>
        </row>
        <row r="39754">
          <cell r="L39754" t="str">
            <v>Non-proportional</v>
          </cell>
          <cell r="S39754">
            <v>-1062.1400000000001</v>
          </cell>
          <cell r="X39754" t="str">
            <v>Variation UPR - gross</v>
          </cell>
          <cell r="Y39754" t="str">
            <v>SOUTH AFRICA</v>
          </cell>
        </row>
        <row r="39755">
          <cell r="L39755" t="str">
            <v>Non-proportional</v>
          </cell>
          <cell r="S39755">
            <v>-2218.16</v>
          </cell>
          <cell r="X39755" t="str">
            <v>Variation UPR - gross</v>
          </cell>
          <cell r="Y39755" t="str">
            <v>CHILE</v>
          </cell>
        </row>
        <row r="39756">
          <cell r="L39756" t="str">
            <v>Non-proportional</v>
          </cell>
          <cell r="S39756">
            <v>-9043.94</v>
          </cell>
          <cell r="X39756" t="str">
            <v>Variation UPR - gross</v>
          </cell>
          <cell r="Y39756" t="str">
            <v>FRANCE</v>
          </cell>
        </row>
        <row r="39757">
          <cell r="L39757" t="str">
            <v>Non-proportional</v>
          </cell>
          <cell r="S39757">
            <v>-353.33</v>
          </cell>
          <cell r="X39757" t="str">
            <v>Variation UPR - gross</v>
          </cell>
          <cell r="Y39757" t="str">
            <v>ITALY</v>
          </cell>
        </row>
        <row r="39758">
          <cell r="L39758" t="str">
            <v>Non-proportional</v>
          </cell>
          <cell r="S39758">
            <v>-4267.91</v>
          </cell>
          <cell r="X39758" t="str">
            <v>Variation UPR - gross</v>
          </cell>
          <cell r="Y39758" t="str">
            <v>UNITED KINGDOM</v>
          </cell>
        </row>
        <row r="39759">
          <cell r="L39759" t="str">
            <v>Non-proportional</v>
          </cell>
          <cell r="S39759">
            <v>-8144.93</v>
          </cell>
          <cell r="X39759" t="str">
            <v>Variation UPR - gross</v>
          </cell>
          <cell r="Y39759" t="str">
            <v>JAPAN</v>
          </cell>
        </row>
        <row r="39760">
          <cell r="L39760" t="str">
            <v>Non-proportional</v>
          </cell>
          <cell r="S39760">
            <v>-2082.48</v>
          </cell>
          <cell r="X39760" t="str">
            <v>Variation UPR - gross</v>
          </cell>
          <cell r="Y39760" t="str">
            <v>UNITED KINGDOM</v>
          </cell>
        </row>
        <row r="39761">
          <cell r="L39761" t="str">
            <v>Non-proportional</v>
          </cell>
          <cell r="S39761">
            <v>-8510.5499999999993</v>
          </cell>
          <cell r="X39761" t="str">
            <v>Variation UPR - gross</v>
          </cell>
          <cell r="Y39761" t="str">
            <v>DOMINICAN REPUBLIC</v>
          </cell>
        </row>
        <row r="39762">
          <cell r="L39762" t="str">
            <v>Proportional</v>
          </cell>
          <cell r="S39762">
            <v>-1295001.53</v>
          </cell>
          <cell r="X39762" t="str">
            <v>Variation UPR - gross</v>
          </cell>
          <cell r="Y39762" t="str">
            <v>THAILAND</v>
          </cell>
        </row>
        <row r="39763">
          <cell r="L39763" t="str">
            <v>Proportional</v>
          </cell>
          <cell r="S39763">
            <v>-29568.82</v>
          </cell>
          <cell r="X39763" t="str">
            <v>Variation UPR - gross</v>
          </cell>
          <cell r="Y39763" t="str">
            <v>THAILAND</v>
          </cell>
        </row>
        <row r="39764">
          <cell r="L39764" t="str">
            <v>Non-proportional</v>
          </cell>
          <cell r="S39764">
            <v>-387.5</v>
          </cell>
          <cell r="X39764" t="str">
            <v>Variation UPR - gross</v>
          </cell>
          <cell r="Y39764" t="str">
            <v>ITALY</v>
          </cell>
        </row>
        <row r="39765">
          <cell r="L39765" t="str">
            <v>Non-proportional</v>
          </cell>
          <cell r="S39765">
            <v>-41840.370000000003</v>
          </cell>
          <cell r="X39765" t="str">
            <v>Variation UPR - gross</v>
          </cell>
          <cell r="Y39765" t="str">
            <v>UNITED KINGDOM</v>
          </cell>
        </row>
        <row r="39766">
          <cell r="L39766" t="str">
            <v>Non-proportional</v>
          </cell>
          <cell r="S39766">
            <v>71888.38</v>
          </cell>
          <cell r="X39766" t="str">
            <v>Variation UPR - gross</v>
          </cell>
          <cell r="Y39766" t="str">
            <v>MEXICO</v>
          </cell>
        </row>
        <row r="39767">
          <cell r="L39767" t="str">
            <v>Non-proportional</v>
          </cell>
          <cell r="S39767">
            <v>67.31</v>
          </cell>
          <cell r="X39767" t="str">
            <v>Variation UPR - gross</v>
          </cell>
          <cell r="Y39767" t="str">
            <v>COLOMBIA</v>
          </cell>
        </row>
        <row r="39768">
          <cell r="L39768" t="str">
            <v>Non-proportional</v>
          </cell>
          <cell r="S39768">
            <v>-23187.5</v>
          </cell>
          <cell r="X39768" t="str">
            <v>Variation UPR - gross</v>
          </cell>
          <cell r="Y39768" t="str">
            <v>ITALY</v>
          </cell>
        </row>
        <row r="39769">
          <cell r="L39769" t="str">
            <v>Non-proportional</v>
          </cell>
          <cell r="S39769">
            <v>-3960.13</v>
          </cell>
          <cell r="X39769" t="str">
            <v>Variation UPR - gross</v>
          </cell>
          <cell r="Y39769" t="str">
            <v>COLOMBIA</v>
          </cell>
        </row>
        <row r="39770">
          <cell r="L39770" t="str">
            <v>Non-proportional</v>
          </cell>
          <cell r="S39770">
            <v>-2043.75</v>
          </cell>
          <cell r="X39770" t="str">
            <v>Variation UPR - gross</v>
          </cell>
          <cell r="Y39770" t="str">
            <v>GREECE</v>
          </cell>
        </row>
        <row r="39771">
          <cell r="L39771" t="str">
            <v>Non-proportional</v>
          </cell>
          <cell r="S39771">
            <v>-10085117.26</v>
          </cell>
          <cell r="X39771" t="str">
            <v>Variation UPR - gross</v>
          </cell>
          <cell r="Y39771" t="str">
            <v>UNITED KINGDOM</v>
          </cell>
        </row>
        <row r="39772">
          <cell r="L39772" t="str">
            <v>Non-proportional</v>
          </cell>
          <cell r="S39772">
            <v>66877.16</v>
          </cell>
          <cell r="X39772" t="str">
            <v>Variation UPR - gross</v>
          </cell>
          <cell r="Y39772" t="str">
            <v>INDIA</v>
          </cell>
        </row>
        <row r="39773">
          <cell r="L39773" t="str">
            <v>Non-proportional</v>
          </cell>
          <cell r="S39773">
            <v>0.02</v>
          </cell>
          <cell r="X39773" t="str">
            <v>Variation UPR - gross</v>
          </cell>
          <cell r="Y39773" t="str">
            <v>DOMINICAN REPUBLIC</v>
          </cell>
        </row>
        <row r="39774">
          <cell r="L39774" t="str">
            <v>Proportional</v>
          </cell>
          <cell r="S39774">
            <v>-1184520.28</v>
          </cell>
          <cell r="X39774" t="str">
            <v>Variation UPR - gross</v>
          </cell>
          <cell r="Y39774" t="str">
            <v>THAILAND</v>
          </cell>
        </row>
        <row r="39775">
          <cell r="L39775" t="str">
            <v>Non-proportional</v>
          </cell>
          <cell r="S39775">
            <v>-7548.57</v>
          </cell>
          <cell r="X39775" t="str">
            <v>Variation UPR - gross</v>
          </cell>
          <cell r="Y39775" t="str">
            <v>PUERTO RICO</v>
          </cell>
        </row>
        <row r="39776">
          <cell r="L39776" t="str">
            <v>Proportional</v>
          </cell>
          <cell r="S39776">
            <v>-1323.74</v>
          </cell>
          <cell r="X39776" t="str">
            <v>Variation UPR - gross</v>
          </cell>
          <cell r="Y39776" t="str">
            <v>CHILE</v>
          </cell>
        </row>
        <row r="39777">
          <cell r="L39777" t="str">
            <v>Non-proportional</v>
          </cell>
          <cell r="S39777">
            <v>-4250.71</v>
          </cell>
          <cell r="X39777" t="str">
            <v>Variation UPR - gross</v>
          </cell>
          <cell r="Y39777" t="str">
            <v>ITALY</v>
          </cell>
        </row>
        <row r="39778">
          <cell r="L39778" t="str">
            <v>Proportional</v>
          </cell>
          <cell r="S39778">
            <v>236521.85</v>
          </cell>
          <cell r="X39778" t="str">
            <v>Variation UPR - gross</v>
          </cell>
          <cell r="Y39778" t="str">
            <v>JAPAN</v>
          </cell>
        </row>
        <row r="39779">
          <cell r="L39779" t="str">
            <v>Proportional</v>
          </cell>
          <cell r="S39779">
            <v>-233557.24</v>
          </cell>
          <cell r="X39779" t="str">
            <v>Variation UPR - gross</v>
          </cell>
          <cell r="Y39779" t="str">
            <v>HONG KONG</v>
          </cell>
        </row>
        <row r="39780">
          <cell r="L39780" t="str">
            <v>Non-proportional</v>
          </cell>
          <cell r="S39780">
            <v>-141268.60999999999</v>
          </cell>
          <cell r="X39780" t="str">
            <v>Variation UPR - gross</v>
          </cell>
          <cell r="Y39780" t="str">
            <v>UNITED KINGDOM</v>
          </cell>
        </row>
        <row r="39781">
          <cell r="L39781" t="str">
            <v>Non-proportional</v>
          </cell>
          <cell r="S39781">
            <v>78.36</v>
          </cell>
          <cell r="X39781" t="str">
            <v>Variation UPR - gross</v>
          </cell>
          <cell r="Y39781" t="str">
            <v>DOMINICAN REPUBLIC</v>
          </cell>
        </row>
        <row r="39782">
          <cell r="L39782" t="str">
            <v>Non-proportional</v>
          </cell>
          <cell r="S39782">
            <v>-107.33</v>
          </cell>
          <cell r="X39782" t="str">
            <v>Variation UPR - gross</v>
          </cell>
          <cell r="Y39782" t="str">
            <v>CHILE</v>
          </cell>
        </row>
        <row r="39783">
          <cell r="L39783" t="str">
            <v>Non-proportional</v>
          </cell>
          <cell r="S39783">
            <v>-6195.19</v>
          </cell>
          <cell r="X39783" t="str">
            <v>Variation UPR - gross</v>
          </cell>
          <cell r="Y39783" t="str">
            <v>THAILAND</v>
          </cell>
        </row>
        <row r="39784">
          <cell r="L39784" t="str">
            <v>Non-proportional</v>
          </cell>
          <cell r="S39784">
            <v>-9112.41</v>
          </cell>
          <cell r="X39784" t="str">
            <v>Variation UPR - gross</v>
          </cell>
          <cell r="Y39784" t="str">
            <v>PUERTO RICO</v>
          </cell>
        </row>
        <row r="39785">
          <cell r="L39785" t="str">
            <v>Non-proportional</v>
          </cell>
          <cell r="S39785">
            <v>-3169.02</v>
          </cell>
          <cell r="X39785" t="str">
            <v>Variation UPR - gross</v>
          </cell>
          <cell r="Y39785" t="str">
            <v>UNITED KINGDOM</v>
          </cell>
        </row>
        <row r="39786">
          <cell r="L39786" t="str">
            <v>Non-proportional</v>
          </cell>
          <cell r="S39786">
            <v>30.78</v>
          </cell>
          <cell r="X39786" t="str">
            <v>Variation UPR - gross</v>
          </cell>
          <cell r="Y39786" t="str">
            <v>JAPAN</v>
          </cell>
        </row>
        <row r="39787">
          <cell r="L39787" t="str">
            <v>Non-proportional</v>
          </cell>
          <cell r="S39787">
            <v>-4615.2</v>
          </cell>
          <cell r="X39787" t="str">
            <v>Variation UPR - gross</v>
          </cell>
          <cell r="Y39787" t="str">
            <v>CHILE</v>
          </cell>
        </row>
        <row r="39788">
          <cell r="L39788" t="str">
            <v>Non-proportional</v>
          </cell>
          <cell r="S39788">
            <v>2959.83</v>
          </cell>
          <cell r="X39788" t="str">
            <v>Variation UPR - gross</v>
          </cell>
          <cell r="Y39788" t="str">
            <v>NEW ZEALAND</v>
          </cell>
        </row>
        <row r="39789">
          <cell r="L39789" t="str">
            <v>Non-proportional</v>
          </cell>
          <cell r="S39789">
            <v>-1281.48</v>
          </cell>
          <cell r="X39789" t="str">
            <v>Variation UPR - gross</v>
          </cell>
          <cell r="Y39789" t="str">
            <v>AUSTRALIA</v>
          </cell>
        </row>
        <row r="39790">
          <cell r="L39790" t="str">
            <v>Non-proportional</v>
          </cell>
          <cell r="S39790">
            <v>-375978.63</v>
          </cell>
          <cell r="X39790" t="str">
            <v>Variation UPR - gross</v>
          </cell>
          <cell r="Y39790" t="str">
            <v>PORTUGAL</v>
          </cell>
        </row>
        <row r="39791">
          <cell r="L39791" t="str">
            <v>Non-proportional</v>
          </cell>
          <cell r="S39791">
            <v>-7972.41</v>
          </cell>
          <cell r="X39791" t="str">
            <v>Variation UPR - gross</v>
          </cell>
          <cell r="Y39791" t="str">
            <v>NEW ZEALAND</v>
          </cell>
        </row>
        <row r="39792">
          <cell r="L39792" t="str">
            <v>Non-proportional</v>
          </cell>
          <cell r="S39792">
            <v>-5312.78</v>
          </cell>
          <cell r="X39792" t="str">
            <v>Variation UPR - gross</v>
          </cell>
          <cell r="Y39792" t="str">
            <v>NETHERLANDS</v>
          </cell>
        </row>
        <row r="39793">
          <cell r="L39793" t="str">
            <v>Non-proportional</v>
          </cell>
          <cell r="S39793">
            <v>-45659.59</v>
          </cell>
          <cell r="X39793" t="str">
            <v>Variation UPR - gross</v>
          </cell>
          <cell r="Y39793" t="str">
            <v>UNITED KINGDOM</v>
          </cell>
        </row>
        <row r="39794">
          <cell r="L39794" t="str">
            <v>Non-proportional</v>
          </cell>
          <cell r="S39794">
            <v>-3592.42</v>
          </cell>
          <cell r="X39794" t="str">
            <v>Variation UPR - gross</v>
          </cell>
          <cell r="Y39794" t="str">
            <v>FRANCE</v>
          </cell>
        </row>
        <row r="39795">
          <cell r="L39795" t="str">
            <v>Non-proportional</v>
          </cell>
          <cell r="S39795">
            <v>-221935</v>
          </cell>
          <cell r="X39795" t="str">
            <v>Variation UPR - gross</v>
          </cell>
          <cell r="Y39795" t="str">
            <v>BELGIUM</v>
          </cell>
        </row>
        <row r="39796">
          <cell r="L39796" t="str">
            <v>Non-proportional</v>
          </cell>
          <cell r="S39796">
            <v>101.29</v>
          </cell>
          <cell r="X39796" t="str">
            <v>Variation UPR - gross</v>
          </cell>
          <cell r="Y39796" t="str">
            <v>AUSTRALIA</v>
          </cell>
        </row>
        <row r="39797">
          <cell r="L39797" t="str">
            <v>Proportional</v>
          </cell>
          <cell r="S39797">
            <v>-679.76</v>
          </cell>
          <cell r="X39797" t="str">
            <v>Variation UPR - gross</v>
          </cell>
          <cell r="Y39797" t="str">
            <v>CHILE</v>
          </cell>
        </row>
        <row r="39798">
          <cell r="L39798" t="str">
            <v>Non-proportional</v>
          </cell>
          <cell r="S39798">
            <v>-3015.29</v>
          </cell>
          <cell r="X39798" t="str">
            <v>Variation UPR - gross</v>
          </cell>
          <cell r="Y39798" t="str">
            <v>ITALY</v>
          </cell>
        </row>
        <row r="39799">
          <cell r="L39799" t="str">
            <v>Non-proportional</v>
          </cell>
          <cell r="S39799">
            <v>0.01</v>
          </cell>
          <cell r="X39799" t="str">
            <v>Variation UPR - gross</v>
          </cell>
          <cell r="Y39799" t="str">
            <v>DOMINICAN REPUBLIC</v>
          </cell>
        </row>
        <row r="39800">
          <cell r="L39800" t="str">
            <v>Non-proportional</v>
          </cell>
          <cell r="S39800">
            <v>-1538.4</v>
          </cell>
          <cell r="X39800" t="str">
            <v>Variation UPR - gross</v>
          </cell>
          <cell r="Y39800" t="str">
            <v>CHILE</v>
          </cell>
        </row>
        <row r="39801">
          <cell r="L39801" t="str">
            <v>Proportional</v>
          </cell>
          <cell r="S39801">
            <v>5194.57</v>
          </cell>
          <cell r="X39801" t="str">
            <v>Variation UPR - gross</v>
          </cell>
          <cell r="Y39801" t="str">
            <v>CANADA</v>
          </cell>
        </row>
        <row r="39802">
          <cell r="L39802" t="str">
            <v>Proportional</v>
          </cell>
          <cell r="S39802">
            <v>-375000</v>
          </cell>
          <cell r="X39802" t="str">
            <v>Variation UPR - gross</v>
          </cell>
          <cell r="Y39802" t="str">
            <v>PORTUGAL</v>
          </cell>
        </row>
        <row r="39803">
          <cell r="L39803" t="str">
            <v>Non-proportional</v>
          </cell>
          <cell r="S39803">
            <v>7.43</v>
          </cell>
          <cell r="X39803" t="str">
            <v>Variation UPR - gross</v>
          </cell>
          <cell r="Y39803" t="str">
            <v>JAPAN</v>
          </cell>
        </row>
        <row r="39804">
          <cell r="L39804" t="str">
            <v>Non-proportional</v>
          </cell>
          <cell r="S39804">
            <v>1.0900000000000001</v>
          </cell>
          <cell r="X39804" t="str">
            <v>Variation UPR - gross</v>
          </cell>
          <cell r="Y39804" t="str">
            <v>GUATEMALA</v>
          </cell>
        </row>
        <row r="39805">
          <cell r="L39805" t="str">
            <v>Non-proportional</v>
          </cell>
          <cell r="S39805">
            <v>-4890.08</v>
          </cell>
          <cell r="X39805" t="str">
            <v>Variation UPR - gross</v>
          </cell>
          <cell r="Y39805" t="str">
            <v>FRANCE</v>
          </cell>
        </row>
        <row r="39806">
          <cell r="L39806" t="str">
            <v>Non-proportional</v>
          </cell>
          <cell r="S39806">
            <v>962.87</v>
          </cell>
          <cell r="X39806" t="str">
            <v>Variation UPR - gross</v>
          </cell>
          <cell r="Y39806" t="str">
            <v>JAPAN</v>
          </cell>
        </row>
        <row r="39807">
          <cell r="L39807" t="str">
            <v>Non-proportional</v>
          </cell>
          <cell r="S39807">
            <v>-10551.48</v>
          </cell>
          <cell r="X39807" t="str">
            <v>Variation UPR - gross</v>
          </cell>
          <cell r="Y39807" t="str">
            <v>NEW ZEALAND</v>
          </cell>
        </row>
        <row r="39808">
          <cell r="L39808" t="str">
            <v>Proportional</v>
          </cell>
          <cell r="S39808">
            <v>-116835.2</v>
          </cell>
          <cell r="X39808" t="str">
            <v>Variation UPR - gross</v>
          </cell>
          <cell r="Y39808" t="str">
            <v>CANADA</v>
          </cell>
        </row>
        <row r="39809">
          <cell r="L39809" t="str">
            <v>Non-proportional</v>
          </cell>
          <cell r="S39809">
            <v>10.51</v>
          </cell>
          <cell r="X39809" t="str">
            <v>Variation UPR - gross</v>
          </cell>
          <cell r="Y39809" t="str">
            <v>NEW ZEALAND</v>
          </cell>
        </row>
        <row r="39810">
          <cell r="L39810" t="str">
            <v>Proportional</v>
          </cell>
          <cell r="S39810">
            <v>512000000</v>
          </cell>
          <cell r="X39810" t="str">
            <v>Variation UPR - gross</v>
          </cell>
          <cell r="Y39810" t="str">
            <v>ITALY</v>
          </cell>
        </row>
        <row r="39811">
          <cell r="L39811" t="str">
            <v>Non-proportional</v>
          </cell>
          <cell r="S39811">
            <v>-3973.56</v>
          </cell>
          <cell r="X39811" t="str">
            <v>Variation UPR - gross</v>
          </cell>
          <cell r="Y39811" t="str">
            <v>UNITED KINGDOM</v>
          </cell>
        </row>
        <row r="39812">
          <cell r="L39812" t="str">
            <v>Non-proportional</v>
          </cell>
          <cell r="S39812">
            <v>-22257.24</v>
          </cell>
          <cell r="X39812" t="str">
            <v>Variation UPR - gross</v>
          </cell>
          <cell r="Y39812" t="str">
            <v>UNITED KINGDOM</v>
          </cell>
        </row>
        <row r="39813">
          <cell r="L39813" t="str">
            <v>Non-proportional</v>
          </cell>
          <cell r="S39813">
            <v>-1197.92</v>
          </cell>
          <cell r="X39813" t="str">
            <v>Variation UPR - gross</v>
          </cell>
          <cell r="Y39813" t="str">
            <v>GERMANY</v>
          </cell>
        </row>
        <row r="39814">
          <cell r="L39814" t="str">
            <v>Non-proportional</v>
          </cell>
          <cell r="S39814">
            <v>0.03</v>
          </cell>
          <cell r="X39814" t="str">
            <v>Variation UPR - gross</v>
          </cell>
          <cell r="Y39814" t="str">
            <v>THAILAND</v>
          </cell>
        </row>
        <row r="39815">
          <cell r="L39815" t="str">
            <v>Non-proportional</v>
          </cell>
          <cell r="S39815">
            <v>-4675.13</v>
          </cell>
          <cell r="X39815" t="str">
            <v>Variation UPR - gross</v>
          </cell>
          <cell r="Y39815" t="str">
            <v>CYPRUS</v>
          </cell>
        </row>
        <row r="39816">
          <cell r="L39816" t="str">
            <v>Non-proportional</v>
          </cell>
          <cell r="S39816">
            <v>-72219.320000000007</v>
          </cell>
          <cell r="X39816" t="str">
            <v>Variation UPR - gross</v>
          </cell>
          <cell r="Y39816" t="str">
            <v>UNITED KINGDOM</v>
          </cell>
        </row>
        <row r="39817">
          <cell r="L39817" t="str">
            <v>Proportional</v>
          </cell>
          <cell r="S39817">
            <v>-887296.57</v>
          </cell>
          <cell r="X39817" t="str">
            <v>Variation UPR - gross</v>
          </cell>
          <cell r="Y39817" t="str">
            <v>HONG KONG</v>
          </cell>
        </row>
        <row r="39818">
          <cell r="L39818" t="str">
            <v>Non-proportional</v>
          </cell>
          <cell r="S39818">
            <v>-73.849999999999994</v>
          </cell>
          <cell r="X39818" t="str">
            <v>Variation UPR - gross</v>
          </cell>
          <cell r="Y39818" t="str">
            <v>COLOMBIA</v>
          </cell>
        </row>
        <row r="39819">
          <cell r="L39819" t="str">
            <v>Non-proportional</v>
          </cell>
          <cell r="S39819">
            <v>-14583.41</v>
          </cell>
          <cell r="X39819" t="str">
            <v>Variation UPR - gross</v>
          </cell>
          <cell r="Y39819" t="str">
            <v>EUROPE</v>
          </cell>
        </row>
        <row r="39820">
          <cell r="L39820" t="str">
            <v>Non-proportional</v>
          </cell>
          <cell r="S39820">
            <v>-13647.67</v>
          </cell>
          <cell r="X39820" t="str">
            <v>Variation UPR - gross</v>
          </cell>
          <cell r="Y39820" t="str">
            <v>ECUADOR</v>
          </cell>
        </row>
        <row r="39821">
          <cell r="L39821" t="str">
            <v>Non-proportional</v>
          </cell>
          <cell r="S39821">
            <v>-3570.63</v>
          </cell>
          <cell r="X39821" t="str">
            <v>Variation UPR - gross</v>
          </cell>
          <cell r="Y39821" t="str">
            <v>GREECE</v>
          </cell>
        </row>
        <row r="39822">
          <cell r="L39822" t="str">
            <v>Proportional</v>
          </cell>
          <cell r="S39822">
            <v>-3627.2</v>
          </cell>
          <cell r="X39822" t="str">
            <v>Variation UPR - gross</v>
          </cell>
          <cell r="Y39822" t="str">
            <v>HONG KONG</v>
          </cell>
        </row>
        <row r="39823">
          <cell r="L39823" t="str">
            <v>Non-proportional</v>
          </cell>
          <cell r="S39823">
            <v>69.989999999999995</v>
          </cell>
          <cell r="X39823" t="str">
            <v>Variation UPR - gross</v>
          </cell>
          <cell r="Y39823" t="str">
            <v>JAPAN</v>
          </cell>
        </row>
        <row r="39824">
          <cell r="L39824" t="str">
            <v>Non-proportional</v>
          </cell>
          <cell r="S39824">
            <v>-10312.5</v>
          </cell>
          <cell r="X39824" t="str">
            <v>Variation UPR - gross</v>
          </cell>
          <cell r="Y39824" t="str">
            <v>ROMANIA</v>
          </cell>
        </row>
        <row r="39825">
          <cell r="L39825" t="str">
            <v>Non-proportional</v>
          </cell>
          <cell r="S39825">
            <v>-3939.49</v>
          </cell>
          <cell r="X39825" t="str">
            <v>Variation UPR - gross</v>
          </cell>
          <cell r="Y39825" t="str">
            <v>ECUADOR</v>
          </cell>
        </row>
        <row r="39826">
          <cell r="L39826" t="str">
            <v>Non-proportional</v>
          </cell>
          <cell r="S39826">
            <v>-3148.16</v>
          </cell>
          <cell r="X39826" t="str">
            <v>Variation UPR - gross</v>
          </cell>
          <cell r="Y39826" t="str">
            <v>AUSTRALIA</v>
          </cell>
        </row>
        <row r="39827">
          <cell r="L39827" t="str">
            <v>Non-proportional</v>
          </cell>
          <cell r="S39827">
            <v>-140706.48000000001</v>
          </cell>
          <cell r="X39827" t="str">
            <v>Variation UPR - gross</v>
          </cell>
          <cell r="Y39827" t="str">
            <v>UNITED KINGDOM</v>
          </cell>
        </row>
        <row r="39828">
          <cell r="L39828" t="str">
            <v>Non-proportional</v>
          </cell>
          <cell r="S39828">
            <v>62354.32</v>
          </cell>
          <cell r="X39828" t="str">
            <v>Variation UPR - gross</v>
          </cell>
          <cell r="Y39828" t="str">
            <v>UNITED KINGDOM</v>
          </cell>
        </row>
        <row r="39829">
          <cell r="L39829" t="str">
            <v>Non-proportional</v>
          </cell>
          <cell r="S39829">
            <v>-4987.25</v>
          </cell>
          <cell r="X39829" t="str">
            <v>Variation UPR - gross</v>
          </cell>
          <cell r="Y39829" t="str">
            <v>COLOMBIA</v>
          </cell>
        </row>
        <row r="39830">
          <cell r="L39830" t="str">
            <v>Non-proportional</v>
          </cell>
          <cell r="S39830">
            <v>-2972.27</v>
          </cell>
          <cell r="X39830" t="str">
            <v>Variation UPR - gross</v>
          </cell>
          <cell r="Y39830" t="str">
            <v>JAPAN</v>
          </cell>
        </row>
        <row r="39831">
          <cell r="L39831" t="str">
            <v>Proportional</v>
          </cell>
          <cell r="S39831">
            <v>82621.119999999995</v>
          </cell>
          <cell r="X39831" t="str">
            <v>Variation UPR - gross</v>
          </cell>
          <cell r="Y39831" t="str">
            <v>THAILAND</v>
          </cell>
        </row>
        <row r="39832">
          <cell r="L39832" t="str">
            <v>Non-proportional</v>
          </cell>
          <cell r="S39832">
            <v>-15869.7</v>
          </cell>
          <cell r="X39832" t="str">
            <v>Variation UPR - gross</v>
          </cell>
          <cell r="Y39832" t="str">
            <v>NEW ZEALAND</v>
          </cell>
        </row>
        <row r="39833">
          <cell r="L39833" t="str">
            <v>Non-proportional</v>
          </cell>
          <cell r="S39833">
            <v>-1302.06</v>
          </cell>
          <cell r="X39833" t="str">
            <v>Variation UPR - gross</v>
          </cell>
          <cell r="Y39833" t="str">
            <v>ISRAEL</v>
          </cell>
        </row>
        <row r="39834">
          <cell r="L39834" t="str">
            <v>Proportional</v>
          </cell>
          <cell r="S39834">
            <v>887296.57</v>
          </cell>
          <cell r="X39834" t="str">
            <v>Variation UPR - gross</v>
          </cell>
          <cell r="Y39834" t="str">
            <v>HONG KONG</v>
          </cell>
        </row>
        <row r="39835">
          <cell r="L39835" t="str">
            <v>Non-proportional</v>
          </cell>
          <cell r="S39835">
            <v>-4666.5</v>
          </cell>
          <cell r="X39835" t="str">
            <v>Variation UPR - gross</v>
          </cell>
          <cell r="Y39835" t="str">
            <v>TURKEY</v>
          </cell>
        </row>
        <row r="39836">
          <cell r="L39836" t="str">
            <v>Non-proportional</v>
          </cell>
          <cell r="S39836">
            <v>-189.59</v>
          </cell>
          <cell r="X39836" t="str">
            <v>Variation UPR - gross</v>
          </cell>
          <cell r="Y39836" t="str">
            <v>TURKEY</v>
          </cell>
        </row>
        <row r="39837">
          <cell r="L39837" t="str">
            <v>Non-proportional</v>
          </cell>
          <cell r="S39837">
            <v>-2828.91</v>
          </cell>
          <cell r="X39837" t="str">
            <v>Variation UPR - gross</v>
          </cell>
          <cell r="Y39837" t="str">
            <v>POLAND</v>
          </cell>
        </row>
        <row r="39838">
          <cell r="L39838" t="str">
            <v>Non-proportional</v>
          </cell>
          <cell r="S39838">
            <v>-14483.94</v>
          </cell>
          <cell r="X39838" t="str">
            <v>Variation UPR - gross</v>
          </cell>
          <cell r="Y39838" t="str">
            <v>FRANCE</v>
          </cell>
        </row>
        <row r="39839">
          <cell r="L39839" t="str">
            <v>Non-proportional</v>
          </cell>
          <cell r="S39839">
            <v>-3508.1</v>
          </cell>
          <cell r="X39839" t="str">
            <v>Variation UPR - gross</v>
          </cell>
          <cell r="Y39839" t="str">
            <v>ISRAEL</v>
          </cell>
        </row>
        <row r="39840">
          <cell r="L39840" t="str">
            <v>Non-proportional</v>
          </cell>
          <cell r="S39840">
            <v>-4658.88</v>
          </cell>
          <cell r="X39840" t="str">
            <v>Variation UPR - gross</v>
          </cell>
          <cell r="Y39840" t="str">
            <v>PERU</v>
          </cell>
        </row>
        <row r="39841">
          <cell r="L39841" t="str">
            <v>Non-proportional</v>
          </cell>
          <cell r="S39841">
            <v>-7441.57</v>
          </cell>
          <cell r="X39841" t="str">
            <v>Variation UPR - gross</v>
          </cell>
          <cell r="Y39841" t="str">
            <v>CHILE</v>
          </cell>
        </row>
        <row r="39842">
          <cell r="L39842" t="str">
            <v>Non-proportional</v>
          </cell>
          <cell r="S39842">
            <v>-10974.83</v>
          </cell>
          <cell r="X39842" t="str">
            <v>Variation UPR - gross</v>
          </cell>
          <cell r="Y39842" t="str">
            <v>GERMANY</v>
          </cell>
        </row>
        <row r="39843">
          <cell r="L39843" t="str">
            <v>Non-proportional</v>
          </cell>
          <cell r="S39843">
            <v>-5804.18</v>
          </cell>
          <cell r="X39843" t="str">
            <v>Variation UPR - gross</v>
          </cell>
          <cell r="Y39843" t="str">
            <v>AUSTRALIA</v>
          </cell>
        </row>
        <row r="39844">
          <cell r="L39844" t="str">
            <v>Non-proportional</v>
          </cell>
          <cell r="S39844">
            <v>-5887.37</v>
          </cell>
          <cell r="X39844" t="str">
            <v>Variation UPR - gross</v>
          </cell>
          <cell r="Y39844" t="str">
            <v>SPAIN</v>
          </cell>
        </row>
        <row r="39845">
          <cell r="L39845" t="str">
            <v>Non-proportional</v>
          </cell>
          <cell r="S39845">
            <v>4350.21</v>
          </cell>
          <cell r="X39845" t="str">
            <v>Variation UPR - gross</v>
          </cell>
          <cell r="Y39845" t="str">
            <v>AUSTRALIA</v>
          </cell>
        </row>
        <row r="39846">
          <cell r="L39846" t="str">
            <v>Non-proportional</v>
          </cell>
          <cell r="S39846">
            <v>-10551.48</v>
          </cell>
          <cell r="X39846" t="str">
            <v>Variation UPR - gross</v>
          </cell>
          <cell r="Y39846" t="str">
            <v>NEW ZEALAND</v>
          </cell>
        </row>
        <row r="39847">
          <cell r="L39847" t="str">
            <v>Proportional</v>
          </cell>
          <cell r="S39847">
            <v>-9364.68</v>
          </cell>
          <cell r="X39847" t="str">
            <v>Variation UPR - gross</v>
          </cell>
          <cell r="Y39847" t="str">
            <v>THAILAND</v>
          </cell>
        </row>
        <row r="39848">
          <cell r="L39848" t="str">
            <v>Non-proportional</v>
          </cell>
          <cell r="S39848">
            <v>-895.55</v>
          </cell>
          <cell r="X39848" t="str">
            <v>Variation UPR - gross</v>
          </cell>
          <cell r="Y39848" t="str">
            <v>ECUADOR</v>
          </cell>
        </row>
        <row r="39849">
          <cell r="L39849" t="str">
            <v>Non-proportional</v>
          </cell>
          <cell r="S39849">
            <v>-350018.84</v>
          </cell>
          <cell r="X39849" t="str">
            <v>Variation UPR - gross</v>
          </cell>
          <cell r="Y39849" t="str">
            <v>EUROPE</v>
          </cell>
        </row>
        <row r="39850">
          <cell r="L39850" t="str">
            <v>Non-proportional</v>
          </cell>
          <cell r="S39850">
            <v>-4449.78</v>
          </cell>
          <cell r="X39850" t="str">
            <v>Variation UPR - gross</v>
          </cell>
          <cell r="Y39850" t="str">
            <v>DOMINICAN REPUBLIC</v>
          </cell>
        </row>
        <row r="39851">
          <cell r="L39851" t="str">
            <v>Non-proportional</v>
          </cell>
          <cell r="S39851">
            <v>-9333.33</v>
          </cell>
          <cell r="X39851" t="str">
            <v>Variation UPR - gross</v>
          </cell>
          <cell r="Y39851" t="str">
            <v>PORTUGAL</v>
          </cell>
        </row>
        <row r="39852">
          <cell r="L39852" t="str">
            <v>Non-proportional</v>
          </cell>
          <cell r="S39852">
            <v>-178487.38</v>
          </cell>
          <cell r="X39852" t="str">
            <v>Variation UPR - gross</v>
          </cell>
          <cell r="Y39852" t="str">
            <v>PORTUGAL</v>
          </cell>
        </row>
        <row r="39853">
          <cell r="L39853" t="str">
            <v>Non-proportional</v>
          </cell>
          <cell r="S39853">
            <v>-40799.89</v>
          </cell>
          <cell r="X39853" t="str">
            <v>Variation UPR - gross</v>
          </cell>
          <cell r="Y39853" t="str">
            <v>TURKEY</v>
          </cell>
        </row>
        <row r="39854">
          <cell r="L39854" t="str">
            <v>Proportional</v>
          </cell>
          <cell r="S39854">
            <v>-16474.8</v>
          </cell>
          <cell r="X39854" t="str">
            <v>Variation UPR - gross</v>
          </cell>
          <cell r="Y39854" t="str">
            <v>THAILAND</v>
          </cell>
        </row>
        <row r="39855">
          <cell r="L39855" t="str">
            <v>Proportional</v>
          </cell>
          <cell r="S39855">
            <v>-7189.67</v>
          </cell>
          <cell r="X39855" t="str">
            <v>Variation UPR - gross</v>
          </cell>
          <cell r="Y39855" t="str">
            <v>CANADA</v>
          </cell>
        </row>
        <row r="39856">
          <cell r="L39856" t="str">
            <v>Non-proportional</v>
          </cell>
          <cell r="S39856">
            <v>-2147.54</v>
          </cell>
          <cell r="X39856" t="str">
            <v>Variation UPR - gross</v>
          </cell>
          <cell r="Y39856" t="str">
            <v>MEXICO</v>
          </cell>
        </row>
        <row r="39857">
          <cell r="L39857" t="str">
            <v>Non-proportional</v>
          </cell>
          <cell r="S39857">
            <v>-3381.84</v>
          </cell>
          <cell r="X39857" t="str">
            <v>Variation UPR - gross</v>
          </cell>
          <cell r="Y39857" t="str">
            <v>ITALY</v>
          </cell>
        </row>
        <row r="39858">
          <cell r="L39858" t="str">
            <v>Proportional</v>
          </cell>
          <cell r="S39858">
            <v>-903.92</v>
          </cell>
          <cell r="X39858" t="str">
            <v>Variation UPR - gross</v>
          </cell>
          <cell r="Y39858" t="str">
            <v>REPUBLIC OF IRELAND</v>
          </cell>
        </row>
        <row r="39859">
          <cell r="L39859" t="str">
            <v>Non-proportional</v>
          </cell>
          <cell r="S39859">
            <v>-5027.42</v>
          </cell>
          <cell r="X39859" t="str">
            <v>Variation UPR - gross</v>
          </cell>
          <cell r="Y39859" t="str">
            <v>ISRAEL</v>
          </cell>
        </row>
        <row r="39860">
          <cell r="L39860" t="str">
            <v>Non-proportional</v>
          </cell>
          <cell r="S39860">
            <v>147.82</v>
          </cell>
          <cell r="X39860" t="str">
            <v>Variation UPR - gross</v>
          </cell>
          <cell r="Y39860" t="str">
            <v>NEW ZEALAND</v>
          </cell>
        </row>
        <row r="39861">
          <cell r="L39861" t="str">
            <v>Proportional</v>
          </cell>
          <cell r="S39861">
            <v>-193598.67</v>
          </cell>
          <cell r="X39861" t="str">
            <v>Variation UPR - gross</v>
          </cell>
          <cell r="Y39861" t="str">
            <v>JAPAN</v>
          </cell>
        </row>
        <row r="39862">
          <cell r="L39862" t="str">
            <v>Non-proportional</v>
          </cell>
          <cell r="S39862">
            <v>-2539.94</v>
          </cell>
          <cell r="X39862" t="str">
            <v>Variation UPR - gross</v>
          </cell>
          <cell r="Y39862" t="str">
            <v>ECUADOR</v>
          </cell>
        </row>
        <row r="39863">
          <cell r="L39863" t="str">
            <v>Proportional</v>
          </cell>
          <cell r="S39863">
            <v>149044.56</v>
          </cell>
          <cell r="X39863" t="str">
            <v>Variation UPR - gross</v>
          </cell>
          <cell r="Y39863" t="str">
            <v>PERU</v>
          </cell>
        </row>
        <row r="39864">
          <cell r="L39864" t="str">
            <v>Non-proportional</v>
          </cell>
          <cell r="S39864">
            <v>-1406868.57</v>
          </cell>
          <cell r="X39864" t="str">
            <v>Variation UPR - gross</v>
          </cell>
          <cell r="Y39864" t="str">
            <v>UNITED KINGDOM</v>
          </cell>
        </row>
        <row r="39865">
          <cell r="L39865" t="str">
            <v>Non-proportional</v>
          </cell>
          <cell r="S39865">
            <v>-9832.7800000000007</v>
          </cell>
          <cell r="X39865" t="str">
            <v>Variation UPR - gross</v>
          </cell>
          <cell r="Y39865" t="str">
            <v>FRANCE</v>
          </cell>
        </row>
        <row r="39866">
          <cell r="L39866" t="str">
            <v>Non-proportional</v>
          </cell>
          <cell r="S39866">
            <v>-3091.16</v>
          </cell>
          <cell r="X39866" t="str">
            <v>Variation UPR - gross</v>
          </cell>
          <cell r="Y39866" t="str">
            <v>ISRAEL</v>
          </cell>
        </row>
        <row r="39867">
          <cell r="L39867" t="str">
            <v>Non-proportional</v>
          </cell>
          <cell r="S39867">
            <v>-8157.1</v>
          </cell>
          <cell r="X39867" t="str">
            <v>Variation UPR - gross</v>
          </cell>
          <cell r="Y39867" t="str">
            <v>CHILE</v>
          </cell>
        </row>
        <row r="39868">
          <cell r="L39868" t="str">
            <v>Non-proportional</v>
          </cell>
          <cell r="S39868">
            <v>0.01</v>
          </cell>
          <cell r="X39868" t="str">
            <v>Variation UPR - gross</v>
          </cell>
          <cell r="Y39868" t="str">
            <v>DOMINICAN REPUBLIC</v>
          </cell>
        </row>
        <row r="39869">
          <cell r="L39869" t="str">
            <v>Non-proportional</v>
          </cell>
          <cell r="S39869">
            <v>-36.89</v>
          </cell>
          <cell r="X39869" t="str">
            <v>Variation UPR - gross</v>
          </cell>
          <cell r="Y39869" t="str">
            <v>ISRAEL</v>
          </cell>
        </row>
        <row r="39870">
          <cell r="L39870" t="str">
            <v>Non-proportional</v>
          </cell>
          <cell r="S39870">
            <v>11732.08</v>
          </cell>
          <cell r="X39870" t="str">
            <v>Variation UPR - gross</v>
          </cell>
          <cell r="Y39870" t="str">
            <v>JAPAN</v>
          </cell>
        </row>
        <row r="39871">
          <cell r="L39871" t="str">
            <v>Non-proportional</v>
          </cell>
          <cell r="S39871">
            <v>-951.94</v>
          </cell>
          <cell r="X39871" t="str">
            <v>Variation UPR - gross</v>
          </cell>
          <cell r="Y39871" t="str">
            <v>JAPAN</v>
          </cell>
        </row>
        <row r="39872">
          <cell r="L39872" t="str">
            <v>Non-proportional</v>
          </cell>
          <cell r="S39872">
            <v>-13737.2</v>
          </cell>
          <cell r="X39872" t="str">
            <v>Variation UPR - gross</v>
          </cell>
          <cell r="Y39872" t="str">
            <v>ISRAEL</v>
          </cell>
        </row>
        <row r="39873">
          <cell r="L39873" t="str">
            <v>Non-proportional</v>
          </cell>
          <cell r="S39873">
            <v>-3157.29</v>
          </cell>
          <cell r="X39873" t="str">
            <v>Variation UPR - gross</v>
          </cell>
          <cell r="Y39873" t="str">
            <v>ISRAEL</v>
          </cell>
        </row>
        <row r="39874">
          <cell r="L39874" t="str">
            <v>Non-proportional</v>
          </cell>
          <cell r="S39874">
            <v>-8775.06</v>
          </cell>
          <cell r="X39874" t="str">
            <v>Variation UPR - gross</v>
          </cell>
          <cell r="Y39874" t="str">
            <v>FRANCE</v>
          </cell>
        </row>
        <row r="39875">
          <cell r="L39875" t="str">
            <v>Proportional</v>
          </cell>
          <cell r="S39875">
            <v>-180.97</v>
          </cell>
          <cell r="X39875" t="str">
            <v>Variation UPR - gross</v>
          </cell>
          <cell r="Y39875" t="str">
            <v>THAILAND</v>
          </cell>
        </row>
        <row r="39876">
          <cell r="L39876" t="str">
            <v>Proportional</v>
          </cell>
          <cell r="S39876">
            <v>-168080</v>
          </cell>
          <cell r="X39876" t="str">
            <v>Variation UPR - gross</v>
          </cell>
          <cell r="Y39876" t="str">
            <v>PORTUGAL</v>
          </cell>
        </row>
        <row r="39877">
          <cell r="L39877" t="str">
            <v>Non-proportional</v>
          </cell>
          <cell r="S39877">
            <v>-5670.82</v>
          </cell>
          <cell r="X39877" t="str">
            <v>Variation UPR - gross</v>
          </cell>
          <cell r="Y39877" t="str">
            <v>JAPAN</v>
          </cell>
        </row>
        <row r="39878">
          <cell r="L39878" t="str">
            <v>Non-proportional</v>
          </cell>
          <cell r="S39878">
            <v>-8646.26</v>
          </cell>
          <cell r="X39878" t="str">
            <v>Variation UPR - gross</v>
          </cell>
          <cell r="Y39878" t="str">
            <v>PUERTO RICO</v>
          </cell>
        </row>
        <row r="39879">
          <cell r="L39879" t="str">
            <v>Non-proportional</v>
          </cell>
          <cell r="S39879">
            <v>-394566.40000000002</v>
          </cell>
          <cell r="X39879" t="str">
            <v>Variation UPR - gross</v>
          </cell>
          <cell r="Y39879" t="str">
            <v>UNITED KINGDOM</v>
          </cell>
        </row>
        <row r="39880">
          <cell r="L39880" t="str">
            <v>Non-proportional</v>
          </cell>
          <cell r="S39880">
            <v>-2228.66</v>
          </cell>
          <cell r="X39880" t="str">
            <v>Variation UPR - gross</v>
          </cell>
          <cell r="Y39880" t="str">
            <v>AUSTRALIA</v>
          </cell>
        </row>
        <row r="39881">
          <cell r="L39881" t="str">
            <v>Non-proportional</v>
          </cell>
          <cell r="S39881">
            <v>-665.05</v>
          </cell>
          <cell r="X39881" t="str">
            <v>Variation UPR - gross</v>
          </cell>
          <cell r="Y39881" t="str">
            <v>FRANCE</v>
          </cell>
        </row>
        <row r="39882">
          <cell r="L39882" t="str">
            <v>Non-proportional</v>
          </cell>
          <cell r="S39882">
            <v>-47706.81</v>
          </cell>
          <cell r="X39882" t="str">
            <v>Variation UPR - gross</v>
          </cell>
          <cell r="Y39882" t="str">
            <v>UNITED KINGDOM</v>
          </cell>
        </row>
        <row r="39883">
          <cell r="L39883" t="str">
            <v>Non-proportional</v>
          </cell>
          <cell r="S39883">
            <v>-8531.25</v>
          </cell>
          <cell r="X39883" t="str">
            <v>Variation UPR - gross</v>
          </cell>
          <cell r="Y39883" t="str">
            <v>TURKEY</v>
          </cell>
        </row>
        <row r="39884">
          <cell r="L39884" t="str">
            <v>Non-proportional</v>
          </cell>
          <cell r="S39884">
            <v>-6563.84</v>
          </cell>
          <cell r="X39884" t="str">
            <v>Variation UPR - gross</v>
          </cell>
          <cell r="Y39884" t="str">
            <v>COLOMBIA</v>
          </cell>
        </row>
        <row r="39885">
          <cell r="L39885" t="str">
            <v>Non-proportional</v>
          </cell>
          <cell r="S39885">
            <v>-2945.87</v>
          </cell>
          <cell r="X39885" t="str">
            <v>Variation UPR - gross</v>
          </cell>
          <cell r="Y39885" t="str">
            <v>DOMINICAN REPUBLIC</v>
          </cell>
        </row>
        <row r="39886">
          <cell r="L39886" t="str">
            <v>Proportional</v>
          </cell>
          <cell r="S39886">
            <v>-43904.92</v>
          </cell>
          <cell r="X39886" t="str">
            <v>Variation UPR - gross</v>
          </cell>
          <cell r="Y39886" t="str">
            <v>INDIA</v>
          </cell>
        </row>
        <row r="39887">
          <cell r="L39887" t="str">
            <v>Non-proportional</v>
          </cell>
          <cell r="S39887">
            <v>-1087.8399999999999</v>
          </cell>
          <cell r="X39887" t="str">
            <v>Variation UPR - gross</v>
          </cell>
          <cell r="Y39887" t="str">
            <v>MEXICO</v>
          </cell>
        </row>
        <row r="39888">
          <cell r="L39888" t="str">
            <v>Proportional</v>
          </cell>
          <cell r="S39888">
            <v>-16835.03</v>
          </cell>
          <cell r="X39888" t="str">
            <v>Variation UPR - gross</v>
          </cell>
          <cell r="Y39888" t="str">
            <v>ITALY</v>
          </cell>
        </row>
        <row r="39889">
          <cell r="L39889" t="str">
            <v>Non-proportional</v>
          </cell>
          <cell r="S39889">
            <v>-53187.5</v>
          </cell>
          <cell r="X39889" t="str">
            <v>Variation UPR - gross</v>
          </cell>
          <cell r="Y39889" t="str">
            <v>BELGIUM</v>
          </cell>
        </row>
        <row r="39890">
          <cell r="L39890" t="str">
            <v>Non-proportional</v>
          </cell>
          <cell r="S39890">
            <v>-980572.8</v>
          </cell>
          <cell r="X39890" t="str">
            <v>Variation UPR - gross</v>
          </cell>
          <cell r="Y39890" t="str">
            <v>UNITED KINGDOM</v>
          </cell>
        </row>
        <row r="39891">
          <cell r="L39891" t="str">
            <v>Non-proportional</v>
          </cell>
          <cell r="S39891">
            <v>-1288.5999999999999</v>
          </cell>
          <cell r="X39891" t="str">
            <v>Variation UPR - gross</v>
          </cell>
          <cell r="Y39891" t="str">
            <v>UNITED ARAB EMIRATES</v>
          </cell>
        </row>
        <row r="39892">
          <cell r="L39892" t="str">
            <v>Non-proportional</v>
          </cell>
          <cell r="S39892">
            <v>-2604.6799999999998</v>
          </cell>
          <cell r="X39892" t="str">
            <v>Variation UPR - gross</v>
          </cell>
          <cell r="Y39892" t="str">
            <v>UNITED ARAB EMIRATES</v>
          </cell>
        </row>
        <row r="39893">
          <cell r="L39893" t="str">
            <v>Proportional</v>
          </cell>
          <cell r="S39893">
            <v>-28112.2</v>
          </cell>
          <cell r="X39893" t="str">
            <v>Variation UPR - gross</v>
          </cell>
          <cell r="Y39893" t="str">
            <v>UNITED ARAB EMIRATES</v>
          </cell>
        </row>
        <row r="39894">
          <cell r="L39894" t="str">
            <v>Non-proportional</v>
          </cell>
          <cell r="S39894">
            <v>-6393.46</v>
          </cell>
          <cell r="X39894" t="str">
            <v>Variation UPR - gross</v>
          </cell>
          <cell r="Y39894" t="str">
            <v>NETHERLANDS</v>
          </cell>
        </row>
        <row r="39895">
          <cell r="L39895" t="str">
            <v>Non-proportional</v>
          </cell>
          <cell r="S39895">
            <v>-79.5</v>
          </cell>
          <cell r="X39895" t="str">
            <v>Variation UPR - gross</v>
          </cell>
          <cell r="Y39895" t="str">
            <v>COLOMBIA</v>
          </cell>
        </row>
        <row r="39896">
          <cell r="L39896" t="str">
            <v>Proportional</v>
          </cell>
          <cell r="S39896">
            <v>1574844.83</v>
          </cell>
          <cell r="X39896" t="str">
            <v>Variation UPR - gross</v>
          </cell>
          <cell r="Y39896" t="str">
            <v>HONG KONG</v>
          </cell>
        </row>
        <row r="39897">
          <cell r="L39897" t="str">
            <v>Non-proportional</v>
          </cell>
          <cell r="S39897">
            <v>-1942.94</v>
          </cell>
          <cell r="X39897" t="str">
            <v>Variation UPR - gross</v>
          </cell>
          <cell r="Y39897" t="str">
            <v>GUATEMALA</v>
          </cell>
        </row>
        <row r="39898">
          <cell r="L39898" t="str">
            <v>Proportional</v>
          </cell>
          <cell r="S39898">
            <v>182.49</v>
          </cell>
          <cell r="X39898" t="str">
            <v>Variation UPR - gross</v>
          </cell>
          <cell r="Y39898" t="str">
            <v>INDIA</v>
          </cell>
        </row>
        <row r="39899">
          <cell r="L39899" t="str">
            <v>Non-proportional</v>
          </cell>
          <cell r="S39899">
            <v>-13978.85</v>
          </cell>
          <cell r="X39899" t="str">
            <v>Variation UPR - gross</v>
          </cell>
          <cell r="Y39899" t="str">
            <v>UNITED KINGDOM</v>
          </cell>
        </row>
        <row r="39900">
          <cell r="L39900" t="str">
            <v>Proportional</v>
          </cell>
          <cell r="S39900">
            <v>-1211</v>
          </cell>
          <cell r="X39900" t="str">
            <v>Variation UPR - gross</v>
          </cell>
          <cell r="Y39900" t="str">
            <v>SAUDI ARABIA</v>
          </cell>
        </row>
        <row r="39901">
          <cell r="L39901" t="str">
            <v>Non-proportional</v>
          </cell>
          <cell r="S39901">
            <v>209.85</v>
          </cell>
          <cell r="X39901" t="str">
            <v>Variation UPR - gross</v>
          </cell>
          <cell r="Y39901" t="str">
            <v>JAPAN</v>
          </cell>
        </row>
        <row r="39902">
          <cell r="L39902" t="str">
            <v>Non-proportional</v>
          </cell>
          <cell r="S39902">
            <v>-2937.09</v>
          </cell>
          <cell r="X39902" t="str">
            <v>Variation UPR - gross</v>
          </cell>
          <cell r="Y39902" t="str">
            <v>NETHERLANDS</v>
          </cell>
        </row>
        <row r="39903">
          <cell r="L39903" t="str">
            <v>Non-proportional</v>
          </cell>
          <cell r="S39903">
            <v>-1546248.92</v>
          </cell>
          <cell r="X39903" t="str">
            <v>Variation UPR - gross</v>
          </cell>
          <cell r="Y39903" t="str">
            <v>BELGIUM</v>
          </cell>
        </row>
        <row r="39904">
          <cell r="L39904" t="str">
            <v>Non-proportional</v>
          </cell>
          <cell r="S39904">
            <v>-2253.2199999999998</v>
          </cell>
          <cell r="X39904" t="str">
            <v>Variation UPR - gross</v>
          </cell>
          <cell r="Y39904" t="str">
            <v>ECUADOR</v>
          </cell>
        </row>
        <row r="39905">
          <cell r="L39905" t="str">
            <v>Non-proportional</v>
          </cell>
          <cell r="S39905">
            <v>0.01</v>
          </cell>
          <cell r="X39905" t="str">
            <v>Variation UPR - gross</v>
          </cell>
          <cell r="Y39905" t="str">
            <v>DOMINICAN REPUBLIC</v>
          </cell>
        </row>
        <row r="39906">
          <cell r="L39906" t="str">
            <v>Non-proportional</v>
          </cell>
          <cell r="S39906">
            <v>-5290.29</v>
          </cell>
          <cell r="X39906" t="str">
            <v>Variation UPR - gross</v>
          </cell>
          <cell r="Y39906" t="str">
            <v>ECUADOR</v>
          </cell>
        </row>
        <row r="39907">
          <cell r="L39907" t="str">
            <v>Non-proportional</v>
          </cell>
          <cell r="S39907">
            <v>-1074.1099999999999</v>
          </cell>
          <cell r="X39907" t="str">
            <v>Variation UPR - gross</v>
          </cell>
          <cell r="Y39907" t="str">
            <v>JAPAN</v>
          </cell>
        </row>
        <row r="39908">
          <cell r="L39908" t="str">
            <v>Non-proportional</v>
          </cell>
          <cell r="S39908">
            <v>-3083.16</v>
          </cell>
          <cell r="X39908" t="str">
            <v>Variation UPR - gross</v>
          </cell>
          <cell r="Y39908" t="str">
            <v>PERU</v>
          </cell>
        </row>
        <row r="39909">
          <cell r="L39909" t="str">
            <v>Non-proportional</v>
          </cell>
          <cell r="S39909">
            <v>-46464.06</v>
          </cell>
          <cell r="X39909" t="str">
            <v>Variation UPR - gross</v>
          </cell>
          <cell r="Y39909" t="str">
            <v>UNITED KINGDOM</v>
          </cell>
        </row>
        <row r="39910">
          <cell r="L39910" t="str">
            <v>Non-proportional</v>
          </cell>
          <cell r="S39910">
            <v>-6127.95</v>
          </cell>
          <cell r="X39910" t="str">
            <v>Variation UPR - gross</v>
          </cell>
          <cell r="Y39910" t="str">
            <v>PERU</v>
          </cell>
        </row>
        <row r="39911">
          <cell r="L39911" t="str">
            <v>Non-proportional</v>
          </cell>
          <cell r="S39911">
            <v>-4043.52</v>
          </cell>
          <cell r="X39911" t="str">
            <v>Variation UPR - gross</v>
          </cell>
          <cell r="Y39911" t="str">
            <v>DOMINICAN REPUBLIC</v>
          </cell>
        </row>
        <row r="39912">
          <cell r="L39912" t="str">
            <v>Non-proportional</v>
          </cell>
          <cell r="S39912">
            <v>-2500.1999999999998</v>
          </cell>
          <cell r="X39912" t="str">
            <v>Variation UPR - gross</v>
          </cell>
          <cell r="Y39912" t="str">
            <v>ISRAEL</v>
          </cell>
        </row>
        <row r="39913">
          <cell r="L39913" t="str">
            <v>Non-proportional</v>
          </cell>
          <cell r="S39913">
            <v>22364.58</v>
          </cell>
          <cell r="X39913" t="str">
            <v>Variation UPR - gross</v>
          </cell>
          <cell r="Y39913" t="str">
            <v>PERU</v>
          </cell>
        </row>
        <row r="39914">
          <cell r="L39914" t="str">
            <v>Non-proportional</v>
          </cell>
          <cell r="S39914">
            <v>-20197.509999999998</v>
          </cell>
          <cell r="X39914" t="str">
            <v>Variation UPR - gross</v>
          </cell>
          <cell r="Y39914" t="str">
            <v>ITALY</v>
          </cell>
        </row>
        <row r="39915">
          <cell r="L39915" t="str">
            <v>Non-proportional</v>
          </cell>
          <cell r="S39915">
            <v>-71.55</v>
          </cell>
          <cell r="X39915" t="str">
            <v>Variation UPR - gross</v>
          </cell>
          <cell r="Y39915" t="str">
            <v>CHILE</v>
          </cell>
        </row>
        <row r="39916">
          <cell r="L39916" t="str">
            <v>Non-proportional</v>
          </cell>
          <cell r="S39916">
            <v>-14485.66</v>
          </cell>
          <cell r="X39916" t="str">
            <v>Variation UPR - gross</v>
          </cell>
          <cell r="Y39916" t="str">
            <v>TURKEY</v>
          </cell>
        </row>
        <row r="39917">
          <cell r="L39917" t="str">
            <v>Non-proportional</v>
          </cell>
          <cell r="S39917">
            <v>-24999.81</v>
          </cell>
          <cell r="X39917" t="str">
            <v>Variation UPR - gross</v>
          </cell>
          <cell r="Y39917" t="str">
            <v>FRANCE</v>
          </cell>
        </row>
        <row r="39918">
          <cell r="L39918" t="str">
            <v>Proportional</v>
          </cell>
          <cell r="S39918">
            <v>-19666666.670000002</v>
          </cell>
          <cell r="X39918" t="str">
            <v>Variation UPR - gross</v>
          </cell>
          <cell r="Y39918" t="str">
            <v>PORTUGAL</v>
          </cell>
        </row>
        <row r="39919">
          <cell r="L39919" t="str">
            <v>Non-proportional</v>
          </cell>
          <cell r="S39919">
            <v>42.8</v>
          </cell>
          <cell r="X39919" t="str">
            <v>Variation UPR - gross</v>
          </cell>
          <cell r="Y39919" t="str">
            <v>JAPAN</v>
          </cell>
        </row>
        <row r="39920">
          <cell r="L39920" t="str">
            <v>Non-proportional</v>
          </cell>
          <cell r="S39920">
            <v>-1950.39</v>
          </cell>
          <cell r="X39920" t="str">
            <v>Variation UPR - gross</v>
          </cell>
          <cell r="Y39920" t="str">
            <v>AUSTRALIA</v>
          </cell>
        </row>
        <row r="39921">
          <cell r="L39921" t="str">
            <v>Non-proportional</v>
          </cell>
          <cell r="S39921">
            <v>-155055.53</v>
          </cell>
          <cell r="X39921" t="str">
            <v>Variation UPR - gross</v>
          </cell>
          <cell r="Y39921" t="str">
            <v>UNITED KINGDOM</v>
          </cell>
        </row>
        <row r="39922">
          <cell r="L39922" t="str">
            <v>Non-proportional</v>
          </cell>
          <cell r="S39922">
            <v>-2943.69</v>
          </cell>
          <cell r="X39922" t="str">
            <v>Variation UPR - gross</v>
          </cell>
          <cell r="Y39922" t="str">
            <v>ISRAEL</v>
          </cell>
        </row>
        <row r="39923">
          <cell r="L39923" t="str">
            <v>Non-proportional</v>
          </cell>
          <cell r="S39923">
            <v>-5027.42</v>
          </cell>
          <cell r="X39923" t="str">
            <v>Variation UPR - gross</v>
          </cell>
          <cell r="Y39923" t="str">
            <v>ISRAEL</v>
          </cell>
        </row>
        <row r="39924">
          <cell r="L39924" t="str">
            <v>Non-proportional</v>
          </cell>
          <cell r="S39924">
            <v>-765.87</v>
          </cell>
          <cell r="X39924" t="str">
            <v>Variation UPR - gross</v>
          </cell>
          <cell r="Y39924" t="str">
            <v>INDIA</v>
          </cell>
        </row>
        <row r="39925">
          <cell r="L39925" t="str">
            <v>Non-proportional</v>
          </cell>
          <cell r="S39925">
            <v>-23181.49</v>
          </cell>
          <cell r="X39925" t="str">
            <v>Variation UPR - gross</v>
          </cell>
          <cell r="Y39925" t="str">
            <v>ISRAEL</v>
          </cell>
        </row>
        <row r="39926">
          <cell r="L39926" t="str">
            <v>Non-proportional</v>
          </cell>
          <cell r="S39926">
            <v>-404683.49</v>
          </cell>
          <cell r="X39926" t="str">
            <v>Variation UPR - gross</v>
          </cell>
          <cell r="Y39926" t="str">
            <v>UNITED KINGDOM</v>
          </cell>
        </row>
        <row r="39927">
          <cell r="L39927" t="str">
            <v>Proportional</v>
          </cell>
          <cell r="S39927">
            <v>29500000</v>
          </cell>
          <cell r="X39927" t="str">
            <v>Variation UPR - gross</v>
          </cell>
          <cell r="Y39927" t="str">
            <v>PORTUGAL</v>
          </cell>
        </row>
        <row r="39928">
          <cell r="L39928" t="str">
            <v>Non-proportional</v>
          </cell>
          <cell r="S39928">
            <v>61401.83</v>
          </cell>
          <cell r="X39928" t="str">
            <v>Variation UPR - gross</v>
          </cell>
          <cell r="Y39928" t="str">
            <v>INDIA</v>
          </cell>
        </row>
        <row r="39929">
          <cell r="L39929" t="str">
            <v>Non-proportional</v>
          </cell>
          <cell r="S39929">
            <v>-229.84</v>
          </cell>
          <cell r="X39929" t="str">
            <v>Variation UPR - gross</v>
          </cell>
          <cell r="Y39929" t="str">
            <v>JAPAN</v>
          </cell>
        </row>
        <row r="39930">
          <cell r="L39930" t="str">
            <v>Non-proportional</v>
          </cell>
          <cell r="S39930">
            <v>-6562.5</v>
          </cell>
          <cell r="X39930" t="str">
            <v>Variation UPR - gross</v>
          </cell>
          <cell r="Y39930" t="str">
            <v>ITALY</v>
          </cell>
        </row>
        <row r="39931">
          <cell r="L39931" t="str">
            <v>Non-proportional</v>
          </cell>
          <cell r="S39931">
            <v>-560.5</v>
          </cell>
          <cell r="X39931" t="str">
            <v>Variation UPR - gross</v>
          </cell>
          <cell r="Y39931" t="str">
            <v>PORTUGAL</v>
          </cell>
        </row>
        <row r="39932">
          <cell r="L39932" t="str">
            <v>Non-proportional</v>
          </cell>
          <cell r="S39932">
            <v>-57668.52</v>
          </cell>
          <cell r="X39932" t="str">
            <v>Variation UPR - gross</v>
          </cell>
          <cell r="Y39932" t="str">
            <v>UNITED KINGDOM</v>
          </cell>
        </row>
        <row r="39933">
          <cell r="L39933" t="str">
            <v>Non-proportional</v>
          </cell>
          <cell r="S39933">
            <v>-3143.33</v>
          </cell>
          <cell r="X39933" t="str">
            <v>Variation UPR - gross</v>
          </cell>
          <cell r="Y39933" t="str">
            <v>GERMANY</v>
          </cell>
        </row>
        <row r="39934">
          <cell r="L39934" t="str">
            <v>Proportional</v>
          </cell>
          <cell r="S39934">
            <v>-97953.14</v>
          </cell>
          <cell r="X39934" t="str">
            <v>Variation UPR - gross</v>
          </cell>
          <cell r="Y39934" t="str">
            <v>MEXICO</v>
          </cell>
        </row>
        <row r="39935">
          <cell r="L39935" t="str">
            <v>Proportional</v>
          </cell>
          <cell r="S39935">
            <v>-1788.84</v>
          </cell>
          <cell r="X39935" t="str">
            <v>Variation UPR - gross</v>
          </cell>
          <cell r="Y39935" t="str">
            <v>CHILE</v>
          </cell>
        </row>
        <row r="39936">
          <cell r="L39936" t="str">
            <v>Non-proportional</v>
          </cell>
          <cell r="S39936">
            <v>-4806.83</v>
          </cell>
          <cell r="X39936" t="str">
            <v>Variation UPR - gross</v>
          </cell>
          <cell r="Y39936" t="str">
            <v>NEW ZEALAND</v>
          </cell>
        </row>
        <row r="39937">
          <cell r="L39937" t="str">
            <v>Non-proportional</v>
          </cell>
          <cell r="S39937">
            <v>-6658.89</v>
          </cell>
          <cell r="X39937" t="str">
            <v>Variation UPR - gross</v>
          </cell>
          <cell r="Y39937" t="str">
            <v>CYPRUS</v>
          </cell>
        </row>
        <row r="39938">
          <cell r="L39938" t="str">
            <v>Non-proportional</v>
          </cell>
          <cell r="S39938">
            <v>-9251.26</v>
          </cell>
          <cell r="X39938" t="str">
            <v>Variation UPR - gross</v>
          </cell>
          <cell r="Y39938" t="str">
            <v>ITALY</v>
          </cell>
        </row>
        <row r="39939">
          <cell r="L39939" t="str">
            <v>Non-proportional</v>
          </cell>
          <cell r="S39939">
            <v>-2647.48</v>
          </cell>
          <cell r="X39939" t="str">
            <v>Variation UPR - gross</v>
          </cell>
          <cell r="Y39939" t="str">
            <v>CHILE</v>
          </cell>
        </row>
        <row r="39940">
          <cell r="L39940" t="str">
            <v>Non-proportional</v>
          </cell>
          <cell r="S39940">
            <v>-3287.33</v>
          </cell>
          <cell r="X39940" t="str">
            <v>Variation UPR - gross</v>
          </cell>
          <cell r="Y39940" t="str">
            <v>COLOMBIA</v>
          </cell>
        </row>
        <row r="39941">
          <cell r="L39941" t="str">
            <v>Non-proportional</v>
          </cell>
          <cell r="S39941">
            <v>-4114.33</v>
          </cell>
          <cell r="X39941" t="str">
            <v>Variation UPR - gross</v>
          </cell>
          <cell r="Y39941" t="str">
            <v>CHILE</v>
          </cell>
        </row>
        <row r="39942">
          <cell r="L39942" t="str">
            <v>Non-proportional</v>
          </cell>
          <cell r="S39942">
            <v>-884.37</v>
          </cell>
          <cell r="X39942" t="str">
            <v>Variation UPR - gross</v>
          </cell>
          <cell r="Y39942" t="str">
            <v>FRANCE</v>
          </cell>
        </row>
        <row r="39943">
          <cell r="L39943" t="str">
            <v>Proportional</v>
          </cell>
          <cell r="S39943">
            <v>-526.65</v>
          </cell>
          <cell r="X39943" t="str">
            <v>Variation UPR - gross</v>
          </cell>
          <cell r="Y39943" t="str">
            <v>THAILAND</v>
          </cell>
        </row>
        <row r="39944">
          <cell r="L39944" t="str">
            <v>Non-proportional</v>
          </cell>
          <cell r="S39944">
            <v>-858.64</v>
          </cell>
          <cell r="X39944" t="str">
            <v>Variation UPR - gross</v>
          </cell>
          <cell r="Y39944" t="str">
            <v>CHILE</v>
          </cell>
        </row>
        <row r="39945">
          <cell r="L39945" t="str">
            <v>Non-proportional</v>
          </cell>
          <cell r="S39945">
            <v>-9178.3799999999992</v>
          </cell>
          <cell r="X39945" t="str">
            <v>Variation UPR - gross</v>
          </cell>
          <cell r="Y39945" t="str">
            <v>FRANCE</v>
          </cell>
        </row>
        <row r="39946">
          <cell r="L39946" t="str">
            <v>Non-proportional</v>
          </cell>
          <cell r="S39946">
            <v>-14331.16</v>
          </cell>
          <cell r="X39946" t="str">
            <v>Variation UPR - gross</v>
          </cell>
          <cell r="Y39946" t="str">
            <v>FRANCE</v>
          </cell>
        </row>
        <row r="39947">
          <cell r="L39947" t="str">
            <v>Non-proportional</v>
          </cell>
          <cell r="S39947">
            <v>-2185.64</v>
          </cell>
          <cell r="X39947" t="str">
            <v>Variation UPR - gross</v>
          </cell>
          <cell r="Y39947" t="str">
            <v>CHINA</v>
          </cell>
        </row>
        <row r="39948">
          <cell r="L39948" t="str">
            <v>Non-proportional</v>
          </cell>
          <cell r="S39948">
            <v>-36.409999999999997</v>
          </cell>
          <cell r="X39948" t="str">
            <v>Variation UPR - gross</v>
          </cell>
          <cell r="Y39948" t="str">
            <v>COSTA RICA</v>
          </cell>
        </row>
        <row r="39949">
          <cell r="L39949" t="str">
            <v>Non-proportional</v>
          </cell>
          <cell r="S39949">
            <v>-8444.5300000000007</v>
          </cell>
          <cell r="X39949" t="str">
            <v>Variation UPR - gross</v>
          </cell>
          <cell r="Y39949" t="str">
            <v>AUSTRALIA</v>
          </cell>
        </row>
        <row r="39950">
          <cell r="L39950" t="str">
            <v>Non-proportional</v>
          </cell>
          <cell r="S39950">
            <v>-2683.26</v>
          </cell>
          <cell r="X39950" t="str">
            <v>Variation UPR - gross</v>
          </cell>
          <cell r="Y39950" t="str">
            <v>CHILE</v>
          </cell>
        </row>
        <row r="39951">
          <cell r="L39951" t="str">
            <v>Proportional</v>
          </cell>
          <cell r="S39951">
            <v>-797.7</v>
          </cell>
          <cell r="X39951" t="str">
            <v>Variation UPR - gross</v>
          </cell>
          <cell r="Y39951" t="str">
            <v>THAILAND</v>
          </cell>
        </row>
        <row r="39952">
          <cell r="L39952" t="str">
            <v>Non-proportional</v>
          </cell>
          <cell r="S39952">
            <v>-2549.08</v>
          </cell>
          <cell r="X39952" t="str">
            <v>Variation UPR - gross</v>
          </cell>
          <cell r="Y39952" t="str">
            <v>SOUTH AFRICA</v>
          </cell>
        </row>
        <row r="39953">
          <cell r="L39953" t="str">
            <v>Non-proportional</v>
          </cell>
          <cell r="S39953">
            <v>-29779.91</v>
          </cell>
          <cell r="X39953" t="str">
            <v>Variation UPR - gross</v>
          </cell>
          <cell r="Y39953" t="str">
            <v>JAPAN</v>
          </cell>
        </row>
        <row r="39954">
          <cell r="L39954" t="str">
            <v>Non-proportional</v>
          </cell>
          <cell r="S39954">
            <v>-1794.8</v>
          </cell>
          <cell r="X39954" t="str">
            <v>Variation UPR - gross</v>
          </cell>
          <cell r="Y39954" t="str">
            <v>PERU</v>
          </cell>
        </row>
        <row r="39955">
          <cell r="L39955" t="str">
            <v>Non-proportional</v>
          </cell>
          <cell r="S39955">
            <v>-1081.48</v>
          </cell>
          <cell r="X39955" t="str">
            <v>Variation UPR - gross</v>
          </cell>
          <cell r="Y39955" t="str">
            <v>COSTA RICA</v>
          </cell>
        </row>
        <row r="39956">
          <cell r="L39956" t="str">
            <v>Non-proportional</v>
          </cell>
          <cell r="S39956">
            <v>0</v>
          </cell>
          <cell r="X39956" t="str">
            <v>Variation UPR - gross</v>
          </cell>
          <cell r="Y39956" t="str">
            <v>DOMINICAN REPUBLIC</v>
          </cell>
        </row>
        <row r="39957">
          <cell r="L39957" t="str">
            <v>Non-proportional</v>
          </cell>
          <cell r="S39957">
            <v>-12664.64</v>
          </cell>
          <cell r="X39957" t="str">
            <v>Variation UPR - gross</v>
          </cell>
          <cell r="Y39957" t="str">
            <v>FRANCE</v>
          </cell>
        </row>
        <row r="39958">
          <cell r="L39958" t="str">
            <v>Non-proportional</v>
          </cell>
          <cell r="S39958">
            <v>-44.7</v>
          </cell>
          <cell r="X39958" t="str">
            <v>Variation UPR - gross</v>
          </cell>
          <cell r="Y39958" t="str">
            <v>COLOMBIA</v>
          </cell>
        </row>
        <row r="39959">
          <cell r="L39959" t="str">
            <v>Non-proportional</v>
          </cell>
          <cell r="S39959">
            <v>30.78</v>
          </cell>
          <cell r="X39959" t="str">
            <v>Variation UPR - gross</v>
          </cell>
          <cell r="Y39959" t="str">
            <v>JAPAN</v>
          </cell>
        </row>
        <row r="39960">
          <cell r="L39960" t="str">
            <v>Non-proportional</v>
          </cell>
          <cell r="S39960">
            <v>-9053.2099999999991</v>
          </cell>
          <cell r="X39960" t="str">
            <v>Variation UPR - gross</v>
          </cell>
          <cell r="Y39960" t="str">
            <v>ITALY</v>
          </cell>
        </row>
        <row r="39961">
          <cell r="L39961" t="str">
            <v>Non-proportional</v>
          </cell>
          <cell r="S39961">
            <v>-2517.67</v>
          </cell>
          <cell r="X39961" t="str">
            <v>Variation UPR - gross</v>
          </cell>
          <cell r="Y39961" t="str">
            <v>ITALY</v>
          </cell>
        </row>
        <row r="39962">
          <cell r="L39962" t="str">
            <v>Non-proportional</v>
          </cell>
          <cell r="S39962">
            <v>224.04</v>
          </cell>
          <cell r="X39962" t="str">
            <v>Variation UPR - gross</v>
          </cell>
          <cell r="Y39962" t="str">
            <v>COLOMBIA</v>
          </cell>
        </row>
        <row r="39963">
          <cell r="L39963" t="str">
            <v>Non-proportional</v>
          </cell>
          <cell r="S39963">
            <v>-2100.8000000000002</v>
          </cell>
          <cell r="X39963" t="str">
            <v>Variation UPR - gross</v>
          </cell>
          <cell r="Y39963" t="str">
            <v>GUATEMALA</v>
          </cell>
        </row>
        <row r="39964">
          <cell r="L39964" t="str">
            <v>Non-proportional</v>
          </cell>
          <cell r="S39964">
            <v>0</v>
          </cell>
          <cell r="X39964" t="str">
            <v>Variation UPR - gross</v>
          </cell>
          <cell r="Y39964" t="str">
            <v>DOMINICAN REPUBLIC</v>
          </cell>
        </row>
        <row r="39965">
          <cell r="L39965" t="str">
            <v>Non-proportional</v>
          </cell>
          <cell r="S39965">
            <v>0.02</v>
          </cell>
          <cell r="X39965" t="str">
            <v>Variation UPR - gross</v>
          </cell>
          <cell r="Y39965" t="str">
            <v>DOMINICAN REPUBLIC</v>
          </cell>
        </row>
        <row r="39966">
          <cell r="L39966" t="str">
            <v>Non-proportional</v>
          </cell>
          <cell r="S39966">
            <v>-2969.47</v>
          </cell>
          <cell r="X39966" t="str">
            <v>Variation UPR - gross</v>
          </cell>
          <cell r="Y39966" t="str">
            <v>CHILE</v>
          </cell>
        </row>
        <row r="39967">
          <cell r="L39967" t="str">
            <v>Non-proportional</v>
          </cell>
          <cell r="S39967">
            <v>72.760000000000005</v>
          </cell>
          <cell r="X39967" t="str">
            <v>Variation UPR - gross</v>
          </cell>
          <cell r="Y39967" t="str">
            <v>NEW ZEALAND</v>
          </cell>
        </row>
        <row r="39968">
          <cell r="L39968" t="str">
            <v>Non-proportional</v>
          </cell>
          <cell r="S39968">
            <v>-0.06</v>
          </cell>
          <cell r="X39968" t="str">
            <v>Variation UPR - gross</v>
          </cell>
          <cell r="Y39968" t="str">
            <v>INDIA</v>
          </cell>
        </row>
        <row r="39969">
          <cell r="L39969" t="str">
            <v>Non-proportional</v>
          </cell>
          <cell r="S39969">
            <v>-286.25</v>
          </cell>
          <cell r="X39969" t="str">
            <v>Variation UPR - gross</v>
          </cell>
          <cell r="Y39969" t="str">
            <v>REPUBLIC OF IRELAND</v>
          </cell>
        </row>
        <row r="39970">
          <cell r="L39970" t="str">
            <v>Non-proportional</v>
          </cell>
          <cell r="S39970">
            <v>-928.4</v>
          </cell>
          <cell r="X39970" t="str">
            <v>Variation UPR - gross</v>
          </cell>
          <cell r="Y39970" t="str">
            <v>ECUADOR</v>
          </cell>
        </row>
        <row r="39971">
          <cell r="L39971" t="str">
            <v>Non-proportional</v>
          </cell>
          <cell r="S39971">
            <v>-619.69000000000005</v>
          </cell>
          <cell r="X39971" t="str">
            <v>Variation UPR - gross</v>
          </cell>
          <cell r="Y39971" t="str">
            <v>INDIA</v>
          </cell>
        </row>
        <row r="39972">
          <cell r="L39972" t="str">
            <v>Non-proportional</v>
          </cell>
          <cell r="S39972">
            <v>87507.39</v>
          </cell>
          <cell r="X39972" t="str">
            <v>Variation UPR - gross</v>
          </cell>
          <cell r="Y39972" t="str">
            <v>INDIA</v>
          </cell>
        </row>
        <row r="39973">
          <cell r="L39973" t="str">
            <v>Non-proportional</v>
          </cell>
          <cell r="S39973">
            <v>-3380.29</v>
          </cell>
          <cell r="X39973" t="str">
            <v>Variation UPR - gross</v>
          </cell>
          <cell r="Y39973" t="str">
            <v>UNITED KINGDOM</v>
          </cell>
        </row>
        <row r="39974">
          <cell r="L39974" t="str">
            <v>Non-proportional</v>
          </cell>
          <cell r="S39974">
            <v>-12625.09</v>
          </cell>
          <cell r="X39974" t="str">
            <v>Variation UPR - gross</v>
          </cell>
          <cell r="Y39974" t="str">
            <v>BELGIUM</v>
          </cell>
        </row>
        <row r="39975">
          <cell r="L39975" t="str">
            <v>Non-proportional</v>
          </cell>
          <cell r="S39975">
            <v>18.97</v>
          </cell>
          <cell r="X39975" t="str">
            <v>Variation UPR - gross</v>
          </cell>
          <cell r="Y39975" t="str">
            <v>COLOMBIA</v>
          </cell>
        </row>
        <row r="39976">
          <cell r="L39976" t="str">
            <v>Proportional</v>
          </cell>
          <cell r="S39976">
            <v>18055.419999999998</v>
          </cell>
          <cell r="X39976" t="str">
            <v>Variation UPR - gross</v>
          </cell>
          <cell r="Y39976" t="str">
            <v>AUSTRALIA</v>
          </cell>
        </row>
        <row r="39977">
          <cell r="L39977" t="str">
            <v>Non-proportional</v>
          </cell>
          <cell r="S39977">
            <v>237.54</v>
          </cell>
          <cell r="X39977" t="str">
            <v>Variation UPR - gross</v>
          </cell>
          <cell r="Y39977" t="str">
            <v>SOUTH KOREA</v>
          </cell>
        </row>
        <row r="39978">
          <cell r="L39978" t="str">
            <v>Non-proportional</v>
          </cell>
          <cell r="S39978">
            <v>-612.5</v>
          </cell>
          <cell r="X39978" t="str">
            <v>Variation UPR - gross</v>
          </cell>
          <cell r="Y39978" t="str">
            <v>GREECE</v>
          </cell>
        </row>
        <row r="39979">
          <cell r="L39979" t="str">
            <v>Proportional</v>
          </cell>
          <cell r="S39979">
            <v>-10339.49</v>
          </cell>
          <cell r="X39979" t="str">
            <v>Variation UPR - gross</v>
          </cell>
          <cell r="Y39979" t="str">
            <v>CHILE</v>
          </cell>
        </row>
        <row r="39980">
          <cell r="L39980" t="str">
            <v>Non-proportional</v>
          </cell>
          <cell r="S39980">
            <v>-8499.39</v>
          </cell>
          <cell r="X39980" t="str">
            <v>Variation UPR - gross</v>
          </cell>
          <cell r="Y39980" t="str">
            <v>ECUADOR</v>
          </cell>
        </row>
        <row r="39981">
          <cell r="L39981" t="str">
            <v>Non-proportional</v>
          </cell>
          <cell r="S39981">
            <v>-9187.5</v>
          </cell>
          <cell r="X39981" t="str">
            <v>Variation UPR - gross</v>
          </cell>
          <cell r="Y39981" t="str">
            <v>TURKEY</v>
          </cell>
        </row>
        <row r="39982">
          <cell r="L39982" t="str">
            <v>Non-proportional</v>
          </cell>
          <cell r="S39982">
            <v>-44.34</v>
          </cell>
          <cell r="X39982" t="str">
            <v>Variation UPR - gross</v>
          </cell>
          <cell r="Y39982" t="str">
            <v>ISRAEL</v>
          </cell>
        </row>
        <row r="39983">
          <cell r="L39983" t="str">
            <v>Non-proportional</v>
          </cell>
          <cell r="S39983">
            <v>-8357.18</v>
          </cell>
          <cell r="X39983" t="str">
            <v>Variation UPR - gross</v>
          </cell>
          <cell r="Y39983" t="str">
            <v>AUSTRALIA</v>
          </cell>
        </row>
        <row r="39984">
          <cell r="L39984" t="str">
            <v>Non-proportional</v>
          </cell>
          <cell r="S39984">
            <v>-2132.7600000000002</v>
          </cell>
          <cell r="X39984" t="str">
            <v>Variation UPR - gross</v>
          </cell>
          <cell r="Y39984" t="str">
            <v>UNITED KINGDOM</v>
          </cell>
        </row>
        <row r="39985">
          <cell r="L39985" t="str">
            <v>Proportional</v>
          </cell>
          <cell r="S39985">
            <v>-12174.08</v>
          </cell>
          <cell r="X39985" t="str">
            <v>Variation UPR - gross</v>
          </cell>
          <cell r="Y39985" t="str">
            <v>THAILAND</v>
          </cell>
        </row>
        <row r="39986">
          <cell r="L39986" t="str">
            <v>Non-proportional</v>
          </cell>
          <cell r="S39986">
            <v>-52.49</v>
          </cell>
          <cell r="X39986" t="str">
            <v>Variation UPR - gross</v>
          </cell>
          <cell r="Y39986" t="str">
            <v>ISRAEL</v>
          </cell>
        </row>
        <row r="39987">
          <cell r="L39987" t="str">
            <v>Non-proportional</v>
          </cell>
          <cell r="S39987">
            <v>-3828.13</v>
          </cell>
          <cell r="X39987" t="str">
            <v>Variation UPR - gross</v>
          </cell>
          <cell r="Y39987" t="str">
            <v>ITALY</v>
          </cell>
        </row>
        <row r="39988">
          <cell r="L39988" t="str">
            <v>Proportional</v>
          </cell>
          <cell r="S39988">
            <v>-259.20999999999998</v>
          </cell>
          <cell r="X39988" t="str">
            <v>Variation UPR - gross</v>
          </cell>
          <cell r="Y39988" t="str">
            <v>THAILAND</v>
          </cell>
        </row>
        <row r="39989">
          <cell r="L39989" t="str">
            <v>Non-proportional</v>
          </cell>
          <cell r="S39989">
            <v>-19967.73</v>
          </cell>
          <cell r="X39989" t="str">
            <v>Variation UPR - gross</v>
          </cell>
          <cell r="Y39989" t="str">
            <v>FRANCE</v>
          </cell>
        </row>
        <row r="39990">
          <cell r="L39990" t="str">
            <v>Non-proportional</v>
          </cell>
          <cell r="S39990">
            <v>-8895.0499999999993</v>
          </cell>
          <cell r="X39990" t="str">
            <v>Variation UPR - gross</v>
          </cell>
          <cell r="Y39990" t="str">
            <v>ISRAEL</v>
          </cell>
        </row>
        <row r="39991">
          <cell r="L39991" t="str">
            <v>Non-proportional</v>
          </cell>
          <cell r="S39991">
            <v>-1102.54</v>
          </cell>
          <cell r="X39991" t="str">
            <v>Variation UPR - gross</v>
          </cell>
          <cell r="Y39991" t="str">
            <v>ISRAEL</v>
          </cell>
        </row>
        <row r="39992">
          <cell r="L39992" t="str">
            <v>Non-proportional</v>
          </cell>
          <cell r="S39992">
            <v>-40000</v>
          </cell>
          <cell r="X39992" t="str">
            <v>Variation UPR - gross</v>
          </cell>
          <cell r="Y39992" t="str">
            <v>PORTUGAL</v>
          </cell>
        </row>
        <row r="39993">
          <cell r="L39993" t="str">
            <v>Non-proportional</v>
          </cell>
          <cell r="S39993">
            <v>533.02</v>
          </cell>
          <cell r="X39993" t="str">
            <v>Variation UPR - gross</v>
          </cell>
          <cell r="Y39993" t="str">
            <v>AUSTRALIA</v>
          </cell>
        </row>
        <row r="39994">
          <cell r="L39994" t="str">
            <v>Non-proportional</v>
          </cell>
          <cell r="S39994">
            <v>-3900.8</v>
          </cell>
          <cell r="X39994" t="str">
            <v>Variation UPR - gross</v>
          </cell>
          <cell r="Y39994" t="str">
            <v>EUROPE</v>
          </cell>
        </row>
        <row r="39995">
          <cell r="L39995" t="str">
            <v>Non-proportional</v>
          </cell>
          <cell r="S39995">
            <v>-450.46</v>
          </cell>
          <cell r="X39995" t="str">
            <v>Variation UPR - gross</v>
          </cell>
          <cell r="Y39995" t="str">
            <v>UNITED KINGDOM</v>
          </cell>
        </row>
        <row r="39996">
          <cell r="L39996" t="str">
            <v>Non-proportional</v>
          </cell>
          <cell r="S39996">
            <v>-8378.23</v>
          </cell>
          <cell r="X39996" t="str">
            <v>Variation UPR - gross</v>
          </cell>
          <cell r="Y39996" t="str">
            <v>MEXICO</v>
          </cell>
        </row>
        <row r="39997">
          <cell r="L39997" t="str">
            <v>Non-proportional</v>
          </cell>
          <cell r="S39997">
            <v>-6903.79</v>
          </cell>
          <cell r="X39997" t="str">
            <v>Variation UPR - gross</v>
          </cell>
          <cell r="Y39997" t="str">
            <v>UNITED KINGDOM</v>
          </cell>
        </row>
        <row r="39998">
          <cell r="L39998" t="str">
            <v>Proportional</v>
          </cell>
          <cell r="S39998">
            <v>-444.22</v>
          </cell>
          <cell r="X39998" t="str">
            <v>Variation UPR - gross</v>
          </cell>
          <cell r="Y39998" t="str">
            <v>UNITED STATES</v>
          </cell>
        </row>
        <row r="39999">
          <cell r="L39999" t="str">
            <v>Non-proportional</v>
          </cell>
          <cell r="S39999">
            <v>-0.05</v>
          </cell>
          <cell r="X39999" t="str">
            <v>Variation UPR - gross</v>
          </cell>
          <cell r="Y39999" t="str">
            <v>INDIA</v>
          </cell>
        </row>
        <row r="40000">
          <cell r="L40000" t="str">
            <v>Non-proportional</v>
          </cell>
          <cell r="S40000">
            <v>452.47</v>
          </cell>
          <cell r="X40000" t="str">
            <v>Variation UPR - gross</v>
          </cell>
          <cell r="Y40000" t="str">
            <v>DOMINICAN REPUBLIC</v>
          </cell>
        </row>
        <row r="40001">
          <cell r="L40001" t="str">
            <v>Non-proportional</v>
          </cell>
          <cell r="S40001">
            <v>0.01</v>
          </cell>
          <cell r="X40001" t="str">
            <v>Variation UPR - gross</v>
          </cell>
          <cell r="Y40001" t="str">
            <v>DOMINICAN REPUBLIC</v>
          </cell>
        </row>
        <row r="40002">
          <cell r="L40002" t="str">
            <v>Proportional</v>
          </cell>
          <cell r="S40002">
            <v>-122542.57</v>
          </cell>
          <cell r="X40002" t="str">
            <v>Variation UPR - gross</v>
          </cell>
          <cell r="Y40002" t="str">
            <v>PORTUGAL</v>
          </cell>
        </row>
        <row r="40003">
          <cell r="L40003" t="str">
            <v>Non-proportional</v>
          </cell>
          <cell r="S40003">
            <v>-10596.12</v>
          </cell>
          <cell r="X40003" t="str">
            <v>Variation UPR - gross</v>
          </cell>
          <cell r="Y40003" t="str">
            <v>FRANCE</v>
          </cell>
        </row>
        <row r="40004">
          <cell r="L40004" t="str">
            <v>Non-proportional</v>
          </cell>
          <cell r="S40004">
            <v>81.040000000000006</v>
          </cell>
          <cell r="X40004" t="str">
            <v>Variation UPR - gross</v>
          </cell>
          <cell r="Y40004" t="str">
            <v>JAPAN</v>
          </cell>
        </row>
        <row r="40005">
          <cell r="L40005" t="str">
            <v>Non-proportional</v>
          </cell>
          <cell r="S40005">
            <v>-9402.07</v>
          </cell>
          <cell r="X40005" t="str">
            <v>Variation UPR - gross</v>
          </cell>
          <cell r="Y40005" t="str">
            <v>AUSTRALIA</v>
          </cell>
        </row>
        <row r="40006">
          <cell r="L40006" t="str">
            <v>Non-proportional</v>
          </cell>
          <cell r="S40006">
            <v>-1178640.6499999999</v>
          </cell>
          <cell r="X40006" t="str">
            <v>Variation UPR - gross</v>
          </cell>
          <cell r="Y40006" t="str">
            <v>UNITED KINGDOM</v>
          </cell>
        </row>
        <row r="40007">
          <cell r="L40007" t="str">
            <v>Non-proportional</v>
          </cell>
          <cell r="S40007">
            <v>-3608.53</v>
          </cell>
          <cell r="X40007" t="str">
            <v>Variation UPR - gross</v>
          </cell>
          <cell r="Y40007" t="str">
            <v>ECUADOR</v>
          </cell>
        </row>
        <row r="40008">
          <cell r="L40008" t="str">
            <v>Proportional</v>
          </cell>
          <cell r="S40008">
            <v>-1507.47</v>
          </cell>
          <cell r="X40008" t="str">
            <v>Variation UPR - gross</v>
          </cell>
          <cell r="Y40008" t="str">
            <v>UNITED STATES</v>
          </cell>
        </row>
        <row r="40009">
          <cell r="L40009" t="str">
            <v>Non-proportional</v>
          </cell>
          <cell r="S40009">
            <v>-1323.38</v>
          </cell>
          <cell r="X40009" t="str">
            <v>Variation UPR - gross</v>
          </cell>
          <cell r="Y40009" t="str">
            <v>UNITED KINGDOM</v>
          </cell>
        </row>
        <row r="40010">
          <cell r="L40010" t="str">
            <v>Non-proportional</v>
          </cell>
          <cell r="S40010">
            <v>-5851.33</v>
          </cell>
          <cell r="X40010" t="str">
            <v>Variation UPR - gross</v>
          </cell>
          <cell r="Y40010" t="str">
            <v>ITALY</v>
          </cell>
        </row>
        <row r="40011">
          <cell r="L40011" t="str">
            <v>Non-proportional</v>
          </cell>
          <cell r="S40011">
            <v>0.05</v>
          </cell>
          <cell r="X40011" t="str">
            <v>Variation UPR - gross</v>
          </cell>
          <cell r="Y40011" t="str">
            <v>THAILAND</v>
          </cell>
        </row>
        <row r="40012">
          <cell r="L40012" t="str">
            <v>Non-proportional</v>
          </cell>
          <cell r="S40012">
            <v>-9977.5</v>
          </cell>
          <cell r="X40012" t="str">
            <v>Variation UPR - gross</v>
          </cell>
          <cell r="Y40012" t="str">
            <v>ITALY</v>
          </cell>
        </row>
        <row r="40013">
          <cell r="L40013" t="str">
            <v>Proportional</v>
          </cell>
          <cell r="S40013">
            <v>59.75</v>
          </cell>
          <cell r="X40013" t="str">
            <v>Variation UPR - gross</v>
          </cell>
          <cell r="Y40013" t="str">
            <v>THAILAND</v>
          </cell>
        </row>
        <row r="40014">
          <cell r="L40014" t="str">
            <v>Non-proportional</v>
          </cell>
          <cell r="S40014">
            <v>-9207.18</v>
          </cell>
          <cell r="X40014" t="str">
            <v>Variation UPR - gross</v>
          </cell>
          <cell r="Y40014" t="str">
            <v>TURKEY</v>
          </cell>
        </row>
        <row r="40015">
          <cell r="L40015" t="str">
            <v>Non-proportional</v>
          </cell>
          <cell r="S40015">
            <v>-2151.09</v>
          </cell>
          <cell r="X40015" t="str">
            <v>Variation UPR - gross</v>
          </cell>
          <cell r="Y40015" t="str">
            <v>INDIA</v>
          </cell>
        </row>
        <row r="40016">
          <cell r="L40016" t="str">
            <v>Proportional</v>
          </cell>
          <cell r="S40016">
            <v>-52858.39</v>
          </cell>
          <cell r="X40016" t="str">
            <v>Variation UPR - gross</v>
          </cell>
          <cell r="Y40016" t="str">
            <v>PORTUGAL</v>
          </cell>
        </row>
        <row r="40017">
          <cell r="L40017" t="str">
            <v>Non-proportional</v>
          </cell>
          <cell r="S40017">
            <v>-2179.7800000000002</v>
          </cell>
          <cell r="X40017" t="str">
            <v>Variation UPR - gross</v>
          </cell>
          <cell r="Y40017" t="str">
            <v>FRANCE</v>
          </cell>
        </row>
        <row r="40018">
          <cell r="L40018" t="str">
            <v>Non-proportional</v>
          </cell>
          <cell r="S40018">
            <v>-7552.08</v>
          </cell>
          <cell r="X40018" t="str">
            <v>Variation UPR - gross</v>
          </cell>
          <cell r="Y40018" t="str">
            <v>ROMANIA</v>
          </cell>
        </row>
        <row r="40019">
          <cell r="L40019" t="str">
            <v>Non-proportional</v>
          </cell>
          <cell r="S40019">
            <v>-2890.67</v>
          </cell>
          <cell r="X40019" t="str">
            <v>Variation UPR - gross</v>
          </cell>
          <cell r="Y40019" t="str">
            <v>DOMINICAN REPUBLIC</v>
          </cell>
        </row>
        <row r="40020">
          <cell r="L40020" t="str">
            <v>Non-proportional</v>
          </cell>
          <cell r="S40020">
            <v>-7689.99</v>
          </cell>
          <cell r="X40020" t="str">
            <v>Variation UPR - gross</v>
          </cell>
          <cell r="Y40020" t="str">
            <v>MEXICO</v>
          </cell>
        </row>
        <row r="40021">
          <cell r="L40021" t="str">
            <v>Non-proportional</v>
          </cell>
          <cell r="S40021">
            <v>6.31</v>
          </cell>
          <cell r="X40021" t="str">
            <v>Variation UPR - gross</v>
          </cell>
          <cell r="Y40021" t="str">
            <v>JAPAN</v>
          </cell>
        </row>
        <row r="40022">
          <cell r="L40022" t="str">
            <v>Non-proportional</v>
          </cell>
          <cell r="S40022">
            <v>-1185.8</v>
          </cell>
          <cell r="X40022" t="str">
            <v>Variation UPR - gross</v>
          </cell>
          <cell r="Y40022" t="str">
            <v>UNITED KINGDOM</v>
          </cell>
        </row>
        <row r="40023">
          <cell r="L40023" t="str">
            <v>Non-proportional</v>
          </cell>
          <cell r="S40023">
            <v>-11842.11</v>
          </cell>
          <cell r="X40023" t="str">
            <v>Variation UPR - gross</v>
          </cell>
          <cell r="Y40023" t="str">
            <v>CHILE</v>
          </cell>
        </row>
        <row r="40024">
          <cell r="L40024" t="str">
            <v>Non-proportional</v>
          </cell>
          <cell r="S40024">
            <v>-10000</v>
          </cell>
          <cell r="X40024" t="str">
            <v>Variation UPR - gross</v>
          </cell>
          <cell r="Y40024" t="str">
            <v>ITALY</v>
          </cell>
        </row>
        <row r="40025">
          <cell r="L40025" t="str">
            <v>Non-proportional</v>
          </cell>
          <cell r="S40025">
            <v>-1303.78</v>
          </cell>
          <cell r="X40025" t="str">
            <v>Variation UPR - gross</v>
          </cell>
          <cell r="Y40025" t="str">
            <v>CYPRUS</v>
          </cell>
        </row>
        <row r="40026">
          <cell r="L40026" t="str">
            <v>Non-proportional</v>
          </cell>
          <cell r="S40026">
            <v>-5076.79</v>
          </cell>
          <cell r="X40026" t="str">
            <v>Variation UPR - gross</v>
          </cell>
          <cell r="Y40026" t="str">
            <v>SPAIN</v>
          </cell>
        </row>
        <row r="40027">
          <cell r="L40027" t="str">
            <v>Proportional</v>
          </cell>
          <cell r="S40027">
            <v>-399.87</v>
          </cell>
          <cell r="X40027" t="str">
            <v>Variation UPR - gross</v>
          </cell>
          <cell r="Y40027" t="str">
            <v>UNITED STATES</v>
          </cell>
        </row>
        <row r="40028">
          <cell r="L40028" t="str">
            <v>Non-proportional</v>
          </cell>
          <cell r="S40028">
            <v>-860</v>
          </cell>
          <cell r="X40028" t="str">
            <v>Variation UPR - gross</v>
          </cell>
          <cell r="Y40028" t="str">
            <v>GREECE</v>
          </cell>
        </row>
        <row r="40029">
          <cell r="L40029" t="str">
            <v>Non-proportional</v>
          </cell>
          <cell r="S40029">
            <v>-5485.37</v>
          </cell>
          <cell r="X40029" t="str">
            <v>Variation UPR - gross</v>
          </cell>
          <cell r="Y40029" t="str">
            <v>ISRAEL</v>
          </cell>
        </row>
        <row r="40030">
          <cell r="L40030" t="str">
            <v>Non-proportional</v>
          </cell>
          <cell r="S40030">
            <v>-4250.1899999999996</v>
          </cell>
          <cell r="X40030" t="str">
            <v>Variation UPR - gross</v>
          </cell>
          <cell r="Y40030" t="str">
            <v>ITALY</v>
          </cell>
        </row>
        <row r="40031">
          <cell r="L40031" t="str">
            <v>Non-proportional</v>
          </cell>
          <cell r="S40031">
            <v>-3418.41</v>
          </cell>
          <cell r="X40031" t="str">
            <v>Variation UPR - gross</v>
          </cell>
          <cell r="Y40031" t="str">
            <v>ISRAEL</v>
          </cell>
        </row>
        <row r="40032">
          <cell r="L40032" t="str">
            <v>Non-proportional</v>
          </cell>
          <cell r="S40032">
            <v>-10974.83</v>
          </cell>
          <cell r="X40032" t="str">
            <v>Variation UPR - gross</v>
          </cell>
          <cell r="Y40032" t="str">
            <v>GERMANY</v>
          </cell>
        </row>
        <row r="40033">
          <cell r="L40033" t="str">
            <v>Proportional</v>
          </cell>
          <cell r="S40033">
            <v>35.619999999999997</v>
          </cell>
          <cell r="X40033" t="str">
            <v>Variation UPR - gross</v>
          </cell>
          <cell r="Y40033" t="str">
            <v>UNITED STATES</v>
          </cell>
        </row>
        <row r="40034">
          <cell r="L40034" t="str">
            <v>Non-proportional</v>
          </cell>
          <cell r="S40034">
            <v>-1753.13</v>
          </cell>
          <cell r="X40034" t="str">
            <v>Variation UPR - gross</v>
          </cell>
          <cell r="Y40034" t="str">
            <v>ROMANIA</v>
          </cell>
        </row>
        <row r="40035">
          <cell r="L40035" t="str">
            <v>Non-proportional</v>
          </cell>
          <cell r="S40035">
            <v>56.85</v>
          </cell>
          <cell r="X40035" t="str">
            <v>Variation UPR - gross</v>
          </cell>
          <cell r="Y40035" t="str">
            <v>NEW ZEALAND</v>
          </cell>
        </row>
        <row r="40036">
          <cell r="L40036" t="str">
            <v>Non-proportional</v>
          </cell>
          <cell r="S40036">
            <v>-4680.87</v>
          </cell>
          <cell r="X40036" t="str">
            <v>Variation UPR - gross</v>
          </cell>
          <cell r="Y40036" t="str">
            <v>AUSTRALIA</v>
          </cell>
        </row>
        <row r="40037">
          <cell r="L40037" t="str">
            <v>Non-proportional</v>
          </cell>
          <cell r="S40037">
            <v>-3581.17</v>
          </cell>
          <cell r="X40037" t="str">
            <v>Variation UPR - gross</v>
          </cell>
          <cell r="Y40037" t="str">
            <v>AUSTRALIA</v>
          </cell>
        </row>
        <row r="40038">
          <cell r="L40038" t="str">
            <v>Non-proportional</v>
          </cell>
          <cell r="S40038">
            <v>-898.94</v>
          </cell>
          <cell r="X40038" t="str">
            <v>Variation UPR - gross</v>
          </cell>
          <cell r="Y40038" t="str">
            <v>UNITED KINGDOM</v>
          </cell>
        </row>
        <row r="40039">
          <cell r="L40039" t="str">
            <v>Proportional</v>
          </cell>
          <cell r="S40039">
            <v>-12694.65</v>
          </cell>
          <cell r="X40039" t="str">
            <v>Variation UPR - gross</v>
          </cell>
          <cell r="Y40039" t="str">
            <v>THAILAND</v>
          </cell>
        </row>
        <row r="40040">
          <cell r="L40040" t="str">
            <v>Non-proportional</v>
          </cell>
          <cell r="S40040">
            <v>-11328.37</v>
          </cell>
          <cell r="X40040" t="str">
            <v>Variation UPR - gross</v>
          </cell>
          <cell r="Y40040" t="str">
            <v>NEW ZEALAND</v>
          </cell>
        </row>
        <row r="40041">
          <cell r="L40041" t="str">
            <v>Proportional</v>
          </cell>
          <cell r="S40041">
            <v>1707.05</v>
          </cell>
          <cell r="X40041" t="str">
            <v>Variation UPR - gross</v>
          </cell>
          <cell r="Y40041" t="str">
            <v>THAILAND</v>
          </cell>
        </row>
        <row r="40042">
          <cell r="L40042" t="str">
            <v>Non-proportional</v>
          </cell>
          <cell r="S40042">
            <v>-8430.34</v>
          </cell>
          <cell r="X40042" t="str">
            <v>Variation UPR - gross</v>
          </cell>
          <cell r="Y40042" t="str">
            <v>CANADA</v>
          </cell>
        </row>
        <row r="40043">
          <cell r="L40043" t="str">
            <v>Non-proportional</v>
          </cell>
          <cell r="S40043">
            <v>-214.66</v>
          </cell>
          <cell r="X40043" t="str">
            <v>Variation UPR - gross</v>
          </cell>
          <cell r="Y40043" t="str">
            <v>CHILE</v>
          </cell>
        </row>
        <row r="40044">
          <cell r="L40044" t="str">
            <v>Non-proportional</v>
          </cell>
          <cell r="S40044">
            <v>-853.23</v>
          </cell>
          <cell r="X40044" t="str">
            <v>Variation UPR - gross</v>
          </cell>
          <cell r="Y40044" t="str">
            <v>COSTA RICA</v>
          </cell>
        </row>
        <row r="40045">
          <cell r="L40045" t="str">
            <v>Non-proportional</v>
          </cell>
          <cell r="S40045">
            <v>-451.66</v>
          </cell>
          <cell r="X40045" t="str">
            <v>Variation UPR - gross</v>
          </cell>
          <cell r="Y40045" t="str">
            <v>JAPAN</v>
          </cell>
        </row>
        <row r="40046">
          <cell r="L40046" t="str">
            <v>Non-proportional</v>
          </cell>
          <cell r="S40046">
            <v>-29614.48</v>
          </cell>
          <cell r="X40046" t="str">
            <v>Variation UPR - gross</v>
          </cell>
          <cell r="Y40046" t="str">
            <v>UNITED KINGDOM</v>
          </cell>
        </row>
        <row r="40047">
          <cell r="L40047" t="str">
            <v>Non-proportional</v>
          </cell>
          <cell r="S40047">
            <v>-2090.84</v>
          </cell>
          <cell r="X40047" t="str">
            <v>Variation UPR - gross</v>
          </cell>
          <cell r="Y40047" t="str">
            <v>JAPAN</v>
          </cell>
        </row>
        <row r="40048">
          <cell r="L40048" t="str">
            <v>Non-proportional</v>
          </cell>
          <cell r="S40048">
            <v>-54522.07</v>
          </cell>
          <cell r="X40048" t="str">
            <v>Variation UPR - gross</v>
          </cell>
          <cell r="Y40048" t="str">
            <v>UNITED KINGDOM</v>
          </cell>
        </row>
        <row r="40049">
          <cell r="L40049" t="str">
            <v>Non-proportional</v>
          </cell>
          <cell r="S40049">
            <v>-3158.05</v>
          </cell>
          <cell r="X40049" t="str">
            <v>Variation UPR - gross</v>
          </cell>
          <cell r="Y40049" t="str">
            <v>ECUADOR</v>
          </cell>
        </row>
        <row r="40050">
          <cell r="L40050" t="str">
            <v>Non-proportional</v>
          </cell>
          <cell r="S40050">
            <v>-5512.68</v>
          </cell>
          <cell r="X40050" t="str">
            <v>Variation UPR - gross</v>
          </cell>
          <cell r="Y40050" t="str">
            <v>NETHERLANDS</v>
          </cell>
        </row>
        <row r="40051">
          <cell r="L40051" t="str">
            <v>Non-proportional</v>
          </cell>
          <cell r="S40051">
            <v>-5420.51</v>
          </cell>
          <cell r="X40051" t="str">
            <v>Variation UPR - gross</v>
          </cell>
          <cell r="Y40051" t="str">
            <v>COLOMBIA</v>
          </cell>
        </row>
        <row r="40052">
          <cell r="L40052" t="str">
            <v>Non-proportional</v>
          </cell>
          <cell r="S40052">
            <v>-7935.15</v>
          </cell>
          <cell r="X40052" t="str">
            <v>Variation UPR - gross</v>
          </cell>
          <cell r="Y40052" t="str">
            <v>MEXICO</v>
          </cell>
        </row>
        <row r="40053">
          <cell r="L40053" t="str">
            <v>Non-proportional</v>
          </cell>
          <cell r="S40053">
            <v>-3482.35</v>
          </cell>
          <cell r="X40053" t="str">
            <v>Variation UPR - gross</v>
          </cell>
          <cell r="Y40053" t="str">
            <v>AUSTRALIA</v>
          </cell>
        </row>
        <row r="40054">
          <cell r="L40054" t="str">
            <v>Proportional</v>
          </cell>
          <cell r="S40054">
            <v>-293216.40999999997</v>
          </cell>
          <cell r="X40054" t="str">
            <v>Variation UPR - gross</v>
          </cell>
          <cell r="Y40054" t="str">
            <v>UNITED STATES</v>
          </cell>
        </row>
        <row r="40055">
          <cell r="L40055" t="str">
            <v>Non-proportional</v>
          </cell>
          <cell r="S40055">
            <v>20141.650000000001</v>
          </cell>
          <cell r="X40055" t="str">
            <v>Variation UPR - gross</v>
          </cell>
          <cell r="Y40055" t="str">
            <v>PERU</v>
          </cell>
        </row>
        <row r="40056">
          <cell r="L40056" t="str">
            <v>Non-proportional</v>
          </cell>
          <cell r="S40056">
            <v>34.729999999999997</v>
          </cell>
          <cell r="X40056" t="str">
            <v>Variation UPR - gross</v>
          </cell>
          <cell r="Y40056" t="str">
            <v>JAPAN</v>
          </cell>
        </row>
        <row r="40057">
          <cell r="L40057" t="str">
            <v>Non-proportional</v>
          </cell>
          <cell r="S40057">
            <v>-1305.73</v>
          </cell>
          <cell r="X40057" t="str">
            <v>Variation UPR - gross</v>
          </cell>
          <cell r="Y40057" t="str">
            <v>PUERTO RICO</v>
          </cell>
        </row>
        <row r="40058">
          <cell r="L40058" t="str">
            <v>Non-proportional</v>
          </cell>
          <cell r="S40058">
            <v>-6374.54</v>
          </cell>
          <cell r="X40058" t="str">
            <v>Variation UPR - gross</v>
          </cell>
          <cell r="Y40058" t="str">
            <v>NEW ZEALAND</v>
          </cell>
        </row>
        <row r="40059">
          <cell r="L40059" t="str">
            <v>Non-proportional</v>
          </cell>
          <cell r="S40059">
            <v>-1669.71</v>
          </cell>
          <cell r="X40059" t="str">
            <v>Variation UPR - gross</v>
          </cell>
          <cell r="Y40059" t="str">
            <v>JAPAN</v>
          </cell>
        </row>
        <row r="40060">
          <cell r="L40060" t="str">
            <v>Non-proportional</v>
          </cell>
          <cell r="S40060">
            <v>-5499.95</v>
          </cell>
          <cell r="X40060" t="str">
            <v>Variation UPR - gross</v>
          </cell>
          <cell r="Y40060" t="str">
            <v>NEW ZEALAND</v>
          </cell>
        </row>
        <row r="40061">
          <cell r="L40061" t="str">
            <v>Non-proportional</v>
          </cell>
          <cell r="S40061">
            <v>-15885.46</v>
          </cell>
          <cell r="X40061" t="str">
            <v>Variation UPR - gross</v>
          </cell>
          <cell r="Y40061" t="str">
            <v>EUROPE</v>
          </cell>
        </row>
        <row r="40062">
          <cell r="L40062" t="str">
            <v>Non-proportional</v>
          </cell>
          <cell r="S40062">
            <v>0.03</v>
          </cell>
          <cell r="X40062" t="str">
            <v>Variation UPR - gross</v>
          </cell>
          <cell r="Y40062" t="str">
            <v>COLOMBIA</v>
          </cell>
        </row>
        <row r="40063">
          <cell r="L40063" t="str">
            <v>Non-proportional</v>
          </cell>
          <cell r="S40063">
            <v>-282.82</v>
          </cell>
          <cell r="X40063" t="str">
            <v>Variation UPR - gross</v>
          </cell>
          <cell r="Y40063" t="str">
            <v>MEXICO</v>
          </cell>
        </row>
        <row r="40064">
          <cell r="L40064" t="str">
            <v>Non-proportional</v>
          </cell>
          <cell r="S40064">
            <v>58.64</v>
          </cell>
          <cell r="X40064" t="str">
            <v>Variation UPR - gross</v>
          </cell>
          <cell r="Y40064" t="str">
            <v>JAPAN</v>
          </cell>
        </row>
        <row r="40065">
          <cell r="L40065" t="str">
            <v>Non-proportional</v>
          </cell>
          <cell r="S40065">
            <v>-1257.42</v>
          </cell>
          <cell r="X40065" t="str">
            <v>Variation UPR - gross</v>
          </cell>
          <cell r="Y40065" t="str">
            <v>DOMINICAN REPUBLIC</v>
          </cell>
        </row>
        <row r="40066">
          <cell r="L40066" t="str">
            <v>Non-proportional</v>
          </cell>
          <cell r="S40066">
            <v>-17985.669999999998</v>
          </cell>
          <cell r="X40066" t="str">
            <v>Variation UPR - gross</v>
          </cell>
          <cell r="Y40066" t="str">
            <v>UNITED KINGDOM</v>
          </cell>
        </row>
        <row r="40067">
          <cell r="L40067" t="str">
            <v>Non-proportional</v>
          </cell>
          <cell r="S40067">
            <v>87.47</v>
          </cell>
          <cell r="X40067" t="str">
            <v>Variation UPR - gross</v>
          </cell>
          <cell r="Y40067" t="str">
            <v>AUSTRALIA</v>
          </cell>
        </row>
        <row r="40068">
          <cell r="L40068" t="str">
            <v>Non-proportional</v>
          </cell>
          <cell r="S40068">
            <v>-1896.17</v>
          </cell>
          <cell r="X40068" t="str">
            <v>Variation UPR - gross</v>
          </cell>
          <cell r="Y40068" t="str">
            <v>CHILE</v>
          </cell>
        </row>
        <row r="40069">
          <cell r="L40069" t="str">
            <v>Non-proportional</v>
          </cell>
          <cell r="S40069">
            <v>-7954.24</v>
          </cell>
          <cell r="X40069" t="str">
            <v>Variation UPR - gross</v>
          </cell>
          <cell r="Y40069" t="str">
            <v>UNITED KINGDOM</v>
          </cell>
        </row>
        <row r="40070">
          <cell r="L40070" t="str">
            <v>Non-proportional</v>
          </cell>
          <cell r="S40070">
            <v>-2050.41</v>
          </cell>
          <cell r="X40070" t="str">
            <v>Variation UPR - gross</v>
          </cell>
          <cell r="Y40070" t="str">
            <v>CHINA</v>
          </cell>
        </row>
        <row r="40071">
          <cell r="L40071" t="str">
            <v>Non-proportional</v>
          </cell>
          <cell r="S40071">
            <v>-1178960.3999999999</v>
          </cell>
          <cell r="X40071" t="str">
            <v>Variation UPR - gross</v>
          </cell>
          <cell r="Y40071" t="str">
            <v>BELGIUM</v>
          </cell>
        </row>
        <row r="40072">
          <cell r="L40072" t="str">
            <v>Non-proportional</v>
          </cell>
          <cell r="S40072">
            <v>-5143.2700000000004</v>
          </cell>
          <cell r="X40072" t="str">
            <v>Variation UPR - gross</v>
          </cell>
          <cell r="Y40072" t="str">
            <v>UNITED KINGDOM</v>
          </cell>
        </row>
        <row r="40073">
          <cell r="L40073" t="str">
            <v>Non-proportional</v>
          </cell>
          <cell r="S40073">
            <v>-31419.5</v>
          </cell>
          <cell r="X40073" t="str">
            <v>Variation UPR - gross</v>
          </cell>
          <cell r="Y40073" t="str">
            <v>HONG KONG</v>
          </cell>
        </row>
        <row r="40074">
          <cell r="L40074" t="str">
            <v>Non-proportional</v>
          </cell>
          <cell r="S40074">
            <v>-2087.17</v>
          </cell>
          <cell r="X40074" t="str">
            <v>Variation UPR - gross</v>
          </cell>
          <cell r="Y40074" t="str">
            <v>JAPAN</v>
          </cell>
        </row>
        <row r="40075">
          <cell r="L40075" t="str">
            <v>Non-proportional</v>
          </cell>
          <cell r="S40075">
            <v>-286.20999999999998</v>
          </cell>
          <cell r="X40075" t="str">
            <v>Variation UPR - gross</v>
          </cell>
          <cell r="Y40075" t="str">
            <v>CHILE</v>
          </cell>
        </row>
        <row r="40076">
          <cell r="L40076" t="str">
            <v>Non-proportional</v>
          </cell>
          <cell r="S40076">
            <v>-35.78</v>
          </cell>
          <cell r="X40076" t="str">
            <v>Variation UPR - gross</v>
          </cell>
          <cell r="Y40076" t="str">
            <v>CHILE</v>
          </cell>
        </row>
        <row r="40077">
          <cell r="L40077" t="str">
            <v>Non-proportional</v>
          </cell>
          <cell r="S40077">
            <v>-1091.42</v>
          </cell>
          <cell r="X40077" t="str">
            <v>Variation UPR - gross</v>
          </cell>
          <cell r="Y40077" t="str">
            <v>JAPAN</v>
          </cell>
        </row>
        <row r="40078">
          <cell r="L40078" t="str">
            <v>Non-proportional</v>
          </cell>
          <cell r="S40078">
            <v>-7.0000000000000007E-2</v>
          </cell>
          <cell r="X40078" t="str">
            <v>Variation UPR - gross</v>
          </cell>
          <cell r="Y40078" t="str">
            <v>JAPAN</v>
          </cell>
        </row>
        <row r="40079">
          <cell r="L40079" t="str">
            <v>Non-proportional</v>
          </cell>
          <cell r="S40079">
            <v>-14185.55</v>
          </cell>
          <cell r="X40079" t="str">
            <v>Variation UPR - gross</v>
          </cell>
          <cell r="Y40079" t="str">
            <v>PUERTO RICO</v>
          </cell>
        </row>
        <row r="40080">
          <cell r="L40080" t="str">
            <v>Non-proportional</v>
          </cell>
          <cell r="S40080">
            <v>-13073.04</v>
          </cell>
          <cell r="X40080" t="str">
            <v>Variation UPR - gross</v>
          </cell>
          <cell r="Y40080" t="str">
            <v>FRANCE</v>
          </cell>
        </row>
        <row r="40081">
          <cell r="L40081" t="str">
            <v>Non-proportional</v>
          </cell>
          <cell r="S40081">
            <v>-6270.83</v>
          </cell>
          <cell r="X40081" t="str">
            <v>Variation UPR - gross</v>
          </cell>
          <cell r="Y40081" t="str">
            <v>ITALY</v>
          </cell>
        </row>
        <row r="40082">
          <cell r="L40082" t="str">
            <v>Non-proportional</v>
          </cell>
          <cell r="S40082">
            <v>-4808.76</v>
          </cell>
          <cell r="X40082" t="str">
            <v>Variation UPR - gross</v>
          </cell>
          <cell r="Y40082" t="str">
            <v>ISRAEL</v>
          </cell>
        </row>
        <row r="40083">
          <cell r="L40083" t="str">
            <v>Non-proportional</v>
          </cell>
          <cell r="S40083">
            <v>59.85</v>
          </cell>
          <cell r="X40083" t="str">
            <v>Variation UPR - gross</v>
          </cell>
          <cell r="Y40083" t="str">
            <v>DOMINICAN REPUBLIC</v>
          </cell>
        </row>
        <row r="40084">
          <cell r="L40084" t="str">
            <v>Non-proportional</v>
          </cell>
          <cell r="S40084">
            <v>-7586.5</v>
          </cell>
          <cell r="X40084" t="str">
            <v>Variation UPR - gross</v>
          </cell>
          <cell r="Y40084" t="str">
            <v>FRANCE</v>
          </cell>
        </row>
        <row r="40085">
          <cell r="L40085" t="str">
            <v>Non-proportional</v>
          </cell>
          <cell r="S40085">
            <v>-4700.72</v>
          </cell>
          <cell r="X40085" t="str">
            <v>Variation UPR - gross</v>
          </cell>
          <cell r="Y40085" t="str">
            <v>DOMINICAN REPUBLIC</v>
          </cell>
        </row>
        <row r="40086">
          <cell r="L40086" t="str">
            <v>Non-proportional</v>
          </cell>
          <cell r="S40086">
            <v>-1458.33</v>
          </cell>
          <cell r="X40086" t="str">
            <v>Variation UPR - gross</v>
          </cell>
          <cell r="Y40086" t="str">
            <v>ITALY</v>
          </cell>
        </row>
        <row r="40087">
          <cell r="L40087" t="str">
            <v>Non-proportional</v>
          </cell>
          <cell r="S40087">
            <v>-2873.06</v>
          </cell>
          <cell r="X40087" t="str">
            <v>Variation UPR - gross</v>
          </cell>
          <cell r="Y40087" t="str">
            <v>UNITED KINGDOM</v>
          </cell>
        </row>
        <row r="40088">
          <cell r="L40088" t="str">
            <v>Non-proportional</v>
          </cell>
          <cell r="S40088">
            <v>-46864.67</v>
          </cell>
          <cell r="X40088" t="str">
            <v>Variation UPR - gross</v>
          </cell>
          <cell r="Y40088" t="str">
            <v>FRANCE</v>
          </cell>
        </row>
        <row r="40089">
          <cell r="L40089" t="str">
            <v>Non-proportional</v>
          </cell>
          <cell r="S40089">
            <v>-12335.01</v>
          </cell>
          <cell r="X40089" t="str">
            <v>Variation UPR - gross</v>
          </cell>
          <cell r="Y40089" t="str">
            <v>UNITED KINGDOM</v>
          </cell>
        </row>
        <row r="40090">
          <cell r="L40090" t="str">
            <v>Non-proportional</v>
          </cell>
          <cell r="S40090">
            <v>-7.0000000000000007E-2</v>
          </cell>
          <cell r="X40090" t="str">
            <v>Variation UPR - gross</v>
          </cell>
          <cell r="Y40090" t="str">
            <v>INDIA</v>
          </cell>
        </row>
        <row r="40091">
          <cell r="L40091" t="str">
            <v>Non-proportional</v>
          </cell>
          <cell r="S40091">
            <v>-10748.69</v>
          </cell>
          <cell r="X40091" t="str">
            <v>Variation UPR - gross</v>
          </cell>
          <cell r="Y40091" t="str">
            <v>ITALY</v>
          </cell>
        </row>
        <row r="40092">
          <cell r="L40092" t="str">
            <v>Non-proportional</v>
          </cell>
          <cell r="S40092">
            <v>-30.15</v>
          </cell>
          <cell r="X40092" t="str">
            <v>Variation UPR - gross</v>
          </cell>
          <cell r="Y40092" t="str">
            <v>BRAZIL</v>
          </cell>
        </row>
        <row r="40093">
          <cell r="L40093" t="str">
            <v>Non-proportional</v>
          </cell>
          <cell r="S40093">
            <v>-4987.4799999999996</v>
          </cell>
          <cell r="X40093" t="str">
            <v>Variation UPR - gross</v>
          </cell>
          <cell r="Y40093" t="str">
            <v>UNITED KINGDOM</v>
          </cell>
        </row>
        <row r="40094">
          <cell r="L40094" t="str">
            <v>Non-proportional</v>
          </cell>
          <cell r="S40094">
            <v>72352.479999999996</v>
          </cell>
          <cell r="X40094" t="str">
            <v>Variation UPR - gross</v>
          </cell>
          <cell r="Y40094" t="str">
            <v>INDIA</v>
          </cell>
        </row>
        <row r="40095">
          <cell r="L40095" t="str">
            <v>Non-proportional</v>
          </cell>
          <cell r="S40095">
            <v>-65465.88</v>
          </cell>
          <cell r="X40095" t="str">
            <v>Variation UPR - gross</v>
          </cell>
          <cell r="Y40095" t="str">
            <v>UNITED KINGDOM</v>
          </cell>
        </row>
        <row r="40096">
          <cell r="L40096" t="str">
            <v>Proportional</v>
          </cell>
          <cell r="S40096">
            <v>-11421.8</v>
          </cell>
          <cell r="X40096" t="str">
            <v>Variation UPR - gross</v>
          </cell>
          <cell r="Y40096" t="str">
            <v>ITALY</v>
          </cell>
        </row>
        <row r="40097">
          <cell r="L40097" t="str">
            <v>Non-proportional</v>
          </cell>
          <cell r="S40097">
            <v>263.35000000000002</v>
          </cell>
          <cell r="X40097" t="str">
            <v>Variation UPR - gross</v>
          </cell>
          <cell r="Y40097" t="str">
            <v>JAPAN</v>
          </cell>
        </row>
        <row r="40098">
          <cell r="L40098" t="str">
            <v>Non-proportional</v>
          </cell>
          <cell r="S40098">
            <v>52.67</v>
          </cell>
          <cell r="X40098" t="str">
            <v>Variation UPR - gross</v>
          </cell>
          <cell r="Y40098" t="str">
            <v>JAPAN</v>
          </cell>
        </row>
        <row r="40099">
          <cell r="L40099" t="str">
            <v>Non-proportional</v>
          </cell>
          <cell r="S40099">
            <v>-436169.65</v>
          </cell>
          <cell r="X40099" t="str">
            <v>Variation UPR - gross</v>
          </cell>
          <cell r="Y40099" t="str">
            <v>UNITED KINGDOM</v>
          </cell>
        </row>
        <row r="40100">
          <cell r="S40100">
            <v>-10082226.699999999</v>
          </cell>
          <cell r="X40100" t="str">
            <v>Variation UPR - gross</v>
          </cell>
          <cell r="Y40100" t="str">
            <v>United kingdom</v>
          </cell>
        </row>
        <row r="40101">
          <cell r="L40101" t="str">
            <v>Non-proportional</v>
          </cell>
          <cell r="S40101">
            <v>-4971.4799999999996</v>
          </cell>
          <cell r="X40101" t="str">
            <v>Variation UPR - gross</v>
          </cell>
          <cell r="Y40101" t="str">
            <v>EUROPE</v>
          </cell>
        </row>
        <row r="40102">
          <cell r="L40102" t="str">
            <v>Non-proportional</v>
          </cell>
          <cell r="S40102">
            <v>-1817.48</v>
          </cell>
          <cell r="X40102" t="str">
            <v>Variation UPR - gross</v>
          </cell>
          <cell r="Y40102" t="str">
            <v>NEW ZEALAND</v>
          </cell>
        </row>
        <row r="40103">
          <cell r="L40103" t="str">
            <v>Non-proportional</v>
          </cell>
          <cell r="S40103">
            <v>-719.56</v>
          </cell>
          <cell r="X40103" t="str">
            <v>Variation UPR - gross</v>
          </cell>
          <cell r="Y40103" t="str">
            <v>ISRAEL</v>
          </cell>
        </row>
        <row r="40104">
          <cell r="L40104" t="str">
            <v>Proportional</v>
          </cell>
          <cell r="S40104">
            <v>418.23</v>
          </cell>
          <cell r="X40104" t="str">
            <v>Variation UPR - gross</v>
          </cell>
          <cell r="Y40104" t="str">
            <v>THAILAND</v>
          </cell>
        </row>
        <row r="40105">
          <cell r="L40105" t="str">
            <v>Non-proportional</v>
          </cell>
          <cell r="S40105">
            <v>-39456.65</v>
          </cell>
          <cell r="X40105" t="str">
            <v>Variation UPR - gross</v>
          </cell>
          <cell r="Y40105" t="str">
            <v>UNITED KINGDOM</v>
          </cell>
        </row>
        <row r="40106">
          <cell r="L40106" t="str">
            <v>Non-proportional</v>
          </cell>
          <cell r="S40106">
            <v>-2442.4499999999998</v>
          </cell>
          <cell r="X40106" t="str">
            <v>Variation UPR - gross</v>
          </cell>
          <cell r="Y40106" t="str">
            <v>CYPRUS</v>
          </cell>
        </row>
        <row r="40107">
          <cell r="L40107" t="str">
            <v>Non-proportional</v>
          </cell>
          <cell r="S40107">
            <v>-13233.16</v>
          </cell>
          <cell r="X40107" t="str">
            <v>Variation UPR - gross</v>
          </cell>
          <cell r="Y40107" t="str">
            <v>AUSTRALIA</v>
          </cell>
        </row>
        <row r="40108">
          <cell r="L40108" t="str">
            <v>Non-proportional</v>
          </cell>
          <cell r="S40108">
            <v>-3586.75</v>
          </cell>
          <cell r="X40108" t="str">
            <v>Variation UPR - gross</v>
          </cell>
          <cell r="Y40108" t="str">
            <v>AUSTRALIA</v>
          </cell>
        </row>
        <row r="40109">
          <cell r="L40109" t="str">
            <v>Non-proportional</v>
          </cell>
          <cell r="S40109">
            <v>-35.78</v>
          </cell>
          <cell r="X40109" t="str">
            <v>Variation UPR - gross</v>
          </cell>
          <cell r="Y40109" t="str">
            <v>CHILE</v>
          </cell>
        </row>
        <row r="40110">
          <cell r="L40110" t="str">
            <v>Non-proportional</v>
          </cell>
          <cell r="S40110">
            <v>57.03</v>
          </cell>
          <cell r="X40110" t="str">
            <v>Variation UPR - gross</v>
          </cell>
          <cell r="Y40110" t="str">
            <v>JAPAN</v>
          </cell>
        </row>
        <row r="40111">
          <cell r="L40111" t="str">
            <v>Non-proportional</v>
          </cell>
          <cell r="S40111">
            <v>-4329.99</v>
          </cell>
          <cell r="X40111" t="str">
            <v>Variation UPR - gross</v>
          </cell>
          <cell r="Y40111" t="str">
            <v>GUATEMALA</v>
          </cell>
        </row>
        <row r="40112">
          <cell r="L40112" t="str">
            <v>Non-proportional</v>
          </cell>
          <cell r="S40112">
            <v>-3545.46</v>
          </cell>
          <cell r="X40112" t="str">
            <v>Variation UPR - gross</v>
          </cell>
          <cell r="Y40112" t="str">
            <v>DOMINICAN REPUBLIC</v>
          </cell>
        </row>
        <row r="40113">
          <cell r="L40113" t="str">
            <v>Proportional</v>
          </cell>
          <cell r="S40113">
            <v>-4332.41</v>
          </cell>
          <cell r="X40113" t="str">
            <v>Variation UPR - gross</v>
          </cell>
          <cell r="Y40113" t="str">
            <v>UNITED STATES</v>
          </cell>
        </row>
        <row r="40114">
          <cell r="L40114" t="str">
            <v>Non-proportional</v>
          </cell>
          <cell r="S40114">
            <v>-2029.91</v>
          </cell>
          <cell r="X40114" t="str">
            <v>Variation UPR - gross</v>
          </cell>
          <cell r="Y40114" t="str">
            <v>CYPRUS</v>
          </cell>
        </row>
        <row r="40115">
          <cell r="L40115" t="str">
            <v>Non-proportional</v>
          </cell>
          <cell r="S40115">
            <v>-3489.11</v>
          </cell>
          <cell r="X40115" t="str">
            <v>Variation UPR - gross</v>
          </cell>
          <cell r="Y40115" t="str">
            <v>THAILAND</v>
          </cell>
        </row>
        <row r="40116">
          <cell r="L40116" t="str">
            <v>Non-proportional</v>
          </cell>
          <cell r="S40116">
            <v>-17281.509999999998</v>
          </cell>
          <cell r="X40116" t="str">
            <v>Variation UPR - gross</v>
          </cell>
          <cell r="Y40116" t="str">
            <v>JAPAN</v>
          </cell>
        </row>
        <row r="40117">
          <cell r="L40117" t="str">
            <v>Proportional</v>
          </cell>
          <cell r="S40117">
            <v>-6198.77</v>
          </cell>
          <cell r="X40117" t="str">
            <v>Variation UPR - gross</v>
          </cell>
          <cell r="Y40117" t="str">
            <v>THAILAND</v>
          </cell>
        </row>
        <row r="40118">
          <cell r="L40118" t="str">
            <v>Non-proportional</v>
          </cell>
          <cell r="S40118">
            <v>-17934.59</v>
          </cell>
          <cell r="X40118" t="str">
            <v>Variation UPR - gross</v>
          </cell>
          <cell r="Y40118" t="str">
            <v>CHINA</v>
          </cell>
        </row>
        <row r="40119">
          <cell r="L40119" t="str">
            <v>Non-proportional</v>
          </cell>
          <cell r="S40119">
            <v>-16134.34</v>
          </cell>
          <cell r="X40119" t="str">
            <v>Variation UPR - gross</v>
          </cell>
          <cell r="Y40119" t="str">
            <v>HONG KONG</v>
          </cell>
        </row>
        <row r="40120">
          <cell r="L40120" t="str">
            <v>Non-proportional</v>
          </cell>
          <cell r="S40120">
            <v>54.84</v>
          </cell>
          <cell r="X40120" t="str">
            <v>Variation UPR - gross</v>
          </cell>
          <cell r="Y40120" t="str">
            <v>JAPAN</v>
          </cell>
        </row>
        <row r="40121">
          <cell r="L40121" t="str">
            <v>Non-proportional</v>
          </cell>
          <cell r="S40121">
            <v>-16453.96</v>
          </cell>
          <cell r="X40121" t="str">
            <v>Variation UPR - gross</v>
          </cell>
          <cell r="Y40121" t="str">
            <v>AUSTRALIA</v>
          </cell>
        </row>
        <row r="40122">
          <cell r="L40122" t="str">
            <v>Non-proportional</v>
          </cell>
          <cell r="S40122">
            <v>-4572.1099999999997</v>
          </cell>
          <cell r="X40122" t="str">
            <v>Variation UPR - gross</v>
          </cell>
          <cell r="Y40122" t="str">
            <v>UNITED KINGDOM</v>
          </cell>
        </row>
        <row r="40123">
          <cell r="L40123" t="str">
            <v>Proportional</v>
          </cell>
          <cell r="S40123">
            <v>358.48</v>
          </cell>
          <cell r="X40123" t="str">
            <v>Variation UPR - gross</v>
          </cell>
          <cell r="Y40123" t="str">
            <v>THAILAND</v>
          </cell>
        </row>
        <row r="40124">
          <cell r="L40124" t="str">
            <v>Non-proportional</v>
          </cell>
          <cell r="S40124">
            <v>-109675.48</v>
          </cell>
          <cell r="X40124" t="str">
            <v>Variation UPR - gross</v>
          </cell>
          <cell r="Y40124" t="str">
            <v>EUROPE</v>
          </cell>
        </row>
        <row r="40125">
          <cell r="L40125" t="str">
            <v>Non-proportional</v>
          </cell>
          <cell r="S40125">
            <v>-3906.16</v>
          </cell>
          <cell r="X40125" t="str">
            <v>Variation UPR - gross</v>
          </cell>
          <cell r="Y40125" t="str">
            <v>EUROPE</v>
          </cell>
        </row>
        <row r="40126">
          <cell r="L40126" t="str">
            <v>Non-proportional</v>
          </cell>
          <cell r="S40126">
            <v>-6196.65</v>
          </cell>
          <cell r="X40126" t="str">
            <v>Variation UPR - gross</v>
          </cell>
          <cell r="Y40126" t="str">
            <v>MEXICO</v>
          </cell>
        </row>
        <row r="40127">
          <cell r="L40127" t="str">
            <v>Non-proportional</v>
          </cell>
          <cell r="S40127">
            <v>220.17</v>
          </cell>
          <cell r="X40127" t="str">
            <v>Variation UPR - gross</v>
          </cell>
          <cell r="Y40127" t="str">
            <v>NEW ZEALAND</v>
          </cell>
        </row>
        <row r="40128">
          <cell r="L40128" t="str">
            <v>Non-proportional</v>
          </cell>
          <cell r="S40128">
            <v>-10285.89</v>
          </cell>
          <cell r="X40128" t="str">
            <v>Variation UPR - gross</v>
          </cell>
          <cell r="Y40128" t="str">
            <v>COLOMBIA</v>
          </cell>
        </row>
        <row r="40129">
          <cell r="L40129" t="str">
            <v>Non-proportional</v>
          </cell>
          <cell r="S40129">
            <v>-827.74</v>
          </cell>
          <cell r="X40129" t="str">
            <v>Variation UPR - gross</v>
          </cell>
          <cell r="Y40129" t="str">
            <v>COLOMBIA</v>
          </cell>
        </row>
        <row r="40130">
          <cell r="L40130" t="str">
            <v>Non-proportional</v>
          </cell>
          <cell r="S40130">
            <v>220.17</v>
          </cell>
          <cell r="X40130" t="str">
            <v>Variation UPR - gross</v>
          </cell>
          <cell r="Y40130" t="str">
            <v>NEW ZEALAND</v>
          </cell>
        </row>
        <row r="40131">
          <cell r="L40131" t="str">
            <v>Proportional</v>
          </cell>
          <cell r="S40131">
            <v>496.15</v>
          </cell>
          <cell r="X40131" t="str">
            <v>Variation UPR - gross</v>
          </cell>
          <cell r="Y40131" t="str">
            <v>UNITED STATES</v>
          </cell>
        </row>
        <row r="40132">
          <cell r="L40132" t="str">
            <v>Non-proportional</v>
          </cell>
          <cell r="S40132">
            <v>-3165.87</v>
          </cell>
          <cell r="X40132" t="str">
            <v>Variation UPR - gross</v>
          </cell>
          <cell r="Y40132" t="str">
            <v>UNITED KINGDOM</v>
          </cell>
        </row>
        <row r="40133">
          <cell r="L40133" t="str">
            <v>Proportional</v>
          </cell>
          <cell r="S40133">
            <v>-86536.69</v>
          </cell>
          <cell r="X40133" t="str">
            <v>Variation UPR - gross</v>
          </cell>
          <cell r="Y40133" t="str">
            <v>SWITZERLAND</v>
          </cell>
        </row>
        <row r="40134">
          <cell r="L40134" t="str">
            <v>Non-proportional</v>
          </cell>
          <cell r="S40134">
            <v>-417.67</v>
          </cell>
          <cell r="X40134" t="str">
            <v>Variation UPR - gross</v>
          </cell>
          <cell r="Y40134" t="str">
            <v>NETHERLANDS</v>
          </cell>
        </row>
        <row r="40135">
          <cell r="L40135" t="str">
            <v>Non-proportional</v>
          </cell>
          <cell r="S40135">
            <v>-11510.64</v>
          </cell>
          <cell r="X40135" t="str">
            <v>Variation UPR - gross</v>
          </cell>
          <cell r="Y40135" t="str">
            <v>EUROPE</v>
          </cell>
        </row>
        <row r="40136">
          <cell r="L40136" t="str">
            <v>Non-proportional</v>
          </cell>
          <cell r="S40136">
            <v>-1170.72</v>
          </cell>
          <cell r="X40136" t="str">
            <v>Variation UPR - gross</v>
          </cell>
          <cell r="Y40136" t="str">
            <v>PERU</v>
          </cell>
        </row>
        <row r="40137">
          <cell r="L40137" t="str">
            <v>Non-proportional</v>
          </cell>
          <cell r="S40137">
            <v>0.01</v>
          </cell>
          <cell r="X40137" t="str">
            <v>Variation UPR - gross</v>
          </cell>
          <cell r="Y40137" t="str">
            <v>DOMINICAN REPUBLIC</v>
          </cell>
        </row>
        <row r="40138">
          <cell r="L40138" t="str">
            <v>Non-proportional</v>
          </cell>
          <cell r="S40138">
            <v>-33256.519999999997</v>
          </cell>
          <cell r="X40138" t="str">
            <v>Variation UPR - gross</v>
          </cell>
          <cell r="Y40138" t="str">
            <v>UNITED KINGDOM</v>
          </cell>
        </row>
        <row r="40139">
          <cell r="L40139" t="str">
            <v>Non-proportional</v>
          </cell>
          <cell r="S40139">
            <v>-4913.0600000000004</v>
          </cell>
          <cell r="X40139" t="str">
            <v>Variation UPR - gross</v>
          </cell>
          <cell r="Y40139" t="str">
            <v>UNITED KINGDOM</v>
          </cell>
        </row>
        <row r="40140">
          <cell r="L40140" t="str">
            <v>Non-proportional</v>
          </cell>
          <cell r="S40140">
            <v>-138300.32999999999</v>
          </cell>
          <cell r="X40140" t="str">
            <v>Variation UPR - gross</v>
          </cell>
          <cell r="Y40140" t="str">
            <v>PORTUGAL</v>
          </cell>
        </row>
        <row r="40141">
          <cell r="L40141" t="str">
            <v>Proportional</v>
          </cell>
          <cell r="S40141">
            <v>-56224.4</v>
          </cell>
          <cell r="X40141" t="str">
            <v>Variation UPR - gross</v>
          </cell>
          <cell r="Y40141" t="str">
            <v>SWITZERLAND</v>
          </cell>
        </row>
        <row r="40142">
          <cell r="L40142" t="str">
            <v>Proportional</v>
          </cell>
          <cell r="S40142">
            <v>-128093.93</v>
          </cell>
          <cell r="X40142" t="str">
            <v>Variation UPR - gross</v>
          </cell>
          <cell r="Y40142" t="str">
            <v>UNITED STATES</v>
          </cell>
        </row>
        <row r="40143">
          <cell r="L40143" t="str">
            <v>Non-proportional</v>
          </cell>
          <cell r="S40143">
            <v>-6490.43</v>
          </cell>
          <cell r="X40143" t="str">
            <v>Variation UPR - gross</v>
          </cell>
          <cell r="Y40143" t="str">
            <v>JAPAN</v>
          </cell>
        </row>
        <row r="40144">
          <cell r="L40144" t="str">
            <v>Non-proportional</v>
          </cell>
          <cell r="S40144">
            <v>-250.44</v>
          </cell>
          <cell r="X40144" t="str">
            <v>Variation UPR - gross</v>
          </cell>
          <cell r="Y40144" t="str">
            <v>CHILE</v>
          </cell>
        </row>
        <row r="40145">
          <cell r="L40145" t="str">
            <v>Proportional</v>
          </cell>
          <cell r="S40145">
            <v>-75347.55</v>
          </cell>
          <cell r="X40145" t="str">
            <v>Variation UPR - gross</v>
          </cell>
          <cell r="Y40145" t="str">
            <v>HONG KONG</v>
          </cell>
        </row>
        <row r="40146">
          <cell r="L40146" t="str">
            <v>Non-proportional</v>
          </cell>
          <cell r="S40146">
            <v>-6623.14</v>
          </cell>
          <cell r="X40146" t="str">
            <v>Variation UPR - gross</v>
          </cell>
          <cell r="Y40146" t="str">
            <v>CYPRUS</v>
          </cell>
        </row>
        <row r="40147">
          <cell r="L40147" t="str">
            <v>Proportional</v>
          </cell>
          <cell r="S40147">
            <v>-1288.68</v>
          </cell>
          <cell r="X40147" t="str">
            <v>Variation UPR - gross</v>
          </cell>
          <cell r="Y40147" t="str">
            <v>THAILAND</v>
          </cell>
        </row>
        <row r="40148">
          <cell r="L40148" t="str">
            <v>Non-proportional</v>
          </cell>
          <cell r="S40148">
            <v>80.77</v>
          </cell>
          <cell r="X40148" t="str">
            <v>Variation UPR - gross</v>
          </cell>
          <cell r="Y40148" t="str">
            <v>BRAZIL</v>
          </cell>
        </row>
        <row r="40149">
          <cell r="L40149" t="str">
            <v>Non-proportional</v>
          </cell>
          <cell r="S40149">
            <v>-8855</v>
          </cell>
          <cell r="X40149" t="str">
            <v>Variation UPR - gross</v>
          </cell>
          <cell r="Y40149" t="str">
            <v>GERMANY</v>
          </cell>
        </row>
        <row r="40150">
          <cell r="L40150" t="str">
            <v>Non-proportional</v>
          </cell>
          <cell r="S40150">
            <v>-3184.13</v>
          </cell>
          <cell r="X40150" t="str">
            <v>Variation UPR - gross</v>
          </cell>
          <cell r="Y40150" t="str">
            <v>CHILE</v>
          </cell>
        </row>
        <row r="40151">
          <cell r="L40151" t="str">
            <v>Non-proportional</v>
          </cell>
          <cell r="S40151">
            <v>-2292.92</v>
          </cell>
          <cell r="X40151" t="str">
            <v>Variation UPR - gross</v>
          </cell>
          <cell r="Y40151" t="str">
            <v>AUSTRALIA</v>
          </cell>
        </row>
        <row r="40152">
          <cell r="L40152" t="str">
            <v>Non-proportional</v>
          </cell>
          <cell r="S40152">
            <v>-5159.51</v>
          </cell>
          <cell r="X40152" t="str">
            <v>Variation UPR - gross</v>
          </cell>
          <cell r="Y40152" t="str">
            <v>ISRAEL</v>
          </cell>
        </row>
        <row r="40153">
          <cell r="L40153" t="str">
            <v>Non-proportional</v>
          </cell>
          <cell r="S40153">
            <v>-45758.47</v>
          </cell>
          <cell r="X40153" t="str">
            <v>Variation UPR - gross</v>
          </cell>
          <cell r="Y40153" t="str">
            <v>TURKEY</v>
          </cell>
        </row>
        <row r="40154">
          <cell r="L40154" t="str">
            <v>Non-proportional</v>
          </cell>
          <cell r="S40154">
            <v>-767.03</v>
          </cell>
          <cell r="X40154" t="str">
            <v>Variation UPR - gross</v>
          </cell>
          <cell r="Y40154" t="str">
            <v>JAPAN</v>
          </cell>
        </row>
        <row r="40155">
          <cell r="L40155" t="str">
            <v>Non-proportional</v>
          </cell>
          <cell r="S40155">
            <v>-1763.89</v>
          </cell>
          <cell r="X40155" t="str">
            <v>Variation UPR - gross</v>
          </cell>
          <cell r="Y40155" t="str">
            <v>JAPAN</v>
          </cell>
        </row>
        <row r="40156">
          <cell r="L40156" t="str">
            <v>Non-proportional</v>
          </cell>
          <cell r="S40156">
            <v>-4580.1099999999997</v>
          </cell>
          <cell r="X40156" t="str">
            <v>Variation UPR - gross</v>
          </cell>
          <cell r="Y40156" t="str">
            <v>PERU</v>
          </cell>
        </row>
        <row r="40157">
          <cell r="L40157" t="str">
            <v>Non-proportional</v>
          </cell>
          <cell r="S40157">
            <v>-9329.73</v>
          </cell>
          <cell r="X40157" t="str">
            <v>Variation UPR - gross</v>
          </cell>
          <cell r="Y40157" t="str">
            <v>MEXICO</v>
          </cell>
        </row>
        <row r="40158">
          <cell r="L40158" t="str">
            <v>Non-proportional</v>
          </cell>
          <cell r="S40158">
            <v>-4710.49</v>
          </cell>
          <cell r="X40158" t="str">
            <v>Variation UPR - gross</v>
          </cell>
          <cell r="Y40158" t="str">
            <v>PERU</v>
          </cell>
        </row>
        <row r="40159">
          <cell r="L40159" t="str">
            <v>Non-proportional</v>
          </cell>
          <cell r="S40159">
            <v>-390</v>
          </cell>
          <cell r="X40159" t="str">
            <v>Variation UPR - gross</v>
          </cell>
          <cell r="Y40159" t="str">
            <v>ITALY</v>
          </cell>
        </row>
        <row r="40160">
          <cell r="L40160" t="str">
            <v>Non-proportional</v>
          </cell>
          <cell r="S40160">
            <v>-696.31</v>
          </cell>
          <cell r="X40160" t="str">
            <v>Variation UPR - gross</v>
          </cell>
          <cell r="Y40160" t="str">
            <v>ECUADOR</v>
          </cell>
        </row>
        <row r="40161">
          <cell r="L40161" t="str">
            <v>Non-proportional</v>
          </cell>
          <cell r="S40161">
            <v>-10120.5</v>
          </cell>
          <cell r="X40161" t="str">
            <v>Variation UPR - gross</v>
          </cell>
          <cell r="Y40161" t="str">
            <v>ITALY</v>
          </cell>
        </row>
        <row r="40162">
          <cell r="L40162" t="str">
            <v>Proportional</v>
          </cell>
          <cell r="S40162">
            <v>-8407.5400000000009</v>
          </cell>
          <cell r="X40162" t="str">
            <v>Variation UPR - gross</v>
          </cell>
          <cell r="Y40162" t="str">
            <v>CHILE</v>
          </cell>
        </row>
        <row r="40163">
          <cell r="L40163" t="str">
            <v>Non-proportional</v>
          </cell>
          <cell r="S40163">
            <v>-143.11000000000001</v>
          </cell>
          <cell r="X40163" t="str">
            <v>Variation UPR - gross</v>
          </cell>
          <cell r="Y40163" t="str">
            <v>CHILE</v>
          </cell>
        </row>
        <row r="40164">
          <cell r="L40164" t="str">
            <v>Non-proportional</v>
          </cell>
          <cell r="S40164">
            <v>-2610</v>
          </cell>
          <cell r="X40164" t="str">
            <v>Variation UPR - gross</v>
          </cell>
          <cell r="Y40164" t="str">
            <v>GREECE</v>
          </cell>
        </row>
        <row r="40165">
          <cell r="L40165" t="str">
            <v>Non-proportional</v>
          </cell>
          <cell r="S40165">
            <v>35.29</v>
          </cell>
          <cell r="X40165" t="str">
            <v>Variation UPR - gross</v>
          </cell>
          <cell r="Y40165" t="str">
            <v>JAPAN</v>
          </cell>
        </row>
        <row r="40166">
          <cell r="L40166" t="str">
            <v>Proportional</v>
          </cell>
          <cell r="S40166">
            <v>-92666.67</v>
          </cell>
          <cell r="X40166" t="str">
            <v>Variation UPR - gross</v>
          </cell>
          <cell r="Y40166" t="str">
            <v>FRANCE</v>
          </cell>
        </row>
        <row r="40167">
          <cell r="L40167" t="str">
            <v>Non-proportional</v>
          </cell>
          <cell r="S40167">
            <v>-26411.919999999998</v>
          </cell>
          <cell r="X40167" t="str">
            <v>Variation UPR - gross</v>
          </cell>
          <cell r="Y40167" t="str">
            <v>UNITED KINGDOM</v>
          </cell>
        </row>
        <row r="40168">
          <cell r="L40168" t="str">
            <v>Non-proportional</v>
          </cell>
          <cell r="S40168">
            <v>-1231.21</v>
          </cell>
          <cell r="X40168" t="str">
            <v>Variation UPR - gross</v>
          </cell>
          <cell r="Y40168" t="str">
            <v>PERU</v>
          </cell>
        </row>
        <row r="40169">
          <cell r="L40169" t="str">
            <v>Non-proportional</v>
          </cell>
          <cell r="S40169">
            <v>-5510.52</v>
          </cell>
          <cell r="X40169" t="str">
            <v>Variation UPR - gross</v>
          </cell>
          <cell r="Y40169" t="str">
            <v>SINGAPORE</v>
          </cell>
        </row>
        <row r="40170">
          <cell r="L40170" t="str">
            <v>Non-proportional</v>
          </cell>
          <cell r="S40170">
            <v>-3088.45</v>
          </cell>
          <cell r="X40170" t="str">
            <v>Variation UPR - gross</v>
          </cell>
          <cell r="Y40170" t="str">
            <v>DOMINICAN REPUBLIC</v>
          </cell>
        </row>
        <row r="40171">
          <cell r="L40171" t="str">
            <v>Non-proportional</v>
          </cell>
          <cell r="S40171">
            <v>-16278.67</v>
          </cell>
          <cell r="X40171" t="str">
            <v>Variation UPR - gross</v>
          </cell>
          <cell r="Y40171" t="str">
            <v>ITALY</v>
          </cell>
        </row>
        <row r="40172">
          <cell r="L40172" t="str">
            <v>Non-proportional</v>
          </cell>
          <cell r="S40172">
            <v>-7218.75</v>
          </cell>
          <cell r="X40172" t="str">
            <v>Variation UPR - gross</v>
          </cell>
          <cell r="Y40172" t="str">
            <v>FRANCE</v>
          </cell>
        </row>
        <row r="40173">
          <cell r="L40173" t="str">
            <v>Non-proportional</v>
          </cell>
          <cell r="S40173">
            <v>-48.24</v>
          </cell>
          <cell r="X40173" t="str">
            <v>Variation UPR - gross</v>
          </cell>
          <cell r="Y40173" t="str">
            <v>BRAZIL</v>
          </cell>
        </row>
        <row r="40174">
          <cell r="L40174" t="str">
            <v>Non-proportional</v>
          </cell>
          <cell r="S40174">
            <v>-1599.83</v>
          </cell>
          <cell r="X40174" t="str">
            <v>Variation UPR - gross</v>
          </cell>
          <cell r="Y40174" t="str">
            <v>COSTA RICA</v>
          </cell>
        </row>
        <row r="40175">
          <cell r="L40175" t="str">
            <v>Non-proportional</v>
          </cell>
          <cell r="S40175">
            <v>-10707.08</v>
          </cell>
          <cell r="X40175" t="str">
            <v>Variation UPR - gross</v>
          </cell>
          <cell r="Y40175" t="str">
            <v>FRANCE</v>
          </cell>
        </row>
        <row r="40176">
          <cell r="L40176" t="str">
            <v>Non-proportional</v>
          </cell>
          <cell r="S40176">
            <v>422.4</v>
          </cell>
          <cell r="X40176" t="str">
            <v>Variation UPR - gross</v>
          </cell>
          <cell r="Y40176" t="str">
            <v>NEW ZEALAND</v>
          </cell>
        </row>
        <row r="40177">
          <cell r="L40177" t="str">
            <v>Non-proportional</v>
          </cell>
          <cell r="S40177">
            <v>-38026.75</v>
          </cell>
          <cell r="X40177" t="str">
            <v>Variation UPR - gross</v>
          </cell>
          <cell r="Y40177" t="str">
            <v>FRANCE</v>
          </cell>
        </row>
        <row r="40178">
          <cell r="L40178" t="str">
            <v>Non-proportional</v>
          </cell>
          <cell r="S40178">
            <v>-9219.09</v>
          </cell>
          <cell r="X40178" t="str">
            <v>Variation UPR - gross</v>
          </cell>
          <cell r="Y40178" t="str">
            <v>ISRAEL</v>
          </cell>
        </row>
        <row r="40179">
          <cell r="L40179" t="str">
            <v>Non-proportional</v>
          </cell>
          <cell r="S40179">
            <v>-4238.47</v>
          </cell>
          <cell r="X40179" t="str">
            <v>Variation UPR - gross</v>
          </cell>
          <cell r="Y40179" t="str">
            <v>FRANCE</v>
          </cell>
        </row>
        <row r="40180">
          <cell r="L40180" t="str">
            <v>Non-proportional</v>
          </cell>
          <cell r="S40180">
            <v>-143.11000000000001</v>
          </cell>
          <cell r="X40180" t="str">
            <v>Variation UPR - gross</v>
          </cell>
          <cell r="Y40180" t="str">
            <v>CHILE</v>
          </cell>
        </row>
        <row r="40181">
          <cell r="L40181" t="str">
            <v>Non-proportional</v>
          </cell>
          <cell r="S40181">
            <v>-2187.56</v>
          </cell>
          <cell r="X40181" t="str">
            <v>Variation UPR - gross</v>
          </cell>
          <cell r="Y40181" t="str">
            <v>SPAIN</v>
          </cell>
        </row>
        <row r="40182">
          <cell r="L40182" t="str">
            <v>Non-proportional</v>
          </cell>
          <cell r="S40182">
            <v>-12799.1</v>
          </cell>
          <cell r="X40182" t="str">
            <v>Variation UPR - gross</v>
          </cell>
          <cell r="Y40182" t="str">
            <v>MEXICO</v>
          </cell>
        </row>
        <row r="40183">
          <cell r="L40183" t="str">
            <v>Non-proportional</v>
          </cell>
          <cell r="S40183">
            <v>-12414.54</v>
          </cell>
          <cell r="X40183" t="str">
            <v>Variation UPR - gross</v>
          </cell>
          <cell r="Y40183" t="str">
            <v>CHILE</v>
          </cell>
        </row>
        <row r="40184">
          <cell r="L40184" t="str">
            <v>Proportional</v>
          </cell>
          <cell r="S40184">
            <v>-36571428.579999998</v>
          </cell>
          <cell r="X40184" t="str">
            <v>Variation UPR - gross</v>
          </cell>
          <cell r="Y40184" t="str">
            <v>ITALY</v>
          </cell>
        </row>
        <row r="40185">
          <cell r="L40185" t="str">
            <v>Proportional</v>
          </cell>
          <cell r="S40185">
            <v>438857142.85000002</v>
          </cell>
          <cell r="X40185" t="str">
            <v>Variation UPR - gross</v>
          </cell>
          <cell r="Y40185" t="str">
            <v>ITALY</v>
          </cell>
        </row>
        <row r="40186">
          <cell r="L40186" t="str">
            <v>Proportional</v>
          </cell>
          <cell r="S40186">
            <v>73142857.140000001</v>
          </cell>
          <cell r="X40186" t="str">
            <v>Variation UPR - gross</v>
          </cell>
          <cell r="Y40186" t="str">
            <v>ITALY</v>
          </cell>
        </row>
        <row r="40187">
          <cell r="L40187"/>
          <cell r="S40187">
            <v>10082226.699999999</v>
          </cell>
          <cell r="X40187" t="str">
            <v>Variation UPR - gross</v>
          </cell>
          <cell r="Y40187" t="str">
            <v>United kingdom</v>
          </cell>
        </row>
        <row r="40188">
          <cell r="L40188" t="str">
            <v>Non-proportional</v>
          </cell>
          <cell r="S40188">
            <v>-10748.69</v>
          </cell>
          <cell r="X40188" t="str">
            <v>Variation UPR - gross</v>
          </cell>
          <cell r="Y40188" t="str">
            <v>ITALY</v>
          </cell>
        </row>
        <row r="40189">
          <cell r="L40189" t="str">
            <v>Non-proportional</v>
          </cell>
          <cell r="S40189">
            <v>-12625.09</v>
          </cell>
          <cell r="X40189" t="str">
            <v>Variation UPR - gross</v>
          </cell>
          <cell r="Y40189" t="str">
            <v>BELGIUM</v>
          </cell>
        </row>
        <row r="40190">
          <cell r="L40190" t="str">
            <v>Non-proportional</v>
          </cell>
          <cell r="S40190">
            <v>-178.88</v>
          </cell>
          <cell r="X40190" t="str">
            <v>Variation UPR - gross</v>
          </cell>
          <cell r="Y40190" t="str">
            <v>CHILE</v>
          </cell>
        </row>
        <row r="40191">
          <cell r="L40191" t="str">
            <v>Proportional</v>
          </cell>
          <cell r="S40191">
            <v>-25244.720000000001</v>
          </cell>
          <cell r="X40191" t="str">
            <v>Variation UPR - gross</v>
          </cell>
          <cell r="Y40191" t="str">
            <v>CHILE</v>
          </cell>
        </row>
        <row r="40192">
          <cell r="L40192" t="str">
            <v>Non-proportional</v>
          </cell>
          <cell r="S40192">
            <v>-77430.81</v>
          </cell>
          <cell r="X40192" t="str">
            <v>Variation UPR - gross</v>
          </cell>
          <cell r="Y40192" t="str">
            <v>UNITED KINGDOM</v>
          </cell>
        </row>
        <row r="40193">
          <cell r="L40193" t="str">
            <v>Non-proportional</v>
          </cell>
          <cell r="S40193">
            <v>-903.66</v>
          </cell>
          <cell r="X40193" t="str">
            <v>Variation UPR - gross</v>
          </cell>
          <cell r="Y40193" t="str">
            <v>PUERTO RICO</v>
          </cell>
        </row>
        <row r="40194">
          <cell r="L40194" t="str">
            <v>Non-proportional</v>
          </cell>
          <cell r="S40194">
            <v>-4691.6400000000003</v>
          </cell>
          <cell r="X40194" t="str">
            <v>Variation UPR - gross</v>
          </cell>
          <cell r="Y40194" t="str">
            <v>UNITED KINGDOM</v>
          </cell>
        </row>
        <row r="40195">
          <cell r="L40195" t="str">
            <v>Non-proportional</v>
          </cell>
          <cell r="S40195">
            <v>8002.03</v>
          </cell>
          <cell r="X40195" t="str">
            <v>Variation UPR - gross</v>
          </cell>
          <cell r="Y40195" t="str">
            <v>UNITED ARAB EMIRATES</v>
          </cell>
        </row>
        <row r="40196">
          <cell r="L40196" t="str">
            <v>Non-proportional</v>
          </cell>
          <cell r="S40196">
            <v>-2259.79</v>
          </cell>
          <cell r="X40196" t="str">
            <v>Variation UPR - gross</v>
          </cell>
          <cell r="Y40196" t="str">
            <v>UNITED KINGDOM</v>
          </cell>
        </row>
        <row r="40197">
          <cell r="L40197" t="str">
            <v>Non-proportional</v>
          </cell>
          <cell r="S40197">
            <v>-975</v>
          </cell>
          <cell r="X40197" t="str">
            <v>Variation UPR - gross</v>
          </cell>
          <cell r="Y40197" t="str">
            <v>GREECE</v>
          </cell>
        </row>
        <row r="40198">
          <cell r="L40198" t="str">
            <v>Non-proportional</v>
          </cell>
          <cell r="S40198">
            <v>-369.31</v>
          </cell>
          <cell r="X40198" t="str">
            <v>Variation UPR - gross</v>
          </cell>
          <cell r="Y40198" t="str">
            <v>TURKEY</v>
          </cell>
        </row>
        <row r="40199">
          <cell r="L40199" t="str">
            <v>Non-proportional</v>
          </cell>
          <cell r="S40199">
            <v>214.69</v>
          </cell>
          <cell r="X40199" t="str">
            <v>Variation UPR - gross</v>
          </cell>
          <cell r="Y40199" t="str">
            <v>JAPAN</v>
          </cell>
        </row>
        <row r="40200">
          <cell r="L40200" t="str">
            <v>Proportional</v>
          </cell>
          <cell r="S40200">
            <v>11.37</v>
          </cell>
          <cell r="X40200" t="str">
            <v>Variation UPR - gross</v>
          </cell>
          <cell r="Y40200" t="str">
            <v>Ireland</v>
          </cell>
        </row>
        <row r="40201">
          <cell r="L40201" t="str">
            <v>Non-proportional</v>
          </cell>
          <cell r="S40201">
            <v>-2469.62</v>
          </cell>
          <cell r="X40201" t="str">
            <v>Variation UPR - gross</v>
          </cell>
          <cell r="Y40201" t="str">
            <v>FRANCE</v>
          </cell>
        </row>
        <row r="40202">
          <cell r="L40202" t="str">
            <v>Non-proportional</v>
          </cell>
          <cell r="S40202">
            <v>-3106.12</v>
          </cell>
          <cell r="X40202" t="str">
            <v>Variation UPR - gross</v>
          </cell>
          <cell r="Y40202" t="str">
            <v>THAILAND</v>
          </cell>
        </row>
        <row r="40203">
          <cell r="L40203" t="str">
            <v>Non-proportional</v>
          </cell>
          <cell r="S40203">
            <v>-560.5</v>
          </cell>
          <cell r="X40203" t="str">
            <v>Variation UPR - gross</v>
          </cell>
          <cell r="Y40203" t="str">
            <v>PORTUGAL</v>
          </cell>
        </row>
        <row r="40204">
          <cell r="L40204" t="str">
            <v>Non-proportional</v>
          </cell>
          <cell r="S40204">
            <v>-178487.38</v>
          </cell>
          <cell r="X40204" t="str">
            <v>Variation UPR - gross</v>
          </cell>
          <cell r="Y40204" t="str">
            <v>PORTUGAL</v>
          </cell>
        </row>
        <row r="40205">
          <cell r="L40205" t="str">
            <v>Proportional</v>
          </cell>
          <cell r="S40205">
            <v>-375000</v>
          </cell>
          <cell r="X40205" t="str">
            <v>Variation UPR - gross</v>
          </cell>
          <cell r="Y40205" t="str">
            <v>PORTUGAL</v>
          </cell>
        </row>
        <row r="40206">
          <cell r="L40206" t="str">
            <v>Proportional</v>
          </cell>
          <cell r="S40206">
            <v>-14224.77</v>
          </cell>
          <cell r="X40206" t="str">
            <v>Variation UPR - gross</v>
          </cell>
          <cell r="Y40206" t="str">
            <v>THAILAND</v>
          </cell>
        </row>
        <row r="40207">
          <cell r="L40207" t="str">
            <v>Non-proportional</v>
          </cell>
          <cell r="S40207">
            <v>259.64999999999998</v>
          </cell>
          <cell r="X40207" t="str">
            <v>Variation UPR - gross</v>
          </cell>
          <cell r="Y40207" t="str">
            <v>JAPAN</v>
          </cell>
        </row>
        <row r="40208">
          <cell r="L40208" t="str">
            <v>Proportional</v>
          </cell>
          <cell r="S40208">
            <v>5238.84</v>
          </cell>
          <cell r="X40208" t="str">
            <v>Variation UPR - gross</v>
          </cell>
          <cell r="Y40208" t="str">
            <v>FRANCE</v>
          </cell>
        </row>
        <row r="40209">
          <cell r="L40209" t="str">
            <v>Non-proportional</v>
          </cell>
          <cell r="S40209">
            <v>-1538.4</v>
          </cell>
          <cell r="X40209" t="str">
            <v>Variation UPR - gross</v>
          </cell>
          <cell r="Y40209" t="str">
            <v>CHILE</v>
          </cell>
        </row>
        <row r="40210">
          <cell r="L40210" t="str">
            <v>Proportional</v>
          </cell>
          <cell r="S40210">
            <v>-105912.23</v>
          </cell>
          <cell r="X40210" t="str">
            <v>Variation UPR - gross</v>
          </cell>
          <cell r="Y40210" t="str">
            <v>CANADA</v>
          </cell>
        </row>
        <row r="40211">
          <cell r="L40211" t="str">
            <v>Non-proportional</v>
          </cell>
          <cell r="S40211">
            <v>-2891.73</v>
          </cell>
          <cell r="X40211" t="str">
            <v>Variation UPR - gross</v>
          </cell>
          <cell r="Y40211" t="str">
            <v>ISRAEL</v>
          </cell>
        </row>
        <row r="40212">
          <cell r="L40212" t="str">
            <v>Proportional</v>
          </cell>
          <cell r="S40212">
            <v>-104613.4</v>
          </cell>
          <cell r="X40212" t="str">
            <v>Variation UPR - gross</v>
          </cell>
          <cell r="Y40212" t="str">
            <v>SWITZERLAND</v>
          </cell>
        </row>
        <row r="40213">
          <cell r="L40213" t="str">
            <v>Non-proportional</v>
          </cell>
          <cell r="S40213">
            <v>-5773.85</v>
          </cell>
          <cell r="X40213" t="str">
            <v>Variation UPR - gross</v>
          </cell>
          <cell r="Y40213" t="str">
            <v>PUERTO RICO</v>
          </cell>
        </row>
        <row r="40214">
          <cell r="L40214" t="str">
            <v>Non-proportional</v>
          </cell>
          <cell r="S40214">
            <v>72.58</v>
          </cell>
          <cell r="X40214" t="str">
            <v>Variation UPR - gross</v>
          </cell>
          <cell r="Y40214" t="str">
            <v>NEW ZEALAND</v>
          </cell>
        </row>
        <row r="40215">
          <cell r="L40215" t="str">
            <v>Non-proportional</v>
          </cell>
          <cell r="S40215">
            <v>114013.79</v>
          </cell>
          <cell r="X40215" t="str">
            <v>Variation UPR - gross</v>
          </cell>
          <cell r="Y40215" t="str">
            <v>DOMINICAN REPUBLIC</v>
          </cell>
        </row>
        <row r="40216">
          <cell r="L40216" t="str">
            <v>Proportional</v>
          </cell>
          <cell r="S40216">
            <v>-1592.75</v>
          </cell>
          <cell r="X40216" t="str">
            <v>Variation UPR - gross</v>
          </cell>
          <cell r="Y40216" t="str">
            <v>PERU</v>
          </cell>
        </row>
        <row r="40217">
          <cell r="L40217" t="str">
            <v>Non-proportional</v>
          </cell>
          <cell r="S40217">
            <v>-6547.15</v>
          </cell>
          <cell r="X40217" t="str">
            <v>Variation UPR - gross</v>
          </cell>
          <cell r="Y40217" t="str">
            <v>CHILE</v>
          </cell>
        </row>
        <row r="40218">
          <cell r="L40218" t="str">
            <v>Non-proportional</v>
          </cell>
          <cell r="S40218">
            <v>-3757.19</v>
          </cell>
          <cell r="X40218" t="str">
            <v>Variation UPR - gross</v>
          </cell>
          <cell r="Y40218" t="str">
            <v>THAILAND</v>
          </cell>
        </row>
        <row r="40219">
          <cell r="L40219" t="str">
            <v>Non-proportional</v>
          </cell>
          <cell r="S40219">
            <v>-969915.63</v>
          </cell>
          <cell r="X40219" t="str">
            <v>Variation UPR - gross</v>
          </cell>
          <cell r="Y40219" t="str">
            <v>UNITED KINGDOM</v>
          </cell>
        </row>
        <row r="40220">
          <cell r="L40220" t="str">
            <v>Non-proportional</v>
          </cell>
          <cell r="S40220">
            <v>1.01</v>
          </cell>
          <cell r="X40220" t="str">
            <v>Variation UPR - gross</v>
          </cell>
          <cell r="Y40220" t="str">
            <v>GUATEMALA</v>
          </cell>
        </row>
        <row r="40221">
          <cell r="L40221" t="str">
            <v>Non-proportional</v>
          </cell>
          <cell r="S40221">
            <v>-2094.27</v>
          </cell>
          <cell r="X40221" t="str">
            <v>Variation UPR - gross</v>
          </cell>
          <cell r="Y40221" t="str">
            <v>INDIA</v>
          </cell>
        </row>
        <row r="40222">
          <cell r="L40222" t="str">
            <v>Non-proportional</v>
          </cell>
          <cell r="S40222">
            <v>-6342.78</v>
          </cell>
          <cell r="X40222" t="str">
            <v>Variation UPR - gross</v>
          </cell>
          <cell r="Y40222" t="str">
            <v>ISRAEL</v>
          </cell>
        </row>
        <row r="40223">
          <cell r="L40223" t="str">
            <v>Non-proportional</v>
          </cell>
          <cell r="S40223">
            <v>-1874.89</v>
          </cell>
          <cell r="X40223" t="str">
            <v>Variation UPR - gross</v>
          </cell>
          <cell r="Y40223" t="str">
            <v>PERU</v>
          </cell>
        </row>
        <row r="40224">
          <cell r="L40224" t="str">
            <v>Proportional</v>
          </cell>
          <cell r="S40224">
            <v>-12266.3</v>
          </cell>
          <cell r="X40224" t="str">
            <v>Variation UPR - gross</v>
          </cell>
          <cell r="Y40224" t="str">
            <v>EUROPE</v>
          </cell>
        </row>
        <row r="40225">
          <cell r="L40225" t="str">
            <v>Proportional</v>
          </cell>
          <cell r="S40225">
            <v>-8802.39</v>
          </cell>
          <cell r="X40225" t="str">
            <v>Variation UPR - gross</v>
          </cell>
          <cell r="Y40225" t="str">
            <v>CHILE</v>
          </cell>
        </row>
        <row r="40226">
          <cell r="L40226" t="str">
            <v>Non-proportional</v>
          </cell>
          <cell r="S40226">
            <v>-34550.269999999997</v>
          </cell>
          <cell r="X40226" t="str">
            <v>Variation UPR - gross</v>
          </cell>
          <cell r="Y40226" t="str">
            <v>UNITED KINGDOM</v>
          </cell>
        </row>
        <row r="40227">
          <cell r="L40227" t="str">
            <v>Non-proportional</v>
          </cell>
          <cell r="S40227">
            <v>-45959.07</v>
          </cell>
          <cell r="X40227" t="str">
            <v>Variation UPR - gross</v>
          </cell>
          <cell r="Y40227" t="str">
            <v>UNITED KINGDOM</v>
          </cell>
        </row>
        <row r="40228">
          <cell r="L40228" t="str">
            <v>Non-proportional</v>
          </cell>
          <cell r="S40228">
            <v>55.99</v>
          </cell>
          <cell r="X40228" t="str">
            <v>Variation UPR - gross</v>
          </cell>
          <cell r="Y40228" t="str">
            <v>JAPAN</v>
          </cell>
        </row>
        <row r="40229">
          <cell r="L40229" t="str">
            <v>Non-proportional</v>
          </cell>
          <cell r="S40229">
            <v>-3828.13</v>
          </cell>
          <cell r="X40229" t="str">
            <v>Variation UPR - gross</v>
          </cell>
          <cell r="Y40229" t="str">
            <v>ITALY</v>
          </cell>
        </row>
        <row r="40230">
          <cell r="L40230" t="str">
            <v>Non-proportional</v>
          </cell>
          <cell r="S40230">
            <v>-2894.66</v>
          </cell>
          <cell r="X40230" t="str">
            <v>Variation UPR - gross</v>
          </cell>
          <cell r="Y40230" t="str">
            <v>ISRAEL</v>
          </cell>
        </row>
        <row r="40231">
          <cell r="L40231" t="str">
            <v>Non-proportional</v>
          </cell>
          <cell r="S40231">
            <v>-1463.24</v>
          </cell>
          <cell r="X40231" t="str">
            <v>Variation UPR - gross</v>
          </cell>
          <cell r="Y40231" t="str">
            <v>UNITED KINGDOM</v>
          </cell>
        </row>
        <row r="40232">
          <cell r="L40232" t="str">
            <v>Non-proportional</v>
          </cell>
          <cell r="S40232">
            <v>43486</v>
          </cell>
          <cell r="X40232" t="str">
            <v>Variation UPR - gross</v>
          </cell>
          <cell r="Y40232" t="str">
            <v>SPAIN</v>
          </cell>
        </row>
        <row r="40233">
          <cell r="L40233" t="str">
            <v>Non-proportional</v>
          </cell>
          <cell r="S40233">
            <v>-8708.34</v>
          </cell>
          <cell r="X40233" t="str">
            <v>Variation UPR - gross</v>
          </cell>
          <cell r="Y40233" t="str">
            <v>TURKEY</v>
          </cell>
        </row>
        <row r="40234">
          <cell r="L40234" t="str">
            <v>Non-proportional</v>
          </cell>
          <cell r="S40234">
            <v>-40799.89</v>
          </cell>
          <cell r="X40234" t="str">
            <v>Variation UPR - gross</v>
          </cell>
          <cell r="Y40234" t="str">
            <v>TURKEY</v>
          </cell>
        </row>
        <row r="40235">
          <cell r="L40235" t="str">
            <v>Non-proportional</v>
          </cell>
          <cell r="S40235">
            <v>-1749.34</v>
          </cell>
          <cell r="X40235" t="str">
            <v>Variation UPR - gross</v>
          </cell>
          <cell r="Y40235" t="str">
            <v>SOUTH AFRICA</v>
          </cell>
        </row>
        <row r="40236">
          <cell r="L40236" t="str">
            <v>Non-proportional</v>
          </cell>
          <cell r="S40236">
            <v>-1198.74</v>
          </cell>
          <cell r="X40236" t="str">
            <v>Variation UPR - gross</v>
          </cell>
          <cell r="Y40236" t="str">
            <v>PERU</v>
          </cell>
        </row>
        <row r="40237">
          <cell r="L40237" t="str">
            <v>Non-proportional</v>
          </cell>
          <cell r="S40237">
            <v>-24999.81</v>
          </cell>
          <cell r="X40237" t="str">
            <v>Variation UPR - gross</v>
          </cell>
          <cell r="Y40237" t="str">
            <v>FRANCE</v>
          </cell>
        </row>
        <row r="40238">
          <cell r="L40238" t="str">
            <v>Proportional</v>
          </cell>
          <cell r="S40238">
            <v>-13484.9</v>
          </cell>
          <cell r="X40238" t="str">
            <v>Variation UPR - gross</v>
          </cell>
          <cell r="Y40238" t="str">
            <v>ITALY</v>
          </cell>
        </row>
        <row r="40239">
          <cell r="L40239" t="str">
            <v>Non-proportional</v>
          </cell>
          <cell r="S40239">
            <v>222.38</v>
          </cell>
          <cell r="X40239" t="str">
            <v>Variation UPR - gross</v>
          </cell>
          <cell r="Y40239" t="str">
            <v>COLOMBIA</v>
          </cell>
        </row>
        <row r="40240">
          <cell r="L40240" t="str">
            <v>Proportional</v>
          </cell>
          <cell r="S40240">
            <v>-1260.3399999999999</v>
          </cell>
          <cell r="X40240" t="str">
            <v>Variation UPR - gross</v>
          </cell>
          <cell r="Y40240" t="str">
            <v>ITALY</v>
          </cell>
        </row>
        <row r="40241">
          <cell r="L40241" t="str">
            <v>Proportional</v>
          </cell>
          <cell r="S40241">
            <v>99435.74</v>
          </cell>
          <cell r="X40241" t="str">
            <v>Variation UPR - gross</v>
          </cell>
          <cell r="Y40241" t="str">
            <v>THAILAND</v>
          </cell>
        </row>
        <row r="40242">
          <cell r="L40242" t="str">
            <v>Non-proportional</v>
          </cell>
          <cell r="S40242">
            <v>-8500</v>
          </cell>
          <cell r="X40242" t="str">
            <v>Variation UPR - gross</v>
          </cell>
          <cell r="Y40242" t="str">
            <v>ITALY</v>
          </cell>
        </row>
        <row r="40243">
          <cell r="L40243" t="str">
            <v>Non-proportional</v>
          </cell>
          <cell r="S40243">
            <v>-390</v>
          </cell>
          <cell r="X40243" t="str">
            <v>Variation UPR - gross</v>
          </cell>
          <cell r="Y40243" t="str">
            <v>ITALY</v>
          </cell>
        </row>
        <row r="40244">
          <cell r="L40244" t="str">
            <v>Proportional</v>
          </cell>
          <cell r="S40244">
            <v>-267.27</v>
          </cell>
          <cell r="X40244" t="str">
            <v>Variation UPR - gross</v>
          </cell>
          <cell r="Y40244" t="str">
            <v>THAILAND</v>
          </cell>
        </row>
        <row r="40245">
          <cell r="L40245" t="str">
            <v>Proportional</v>
          </cell>
          <cell r="S40245">
            <v>7478.23</v>
          </cell>
          <cell r="X40245" t="str">
            <v>Variation UPR - gross</v>
          </cell>
          <cell r="Y40245" t="str">
            <v>THAILAND</v>
          </cell>
        </row>
        <row r="40246">
          <cell r="L40246" t="str">
            <v>Non-proportional</v>
          </cell>
          <cell r="S40246">
            <v>-9830.36</v>
          </cell>
          <cell r="X40246" t="str">
            <v>Variation UPR - gross</v>
          </cell>
          <cell r="Y40246" t="str">
            <v>MEXICO</v>
          </cell>
        </row>
        <row r="40247">
          <cell r="L40247" t="str">
            <v>Non-proportional</v>
          </cell>
          <cell r="S40247">
            <v>-71434.42</v>
          </cell>
          <cell r="X40247" t="str">
            <v>Variation UPR - gross</v>
          </cell>
          <cell r="Y40247" t="str">
            <v>UNITED KINGDOM</v>
          </cell>
        </row>
        <row r="40248">
          <cell r="L40248" t="str">
            <v>Non-proportional</v>
          </cell>
          <cell r="S40248">
            <v>63633.09</v>
          </cell>
          <cell r="X40248" t="str">
            <v>Variation UPR - gross</v>
          </cell>
          <cell r="Y40248" t="str">
            <v>AUSTRALIA</v>
          </cell>
        </row>
        <row r="40249">
          <cell r="L40249" t="str">
            <v>Non-proportional</v>
          </cell>
          <cell r="S40249">
            <v>-9635.7900000000009</v>
          </cell>
          <cell r="X40249" t="str">
            <v>Variation UPR - gross</v>
          </cell>
          <cell r="Y40249" t="str">
            <v>COSTA RICA</v>
          </cell>
        </row>
        <row r="40250">
          <cell r="L40250" t="str">
            <v>Proportional</v>
          </cell>
          <cell r="S40250">
            <v>23965.03</v>
          </cell>
          <cell r="X40250" t="str">
            <v>Variation UPR - gross</v>
          </cell>
          <cell r="Y40250" t="str">
            <v>UNITED STATES</v>
          </cell>
        </row>
        <row r="40251">
          <cell r="L40251" t="str">
            <v>Non-proportional</v>
          </cell>
          <cell r="S40251">
            <v>-33841.14</v>
          </cell>
          <cell r="X40251" t="str">
            <v>Variation UPR - gross</v>
          </cell>
          <cell r="Y40251" t="str">
            <v>UNITED KINGDOM</v>
          </cell>
        </row>
        <row r="40252">
          <cell r="L40252" t="str">
            <v>Non-proportional</v>
          </cell>
          <cell r="S40252">
            <v>-3446.06</v>
          </cell>
          <cell r="X40252" t="str">
            <v>Variation UPR - gross</v>
          </cell>
          <cell r="Y40252" t="str">
            <v>GUATEMALA</v>
          </cell>
        </row>
        <row r="40253">
          <cell r="L40253" t="str">
            <v>Non-proportional</v>
          </cell>
          <cell r="S40253">
            <v>-3574.53</v>
          </cell>
          <cell r="X40253" t="str">
            <v>Variation UPR - gross</v>
          </cell>
          <cell r="Y40253" t="str">
            <v>ISRAEL</v>
          </cell>
        </row>
        <row r="40254">
          <cell r="L40254" t="str">
            <v>Non-proportional</v>
          </cell>
          <cell r="S40254">
            <v>-4666.5</v>
          </cell>
          <cell r="X40254" t="str">
            <v>Variation UPR - gross</v>
          </cell>
          <cell r="Y40254" t="str">
            <v>TURKEY</v>
          </cell>
        </row>
        <row r="40255">
          <cell r="L40255" t="str">
            <v>Non-proportional</v>
          </cell>
          <cell r="S40255">
            <v>-1996.35</v>
          </cell>
          <cell r="X40255" t="str">
            <v>Variation UPR - gross</v>
          </cell>
          <cell r="Y40255" t="str">
            <v>GUATEMALA</v>
          </cell>
        </row>
        <row r="40256">
          <cell r="L40256" t="str">
            <v>Non-proportional</v>
          </cell>
          <cell r="S40256">
            <v>-19231.490000000002</v>
          </cell>
          <cell r="X40256" t="str">
            <v>Variation UPR - gross</v>
          </cell>
          <cell r="Y40256" t="str">
            <v>FRANCE</v>
          </cell>
        </row>
        <row r="40257">
          <cell r="L40257" t="str">
            <v>Non-proportional</v>
          </cell>
          <cell r="S40257">
            <v>-1326.72</v>
          </cell>
          <cell r="X40257" t="str">
            <v>Variation UPR - gross</v>
          </cell>
          <cell r="Y40257" t="str">
            <v>ISRAEL</v>
          </cell>
        </row>
        <row r="40258">
          <cell r="L40258" t="str">
            <v>Non-proportional</v>
          </cell>
          <cell r="S40258">
            <v>-0.04</v>
          </cell>
          <cell r="X40258" t="str">
            <v>Variation UPR - gross</v>
          </cell>
          <cell r="Y40258" t="str">
            <v>DOMINICAN REPUBLIC</v>
          </cell>
        </row>
        <row r="40259">
          <cell r="L40259" t="str">
            <v>Proportional</v>
          </cell>
          <cell r="S40259">
            <v>1931.51</v>
          </cell>
          <cell r="X40259" t="str">
            <v>Variation UPR - gross</v>
          </cell>
          <cell r="Y40259" t="str">
            <v>CANADA</v>
          </cell>
        </row>
        <row r="40260">
          <cell r="L40260" t="str">
            <v>Non-proportional</v>
          </cell>
          <cell r="S40260">
            <v>-7441.57</v>
          </cell>
          <cell r="X40260" t="str">
            <v>Variation UPR - gross</v>
          </cell>
          <cell r="Y40260" t="str">
            <v>CHILE</v>
          </cell>
        </row>
        <row r="40261">
          <cell r="L40261" t="str">
            <v>Non-proportional</v>
          </cell>
          <cell r="S40261">
            <v>-5402.29</v>
          </cell>
          <cell r="X40261" t="str">
            <v>Variation UPR - gross</v>
          </cell>
          <cell r="Y40261" t="str">
            <v>CHILE</v>
          </cell>
        </row>
        <row r="40262">
          <cell r="L40262" t="str">
            <v>Non-proportional</v>
          </cell>
          <cell r="S40262">
            <v>156372.06</v>
          </cell>
          <cell r="X40262" t="str">
            <v>Variation UPR - gross</v>
          </cell>
          <cell r="Y40262" t="str">
            <v>AUSTRALIA</v>
          </cell>
        </row>
        <row r="40263">
          <cell r="L40263" t="str">
            <v>Proportional</v>
          </cell>
          <cell r="S40263">
            <v>-688.75</v>
          </cell>
          <cell r="X40263" t="str">
            <v>Variation UPR - gross</v>
          </cell>
          <cell r="Y40263" t="str">
            <v>THAILAND</v>
          </cell>
        </row>
        <row r="40264">
          <cell r="L40264" t="str">
            <v>Non-proportional</v>
          </cell>
          <cell r="S40264">
            <v>-2734.83</v>
          </cell>
          <cell r="X40264" t="str">
            <v>Variation UPR - gross</v>
          </cell>
          <cell r="Y40264" t="str">
            <v>COLOMBIA</v>
          </cell>
        </row>
        <row r="40265">
          <cell r="L40265" t="str">
            <v>Non-proportional</v>
          </cell>
          <cell r="S40265">
            <v>-18566.330000000002</v>
          </cell>
          <cell r="X40265" t="str">
            <v>Variation UPR - gross</v>
          </cell>
          <cell r="Y40265" t="str">
            <v>PUERTO RICO</v>
          </cell>
        </row>
        <row r="40266">
          <cell r="L40266" t="str">
            <v>Non-proportional</v>
          </cell>
          <cell r="S40266">
            <v>-5716.36</v>
          </cell>
          <cell r="X40266" t="str">
            <v>Variation UPR - gross</v>
          </cell>
          <cell r="Y40266" t="str">
            <v>THAILAND</v>
          </cell>
        </row>
        <row r="40267">
          <cell r="L40267" t="str">
            <v>Non-proportional</v>
          </cell>
          <cell r="S40267">
            <v>-1127.1199999999999</v>
          </cell>
          <cell r="X40267" t="str">
            <v>Variation UPR - gross</v>
          </cell>
          <cell r="Y40267" t="str">
            <v>SOUTH AFRICA</v>
          </cell>
        </row>
        <row r="40268">
          <cell r="L40268" t="str">
            <v>Non-proportional</v>
          </cell>
          <cell r="S40268">
            <v>-0.02</v>
          </cell>
          <cell r="X40268" t="str">
            <v>Variation UPR - gross</v>
          </cell>
          <cell r="Y40268" t="str">
            <v>DOMINICAN REPUBLIC</v>
          </cell>
        </row>
        <row r="40269">
          <cell r="L40269" t="str">
            <v>Non-proportional</v>
          </cell>
          <cell r="S40269">
            <v>-10000</v>
          </cell>
          <cell r="X40269" t="str">
            <v>Variation UPR - gross</v>
          </cell>
          <cell r="Y40269" t="str">
            <v>EUROPE</v>
          </cell>
        </row>
        <row r="40270">
          <cell r="L40270" t="str">
            <v>Non-proportional</v>
          </cell>
          <cell r="S40270">
            <v>-6393.46</v>
          </cell>
          <cell r="X40270" t="str">
            <v>Variation UPR - gross</v>
          </cell>
          <cell r="Y40270" t="str">
            <v>NETHERLANDS</v>
          </cell>
        </row>
        <row r="40271">
          <cell r="L40271" t="str">
            <v>Non-proportional</v>
          </cell>
          <cell r="S40271">
            <v>-1646.83</v>
          </cell>
          <cell r="X40271" t="str">
            <v>Variation UPR - gross</v>
          </cell>
          <cell r="Y40271" t="str">
            <v>JAPAN</v>
          </cell>
        </row>
        <row r="40272">
          <cell r="L40272" t="str">
            <v>Non-proportional</v>
          </cell>
          <cell r="S40272">
            <v>-67.97</v>
          </cell>
          <cell r="X40272" t="str">
            <v>Variation UPR - gross</v>
          </cell>
          <cell r="Y40272" t="str">
            <v>BRAZIL</v>
          </cell>
        </row>
        <row r="40273">
          <cell r="L40273" t="str">
            <v>Non-proportional</v>
          </cell>
          <cell r="S40273">
            <v>-5385.92</v>
          </cell>
          <cell r="X40273" t="str">
            <v>Variation UPR - gross</v>
          </cell>
          <cell r="Y40273" t="str">
            <v>PERU</v>
          </cell>
        </row>
        <row r="40274">
          <cell r="L40274" t="str">
            <v>Non-proportional</v>
          </cell>
          <cell r="S40274">
            <v>-16278.67</v>
          </cell>
          <cell r="X40274" t="str">
            <v>Variation UPR - gross</v>
          </cell>
          <cell r="Y40274" t="str">
            <v>ITALY</v>
          </cell>
        </row>
        <row r="40275">
          <cell r="L40275" t="str">
            <v>Non-proportional</v>
          </cell>
          <cell r="S40275">
            <v>-261027.77</v>
          </cell>
          <cell r="X40275" t="str">
            <v>Variation UPR - gross</v>
          </cell>
          <cell r="Y40275" t="str">
            <v>UNITED KINGDOM</v>
          </cell>
        </row>
        <row r="40276">
          <cell r="L40276" t="str">
            <v>Non-proportional</v>
          </cell>
          <cell r="S40276">
            <v>-1076.47</v>
          </cell>
          <cell r="X40276" t="str">
            <v>Variation UPR - gross</v>
          </cell>
          <cell r="Y40276" t="str">
            <v>JAPAN</v>
          </cell>
        </row>
        <row r="40277">
          <cell r="L40277" t="str">
            <v>Non-proportional</v>
          </cell>
          <cell r="S40277">
            <v>6.22</v>
          </cell>
          <cell r="X40277" t="str">
            <v>Variation UPR - gross</v>
          </cell>
          <cell r="Y40277" t="str">
            <v>JAPAN</v>
          </cell>
        </row>
        <row r="40278">
          <cell r="L40278" t="str">
            <v>Non-proportional</v>
          </cell>
          <cell r="S40278">
            <v>-1406.25</v>
          </cell>
          <cell r="X40278" t="str">
            <v>Variation UPR - gross</v>
          </cell>
          <cell r="Y40278" t="str">
            <v>GREECE</v>
          </cell>
        </row>
        <row r="40279">
          <cell r="L40279" t="str">
            <v>Non-proportional</v>
          </cell>
          <cell r="S40279">
            <v>78.260000000000005</v>
          </cell>
          <cell r="X40279" t="str">
            <v>Variation UPR - gross</v>
          </cell>
          <cell r="Y40279" t="str">
            <v>COLOMBIA</v>
          </cell>
        </row>
        <row r="40280">
          <cell r="L40280" t="str">
            <v>Non-proportional</v>
          </cell>
          <cell r="S40280">
            <v>-30000</v>
          </cell>
          <cell r="X40280" t="str">
            <v>Variation UPR - gross</v>
          </cell>
          <cell r="Y40280" t="str">
            <v>FRANCE</v>
          </cell>
        </row>
        <row r="40281">
          <cell r="L40281" t="str">
            <v>Non-proportional</v>
          </cell>
          <cell r="S40281">
            <v>-8775.06</v>
          </cell>
          <cell r="X40281" t="str">
            <v>Variation UPR - gross</v>
          </cell>
          <cell r="Y40281" t="str">
            <v>FRANCE</v>
          </cell>
        </row>
        <row r="40282">
          <cell r="L40282" t="str">
            <v>Non-proportional</v>
          </cell>
          <cell r="S40282">
            <v>-5642.43</v>
          </cell>
          <cell r="X40282" t="str">
            <v>Variation UPR - gross</v>
          </cell>
          <cell r="Y40282" t="str">
            <v>SINGAPORE</v>
          </cell>
        </row>
        <row r="40283">
          <cell r="L40283" t="str">
            <v>Non-proportional</v>
          </cell>
          <cell r="S40283">
            <v>-22932.99</v>
          </cell>
          <cell r="X40283" t="str">
            <v>Variation UPR - gross</v>
          </cell>
          <cell r="Y40283" t="str">
            <v>PUERTO RICO</v>
          </cell>
        </row>
        <row r="40284">
          <cell r="L40284" t="str">
            <v>Non-proportional</v>
          </cell>
          <cell r="S40284">
            <v>-5087.37</v>
          </cell>
          <cell r="X40284" t="str">
            <v>Variation UPR - gross</v>
          </cell>
          <cell r="Y40284" t="str">
            <v>UNITED KINGDOM</v>
          </cell>
        </row>
        <row r="40285">
          <cell r="L40285" t="str">
            <v>Non-proportional</v>
          </cell>
          <cell r="S40285">
            <v>-1754.38</v>
          </cell>
          <cell r="X40285" t="str">
            <v>Variation UPR - gross</v>
          </cell>
          <cell r="Y40285" t="str">
            <v>ECUADOR</v>
          </cell>
        </row>
        <row r="40286">
          <cell r="L40286" t="str">
            <v>Non-proportional</v>
          </cell>
          <cell r="S40286">
            <v>8693.75</v>
          </cell>
          <cell r="X40286" t="str">
            <v>Variation UPR - gross</v>
          </cell>
          <cell r="Y40286" t="str">
            <v>CHILE</v>
          </cell>
        </row>
        <row r="40287">
          <cell r="L40287" t="str">
            <v>Non-proportional</v>
          </cell>
          <cell r="S40287">
            <v>-6562.5</v>
          </cell>
          <cell r="X40287" t="str">
            <v>Variation UPR - gross</v>
          </cell>
          <cell r="Y40287" t="str">
            <v>ITALY</v>
          </cell>
        </row>
        <row r="40288">
          <cell r="L40288" t="str">
            <v>Non-proportional</v>
          </cell>
          <cell r="S40288">
            <v>30970.74</v>
          </cell>
          <cell r="X40288" t="str">
            <v>Variation UPR - gross</v>
          </cell>
          <cell r="Y40288" t="str">
            <v>AUSTRALIA</v>
          </cell>
        </row>
        <row r="40289">
          <cell r="L40289" t="str">
            <v>Non-proportional</v>
          </cell>
          <cell r="S40289">
            <v>-1749.93</v>
          </cell>
          <cell r="X40289" t="str">
            <v>Variation UPR - gross</v>
          </cell>
          <cell r="Y40289" t="str">
            <v>EUROPE</v>
          </cell>
        </row>
        <row r="40290">
          <cell r="L40290" t="str">
            <v>Non-proportional</v>
          </cell>
          <cell r="S40290">
            <v>-2316.9299999999998</v>
          </cell>
          <cell r="X40290" t="str">
            <v>Variation UPR - gross</v>
          </cell>
          <cell r="Y40290" t="str">
            <v>AUSTRALIA</v>
          </cell>
        </row>
        <row r="40291">
          <cell r="L40291" t="str">
            <v>Non-proportional</v>
          </cell>
          <cell r="S40291">
            <v>-858.64</v>
          </cell>
          <cell r="X40291" t="str">
            <v>Variation UPR - gross</v>
          </cell>
          <cell r="Y40291" t="str">
            <v>CHILE</v>
          </cell>
        </row>
        <row r="40292">
          <cell r="L40292" t="str">
            <v>Non-proportional</v>
          </cell>
          <cell r="S40292">
            <v>-25572.68</v>
          </cell>
          <cell r="X40292" t="str">
            <v>Variation UPR - gross</v>
          </cell>
          <cell r="Y40292" t="str">
            <v>TURKEY</v>
          </cell>
        </row>
        <row r="40293">
          <cell r="L40293" t="str">
            <v>Non-proportional</v>
          </cell>
          <cell r="S40293">
            <v>-39432.370000000003</v>
          </cell>
          <cell r="X40293" t="str">
            <v>Variation UPR - gross</v>
          </cell>
          <cell r="Y40293" t="str">
            <v>UNITED KINGDOM</v>
          </cell>
        </row>
        <row r="40294">
          <cell r="L40294" t="str">
            <v>Proportional</v>
          </cell>
          <cell r="S40294">
            <v>-158768.99</v>
          </cell>
          <cell r="X40294" t="str">
            <v>Variation UPR - gross</v>
          </cell>
          <cell r="Y40294" t="str">
            <v>UNITED STATES</v>
          </cell>
        </row>
        <row r="40295">
          <cell r="L40295" t="str">
            <v>Non-proportional</v>
          </cell>
          <cell r="S40295">
            <v>-8130.81</v>
          </cell>
          <cell r="X40295" t="str">
            <v>Variation UPR - gross</v>
          </cell>
          <cell r="Y40295" t="str">
            <v>PERU</v>
          </cell>
        </row>
        <row r="40296">
          <cell r="L40296" t="str">
            <v>Proportional</v>
          </cell>
          <cell r="S40296">
            <v>-145389.85999999999</v>
          </cell>
          <cell r="X40296" t="str">
            <v>Variation UPR - gross</v>
          </cell>
          <cell r="Y40296" t="str">
            <v>THAILAND</v>
          </cell>
        </row>
        <row r="40297">
          <cell r="L40297" t="str">
            <v>Non-proportional</v>
          </cell>
          <cell r="S40297">
            <v>112782.81</v>
          </cell>
          <cell r="X40297" t="str">
            <v>Variation UPR - gross</v>
          </cell>
          <cell r="Y40297" t="str">
            <v>PERU</v>
          </cell>
        </row>
        <row r="40298">
          <cell r="L40298" t="str">
            <v>Non-proportional</v>
          </cell>
          <cell r="S40298">
            <v>-6315.28</v>
          </cell>
          <cell r="X40298" t="str">
            <v>Variation UPR - gross</v>
          </cell>
          <cell r="Y40298" t="str">
            <v>THAILAND</v>
          </cell>
        </row>
        <row r="40299">
          <cell r="L40299" t="str">
            <v>Proportional</v>
          </cell>
          <cell r="S40299">
            <v>-5565.26</v>
          </cell>
          <cell r="X40299" t="str">
            <v>Variation UPR - gross</v>
          </cell>
          <cell r="Y40299" t="str">
            <v>HONG KONG</v>
          </cell>
        </row>
        <row r="40300">
          <cell r="L40300" t="str">
            <v>Non-proportional</v>
          </cell>
          <cell r="S40300">
            <v>-2218.16</v>
          </cell>
          <cell r="X40300" t="str">
            <v>Variation UPR - gross</v>
          </cell>
          <cell r="Y40300" t="str">
            <v>CHILE</v>
          </cell>
        </row>
        <row r="40301">
          <cell r="L40301" t="str">
            <v>Non-proportional</v>
          </cell>
          <cell r="S40301">
            <v>-40000</v>
          </cell>
          <cell r="X40301" t="str">
            <v>Variation UPR - gross</v>
          </cell>
          <cell r="Y40301" t="str">
            <v>PORTUGAL</v>
          </cell>
        </row>
        <row r="40302">
          <cell r="L40302" t="str">
            <v>Non-proportional</v>
          </cell>
          <cell r="S40302">
            <v>24009.25</v>
          </cell>
          <cell r="X40302" t="str">
            <v>Variation UPR - gross</v>
          </cell>
          <cell r="Y40302" t="str">
            <v>DOMINICAN REPUBLIC</v>
          </cell>
        </row>
        <row r="40303">
          <cell r="L40303" t="str">
            <v>Proportional</v>
          </cell>
          <cell r="S40303">
            <v>101592.76</v>
          </cell>
          <cell r="X40303" t="str">
            <v>Variation UPR - gross</v>
          </cell>
          <cell r="Y40303" t="str">
            <v>JAPAN</v>
          </cell>
        </row>
        <row r="40304">
          <cell r="L40304" t="str">
            <v>Non-proportional</v>
          </cell>
          <cell r="S40304">
            <v>-2090.7399999999998</v>
          </cell>
          <cell r="X40304" t="str">
            <v>Variation UPR - gross</v>
          </cell>
          <cell r="Y40304" t="str">
            <v>CHINA</v>
          </cell>
        </row>
        <row r="40305">
          <cell r="L40305" t="str">
            <v>Non-proportional</v>
          </cell>
          <cell r="S40305">
            <v>-2999.74</v>
          </cell>
          <cell r="X40305" t="str">
            <v>Variation UPR - gross</v>
          </cell>
          <cell r="Y40305" t="str">
            <v>NETHERLANDS</v>
          </cell>
        </row>
        <row r="40306">
          <cell r="L40306" t="str">
            <v>Non-proportional</v>
          </cell>
          <cell r="S40306">
            <v>-1606.68</v>
          </cell>
          <cell r="X40306" t="str">
            <v>Variation UPR - gross</v>
          </cell>
          <cell r="Y40306" t="str">
            <v>JAPAN</v>
          </cell>
        </row>
        <row r="40307">
          <cell r="L40307" t="str">
            <v>Non-proportional</v>
          </cell>
          <cell r="S40307">
            <v>35222.199999999997</v>
          </cell>
          <cell r="X40307" t="str">
            <v>Variation UPR - gross</v>
          </cell>
          <cell r="Y40307" t="str">
            <v>AUSTRALIA</v>
          </cell>
        </row>
        <row r="40308">
          <cell r="L40308" t="str">
            <v>Non-proportional</v>
          </cell>
          <cell r="S40308">
            <v>-2432.8200000000002</v>
          </cell>
          <cell r="X40308" t="str">
            <v>Variation UPR - gross</v>
          </cell>
          <cell r="Y40308" t="str">
            <v>CHILE</v>
          </cell>
        </row>
        <row r="40309">
          <cell r="L40309" t="str">
            <v>Non-proportional</v>
          </cell>
          <cell r="S40309">
            <v>-6401.5</v>
          </cell>
          <cell r="X40309" t="str">
            <v>Variation UPR - gross</v>
          </cell>
          <cell r="Y40309" t="str">
            <v>JAPAN</v>
          </cell>
        </row>
        <row r="40310">
          <cell r="L40310" t="str">
            <v>Proportional</v>
          </cell>
          <cell r="S40310">
            <v>-153.43</v>
          </cell>
          <cell r="X40310" t="str">
            <v>Variation UPR - gross</v>
          </cell>
          <cell r="Y40310" t="str">
            <v>UNITED STATES</v>
          </cell>
        </row>
        <row r="40311">
          <cell r="L40311" t="str">
            <v>Non-proportional</v>
          </cell>
          <cell r="S40311">
            <v>-3900.8</v>
          </cell>
          <cell r="X40311" t="str">
            <v>Variation UPR - gross</v>
          </cell>
          <cell r="Y40311" t="str">
            <v>EUROPE</v>
          </cell>
        </row>
        <row r="40312">
          <cell r="L40312" t="str">
            <v>Proportional</v>
          </cell>
          <cell r="S40312">
            <v>-97.61</v>
          </cell>
          <cell r="X40312" t="str">
            <v>Variation UPR - gross</v>
          </cell>
          <cell r="Y40312" t="str">
            <v>UNITED STATES</v>
          </cell>
        </row>
        <row r="40313">
          <cell r="L40313" t="str">
            <v>Non-proportional</v>
          </cell>
          <cell r="S40313">
            <v>-250.8</v>
          </cell>
          <cell r="X40313" t="str">
            <v>Variation UPR - gross</v>
          </cell>
          <cell r="Y40313" t="str">
            <v>NEW ZEALAND</v>
          </cell>
        </row>
        <row r="40314">
          <cell r="L40314" t="str">
            <v>Non-proportional</v>
          </cell>
          <cell r="S40314">
            <v>-12187.22</v>
          </cell>
          <cell r="X40314" t="str">
            <v>Variation UPR - gross</v>
          </cell>
          <cell r="Y40314" t="str">
            <v>INDIA</v>
          </cell>
        </row>
        <row r="40315">
          <cell r="L40315" t="str">
            <v>Non-proportional</v>
          </cell>
          <cell r="S40315">
            <v>1967.72</v>
          </cell>
          <cell r="X40315" t="str">
            <v>Variation UPR - gross</v>
          </cell>
          <cell r="Y40315" t="str">
            <v>CHILE</v>
          </cell>
        </row>
        <row r="40316">
          <cell r="L40316" t="str">
            <v>Non-proportional</v>
          </cell>
          <cell r="S40316">
            <v>-7218.75</v>
          </cell>
          <cell r="X40316" t="str">
            <v>Variation UPR - gross</v>
          </cell>
          <cell r="Y40316" t="str">
            <v>FRANCE</v>
          </cell>
        </row>
        <row r="40317">
          <cell r="L40317" t="str">
            <v>Proportional</v>
          </cell>
          <cell r="S40317">
            <v>-27733.48</v>
          </cell>
          <cell r="X40317" t="str">
            <v>Variation UPR - gross</v>
          </cell>
          <cell r="Y40317" t="str">
            <v>BELGIUM</v>
          </cell>
        </row>
        <row r="40318">
          <cell r="L40318" t="str">
            <v>Non-proportional</v>
          </cell>
          <cell r="S40318">
            <v>-268.42</v>
          </cell>
          <cell r="X40318" t="str">
            <v>Variation UPR - gross</v>
          </cell>
          <cell r="Y40318" t="str">
            <v>NEW ZEALAND</v>
          </cell>
        </row>
        <row r="40319">
          <cell r="L40319" t="str">
            <v>Non-proportional</v>
          </cell>
          <cell r="S40319">
            <v>-15885.46</v>
          </cell>
          <cell r="X40319" t="str">
            <v>Variation UPR - gross</v>
          </cell>
          <cell r="Y40319" t="str">
            <v>EUROPE</v>
          </cell>
        </row>
        <row r="40320">
          <cell r="L40320" t="str">
            <v>Non-proportional</v>
          </cell>
          <cell r="S40320">
            <v>-2135.11</v>
          </cell>
          <cell r="X40320" t="str">
            <v>Variation UPR - gross</v>
          </cell>
          <cell r="Y40320" t="str">
            <v>JAPAN</v>
          </cell>
        </row>
        <row r="40321">
          <cell r="L40321" t="str">
            <v>Non-proportional</v>
          </cell>
          <cell r="S40321">
            <v>-230.27</v>
          </cell>
          <cell r="X40321" t="str">
            <v>Variation UPR - gross</v>
          </cell>
          <cell r="Y40321" t="str">
            <v>INDIA</v>
          </cell>
        </row>
        <row r="40322">
          <cell r="L40322" t="str">
            <v>Non-proportional</v>
          </cell>
          <cell r="S40322">
            <v>-3587.21</v>
          </cell>
          <cell r="X40322" t="str">
            <v>Variation UPR - gross</v>
          </cell>
          <cell r="Y40322" t="str">
            <v>ISRAEL</v>
          </cell>
        </row>
        <row r="40323">
          <cell r="L40323" t="str">
            <v>Non-proportional</v>
          </cell>
          <cell r="S40323">
            <v>-4425.46</v>
          </cell>
          <cell r="X40323" t="str">
            <v>Variation UPR - gross</v>
          </cell>
          <cell r="Y40323" t="str">
            <v>FRANCE</v>
          </cell>
        </row>
        <row r="40324">
          <cell r="L40324" t="str">
            <v>Non-proportional</v>
          </cell>
          <cell r="S40324">
            <v>-3014.15</v>
          </cell>
          <cell r="X40324" t="str">
            <v>Variation UPR - gross</v>
          </cell>
          <cell r="Y40324" t="str">
            <v>ISRAEL</v>
          </cell>
        </row>
        <row r="40325">
          <cell r="L40325" t="str">
            <v>Non-proportional</v>
          </cell>
          <cell r="S40325">
            <v>-137272.93</v>
          </cell>
          <cell r="X40325" t="str">
            <v>Variation UPR - gross</v>
          </cell>
          <cell r="Y40325" t="str">
            <v>UNITED KINGDOM</v>
          </cell>
        </row>
        <row r="40326">
          <cell r="L40326" t="str">
            <v>Non-proportional</v>
          </cell>
          <cell r="S40326">
            <v>-310.68</v>
          </cell>
          <cell r="X40326" t="str">
            <v>Variation UPR - gross</v>
          </cell>
          <cell r="Y40326" t="str">
            <v>ITALY</v>
          </cell>
        </row>
        <row r="40327">
          <cell r="L40327" t="str">
            <v>Non-proportional</v>
          </cell>
          <cell r="S40327">
            <v>-665.05</v>
          </cell>
          <cell r="X40327" t="str">
            <v>Variation UPR - gross</v>
          </cell>
          <cell r="Y40327" t="str">
            <v>FRANCE</v>
          </cell>
        </row>
        <row r="40328">
          <cell r="L40328" t="str">
            <v>Non-proportional</v>
          </cell>
          <cell r="S40328">
            <v>-3485.07</v>
          </cell>
          <cell r="X40328" t="str">
            <v>Variation UPR - gross</v>
          </cell>
          <cell r="Y40328" t="str">
            <v>THAILAND</v>
          </cell>
        </row>
        <row r="40329">
          <cell r="L40329" t="str">
            <v>Non-proportional</v>
          </cell>
          <cell r="S40329">
            <v>-3126.85</v>
          </cell>
          <cell r="X40329" t="str">
            <v>Variation UPR - gross</v>
          </cell>
          <cell r="Y40329" t="str">
            <v>FRANCE</v>
          </cell>
        </row>
        <row r="40330">
          <cell r="L40330" t="str">
            <v>Proportional</v>
          </cell>
          <cell r="S40330">
            <v>9870.57</v>
          </cell>
          <cell r="X40330" t="str">
            <v>Variation UPR - gross</v>
          </cell>
          <cell r="Y40330" t="str">
            <v>CANADA</v>
          </cell>
        </row>
        <row r="40331">
          <cell r="L40331" t="str">
            <v>Non-proportional</v>
          </cell>
          <cell r="S40331">
            <v>18675.47</v>
          </cell>
          <cell r="X40331" t="str">
            <v>Variation UPR - gross</v>
          </cell>
          <cell r="Y40331" t="str">
            <v>CHILE</v>
          </cell>
        </row>
        <row r="40332">
          <cell r="L40332" t="str">
            <v>Non-proportional</v>
          </cell>
          <cell r="S40332">
            <v>-10529.15</v>
          </cell>
          <cell r="X40332" t="str">
            <v>Variation UPR - gross</v>
          </cell>
          <cell r="Y40332" t="str">
            <v>NEW ZEALAND</v>
          </cell>
        </row>
        <row r="40333">
          <cell r="L40333" t="str">
            <v>Non-proportional</v>
          </cell>
          <cell r="S40333">
            <v>-6963.2</v>
          </cell>
          <cell r="X40333" t="str">
            <v>Variation UPR - gross</v>
          </cell>
          <cell r="Y40333" t="str">
            <v>FRANCE</v>
          </cell>
        </row>
        <row r="40334">
          <cell r="L40334" t="str">
            <v>Non-proportional</v>
          </cell>
          <cell r="S40334">
            <v>-87138.33</v>
          </cell>
          <cell r="X40334" t="str">
            <v>Variation UPR - gross</v>
          </cell>
          <cell r="Y40334" t="str">
            <v>EUROPE</v>
          </cell>
        </row>
        <row r="40335">
          <cell r="L40335" t="str">
            <v>Non-proportional</v>
          </cell>
          <cell r="S40335">
            <v>-0.02</v>
          </cell>
          <cell r="X40335" t="str">
            <v>Variation UPR - gross</v>
          </cell>
          <cell r="Y40335" t="str">
            <v>DOMINICAN REPUBLIC</v>
          </cell>
        </row>
        <row r="40336">
          <cell r="L40336" t="str">
            <v>Non-proportional</v>
          </cell>
          <cell r="S40336">
            <v>-3204.82</v>
          </cell>
          <cell r="X40336" t="str">
            <v>Variation UPR - gross</v>
          </cell>
          <cell r="Y40336" t="str">
            <v>GUATEMALA</v>
          </cell>
        </row>
        <row r="40337">
          <cell r="L40337" t="str">
            <v>Non-proportional</v>
          </cell>
          <cell r="S40337">
            <v>-20197.509999999998</v>
          </cell>
          <cell r="X40337" t="str">
            <v>Variation UPR - gross</v>
          </cell>
          <cell r="Y40337" t="str">
            <v>ITALY</v>
          </cell>
        </row>
        <row r="40338">
          <cell r="L40338" t="str">
            <v>Non-proportional</v>
          </cell>
          <cell r="S40338">
            <v>0.03</v>
          </cell>
          <cell r="X40338" t="str">
            <v>Variation UPR - gross</v>
          </cell>
          <cell r="Y40338" t="str">
            <v>INDIA</v>
          </cell>
        </row>
        <row r="40339">
          <cell r="L40339" t="str">
            <v>Non-proportional</v>
          </cell>
          <cell r="S40339">
            <v>-368328.87</v>
          </cell>
          <cell r="X40339" t="str">
            <v>Variation UPR - gross</v>
          </cell>
          <cell r="Y40339" t="str">
            <v>UNITED KINGDOM</v>
          </cell>
        </row>
        <row r="40340">
          <cell r="L40340" t="str">
            <v>Non-proportional</v>
          </cell>
          <cell r="S40340">
            <v>-92.48</v>
          </cell>
          <cell r="X40340" t="str">
            <v>Variation UPR - gross</v>
          </cell>
          <cell r="Y40340" t="str">
            <v>BRAZIL</v>
          </cell>
        </row>
        <row r="40341">
          <cell r="L40341" t="str">
            <v>Non-proportional</v>
          </cell>
          <cell r="S40341">
            <v>88.36</v>
          </cell>
          <cell r="X40341" t="str">
            <v>Variation UPR - gross</v>
          </cell>
          <cell r="Y40341" t="str">
            <v>AUSTRALIA</v>
          </cell>
        </row>
        <row r="40342">
          <cell r="L40342" t="str">
            <v>Non-proportional</v>
          </cell>
          <cell r="S40342">
            <v>-814.28</v>
          </cell>
          <cell r="X40342" t="str">
            <v>Variation UPR - gross</v>
          </cell>
          <cell r="Y40342" t="str">
            <v>PERU</v>
          </cell>
        </row>
        <row r="40343">
          <cell r="L40343" t="str">
            <v>Non-proportional</v>
          </cell>
          <cell r="S40343">
            <v>-0.02</v>
          </cell>
          <cell r="X40343" t="str">
            <v>Variation UPR - gross</v>
          </cell>
          <cell r="Y40343" t="str">
            <v>DOMINICAN REPUBLIC</v>
          </cell>
        </row>
        <row r="40344">
          <cell r="L40344" t="str">
            <v>Non-proportional</v>
          </cell>
          <cell r="S40344">
            <v>-35.78</v>
          </cell>
          <cell r="X40344" t="str">
            <v>Variation UPR - gross</v>
          </cell>
          <cell r="Y40344" t="str">
            <v>CHILE</v>
          </cell>
        </row>
        <row r="40345">
          <cell r="L40345" t="str">
            <v>Non-proportional</v>
          </cell>
          <cell r="S40345">
            <v>-1172.9100000000001</v>
          </cell>
          <cell r="X40345" t="str">
            <v>Variation UPR - gross</v>
          </cell>
          <cell r="Y40345" t="str">
            <v>UNITED KINGDOM</v>
          </cell>
        </row>
        <row r="40346">
          <cell r="L40346" t="str">
            <v>Non-proportional</v>
          </cell>
          <cell r="S40346">
            <v>79.900000000000006</v>
          </cell>
          <cell r="X40346" t="str">
            <v>Variation UPR - gross</v>
          </cell>
          <cell r="Y40346" t="str">
            <v>JAPAN</v>
          </cell>
        </row>
        <row r="40347">
          <cell r="L40347" t="str">
            <v>Non-proportional</v>
          </cell>
          <cell r="S40347">
            <v>-3281.25</v>
          </cell>
          <cell r="X40347" t="str">
            <v>Variation UPR - gross</v>
          </cell>
          <cell r="Y40347" t="str">
            <v>ITALY</v>
          </cell>
        </row>
        <row r="40348">
          <cell r="L40348" t="str">
            <v>Proportional</v>
          </cell>
          <cell r="S40348">
            <v>9275.8799999999992</v>
          </cell>
          <cell r="X40348" t="str">
            <v>Variation UPR - gross</v>
          </cell>
          <cell r="Y40348" t="str">
            <v>THAILAND</v>
          </cell>
        </row>
        <row r="40349">
          <cell r="L40349" t="str">
            <v>Proportional</v>
          </cell>
          <cell r="S40349">
            <v>-117213.53</v>
          </cell>
          <cell r="X40349" t="str">
            <v>Variation UPR - gross</v>
          </cell>
          <cell r="Y40349" t="str">
            <v>THAILAND</v>
          </cell>
        </row>
        <row r="40350">
          <cell r="L40350" t="str">
            <v>Proportional</v>
          </cell>
          <cell r="S40350">
            <v>4108.92</v>
          </cell>
          <cell r="X40350" t="str">
            <v>Variation UPR - gross</v>
          </cell>
          <cell r="Y40350" t="str">
            <v>THAILAND</v>
          </cell>
        </row>
        <row r="40351">
          <cell r="L40351" t="str">
            <v>Non-proportional</v>
          </cell>
          <cell r="S40351">
            <v>-12414.54</v>
          </cell>
          <cell r="X40351" t="str">
            <v>Variation UPR - gross</v>
          </cell>
          <cell r="Y40351" t="str">
            <v>CHILE</v>
          </cell>
        </row>
        <row r="40352">
          <cell r="L40352" t="str">
            <v>Non-proportional</v>
          </cell>
          <cell r="S40352">
            <v>89508.15</v>
          </cell>
          <cell r="X40352" t="str">
            <v>Variation UPR - gross</v>
          </cell>
          <cell r="Y40352" t="str">
            <v>AUSTRALIA</v>
          </cell>
        </row>
        <row r="40353">
          <cell r="L40353" t="str">
            <v>Non-proportional</v>
          </cell>
          <cell r="S40353">
            <v>-10909.08</v>
          </cell>
          <cell r="X40353" t="str">
            <v>Variation UPR - gross</v>
          </cell>
          <cell r="Y40353" t="str">
            <v>ITALY</v>
          </cell>
        </row>
        <row r="40354">
          <cell r="L40354" t="str">
            <v>Non-proportional</v>
          </cell>
          <cell r="S40354">
            <v>217665.85</v>
          </cell>
          <cell r="X40354" t="str">
            <v>Variation UPR - gross</v>
          </cell>
          <cell r="Y40354" t="str">
            <v>CHILE</v>
          </cell>
        </row>
        <row r="40355">
          <cell r="L40355" t="str">
            <v>Proportional</v>
          </cell>
          <cell r="S40355">
            <v>-1708</v>
          </cell>
          <cell r="X40355" t="str">
            <v>Variation UPR - gross</v>
          </cell>
          <cell r="Y40355" t="str">
            <v>SAUDI ARABIA</v>
          </cell>
        </row>
        <row r="40356">
          <cell r="L40356" t="str">
            <v>Non-proportional</v>
          </cell>
          <cell r="S40356">
            <v>-2187.56</v>
          </cell>
          <cell r="X40356" t="str">
            <v>Variation UPR - gross</v>
          </cell>
          <cell r="Y40356" t="str">
            <v>SPAIN</v>
          </cell>
        </row>
        <row r="40357">
          <cell r="L40357" t="str">
            <v>Non-proportional</v>
          </cell>
          <cell r="S40357">
            <v>133629.82999999999</v>
          </cell>
          <cell r="X40357" t="str">
            <v>Variation UPR - gross</v>
          </cell>
          <cell r="Y40357" t="str">
            <v>MEXICO</v>
          </cell>
        </row>
        <row r="40358">
          <cell r="L40358" t="str">
            <v>Non-proportional</v>
          </cell>
          <cell r="S40358">
            <v>-1001.65</v>
          </cell>
          <cell r="X40358" t="str">
            <v>Variation UPR - gross</v>
          </cell>
          <cell r="Y40358" t="str">
            <v>JAPAN</v>
          </cell>
        </row>
        <row r="40359">
          <cell r="L40359" t="str">
            <v>Non-proportional</v>
          </cell>
          <cell r="S40359">
            <v>-3434.57</v>
          </cell>
          <cell r="X40359" t="str">
            <v>Variation UPR - gross</v>
          </cell>
          <cell r="Y40359" t="str">
            <v>CHILE</v>
          </cell>
        </row>
        <row r="40360">
          <cell r="L40360" t="str">
            <v>Non-proportional</v>
          </cell>
          <cell r="S40360">
            <v>17027.88</v>
          </cell>
          <cell r="X40360" t="str">
            <v>Variation UPR - gross</v>
          </cell>
          <cell r="Y40360" t="str">
            <v>AUSTRALIA</v>
          </cell>
        </row>
        <row r="40361">
          <cell r="L40361" t="str">
            <v>Non-proportional</v>
          </cell>
          <cell r="S40361">
            <v>-9494.89</v>
          </cell>
          <cell r="X40361" t="str">
            <v>Variation UPR - gross</v>
          </cell>
          <cell r="Y40361" t="str">
            <v>CHINA</v>
          </cell>
        </row>
        <row r="40362">
          <cell r="L40362" t="str">
            <v>Non-proportional</v>
          </cell>
          <cell r="S40362">
            <v>-159657.76</v>
          </cell>
          <cell r="X40362" t="str">
            <v>Variation UPR - gross</v>
          </cell>
          <cell r="Y40362" t="str">
            <v>UNITED KINGDOM</v>
          </cell>
        </row>
        <row r="40363">
          <cell r="L40363" t="str">
            <v>Non-proportional</v>
          </cell>
          <cell r="S40363">
            <v>-491750.46</v>
          </cell>
          <cell r="X40363" t="str">
            <v>Variation UPR - gross</v>
          </cell>
          <cell r="Y40363" t="str">
            <v>UNITED KINGDOM</v>
          </cell>
        </row>
        <row r="40364">
          <cell r="L40364" t="str">
            <v>Non-proportional</v>
          </cell>
          <cell r="S40364">
            <v>-9063.5</v>
          </cell>
          <cell r="X40364" t="str">
            <v>Variation UPR - gross</v>
          </cell>
          <cell r="Y40364" t="str">
            <v>ISRAEL</v>
          </cell>
        </row>
        <row r="40365">
          <cell r="L40365" t="str">
            <v>Non-proportional</v>
          </cell>
          <cell r="S40365">
            <v>949.34</v>
          </cell>
          <cell r="X40365" t="str">
            <v>Variation UPR - gross</v>
          </cell>
          <cell r="Y40365" t="str">
            <v>JAPAN</v>
          </cell>
        </row>
        <row r="40366">
          <cell r="L40366" t="str">
            <v>Non-proportional</v>
          </cell>
          <cell r="S40366">
            <v>-4890.08</v>
          </cell>
          <cell r="X40366" t="str">
            <v>Variation UPR - gross</v>
          </cell>
          <cell r="Y40366" t="str">
            <v>FRANCE</v>
          </cell>
        </row>
        <row r="40367">
          <cell r="L40367" t="str">
            <v>Non-proportional</v>
          </cell>
          <cell r="S40367">
            <v>-30.43</v>
          </cell>
          <cell r="X40367" t="str">
            <v>Variation UPR - gross</v>
          </cell>
          <cell r="Y40367" t="str">
            <v>ISRAEL</v>
          </cell>
        </row>
        <row r="40368">
          <cell r="L40368" t="str">
            <v>Non-proportional</v>
          </cell>
          <cell r="S40368">
            <v>-3281.25</v>
          </cell>
          <cell r="X40368" t="str">
            <v>Variation UPR - gross</v>
          </cell>
          <cell r="Y40368" t="str">
            <v>ITALY</v>
          </cell>
        </row>
        <row r="40369">
          <cell r="L40369" t="str">
            <v>Non-proportional</v>
          </cell>
          <cell r="S40369">
            <v>-4770.41</v>
          </cell>
          <cell r="X40369" t="str">
            <v>Variation UPR - gross</v>
          </cell>
          <cell r="Y40369" t="str">
            <v>PERU</v>
          </cell>
        </row>
        <row r="40370">
          <cell r="L40370" t="str">
            <v>Non-proportional</v>
          </cell>
          <cell r="S40370">
            <v>6732.86</v>
          </cell>
          <cell r="X40370" t="str">
            <v>Variation UPR - gross</v>
          </cell>
          <cell r="Y40370" t="str">
            <v>DOMINICAN REPUBLIC</v>
          </cell>
        </row>
        <row r="40371">
          <cell r="L40371" t="str">
            <v>Non-proportional</v>
          </cell>
          <cell r="S40371">
            <v>-8853.24</v>
          </cell>
          <cell r="X40371" t="str">
            <v>Variation UPR - gross</v>
          </cell>
          <cell r="Y40371" t="str">
            <v>PUERTO RICO</v>
          </cell>
        </row>
        <row r="40372">
          <cell r="L40372" t="str">
            <v>Non-proportional</v>
          </cell>
          <cell r="S40372">
            <v>12.9</v>
          </cell>
          <cell r="X40372" t="str">
            <v>Variation UPR - gross</v>
          </cell>
          <cell r="Y40372" t="str">
            <v>GUATEMALA</v>
          </cell>
        </row>
        <row r="40373">
          <cell r="L40373" t="str">
            <v>Non-proportional</v>
          </cell>
          <cell r="S40373">
            <v>-5312.78</v>
          </cell>
          <cell r="X40373" t="str">
            <v>Variation UPR - gross</v>
          </cell>
          <cell r="Y40373" t="str">
            <v>NETHERLANDS</v>
          </cell>
        </row>
        <row r="40374">
          <cell r="L40374" t="str">
            <v>Non-proportional</v>
          </cell>
          <cell r="S40374">
            <v>-2179.7800000000002</v>
          </cell>
          <cell r="X40374" t="str">
            <v>Variation UPR - gross</v>
          </cell>
          <cell r="Y40374" t="str">
            <v>FRANCE</v>
          </cell>
        </row>
        <row r="40375">
          <cell r="L40375" t="str">
            <v>Non-proportional</v>
          </cell>
          <cell r="S40375">
            <v>-728.75</v>
          </cell>
          <cell r="X40375" t="str">
            <v>Variation UPR - gross</v>
          </cell>
          <cell r="Y40375" t="str">
            <v>ITALY</v>
          </cell>
        </row>
        <row r="40376">
          <cell r="L40376" t="str">
            <v>Non-proportional</v>
          </cell>
          <cell r="S40376">
            <v>-214.66</v>
          </cell>
          <cell r="X40376" t="str">
            <v>Variation UPR - gross</v>
          </cell>
          <cell r="Y40376" t="str">
            <v>CHILE</v>
          </cell>
        </row>
        <row r="40377">
          <cell r="L40377" t="str">
            <v>Non-proportional</v>
          </cell>
          <cell r="S40377">
            <v>-1841</v>
          </cell>
          <cell r="X40377" t="str">
            <v>Variation UPR - gross</v>
          </cell>
          <cell r="Y40377" t="str">
            <v>UNITED KINGDOM</v>
          </cell>
        </row>
        <row r="40378">
          <cell r="L40378" t="str">
            <v>Non-proportional</v>
          </cell>
          <cell r="S40378">
            <v>-1733.75</v>
          </cell>
          <cell r="X40378" t="str">
            <v>Variation UPR - gross</v>
          </cell>
          <cell r="Y40378" t="str">
            <v>PORTUGAL</v>
          </cell>
        </row>
        <row r="40379">
          <cell r="L40379" t="str">
            <v>Non-proportional</v>
          </cell>
          <cell r="S40379">
            <v>-3593.75</v>
          </cell>
          <cell r="X40379" t="str">
            <v>Variation UPR - gross</v>
          </cell>
          <cell r="Y40379" t="str">
            <v>GREECE</v>
          </cell>
        </row>
        <row r="40380">
          <cell r="L40380" t="str">
            <v>Non-proportional</v>
          </cell>
          <cell r="S40380">
            <v>37181.589999999997</v>
          </cell>
          <cell r="X40380" t="str">
            <v>Variation UPR - gross</v>
          </cell>
          <cell r="Y40380" t="str">
            <v>DOMINICAN REPUBLIC</v>
          </cell>
        </row>
        <row r="40381">
          <cell r="L40381" t="str">
            <v>Non-proportional</v>
          </cell>
          <cell r="S40381">
            <v>-190.01</v>
          </cell>
          <cell r="X40381" t="str">
            <v>Variation UPR - gross</v>
          </cell>
          <cell r="Y40381" t="str">
            <v>TURKEY</v>
          </cell>
        </row>
        <row r="40382">
          <cell r="L40382" t="str">
            <v>Non-proportional</v>
          </cell>
          <cell r="S40382">
            <v>-5851.33</v>
          </cell>
          <cell r="X40382" t="str">
            <v>Variation UPR - gross</v>
          </cell>
          <cell r="Y40382" t="str">
            <v>ITALY</v>
          </cell>
        </row>
        <row r="40383">
          <cell r="L40383" t="str">
            <v>Non-proportional</v>
          </cell>
          <cell r="S40383">
            <v>-5380.43</v>
          </cell>
          <cell r="X40383" t="str">
            <v>Variation UPR - gross</v>
          </cell>
          <cell r="Y40383" t="str">
            <v>COLOMBIA</v>
          </cell>
        </row>
        <row r="40384">
          <cell r="L40384" t="str">
            <v>Non-proportional</v>
          </cell>
          <cell r="S40384">
            <v>-3483.15</v>
          </cell>
          <cell r="X40384" t="str">
            <v>Variation UPR - gross</v>
          </cell>
          <cell r="Y40384" t="str">
            <v>ISRAEL</v>
          </cell>
        </row>
        <row r="40385">
          <cell r="L40385" t="str">
            <v>Non-proportional</v>
          </cell>
          <cell r="S40385">
            <v>-14091.22</v>
          </cell>
          <cell r="X40385" t="str">
            <v>Variation UPR - gross</v>
          </cell>
          <cell r="Y40385" t="str">
            <v>UNITED KINGDOM</v>
          </cell>
        </row>
        <row r="40386">
          <cell r="L40386" t="str">
            <v>Non-proportional</v>
          </cell>
          <cell r="S40386">
            <v>-2871.92</v>
          </cell>
          <cell r="X40386" t="str">
            <v>Variation UPR - gross</v>
          </cell>
          <cell r="Y40386" t="str">
            <v>JAPAN</v>
          </cell>
        </row>
        <row r="40387">
          <cell r="L40387" t="str">
            <v>Proportional</v>
          </cell>
          <cell r="S40387">
            <v>-223.81</v>
          </cell>
          <cell r="X40387" t="str">
            <v>Variation UPR - gross</v>
          </cell>
          <cell r="Y40387" t="str">
            <v>THAILAND</v>
          </cell>
        </row>
        <row r="40388">
          <cell r="L40388" t="str">
            <v>Non-proportional</v>
          </cell>
          <cell r="S40388">
            <v>-2868.31</v>
          </cell>
          <cell r="X40388" t="str">
            <v>Variation UPR - gross</v>
          </cell>
          <cell r="Y40388" t="str">
            <v>ISRAEL</v>
          </cell>
        </row>
        <row r="40389">
          <cell r="L40389" t="str">
            <v>Non-proportional</v>
          </cell>
          <cell r="S40389">
            <v>-0.06</v>
          </cell>
          <cell r="X40389" t="str">
            <v>Variation UPR - gross</v>
          </cell>
          <cell r="Y40389" t="str">
            <v>COLOMBIA</v>
          </cell>
        </row>
        <row r="40390">
          <cell r="L40390" t="str">
            <v>Non-proportional</v>
          </cell>
          <cell r="S40390">
            <v>-772.88</v>
          </cell>
          <cell r="X40390" t="str">
            <v>Variation UPR - gross</v>
          </cell>
          <cell r="Y40390" t="str">
            <v>REPUBLIC OF IRELAND</v>
          </cell>
        </row>
        <row r="40391">
          <cell r="L40391" t="str">
            <v>Non-proportional</v>
          </cell>
          <cell r="S40391">
            <v>-2217.25</v>
          </cell>
          <cell r="X40391" t="str">
            <v>Variation UPR - gross</v>
          </cell>
          <cell r="Y40391" t="str">
            <v>THAILAND</v>
          </cell>
        </row>
        <row r="40392">
          <cell r="L40392" t="str">
            <v>Non-proportional</v>
          </cell>
          <cell r="S40392">
            <v>-13073.04</v>
          </cell>
          <cell r="X40392" t="str">
            <v>Variation UPR - gross</v>
          </cell>
          <cell r="Y40392" t="str">
            <v>FRANCE</v>
          </cell>
        </row>
        <row r="40393">
          <cell r="L40393" t="str">
            <v>Non-proportional</v>
          </cell>
          <cell r="S40393">
            <v>-45163.35</v>
          </cell>
          <cell r="X40393" t="str">
            <v>Variation UPR - gross</v>
          </cell>
          <cell r="Y40393" t="str">
            <v>UNITED KINGDOM</v>
          </cell>
        </row>
        <row r="40394">
          <cell r="L40394" t="str">
            <v>Non-proportional</v>
          </cell>
          <cell r="S40394">
            <v>84890.25</v>
          </cell>
          <cell r="X40394" t="str">
            <v>Variation UPR - gross</v>
          </cell>
          <cell r="Y40394" t="str">
            <v>COLOMBIA</v>
          </cell>
        </row>
        <row r="40395">
          <cell r="L40395" t="str">
            <v>Non-proportional</v>
          </cell>
          <cell r="S40395">
            <v>110.45</v>
          </cell>
          <cell r="X40395" t="str">
            <v>Variation UPR - gross</v>
          </cell>
          <cell r="Y40395" t="str">
            <v>JAPAN</v>
          </cell>
        </row>
        <row r="40396">
          <cell r="L40396" t="str">
            <v>Non-proportional</v>
          </cell>
          <cell r="S40396">
            <v>-11933.03</v>
          </cell>
          <cell r="X40396" t="str">
            <v>Variation UPR - gross</v>
          </cell>
          <cell r="Y40396" t="str">
            <v>PERU</v>
          </cell>
        </row>
        <row r="40397">
          <cell r="L40397" t="str">
            <v>Non-proportional</v>
          </cell>
          <cell r="S40397">
            <v>-12659.61</v>
          </cell>
          <cell r="X40397" t="str">
            <v>Variation UPR - gross</v>
          </cell>
          <cell r="Y40397" t="str">
            <v>ITALY</v>
          </cell>
        </row>
        <row r="40398">
          <cell r="L40398" t="str">
            <v>Non-proportional</v>
          </cell>
          <cell r="S40398">
            <v>-30345.99</v>
          </cell>
          <cell r="X40398" t="str">
            <v>Variation UPR - gross</v>
          </cell>
          <cell r="Y40398" t="str">
            <v>FRANCE</v>
          </cell>
        </row>
        <row r="40399">
          <cell r="L40399" t="str">
            <v>Non-proportional</v>
          </cell>
          <cell r="S40399">
            <v>75474.59</v>
          </cell>
          <cell r="X40399" t="str">
            <v>Variation UPR - gross</v>
          </cell>
          <cell r="Y40399" t="str">
            <v>AUSTRALIA</v>
          </cell>
        </row>
        <row r="40400">
          <cell r="L40400" t="str">
            <v>Non-proportional</v>
          </cell>
          <cell r="S40400">
            <v>-5596.76</v>
          </cell>
          <cell r="X40400" t="str">
            <v>Variation UPR - gross</v>
          </cell>
          <cell r="Y40400" t="str">
            <v>INDIA</v>
          </cell>
        </row>
        <row r="40401">
          <cell r="L40401" t="str">
            <v>Non-proportional</v>
          </cell>
          <cell r="S40401">
            <v>-3233.65</v>
          </cell>
          <cell r="X40401" t="str">
            <v>Variation UPR - gross</v>
          </cell>
          <cell r="Y40401" t="str">
            <v>ECUADOR</v>
          </cell>
        </row>
        <row r="40402">
          <cell r="L40402" t="str">
            <v>Non-proportional</v>
          </cell>
          <cell r="S40402">
            <v>-1458.33</v>
          </cell>
          <cell r="X40402" t="str">
            <v>Variation UPR - gross</v>
          </cell>
          <cell r="Y40402" t="str">
            <v>ITALY</v>
          </cell>
        </row>
        <row r="40403">
          <cell r="L40403" t="str">
            <v>Non-proportional</v>
          </cell>
          <cell r="S40403">
            <v>-4865.6400000000003</v>
          </cell>
          <cell r="X40403" t="str">
            <v>Variation UPR - gross</v>
          </cell>
          <cell r="Y40403" t="str">
            <v>CHILE</v>
          </cell>
        </row>
        <row r="40404">
          <cell r="L40404" t="str">
            <v>Non-proportional</v>
          </cell>
          <cell r="S40404">
            <v>-938.9</v>
          </cell>
          <cell r="X40404" t="str">
            <v>Variation UPR - gross</v>
          </cell>
          <cell r="Y40404" t="str">
            <v>JAPAN</v>
          </cell>
        </row>
        <row r="40405">
          <cell r="L40405" t="str">
            <v>Proportional</v>
          </cell>
          <cell r="S40405">
            <v>-51778.09</v>
          </cell>
          <cell r="X40405" t="str">
            <v>Variation UPR - gross</v>
          </cell>
          <cell r="Y40405" t="str">
            <v>PORTUGAL</v>
          </cell>
        </row>
        <row r="40406">
          <cell r="L40406" t="str">
            <v>Non-proportional</v>
          </cell>
          <cell r="S40406">
            <v>-3325.93</v>
          </cell>
          <cell r="X40406" t="str">
            <v>Variation UPR - gross</v>
          </cell>
          <cell r="Y40406" t="str">
            <v>ISRAEL</v>
          </cell>
        </row>
        <row r="40407">
          <cell r="L40407" t="str">
            <v>Non-proportional</v>
          </cell>
          <cell r="S40407">
            <v>-89938.33</v>
          </cell>
          <cell r="X40407" t="str">
            <v>Variation UPR - gross</v>
          </cell>
          <cell r="Y40407" t="str">
            <v>PORTUGAL</v>
          </cell>
        </row>
        <row r="40408">
          <cell r="L40408" t="str">
            <v>Non-proportional</v>
          </cell>
          <cell r="S40408">
            <v>8872.64</v>
          </cell>
          <cell r="X40408" t="str">
            <v>Variation UPR - gross</v>
          </cell>
          <cell r="Y40408" t="str">
            <v>CHILE</v>
          </cell>
        </row>
        <row r="40409">
          <cell r="L40409" t="str">
            <v>Non-proportional</v>
          </cell>
          <cell r="S40409">
            <v>-962.47</v>
          </cell>
          <cell r="X40409" t="str">
            <v>Variation UPR - gross</v>
          </cell>
          <cell r="Y40409" t="str">
            <v>COLOMBIA</v>
          </cell>
        </row>
        <row r="40410">
          <cell r="L40410" t="str">
            <v>Non-proportional</v>
          </cell>
          <cell r="S40410">
            <v>54950.23</v>
          </cell>
          <cell r="X40410" t="str">
            <v>Variation UPR - gross</v>
          </cell>
          <cell r="Y40410" t="str">
            <v>COLOMBIA</v>
          </cell>
        </row>
        <row r="40411">
          <cell r="L40411" t="str">
            <v>Non-proportional</v>
          </cell>
          <cell r="S40411">
            <v>-0.02</v>
          </cell>
          <cell r="X40411" t="str">
            <v>Variation UPR - gross</v>
          </cell>
          <cell r="Y40411" t="str">
            <v>DOMINICAN REPUBLIC</v>
          </cell>
        </row>
        <row r="40412">
          <cell r="L40412" t="str">
            <v>Non-proportional</v>
          </cell>
          <cell r="S40412">
            <v>0.02</v>
          </cell>
          <cell r="X40412" t="str">
            <v>Variation UPR - gross</v>
          </cell>
          <cell r="Y40412" t="str">
            <v>INDIA</v>
          </cell>
        </row>
        <row r="40413">
          <cell r="L40413" t="str">
            <v>Non-proportional</v>
          </cell>
          <cell r="S40413">
            <v>-3143.33</v>
          </cell>
          <cell r="X40413" t="str">
            <v>Variation UPR - gross</v>
          </cell>
          <cell r="Y40413" t="str">
            <v>GERMANY</v>
          </cell>
        </row>
        <row r="40414">
          <cell r="L40414" t="str">
            <v>Non-proportional</v>
          </cell>
          <cell r="S40414">
            <v>-9832.7800000000007</v>
          </cell>
          <cell r="X40414" t="str">
            <v>Variation UPR - gross</v>
          </cell>
          <cell r="Y40414" t="str">
            <v>FRANCE</v>
          </cell>
        </row>
        <row r="40415">
          <cell r="L40415" t="str">
            <v>Non-proportional</v>
          </cell>
          <cell r="S40415">
            <v>0.03</v>
          </cell>
          <cell r="X40415" t="str">
            <v>Variation UPR - gross</v>
          </cell>
          <cell r="Y40415" t="str">
            <v>INDIA</v>
          </cell>
        </row>
        <row r="40416">
          <cell r="L40416" t="str">
            <v>Proportional</v>
          </cell>
          <cell r="S40416">
            <v>24650.19</v>
          </cell>
          <cell r="X40416" t="str">
            <v>Variation UPR - gross</v>
          </cell>
          <cell r="Y40416" t="str">
            <v>CHILE</v>
          </cell>
        </row>
        <row r="40417">
          <cell r="L40417" t="str">
            <v>Proportional</v>
          </cell>
          <cell r="S40417">
            <v>163.57</v>
          </cell>
          <cell r="X40417" t="str">
            <v>Variation UPR - gross</v>
          </cell>
          <cell r="Y40417" t="str">
            <v>INDIA</v>
          </cell>
        </row>
        <row r="40418">
          <cell r="L40418" t="str">
            <v>Non-proportional</v>
          </cell>
          <cell r="S40418">
            <v>-8855</v>
          </cell>
          <cell r="X40418" t="str">
            <v>Variation UPR - gross</v>
          </cell>
          <cell r="Y40418" t="str">
            <v>GERMANY</v>
          </cell>
        </row>
        <row r="40419">
          <cell r="L40419" t="str">
            <v>Non-proportional</v>
          </cell>
          <cell r="S40419">
            <v>-286.20999999999998</v>
          </cell>
          <cell r="X40419" t="str">
            <v>Variation UPR - gross</v>
          </cell>
          <cell r="Y40419" t="str">
            <v>CHILE</v>
          </cell>
        </row>
        <row r="40420">
          <cell r="L40420" t="str">
            <v>Non-proportional</v>
          </cell>
          <cell r="S40420">
            <v>7741.25</v>
          </cell>
          <cell r="X40420" t="str">
            <v>Variation UPR - gross</v>
          </cell>
          <cell r="Y40420" t="str">
            <v>AUSTRALIA</v>
          </cell>
        </row>
        <row r="40421">
          <cell r="L40421" t="str">
            <v>Non-proportional</v>
          </cell>
          <cell r="S40421">
            <v>56776.51</v>
          </cell>
          <cell r="X40421" t="str">
            <v>Variation UPR - gross</v>
          </cell>
          <cell r="Y40421" t="str">
            <v>BELIZE</v>
          </cell>
        </row>
        <row r="40422">
          <cell r="L40422" t="str">
            <v>Non-proportional</v>
          </cell>
          <cell r="S40422">
            <v>-11731.6</v>
          </cell>
          <cell r="X40422" t="str">
            <v>Variation UPR - gross</v>
          </cell>
          <cell r="Y40422" t="str">
            <v>UNITED KINGDOM</v>
          </cell>
        </row>
        <row r="40423">
          <cell r="L40423" t="str">
            <v>Non-proportional</v>
          </cell>
          <cell r="S40423">
            <v>-1105.96</v>
          </cell>
          <cell r="X40423" t="str">
            <v>Variation UPR - gross</v>
          </cell>
          <cell r="Y40423" t="str">
            <v>COSTA RICA</v>
          </cell>
        </row>
        <row r="40424">
          <cell r="L40424" t="str">
            <v>Non-proportional</v>
          </cell>
          <cell r="S40424">
            <v>-1415.93</v>
          </cell>
          <cell r="X40424" t="str">
            <v>Variation UPR - gross</v>
          </cell>
          <cell r="Y40424" t="str">
            <v>FRANCE</v>
          </cell>
        </row>
        <row r="40425">
          <cell r="L40425" t="str">
            <v>Non-proportional</v>
          </cell>
          <cell r="S40425">
            <v>-1294.8800000000001</v>
          </cell>
          <cell r="X40425" t="str">
            <v>Variation UPR - gross</v>
          </cell>
          <cell r="Y40425" t="str">
            <v>COLOMBIA</v>
          </cell>
        </row>
        <row r="40426">
          <cell r="L40426" t="str">
            <v>Non-proportional</v>
          </cell>
          <cell r="S40426">
            <v>-109675.48</v>
          </cell>
          <cell r="X40426" t="str">
            <v>Variation UPR - gross</v>
          </cell>
          <cell r="Y40426" t="str">
            <v>EUROPE</v>
          </cell>
        </row>
        <row r="40427">
          <cell r="L40427" t="str">
            <v>Proportional</v>
          </cell>
          <cell r="S40427">
            <v>-280.24</v>
          </cell>
          <cell r="X40427" t="str">
            <v>Variation UPR - gross</v>
          </cell>
          <cell r="Y40427" t="str">
            <v>THAILAND</v>
          </cell>
        </row>
        <row r="40428">
          <cell r="L40428" t="str">
            <v>Proportional</v>
          </cell>
          <cell r="S40428">
            <v>2790.59</v>
          </cell>
          <cell r="X40428" t="str">
            <v>Variation UPR - gross</v>
          </cell>
          <cell r="Y40428" t="str">
            <v>CHILE</v>
          </cell>
        </row>
        <row r="40429">
          <cell r="L40429" t="str">
            <v>Non-proportional</v>
          </cell>
          <cell r="S40429">
            <v>72.58</v>
          </cell>
          <cell r="X40429" t="str">
            <v>Variation UPR - gross</v>
          </cell>
          <cell r="Y40429" t="str">
            <v>NEW ZEALAND</v>
          </cell>
        </row>
        <row r="40430">
          <cell r="L40430" t="str">
            <v>Non-proportional</v>
          </cell>
          <cell r="S40430">
            <v>-35.78</v>
          </cell>
          <cell r="X40430" t="str">
            <v>Variation UPR - gross</v>
          </cell>
          <cell r="Y40430" t="str">
            <v>CHILE</v>
          </cell>
        </row>
        <row r="40431">
          <cell r="L40431" t="str">
            <v>Non-proportional</v>
          </cell>
          <cell r="S40431">
            <v>0.05</v>
          </cell>
          <cell r="X40431" t="str">
            <v>Variation UPR - gross</v>
          </cell>
          <cell r="Y40431" t="str">
            <v>INDIA</v>
          </cell>
        </row>
        <row r="40432">
          <cell r="L40432" t="str">
            <v>Non-proportional</v>
          </cell>
          <cell r="S40432">
            <v>-9985.8700000000008</v>
          </cell>
          <cell r="X40432" t="str">
            <v>Variation UPR - gross</v>
          </cell>
          <cell r="Y40432" t="str">
            <v>FRANCE</v>
          </cell>
        </row>
        <row r="40433">
          <cell r="L40433" t="str">
            <v>Non-proportional</v>
          </cell>
          <cell r="S40433">
            <v>260.56</v>
          </cell>
          <cell r="X40433" t="str">
            <v>Variation UPR - gross</v>
          </cell>
          <cell r="Y40433" t="str">
            <v>COLOMBIA</v>
          </cell>
        </row>
        <row r="40434">
          <cell r="L40434" t="str">
            <v>Non-proportional</v>
          </cell>
          <cell r="S40434">
            <v>-38026.75</v>
          </cell>
          <cell r="X40434" t="str">
            <v>Variation UPR - gross</v>
          </cell>
          <cell r="Y40434" t="str">
            <v>FRANCE</v>
          </cell>
        </row>
        <row r="40435">
          <cell r="L40435" t="str">
            <v>Non-proportional</v>
          </cell>
          <cell r="S40435">
            <v>-370.23</v>
          </cell>
          <cell r="X40435" t="str">
            <v>Variation UPR - gross</v>
          </cell>
          <cell r="Y40435" t="str">
            <v>INDIA</v>
          </cell>
        </row>
        <row r="40436">
          <cell r="L40436" t="str">
            <v>Non-proportional</v>
          </cell>
          <cell r="S40436">
            <v>-712.97</v>
          </cell>
          <cell r="X40436" t="str">
            <v>Variation UPR - gross</v>
          </cell>
          <cell r="Y40436" t="str">
            <v>ECUADOR</v>
          </cell>
        </row>
        <row r="40437">
          <cell r="L40437" t="str">
            <v>Non-proportional</v>
          </cell>
          <cell r="S40437">
            <v>-736.79</v>
          </cell>
          <cell r="X40437" t="str">
            <v>Variation UPR - gross</v>
          </cell>
          <cell r="Y40437" t="str">
            <v>ISRAEL</v>
          </cell>
        </row>
        <row r="40438">
          <cell r="L40438" t="str">
            <v>Non-proportional</v>
          </cell>
          <cell r="S40438">
            <v>69.010000000000005</v>
          </cell>
          <cell r="X40438" t="str">
            <v>Variation UPR - gross</v>
          </cell>
          <cell r="Y40438" t="str">
            <v>JAPAN</v>
          </cell>
        </row>
        <row r="40439">
          <cell r="L40439" t="str">
            <v>Non-proportional</v>
          </cell>
          <cell r="S40439">
            <v>-898.87</v>
          </cell>
          <cell r="X40439" t="str">
            <v>Variation UPR - gross</v>
          </cell>
          <cell r="Y40439" t="str">
            <v>FRANCE</v>
          </cell>
        </row>
        <row r="40440">
          <cell r="L40440" t="str">
            <v>Non-proportional</v>
          </cell>
          <cell r="S40440">
            <v>58061.09</v>
          </cell>
          <cell r="X40440" t="str">
            <v>Variation UPR - gross</v>
          </cell>
          <cell r="Y40440" t="str">
            <v>AUSTRALIA</v>
          </cell>
        </row>
        <row r="40441">
          <cell r="L40441" t="str">
            <v>Non-proportional</v>
          </cell>
          <cell r="S40441">
            <v>-15.85</v>
          </cell>
          <cell r="X40441" t="str">
            <v>Variation UPR - gross</v>
          </cell>
          <cell r="Y40441" t="str">
            <v>ISRAEL</v>
          </cell>
        </row>
        <row r="40442">
          <cell r="L40442" t="str">
            <v>Non-proportional</v>
          </cell>
          <cell r="S40442">
            <v>-10596.12</v>
          </cell>
          <cell r="X40442" t="str">
            <v>Variation UPR - gross</v>
          </cell>
          <cell r="Y40442" t="str">
            <v>FRANCE</v>
          </cell>
        </row>
        <row r="40443">
          <cell r="L40443" t="str">
            <v>Non-proportional</v>
          </cell>
          <cell r="S40443">
            <v>24.45</v>
          </cell>
          <cell r="X40443" t="str">
            <v>Variation UPR - gross</v>
          </cell>
          <cell r="Y40443" t="str">
            <v>JAPAN</v>
          </cell>
        </row>
        <row r="40444">
          <cell r="L40444" t="str">
            <v>Non-proportional</v>
          </cell>
          <cell r="S40444">
            <v>-2228.63</v>
          </cell>
          <cell r="X40444" t="str">
            <v>Variation UPR - gross</v>
          </cell>
          <cell r="Y40444" t="str">
            <v>CHINA</v>
          </cell>
        </row>
        <row r="40445">
          <cell r="L40445" t="str">
            <v>Non-proportional</v>
          </cell>
          <cell r="S40445">
            <v>2883.06</v>
          </cell>
          <cell r="X40445" t="str">
            <v>Variation UPR - gross</v>
          </cell>
          <cell r="Y40445" t="str">
            <v>ECUADOR</v>
          </cell>
        </row>
        <row r="40446">
          <cell r="L40446" t="str">
            <v>Proportional</v>
          </cell>
          <cell r="S40446">
            <v>3053.26</v>
          </cell>
          <cell r="X40446" t="str">
            <v>Variation UPR - gross</v>
          </cell>
          <cell r="Y40446" t="str">
            <v>INDIA</v>
          </cell>
        </row>
        <row r="40447">
          <cell r="L40447" t="str">
            <v>Non-proportional</v>
          </cell>
          <cell r="S40447">
            <v>-353.33</v>
          </cell>
          <cell r="X40447" t="str">
            <v>Variation UPR - gross</v>
          </cell>
          <cell r="Y40447" t="str">
            <v>ITALY</v>
          </cell>
        </row>
        <row r="40448">
          <cell r="L40448" t="str">
            <v>Non-proportional</v>
          </cell>
          <cell r="S40448">
            <v>-1967.72</v>
          </cell>
          <cell r="X40448" t="str">
            <v>Variation UPR - gross</v>
          </cell>
          <cell r="Y40448" t="str">
            <v>CHILE</v>
          </cell>
        </row>
        <row r="40449">
          <cell r="L40449" t="str">
            <v>Non-proportional</v>
          </cell>
          <cell r="S40449">
            <v>-6086.35</v>
          </cell>
          <cell r="X40449" t="str">
            <v>Variation UPR - gross</v>
          </cell>
          <cell r="Y40449" t="str">
            <v>ITALY</v>
          </cell>
        </row>
        <row r="40450">
          <cell r="L40450" t="str">
            <v>Non-proportional</v>
          </cell>
          <cell r="S40450">
            <v>-2850.67</v>
          </cell>
          <cell r="X40450" t="str">
            <v>Variation UPR - gross</v>
          </cell>
          <cell r="Y40450" t="str">
            <v>JAPAN</v>
          </cell>
        </row>
        <row r="40451">
          <cell r="L40451" t="str">
            <v>Non-proportional</v>
          </cell>
          <cell r="S40451">
            <v>-8020.48</v>
          </cell>
          <cell r="X40451" t="str">
            <v>Variation UPR - gross</v>
          </cell>
          <cell r="Y40451" t="str">
            <v>TURKEY</v>
          </cell>
        </row>
        <row r="40452">
          <cell r="L40452" t="str">
            <v>Proportional</v>
          </cell>
          <cell r="S40452">
            <v>-9945.94</v>
          </cell>
          <cell r="X40452" t="str">
            <v>Variation UPR - gross</v>
          </cell>
          <cell r="Y40452" t="str">
            <v>CHILE</v>
          </cell>
        </row>
        <row r="40453">
          <cell r="L40453" t="str">
            <v>Non-proportional</v>
          </cell>
          <cell r="S40453">
            <v>9.2899999999999991</v>
          </cell>
          <cell r="X40453" t="str">
            <v>Variation UPR - gross</v>
          </cell>
          <cell r="Y40453" t="str">
            <v>NEW ZEALAND</v>
          </cell>
        </row>
        <row r="40454">
          <cell r="L40454" t="str">
            <v>Non-proportional</v>
          </cell>
          <cell r="S40454">
            <v>43.77</v>
          </cell>
          <cell r="X40454" t="str">
            <v>Variation UPR - gross</v>
          </cell>
          <cell r="Y40454" t="str">
            <v>UNITED KINGDOM</v>
          </cell>
        </row>
        <row r="40455">
          <cell r="L40455" t="str">
            <v>Non-proportional</v>
          </cell>
          <cell r="S40455">
            <v>80.48</v>
          </cell>
          <cell r="X40455" t="str">
            <v>Variation UPR - gross</v>
          </cell>
          <cell r="Y40455" t="str">
            <v>UNITED KINGDOM</v>
          </cell>
        </row>
        <row r="40456">
          <cell r="L40456" t="str">
            <v>Non-proportional</v>
          </cell>
          <cell r="S40456">
            <v>-2029.91</v>
          </cell>
          <cell r="X40456" t="str">
            <v>Variation UPR - gross</v>
          </cell>
          <cell r="Y40456" t="str">
            <v>CYPRUS</v>
          </cell>
        </row>
        <row r="40457">
          <cell r="L40457" t="str">
            <v>Non-proportional</v>
          </cell>
          <cell r="S40457">
            <v>-6665.93</v>
          </cell>
          <cell r="X40457" t="str">
            <v>Variation UPR - gross</v>
          </cell>
          <cell r="Y40457" t="str">
            <v>NEW ZEALAND</v>
          </cell>
        </row>
        <row r="40458">
          <cell r="L40458" t="str">
            <v>Non-proportional</v>
          </cell>
          <cell r="S40458">
            <v>-46864.67</v>
          </cell>
          <cell r="X40458" t="str">
            <v>Variation UPR - gross</v>
          </cell>
          <cell r="Y40458" t="str">
            <v>FRANCE</v>
          </cell>
        </row>
        <row r="40459">
          <cell r="L40459" t="str">
            <v>Proportional</v>
          </cell>
          <cell r="S40459">
            <v>-3713.37</v>
          </cell>
          <cell r="X40459" t="str">
            <v>Variation UPR - gross</v>
          </cell>
          <cell r="Y40459" t="str">
            <v>UNITED STATES</v>
          </cell>
        </row>
        <row r="40460">
          <cell r="L40460" t="str">
            <v>Non-proportional</v>
          </cell>
          <cell r="S40460">
            <v>81.3</v>
          </cell>
          <cell r="X40460" t="str">
            <v>Variation UPR - gross</v>
          </cell>
          <cell r="Y40460" t="str">
            <v>BRAZIL</v>
          </cell>
        </row>
        <row r="40461">
          <cell r="L40461" t="str">
            <v>Non-proportional</v>
          </cell>
          <cell r="S40461">
            <v>-860</v>
          </cell>
          <cell r="X40461" t="str">
            <v>Variation UPR - gross</v>
          </cell>
          <cell r="Y40461" t="str">
            <v>GREECE</v>
          </cell>
        </row>
        <row r="40462">
          <cell r="L40462" t="str">
            <v>Non-proportional</v>
          </cell>
          <cell r="S40462">
            <v>-1735.21</v>
          </cell>
          <cell r="X40462" t="str">
            <v>Variation UPR - gross</v>
          </cell>
          <cell r="Y40462" t="str">
            <v>COSTA RICA</v>
          </cell>
        </row>
        <row r="40463">
          <cell r="L40463" t="str">
            <v>Non-proportional</v>
          </cell>
          <cell r="S40463">
            <v>-2058.5700000000002</v>
          </cell>
          <cell r="X40463" t="str">
            <v>Variation UPR - gross</v>
          </cell>
          <cell r="Y40463" t="str">
            <v>JAPAN</v>
          </cell>
        </row>
        <row r="40464">
          <cell r="L40464" t="str">
            <v>Proportional</v>
          </cell>
          <cell r="S40464">
            <v>-39.06</v>
          </cell>
          <cell r="X40464" t="str">
            <v>Variation UPR - gross</v>
          </cell>
          <cell r="Y40464" t="str">
            <v>UNITED STATES</v>
          </cell>
        </row>
        <row r="40465">
          <cell r="L40465" t="str">
            <v>Non-proportional</v>
          </cell>
          <cell r="S40465">
            <v>-0.02</v>
          </cell>
          <cell r="X40465" t="str">
            <v>Variation UPR - gross</v>
          </cell>
          <cell r="Y40465" t="str">
            <v>DOMINICAN REPUBLIC</v>
          </cell>
        </row>
        <row r="40466">
          <cell r="L40466" t="str">
            <v>Non-proportional</v>
          </cell>
          <cell r="S40466">
            <v>-71.55</v>
          </cell>
          <cell r="X40466" t="str">
            <v>Variation UPR - gross</v>
          </cell>
          <cell r="Y40466" t="str">
            <v>CHILE</v>
          </cell>
        </row>
        <row r="40467">
          <cell r="L40467" t="str">
            <v>Non-proportional</v>
          </cell>
          <cell r="S40467">
            <v>-59.46</v>
          </cell>
          <cell r="X40467" t="str">
            <v>Variation UPR - gross</v>
          </cell>
          <cell r="Y40467" t="str">
            <v>THAILAND</v>
          </cell>
        </row>
        <row r="40468">
          <cell r="L40468" t="str">
            <v>Non-proportional</v>
          </cell>
          <cell r="S40468">
            <v>8101.57</v>
          </cell>
          <cell r="X40468" t="str">
            <v>Variation UPR - gross</v>
          </cell>
          <cell r="Y40468" t="str">
            <v>ECUADOR</v>
          </cell>
        </row>
        <row r="40469">
          <cell r="L40469" t="str">
            <v>Non-proportional</v>
          </cell>
          <cell r="S40469">
            <v>-1172.3</v>
          </cell>
          <cell r="X40469" t="str">
            <v>Variation UPR - gross</v>
          </cell>
          <cell r="Y40469" t="str">
            <v>FRANCE</v>
          </cell>
        </row>
        <row r="40470">
          <cell r="L40470" t="str">
            <v>Non-proportional</v>
          </cell>
          <cell r="S40470">
            <v>-0.05</v>
          </cell>
          <cell r="X40470" t="str">
            <v>Variation UPR - gross</v>
          </cell>
          <cell r="Y40470" t="str">
            <v>THAILAND</v>
          </cell>
        </row>
        <row r="40471">
          <cell r="L40471" t="str">
            <v>Non-proportional</v>
          </cell>
          <cell r="S40471">
            <v>-9333.33</v>
          </cell>
          <cell r="X40471" t="str">
            <v>Variation UPR - gross</v>
          </cell>
          <cell r="Y40471" t="str">
            <v>PORTUGAL</v>
          </cell>
        </row>
        <row r="40472">
          <cell r="L40472" t="str">
            <v>Non-proportional</v>
          </cell>
          <cell r="S40472">
            <v>-18363.740000000002</v>
          </cell>
          <cell r="X40472" t="str">
            <v>Variation UPR - gross</v>
          </cell>
          <cell r="Y40472" t="str">
            <v>CHINA</v>
          </cell>
        </row>
        <row r="40473">
          <cell r="L40473" t="str">
            <v>Non-proportional</v>
          </cell>
          <cell r="S40473">
            <v>-7729.27</v>
          </cell>
          <cell r="X40473" t="str">
            <v>Variation UPR - gross</v>
          </cell>
          <cell r="Y40473" t="str">
            <v>PUERTO RICO</v>
          </cell>
        </row>
        <row r="40474">
          <cell r="L40474" t="str">
            <v>Non-proportional</v>
          </cell>
          <cell r="S40474">
            <v>38084.629999999997</v>
          </cell>
          <cell r="X40474" t="str">
            <v>Variation UPR - gross</v>
          </cell>
          <cell r="Y40474" t="str">
            <v>DOMINICAN REPUBLIC</v>
          </cell>
        </row>
        <row r="40475">
          <cell r="L40475" t="str">
            <v>Non-proportional</v>
          </cell>
          <cell r="S40475">
            <v>-2158.54</v>
          </cell>
          <cell r="X40475" t="str">
            <v>Variation UPR - gross</v>
          </cell>
          <cell r="Y40475" t="str">
            <v>GUATEMALA</v>
          </cell>
        </row>
        <row r="40476">
          <cell r="L40476" t="str">
            <v>Non-proportional</v>
          </cell>
          <cell r="S40476">
            <v>-6450.28</v>
          </cell>
          <cell r="X40476" t="str">
            <v>Variation UPR - gross</v>
          </cell>
          <cell r="Y40476" t="str">
            <v>ISRAEL</v>
          </cell>
        </row>
        <row r="40477">
          <cell r="L40477" t="str">
            <v>Non-proportional</v>
          </cell>
          <cell r="S40477">
            <v>38277.26</v>
          </cell>
          <cell r="X40477" t="str">
            <v>Variation UPR - gross</v>
          </cell>
          <cell r="Y40477" t="str">
            <v>DOMINICAN REPUBLIC</v>
          </cell>
        </row>
        <row r="40478">
          <cell r="L40478" t="str">
            <v>Non-proportional</v>
          </cell>
          <cell r="S40478">
            <v>-2357.5</v>
          </cell>
          <cell r="X40478" t="str">
            <v>Variation UPR - gross</v>
          </cell>
          <cell r="Y40478" t="str">
            <v>GERMANY</v>
          </cell>
        </row>
        <row r="40479">
          <cell r="L40479" t="str">
            <v>Non-proportional</v>
          </cell>
          <cell r="S40479">
            <v>44465.19</v>
          </cell>
          <cell r="X40479" t="str">
            <v>Variation UPR - gross</v>
          </cell>
          <cell r="Y40479" t="str">
            <v>UNITED KINGDOM</v>
          </cell>
        </row>
        <row r="40480">
          <cell r="L40480" t="str">
            <v>Non-proportional</v>
          </cell>
          <cell r="S40480">
            <v>-0.02</v>
          </cell>
          <cell r="X40480" t="str">
            <v>Variation UPR - gross</v>
          </cell>
          <cell r="Y40480" t="str">
            <v>DOMINICAN REPUBLIC</v>
          </cell>
        </row>
        <row r="40481">
          <cell r="L40481" t="str">
            <v>Proportional</v>
          </cell>
          <cell r="S40481">
            <v>-1112.68</v>
          </cell>
          <cell r="X40481" t="str">
            <v>Variation UPR - gross</v>
          </cell>
          <cell r="Y40481" t="str">
            <v>THAILAND</v>
          </cell>
        </row>
        <row r="40482">
          <cell r="L40482" t="str">
            <v>Non-proportional</v>
          </cell>
          <cell r="S40482">
            <v>-1062.76</v>
          </cell>
          <cell r="X40482" t="str">
            <v>Variation UPR - gross</v>
          </cell>
          <cell r="Y40482" t="str">
            <v>INDIA</v>
          </cell>
        </row>
        <row r="40483">
          <cell r="L40483" t="str">
            <v>Non-proportional</v>
          </cell>
          <cell r="S40483">
            <v>180.78</v>
          </cell>
          <cell r="X40483" t="str">
            <v>Variation UPR - gross</v>
          </cell>
          <cell r="Y40483" t="str">
            <v>JAPAN</v>
          </cell>
        </row>
        <row r="40484">
          <cell r="L40484" t="str">
            <v>Non-proportional</v>
          </cell>
          <cell r="S40484">
            <v>22489.61</v>
          </cell>
          <cell r="X40484" t="str">
            <v>Variation UPR - gross</v>
          </cell>
          <cell r="Y40484" t="str">
            <v>BELIZE</v>
          </cell>
        </row>
        <row r="40485">
          <cell r="L40485" t="str">
            <v>Non-proportional</v>
          </cell>
          <cell r="S40485">
            <v>-3937.65</v>
          </cell>
          <cell r="X40485" t="str">
            <v>Variation UPR - gross</v>
          </cell>
          <cell r="Y40485" t="str">
            <v>COLOMBIA</v>
          </cell>
        </row>
        <row r="40486">
          <cell r="L40486" t="str">
            <v>Non-proportional</v>
          </cell>
          <cell r="S40486">
            <v>53.23</v>
          </cell>
          <cell r="X40486" t="str">
            <v>Variation UPR - gross</v>
          </cell>
          <cell r="Y40486" t="str">
            <v>JAPAN</v>
          </cell>
        </row>
        <row r="40487">
          <cell r="L40487" t="str">
            <v>Non-proportional</v>
          </cell>
          <cell r="S40487">
            <v>-138300.32999999999</v>
          </cell>
          <cell r="X40487" t="str">
            <v>Variation UPR - gross</v>
          </cell>
          <cell r="Y40487" t="str">
            <v>PORTUGAL</v>
          </cell>
        </row>
        <row r="40488">
          <cell r="L40488" t="str">
            <v>Non-proportional</v>
          </cell>
          <cell r="S40488">
            <v>0.02</v>
          </cell>
          <cell r="X40488" t="str">
            <v>Variation UPR - gross</v>
          </cell>
          <cell r="Y40488" t="str">
            <v>INDIA</v>
          </cell>
        </row>
        <row r="40489">
          <cell r="L40489" t="str">
            <v>Proportional</v>
          </cell>
          <cell r="S40489">
            <v>-55.38</v>
          </cell>
          <cell r="X40489" t="str">
            <v>Variation UPR - gross</v>
          </cell>
          <cell r="Y40489" t="str">
            <v>UNITED STATES</v>
          </cell>
        </row>
        <row r="40490">
          <cell r="L40490" t="str">
            <v>Non-proportional</v>
          </cell>
          <cell r="S40490">
            <v>-5488.31</v>
          </cell>
          <cell r="X40490" t="str">
            <v>Variation UPR - gross</v>
          </cell>
          <cell r="Y40490" t="str">
            <v>NEW ZEALAND</v>
          </cell>
        </row>
        <row r="40491">
          <cell r="L40491" t="str">
            <v>Non-proportional</v>
          </cell>
          <cell r="S40491">
            <v>-192.43</v>
          </cell>
          <cell r="X40491" t="str">
            <v>Variation UPR - gross</v>
          </cell>
          <cell r="Y40491" t="str">
            <v>JAPAN</v>
          </cell>
        </row>
        <row r="40492">
          <cell r="L40492" t="str">
            <v>Non-proportional</v>
          </cell>
          <cell r="S40492">
            <v>-182021.67</v>
          </cell>
          <cell r="X40492" t="str">
            <v>Variation UPR - gross</v>
          </cell>
          <cell r="Y40492" t="str">
            <v>PORTUGAL</v>
          </cell>
        </row>
        <row r="40493">
          <cell r="L40493" t="str">
            <v>Proportional</v>
          </cell>
          <cell r="S40493">
            <v>-1127.05</v>
          </cell>
          <cell r="X40493" t="str">
            <v>Variation UPR - gross</v>
          </cell>
          <cell r="Y40493" t="str">
            <v>THAILAND</v>
          </cell>
        </row>
        <row r="40494">
          <cell r="L40494" t="str">
            <v>Non-proportional</v>
          </cell>
          <cell r="S40494">
            <v>-1468.75</v>
          </cell>
          <cell r="X40494" t="str">
            <v>Variation UPR - gross</v>
          </cell>
          <cell r="Y40494" t="str">
            <v>GREECE</v>
          </cell>
        </row>
        <row r="40495">
          <cell r="L40495" t="str">
            <v>Non-proportional</v>
          </cell>
          <cell r="S40495">
            <v>-15167.67</v>
          </cell>
          <cell r="X40495" t="str">
            <v>Variation UPR - gross</v>
          </cell>
          <cell r="Y40495" t="str">
            <v>UNITED KINGDOM</v>
          </cell>
        </row>
        <row r="40496">
          <cell r="L40496" t="str">
            <v>Non-proportional</v>
          </cell>
          <cell r="S40496">
            <v>-8750</v>
          </cell>
          <cell r="X40496" t="str">
            <v>Variation UPR - gross</v>
          </cell>
          <cell r="Y40496" t="str">
            <v>EUROPE</v>
          </cell>
        </row>
        <row r="40497">
          <cell r="L40497" t="str">
            <v>Proportional</v>
          </cell>
          <cell r="S40497">
            <v>3754167.41</v>
          </cell>
          <cell r="X40497" t="str">
            <v>Variation UPR - gross</v>
          </cell>
          <cell r="Y40497" t="str">
            <v>INDIA</v>
          </cell>
        </row>
        <row r="40498">
          <cell r="L40498" t="str">
            <v>Non-proportional</v>
          </cell>
          <cell r="S40498">
            <v>-15688.71</v>
          </cell>
          <cell r="X40498" t="str">
            <v>Variation UPR - gross</v>
          </cell>
          <cell r="Y40498" t="str">
            <v>SOUTH KOREA</v>
          </cell>
        </row>
        <row r="40499">
          <cell r="L40499" t="str">
            <v>Non-proportional</v>
          </cell>
          <cell r="S40499">
            <v>-1967001.79</v>
          </cell>
          <cell r="X40499" t="str">
            <v>Variation UPR - gross</v>
          </cell>
          <cell r="Y40499" t="str">
            <v>UNITED KINGDOM</v>
          </cell>
        </row>
        <row r="40500">
          <cell r="L40500" t="str">
            <v>Proportional</v>
          </cell>
          <cell r="S40500">
            <v>-822.87</v>
          </cell>
          <cell r="X40500" t="str">
            <v>Variation UPR - gross</v>
          </cell>
          <cell r="Y40500" t="str">
            <v>CHILE</v>
          </cell>
        </row>
        <row r="40501">
          <cell r="L40501" t="str">
            <v>Non-proportional</v>
          </cell>
          <cell r="S40501">
            <v>-7396.84</v>
          </cell>
          <cell r="X40501" t="str">
            <v>Variation UPR - gross</v>
          </cell>
          <cell r="Y40501" t="str">
            <v>COSTA RICA</v>
          </cell>
        </row>
        <row r="40502">
          <cell r="L40502" t="str">
            <v>Proportional</v>
          </cell>
          <cell r="S40502">
            <v>-92666.67</v>
          </cell>
          <cell r="X40502" t="str">
            <v>Variation UPR - gross</v>
          </cell>
          <cell r="Y40502" t="str">
            <v>FRANCE</v>
          </cell>
        </row>
        <row r="40503">
          <cell r="L40503" t="str">
            <v>Non-proportional</v>
          </cell>
          <cell r="S40503">
            <v>-5918.43</v>
          </cell>
          <cell r="X40503" t="str">
            <v>Variation UPR - gross</v>
          </cell>
          <cell r="Y40503" t="str">
            <v>EUROPE</v>
          </cell>
        </row>
        <row r="40504">
          <cell r="L40504" t="str">
            <v>Proportional</v>
          </cell>
          <cell r="S40504">
            <v>-3938.96</v>
          </cell>
          <cell r="X40504" t="str">
            <v>Variation UPR - gross</v>
          </cell>
          <cell r="Y40504" t="str">
            <v>THAILAND</v>
          </cell>
        </row>
        <row r="40505">
          <cell r="L40505" t="str">
            <v>Non-proportional</v>
          </cell>
          <cell r="S40505">
            <v>236.15</v>
          </cell>
          <cell r="X40505" t="str">
            <v>Variation UPR - gross</v>
          </cell>
          <cell r="Y40505" t="str">
            <v>SOUTH KOREA</v>
          </cell>
        </row>
        <row r="40506">
          <cell r="L40506" t="str">
            <v>Non-proportional</v>
          </cell>
          <cell r="S40506">
            <v>-3249.09</v>
          </cell>
          <cell r="X40506" t="str">
            <v>Variation UPR - gross</v>
          </cell>
          <cell r="Y40506" t="str">
            <v>FRANCE</v>
          </cell>
        </row>
        <row r="40507">
          <cell r="L40507" t="str">
            <v>Proportional</v>
          </cell>
          <cell r="S40507">
            <v>-2842.57</v>
          </cell>
          <cell r="X40507" t="str">
            <v>Variation UPR - gross</v>
          </cell>
          <cell r="Y40507" t="str">
            <v>CHILE</v>
          </cell>
        </row>
        <row r="40508">
          <cell r="L40508" t="str">
            <v>Non-proportional</v>
          </cell>
          <cell r="S40508">
            <v>-1336.99</v>
          </cell>
          <cell r="X40508" t="str">
            <v>Variation UPR - gross</v>
          </cell>
          <cell r="Y40508" t="str">
            <v>PUERTO RICO</v>
          </cell>
        </row>
        <row r="40509">
          <cell r="L40509" t="str">
            <v>Non-proportional</v>
          </cell>
          <cell r="S40509">
            <v>-8855</v>
          </cell>
          <cell r="X40509" t="str">
            <v>Variation UPR - gross</v>
          </cell>
          <cell r="Y40509" t="str">
            <v>GERMANY</v>
          </cell>
        </row>
        <row r="40510">
          <cell r="L40510" t="str">
            <v>Proportional</v>
          </cell>
          <cell r="S40510">
            <v>934.78</v>
          </cell>
          <cell r="X40510" t="str">
            <v>Variation UPR - gross</v>
          </cell>
          <cell r="Y40510" t="str">
            <v>THAILAND</v>
          </cell>
        </row>
        <row r="40511">
          <cell r="L40511" t="str">
            <v>Non-proportional</v>
          </cell>
          <cell r="S40511">
            <v>-71.55</v>
          </cell>
          <cell r="X40511" t="str">
            <v>Variation UPR - gross</v>
          </cell>
          <cell r="Y40511" t="str">
            <v>CHILE</v>
          </cell>
        </row>
        <row r="40512">
          <cell r="L40512" t="str">
            <v>Non-proportional</v>
          </cell>
          <cell r="S40512">
            <v>-1664.56</v>
          </cell>
          <cell r="X40512" t="str">
            <v>Variation UPR - gross</v>
          </cell>
          <cell r="Y40512" t="str">
            <v>FRANCE</v>
          </cell>
        </row>
        <row r="40513">
          <cell r="L40513" t="str">
            <v>Non-proportional</v>
          </cell>
          <cell r="S40513">
            <v>-855.96</v>
          </cell>
          <cell r="X40513" t="str">
            <v>Variation UPR - gross</v>
          </cell>
          <cell r="Y40513" t="str">
            <v>FRANCE</v>
          </cell>
        </row>
        <row r="40514">
          <cell r="L40514" t="str">
            <v>Non-proportional</v>
          </cell>
          <cell r="S40514">
            <v>43983.23</v>
          </cell>
          <cell r="X40514" t="str">
            <v>Variation UPR - gross</v>
          </cell>
          <cell r="Y40514" t="str">
            <v>COLOMBIA</v>
          </cell>
        </row>
        <row r="40515">
          <cell r="L40515" t="str">
            <v>Non-proportional</v>
          </cell>
          <cell r="S40515">
            <v>-53.51</v>
          </cell>
          <cell r="X40515" t="str">
            <v>Variation UPR - gross</v>
          </cell>
          <cell r="Y40515" t="str">
            <v>ISRAEL</v>
          </cell>
        </row>
        <row r="40516">
          <cell r="L40516" t="str">
            <v>Non-proportional</v>
          </cell>
          <cell r="S40516">
            <v>-2244.6999999999998</v>
          </cell>
          <cell r="X40516" t="str">
            <v>Variation UPR - gross</v>
          </cell>
          <cell r="Y40516" t="str">
            <v>COLOMBIA</v>
          </cell>
        </row>
        <row r="40517">
          <cell r="L40517" t="str">
            <v>Non-proportional</v>
          </cell>
          <cell r="S40517">
            <v>-4933.28</v>
          </cell>
          <cell r="X40517" t="str">
            <v>Variation UPR - gross</v>
          </cell>
          <cell r="Y40517" t="str">
            <v>UNITED KINGDOM</v>
          </cell>
        </row>
        <row r="40518">
          <cell r="L40518" t="str">
            <v>Non-proportional</v>
          </cell>
          <cell r="S40518">
            <v>-29371.89</v>
          </cell>
          <cell r="X40518" t="str">
            <v>Variation UPR - gross</v>
          </cell>
          <cell r="Y40518" t="str">
            <v>JAPAN</v>
          </cell>
        </row>
        <row r="40519">
          <cell r="L40519" t="str">
            <v>Non-proportional</v>
          </cell>
          <cell r="S40519">
            <v>-459.28</v>
          </cell>
          <cell r="X40519" t="str">
            <v>Variation UPR - gross</v>
          </cell>
          <cell r="Y40519" t="str">
            <v>BRAZIL</v>
          </cell>
        </row>
        <row r="40520">
          <cell r="L40520" t="str">
            <v>Non-proportional</v>
          </cell>
          <cell r="S40520">
            <v>-3786.27</v>
          </cell>
          <cell r="X40520" t="str">
            <v>Variation UPR - gross</v>
          </cell>
          <cell r="Y40520" t="str">
            <v>ISRAEL</v>
          </cell>
        </row>
        <row r="40521">
          <cell r="L40521" t="str">
            <v>Proportional</v>
          </cell>
          <cell r="S40521">
            <v>-282342.44</v>
          </cell>
          <cell r="X40521" t="str">
            <v>Variation UPR - gross</v>
          </cell>
          <cell r="Y40521" t="str">
            <v>HONG KONG</v>
          </cell>
        </row>
        <row r="40522">
          <cell r="L40522" t="str">
            <v>Non-proportional</v>
          </cell>
          <cell r="S40522">
            <v>-2631.95</v>
          </cell>
          <cell r="X40522" t="str">
            <v>Variation UPR - gross</v>
          </cell>
          <cell r="Y40522" t="str">
            <v>UNITED KINGDOM</v>
          </cell>
        </row>
        <row r="40523">
          <cell r="L40523" t="str">
            <v>Non-proportional</v>
          </cell>
          <cell r="S40523">
            <v>-734.85</v>
          </cell>
          <cell r="X40523" t="str">
            <v>Variation UPR - gross</v>
          </cell>
          <cell r="Y40523" t="str">
            <v>BRAZIL</v>
          </cell>
        </row>
        <row r="40524">
          <cell r="L40524" t="str">
            <v>Non-proportional</v>
          </cell>
          <cell r="S40524">
            <v>-3131.46</v>
          </cell>
          <cell r="X40524" t="str">
            <v>Variation UPR - gross</v>
          </cell>
          <cell r="Y40524" t="str">
            <v>UNITED KINGDOM</v>
          </cell>
        </row>
        <row r="40525">
          <cell r="L40525" t="str">
            <v>Proportional</v>
          </cell>
          <cell r="S40525">
            <v>-14651.69</v>
          </cell>
          <cell r="X40525" t="str">
            <v>Variation UPR - gross</v>
          </cell>
          <cell r="Y40525" t="str">
            <v>THAILAND</v>
          </cell>
        </row>
        <row r="40526">
          <cell r="L40526" t="str">
            <v>Non-proportional</v>
          </cell>
          <cell r="S40526">
            <v>-6278.98</v>
          </cell>
          <cell r="X40526" t="str">
            <v>Variation UPR - gross</v>
          </cell>
          <cell r="Y40526" t="str">
            <v>FRANCE</v>
          </cell>
        </row>
        <row r="40527">
          <cell r="L40527" t="str">
            <v>Non-proportional</v>
          </cell>
          <cell r="S40527">
            <v>-34.58</v>
          </cell>
          <cell r="X40527" t="str">
            <v>Variation UPR - gross</v>
          </cell>
          <cell r="Y40527" t="str">
            <v>ISRAEL</v>
          </cell>
        </row>
        <row r="40528">
          <cell r="L40528" t="str">
            <v>Non-proportional</v>
          </cell>
          <cell r="S40528">
            <v>-0.02</v>
          </cell>
          <cell r="X40528" t="str">
            <v>Variation UPR - gross</v>
          </cell>
          <cell r="Y40528" t="str">
            <v>INDIA</v>
          </cell>
        </row>
        <row r="40529">
          <cell r="L40529" t="str">
            <v>Non-proportional</v>
          </cell>
          <cell r="S40529">
            <v>-2198.9499999999998</v>
          </cell>
          <cell r="X40529" t="str">
            <v>Variation UPR - gross</v>
          </cell>
          <cell r="Y40529" t="str">
            <v>MEXICO</v>
          </cell>
        </row>
        <row r="40530">
          <cell r="L40530" t="str">
            <v>Non-proportional</v>
          </cell>
          <cell r="S40530">
            <v>-10707.08</v>
          </cell>
          <cell r="X40530" t="str">
            <v>Variation UPR - gross</v>
          </cell>
          <cell r="Y40530" t="str">
            <v>FRANCE</v>
          </cell>
        </row>
        <row r="40531">
          <cell r="L40531" t="str">
            <v>Non-proportional</v>
          </cell>
          <cell r="S40531">
            <v>-938.54</v>
          </cell>
          <cell r="X40531" t="str">
            <v>Variation UPR - gross</v>
          </cell>
          <cell r="Y40531" t="str">
            <v>ITALY</v>
          </cell>
        </row>
        <row r="40532">
          <cell r="L40532" t="str">
            <v>Non-proportional</v>
          </cell>
          <cell r="S40532">
            <v>-750.19</v>
          </cell>
          <cell r="X40532" t="str">
            <v>Variation UPR - gross</v>
          </cell>
          <cell r="Y40532" t="str">
            <v>INDIA</v>
          </cell>
        </row>
        <row r="40533">
          <cell r="L40533" t="str">
            <v>Non-proportional</v>
          </cell>
          <cell r="S40533">
            <v>123858.82</v>
          </cell>
          <cell r="X40533" t="str">
            <v>Variation UPR - gross</v>
          </cell>
          <cell r="Y40533" t="str">
            <v>AUSTRALIA</v>
          </cell>
        </row>
        <row r="40534">
          <cell r="L40534" t="str">
            <v>Non-proportional</v>
          </cell>
          <cell r="S40534">
            <v>-4095</v>
          </cell>
          <cell r="X40534" t="str">
            <v>Variation UPR - gross</v>
          </cell>
          <cell r="Y40534" t="str">
            <v>FRANCE</v>
          </cell>
        </row>
        <row r="40535">
          <cell r="L40535" t="str">
            <v>Non-proportional</v>
          </cell>
          <cell r="S40535">
            <v>-916.98</v>
          </cell>
          <cell r="X40535" t="str">
            <v>Variation UPR - gross</v>
          </cell>
          <cell r="Y40535" t="str">
            <v>ECUADOR</v>
          </cell>
        </row>
        <row r="40536">
          <cell r="L40536" t="str">
            <v>Non-proportional</v>
          </cell>
          <cell r="S40536">
            <v>-0.03</v>
          </cell>
          <cell r="X40536" t="str">
            <v>Variation UPR - gross</v>
          </cell>
          <cell r="Y40536" t="str">
            <v>DOMINICAN REPUBLIC</v>
          </cell>
        </row>
        <row r="40537">
          <cell r="L40537" t="str">
            <v>Non-proportional</v>
          </cell>
          <cell r="S40537">
            <v>-3381.84</v>
          </cell>
          <cell r="X40537" t="str">
            <v>Variation UPR - gross</v>
          </cell>
          <cell r="Y40537" t="str">
            <v>ITALY</v>
          </cell>
        </row>
        <row r="40538">
          <cell r="L40538" t="str">
            <v>Proportional</v>
          </cell>
          <cell r="S40538">
            <v>-32576.98</v>
          </cell>
          <cell r="X40538" t="str">
            <v>Variation UPR - gross</v>
          </cell>
          <cell r="Y40538" t="str">
            <v>UNITED ARAB EMIRATES</v>
          </cell>
        </row>
        <row r="40539">
          <cell r="L40539" t="str">
            <v>Non-proportional</v>
          </cell>
          <cell r="S40539">
            <v>-2981.33</v>
          </cell>
          <cell r="X40539" t="str">
            <v>Variation UPR - gross</v>
          </cell>
          <cell r="Y40539" t="str">
            <v>UNITED KINGDOM</v>
          </cell>
        </row>
        <row r="40540">
          <cell r="L40540" t="str">
            <v>Proportional</v>
          </cell>
          <cell r="S40540">
            <v>25576.43</v>
          </cell>
          <cell r="X40540" t="str">
            <v>Variation UPR - gross</v>
          </cell>
          <cell r="Y40540" t="str">
            <v>AUSTRALIA</v>
          </cell>
        </row>
        <row r="40541">
          <cell r="L40541" t="str">
            <v>Non-proportional</v>
          </cell>
          <cell r="S40541">
            <v>-1946.5</v>
          </cell>
          <cell r="X40541" t="str">
            <v>Variation UPR - gross</v>
          </cell>
          <cell r="Y40541" t="str">
            <v>REPUBLIC OF IRELAND</v>
          </cell>
        </row>
        <row r="40542">
          <cell r="L40542" t="str">
            <v>Non-proportional</v>
          </cell>
          <cell r="S40542">
            <v>-3244.77</v>
          </cell>
          <cell r="X40542" t="str">
            <v>Variation UPR - gross</v>
          </cell>
          <cell r="Y40542" t="str">
            <v>FRANCE</v>
          </cell>
        </row>
        <row r="40543">
          <cell r="L40543" t="str">
            <v>Proportional</v>
          </cell>
          <cell r="S40543">
            <v>21854.41</v>
          </cell>
          <cell r="X40543" t="str">
            <v>Variation UPR - gross</v>
          </cell>
          <cell r="Y40543" t="str">
            <v>SWITZERLAND</v>
          </cell>
        </row>
        <row r="40544">
          <cell r="L40544" t="str">
            <v>Non-proportional</v>
          </cell>
          <cell r="S40544">
            <v>-11863.23</v>
          </cell>
          <cell r="X40544" t="str">
            <v>Variation UPR - gross</v>
          </cell>
          <cell r="Y40544" t="str">
            <v>EUROPE</v>
          </cell>
        </row>
        <row r="40545">
          <cell r="L40545" t="str">
            <v>Non-proportional</v>
          </cell>
          <cell r="S40545">
            <v>6046.27</v>
          </cell>
          <cell r="X40545" t="str">
            <v>Variation UPR - gross</v>
          </cell>
          <cell r="Y40545" t="str">
            <v>CHILE</v>
          </cell>
        </row>
        <row r="40546">
          <cell r="L40546" t="str">
            <v>Non-proportional</v>
          </cell>
          <cell r="S40546">
            <v>-6626.28</v>
          </cell>
          <cell r="X40546" t="str">
            <v>Variation UPR - gross</v>
          </cell>
          <cell r="Y40546" t="str">
            <v>NEW ZEALAND</v>
          </cell>
        </row>
        <row r="40547">
          <cell r="L40547" t="str">
            <v>Non-proportional</v>
          </cell>
          <cell r="S40547">
            <v>-1800</v>
          </cell>
          <cell r="X40547" t="str">
            <v>Variation UPR - gross</v>
          </cell>
          <cell r="Y40547" t="str">
            <v>PORTUGAL</v>
          </cell>
        </row>
        <row r="40548">
          <cell r="L40548" t="str">
            <v>Non-proportional</v>
          </cell>
          <cell r="S40548">
            <v>-3015.29</v>
          </cell>
          <cell r="X40548" t="str">
            <v>Variation UPR - gross</v>
          </cell>
          <cell r="Y40548" t="str">
            <v>ITALY</v>
          </cell>
        </row>
        <row r="40549">
          <cell r="L40549" t="str">
            <v>Non-proportional</v>
          </cell>
          <cell r="S40549">
            <v>21838.09</v>
          </cell>
          <cell r="X40549" t="str">
            <v>Variation UPR - gross</v>
          </cell>
          <cell r="Y40549" t="str">
            <v>DOMINICAN REPUBLIC</v>
          </cell>
        </row>
        <row r="40550">
          <cell r="L40550" t="str">
            <v>Non-proportional</v>
          </cell>
          <cell r="S40550">
            <v>-2610</v>
          </cell>
          <cell r="X40550" t="str">
            <v>Variation UPR - gross</v>
          </cell>
          <cell r="Y40550" t="str">
            <v>GREECE</v>
          </cell>
        </row>
        <row r="40551">
          <cell r="L40551" t="str">
            <v>Non-proportional</v>
          </cell>
          <cell r="S40551">
            <v>-1480.8</v>
          </cell>
          <cell r="X40551" t="str">
            <v>Variation UPR - gross</v>
          </cell>
          <cell r="Y40551" t="str">
            <v>FRANCE</v>
          </cell>
        </row>
        <row r="40552">
          <cell r="L40552" t="str">
            <v>Non-proportional</v>
          </cell>
          <cell r="S40552">
            <v>-1202.25</v>
          </cell>
          <cell r="X40552" t="str">
            <v>Variation UPR - gross</v>
          </cell>
          <cell r="Y40552" t="str">
            <v>REPUBLIC OF IRELAND</v>
          </cell>
        </row>
        <row r="40553">
          <cell r="L40553" t="str">
            <v>Proportional</v>
          </cell>
          <cell r="S40553">
            <v>-6245.65</v>
          </cell>
          <cell r="X40553" t="str">
            <v>Variation UPR - gross</v>
          </cell>
          <cell r="Y40553" t="str">
            <v>THAILAND</v>
          </cell>
        </row>
        <row r="40554">
          <cell r="L40554" t="str">
            <v>Non-proportional</v>
          </cell>
          <cell r="S40554">
            <v>128838.83</v>
          </cell>
          <cell r="X40554" t="str">
            <v>Variation UPR - gross</v>
          </cell>
          <cell r="Y40554" t="str">
            <v>MEXICO</v>
          </cell>
        </row>
        <row r="40555">
          <cell r="L40555" t="str">
            <v>Non-proportional</v>
          </cell>
          <cell r="S40555">
            <v>-2937.09</v>
          </cell>
          <cell r="X40555" t="str">
            <v>Variation UPR - gross</v>
          </cell>
          <cell r="Y40555" t="str">
            <v>NETHERLANDS</v>
          </cell>
        </row>
        <row r="40556">
          <cell r="L40556" t="str">
            <v>Non-proportional</v>
          </cell>
          <cell r="S40556">
            <v>-5589.25</v>
          </cell>
          <cell r="X40556" t="str">
            <v>Variation UPR - gross</v>
          </cell>
          <cell r="Y40556" t="str">
            <v>ISRAEL</v>
          </cell>
        </row>
        <row r="40557">
          <cell r="L40557" t="str">
            <v>Non-proportional</v>
          </cell>
          <cell r="S40557">
            <v>-5488.31</v>
          </cell>
          <cell r="X40557" t="str">
            <v>Variation UPR - gross</v>
          </cell>
          <cell r="Y40557" t="str">
            <v>NEW ZEALAND</v>
          </cell>
        </row>
        <row r="40558">
          <cell r="L40558" t="str">
            <v>Non-proportional</v>
          </cell>
          <cell r="S40558">
            <v>-3354.31</v>
          </cell>
          <cell r="X40558" t="str">
            <v>Variation UPR - gross</v>
          </cell>
          <cell r="Y40558" t="str">
            <v>UNITED KINGDOM</v>
          </cell>
        </row>
        <row r="40559">
          <cell r="L40559" t="str">
            <v>Non-proportional</v>
          </cell>
          <cell r="S40559">
            <v>-4899.83</v>
          </cell>
          <cell r="X40559" t="str">
            <v>Variation UPR - gross</v>
          </cell>
          <cell r="Y40559" t="str">
            <v>ISRAEL</v>
          </cell>
        </row>
        <row r="40560">
          <cell r="L40560" t="str">
            <v>Non-proportional</v>
          </cell>
          <cell r="S40560">
            <v>-47188.32</v>
          </cell>
          <cell r="X40560" t="str">
            <v>Variation UPR - gross</v>
          </cell>
          <cell r="Y40560" t="str">
            <v>UNITED KINGDOM</v>
          </cell>
        </row>
        <row r="40561">
          <cell r="L40561" t="str">
            <v>Non-proportional</v>
          </cell>
          <cell r="S40561">
            <v>152.52000000000001</v>
          </cell>
          <cell r="X40561" t="str">
            <v>Variation UPR - gross</v>
          </cell>
          <cell r="Y40561" t="str">
            <v>NEW ZEALAND</v>
          </cell>
        </row>
        <row r="40562">
          <cell r="L40562" t="str">
            <v>Proportional</v>
          </cell>
          <cell r="S40562">
            <v>148014.07999999999</v>
          </cell>
          <cell r="X40562" t="str">
            <v>Variation UPR - gross</v>
          </cell>
          <cell r="Y40562" t="str">
            <v>PERU</v>
          </cell>
        </row>
        <row r="40563">
          <cell r="L40563" t="str">
            <v>Non-proportional</v>
          </cell>
          <cell r="S40563">
            <v>14.4</v>
          </cell>
          <cell r="X40563" t="str">
            <v>Variation UPR - gross</v>
          </cell>
          <cell r="Y40563" t="str">
            <v>JAPAN</v>
          </cell>
        </row>
        <row r="40564">
          <cell r="L40564" t="str">
            <v>Non-proportional</v>
          </cell>
          <cell r="S40564">
            <v>25039.08</v>
          </cell>
          <cell r="X40564" t="str">
            <v>Variation UPR - gross</v>
          </cell>
          <cell r="Y40564" t="str">
            <v>UNITED KINGDOM</v>
          </cell>
        </row>
        <row r="40565">
          <cell r="L40565" t="str">
            <v>Non-proportional</v>
          </cell>
          <cell r="S40565">
            <v>-2041.67</v>
          </cell>
          <cell r="X40565" t="str">
            <v>Variation UPR - gross</v>
          </cell>
          <cell r="Y40565" t="str">
            <v>ITALY</v>
          </cell>
        </row>
        <row r="40566">
          <cell r="L40566" t="str">
            <v>Non-proportional</v>
          </cell>
          <cell r="S40566">
            <v>-756.52</v>
          </cell>
          <cell r="X40566" t="str">
            <v>Variation UPR - gross</v>
          </cell>
          <cell r="Y40566" t="str">
            <v>JAPAN</v>
          </cell>
        </row>
        <row r="40567">
          <cell r="L40567" t="str">
            <v>Proportional</v>
          </cell>
          <cell r="S40567">
            <v>-2725.51</v>
          </cell>
          <cell r="X40567" t="str">
            <v>Variation UPR - gross</v>
          </cell>
          <cell r="Y40567" t="str">
            <v>ITALY</v>
          </cell>
        </row>
        <row r="40568">
          <cell r="L40568" t="str">
            <v>Proportional</v>
          </cell>
          <cell r="S40568">
            <v>-0.32</v>
          </cell>
          <cell r="X40568" t="str">
            <v>Variation UPR - gross</v>
          </cell>
          <cell r="Y40568" t="str">
            <v>UNITED STATES</v>
          </cell>
        </row>
        <row r="40569">
          <cell r="L40569" t="str">
            <v>Non-proportional</v>
          </cell>
          <cell r="S40569">
            <v>-7586.5</v>
          </cell>
          <cell r="X40569" t="str">
            <v>Variation UPR - gross</v>
          </cell>
          <cell r="Y40569" t="str">
            <v>FRANCE</v>
          </cell>
        </row>
        <row r="40570">
          <cell r="L40570" t="str">
            <v>Non-proportional</v>
          </cell>
          <cell r="S40570">
            <v>-1044.8399999999999</v>
          </cell>
          <cell r="X40570" t="str">
            <v>Variation UPR - gross</v>
          </cell>
          <cell r="Y40570" t="str">
            <v>CYPRUS</v>
          </cell>
        </row>
        <row r="40571">
          <cell r="L40571" t="str">
            <v>Non-proportional</v>
          </cell>
          <cell r="S40571">
            <v>-6274.65</v>
          </cell>
          <cell r="X40571" t="str">
            <v>Variation UPR - gross</v>
          </cell>
          <cell r="Y40571" t="str">
            <v>PERU</v>
          </cell>
        </row>
        <row r="40572">
          <cell r="L40572" t="str">
            <v>Non-proportional</v>
          </cell>
          <cell r="S40572">
            <v>-35.78</v>
          </cell>
          <cell r="X40572" t="str">
            <v>Variation UPR - gross</v>
          </cell>
          <cell r="Y40572" t="str">
            <v>CHILE</v>
          </cell>
        </row>
        <row r="40573">
          <cell r="L40573" t="str">
            <v>Non-proportional</v>
          </cell>
          <cell r="S40573">
            <v>-4449</v>
          </cell>
          <cell r="X40573" t="str">
            <v>Variation UPR - gross</v>
          </cell>
          <cell r="Y40573" t="str">
            <v>GUATEMALA</v>
          </cell>
        </row>
        <row r="40574">
          <cell r="L40574" t="str">
            <v>Proportional</v>
          </cell>
          <cell r="S40574">
            <v>-15.23</v>
          </cell>
          <cell r="X40574" t="str">
            <v>Variation UPR - gross</v>
          </cell>
          <cell r="Y40574" t="str">
            <v>Ireland</v>
          </cell>
        </row>
        <row r="40575">
          <cell r="L40575" t="str">
            <v>Proportional</v>
          </cell>
          <cell r="S40575">
            <v>845.22</v>
          </cell>
          <cell r="X40575" t="str">
            <v>Variation UPR - gross</v>
          </cell>
          <cell r="Y40575" t="str">
            <v>THAILAND</v>
          </cell>
        </row>
        <row r="40576">
          <cell r="L40576" t="str">
            <v>Proportional</v>
          </cell>
          <cell r="S40576">
            <v>-19277.28</v>
          </cell>
          <cell r="X40576" t="str">
            <v>Variation UPR - gross</v>
          </cell>
          <cell r="Y40576" t="str">
            <v>UNITED KINGDOM</v>
          </cell>
        </row>
        <row r="40577">
          <cell r="L40577" t="str">
            <v>Non-proportional</v>
          </cell>
          <cell r="S40577">
            <v>-71.55</v>
          </cell>
          <cell r="X40577" t="str">
            <v>Variation UPR - gross</v>
          </cell>
          <cell r="Y40577" t="str">
            <v>CHILE</v>
          </cell>
        </row>
        <row r="40578">
          <cell r="L40578" t="str">
            <v>Non-proportional</v>
          </cell>
          <cell r="S40578">
            <v>-16927.259999999998</v>
          </cell>
          <cell r="X40578" t="str">
            <v>Variation UPR - gross</v>
          </cell>
          <cell r="Y40578" t="str">
            <v>MEXICO</v>
          </cell>
        </row>
        <row r="40579">
          <cell r="L40579" t="str">
            <v>Proportional</v>
          </cell>
          <cell r="S40579">
            <v>7922.13</v>
          </cell>
          <cell r="X40579" t="str">
            <v>Variation UPR - gross</v>
          </cell>
          <cell r="Y40579" t="str">
            <v>CANADA</v>
          </cell>
        </row>
        <row r="40580">
          <cell r="L40580" t="str">
            <v>Non-proportional</v>
          </cell>
          <cell r="S40580">
            <v>-2805.25</v>
          </cell>
          <cell r="X40580" t="str">
            <v>Variation UPR - gross</v>
          </cell>
          <cell r="Y40580" t="str">
            <v>REPUBLIC OF IRELAND</v>
          </cell>
        </row>
        <row r="40581">
          <cell r="L40581" t="str">
            <v>Non-proportional</v>
          </cell>
          <cell r="S40581">
            <v>-10529.15</v>
          </cell>
          <cell r="X40581" t="str">
            <v>Variation UPR - gross</v>
          </cell>
          <cell r="Y40581" t="str">
            <v>NEW ZEALAND</v>
          </cell>
        </row>
        <row r="40582">
          <cell r="L40582" t="str">
            <v>Non-proportional</v>
          </cell>
          <cell r="S40582">
            <v>-6957.83</v>
          </cell>
          <cell r="X40582" t="str">
            <v>Variation UPR - gross</v>
          </cell>
          <cell r="Y40582" t="str">
            <v>ITALY</v>
          </cell>
        </row>
        <row r="40583">
          <cell r="L40583" t="str">
            <v>Non-proportional</v>
          </cell>
          <cell r="S40583">
            <v>7.33</v>
          </cell>
          <cell r="X40583" t="str">
            <v>Variation UPR - gross</v>
          </cell>
          <cell r="Y40583" t="str">
            <v>JAPAN</v>
          </cell>
        </row>
        <row r="40584">
          <cell r="L40584" t="str">
            <v>Proportional</v>
          </cell>
          <cell r="S40584">
            <v>-113409.3</v>
          </cell>
          <cell r="X40584" t="str">
            <v>Variation UPR - gross</v>
          </cell>
          <cell r="Y40584" t="str">
            <v>FRANCE</v>
          </cell>
        </row>
        <row r="40585">
          <cell r="L40585" t="str">
            <v>Non-proportional</v>
          </cell>
          <cell r="S40585">
            <v>-23620.5</v>
          </cell>
          <cell r="X40585" t="str">
            <v>Variation UPR - gross</v>
          </cell>
          <cell r="Y40585" t="str">
            <v>ISRAEL</v>
          </cell>
        </row>
        <row r="40586">
          <cell r="L40586" t="str">
            <v>Non-proportional</v>
          </cell>
          <cell r="S40586">
            <v>-35.78</v>
          </cell>
          <cell r="X40586" t="str">
            <v>Variation UPR - gross</v>
          </cell>
          <cell r="Y40586" t="str">
            <v>CHILE</v>
          </cell>
        </row>
        <row r="40587">
          <cell r="L40587" t="str">
            <v>Non-proportional</v>
          </cell>
          <cell r="S40587">
            <v>28432.12</v>
          </cell>
          <cell r="X40587" t="str">
            <v>Variation UPR - gross</v>
          </cell>
          <cell r="Y40587" t="str">
            <v>ECUADOR</v>
          </cell>
        </row>
        <row r="40588">
          <cell r="L40588" t="str">
            <v>Non-proportional</v>
          </cell>
          <cell r="S40588">
            <v>-35326.94</v>
          </cell>
          <cell r="X40588" t="str">
            <v>Variation UPR - gross</v>
          </cell>
          <cell r="Y40588" t="str">
            <v>TURKEY</v>
          </cell>
        </row>
        <row r="40589">
          <cell r="L40589" t="str">
            <v>Non-proportional</v>
          </cell>
          <cell r="S40589">
            <v>-350018.84</v>
          </cell>
          <cell r="X40589" t="str">
            <v>Variation UPR - gross</v>
          </cell>
          <cell r="Y40589" t="str">
            <v>EUROPE</v>
          </cell>
        </row>
        <row r="40590">
          <cell r="L40590" t="str">
            <v>Non-proportional</v>
          </cell>
          <cell r="S40590">
            <v>-2600.7399999999998</v>
          </cell>
          <cell r="X40590" t="str">
            <v>Variation UPR - gross</v>
          </cell>
          <cell r="Y40590" t="str">
            <v>ECUADOR</v>
          </cell>
        </row>
        <row r="40591">
          <cell r="L40591" t="str">
            <v>Non-proportional</v>
          </cell>
          <cell r="S40591">
            <v>-3327.24</v>
          </cell>
          <cell r="X40591" t="str">
            <v>Variation UPR - gross</v>
          </cell>
          <cell r="Y40591" t="str">
            <v>CHILE</v>
          </cell>
        </row>
        <row r="40592">
          <cell r="L40592" t="str">
            <v>Non-proportional</v>
          </cell>
          <cell r="S40592">
            <v>-1681.95</v>
          </cell>
          <cell r="X40592" t="str">
            <v>Variation UPR - gross</v>
          </cell>
          <cell r="Y40592" t="str">
            <v>PERU</v>
          </cell>
        </row>
        <row r="40593">
          <cell r="L40593" t="str">
            <v>Non-proportional</v>
          </cell>
          <cell r="S40593">
            <v>-1718</v>
          </cell>
          <cell r="X40593" t="str">
            <v>Variation UPR - gross</v>
          </cell>
          <cell r="Y40593" t="str">
            <v>FRANCE</v>
          </cell>
        </row>
        <row r="40594">
          <cell r="L40594" t="str">
            <v>Proportional</v>
          </cell>
          <cell r="S40594">
            <v>-12199.88</v>
          </cell>
          <cell r="X40594" t="str">
            <v>Variation UPR - gross</v>
          </cell>
          <cell r="Y40594" t="str">
            <v>CHILE</v>
          </cell>
        </row>
        <row r="40595">
          <cell r="L40595" t="str">
            <v>Proportional</v>
          </cell>
          <cell r="S40595">
            <v>-168.16</v>
          </cell>
          <cell r="X40595" t="str">
            <v>Variation UPR - gross</v>
          </cell>
          <cell r="Y40595" t="str">
            <v>THAILAND</v>
          </cell>
        </row>
        <row r="40596">
          <cell r="L40596" t="str">
            <v>Non-proportional</v>
          </cell>
          <cell r="S40596">
            <v>-11304.4</v>
          </cell>
          <cell r="X40596" t="str">
            <v>Variation UPR - gross</v>
          </cell>
          <cell r="Y40596" t="str">
            <v>NEW ZEALAND</v>
          </cell>
        </row>
        <row r="40597">
          <cell r="L40597" t="str">
            <v>Proportional</v>
          </cell>
          <cell r="S40597">
            <v>87796.19</v>
          </cell>
          <cell r="X40597" t="str">
            <v>Variation UPR - gross</v>
          </cell>
          <cell r="Y40597" t="str">
            <v>CHILE</v>
          </cell>
        </row>
        <row r="40598">
          <cell r="L40598" t="str">
            <v>Non-proportional</v>
          </cell>
          <cell r="S40598">
            <v>-4185.91</v>
          </cell>
          <cell r="X40598" t="str">
            <v>Variation UPR - gross</v>
          </cell>
          <cell r="Y40598" t="str">
            <v>FRANCE</v>
          </cell>
        </row>
        <row r="40599">
          <cell r="L40599" t="str">
            <v>Non-proportional</v>
          </cell>
          <cell r="S40599">
            <v>206.9</v>
          </cell>
          <cell r="X40599" t="str">
            <v>Variation UPR - gross</v>
          </cell>
          <cell r="Y40599" t="str">
            <v>JAPAN</v>
          </cell>
        </row>
        <row r="40600">
          <cell r="L40600" t="str">
            <v>Non-proportional</v>
          </cell>
          <cell r="S40600">
            <v>-2963.43</v>
          </cell>
          <cell r="X40600" t="str">
            <v>Variation UPR - gross</v>
          </cell>
          <cell r="Y40600" t="str">
            <v>THAILAND</v>
          </cell>
        </row>
        <row r="40601">
          <cell r="L40601" t="str">
            <v>Non-proportional</v>
          </cell>
          <cell r="S40601">
            <v>-71.55</v>
          </cell>
          <cell r="X40601" t="str">
            <v>Variation UPR - gross</v>
          </cell>
          <cell r="Y40601" t="str">
            <v>CHILE</v>
          </cell>
        </row>
        <row r="40602">
          <cell r="L40602" t="str">
            <v>Non-proportional</v>
          </cell>
          <cell r="S40602">
            <v>-1391578.29</v>
          </cell>
          <cell r="X40602" t="str">
            <v>Variation UPR - gross</v>
          </cell>
          <cell r="Y40602" t="str">
            <v>UNITED KINGDOM</v>
          </cell>
        </row>
        <row r="40603">
          <cell r="L40603" t="str">
            <v>Non-proportional</v>
          </cell>
          <cell r="S40603">
            <v>-25279.86</v>
          </cell>
          <cell r="X40603" t="str">
            <v>Variation UPR - gross</v>
          </cell>
          <cell r="Y40603" t="str">
            <v>NEW ZEALAND</v>
          </cell>
        </row>
        <row r="40604">
          <cell r="L40604" t="str">
            <v>Non-proportional</v>
          </cell>
          <cell r="S40604">
            <v>80526.320000000007</v>
          </cell>
          <cell r="X40604" t="str">
            <v>Variation UPR - gross</v>
          </cell>
          <cell r="Y40604" t="str">
            <v>MEXICO</v>
          </cell>
        </row>
        <row r="40605">
          <cell r="L40605" t="str">
            <v>Non-proportional</v>
          </cell>
          <cell r="S40605">
            <v>-15568.98</v>
          </cell>
          <cell r="X40605" t="str">
            <v>Variation UPR - gross</v>
          </cell>
          <cell r="Y40605" t="str">
            <v>UNITED KINGDOM</v>
          </cell>
        </row>
        <row r="40606">
          <cell r="L40606" t="str">
            <v>Non-proportional</v>
          </cell>
          <cell r="S40606">
            <v>-546.27</v>
          </cell>
          <cell r="X40606" t="str">
            <v>Variation UPR - gross</v>
          </cell>
          <cell r="Y40606" t="str">
            <v>JAPAN</v>
          </cell>
        </row>
        <row r="40607">
          <cell r="L40607" t="str">
            <v>Non-proportional</v>
          </cell>
          <cell r="S40607">
            <v>-1672.94</v>
          </cell>
          <cell r="X40607" t="str">
            <v>Variation UPR - gross</v>
          </cell>
          <cell r="Y40607" t="str">
            <v>JAPAN</v>
          </cell>
        </row>
        <row r="40608">
          <cell r="L40608" t="str">
            <v>Non-proportional</v>
          </cell>
          <cell r="S40608">
            <v>-4233.33</v>
          </cell>
          <cell r="X40608" t="str">
            <v>Variation UPR - gross</v>
          </cell>
          <cell r="Y40608" t="str">
            <v>FRANCE</v>
          </cell>
        </row>
        <row r="40609">
          <cell r="L40609" t="str">
            <v>Non-proportional</v>
          </cell>
          <cell r="S40609">
            <v>-1197.92</v>
          </cell>
          <cell r="X40609" t="str">
            <v>Variation UPR - gross</v>
          </cell>
          <cell r="Y40609" t="str">
            <v>GERMANY</v>
          </cell>
        </row>
        <row r="40610">
          <cell r="L40610" t="str">
            <v>Non-proportional</v>
          </cell>
          <cell r="S40610">
            <v>-6594.91</v>
          </cell>
          <cell r="X40610" t="str">
            <v>Variation UPR - gross</v>
          </cell>
          <cell r="Y40610" t="str">
            <v>INDIA</v>
          </cell>
        </row>
        <row r="40611">
          <cell r="L40611" t="str">
            <v>Proportional</v>
          </cell>
          <cell r="S40611">
            <v>597900</v>
          </cell>
          <cell r="X40611" t="str">
            <v>Variation UPR - gross</v>
          </cell>
          <cell r="Y40611" t="str">
            <v>SPAIN</v>
          </cell>
        </row>
        <row r="40612">
          <cell r="L40612" t="str">
            <v>Non-proportional</v>
          </cell>
          <cell r="S40612">
            <v>-6658.89</v>
          </cell>
          <cell r="X40612" t="str">
            <v>Variation UPR - gross</v>
          </cell>
          <cell r="Y40612" t="str">
            <v>CYPRUS</v>
          </cell>
        </row>
        <row r="40613">
          <cell r="L40613" t="str">
            <v>Non-proportional</v>
          </cell>
          <cell r="S40613">
            <v>-5274.49</v>
          </cell>
          <cell r="X40613" t="str">
            <v>Variation UPR - gross</v>
          </cell>
          <cell r="Y40613" t="str">
            <v>CYPRUS</v>
          </cell>
        </row>
        <row r="40614">
          <cell r="L40614" t="str">
            <v>Non-proportional</v>
          </cell>
          <cell r="S40614">
            <v>-3785.73</v>
          </cell>
          <cell r="X40614" t="str">
            <v>Variation UPR - gross</v>
          </cell>
          <cell r="Y40614" t="str">
            <v>SINGAPORE</v>
          </cell>
        </row>
        <row r="40615">
          <cell r="L40615" t="str">
            <v>Non-proportional</v>
          </cell>
          <cell r="S40615">
            <v>-5257.22</v>
          </cell>
          <cell r="X40615" t="str">
            <v>Variation UPR - gross</v>
          </cell>
          <cell r="Y40615" t="str">
            <v>ISRAEL</v>
          </cell>
        </row>
        <row r="40616">
          <cell r="L40616" t="str">
            <v>Non-proportional</v>
          </cell>
          <cell r="S40616">
            <v>125828</v>
          </cell>
          <cell r="X40616" t="str">
            <v>Variation UPR - gross</v>
          </cell>
          <cell r="Y40616" t="str">
            <v>MEXICO</v>
          </cell>
        </row>
        <row r="40617">
          <cell r="L40617" t="str">
            <v>Non-proportional</v>
          </cell>
          <cell r="S40617">
            <v>-74490.14</v>
          </cell>
          <cell r="X40617" t="str">
            <v>Variation UPR - gross</v>
          </cell>
          <cell r="Y40617" t="str">
            <v>UNITED KINGDOM</v>
          </cell>
        </row>
        <row r="40618">
          <cell r="L40618" t="str">
            <v>Non-proportional</v>
          </cell>
          <cell r="S40618">
            <v>30.35</v>
          </cell>
          <cell r="X40618" t="str">
            <v>Variation UPR - gross</v>
          </cell>
          <cell r="Y40618" t="str">
            <v>JAPAN</v>
          </cell>
        </row>
        <row r="40619">
          <cell r="L40619" t="str">
            <v>Proportional</v>
          </cell>
          <cell r="S40619">
            <v>-6762.32</v>
          </cell>
          <cell r="X40619" t="str">
            <v>Variation UPR - gross</v>
          </cell>
          <cell r="Y40619" t="str">
            <v>THAILAND</v>
          </cell>
        </row>
        <row r="40620">
          <cell r="L40620" t="str">
            <v>Non-proportional</v>
          </cell>
          <cell r="S40620">
            <v>-4801.93</v>
          </cell>
          <cell r="X40620" t="str">
            <v>Variation UPR - gross</v>
          </cell>
          <cell r="Y40620" t="str">
            <v>SOUTH AFRICA</v>
          </cell>
        </row>
        <row r="40621">
          <cell r="L40621" t="str">
            <v>Proportional</v>
          </cell>
          <cell r="S40621">
            <v>-18355.03</v>
          </cell>
          <cell r="X40621" t="str">
            <v>Variation UPR - gross</v>
          </cell>
          <cell r="Y40621" t="str">
            <v>JAPAN</v>
          </cell>
        </row>
        <row r="40622">
          <cell r="L40622" t="str">
            <v>Non-proportional</v>
          </cell>
          <cell r="S40622">
            <v>20111.650000000001</v>
          </cell>
          <cell r="X40622" t="str">
            <v>Variation UPR - gross</v>
          </cell>
          <cell r="Y40622" t="str">
            <v>PERU</v>
          </cell>
        </row>
        <row r="40623">
          <cell r="L40623" t="str">
            <v>Non-proportional</v>
          </cell>
          <cell r="S40623">
            <v>128628.36</v>
          </cell>
          <cell r="X40623" t="str">
            <v>Variation UPR - gross</v>
          </cell>
          <cell r="Y40623" t="str">
            <v>AUSTRALIA</v>
          </cell>
        </row>
        <row r="40624">
          <cell r="L40624" t="str">
            <v>Non-proportional</v>
          </cell>
          <cell r="S40624">
            <v>123524.02</v>
          </cell>
          <cell r="X40624" t="str">
            <v>Variation UPR - gross</v>
          </cell>
          <cell r="Y40624" t="str">
            <v>PERU</v>
          </cell>
        </row>
        <row r="40625">
          <cell r="L40625" t="str">
            <v>Non-proportional</v>
          </cell>
          <cell r="S40625">
            <v>-0.02</v>
          </cell>
          <cell r="X40625" t="str">
            <v>Variation UPR - gross</v>
          </cell>
          <cell r="Y40625" t="str">
            <v>DOMINICAN REPUBLIC</v>
          </cell>
        </row>
        <row r="40626">
          <cell r="L40626" t="str">
            <v>Non-proportional</v>
          </cell>
          <cell r="S40626">
            <v>-71.55</v>
          </cell>
          <cell r="X40626" t="str">
            <v>Variation UPR - gross</v>
          </cell>
          <cell r="Y40626" t="str">
            <v>CHILE</v>
          </cell>
        </row>
        <row r="40627">
          <cell r="L40627" t="str">
            <v>Proportional</v>
          </cell>
          <cell r="S40627">
            <v>-454.72</v>
          </cell>
          <cell r="X40627" t="str">
            <v>Variation UPR - gross</v>
          </cell>
          <cell r="Y40627" t="str">
            <v>THAILAND</v>
          </cell>
        </row>
        <row r="40628">
          <cell r="L40628" t="str">
            <v>Non-proportional</v>
          </cell>
          <cell r="S40628">
            <v>98386.11</v>
          </cell>
          <cell r="X40628" t="str">
            <v>Variation UPR - gross</v>
          </cell>
          <cell r="Y40628" t="str">
            <v>CHILE</v>
          </cell>
        </row>
        <row r="40629">
          <cell r="L40629" t="str">
            <v>Non-proportional</v>
          </cell>
          <cell r="S40629">
            <v>-4885.37</v>
          </cell>
          <cell r="X40629" t="str">
            <v>Variation UPR - gross</v>
          </cell>
          <cell r="Y40629" t="str">
            <v>ECUADOR</v>
          </cell>
        </row>
        <row r="40630">
          <cell r="L40630" t="str">
            <v>Non-proportional</v>
          </cell>
          <cell r="S40630">
            <v>-0.02</v>
          </cell>
          <cell r="X40630" t="str">
            <v>Variation UPR - gross</v>
          </cell>
          <cell r="Y40630" t="str">
            <v>INDIA</v>
          </cell>
        </row>
        <row r="40631">
          <cell r="L40631" t="str">
            <v>Non-proportional</v>
          </cell>
          <cell r="S40631">
            <v>57848.95</v>
          </cell>
          <cell r="X40631" t="str">
            <v>Variation UPR - gross</v>
          </cell>
          <cell r="Y40631" t="str">
            <v>DOMINICAN REPUBLIC</v>
          </cell>
        </row>
        <row r="40632">
          <cell r="L40632" t="str">
            <v>Non-proportional</v>
          </cell>
          <cell r="S40632">
            <v>-1220.3599999999999</v>
          </cell>
          <cell r="X40632" t="str">
            <v>Variation UPR - gross</v>
          </cell>
          <cell r="Y40632" t="str">
            <v>COSTA RICA</v>
          </cell>
        </row>
        <row r="40633">
          <cell r="L40633" t="str">
            <v>Non-proportional</v>
          </cell>
          <cell r="S40633">
            <v>52573.39</v>
          </cell>
          <cell r="X40633" t="str">
            <v>Variation UPR - gross</v>
          </cell>
          <cell r="Y40633" t="str">
            <v>SPAIN</v>
          </cell>
        </row>
        <row r="40634">
          <cell r="L40634" t="str">
            <v>Proportional</v>
          </cell>
          <cell r="S40634">
            <v>-39462.5</v>
          </cell>
          <cell r="X40634" t="str">
            <v>Variation UPR - gross</v>
          </cell>
          <cell r="Y40634" t="str">
            <v>ITALY</v>
          </cell>
        </row>
        <row r="40635">
          <cell r="L40635" t="str">
            <v>Non-proportional</v>
          </cell>
          <cell r="S40635">
            <v>-71.55</v>
          </cell>
          <cell r="X40635" t="str">
            <v>Variation UPR - gross</v>
          </cell>
          <cell r="Y40635" t="str">
            <v>CHILE</v>
          </cell>
        </row>
        <row r="40636">
          <cell r="L40636" t="str">
            <v>Non-proportional</v>
          </cell>
          <cell r="S40636">
            <v>-3217.08</v>
          </cell>
          <cell r="X40636" t="str">
            <v>Variation UPR - gross</v>
          </cell>
          <cell r="Y40636" t="str">
            <v>ISRAEL</v>
          </cell>
        </row>
        <row r="40637">
          <cell r="L40637" t="str">
            <v>Non-proportional</v>
          </cell>
          <cell r="S40637">
            <v>-110177.12</v>
          </cell>
          <cell r="X40637" t="str">
            <v>Variation UPR - gross</v>
          </cell>
          <cell r="Y40637" t="str">
            <v>UNITED KINGDOM</v>
          </cell>
        </row>
        <row r="40638">
          <cell r="L40638" t="str">
            <v>Non-proportional</v>
          </cell>
          <cell r="S40638">
            <v>-1813.64</v>
          </cell>
          <cell r="X40638" t="str">
            <v>Variation UPR - gross</v>
          </cell>
          <cell r="Y40638" t="str">
            <v>NEW ZEALAND</v>
          </cell>
        </row>
        <row r="40639">
          <cell r="L40639" t="str">
            <v>Proportional</v>
          </cell>
          <cell r="S40639">
            <v>-353.07</v>
          </cell>
          <cell r="X40639" t="str">
            <v>Variation UPR - gross</v>
          </cell>
          <cell r="Y40639" t="str">
            <v>UNITED STATES</v>
          </cell>
        </row>
        <row r="40640">
          <cell r="L40640" t="str">
            <v>Non-proportional</v>
          </cell>
          <cell r="S40640">
            <v>-2931.55</v>
          </cell>
          <cell r="X40640" t="str">
            <v>Variation UPR - gross</v>
          </cell>
          <cell r="Y40640" t="str">
            <v>JAPAN</v>
          </cell>
        </row>
        <row r="40641">
          <cell r="L40641" t="str">
            <v>Proportional</v>
          </cell>
          <cell r="S40641">
            <v>-11130.68</v>
          </cell>
          <cell r="X40641" t="str">
            <v>Variation UPR - gross</v>
          </cell>
          <cell r="Y40641" t="str">
            <v>FRANCE</v>
          </cell>
        </row>
        <row r="40642">
          <cell r="L40642" t="str">
            <v>Proportional</v>
          </cell>
          <cell r="S40642">
            <v>-11980.07</v>
          </cell>
          <cell r="X40642" t="str">
            <v>Variation UPR - gross</v>
          </cell>
          <cell r="Y40642" t="str">
            <v>AUSTRALIA</v>
          </cell>
        </row>
        <row r="40643">
          <cell r="L40643" t="str">
            <v>Non-proportional</v>
          </cell>
          <cell r="S40643">
            <v>-2307.16</v>
          </cell>
          <cell r="X40643" t="str">
            <v>Variation UPR - gross</v>
          </cell>
          <cell r="Y40643" t="str">
            <v>ECUADOR</v>
          </cell>
        </row>
        <row r="40644">
          <cell r="L40644" t="str">
            <v>Non-proportional</v>
          </cell>
          <cell r="S40644">
            <v>-0.04</v>
          </cell>
          <cell r="X40644" t="str">
            <v>Variation UPR - gross</v>
          </cell>
          <cell r="Y40644" t="str">
            <v>COLOMBIA</v>
          </cell>
        </row>
        <row r="40645">
          <cell r="L40645" t="str">
            <v>Proportional</v>
          </cell>
          <cell r="S40645">
            <v>-25530.49</v>
          </cell>
          <cell r="X40645" t="str">
            <v>Variation UPR - gross</v>
          </cell>
          <cell r="Y40645" t="str">
            <v>THAILAND</v>
          </cell>
        </row>
        <row r="40646">
          <cell r="L40646" t="str">
            <v>Proportional</v>
          </cell>
          <cell r="S40646">
            <v>-156.25</v>
          </cell>
          <cell r="X40646" t="str">
            <v>Variation UPR - gross</v>
          </cell>
          <cell r="Y40646" t="str">
            <v>THAILAND</v>
          </cell>
        </row>
        <row r="40647">
          <cell r="L40647" t="str">
            <v>Non-proportional</v>
          </cell>
          <cell r="S40647">
            <v>-14331.16</v>
          </cell>
          <cell r="X40647" t="str">
            <v>Variation UPR - gross</v>
          </cell>
          <cell r="Y40647" t="str">
            <v>FRANCE</v>
          </cell>
        </row>
        <row r="40648">
          <cell r="L40648" t="str">
            <v>Non-proportional</v>
          </cell>
          <cell r="S40648">
            <v>-12664.64</v>
          </cell>
          <cell r="X40648" t="str">
            <v>Variation UPR - gross</v>
          </cell>
          <cell r="Y40648" t="str">
            <v>FRANCE</v>
          </cell>
        </row>
        <row r="40649">
          <cell r="L40649" t="str">
            <v>Non-proportional</v>
          </cell>
          <cell r="S40649">
            <v>-109330.38</v>
          </cell>
          <cell r="X40649" t="str">
            <v>Variation UPR - gross</v>
          </cell>
          <cell r="Y40649" t="str">
            <v>FRANCE</v>
          </cell>
        </row>
        <row r="40650">
          <cell r="L40650" t="str">
            <v>Non-proportional</v>
          </cell>
          <cell r="S40650">
            <v>-15836.12</v>
          </cell>
          <cell r="X40650" t="str">
            <v>Variation UPR - gross</v>
          </cell>
          <cell r="Y40650" t="str">
            <v>NEW ZEALAND</v>
          </cell>
        </row>
        <row r="40651">
          <cell r="L40651" t="str">
            <v>Non-proportional</v>
          </cell>
          <cell r="S40651">
            <v>-1638.13</v>
          </cell>
          <cell r="X40651" t="str">
            <v>Variation UPR - gross</v>
          </cell>
          <cell r="Y40651" t="str">
            <v>COSTA RICA</v>
          </cell>
        </row>
        <row r="40652">
          <cell r="L40652" t="str">
            <v>Non-proportional</v>
          </cell>
          <cell r="S40652">
            <v>-3592.42</v>
          </cell>
          <cell r="X40652" t="str">
            <v>Variation UPR - gross</v>
          </cell>
          <cell r="Y40652" t="str">
            <v>FRANCE</v>
          </cell>
        </row>
        <row r="40653">
          <cell r="L40653" t="str">
            <v>Non-proportional</v>
          </cell>
          <cell r="S40653">
            <v>-1202.78</v>
          </cell>
          <cell r="X40653" t="str">
            <v>Variation UPR - gross</v>
          </cell>
          <cell r="Y40653" t="str">
            <v>COLOMBIA</v>
          </cell>
        </row>
        <row r="40654">
          <cell r="L40654" t="str">
            <v>Non-proportional</v>
          </cell>
          <cell r="S40654">
            <v>-13826.93</v>
          </cell>
          <cell r="X40654" t="str">
            <v>Variation UPR - gross</v>
          </cell>
          <cell r="Y40654" t="str">
            <v>UNITED KINGDOM</v>
          </cell>
        </row>
        <row r="40655">
          <cell r="L40655" t="str">
            <v>Non-proportional</v>
          </cell>
          <cell r="S40655">
            <v>68750</v>
          </cell>
          <cell r="X40655" t="str">
            <v>Variation UPR - gross</v>
          </cell>
          <cell r="Y40655" t="str">
            <v>SPAIN</v>
          </cell>
        </row>
        <row r="40656">
          <cell r="L40656" t="str">
            <v>Proportional</v>
          </cell>
          <cell r="S40656">
            <v>-2255</v>
          </cell>
          <cell r="X40656" t="str">
            <v>Variation UPR - gross</v>
          </cell>
          <cell r="Y40656" t="str">
            <v>ITALY</v>
          </cell>
        </row>
        <row r="40657">
          <cell r="L40657" t="str">
            <v>Non-proportional</v>
          </cell>
          <cell r="S40657">
            <v>-375.42</v>
          </cell>
          <cell r="X40657" t="str">
            <v>Variation UPR - gross</v>
          </cell>
          <cell r="Y40657" t="str">
            <v>ITALY</v>
          </cell>
        </row>
        <row r="40658">
          <cell r="L40658" t="str">
            <v>Non-proportional</v>
          </cell>
          <cell r="S40658">
            <v>-132.91999999999999</v>
          </cell>
          <cell r="X40658" t="str">
            <v>Variation UPR - gross</v>
          </cell>
          <cell r="Y40658" t="str">
            <v>ITALY</v>
          </cell>
        </row>
        <row r="40659">
          <cell r="L40659" t="str">
            <v>Non-proportional</v>
          </cell>
          <cell r="S40659">
            <v>-103875.68</v>
          </cell>
          <cell r="X40659" t="str">
            <v>Variation UPR - gross</v>
          </cell>
          <cell r="Y40659" t="str">
            <v>HONG KONG</v>
          </cell>
        </row>
        <row r="40660">
          <cell r="L40660" t="str">
            <v>Proportional</v>
          </cell>
          <cell r="S40660">
            <v>431.44</v>
          </cell>
          <cell r="X40660" t="str">
            <v>Variation UPR - gross</v>
          </cell>
          <cell r="Y40660" t="str">
            <v>THAILAND</v>
          </cell>
        </row>
        <row r="40661">
          <cell r="L40661" t="str">
            <v>Non-proportional</v>
          </cell>
          <cell r="S40661">
            <v>67.489999999999995</v>
          </cell>
          <cell r="X40661" t="str">
            <v>Variation UPR - gross</v>
          </cell>
          <cell r="Y40661" t="str">
            <v>CANADA</v>
          </cell>
        </row>
        <row r="40662">
          <cell r="L40662" t="str">
            <v>Non-proportional</v>
          </cell>
          <cell r="S40662">
            <v>-4751.26</v>
          </cell>
          <cell r="X40662" t="str">
            <v>Variation UPR - gross</v>
          </cell>
          <cell r="Y40662" t="str">
            <v>FRANCE</v>
          </cell>
        </row>
        <row r="40663">
          <cell r="L40663" t="str">
            <v>Non-proportional</v>
          </cell>
          <cell r="S40663">
            <v>-6270.67</v>
          </cell>
          <cell r="X40663" t="str">
            <v>Variation UPR - gross</v>
          </cell>
          <cell r="Y40663" t="str">
            <v>ECUADOR</v>
          </cell>
        </row>
        <row r="40664">
          <cell r="L40664" t="str">
            <v>Non-proportional</v>
          </cell>
          <cell r="S40664">
            <v>-143.11000000000001</v>
          </cell>
          <cell r="X40664" t="str">
            <v>Variation UPR - gross</v>
          </cell>
          <cell r="Y40664" t="str">
            <v>CHILE</v>
          </cell>
        </row>
        <row r="40665">
          <cell r="L40665" t="str">
            <v>Non-proportional</v>
          </cell>
          <cell r="S40665">
            <v>30.35</v>
          </cell>
          <cell r="X40665" t="str">
            <v>Variation UPR - gross</v>
          </cell>
          <cell r="Y40665" t="str">
            <v>JAPAN</v>
          </cell>
        </row>
        <row r="40666">
          <cell r="L40666" t="str">
            <v>Non-proportional</v>
          </cell>
          <cell r="S40666">
            <v>-21666.67</v>
          </cell>
          <cell r="X40666" t="str">
            <v>Variation UPR - gross</v>
          </cell>
          <cell r="Y40666" t="str">
            <v>FRANCE</v>
          </cell>
        </row>
        <row r="40667">
          <cell r="L40667" t="str">
            <v>Non-proportional</v>
          </cell>
          <cell r="S40667">
            <v>265.33</v>
          </cell>
          <cell r="X40667" t="str">
            <v>Variation UPR - gross</v>
          </cell>
          <cell r="Y40667" t="str">
            <v>COLOMBIA</v>
          </cell>
        </row>
        <row r="40668">
          <cell r="L40668" t="str">
            <v>Non-proportional</v>
          </cell>
          <cell r="S40668">
            <v>1.63</v>
          </cell>
          <cell r="X40668" t="str">
            <v>Variation UPR - gross</v>
          </cell>
          <cell r="Y40668" t="str">
            <v>GUATEMALA</v>
          </cell>
        </row>
        <row r="40669">
          <cell r="L40669" t="str">
            <v>Non-proportional</v>
          </cell>
          <cell r="S40669">
            <v>-0.04</v>
          </cell>
          <cell r="X40669" t="str">
            <v>Variation UPR - gross</v>
          </cell>
          <cell r="Y40669" t="str">
            <v>COLOMBIA</v>
          </cell>
        </row>
        <row r="40670">
          <cell r="L40670" t="str">
            <v>Non-proportional</v>
          </cell>
          <cell r="S40670">
            <v>-16520.41</v>
          </cell>
          <cell r="X40670" t="str">
            <v>Variation UPR - gross</v>
          </cell>
          <cell r="Y40670" t="str">
            <v>HONG KONG</v>
          </cell>
        </row>
        <row r="40671">
          <cell r="L40671" t="str">
            <v>Non-proportional</v>
          </cell>
          <cell r="S40671">
            <v>112.46</v>
          </cell>
          <cell r="X40671" t="str">
            <v>Variation UPR - gross</v>
          </cell>
          <cell r="Y40671" t="str">
            <v>JAPAN</v>
          </cell>
        </row>
        <row r="40672">
          <cell r="L40672" t="str">
            <v>Proportional</v>
          </cell>
          <cell r="S40672">
            <v>-178.67</v>
          </cell>
          <cell r="X40672" t="str">
            <v>Variation UPR - gross</v>
          </cell>
          <cell r="Y40672" t="str">
            <v>UNITED STATES</v>
          </cell>
        </row>
        <row r="40673">
          <cell r="L40673" t="str">
            <v>Non-proportional</v>
          </cell>
          <cell r="S40673">
            <v>81283.100000000006</v>
          </cell>
          <cell r="X40673" t="str">
            <v>Variation UPR - gross</v>
          </cell>
          <cell r="Y40673" t="str">
            <v>AUSTRALIA</v>
          </cell>
        </row>
        <row r="40674">
          <cell r="L40674" t="str">
            <v>Non-proportional</v>
          </cell>
          <cell r="S40674">
            <v>-53929.51</v>
          </cell>
          <cell r="X40674" t="str">
            <v>Variation UPR - gross</v>
          </cell>
          <cell r="Y40674" t="str">
            <v>UNITED KINGDOM</v>
          </cell>
        </row>
        <row r="40675">
          <cell r="L40675" t="str">
            <v>Non-proportional</v>
          </cell>
          <cell r="S40675">
            <v>-145.68</v>
          </cell>
          <cell r="X40675" t="str">
            <v>Variation UPR - gross</v>
          </cell>
          <cell r="Y40675" t="str">
            <v>ISRAEL</v>
          </cell>
        </row>
        <row r="40676">
          <cell r="L40676" t="str">
            <v>Non-proportional</v>
          </cell>
          <cell r="S40676">
            <v>-5122.63</v>
          </cell>
          <cell r="X40676" t="str">
            <v>Variation UPR - gross</v>
          </cell>
          <cell r="Y40676" t="str">
            <v>ISRAEL</v>
          </cell>
        </row>
        <row r="40677">
          <cell r="L40677" t="str">
            <v>Non-proportional</v>
          </cell>
          <cell r="S40677">
            <v>-2687.62</v>
          </cell>
          <cell r="X40677" t="str">
            <v>Variation UPR - gross</v>
          </cell>
          <cell r="Y40677" t="str">
            <v>ISRAEL</v>
          </cell>
        </row>
        <row r="40678">
          <cell r="L40678" t="str">
            <v>Non-proportional</v>
          </cell>
          <cell r="S40678">
            <v>-12011.95</v>
          </cell>
          <cell r="X40678" t="str">
            <v>Variation UPR - gross</v>
          </cell>
          <cell r="Y40678" t="str">
            <v>FRANCE</v>
          </cell>
        </row>
        <row r="40679">
          <cell r="L40679" t="str">
            <v>Non-proportional</v>
          </cell>
          <cell r="S40679">
            <v>-11442.1</v>
          </cell>
          <cell r="X40679" t="str">
            <v>Variation UPR - gross</v>
          </cell>
          <cell r="Y40679" t="str">
            <v>MEXICO</v>
          </cell>
        </row>
        <row r="40680">
          <cell r="L40680" t="str">
            <v>Non-proportional</v>
          </cell>
          <cell r="S40680">
            <v>-10499.88</v>
          </cell>
          <cell r="X40680" t="str">
            <v>Variation UPR - gross</v>
          </cell>
          <cell r="Y40680" t="str">
            <v>ITALY</v>
          </cell>
        </row>
        <row r="40681">
          <cell r="L40681" t="str">
            <v>Non-proportional</v>
          </cell>
          <cell r="S40681">
            <v>-621.34</v>
          </cell>
          <cell r="X40681" t="str">
            <v>Variation UPR - gross</v>
          </cell>
          <cell r="Y40681" t="str">
            <v>INDIA</v>
          </cell>
        </row>
        <row r="40682">
          <cell r="L40682" t="str">
            <v>Non-proportional</v>
          </cell>
          <cell r="S40682">
            <v>1.0900000000000001</v>
          </cell>
          <cell r="X40682" t="str">
            <v>Variation UPR - gross</v>
          </cell>
          <cell r="Y40682" t="str">
            <v>GUATEMALA</v>
          </cell>
        </row>
        <row r="40683">
          <cell r="L40683" t="str">
            <v>Non-proportional</v>
          </cell>
          <cell r="S40683">
            <v>-9406</v>
          </cell>
          <cell r="X40683" t="str">
            <v>Variation UPR - gross</v>
          </cell>
          <cell r="Y40683" t="str">
            <v>NEW ZEALAND</v>
          </cell>
        </row>
        <row r="40684">
          <cell r="L40684" t="str">
            <v>Non-proportional</v>
          </cell>
          <cell r="S40684">
            <v>66.53</v>
          </cell>
          <cell r="X40684" t="str">
            <v>Variation UPR - gross</v>
          </cell>
          <cell r="Y40684" t="str">
            <v>JAPAN</v>
          </cell>
        </row>
        <row r="40685">
          <cell r="L40685" t="str">
            <v>Non-proportional</v>
          </cell>
          <cell r="S40685">
            <v>-1059.4000000000001</v>
          </cell>
          <cell r="X40685" t="str">
            <v>Variation UPR - gross</v>
          </cell>
          <cell r="Y40685" t="str">
            <v>JAPAN</v>
          </cell>
        </row>
        <row r="40686">
          <cell r="L40686" t="str">
            <v>Non-proportional</v>
          </cell>
          <cell r="S40686">
            <v>-17015.54</v>
          </cell>
          <cell r="X40686" t="str">
            <v>Variation UPR - gross</v>
          </cell>
          <cell r="Y40686" t="str">
            <v>UNITED KINGDOM</v>
          </cell>
        </row>
        <row r="40687">
          <cell r="L40687" t="str">
            <v>Proportional</v>
          </cell>
          <cell r="S40687">
            <v>-4504.18</v>
          </cell>
          <cell r="X40687" t="str">
            <v>Variation UPR - gross</v>
          </cell>
          <cell r="Y40687" t="str">
            <v>INDIA</v>
          </cell>
        </row>
        <row r="40688">
          <cell r="L40688" t="str">
            <v>Non-proportional</v>
          </cell>
          <cell r="S40688">
            <v>-14424.04</v>
          </cell>
          <cell r="X40688" t="str">
            <v>Variation UPR - gross</v>
          </cell>
          <cell r="Y40688" t="str">
            <v>FRANCE</v>
          </cell>
        </row>
        <row r="40689">
          <cell r="L40689" t="str">
            <v>Non-proportional</v>
          </cell>
          <cell r="S40689">
            <v>-884.37</v>
          </cell>
          <cell r="X40689" t="str">
            <v>Variation UPR - gross</v>
          </cell>
          <cell r="Y40689" t="str">
            <v>FRANCE</v>
          </cell>
        </row>
        <row r="40690">
          <cell r="L40690" t="str">
            <v>Non-proportional</v>
          </cell>
          <cell r="S40690">
            <v>56.23</v>
          </cell>
          <cell r="X40690" t="str">
            <v>Variation UPR - gross</v>
          </cell>
          <cell r="Y40690" t="str">
            <v>JAPAN</v>
          </cell>
        </row>
        <row r="40691">
          <cell r="L40691" t="str">
            <v>Proportional</v>
          </cell>
          <cell r="S40691">
            <v>71.760000000000005</v>
          </cell>
          <cell r="X40691" t="str">
            <v>Variation UPR - gross</v>
          </cell>
          <cell r="Y40691" t="str">
            <v>UNITED STATES</v>
          </cell>
        </row>
        <row r="40692">
          <cell r="L40692" t="str">
            <v>Non-proportional</v>
          </cell>
          <cell r="S40692">
            <v>31931.87</v>
          </cell>
          <cell r="X40692" t="str">
            <v>Variation UPR - gross</v>
          </cell>
          <cell r="Y40692" t="str">
            <v>AUSTRALIA</v>
          </cell>
        </row>
        <row r="40693">
          <cell r="L40693" t="str">
            <v>Non-proportional</v>
          </cell>
          <cell r="S40693">
            <v>285816.13</v>
          </cell>
          <cell r="X40693" t="str">
            <v>Variation UPR - gross</v>
          </cell>
          <cell r="Y40693" t="str">
            <v>AUSTRALIA</v>
          </cell>
        </row>
        <row r="40694">
          <cell r="L40694" t="str">
            <v>Proportional</v>
          </cell>
          <cell r="S40694">
            <v>-53177.8</v>
          </cell>
          <cell r="X40694" t="str">
            <v>Variation UPR - gross</v>
          </cell>
          <cell r="Y40694" t="str">
            <v>HONG KONG</v>
          </cell>
        </row>
        <row r="40695">
          <cell r="L40695" t="str">
            <v>Proportional</v>
          </cell>
          <cell r="S40695">
            <v>8014</v>
          </cell>
          <cell r="X40695" t="str">
            <v>Variation UPR - gross</v>
          </cell>
          <cell r="Y40695" t="str">
            <v>CHILE</v>
          </cell>
        </row>
        <row r="40696">
          <cell r="L40696"/>
          <cell r="S40696">
            <v>-2372.39</v>
          </cell>
          <cell r="X40696" t="str">
            <v>Variation UPR - gross</v>
          </cell>
          <cell r="Y40696" t="str">
            <v>PORTUGAL</v>
          </cell>
        </row>
        <row r="40697">
          <cell r="L40697" t="str">
            <v>Non-proportional</v>
          </cell>
          <cell r="S40697">
            <v>5.61</v>
          </cell>
          <cell r="X40697" t="str">
            <v>Variation UPR - gross</v>
          </cell>
          <cell r="Y40697" t="str">
            <v>GUATEMALA</v>
          </cell>
        </row>
        <row r="40698">
          <cell r="L40698" t="str">
            <v>Non-proportional</v>
          </cell>
          <cell r="S40698">
            <v>-3824.05</v>
          </cell>
          <cell r="X40698" t="str">
            <v>Variation UPR - gross</v>
          </cell>
          <cell r="Y40698" t="str">
            <v>ECUADOR</v>
          </cell>
        </row>
        <row r="40699">
          <cell r="L40699" t="str">
            <v>Non-proportional</v>
          </cell>
          <cell r="S40699">
            <v>-9043.94</v>
          </cell>
          <cell r="X40699" t="str">
            <v>Variation UPR - gross</v>
          </cell>
          <cell r="Y40699" t="str">
            <v>FRANCE</v>
          </cell>
        </row>
        <row r="40700">
          <cell r="L40700" t="str">
            <v>Non-proportional</v>
          </cell>
          <cell r="S40700">
            <v>108292.3</v>
          </cell>
          <cell r="X40700" t="str">
            <v>Variation UPR - gross</v>
          </cell>
          <cell r="Y40700" t="str">
            <v>ECUADOR</v>
          </cell>
        </row>
        <row r="40701">
          <cell r="L40701" t="str">
            <v>Non-proportional</v>
          </cell>
          <cell r="S40701">
            <v>-23620.07</v>
          </cell>
          <cell r="X40701" t="str">
            <v>Variation UPR - gross</v>
          </cell>
          <cell r="Y40701" t="str">
            <v>NEW ZEALAND</v>
          </cell>
        </row>
        <row r="40702">
          <cell r="L40702" t="str">
            <v>Non-proportional</v>
          </cell>
          <cell r="S40702">
            <v>-1837.76</v>
          </cell>
          <cell r="X40702" t="str">
            <v>Variation UPR - gross</v>
          </cell>
          <cell r="Y40702" t="str">
            <v>PERU</v>
          </cell>
        </row>
        <row r="40703">
          <cell r="L40703" t="str">
            <v>Non-proportional</v>
          </cell>
          <cell r="S40703">
            <v>-4061.37</v>
          </cell>
          <cell r="X40703" t="str">
            <v>Variation UPR - gross</v>
          </cell>
          <cell r="Y40703" t="str">
            <v>FRANCE</v>
          </cell>
        </row>
        <row r="40704">
          <cell r="L40704" t="str">
            <v>Non-proportional</v>
          </cell>
          <cell r="S40704">
            <v>-49585.18</v>
          </cell>
          <cell r="X40704" t="str">
            <v>Variation UPR - gross</v>
          </cell>
          <cell r="Y40704" t="str">
            <v>UNITED KINGDOM</v>
          </cell>
        </row>
        <row r="40705">
          <cell r="L40705" t="str">
            <v>Non-proportional</v>
          </cell>
          <cell r="S40705">
            <v>-34.26</v>
          </cell>
          <cell r="X40705" t="str">
            <v>Variation UPR - gross</v>
          </cell>
          <cell r="Y40705" t="str">
            <v>ISRAEL</v>
          </cell>
        </row>
        <row r="40706">
          <cell r="L40706" t="str">
            <v>Non-proportional</v>
          </cell>
          <cell r="S40706">
            <v>-8702.85</v>
          </cell>
          <cell r="X40706" t="str">
            <v>Variation UPR - gross</v>
          </cell>
          <cell r="Y40706" t="str">
            <v>ECUADOR</v>
          </cell>
        </row>
        <row r="40707">
          <cell r="L40707" t="str">
            <v>Non-proportional</v>
          </cell>
          <cell r="S40707">
            <v>-9820.35</v>
          </cell>
          <cell r="X40707" t="str">
            <v>Variation UPR - gross</v>
          </cell>
          <cell r="Y40707" t="str">
            <v>PERU</v>
          </cell>
        </row>
        <row r="40708">
          <cell r="L40708" t="str">
            <v>Non-proportional</v>
          </cell>
          <cell r="S40708">
            <v>-40150</v>
          </cell>
          <cell r="X40708" t="str">
            <v>Variation UPR - gross</v>
          </cell>
          <cell r="Y40708" t="str">
            <v>PORTUGAL</v>
          </cell>
        </row>
        <row r="40709">
          <cell r="L40709" t="str">
            <v>Non-proportional</v>
          </cell>
          <cell r="S40709">
            <v>3076.8</v>
          </cell>
          <cell r="X40709" t="str">
            <v>Variation UPR - gross</v>
          </cell>
          <cell r="Y40709" t="str">
            <v>CHILE</v>
          </cell>
        </row>
        <row r="40710">
          <cell r="L40710" t="str">
            <v>Non-proportional</v>
          </cell>
          <cell r="S40710">
            <v>-8843.8799999999992</v>
          </cell>
          <cell r="X40710" t="str">
            <v>Variation UPR - gross</v>
          </cell>
          <cell r="Y40710" t="str">
            <v>TURKEY</v>
          </cell>
        </row>
        <row r="40711">
          <cell r="L40711" t="str">
            <v>Non-proportional</v>
          </cell>
          <cell r="S40711">
            <v>-19.34</v>
          </cell>
          <cell r="X40711" t="str">
            <v>Variation UPR - gross</v>
          </cell>
          <cell r="Y40711" t="str">
            <v>ISRAEL</v>
          </cell>
        </row>
        <row r="40712">
          <cell r="L40712" t="str">
            <v>Non-proportional</v>
          </cell>
          <cell r="S40712">
            <v>-167.45</v>
          </cell>
          <cell r="X40712" t="str">
            <v>Variation UPR - gross</v>
          </cell>
          <cell r="Y40712" t="str">
            <v>FRANCE</v>
          </cell>
        </row>
        <row r="40713">
          <cell r="L40713" t="str">
            <v>Non-proportional</v>
          </cell>
          <cell r="S40713">
            <v>-11.53</v>
          </cell>
          <cell r="X40713" t="str">
            <v>Variation UPR - gross</v>
          </cell>
          <cell r="Y40713" t="str">
            <v>ISRAEL</v>
          </cell>
        </row>
        <row r="40714">
          <cell r="L40714" t="str">
            <v>Non-proportional</v>
          </cell>
          <cell r="S40714">
            <v>-0.03</v>
          </cell>
          <cell r="X40714" t="str">
            <v>Variation UPR - gross</v>
          </cell>
          <cell r="Y40714" t="str">
            <v>THAILAND</v>
          </cell>
        </row>
        <row r="40715">
          <cell r="L40715" t="str">
            <v>Non-proportional</v>
          </cell>
          <cell r="S40715">
            <v>-5001.13</v>
          </cell>
          <cell r="X40715" t="str">
            <v>Variation UPR - gross</v>
          </cell>
          <cell r="Y40715" t="str">
            <v>ITALY</v>
          </cell>
        </row>
        <row r="40716">
          <cell r="L40716" t="str">
            <v>Non-proportional</v>
          </cell>
          <cell r="S40716">
            <v>13.01</v>
          </cell>
          <cell r="X40716" t="str">
            <v>Variation UPR - gross</v>
          </cell>
          <cell r="Y40716" t="str">
            <v>NEW ZEALAND</v>
          </cell>
        </row>
        <row r="40717">
          <cell r="L40717" t="str">
            <v>Non-proportional</v>
          </cell>
          <cell r="S40717">
            <v>54.07</v>
          </cell>
          <cell r="X40717" t="str">
            <v>Variation UPR - gross</v>
          </cell>
          <cell r="Y40717" t="str">
            <v>JAPAN</v>
          </cell>
        </row>
        <row r="40718">
          <cell r="L40718" t="str">
            <v>Non-proportional</v>
          </cell>
          <cell r="S40718">
            <v>-192601.96</v>
          </cell>
          <cell r="X40718" t="str">
            <v>Variation UPR - gross</v>
          </cell>
          <cell r="Y40718" t="str">
            <v>PORTUGAL</v>
          </cell>
        </row>
        <row r="40719">
          <cell r="L40719" t="str">
            <v>Non-proportional</v>
          </cell>
          <cell r="S40719">
            <v>-543.75</v>
          </cell>
          <cell r="X40719" t="str">
            <v>Variation UPR - gross</v>
          </cell>
          <cell r="Y40719" t="str">
            <v>GREECE</v>
          </cell>
        </row>
        <row r="40720">
          <cell r="L40720" t="str">
            <v>Non-proportional</v>
          </cell>
          <cell r="S40720">
            <v>14666.36</v>
          </cell>
          <cell r="X40720" t="str">
            <v>Variation UPR - gross</v>
          </cell>
          <cell r="Y40720" t="str">
            <v>ECUADOR</v>
          </cell>
        </row>
        <row r="40721">
          <cell r="L40721" t="str">
            <v>Non-proportional</v>
          </cell>
          <cell r="S40721">
            <v>-12352.66</v>
          </cell>
          <cell r="X40721" t="str">
            <v>Variation UPR - gross</v>
          </cell>
          <cell r="Y40721" t="str">
            <v>COSTA RICA</v>
          </cell>
        </row>
        <row r="40722">
          <cell r="L40722" t="str">
            <v>Non-proportional</v>
          </cell>
          <cell r="S40722">
            <v>-771.5</v>
          </cell>
          <cell r="X40722" t="str">
            <v>Variation UPR - gross</v>
          </cell>
          <cell r="Y40722" t="str">
            <v>GERMANY</v>
          </cell>
        </row>
        <row r="40723">
          <cell r="L40723" t="str">
            <v>Non-proportional</v>
          </cell>
          <cell r="S40723">
            <v>894.42</v>
          </cell>
          <cell r="X40723" t="str">
            <v>Variation UPR - gross</v>
          </cell>
          <cell r="Y40723" t="str">
            <v>CHILE</v>
          </cell>
        </row>
        <row r="40724">
          <cell r="L40724" t="str">
            <v>Proportional</v>
          </cell>
          <cell r="S40724">
            <v>-144024.28</v>
          </cell>
          <cell r="X40724" t="str">
            <v>Variation UPR - gross</v>
          </cell>
          <cell r="Y40724" t="str">
            <v>CANADA</v>
          </cell>
        </row>
        <row r="40725">
          <cell r="L40725" t="str">
            <v>Non-proportional</v>
          </cell>
          <cell r="S40725">
            <v>-4.29</v>
          </cell>
          <cell r="X40725" t="str">
            <v>Variation UPR - gross</v>
          </cell>
          <cell r="Y40725" t="str">
            <v>COSTA RICA</v>
          </cell>
        </row>
        <row r="40726">
          <cell r="L40726" t="str">
            <v>Non-proportional</v>
          </cell>
          <cell r="S40726">
            <v>-873.66</v>
          </cell>
          <cell r="X40726" t="str">
            <v>Variation UPR - gross</v>
          </cell>
          <cell r="Y40726" t="str">
            <v>COSTA RICA</v>
          </cell>
        </row>
        <row r="40727">
          <cell r="L40727" t="str">
            <v>Non-proportional</v>
          </cell>
          <cell r="S40727">
            <v>-1178960.3999999999</v>
          </cell>
          <cell r="X40727" t="str">
            <v>Variation UPR - gross</v>
          </cell>
          <cell r="Y40727" t="str">
            <v>BELGIUM</v>
          </cell>
        </row>
        <row r="40728">
          <cell r="L40728" t="str">
            <v>Non-proportional</v>
          </cell>
          <cell r="S40728">
            <v>-2043.75</v>
          </cell>
          <cell r="X40728" t="str">
            <v>Variation UPR - gross</v>
          </cell>
          <cell r="Y40728" t="str">
            <v>GREECE</v>
          </cell>
        </row>
        <row r="40729">
          <cell r="L40729" t="str">
            <v>Proportional</v>
          </cell>
          <cell r="S40729">
            <v>-64403.040000000001</v>
          </cell>
          <cell r="X40729" t="str">
            <v>Variation UPR - gross</v>
          </cell>
          <cell r="Y40729" t="str">
            <v>THAILAND</v>
          </cell>
        </row>
        <row r="40730">
          <cell r="L40730" t="str">
            <v>Proportional</v>
          </cell>
          <cell r="S40730">
            <v>-18581.21</v>
          </cell>
          <cell r="X40730" t="str">
            <v>Variation UPR - gross</v>
          </cell>
          <cell r="Y40730" t="str">
            <v>MEXICO</v>
          </cell>
        </row>
        <row r="40731">
          <cell r="L40731" t="str">
            <v>Proportional</v>
          </cell>
          <cell r="S40731">
            <v>-10960.89</v>
          </cell>
          <cell r="X40731" t="str">
            <v>Variation UPR - gross</v>
          </cell>
          <cell r="Y40731" t="str">
            <v>THAILAND</v>
          </cell>
        </row>
        <row r="40732">
          <cell r="L40732" t="str">
            <v>Non-proportional</v>
          </cell>
          <cell r="S40732">
            <v>-2167.5500000000002</v>
          </cell>
          <cell r="X40732" t="str">
            <v>Variation UPR - gross</v>
          </cell>
          <cell r="Y40732" t="str">
            <v>UNITED KINGDOM</v>
          </cell>
        </row>
        <row r="40733">
          <cell r="L40733" t="str">
            <v>Non-proportional</v>
          </cell>
          <cell r="S40733">
            <v>-1732.19</v>
          </cell>
          <cell r="X40733" t="str">
            <v>Variation UPR - gross</v>
          </cell>
          <cell r="Y40733" t="str">
            <v>JAPAN</v>
          </cell>
        </row>
        <row r="40734">
          <cell r="L40734" t="str">
            <v>Proportional</v>
          </cell>
          <cell r="S40734">
            <v>-198440</v>
          </cell>
          <cell r="X40734" t="str">
            <v>Variation UPR - gross</v>
          </cell>
          <cell r="Y40734" t="str">
            <v>PORTUGAL</v>
          </cell>
        </row>
        <row r="40735">
          <cell r="L40735" t="str">
            <v>Non-proportional</v>
          </cell>
          <cell r="S40735">
            <v>-427.44</v>
          </cell>
          <cell r="X40735" t="str">
            <v>Variation UPR - gross</v>
          </cell>
          <cell r="Y40735" t="str">
            <v>THAILAND</v>
          </cell>
        </row>
        <row r="40736">
          <cell r="L40736" t="str">
            <v>Proportional</v>
          </cell>
          <cell r="S40736">
            <v>-78360.350000000006</v>
          </cell>
          <cell r="X40736" t="str">
            <v>Variation UPR - gross</v>
          </cell>
          <cell r="Y40736" t="str">
            <v>THAILAND</v>
          </cell>
        </row>
        <row r="40737">
          <cell r="L40737" t="str">
            <v>Proportional</v>
          </cell>
          <cell r="S40737">
            <v>-33811.589999999997</v>
          </cell>
          <cell r="X40737" t="str">
            <v>Variation UPR - gross</v>
          </cell>
          <cell r="Y40737" t="str">
            <v>THAILAND</v>
          </cell>
        </row>
        <row r="40738">
          <cell r="L40738" t="str">
            <v>Non-proportional</v>
          </cell>
          <cell r="S40738">
            <v>-950.63</v>
          </cell>
          <cell r="X40738" t="str">
            <v>Variation UPR - gross</v>
          </cell>
          <cell r="Y40738" t="str">
            <v>ECUADOR</v>
          </cell>
        </row>
        <row r="40739">
          <cell r="L40739" t="str">
            <v>Non-proportional</v>
          </cell>
          <cell r="S40739">
            <v>-8033.34</v>
          </cell>
          <cell r="X40739" t="str">
            <v>Variation UPR - gross</v>
          </cell>
          <cell r="Y40739" t="str">
            <v>JAPAN</v>
          </cell>
        </row>
        <row r="40740">
          <cell r="L40740" t="str">
            <v>Proportional</v>
          </cell>
          <cell r="S40740">
            <v>-42256.24</v>
          </cell>
          <cell r="X40740" t="str">
            <v>Variation UPR - gross</v>
          </cell>
          <cell r="Y40740" t="str">
            <v>PORTUGAL</v>
          </cell>
        </row>
        <row r="40741">
          <cell r="L40741" t="str">
            <v>Non-proportional</v>
          </cell>
          <cell r="S40741">
            <v>-1334</v>
          </cell>
          <cell r="X40741" t="str">
            <v>Variation UPR - gross</v>
          </cell>
          <cell r="Y40741" t="str">
            <v>NEW ZEALAND</v>
          </cell>
        </row>
        <row r="40742">
          <cell r="L40742" t="str">
            <v>Proportional</v>
          </cell>
          <cell r="S40742">
            <v>-39352.26</v>
          </cell>
          <cell r="X40742" t="str">
            <v>Variation UPR - gross</v>
          </cell>
          <cell r="Y40742" t="str">
            <v>INDIA</v>
          </cell>
        </row>
        <row r="40743">
          <cell r="L40743" t="str">
            <v>Proportional</v>
          </cell>
          <cell r="S40743">
            <v>-1699.12</v>
          </cell>
          <cell r="X40743" t="str">
            <v>Variation UPR - gross</v>
          </cell>
          <cell r="Y40743" t="str">
            <v>INDIA</v>
          </cell>
        </row>
        <row r="40744">
          <cell r="L40744" t="str">
            <v>Non-proportional</v>
          </cell>
          <cell r="S40744">
            <v>-431429.23</v>
          </cell>
          <cell r="X40744" t="str">
            <v>Variation UPR - gross</v>
          </cell>
          <cell r="Y40744" t="str">
            <v>UNITED KINGDOM</v>
          </cell>
        </row>
        <row r="40745">
          <cell r="L40745" t="str">
            <v>Non-proportional</v>
          </cell>
          <cell r="S40745">
            <v>-2081.81</v>
          </cell>
          <cell r="X40745" t="str">
            <v>Variation UPR - gross</v>
          </cell>
          <cell r="Y40745" t="str">
            <v>PERU</v>
          </cell>
        </row>
        <row r="40746">
          <cell r="L40746" t="str">
            <v>Non-proportional</v>
          </cell>
          <cell r="S40746">
            <v>-11510.64</v>
          </cell>
          <cell r="X40746" t="str">
            <v>Variation UPR - gross</v>
          </cell>
          <cell r="Y40746" t="str">
            <v>EUROPE</v>
          </cell>
        </row>
        <row r="40747">
          <cell r="L40747" t="str">
            <v>Non-proportional</v>
          </cell>
          <cell r="S40747">
            <v>-8125.11</v>
          </cell>
          <cell r="X40747" t="str">
            <v>Variation UPR - gross</v>
          </cell>
          <cell r="Y40747" t="str">
            <v>MEXICO</v>
          </cell>
        </row>
        <row r="40748">
          <cell r="L40748" t="str">
            <v>Non-proportional</v>
          </cell>
          <cell r="S40748">
            <v>-71.55</v>
          </cell>
          <cell r="X40748" t="str">
            <v>Variation UPR - gross</v>
          </cell>
          <cell r="Y40748" t="str">
            <v>CHILE</v>
          </cell>
        </row>
        <row r="40749">
          <cell r="L40749" t="str">
            <v>Non-proportional</v>
          </cell>
          <cell r="S40749">
            <v>-5899.12</v>
          </cell>
          <cell r="X40749" t="str">
            <v>Variation UPR - gross</v>
          </cell>
          <cell r="Y40749" t="str">
            <v>ISRAEL</v>
          </cell>
        </row>
        <row r="40750">
          <cell r="L40750" t="str">
            <v>Non-proportional</v>
          </cell>
          <cell r="S40750">
            <v>-10330.25</v>
          </cell>
          <cell r="X40750" t="str">
            <v>Variation UPR - gross</v>
          </cell>
          <cell r="Y40750" t="str">
            <v>UNITED KINGDOM</v>
          </cell>
        </row>
        <row r="40751">
          <cell r="L40751" t="str">
            <v>Non-proportional</v>
          </cell>
          <cell r="S40751">
            <v>-9053.2099999999991</v>
          </cell>
          <cell r="X40751" t="str">
            <v>Variation UPR - gross</v>
          </cell>
          <cell r="Y40751" t="str">
            <v>ITALY</v>
          </cell>
        </row>
        <row r="40752">
          <cell r="L40752" t="str">
            <v>Non-proportional</v>
          </cell>
          <cell r="S40752">
            <v>0.02</v>
          </cell>
          <cell r="X40752" t="str">
            <v>Variation UPR - gross</v>
          </cell>
          <cell r="Y40752" t="str">
            <v>INDIA</v>
          </cell>
        </row>
        <row r="40753">
          <cell r="L40753" t="str">
            <v>Non-proportional</v>
          </cell>
          <cell r="S40753">
            <v>123690.1</v>
          </cell>
          <cell r="X40753" t="str">
            <v>Variation UPR - gross</v>
          </cell>
          <cell r="Y40753" t="str">
            <v>AUSTRALIA</v>
          </cell>
        </row>
        <row r="40754">
          <cell r="L40754" t="str">
            <v>Non-proportional</v>
          </cell>
          <cell r="S40754">
            <v>-32171.32</v>
          </cell>
          <cell r="X40754" t="str">
            <v>Variation UPR - gross</v>
          </cell>
          <cell r="Y40754" t="str">
            <v>HONG KONG</v>
          </cell>
        </row>
        <row r="40755">
          <cell r="L40755" t="str">
            <v>Non-proportional</v>
          </cell>
          <cell r="S40755">
            <v>-2495.2199999999998</v>
          </cell>
          <cell r="X40755" t="str">
            <v>Variation UPR - gross</v>
          </cell>
          <cell r="Y40755" t="str">
            <v>ITALY</v>
          </cell>
        </row>
        <row r="40756">
          <cell r="L40756" t="str">
            <v>Non-proportional</v>
          </cell>
          <cell r="S40756">
            <v>-1823.29</v>
          </cell>
          <cell r="X40756" t="str">
            <v>Variation UPR - gross</v>
          </cell>
          <cell r="Y40756" t="str">
            <v>SOUTH AFRICA</v>
          </cell>
        </row>
        <row r="40757">
          <cell r="L40757" t="str">
            <v>Non-proportional</v>
          </cell>
          <cell r="S40757">
            <v>-12001.33</v>
          </cell>
          <cell r="X40757" t="str">
            <v>Variation UPR - gross</v>
          </cell>
          <cell r="Y40757" t="str">
            <v>ITALY</v>
          </cell>
        </row>
        <row r="40758">
          <cell r="L40758" t="str">
            <v>Non-proportional</v>
          </cell>
          <cell r="S40758">
            <v>-1073.3</v>
          </cell>
          <cell r="X40758" t="str">
            <v>Variation UPR - gross</v>
          </cell>
          <cell r="Y40758" t="str">
            <v>CHILE</v>
          </cell>
        </row>
        <row r="40759">
          <cell r="L40759" t="str">
            <v>Non-proportional</v>
          </cell>
          <cell r="S40759">
            <v>-39127.29</v>
          </cell>
          <cell r="X40759" t="str">
            <v>Variation UPR - gross</v>
          </cell>
          <cell r="Y40759" t="str">
            <v>UNITED STATES</v>
          </cell>
        </row>
        <row r="40760">
          <cell r="L40760" t="str">
            <v>Non-proportional</v>
          </cell>
          <cell r="S40760">
            <v>-7.0000000000000007E-2</v>
          </cell>
          <cell r="X40760" t="str">
            <v>Variation UPR - gross</v>
          </cell>
          <cell r="Y40760" t="str">
            <v>COLOMBIA</v>
          </cell>
        </row>
        <row r="40761">
          <cell r="L40761" t="str">
            <v>Non-proportional</v>
          </cell>
          <cell r="S40761">
            <v>-14583.41</v>
          </cell>
          <cell r="X40761" t="str">
            <v>Variation UPR - gross</v>
          </cell>
          <cell r="Y40761" t="str">
            <v>EUROPE</v>
          </cell>
        </row>
        <row r="40762">
          <cell r="L40762" t="str">
            <v>Proportional</v>
          </cell>
          <cell r="S40762">
            <v>-1558553.5</v>
          </cell>
          <cell r="X40762" t="str">
            <v>Variation UPR - gross</v>
          </cell>
          <cell r="Y40762" t="str">
            <v>THAILAND</v>
          </cell>
        </row>
        <row r="40763">
          <cell r="L40763" t="str">
            <v>Non-proportional</v>
          </cell>
          <cell r="S40763">
            <v>-129823.33</v>
          </cell>
          <cell r="X40763" t="str">
            <v>Variation UPR - gross</v>
          </cell>
          <cell r="Y40763" t="str">
            <v>PORTUGAL</v>
          </cell>
        </row>
        <row r="40764">
          <cell r="L40764" t="str">
            <v>Non-proportional</v>
          </cell>
          <cell r="S40764">
            <v>-4.7300000000000004</v>
          </cell>
          <cell r="X40764" t="str">
            <v>Variation UPR - gross</v>
          </cell>
          <cell r="Y40764" t="str">
            <v>COSTA RICA</v>
          </cell>
        </row>
        <row r="40765">
          <cell r="L40765" t="str">
            <v>Non-proportional</v>
          </cell>
          <cell r="S40765">
            <v>91.42</v>
          </cell>
          <cell r="X40765" t="str">
            <v>Variation UPR - gross</v>
          </cell>
          <cell r="Y40765" t="str">
            <v>JAPAN</v>
          </cell>
        </row>
        <row r="40766">
          <cell r="L40766" t="str">
            <v>Non-proportional</v>
          </cell>
          <cell r="S40766">
            <v>32375.98</v>
          </cell>
          <cell r="X40766" t="str">
            <v>Variation UPR - gross</v>
          </cell>
          <cell r="Y40766" t="str">
            <v>DOMINICAN REPUBLIC</v>
          </cell>
        </row>
        <row r="40767">
          <cell r="L40767" t="str">
            <v>Non-proportional</v>
          </cell>
          <cell r="S40767">
            <v>-71.55</v>
          </cell>
          <cell r="X40767" t="str">
            <v>Variation UPR - gross</v>
          </cell>
          <cell r="Y40767" t="str">
            <v>CHILE</v>
          </cell>
        </row>
        <row r="40768">
          <cell r="L40768" t="str">
            <v>Non-proportional</v>
          </cell>
          <cell r="S40768">
            <v>42.19</v>
          </cell>
          <cell r="X40768" t="str">
            <v>Variation UPR - gross</v>
          </cell>
          <cell r="Y40768" t="str">
            <v>JAPAN</v>
          </cell>
        </row>
        <row r="40769">
          <cell r="L40769" t="str">
            <v>Non-proportional</v>
          </cell>
          <cell r="S40769">
            <v>-90200</v>
          </cell>
          <cell r="X40769" t="str">
            <v>Variation UPR - gross</v>
          </cell>
          <cell r="Y40769" t="str">
            <v>EUROPE</v>
          </cell>
        </row>
        <row r="40770">
          <cell r="L40770" t="str">
            <v>Non-proportional</v>
          </cell>
          <cell r="S40770">
            <v>-45758.47</v>
          </cell>
          <cell r="X40770" t="str">
            <v>Variation UPR - gross</v>
          </cell>
          <cell r="Y40770" t="str">
            <v>TURKEY</v>
          </cell>
        </row>
        <row r="40771">
          <cell r="L40771" t="str">
            <v>Non-proportional</v>
          </cell>
          <cell r="S40771">
            <v>-387.5</v>
          </cell>
          <cell r="X40771" t="str">
            <v>Variation UPR - gross</v>
          </cell>
          <cell r="Y40771" t="str">
            <v>ITALY</v>
          </cell>
        </row>
        <row r="40772">
          <cell r="L40772" t="str">
            <v>Non-proportional</v>
          </cell>
          <cell r="S40772">
            <v>-3796.46</v>
          </cell>
          <cell r="X40772" t="str">
            <v>Variation UPR - gross</v>
          </cell>
          <cell r="Y40772" t="str">
            <v>ITALY</v>
          </cell>
        </row>
        <row r="40773">
          <cell r="L40773" t="str">
            <v>Non-proportional</v>
          </cell>
          <cell r="S40773">
            <v>-9251.26</v>
          </cell>
          <cell r="X40773" t="str">
            <v>Variation UPR - gross</v>
          </cell>
          <cell r="Y40773" t="str">
            <v>ITALY</v>
          </cell>
        </row>
        <row r="40774">
          <cell r="L40774" t="str">
            <v>Proportional</v>
          </cell>
          <cell r="S40774">
            <v>-1538.4</v>
          </cell>
          <cell r="X40774" t="str">
            <v>Variation UPR - gross</v>
          </cell>
          <cell r="Y40774" t="str">
            <v>CHILE</v>
          </cell>
        </row>
        <row r="40775">
          <cell r="L40775" t="str">
            <v>Non-proportional</v>
          </cell>
          <cell r="S40775">
            <v>36.35</v>
          </cell>
          <cell r="X40775" t="str">
            <v>Variation UPR - gross</v>
          </cell>
          <cell r="Y40775" t="str">
            <v>COLOMBIA</v>
          </cell>
        </row>
        <row r="40776">
          <cell r="L40776" t="str">
            <v>Non-proportional</v>
          </cell>
          <cell r="S40776">
            <v>-6095.84</v>
          </cell>
          <cell r="X40776" t="str">
            <v>Variation UPR - gross</v>
          </cell>
          <cell r="Y40776" t="str">
            <v>INDIA</v>
          </cell>
        </row>
        <row r="40777">
          <cell r="L40777" t="str">
            <v>Non-proportional</v>
          </cell>
          <cell r="S40777">
            <v>3792.34</v>
          </cell>
          <cell r="X40777" t="str">
            <v>Variation UPR - gross</v>
          </cell>
          <cell r="Y40777" t="str">
            <v>CHILE</v>
          </cell>
        </row>
        <row r="40778">
          <cell r="L40778" t="str">
            <v>Non-proportional</v>
          </cell>
          <cell r="S40778">
            <v>-612.5</v>
          </cell>
          <cell r="X40778" t="str">
            <v>Variation UPR - gross</v>
          </cell>
          <cell r="Y40778" t="str">
            <v>GREECE</v>
          </cell>
        </row>
        <row r="40779">
          <cell r="L40779" t="str">
            <v>Non-proportional</v>
          </cell>
          <cell r="S40779">
            <v>-7955.54</v>
          </cell>
          <cell r="X40779" t="str">
            <v>Variation UPR - gross</v>
          </cell>
          <cell r="Y40779" t="str">
            <v>NEW ZEALAND</v>
          </cell>
        </row>
        <row r="40780">
          <cell r="L40780" t="str">
            <v>Proportional</v>
          </cell>
          <cell r="S40780">
            <v>-228.08</v>
          </cell>
          <cell r="X40780" t="str">
            <v>Variation UPR - gross</v>
          </cell>
          <cell r="Y40780" t="str">
            <v>THAILAND</v>
          </cell>
        </row>
        <row r="40781">
          <cell r="L40781" t="str">
            <v>Non-proportional</v>
          </cell>
          <cell r="S40781">
            <v>-24750</v>
          </cell>
          <cell r="X40781" t="str">
            <v>Variation UPR - gross</v>
          </cell>
          <cell r="Y40781" t="str">
            <v>GREECE</v>
          </cell>
        </row>
        <row r="40782">
          <cell r="L40782" t="str">
            <v>Non-proportional</v>
          </cell>
          <cell r="S40782">
            <v>-42.85</v>
          </cell>
          <cell r="X40782" t="str">
            <v>Variation UPR - gross</v>
          </cell>
          <cell r="Y40782" t="str">
            <v>ISRAEL</v>
          </cell>
        </row>
        <row r="40783">
          <cell r="L40783" t="str">
            <v>Non-proportional</v>
          </cell>
          <cell r="S40783">
            <v>-4286.47</v>
          </cell>
          <cell r="X40783" t="str">
            <v>Variation UPR - gross</v>
          </cell>
          <cell r="Y40783" t="str">
            <v>THAILAND</v>
          </cell>
        </row>
        <row r="40784">
          <cell r="L40784" t="str">
            <v>Non-proportional</v>
          </cell>
          <cell r="S40784">
            <v>-3156.96</v>
          </cell>
          <cell r="X40784" t="str">
            <v>Variation UPR - gross</v>
          </cell>
          <cell r="Y40784" t="str">
            <v>PERU</v>
          </cell>
        </row>
        <row r="40785">
          <cell r="L40785" t="str">
            <v>Non-proportional</v>
          </cell>
          <cell r="S40785">
            <v>-4949.13</v>
          </cell>
          <cell r="X40785" t="str">
            <v>Variation UPR - gross</v>
          </cell>
          <cell r="Y40785" t="str">
            <v>NETHERLANDS</v>
          </cell>
        </row>
        <row r="40786">
          <cell r="L40786" t="str">
            <v>Non-proportional</v>
          </cell>
          <cell r="S40786">
            <v>34.79</v>
          </cell>
          <cell r="X40786" t="str">
            <v>Variation UPR - gross</v>
          </cell>
          <cell r="Y40786" t="str">
            <v>JAPAN</v>
          </cell>
        </row>
        <row r="40787">
          <cell r="L40787" t="str">
            <v>Non-proportional</v>
          </cell>
          <cell r="S40787">
            <v>292583.33</v>
          </cell>
          <cell r="X40787" t="str">
            <v>Variation UPR - gross</v>
          </cell>
          <cell r="Y40787" t="str">
            <v>AUSTRALIA</v>
          </cell>
        </row>
        <row r="40788">
          <cell r="L40788" t="str">
            <v>Proportional</v>
          </cell>
          <cell r="S40788">
            <v>-288902.82</v>
          </cell>
          <cell r="X40788" t="str">
            <v>Variation UPR - gross</v>
          </cell>
          <cell r="Y40788" t="str">
            <v>SWITZERLAND</v>
          </cell>
        </row>
        <row r="40789">
          <cell r="L40789" t="str">
            <v>Proportional</v>
          </cell>
          <cell r="S40789">
            <v>-49253.97</v>
          </cell>
          <cell r="X40789" t="str">
            <v>Variation UPR - gross</v>
          </cell>
          <cell r="Y40789" t="str">
            <v>FRANCE</v>
          </cell>
        </row>
        <row r="40790">
          <cell r="L40790" t="str">
            <v>Non-proportional</v>
          </cell>
          <cell r="S40790">
            <v>-42989.41</v>
          </cell>
          <cell r="X40790" t="str">
            <v>Variation UPR - gross</v>
          </cell>
          <cell r="Y40790" t="str">
            <v>UNITED KINGDOM</v>
          </cell>
        </row>
        <row r="40791">
          <cell r="L40791" t="str">
            <v>Proportional</v>
          </cell>
          <cell r="S40791">
            <v>-11270.53</v>
          </cell>
          <cell r="X40791" t="str">
            <v>Variation UPR - gross</v>
          </cell>
          <cell r="Y40791" t="str">
            <v>THAILAND</v>
          </cell>
        </row>
        <row r="40792">
          <cell r="L40792" t="str">
            <v>Proportional</v>
          </cell>
          <cell r="S40792">
            <v>-18.39</v>
          </cell>
          <cell r="X40792" t="str">
            <v>Variation UPR - gross</v>
          </cell>
          <cell r="Y40792" t="str">
            <v>UNITED STATES</v>
          </cell>
        </row>
        <row r="40793">
          <cell r="L40793" t="str">
            <v>Non-proportional</v>
          </cell>
          <cell r="S40793">
            <v>-367236.69</v>
          </cell>
          <cell r="X40793" t="str">
            <v>Variation UPR - gross</v>
          </cell>
          <cell r="Y40793" t="str">
            <v>UNITED KINGDOM</v>
          </cell>
        </row>
        <row r="40794">
          <cell r="L40794" t="str">
            <v>Proportional</v>
          </cell>
          <cell r="S40794">
            <v>30.53</v>
          </cell>
          <cell r="X40794" t="str">
            <v>Variation UPR - gross</v>
          </cell>
          <cell r="Y40794" t="str">
            <v>UNITED STATES</v>
          </cell>
        </row>
        <row r="40795">
          <cell r="L40795" t="str">
            <v>Non-proportional</v>
          </cell>
          <cell r="S40795">
            <v>-17044.740000000002</v>
          </cell>
          <cell r="X40795" t="str">
            <v>Variation UPR - gross</v>
          </cell>
          <cell r="Y40795" t="str">
            <v>JAPAN</v>
          </cell>
        </row>
        <row r="40796">
          <cell r="L40796" t="str">
            <v>Non-proportional</v>
          </cell>
          <cell r="S40796">
            <v>65.12</v>
          </cell>
          <cell r="X40796" t="str">
            <v>Variation UPR - gross</v>
          </cell>
          <cell r="Y40796" t="str">
            <v>UNITED KINGDOM</v>
          </cell>
        </row>
        <row r="40797">
          <cell r="L40797" t="str">
            <v>Non-proportional</v>
          </cell>
          <cell r="S40797">
            <v>-107.33</v>
          </cell>
          <cell r="X40797" t="str">
            <v>Variation UPR - gross</v>
          </cell>
          <cell r="Y40797" t="str">
            <v>CHILE</v>
          </cell>
        </row>
        <row r="40798">
          <cell r="L40798" t="str">
            <v>Non-proportional</v>
          </cell>
          <cell r="S40798">
            <v>30722.29</v>
          </cell>
          <cell r="X40798" t="str">
            <v>Variation UPR - gross</v>
          </cell>
          <cell r="Y40798" t="str">
            <v>DOMINICAN REPUBLIC</v>
          </cell>
        </row>
        <row r="40799">
          <cell r="L40799" t="str">
            <v>Non-proportional</v>
          </cell>
          <cell r="S40799">
            <v>-5151.8999999999996</v>
          </cell>
          <cell r="X40799" t="str">
            <v>Variation UPR - gross</v>
          </cell>
          <cell r="Y40799" t="str">
            <v>ITALY</v>
          </cell>
        </row>
        <row r="40800">
          <cell r="L40800" t="str">
            <v>Non-proportional</v>
          </cell>
          <cell r="S40800">
            <v>-0.03</v>
          </cell>
          <cell r="X40800" t="str">
            <v>Variation UPR - gross</v>
          </cell>
          <cell r="Y40800" t="str">
            <v>COLOMBIA</v>
          </cell>
        </row>
        <row r="40801">
          <cell r="L40801" t="str">
            <v>Non-proportional</v>
          </cell>
          <cell r="S40801">
            <v>42.19</v>
          </cell>
          <cell r="X40801" t="str">
            <v>Variation UPR - gross</v>
          </cell>
          <cell r="Y40801" t="str">
            <v>JAPAN</v>
          </cell>
        </row>
        <row r="40802">
          <cell r="L40802" t="str">
            <v>Non-proportional</v>
          </cell>
          <cell r="S40802">
            <v>-1666.87</v>
          </cell>
          <cell r="X40802" t="str">
            <v>Variation UPR - gross</v>
          </cell>
          <cell r="Y40802" t="str">
            <v>CHINA</v>
          </cell>
        </row>
        <row r="40803">
          <cell r="L40803" t="str">
            <v>Proportional</v>
          </cell>
          <cell r="S40803">
            <v>-12567.95</v>
          </cell>
          <cell r="X40803" t="str">
            <v>Variation UPR - gross</v>
          </cell>
          <cell r="Y40803" t="str">
            <v>JAPAN</v>
          </cell>
        </row>
        <row r="40804">
          <cell r="L40804" t="str">
            <v>Non-proportional</v>
          </cell>
          <cell r="S40804">
            <v>-327.89</v>
          </cell>
          <cell r="X40804" t="str">
            <v>Variation UPR - gross</v>
          </cell>
          <cell r="Y40804" t="str">
            <v>COLOMBIA</v>
          </cell>
        </row>
        <row r="40805">
          <cell r="L40805" t="str">
            <v>Non-proportional</v>
          </cell>
          <cell r="S40805">
            <v>22212.89</v>
          </cell>
          <cell r="X40805" t="str">
            <v>Variation UPR - gross</v>
          </cell>
          <cell r="Y40805" t="str">
            <v>DOMINICAN REPUBLIC</v>
          </cell>
        </row>
        <row r="40806">
          <cell r="L40806" t="str">
            <v>Proportional</v>
          </cell>
          <cell r="S40806">
            <v>503.34</v>
          </cell>
          <cell r="X40806" t="str">
            <v>Variation UPR - gross</v>
          </cell>
          <cell r="Y40806" t="str">
            <v>THAILAND</v>
          </cell>
        </row>
        <row r="40807">
          <cell r="L40807" t="str">
            <v>Non-proportional</v>
          </cell>
          <cell r="S40807">
            <v>219.64</v>
          </cell>
          <cell r="X40807" t="str">
            <v>Variation UPR - gross</v>
          </cell>
          <cell r="Y40807" t="str">
            <v>NEW ZEALAND</v>
          </cell>
        </row>
        <row r="40808">
          <cell r="L40808" t="str">
            <v>Proportional</v>
          </cell>
          <cell r="S40808">
            <v>-84.9</v>
          </cell>
          <cell r="X40808" t="str">
            <v>Variation UPR - gross</v>
          </cell>
          <cell r="Y40808" t="str">
            <v>THAILAND</v>
          </cell>
        </row>
        <row r="40809">
          <cell r="L40809" t="str">
            <v>Non-proportional</v>
          </cell>
          <cell r="S40809">
            <v>-1749.72</v>
          </cell>
          <cell r="X40809" t="str">
            <v>Variation UPR - gross</v>
          </cell>
          <cell r="Y40809" t="str">
            <v>NETHERLANDS</v>
          </cell>
        </row>
        <row r="40810">
          <cell r="L40810" t="str">
            <v>Non-proportional</v>
          </cell>
          <cell r="S40810">
            <v>50612.06</v>
          </cell>
          <cell r="X40810" t="str">
            <v>Variation UPR - gross</v>
          </cell>
          <cell r="Y40810" t="str">
            <v>COLOMBIA</v>
          </cell>
        </row>
        <row r="40811">
          <cell r="L40811" t="str">
            <v>Non-proportional</v>
          </cell>
          <cell r="S40811">
            <v>-2890.05</v>
          </cell>
          <cell r="X40811" t="str">
            <v>Variation UPR - gross</v>
          </cell>
          <cell r="Y40811" t="str">
            <v>THAILAND</v>
          </cell>
        </row>
        <row r="40812">
          <cell r="L40812" t="str">
            <v>Non-proportional</v>
          </cell>
          <cell r="S40812">
            <v>-2686.68</v>
          </cell>
          <cell r="X40812" t="str">
            <v>Variation UPR - gross</v>
          </cell>
          <cell r="Y40812" t="str">
            <v>MALTA</v>
          </cell>
        </row>
        <row r="40813">
          <cell r="L40813" t="str">
            <v>Proportional</v>
          </cell>
          <cell r="S40813">
            <v>71.91</v>
          </cell>
          <cell r="X40813" t="str">
            <v>Variation UPR - gross</v>
          </cell>
          <cell r="Y40813" t="str">
            <v>THAILAND</v>
          </cell>
        </row>
        <row r="40814">
          <cell r="L40814" t="str">
            <v>Non-proportional</v>
          </cell>
          <cell r="S40814">
            <v>-62.8</v>
          </cell>
          <cell r="X40814" t="str">
            <v>Variation UPR - gross</v>
          </cell>
          <cell r="Y40814" t="str">
            <v>ISRAEL</v>
          </cell>
        </row>
        <row r="40815">
          <cell r="L40815" t="str">
            <v>Non-proportional</v>
          </cell>
          <cell r="S40815">
            <v>-4533.33</v>
          </cell>
          <cell r="X40815" t="str">
            <v>Variation UPR - gross</v>
          </cell>
          <cell r="Y40815" t="str">
            <v>PORTUGAL</v>
          </cell>
        </row>
        <row r="40816">
          <cell r="L40816" t="str">
            <v>Non-proportional</v>
          </cell>
          <cell r="S40816">
            <v>56.71</v>
          </cell>
          <cell r="X40816" t="str">
            <v>Variation UPR - gross</v>
          </cell>
          <cell r="Y40816" t="str">
            <v>NEW ZEALAND</v>
          </cell>
        </row>
        <row r="40817">
          <cell r="L40817" t="str">
            <v>Non-proportional</v>
          </cell>
          <cell r="S40817">
            <v>-2187.5</v>
          </cell>
          <cell r="X40817" t="str">
            <v>Variation UPR - gross</v>
          </cell>
          <cell r="Y40817" t="str">
            <v>GERMANY</v>
          </cell>
        </row>
        <row r="40818">
          <cell r="L40818" t="str">
            <v>Non-proportional</v>
          </cell>
          <cell r="S40818">
            <v>288.39999999999998</v>
          </cell>
          <cell r="X40818" t="str">
            <v>Variation UPR - gross</v>
          </cell>
          <cell r="Y40818" t="str">
            <v>JAPAN</v>
          </cell>
        </row>
        <row r="40819">
          <cell r="L40819" t="str">
            <v>Non-proportional</v>
          </cell>
          <cell r="S40819">
            <v>-8531.25</v>
          </cell>
          <cell r="X40819" t="str">
            <v>Variation UPR - gross</v>
          </cell>
          <cell r="Y40819" t="str">
            <v>TURKEY</v>
          </cell>
        </row>
        <row r="40820">
          <cell r="L40820" t="str">
            <v>Proportional</v>
          </cell>
          <cell r="S40820">
            <v>-13319.71</v>
          </cell>
          <cell r="X40820" t="str">
            <v>Variation UPR - gross</v>
          </cell>
          <cell r="Y40820" t="str">
            <v>INDIA</v>
          </cell>
        </row>
        <row r="40821">
          <cell r="L40821" t="str">
            <v>Non-proportional</v>
          </cell>
          <cell r="S40821">
            <v>-740.4</v>
          </cell>
          <cell r="X40821" t="str">
            <v>Variation UPR - gross</v>
          </cell>
          <cell r="Y40821" t="str">
            <v>FRANCE</v>
          </cell>
        </row>
        <row r="40822">
          <cell r="L40822" t="str">
            <v>Non-proportional</v>
          </cell>
          <cell r="S40822">
            <v>-540.11</v>
          </cell>
          <cell r="X40822" t="str">
            <v>Variation UPR - gross</v>
          </cell>
          <cell r="Y40822" t="str">
            <v>BRAZIL</v>
          </cell>
        </row>
        <row r="40823">
          <cell r="L40823" t="str">
            <v>Non-proportional</v>
          </cell>
          <cell r="S40823">
            <v>-5700.19</v>
          </cell>
          <cell r="X40823" t="str">
            <v>Variation UPR - gross</v>
          </cell>
          <cell r="Y40823" t="str">
            <v>ITALY</v>
          </cell>
        </row>
        <row r="40824">
          <cell r="L40824" t="str">
            <v>Non-proportional</v>
          </cell>
          <cell r="S40824">
            <v>-4191.59</v>
          </cell>
          <cell r="X40824" t="str">
            <v>Variation UPR - gross</v>
          </cell>
          <cell r="Y40824" t="str">
            <v>UNITED KINGDOM</v>
          </cell>
        </row>
        <row r="40825">
          <cell r="L40825" t="str">
            <v>Proportional</v>
          </cell>
          <cell r="S40825">
            <v>-284277.76000000001</v>
          </cell>
          <cell r="X40825" t="str">
            <v>Variation UPR - gross</v>
          </cell>
          <cell r="Y40825" t="str">
            <v>UNITED STATES</v>
          </cell>
        </row>
        <row r="40826">
          <cell r="L40826" t="str">
            <v>Proportional</v>
          </cell>
          <cell r="S40826">
            <v>-1274.9000000000001</v>
          </cell>
          <cell r="X40826" t="str">
            <v>Variation UPR - gross</v>
          </cell>
          <cell r="Y40826" t="str">
            <v>REPUBLIC OF IRELAND</v>
          </cell>
        </row>
        <row r="40827">
          <cell r="L40827" t="str">
            <v>Non-proportional</v>
          </cell>
          <cell r="S40827">
            <v>-800</v>
          </cell>
          <cell r="X40827" t="str">
            <v>Variation UPR - gross</v>
          </cell>
          <cell r="Y40827" t="str">
            <v>ITALY</v>
          </cell>
        </row>
        <row r="40828">
          <cell r="L40828" t="str">
            <v>Non-proportional</v>
          </cell>
          <cell r="S40828">
            <v>-6907.69</v>
          </cell>
          <cell r="X40828" t="str">
            <v>Variation UPR - gross</v>
          </cell>
          <cell r="Y40828" t="str">
            <v>GREECE</v>
          </cell>
        </row>
        <row r="40829">
          <cell r="L40829" t="str">
            <v>Non-proportional</v>
          </cell>
          <cell r="S40829">
            <v>-1619.05</v>
          </cell>
          <cell r="X40829" t="str">
            <v>Variation UPR - gross</v>
          </cell>
          <cell r="Y40829" t="str">
            <v>ISRAEL</v>
          </cell>
        </row>
        <row r="40830">
          <cell r="L40830" t="str">
            <v>Non-proportional</v>
          </cell>
          <cell r="S40830">
            <v>-221935</v>
          </cell>
          <cell r="X40830" t="str">
            <v>Variation UPR - gross</v>
          </cell>
          <cell r="Y40830" t="str">
            <v>BELGIUM</v>
          </cell>
        </row>
        <row r="40831">
          <cell r="L40831" t="str">
            <v>Non-proportional</v>
          </cell>
          <cell r="S40831">
            <v>-1309</v>
          </cell>
          <cell r="X40831" t="str">
            <v>Variation UPR - gross</v>
          </cell>
          <cell r="Y40831" t="str">
            <v>UNITED KINGDOM</v>
          </cell>
        </row>
        <row r="40832">
          <cell r="L40832" t="str">
            <v>Non-proportional</v>
          </cell>
          <cell r="S40832">
            <v>-9227.75</v>
          </cell>
          <cell r="X40832" t="str">
            <v>Variation UPR - gross</v>
          </cell>
          <cell r="Y40832" t="str">
            <v>TURKEY</v>
          </cell>
        </row>
        <row r="40833">
          <cell r="L40833" t="str">
            <v>Non-proportional</v>
          </cell>
          <cell r="S40833">
            <v>-698.58</v>
          </cell>
          <cell r="X40833" t="str">
            <v>Variation UPR - gross</v>
          </cell>
          <cell r="Y40833" t="str">
            <v>ITALY</v>
          </cell>
        </row>
        <row r="40834">
          <cell r="L40834" t="str">
            <v>Non-proportional</v>
          </cell>
          <cell r="S40834">
            <v>-1546248.92</v>
          </cell>
          <cell r="X40834" t="str">
            <v>Variation UPR - gross</v>
          </cell>
          <cell r="Y40834" t="str">
            <v>BELGIUM</v>
          </cell>
        </row>
        <row r="40835">
          <cell r="L40835" t="str">
            <v>Non-proportional</v>
          </cell>
          <cell r="S40835">
            <v>-711.7</v>
          </cell>
          <cell r="X40835" t="str">
            <v>Variation UPR - gross</v>
          </cell>
          <cell r="Y40835" t="str">
            <v>JAPAN</v>
          </cell>
        </row>
        <row r="40836">
          <cell r="L40836" t="str">
            <v>Non-proportional</v>
          </cell>
          <cell r="S40836">
            <v>-7976.28</v>
          </cell>
          <cell r="X40836" t="str">
            <v>Variation UPR - gross</v>
          </cell>
          <cell r="Y40836" t="str">
            <v>INDIA</v>
          </cell>
        </row>
        <row r="40837">
          <cell r="L40837" t="str">
            <v>Proportional</v>
          </cell>
          <cell r="S40837">
            <v>-154851.56</v>
          </cell>
          <cell r="X40837" t="str">
            <v>Variation UPR - gross</v>
          </cell>
          <cell r="Y40837" t="str">
            <v>UNITED STATES</v>
          </cell>
        </row>
        <row r="40838">
          <cell r="L40838" t="str">
            <v>Non-proportional</v>
          </cell>
          <cell r="S40838">
            <v>-1257.8</v>
          </cell>
          <cell r="X40838" t="str">
            <v>Variation UPR - gross</v>
          </cell>
          <cell r="Y40838" t="str">
            <v>ITALY</v>
          </cell>
        </row>
        <row r="40839">
          <cell r="L40839" t="str">
            <v>Non-proportional</v>
          </cell>
          <cell r="S40839">
            <v>-13974.38</v>
          </cell>
          <cell r="X40839" t="str">
            <v>Variation UPR - gross</v>
          </cell>
          <cell r="Y40839" t="str">
            <v>ECUADOR</v>
          </cell>
        </row>
        <row r="40840">
          <cell r="L40840" t="str">
            <v>Non-proportional</v>
          </cell>
          <cell r="S40840">
            <v>-1788.67</v>
          </cell>
          <cell r="X40840" t="str">
            <v>Variation UPR - gross</v>
          </cell>
          <cell r="Y40840" t="str">
            <v>JAPAN</v>
          </cell>
        </row>
        <row r="40841">
          <cell r="L40841" t="str">
            <v>Non-proportional</v>
          </cell>
          <cell r="S40841">
            <v>244.56</v>
          </cell>
          <cell r="X40841" t="str">
            <v>Variation UPR - gross</v>
          </cell>
          <cell r="Y40841" t="str">
            <v>NEW ZEALAND</v>
          </cell>
        </row>
        <row r="40842">
          <cell r="L40842" t="str">
            <v>Non-proportional</v>
          </cell>
          <cell r="S40842">
            <v>-767.9</v>
          </cell>
          <cell r="X40842" t="str">
            <v>Variation UPR - gross</v>
          </cell>
          <cell r="Y40842" t="str">
            <v>INDIA</v>
          </cell>
        </row>
        <row r="40843">
          <cell r="L40843" t="str">
            <v>Non-proportional</v>
          </cell>
          <cell r="S40843">
            <v>-617</v>
          </cell>
          <cell r="X40843" t="str">
            <v>Variation UPR - gross</v>
          </cell>
          <cell r="Y40843" t="str">
            <v>FRANCE</v>
          </cell>
        </row>
        <row r="40844">
          <cell r="L40844" t="str">
            <v>Non-proportional</v>
          </cell>
          <cell r="S40844">
            <v>-3343.55</v>
          </cell>
          <cell r="X40844" t="str">
            <v>Variation UPR - gross</v>
          </cell>
          <cell r="Y40844" t="str">
            <v>UNITED KINGDOM</v>
          </cell>
        </row>
        <row r="40845">
          <cell r="L40845" t="str">
            <v>Non-proportional</v>
          </cell>
          <cell r="S40845">
            <v>-57.8</v>
          </cell>
          <cell r="X40845" t="str">
            <v>Variation UPR - gross</v>
          </cell>
          <cell r="Y40845" t="str">
            <v>BRAZIL</v>
          </cell>
        </row>
        <row r="40846">
          <cell r="L40846" t="str">
            <v>Non-proportional</v>
          </cell>
          <cell r="S40846">
            <v>-0.03</v>
          </cell>
          <cell r="X40846" t="str">
            <v>Variation UPR - gross</v>
          </cell>
          <cell r="Y40846" t="str">
            <v>DOMINICAN REPUBLIC</v>
          </cell>
        </row>
        <row r="40847">
          <cell r="L40847" t="str">
            <v>Non-proportional</v>
          </cell>
          <cell r="S40847">
            <v>-145.68</v>
          </cell>
          <cell r="X40847" t="str">
            <v>Variation UPR - gross</v>
          </cell>
          <cell r="Y40847" t="str">
            <v>ISRAEL</v>
          </cell>
        </row>
        <row r="40848">
          <cell r="L40848" t="str">
            <v>Non-proportional</v>
          </cell>
          <cell r="S40848">
            <v>-873.93</v>
          </cell>
          <cell r="X40848" t="str">
            <v>Variation UPR - gross</v>
          </cell>
          <cell r="Y40848" t="str">
            <v>SOUTH AFRICA</v>
          </cell>
        </row>
        <row r="40849">
          <cell r="L40849" t="str">
            <v>Non-proportional</v>
          </cell>
          <cell r="S40849">
            <v>-1303.78</v>
          </cell>
          <cell r="X40849" t="str">
            <v>Variation UPR - gross</v>
          </cell>
          <cell r="Y40849" t="str">
            <v>CYPRUS</v>
          </cell>
        </row>
        <row r="40850">
          <cell r="L40850" t="str">
            <v>Non-proportional</v>
          </cell>
          <cell r="S40850">
            <v>265.19</v>
          </cell>
          <cell r="X40850" t="str">
            <v>Variation UPR - gross</v>
          </cell>
          <cell r="Y40850" t="str">
            <v>NEW ZEALAND</v>
          </cell>
        </row>
        <row r="40851">
          <cell r="L40851" t="str">
            <v>Non-proportional</v>
          </cell>
          <cell r="S40851">
            <v>-1067.3699999999999</v>
          </cell>
          <cell r="X40851" t="str">
            <v>Variation UPR - gross</v>
          </cell>
          <cell r="Y40851" t="str">
            <v>SOUTH AFRICA</v>
          </cell>
        </row>
        <row r="40852">
          <cell r="L40852" t="str">
            <v>Non-proportional</v>
          </cell>
          <cell r="S40852">
            <v>215705.13</v>
          </cell>
          <cell r="X40852" t="str">
            <v>Variation UPR - gross</v>
          </cell>
          <cell r="Y40852" t="str">
            <v>MEXICO</v>
          </cell>
        </row>
        <row r="40853">
          <cell r="L40853" t="str">
            <v>Non-proportional</v>
          </cell>
          <cell r="S40853">
            <v>-71.55</v>
          </cell>
          <cell r="X40853" t="str">
            <v>Variation UPR - gross</v>
          </cell>
          <cell r="Y40853" t="str">
            <v>CHILE</v>
          </cell>
        </row>
        <row r="40854">
          <cell r="L40854" t="str">
            <v>Non-proportional</v>
          </cell>
          <cell r="S40854">
            <v>-2156.79</v>
          </cell>
          <cell r="X40854" t="str">
            <v>Variation UPR - gross</v>
          </cell>
          <cell r="Y40854" t="str">
            <v>INDIA</v>
          </cell>
        </row>
        <row r="40855">
          <cell r="L40855" t="str">
            <v>Non-proportional</v>
          </cell>
          <cell r="S40855">
            <v>21675.5</v>
          </cell>
          <cell r="X40855" t="str">
            <v>Variation UPR - gross</v>
          </cell>
          <cell r="Y40855" t="str">
            <v>AUSTRALIA</v>
          </cell>
        </row>
        <row r="40856">
          <cell r="L40856" t="str">
            <v>Non-proportional</v>
          </cell>
          <cell r="S40856">
            <v>-9393.69</v>
          </cell>
          <cell r="X40856" t="str">
            <v>Variation UPR - gross</v>
          </cell>
          <cell r="Y40856" t="str">
            <v>ISRAEL</v>
          </cell>
        </row>
        <row r="40857">
          <cell r="L40857" t="str">
            <v>Non-proportional</v>
          </cell>
          <cell r="S40857">
            <v>-334.7</v>
          </cell>
          <cell r="X40857" t="str">
            <v>Variation UPR - gross</v>
          </cell>
          <cell r="Y40857" t="str">
            <v>TURKEY</v>
          </cell>
        </row>
        <row r="40858">
          <cell r="L40858" t="str">
            <v>Non-proportional</v>
          </cell>
          <cell r="S40858">
            <v>64961.32</v>
          </cell>
          <cell r="X40858" t="str">
            <v>Variation UPR - gross</v>
          </cell>
          <cell r="Y40858" t="str">
            <v>SPAIN</v>
          </cell>
        </row>
        <row r="40859">
          <cell r="L40859" t="str">
            <v>Non-proportional</v>
          </cell>
          <cell r="S40859">
            <v>68750</v>
          </cell>
          <cell r="X40859" t="str">
            <v>Variation UPR - gross</v>
          </cell>
          <cell r="Y40859" t="str">
            <v>SPAIN</v>
          </cell>
        </row>
        <row r="40860">
          <cell r="L40860" t="str">
            <v>Non-proportional</v>
          </cell>
          <cell r="S40860">
            <v>5.8</v>
          </cell>
          <cell r="X40860" t="str">
            <v>Variation UPR - gross</v>
          </cell>
          <cell r="Y40860" t="str">
            <v>JAPAN</v>
          </cell>
        </row>
        <row r="40861">
          <cell r="L40861" t="str">
            <v>Non-proportional</v>
          </cell>
          <cell r="S40861">
            <v>28530.71</v>
          </cell>
          <cell r="X40861" t="str">
            <v>Variation UPR - gross</v>
          </cell>
          <cell r="Y40861" t="str">
            <v>MEXICO</v>
          </cell>
        </row>
        <row r="40862">
          <cell r="L40862" t="str">
            <v>Non-proportional</v>
          </cell>
          <cell r="S40862">
            <v>-107.33</v>
          </cell>
          <cell r="X40862" t="str">
            <v>Variation UPR - gross</v>
          </cell>
          <cell r="Y40862" t="str">
            <v>CHILE</v>
          </cell>
        </row>
        <row r="40863">
          <cell r="L40863" t="str">
            <v>Non-proportional</v>
          </cell>
          <cell r="S40863">
            <v>-9500.14</v>
          </cell>
          <cell r="X40863" t="str">
            <v>Variation UPR - gross</v>
          </cell>
          <cell r="Y40863" t="str">
            <v>TURKEY</v>
          </cell>
        </row>
        <row r="40864">
          <cell r="L40864" t="str">
            <v>Proportional</v>
          </cell>
          <cell r="S40864">
            <v>-19875.91</v>
          </cell>
          <cell r="X40864" t="str">
            <v>Variation UPR - gross</v>
          </cell>
          <cell r="Y40864" t="str">
            <v>ITALY</v>
          </cell>
        </row>
        <row r="40865">
          <cell r="L40865" t="str">
            <v>Non-proportional</v>
          </cell>
          <cell r="S40865">
            <v>-1468946.72</v>
          </cell>
          <cell r="X40865" t="str">
            <v>Variation UPR - gross</v>
          </cell>
          <cell r="Y40865" t="str">
            <v>UNITED KINGDOM</v>
          </cell>
        </row>
        <row r="40866">
          <cell r="L40866" t="str">
            <v>Non-proportional</v>
          </cell>
          <cell r="S40866">
            <v>-1672.94</v>
          </cell>
          <cell r="X40866" t="str">
            <v>Variation UPR - gross</v>
          </cell>
          <cell r="Y40866" t="str">
            <v>JAPAN</v>
          </cell>
        </row>
        <row r="40867">
          <cell r="L40867" t="str">
            <v>Non-proportional</v>
          </cell>
          <cell r="S40867">
            <v>-4509.75</v>
          </cell>
          <cell r="X40867" t="str">
            <v>Variation UPR - gross</v>
          </cell>
          <cell r="Y40867" t="str">
            <v>FRANCE</v>
          </cell>
        </row>
        <row r="40868">
          <cell r="L40868" t="str">
            <v>Non-proportional</v>
          </cell>
          <cell r="S40868">
            <v>-91052.17</v>
          </cell>
          <cell r="X40868" t="str">
            <v>Variation UPR - gross</v>
          </cell>
          <cell r="Y40868" t="str">
            <v>UNITED KINGDOM</v>
          </cell>
        </row>
        <row r="40869">
          <cell r="L40869" t="str">
            <v>Proportional</v>
          </cell>
          <cell r="S40869">
            <v>-2881.35</v>
          </cell>
          <cell r="X40869" t="str">
            <v>Variation UPR - gross</v>
          </cell>
          <cell r="Y40869" t="str">
            <v>UNITED STATES</v>
          </cell>
        </row>
        <row r="40870">
          <cell r="L40870" t="str">
            <v>Non-proportional</v>
          </cell>
          <cell r="S40870">
            <v>-546.88</v>
          </cell>
          <cell r="X40870" t="str">
            <v>Variation UPR - gross</v>
          </cell>
          <cell r="Y40870" t="str">
            <v>ITALY</v>
          </cell>
        </row>
        <row r="40871">
          <cell r="L40871" t="str">
            <v>Non-proportional</v>
          </cell>
          <cell r="S40871">
            <v>106764.69</v>
          </cell>
          <cell r="X40871" t="str">
            <v>Variation UPR - gross</v>
          </cell>
          <cell r="Y40871" t="str">
            <v>AUSTRALIA</v>
          </cell>
        </row>
        <row r="40872">
          <cell r="L40872" t="str">
            <v>Non-proportional</v>
          </cell>
          <cell r="S40872">
            <v>-6.73</v>
          </cell>
          <cell r="X40872" t="str">
            <v>Variation UPR - gross</v>
          </cell>
          <cell r="Y40872" t="str">
            <v>COSTA RICA</v>
          </cell>
        </row>
        <row r="40873">
          <cell r="L40873" t="str">
            <v>Non-proportional</v>
          </cell>
          <cell r="S40873">
            <v>-4215.5600000000004</v>
          </cell>
          <cell r="X40873" t="str">
            <v>Variation UPR - gross</v>
          </cell>
          <cell r="Y40873" t="str">
            <v>UNITED KINGDOM</v>
          </cell>
        </row>
        <row r="40874">
          <cell r="L40874" t="str">
            <v>Non-proportional</v>
          </cell>
          <cell r="S40874">
            <v>-46486.11</v>
          </cell>
          <cell r="X40874" t="str">
            <v>Variation UPR - gross</v>
          </cell>
          <cell r="Y40874" t="str">
            <v>UNITED KINGDOM</v>
          </cell>
        </row>
        <row r="40875">
          <cell r="L40875" t="str">
            <v>Non-proportional</v>
          </cell>
          <cell r="S40875">
            <v>-595.71</v>
          </cell>
          <cell r="X40875" t="str">
            <v>Variation UPR - gross</v>
          </cell>
          <cell r="Y40875" t="str">
            <v>MEXICO</v>
          </cell>
        </row>
        <row r="40876">
          <cell r="L40876" t="str">
            <v>Non-proportional</v>
          </cell>
          <cell r="S40876">
            <v>-0.05</v>
          </cell>
          <cell r="X40876" t="str">
            <v>Variation UPR - gross</v>
          </cell>
          <cell r="Y40876" t="str">
            <v>COLOMBIA</v>
          </cell>
        </row>
        <row r="40877">
          <cell r="L40877" t="str">
            <v>Proportional</v>
          </cell>
          <cell r="S40877">
            <v>-328257.38</v>
          </cell>
          <cell r="X40877" t="str">
            <v>Variation UPR - gross</v>
          </cell>
          <cell r="Y40877" t="str">
            <v>UNITED STATES</v>
          </cell>
        </row>
        <row r="40878">
          <cell r="L40878" t="str">
            <v>Non-proportional</v>
          </cell>
          <cell r="S40878">
            <v>13005.27</v>
          </cell>
          <cell r="X40878" t="str">
            <v>Variation UPR - gross</v>
          </cell>
          <cell r="Y40878" t="str">
            <v>AUSTRALIA</v>
          </cell>
        </row>
        <row r="40879">
          <cell r="L40879" t="str">
            <v>Non-proportional</v>
          </cell>
          <cell r="S40879">
            <v>-4615.2</v>
          </cell>
          <cell r="X40879" t="str">
            <v>Variation UPR - gross</v>
          </cell>
          <cell r="Y40879" t="str">
            <v>CHILE</v>
          </cell>
        </row>
        <row r="40880">
          <cell r="L40880" t="str">
            <v>Proportional</v>
          </cell>
          <cell r="S40880">
            <v>719.06</v>
          </cell>
          <cell r="X40880" t="str">
            <v>Variation UPR - gross</v>
          </cell>
          <cell r="Y40880" t="str">
            <v>THAILAND</v>
          </cell>
        </row>
        <row r="40881">
          <cell r="L40881" t="str">
            <v>Non-proportional</v>
          </cell>
          <cell r="S40881">
            <v>-3148.36</v>
          </cell>
          <cell r="X40881" t="str">
            <v>Variation UPR - gross</v>
          </cell>
          <cell r="Y40881" t="str">
            <v>CHILE</v>
          </cell>
        </row>
        <row r="40882">
          <cell r="L40882" t="str">
            <v>Proportional</v>
          </cell>
          <cell r="S40882">
            <v>-334.76</v>
          </cell>
          <cell r="X40882" t="str">
            <v>Variation UPR - gross</v>
          </cell>
          <cell r="Y40882" t="str">
            <v>UNITED STATES</v>
          </cell>
        </row>
        <row r="40883">
          <cell r="L40883" t="str">
            <v>Non-proportional</v>
          </cell>
          <cell r="S40883">
            <v>32.380000000000003</v>
          </cell>
          <cell r="X40883" t="str">
            <v>Variation UPR - gross</v>
          </cell>
          <cell r="Y40883" t="str">
            <v>JAPAN</v>
          </cell>
        </row>
        <row r="40884">
          <cell r="L40884" t="str">
            <v>Non-proportional</v>
          </cell>
          <cell r="S40884">
            <v>-362.98</v>
          </cell>
          <cell r="X40884" t="str">
            <v>Variation UPR - gross</v>
          </cell>
          <cell r="Y40884" t="str">
            <v>NEW ZEALAND</v>
          </cell>
        </row>
        <row r="40885">
          <cell r="L40885" t="str">
            <v>Non-proportional</v>
          </cell>
          <cell r="S40885">
            <v>-821.62</v>
          </cell>
          <cell r="X40885" t="str">
            <v>Variation UPR - gross</v>
          </cell>
          <cell r="Y40885" t="str">
            <v>COLOMBIA</v>
          </cell>
        </row>
        <row r="40886">
          <cell r="L40886" t="str">
            <v>Non-proportional</v>
          </cell>
          <cell r="S40886">
            <v>-1587.35</v>
          </cell>
          <cell r="X40886" t="str">
            <v>Variation UPR - gross</v>
          </cell>
          <cell r="Y40886" t="str">
            <v>ITALY</v>
          </cell>
        </row>
        <row r="40887">
          <cell r="L40887" t="str">
            <v>Proportional</v>
          </cell>
          <cell r="S40887">
            <v>-39462.5</v>
          </cell>
          <cell r="X40887" t="str">
            <v>Variation UPR - gross</v>
          </cell>
          <cell r="Y40887" t="str">
            <v>ITALY</v>
          </cell>
        </row>
        <row r="40888">
          <cell r="L40888" t="str">
            <v>Non-proportional</v>
          </cell>
          <cell r="S40888">
            <v>10.34</v>
          </cell>
          <cell r="X40888" t="str">
            <v>Variation UPR - gross</v>
          </cell>
          <cell r="Y40888" t="str">
            <v>NEW ZEALAND</v>
          </cell>
        </row>
        <row r="40889">
          <cell r="L40889" t="str">
            <v>Non-proportional</v>
          </cell>
          <cell r="S40889">
            <v>-74663.820000000007</v>
          </cell>
          <cell r="X40889" t="str">
            <v>Variation UPR - gross</v>
          </cell>
          <cell r="Y40889" t="str">
            <v>UNITED KINGDOM</v>
          </cell>
        </row>
        <row r="40890">
          <cell r="L40890" t="str">
            <v>Non-proportional</v>
          </cell>
          <cell r="S40890">
            <v>-3749.94</v>
          </cell>
          <cell r="X40890" t="str">
            <v>Variation UPR - gross</v>
          </cell>
          <cell r="Y40890" t="str">
            <v>EUROPE</v>
          </cell>
        </row>
        <row r="40891">
          <cell r="L40891" t="str">
            <v>Non-proportional</v>
          </cell>
          <cell r="S40891">
            <v>41.01</v>
          </cell>
          <cell r="X40891" t="str">
            <v>Variation UPR - gross</v>
          </cell>
          <cell r="Y40891" t="str">
            <v>NEW ZEALAND</v>
          </cell>
        </row>
        <row r="40892">
          <cell r="L40892" t="str">
            <v>Non-proportional</v>
          </cell>
          <cell r="S40892">
            <v>-3917.27</v>
          </cell>
          <cell r="X40892" t="str">
            <v>Variation UPR - gross</v>
          </cell>
          <cell r="Y40892" t="str">
            <v>ITALY</v>
          </cell>
        </row>
        <row r="40893">
          <cell r="L40893" t="str">
            <v>Non-proportional</v>
          </cell>
          <cell r="S40893">
            <v>18.45</v>
          </cell>
          <cell r="X40893" t="str">
            <v>Variation UPR - gross</v>
          </cell>
          <cell r="Y40893" t="str">
            <v>UNITED KINGDOM</v>
          </cell>
        </row>
        <row r="40894">
          <cell r="L40894" t="str">
            <v>Non-proportional</v>
          </cell>
          <cell r="S40894">
            <v>43684.160000000003</v>
          </cell>
          <cell r="X40894" t="str">
            <v>Variation UPR - gross</v>
          </cell>
          <cell r="Y40894" t="str">
            <v>DOMINICAN REPUBLIC</v>
          </cell>
        </row>
        <row r="40895">
          <cell r="L40895" t="str">
            <v>Non-proportional</v>
          </cell>
          <cell r="S40895">
            <v>33113.870000000003</v>
          </cell>
          <cell r="X40895" t="str">
            <v>Variation UPR - gross</v>
          </cell>
          <cell r="Y40895" t="str">
            <v>ECUADOR</v>
          </cell>
        </row>
        <row r="40896">
          <cell r="L40896" t="str">
            <v>Non-proportional</v>
          </cell>
          <cell r="S40896">
            <v>-1777.5</v>
          </cell>
          <cell r="X40896" t="str">
            <v>Variation UPR - gross</v>
          </cell>
          <cell r="Y40896" t="str">
            <v>GREECE</v>
          </cell>
        </row>
        <row r="40897">
          <cell r="L40897" t="str">
            <v>Non-proportional</v>
          </cell>
          <cell r="S40897">
            <v>-4796.66</v>
          </cell>
          <cell r="X40897" t="str">
            <v>Variation UPR - gross</v>
          </cell>
          <cell r="Y40897" t="str">
            <v>NEW ZEALAND</v>
          </cell>
        </row>
        <row r="40898">
          <cell r="L40898" t="str">
            <v>Non-proportional</v>
          </cell>
          <cell r="S40898">
            <v>3958.21</v>
          </cell>
          <cell r="X40898" t="str">
            <v>Variation UPR - gross</v>
          </cell>
          <cell r="Y40898" t="str">
            <v>UNITED ARAB EMIRATES</v>
          </cell>
        </row>
        <row r="40899">
          <cell r="L40899" t="str">
            <v>Non-proportional</v>
          </cell>
          <cell r="S40899">
            <v>421.37</v>
          </cell>
          <cell r="X40899" t="str">
            <v>Variation UPR - gross</v>
          </cell>
          <cell r="Y40899" t="str">
            <v>NEW ZEALAND</v>
          </cell>
        </row>
        <row r="40900">
          <cell r="L40900" t="str">
            <v>Non-proportional</v>
          </cell>
          <cell r="S40900">
            <v>35351.71</v>
          </cell>
          <cell r="X40900" t="str">
            <v>Variation UPR - gross</v>
          </cell>
          <cell r="Y40900" t="str">
            <v>AUSTRALIA</v>
          </cell>
        </row>
        <row r="40901">
          <cell r="L40901" t="str">
            <v>Non-proportional</v>
          </cell>
          <cell r="S40901">
            <v>24876.62</v>
          </cell>
          <cell r="X40901" t="str">
            <v>Variation UPR - gross</v>
          </cell>
          <cell r="Y40901" t="str">
            <v>DOMINICAN REPUBLIC</v>
          </cell>
        </row>
        <row r="40902">
          <cell r="L40902" t="str">
            <v>Non-proportional</v>
          </cell>
          <cell r="S40902">
            <v>-117.56</v>
          </cell>
          <cell r="X40902" t="str">
            <v>Variation UPR - gross</v>
          </cell>
          <cell r="Y40902" t="str">
            <v>THAILAND</v>
          </cell>
        </row>
        <row r="40903">
          <cell r="L40903" t="str">
            <v>Proportional</v>
          </cell>
          <cell r="S40903">
            <v>-67969.16</v>
          </cell>
          <cell r="X40903" t="str">
            <v>Variation UPR - gross</v>
          </cell>
          <cell r="Y40903" t="str">
            <v>SWITZERLAND</v>
          </cell>
        </row>
        <row r="40904">
          <cell r="L40904" t="str">
            <v>Non-proportional</v>
          </cell>
          <cell r="S40904">
            <v>51608.33</v>
          </cell>
          <cell r="X40904" t="str">
            <v>Variation UPR - gross</v>
          </cell>
          <cell r="Y40904" t="str">
            <v>AUSTRALIA</v>
          </cell>
        </row>
        <row r="40905">
          <cell r="L40905" t="str">
            <v>Non-proportional</v>
          </cell>
          <cell r="S40905">
            <v>18363.72</v>
          </cell>
          <cell r="X40905" t="str">
            <v>Variation UPR - gross</v>
          </cell>
          <cell r="Y40905" t="str">
            <v>DOMINICAN REPUBLIC</v>
          </cell>
        </row>
        <row r="40906">
          <cell r="L40906" t="str">
            <v>Non-proportional</v>
          </cell>
          <cell r="S40906">
            <v>-3263.02</v>
          </cell>
          <cell r="X40906" t="str">
            <v>Variation UPR - gross</v>
          </cell>
          <cell r="Y40906" t="str">
            <v>COLOMBIA</v>
          </cell>
        </row>
        <row r="40907">
          <cell r="L40907" t="str">
            <v>Non-proportional</v>
          </cell>
          <cell r="S40907">
            <v>664125</v>
          </cell>
          <cell r="X40907" t="str">
            <v>Variation UPR - gross</v>
          </cell>
          <cell r="Y40907" t="str">
            <v>BELGIUM</v>
          </cell>
        </row>
        <row r="40908">
          <cell r="L40908" t="str">
            <v>Proportional</v>
          </cell>
          <cell r="S40908">
            <v>-257595.91</v>
          </cell>
          <cell r="X40908" t="str">
            <v>Variation UPR - gross</v>
          </cell>
          <cell r="Y40908" t="str">
            <v>AUSTRALIA</v>
          </cell>
        </row>
        <row r="40909">
          <cell r="L40909" t="str">
            <v>Non-proportional</v>
          </cell>
          <cell r="S40909">
            <v>-5416.93</v>
          </cell>
          <cell r="X40909" t="str">
            <v>Variation UPR - gross</v>
          </cell>
          <cell r="Y40909" t="str">
            <v>ECUADOR</v>
          </cell>
        </row>
        <row r="40910">
          <cell r="L40910" t="str">
            <v>Proportional</v>
          </cell>
          <cell r="S40910">
            <v>-5352.18</v>
          </cell>
          <cell r="X40910" t="str">
            <v>Variation UPR - gross</v>
          </cell>
          <cell r="Y40910" t="str">
            <v>THAILAND</v>
          </cell>
        </row>
        <row r="40911">
          <cell r="L40911" t="str">
            <v>Non-proportional</v>
          </cell>
          <cell r="S40911">
            <v>-2916.26</v>
          </cell>
          <cell r="X40911" t="str">
            <v>Variation UPR - gross</v>
          </cell>
          <cell r="Y40911" t="str">
            <v>JAPAN</v>
          </cell>
        </row>
        <row r="40912">
          <cell r="L40912" t="str">
            <v>Non-proportional</v>
          </cell>
          <cell r="S40912">
            <v>-57041.760000000002</v>
          </cell>
          <cell r="X40912" t="str">
            <v>Variation UPR - gross</v>
          </cell>
          <cell r="Y40912" t="str">
            <v>UNITED KINGDOM</v>
          </cell>
        </row>
        <row r="40913">
          <cell r="L40913" t="str">
            <v>Proportional</v>
          </cell>
          <cell r="S40913">
            <v>-335.02</v>
          </cell>
          <cell r="X40913" t="str">
            <v>Variation UPR - gross</v>
          </cell>
          <cell r="Y40913" t="str">
            <v>UNITED STATES</v>
          </cell>
        </row>
        <row r="40914">
          <cell r="L40914" t="str">
            <v>Proportional</v>
          </cell>
          <cell r="S40914">
            <v>-8219.4699999999993</v>
          </cell>
          <cell r="X40914" t="str">
            <v>Variation UPR - gross</v>
          </cell>
          <cell r="Y40914" t="str">
            <v>CHILE</v>
          </cell>
        </row>
        <row r="40915">
          <cell r="L40915" t="str">
            <v>Non-proportional</v>
          </cell>
          <cell r="S40915">
            <v>28729.5</v>
          </cell>
          <cell r="X40915" t="str">
            <v>Variation UPR - gross</v>
          </cell>
          <cell r="Y40915" t="str">
            <v>BELIZE</v>
          </cell>
        </row>
        <row r="40916">
          <cell r="L40916" t="str">
            <v>Proportional</v>
          </cell>
          <cell r="S40916">
            <v>-7889.37</v>
          </cell>
          <cell r="X40916" t="str">
            <v>Variation UPR - gross</v>
          </cell>
          <cell r="Y40916" t="str">
            <v>THAILAND</v>
          </cell>
        </row>
        <row r="40917">
          <cell r="L40917" t="str">
            <v>Non-proportional</v>
          </cell>
          <cell r="S40917">
            <v>-10209.84</v>
          </cell>
          <cell r="X40917" t="str">
            <v>Variation UPR - gross</v>
          </cell>
          <cell r="Y40917" t="str">
            <v>COLOMBIA</v>
          </cell>
        </row>
        <row r="40918">
          <cell r="L40918" t="str">
            <v>Non-proportional</v>
          </cell>
          <cell r="S40918">
            <v>-7578.1</v>
          </cell>
          <cell r="X40918" t="str">
            <v>Variation UPR - gross</v>
          </cell>
          <cell r="Y40918" t="str">
            <v>UNITED KINGDOM</v>
          </cell>
        </row>
        <row r="40919">
          <cell r="L40919" t="str">
            <v>Non-proportional</v>
          </cell>
          <cell r="S40919">
            <v>-14066.05</v>
          </cell>
          <cell r="X40919" t="str">
            <v>Variation UPR - gross</v>
          </cell>
          <cell r="Y40919" t="str">
            <v>ISRAEL</v>
          </cell>
        </row>
        <row r="40920">
          <cell r="L40920" t="str">
            <v>Non-proportional</v>
          </cell>
          <cell r="S40920">
            <v>129622.95</v>
          </cell>
          <cell r="X40920" t="str">
            <v>Variation UPR - gross</v>
          </cell>
          <cell r="Y40920" t="str">
            <v>AUSTRALIA</v>
          </cell>
        </row>
        <row r="40921">
          <cell r="L40921" t="str">
            <v>Non-proportional</v>
          </cell>
          <cell r="S40921">
            <v>141.1</v>
          </cell>
          <cell r="X40921" t="str">
            <v>Variation UPR - gross</v>
          </cell>
          <cell r="Y40921" t="str">
            <v>TURKEY</v>
          </cell>
        </row>
        <row r="40922">
          <cell r="L40922" t="str">
            <v>Non-proportional</v>
          </cell>
          <cell r="S40922">
            <v>-6344.99</v>
          </cell>
          <cell r="X40922" t="str">
            <v>Variation UPR - gross</v>
          </cell>
          <cell r="Y40922" t="str">
            <v>MEXICO</v>
          </cell>
        </row>
        <row r="40923">
          <cell r="L40923" t="str">
            <v>Non-proportional</v>
          </cell>
          <cell r="S40923">
            <v>90736.07</v>
          </cell>
          <cell r="X40923" t="str">
            <v>Variation UPR - gross</v>
          </cell>
          <cell r="Y40923" t="str">
            <v>AUSTRALIA</v>
          </cell>
        </row>
        <row r="40924">
          <cell r="L40924" t="str">
            <v>Non-proportional</v>
          </cell>
          <cell r="S40924">
            <v>-417.67</v>
          </cell>
          <cell r="X40924" t="str">
            <v>Variation UPR - gross</v>
          </cell>
          <cell r="Y40924" t="str">
            <v>NETHERLANDS</v>
          </cell>
        </row>
        <row r="40925">
          <cell r="L40925" t="str">
            <v>Non-proportional</v>
          </cell>
          <cell r="S40925">
            <v>-37.35</v>
          </cell>
          <cell r="X40925" t="str">
            <v>Variation UPR - gross</v>
          </cell>
          <cell r="Y40925" t="str">
            <v>COSTA RICA</v>
          </cell>
        </row>
        <row r="40926">
          <cell r="L40926" t="str">
            <v>Non-proportional</v>
          </cell>
          <cell r="S40926">
            <v>-7867.79</v>
          </cell>
          <cell r="X40926" t="str">
            <v>Variation UPR - gross</v>
          </cell>
          <cell r="Y40926" t="str">
            <v>UNITED KINGDOM</v>
          </cell>
        </row>
        <row r="40927">
          <cell r="L40927" t="str">
            <v>Non-proportional</v>
          </cell>
          <cell r="S40927">
            <v>-2840.84</v>
          </cell>
          <cell r="X40927" t="str">
            <v>Variation UPR - gross</v>
          </cell>
          <cell r="Y40927" t="str">
            <v>EUROPE</v>
          </cell>
        </row>
        <row r="40928">
          <cell r="L40928" t="str">
            <v>Proportional</v>
          </cell>
          <cell r="S40928">
            <v>-168015.87</v>
          </cell>
          <cell r="X40928" t="str">
            <v>Variation UPR - gross</v>
          </cell>
          <cell r="Y40928" t="str">
            <v>HONG KONG</v>
          </cell>
        </row>
        <row r="40929">
          <cell r="L40929" t="str">
            <v>Non-proportional</v>
          </cell>
          <cell r="S40929">
            <v>-5877.46</v>
          </cell>
          <cell r="X40929" t="str">
            <v>Variation UPR - gross</v>
          </cell>
          <cell r="Y40929" t="str">
            <v>COSTA RICA</v>
          </cell>
        </row>
        <row r="40930">
          <cell r="L40930" t="str">
            <v>Non-proportional</v>
          </cell>
          <cell r="S40930">
            <v>-40000</v>
          </cell>
          <cell r="X40930" t="str">
            <v>Variation UPR - gross</v>
          </cell>
          <cell r="Y40930" t="str">
            <v>ITALY</v>
          </cell>
        </row>
        <row r="40931">
          <cell r="L40931" t="str">
            <v>Proportional</v>
          </cell>
          <cell r="S40931">
            <v>-627427.65</v>
          </cell>
          <cell r="X40931" t="str">
            <v>Variation UPR - gross</v>
          </cell>
          <cell r="Y40931" t="str">
            <v>HONG KONG</v>
          </cell>
        </row>
        <row r="40932">
          <cell r="L40932" t="str">
            <v>Non-proportional</v>
          </cell>
          <cell r="S40932">
            <v>78325.39</v>
          </cell>
          <cell r="X40932" t="str">
            <v>Variation UPR - gross</v>
          </cell>
          <cell r="Y40932" t="str">
            <v>UNITED KINGDOM</v>
          </cell>
        </row>
        <row r="40933">
          <cell r="L40933" t="str">
            <v>Non-proportional</v>
          </cell>
          <cell r="S40933">
            <v>-4166.67</v>
          </cell>
          <cell r="X40933" t="str">
            <v>Variation UPR - gross</v>
          </cell>
          <cell r="Y40933" t="str">
            <v>TURKEY</v>
          </cell>
        </row>
        <row r="40934">
          <cell r="L40934" t="str">
            <v>Non-proportional</v>
          </cell>
          <cell r="S40934">
            <v>0.03</v>
          </cell>
          <cell r="X40934" t="str">
            <v>Variation UPR - gross</v>
          </cell>
          <cell r="Y40934" t="str">
            <v>INDIA</v>
          </cell>
        </row>
        <row r="40935">
          <cell r="L40935" t="str">
            <v>Proportional</v>
          </cell>
          <cell r="S40935">
            <v>-367584.83</v>
          </cell>
          <cell r="X40935" t="str">
            <v>Variation UPR - gross</v>
          </cell>
          <cell r="Y40935" t="str">
            <v>UNITED STATES</v>
          </cell>
        </row>
        <row r="40936">
          <cell r="L40936" t="str">
            <v>Non-proportional</v>
          </cell>
          <cell r="S40936">
            <v>-1330.33</v>
          </cell>
          <cell r="X40936" t="str">
            <v>Variation UPR - gross</v>
          </cell>
          <cell r="Y40936" t="str">
            <v>FRANCE</v>
          </cell>
        </row>
        <row r="40937">
          <cell r="L40937" t="str">
            <v>Non-proportional</v>
          </cell>
          <cell r="S40937">
            <v>-205.67</v>
          </cell>
          <cell r="X40937" t="str">
            <v>Variation UPR - gross</v>
          </cell>
          <cell r="Y40937" t="str">
            <v>FRANCE</v>
          </cell>
        </row>
        <row r="40938">
          <cell r="L40938" t="str">
            <v>Non-proportional</v>
          </cell>
          <cell r="S40938">
            <v>27022.23</v>
          </cell>
          <cell r="X40938" t="str">
            <v>Variation UPR - gross</v>
          </cell>
          <cell r="Y40938" t="str">
            <v>UNITED KINGDOM</v>
          </cell>
        </row>
        <row r="40939">
          <cell r="L40939" t="str">
            <v>Non-proportional</v>
          </cell>
          <cell r="S40939">
            <v>35813.199999999997</v>
          </cell>
          <cell r="X40939" t="str">
            <v>Variation UPR - gross</v>
          </cell>
          <cell r="Y40939" t="str">
            <v>ECUADOR</v>
          </cell>
        </row>
        <row r="40940">
          <cell r="L40940" t="str">
            <v>Non-proportional</v>
          </cell>
          <cell r="S40940">
            <v>2003.5</v>
          </cell>
          <cell r="X40940" t="str">
            <v>Variation UPR - gross</v>
          </cell>
          <cell r="Y40940" t="str">
            <v>CHILE</v>
          </cell>
        </row>
        <row r="40941">
          <cell r="L40941" t="str">
            <v>Non-proportional</v>
          </cell>
          <cell r="S40941">
            <v>-5593.12</v>
          </cell>
          <cell r="X40941" t="str">
            <v>Variation UPR - gross</v>
          </cell>
          <cell r="Y40941" t="str">
            <v>JAPAN</v>
          </cell>
        </row>
        <row r="40942">
          <cell r="L40942" t="str">
            <v>Non-proportional</v>
          </cell>
          <cell r="S40942">
            <v>-1061352.4099999999</v>
          </cell>
          <cell r="X40942" t="str">
            <v>Variation UPR - gross</v>
          </cell>
          <cell r="Y40942" t="str">
            <v>BELGIUM</v>
          </cell>
        </row>
        <row r="40943">
          <cell r="L40943" t="str">
            <v>Non-proportional</v>
          </cell>
          <cell r="S40943">
            <v>-9348.14</v>
          </cell>
          <cell r="X40943" t="str">
            <v>Variation UPR - gross</v>
          </cell>
          <cell r="Y40943" t="str">
            <v>NETHERLANDS</v>
          </cell>
        </row>
        <row r="40944">
          <cell r="L40944" t="str">
            <v>Proportional</v>
          </cell>
          <cell r="S40944">
            <v>-248060.32</v>
          </cell>
          <cell r="X40944" t="str">
            <v>Variation UPR - gross</v>
          </cell>
          <cell r="Y40944" t="str">
            <v>HONG KONG</v>
          </cell>
        </row>
        <row r="40945">
          <cell r="L40945" t="str">
            <v>Non-proportional</v>
          </cell>
          <cell r="S40945">
            <v>-34185.269999999997</v>
          </cell>
          <cell r="X40945" t="str">
            <v>Variation UPR - gross</v>
          </cell>
          <cell r="Y40945" t="str">
            <v>NEW ZEALAND</v>
          </cell>
        </row>
        <row r="40946">
          <cell r="L40946" t="str">
            <v>Non-proportional</v>
          </cell>
          <cell r="S40946">
            <v>-6623.14</v>
          </cell>
          <cell r="X40946" t="str">
            <v>Variation UPR - gross</v>
          </cell>
          <cell r="Y40946" t="str">
            <v>CYPRUS</v>
          </cell>
        </row>
        <row r="40947">
          <cell r="L40947" t="str">
            <v>Non-proportional</v>
          </cell>
          <cell r="S40947">
            <v>84936.15</v>
          </cell>
          <cell r="X40947" t="str">
            <v>Variation UPR - gross</v>
          </cell>
          <cell r="Y40947" t="str">
            <v>UNITED KINGDOM</v>
          </cell>
        </row>
        <row r="40948">
          <cell r="L40948" t="str">
            <v>Non-proportional</v>
          </cell>
          <cell r="S40948">
            <v>-445.57</v>
          </cell>
          <cell r="X40948" t="str">
            <v>Variation UPR - gross</v>
          </cell>
          <cell r="Y40948" t="str">
            <v>UNITED KINGDOM</v>
          </cell>
        </row>
        <row r="40949">
          <cell r="L40949" t="str">
            <v>Proportional</v>
          </cell>
          <cell r="S40949">
            <v>-199265.35</v>
          </cell>
          <cell r="X40949" t="str">
            <v>Variation UPR - gross</v>
          </cell>
          <cell r="Y40949" t="str">
            <v>HONG KONG</v>
          </cell>
        </row>
        <row r="40950">
          <cell r="L40950" t="str">
            <v>Non-proportional</v>
          </cell>
          <cell r="S40950">
            <v>-2062.19</v>
          </cell>
          <cell r="X40950" t="str">
            <v>Variation UPR - gross</v>
          </cell>
          <cell r="Y40950" t="str">
            <v>JAPAN</v>
          </cell>
        </row>
        <row r="40951">
          <cell r="L40951" t="str">
            <v>Non-proportional</v>
          </cell>
          <cell r="S40951">
            <v>-1092.08</v>
          </cell>
          <cell r="X40951" t="str">
            <v>Variation UPR - gross</v>
          </cell>
          <cell r="Y40951" t="str">
            <v>JAPAN</v>
          </cell>
        </row>
        <row r="40952">
          <cell r="L40952" t="str">
            <v>Proportional</v>
          </cell>
          <cell r="S40952">
            <v>-1329.26</v>
          </cell>
          <cell r="X40952" t="str">
            <v>Variation UPR - gross</v>
          </cell>
          <cell r="Y40952" t="str">
            <v>UNITED STATES</v>
          </cell>
        </row>
        <row r="40953">
          <cell r="L40953" t="str">
            <v>Non-proportional</v>
          </cell>
          <cell r="S40953">
            <v>17.649999999999999</v>
          </cell>
          <cell r="X40953" t="str">
            <v>Variation UPR - gross</v>
          </cell>
          <cell r="Y40953" t="str">
            <v>JAPAN</v>
          </cell>
        </row>
        <row r="40954">
          <cell r="L40954" t="str">
            <v>Non-proportional</v>
          </cell>
          <cell r="S40954">
            <v>-139733.26</v>
          </cell>
          <cell r="X40954" t="str">
            <v>Variation UPR - gross</v>
          </cell>
          <cell r="Y40954" t="str">
            <v>UNITED KINGDOM</v>
          </cell>
        </row>
        <row r="40955">
          <cell r="L40955" t="str">
            <v>Proportional</v>
          </cell>
          <cell r="S40955">
            <v>266008.37</v>
          </cell>
          <cell r="X40955" t="str">
            <v>Variation UPR - gross</v>
          </cell>
          <cell r="Y40955" t="str">
            <v>INDIA</v>
          </cell>
        </row>
        <row r="40956">
          <cell r="L40956" t="str">
            <v>Non-proportional</v>
          </cell>
          <cell r="S40956">
            <v>-6270.83</v>
          </cell>
          <cell r="X40956" t="str">
            <v>Variation UPR - gross</v>
          </cell>
          <cell r="Y40956" t="str">
            <v>ITALY</v>
          </cell>
        </row>
        <row r="40957">
          <cell r="L40957" t="str">
            <v>Non-proportional</v>
          </cell>
          <cell r="S40957">
            <v>-3780</v>
          </cell>
          <cell r="X40957" t="str">
            <v>Variation UPR - gross</v>
          </cell>
          <cell r="Y40957" t="str">
            <v>GREECE</v>
          </cell>
        </row>
        <row r="40958">
          <cell r="L40958" t="str">
            <v>Non-proportional</v>
          </cell>
          <cell r="S40958">
            <v>-9178.3799999999992</v>
          </cell>
          <cell r="X40958" t="str">
            <v>Variation UPR - gross</v>
          </cell>
          <cell r="Y40958" t="str">
            <v>FRANCE</v>
          </cell>
        </row>
        <row r="40959">
          <cell r="L40959" t="str">
            <v>Proportional</v>
          </cell>
          <cell r="S40959">
            <v>-6901.7</v>
          </cell>
          <cell r="X40959" t="str">
            <v>Variation UPR - gross</v>
          </cell>
          <cell r="Y40959" t="str">
            <v>HONG KONG</v>
          </cell>
        </row>
        <row r="40960">
          <cell r="L40960" t="str">
            <v>Non-proportional</v>
          </cell>
          <cell r="S40960">
            <v>30965.4</v>
          </cell>
          <cell r="X40960" t="str">
            <v>Variation UPR - gross</v>
          </cell>
          <cell r="Y40960" t="str">
            <v>AUSTRALIA</v>
          </cell>
        </row>
        <row r="40961">
          <cell r="L40961" t="str">
            <v>Non-proportional</v>
          </cell>
          <cell r="S40961">
            <v>-4845.08</v>
          </cell>
          <cell r="X40961" t="str">
            <v>Variation UPR - gross</v>
          </cell>
          <cell r="Y40961" t="str">
            <v>ECUADOR</v>
          </cell>
        </row>
        <row r="40962">
          <cell r="L40962" t="str">
            <v>Non-proportional</v>
          </cell>
          <cell r="S40962">
            <v>-843.75</v>
          </cell>
          <cell r="X40962" t="str">
            <v>Variation UPR - gross</v>
          </cell>
          <cell r="Y40962" t="str">
            <v>GREECE</v>
          </cell>
        </row>
        <row r="40963">
          <cell r="L40963" t="str">
            <v>Proportional</v>
          </cell>
          <cell r="S40963">
            <v>-21945.63</v>
          </cell>
          <cell r="X40963" t="str">
            <v>Variation UPR - gross</v>
          </cell>
          <cell r="Y40963" t="str">
            <v>THAILAND</v>
          </cell>
        </row>
        <row r="40964">
          <cell r="L40964" t="str">
            <v>Non-proportional</v>
          </cell>
          <cell r="S40964">
            <v>-420.38</v>
          </cell>
          <cell r="X40964" t="str">
            <v>Variation UPR - gross</v>
          </cell>
          <cell r="Y40964" t="str">
            <v>PORTUGAL</v>
          </cell>
        </row>
        <row r="40965">
          <cell r="L40965" t="str">
            <v>Non-proportional</v>
          </cell>
          <cell r="S40965">
            <v>-905.42</v>
          </cell>
          <cell r="X40965" t="str">
            <v>Variation UPR - gross</v>
          </cell>
          <cell r="Y40965" t="str">
            <v>ITALY</v>
          </cell>
        </row>
        <row r="40966">
          <cell r="L40966" t="str">
            <v>Non-proportional</v>
          </cell>
          <cell r="S40966">
            <v>-4971.4799999999996</v>
          </cell>
          <cell r="X40966" t="str">
            <v>Variation UPR - gross</v>
          </cell>
          <cell r="Y40966" t="str">
            <v>EUROPE</v>
          </cell>
        </row>
        <row r="40967">
          <cell r="L40967" t="str">
            <v>Non-proportional</v>
          </cell>
          <cell r="S40967">
            <v>-28848.58</v>
          </cell>
          <cell r="X40967" t="str">
            <v>Variation UPR - gross</v>
          </cell>
          <cell r="Y40967" t="str">
            <v>FRANCE</v>
          </cell>
        </row>
        <row r="40968">
          <cell r="L40968" t="str">
            <v>Non-proportional</v>
          </cell>
          <cell r="S40968">
            <v>-14525.14</v>
          </cell>
          <cell r="X40968" t="str">
            <v>Variation UPR - gross</v>
          </cell>
          <cell r="Y40968" t="str">
            <v>PUERTO RICO</v>
          </cell>
        </row>
        <row r="40969">
          <cell r="L40969" t="str">
            <v>Non-proportional</v>
          </cell>
          <cell r="S40969">
            <v>-7855.52</v>
          </cell>
          <cell r="X40969" t="str">
            <v>Variation UPR - gross</v>
          </cell>
          <cell r="Y40969" t="str">
            <v>JAPAN</v>
          </cell>
        </row>
        <row r="40970">
          <cell r="L40970" t="str">
            <v>Non-proportional</v>
          </cell>
          <cell r="S40970">
            <v>-4541.93</v>
          </cell>
          <cell r="X40970" t="str">
            <v>Variation UPR - gross</v>
          </cell>
          <cell r="Y40970" t="str">
            <v>TURKEY</v>
          </cell>
        </row>
        <row r="40971">
          <cell r="L40971" t="str">
            <v>Non-proportional</v>
          </cell>
          <cell r="S40971">
            <v>-9330.5499999999993</v>
          </cell>
          <cell r="X40971" t="str">
            <v>Variation UPR - gross</v>
          </cell>
          <cell r="Y40971" t="str">
            <v>PUERTO RICO</v>
          </cell>
        </row>
        <row r="40972">
          <cell r="L40972" t="str">
            <v>Non-proportional</v>
          </cell>
          <cell r="S40972">
            <v>-4078.13</v>
          </cell>
          <cell r="X40972" t="str">
            <v>Variation UPR - gross</v>
          </cell>
          <cell r="Y40972" t="str">
            <v>GREECE</v>
          </cell>
        </row>
        <row r="40973">
          <cell r="L40973" t="str">
            <v>Non-proportional</v>
          </cell>
          <cell r="S40973">
            <v>-10920.85</v>
          </cell>
          <cell r="X40973" t="str">
            <v>Variation UPR - gross</v>
          </cell>
          <cell r="Y40973" t="str">
            <v>CHILE</v>
          </cell>
        </row>
        <row r="40974">
          <cell r="L40974" t="str">
            <v>Non-proportional</v>
          </cell>
          <cell r="S40974">
            <v>-15042.95</v>
          </cell>
          <cell r="X40974" t="str">
            <v>Variation UPR - gross</v>
          </cell>
          <cell r="Y40974" t="str">
            <v>FRANCE</v>
          </cell>
        </row>
        <row r="40975">
          <cell r="L40975" t="str">
            <v>Non-proportional</v>
          </cell>
          <cell r="S40975">
            <v>-638.52</v>
          </cell>
          <cell r="X40975" t="str">
            <v>Variation UPR - gross</v>
          </cell>
          <cell r="Y40975" t="str">
            <v>MALTA</v>
          </cell>
        </row>
        <row r="40976">
          <cell r="L40976" t="str">
            <v>Non-proportional</v>
          </cell>
          <cell r="S40976">
            <v>-6642.38</v>
          </cell>
          <cell r="X40976" t="str">
            <v>Variation UPR - gross</v>
          </cell>
          <cell r="Y40976" t="str">
            <v>JAPAN</v>
          </cell>
        </row>
        <row r="40977">
          <cell r="L40977" t="str">
            <v>Non-proportional</v>
          </cell>
          <cell r="S40977">
            <v>-3870.21</v>
          </cell>
          <cell r="X40977" t="str">
            <v>Variation UPR - gross</v>
          </cell>
          <cell r="Y40977" t="str">
            <v>ECUADOR</v>
          </cell>
        </row>
        <row r="40978">
          <cell r="L40978" t="str">
            <v>Proportional</v>
          </cell>
          <cell r="S40978">
            <v>-38966.400000000001</v>
          </cell>
          <cell r="X40978" t="str">
            <v>Variation UPR - gross</v>
          </cell>
          <cell r="Y40978" t="str">
            <v>FRANCE</v>
          </cell>
        </row>
        <row r="40979">
          <cell r="L40979" t="str">
            <v>Non-proportional</v>
          </cell>
          <cell r="S40979">
            <v>-10974.83</v>
          </cell>
          <cell r="X40979" t="str">
            <v>Variation UPR - gross</v>
          </cell>
          <cell r="Y40979" t="str">
            <v>GERMANY</v>
          </cell>
        </row>
        <row r="40980">
          <cell r="L40980" t="str">
            <v>Proportional</v>
          </cell>
          <cell r="S40980">
            <v>-24028.87</v>
          </cell>
          <cell r="X40980" t="str">
            <v>Variation UPR - gross</v>
          </cell>
          <cell r="Y40980" t="str">
            <v>ITALY</v>
          </cell>
        </row>
        <row r="40981">
          <cell r="L40981" t="str">
            <v>Non-proportional</v>
          </cell>
          <cell r="S40981">
            <v>-8288.2000000000007</v>
          </cell>
          <cell r="X40981" t="str">
            <v>Variation UPR - gross</v>
          </cell>
          <cell r="Y40981" t="str">
            <v>INDIA</v>
          </cell>
        </row>
        <row r="40982">
          <cell r="L40982" t="str">
            <v>Non-proportional</v>
          </cell>
          <cell r="S40982">
            <v>-9977.5</v>
          </cell>
          <cell r="X40982" t="str">
            <v>Variation UPR - gross</v>
          </cell>
          <cell r="Y40982" t="str">
            <v>ITALY</v>
          </cell>
        </row>
        <row r="40983">
          <cell r="L40983" t="str">
            <v>Non-proportional</v>
          </cell>
          <cell r="S40983">
            <v>40.57</v>
          </cell>
          <cell r="X40983" t="str">
            <v>Variation UPR - gross</v>
          </cell>
          <cell r="Y40983" t="str">
            <v>JAPAN</v>
          </cell>
        </row>
        <row r="40984">
          <cell r="L40984" t="str">
            <v>Non-proportional</v>
          </cell>
          <cell r="S40984">
            <v>-7897.5</v>
          </cell>
          <cell r="X40984" t="str">
            <v>Variation UPR - gross</v>
          </cell>
          <cell r="Y40984" t="str">
            <v>ITALY</v>
          </cell>
        </row>
        <row r="40985">
          <cell r="L40985" t="str">
            <v>Non-proportional</v>
          </cell>
          <cell r="S40985">
            <v>57.81</v>
          </cell>
          <cell r="X40985" t="str">
            <v>Variation UPR - gross</v>
          </cell>
          <cell r="Y40985" t="str">
            <v>JAPAN</v>
          </cell>
        </row>
        <row r="40986">
          <cell r="L40986" t="str">
            <v>Non-proportional</v>
          </cell>
          <cell r="S40986">
            <v>-21548.06</v>
          </cell>
          <cell r="X40986" t="str">
            <v>Variation UPR - gross</v>
          </cell>
          <cell r="Y40986" t="str">
            <v>UNITED KINGDOM</v>
          </cell>
        </row>
        <row r="40987">
          <cell r="L40987" t="str">
            <v>Non-proportional</v>
          </cell>
          <cell r="S40987">
            <v>-9409.2900000000009</v>
          </cell>
          <cell r="X40987" t="str">
            <v>Variation UPR - gross</v>
          </cell>
          <cell r="Y40987" t="str">
            <v>CHILE</v>
          </cell>
        </row>
        <row r="40988">
          <cell r="L40988" t="str">
            <v>Non-proportional</v>
          </cell>
          <cell r="S40988">
            <v>304.83</v>
          </cell>
          <cell r="X40988" t="str">
            <v>Variation UPR - gross</v>
          </cell>
          <cell r="Y40988" t="str">
            <v>NEW ZEALAND</v>
          </cell>
        </row>
        <row r="40989">
          <cell r="L40989" t="str">
            <v>Non-proportional</v>
          </cell>
          <cell r="S40989">
            <v>51.93</v>
          </cell>
          <cell r="X40989" t="str">
            <v>Variation UPR - gross</v>
          </cell>
          <cell r="Y40989" t="str">
            <v>JAPAN</v>
          </cell>
        </row>
        <row r="40990">
          <cell r="L40990" t="str">
            <v>Non-proportional</v>
          </cell>
          <cell r="S40990">
            <v>-19967.73</v>
          </cell>
          <cell r="X40990" t="str">
            <v>Variation UPR - gross</v>
          </cell>
          <cell r="Y40990" t="str">
            <v>FRANCE</v>
          </cell>
        </row>
        <row r="40991">
          <cell r="L40991" t="str">
            <v>Non-proportional</v>
          </cell>
          <cell r="S40991">
            <v>-43554.83</v>
          </cell>
          <cell r="X40991" t="str">
            <v>Variation UPR - gross</v>
          </cell>
          <cell r="Y40991" t="str">
            <v>UNITED KINGDOM</v>
          </cell>
        </row>
        <row r="40992">
          <cell r="L40992" t="str">
            <v>Non-proportional</v>
          </cell>
          <cell r="S40992">
            <v>219.64</v>
          </cell>
          <cell r="X40992" t="str">
            <v>Variation UPR - gross</v>
          </cell>
          <cell r="Y40992" t="str">
            <v>NEW ZEALAND</v>
          </cell>
        </row>
        <row r="40993">
          <cell r="L40993" t="str">
            <v>Non-proportional</v>
          </cell>
          <cell r="S40993">
            <v>-2561.63</v>
          </cell>
          <cell r="X40993" t="str">
            <v>Variation UPR - gross</v>
          </cell>
          <cell r="Y40993" t="str">
            <v>SOUTH AFRICA</v>
          </cell>
        </row>
        <row r="40994">
          <cell r="L40994" t="str">
            <v>Non-proportional</v>
          </cell>
          <cell r="S40994">
            <v>-2682.8</v>
          </cell>
          <cell r="X40994" t="str">
            <v>Variation UPR - gross</v>
          </cell>
          <cell r="Y40994" t="str">
            <v>AUSTRALIA</v>
          </cell>
        </row>
        <row r="40995">
          <cell r="L40995" t="str">
            <v>Non-proportional</v>
          </cell>
          <cell r="S40995">
            <v>23.01</v>
          </cell>
          <cell r="X40995" t="str">
            <v>Variation UPR - gross</v>
          </cell>
          <cell r="Y40995" t="str">
            <v>JAPAN</v>
          </cell>
        </row>
        <row r="40996">
          <cell r="L40996" t="str">
            <v>Proportional</v>
          </cell>
          <cell r="S40996">
            <v>-62646.11</v>
          </cell>
          <cell r="X40996" t="str">
            <v>Variation UPR - gross</v>
          </cell>
          <cell r="Y40996" t="str">
            <v>CANADA</v>
          </cell>
        </row>
        <row r="40997">
          <cell r="L40997" t="str">
            <v>Non-proportional</v>
          </cell>
          <cell r="S40997">
            <v>-34345.230000000003</v>
          </cell>
          <cell r="X40997" t="str">
            <v>Variation UPR - gross</v>
          </cell>
          <cell r="Y40997" t="str">
            <v>UNITED STATES</v>
          </cell>
        </row>
        <row r="40998">
          <cell r="L40998" t="str">
            <v>Non-proportional</v>
          </cell>
          <cell r="S40998">
            <v>-5380.81</v>
          </cell>
          <cell r="X40998" t="str">
            <v>Variation UPR - gross</v>
          </cell>
          <cell r="Y40998" t="str">
            <v>ISRAEL</v>
          </cell>
        </row>
        <row r="40999">
          <cell r="L40999" t="str">
            <v>Proportional</v>
          </cell>
          <cell r="S40999">
            <v>-32209.91</v>
          </cell>
          <cell r="X40999" t="str">
            <v>Variation UPR - gross</v>
          </cell>
          <cell r="Y40999" t="str">
            <v>THAILAND</v>
          </cell>
        </row>
        <row r="41000">
          <cell r="L41000" t="str">
            <v>Non-proportional</v>
          </cell>
          <cell r="S41000">
            <v>36495.360000000001</v>
          </cell>
          <cell r="X41000" t="str">
            <v>Variation UPR - gross</v>
          </cell>
          <cell r="Y41000" t="str">
            <v>ECUADOR</v>
          </cell>
        </row>
        <row r="41001">
          <cell r="L41001" t="str">
            <v>Proportional</v>
          </cell>
          <cell r="S41001">
            <v>-84862.720000000001</v>
          </cell>
          <cell r="X41001" t="str">
            <v>Variation UPR - gross</v>
          </cell>
          <cell r="Y41001" t="str">
            <v>JAPAN</v>
          </cell>
        </row>
        <row r="41002">
          <cell r="L41002" t="str">
            <v>Non-proportional</v>
          </cell>
          <cell r="S41002">
            <v>-37828.21</v>
          </cell>
          <cell r="X41002" t="str">
            <v>Variation UPR - gross</v>
          </cell>
          <cell r="Y41002" t="str">
            <v>TURKEY</v>
          </cell>
        </row>
        <row r="41003">
          <cell r="L41003" t="str">
            <v>Non-proportional</v>
          </cell>
          <cell r="S41003">
            <v>-9293.02</v>
          </cell>
          <cell r="X41003" t="str">
            <v>Variation UPR - gross</v>
          </cell>
          <cell r="Y41003" t="str">
            <v>COLOMBIA</v>
          </cell>
        </row>
        <row r="41004">
          <cell r="L41004" t="str">
            <v>Non-proportional</v>
          </cell>
          <cell r="S41004">
            <v>-6744.24</v>
          </cell>
          <cell r="X41004" t="str">
            <v>Variation UPR - gross</v>
          </cell>
          <cell r="Y41004" t="str">
            <v>UNITED KINGDOM</v>
          </cell>
        </row>
        <row r="41005">
          <cell r="L41005" t="str">
            <v>Non-proportional</v>
          </cell>
          <cell r="S41005">
            <v>-0.02</v>
          </cell>
          <cell r="X41005" t="str">
            <v>Variation UPR - gross</v>
          </cell>
          <cell r="Y41005" t="str">
            <v>DOMINICAN REPUBLIC</v>
          </cell>
        </row>
        <row r="41006">
          <cell r="L41006" t="str">
            <v>Non-proportional</v>
          </cell>
          <cell r="S41006">
            <v>-71.55</v>
          </cell>
          <cell r="X41006" t="str">
            <v>Variation UPR - gross</v>
          </cell>
          <cell r="Y41006" t="str">
            <v>CHILE</v>
          </cell>
        </row>
        <row r="41007">
          <cell r="L41007" t="str">
            <v>Non-proportional</v>
          </cell>
          <cell r="S41007">
            <v>-914.12</v>
          </cell>
          <cell r="X41007" t="str">
            <v>Variation UPR - gross</v>
          </cell>
          <cell r="Y41007" t="str">
            <v>INDIA</v>
          </cell>
        </row>
        <row r="41008">
          <cell r="L41008" t="str">
            <v>Non-proportional</v>
          </cell>
          <cell r="S41008">
            <v>-8598.49</v>
          </cell>
          <cell r="X41008" t="str">
            <v>Variation UPR - gross</v>
          </cell>
          <cell r="Y41008" t="str">
            <v>CANADA</v>
          </cell>
        </row>
        <row r="41009">
          <cell r="L41009" t="str">
            <v>Non-proportional</v>
          </cell>
          <cell r="S41009">
            <v>-4859.66</v>
          </cell>
          <cell r="X41009" t="str">
            <v>Variation UPR - gross</v>
          </cell>
          <cell r="Y41009" t="str">
            <v>UNITED KINGDOM</v>
          </cell>
        </row>
        <row r="41010">
          <cell r="L41010" t="str">
            <v>Non-proportional</v>
          </cell>
          <cell r="S41010">
            <v>-179.24</v>
          </cell>
          <cell r="X41010" t="str">
            <v>Variation UPR - gross</v>
          </cell>
          <cell r="Y41010" t="str">
            <v>JAPAN</v>
          </cell>
        </row>
        <row r="41011">
          <cell r="L41011" t="str">
            <v>Non-proportional</v>
          </cell>
          <cell r="S41011">
            <v>-4250.1899999999996</v>
          </cell>
          <cell r="X41011" t="str">
            <v>Variation UPR - gross</v>
          </cell>
          <cell r="Y41011" t="str">
            <v>ITALY</v>
          </cell>
        </row>
        <row r="41012">
          <cell r="L41012" t="str">
            <v>Non-proportional</v>
          </cell>
          <cell r="S41012">
            <v>-0.03</v>
          </cell>
          <cell r="X41012" t="str">
            <v>Variation UPR - gross</v>
          </cell>
          <cell r="Y41012" t="str">
            <v>THAILAND</v>
          </cell>
        </row>
        <row r="41013">
          <cell r="L41013" t="str">
            <v>Non-proportional</v>
          </cell>
          <cell r="S41013">
            <v>-5122.63</v>
          </cell>
          <cell r="X41013" t="str">
            <v>Variation UPR - gross</v>
          </cell>
          <cell r="Y41013" t="str">
            <v>ISRAEL</v>
          </cell>
        </row>
        <row r="41014">
          <cell r="L41014" t="str">
            <v>Proportional</v>
          </cell>
          <cell r="S41014">
            <v>-376.25</v>
          </cell>
          <cell r="X41014" t="str">
            <v>Variation UPR - gross</v>
          </cell>
          <cell r="Y41014" t="str">
            <v>UNITED STATES</v>
          </cell>
        </row>
        <row r="41015">
          <cell r="L41015" t="str">
            <v>Proportional</v>
          </cell>
          <cell r="S41015">
            <v>-89889.75</v>
          </cell>
          <cell r="X41015" t="str">
            <v>Variation UPR - gross</v>
          </cell>
          <cell r="Y41015" t="str">
            <v>CHILE</v>
          </cell>
        </row>
        <row r="41016">
          <cell r="L41016" t="str">
            <v>Non-proportional</v>
          </cell>
          <cell r="S41016">
            <v>25058.6</v>
          </cell>
          <cell r="X41016" t="str">
            <v>Variation UPR - gross</v>
          </cell>
          <cell r="Y41016" t="str">
            <v>DOMINICAN REPUBLIC</v>
          </cell>
        </row>
        <row r="41017">
          <cell r="L41017" t="str">
            <v>Non-proportional</v>
          </cell>
          <cell r="S41017">
            <v>-2969.47</v>
          </cell>
          <cell r="X41017" t="str">
            <v>Variation UPR - gross</v>
          </cell>
          <cell r="Y41017" t="str">
            <v>CHILE</v>
          </cell>
        </row>
        <row r="41018">
          <cell r="L41018" t="str">
            <v>Non-proportional</v>
          </cell>
          <cell r="S41018">
            <v>-239.97</v>
          </cell>
          <cell r="X41018" t="str">
            <v>Variation UPR - gross</v>
          </cell>
          <cell r="Y41018" t="str">
            <v>COLOMBIA</v>
          </cell>
        </row>
        <row r="41019">
          <cell r="L41019" t="str">
            <v>Non-proportional</v>
          </cell>
          <cell r="S41019">
            <v>-3204.33</v>
          </cell>
          <cell r="X41019" t="str">
            <v>Variation UPR - gross</v>
          </cell>
          <cell r="Y41019" t="str">
            <v>COLOMBIA</v>
          </cell>
        </row>
        <row r="41020">
          <cell r="L41020" t="str">
            <v>Non-proportional</v>
          </cell>
          <cell r="S41020">
            <v>-1255.21</v>
          </cell>
          <cell r="X41020" t="str">
            <v>Variation UPR - gross</v>
          </cell>
          <cell r="Y41020" t="str">
            <v>JAPAN</v>
          </cell>
        </row>
        <row r="41021">
          <cell r="L41021" t="str">
            <v>Non-proportional</v>
          </cell>
          <cell r="S41021">
            <v>-445.48</v>
          </cell>
          <cell r="X41021" t="str">
            <v>Variation UPR - gross</v>
          </cell>
          <cell r="Y41021" t="str">
            <v>JAPAN</v>
          </cell>
        </row>
        <row r="41022">
          <cell r="L41022" t="str">
            <v>Non-proportional</v>
          </cell>
          <cell r="S41022">
            <v>129728.91</v>
          </cell>
          <cell r="X41022" t="str">
            <v>Variation UPR - gross</v>
          </cell>
          <cell r="Y41022" t="str">
            <v>MEXICO</v>
          </cell>
        </row>
        <row r="41023">
          <cell r="L41023" t="str">
            <v>Non-proportional</v>
          </cell>
          <cell r="S41023">
            <v>-1496.93</v>
          </cell>
          <cell r="X41023" t="str">
            <v>Variation UPR - gross</v>
          </cell>
          <cell r="Y41023" t="str">
            <v>GUATEMALA</v>
          </cell>
        </row>
        <row r="41024">
          <cell r="L41024" t="str">
            <v>Proportional</v>
          </cell>
          <cell r="S41024">
            <v>2157.1799999999998</v>
          </cell>
          <cell r="X41024" t="str">
            <v>Variation UPR - gross</v>
          </cell>
          <cell r="Y41024" t="str">
            <v>THAILAND</v>
          </cell>
        </row>
        <row r="41025">
          <cell r="L41025" t="str">
            <v>Non-proportional</v>
          </cell>
          <cell r="S41025">
            <v>-938.9</v>
          </cell>
          <cell r="X41025" t="str">
            <v>Variation UPR - gross</v>
          </cell>
          <cell r="Y41025" t="str">
            <v>JAPAN</v>
          </cell>
        </row>
        <row r="41026">
          <cell r="L41026" t="str">
            <v>Non-proportional</v>
          </cell>
          <cell r="S41026">
            <v>-3570.63</v>
          </cell>
          <cell r="X41026" t="str">
            <v>Variation UPR - gross</v>
          </cell>
          <cell r="Y41026" t="str">
            <v>GREECE</v>
          </cell>
        </row>
        <row r="41027">
          <cell r="L41027" t="str">
            <v>Non-proportional</v>
          </cell>
          <cell r="S41027">
            <v>105449.60000000001</v>
          </cell>
          <cell r="X41027" t="str">
            <v>Variation UPR - gross</v>
          </cell>
          <cell r="Y41027" t="str">
            <v>MEXICO</v>
          </cell>
        </row>
        <row r="41028">
          <cell r="L41028" t="str">
            <v>Non-proportional</v>
          </cell>
          <cell r="S41028">
            <v>-1260.68</v>
          </cell>
          <cell r="X41028" t="str">
            <v>Variation UPR - gross</v>
          </cell>
          <cell r="Y41028" t="str">
            <v>PERU</v>
          </cell>
        </row>
        <row r="41029">
          <cell r="L41029" t="str">
            <v>Non-proportional</v>
          </cell>
          <cell r="S41029">
            <v>-4124.74</v>
          </cell>
          <cell r="X41029" t="str">
            <v>Variation UPR - gross</v>
          </cell>
          <cell r="Y41029" t="str">
            <v>UNITED KINGDOM</v>
          </cell>
        </row>
        <row r="41030">
          <cell r="L41030" t="str">
            <v>Proportional</v>
          </cell>
          <cell r="S41030">
            <v>-2458333.33</v>
          </cell>
          <cell r="X41030" t="str">
            <v>Variation UPR - gross</v>
          </cell>
          <cell r="Y41030" t="str">
            <v>PORTUGAL</v>
          </cell>
        </row>
        <row r="41031">
          <cell r="L41031" t="str">
            <v>Non-proportional</v>
          </cell>
          <cell r="S41031">
            <v>-64754.38</v>
          </cell>
          <cell r="X41031" t="str">
            <v>Variation UPR - gross</v>
          </cell>
          <cell r="Y41031" t="str">
            <v>UNITED KINGDOM</v>
          </cell>
        </row>
        <row r="41032">
          <cell r="L41032" t="str">
            <v>Non-proportional</v>
          </cell>
          <cell r="S41032">
            <v>10653.08</v>
          </cell>
          <cell r="X41032" t="str">
            <v>Variation UPR - gross</v>
          </cell>
          <cell r="Y41032" t="str">
            <v>DOMINICAN REPUBLIC</v>
          </cell>
        </row>
        <row r="41033">
          <cell r="L41033" t="str">
            <v>Non-proportional</v>
          </cell>
          <cell r="S41033">
            <v>-964.89</v>
          </cell>
          <cell r="X41033" t="str">
            <v>Variation UPR - gross</v>
          </cell>
          <cell r="Y41033" t="str">
            <v>ISRAEL</v>
          </cell>
        </row>
        <row r="41034">
          <cell r="L41034" t="str">
            <v>Non-proportional</v>
          </cell>
          <cell r="S41034">
            <v>-29292.62</v>
          </cell>
          <cell r="X41034" t="str">
            <v>Variation UPR - gross</v>
          </cell>
          <cell r="Y41034" t="str">
            <v>UNITED KINGDOM</v>
          </cell>
        </row>
        <row r="41035">
          <cell r="L41035" t="str">
            <v>Non-proportional</v>
          </cell>
          <cell r="S41035">
            <v>-375978.63</v>
          </cell>
          <cell r="X41035" t="str">
            <v>Variation UPR - gross</v>
          </cell>
          <cell r="Y41035" t="str">
            <v>PORTUGAL</v>
          </cell>
        </row>
        <row r="41036">
          <cell r="L41036" t="str">
            <v>Non-proportional</v>
          </cell>
          <cell r="S41036">
            <v>-1846.85</v>
          </cell>
          <cell r="X41036" t="str">
            <v>Variation UPR - gross</v>
          </cell>
          <cell r="Y41036" t="str">
            <v>FRANCE</v>
          </cell>
        </row>
        <row r="41037">
          <cell r="L41037" t="str">
            <v>Non-proportional</v>
          </cell>
          <cell r="S41037">
            <v>-5512.68</v>
          </cell>
          <cell r="X41037" t="str">
            <v>Variation UPR - gross</v>
          </cell>
          <cell r="Y41037" t="str">
            <v>NETHERLANDS</v>
          </cell>
        </row>
        <row r="41038">
          <cell r="L41038" t="str">
            <v>Non-proportional</v>
          </cell>
          <cell r="S41038">
            <v>-64.28</v>
          </cell>
          <cell r="X41038" t="str">
            <v>Variation UPR - gross</v>
          </cell>
          <cell r="Y41038" t="str">
            <v>ISRAEL</v>
          </cell>
        </row>
        <row r="41039">
          <cell r="L41039" t="str">
            <v>Non-proportional</v>
          </cell>
          <cell r="S41039">
            <v>34.24</v>
          </cell>
          <cell r="X41039" t="str">
            <v>Variation UPR - gross</v>
          </cell>
          <cell r="Y41039" t="str">
            <v>JAPAN</v>
          </cell>
        </row>
        <row r="41040">
          <cell r="L41040" t="str">
            <v>Non-proportional</v>
          </cell>
          <cell r="S41040">
            <v>-7267.71</v>
          </cell>
          <cell r="X41040" t="str">
            <v>Variation UPR - gross</v>
          </cell>
          <cell r="Y41040" t="str">
            <v>FRANCE</v>
          </cell>
        </row>
        <row r="41041">
          <cell r="L41041" t="str">
            <v>Non-proportional</v>
          </cell>
          <cell r="S41041">
            <v>2.2599999999999998</v>
          </cell>
          <cell r="X41041" t="str">
            <v>Variation UPR - gross</v>
          </cell>
          <cell r="Y41041" t="str">
            <v>GUATEMALA</v>
          </cell>
        </row>
        <row r="41042">
          <cell r="L41042" t="str">
            <v>Non-proportional</v>
          </cell>
          <cell r="S41042">
            <v>50601.61</v>
          </cell>
          <cell r="X41042" t="str">
            <v>Variation UPR - gross</v>
          </cell>
          <cell r="Y41042" t="str">
            <v>BELIZE</v>
          </cell>
        </row>
        <row r="41043">
          <cell r="L41043" t="str">
            <v>Non-proportional</v>
          </cell>
          <cell r="S41043">
            <v>-40158.160000000003</v>
          </cell>
          <cell r="X41043" t="str">
            <v>Variation UPR - gross</v>
          </cell>
          <cell r="Y41043" t="str">
            <v>UNITED KINGDOM</v>
          </cell>
        </row>
        <row r="41044">
          <cell r="L41044" t="str">
            <v>Non-proportional</v>
          </cell>
          <cell r="S41044">
            <v>-10120.5</v>
          </cell>
          <cell r="X41044" t="str">
            <v>Variation UPR - gross</v>
          </cell>
          <cell r="Y41044" t="str">
            <v>ITALY</v>
          </cell>
        </row>
        <row r="41045">
          <cell r="L41045" t="str">
            <v>Non-proportional</v>
          </cell>
          <cell r="S41045">
            <v>-2517.67</v>
          </cell>
          <cell r="X41045" t="str">
            <v>Variation UPR - gross</v>
          </cell>
          <cell r="Y41045" t="str">
            <v>ITALY</v>
          </cell>
        </row>
        <row r="41046">
          <cell r="L41046" t="str">
            <v>Proportional</v>
          </cell>
          <cell r="S41046">
            <v>-45369.4</v>
          </cell>
          <cell r="X41046" t="str">
            <v>Variation UPR - gross</v>
          </cell>
          <cell r="Y41046" t="str">
            <v>MEXICO</v>
          </cell>
        </row>
        <row r="41047">
          <cell r="L41047" t="str">
            <v>Non-proportional</v>
          </cell>
          <cell r="S41047">
            <v>-7437.5</v>
          </cell>
          <cell r="X41047" t="str">
            <v>Variation UPR - gross</v>
          </cell>
          <cell r="Y41047" t="str">
            <v>ITALY</v>
          </cell>
        </row>
        <row r="41048">
          <cell r="L41048" t="str">
            <v>Non-proportional</v>
          </cell>
          <cell r="S41048">
            <v>-12586.73</v>
          </cell>
          <cell r="X41048" t="str">
            <v>Variation UPR - gross</v>
          </cell>
          <cell r="Y41048" t="str">
            <v>NEW ZEALAND</v>
          </cell>
        </row>
        <row r="41049">
          <cell r="L41049" t="str">
            <v>Non-proportional</v>
          </cell>
          <cell r="S41049">
            <v>-1844.7</v>
          </cell>
          <cell r="X41049" t="str">
            <v>Variation UPR - gross</v>
          </cell>
          <cell r="Y41049" t="str">
            <v>NEW ZEALAND</v>
          </cell>
        </row>
        <row r="41050">
          <cell r="L41050" t="str">
            <v>Non-proportional</v>
          </cell>
          <cell r="S41050">
            <v>-146.28</v>
          </cell>
          <cell r="X41050" t="str">
            <v>Variation UPR - gross</v>
          </cell>
          <cell r="Y41050" t="str">
            <v>FRANCE</v>
          </cell>
        </row>
        <row r="41051">
          <cell r="L41051" t="str">
            <v>Non-proportional</v>
          </cell>
          <cell r="S41051">
            <v>-0.03</v>
          </cell>
          <cell r="X41051" t="str">
            <v>Variation UPR - gross</v>
          </cell>
          <cell r="Y41051" t="str">
            <v>COLOMBIA</v>
          </cell>
        </row>
        <row r="41052">
          <cell r="L41052" t="str">
            <v>Proportional</v>
          </cell>
          <cell r="S41052">
            <v>2054.46</v>
          </cell>
          <cell r="X41052" t="str">
            <v>Variation UPR - gross</v>
          </cell>
          <cell r="Y41052" t="str">
            <v>THAILAND</v>
          </cell>
        </row>
        <row r="41053">
          <cell r="L41053" t="str">
            <v>Non-proportional</v>
          </cell>
          <cell r="S41053">
            <v>-2547.5500000000002</v>
          </cell>
          <cell r="X41053" t="str">
            <v>Variation UPR - gross</v>
          </cell>
          <cell r="Y41053" t="str">
            <v>ISRAEL</v>
          </cell>
        </row>
        <row r="41054">
          <cell r="L41054" t="str">
            <v>Proportional</v>
          </cell>
          <cell r="S41054">
            <v>-118661.47</v>
          </cell>
          <cell r="X41054" t="str">
            <v>Variation UPR - gross</v>
          </cell>
          <cell r="Y41054" t="str">
            <v>PORTUGAL</v>
          </cell>
        </row>
        <row r="41055">
          <cell r="L41055" t="str">
            <v>Non-proportional</v>
          </cell>
          <cell r="S41055">
            <v>-289.58999999999997</v>
          </cell>
          <cell r="X41055" t="str">
            <v>Variation UPR - gross</v>
          </cell>
          <cell r="Y41055" t="str">
            <v>MEXICO</v>
          </cell>
        </row>
        <row r="41056">
          <cell r="L41056" t="str">
            <v>Non-proportional</v>
          </cell>
          <cell r="S41056">
            <v>-3184.13</v>
          </cell>
          <cell r="X41056" t="str">
            <v>Variation UPR - gross</v>
          </cell>
          <cell r="Y41056" t="str">
            <v>CHILE</v>
          </cell>
        </row>
        <row r="41057">
          <cell r="L41057" t="str">
            <v>Non-proportional</v>
          </cell>
          <cell r="S41057">
            <v>-5473.58</v>
          </cell>
          <cell r="X41057" t="str">
            <v>Variation UPR - gross</v>
          </cell>
          <cell r="Y41057" t="str">
            <v>UNITED KINGDOM</v>
          </cell>
        </row>
        <row r="41058">
          <cell r="L41058" t="str">
            <v>Non-proportional</v>
          </cell>
          <cell r="S41058">
            <v>41409.879999999997</v>
          </cell>
          <cell r="X41058" t="str">
            <v>Variation UPR - gross</v>
          </cell>
          <cell r="Y41058" t="str">
            <v>COLOMBIA</v>
          </cell>
        </row>
        <row r="41059">
          <cell r="L41059" t="str">
            <v>Non-proportional</v>
          </cell>
          <cell r="S41059">
            <v>-873.66</v>
          </cell>
          <cell r="X41059" t="str">
            <v>Variation UPR - gross</v>
          </cell>
          <cell r="Y41059" t="str">
            <v>COSTA RICA</v>
          </cell>
        </row>
        <row r="41060">
          <cell r="L41060" t="str">
            <v>Proportional</v>
          </cell>
          <cell r="S41060">
            <v>9588.17</v>
          </cell>
          <cell r="X41060" t="str">
            <v>Variation UPR - gross</v>
          </cell>
          <cell r="Y41060" t="str">
            <v>CHILE</v>
          </cell>
        </row>
        <row r="41061">
          <cell r="L41061" t="str">
            <v>Non-proportional</v>
          </cell>
          <cell r="S41061">
            <v>18032.310000000001</v>
          </cell>
          <cell r="X41061" t="str">
            <v>Variation UPR - gross</v>
          </cell>
          <cell r="Y41061" t="str">
            <v>ECUADOR</v>
          </cell>
        </row>
        <row r="41062">
          <cell r="L41062" t="str">
            <v>Non-proportional</v>
          </cell>
          <cell r="S41062">
            <v>-0.03</v>
          </cell>
          <cell r="X41062" t="str">
            <v>Variation UPR - gross</v>
          </cell>
          <cell r="Y41062" t="str">
            <v>THAILAND</v>
          </cell>
        </row>
        <row r="41063">
          <cell r="L41063" t="str">
            <v>Non-proportional</v>
          </cell>
          <cell r="S41063">
            <v>-1305.42</v>
          </cell>
          <cell r="X41063" t="str">
            <v>Variation UPR - gross</v>
          </cell>
          <cell r="Y41063" t="str">
            <v>JAPAN</v>
          </cell>
        </row>
        <row r="41064">
          <cell r="L41064" t="str">
            <v>Non-proportional</v>
          </cell>
          <cell r="S41064">
            <v>-2059.85</v>
          </cell>
          <cell r="X41064" t="str">
            <v>Variation UPR - gross</v>
          </cell>
          <cell r="Y41064" t="str">
            <v>UNITED KINGDOM</v>
          </cell>
        </row>
        <row r="41065">
          <cell r="L41065" t="str">
            <v>Non-proportional</v>
          </cell>
          <cell r="S41065">
            <v>-2506.31</v>
          </cell>
          <cell r="X41065" t="str">
            <v>Variation UPR - gross</v>
          </cell>
          <cell r="Y41065" t="str">
            <v>MEXICO</v>
          </cell>
        </row>
        <row r="41066">
          <cell r="L41066" t="str">
            <v>Non-proportional</v>
          </cell>
          <cell r="S41066">
            <v>-286.25</v>
          </cell>
          <cell r="X41066" t="str">
            <v>Variation UPR - gross</v>
          </cell>
          <cell r="Y41066" t="str">
            <v>REPUBLIC OF IRELAND</v>
          </cell>
        </row>
        <row r="41067">
          <cell r="L41067" t="str">
            <v>Non-proportional</v>
          </cell>
          <cell r="S41067">
            <v>-2256.12</v>
          </cell>
          <cell r="X41067" t="str">
            <v>Variation UPR - gross</v>
          </cell>
          <cell r="Y41067" t="str">
            <v>ECUADOR</v>
          </cell>
        </row>
        <row r="41068">
          <cell r="L41068" t="str">
            <v>Non-proportional</v>
          </cell>
          <cell r="S41068">
            <v>-4522.42</v>
          </cell>
          <cell r="X41068" t="str">
            <v>Variation UPR - gross</v>
          </cell>
          <cell r="Y41068" t="str">
            <v>UNITED KINGDOM</v>
          </cell>
        </row>
        <row r="41069">
          <cell r="L41069" t="str">
            <v>Non-proportional</v>
          </cell>
          <cell r="S41069">
            <v>-397.06</v>
          </cell>
          <cell r="X41069" t="str">
            <v>Variation UPR - gross</v>
          </cell>
          <cell r="Y41069" t="str">
            <v>COLOMBIA</v>
          </cell>
        </row>
        <row r="41070">
          <cell r="L41070" t="str">
            <v>Non-proportional</v>
          </cell>
          <cell r="S41070">
            <v>-4250.71</v>
          </cell>
          <cell r="X41070" t="str">
            <v>Variation UPR - gross</v>
          </cell>
          <cell r="Y41070" t="str">
            <v>ITALY</v>
          </cell>
        </row>
        <row r="41071">
          <cell r="L41071" t="str">
            <v>Non-proportional</v>
          </cell>
          <cell r="S41071">
            <v>-5080.3</v>
          </cell>
          <cell r="X41071" t="str">
            <v>Variation UPR - gross</v>
          </cell>
          <cell r="Y41071" t="str">
            <v>CHILE</v>
          </cell>
        </row>
        <row r="41072">
          <cell r="L41072" t="str">
            <v>Non-proportional</v>
          </cell>
          <cell r="S41072">
            <v>-1305.42</v>
          </cell>
          <cell r="X41072" t="str">
            <v>Variation UPR - gross</v>
          </cell>
          <cell r="Y41072" t="str">
            <v>JAPAN</v>
          </cell>
        </row>
        <row r="41073">
          <cell r="L41073" t="str">
            <v>Non-proportional</v>
          </cell>
          <cell r="S41073">
            <v>-4455.72</v>
          </cell>
          <cell r="X41073" t="str">
            <v>Variation UPR - gross</v>
          </cell>
          <cell r="Y41073" t="str">
            <v>COSTA RICA</v>
          </cell>
        </row>
        <row r="41074">
          <cell r="L41074" t="str">
            <v>Proportional</v>
          </cell>
          <cell r="S41074">
            <v>-164438.91</v>
          </cell>
          <cell r="X41074" t="str">
            <v>Variation UPR - gross</v>
          </cell>
          <cell r="Y41074" t="str">
            <v>JAPAN</v>
          </cell>
        </row>
        <row r="41075">
          <cell r="L41075" t="str">
            <v>Non-proportional</v>
          </cell>
          <cell r="S41075">
            <v>-105723.33</v>
          </cell>
          <cell r="X41075" t="str">
            <v>Variation UPR - gross</v>
          </cell>
          <cell r="Y41075" t="str">
            <v>FRANCE</v>
          </cell>
        </row>
        <row r="41076">
          <cell r="L41076" t="str">
            <v>Non-proportional</v>
          </cell>
          <cell r="S41076">
            <v>-7503</v>
          </cell>
          <cell r="X41076" t="str">
            <v>Variation UPR - gross</v>
          </cell>
          <cell r="Y41076" t="str">
            <v>CYPRUS</v>
          </cell>
        </row>
        <row r="41077">
          <cell r="L41077" t="str">
            <v>Non-proportional</v>
          </cell>
          <cell r="S41077">
            <v>-1172.3</v>
          </cell>
          <cell r="X41077" t="str">
            <v>Variation UPR - gross</v>
          </cell>
          <cell r="Y41077" t="str">
            <v>FRANCE</v>
          </cell>
        </row>
        <row r="41078">
          <cell r="L41078" t="str">
            <v>Non-proportional</v>
          </cell>
          <cell r="S41078">
            <v>-6675.66</v>
          </cell>
          <cell r="X41078" t="str">
            <v>Variation UPR - gross</v>
          </cell>
          <cell r="Y41078" t="str">
            <v>COLOMBIA</v>
          </cell>
        </row>
        <row r="41079">
          <cell r="L41079" t="str">
            <v>Non-proportional</v>
          </cell>
          <cell r="S41079">
            <v>-71.67</v>
          </cell>
          <cell r="X41079" t="str">
            <v>Variation UPR - gross</v>
          </cell>
          <cell r="Y41079" t="str">
            <v>THAILAND</v>
          </cell>
        </row>
        <row r="41080">
          <cell r="L41080" t="str">
            <v>Proportional</v>
          </cell>
          <cell r="S41080">
            <v>-119325.94</v>
          </cell>
          <cell r="X41080" t="str">
            <v>Variation UPR - gross</v>
          </cell>
          <cell r="Y41080" t="str">
            <v>THAILAND</v>
          </cell>
        </row>
        <row r="41081">
          <cell r="L41081" t="str">
            <v>Non-proportional</v>
          </cell>
          <cell r="S41081">
            <v>-1813.64</v>
          </cell>
          <cell r="X41081" t="str">
            <v>Variation UPR - gross</v>
          </cell>
          <cell r="Y41081" t="str">
            <v>NEW ZEALAND</v>
          </cell>
        </row>
        <row r="41082">
          <cell r="L41082" t="str">
            <v>Non-proportional</v>
          </cell>
          <cell r="S41082">
            <v>-2828.36</v>
          </cell>
          <cell r="X41082" t="str">
            <v>Variation UPR - gross</v>
          </cell>
          <cell r="Y41082" t="str">
            <v>JAPAN</v>
          </cell>
        </row>
        <row r="41083">
          <cell r="L41083" t="str">
            <v>Non-proportional</v>
          </cell>
          <cell r="S41083">
            <v>54.07</v>
          </cell>
          <cell r="X41083" t="str">
            <v>Variation UPR - gross</v>
          </cell>
          <cell r="Y41083" t="str">
            <v>JAPAN</v>
          </cell>
        </row>
        <row r="41084">
          <cell r="L41084" t="str">
            <v>Non-proportional</v>
          </cell>
          <cell r="S41084">
            <v>-1562.37</v>
          </cell>
          <cell r="X41084" t="str">
            <v>Variation UPR - gross</v>
          </cell>
          <cell r="Y41084" t="str">
            <v>FRANCE</v>
          </cell>
        </row>
        <row r="41085">
          <cell r="L41085" t="str">
            <v>Non-proportional</v>
          </cell>
          <cell r="S41085">
            <v>102.31</v>
          </cell>
          <cell r="X41085" t="str">
            <v>Variation UPR - gross</v>
          </cell>
          <cell r="Y41085" t="str">
            <v>AUSTRALIA</v>
          </cell>
        </row>
        <row r="41086">
          <cell r="L41086" t="str">
            <v>Proportional</v>
          </cell>
          <cell r="S41086">
            <v>-1022745.49</v>
          </cell>
          <cell r="X41086" t="str">
            <v>Variation UPR - gross</v>
          </cell>
          <cell r="Y41086" t="str">
            <v>THAILAND</v>
          </cell>
        </row>
        <row r="41087">
          <cell r="L41087" t="str">
            <v>Non-proportional</v>
          </cell>
          <cell r="S41087">
            <v>-4172.13</v>
          </cell>
          <cell r="X41087" t="str">
            <v>Variation UPR - gross</v>
          </cell>
          <cell r="Y41087" t="str">
            <v>THAILAND</v>
          </cell>
        </row>
        <row r="41088">
          <cell r="L41088" t="str">
            <v>Non-proportional</v>
          </cell>
          <cell r="S41088">
            <v>-3477.62</v>
          </cell>
          <cell r="X41088" t="str">
            <v>Variation UPR - gross</v>
          </cell>
          <cell r="Y41088" t="str">
            <v>BRAZIL</v>
          </cell>
        </row>
        <row r="41089">
          <cell r="L41089" t="str">
            <v>Non-proportional</v>
          </cell>
          <cell r="S41089">
            <v>-2188.0500000000002</v>
          </cell>
          <cell r="X41089" t="str">
            <v>Variation UPR - gross</v>
          </cell>
          <cell r="Y41089" t="str">
            <v>INDIA</v>
          </cell>
        </row>
        <row r="41090">
          <cell r="L41090" t="str">
            <v>Non-proportional</v>
          </cell>
          <cell r="S41090">
            <v>-10156.290000000001</v>
          </cell>
          <cell r="X41090" t="str">
            <v>Variation UPR - gross</v>
          </cell>
          <cell r="Y41090" t="str">
            <v>EUROPE</v>
          </cell>
        </row>
        <row r="41091">
          <cell r="L41091" t="str">
            <v>Non-proportional</v>
          </cell>
          <cell r="S41091">
            <v>147.44999999999999</v>
          </cell>
          <cell r="X41091" t="str">
            <v>Variation UPR - gross</v>
          </cell>
          <cell r="Y41091" t="str">
            <v>NEW ZEALAND</v>
          </cell>
        </row>
        <row r="41092">
          <cell r="L41092" t="str">
            <v>Non-proportional</v>
          </cell>
          <cell r="S41092">
            <v>-5445.82</v>
          </cell>
          <cell r="X41092" t="str">
            <v>Variation UPR - gross</v>
          </cell>
          <cell r="Y41092" t="str">
            <v>MEXICO</v>
          </cell>
        </row>
        <row r="41093">
          <cell r="L41093" t="str">
            <v>Non-proportional</v>
          </cell>
          <cell r="S41093">
            <v>30014.880000000001</v>
          </cell>
          <cell r="X41093" t="str">
            <v>Variation UPR - gross</v>
          </cell>
          <cell r="Y41093" t="str">
            <v>ECUADOR</v>
          </cell>
        </row>
        <row r="41094">
          <cell r="L41094" t="str">
            <v>Proportional</v>
          </cell>
          <cell r="S41094">
            <v>556.13</v>
          </cell>
          <cell r="X41094" t="str">
            <v>Variation UPR - gross</v>
          </cell>
          <cell r="Y41094" t="str">
            <v>INDIA</v>
          </cell>
        </row>
        <row r="41095">
          <cell r="L41095" t="str">
            <v>Non-proportional</v>
          </cell>
          <cell r="S41095">
            <v>-4221.53</v>
          </cell>
          <cell r="X41095" t="str">
            <v>Variation UPR - gross</v>
          </cell>
          <cell r="Y41095" t="str">
            <v>UNITED KINGDOM</v>
          </cell>
        </row>
        <row r="41096">
          <cell r="L41096" t="str">
            <v>Non-proportional</v>
          </cell>
          <cell r="S41096">
            <v>-31316.15</v>
          </cell>
          <cell r="X41096" t="str">
            <v>Variation UPR - gross</v>
          </cell>
          <cell r="Y41096" t="str">
            <v>FRANCE</v>
          </cell>
        </row>
        <row r="41097">
          <cell r="L41097" t="str">
            <v>Non-proportional</v>
          </cell>
          <cell r="S41097">
            <v>-1646.83</v>
          </cell>
          <cell r="X41097" t="str">
            <v>Variation UPR - gross</v>
          </cell>
          <cell r="Y41097" t="str">
            <v>JAPAN</v>
          </cell>
        </row>
        <row r="41098">
          <cell r="L41098" t="str">
            <v>Non-proportional</v>
          </cell>
          <cell r="S41098">
            <v>19885.28</v>
          </cell>
          <cell r="X41098" t="str">
            <v>Variation UPR - gross</v>
          </cell>
          <cell r="Y41098" t="str">
            <v>DOMINICAN REPUBLIC</v>
          </cell>
        </row>
        <row r="41099">
          <cell r="L41099" t="str">
            <v>Non-proportional</v>
          </cell>
          <cell r="S41099">
            <v>-0.08</v>
          </cell>
          <cell r="X41099" t="str">
            <v>Variation UPR - gross</v>
          </cell>
          <cell r="Y41099" t="str">
            <v>COLOMBIA</v>
          </cell>
        </row>
        <row r="41100">
          <cell r="L41100" t="str">
            <v>Non-proportional</v>
          </cell>
          <cell r="S41100">
            <v>-37.619999999999997</v>
          </cell>
          <cell r="X41100" t="str">
            <v>Variation UPR - gross</v>
          </cell>
          <cell r="Y41100" t="str">
            <v>ISRAEL</v>
          </cell>
        </row>
        <row r="41101">
          <cell r="L41101" t="str">
            <v>Non-proportional</v>
          </cell>
          <cell r="S41101">
            <v>112.99</v>
          </cell>
          <cell r="X41101" t="str">
            <v>Variation UPR - gross</v>
          </cell>
          <cell r="Y41101" t="str">
            <v>JAPAN</v>
          </cell>
        </row>
        <row r="41102">
          <cell r="L41102" t="str">
            <v>Non-proportional</v>
          </cell>
          <cell r="S41102">
            <v>-4238.47</v>
          </cell>
          <cell r="X41102" t="str">
            <v>Variation UPR - gross</v>
          </cell>
          <cell r="Y41102" t="str">
            <v>FRANCE</v>
          </cell>
        </row>
        <row r="41103">
          <cell r="L41103" t="str">
            <v>Non-proportional</v>
          </cell>
          <cell r="S41103">
            <v>-1458.33</v>
          </cell>
          <cell r="X41103" t="str">
            <v>Variation UPR - gross</v>
          </cell>
          <cell r="Y41103" t="str">
            <v>GREECE</v>
          </cell>
        </row>
        <row r="41104">
          <cell r="L41104" t="str">
            <v>Non-proportional</v>
          </cell>
          <cell r="S41104">
            <v>-7342.39</v>
          </cell>
          <cell r="X41104" t="str">
            <v>Variation UPR - gross</v>
          </cell>
          <cell r="Y41104" t="str">
            <v>FRANCE</v>
          </cell>
        </row>
        <row r="41105">
          <cell r="L41105" t="str">
            <v>Non-proportional</v>
          </cell>
          <cell r="S41105">
            <v>-1739.72</v>
          </cell>
          <cell r="X41105" t="str">
            <v>Variation UPR - gross</v>
          </cell>
          <cell r="Y41105" t="str">
            <v>JAPAN</v>
          </cell>
        </row>
        <row r="41106">
          <cell r="L41106" t="str">
            <v>Non-proportional</v>
          </cell>
          <cell r="S41106">
            <v>-78.91</v>
          </cell>
          <cell r="X41106" t="str">
            <v>Variation UPR - gross</v>
          </cell>
          <cell r="Y41106" t="str">
            <v>COLOMBIA</v>
          </cell>
        </row>
        <row r="41107">
          <cell r="L41107" t="str">
            <v>Non-proportional</v>
          </cell>
          <cell r="S41107">
            <v>-1131.24</v>
          </cell>
          <cell r="X41107" t="str">
            <v>Variation UPR - gross</v>
          </cell>
          <cell r="Y41107" t="str">
            <v>CYPRUS</v>
          </cell>
        </row>
        <row r="41108">
          <cell r="L41108" t="str">
            <v>Non-proportional</v>
          </cell>
          <cell r="S41108">
            <v>-8238.26</v>
          </cell>
          <cell r="X41108" t="str">
            <v>Variation UPR - gross</v>
          </cell>
          <cell r="Y41108" t="str">
            <v>ITALY</v>
          </cell>
        </row>
        <row r="41109">
          <cell r="L41109" t="str">
            <v>Non-proportional</v>
          </cell>
          <cell r="S41109">
            <v>-2953.72</v>
          </cell>
          <cell r="X41109" t="str">
            <v>Variation UPR - gross</v>
          </cell>
          <cell r="Y41109" t="str">
            <v>JAPAN</v>
          </cell>
        </row>
        <row r="41110">
          <cell r="L41110" t="str">
            <v>Non-proportional</v>
          </cell>
          <cell r="S41110">
            <v>-0.08</v>
          </cell>
          <cell r="X41110" t="str">
            <v>Variation UPR - gross</v>
          </cell>
          <cell r="Y41110" t="str">
            <v>DOMINICAN REPUBLIC</v>
          </cell>
        </row>
        <row r="41111">
          <cell r="L41111" t="str">
            <v>Non-proportional</v>
          </cell>
          <cell r="S41111">
            <v>-3854.17</v>
          </cell>
          <cell r="X41111" t="str">
            <v>Variation UPR - gross</v>
          </cell>
          <cell r="Y41111" t="str">
            <v>FRANCE</v>
          </cell>
        </row>
        <row r="41112">
          <cell r="L41112" t="str">
            <v>Non-proportional</v>
          </cell>
          <cell r="S41112">
            <v>-1507.08</v>
          </cell>
          <cell r="X41112" t="str">
            <v>Variation UPR - gross</v>
          </cell>
          <cell r="Y41112" t="str">
            <v>ISRAEL</v>
          </cell>
        </row>
        <row r="41113">
          <cell r="L41113" t="str">
            <v>Non-proportional</v>
          </cell>
          <cell r="S41113">
            <v>-6828.75</v>
          </cell>
          <cell r="X41113" t="str">
            <v>Variation UPR - gross</v>
          </cell>
          <cell r="Y41113" t="str">
            <v>UNITED KINGDOM</v>
          </cell>
        </row>
        <row r="41114">
          <cell r="L41114" t="str">
            <v>Non-proportional</v>
          </cell>
          <cell r="S41114">
            <v>-23187.5</v>
          </cell>
          <cell r="X41114" t="str">
            <v>Variation UPR - gross</v>
          </cell>
          <cell r="Y41114" t="str">
            <v>ITALY</v>
          </cell>
        </row>
        <row r="41115">
          <cell r="L41115" t="str">
            <v>Non-proportional</v>
          </cell>
          <cell r="S41115">
            <v>-6683.34</v>
          </cell>
          <cell r="X41115" t="str">
            <v>Variation UPR - gross</v>
          </cell>
          <cell r="Y41115" t="str">
            <v>FRANCE</v>
          </cell>
        </row>
        <row r="41116">
          <cell r="L41116" t="str">
            <v>Non-proportional</v>
          </cell>
          <cell r="S41116">
            <v>113.58</v>
          </cell>
          <cell r="X41116" t="str">
            <v>Variation UPR - gross</v>
          </cell>
          <cell r="Y41116" t="str">
            <v>JAPAN</v>
          </cell>
        </row>
        <row r="41117">
          <cell r="L41117" t="str">
            <v>Non-proportional</v>
          </cell>
          <cell r="S41117">
            <v>-8157.1</v>
          </cell>
          <cell r="X41117" t="str">
            <v>Variation UPR - gross</v>
          </cell>
          <cell r="Y41117" t="str">
            <v>CHILE</v>
          </cell>
        </row>
        <row r="41118">
          <cell r="L41118" t="str">
            <v>Non-proportional</v>
          </cell>
          <cell r="S41118">
            <v>-6500</v>
          </cell>
          <cell r="X41118" t="str">
            <v>Variation UPR - gross</v>
          </cell>
          <cell r="Y41118" t="str">
            <v>FRANCE</v>
          </cell>
        </row>
        <row r="41119">
          <cell r="L41119" t="str">
            <v>Non-proportional</v>
          </cell>
          <cell r="S41119">
            <v>-306.83</v>
          </cell>
          <cell r="X41119" t="str">
            <v>Variation UPR - gross</v>
          </cell>
          <cell r="Y41119" t="str">
            <v>THAILAND</v>
          </cell>
        </row>
        <row r="41120">
          <cell r="L41120" t="str">
            <v>Non-proportional</v>
          </cell>
          <cell r="S41120">
            <v>92.82</v>
          </cell>
          <cell r="X41120" t="str">
            <v>Variation UPR - gross</v>
          </cell>
          <cell r="Y41120" t="str">
            <v>JAPAN</v>
          </cell>
        </row>
        <row r="41121">
          <cell r="L41121" t="str">
            <v>Non-proportional</v>
          </cell>
          <cell r="S41121">
            <v>-9500.14</v>
          </cell>
          <cell r="X41121" t="str">
            <v>Variation UPR - gross</v>
          </cell>
          <cell r="Y41121" t="str">
            <v>TURKEY</v>
          </cell>
        </row>
        <row r="41122">
          <cell r="L41122" t="str">
            <v>Proportional</v>
          </cell>
          <cell r="S41122">
            <v>-91510.93</v>
          </cell>
          <cell r="X41122" t="str">
            <v>Variation UPR - gross</v>
          </cell>
          <cell r="Y41122" t="str">
            <v>MEXICO</v>
          </cell>
        </row>
        <row r="41123">
          <cell r="L41123" t="str">
            <v>Non-proportional</v>
          </cell>
          <cell r="S41123">
            <v>-1881.59</v>
          </cell>
          <cell r="X41123" t="str">
            <v>Variation UPR - gross</v>
          </cell>
          <cell r="Y41123" t="str">
            <v>ISRAEL</v>
          </cell>
        </row>
        <row r="41124">
          <cell r="L41124" t="str">
            <v>Non-proportional</v>
          </cell>
          <cell r="S41124">
            <v>-7492.29</v>
          </cell>
          <cell r="X41124" t="str">
            <v>Variation UPR - gross</v>
          </cell>
          <cell r="Y41124" t="str">
            <v>FRANCE</v>
          </cell>
        </row>
        <row r="41125">
          <cell r="L41125" t="str">
            <v>Non-proportional</v>
          </cell>
          <cell r="S41125">
            <v>-45.23</v>
          </cell>
          <cell r="X41125" t="str">
            <v>Variation UPR - gross</v>
          </cell>
          <cell r="Y41125" t="str">
            <v>ISRAEL</v>
          </cell>
        </row>
        <row r="41126">
          <cell r="L41126" t="str">
            <v>Non-proportional</v>
          </cell>
          <cell r="S41126">
            <v>-126089.86</v>
          </cell>
          <cell r="X41126" t="str">
            <v>Variation UPR - gross</v>
          </cell>
          <cell r="Y41126" t="str">
            <v>UNITED KINGDOM</v>
          </cell>
        </row>
        <row r="41127">
          <cell r="L41127" t="str">
            <v>Non-proportional</v>
          </cell>
          <cell r="S41127">
            <v>28792.7</v>
          </cell>
          <cell r="X41127" t="str">
            <v>Variation UPR - gross</v>
          </cell>
          <cell r="Y41127" t="str">
            <v>DOMINICAN REPUBLIC</v>
          </cell>
        </row>
        <row r="41128">
          <cell r="L41128" t="str">
            <v>Non-proportional</v>
          </cell>
          <cell r="S41128">
            <v>-10974.83</v>
          </cell>
          <cell r="X41128" t="str">
            <v>Variation UPR - gross</v>
          </cell>
          <cell r="Y41128" t="str">
            <v>GERMANY</v>
          </cell>
        </row>
        <row r="41129">
          <cell r="L41129" t="str">
            <v>Non-proportional</v>
          </cell>
          <cell r="S41129">
            <v>-637225.6</v>
          </cell>
          <cell r="X41129" t="str">
            <v>Variation UPR - gross</v>
          </cell>
          <cell r="Y41129" t="str">
            <v>BELGIUM</v>
          </cell>
        </row>
        <row r="41130">
          <cell r="L41130" t="str">
            <v>Non-proportional</v>
          </cell>
          <cell r="S41130">
            <v>-6515.31</v>
          </cell>
          <cell r="X41130" t="str">
            <v>Variation UPR - gross</v>
          </cell>
          <cell r="Y41130" t="str">
            <v>COLOMBIA</v>
          </cell>
        </row>
        <row r="41131">
          <cell r="L41131" t="str">
            <v>Non-proportional</v>
          </cell>
          <cell r="S41131">
            <v>-4675.13</v>
          </cell>
          <cell r="X41131" t="str">
            <v>Variation UPR - gross</v>
          </cell>
          <cell r="Y41131" t="str">
            <v>CYPRUS</v>
          </cell>
        </row>
        <row r="41132">
          <cell r="L41132" t="str">
            <v>Non-proportional</v>
          </cell>
          <cell r="S41132">
            <v>-28217.34</v>
          </cell>
          <cell r="X41132" t="str">
            <v>Variation UPR - gross</v>
          </cell>
          <cell r="Y41132" t="str">
            <v>TURKEY</v>
          </cell>
        </row>
        <row r="41133">
          <cell r="L41133" t="str">
            <v>Non-proportional</v>
          </cell>
          <cell r="S41133">
            <v>-3010.13</v>
          </cell>
          <cell r="X41133" t="str">
            <v>Variation UPR - gross</v>
          </cell>
          <cell r="Y41133" t="str">
            <v>ISRAEL</v>
          </cell>
        </row>
        <row r="41134">
          <cell r="L41134" t="str">
            <v>Non-proportional</v>
          </cell>
          <cell r="S41134">
            <v>-14518.01</v>
          </cell>
          <cell r="X41134" t="str">
            <v>Variation UPR - gross</v>
          </cell>
          <cell r="Y41134" t="str">
            <v>TURKEY</v>
          </cell>
        </row>
        <row r="41135">
          <cell r="L41135" t="str">
            <v>Non-proportional</v>
          </cell>
          <cell r="S41135">
            <v>-6054.96</v>
          </cell>
          <cell r="X41135" t="str">
            <v>Variation UPR - gross</v>
          </cell>
          <cell r="Y41135" t="str">
            <v>FRANCE</v>
          </cell>
        </row>
        <row r="41136">
          <cell r="L41136" t="str">
            <v>Non-proportional</v>
          </cell>
          <cell r="S41136">
            <v>53.23</v>
          </cell>
          <cell r="X41136" t="str">
            <v>Variation UPR - gross</v>
          </cell>
          <cell r="Y41136" t="str">
            <v>JAPAN</v>
          </cell>
        </row>
        <row r="41137">
          <cell r="L41137" t="str">
            <v>Non-proportional</v>
          </cell>
          <cell r="S41137">
            <v>376.43</v>
          </cell>
          <cell r="X41137" t="str">
            <v>Variation UPR - gross</v>
          </cell>
          <cell r="Y41137" t="str">
            <v>NEW ZEALAND</v>
          </cell>
        </row>
        <row r="41138">
          <cell r="L41138" t="str">
            <v>Non-proportional</v>
          </cell>
          <cell r="S41138">
            <v>421.37</v>
          </cell>
          <cell r="X41138" t="str">
            <v>Variation UPR - gross</v>
          </cell>
          <cell r="Y41138" t="str">
            <v>NEW ZEALAND</v>
          </cell>
        </row>
        <row r="41139">
          <cell r="L41139" t="str">
            <v>Non-proportional</v>
          </cell>
          <cell r="S41139">
            <v>-9187.5</v>
          </cell>
          <cell r="X41139" t="str">
            <v>Variation UPR - gross</v>
          </cell>
          <cell r="Y41139" t="str">
            <v>TURKEY</v>
          </cell>
        </row>
        <row r="41140">
          <cell r="L41140" t="str">
            <v>Non-proportional</v>
          </cell>
          <cell r="S41140">
            <v>126335.11</v>
          </cell>
          <cell r="X41140" t="str">
            <v>Variation UPR - gross</v>
          </cell>
          <cell r="Y41140" t="str">
            <v>ECUADOR</v>
          </cell>
        </row>
        <row r="41141">
          <cell r="L41141" t="str">
            <v>Non-proportional</v>
          </cell>
          <cell r="S41141">
            <v>66.81</v>
          </cell>
          <cell r="X41141" t="str">
            <v>Variation UPR - gross</v>
          </cell>
          <cell r="Y41141" t="str">
            <v>COLOMBIA</v>
          </cell>
        </row>
        <row r="41142">
          <cell r="L41142" t="str">
            <v>Non-proportional</v>
          </cell>
          <cell r="S41142">
            <v>37739.040000000001</v>
          </cell>
          <cell r="X41142" t="str">
            <v>Variation UPR - gross</v>
          </cell>
          <cell r="Y41142" t="str">
            <v>AUSTRALIA</v>
          </cell>
        </row>
        <row r="41143">
          <cell r="L41143" t="str">
            <v>Non-proportional</v>
          </cell>
          <cell r="S41143">
            <v>66058.679999999993</v>
          </cell>
          <cell r="X41143" t="str">
            <v>Variation UPR - gross</v>
          </cell>
          <cell r="Y41143" t="str">
            <v>UNITED KINGDOM</v>
          </cell>
        </row>
        <row r="41144">
          <cell r="L41144" t="str">
            <v>Non-proportional</v>
          </cell>
          <cell r="S41144">
            <v>-3906.16</v>
          </cell>
          <cell r="X41144" t="str">
            <v>Variation UPR - gross</v>
          </cell>
          <cell r="Y41144" t="str">
            <v>EUROPE</v>
          </cell>
        </row>
        <row r="41145">
          <cell r="L41145" t="str">
            <v>Non-proportional</v>
          </cell>
          <cell r="S41145">
            <v>-66.760000000000005</v>
          </cell>
          <cell r="X41145" t="str">
            <v>Variation UPR - gross</v>
          </cell>
          <cell r="Y41145" t="str">
            <v>ISRAEL</v>
          </cell>
        </row>
        <row r="41146">
          <cell r="L41146" t="str">
            <v>Non-proportional</v>
          </cell>
          <cell r="S41146">
            <v>15362.49</v>
          </cell>
          <cell r="X41146" t="str">
            <v>Variation UPR - gross</v>
          </cell>
          <cell r="Y41146" t="str">
            <v>UNITED KINGDOM</v>
          </cell>
        </row>
        <row r="41147">
          <cell r="L41147" t="str">
            <v>Proportional</v>
          </cell>
          <cell r="S41147">
            <v>-32201.52</v>
          </cell>
          <cell r="X41147" t="str">
            <v>Variation UPR - gross</v>
          </cell>
          <cell r="Y41147" t="str">
            <v>THAILAND</v>
          </cell>
        </row>
        <row r="41148">
          <cell r="L41148" t="str">
            <v>Non-proportional</v>
          </cell>
          <cell r="S41148">
            <v>-1123.42</v>
          </cell>
          <cell r="X41148" t="str">
            <v>Variation UPR - gross</v>
          </cell>
          <cell r="Y41148" t="str">
            <v>ISRAEL</v>
          </cell>
        </row>
        <row r="41149">
          <cell r="L41149" t="str">
            <v>Non-proportional</v>
          </cell>
          <cell r="S41149">
            <v>-9388.66</v>
          </cell>
          <cell r="X41149" t="str">
            <v>Variation UPR - gross</v>
          </cell>
          <cell r="Y41149" t="str">
            <v>UNITED KINGDOM</v>
          </cell>
        </row>
        <row r="41150">
          <cell r="L41150" t="str">
            <v>Non-proportional</v>
          </cell>
          <cell r="S41150">
            <v>4007.66</v>
          </cell>
          <cell r="X41150" t="str">
            <v>Variation UPR - gross</v>
          </cell>
          <cell r="Y41150" t="str">
            <v>DOMINICAN REPUBLIC</v>
          </cell>
        </row>
        <row r="41151">
          <cell r="L41151" t="str">
            <v>Non-proportional</v>
          </cell>
          <cell r="S41151">
            <v>-3479.39</v>
          </cell>
          <cell r="X41151" t="str">
            <v>Variation UPR - gross</v>
          </cell>
          <cell r="Y41151" t="str">
            <v>JAPAN</v>
          </cell>
        </row>
        <row r="41152">
          <cell r="L41152" t="str">
            <v>Non-proportional</v>
          </cell>
          <cell r="S41152">
            <v>-2442.4499999999998</v>
          </cell>
          <cell r="X41152" t="str">
            <v>Variation UPR - gross</v>
          </cell>
          <cell r="Y41152" t="str">
            <v>CYPRUS</v>
          </cell>
        </row>
        <row r="41153">
          <cell r="L41153" t="str">
            <v>Non-proportional</v>
          </cell>
          <cell r="S41153">
            <v>-3149.7</v>
          </cell>
          <cell r="X41153" t="str">
            <v>Variation UPR - gross</v>
          </cell>
          <cell r="Y41153" t="str">
            <v>ISRAEL</v>
          </cell>
        </row>
        <row r="41154">
          <cell r="L41154" t="str">
            <v>Non-proportional</v>
          </cell>
          <cell r="S41154">
            <v>-14483.94</v>
          </cell>
          <cell r="X41154" t="str">
            <v>Variation UPR - gross</v>
          </cell>
          <cell r="Y41154" t="str">
            <v>FRANCE</v>
          </cell>
        </row>
        <row r="41155">
          <cell r="L41155" t="str">
            <v>Non-proportional</v>
          </cell>
          <cell r="S41155">
            <v>-0.02</v>
          </cell>
          <cell r="X41155" t="str">
            <v>Variation UPR - gross</v>
          </cell>
          <cell r="Y41155" t="str">
            <v>DOMINICAN REPUBLIC</v>
          </cell>
        </row>
        <row r="41156">
          <cell r="L41156" t="str">
            <v>Non-proportional</v>
          </cell>
          <cell r="S41156">
            <v>-226.69</v>
          </cell>
          <cell r="X41156" t="str">
            <v>Variation UPR - gross</v>
          </cell>
          <cell r="Y41156" t="str">
            <v>JAPAN</v>
          </cell>
        </row>
        <row r="41157">
          <cell r="L41157" t="str">
            <v>Non-proportional</v>
          </cell>
          <cell r="S41157">
            <v>214696.38</v>
          </cell>
          <cell r="X41157" t="str">
            <v>Variation UPR - gross</v>
          </cell>
          <cell r="Y41157" t="str">
            <v>CHILE</v>
          </cell>
        </row>
        <row r="41158">
          <cell r="L41158" t="str">
            <v>Non-proportional</v>
          </cell>
          <cell r="S41158">
            <v>34835.599999999999</v>
          </cell>
          <cell r="X41158" t="str">
            <v>Variation UPR - gross</v>
          </cell>
          <cell r="Y41158" t="str">
            <v>AUSTRALIA</v>
          </cell>
        </row>
        <row r="41159">
          <cell r="L41159" t="str">
            <v>Proportional</v>
          </cell>
          <cell r="S41159">
            <v>520968.18</v>
          </cell>
          <cell r="X41159" t="str">
            <v>Variation UPR - gross</v>
          </cell>
          <cell r="Y41159" t="str">
            <v>MEXICO</v>
          </cell>
        </row>
        <row r="41160">
          <cell r="L41160" t="str">
            <v>Non-proportional</v>
          </cell>
          <cell r="S41160">
            <v>7942.44</v>
          </cell>
          <cell r="X41160" t="str">
            <v>Variation UPR - gross</v>
          </cell>
          <cell r="Y41160" t="str">
            <v>CHILE</v>
          </cell>
        </row>
        <row r="41161">
          <cell r="L41161" t="str">
            <v>Non-proportional</v>
          </cell>
          <cell r="S41161">
            <v>44835.62</v>
          </cell>
          <cell r="X41161" t="str">
            <v>Variation UPR - gross</v>
          </cell>
          <cell r="Y41161" t="str">
            <v>ECUADOR</v>
          </cell>
        </row>
        <row r="41162">
          <cell r="L41162" t="str">
            <v>Non-proportional</v>
          </cell>
          <cell r="S41162">
            <v>-2647.48</v>
          </cell>
          <cell r="X41162" t="str">
            <v>Variation UPR - gross</v>
          </cell>
          <cell r="Y41162" t="str">
            <v>CHILE</v>
          </cell>
        </row>
        <row r="41163">
          <cell r="L41163" t="str">
            <v>Non-proportional</v>
          </cell>
          <cell r="S41163">
            <v>-4986.29</v>
          </cell>
          <cell r="X41163" t="str">
            <v>Variation UPR - gross</v>
          </cell>
          <cell r="Y41163" t="str">
            <v>INDIA</v>
          </cell>
        </row>
        <row r="41164">
          <cell r="L41164" t="str">
            <v>Non-proportional</v>
          </cell>
          <cell r="S41164">
            <v>-3811</v>
          </cell>
          <cell r="X41164" t="str">
            <v>Variation UPR - gross</v>
          </cell>
          <cell r="Y41164" t="str">
            <v>NEW ZEALAND</v>
          </cell>
        </row>
        <row r="41165">
          <cell r="L41165" t="str">
            <v>Non-proportional</v>
          </cell>
          <cell r="S41165">
            <v>-143.11000000000001</v>
          </cell>
          <cell r="X41165" t="str">
            <v>Variation UPR - gross</v>
          </cell>
          <cell r="Y41165" t="str">
            <v>CHILE</v>
          </cell>
        </row>
        <row r="41166">
          <cell r="L41166" t="str">
            <v>Proportional</v>
          </cell>
          <cell r="S41166">
            <v>182490.06</v>
          </cell>
          <cell r="X41166" t="str">
            <v>Variation UPR - gross</v>
          </cell>
          <cell r="Y41166" t="str">
            <v>PERU</v>
          </cell>
        </row>
        <row r="41167">
          <cell r="L41167" t="str">
            <v>Non-proportional</v>
          </cell>
          <cell r="S41167">
            <v>-6691.75</v>
          </cell>
          <cell r="X41167" t="str">
            <v>Variation UPR - gross</v>
          </cell>
          <cell r="Y41167" t="str">
            <v>MEXICO</v>
          </cell>
        </row>
        <row r="41168">
          <cell r="L41168" t="str">
            <v>Proportional</v>
          </cell>
          <cell r="S41168">
            <v>-1274.9000000000001</v>
          </cell>
          <cell r="X41168" t="str">
            <v>Variation UPR - gross</v>
          </cell>
          <cell r="Y41168" t="str">
            <v>REPUBLIC OF IRELAND</v>
          </cell>
        </row>
        <row r="41169">
          <cell r="L41169" t="str">
            <v>Proportional</v>
          </cell>
          <cell r="S41169">
            <v>-124380.12</v>
          </cell>
          <cell r="X41169" t="str">
            <v>Variation UPR - gross</v>
          </cell>
          <cell r="Y41169" t="str">
            <v>JAPAN</v>
          </cell>
        </row>
        <row r="41170">
          <cell r="L41170" t="str">
            <v>Non-proportional</v>
          </cell>
          <cell r="S41170">
            <v>-6666.5</v>
          </cell>
          <cell r="X41170" t="str">
            <v>Variation UPR - gross</v>
          </cell>
          <cell r="Y41170" t="str">
            <v>ITALY</v>
          </cell>
        </row>
        <row r="41171">
          <cell r="L41171" t="str">
            <v>Non-proportional</v>
          </cell>
          <cell r="S41171">
            <v>58.97</v>
          </cell>
          <cell r="X41171" t="str">
            <v>Variation UPR - gross</v>
          </cell>
          <cell r="Y41171" t="str">
            <v>UNITED KINGDOM</v>
          </cell>
        </row>
        <row r="41172">
          <cell r="L41172" t="str">
            <v>Non-proportional</v>
          </cell>
          <cell r="S41172">
            <v>-4769.26</v>
          </cell>
          <cell r="X41172" t="str">
            <v>Variation UPR - gross</v>
          </cell>
          <cell r="Y41172" t="str">
            <v>UNITED KINGDOM</v>
          </cell>
        </row>
        <row r="41173">
          <cell r="L41173" t="str">
            <v>Non-proportional</v>
          </cell>
          <cell r="S41173">
            <v>-504359.44</v>
          </cell>
          <cell r="X41173" t="str">
            <v>Variation UPR - gross</v>
          </cell>
          <cell r="Y41173" t="str">
            <v>UNITED KINGDOM</v>
          </cell>
        </row>
        <row r="41174">
          <cell r="L41174" t="str">
            <v>Non-proportional</v>
          </cell>
          <cell r="S41174">
            <v>550.91</v>
          </cell>
          <cell r="X41174" t="str">
            <v>Variation UPR - gross</v>
          </cell>
          <cell r="Y41174" t="str">
            <v>JAPAN</v>
          </cell>
        </row>
        <row r="41175">
          <cell r="L41175" t="str">
            <v>Non-proportional</v>
          </cell>
          <cell r="S41175">
            <v>-10000</v>
          </cell>
          <cell r="X41175" t="str">
            <v>Variation UPR - gross</v>
          </cell>
          <cell r="Y41175" t="str">
            <v>ITALY</v>
          </cell>
        </row>
        <row r="41176">
          <cell r="L41176" t="str">
            <v>Proportional</v>
          </cell>
          <cell r="S41176">
            <v>-2110.83</v>
          </cell>
          <cell r="X41176" t="str">
            <v>Variation UPR - gross</v>
          </cell>
          <cell r="Y41176" t="str">
            <v>CHILE</v>
          </cell>
        </row>
        <row r="41177">
          <cell r="L41177" t="str">
            <v>Non-proportional</v>
          </cell>
          <cell r="S41177">
            <v>-0.02</v>
          </cell>
          <cell r="X41177" t="str">
            <v>Variation UPR - gross</v>
          </cell>
          <cell r="Y41177" t="str">
            <v>INDIA</v>
          </cell>
        </row>
        <row r="41178">
          <cell r="L41178" t="str">
            <v>Non-proportional</v>
          </cell>
          <cell r="S41178">
            <v>-73.3</v>
          </cell>
          <cell r="X41178" t="str">
            <v>Variation UPR - gross</v>
          </cell>
          <cell r="Y41178" t="str">
            <v>COLOMBIA</v>
          </cell>
        </row>
        <row r="41179">
          <cell r="L41179" t="str">
            <v>Non-proportional</v>
          </cell>
          <cell r="S41179">
            <v>-9915.7000000000007</v>
          </cell>
          <cell r="X41179" t="str">
            <v>Variation UPR - gross</v>
          </cell>
          <cell r="Y41179" t="str">
            <v>NETHERLANDS</v>
          </cell>
        </row>
        <row r="41180">
          <cell r="L41180" t="str">
            <v>Non-proportional</v>
          </cell>
          <cell r="S41180">
            <v>-7769.48</v>
          </cell>
          <cell r="X41180" t="str">
            <v>Variation UPR - gross</v>
          </cell>
          <cell r="Y41180" t="str">
            <v>NEW ZEALAND</v>
          </cell>
        </row>
        <row r="41181">
          <cell r="L41181" t="str">
            <v>Proportional</v>
          </cell>
          <cell r="S41181">
            <v>-9921.7199999999993</v>
          </cell>
          <cell r="X41181" t="str">
            <v>Variation UPR - gross</v>
          </cell>
          <cell r="Y41181" t="str">
            <v>FRANCE</v>
          </cell>
        </row>
        <row r="41182">
          <cell r="L41182" t="str">
            <v>Non-proportional</v>
          </cell>
          <cell r="S41182">
            <v>-444.61</v>
          </cell>
          <cell r="X41182" t="str">
            <v>Variation UPR - gross</v>
          </cell>
          <cell r="Y41182" t="str">
            <v>JAPAN</v>
          </cell>
        </row>
        <row r="41183">
          <cell r="L41183" t="str">
            <v>Proportional</v>
          </cell>
          <cell r="S41183">
            <v>2965.8</v>
          </cell>
          <cell r="X41183" t="str">
            <v>Variation UPR - gross</v>
          </cell>
          <cell r="Y41183" t="str">
            <v>UNITED STATES</v>
          </cell>
        </row>
        <row r="41184">
          <cell r="L41184" t="str">
            <v>Non-proportional</v>
          </cell>
          <cell r="S41184">
            <v>-721.67</v>
          </cell>
          <cell r="X41184" t="str">
            <v>Variation UPR - gross</v>
          </cell>
          <cell r="Y41184" t="str">
            <v>ISRAEL</v>
          </cell>
        </row>
        <row r="41185">
          <cell r="L41185" t="str">
            <v>Non-proportional</v>
          </cell>
          <cell r="S41185">
            <v>-7340.65</v>
          </cell>
          <cell r="X41185" t="str">
            <v>Variation UPR - gross</v>
          </cell>
          <cell r="Y41185" t="str">
            <v>CHILE</v>
          </cell>
        </row>
        <row r="41186">
          <cell r="L41186" t="str">
            <v>Non-proportional</v>
          </cell>
          <cell r="S41186">
            <v>-6666.5</v>
          </cell>
          <cell r="X41186" t="str">
            <v>Variation UPR - gross</v>
          </cell>
          <cell r="Y41186" t="str">
            <v>ITALY</v>
          </cell>
        </row>
        <row r="41187">
          <cell r="L41187" t="str">
            <v>Non-proportional</v>
          </cell>
          <cell r="S41187">
            <v>40.06</v>
          </cell>
          <cell r="X41187" t="str">
            <v>Variation UPR - gross</v>
          </cell>
          <cell r="Y41187" t="str">
            <v>NEW ZEALAND</v>
          </cell>
        </row>
        <row r="41188">
          <cell r="L41188" t="str">
            <v>Non-proportional</v>
          </cell>
          <cell r="S41188">
            <v>-1480.8</v>
          </cell>
          <cell r="X41188" t="str">
            <v>Variation UPR - gross</v>
          </cell>
          <cell r="Y41188" t="str">
            <v>FRANCE</v>
          </cell>
        </row>
        <row r="41189">
          <cell r="L41189" t="str">
            <v>Proportional</v>
          </cell>
          <cell r="S41189">
            <v>-328.89</v>
          </cell>
          <cell r="X41189" t="str">
            <v>Variation UPR - gross</v>
          </cell>
          <cell r="Y41189" t="str">
            <v>FRANCE</v>
          </cell>
        </row>
        <row r="41190">
          <cell r="L41190" t="str">
            <v>Proportional</v>
          </cell>
          <cell r="S41190">
            <v>-1787793.5</v>
          </cell>
          <cell r="X41190" t="str">
            <v>Variation UPR - gross</v>
          </cell>
          <cell r="Y41190" t="str">
            <v>THAILAND</v>
          </cell>
        </row>
        <row r="41191">
          <cell r="L41191" t="str">
            <v>Proportional</v>
          </cell>
          <cell r="S41191">
            <v>11244.97</v>
          </cell>
          <cell r="X41191" t="str">
            <v>Variation UPR - gross</v>
          </cell>
          <cell r="Y41191" t="str">
            <v>CANADA</v>
          </cell>
        </row>
        <row r="41192">
          <cell r="L41192" t="str">
            <v>Proportional</v>
          </cell>
          <cell r="S41192">
            <v>82.48</v>
          </cell>
          <cell r="X41192" t="str">
            <v>Variation UPR - gross</v>
          </cell>
          <cell r="Y41192" t="str">
            <v>THAILAND</v>
          </cell>
        </row>
        <row r="41193">
          <cell r="L41193" t="str">
            <v>Non-proportional</v>
          </cell>
          <cell r="S41193">
            <v>0.04</v>
          </cell>
          <cell r="X41193" t="str">
            <v>Variation UPR - gross</v>
          </cell>
          <cell r="Y41193" t="str">
            <v>COLOMBIA</v>
          </cell>
        </row>
        <row r="41194">
          <cell r="L41194" t="str">
            <v>Proportional</v>
          </cell>
          <cell r="S41194">
            <v>-3194.53</v>
          </cell>
          <cell r="X41194" t="str">
            <v>Variation UPR - gross</v>
          </cell>
          <cell r="Y41194" t="str">
            <v>THAILAND</v>
          </cell>
        </row>
        <row r="41195">
          <cell r="L41195" t="str">
            <v>Non-proportional</v>
          </cell>
          <cell r="S41195">
            <v>-6278.98</v>
          </cell>
          <cell r="X41195" t="str">
            <v>Variation UPR - gross</v>
          </cell>
          <cell r="Y41195" t="str">
            <v>FRANCE</v>
          </cell>
        </row>
        <row r="41196">
          <cell r="L41196" t="str">
            <v>Non-proportional</v>
          </cell>
          <cell r="S41196">
            <v>-11898.83</v>
          </cell>
          <cell r="X41196" t="str">
            <v>Variation UPR - gross</v>
          </cell>
          <cell r="Y41196" t="str">
            <v>MEXICO</v>
          </cell>
        </row>
        <row r="41197">
          <cell r="L41197" t="str">
            <v>Non-proportional</v>
          </cell>
          <cell r="S41197">
            <v>113.4</v>
          </cell>
          <cell r="X41197" t="str">
            <v>Variation UPR - gross</v>
          </cell>
          <cell r="Y41197" t="str">
            <v>JAPAN</v>
          </cell>
        </row>
        <row r="41198">
          <cell r="L41198" t="str">
            <v>Non-proportional</v>
          </cell>
          <cell r="S41198">
            <v>-354.49</v>
          </cell>
          <cell r="X41198" t="str">
            <v>Variation UPR - gross</v>
          </cell>
          <cell r="Y41198" t="str">
            <v>NEW ZEALAND</v>
          </cell>
        </row>
        <row r="41199">
          <cell r="L41199" t="str">
            <v>Non-proportional</v>
          </cell>
          <cell r="S41199">
            <v>-17008.87</v>
          </cell>
          <cell r="X41199" t="str">
            <v>Variation UPR - gross</v>
          </cell>
          <cell r="Y41199" t="str">
            <v>UNITED KINGDOM</v>
          </cell>
        </row>
        <row r="41200">
          <cell r="L41200" t="str">
            <v>Non-proportional</v>
          </cell>
          <cell r="S41200">
            <v>-1846.85</v>
          </cell>
          <cell r="X41200" t="str">
            <v>Variation UPR - gross</v>
          </cell>
          <cell r="Y41200" t="str">
            <v>FRANCE</v>
          </cell>
        </row>
        <row r="41201">
          <cell r="L41201" t="str">
            <v>Non-proportional</v>
          </cell>
          <cell r="S41201">
            <v>-1172.3</v>
          </cell>
          <cell r="X41201" t="str">
            <v>Variation UPR - gross</v>
          </cell>
          <cell r="Y41201" t="str">
            <v>FRANCE</v>
          </cell>
        </row>
        <row r="41202">
          <cell r="L41202" t="str">
            <v>Proportional</v>
          </cell>
          <cell r="S41202">
            <v>5527.34</v>
          </cell>
          <cell r="X41202" t="str">
            <v>Variation UPR - gross</v>
          </cell>
          <cell r="Y41202" t="str">
            <v>CHILE</v>
          </cell>
        </row>
        <row r="41203">
          <cell r="L41203" t="str">
            <v>Non-proportional</v>
          </cell>
          <cell r="S41203">
            <v>-15562.88</v>
          </cell>
          <cell r="X41203" t="str">
            <v>Variation UPR - gross</v>
          </cell>
          <cell r="Y41203" t="str">
            <v>UNITED KINGDOM</v>
          </cell>
        </row>
        <row r="41204">
          <cell r="L41204" t="str">
            <v>Non-proportional</v>
          </cell>
          <cell r="S41204">
            <v>0</v>
          </cell>
          <cell r="X41204" t="str">
            <v>Variation UPR - gross</v>
          </cell>
          <cell r="Y41204" t="str">
            <v>DOMINICAN REPUBLIC</v>
          </cell>
        </row>
        <row r="41205">
          <cell r="L41205" t="str">
            <v>Non-proportional</v>
          </cell>
          <cell r="S41205">
            <v>-23187.5</v>
          </cell>
          <cell r="X41205" t="str">
            <v>Variation UPR - gross</v>
          </cell>
          <cell r="Y41205" t="str">
            <v>ITALY</v>
          </cell>
        </row>
        <row r="41206">
          <cell r="L41206" t="str">
            <v>Non-proportional</v>
          </cell>
          <cell r="S41206">
            <v>-5359.96</v>
          </cell>
          <cell r="X41206" t="str">
            <v>Variation UPR - gross</v>
          </cell>
          <cell r="Y41206" t="str">
            <v>NEW ZEALAND</v>
          </cell>
        </row>
        <row r="41207">
          <cell r="L41207" t="str">
            <v>Non-proportional</v>
          </cell>
          <cell r="S41207">
            <v>-4250.1899999999996</v>
          </cell>
          <cell r="X41207" t="str">
            <v>Variation UPR - gross</v>
          </cell>
          <cell r="Y41207" t="str">
            <v>ITALY</v>
          </cell>
        </row>
        <row r="41208">
          <cell r="L41208" t="str">
            <v>Non-proportional</v>
          </cell>
          <cell r="S41208">
            <v>-47169.83</v>
          </cell>
          <cell r="X41208" t="str">
            <v>Variation UPR - gross</v>
          </cell>
          <cell r="Y41208" t="str">
            <v>UNITED KINGDOM</v>
          </cell>
        </row>
        <row r="41209">
          <cell r="L41209" t="str">
            <v>Proportional</v>
          </cell>
          <cell r="S41209">
            <v>-45.16</v>
          </cell>
          <cell r="X41209" t="str">
            <v>Variation UPR - gross</v>
          </cell>
          <cell r="Y41209" t="str">
            <v>UNITED STATES</v>
          </cell>
        </row>
        <row r="41210">
          <cell r="L41210" t="str">
            <v>Non-proportional</v>
          </cell>
          <cell r="S41210">
            <v>-35326.94</v>
          </cell>
          <cell r="X41210" t="str">
            <v>Variation UPR - gross</v>
          </cell>
          <cell r="Y41210" t="str">
            <v>TURKEY</v>
          </cell>
        </row>
        <row r="41211">
          <cell r="L41211" t="str">
            <v>Non-proportional</v>
          </cell>
          <cell r="S41211">
            <v>-8750</v>
          </cell>
          <cell r="X41211" t="str">
            <v>Variation UPR - gross</v>
          </cell>
          <cell r="Y41211" t="str">
            <v>EUROPE</v>
          </cell>
        </row>
        <row r="41212">
          <cell r="L41212" t="str">
            <v>Non-proportional</v>
          </cell>
          <cell r="S41212">
            <v>-1517.54</v>
          </cell>
          <cell r="X41212" t="str">
            <v>Variation UPR - gross</v>
          </cell>
          <cell r="Y41212" t="str">
            <v>CHILE</v>
          </cell>
        </row>
        <row r="41213">
          <cell r="L41213" t="str">
            <v>Non-proportional</v>
          </cell>
          <cell r="S41213">
            <v>-35.29</v>
          </cell>
          <cell r="X41213" t="str">
            <v>Variation UPR - gross</v>
          </cell>
          <cell r="Y41213" t="str">
            <v>CHILE</v>
          </cell>
        </row>
        <row r="41214">
          <cell r="L41214" t="str">
            <v>Non-proportional</v>
          </cell>
          <cell r="S41214">
            <v>-3854.17</v>
          </cell>
          <cell r="X41214" t="str">
            <v>Variation UPR - gross</v>
          </cell>
          <cell r="Y41214" t="str">
            <v>FRANCE</v>
          </cell>
        </row>
        <row r="41215">
          <cell r="L41215" t="str">
            <v>Non-proportional</v>
          </cell>
          <cell r="S41215">
            <v>-38575.56</v>
          </cell>
          <cell r="X41215" t="str">
            <v>Variation UPR - gross</v>
          </cell>
          <cell r="Y41215" t="str">
            <v>UNITED STATES</v>
          </cell>
        </row>
        <row r="41216">
          <cell r="L41216" t="str">
            <v>Non-proportional</v>
          </cell>
          <cell r="S41216">
            <v>-1728.84</v>
          </cell>
          <cell r="X41216" t="str">
            <v>Variation UPR - gross</v>
          </cell>
          <cell r="Y41216" t="str">
            <v>JAPAN</v>
          </cell>
        </row>
        <row r="41217">
          <cell r="L41217" t="str">
            <v>Non-proportional</v>
          </cell>
          <cell r="S41217">
            <v>-5336.03</v>
          </cell>
          <cell r="X41217" t="str">
            <v>Variation UPR - gross</v>
          </cell>
          <cell r="Y41217" t="str">
            <v>ISRAEL</v>
          </cell>
        </row>
        <row r="41218">
          <cell r="L41218" t="str">
            <v>Non-proportional</v>
          </cell>
          <cell r="S41218">
            <v>-4189.95</v>
          </cell>
          <cell r="X41218" t="str">
            <v>Variation UPR - gross</v>
          </cell>
          <cell r="Y41218" t="str">
            <v>UNITED KINGDOM</v>
          </cell>
        </row>
        <row r="41219">
          <cell r="L41219" t="str">
            <v>Non-proportional</v>
          </cell>
          <cell r="S41219">
            <v>136.36000000000001</v>
          </cell>
          <cell r="X41219" t="str">
            <v>Variation UPR - gross</v>
          </cell>
          <cell r="Y41219" t="str">
            <v>TURKEY</v>
          </cell>
        </row>
        <row r="41220">
          <cell r="L41220" t="str">
            <v>Non-proportional</v>
          </cell>
          <cell r="S41220">
            <v>-2672.62</v>
          </cell>
          <cell r="X41220" t="str">
            <v>Variation UPR - gross</v>
          </cell>
          <cell r="Y41220" t="str">
            <v>ECUADOR</v>
          </cell>
        </row>
        <row r="41221">
          <cell r="L41221" t="str">
            <v>Non-proportional</v>
          </cell>
          <cell r="S41221">
            <v>-2129.66</v>
          </cell>
          <cell r="X41221" t="str">
            <v>Variation UPR - gross</v>
          </cell>
          <cell r="Y41221" t="str">
            <v>INDIA</v>
          </cell>
        </row>
        <row r="41222">
          <cell r="L41222" t="str">
            <v>Non-proportional</v>
          </cell>
          <cell r="S41222">
            <v>-2455.6</v>
          </cell>
          <cell r="X41222" t="str">
            <v>Variation UPR - gross</v>
          </cell>
          <cell r="Y41222" t="str">
            <v>UNITED KINGDOM</v>
          </cell>
        </row>
        <row r="41223">
          <cell r="L41223" t="str">
            <v>Proportional</v>
          </cell>
          <cell r="S41223">
            <v>-134453.89000000001</v>
          </cell>
          <cell r="X41223" t="str">
            <v>Variation UPR - gross</v>
          </cell>
          <cell r="Y41223" t="str">
            <v>THAILAND</v>
          </cell>
        </row>
        <row r="41224">
          <cell r="L41224"/>
          <cell r="S41224">
            <v>-10048351.24</v>
          </cell>
          <cell r="X41224" t="str">
            <v>Variation UPR - gross</v>
          </cell>
          <cell r="Y41224" t="str">
            <v>United kingdom</v>
          </cell>
        </row>
        <row r="41225">
          <cell r="L41225" t="str">
            <v>Non-proportional</v>
          </cell>
          <cell r="S41225">
            <v>-256.72000000000003</v>
          </cell>
          <cell r="X41225" t="str">
            <v>Variation UPR - gross</v>
          </cell>
          <cell r="Y41225" t="str">
            <v>ECUADOR</v>
          </cell>
        </row>
        <row r="41226">
          <cell r="L41226" t="str">
            <v>Proportional</v>
          </cell>
          <cell r="S41226">
            <v>8578.16</v>
          </cell>
          <cell r="X41226" t="str">
            <v>Variation UPR - gross</v>
          </cell>
          <cell r="Y41226" t="str">
            <v>THAILAND</v>
          </cell>
        </row>
        <row r="41227">
          <cell r="L41227" t="str">
            <v>Proportional</v>
          </cell>
          <cell r="S41227">
            <v>-5434.91</v>
          </cell>
          <cell r="X41227" t="str">
            <v>Variation UPR - gross</v>
          </cell>
          <cell r="Y41227" t="str">
            <v>CHILE</v>
          </cell>
        </row>
        <row r="41228">
          <cell r="L41228" t="str">
            <v>Non-proportional</v>
          </cell>
          <cell r="S41228">
            <v>-0.01</v>
          </cell>
          <cell r="X41228" t="str">
            <v>Variation UPR - gross</v>
          </cell>
          <cell r="Y41228" t="str">
            <v>DOMINICAN REPUBLIC</v>
          </cell>
        </row>
        <row r="41229">
          <cell r="L41229" t="str">
            <v>Non-proportional</v>
          </cell>
          <cell r="S41229">
            <v>-27267.51</v>
          </cell>
          <cell r="X41229" t="str">
            <v>Variation UPR - gross</v>
          </cell>
          <cell r="Y41229" t="str">
            <v>TURKEY</v>
          </cell>
        </row>
        <row r="41230">
          <cell r="L41230" t="str">
            <v>Non-proportional</v>
          </cell>
          <cell r="S41230">
            <v>-2937.09</v>
          </cell>
          <cell r="X41230" t="str">
            <v>Variation UPR - gross</v>
          </cell>
          <cell r="Y41230" t="str">
            <v>NETHERLANDS</v>
          </cell>
        </row>
        <row r="41231">
          <cell r="L41231" t="str">
            <v>Non-proportional</v>
          </cell>
          <cell r="S41231">
            <v>-1391033.03</v>
          </cell>
          <cell r="X41231" t="str">
            <v>Variation UPR - gross</v>
          </cell>
          <cell r="Y41231" t="str">
            <v>UNITED KINGDOM</v>
          </cell>
        </row>
        <row r="41232">
          <cell r="L41232" t="str">
            <v>Non-proportional</v>
          </cell>
          <cell r="S41232">
            <v>-5114.22</v>
          </cell>
          <cell r="X41232" t="str">
            <v>Variation UPR - gross</v>
          </cell>
          <cell r="Y41232" t="str">
            <v>DOMINICAN REPUBLIC</v>
          </cell>
        </row>
        <row r="41233">
          <cell r="L41233" t="str">
            <v>Non-proportional</v>
          </cell>
          <cell r="S41233">
            <v>-360.35</v>
          </cell>
          <cell r="X41233" t="str">
            <v>Variation UPR - gross</v>
          </cell>
          <cell r="Y41233" t="str">
            <v>INDIA</v>
          </cell>
        </row>
        <row r="41234">
          <cell r="L41234" t="str">
            <v>Non-proportional</v>
          </cell>
          <cell r="S41234">
            <v>-2925.88</v>
          </cell>
          <cell r="X41234" t="str">
            <v>Variation UPR - gross</v>
          </cell>
          <cell r="Y41234" t="str">
            <v>JAPAN</v>
          </cell>
        </row>
        <row r="41235">
          <cell r="L41235" t="str">
            <v>Proportional</v>
          </cell>
          <cell r="S41235">
            <v>-558.58000000000004</v>
          </cell>
          <cell r="X41235" t="str">
            <v>Variation UPR - gross</v>
          </cell>
          <cell r="Y41235" t="str">
            <v>THAILAND</v>
          </cell>
        </row>
        <row r="41236">
          <cell r="L41236" t="str">
            <v>Non-proportional</v>
          </cell>
          <cell r="S41236">
            <v>-1083.03</v>
          </cell>
          <cell r="X41236" t="str">
            <v>Variation UPR - gross</v>
          </cell>
          <cell r="Y41236" t="str">
            <v>COSTA RICA</v>
          </cell>
        </row>
        <row r="41237">
          <cell r="L41237" t="str">
            <v>Non-proportional</v>
          </cell>
          <cell r="S41237">
            <v>-1941.04</v>
          </cell>
          <cell r="X41237" t="str">
            <v>Variation UPR - gross</v>
          </cell>
          <cell r="Y41237" t="str">
            <v>CHILE</v>
          </cell>
        </row>
        <row r="41238">
          <cell r="L41238" t="str">
            <v>Non-proportional</v>
          </cell>
          <cell r="S41238">
            <v>-4543.6499999999996</v>
          </cell>
          <cell r="X41238" t="str">
            <v>Variation UPR - gross</v>
          </cell>
          <cell r="Y41238" t="str">
            <v>BELIZE</v>
          </cell>
        </row>
        <row r="41239">
          <cell r="L41239" t="str">
            <v>Non-proportional</v>
          </cell>
          <cell r="S41239">
            <v>-1911.96</v>
          </cell>
          <cell r="X41239" t="str">
            <v>Variation UPR - gross</v>
          </cell>
          <cell r="Y41239" t="str">
            <v>DOMINICAN REPUBLIC</v>
          </cell>
        </row>
        <row r="41240">
          <cell r="L41240" t="str">
            <v>Non-proportional</v>
          </cell>
          <cell r="S41240">
            <v>-4785.1000000000004</v>
          </cell>
          <cell r="X41240" t="str">
            <v>Variation UPR - gross</v>
          </cell>
          <cell r="Y41240" t="str">
            <v>ECUADOR</v>
          </cell>
        </row>
        <row r="41241">
          <cell r="L41241" t="str">
            <v>Non-proportional</v>
          </cell>
          <cell r="S41241">
            <v>-6054.96</v>
          </cell>
          <cell r="X41241" t="str">
            <v>Variation UPR - gross</v>
          </cell>
          <cell r="Y41241" t="str">
            <v>FRANCE</v>
          </cell>
        </row>
        <row r="41242">
          <cell r="L41242" t="str">
            <v>Non-proportional</v>
          </cell>
          <cell r="S41242">
            <v>-638.52</v>
          </cell>
          <cell r="X41242" t="str">
            <v>Variation UPR - gross</v>
          </cell>
          <cell r="Y41242" t="str">
            <v>MALTA</v>
          </cell>
        </row>
        <row r="41243">
          <cell r="L41243" t="str">
            <v>Proportional</v>
          </cell>
          <cell r="S41243">
            <v>-15652.91</v>
          </cell>
          <cell r="X41243" t="str">
            <v>Variation UPR - gross</v>
          </cell>
          <cell r="Y41243" t="str">
            <v>UNITED STATES</v>
          </cell>
        </row>
        <row r="41244">
          <cell r="L41244" t="str">
            <v>Non-proportional</v>
          </cell>
          <cell r="S41244">
            <v>-1178960.3999999999</v>
          </cell>
          <cell r="X41244" t="str">
            <v>Variation UPR - gross</v>
          </cell>
          <cell r="Y41244" t="str">
            <v>BELGIUM</v>
          </cell>
        </row>
        <row r="41245">
          <cell r="L41245" t="str">
            <v>Non-proportional</v>
          </cell>
          <cell r="S41245">
            <v>-97475.27</v>
          </cell>
          <cell r="X41245" t="str">
            <v>Variation UPR - gross</v>
          </cell>
          <cell r="Y41245" t="str">
            <v>UNITED KINGDOM</v>
          </cell>
        </row>
        <row r="41246">
          <cell r="L41246" t="str">
            <v>Non-proportional</v>
          </cell>
          <cell r="S41246">
            <v>87.85</v>
          </cell>
          <cell r="X41246" t="str">
            <v>Variation UPR - gross</v>
          </cell>
          <cell r="Y41246" t="str">
            <v>AUSTRALIA</v>
          </cell>
        </row>
        <row r="41247">
          <cell r="L41247" t="str">
            <v>Proportional</v>
          </cell>
          <cell r="S41247">
            <v>-5325.5</v>
          </cell>
          <cell r="X41247" t="str">
            <v>Variation UPR - gross</v>
          </cell>
          <cell r="Y41247" t="str">
            <v>MEXICO</v>
          </cell>
        </row>
        <row r="41248">
          <cell r="L41248" t="str">
            <v>Non-proportional</v>
          </cell>
          <cell r="S41248">
            <v>-4689.8</v>
          </cell>
          <cell r="X41248" t="str">
            <v>Variation UPR - gross</v>
          </cell>
          <cell r="Y41248" t="str">
            <v>UNITED KINGDOM</v>
          </cell>
        </row>
        <row r="41249">
          <cell r="L41249" t="str">
            <v>Proportional</v>
          </cell>
          <cell r="S41249">
            <v>-33668.85</v>
          </cell>
          <cell r="X41249" t="str">
            <v>Variation UPR - gross</v>
          </cell>
          <cell r="Y41249" t="str">
            <v>INDIA</v>
          </cell>
        </row>
        <row r="41250">
          <cell r="L41250" t="str">
            <v>Non-proportional</v>
          </cell>
          <cell r="S41250">
            <v>-13687.56</v>
          </cell>
          <cell r="X41250" t="str">
            <v>Variation UPR - gross</v>
          </cell>
          <cell r="Y41250" t="str">
            <v>ECUADOR</v>
          </cell>
        </row>
        <row r="41251">
          <cell r="L41251" t="str">
            <v>Non-proportional</v>
          </cell>
          <cell r="S41251">
            <v>-0.01</v>
          </cell>
          <cell r="X41251" t="str">
            <v>Variation UPR - gross</v>
          </cell>
          <cell r="Y41251" t="str">
            <v>BELIZE</v>
          </cell>
        </row>
        <row r="41252">
          <cell r="L41252" t="str">
            <v>Non-proportional</v>
          </cell>
          <cell r="S41252">
            <v>-1315.68</v>
          </cell>
          <cell r="X41252" t="str">
            <v>Variation UPR - gross</v>
          </cell>
          <cell r="Y41252" t="str">
            <v>ISRAEL</v>
          </cell>
        </row>
        <row r="41253">
          <cell r="L41253" t="str">
            <v>Non-proportional</v>
          </cell>
          <cell r="S41253">
            <v>-1879.7</v>
          </cell>
          <cell r="X41253" t="str">
            <v>Variation UPR - gross</v>
          </cell>
          <cell r="Y41253" t="str">
            <v>DOMINICAN REPUBLIC</v>
          </cell>
        </row>
        <row r="41254">
          <cell r="L41254" t="str">
            <v>Non-proportional</v>
          </cell>
          <cell r="S41254">
            <v>-2469.62</v>
          </cell>
          <cell r="X41254" t="str">
            <v>Variation UPR - gross</v>
          </cell>
          <cell r="Y41254" t="str">
            <v>FRANCE</v>
          </cell>
        </row>
        <row r="41255">
          <cell r="L41255" t="str">
            <v>Non-proportional</v>
          </cell>
          <cell r="S41255">
            <v>-545.21</v>
          </cell>
          <cell r="X41255" t="str">
            <v>Variation UPR - gross</v>
          </cell>
          <cell r="Y41255" t="str">
            <v>JAPAN</v>
          </cell>
        </row>
        <row r="41256">
          <cell r="L41256" t="str">
            <v>Proportional</v>
          </cell>
          <cell r="S41256">
            <v>-381.38</v>
          </cell>
          <cell r="X41256" t="str">
            <v>Variation UPR - gross</v>
          </cell>
          <cell r="Y41256" t="str">
            <v>UNITED STATES</v>
          </cell>
        </row>
        <row r="41257">
          <cell r="L41257" t="str">
            <v>Non-proportional</v>
          </cell>
          <cell r="S41257">
            <v>-9628.6</v>
          </cell>
          <cell r="X41257" t="str">
            <v>Variation UPR - gross</v>
          </cell>
          <cell r="Y41257" t="str">
            <v>MEXICO</v>
          </cell>
        </row>
        <row r="41258">
          <cell r="L41258" t="str">
            <v>Non-proportional</v>
          </cell>
          <cell r="S41258">
            <v>-6393.46</v>
          </cell>
          <cell r="X41258" t="str">
            <v>Variation UPR - gross</v>
          </cell>
          <cell r="Y41258" t="str">
            <v>NETHERLANDS</v>
          </cell>
        </row>
        <row r="41259">
          <cell r="L41259" t="str">
            <v>Non-proportional</v>
          </cell>
          <cell r="S41259">
            <v>-7841.48</v>
          </cell>
          <cell r="X41259" t="str">
            <v>Variation UPR - gross</v>
          </cell>
          <cell r="Y41259" t="str">
            <v>COLOMBIA</v>
          </cell>
        </row>
        <row r="41260">
          <cell r="L41260" t="str">
            <v>Non-proportional</v>
          </cell>
          <cell r="S41260">
            <v>-2399.83</v>
          </cell>
          <cell r="X41260" t="str">
            <v>Variation UPR - gross</v>
          </cell>
          <cell r="Y41260" t="str">
            <v>CHILE</v>
          </cell>
        </row>
        <row r="41261">
          <cell r="L41261" t="str">
            <v>Non-proportional</v>
          </cell>
          <cell r="S41261">
            <v>-4890.08</v>
          </cell>
          <cell r="X41261" t="str">
            <v>Variation UPR - gross</v>
          </cell>
          <cell r="Y41261" t="str">
            <v>FRANCE</v>
          </cell>
        </row>
        <row r="41262">
          <cell r="L41262" t="str">
            <v>Non-proportional</v>
          </cell>
          <cell r="S41262">
            <v>-1801.56</v>
          </cell>
          <cell r="X41262" t="str">
            <v>Variation UPR - gross</v>
          </cell>
          <cell r="Y41262" t="str">
            <v>NEW ZEALAND</v>
          </cell>
        </row>
        <row r="41263">
          <cell r="L41263" t="str">
            <v>Non-proportional</v>
          </cell>
          <cell r="S41263">
            <v>-12246.18</v>
          </cell>
          <cell r="X41263" t="str">
            <v>Variation UPR - gross</v>
          </cell>
          <cell r="Y41263" t="str">
            <v>CHILE</v>
          </cell>
        </row>
        <row r="41264">
          <cell r="L41264" t="str">
            <v>Non-proportional</v>
          </cell>
          <cell r="S41264">
            <v>259.24</v>
          </cell>
          <cell r="X41264" t="str">
            <v>Variation UPR - gross</v>
          </cell>
          <cell r="Y41264" t="str">
            <v>JAPAN</v>
          </cell>
        </row>
        <row r="41265">
          <cell r="L41265" t="str">
            <v>Non-proportional</v>
          </cell>
          <cell r="S41265">
            <v>-9389.57</v>
          </cell>
          <cell r="X41265" t="str">
            <v>Variation UPR - gross</v>
          </cell>
          <cell r="Y41265" t="str">
            <v>MEXICO</v>
          </cell>
        </row>
        <row r="41266">
          <cell r="L41266" t="str">
            <v>Non-proportional</v>
          </cell>
          <cell r="S41266">
            <v>-938.54</v>
          </cell>
          <cell r="X41266" t="str">
            <v>Variation UPR - gross</v>
          </cell>
          <cell r="Y41266" t="str">
            <v>ITALY</v>
          </cell>
        </row>
        <row r="41267">
          <cell r="L41267" t="str">
            <v>Non-proportional</v>
          </cell>
          <cell r="S41267">
            <v>-3544.78</v>
          </cell>
          <cell r="X41267" t="str">
            <v>Variation UPR - gross</v>
          </cell>
          <cell r="Y41267" t="str">
            <v>ISRAEL</v>
          </cell>
        </row>
        <row r="41268">
          <cell r="L41268" t="str">
            <v>Non-proportional</v>
          </cell>
          <cell r="S41268">
            <v>-1603.57</v>
          </cell>
          <cell r="X41268" t="str">
            <v>Variation UPR - gross</v>
          </cell>
          <cell r="Y41268" t="str">
            <v>JAPAN</v>
          </cell>
        </row>
        <row r="41269">
          <cell r="L41269" t="str">
            <v>Non-proportional</v>
          </cell>
          <cell r="S41269">
            <v>-1800.04</v>
          </cell>
          <cell r="X41269" t="str">
            <v>Variation UPR - gross</v>
          </cell>
          <cell r="Y41269" t="str">
            <v>PERU</v>
          </cell>
        </row>
        <row r="41270">
          <cell r="L41270" t="str">
            <v>Proportional</v>
          </cell>
          <cell r="S41270">
            <v>-166774.54</v>
          </cell>
          <cell r="X41270" t="str">
            <v>Variation UPR - gross</v>
          </cell>
          <cell r="Y41270" t="str">
            <v>THAILAND</v>
          </cell>
        </row>
        <row r="41271">
          <cell r="L41271" t="str">
            <v>Non-proportional</v>
          </cell>
          <cell r="S41271">
            <v>-1308.48</v>
          </cell>
          <cell r="X41271" t="str">
            <v>Variation UPR - gross</v>
          </cell>
          <cell r="Y41271" t="str">
            <v>UNITED KINGDOM</v>
          </cell>
        </row>
        <row r="41272">
          <cell r="L41272" t="str">
            <v>Non-proportional</v>
          </cell>
          <cell r="S41272">
            <v>-4459.88</v>
          </cell>
          <cell r="X41272" t="str">
            <v>Variation UPR - gross</v>
          </cell>
          <cell r="Y41272" t="str">
            <v>DOMINICAN REPUBLIC</v>
          </cell>
        </row>
        <row r="41273">
          <cell r="L41273" t="str">
            <v>Non-proportional</v>
          </cell>
          <cell r="S41273">
            <v>-583.48</v>
          </cell>
          <cell r="X41273" t="str">
            <v>Variation UPR - gross</v>
          </cell>
          <cell r="Y41273" t="str">
            <v>MEXICO</v>
          </cell>
        </row>
        <row r="41274">
          <cell r="L41274" t="str">
            <v>Non-proportional</v>
          </cell>
          <cell r="S41274">
            <v>-70.58</v>
          </cell>
          <cell r="X41274" t="str">
            <v>Variation UPR - gross</v>
          </cell>
          <cell r="Y41274" t="str">
            <v>CHILE</v>
          </cell>
        </row>
        <row r="41275">
          <cell r="L41275" t="str">
            <v>Proportional</v>
          </cell>
          <cell r="S41275">
            <v>-164078.5</v>
          </cell>
          <cell r="X41275" t="str">
            <v>Variation UPR - gross</v>
          </cell>
          <cell r="Y41275" t="str">
            <v>CANADA</v>
          </cell>
        </row>
        <row r="41276">
          <cell r="L41276" t="str">
            <v>Proportional</v>
          </cell>
          <cell r="S41276">
            <v>-14170.16</v>
          </cell>
          <cell r="X41276" t="str">
            <v>Variation UPR - gross</v>
          </cell>
          <cell r="Y41276" t="str">
            <v>EUROPE</v>
          </cell>
        </row>
        <row r="41277">
          <cell r="L41277" t="str">
            <v>Non-proportional</v>
          </cell>
          <cell r="S41277">
            <v>-5749.55</v>
          </cell>
          <cell r="X41277" t="str">
            <v>Variation UPR - gross</v>
          </cell>
          <cell r="Y41277" t="str">
            <v>AUSTRALIA</v>
          </cell>
        </row>
        <row r="41278">
          <cell r="L41278" t="str">
            <v>Non-proportional</v>
          </cell>
          <cell r="S41278">
            <v>-6270.86</v>
          </cell>
          <cell r="X41278" t="str">
            <v>Variation UPR - gross</v>
          </cell>
          <cell r="Y41278" t="str">
            <v>THAILAND</v>
          </cell>
        </row>
        <row r="41279">
          <cell r="L41279" t="str">
            <v>Non-proportional</v>
          </cell>
          <cell r="S41279">
            <v>-3143.33</v>
          </cell>
          <cell r="X41279" t="str">
            <v>Variation UPR - gross</v>
          </cell>
          <cell r="Y41279" t="str">
            <v>GERMANY</v>
          </cell>
        </row>
        <row r="41280">
          <cell r="L41280" t="str">
            <v>Non-proportional</v>
          </cell>
          <cell r="S41280">
            <v>91.27</v>
          </cell>
          <cell r="X41280" t="str">
            <v>Variation UPR - gross</v>
          </cell>
          <cell r="Y41280" t="str">
            <v>JAPAN</v>
          </cell>
        </row>
        <row r="41281">
          <cell r="L41281" t="str">
            <v>Non-proportional</v>
          </cell>
          <cell r="S41281">
            <v>-146.28</v>
          </cell>
          <cell r="X41281" t="str">
            <v>Variation UPR - gross</v>
          </cell>
          <cell r="Y41281" t="str">
            <v>FRANCE</v>
          </cell>
        </row>
        <row r="41282">
          <cell r="L41282" t="str">
            <v>Non-proportional</v>
          </cell>
          <cell r="S41282">
            <v>-771.5</v>
          </cell>
          <cell r="X41282" t="str">
            <v>Variation UPR - gross</v>
          </cell>
          <cell r="Y41282" t="str">
            <v>GERMANY</v>
          </cell>
        </row>
        <row r="41283">
          <cell r="L41283" t="str">
            <v>Non-proportional</v>
          </cell>
          <cell r="S41283">
            <v>-4663.05</v>
          </cell>
          <cell r="X41283" t="str">
            <v>Variation UPR - gross</v>
          </cell>
          <cell r="Y41283" t="str">
            <v>AUSTRALIA</v>
          </cell>
        </row>
        <row r="41284">
          <cell r="L41284" t="str">
            <v>Non-proportional</v>
          </cell>
          <cell r="S41284">
            <v>-878.37</v>
          </cell>
          <cell r="X41284" t="str">
            <v>Variation UPR - gross</v>
          </cell>
          <cell r="Y41284" t="str">
            <v>SOUTH AFRICA</v>
          </cell>
        </row>
        <row r="41285">
          <cell r="L41285" t="str">
            <v>Non-proportional</v>
          </cell>
          <cell r="S41285">
            <v>-8855</v>
          </cell>
          <cell r="X41285" t="str">
            <v>Variation UPR - gross</v>
          </cell>
          <cell r="Y41285" t="str">
            <v>GERMANY</v>
          </cell>
        </row>
        <row r="41286">
          <cell r="L41286" t="str">
            <v>Non-proportional</v>
          </cell>
          <cell r="S41286">
            <v>-2478.31</v>
          </cell>
          <cell r="X41286" t="str">
            <v>Variation UPR - gross</v>
          </cell>
          <cell r="Y41286" t="str">
            <v>DOMINICAN REPUBLIC</v>
          </cell>
        </row>
        <row r="41287">
          <cell r="L41287" t="str">
            <v>Non-proportional</v>
          </cell>
          <cell r="S41287">
            <v>-4672.5</v>
          </cell>
          <cell r="X41287" t="str">
            <v>Variation UPR - gross</v>
          </cell>
          <cell r="Y41287" t="str">
            <v>PERU</v>
          </cell>
        </row>
        <row r="41288">
          <cell r="L41288" t="str">
            <v>Non-proportional</v>
          </cell>
          <cell r="S41288">
            <v>-2870.57</v>
          </cell>
          <cell r="X41288" t="str">
            <v>Variation UPR - gross</v>
          </cell>
          <cell r="Y41288" t="str">
            <v>ISRAEL</v>
          </cell>
        </row>
        <row r="41289">
          <cell r="L41289" t="str">
            <v>Non-proportional</v>
          </cell>
          <cell r="S41289">
            <v>-9348.14</v>
          </cell>
          <cell r="X41289" t="str">
            <v>Variation UPR - gross</v>
          </cell>
          <cell r="Y41289" t="str">
            <v>NETHERLANDS</v>
          </cell>
        </row>
        <row r="41290">
          <cell r="L41290" t="str">
            <v>Non-proportional</v>
          </cell>
          <cell r="S41290">
            <v>5.78</v>
          </cell>
          <cell r="X41290" t="str">
            <v>Variation UPR - gross</v>
          </cell>
          <cell r="Y41290" t="str">
            <v>JAPAN</v>
          </cell>
        </row>
        <row r="41291">
          <cell r="L41291" t="str">
            <v>Non-proportional</v>
          </cell>
          <cell r="S41291">
            <v>-53.04</v>
          </cell>
          <cell r="X41291" t="str">
            <v>Variation UPR - gross</v>
          </cell>
          <cell r="Y41291" t="str">
            <v>ISRAEL</v>
          </cell>
        </row>
        <row r="41292">
          <cell r="L41292" t="str">
            <v>Non-proportional</v>
          </cell>
          <cell r="S41292">
            <v>214.57</v>
          </cell>
          <cell r="X41292" t="str">
            <v>Variation UPR - gross</v>
          </cell>
          <cell r="Y41292" t="str">
            <v>NEW ZEALAND</v>
          </cell>
        </row>
        <row r="41293">
          <cell r="L41293" t="str">
            <v>Non-proportional</v>
          </cell>
          <cell r="S41293">
            <v>-5085.38</v>
          </cell>
          <cell r="X41293" t="str">
            <v>Variation UPR - gross</v>
          </cell>
          <cell r="Y41293" t="str">
            <v>UNITED KINGDOM</v>
          </cell>
        </row>
        <row r="41294">
          <cell r="L41294" t="str">
            <v>Non-proportional</v>
          </cell>
          <cell r="S41294">
            <v>450.64</v>
          </cell>
          <cell r="X41294" t="str">
            <v>Variation UPR - gross</v>
          </cell>
          <cell r="Y41294" t="str">
            <v>AUSTRALIA</v>
          </cell>
        </row>
        <row r="41295">
          <cell r="L41295" t="str">
            <v>Non-proportional</v>
          </cell>
          <cell r="S41295">
            <v>-70.58</v>
          </cell>
          <cell r="X41295" t="str">
            <v>Variation UPR - gross</v>
          </cell>
          <cell r="Y41295" t="str">
            <v>CHILE</v>
          </cell>
        </row>
        <row r="41296">
          <cell r="L41296" t="str">
            <v>Non-proportional</v>
          </cell>
          <cell r="S41296">
            <v>-10909.08</v>
          </cell>
          <cell r="X41296" t="str">
            <v>Variation UPR - gross</v>
          </cell>
          <cell r="Y41296" t="str">
            <v>ITALY</v>
          </cell>
        </row>
        <row r="41297">
          <cell r="L41297" t="str">
            <v>Non-proportional</v>
          </cell>
          <cell r="S41297">
            <v>-5784.36</v>
          </cell>
          <cell r="X41297" t="str">
            <v>Variation UPR - gross</v>
          </cell>
          <cell r="Y41297" t="str">
            <v>SPAIN</v>
          </cell>
        </row>
        <row r="41298">
          <cell r="L41298" t="str">
            <v>Non-proportional</v>
          </cell>
          <cell r="S41298">
            <v>-4250.71</v>
          </cell>
          <cell r="X41298" t="str">
            <v>Variation UPR - gross</v>
          </cell>
          <cell r="Y41298" t="str">
            <v>ITALY</v>
          </cell>
        </row>
        <row r="41299">
          <cell r="L41299" t="str">
            <v>Non-proportional</v>
          </cell>
          <cell r="S41299">
            <v>-4931.34</v>
          </cell>
          <cell r="X41299" t="str">
            <v>Variation UPR - gross</v>
          </cell>
          <cell r="Y41299" t="str">
            <v>UNITED KINGDOM</v>
          </cell>
        </row>
        <row r="41300">
          <cell r="L41300" t="str">
            <v>Non-proportional</v>
          </cell>
          <cell r="S41300">
            <v>947.84</v>
          </cell>
          <cell r="X41300" t="str">
            <v>Variation UPR - gross</v>
          </cell>
          <cell r="Y41300" t="str">
            <v>JAPAN</v>
          </cell>
        </row>
        <row r="41301">
          <cell r="L41301" t="str">
            <v>Non-proportional</v>
          </cell>
          <cell r="S41301">
            <v>-1736.36</v>
          </cell>
          <cell r="X41301" t="str">
            <v>Variation UPR - gross</v>
          </cell>
          <cell r="Y41301" t="str">
            <v>JAPAN</v>
          </cell>
        </row>
        <row r="41302">
          <cell r="L41302" t="str">
            <v>Non-proportional</v>
          </cell>
          <cell r="S41302">
            <v>-2130.98</v>
          </cell>
          <cell r="X41302" t="str">
            <v>Variation UPR - gross</v>
          </cell>
          <cell r="Y41302" t="str">
            <v>JAPAN</v>
          </cell>
        </row>
        <row r="41303">
          <cell r="L41303" t="str">
            <v>Non-proportional</v>
          </cell>
          <cell r="S41303">
            <v>0</v>
          </cell>
          <cell r="X41303" t="str">
            <v>Variation UPR - gross</v>
          </cell>
          <cell r="Y41303" t="str">
            <v>DOMINICAN REPUBLIC</v>
          </cell>
        </row>
        <row r="41304">
          <cell r="L41304" t="str">
            <v>Non-proportional</v>
          </cell>
          <cell r="S41304">
            <v>-2942.59</v>
          </cell>
          <cell r="X41304" t="str">
            <v>Variation UPR - gross</v>
          </cell>
          <cell r="Y41304" t="str">
            <v>THAILAND</v>
          </cell>
        </row>
        <row r="41305">
          <cell r="L41305" t="str">
            <v>Non-proportional</v>
          </cell>
          <cell r="S41305">
            <v>-15429.5</v>
          </cell>
          <cell r="X41305" t="str">
            <v>Variation UPR - gross</v>
          </cell>
          <cell r="Y41305" t="str">
            <v>SOUTH KOREA</v>
          </cell>
        </row>
        <row r="41306">
          <cell r="L41306" t="str">
            <v>Non-proportional</v>
          </cell>
          <cell r="S41306">
            <v>0.01</v>
          </cell>
          <cell r="X41306" t="str">
            <v>Variation UPR - gross</v>
          </cell>
          <cell r="Y41306" t="str">
            <v>DOMINICAN REPUBLIC</v>
          </cell>
        </row>
        <row r="41307">
          <cell r="L41307" t="str">
            <v>Non-proportional</v>
          </cell>
          <cell r="S41307">
            <v>-353.33</v>
          </cell>
          <cell r="X41307" t="str">
            <v>Variation UPR - gross</v>
          </cell>
          <cell r="Y41307" t="str">
            <v>ITALY</v>
          </cell>
        </row>
        <row r="41308">
          <cell r="L41308" t="str">
            <v>Proportional</v>
          </cell>
          <cell r="S41308">
            <v>-45014.400000000001</v>
          </cell>
          <cell r="X41308" t="str">
            <v>Variation UPR - gross</v>
          </cell>
          <cell r="Y41308" t="str">
            <v>FRANCE</v>
          </cell>
        </row>
        <row r="41309">
          <cell r="L41309" t="str">
            <v>Proportional</v>
          </cell>
          <cell r="S41309">
            <v>-466.12</v>
          </cell>
          <cell r="X41309" t="str">
            <v>Variation UPR - gross</v>
          </cell>
          <cell r="Y41309" t="str">
            <v>UNITED STATES</v>
          </cell>
        </row>
        <row r="41310">
          <cell r="L41310" t="str">
            <v>Non-proportional</v>
          </cell>
          <cell r="S41310">
            <v>-19.16</v>
          </cell>
          <cell r="X41310" t="str">
            <v>Variation UPR - gross</v>
          </cell>
          <cell r="Y41310" t="str">
            <v>ISRAEL</v>
          </cell>
        </row>
        <row r="41311">
          <cell r="L41311" t="str">
            <v>Proportional</v>
          </cell>
          <cell r="S41311">
            <v>-136.38</v>
          </cell>
          <cell r="X41311" t="str">
            <v>Variation UPR - gross</v>
          </cell>
          <cell r="Y41311" t="str">
            <v>THAILAND</v>
          </cell>
        </row>
        <row r="41312">
          <cell r="L41312" t="str">
            <v>Non-proportional</v>
          </cell>
          <cell r="S41312">
            <v>-8198.43</v>
          </cell>
          <cell r="X41312" t="str">
            <v>Variation UPR - gross</v>
          </cell>
          <cell r="Y41312" t="str">
            <v>AUSTRALIA</v>
          </cell>
        </row>
        <row r="41313">
          <cell r="L41313" t="str">
            <v>Non-proportional</v>
          </cell>
          <cell r="S41313">
            <v>-286.25</v>
          </cell>
          <cell r="X41313" t="str">
            <v>Variation UPR - gross</v>
          </cell>
          <cell r="Y41313" t="str">
            <v>REPUBLIC OF IRELAND</v>
          </cell>
        </row>
        <row r="41314">
          <cell r="L41314" t="str">
            <v>Non-proportional</v>
          </cell>
          <cell r="S41314">
            <v>-1069.67</v>
          </cell>
          <cell r="X41314" t="str">
            <v>Variation UPR - gross</v>
          </cell>
          <cell r="Y41314" t="str">
            <v>JAPAN</v>
          </cell>
        </row>
        <row r="41315">
          <cell r="L41315" t="str">
            <v>Non-proportional</v>
          </cell>
          <cell r="S41315">
            <v>-1836.41</v>
          </cell>
          <cell r="X41315" t="str">
            <v>Variation UPR - gross</v>
          </cell>
          <cell r="Y41315" t="str">
            <v>PERU</v>
          </cell>
        </row>
        <row r="41316">
          <cell r="L41316" t="str">
            <v>Non-proportional</v>
          </cell>
          <cell r="S41316">
            <v>-9642.7000000000007</v>
          </cell>
          <cell r="X41316" t="str">
            <v>Variation UPR - gross</v>
          </cell>
          <cell r="Y41316" t="str">
            <v>ECUADOR</v>
          </cell>
        </row>
        <row r="41317">
          <cell r="L41317" t="str">
            <v>Non-proportional</v>
          </cell>
          <cell r="S41317">
            <v>-1302.8900000000001</v>
          </cell>
          <cell r="X41317" t="str">
            <v>Variation UPR - gross</v>
          </cell>
          <cell r="Y41317" t="str">
            <v>JAPAN</v>
          </cell>
        </row>
        <row r="41318">
          <cell r="L41318" t="str">
            <v>Non-proportional</v>
          </cell>
          <cell r="S41318">
            <v>-1954.52</v>
          </cell>
          <cell r="X41318" t="str">
            <v>Variation UPR - gross</v>
          </cell>
          <cell r="Y41318" t="str">
            <v>GUATEMALA</v>
          </cell>
        </row>
        <row r="41319">
          <cell r="L41319" t="str">
            <v>Non-proportional</v>
          </cell>
          <cell r="S41319">
            <v>-2526.35</v>
          </cell>
          <cell r="X41319" t="str">
            <v>Variation UPR - gross</v>
          </cell>
          <cell r="Y41319" t="str">
            <v>ISRAEL</v>
          </cell>
        </row>
        <row r="41320">
          <cell r="L41320" t="str">
            <v>Non-proportional</v>
          </cell>
          <cell r="S41320">
            <v>-2179.7800000000002</v>
          </cell>
          <cell r="X41320" t="str">
            <v>Variation UPR - gross</v>
          </cell>
          <cell r="Y41320" t="str">
            <v>FRANCE</v>
          </cell>
        </row>
        <row r="41321">
          <cell r="L41321" t="str">
            <v>Proportional</v>
          </cell>
          <cell r="S41321">
            <v>-26122.53</v>
          </cell>
          <cell r="X41321" t="str">
            <v>Variation UPR - gross</v>
          </cell>
          <cell r="Y41321" t="str">
            <v>THAILAND</v>
          </cell>
        </row>
        <row r="41322">
          <cell r="L41322" t="str">
            <v>Non-proportional</v>
          </cell>
          <cell r="S41322">
            <v>-1562.37</v>
          </cell>
          <cell r="X41322" t="str">
            <v>Variation UPR - gross</v>
          </cell>
          <cell r="Y41322" t="str">
            <v>FRANCE</v>
          </cell>
        </row>
        <row r="41323">
          <cell r="L41323" t="str">
            <v>Proportional</v>
          </cell>
          <cell r="S41323">
            <v>505.41</v>
          </cell>
          <cell r="X41323" t="str">
            <v>Variation UPR - gross</v>
          </cell>
          <cell r="Y41323" t="str">
            <v>CHILE</v>
          </cell>
        </row>
        <row r="41324">
          <cell r="L41324" t="str">
            <v>Non-proportional</v>
          </cell>
          <cell r="S41324">
            <v>-226.25</v>
          </cell>
          <cell r="X41324" t="str">
            <v>Variation UPR - gross</v>
          </cell>
          <cell r="Y41324" t="str">
            <v>JAPAN</v>
          </cell>
        </row>
        <row r="41325">
          <cell r="L41325" t="str">
            <v>Non-proportional</v>
          </cell>
          <cell r="S41325">
            <v>-3708.03</v>
          </cell>
          <cell r="X41325" t="str">
            <v>Variation UPR - gross</v>
          </cell>
          <cell r="Y41325" t="str">
            <v>SINGAPORE</v>
          </cell>
        </row>
        <row r="41326">
          <cell r="L41326" t="str">
            <v>Non-proportional</v>
          </cell>
          <cell r="S41326">
            <v>-1647.43</v>
          </cell>
          <cell r="X41326" t="str">
            <v>Variation UPR - gross</v>
          </cell>
          <cell r="Y41326" t="str">
            <v>PERU</v>
          </cell>
        </row>
        <row r="41327">
          <cell r="L41327" t="str">
            <v>Non-proportional</v>
          </cell>
          <cell r="S41327">
            <v>-797.56</v>
          </cell>
          <cell r="X41327" t="str">
            <v>Variation UPR - gross</v>
          </cell>
          <cell r="Y41327" t="str">
            <v>PERU</v>
          </cell>
        </row>
        <row r="41328">
          <cell r="L41328" t="str">
            <v>Non-proportional</v>
          </cell>
          <cell r="S41328">
            <v>-3281.25</v>
          </cell>
          <cell r="X41328" t="str">
            <v>Variation UPR - gross</v>
          </cell>
          <cell r="Y41328" t="str">
            <v>ITALY</v>
          </cell>
        </row>
        <row r="41329">
          <cell r="L41329" t="str">
            <v>Non-proportional</v>
          </cell>
          <cell r="S41329">
            <v>-6562.5</v>
          </cell>
          <cell r="X41329" t="str">
            <v>Variation UPR - gross</v>
          </cell>
          <cell r="Y41329" t="str">
            <v>ITALY</v>
          </cell>
        </row>
        <row r="41330">
          <cell r="L41330" t="str">
            <v>Proportional</v>
          </cell>
          <cell r="S41330">
            <v>-3049.72</v>
          </cell>
          <cell r="X41330" t="str">
            <v>Variation UPR - gross</v>
          </cell>
          <cell r="Y41330" t="str">
            <v>UNITED STATES</v>
          </cell>
        </row>
        <row r="41331">
          <cell r="L41331" t="str">
            <v>Non-proportional</v>
          </cell>
          <cell r="S41331">
            <v>-15885.46</v>
          </cell>
          <cell r="X41331" t="str">
            <v>Variation UPR - gross</v>
          </cell>
          <cell r="Y41331" t="str">
            <v>EUROPE</v>
          </cell>
        </row>
        <row r="41332">
          <cell r="L41332" t="str">
            <v>Proportional</v>
          </cell>
          <cell r="S41332">
            <v>-220022.39</v>
          </cell>
          <cell r="X41332" t="str">
            <v>Variation UPR - gross</v>
          </cell>
          <cell r="Y41332" t="str">
            <v>UNITED STATES</v>
          </cell>
        </row>
        <row r="41333">
          <cell r="L41333" t="str">
            <v>Non-proportional</v>
          </cell>
          <cell r="S41333">
            <v>-40799.89</v>
          </cell>
          <cell r="X41333" t="str">
            <v>Variation UPR - gross</v>
          </cell>
          <cell r="Y41333" t="str">
            <v>TURKEY</v>
          </cell>
        </row>
        <row r="41334">
          <cell r="L41334" t="str">
            <v>Proportional</v>
          </cell>
          <cell r="S41334">
            <v>-396104.35</v>
          </cell>
          <cell r="X41334" t="str">
            <v>Variation UPR - gross</v>
          </cell>
          <cell r="Y41334" t="str">
            <v>UNITED STATES</v>
          </cell>
        </row>
        <row r="41335">
          <cell r="L41335" t="str">
            <v>Non-proportional</v>
          </cell>
          <cell r="S41335">
            <v>-11040.01</v>
          </cell>
          <cell r="X41335" t="str">
            <v>Variation UPR - gross</v>
          </cell>
          <cell r="Y41335" t="str">
            <v>NEW ZEALAND</v>
          </cell>
        </row>
        <row r="41336">
          <cell r="L41336" t="str">
            <v>Non-proportional</v>
          </cell>
          <cell r="S41336">
            <v>-3123.49</v>
          </cell>
          <cell r="X41336" t="str">
            <v>Variation UPR - gross</v>
          </cell>
          <cell r="Y41336" t="str">
            <v>ISRAEL</v>
          </cell>
        </row>
        <row r="41337">
          <cell r="L41337" t="str">
            <v>Non-proportional</v>
          </cell>
          <cell r="S41337">
            <v>-11712.04</v>
          </cell>
          <cell r="X41337" t="str">
            <v>Variation UPR - gross</v>
          </cell>
          <cell r="Y41337" t="str">
            <v>AUSTRALIA</v>
          </cell>
        </row>
        <row r="41338">
          <cell r="L41338" t="str">
            <v>Non-proportional</v>
          </cell>
          <cell r="S41338">
            <v>-2059.04</v>
          </cell>
          <cell r="X41338" t="str">
            <v>Variation UPR - gross</v>
          </cell>
          <cell r="Y41338" t="str">
            <v>UNITED KINGDOM</v>
          </cell>
        </row>
        <row r="41339">
          <cell r="L41339" t="str">
            <v>Non-proportional</v>
          </cell>
          <cell r="S41339">
            <v>42.13</v>
          </cell>
          <cell r="X41339" t="str">
            <v>Variation UPR - gross</v>
          </cell>
          <cell r="Y41339" t="str">
            <v>JAPAN</v>
          </cell>
        </row>
        <row r="41340">
          <cell r="L41340" t="str">
            <v>Non-proportional</v>
          </cell>
          <cell r="S41340">
            <v>-10156.290000000001</v>
          </cell>
          <cell r="X41340" t="str">
            <v>Variation UPR - gross</v>
          </cell>
          <cell r="Y41340" t="str">
            <v>EUROPE</v>
          </cell>
        </row>
        <row r="41341">
          <cell r="L41341" t="str">
            <v>Non-proportional</v>
          </cell>
          <cell r="S41341">
            <v>-4979.3100000000004</v>
          </cell>
          <cell r="X41341" t="str">
            <v>Variation UPR - gross</v>
          </cell>
          <cell r="Y41341" t="str">
            <v>DOMINICAN REPUBLIC</v>
          </cell>
        </row>
        <row r="41342">
          <cell r="L41342" t="str">
            <v>Non-proportional</v>
          </cell>
          <cell r="S41342">
            <v>-1061352.4099999999</v>
          </cell>
          <cell r="X41342" t="str">
            <v>Variation UPR - gross</v>
          </cell>
          <cell r="Y41342" t="str">
            <v>BELGIUM</v>
          </cell>
        </row>
        <row r="41343">
          <cell r="L41343" t="str">
            <v>Non-proportional</v>
          </cell>
          <cell r="S41343">
            <v>-2039.08</v>
          </cell>
          <cell r="X41343" t="str">
            <v>Variation UPR - gross</v>
          </cell>
          <cell r="Y41343" t="str">
            <v>PERU</v>
          </cell>
        </row>
        <row r="41344">
          <cell r="L41344" t="str">
            <v>Proportional</v>
          </cell>
          <cell r="S41344">
            <v>-16806.740000000002</v>
          </cell>
          <cell r="X41344" t="str">
            <v>Variation UPR - gross</v>
          </cell>
          <cell r="Y41344" t="str">
            <v>THAILAND</v>
          </cell>
        </row>
        <row r="41345">
          <cell r="L41345" t="str">
            <v>Proportional</v>
          </cell>
          <cell r="S41345">
            <v>-2528.48</v>
          </cell>
          <cell r="X41345" t="str">
            <v>Variation UPR - gross</v>
          </cell>
          <cell r="Y41345" t="str">
            <v>HONG KONG</v>
          </cell>
        </row>
        <row r="41346">
          <cell r="L41346" t="str">
            <v>Non-proportional</v>
          </cell>
          <cell r="S41346">
            <v>-2113.3200000000002</v>
          </cell>
          <cell r="X41346" t="str">
            <v>Variation UPR - gross</v>
          </cell>
          <cell r="Y41346" t="str">
            <v>GUATEMALA</v>
          </cell>
        </row>
        <row r="41347">
          <cell r="L41347" t="str">
            <v>Non-proportional</v>
          </cell>
          <cell r="S41347">
            <v>-6389.13</v>
          </cell>
          <cell r="X41347" t="str">
            <v>Variation UPR - gross</v>
          </cell>
          <cell r="Y41347" t="str">
            <v>JAPAN</v>
          </cell>
        </row>
        <row r="41348">
          <cell r="L41348" t="str">
            <v>Non-proportional</v>
          </cell>
          <cell r="S41348">
            <v>-3194.19</v>
          </cell>
          <cell r="X41348" t="str">
            <v>Variation UPR - gross</v>
          </cell>
          <cell r="Y41348" t="str">
            <v>AUSTRALIA</v>
          </cell>
        </row>
        <row r="41349">
          <cell r="L41349" t="str">
            <v>Non-proportional</v>
          </cell>
          <cell r="S41349">
            <v>-1406.25</v>
          </cell>
          <cell r="X41349" t="str">
            <v>Variation UPR - gross</v>
          </cell>
          <cell r="Y41349" t="str">
            <v>GREECE</v>
          </cell>
        </row>
        <row r="41350">
          <cell r="L41350" t="str">
            <v>Non-proportional</v>
          </cell>
          <cell r="S41350">
            <v>-11.42</v>
          </cell>
          <cell r="X41350" t="str">
            <v>Variation UPR - gross</v>
          </cell>
          <cell r="Y41350" t="str">
            <v>ISRAEL</v>
          </cell>
        </row>
        <row r="41351">
          <cell r="L41351" t="str">
            <v>Proportional</v>
          </cell>
          <cell r="S41351">
            <v>541.26</v>
          </cell>
          <cell r="X41351" t="str">
            <v>Variation UPR - gross</v>
          </cell>
          <cell r="Y41351" t="str">
            <v>CHILE</v>
          </cell>
        </row>
        <row r="41352">
          <cell r="L41352" t="str">
            <v>Non-proportional</v>
          </cell>
          <cell r="S41352">
            <v>-90200</v>
          </cell>
          <cell r="X41352" t="str">
            <v>Variation UPR - gross</v>
          </cell>
          <cell r="Y41352" t="str">
            <v>EUROPE</v>
          </cell>
        </row>
        <row r="41353">
          <cell r="L41353" t="str">
            <v>Proportional</v>
          </cell>
          <cell r="S41353">
            <v>494.89</v>
          </cell>
          <cell r="X41353" t="str">
            <v>Variation UPR - gross</v>
          </cell>
          <cell r="Y41353" t="str">
            <v>THAILAND</v>
          </cell>
        </row>
        <row r="41354">
          <cell r="L41354" t="str">
            <v>Non-proportional</v>
          </cell>
          <cell r="S41354">
            <v>-2259.8000000000002</v>
          </cell>
          <cell r="X41354" t="str">
            <v>Variation UPR - gross</v>
          </cell>
          <cell r="Y41354" t="str">
            <v>ECUADOR</v>
          </cell>
        </row>
        <row r="41355">
          <cell r="L41355" t="str">
            <v>Non-proportional</v>
          </cell>
          <cell r="S41355">
            <v>-2798.35</v>
          </cell>
          <cell r="X41355" t="str">
            <v>Variation UPR - gross</v>
          </cell>
          <cell r="Y41355" t="str">
            <v>AUSTRALIA</v>
          </cell>
        </row>
        <row r="41356">
          <cell r="L41356" t="str">
            <v>Proportional</v>
          </cell>
          <cell r="S41356">
            <v>-8553.59</v>
          </cell>
          <cell r="X41356" t="str">
            <v>Variation UPR - gross</v>
          </cell>
          <cell r="Y41356" t="str">
            <v>INDIA</v>
          </cell>
        </row>
        <row r="41357">
          <cell r="L41357" t="str">
            <v>Non-proportional</v>
          </cell>
          <cell r="S41357">
            <v>-529.37</v>
          </cell>
          <cell r="X41357" t="str">
            <v>Variation UPR - gross</v>
          </cell>
          <cell r="Y41357" t="str">
            <v>CHILE</v>
          </cell>
        </row>
        <row r="41358">
          <cell r="L41358" t="str">
            <v>Non-proportional</v>
          </cell>
          <cell r="S41358">
            <v>-5447.43</v>
          </cell>
          <cell r="X41358" t="str">
            <v>Variation UPR - gross</v>
          </cell>
          <cell r="Y41358" t="str">
            <v>INDIA</v>
          </cell>
        </row>
        <row r="41359">
          <cell r="L41359" t="str">
            <v>Non-proportional</v>
          </cell>
          <cell r="S41359">
            <v>-2665.25</v>
          </cell>
          <cell r="X41359" t="str">
            <v>Variation UPR - gross</v>
          </cell>
          <cell r="Y41359" t="str">
            <v>ISRAEL</v>
          </cell>
        </row>
        <row r="41360">
          <cell r="L41360" t="str">
            <v>Non-proportional</v>
          </cell>
          <cell r="S41360">
            <v>-4185.91</v>
          </cell>
          <cell r="X41360" t="str">
            <v>Variation UPR - gross</v>
          </cell>
          <cell r="Y41360" t="str">
            <v>FRANCE</v>
          </cell>
        </row>
        <row r="41361">
          <cell r="L41361" t="str">
            <v>Non-proportional</v>
          </cell>
          <cell r="S41361">
            <v>-35.29</v>
          </cell>
          <cell r="X41361" t="str">
            <v>Variation UPR - gross</v>
          </cell>
          <cell r="Y41361" t="str">
            <v>CHILE</v>
          </cell>
        </row>
        <row r="41362">
          <cell r="L41362" t="str">
            <v>Non-proportional</v>
          </cell>
          <cell r="S41362">
            <v>-1415.93</v>
          </cell>
          <cell r="X41362" t="str">
            <v>Variation UPR - gross</v>
          </cell>
          <cell r="Y41362" t="str">
            <v>FRANCE</v>
          </cell>
        </row>
        <row r="41363">
          <cell r="L41363" t="str">
            <v>Non-proportional</v>
          </cell>
          <cell r="S41363">
            <v>-110133.95</v>
          </cell>
          <cell r="X41363" t="str">
            <v>Variation UPR - gross</v>
          </cell>
          <cell r="Y41363" t="str">
            <v>UNITED KINGDOM</v>
          </cell>
        </row>
        <row r="41364">
          <cell r="L41364" t="str">
            <v>Non-proportional</v>
          </cell>
          <cell r="S41364">
            <v>-1699.24</v>
          </cell>
          <cell r="X41364" t="str">
            <v>Variation UPR - gross</v>
          </cell>
          <cell r="Y41364" t="str">
            <v>COSTA RICA</v>
          </cell>
        </row>
        <row r="41365">
          <cell r="L41365" t="str">
            <v>Non-proportional</v>
          </cell>
          <cell r="S41365">
            <v>-10282.9</v>
          </cell>
          <cell r="X41365" t="str">
            <v>Variation UPR - gross</v>
          </cell>
          <cell r="Y41365" t="str">
            <v>NEW ZEALAND</v>
          </cell>
        </row>
        <row r="41366">
          <cell r="L41366" t="str">
            <v>Proportional</v>
          </cell>
          <cell r="S41366">
            <v>-184.97</v>
          </cell>
          <cell r="X41366" t="str">
            <v>Variation UPR - gross</v>
          </cell>
          <cell r="Y41366" t="str">
            <v>THAILAND</v>
          </cell>
        </row>
        <row r="41367">
          <cell r="L41367" t="str">
            <v>Non-proportional</v>
          </cell>
          <cell r="S41367">
            <v>-730.17</v>
          </cell>
          <cell r="X41367" t="str">
            <v>Variation UPR - gross</v>
          </cell>
          <cell r="Y41367" t="str">
            <v>INDIA</v>
          </cell>
        </row>
        <row r="41368">
          <cell r="L41368" t="str">
            <v>Non-proportional</v>
          </cell>
          <cell r="S41368">
            <v>-1195.07</v>
          </cell>
          <cell r="X41368" t="str">
            <v>Variation UPR - gross</v>
          </cell>
          <cell r="Y41368" t="str">
            <v>COSTA RICA</v>
          </cell>
        </row>
        <row r="41369">
          <cell r="L41369" t="str">
            <v>Non-proportional</v>
          </cell>
          <cell r="S41369">
            <v>-4.62</v>
          </cell>
          <cell r="X41369" t="str">
            <v>Variation UPR - gross</v>
          </cell>
          <cell r="Y41369" t="str">
            <v>COSTA RICA</v>
          </cell>
        </row>
        <row r="41370">
          <cell r="L41370" t="str">
            <v>Non-proportional</v>
          </cell>
          <cell r="S41370">
            <v>-2885.2</v>
          </cell>
          <cell r="X41370" t="str">
            <v>Variation UPR - gross</v>
          </cell>
          <cell r="Y41370" t="str">
            <v>AUSTRALIA</v>
          </cell>
        </row>
        <row r="41371">
          <cell r="L41371" t="str">
            <v>Non-proportional</v>
          </cell>
          <cell r="S41371">
            <v>-9186.02</v>
          </cell>
          <cell r="X41371" t="str">
            <v>Variation UPR - gross</v>
          </cell>
          <cell r="Y41371" t="str">
            <v>NEW ZEALAND</v>
          </cell>
        </row>
        <row r="41372">
          <cell r="L41372" t="str">
            <v>Proportional</v>
          </cell>
          <cell r="S41372">
            <v>2474.4699999999998</v>
          </cell>
          <cell r="X41372" t="str">
            <v>Variation UPR - gross</v>
          </cell>
          <cell r="Y41372" t="str">
            <v>THAILAND</v>
          </cell>
        </row>
        <row r="41373">
          <cell r="L41373" t="str">
            <v>Non-proportional</v>
          </cell>
          <cell r="S41373">
            <v>-1252.78</v>
          </cell>
          <cell r="X41373" t="str">
            <v>Variation UPR - gross</v>
          </cell>
          <cell r="Y41373" t="str">
            <v>JAPAN</v>
          </cell>
        </row>
        <row r="41374">
          <cell r="L41374" t="str">
            <v>Non-proportional</v>
          </cell>
          <cell r="S41374">
            <v>-2910.62</v>
          </cell>
          <cell r="X41374" t="str">
            <v>Variation UPR - gross</v>
          </cell>
          <cell r="Y41374" t="str">
            <v>JAPAN</v>
          </cell>
        </row>
        <row r="41375">
          <cell r="L41375" t="str">
            <v>Non-proportional</v>
          </cell>
          <cell r="S41375">
            <v>-7117.7</v>
          </cell>
          <cell r="X41375" t="str">
            <v>Variation UPR - gross</v>
          </cell>
          <cell r="Y41375" t="str">
            <v>UNITED KINGDOM</v>
          </cell>
        </row>
        <row r="41376">
          <cell r="L41376" t="str">
            <v>Non-proportional</v>
          </cell>
          <cell r="S41376">
            <v>-3537.25</v>
          </cell>
          <cell r="X41376" t="str">
            <v>Variation UPR - gross</v>
          </cell>
          <cell r="Y41376" t="str">
            <v>UNITED KINGDOM</v>
          </cell>
        </row>
        <row r="41377">
          <cell r="L41377" t="str">
            <v>Non-proportional</v>
          </cell>
          <cell r="S41377">
            <v>1.1000000000000001</v>
          </cell>
          <cell r="X41377" t="str">
            <v>Variation UPR - gross</v>
          </cell>
          <cell r="Y41377" t="str">
            <v>GUATEMALA</v>
          </cell>
        </row>
        <row r="41378">
          <cell r="L41378" t="str">
            <v>Non-proportional</v>
          </cell>
          <cell r="S41378">
            <v>-665.05</v>
          </cell>
          <cell r="X41378" t="str">
            <v>Variation UPR - gross</v>
          </cell>
          <cell r="Y41378" t="str">
            <v>FRANCE</v>
          </cell>
        </row>
        <row r="41379">
          <cell r="L41379" t="str">
            <v>Non-proportional</v>
          </cell>
          <cell r="S41379">
            <v>-1013875.4</v>
          </cell>
          <cell r="X41379" t="str">
            <v>Variation UPR - gross</v>
          </cell>
          <cell r="Y41379" t="str">
            <v>UNITED KINGDOM</v>
          </cell>
        </row>
        <row r="41380">
          <cell r="L41380" t="str">
            <v>Non-proportional</v>
          </cell>
          <cell r="S41380">
            <v>-462.22</v>
          </cell>
          <cell r="X41380" t="str">
            <v>Variation UPR - gross</v>
          </cell>
          <cell r="Y41380" t="str">
            <v>BRAZIL</v>
          </cell>
        </row>
        <row r="41381">
          <cell r="L41381" t="str">
            <v>Non-proportional</v>
          </cell>
          <cell r="S41381">
            <v>-884.37</v>
          </cell>
          <cell r="X41381" t="str">
            <v>Variation UPR - gross</v>
          </cell>
          <cell r="Y41381" t="str">
            <v>FRANCE</v>
          </cell>
        </row>
        <row r="41382">
          <cell r="L41382" t="str">
            <v>Non-proportional</v>
          </cell>
          <cell r="S41382">
            <v>-282.33</v>
          </cell>
          <cell r="X41382" t="str">
            <v>Variation UPR - gross</v>
          </cell>
          <cell r="Y41382" t="str">
            <v>CHILE</v>
          </cell>
        </row>
        <row r="41383">
          <cell r="L41383" t="str">
            <v>Non-proportional</v>
          </cell>
          <cell r="S41383">
            <v>-8524.23</v>
          </cell>
          <cell r="X41383" t="str">
            <v>Variation UPR - gross</v>
          </cell>
          <cell r="Y41383" t="str">
            <v>ECUADOR</v>
          </cell>
        </row>
        <row r="41384">
          <cell r="L41384" t="str">
            <v>Non-proportional</v>
          </cell>
          <cell r="S41384">
            <v>6.21</v>
          </cell>
          <cell r="X41384" t="str">
            <v>Variation UPR - gross</v>
          </cell>
          <cell r="Y41384" t="str">
            <v>JAPAN</v>
          </cell>
        </row>
        <row r="41385">
          <cell r="L41385" t="str">
            <v>Non-proportional</v>
          </cell>
          <cell r="S41385">
            <v>-8020.48</v>
          </cell>
          <cell r="X41385" t="str">
            <v>Variation UPR - gross</v>
          </cell>
          <cell r="Y41385" t="str">
            <v>TURKEY</v>
          </cell>
        </row>
        <row r="41386">
          <cell r="L41386" t="str">
            <v>Non-proportional</v>
          </cell>
          <cell r="S41386">
            <v>-12659.61</v>
          </cell>
          <cell r="X41386" t="str">
            <v>Variation UPR - gross</v>
          </cell>
          <cell r="Y41386" t="str">
            <v>ITALY</v>
          </cell>
        </row>
        <row r="41387">
          <cell r="L41387" t="str">
            <v>Non-proportional</v>
          </cell>
          <cell r="S41387">
            <v>-76138.78</v>
          </cell>
          <cell r="X41387" t="str">
            <v>Variation UPR - gross</v>
          </cell>
          <cell r="Y41387" t="str">
            <v>UNITED KINGDOM</v>
          </cell>
        </row>
        <row r="41388">
          <cell r="L41388" t="str">
            <v>Non-proportional</v>
          </cell>
          <cell r="S41388">
            <v>-35.29</v>
          </cell>
          <cell r="X41388" t="str">
            <v>Variation UPR - gross</v>
          </cell>
          <cell r="Y41388" t="str">
            <v>CHILE</v>
          </cell>
        </row>
        <row r="41389">
          <cell r="L41389" t="str">
            <v>Non-proportional</v>
          </cell>
          <cell r="S41389">
            <v>-5011.41</v>
          </cell>
          <cell r="X41389" t="str">
            <v>Variation UPR - gross</v>
          </cell>
          <cell r="Y41389" t="str">
            <v>CHILE</v>
          </cell>
        </row>
        <row r="41390">
          <cell r="L41390" t="str">
            <v>Non-proportional</v>
          </cell>
          <cell r="S41390">
            <v>-1131.24</v>
          </cell>
          <cell r="X41390" t="str">
            <v>Variation UPR - gross</v>
          </cell>
          <cell r="Y41390" t="str">
            <v>CYPRUS</v>
          </cell>
        </row>
        <row r="41391">
          <cell r="L41391" t="str">
            <v>Non-proportional</v>
          </cell>
          <cell r="S41391">
            <v>180.49</v>
          </cell>
          <cell r="X41391" t="str">
            <v>Variation UPR - gross</v>
          </cell>
          <cell r="Y41391" t="str">
            <v>JAPAN</v>
          </cell>
        </row>
        <row r="41392">
          <cell r="L41392" t="str">
            <v>Non-proportional</v>
          </cell>
          <cell r="S41392">
            <v>-698.34</v>
          </cell>
          <cell r="X41392" t="str">
            <v>Variation UPR - gross</v>
          </cell>
          <cell r="Y41392" t="str">
            <v>ECUADOR</v>
          </cell>
        </row>
        <row r="41393">
          <cell r="L41393" t="str">
            <v>Non-proportional</v>
          </cell>
          <cell r="S41393">
            <v>-1771.22</v>
          </cell>
          <cell r="X41393" t="str">
            <v>Variation UPR - gross</v>
          </cell>
          <cell r="Y41393" t="str">
            <v>NEW ZEALAND</v>
          </cell>
        </row>
        <row r="41394">
          <cell r="L41394" t="str">
            <v>Proportional</v>
          </cell>
          <cell r="S41394">
            <v>-104154.09</v>
          </cell>
          <cell r="X41394" t="str">
            <v>Variation UPR - gross</v>
          </cell>
          <cell r="Y41394" t="str">
            <v>PORTUGAL</v>
          </cell>
        </row>
        <row r="41395">
          <cell r="L41395" t="str">
            <v>Non-proportional</v>
          </cell>
          <cell r="S41395">
            <v>-22462.3</v>
          </cell>
          <cell r="X41395" t="str">
            <v>Variation UPR - gross</v>
          </cell>
          <cell r="Y41395" t="str">
            <v>PUERTO RICO</v>
          </cell>
        </row>
        <row r="41396">
          <cell r="L41396" t="str">
            <v>Non-proportional</v>
          </cell>
          <cell r="S41396">
            <v>-403.53</v>
          </cell>
          <cell r="X41396" t="str">
            <v>Variation UPR - gross</v>
          </cell>
          <cell r="Y41396" t="str">
            <v>COLOMBIA</v>
          </cell>
        </row>
        <row r="41397">
          <cell r="L41397" t="str">
            <v>Non-proportional</v>
          </cell>
          <cell r="S41397">
            <v>-898.16</v>
          </cell>
          <cell r="X41397" t="str">
            <v>Variation UPR - gross</v>
          </cell>
          <cell r="Y41397" t="str">
            <v>ECUADOR</v>
          </cell>
        </row>
        <row r="41398">
          <cell r="L41398" t="str">
            <v>Non-proportional</v>
          </cell>
          <cell r="S41398">
            <v>-3828.13</v>
          </cell>
          <cell r="X41398" t="str">
            <v>Variation UPR - gross</v>
          </cell>
          <cell r="Y41398" t="str">
            <v>ITALY</v>
          </cell>
        </row>
        <row r="41399">
          <cell r="L41399" t="str">
            <v>Non-proportional</v>
          </cell>
          <cell r="S41399">
            <v>-698.58</v>
          </cell>
          <cell r="X41399" t="str">
            <v>Variation UPR - gross</v>
          </cell>
          <cell r="Y41399" t="str">
            <v>ITALY</v>
          </cell>
        </row>
        <row r="41400">
          <cell r="L41400" t="str">
            <v>Non-proportional</v>
          </cell>
          <cell r="S41400">
            <v>101.72</v>
          </cell>
          <cell r="X41400" t="str">
            <v>Variation UPR - gross</v>
          </cell>
          <cell r="Y41400" t="str">
            <v>AUSTRALIA</v>
          </cell>
        </row>
        <row r="41401">
          <cell r="L41401" t="str">
            <v>Non-proportional</v>
          </cell>
          <cell r="S41401">
            <v>-29315.11</v>
          </cell>
          <cell r="X41401" t="str">
            <v>Variation UPR - gross</v>
          </cell>
          <cell r="Y41401" t="str">
            <v>JAPAN</v>
          </cell>
        </row>
        <row r="41402">
          <cell r="L41402" t="str">
            <v>Non-proportional</v>
          </cell>
          <cell r="S41402">
            <v>-10042.540000000001</v>
          </cell>
          <cell r="X41402" t="str">
            <v>Variation UPR - gross</v>
          </cell>
          <cell r="Y41402" t="str">
            <v>PERU</v>
          </cell>
        </row>
        <row r="41403">
          <cell r="L41403" t="str">
            <v>Non-proportional</v>
          </cell>
          <cell r="S41403">
            <v>-282.33</v>
          </cell>
          <cell r="X41403" t="str">
            <v>Variation UPR - gross</v>
          </cell>
          <cell r="Y41403" t="str">
            <v>CHILE</v>
          </cell>
        </row>
        <row r="41404">
          <cell r="L41404" t="str">
            <v>Non-proportional</v>
          </cell>
          <cell r="S41404">
            <v>-70.58</v>
          </cell>
          <cell r="X41404" t="str">
            <v>Variation UPR - gross</v>
          </cell>
          <cell r="Y41404" t="str">
            <v>CHILE</v>
          </cell>
        </row>
        <row r="41405">
          <cell r="L41405" t="str">
            <v>Non-proportional</v>
          </cell>
          <cell r="S41405">
            <v>-4971.4799999999996</v>
          </cell>
          <cell r="X41405" t="str">
            <v>Variation UPR - gross</v>
          </cell>
          <cell r="Y41405" t="str">
            <v>EUROPE</v>
          </cell>
        </row>
        <row r="41406">
          <cell r="L41406" t="str">
            <v>Non-proportional</v>
          </cell>
          <cell r="S41406">
            <v>-579.53</v>
          </cell>
          <cell r="X41406" t="str">
            <v>Variation UPR - gross</v>
          </cell>
          <cell r="Y41406" t="str">
            <v>DOMINICAN REPUBLIC</v>
          </cell>
        </row>
        <row r="41407">
          <cell r="L41407" t="str">
            <v>Non-proportional</v>
          </cell>
          <cell r="S41407">
            <v>-205.67</v>
          </cell>
          <cell r="X41407" t="str">
            <v>Variation UPR - gross</v>
          </cell>
          <cell r="Y41407" t="str">
            <v>FRANCE</v>
          </cell>
        </row>
        <row r="41408">
          <cell r="L41408" t="str">
            <v>Non-proportional</v>
          </cell>
          <cell r="S41408">
            <v>-63.67</v>
          </cell>
          <cell r="X41408" t="str">
            <v>Variation UPR - gross</v>
          </cell>
          <cell r="Y41408" t="str">
            <v>ISRAEL</v>
          </cell>
        </row>
        <row r="41409">
          <cell r="L41409" t="str">
            <v>Non-proportional</v>
          </cell>
          <cell r="S41409">
            <v>-3872.14</v>
          </cell>
          <cell r="X41409" t="str">
            <v>Variation UPR - gross</v>
          </cell>
          <cell r="Y41409" t="str">
            <v>SPAIN</v>
          </cell>
        </row>
        <row r="41410">
          <cell r="L41410" t="str">
            <v>Proportional</v>
          </cell>
          <cell r="S41410">
            <v>-227.28</v>
          </cell>
          <cell r="X41410" t="str">
            <v>Variation UPR - gross</v>
          </cell>
          <cell r="Y41410" t="str">
            <v>THAILAND</v>
          </cell>
        </row>
        <row r="41411">
          <cell r="L41411" t="str">
            <v>Non-proportional</v>
          </cell>
          <cell r="S41411">
            <v>-11249.28</v>
          </cell>
          <cell r="X41411" t="str">
            <v>Variation UPR - gross</v>
          </cell>
          <cell r="Y41411" t="str">
            <v>ECUADOR</v>
          </cell>
        </row>
        <row r="41412">
          <cell r="L41412" t="str">
            <v>Non-proportional</v>
          </cell>
          <cell r="S41412">
            <v>-9085.9699999999993</v>
          </cell>
          <cell r="X41412" t="str">
            <v>Variation UPR - gross</v>
          </cell>
          <cell r="Y41412" t="str">
            <v>PUERTO RICO</v>
          </cell>
        </row>
        <row r="41413">
          <cell r="L41413" t="str">
            <v>Non-proportional</v>
          </cell>
          <cell r="S41413">
            <v>-11207.26</v>
          </cell>
          <cell r="X41413" t="str">
            <v>Variation UPR - gross</v>
          </cell>
          <cell r="Y41413" t="str">
            <v>MEXICO</v>
          </cell>
        </row>
        <row r="41414">
          <cell r="L41414" t="str">
            <v>Non-proportional</v>
          </cell>
          <cell r="S41414">
            <v>-2099.2399999999998</v>
          </cell>
          <cell r="X41414" t="str">
            <v>Variation UPR - gross</v>
          </cell>
          <cell r="Y41414" t="str">
            <v>INDIA</v>
          </cell>
        </row>
        <row r="41415">
          <cell r="L41415" t="str">
            <v>Non-proportional</v>
          </cell>
          <cell r="S41415">
            <v>-3592.42</v>
          </cell>
          <cell r="X41415" t="str">
            <v>Variation UPR - gross</v>
          </cell>
          <cell r="Y41415" t="str">
            <v>FRANCE</v>
          </cell>
        </row>
        <row r="41416">
          <cell r="L41416" t="str">
            <v>Non-proportional</v>
          </cell>
          <cell r="S41416">
            <v>-2985.08</v>
          </cell>
          <cell r="X41416" t="str">
            <v>Variation UPR - gross</v>
          </cell>
          <cell r="Y41416" t="str">
            <v>ISRAEL</v>
          </cell>
        </row>
        <row r="41417">
          <cell r="L41417" t="str">
            <v>Non-proportional</v>
          </cell>
          <cell r="S41417">
            <v>-2066.09</v>
          </cell>
          <cell r="X41417" t="str">
            <v>Variation UPR - gross</v>
          </cell>
          <cell r="Y41417" t="str">
            <v>CHINA</v>
          </cell>
        </row>
        <row r="41418">
          <cell r="L41418" t="str">
            <v>Non-proportional</v>
          </cell>
          <cell r="S41418">
            <v>-740.4</v>
          </cell>
          <cell r="X41418" t="str">
            <v>Variation UPR - gross</v>
          </cell>
          <cell r="Y41418" t="str">
            <v>FRANCE</v>
          </cell>
        </row>
        <row r="41419">
          <cell r="L41419" t="str">
            <v>Non-proportional</v>
          </cell>
          <cell r="S41419">
            <v>110.27</v>
          </cell>
          <cell r="X41419" t="str">
            <v>Variation UPR - gross</v>
          </cell>
          <cell r="Y41419" t="str">
            <v>JAPAN</v>
          </cell>
        </row>
        <row r="41420">
          <cell r="L41420" t="str">
            <v>Non-proportional</v>
          </cell>
          <cell r="S41420">
            <v>-2540.4699999999998</v>
          </cell>
          <cell r="X41420" t="str">
            <v>Variation UPR - gross</v>
          </cell>
          <cell r="Y41420" t="str">
            <v>MEXICO</v>
          </cell>
        </row>
        <row r="41421">
          <cell r="L41421" t="str">
            <v>Proportional</v>
          </cell>
          <cell r="S41421">
            <v>-160455.81</v>
          </cell>
          <cell r="X41421" t="str">
            <v>Variation UPR - gross</v>
          </cell>
          <cell r="Y41421" t="str">
            <v>HONG KONG</v>
          </cell>
        </row>
        <row r="41422">
          <cell r="L41422" t="str">
            <v>Non-proportional</v>
          </cell>
          <cell r="S41422">
            <v>-4123.13</v>
          </cell>
          <cell r="X41422" t="str">
            <v>Variation UPR - gross</v>
          </cell>
          <cell r="Y41422" t="str">
            <v>UNITED KINGDOM</v>
          </cell>
        </row>
        <row r="41423">
          <cell r="L41423" t="str">
            <v>Non-proportional</v>
          </cell>
          <cell r="S41423">
            <v>-6145.86</v>
          </cell>
          <cell r="X41423" t="str">
            <v>Variation UPR - gross</v>
          </cell>
          <cell r="Y41423" t="str">
            <v>PERU</v>
          </cell>
        </row>
        <row r="41424">
          <cell r="L41424" t="str">
            <v>Non-proportional</v>
          </cell>
          <cell r="S41424">
            <v>-7763.45</v>
          </cell>
          <cell r="X41424" t="str">
            <v>Variation UPR - gross</v>
          </cell>
          <cell r="Y41424" t="str">
            <v>INDIA</v>
          </cell>
        </row>
        <row r="41425">
          <cell r="L41425" t="str">
            <v>Non-proportional</v>
          </cell>
          <cell r="S41425">
            <v>-543.75</v>
          </cell>
          <cell r="X41425" t="str">
            <v>Variation UPR - gross</v>
          </cell>
          <cell r="Y41425" t="str">
            <v>GREECE</v>
          </cell>
        </row>
        <row r="41426">
          <cell r="L41426" t="str">
            <v>Non-proportional</v>
          </cell>
          <cell r="S41426">
            <v>-3796.46</v>
          </cell>
          <cell r="X41426" t="str">
            <v>Variation UPR - gross</v>
          </cell>
          <cell r="Y41426" t="str">
            <v>ITALY</v>
          </cell>
        </row>
        <row r="41427">
          <cell r="L41427" t="str">
            <v>Non-proportional</v>
          </cell>
          <cell r="S41427">
            <v>-4666.5</v>
          </cell>
          <cell r="X41427" t="str">
            <v>Variation UPR - gross</v>
          </cell>
          <cell r="Y41427" t="str">
            <v>TURKEY</v>
          </cell>
        </row>
        <row r="41428">
          <cell r="L41428" t="str">
            <v>Non-proportional</v>
          </cell>
          <cell r="S41428">
            <v>-15161.73</v>
          </cell>
          <cell r="X41428" t="str">
            <v>Variation UPR - gross</v>
          </cell>
          <cell r="Y41428" t="str">
            <v>UNITED KINGDOM</v>
          </cell>
        </row>
        <row r="41429">
          <cell r="L41429" t="str">
            <v>Non-proportional</v>
          </cell>
          <cell r="S41429">
            <v>-21666.67</v>
          </cell>
          <cell r="X41429" t="str">
            <v>Variation UPR - gross</v>
          </cell>
          <cell r="Y41429" t="str">
            <v>FRANCE</v>
          </cell>
        </row>
        <row r="41430">
          <cell r="L41430" t="str">
            <v>Non-proportional</v>
          </cell>
          <cell r="S41430">
            <v>-144.41</v>
          </cell>
          <cell r="X41430" t="str">
            <v>Variation UPR - gross</v>
          </cell>
          <cell r="Y41430" t="str">
            <v>ISRAEL</v>
          </cell>
        </row>
        <row r="41431">
          <cell r="L41431" t="str">
            <v>Non-proportional</v>
          </cell>
          <cell r="S41431">
            <v>-860</v>
          </cell>
          <cell r="X41431" t="str">
            <v>Variation UPR - gross</v>
          </cell>
          <cell r="Y41431" t="str">
            <v>GREECE</v>
          </cell>
        </row>
        <row r="41432">
          <cell r="L41432" t="str">
            <v>Proportional</v>
          </cell>
          <cell r="S41432">
            <v>24.58</v>
          </cell>
          <cell r="X41432" t="str">
            <v>Variation UPR - gross</v>
          </cell>
          <cell r="Y41432" t="str">
            <v>UNITED STATES</v>
          </cell>
        </row>
        <row r="41433">
          <cell r="L41433" t="str">
            <v>Non-proportional</v>
          </cell>
          <cell r="S41433">
            <v>-141.16999999999999</v>
          </cell>
          <cell r="X41433" t="str">
            <v>Variation UPR - gross</v>
          </cell>
          <cell r="Y41433" t="str">
            <v>CHILE</v>
          </cell>
        </row>
        <row r="41434">
          <cell r="L41434" t="str">
            <v>Non-proportional</v>
          </cell>
          <cell r="S41434">
            <v>-5098.1099999999997</v>
          </cell>
          <cell r="X41434" t="str">
            <v>Variation UPR - gross</v>
          </cell>
          <cell r="Y41434" t="str">
            <v>BELIZE</v>
          </cell>
        </row>
        <row r="41435">
          <cell r="L41435" t="str">
            <v>Proportional</v>
          </cell>
          <cell r="S41435">
            <v>-1426.08</v>
          </cell>
          <cell r="X41435" t="str">
            <v>Variation UPR - gross</v>
          </cell>
          <cell r="Y41435" t="str">
            <v>ITALY</v>
          </cell>
        </row>
        <row r="41436">
          <cell r="L41436" t="str">
            <v>Non-proportional</v>
          </cell>
          <cell r="S41436">
            <v>-612.5</v>
          </cell>
          <cell r="X41436" t="str">
            <v>Variation UPR - gross</v>
          </cell>
          <cell r="Y41436" t="str">
            <v>GREECE</v>
          </cell>
        </row>
        <row r="41437">
          <cell r="L41437" t="str">
            <v>Proportional</v>
          </cell>
          <cell r="S41437">
            <v>-15577.9</v>
          </cell>
          <cell r="X41437" t="str">
            <v>Variation UPR - gross</v>
          </cell>
          <cell r="Y41437" t="str">
            <v>ITALY</v>
          </cell>
        </row>
        <row r="41438">
          <cell r="L41438" t="str">
            <v>Non-proportional</v>
          </cell>
          <cell r="S41438">
            <v>-3745.57</v>
          </cell>
          <cell r="X41438" t="str">
            <v>Variation UPR - gross</v>
          </cell>
          <cell r="Y41438" t="str">
            <v>ECUADOR</v>
          </cell>
        </row>
        <row r="41439">
          <cell r="L41439" t="str">
            <v>Non-proportional</v>
          </cell>
          <cell r="S41439">
            <v>-2166.6999999999998</v>
          </cell>
          <cell r="X41439" t="str">
            <v>Variation UPR - gross</v>
          </cell>
          <cell r="Y41439" t="str">
            <v>UNITED KINGDOM</v>
          </cell>
        </row>
        <row r="41440">
          <cell r="L41440" t="str">
            <v>Proportional</v>
          </cell>
          <cell r="S41440">
            <v>-30274.73</v>
          </cell>
          <cell r="X41440" t="str">
            <v>Variation UPR - gross</v>
          </cell>
          <cell r="Y41440" t="str">
            <v>MEXICO</v>
          </cell>
        </row>
        <row r="41441">
          <cell r="L41441" t="str">
            <v>Non-proportional</v>
          </cell>
          <cell r="S41441">
            <v>-93.07</v>
          </cell>
          <cell r="X41441" t="str">
            <v>Variation UPR - gross</v>
          </cell>
          <cell r="Y41441" t="str">
            <v>BRAZIL</v>
          </cell>
        </row>
        <row r="41442">
          <cell r="L41442" t="str">
            <v>Non-proportional</v>
          </cell>
          <cell r="S41442">
            <v>-2186.2800000000002</v>
          </cell>
          <cell r="X41442" t="str">
            <v>Variation UPR - gross</v>
          </cell>
          <cell r="Y41442" t="str">
            <v>DOMINICAN REPUBLIC</v>
          </cell>
        </row>
        <row r="41443">
          <cell r="L41443" t="str">
            <v>Non-proportional</v>
          </cell>
          <cell r="S41443">
            <v>-2522.2399999999998</v>
          </cell>
          <cell r="X41443" t="str">
            <v>Variation UPR - gross</v>
          </cell>
          <cell r="Y41443" t="str">
            <v>THAILAND</v>
          </cell>
        </row>
        <row r="41444">
          <cell r="L41444" t="str">
            <v>Non-proportional</v>
          </cell>
          <cell r="S41444">
            <v>-4001.01</v>
          </cell>
          <cell r="X41444" t="str">
            <v>Variation UPR - gross</v>
          </cell>
          <cell r="Y41444" t="str">
            <v>COLOMBIA</v>
          </cell>
        </row>
        <row r="41445">
          <cell r="L41445" t="str">
            <v>Non-proportional</v>
          </cell>
          <cell r="S41445">
            <v>-283.64999999999998</v>
          </cell>
          <cell r="X41445" t="str">
            <v>Variation UPR - gross</v>
          </cell>
          <cell r="Y41445" t="str">
            <v>MEXICO</v>
          </cell>
        </row>
        <row r="41446">
          <cell r="L41446" t="str">
            <v>Non-proportional</v>
          </cell>
          <cell r="S41446">
            <v>-2357.5</v>
          </cell>
          <cell r="X41446" t="str">
            <v>Variation UPR - gross</v>
          </cell>
          <cell r="Y41446" t="str">
            <v>GERMANY</v>
          </cell>
        </row>
        <row r="41447">
          <cell r="L41447" t="str">
            <v>Non-proportional</v>
          </cell>
          <cell r="S41447">
            <v>-905.42</v>
          </cell>
          <cell r="X41447" t="str">
            <v>Variation UPR - gross</v>
          </cell>
          <cell r="Y41447" t="str">
            <v>ITALY</v>
          </cell>
        </row>
        <row r="41448">
          <cell r="L41448" t="str">
            <v>Non-proportional</v>
          </cell>
          <cell r="S41448">
            <v>-1074.3900000000001</v>
          </cell>
          <cell r="X41448" t="str">
            <v>Variation UPR - gross</v>
          </cell>
          <cell r="Y41448" t="str">
            <v>JAPAN</v>
          </cell>
        </row>
        <row r="41449">
          <cell r="L41449" t="str">
            <v>Proportional</v>
          </cell>
          <cell r="S41449">
            <v>-9049.7800000000007</v>
          </cell>
          <cell r="X41449" t="str">
            <v>Variation UPR - gross</v>
          </cell>
          <cell r="Y41449" t="str">
            <v>THAILAND</v>
          </cell>
        </row>
        <row r="41450">
          <cell r="L41450" t="str">
            <v>Non-proportional</v>
          </cell>
          <cell r="S41450">
            <v>-4219.87</v>
          </cell>
          <cell r="X41450" t="str">
            <v>Variation UPR - gross</v>
          </cell>
          <cell r="Y41450" t="str">
            <v>UNITED KINGDOM</v>
          </cell>
        </row>
        <row r="41451">
          <cell r="L41451" t="str">
            <v>Non-proportional</v>
          </cell>
          <cell r="S41451">
            <v>-9436.0499999999993</v>
          </cell>
          <cell r="X41451" t="str">
            <v>Variation UPR - gross</v>
          </cell>
          <cell r="Y41451" t="str">
            <v>COSTA RICA</v>
          </cell>
        </row>
        <row r="41452">
          <cell r="L41452" t="str">
            <v>Non-proportional</v>
          </cell>
          <cell r="S41452">
            <v>-10282.9</v>
          </cell>
          <cell r="X41452" t="str">
            <v>Variation UPR - gross</v>
          </cell>
          <cell r="Y41452" t="str">
            <v>NEW ZEALAND</v>
          </cell>
        </row>
        <row r="41453">
          <cell r="L41453" t="str">
            <v>Non-proportional</v>
          </cell>
          <cell r="S41453">
            <v>-1587.35</v>
          </cell>
          <cell r="X41453" t="str">
            <v>Variation UPR - gross</v>
          </cell>
          <cell r="Y41453" t="str">
            <v>ITALY</v>
          </cell>
        </row>
        <row r="41454">
          <cell r="L41454" t="str">
            <v>Non-proportional</v>
          </cell>
          <cell r="S41454">
            <v>-5542.74</v>
          </cell>
          <cell r="X41454" t="str">
            <v>Variation UPR - gross</v>
          </cell>
          <cell r="Y41454" t="str">
            <v>ISRAEL</v>
          </cell>
        </row>
        <row r="41455">
          <cell r="L41455" t="str">
            <v>Non-proportional</v>
          </cell>
          <cell r="S41455">
            <v>-721.39</v>
          </cell>
          <cell r="X41455" t="str">
            <v>Variation UPR - gross</v>
          </cell>
          <cell r="Y41455" t="str">
            <v>ECUADOR</v>
          </cell>
        </row>
        <row r="41456">
          <cell r="L41456" t="str">
            <v>Non-proportional</v>
          </cell>
          <cell r="S41456">
            <v>-5312.78</v>
          </cell>
          <cell r="X41456" t="str">
            <v>Variation UPR - gross</v>
          </cell>
          <cell r="Y41456" t="str">
            <v>NETHERLANDS</v>
          </cell>
        </row>
        <row r="41457">
          <cell r="L41457" t="str">
            <v>Non-proportional</v>
          </cell>
          <cell r="S41457">
            <v>-728.75</v>
          </cell>
          <cell r="X41457" t="str">
            <v>Variation UPR - gross</v>
          </cell>
          <cell r="Y41457" t="str">
            <v>ITALY</v>
          </cell>
        </row>
        <row r="41458">
          <cell r="L41458" t="str">
            <v>Non-proportional</v>
          </cell>
          <cell r="S41458">
            <v>-6623.14</v>
          </cell>
          <cell r="X41458" t="str">
            <v>Variation UPR - gross</v>
          </cell>
          <cell r="Y41458" t="str">
            <v>CYPRUS</v>
          </cell>
        </row>
        <row r="41459">
          <cell r="L41459" t="str">
            <v>Non-proportional</v>
          </cell>
          <cell r="S41459">
            <v>-49565.75</v>
          </cell>
          <cell r="X41459" t="str">
            <v>Variation UPR - gross</v>
          </cell>
          <cell r="Y41459" t="str">
            <v>UNITED KINGDOM</v>
          </cell>
        </row>
        <row r="41460">
          <cell r="L41460" t="str">
            <v>Non-proportional</v>
          </cell>
          <cell r="S41460">
            <v>-6396.6</v>
          </cell>
          <cell r="X41460" t="str">
            <v>Variation UPR - gross</v>
          </cell>
          <cell r="Y41460" t="str">
            <v>ISRAEL</v>
          </cell>
        </row>
        <row r="41461">
          <cell r="L41461" t="str">
            <v>Non-proportional</v>
          </cell>
          <cell r="S41461">
            <v>0.02</v>
          </cell>
          <cell r="X41461" t="str">
            <v>Variation UPR - gross</v>
          </cell>
          <cell r="Y41461" t="str">
            <v>COLOMBIA</v>
          </cell>
        </row>
        <row r="41462">
          <cell r="L41462" t="str">
            <v>Non-proportional</v>
          </cell>
          <cell r="S41462">
            <v>-1114.08</v>
          </cell>
          <cell r="X41462" t="str">
            <v>Variation UPR - gross</v>
          </cell>
          <cell r="Y41462" t="str">
            <v>ISRAEL</v>
          </cell>
        </row>
        <row r="41463">
          <cell r="L41463" t="str">
            <v>Non-proportional</v>
          </cell>
          <cell r="S41463">
            <v>-6086.35</v>
          </cell>
          <cell r="X41463" t="str">
            <v>Variation UPR - gross</v>
          </cell>
          <cell r="Y41463" t="str">
            <v>ITALY</v>
          </cell>
        </row>
        <row r="41464">
          <cell r="L41464" t="str">
            <v>Non-proportional</v>
          </cell>
          <cell r="S41464">
            <v>-9832.7800000000007</v>
          </cell>
          <cell r="X41464" t="str">
            <v>Variation UPR - gross</v>
          </cell>
          <cell r="Y41464" t="str">
            <v>FRANCE</v>
          </cell>
        </row>
        <row r="41465">
          <cell r="L41465" t="str">
            <v>Non-proportional</v>
          </cell>
          <cell r="S41465">
            <v>-9043.94</v>
          </cell>
          <cell r="X41465" t="str">
            <v>Variation UPR - gross</v>
          </cell>
          <cell r="Y41465" t="str">
            <v>FRANCE</v>
          </cell>
        </row>
        <row r="41466">
          <cell r="L41466" t="str">
            <v>Proportional</v>
          </cell>
          <cell r="S41466">
            <v>-20659.34</v>
          </cell>
          <cell r="X41466" t="str">
            <v>Variation UPR - gross</v>
          </cell>
          <cell r="Y41466" t="str">
            <v>JAPAN</v>
          </cell>
        </row>
        <row r="41467">
          <cell r="L41467" t="str">
            <v>Non-proportional</v>
          </cell>
          <cell r="S41467">
            <v>-5471.44</v>
          </cell>
          <cell r="X41467" t="str">
            <v>Variation UPR - gross</v>
          </cell>
          <cell r="Y41467" t="str">
            <v>UNITED KINGDOM</v>
          </cell>
        </row>
        <row r="41468">
          <cell r="L41468" t="str">
            <v>Non-proportional</v>
          </cell>
          <cell r="S41468">
            <v>-344.96</v>
          </cell>
          <cell r="X41468" t="str">
            <v>Variation UPR - gross</v>
          </cell>
          <cell r="Y41468" t="str">
            <v>DOMINICAN REPUBLIC</v>
          </cell>
        </row>
        <row r="41469">
          <cell r="L41469" t="str">
            <v>Non-proportional</v>
          </cell>
          <cell r="S41469">
            <v>-3249.67</v>
          </cell>
          <cell r="X41469" t="str">
            <v>Variation UPR - gross</v>
          </cell>
          <cell r="Y41469" t="str">
            <v>ECUADOR</v>
          </cell>
        </row>
        <row r="41470">
          <cell r="L41470" t="str">
            <v>Non-proportional</v>
          </cell>
          <cell r="S41470">
            <v>-7586.5</v>
          </cell>
          <cell r="X41470" t="str">
            <v>Variation UPR - gross</v>
          </cell>
          <cell r="Y41470" t="str">
            <v>FRANCE</v>
          </cell>
        </row>
        <row r="41471">
          <cell r="L41471" t="str">
            <v>Non-proportional</v>
          </cell>
          <cell r="S41471">
            <v>1612.54</v>
          </cell>
          <cell r="X41471" t="str">
            <v>Variation UPR - gross</v>
          </cell>
          <cell r="Y41471" t="str">
            <v>DOMINICAN REPUBLIC</v>
          </cell>
        </row>
        <row r="41472">
          <cell r="L41472" t="str">
            <v>Non-proportional</v>
          </cell>
          <cell r="S41472">
            <v>-137219.15</v>
          </cell>
          <cell r="X41472" t="str">
            <v>Variation UPR - gross</v>
          </cell>
          <cell r="Y41472" t="str">
            <v>UNITED KINGDOM</v>
          </cell>
        </row>
        <row r="41473">
          <cell r="L41473" t="str">
            <v>Non-proportional</v>
          </cell>
          <cell r="S41473">
            <v>0.04</v>
          </cell>
          <cell r="X41473" t="str">
            <v>Variation UPR - gross</v>
          </cell>
          <cell r="Y41473" t="str">
            <v>COLOMBIA</v>
          </cell>
        </row>
        <row r="41474">
          <cell r="L41474" t="str">
            <v>Non-proportional</v>
          </cell>
          <cell r="S41474">
            <v>-4238.47</v>
          </cell>
          <cell r="X41474" t="str">
            <v>Variation UPR - gross</v>
          </cell>
          <cell r="Y41474" t="str">
            <v>FRANCE</v>
          </cell>
        </row>
        <row r="41475">
          <cell r="L41475" t="str">
            <v>Non-proportional</v>
          </cell>
          <cell r="S41475">
            <v>-6461.71</v>
          </cell>
          <cell r="X41475" t="str">
            <v>Variation UPR - gross</v>
          </cell>
          <cell r="Y41475" t="str">
            <v>UNITED ARAB EMIRATES</v>
          </cell>
        </row>
        <row r="41476">
          <cell r="L41476" t="str">
            <v>Non-proportional</v>
          </cell>
          <cell r="S41476">
            <v>-7344.3</v>
          </cell>
          <cell r="X41476" t="str">
            <v>Variation UPR - gross</v>
          </cell>
          <cell r="Y41476" t="str">
            <v>AUSTRALIA</v>
          </cell>
        </row>
        <row r="41477">
          <cell r="L41477" t="str">
            <v>Non-proportional</v>
          </cell>
          <cell r="S41477">
            <v>-4751.26</v>
          </cell>
          <cell r="X41477" t="str">
            <v>Variation UPR - gross</v>
          </cell>
          <cell r="Y41477" t="str">
            <v>FRANCE</v>
          </cell>
        </row>
        <row r="41478">
          <cell r="L41478" t="str">
            <v>Non-proportional</v>
          </cell>
          <cell r="S41478">
            <v>112.81</v>
          </cell>
          <cell r="X41478" t="str">
            <v>Variation UPR - gross</v>
          </cell>
          <cell r="Y41478" t="str">
            <v>JAPAN</v>
          </cell>
        </row>
        <row r="41479">
          <cell r="L41479" t="str">
            <v>Non-proportional</v>
          </cell>
          <cell r="S41479">
            <v>-9915.7000000000007</v>
          </cell>
          <cell r="X41479" t="str">
            <v>Variation UPR - gross</v>
          </cell>
          <cell r="Y41479" t="str">
            <v>NETHERLANDS</v>
          </cell>
        </row>
        <row r="41480">
          <cell r="L41480" t="str">
            <v>Non-proportional</v>
          </cell>
          <cell r="S41480">
            <v>-889.73</v>
          </cell>
          <cell r="X41480" t="str">
            <v>Variation UPR - gross</v>
          </cell>
          <cell r="Y41480" t="str">
            <v>INDIA</v>
          </cell>
        </row>
        <row r="41481">
          <cell r="L41481" t="str">
            <v>Non-proportional</v>
          </cell>
          <cell r="S41481">
            <v>-1718.37</v>
          </cell>
          <cell r="X41481" t="str">
            <v>Variation UPR - gross</v>
          </cell>
          <cell r="Y41481" t="str">
            <v>ECUADOR</v>
          </cell>
        </row>
        <row r="41482">
          <cell r="L41482" t="str">
            <v>Non-proportional</v>
          </cell>
          <cell r="S41482">
            <v>-116.74</v>
          </cell>
          <cell r="X41482" t="str">
            <v>Variation UPR - gross</v>
          </cell>
          <cell r="Y41482" t="str">
            <v>THAILAND</v>
          </cell>
        </row>
        <row r="41483">
          <cell r="L41483" t="str">
            <v>Proportional</v>
          </cell>
          <cell r="S41483">
            <v>-176002.01</v>
          </cell>
          <cell r="X41483" t="str">
            <v>Variation UPR - gross</v>
          </cell>
          <cell r="Y41483" t="str">
            <v>HONG KONG</v>
          </cell>
        </row>
        <row r="41484">
          <cell r="L41484" t="str">
            <v>Non-proportional</v>
          </cell>
          <cell r="S41484">
            <v>-1643.65</v>
          </cell>
          <cell r="X41484" t="str">
            <v>Variation UPR - gross</v>
          </cell>
          <cell r="Y41484" t="str">
            <v>JAPAN</v>
          </cell>
        </row>
        <row r="41485">
          <cell r="L41485" t="str">
            <v>Non-proportional</v>
          </cell>
          <cell r="S41485">
            <v>-3409.9</v>
          </cell>
          <cell r="X41485" t="str">
            <v>Variation UPR - gross</v>
          </cell>
          <cell r="Y41485" t="str">
            <v>AUSTRALIA</v>
          </cell>
        </row>
        <row r="41486">
          <cell r="L41486" t="str">
            <v>Non-proportional</v>
          </cell>
          <cell r="S41486">
            <v>-3352.99</v>
          </cell>
          <cell r="X41486" t="str">
            <v>Variation UPR - gross</v>
          </cell>
          <cell r="Y41486" t="str">
            <v>UNITED KINGDOM</v>
          </cell>
        </row>
        <row r="41487">
          <cell r="L41487" t="str">
            <v>Non-proportional</v>
          </cell>
          <cell r="S41487">
            <v>-38026.75</v>
          </cell>
          <cell r="X41487" t="str">
            <v>Variation UPR - gross</v>
          </cell>
          <cell r="Y41487" t="str">
            <v>FRANCE</v>
          </cell>
        </row>
        <row r="41488">
          <cell r="L41488" t="str">
            <v>Proportional</v>
          </cell>
          <cell r="S41488">
            <v>203.76</v>
          </cell>
          <cell r="X41488" t="str">
            <v>Variation UPR - gross</v>
          </cell>
          <cell r="Y41488" t="str">
            <v>INDIA</v>
          </cell>
        </row>
        <row r="41489">
          <cell r="L41489" t="str">
            <v>Non-proportional</v>
          </cell>
          <cell r="S41489">
            <v>-4552.62</v>
          </cell>
          <cell r="X41489" t="str">
            <v>Variation UPR - gross</v>
          </cell>
          <cell r="Y41489" t="str">
            <v>CHILE</v>
          </cell>
        </row>
        <row r="41490">
          <cell r="L41490" t="str">
            <v>Non-proportional</v>
          </cell>
          <cell r="S41490">
            <v>-937.08</v>
          </cell>
          <cell r="X41490" t="str">
            <v>Variation UPR - gross</v>
          </cell>
          <cell r="Y41490" t="str">
            <v>JAPAN</v>
          </cell>
        </row>
        <row r="41491">
          <cell r="L41491" t="str">
            <v>Non-proportional</v>
          </cell>
          <cell r="S41491">
            <v>-0.04</v>
          </cell>
          <cell r="X41491" t="str">
            <v>Variation UPR - gross</v>
          </cell>
          <cell r="Y41491" t="str">
            <v>COLOMBIA</v>
          </cell>
        </row>
        <row r="41492">
          <cell r="L41492" t="str">
            <v>Proportional</v>
          </cell>
          <cell r="S41492">
            <v>-1630.2</v>
          </cell>
          <cell r="X41492" t="str">
            <v>Variation UPR - gross</v>
          </cell>
          <cell r="Y41492" t="str">
            <v>REPUBLIC OF IRELAND</v>
          </cell>
        </row>
        <row r="41493">
          <cell r="L41493" t="str">
            <v>Non-proportional</v>
          </cell>
          <cell r="S41493">
            <v>-2897.03</v>
          </cell>
          <cell r="X41493" t="str">
            <v>Variation UPR - gross</v>
          </cell>
          <cell r="Y41493" t="str">
            <v>JAPAN</v>
          </cell>
        </row>
        <row r="41494">
          <cell r="L41494" t="str">
            <v>Proportional</v>
          </cell>
          <cell r="S41494">
            <v>-262945.68</v>
          </cell>
          <cell r="X41494" t="str">
            <v>Variation UPR - gross</v>
          </cell>
          <cell r="Y41494" t="str">
            <v>UNITED STATES</v>
          </cell>
        </row>
        <row r="41495">
          <cell r="L41495" t="str">
            <v>Non-proportional</v>
          </cell>
          <cell r="S41495">
            <v>-70.58</v>
          </cell>
          <cell r="X41495" t="str">
            <v>Variation UPR - gross</v>
          </cell>
          <cell r="Y41495" t="str">
            <v>CHILE</v>
          </cell>
        </row>
        <row r="41496">
          <cell r="L41496" t="str">
            <v>Proportional</v>
          </cell>
          <cell r="S41496">
            <v>-19269.73</v>
          </cell>
          <cell r="X41496" t="str">
            <v>Variation UPR - gross</v>
          </cell>
          <cell r="Y41496" t="str">
            <v>UNITED KINGDOM</v>
          </cell>
        </row>
        <row r="41497">
          <cell r="L41497" t="str">
            <v>Proportional</v>
          </cell>
          <cell r="S41497">
            <v>-15916.2</v>
          </cell>
          <cell r="X41497" t="str">
            <v>Variation UPR - gross</v>
          </cell>
          <cell r="Y41497" t="str">
            <v>JAPAN</v>
          </cell>
        </row>
        <row r="41498">
          <cell r="L41498" t="str">
            <v>Non-proportional</v>
          </cell>
          <cell r="S41498">
            <v>-6289.99</v>
          </cell>
          <cell r="X41498" t="str">
            <v>Variation UPR - gross</v>
          </cell>
          <cell r="Y41498" t="str">
            <v>ISRAEL</v>
          </cell>
        </row>
        <row r="41499">
          <cell r="L41499" t="str">
            <v>Non-proportional</v>
          </cell>
          <cell r="S41499">
            <v>550.04</v>
          </cell>
          <cell r="X41499" t="str">
            <v>Variation UPR - gross</v>
          </cell>
          <cell r="Y41499" t="str">
            <v>JAPAN</v>
          </cell>
        </row>
        <row r="41500">
          <cell r="L41500" t="str">
            <v>Non-proportional</v>
          </cell>
          <cell r="S41500">
            <v>-19231.490000000002</v>
          </cell>
          <cell r="X41500" t="str">
            <v>Variation UPR - gross</v>
          </cell>
          <cell r="Y41500" t="str">
            <v>FRANCE</v>
          </cell>
        </row>
        <row r="41501">
          <cell r="L41501" t="str">
            <v>Non-proportional</v>
          </cell>
          <cell r="S41501">
            <v>-6250</v>
          </cell>
          <cell r="X41501" t="str">
            <v>Variation UPR - gross</v>
          </cell>
          <cell r="Y41501" t="str">
            <v>SPAIN</v>
          </cell>
        </row>
        <row r="41502">
          <cell r="L41502" t="str">
            <v>Non-proportional</v>
          </cell>
          <cell r="S41502">
            <v>-3105.66</v>
          </cell>
          <cell r="X41502" t="str">
            <v>Variation UPR - gross</v>
          </cell>
          <cell r="Y41502" t="str">
            <v>CHILE</v>
          </cell>
        </row>
        <row r="41503">
          <cell r="L41503" t="str">
            <v>Proportional</v>
          </cell>
          <cell r="S41503">
            <v>-375000</v>
          </cell>
          <cell r="X41503" t="str">
            <v>Variation UPR - gross</v>
          </cell>
          <cell r="Y41503" t="str">
            <v>PORTUGAL</v>
          </cell>
        </row>
        <row r="41504">
          <cell r="L41504" t="str">
            <v>Non-proportional</v>
          </cell>
          <cell r="S41504">
            <v>-31717.67</v>
          </cell>
          <cell r="X41504" t="str">
            <v>Variation UPR - gross</v>
          </cell>
          <cell r="Y41504" t="str">
            <v>HONG KONG</v>
          </cell>
        </row>
        <row r="41505">
          <cell r="L41505" t="str">
            <v>Non-proportional</v>
          </cell>
          <cell r="S41505">
            <v>-5778.04</v>
          </cell>
          <cell r="X41505" t="str">
            <v>Variation UPR - gross</v>
          </cell>
          <cell r="Y41505" t="str">
            <v>ISRAEL</v>
          </cell>
        </row>
        <row r="41506">
          <cell r="L41506" t="str">
            <v>Non-proportional</v>
          </cell>
          <cell r="S41506">
            <v>-3092.17</v>
          </cell>
          <cell r="X41506" t="str">
            <v>Variation UPR - gross</v>
          </cell>
          <cell r="Y41506" t="str">
            <v>PERU</v>
          </cell>
        </row>
        <row r="41507">
          <cell r="L41507" t="str">
            <v>Non-proportional</v>
          </cell>
          <cell r="S41507">
            <v>-60375</v>
          </cell>
          <cell r="X41507" t="str">
            <v>Variation UPR - gross</v>
          </cell>
          <cell r="Y41507" t="str">
            <v>BELGIUM</v>
          </cell>
        </row>
        <row r="41508">
          <cell r="L41508" t="str">
            <v>Non-proportional</v>
          </cell>
          <cell r="S41508">
            <v>-105723.33</v>
          </cell>
          <cell r="X41508" t="str">
            <v>Variation UPR - gross</v>
          </cell>
          <cell r="Y41508" t="str">
            <v>FRANCE</v>
          </cell>
        </row>
        <row r="41509">
          <cell r="L41509" t="str">
            <v>Non-proportional</v>
          </cell>
          <cell r="S41509">
            <v>-2952.29</v>
          </cell>
          <cell r="X41509" t="str">
            <v>Variation UPR - gross</v>
          </cell>
          <cell r="Y41509" t="str">
            <v>ISRAEL</v>
          </cell>
        </row>
        <row r="41510">
          <cell r="L41510" t="str">
            <v>Non-proportional</v>
          </cell>
          <cell r="S41510">
            <v>-7245.02</v>
          </cell>
          <cell r="X41510" t="str">
            <v>Variation UPR - gross</v>
          </cell>
          <cell r="Y41510" t="str">
            <v>COSTA RICA</v>
          </cell>
        </row>
        <row r="41511">
          <cell r="L41511" t="str">
            <v>Non-proportional</v>
          </cell>
          <cell r="S41511">
            <v>-70.58</v>
          </cell>
          <cell r="X41511" t="str">
            <v>Variation UPR - gross</v>
          </cell>
          <cell r="Y41511" t="str">
            <v>CHILE</v>
          </cell>
        </row>
        <row r="41512">
          <cell r="L41512" t="str">
            <v>Proportional</v>
          </cell>
          <cell r="S41512">
            <v>-38540.120000000003</v>
          </cell>
          <cell r="X41512" t="str">
            <v>Variation UPR - gross</v>
          </cell>
          <cell r="Y41512" t="str">
            <v>UNITED ARAB EMIRATES</v>
          </cell>
        </row>
        <row r="41513">
          <cell r="L41513" t="str">
            <v>Non-proportional</v>
          </cell>
          <cell r="S41513">
            <v>-19207.080000000002</v>
          </cell>
          <cell r="X41513" t="str">
            <v>Variation UPR - gross</v>
          </cell>
          <cell r="Y41513" t="str">
            <v>MEXICO</v>
          </cell>
        </row>
        <row r="41514">
          <cell r="L41514" t="str">
            <v>Non-proportional</v>
          </cell>
          <cell r="S41514">
            <v>-16287.45</v>
          </cell>
          <cell r="X41514" t="str">
            <v>Variation UPR - gross</v>
          </cell>
          <cell r="Y41514" t="str">
            <v>HONG KONG</v>
          </cell>
        </row>
        <row r="41515">
          <cell r="L41515" t="str">
            <v>Non-proportional</v>
          </cell>
          <cell r="S41515">
            <v>-390</v>
          </cell>
          <cell r="X41515" t="str">
            <v>Variation UPR - gross</v>
          </cell>
          <cell r="Y41515" t="str">
            <v>ITALY</v>
          </cell>
        </row>
        <row r="41516">
          <cell r="L41516" t="str">
            <v>Non-proportional</v>
          </cell>
          <cell r="S41516">
            <v>17.63</v>
          </cell>
          <cell r="X41516" t="str">
            <v>Variation UPR - gross</v>
          </cell>
          <cell r="Y41516" t="str">
            <v>JAPAN</v>
          </cell>
        </row>
        <row r="41517">
          <cell r="L41517" t="str">
            <v>Non-proportional</v>
          </cell>
          <cell r="S41517">
            <v>-776.42</v>
          </cell>
          <cell r="X41517" t="str">
            <v>Variation UPR - gross</v>
          </cell>
          <cell r="Y41517" t="str">
            <v>CHILE</v>
          </cell>
        </row>
        <row r="41518">
          <cell r="L41518" t="str">
            <v>Non-proportional</v>
          </cell>
          <cell r="S41518">
            <v>-129823.33</v>
          </cell>
          <cell r="X41518" t="str">
            <v>Variation UPR - gross</v>
          </cell>
          <cell r="Y41518" t="str">
            <v>PORTUGAL</v>
          </cell>
        </row>
        <row r="41519">
          <cell r="L41519" t="str">
            <v>Non-proportional</v>
          </cell>
          <cell r="S41519">
            <v>-5700.19</v>
          </cell>
          <cell r="X41519" t="str">
            <v>Variation UPR - gross</v>
          </cell>
          <cell r="Y41519" t="str">
            <v>ITALY</v>
          </cell>
        </row>
        <row r="41520">
          <cell r="L41520" t="str">
            <v>Non-proportional</v>
          </cell>
          <cell r="S41520">
            <v>-23423.919999999998</v>
          </cell>
          <cell r="X41520" t="str">
            <v>Variation UPR - gross</v>
          </cell>
          <cell r="Y41520" t="str">
            <v>ISRAEL</v>
          </cell>
        </row>
        <row r="41521">
          <cell r="L41521" t="str">
            <v>Non-proportional</v>
          </cell>
          <cell r="S41521">
            <v>-1257.8</v>
          </cell>
          <cell r="X41521" t="str">
            <v>Variation UPR - gross</v>
          </cell>
          <cell r="Y41521" t="str">
            <v>ITALY</v>
          </cell>
        </row>
        <row r="41522">
          <cell r="L41522" t="str">
            <v>Non-proportional</v>
          </cell>
          <cell r="S41522">
            <v>-25824.82</v>
          </cell>
          <cell r="X41522" t="str">
            <v>Variation UPR - gross</v>
          </cell>
          <cell r="Y41522" t="str">
            <v>AUSTRALIA</v>
          </cell>
        </row>
        <row r="41523">
          <cell r="L41523" t="str">
            <v>Non-proportional</v>
          </cell>
          <cell r="S41523">
            <v>-74460.95</v>
          </cell>
          <cell r="X41523" t="str">
            <v>Variation UPR - gross</v>
          </cell>
          <cell r="Y41523" t="str">
            <v>UNITED KINGDOM</v>
          </cell>
        </row>
        <row r="41524">
          <cell r="L41524" t="str">
            <v>Non-proportional</v>
          </cell>
          <cell r="S41524">
            <v>-10596.12</v>
          </cell>
          <cell r="X41524" t="str">
            <v>Variation UPR - gross</v>
          </cell>
          <cell r="Y41524" t="str">
            <v>FRANCE</v>
          </cell>
        </row>
        <row r="41525">
          <cell r="L41525" t="str">
            <v>Non-proportional</v>
          </cell>
          <cell r="S41525">
            <v>32.32</v>
          </cell>
          <cell r="X41525" t="str">
            <v>Variation UPR - gross</v>
          </cell>
          <cell r="Y41525" t="str">
            <v>JAPAN</v>
          </cell>
        </row>
        <row r="41526">
          <cell r="L41526" t="str">
            <v>Non-proportional</v>
          </cell>
          <cell r="S41526">
            <v>-7840.33</v>
          </cell>
          <cell r="X41526" t="str">
            <v>Variation UPR - gross</v>
          </cell>
          <cell r="Y41526" t="str">
            <v>JAPAN</v>
          </cell>
        </row>
        <row r="41527">
          <cell r="L41527" t="str">
            <v>Non-proportional</v>
          </cell>
          <cell r="S41527">
            <v>-2153.8200000000002</v>
          </cell>
          <cell r="X41527" t="str">
            <v>Variation UPR - gross</v>
          </cell>
          <cell r="Y41527" t="str">
            <v>MEXICO</v>
          </cell>
        </row>
        <row r="41528">
          <cell r="L41528" t="str">
            <v>Non-proportional</v>
          </cell>
          <cell r="S41528">
            <v>-13062.36</v>
          </cell>
          <cell r="X41528" t="str">
            <v>Variation UPR - gross</v>
          </cell>
          <cell r="Y41528" t="str">
            <v>UNITED ARAB EMIRATES</v>
          </cell>
        </row>
        <row r="41529">
          <cell r="L41529" t="str">
            <v>Non-proportional</v>
          </cell>
          <cell r="S41529">
            <v>-6418.95</v>
          </cell>
          <cell r="X41529" t="str">
            <v>Variation UPR - gross</v>
          </cell>
          <cell r="Y41529" t="str">
            <v>INDIA</v>
          </cell>
        </row>
        <row r="41530">
          <cell r="L41530" t="str">
            <v>Non-proportional</v>
          </cell>
          <cell r="S41530">
            <v>-24999.81</v>
          </cell>
          <cell r="X41530" t="str">
            <v>Variation UPR - gross</v>
          </cell>
          <cell r="Y41530" t="str">
            <v>FRANCE</v>
          </cell>
        </row>
        <row r="41531">
          <cell r="L41531" t="str">
            <v>Non-proportional</v>
          </cell>
          <cell r="S41531">
            <v>92.68</v>
          </cell>
          <cell r="X41531" t="str">
            <v>Variation UPR - gross</v>
          </cell>
          <cell r="Y41531" t="str">
            <v>JAPAN</v>
          </cell>
        </row>
        <row r="41532">
          <cell r="L41532" t="str">
            <v>Non-proportional</v>
          </cell>
          <cell r="S41532">
            <v>-999.71</v>
          </cell>
          <cell r="X41532" t="str">
            <v>Variation UPR - gross</v>
          </cell>
          <cell r="Y41532" t="str">
            <v>JAPAN</v>
          </cell>
        </row>
        <row r="41533">
          <cell r="L41533" t="str">
            <v>Non-proportional</v>
          </cell>
          <cell r="S41533">
            <v>-2043.75</v>
          </cell>
          <cell r="X41533" t="str">
            <v>Variation UPR - gross</v>
          </cell>
          <cell r="Y41533" t="str">
            <v>GREECE</v>
          </cell>
        </row>
        <row r="41534">
          <cell r="L41534" t="str">
            <v>Non-proportional</v>
          </cell>
          <cell r="S41534">
            <v>-138300.32999999999</v>
          </cell>
          <cell r="X41534" t="str">
            <v>Variation UPR - gross</v>
          </cell>
          <cell r="Y41534" t="str">
            <v>PORTUGAL</v>
          </cell>
        </row>
        <row r="41535">
          <cell r="L41535" t="str">
            <v>Proportional</v>
          </cell>
          <cell r="S41535">
            <v>-12858.28</v>
          </cell>
          <cell r="X41535" t="str">
            <v>Variation UPR - gross</v>
          </cell>
          <cell r="Y41535" t="str">
            <v>FRANCE</v>
          </cell>
        </row>
        <row r="41536">
          <cell r="L41536" t="str">
            <v>Non-proportional</v>
          </cell>
          <cell r="S41536">
            <v>-37828.21</v>
          </cell>
          <cell r="X41536" t="str">
            <v>Variation UPR - gross</v>
          </cell>
          <cell r="Y41536" t="str">
            <v>TURKEY</v>
          </cell>
        </row>
        <row r="41537">
          <cell r="L41537" t="str">
            <v>Non-proportional</v>
          </cell>
          <cell r="S41537">
            <v>-3570.63</v>
          </cell>
          <cell r="X41537" t="str">
            <v>Variation UPR - gross</v>
          </cell>
          <cell r="Y41537" t="str">
            <v>GREECE</v>
          </cell>
        </row>
        <row r="41538">
          <cell r="L41538" t="str">
            <v>Non-proportional</v>
          </cell>
          <cell r="S41538">
            <v>-8775.06</v>
          </cell>
          <cell r="X41538" t="str">
            <v>Variation UPR - gross</v>
          </cell>
          <cell r="Y41538" t="str">
            <v>FRANCE</v>
          </cell>
        </row>
        <row r="41539">
          <cell r="L41539" t="str">
            <v>Non-proportional</v>
          </cell>
          <cell r="S41539">
            <v>-23067.65</v>
          </cell>
          <cell r="X41539" t="str">
            <v>Variation UPR - gross</v>
          </cell>
          <cell r="Y41539" t="str">
            <v>NEW ZEALAND</v>
          </cell>
        </row>
        <row r="41540">
          <cell r="L41540" t="str">
            <v>Non-proportional</v>
          </cell>
          <cell r="S41540">
            <v>0.01</v>
          </cell>
          <cell r="X41540" t="str">
            <v>Variation UPR - gross</v>
          </cell>
          <cell r="Y41540" t="str">
            <v>DOMINICAN REPUBLIC</v>
          </cell>
        </row>
        <row r="41541">
          <cell r="L41541" t="str">
            <v>Non-proportional</v>
          </cell>
          <cell r="S41541">
            <v>-40000</v>
          </cell>
          <cell r="X41541" t="str">
            <v>Variation UPR - gross</v>
          </cell>
          <cell r="Y41541" t="str">
            <v>PORTUGAL</v>
          </cell>
        </row>
        <row r="41542">
          <cell r="L41542" t="str">
            <v>Non-proportional</v>
          </cell>
          <cell r="S41542">
            <v>-30.15</v>
          </cell>
          <cell r="X41542" t="str">
            <v>Variation UPR - gross</v>
          </cell>
          <cell r="Y41542" t="str">
            <v>ISRAEL</v>
          </cell>
        </row>
        <row r="41543">
          <cell r="L41543" t="str">
            <v>Non-proportional</v>
          </cell>
          <cell r="S41543">
            <v>-6500</v>
          </cell>
          <cell r="X41543" t="str">
            <v>Variation UPR - gross</v>
          </cell>
          <cell r="Y41543" t="str">
            <v>FRANCE</v>
          </cell>
        </row>
        <row r="41544">
          <cell r="L41544" t="str">
            <v>Non-proportional</v>
          </cell>
          <cell r="S41544">
            <v>-1832.56</v>
          </cell>
          <cell r="X41544" t="str">
            <v>Variation UPR - gross</v>
          </cell>
          <cell r="Y41544" t="str">
            <v>SOUTH AFRICA</v>
          </cell>
        </row>
        <row r="41545">
          <cell r="L41545" t="str">
            <v>Non-proportional</v>
          </cell>
          <cell r="S41545">
            <v>-3387.99</v>
          </cell>
          <cell r="X41545" t="str">
            <v>Variation UPR - gross</v>
          </cell>
          <cell r="Y41545" t="str">
            <v>CHILE</v>
          </cell>
        </row>
        <row r="41546">
          <cell r="L41546" t="str">
            <v>Non-proportional</v>
          </cell>
          <cell r="S41546">
            <v>-2686.68</v>
          </cell>
          <cell r="X41546" t="str">
            <v>Variation UPR - gross</v>
          </cell>
          <cell r="Y41546" t="str">
            <v>MALTA</v>
          </cell>
        </row>
        <row r="41547">
          <cell r="L41547" t="str">
            <v>Non-proportional</v>
          </cell>
          <cell r="S41547">
            <v>-339408.93</v>
          </cell>
          <cell r="X41547" t="str">
            <v>Variation UPR - gross</v>
          </cell>
          <cell r="Y41547" t="str">
            <v>UNITED KINGDOM</v>
          </cell>
        </row>
        <row r="41548">
          <cell r="L41548" t="str">
            <v>Proportional</v>
          </cell>
          <cell r="S41548">
            <v>-126.72</v>
          </cell>
          <cell r="X41548" t="str">
            <v>Variation UPR - gross</v>
          </cell>
          <cell r="Y41548" t="str">
            <v>THAILAND</v>
          </cell>
        </row>
        <row r="41549">
          <cell r="L41549" t="str">
            <v>Non-proportional</v>
          </cell>
          <cell r="S41549">
            <v>-1058.75</v>
          </cell>
          <cell r="X41549" t="str">
            <v>Variation UPR - gross</v>
          </cell>
          <cell r="Y41549" t="str">
            <v>CHILE</v>
          </cell>
        </row>
        <row r="41550">
          <cell r="L41550" t="str">
            <v>Non-proportional</v>
          </cell>
          <cell r="S41550">
            <v>-62.21</v>
          </cell>
          <cell r="X41550" t="str">
            <v>Variation UPR - gross</v>
          </cell>
          <cell r="Y41550" t="str">
            <v>ISRAEL</v>
          </cell>
        </row>
        <row r="41551">
          <cell r="L41551" t="str">
            <v>Non-proportional</v>
          </cell>
          <cell r="S41551">
            <v>-37.270000000000003</v>
          </cell>
          <cell r="X41551" t="str">
            <v>Variation UPR - gross</v>
          </cell>
          <cell r="Y41551" t="str">
            <v>ISRAEL</v>
          </cell>
        </row>
        <row r="41552">
          <cell r="L41552" t="str">
            <v>Non-proportional</v>
          </cell>
          <cell r="S41552">
            <v>148.99</v>
          </cell>
          <cell r="X41552" t="str">
            <v>Variation UPR - gross</v>
          </cell>
          <cell r="Y41552" t="str">
            <v>NEW ZEALAND</v>
          </cell>
        </row>
        <row r="41553">
          <cell r="L41553" t="str">
            <v>Non-proportional</v>
          </cell>
          <cell r="S41553">
            <v>-19642.48</v>
          </cell>
          <cell r="X41553" t="str">
            <v>Variation UPR - gross</v>
          </cell>
          <cell r="Y41553" t="str">
            <v>UNITED KINGDOM</v>
          </cell>
        </row>
        <row r="41554">
          <cell r="L41554" t="str">
            <v>Proportional</v>
          </cell>
          <cell r="S41554">
            <v>-73875.759999999995</v>
          </cell>
          <cell r="X41554" t="str">
            <v>Variation UPR - gross</v>
          </cell>
          <cell r="Y41554" t="str">
            <v>THAILAND</v>
          </cell>
        </row>
        <row r="41555">
          <cell r="L41555" t="str">
            <v>Non-proportional</v>
          </cell>
          <cell r="S41555">
            <v>-3900.8</v>
          </cell>
          <cell r="X41555" t="str">
            <v>Variation UPR - gross</v>
          </cell>
          <cell r="Y41555" t="str">
            <v>EUROPE</v>
          </cell>
        </row>
        <row r="41556">
          <cell r="L41556" t="str">
            <v>Non-proportional</v>
          </cell>
          <cell r="S41556">
            <v>-604.76</v>
          </cell>
          <cell r="X41556" t="str">
            <v>Variation UPR - gross</v>
          </cell>
          <cell r="Y41556" t="str">
            <v>INDIA</v>
          </cell>
        </row>
        <row r="41557">
          <cell r="L41557" t="str">
            <v>Non-proportional</v>
          </cell>
          <cell r="S41557">
            <v>-855.96</v>
          </cell>
          <cell r="X41557" t="str">
            <v>Variation UPR - gross</v>
          </cell>
          <cell r="Y41557" t="str">
            <v>FRANCE</v>
          </cell>
        </row>
        <row r="41558">
          <cell r="L41558" t="str">
            <v>Proportional</v>
          </cell>
          <cell r="S41558">
            <v>-40544.99</v>
          </cell>
          <cell r="X41558" t="str">
            <v>Variation UPR - gross</v>
          </cell>
          <cell r="Y41558" t="str">
            <v>MEXICO</v>
          </cell>
        </row>
        <row r="41559">
          <cell r="L41559" t="str">
            <v>Non-proportional</v>
          </cell>
          <cell r="S41559">
            <v>-24711.87</v>
          </cell>
          <cell r="X41559" t="str">
            <v>Variation UPR - gross</v>
          </cell>
          <cell r="Y41559" t="str">
            <v>TURKEY</v>
          </cell>
        </row>
        <row r="41560">
          <cell r="L41560" t="str">
            <v>Non-proportional</v>
          </cell>
          <cell r="S41560">
            <v>-3917.27</v>
          </cell>
          <cell r="X41560" t="str">
            <v>Variation UPR - gross</v>
          </cell>
          <cell r="Y41560" t="str">
            <v>ITALY</v>
          </cell>
        </row>
        <row r="41561">
          <cell r="L41561" t="str">
            <v>Non-proportional</v>
          </cell>
          <cell r="S41561">
            <v>-8531.25</v>
          </cell>
          <cell r="X41561" t="str">
            <v>Variation UPR - gross</v>
          </cell>
          <cell r="Y41561" t="str">
            <v>TURKEY</v>
          </cell>
        </row>
        <row r="41562">
          <cell r="L41562" t="str">
            <v>Non-proportional</v>
          </cell>
          <cell r="S41562">
            <v>-23309.07</v>
          </cell>
          <cell r="X41562" t="str">
            <v>Variation UPR - gross</v>
          </cell>
          <cell r="Y41562" t="str">
            <v>UNITED KINGDOM</v>
          </cell>
        </row>
        <row r="41563">
          <cell r="L41563" t="str">
            <v>Non-proportional</v>
          </cell>
          <cell r="S41563">
            <v>-2579.6999999999998</v>
          </cell>
          <cell r="X41563" t="str">
            <v>Variation UPR - gross</v>
          </cell>
          <cell r="Y41563" t="str">
            <v>BELIZE</v>
          </cell>
        </row>
        <row r="41564">
          <cell r="L41564" t="str">
            <v>Non-proportional</v>
          </cell>
          <cell r="S41564">
            <v>-2038.39</v>
          </cell>
          <cell r="X41564" t="str">
            <v>Variation UPR - gross</v>
          </cell>
          <cell r="Y41564" t="str">
            <v>INDIA</v>
          </cell>
        </row>
        <row r="41565">
          <cell r="L41565" t="str">
            <v>Non-proportional</v>
          </cell>
          <cell r="S41565">
            <v>-16579.830000000002</v>
          </cell>
          <cell r="X41565" t="str">
            <v>Variation UPR - gross</v>
          </cell>
          <cell r="Y41565" t="str">
            <v>MEXICO</v>
          </cell>
        </row>
        <row r="41566">
          <cell r="L41566" t="str">
            <v>Non-proportional</v>
          </cell>
          <cell r="S41566">
            <v>-40150</v>
          </cell>
          <cell r="X41566" t="str">
            <v>Variation UPR - gross</v>
          </cell>
          <cell r="Y41566" t="str">
            <v>PORTUGAL</v>
          </cell>
        </row>
        <row r="41567">
          <cell r="L41567" t="str">
            <v>Proportional</v>
          </cell>
          <cell r="S41567">
            <v>-273.52</v>
          </cell>
          <cell r="X41567" t="str">
            <v>Variation UPR - gross</v>
          </cell>
          <cell r="Y41567" t="str">
            <v>UNITED STATES</v>
          </cell>
        </row>
        <row r="41568">
          <cell r="L41568" t="str">
            <v>Non-proportional</v>
          </cell>
          <cell r="S41568">
            <v>-9500.14</v>
          </cell>
          <cell r="X41568" t="str">
            <v>Variation UPR - gross</v>
          </cell>
          <cell r="Y41568" t="str">
            <v>TURKEY</v>
          </cell>
        </row>
        <row r="41569">
          <cell r="L41569" t="str">
            <v>Non-proportional</v>
          </cell>
          <cell r="S41569">
            <v>-2442.4499999999998</v>
          </cell>
          <cell r="X41569" t="str">
            <v>Variation UPR - gross</v>
          </cell>
          <cell r="Y41569" t="str">
            <v>CYPRUS</v>
          </cell>
        </row>
        <row r="41570">
          <cell r="L41570" t="str">
            <v>Non-proportional</v>
          </cell>
          <cell r="S41570">
            <v>10.25</v>
          </cell>
          <cell r="X41570" t="str">
            <v>Variation UPR - gross</v>
          </cell>
          <cell r="Y41570" t="str">
            <v>NEW ZEALAND</v>
          </cell>
        </row>
        <row r="41571">
          <cell r="L41571" t="str">
            <v>Non-proportional</v>
          </cell>
          <cell r="S41571">
            <v>66.430000000000007</v>
          </cell>
          <cell r="X41571" t="str">
            <v>Variation UPR - gross</v>
          </cell>
          <cell r="Y41571" t="str">
            <v>JAPAN</v>
          </cell>
        </row>
        <row r="41572">
          <cell r="L41572" t="str">
            <v>Proportional</v>
          </cell>
          <cell r="S41572">
            <v>-902.39</v>
          </cell>
          <cell r="X41572" t="str">
            <v>Variation UPR - gross</v>
          </cell>
          <cell r="Y41572" t="str">
            <v>THAILAND</v>
          </cell>
        </row>
        <row r="41573">
          <cell r="L41573" t="str">
            <v>Non-proportional</v>
          </cell>
          <cell r="S41573">
            <v>-3499.91</v>
          </cell>
          <cell r="X41573" t="str">
            <v>Variation UPR - gross</v>
          </cell>
          <cell r="Y41573" t="str">
            <v>BRAZIL</v>
          </cell>
        </row>
        <row r="41574">
          <cell r="L41574" t="str">
            <v>Non-proportional</v>
          </cell>
          <cell r="S41574">
            <v>-357.21</v>
          </cell>
          <cell r="X41574" t="str">
            <v>Variation UPR - gross</v>
          </cell>
          <cell r="Y41574" t="str">
            <v>TURKEY</v>
          </cell>
        </row>
        <row r="41575">
          <cell r="L41575" t="str">
            <v>Proportional</v>
          </cell>
          <cell r="S41575">
            <v>-37237.86</v>
          </cell>
          <cell r="X41575" t="str">
            <v>Variation UPR - gross</v>
          </cell>
          <cell r="Y41575" t="str">
            <v>PORTUGAL</v>
          </cell>
        </row>
        <row r="41576">
          <cell r="L41576" t="str">
            <v>Proportional</v>
          </cell>
          <cell r="S41576">
            <v>-1513.04</v>
          </cell>
          <cell r="X41576" t="str">
            <v>Variation UPR - gross</v>
          </cell>
          <cell r="Y41576" t="str">
            <v>PERU</v>
          </cell>
        </row>
        <row r="41577">
          <cell r="L41577" t="str">
            <v>Non-proportional</v>
          </cell>
          <cell r="S41577">
            <v>-5582.31</v>
          </cell>
          <cell r="X41577" t="str">
            <v>Variation UPR - gross</v>
          </cell>
          <cell r="Y41577" t="str">
            <v>JAPAN</v>
          </cell>
        </row>
        <row r="41578">
          <cell r="L41578" t="str">
            <v>Non-proportional</v>
          </cell>
          <cell r="S41578">
            <v>-262.14999999999998</v>
          </cell>
          <cell r="X41578" t="str">
            <v>Variation UPR - gross</v>
          </cell>
          <cell r="Y41578" t="str">
            <v>NEW ZEALAND</v>
          </cell>
        </row>
        <row r="41579">
          <cell r="L41579" t="str">
            <v>Non-proportional</v>
          </cell>
          <cell r="S41579">
            <v>-1458.33</v>
          </cell>
          <cell r="X41579" t="str">
            <v>Variation UPR - gross</v>
          </cell>
          <cell r="Y41579" t="str">
            <v>ITALY</v>
          </cell>
        </row>
        <row r="41580">
          <cell r="L41580" t="str">
            <v>Non-proportional</v>
          </cell>
          <cell r="S41580">
            <v>-3780</v>
          </cell>
          <cell r="X41580" t="str">
            <v>Variation UPR - gross</v>
          </cell>
          <cell r="Y41580" t="str">
            <v>GREECE</v>
          </cell>
        </row>
        <row r="41581">
          <cell r="L41581" t="str">
            <v>Non-proportional</v>
          </cell>
          <cell r="S41581">
            <v>-21539.62</v>
          </cell>
          <cell r="X41581" t="str">
            <v>Variation UPR - gross</v>
          </cell>
          <cell r="Y41581" t="str">
            <v>UNITED KINGDOM</v>
          </cell>
        </row>
        <row r="41582">
          <cell r="L41582" t="str">
            <v>Non-proportional</v>
          </cell>
          <cell r="S41582">
            <v>-2845.16</v>
          </cell>
          <cell r="X41582" t="str">
            <v>Variation UPR - gross</v>
          </cell>
          <cell r="Y41582" t="str">
            <v>JAPAN</v>
          </cell>
        </row>
        <row r="41583">
          <cell r="L41583" t="str">
            <v>Proportional</v>
          </cell>
          <cell r="S41583">
            <v>6380.99</v>
          </cell>
          <cell r="X41583" t="str">
            <v>Variation UPR - gross</v>
          </cell>
          <cell r="Y41583" t="str">
            <v>CANADA</v>
          </cell>
        </row>
        <row r="41584">
          <cell r="L41584" t="str">
            <v>Non-proportional</v>
          </cell>
          <cell r="S41584">
            <v>-14085.7</v>
          </cell>
          <cell r="X41584" t="str">
            <v>Variation UPR - gross</v>
          </cell>
          <cell r="Y41584" t="str">
            <v>UNITED KINGDOM</v>
          </cell>
        </row>
        <row r="41585">
          <cell r="L41585" t="str">
            <v>Non-proportional</v>
          </cell>
          <cell r="S41585">
            <v>-772.88</v>
          </cell>
          <cell r="X41585" t="str">
            <v>Variation UPR - gross</v>
          </cell>
          <cell r="Y41585" t="str">
            <v>REPUBLIC OF IRELAND</v>
          </cell>
        </row>
        <row r="41586">
          <cell r="L41586" t="str">
            <v>Non-proportional</v>
          </cell>
          <cell r="S41586">
            <v>-144.41</v>
          </cell>
          <cell r="X41586" t="str">
            <v>Variation UPR - gross</v>
          </cell>
          <cell r="Y41586" t="str">
            <v>ISRAEL</v>
          </cell>
        </row>
        <row r="41587">
          <cell r="L41587" t="str">
            <v>Non-proportional</v>
          </cell>
          <cell r="S41587">
            <v>-2258.9</v>
          </cell>
          <cell r="X41587" t="str">
            <v>Variation UPR - gross</v>
          </cell>
          <cell r="Y41587" t="str">
            <v>UNITED KINGDOM</v>
          </cell>
        </row>
        <row r="41588">
          <cell r="L41588" t="str">
            <v>Non-proportional</v>
          </cell>
          <cell r="S41588">
            <v>-10696.7</v>
          </cell>
          <cell r="X41588" t="str">
            <v>Variation UPR - gross</v>
          </cell>
          <cell r="Y41588" t="str">
            <v>CHILE</v>
          </cell>
        </row>
        <row r="41589">
          <cell r="L41589" t="str">
            <v>Non-proportional</v>
          </cell>
          <cell r="S41589">
            <v>-5213.47</v>
          </cell>
          <cell r="X41589" t="str">
            <v>Variation UPR - gross</v>
          </cell>
          <cell r="Y41589" t="str">
            <v>ISRAEL</v>
          </cell>
        </row>
        <row r="41590">
          <cell r="L41590" t="str">
            <v>Non-proportional</v>
          </cell>
          <cell r="S41590">
            <v>-1309.55</v>
          </cell>
          <cell r="X41590" t="str">
            <v>Variation UPR - gross</v>
          </cell>
          <cell r="Y41590" t="str">
            <v>PUERTO RICO</v>
          </cell>
        </row>
        <row r="41591">
          <cell r="L41591" t="str">
            <v>Non-proportional</v>
          </cell>
          <cell r="S41591">
            <v>-9211.11</v>
          </cell>
          <cell r="X41591" t="str">
            <v>Variation UPR - gross</v>
          </cell>
          <cell r="Y41591" t="str">
            <v>CHILE</v>
          </cell>
        </row>
        <row r="41592">
          <cell r="L41592" t="str">
            <v>Non-proportional</v>
          </cell>
          <cell r="S41592">
            <v>-5467.01</v>
          </cell>
          <cell r="X41592" t="str">
            <v>Variation UPR - gross</v>
          </cell>
          <cell r="Y41592" t="str">
            <v>COLOMBIA</v>
          </cell>
        </row>
        <row r="41593">
          <cell r="L41593" t="str">
            <v>Proportional</v>
          </cell>
          <cell r="S41593">
            <v>-307.31</v>
          </cell>
          <cell r="X41593" t="str">
            <v>Variation UPR - gross</v>
          </cell>
          <cell r="Y41593" t="str">
            <v>UNITED STATES</v>
          </cell>
        </row>
        <row r="41594">
          <cell r="L41594" t="str">
            <v>Proportional</v>
          </cell>
          <cell r="S41594">
            <v>-45587.5</v>
          </cell>
          <cell r="X41594" t="str">
            <v>Variation UPR - gross</v>
          </cell>
          <cell r="Y41594" t="str">
            <v>ITALY</v>
          </cell>
        </row>
        <row r="41595">
          <cell r="L41595" t="str">
            <v>Non-proportional</v>
          </cell>
          <cell r="S41595">
            <v>-1202.25</v>
          </cell>
          <cell r="X41595" t="str">
            <v>Variation UPR - gross</v>
          </cell>
          <cell r="Y41595" t="str">
            <v>REPUBLIC OF IRELAND</v>
          </cell>
        </row>
        <row r="41596">
          <cell r="L41596" t="str">
            <v>Proportional</v>
          </cell>
          <cell r="S41596">
            <v>114061.26</v>
          </cell>
          <cell r="X41596" t="str">
            <v>Variation UPR - gross</v>
          </cell>
          <cell r="Y41596" t="str">
            <v>THAILAND</v>
          </cell>
        </row>
        <row r="41597">
          <cell r="L41597" t="str">
            <v>Non-proportional</v>
          </cell>
          <cell r="S41597">
            <v>-811.71</v>
          </cell>
          <cell r="X41597" t="str">
            <v>Variation UPR - gross</v>
          </cell>
          <cell r="Y41597" t="str">
            <v>CHILE</v>
          </cell>
        </row>
        <row r="41598">
          <cell r="L41598" t="str">
            <v>Non-proportional</v>
          </cell>
          <cell r="S41598">
            <v>-74634.570000000007</v>
          </cell>
          <cell r="X41598" t="str">
            <v>Variation UPR - gross</v>
          </cell>
          <cell r="Y41598" t="str">
            <v>UNITED KINGDOM</v>
          </cell>
        </row>
        <row r="41599">
          <cell r="L41599" t="str">
            <v>Non-proportional</v>
          </cell>
          <cell r="S41599">
            <v>-9352.27</v>
          </cell>
          <cell r="X41599" t="str">
            <v>Variation UPR - gross</v>
          </cell>
          <cell r="Y41599" t="str">
            <v>CHILE</v>
          </cell>
        </row>
        <row r="41600">
          <cell r="L41600" t="str">
            <v>Non-proportional</v>
          </cell>
          <cell r="S41600">
            <v>-3244.77</v>
          </cell>
          <cell r="X41600" t="str">
            <v>Variation UPR - gross</v>
          </cell>
          <cell r="Y41600" t="str">
            <v>FRANCE</v>
          </cell>
        </row>
        <row r="41601">
          <cell r="L41601" t="str">
            <v>Non-proportional</v>
          </cell>
          <cell r="S41601">
            <v>-6.57</v>
          </cell>
          <cell r="X41601" t="str">
            <v>Variation UPR - gross</v>
          </cell>
          <cell r="Y41601" t="str">
            <v>COSTA RICA</v>
          </cell>
        </row>
        <row r="41602">
          <cell r="L41602" t="str">
            <v>Non-proportional</v>
          </cell>
          <cell r="S41602">
            <v>34.74</v>
          </cell>
          <cell r="X41602" t="str">
            <v>Variation UPR - gross</v>
          </cell>
          <cell r="Y41602" t="str">
            <v>JAPAN</v>
          </cell>
        </row>
        <row r="41603">
          <cell r="L41603" t="str">
            <v>Non-proportional</v>
          </cell>
          <cell r="S41603">
            <v>-5305.75</v>
          </cell>
          <cell r="X41603" t="str">
            <v>Variation UPR - gross</v>
          </cell>
          <cell r="Y41603" t="str">
            <v>ECUADOR</v>
          </cell>
        </row>
        <row r="41604">
          <cell r="L41604" t="str">
            <v>Non-proportional</v>
          </cell>
          <cell r="S41604">
            <v>-2666.44</v>
          </cell>
          <cell r="X41604" t="str">
            <v>Variation UPR - gross</v>
          </cell>
          <cell r="Y41604" t="str">
            <v>AUSTRALIA</v>
          </cell>
        </row>
        <row r="41605">
          <cell r="L41605" t="str">
            <v>Non-proportional</v>
          </cell>
          <cell r="S41605">
            <v>-176.46</v>
          </cell>
          <cell r="X41605" t="str">
            <v>Variation UPR - gross</v>
          </cell>
          <cell r="Y41605" t="str">
            <v>CHILE</v>
          </cell>
        </row>
        <row r="41606">
          <cell r="L41606" t="str">
            <v>Proportional</v>
          </cell>
          <cell r="S41606">
            <v>-2.33</v>
          </cell>
          <cell r="X41606" t="str">
            <v>Variation UPR - gross</v>
          </cell>
          <cell r="Y41606" t="str">
            <v>UNITED STATES</v>
          </cell>
        </row>
        <row r="41607">
          <cell r="L41607" t="str">
            <v>Non-proportional</v>
          </cell>
          <cell r="S41607">
            <v>-7503</v>
          </cell>
          <cell r="X41607" t="str">
            <v>Variation UPR - gross</v>
          </cell>
          <cell r="Y41607" t="str">
            <v>CYPRUS</v>
          </cell>
        </row>
        <row r="41608">
          <cell r="L41608" t="str">
            <v>Non-proportional</v>
          </cell>
          <cell r="S41608">
            <v>-1771.22</v>
          </cell>
          <cell r="X41608" t="str">
            <v>Variation UPR - gross</v>
          </cell>
          <cell r="Y41608" t="str">
            <v>NEW ZEALAND</v>
          </cell>
        </row>
        <row r="41609">
          <cell r="L41609" t="str">
            <v>Non-proportional</v>
          </cell>
          <cell r="S41609">
            <v>-1733.75</v>
          </cell>
          <cell r="X41609" t="str">
            <v>Variation UPR - gross</v>
          </cell>
          <cell r="Y41609" t="str">
            <v>PORTUGAL</v>
          </cell>
        </row>
        <row r="41610">
          <cell r="L41610" t="str">
            <v>Non-proportional</v>
          </cell>
          <cell r="S41610">
            <v>-739.56</v>
          </cell>
          <cell r="X41610" t="str">
            <v>Variation UPR - gross</v>
          </cell>
          <cell r="Y41610" t="str">
            <v>BRAZIL</v>
          </cell>
        </row>
        <row r="41611">
          <cell r="L41611" t="str">
            <v>Non-proportional</v>
          </cell>
          <cell r="S41611">
            <v>-34536.730000000003</v>
          </cell>
          <cell r="X41611" t="str">
            <v>Variation UPR - gross</v>
          </cell>
          <cell r="Y41611" t="str">
            <v>UNITED KINGDOM</v>
          </cell>
        </row>
        <row r="41612">
          <cell r="L41612" t="str">
            <v>Proportional</v>
          </cell>
          <cell r="S41612">
            <v>-2399.83</v>
          </cell>
          <cell r="X41612" t="str">
            <v>Variation UPR - gross</v>
          </cell>
          <cell r="Y41612" t="str">
            <v>CHILE</v>
          </cell>
        </row>
        <row r="41613">
          <cell r="L41613" t="str">
            <v>Non-proportional</v>
          </cell>
          <cell r="S41613">
            <v>7.31</v>
          </cell>
          <cell r="X41613" t="str">
            <v>Variation UPR - gross</v>
          </cell>
          <cell r="Y41613" t="str">
            <v>JAPAN</v>
          </cell>
        </row>
        <row r="41614">
          <cell r="L41614" t="str">
            <v>Proportional</v>
          </cell>
          <cell r="S41614">
            <v>174.79</v>
          </cell>
          <cell r="X41614" t="str">
            <v>Variation UPR - gross</v>
          </cell>
          <cell r="Y41614" t="str">
            <v>CHILE</v>
          </cell>
        </row>
        <row r="41615">
          <cell r="L41615" t="str">
            <v>Non-proportional</v>
          </cell>
          <cell r="S41615">
            <v>-33385.760000000002</v>
          </cell>
          <cell r="X41615" t="str">
            <v>Variation UPR - gross</v>
          </cell>
          <cell r="Y41615" t="str">
            <v>NEW ZEALAND</v>
          </cell>
        </row>
        <row r="41616">
          <cell r="L41616" t="str">
            <v>Non-proportional</v>
          </cell>
          <cell r="S41616">
            <v>45657.37</v>
          </cell>
          <cell r="X41616" t="str">
            <v>Variation UPR - gross</v>
          </cell>
          <cell r="Y41616" t="str">
            <v>COLOMBIA</v>
          </cell>
        </row>
        <row r="41617">
          <cell r="L41617" t="str">
            <v>Proportional</v>
          </cell>
          <cell r="S41617">
            <v>-229240</v>
          </cell>
          <cell r="X41617" t="str">
            <v>Variation UPR - gross</v>
          </cell>
          <cell r="Y41617" t="str">
            <v>PORTUGAL</v>
          </cell>
        </row>
        <row r="41618">
          <cell r="L41618" t="str">
            <v>Proportional</v>
          </cell>
          <cell r="S41618">
            <v>-96774.41</v>
          </cell>
          <cell r="X41618" t="str">
            <v>Variation UPR - gross</v>
          </cell>
          <cell r="Y41618" t="str">
            <v>THAILAND</v>
          </cell>
        </row>
        <row r="41619">
          <cell r="L41619" t="str">
            <v>Non-proportional</v>
          </cell>
          <cell r="S41619">
            <v>0.03</v>
          </cell>
          <cell r="X41619" t="str">
            <v>Variation UPR - gross</v>
          </cell>
          <cell r="Y41619" t="str">
            <v>INDIA</v>
          </cell>
        </row>
        <row r="41620">
          <cell r="L41620" t="str">
            <v>Non-proportional</v>
          </cell>
          <cell r="S41620">
            <v>-45758.47</v>
          </cell>
          <cell r="X41620" t="str">
            <v>Variation UPR - gross</v>
          </cell>
          <cell r="Y41620" t="str">
            <v>TURKEY</v>
          </cell>
        </row>
        <row r="41621">
          <cell r="L41621" t="str">
            <v>Non-proportional</v>
          </cell>
          <cell r="S41621">
            <v>-7897.5</v>
          </cell>
          <cell r="X41621" t="str">
            <v>Variation UPR - gross</v>
          </cell>
          <cell r="Y41621" t="str">
            <v>ITALY</v>
          </cell>
        </row>
        <row r="41622">
          <cell r="L41622" t="str">
            <v>Non-proportional</v>
          </cell>
          <cell r="S41622">
            <v>-5359.96</v>
          </cell>
          <cell r="X41622" t="str">
            <v>Variation UPR - gross</v>
          </cell>
          <cell r="Y41622" t="str">
            <v>NEW ZEALAND</v>
          </cell>
        </row>
        <row r="41623">
          <cell r="L41623" t="str">
            <v>Non-proportional</v>
          </cell>
          <cell r="S41623">
            <v>-6471.31</v>
          </cell>
          <cell r="X41623" t="str">
            <v>Variation UPR - gross</v>
          </cell>
          <cell r="Y41623" t="str">
            <v>NEW ZEALAND</v>
          </cell>
        </row>
        <row r="41624">
          <cell r="L41624" t="str">
            <v>Non-proportional</v>
          </cell>
          <cell r="S41624">
            <v>-6141.97</v>
          </cell>
          <cell r="X41624" t="str">
            <v>Variation UPR - gross</v>
          </cell>
          <cell r="Y41624" t="str">
            <v>ECUADOR</v>
          </cell>
        </row>
        <row r="41625">
          <cell r="L41625" t="str">
            <v>Non-proportional</v>
          </cell>
          <cell r="S41625">
            <v>-1605.65</v>
          </cell>
          <cell r="X41625" t="str">
            <v>Variation UPR - gross</v>
          </cell>
          <cell r="Y41625" t="str">
            <v>ECUADOR</v>
          </cell>
        </row>
        <row r="41626">
          <cell r="L41626" t="str">
            <v>Non-proportional</v>
          </cell>
          <cell r="S41626">
            <v>-6658.89</v>
          </cell>
          <cell r="X41626" t="str">
            <v>Variation UPR - gross</v>
          </cell>
          <cell r="Y41626" t="str">
            <v>CYPRUS</v>
          </cell>
        </row>
        <row r="41627">
          <cell r="L41627" t="str">
            <v>Non-proportional</v>
          </cell>
          <cell r="S41627">
            <v>-35.29</v>
          </cell>
          <cell r="X41627" t="str">
            <v>Variation UPR - gross</v>
          </cell>
          <cell r="Y41627" t="str">
            <v>CHILE</v>
          </cell>
        </row>
        <row r="41628">
          <cell r="L41628" t="str">
            <v>Non-proportional</v>
          </cell>
          <cell r="S41628">
            <v>-243.88</v>
          </cell>
          <cell r="X41628" t="str">
            <v>Variation UPR - gross</v>
          </cell>
          <cell r="Y41628" t="str">
            <v>COLOMBIA</v>
          </cell>
        </row>
        <row r="41629">
          <cell r="L41629" t="str">
            <v>Non-proportional</v>
          </cell>
          <cell r="S41629">
            <v>-1800</v>
          </cell>
          <cell r="X41629" t="str">
            <v>Variation UPR - gross</v>
          </cell>
          <cell r="Y41629" t="str">
            <v>PORTUGAL</v>
          </cell>
        </row>
        <row r="41630">
          <cell r="L41630" t="str">
            <v>Proportional</v>
          </cell>
          <cell r="S41630">
            <v>-1292.83</v>
          </cell>
          <cell r="X41630" t="str">
            <v>Variation UPR - gross</v>
          </cell>
          <cell r="Y41630" t="str">
            <v>THAILAND</v>
          </cell>
        </row>
        <row r="41631">
          <cell r="L41631" t="str">
            <v>Proportional</v>
          </cell>
          <cell r="S41631">
            <v>6481.13</v>
          </cell>
          <cell r="X41631" t="str">
            <v>Variation UPR - gross</v>
          </cell>
          <cell r="Y41631" t="str">
            <v>UNITED STATES</v>
          </cell>
        </row>
        <row r="41632">
          <cell r="L41632" t="str">
            <v>Non-proportional</v>
          </cell>
          <cell r="S41632">
            <v>-368184.55</v>
          </cell>
          <cell r="X41632" t="str">
            <v>Variation UPR - gross</v>
          </cell>
          <cell r="Y41632" t="str">
            <v>UNITED KINGDOM</v>
          </cell>
        </row>
        <row r="41633">
          <cell r="L41633" t="str">
            <v>Non-proportional</v>
          </cell>
          <cell r="S41633">
            <v>-10326.200000000001</v>
          </cell>
          <cell r="X41633" t="str">
            <v>Variation UPR - gross</v>
          </cell>
          <cell r="Y41633" t="str">
            <v>UNITED KINGDOM</v>
          </cell>
        </row>
        <row r="41634">
          <cell r="L41634" t="str">
            <v>Non-proportional</v>
          </cell>
          <cell r="S41634">
            <v>-4142.78</v>
          </cell>
          <cell r="X41634" t="str">
            <v>Variation UPR - gross</v>
          </cell>
          <cell r="Y41634" t="str">
            <v>THAILAND</v>
          </cell>
        </row>
        <row r="41635">
          <cell r="L41635" t="str">
            <v>Proportional</v>
          </cell>
          <cell r="S41635">
            <v>-1469.22</v>
          </cell>
          <cell r="X41635" t="str">
            <v>Variation UPR - gross</v>
          </cell>
          <cell r="Y41635" t="str">
            <v>INDIA</v>
          </cell>
        </row>
        <row r="41636">
          <cell r="L41636" t="str">
            <v>Non-proportional</v>
          </cell>
          <cell r="S41636">
            <v>-5079.99</v>
          </cell>
          <cell r="X41636" t="str">
            <v>Variation UPR - gross</v>
          </cell>
          <cell r="Y41636" t="str">
            <v>ISRAEL</v>
          </cell>
        </row>
        <row r="41637">
          <cell r="L41637" t="str">
            <v>Non-proportional</v>
          </cell>
          <cell r="S41637">
            <v>-1958.48</v>
          </cell>
          <cell r="X41637" t="str">
            <v>Variation UPR - gross</v>
          </cell>
          <cell r="Y41637" t="str">
            <v>AUSTRALIA</v>
          </cell>
        </row>
        <row r="41638">
          <cell r="L41638" t="str">
            <v>Non-proportional</v>
          </cell>
          <cell r="S41638">
            <v>-11204.13</v>
          </cell>
          <cell r="X41638" t="str">
            <v>Variation UPR - gross</v>
          </cell>
          <cell r="Y41638" t="str">
            <v>MEXICO</v>
          </cell>
        </row>
        <row r="41639">
          <cell r="L41639" t="str">
            <v>Non-proportional</v>
          </cell>
          <cell r="S41639">
            <v>-6510.03</v>
          </cell>
          <cell r="X41639" t="str">
            <v>Variation UPR - gross</v>
          </cell>
          <cell r="Y41639" t="str">
            <v>NEW ZEALAND</v>
          </cell>
        </row>
        <row r="41640">
          <cell r="L41640" t="str">
            <v>Non-proportional</v>
          </cell>
          <cell r="S41640">
            <v>112.28</v>
          </cell>
          <cell r="X41640" t="str">
            <v>Variation UPR - gross</v>
          </cell>
          <cell r="Y41640" t="str">
            <v>JAPAN</v>
          </cell>
        </row>
        <row r="41641">
          <cell r="L41641" t="str">
            <v>Non-proportional</v>
          </cell>
          <cell r="S41641">
            <v>-3721.87</v>
          </cell>
          <cell r="X41641" t="str">
            <v>Variation UPR - gross</v>
          </cell>
          <cell r="Y41641" t="str">
            <v>NEW ZEALAND</v>
          </cell>
        </row>
        <row r="41642">
          <cell r="L41642" t="str">
            <v>Proportional</v>
          </cell>
          <cell r="S41642">
            <v>-917.58</v>
          </cell>
          <cell r="X41642" t="str">
            <v>Variation UPR - gross</v>
          </cell>
          <cell r="Y41642" t="str">
            <v>CHILE</v>
          </cell>
        </row>
        <row r="41643">
          <cell r="L41643" t="str">
            <v>Proportional</v>
          </cell>
          <cell r="S41643">
            <v>-76907.13</v>
          </cell>
          <cell r="X41643" t="str">
            <v>Variation UPR - gross</v>
          </cell>
          <cell r="Y41643" t="str">
            <v>SWITZERLAND</v>
          </cell>
        </row>
        <row r="41644">
          <cell r="L41644" t="str">
            <v>Non-proportional</v>
          </cell>
          <cell r="S41644">
            <v>-31316.15</v>
          </cell>
          <cell r="X41644" t="str">
            <v>Variation UPR - gross</v>
          </cell>
          <cell r="Y41644" t="str">
            <v>FRANCE</v>
          </cell>
        </row>
        <row r="41645">
          <cell r="L41645" t="str">
            <v>Non-proportional</v>
          </cell>
          <cell r="S41645">
            <v>-4520.6499999999996</v>
          </cell>
          <cell r="X41645" t="str">
            <v>Variation UPR - gross</v>
          </cell>
          <cell r="Y41645" t="str">
            <v>UNITED KINGDOM</v>
          </cell>
        </row>
        <row r="41646">
          <cell r="L41646" t="str">
            <v>Non-proportional</v>
          </cell>
          <cell r="S41646">
            <v>-1002.22</v>
          </cell>
          <cell r="X41646" t="str">
            <v>Variation UPR - gross</v>
          </cell>
          <cell r="Y41646" t="str">
            <v>UNITED KINGDOM</v>
          </cell>
        </row>
        <row r="41647">
          <cell r="L41647" t="str">
            <v>Non-proportional</v>
          </cell>
          <cell r="S41647">
            <v>-1044.8399999999999</v>
          </cell>
          <cell r="X41647" t="str">
            <v>Variation UPR - gross</v>
          </cell>
          <cell r="Y41647" t="str">
            <v>CYPRUS</v>
          </cell>
        </row>
        <row r="41648">
          <cell r="L41648" t="str">
            <v>Non-proportional</v>
          </cell>
          <cell r="S41648">
            <v>-44.8</v>
          </cell>
          <cell r="X41648" t="str">
            <v>Variation UPR - gross</v>
          </cell>
          <cell r="Y41648" t="str">
            <v>ISRAEL</v>
          </cell>
        </row>
        <row r="41649">
          <cell r="L41649" t="str">
            <v>Non-proportional</v>
          </cell>
          <cell r="S41649">
            <v>-9315.51</v>
          </cell>
          <cell r="X41649" t="str">
            <v>Variation UPR - gross</v>
          </cell>
          <cell r="Y41649" t="str">
            <v>ISRAEL</v>
          </cell>
        </row>
        <row r="41650">
          <cell r="L41650" t="str">
            <v>Non-proportional</v>
          </cell>
          <cell r="S41650">
            <v>-3298.25</v>
          </cell>
          <cell r="X41650" t="str">
            <v>Variation UPR - gross</v>
          </cell>
          <cell r="Y41650" t="str">
            <v>ISRAEL</v>
          </cell>
        </row>
        <row r="41651">
          <cell r="L41651" t="str">
            <v>Non-proportional</v>
          </cell>
          <cell r="S41651">
            <v>-2611.58</v>
          </cell>
          <cell r="X41651" t="str">
            <v>Variation UPR - gross</v>
          </cell>
          <cell r="Y41651" t="str">
            <v>CHILE</v>
          </cell>
        </row>
        <row r="41652">
          <cell r="L41652" t="str">
            <v>Non-proportional</v>
          </cell>
          <cell r="S41652">
            <v>-350018.84</v>
          </cell>
          <cell r="X41652" t="str">
            <v>Variation UPR - gross</v>
          </cell>
          <cell r="Y41652" t="str">
            <v>EUROPE</v>
          </cell>
        </row>
        <row r="41653">
          <cell r="L41653" t="str">
            <v>Non-proportional</v>
          </cell>
          <cell r="S41653">
            <v>-2832.37</v>
          </cell>
          <cell r="X41653" t="str">
            <v>Variation UPR - gross</v>
          </cell>
          <cell r="Y41653" t="str">
            <v>ISRAEL</v>
          </cell>
        </row>
        <row r="41654">
          <cell r="L41654" t="str">
            <v>Proportional</v>
          </cell>
          <cell r="S41654">
            <v>-38784.78</v>
          </cell>
          <cell r="X41654" t="str">
            <v>Variation UPR - gross</v>
          </cell>
          <cell r="Y41654" t="str">
            <v>THAILAND</v>
          </cell>
        </row>
        <row r="41655">
          <cell r="L41655" t="str">
            <v>Non-proportional</v>
          </cell>
          <cell r="S41655">
            <v>-178.9</v>
          </cell>
          <cell r="X41655" t="str">
            <v>Variation UPR - gross</v>
          </cell>
          <cell r="Y41655" t="str">
            <v>JAPAN</v>
          </cell>
        </row>
        <row r="41656">
          <cell r="L41656" t="str">
            <v>Non-proportional</v>
          </cell>
          <cell r="S41656">
            <v>814.81</v>
          </cell>
          <cell r="X41656" t="str">
            <v>Variation UPR - gross</v>
          </cell>
          <cell r="Y41656" t="str">
            <v>DOMINICAN REPUBLIC</v>
          </cell>
        </row>
        <row r="41657">
          <cell r="L41657" t="str">
            <v>Non-proportional</v>
          </cell>
          <cell r="S41657">
            <v>-0.02</v>
          </cell>
          <cell r="X41657" t="str">
            <v>Variation UPR - gross</v>
          </cell>
          <cell r="Y41657" t="str">
            <v>BELIZE</v>
          </cell>
        </row>
        <row r="41658">
          <cell r="L41658" t="str">
            <v>Non-proportional</v>
          </cell>
          <cell r="S41658">
            <v>-4853.24</v>
          </cell>
          <cell r="X41658" t="str">
            <v>Variation UPR - gross</v>
          </cell>
          <cell r="Y41658" t="str">
            <v>INDIA</v>
          </cell>
        </row>
        <row r="41659">
          <cell r="L41659" t="str">
            <v>Non-proportional</v>
          </cell>
          <cell r="S41659">
            <v>-1840.28</v>
          </cell>
          <cell r="X41659" t="str">
            <v>Variation UPR - gross</v>
          </cell>
          <cell r="Y41659" t="str">
            <v>UNITED KINGDOM</v>
          </cell>
        </row>
        <row r="41660">
          <cell r="L41660" t="str">
            <v>Non-proportional</v>
          </cell>
          <cell r="S41660">
            <v>-12664.64</v>
          </cell>
          <cell r="X41660" t="str">
            <v>Variation UPR - gross</v>
          </cell>
          <cell r="Y41660" t="str">
            <v>FRANCE</v>
          </cell>
        </row>
        <row r="41661">
          <cell r="L41661" t="str">
            <v>Proportional</v>
          </cell>
          <cell r="S41661">
            <v>-92666.67</v>
          </cell>
          <cell r="X41661" t="str">
            <v>Variation UPR - gross</v>
          </cell>
          <cell r="Y41661" t="str">
            <v>FRANCE</v>
          </cell>
        </row>
        <row r="41662">
          <cell r="L41662" t="str">
            <v>Proportional</v>
          </cell>
          <cell r="S41662">
            <v>-2822.33</v>
          </cell>
          <cell r="X41662" t="str">
            <v>Variation UPR - gross</v>
          </cell>
          <cell r="Y41662" t="str">
            <v>HONG KONG</v>
          </cell>
        </row>
        <row r="41663">
          <cell r="L41663" t="str">
            <v>Non-proportional</v>
          </cell>
          <cell r="S41663">
            <v>-1072.8</v>
          </cell>
          <cell r="X41663" t="str">
            <v>Variation UPR - gross</v>
          </cell>
          <cell r="Y41663" t="str">
            <v>SOUTH AFRICA</v>
          </cell>
        </row>
        <row r="41664">
          <cell r="L41664" t="str">
            <v>Non-proportional</v>
          </cell>
          <cell r="S41664">
            <v>-6809.39</v>
          </cell>
          <cell r="X41664" t="str">
            <v>Variation UPR - gross</v>
          </cell>
          <cell r="Y41664" t="str">
            <v>UNITED KINGDOM</v>
          </cell>
        </row>
        <row r="41665">
          <cell r="L41665" t="str">
            <v>Non-proportional</v>
          </cell>
          <cell r="S41665">
            <v>-956.86</v>
          </cell>
          <cell r="X41665" t="str">
            <v>Variation UPR - gross</v>
          </cell>
          <cell r="Y41665" t="str">
            <v>ISRAEL</v>
          </cell>
        </row>
        <row r="41666">
          <cell r="L41666" t="str">
            <v>Proportional</v>
          </cell>
          <cell r="S41666">
            <v>-1764.58</v>
          </cell>
          <cell r="X41666" t="str">
            <v>Variation UPR - gross</v>
          </cell>
          <cell r="Y41666" t="str">
            <v>CHILE</v>
          </cell>
        </row>
        <row r="41667">
          <cell r="L41667" t="str">
            <v>Non-proportional</v>
          </cell>
          <cell r="S41667">
            <v>55.9</v>
          </cell>
          <cell r="X41667" t="str">
            <v>Variation UPR - gross</v>
          </cell>
          <cell r="Y41667" t="str">
            <v>JAPAN</v>
          </cell>
        </row>
        <row r="41668">
          <cell r="L41668" t="str">
            <v>Proportional</v>
          </cell>
          <cell r="S41668">
            <v>-2595.09</v>
          </cell>
          <cell r="X41668" t="str">
            <v>Variation UPR - gross</v>
          </cell>
          <cell r="Y41668" t="str">
            <v>PERU</v>
          </cell>
        </row>
        <row r="41669">
          <cell r="L41669" t="str">
            <v>Non-proportional</v>
          </cell>
          <cell r="S41669">
            <v>-9187.5</v>
          </cell>
          <cell r="X41669" t="str">
            <v>Variation UPR - gross</v>
          </cell>
          <cell r="Y41669" t="str">
            <v>TURKEY</v>
          </cell>
        </row>
        <row r="41670">
          <cell r="L41670" t="str">
            <v>Non-proportional</v>
          </cell>
          <cell r="S41670">
            <v>-4061.37</v>
          </cell>
          <cell r="X41670" t="str">
            <v>Variation UPR - gross</v>
          </cell>
          <cell r="Y41670" t="str">
            <v>FRANCE</v>
          </cell>
        </row>
        <row r="41671">
          <cell r="L41671" t="str">
            <v>Non-proportional</v>
          </cell>
          <cell r="S41671">
            <v>42.13</v>
          </cell>
          <cell r="X41671" t="str">
            <v>Variation UPR - gross</v>
          </cell>
          <cell r="Y41671" t="str">
            <v>JAPAN</v>
          </cell>
        </row>
        <row r="41672">
          <cell r="L41672" t="str">
            <v>Non-proportional</v>
          </cell>
          <cell r="S41672">
            <v>-68.41</v>
          </cell>
          <cell r="X41672" t="str">
            <v>Variation UPR - gross</v>
          </cell>
          <cell r="Y41672" t="str">
            <v>BRAZIL</v>
          </cell>
        </row>
        <row r="41673">
          <cell r="L41673" t="str">
            <v>Non-proportional</v>
          </cell>
          <cell r="S41673">
            <v>-3510.49</v>
          </cell>
          <cell r="X41673" t="str">
            <v>Variation UPR - gross</v>
          </cell>
          <cell r="Y41673" t="str">
            <v>THAILAND</v>
          </cell>
        </row>
        <row r="41674">
          <cell r="L41674" t="str">
            <v>Non-proportional</v>
          </cell>
          <cell r="S41674">
            <v>297.77999999999997</v>
          </cell>
          <cell r="X41674" t="str">
            <v>Variation UPR - gross</v>
          </cell>
          <cell r="Y41674" t="str">
            <v>NEW ZEALAND</v>
          </cell>
        </row>
        <row r="41675">
          <cell r="L41675" t="str">
            <v>Non-proportional</v>
          </cell>
          <cell r="S41675">
            <v>51.85</v>
          </cell>
          <cell r="X41675" t="str">
            <v>Variation UPR - gross</v>
          </cell>
          <cell r="Y41675" t="str">
            <v>JAPAN</v>
          </cell>
        </row>
        <row r="41676">
          <cell r="L41676" t="str">
            <v>Non-proportional</v>
          </cell>
          <cell r="S41676">
            <v>-2280.8200000000002</v>
          </cell>
          <cell r="X41676" t="str">
            <v>Variation UPR - gross</v>
          </cell>
          <cell r="Y41676" t="str">
            <v>COLOMBIA</v>
          </cell>
        </row>
        <row r="41677">
          <cell r="L41677" t="str">
            <v>Non-proportional</v>
          </cell>
          <cell r="S41677">
            <v>-2805.25</v>
          </cell>
          <cell r="X41677" t="str">
            <v>Variation UPR - gross</v>
          </cell>
          <cell r="Y41677" t="str">
            <v>REPUBLIC OF IRELAND</v>
          </cell>
        </row>
        <row r="41678">
          <cell r="L41678" t="str">
            <v>Non-proportional</v>
          </cell>
          <cell r="S41678">
            <v>259.06</v>
          </cell>
          <cell r="X41678" t="str">
            <v>Variation UPR - gross</v>
          </cell>
          <cell r="Y41678" t="str">
            <v>NEW ZEALAND</v>
          </cell>
        </row>
        <row r="41679">
          <cell r="L41679" t="str">
            <v>Non-proportional</v>
          </cell>
          <cell r="S41679">
            <v>-3190.3</v>
          </cell>
          <cell r="X41679" t="str">
            <v>Variation UPR - gross</v>
          </cell>
          <cell r="Y41679" t="str">
            <v>ISRAEL</v>
          </cell>
        </row>
        <row r="41680">
          <cell r="L41680" t="str">
            <v>Non-proportional</v>
          </cell>
          <cell r="S41680">
            <v>-2869.73</v>
          </cell>
          <cell r="X41680" t="str">
            <v>Variation UPR - gross</v>
          </cell>
          <cell r="Y41680" t="str">
            <v>THAILAND</v>
          </cell>
        </row>
        <row r="41681">
          <cell r="L41681" t="str">
            <v>Proportional</v>
          </cell>
          <cell r="S41681">
            <v>1552.31</v>
          </cell>
          <cell r="X41681" t="str">
            <v>Variation UPR - gross</v>
          </cell>
          <cell r="Y41681" t="str">
            <v>CHILE</v>
          </cell>
        </row>
        <row r="41682">
          <cell r="L41682" t="str">
            <v>Non-proportional</v>
          </cell>
          <cell r="S41682">
            <v>-221935</v>
          </cell>
          <cell r="X41682" t="str">
            <v>Variation UPR - gross</v>
          </cell>
          <cell r="Y41682" t="str">
            <v>BELGIUM</v>
          </cell>
        </row>
        <row r="41683">
          <cell r="L41683" t="str">
            <v>Non-proportional</v>
          </cell>
          <cell r="S41683">
            <v>-4482.96</v>
          </cell>
          <cell r="X41683" t="str">
            <v>Variation UPR - gross</v>
          </cell>
          <cell r="Y41683" t="str">
            <v>DOMINICAN REPUBLIC</v>
          </cell>
        </row>
        <row r="41684">
          <cell r="L41684" t="str">
            <v>Non-proportional</v>
          </cell>
          <cell r="S41684">
            <v>-10120.5</v>
          </cell>
          <cell r="X41684" t="str">
            <v>Variation UPR - gross</v>
          </cell>
          <cell r="Y41684" t="str">
            <v>ITALY</v>
          </cell>
        </row>
        <row r="41685">
          <cell r="L41685" t="str">
            <v>Non-proportional</v>
          </cell>
          <cell r="S41685">
            <v>-8067.05</v>
          </cell>
          <cell r="X41685" t="str">
            <v>Variation UPR - gross</v>
          </cell>
          <cell r="Y41685" t="str">
            <v>INDIA</v>
          </cell>
        </row>
        <row r="41686">
          <cell r="L41686" t="str">
            <v>Non-proportional</v>
          </cell>
          <cell r="S41686">
            <v>57.72</v>
          </cell>
          <cell r="X41686" t="str">
            <v>Variation UPR - gross</v>
          </cell>
          <cell r="Y41686" t="str">
            <v>JAPAN</v>
          </cell>
        </row>
        <row r="41687">
          <cell r="L41687" t="str">
            <v>Non-proportional</v>
          </cell>
          <cell r="S41687">
            <v>22.97</v>
          </cell>
          <cell r="X41687" t="str">
            <v>Variation UPR - gross</v>
          </cell>
          <cell r="Y41687" t="str">
            <v>JAPAN</v>
          </cell>
        </row>
        <row r="41688">
          <cell r="L41688" t="str">
            <v>Non-proportional</v>
          </cell>
          <cell r="S41688">
            <v>-105.87</v>
          </cell>
          <cell r="X41688" t="str">
            <v>Variation UPR - gross</v>
          </cell>
          <cell r="Y41688" t="str">
            <v>CHILE</v>
          </cell>
        </row>
        <row r="41689">
          <cell r="L41689" t="str">
            <v>Non-proportional</v>
          </cell>
          <cell r="S41689">
            <v>929.91</v>
          </cell>
          <cell r="X41689" t="str">
            <v>Variation UPR - gross</v>
          </cell>
          <cell r="Y41689" t="str">
            <v>DOMINICAN REPUBLIC</v>
          </cell>
        </row>
        <row r="41690">
          <cell r="L41690" t="str">
            <v>Non-proportional</v>
          </cell>
          <cell r="S41690">
            <v>214.57</v>
          </cell>
          <cell r="X41690" t="str">
            <v>Variation UPR - gross</v>
          </cell>
          <cell r="Y41690" t="str">
            <v>NEW ZEALAND</v>
          </cell>
        </row>
        <row r="41691">
          <cell r="L41691" t="str">
            <v>Non-proportional</v>
          </cell>
          <cell r="S41691">
            <v>-11472.23</v>
          </cell>
          <cell r="X41691" t="str">
            <v>Variation UPR - gross</v>
          </cell>
          <cell r="Y41691" t="str">
            <v>MEXICO</v>
          </cell>
        </row>
        <row r="41692">
          <cell r="L41692" t="str">
            <v>Non-proportional</v>
          </cell>
          <cell r="S41692">
            <v>-4509.75</v>
          </cell>
          <cell r="X41692" t="str">
            <v>Variation UPR - gross</v>
          </cell>
          <cell r="Y41692" t="str">
            <v>FRANCE</v>
          </cell>
        </row>
        <row r="41693">
          <cell r="L41693" t="str">
            <v>Non-proportional</v>
          </cell>
          <cell r="S41693">
            <v>-2058.1999999999998</v>
          </cell>
          <cell r="X41693" t="str">
            <v>Variation UPR - gross</v>
          </cell>
          <cell r="Y41693" t="str">
            <v>JAPAN</v>
          </cell>
        </row>
        <row r="41694">
          <cell r="L41694" t="str">
            <v>Non-proportional</v>
          </cell>
          <cell r="S41694">
            <v>-6819.48</v>
          </cell>
          <cell r="X41694" t="str">
            <v>Variation UPR - gross</v>
          </cell>
          <cell r="Y41694" t="str">
            <v>AUSTRALIA</v>
          </cell>
        </row>
        <row r="41695">
          <cell r="L41695" t="str">
            <v>Non-proportional</v>
          </cell>
          <cell r="S41695">
            <v>-30345.99</v>
          </cell>
          <cell r="X41695" t="str">
            <v>Variation UPR - gross</v>
          </cell>
          <cell r="Y41695" t="str">
            <v>FRANCE</v>
          </cell>
        </row>
        <row r="41696">
          <cell r="L41696" t="str">
            <v>Non-proportional</v>
          </cell>
          <cell r="S41696">
            <v>367.73</v>
          </cell>
          <cell r="X41696" t="str">
            <v>Variation UPR - gross</v>
          </cell>
          <cell r="Y41696" t="str">
            <v>NEW ZEALAND</v>
          </cell>
        </row>
        <row r="41697">
          <cell r="L41697" t="str">
            <v>Proportional</v>
          </cell>
          <cell r="S41697">
            <v>-2184</v>
          </cell>
          <cell r="X41697" t="str">
            <v>Variation UPR - gross</v>
          </cell>
          <cell r="Y41697" t="str">
            <v>SAUDI ARABIA</v>
          </cell>
        </row>
        <row r="41698">
          <cell r="L41698" t="str">
            <v>Proportional</v>
          </cell>
          <cell r="S41698">
            <v>-206727.33</v>
          </cell>
          <cell r="X41698" t="str">
            <v>Variation UPR - gross</v>
          </cell>
          <cell r="Y41698" t="str">
            <v>UNITED STATES</v>
          </cell>
        </row>
        <row r="41699">
          <cell r="L41699" t="str">
            <v>Non-proportional</v>
          </cell>
          <cell r="S41699">
            <v>-1302.8</v>
          </cell>
          <cell r="X41699" t="str">
            <v>Variation UPR - gross</v>
          </cell>
          <cell r="Y41699" t="str">
            <v>NEW ZEALAND</v>
          </cell>
        </row>
        <row r="41700">
          <cell r="L41700" t="str">
            <v>Non-proportional</v>
          </cell>
          <cell r="S41700">
            <v>-40000</v>
          </cell>
          <cell r="X41700" t="str">
            <v>Variation UPR - gross</v>
          </cell>
          <cell r="Y41700" t="str">
            <v>ITALY</v>
          </cell>
        </row>
        <row r="41701">
          <cell r="L41701" t="str">
            <v>Non-proportional</v>
          </cell>
          <cell r="S41701">
            <v>0.02</v>
          </cell>
          <cell r="X41701" t="str">
            <v>Variation UPR - gross</v>
          </cell>
          <cell r="Y41701" t="str">
            <v>COLOMBIA</v>
          </cell>
        </row>
        <row r="41702">
          <cell r="L41702" t="str">
            <v>Non-proportional</v>
          </cell>
          <cell r="S41702">
            <v>-1718</v>
          </cell>
          <cell r="X41702" t="str">
            <v>Variation UPR - gross</v>
          </cell>
          <cell r="Y41702" t="str">
            <v>FRANCE</v>
          </cell>
        </row>
        <row r="41703">
          <cell r="L41703" t="str">
            <v>Non-proportional</v>
          </cell>
          <cell r="S41703">
            <v>0.02</v>
          </cell>
          <cell r="X41703" t="str">
            <v>Variation UPR - gross</v>
          </cell>
          <cell r="Y41703" t="str">
            <v>DOMINICAN REPUBLIC</v>
          </cell>
        </row>
        <row r="41704">
          <cell r="L41704" t="str">
            <v>Proportional</v>
          </cell>
          <cell r="S41704">
            <v>645.46</v>
          </cell>
          <cell r="X41704" t="str">
            <v>Variation UPR - gross</v>
          </cell>
          <cell r="Y41704" t="str">
            <v>INDIA</v>
          </cell>
        </row>
        <row r="41705">
          <cell r="L41705" t="str">
            <v>Non-proportional</v>
          </cell>
          <cell r="S41705">
            <v>-3992.31</v>
          </cell>
          <cell r="X41705" t="str">
            <v>Variation UPR - gross</v>
          </cell>
          <cell r="Y41705" t="str">
            <v>ECUADOR</v>
          </cell>
        </row>
        <row r="41706">
          <cell r="L41706" t="str">
            <v>Non-proportional</v>
          </cell>
          <cell r="S41706">
            <v>-16278.67</v>
          </cell>
          <cell r="X41706" t="str">
            <v>Variation UPR - gross</v>
          </cell>
          <cell r="Y41706" t="str">
            <v>ITALY</v>
          </cell>
        </row>
        <row r="41707">
          <cell r="L41707" t="str">
            <v>Non-proportional</v>
          </cell>
          <cell r="S41707">
            <v>-3249.09</v>
          </cell>
          <cell r="X41707" t="str">
            <v>Variation UPR - gross</v>
          </cell>
          <cell r="Y41707" t="str">
            <v>FRANCE</v>
          </cell>
        </row>
        <row r="41708">
          <cell r="L41708" t="str">
            <v>Non-proportional</v>
          </cell>
          <cell r="S41708">
            <v>53.99</v>
          </cell>
          <cell r="X41708" t="str">
            <v>Variation UPR - gross</v>
          </cell>
          <cell r="Y41708" t="str">
            <v>JAPAN</v>
          </cell>
        </row>
        <row r="41709">
          <cell r="L41709" t="str">
            <v>Non-proportional</v>
          </cell>
          <cell r="S41709">
            <v>-4826.34</v>
          </cell>
          <cell r="X41709" t="str">
            <v>Variation UPR - gross</v>
          </cell>
          <cell r="Y41709" t="str">
            <v>SOUTH AFRICA</v>
          </cell>
        </row>
        <row r="41710">
          <cell r="L41710" t="str">
            <v>Non-proportional</v>
          </cell>
          <cell r="S41710">
            <v>-2630.91</v>
          </cell>
          <cell r="X41710" t="str">
            <v>Variation UPR - gross</v>
          </cell>
          <cell r="Y41710" t="str">
            <v>UNITED KINGDOM</v>
          </cell>
        </row>
        <row r="41711">
          <cell r="L41711" t="str">
            <v>Proportional</v>
          </cell>
          <cell r="S41711">
            <v>-5065.28</v>
          </cell>
          <cell r="X41711" t="str">
            <v>Variation UPR - gross</v>
          </cell>
          <cell r="Y41711" t="str">
            <v>THAILAND</v>
          </cell>
        </row>
        <row r="41712">
          <cell r="L41712" t="str">
            <v>Proportional</v>
          </cell>
          <cell r="S41712">
            <v>-59814.6</v>
          </cell>
          <cell r="X41712" t="str">
            <v>Variation UPR - gross</v>
          </cell>
          <cell r="Y41712" t="str">
            <v>PORTUGAL</v>
          </cell>
        </row>
        <row r="41713">
          <cell r="L41713" t="str">
            <v>Non-proportional</v>
          </cell>
          <cell r="S41713">
            <v>-6741.59</v>
          </cell>
          <cell r="X41713" t="str">
            <v>Variation UPR - gross</v>
          </cell>
          <cell r="Y41713" t="str">
            <v>UNITED KINGDOM</v>
          </cell>
        </row>
        <row r="41714">
          <cell r="L41714" t="str">
            <v>Non-proportional</v>
          </cell>
          <cell r="S41714">
            <v>-5655.35</v>
          </cell>
          <cell r="X41714" t="str">
            <v>Variation UPR - gross</v>
          </cell>
          <cell r="Y41714" t="str">
            <v>PUERTO RICO</v>
          </cell>
        </row>
        <row r="41715">
          <cell r="L41715" t="str">
            <v>Non-proportional</v>
          </cell>
          <cell r="S41715">
            <v>-2929.2</v>
          </cell>
          <cell r="X41715" t="str">
            <v>Variation UPR - gross</v>
          </cell>
          <cell r="Y41715" t="str">
            <v>CHILE</v>
          </cell>
        </row>
        <row r="41716">
          <cell r="L41716" t="str">
            <v>Non-proportional</v>
          </cell>
          <cell r="S41716">
            <v>-29281.15</v>
          </cell>
          <cell r="X41716" t="str">
            <v>Variation UPR - gross</v>
          </cell>
          <cell r="Y41716" t="str">
            <v>UNITED KINGDOM</v>
          </cell>
        </row>
        <row r="41717">
          <cell r="L41717" t="str">
            <v>Non-proportional</v>
          </cell>
          <cell r="S41717">
            <v>-6826.08</v>
          </cell>
          <cell r="X41717" t="str">
            <v>Variation UPR - gross</v>
          </cell>
          <cell r="Y41717" t="str">
            <v>UNITED KINGDOM</v>
          </cell>
        </row>
        <row r="41718">
          <cell r="L41718" t="str">
            <v>Non-proportional</v>
          </cell>
          <cell r="S41718">
            <v>-1034.4100000000001</v>
          </cell>
          <cell r="X41718" t="str">
            <v>Variation UPR - gross</v>
          </cell>
          <cell r="Y41718" t="str">
            <v>INDIA</v>
          </cell>
        </row>
        <row r="41719">
          <cell r="L41719" t="str">
            <v>Non-proportional</v>
          </cell>
          <cell r="S41719">
            <v>-4684.47</v>
          </cell>
          <cell r="X41719" t="str">
            <v>Variation UPR - gross</v>
          </cell>
          <cell r="Y41719" t="str">
            <v>NEW ZEALAND</v>
          </cell>
        </row>
        <row r="41720">
          <cell r="L41720" t="str">
            <v>Non-proportional</v>
          </cell>
          <cell r="S41720">
            <v>-2866.37</v>
          </cell>
          <cell r="X41720" t="str">
            <v>Variation UPR - gross</v>
          </cell>
          <cell r="Y41720" t="str">
            <v>JAPAN</v>
          </cell>
        </row>
        <row r="41721">
          <cell r="L41721" t="str">
            <v>Non-proportional</v>
          </cell>
          <cell r="S41721">
            <v>-387.5</v>
          </cell>
          <cell r="X41721" t="str">
            <v>Variation UPR - gross</v>
          </cell>
          <cell r="Y41721" t="str">
            <v>ITALY</v>
          </cell>
        </row>
        <row r="41722">
          <cell r="L41722" t="str">
            <v>Non-proportional</v>
          </cell>
          <cell r="S41722">
            <v>-560.5</v>
          </cell>
          <cell r="X41722" t="str">
            <v>Variation UPR - gross</v>
          </cell>
          <cell r="Y41722" t="str">
            <v>PORTUGAL</v>
          </cell>
        </row>
        <row r="41723">
          <cell r="L41723" t="str">
            <v>Non-proportional</v>
          </cell>
          <cell r="S41723">
            <v>-12625.09</v>
          </cell>
          <cell r="X41723" t="str">
            <v>Variation UPR - gross</v>
          </cell>
          <cell r="Y41723" t="str">
            <v>BELGIUM</v>
          </cell>
        </row>
        <row r="41724">
          <cell r="L41724" t="str">
            <v>Non-proportional</v>
          </cell>
          <cell r="S41724">
            <v>-4166.67</v>
          </cell>
          <cell r="X41724" t="str">
            <v>Variation UPR - gross</v>
          </cell>
          <cell r="Y41724" t="str">
            <v>TURKEY</v>
          </cell>
        </row>
        <row r="41725">
          <cell r="L41725" t="str">
            <v>Non-proportional</v>
          </cell>
          <cell r="S41725">
            <v>-102410.93</v>
          </cell>
          <cell r="X41725" t="str">
            <v>Variation UPR - gross</v>
          </cell>
          <cell r="Y41725" t="str">
            <v>HONG KONG</v>
          </cell>
        </row>
        <row r="41726">
          <cell r="L41726" t="str">
            <v>Proportional</v>
          </cell>
          <cell r="S41726">
            <v>-13904.89</v>
          </cell>
          <cell r="X41726" t="str">
            <v>Variation UPR - gross</v>
          </cell>
          <cell r="Y41726" t="str">
            <v>CHILE</v>
          </cell>
        </row>
        <row r="41727">
          <cell r="L41727" t="str">
            <v>Non-proportional</v>
          </cell>
          <cell r="S41727">
            <v>14.37</v>
          </cell>
          <cell r="X41727" t="str">
            <v>Variation UPR - gross</v>
          </cell>
          <cell r="Y41727" t="str">
            <v>JAPAN</v>
          </cell>
        </row>
        <row r="41728">
          <cell r="L41728" t="str">
            <v>Non-proportional</v>
          </cell>
          <cell r="S41728">
            <v>-7170.32</v>
          </cell>
          <cell r="X41728" t="str">
            <v>Variation UPR - gross</v>
          </cell>
          <cell r="Y41728" t="str">
            <v>MEXICO</v>
          </cell>
        </row>
        <row r="41729">
          <cell r="L41729" t="str">
            <v>Non-proportional</v>
          </cell>
          <cell r="S41729">
            <v>-1315.71</v>
          </cell>
          <cell r="X41729" t="str">
            <v>Variation UPR - gross</v>
          </cell>
          <cell r="Y41729" t="str">
            <v>COLOMBIA</v>
          </cell>
        </row>
        <row r="41730">
          <cell r="L41730" t="str">
            <v>Non-proportional</v>
          </cell>
          <cell r="S41730">
            <v>-5918.43</v>
          </cell>
          <cell r="X41730" t="str">
            <v>Variation UPR - gross</v>
          </cell>
          <cell r="Y41730" t="str">
            <v>EUROPE</v>
          </cell>
        </row>
        <row r="41731">
          <cell r="L41731" t="str">
            <v>Proportional</v>
          </cell>
          <cell r="S41731">
            <v>-1630.2</v>
          </cell>
          <cell r="X41731" t="str">
            <v>Variation UPR - gross</v>
          </cell>
          <cell r="Y41731" t="str">
            <v>REPUBLIC OF IRELAND</v>
          </cell>
        </row>
        <row r="41732">
          <cell r="L41732" t="str">
            <v>Non-proportional</v>
          </cell>
          <cell r="S41732">
            <v>55.4</v>
          </cell>
          <cell r="X41732" t="str">
            <v>Variation UPR - gross</v>
          </cell>
          <cell r="Y41732" t="str">
            <v>NEW ZEALAND</v>
          </cell>
        </row>
        <row r="41733">
          <cell r="L41733" t="str">
            <v>Proportional</v>
          </cell>
          <cell r="S41733">
            <v>1072.27</v>
          </cell>
          <cell r="X41733" t="str">
            <v>Variation UPR - gross</v>
          </cell>
          <cell r="Y41733" t="str">
            <v>THAILAND</v>
          </cell>
        </row>
        <row r="41734">
          <cell r="L41734" t="str">
            <v>Proportional</v>
          </cell>
          <cell r="S41734">
            <v>577.38</v>
          </cell>
          <cell r="X41734" t="str">
            <v>Variation UPR - gross</v>
          </cell>
          <cell r="Y41734" t="str">
            <v>THAILAND</v>
          </cell>
        </row>
        <row r="41735">
          <cell r="L41735" t="str">
            <v>Non-proportional</v>
          </cell>
          <cell r="S41735">
            <v>-3167.28</v>
          </cell>
          <cell r="X41735" t="str">
            <v>Variation UPR - gross</v>
          </cell>
          <cell r="Y41735" t="str">
            <v>ECUADOR</v>
          </cell>
        </row>
        <row r="41736">
          <cell r="L41736" t="str">
            <v>Non-proportional</v>
          </cell>
          <cell r="S41736">
            <v>-11622.17</v>
          </cell>
          <cell r="X41736" t="str">
            <v>Variation UPR - gross</v>
          </cell>
          <cell r="Y41736" t="str">
            <v>AUSTRALIA</v>
          </cell>
        </row>
        <row r="41737">
          <cell r="L41737" t="str">
            <v>Non-proportional</v>
          </cell>
          <cell r="S41737">
            <v>0.01</v>
          </cell>
          <cell r="X41737" t="str">
            <v>Variation UPR - gross</v>
          </cell>
          <cell r="Y41737" t="str">
            <v>DOMINICAN REPUBLIC</v>
          </cell>
        </row>
        <row r="41738">
          <cell r="L41738" t="str">
            <v>Proportional</v>
          </cell>
          <cell r="S41738">
            <v>-15363.6</v>
          </cell>
          <cell r="X41738" t="str">
            <v>Variation UPR - gross</v>
          </cell>
          <cell r="Y41738" t="str">
            <v>INDIA</v>
          </cell>
        </row>
        <row r="41739">
          <cell r="L41739" t="str">
            <v>Non-proportional</v>
          </cell>
          <cell r="S41739">
            <v>-4233.33</v>
          </cell>
          <cell r="X41739" t="str">
            <v>Variation UPR - gross</v>
          </cell>
          <cell r="Y41739" t="str">
            <v>FRANCE</v>
          </cell>
        </row>
        <row r="41740">
          <cell r="L41740" t="str">
            <v>Non-proportional</v>
          </cell>
          <cell r="S41740">
            <v>-12001.33</v>
          </cell>
          <cell r="X41740" t="str">
            <v>Variation UPR - gross</v>
          </cell>
          <cell r="Y41740" t="str">
            <v>ITALY</v>
          </cell>
        </row>
        <row r="41741">
          <cell r="L41741" t="str">
            <v>Non-proportional</v>
          </cell>
          <cell r="S41741">
            <v>-2547.36</v>
          </cell>
          <cell r="X41741" t="str">
            <v>Variation UPR - gross</v>
          </cell>
          <cell r="Y41741" t="str">
            <v>ECUADOR</v>
          </cell>
        </row>
        <row r="41742">
          <cell r="L41742" t="str">
            <v>Non-proportional</v>
          </cell>
          <cell r="S41742">
            <v>9.1999999999999993</v>
          </cell>
          <cell r="X41742" t="str">
            <v>Variation UPR - gross</v>
          </cell>
          <cell r="Y41742" t="str">
            <v>NEW ZEALAND</v>
          </cell>
        </row>
        <row r="41743">
          <cell r="L41743" t="str">
            <v>Non-proportional</v>
          </cell>
          <cell r="S41743">
            <v>-14029.32</v>
          </cell>
          <cell r="X41743" t="str">
            <v>Variation UPR - gross</v>
          </cell>
          <cell r="Y41743" t="str">
            <v>TURKEY</v>
          </cell>
        </row>
        <row r="41744">
          <cell r="L41744" t="str">
            <v>Non-proportional</v>
          </cell>
          <cell r="S41744">
            <v>-3015.29</v>
          </cell>
          <cell r="X41744" t="str">
            <v>Variation UPR - gross</v>
          </cell>
          <cell r="Y41744" t="str">
            <v>ITALY</v>
          </cell>
        </row>
        <row r="41745">
          <cell r="L41745" t="str">
            <v>Proportional</v>
          </cell>
          <cell r="S41745">
            <v>824.82</v>
          </cell>
          <cell r="X41745" t="str">
            <v>Variation UPR - gross</v>
          </cell>
          <cell r="Y41745" t="str">
            <v>THAILAND</v>
          </cell>
        </row>
        <row r="41746">
          <cell r="L41746" t="str">
            <v>Non-proportional</v>
          </cell>
          <cell r="S41746">
            <v>-2844.44</v>
          </cell>
          <cell r="X41746" t="str">
            <v>Variation UPR - gross</v>
          </cell>
          <cell r="Y41746" t="str">
            <v>ISRAEL</v>
          </cell>
        </row>
        <row r="41747">
          <cell r="L41747" t="str">
            <v>Non-proportional</v>
          </cell>
          <cell r="S41747">
            <v>-2209.81</v>
          </cell>
          <cell r="X41747" t="str">
            <v>Variation UPR - gross</v>
          </cell>
          <cell r="Y41747" t="str">
            <v>ECUADOR</v>
          </cell>
        </row>
        <row r="41748">
          <cell r="L41748" t="str">
            <v>Proportional</v>
          </cell>
          <cell r="S41748">
            <v>-714590.58</v>
          </cell>
          <cell r="X41748" t="str">
            <v>Variation UPR - gross</v>
          </cell>
          <cell r="Y41748" t="str">
            <v>HONG KONG</v>
          </cell>
        </row>
        <row r="41749">
          <cell r="L41749" t="str">
            <v>Non-proportional</v>
          </cell>
          <cell r="S41749">
            <v>-109675.48</v>
          </cell>
          <cell r="X41749" t="str">
            <v>Variation UPR - gross</v>
          </cell>
          <cell r="Y41749" t="str">
            <v>EUROPE</v>
          </cell>
        </row>
        <row r="41750">
          <cell r="L41750" t="str">
            <v>Non-proportional</v>
          </cell>
          <cell r="S41750">
            <v>-3557.35</v>
          </cell>
          <cell r="X41750" t="str">
            <v>Variation UPR - gross</v>
          </cell>
          <cell r="Y41750" t="str">
            <v>ISRAEL</v>
          </cell>
        </row>
        <row r="41751">
          <cell r="L41751" t="str">
            <v>Non-proportional</v>
          </cell>
          <cell r="S41751">
            <v>40.51</v>
          </cell>
          <cell r="X41751" t="str">
            <v>Variation UPR - gross</v>
          </cell>
          <cell r="Y41751" t="str">
            <v>JAPAN</v>
          </cell>
        </row>
        <row r="41752">
          <cell r="L41752" t="str">
            <v>Non-proportional</v>
          </cell>
          <cell r="S41752">
            <v>-7549.53</v>
          </cell>
          <cell r="X41752" t="str">
            <v>Variation UPR - gross</v>
          </cell>
          <cell r="Y41752" t="str">
            <v>PUERTO RICO</v>
          </cell>
        </row>
        <row r="41753">
          <cell r="L41753" t="str">
            <v>Non-proportional</v>
          </cell>
          <cell r="S41753">
            <v>-45145.65</v>
          </cell>
          <cell r="X41753" t="str">
            <v>Variation UPR - gross</v>
          </cell>
          <cell r="Y41753" t="str">
            <v>UNITED KINGDOM</v>
          </cell>
        </row>
        <row r="41754">
          <cell r="L41754" t="str">
            <v>Non-proportional</v>
          </cell>
          <cell r="S41754">
            <v>-7963.93</v>
          </cell>
          <cell r="X41754" t="str">
            <v>Variation UPR - gross</v>
          </cell>
          <cell r="Y41754" t="str">
            <v>PERU</v>
          </cell>
        </row>
        <row r="41755">
          <cell r="L41755" t="str">
            <v>Non-proportional</v>
          </cell>
          <cell r="S41755">
            <v>12.67</v>
          </cell>
          <cell r="X41755" t="str">
            <v>Variation UPR - gross</v>
          </cell>
          <cell r="Y41755" t="str">
            <v>GUATEMALA</v>
          </cell>
        </row>
        <row r="41756">
          <cell r="L41756" t="str">
            <v>Non-proportional</v>
          </cell>
          <cell r="S41756">
            <v>-2531.69</v>
          </cell>
          <cell r="X41756" t="str">
            <v>Variation UPR - gross</v>
          </cell>
          <cell r="Y41756" t="str">
            <v>ECUADOR</v>
          </cell>
        </row>
        <row r="41757">
          <cell r="L41757" t="str">
            <v>Proportional</v>
          </cell>
          <cell r="S41757">
            <v>-1.84</v>
          </cell>
          <cell r="X41757" t="str">
            <v>Variation UPR - gross</v>
          </cell>
          <cell r="Y41757" t="str">
            <v>UNITED STATES</v>
          </cell>
        </row>
        <row r="41758">
          <cell r="L41758" t="str">
            <v>Non-proportional</v>
          </cell>
          <cell r="S41758">
            <v>-3137.67</v>
          </cell>
          <cell r="X41758" t="str">
            <v>Variation UPR - gross</v>
          </cell>
          <cell r="Y41758" t="str">
            <v>GUATEMALA</v>
          </cell>
        </row>
        <row r="41759">
          <cell r="L41759" t="str">
            <v>Non-proportional</v>
          </cell>
          <cell r="S41759">
            <v>-0.03</v>
          </cell>
          <cell r="X41759" t="str">
            <v>Variation UPR - gross</v>
          </cell>
          <cell r="Y41759" t="str">
            <v>COLOMBIA</v>
          </cell>
        </row>
        <row r="41760">
          <cell r="L41760" t="str">
            <v>Non-proportional</v>
          </cell>
          <cell r="S41760">
            <v>-3373.85</v>
          </cell>
          <cell r="X41760" t="str">
            <v>Variation UPR - gross</v>
          </cell>
          <cell r="Y41760" t="str">
            <v>GUATEMALA</v>
          </cell>
        </row>
        <row r="41761">
          <cell r="L41761" t="str">
            <v>Non-proportional</v>
          </cell>
          <cell r="S41761">
            <v>-543.58000000000004</v>
          </cell>
          <cell r="X41761" t="str">
            <v>Variation UPR - gross</v>
          </cell>
          <cell r="Y41761" t="str">
            <v>BRAZIL</v>
          </cell>
        </row>
        <row r="41762">
          <cell r="L41762" t="str">
            <v>Proportional</v>
          </cell>
          <cell r="S41762">
            <v>-11328.6</v>
          </cell>
          <cell r="X41762" t="str">
            <v>Variation UPR - gross</v>
          </cell>
          <cell r="Y41762" t="str">
            <v>CHILE</v>
          </cell>
        </row>
        <row r="41763">
          <cell r="L41763" t="str">
            <v>Non-proportional</v>
          </cell>
          <cell r="S41763">
            <v>-53908.38</v>
          </cell>
          <cell r="X41763" t="str">
            <v>Variation UPR - gross</v>
          </cell>
          <cell r="Y41763" t="str">
            <v>UNITED KINGDOM</v>
          </cell>
        </row>
        <row r="41764">
          <cell r="L41764" t="str">
            <v>Non-proportional</v>
          </cell>
          <cell r="S41764">
            <v>-3790.77</v>
          </cell>
          <cell r="X41764" t="str">
            <v>Variation UPR - gross</v>
          </cell>
          <cell r="Y41764" t="str">
            <v>ECUADOR</v>
          </cell>
        </row>
        <row r="41765">
          <cell r="L41765" t="str">
            <v>Proportional</v>
          </cell>
          <cell r="S41765">
            <v>-16793.689999999999</v>
          </cell>
          <cell r="X41765" t="str">
            <v>Variation UPR - gross</v>
          </cell>
          <cell r="Y41765" t="str">
            <v>AUSTRALIA</v>
          </cell>
        </row>
        <row r="41766">
          <cell r="L41766" t="str">
            <v>Non-proportional</v>
          </cell>
          <cell r="S41766">
            <v>-5329.03</v>
          </cell>
          <cell r="X41766" t="str">
            <v>Variation UPR - gross</v>
          </cell>
          <cell r="Y41766" t="str">
            <v>CHILE</v>
          </cell>
        </row>
        <row r="41767">
          <cell r="L41767" t="str">
            <v>Non-proportional</v>
          </cell>
          <cell r="S41767">
            <v>-42972.56</v>
          </cell>
          <cell r="X41767" t="str">
            <v>Variation UPR - gross</v>
          </cell>
          <cell r="Y41767" t="str">
            <v>UNITED KINGDOM</v>
          </cell>
        </row>
        <row r="41768">
          <cell r="L41768" t="str">
            <v>Non-proportional</v>
          </cell>
          <cell r="S41768">
            <v>-253468.85</v>
          </cell>
          <cell r="X41768" t="str">
            <v>Variation UPR - gross</v>
          </cell>
          <cell r="Y41768" t="str">
            <v>UNITED KINGDOM</v>
          </cell>
        </row>
        <row r="41769">
          <cell r="L41769" t="str">
            <v>Non-proportional</v>
          </cell>
          <cell r="S41769">
            <v>-8087.48</v>
          </cell>
          <cell r="X41769" t="str">
            <v>Variation UPR - gross</v>
          </cell>
          <cell r="Y41769" t="str">
            <v>AUSTRALIA</v>
          </cell>
        </row>
        <row r="41770">
          <cell r="L41770" t="str">
            <v>Non-proportional</v>
          </cell>
          <cell r="S41770">
            <v>-5275.37</v>
          </cell>
          <cell r="X41770" t="str">
            <v>Variation UPR - gross</v>
          </cell>
          <cell r="Y41770" t="str">
            <v>PERU</v>
          </cell>
        </row>
        <row r="41771">
          <cell r="L41771" t="str">
            <v>Non-proportional</v>
          </cell>
          <cell r="S41771">
            <v>-2948.57</v>
          </cell>
          <cell r="X41771" t="str">
            <v>Variation UPR - gross</v>
          </cell>
          <cell r="Y41771" t="str">
            <v>ECUADOR</v>
          </cell>
        </row>
        <row r="41772">
          <cell r="L41772" t="str">
            <v>Non-proportional</v>
          </cell>
          <cell r="S41772">
            <v>70.900000000000006</v>
          </cell>
          <cell r="X41772" t="str">
            <v>Variation UPR - gross</v>
          </cell>
          <cell r="Y41772" t="str">
            <v>NEW ZEALAND</v>
          </cell>
        </row>
        <row r="41773">
          <cell r="L41773" t="str">
            <v>Non-proportional</v>
          </cell>
          <cell r="S41773">
            <v>-6214.76</v>
          </cell>
          <cell r="X41773" t="str">
            <v>Variation UPR - gross</v>
          </cell>
          <cell r="Y41773" t="str">
            <v>MEXICO</v>
          </cell>
        </row>
        <row r="41774">
          <cell r="L41774" t="str">
            <v>Non-proportional</v>
          </cell>
          <cell r="S41774">
            <v>-192601.96</v>
          </cell>
          <cell r="X41774" t="str">
            <v>Variation UPR - gross</v>
          </cell>
          <cell r="Y41774" t="str">
            <v>PORTUGAL</v>
          </cell>
        </row>
        <row r="41775">
          <cell r="L41775" t="str">
            <v>Non-proportional</v>
          </cell>
          <cell r="S41775">
            <v>-2202.35</v>
          </cell>
          <cell r="X41775" t="str">
            <v>Variation UPR - gross</v>
          </cell>
          <cell r="Y41775" t="str">
            <v>CHINA</v>
          </cell>
        </row>
        <row r="41776">
          <cell r="L41776" t="str">
            <v>Proportional</v>
          </cell>
          <cell r="S41776">
            <v>-3.03</v>
          </cell>
          <cell r="X41776" t="str">
            <v>Variation UPR - gross</v>
          </cell>
          <cell r="Y41776" t="str">
            <v>Ireland</v>
          </cell>
        </row>
        <row r="41777">
          <cell r="L41777" t="str">
            <v>Non-proportional</v>
          </cell>
          <cell r="S41777">
            <v>-4857.76</v>
          </cell>
          <cell r="X41777" t="str">
            <v>Variation UPR - gross</v>
          </cell>
          <cell r="Y41777" t="str">
            <v>UNITED KINGDOM</v>
          </cell>
        </row>
        <row r="41778">
          <cell r="L41778" t="str">
            <v>Non-proportional</v>
          </cell>
          <cell r="S41778">
            <v>-885.11</v>
          </cell>
          <cell r="X41778" t="str">
            <v>Variation UPR - gross</v>
          </cell>
          <cell r="Y41778" t="str">
            <v>PUERTO RICO</v>
          </cell>
        </row>
        <row r="41779">
          <cell r="L41779" t="str">
            <v>Non-proportional</v>
          </cell>
          <cell r="S41779">
            <v>-1785.21</v>
          </cell>
          <cell r="X41779" t="str">
            <v>Variation UPR - gross</v>
          </cell>
          <cell r="Y41779" t="str">
            <v>JAPAN</v>
          </cell>
        </row>
        <row r="41780">
          <cell r="L41780" t="str">
            <v>Non-proportional</v>
          </cell>
          <cell r="S41780">
            <v>-12292.35</v>
          </cell>
          <cell r="X41780" t="str">
            <v>Variation UPR - gross</v>
          </cell>
          <cell r="Y41780" t="str">
            <v>NEW ZEALAND</v>
          </cell>
        </row>
        <row r="41781">
          <cell r="L41781" t="str">
            <v>Non-proportional</v>
          </cell>
          <cell r="S41781">
            <v>-36.46</v>
          </cell>
          <cell r="X41781" t="str">
            <v>Variation UPR - gross</v>
          </cell>
          <cell r="Y41781" t="str">
            <v>COSTA RICA</v>
          </cell>
        </row>
        <row r="41782">
          <cell r="L41782" t="str">
            <v>Non-proportional</v>
          </cell>
          <cell r="S41782">
            <v>-4062.82</v>
          </cell>
          <cell r="X41782" t="str">
            <v>Variation UPR - gross</v>
          </cell>
          <cell r="Y41782" t="str">
            <v>COLOMBIA</v>
          </cell>
        </row>
        <row r="41783">
          <cell r="L41783" t="str">
            <v>Proportional</v>
          </cell>
          <cell r="S41783">
            <v>-27733.48</v>
          </cell>
          <cell r="X41783" t="str">
            <v>Variation UPR - gross</v>
          </cell>
          <cell r="Y41783" t="str">
            <v>BELGIUM</v>
          </cell>
        </row>
        <row r="41784">
          <cell r="L41784" t="str">
            <v>Non-proportional</v>
          </cell>
          <cell r="S41784">
            <v>-5676.15</v>
          </cell>
          <cell r="X41784" t="str">
            <v>Variation UPR - gross</v>
          </cell>
          <cell r="Y41784" t="str">
            <v>THAILAND</v>
          </cell>
        </row>
        <row r="41785">
          <cell r="L41785" t="str">
            <v>Non-proportional</v>
          </cell>
          <cell r="S41785">
            <v>-3593.75</v>
          </cell>
          <cell r="X41785" t="str">
            <v>Variation UPR - gross</v>
          </cell>
          <cell r="Y41785" t="str">
            <v>GREECE</v>
          </cell>
        </row>
        <row r="41786">
          <cell r="L41786" t="str">
            <v>Non-proportional</v>
          </cell>
          <cell r="S41786">
            <v>-3140.95</v>
          </cell>
          <cell r="X41786" t="str">
            <v>Variation UPR - gross</v>
          </cell>
          <cell r="Y41786" t="str">
            <v>CHILE</v>
          </cell>
        </row>
        <row r="41787">
          <cell r="L41787" t="str">
            <v>Non-proportional</v>
          </cell>
          <cell r="S41787">
            <v>0.01</v>
          </cell>
          <cell r="X41787" t="str">
            <v>Variation UPR - gross</v>
          </cell>
          <cell r="Y41787" t="str">
            <v>DOMINICAN REPUBLIC</v>
          </cell>
        </row>
        <row r="41788">
          <cell r="L41788" t="str">
            <v>Non-proportional</v>
          </cell>
          <cell r="S41788">
            <v>-10374.129999999999</v>
          </cell>
          <cell r="X41788" t="str">
            <v>Variation UPR - gross</v>
          </cell>
          <cell r="Y41788" t="str">
            <v>COLOMBIA</v>
          </cell>
        </row>
        <row r="41789">
          <cell r="L41789" t="str">
            <v>Non-proportional</v>
          </cell>
          <cell r="S41789">
            <v>-13777.35</v>
          </cell>
          <cell r="X41789" t="str">
            <v>Variation UPR - gross</v>
          </cell>
          <cell r="Y41789" t="str">
            <v>ISRAEL</v>
          </cell>
        </row>
        <row r="41790">
          <cell r="L41790" t="str">
            <v>Non-proportional</v>
          </cell>
          <cell r="S41790">
            <v>-847</v>
          </cell>
          <cell r="X41790" t="str">
            <v>Variation UPR - gross</v>
          </cell>
          <cell r="Y41790" t="str">
            <v>CHILE</v>
          </cell>
        </row>
        <row r="41791">
          <cell r="L41791" t="str">
            <v>Non-proportional</v>
          </cell>
          <cell r="S41791">
            <v>-43537.760000000002</v>
          </cell>
          <cell r="X41791" t="str">
            <v>Variation UPR - gross</v>
          </cell>
          <cell r="Y41791" t="str">
            <v>UNITED KINGDOM</v>
          </cell>
        </row>
        <row r="41792">
          <cell r="L41792" t="str">
            <v>Non-proportional</v>
          </cell>
          <cell r="S41792">
            <v>0.04</v>
          </cell>
          <cell r="X41792" t="str">
            <v>Variation UPR - gross</v>
          </cell>
          <cell r="Y41792" t="str">
            <v>DOMINICAN REPUBLIC</v>
          </cell>
        </row>
        <row r="41793">
          <cell r="L41793" t="str">
            <v>Non-proportional</v>
          </cell>
          <cell r="S41793">
            <v>-182021.67</v>
          </cell>
          <cell r="X41793" t="str">
            <v>Variation UPR - gross</v>
          </cell>
          <cell r="Y41793" t="str">
            <v>PORTUGAL</v>
          </cell>
        </row>
        <row r="41794">
          <cell r="L41794" t="str">
            <v>Non-proportional</v>
          </cell>
          <cell r="S41794">
            <v>70.900000000000006</v>
          </cell>
          <cell r="X41794" t="str">
            <v>Variation UPR - gross</v>
          </cell>
          <cell r="Y41794" t="str">
            <v>NEW ZEALAND</v>
          </cell>
        </row>
        <row r="41795">
          <cell r="L41795" t="str">
            <v>Non-proportional</v>
          </cell>
          <cell r="S41795">
            <v>-3126.85</v>
          </cell>
          <cell r="X41795" t="str">
            <v>Variation UPR - gross</v>
          </cell>
          <cell r="Y41795" t="str">
            <v>FRANCE</v>
          </cell>
        </row>
        <row r="41796">
          <cell r="L41796" t="str">
            <v>Non-proportional</v>
          </cell>
          <cell r="S41796">
            <v>-1465.56</v>
          </cell>
          <cell r="X41796" t="str">
            <v>Variation UPR - gross</v>
          </cell>
          <cell r="Y41796" t="str">
            <v>GUATEMALA</v>
          </cell>
        </row>
        <row r="41797">
          <cell r="L41797" t="str">
            <v>Non-proportional</v>
          </cell>
          <cell r="S41797">
            <v>-10974.83</v>
          </cell>
          <cell r="X41797" t="str">
            <v>Variation UPR - gross</v>
          </cell>
          <cell r="Y41797" t="str">
            <v>GERMANY</v>
          </cell>
        </row>
        <row r="41798">
          <cell r="L41798" t="str">
            <v>Proportional</v>
          </cell>
          <cell r="S41798">
            <v>58062.239999999998</v>
          </cell>
          <cell r="X41798" t="str">
            <v>Variation UPR - gross</v>
          </cell>
          <cell r="Y41798" t="str">
            <v>SWITZERLAND</v>
          </cell>
        </row>
        <row r="41799">
          <cell r="L41799" t="str">
            <v>Non-proportional</v>
          </cell>
          <cell r="S41799">
            <v>-89938.33</v>
          </cell>
          <cell r="X41799" t="str">
            <v>Variation UPR - gross</v>
          </cell>
          <cell r="Y41799" t="str">
            <v>PORTUGAL</v>
          </cell>
        </row>
        <row r="41800">
          <cell r="L41800" t="str">
            <v>Non-proportional</v>
          </cell>
          <cell r="S41800">
            <v>-843.75</v>
          </cell>
          <cell r="X41800" t="str">
            <v>Variation UPR - gross</v>
          </cell>
          <cell r="Y41800" t="str">
            <v>GREECE</v>
          </cell>
        </row>
        <row r="41801">
          <cell r="L41801" t="str">
            <v>Non-proportional</v>
          </cell>
          <cell r="S41801">
            <v>-710.33</v>
          </cell>
          <cell r="X41801" t="str">
            <v>Variation UPR - gross</v>
          </cell>
          <cell r="Y41801" t="str">
            <v>JAPAN</v>
          </cell>
        </row>
        <row r="41802">
          <cell r="L41802" t="str">
            <v>Non-proportional</v>
          </cell>
          <cell r="S41802">
            <v>-12099.13</v>
          </cell>
          <cell r="X41802" t="str">
            <v>Variation UPR - gross</v>
          </cell>
          <cell r="Y41802" t="str">
            <v>COSTA RICA</v>
          </cell>
        </row>
        <row r="41803">
          <cell r="L41803" t="str">
            <v>Non-proportional</v>
          </cell>
          <cell r="S41803">
            <v>-1580.65</v>
          </cell>
          <cell r="X41803" t="str">
            <v>Variation UPR - gross</v>
          </cell>
          <cell r="Y41803" t="str">
            <v>DOMINICAN REPUBLIC</v>
          </cell>
        </row>
        <row r="41804">
          <cell r="L41804" t="str">
            <v>Non-proportional</v>
          </cell>
          <cell r="S41804">
            <v>-5001.13</v>
          </cell>
          <cell r="X41804" t="str">
            <v>Variation UPR - gross</v>
          </cell>
          <cell r="Y41804" t="str">
            <v>ITALY</v>
          </cell>
        </row>
        <row r="41805">
          <cell r="L41805" t="str">
            <v>Non-proportional</v>
          </cell>
          <cell r="S41805">
            <v>-9813.67</v>
          </cell>
          <cell r="X41805" t="str">
            <v>Variation UPR - gross</v>
          </cell>
          <cell r="Y41805" t="str">
            <v>DOMINICAN REPUBLIC</v>
          </cell>
        </row>
        <row r="41806">
          <cell r="L41806" t="str">
            <v>Non-proportional</v>
          </cell>
          <cell r="S41806">
            <v>232.43</v>
          </cell>
          <cell r="X41806" t="str">
            <v>Variation UPR - gross</v>
          </cell>
          <cell r="Y41806" t="str">
            <v>SOUTH KOREA</v>
          </cell>
        </row>
        <row r="41807">
          <cell r="L41807" t="str">
            <v>Non-proportional</v>
          </cell>
          <cell r="S41807">
            <v>0.03</v>
          </cell>
          <cell r="X41807" t="str">
            <v>Variation UPR - gross</v>
          </cell>
          <cell r="Y41807" t="str">
            <v>COLOMBIA</v>
          </cell>
        </row>
        <row r="41808">
          <cell r="L41808" t="str">
            <v>Non-proportional</v>
          </cell>
          <cell r="S41808">
            <v>0.05</v>
          </cell>
          <cell r="X41808" t="str">
            <v>Variation UPR - gross</v>
          </cell>
          <cell r="Y41808" t="str">
            <v>INDIA</v>
          </cell>
        </row>
        <row r="41809">
          <cell r="L41809" t="str">
            <v>Non-proportional</v>
          </cell>
          <cell r="S41809">
            <v>-11863.23</v>
          </cell>
          <cell r="X41809" t="str">
            <v>Variation UPR - gross</v>
          </cell>
          <cell r="Y41809" t="str">
            <v>EUROPE</v>
          </cell>
        </row>
        <row r="41810">
          <cell r="L41810" t="str">
            <v>Non-proportional</v>
          </cell>
          <cell r="S41810">
            <v>-3730.76</v>
          </cell>
          <cell r="X41810" t="str">
            <v>Variation UPR - gross</v>
          </cell>
          <cell r="Y41810" t="str">
            <v>THAILAND</v>
          </cell>
        </row>
        <row r="41811">
          <cell r="L41811" t="str">
            <v>Non-proportional</v>
          </cell>
          <cell r="S41811">
            <v>-931.12</v>
          </cell>
          <cell r="X41811" t="str">
            <v>Variation UPR - gross</v>
          </cell>
          <cell r="Y41811" t="str">
            <v>ECUADOR</v>
          </cell>
        </row>
        <row r="41812">
          <cell r="L41812" t="str">
            <v>Non-proportional</v>
          </cell>
          <cell r="S41812">
            <v>-8238.26</v>
          </cell>
          <cell r="X41812" t="str">
            <v>Variation UPR - gross</v>
          </cell>
          <cell r="Y41812" t="str">
            <v>ITALY</v>
          </cell>
        </row>
        <row r="41813">
          <cell r="L41813" t="str">
            <v>Non-proportional</v>
          </cell>
          <cell r="S41813">
            <v>30.3</v>
          </cell>
          <cell r="X41813" t="str">
            <v>Variation UPR - gross</v>
          </cell>
          <cell r="Y41813" t="str">
            <v>JAPAN</v>
          </cell>
        </row>
        <row r="41814">
          <cell r="L41814" t="str">
            <v>Non-proportional</v>
          </cell>
          <cell r="S41814">
            <v>-4745.6400000000003</v>
          </cell>
          <cell r="X41814" t="str">
            <v>Variation UPR - gross</v>
          </cell>
          <cell r="Y41814" t="str">
            <v>ECUADOR</v>
          </cell>
        </row>
        <row r="41815">
          <cell r="L41815" t="str">
            <v>Non-proportional</v>
          </cell>
          <cell r="S41815">
            <v>-5526.63</v>
          </cell>
          <cell r="X41815" t="str">
            <v>Variation UPR - gross</v>
          </cell>
          <cell r="Y41815" t="str">
            <v>SINGAPORE</v>
          </cell>
        </row>
        <row r="41816">
          <cell r="L41816" t="str">
            <v>Proportional</v>
          </cell>
          <cell r="S41816">
            <v>-6240</v>
          </cell>
          <cell r="X41816" t="str">
            <v>Variation UPR - gross</v>
          </cell>
          <cell r="Y41816" t="str">
            <v>SPAIN</v>
          </cell>
        </row>
        <row r="41817">
          <cell r="L41817" t="str">
            <v>Non-proportional</v>
          </cell>
          <cell r="S41817">
            <v>-11862.04</v>
          </cell>
          <cell r="X41817" t="str">
            <v>Variation UPR - gross</v>
          </cell>
          <cell r="Y41817" t="str">
            <v>INDIA</v>
          </cell>
        </row>
        <row r="41818">
          <cell r="L41818" t="str">
            <v>Non-proportional</v>
          </cell>
          <cell r="S41818">
            <v>-1865.93</v>
          </cell>
          <cell r="X41818" t="str">
            <v>Variation UPR - gross</v>
          </cell>
          <cell r="Y41818" t="str">
            <v>ISRAEL</v>
          </cell>
        </row>
        <row r="41819">
          <cell r="L41819" t="str">
            <v>Non-proportional</v>
          </cell>
          <cell r="S41819">
            <v>-8855</v>
          </cell>
          <cell r="X41819" t="str">
            <v>Variation UPR - gross</v>
          </cell>
          <cell r="Y41819" t="str">
            <v>GERMANY</v>
          </cell>
        </row>
        <row r="41820">
          <cell r="L41820" t="str">
            <v>Non-proportional</v>
          </cell>
          <cell r="S41820">
            <v>-9178.3799999999992</v>
          </cell>
          <cell r="X41820" t="str">
            <v>Variation UPR - gross</v>
          </cell>
          <cell r="Y41820" t="str">
            <v>FRANCE</v>
          </cell>
        </row>
        <row r="41821">
          <cell r="L41821" t="str">
            <v>Non-proportional</v>
          </cell>
          <cell r="S41821">
            <v>0.01</v>
          </cell>
          <cell r="X41821" t="str">
            <v>Variation UPR - gross</v>
          </cell>
          <cell r="Y41821" t="str">
            <v>DOMINICAN REPUBLIC</v>
          </cell>
        </row>
        <row r="41822">
          <cell r="L41822" t="str">
            <v>Non-proportional</v>
          </cell>
          <cell r="S41822">
            <v>214.35</v>
          </cell>
          <cell r="X41822" t="str">
            <v>Variation UPR - gross</v>
          </cell>
          <cell r="Y41822" t="str">
            <v>JAPAN</v>
          </cell>
        </row>
        <row r="41823">
          <cell r="L41823" t="str">
            <v>Proportional</v>
          </cell>
          <cell r="S41823">
            <v>558.72</v>
          </cell>
          <cell r="X41823" t="str">
            <v>Variation UPR - gross</v>
          </cell>
          <cell r="Y41823" t="str">
            <v>INDIA</v>
          </cell>
        </row>
        <row r="41824">
          <cell r="L41824" t="str">
            <v>Non-proportional</v>
          </cell>
          <cell r="S41824">
            <v>-2188.08</v>
          </cell>
          <cell r="X41824" t="str">
            <v>Variation UPR - gross</v>
          </cell>
          <cell r="Y41824" t="str">
            <v>CHILE</v>
          </cell>
        </row>
        <row r="41825">
          <cell r="L41825" t="str">
            <v>Non-proportional</v>
          </cell>
          <cell r="S41825">
            <v>810.71</v>
          </cell>
          <cell r="X41825" t="str">
            <v>Variation UPR - gross</v>
          </cell>
          <cell r="Y41825" t="str">
            <v>DOMINICAN REPUBLIC</v>
          </cell>
        </row>
        <row r="41826">
          <cell r="L41826" t="str">
            <v>Non-proportional</v>
          </cell>
          <cell r="S41826">
            <v>-1546248.92</v>
          </cell>
          <cell r="X41826" t="str">
            <v>Variation UPR - gross</v>
          </cell>
          <cell r="Y41826" t="str">
            <v>BELGIUM</v>
          </cell>
        </row>
        <row r="41827">
          <cell r="L41827" t="str">
            <v>Proportional</v>
          </cell>
          <cell r="S41827">
            <v>-1322387.05</v>
          </cell>
          <cell r="X41827" t="str">
            <v>Variation UPR - gross</v>
          </cell>
          <cell r="Y41827" t="str">
            <v>SWITZERLAND</v>
          </cell>
        </row>
        <row r="41828">
          <cell r="L41828" t="str">
            <v>Non-proportional</v>
          </cell>
          <cell r="S41828">
            <v>-39416.92</v>
          </cell>
          <cell r="X41828" t="str">
            <v>Variation UPR - gross</v>
          </cell>
          <cell r="Y41828" t="str">
            <v>UNITED KINGDOM</v>
          </cell>
        </row>
        <row r="41829">
          <cell r="L41829" t="str">
            <v>Proportional</v>
          </cell>
          <cell r="S41829">
            <v>-367522853</v>
          </cell>
          <cell r="X41829" t="str">
            <v>Variation UPR - gross</v>
          </cell>
          <cell r="Y41829" t="str">
            <v>ITALY</v>
          </cell>
        </row>
        <row r="41830">
          <cell r="L41830" t="str">
            <v>Non-proportional</v>
          </cell>
          <cell r="S41830">
            <v>-4859.05</v>
          </cell>
          <cell r="X41830" t="str">
            <v>Variation UPR - gross</v>
          </cell>
          <cell r="Y41830" t="str">
            <v>ISRAEL</v>
          </cell>
        </row>
        <row r="41831">
          <cell r="L41831" t="str">
            <v>Non-proportional</v>
          </cell>
          <cell r="S41831">
            <v>-2454.87</v>
          </cell>
          <cell r="X41831" t="str">
            <v>Variation UPR - gross</v>
          </cell>
          <cell r="Y41831" t="str">
            <v>MEXICO</v>
          </cell>
        </row>
        <row r="41832">
          <cell r="L41832" t="str">
            <v>Non-proportional</v>
          </cell>
          <cell r="S41832">
            <v>68.900000000000006</v>
          </cell>
          <cell r="X41832" t="str">
            <v>Variation UPR - gross</v>
          </cell>
          <cell r="Y41832" t="str">
            <v>JAPAN</v>
          </cell>
        </row>
        <row r="41833">
          <cell r="L41833" t="str">
            <v>Non-proportional</v>
          </cell>
          <cell r="S41833">
            <v>79.77</v>
          </cell>
          <cell r="X41833" t="str">
            <v>Variation UPR - gross</v>
          </cell>
          <cell r="Y41833" t="str">
            <v>JAPAN</v>
          </cell>
        </row>
        <row r="41834">
          <cell r="L41834" t="str">
            <v>Non-proportional</v>
          </cell>
          <cell r="S41834">
            <v>-323.73</v>
          </cell>
          <cell r="X41834" t="str">
            <v>Variation UPR - gross</v>
          </cell>
          <cell r="Y41834" t="str">
            <v>TURKEY</v>
          </cell>
        </row>
        <row r="41835">
          <cell r="L41835" t="str">
            <v>Non-proportional</v>
          </cell>
          <cell r="S41835">
            <v>-2377.8200000000002</v>
          </cell>
          <cell r="X41835" t="str">
            <v>Variation UPR - gross</v>
          </cell>
          <cell r="Y41835" t="str">
            <v>UNITED KINGDOM</v>
          </cell>
        </row>
        <row r="41836">
          <cell r="L41836" t="str">
            <v>Proportional</v>
          </cell>
          <cell r="S41836">
            <v>-181.51</v>
          </cell>
          <cell r="X41836" t="str">
            <v>Variation UPR - gross</v>
          </cell>
          <cell r="Y41836" t="str">
            <v>THAILAND</v>
          </cell>
        </row>
        <row r="41837">
          <cell r="L41837" t="str">
            <v>Non-proportional</v>
          </cell>
          <cell r="S41837">
            <v>-70.58</v>
          </cell>
          <cell r="X41837" t="str">
            <v>Variation UPR - gross</v>
          </cell>
          <cell r="Y41837" t="str">
            <v>CHILE</v>
          </cell>
        </row>
        <row r="41838">
          <cell r="L41838" t="str">
            <v>Non-proportional</v>
          </cell>
          <cell r="S41838">
            <v>-18185.259999999998</v>
          </cell>
          <cell r="X41838" t="str">
            <v>Variation UPR - gross</v>
          </cell>
          <cell r="Y41838" t="str">
            <v>PUERTO RICO</v>
          </cell>
        </row>
        <row r="41839">
          <cell r="L41839" t="str">
            <v>Non-proportional</v>
          </cell>
          <cell r="S41839">
            <v>-15.7</v>
          </cell>
          <cell r="X41839" t="str">
            <v>Variation UPR - gross</v>
          </cell>
          <cell r="Y41839" t="str">
            <v>ISRAEL</v>
          </cell>
        </row>
        <row r="41840">
          <cell r="L41840" t="str">
            <v>Non-proportional</v>
          </cell>
          <cell r="S41840">
            <v>-15465.75</v>
          </cell>
          <cell r="X41840" t="str">
            <v>Variation UPR - gross</v>
          </cell>
          <cell r="Y41840" t="str">
            <v>NEW ZEALAND</v>
          </cell>
        </row>
        <row r="41841">
          <cell r="L41841" t="str">
            <v>Non-proportional</v>
          </cell>
          <cell r="S41841">
            <v>-11191.22</v>
          </cell>
          <cell r="X41841" t="str">
            <v>Variation UPR - gross</v>
          </cell>
          <cell r="Y41841" t="str">
            <v>AUSTRALIA</v>
          </cell>
        </row>
        <row r="41842">
          <cell r="L41842" t="str">
            <v>Non-proportional</v>
          </cell>
          <cell r="S41842">
            <v>-6458.36</v>
          </cell>
          <cell r="X41842" t="str">
            <v>Variation UPR - gross</v>
          </cell>
          <cell r="Y41842" t="str">
            <v>CHILE</v>
          </cell>
        </row>
        <row r="41843">
          <cell r="L41843" t="str">
            <v>Non-proportional</v>
          </cell>
          <cell r="S41843">
            <v>-1172.3</v>
          </cell>
          <cell r="X41843" t="str">
            <v>Variation UPR - gross</v>
          </cell>
          <cell r="Y41843" t="str">
            <v>FRANCE</v>
          </cell>
        </row>
        <row r="41844">
          <cell r="L41844" t="str">
            <v>Non-proportional</v>
          </cell>
          <cell r="S41844">
            <v>-747.41</v>
          </cell>
          <cell r="X41844" t="str">
            <v>Variation UPR - gross</v>
          </cell>
          <cell r="Y41844" t="str">
            <v>INDIA</v>
          </cell>
        </row>
        <row r="41845">
          <cell r="L41845" t="str">
            <v>Non-proportional</v>
          </cell>
          <cell r="S41845">
            <v>-2797.87</v>
          </cell>
          <cell r="X41845" t="str">
            <v>Variation UPR - gross</v>
          </cell>
          <cell r="Y41845" t="str">
            <v>AUSTRALIA</v>
          </cell>
        </row>
        <row r="41846">
          <cell r="L41846" t="str">
            <v>Non-proportional</v>
          </cell>
          <cell r="S41846">
            <v>-10499.88</v>
          </cell>
          <cell r="X41846" t="str">
            <v>Variation UPR - gross</v>
          </cell>
          <cell r="Y41846" t="str">
            <v>ITALY</v>
          </cell>
        </row>
        <row r="41847">
          <cell r="L41847" t="str">
            <v>Non-proportional</v>
          </cell>
          <cell r="S41847">
            <v>-66.14</v>
          </cell>
          <cell r="X41847" t="str">
            <v>Variation UPR - gross</v>
          </cell>
          <cell r="Y41847" t="str">
            <v>ISRAEL</v>
          </cell>
        </row>
        <row r="41848">
          <cell r="L41848" t="str">
            <v>Non-proportional</v>
          </cell>
          <cell r="S41848">
            <v>-4364.2700000000004</v>
          </cell>
          <cell r="X41848" t="str">
            <v>Variation UPR - gross</v>
          </cell>
          <cell r="Y41848" t="str">
            <v>COSTA RICA</v>
          </cell>
        </row>
        <row r="41849">
          <cell r="L41849" t="str">
            <v>Non-proportional</v>
          </cell>
          <cell r="S41849">
            <v>-3200.38</v>
          </cell>
          <cell r="X41849" t="str">
            <v>Variation UPR - gross</v>
          </cell>
          <cell r="Y41849" t="str">
            <v>DOMINICAN REPUBLIC</v>
          </cell>
        </row>
        <row r="41850">
          <cell r="L41850" t="str">
            <v>Proportional</v>
          </cell>
          <cell r="S41850">
            <v>-599.96</v>
          </cell>
          <cell r="X41850" t="str">
            <v>Variation UPR - gross</v>
          </cell>
          <cell r="Y41850" t="str">
            <v>CHILE</v>
          </cell>
        </row>
        <row r="41851">
          <cell r="L41851" t="str">
            <v>Non-proportional</v>
          </cell>
          <cell r="S41851">
            <v>-2275.38</v>
          </cell>
          <cell r="X41851" t="str">
            <v>Variation UPR - gross</v>
          </cell>
          <cell r="Y41851" t="str">
            <v>UNITED KINGDOM</v>
          </cell>
        </row>
        <row r="41852">
          <cell r="L41852" t="str">
            <v>Non-proportional</v>
          </cell>
          <cell r="S41852">
            <v>-2517.67</v>
          </cell>
          <cell r="X41852" t="str">
            <v>Variation UPR - gross</v>
          </cell>
          <cell r="Y41852" t="str">
            <v>ITALY</v>
          </cell>
        </row>
        <row r="41853">
          <cell r="L41853" t="str">
            <v>Proportional</v>
          </cell>
          <cell r="S41853">
            <v>-20705.46</v>
          </cell>
          <cell r="X41853" t="str">
            <v>Variation UPR - gross</v>
          </cell>
          <cell r="Y41853" t="str">
            <v>THAILAND</v>
          </cell>
        </row>
        <row r="41854">
          <cell r="L41854" t="str">
            <v>Proportional</v>
          </cell>
          <cell r="S41854">
            <v>-1865.47</v>
          </cell>
          <cell r="X41854" t="str">
            <v>Variation UPR - gross</v>
          </cell>
          <cell r="Y41854" t="str">
            <v>PERU</v>
          </cell>
        </row>
        <row r="41855">
          <cell r="L41855" t="str">
            <v>Non-proportional</v>
          </cell>
          <cell r="S41855">
            <v>-5151.8999999999996</v>
          </cell>
          <cell r="X41855" t="str">
            <v>Variation UPR - gross</v>
          </cell>
          <cell r="Y41855" t="str">
            <v>ITALY</v>
          </cell>
        </row>
        <row r="41856">
          <cell r="L41856" t="str">
            <v>Non-proportional</v>
          </cell>
          <cell r="S41856">
            <v>-699.46</v>
          </cell>
          <cell r="X41856" t="str">
            <v>Variation UPR - gross</v>
          </cell>
          <cell r="Y41856" t="str">
            <v>AUSTRALIA</v>
          </cell>
        </row>
        <row r="41857">
          <cell r="L41857" t="str">
            <v>Non-proportional</v>
          </cell>
          <cell r="S41857">
            <v>0.02</v>
          </cell>
          <cell r="X41857" t="str">
            <v>Variation UPR - gross</v>
          </cell>
          <cell r="Y41857" t="str">
            <v>COLOMBIA</v>
          </cell>
        </row>
        <row r="41858">
          <cell r="L41858" t="str">
            <v>Non-proportional</v>
          </cell>
          <cell r="S41858">
            <v>-1669.71</v>
          </cell>
          <cell r="X41858" t="str">
            <v>Variation UPR - gross</v>
          </cell>
          <cell r="Y41858" t="str">
            <v>JAPAN</v>
          </cell>
        </row>
        <row r="41859">
          <cell r="L41859" t="str">
            <v>Proportional</v>
          </cell>
          <cell r="S41859">
            <v>92.15</v>
          </cell>
          <cell r="X41859" t="str">
            <v>Variation UPR - gross</v>
          </cell>
          <cell r="Y41859" t="str">
            <v>UNITED STATES</v>
          </cell>
        </row>
        <row r="41860">
          <cell r="L41860" t="str">
            <v>Non-proportional</v>
          </cell>
          <cell r="S41860">
            <v>-15042.95</v>
          </cell>
          <cell r="X41860" t="str">
            <v>Variation UPR - gross</v>
          </cell>
          <cell r="Y41860" t="str">
            <v>FRANCE</v>
          </cell>
        </row>
        <row r="41861">
          <cell r="L41861" t="str">
            <v>Non-proportional</v>
          </cell>
          <cell r="S41861">
            <v>-445.39</v>
          </cell>
          <cell r="X41861" t="str">
            <v>Variation UPR - gross</v>
          </cell>
          <cell r="Y41861" t="str">
            <v>UNITED KINGDOM</v>
          </cell>
        </row>
        <row r="41862">
          <cell r="L41862" t="str">
            <v>Non-proportional</v>
          </cell>
          <cell r="S41862">
            <v>-3203.18</v>
          </cell>
          <cell r="X41862" t="str">
            <v>Variation UPR - gross</v>
          </cell>
          <cell r="Y41862" t="str">
            <v>UNITED KINGDOM</v>
          </cell>
        </row>
        <row r="41863">
          <cell r="L41863" t="str">
            <v>Non-proportional</v>
          </cell>
          <cell r="S41863">
            <v>-192.05</v>
          </cell>
          <cell r="X41863" t="str">
            <v>Variation UPR - gross</v>
          </cell>
          <cell r="Y41863" t="str">
            <v>JAPAN</v>
          </cell>
        </row>
        <row r="41864">
          <cell r="L41864" t="str">
            <v>Non-proportional</v>
          </cell>
          <cell r="S41864">
            <v>-4078.13</v>
          </cell>
          <cell r="X41864" t="str">
            <v>Variation UPR - gross</v>
          </cell>
          <cell r="Y41864" t="str">
            <v>GREECE</v>
          </cell>
        </row>
        <row r="41865">
          <cell r="L41865" t="str">
            <v>Non-proportional</v>
          </cell>
          <cell r="S41865">
            <v>-3454.16</v>
          </cell>
          <cell r="X41865" t="str">
            <v>Variation UPR - gross</v>
          </cell>
          <cell r="Y41865" t="str">
            <v>ISRAEL</v>
          </cell>
        </row>
        <row r="41866">
          <cell r="L41866" t="str">
            <v>Non-proportional</v>
          </cell>
          <cell r="S41866">
            <v>-167.45</v>
          </cell>
          <cell r="X41866" t="str">
            <v>Variation UPR - gross</v>
          </cell>
          <cell r="Y41866" t="str">
            <v>FRANCE</v>
          </cell>
        </row>
        <row r="41867">
          <cell r="L41867" t="str">
            <v>Non-proportional</v>
          </cell>
          <cell r="S41867">
            <v>-9646.69</v>
          </cell>
          <cell r="X41867" t="str">
            <v>Variation UPR - gross</v>
          </cell>
          <cell r="Y41867" t="str">
            <v>AUSTRALIA</v>
          </cell>
        </row>
        <row r="41868">
          <cell r="L41868" t="str">
            <v>Proportional</v>
          </cell>
          <cell r="S41868">
            <v>-3148.53</v>
          </cell>
          <cell r="X41868" t="str">
            <v>Variation UPR - gross</v>
          </cell>
          <cell r="Y41868" t="str">
            <v>ITALY</v>
          </cell>
        </row>
        <row r="41869">
          <cell r="L41869" t="str">
            <v>Non-proportional</v>
          </cell>
          <cell r="S41869">
            <v>53.14</v>
          </cell>
          <cell r="X41869" t="str">
            <v>Variation UPR - gross</v>
          </cell>
          <cell r="Y41869" t="str">
            <v>JAPAN</v>
          </cell>
        </row>
        <row r="41870">
          <cell r="L41870" t="str">
            <v>Proportional</v>
          </cell>
          <cell r="S41870">
            <v>115106.16</v>
          </cell>
          <cell r="X41870" t="str">
            <v>Variation UPR - gross</v>
          </cell>
          <cell r="Y41870" t="str">
            <v>INDIA</v>
          </cell>
        </row>
        <row r="41871">
          <cell r="L41871" t="str">
            <v>Non-proportional</v>
          </cell>
          <cell r="S41871">
            <v>-2999.74</v>
          </cell>
          <cell r="X41871" t="str">
            <v>Variation UPR - gross</v>
          </cell>
          <cell r="Y41871" t="str">
            <v>NETHERLANDS</v>
          </cell>
        </row>
        <row r="41872">
          <cell r="L41872" t="str">
            <v>Non-proportional</v>
          </cell>
          <cell r="S41872">
            <v>-10000</v>
          </cell>
          <cell r="X41872" t="str">
            <v>Variation UPR - gross</v>
          </cell>
          <cell r="Y41872" t="str">
            <v>ITALY</v>
          </cell>
        </row>
        <row r="41873">
          <cell r="L41873" t="str">
            <v>Non-proportional</v>
          </cell>
          <cell r="S41873">
            <v>-375.42</v>
          </cell>
          <cell r="X41873" t="str">
            <v>Variation UPR - gross</v>
          </cell>
          <cell r="Y41873" t="str">
            <v>ITALY</v>
          </cell>
        </row>
        <row r="41874">
          <cell r="L41874" t="str">
            <v>Non-proportional</v>
          </cell>
          <cell r="S41874">
            <v>-1302.8900000000001</v>
          </cell>
          <cell r="X41874" t="str">
            <v>Variation UPR - gross</v>
          </cell>
          <cell r="Y41874" t="str">
            <v>JAPAN</v>
          </cell>
        </row>
        <row r="41875">
          <cell r="L41875" t="str">
            <v>Non-proportional</v>
          </cell>
          <cell r="S41875">
            <v>-0.01</v>
          </cell>
          <cell r="X41875" t="str">
            <v>Variation UPR - gross</v>
          </cell>
          <cell r="Y41875" t="str">
            <v>BELIZE</v>
          </cell>
        </row>
        <row r="41876">
          <cell r="L41876" t="str">
            <v>Non-proportional</v>
          </cell>
          <cell r="S41876">
            <v>-14483.94</v>
          </cell>
          <cell r="X41876" t="str">
            <v>Variation UPR - gross</v>
          </cell>
          <cell r="Y41876" t="str">
            <v>FRANCE</v>
          </cell>
        </row>
        <row r="41877">
          <cell r="L41877" t="str">
            <v>Non-proportional</v>
          </cell>
          <cell r="S41877">
            <v>-1330.33</v>
          </cell>
          <cell r="X41877" t="str">
            <v>Variation UPR - gross</v>
          </cell>
          <cell r="Y41877" t="str">
            <v>FRANCE</v>
          </cell>
        </row>
        <row r="41878">
          <cell r="L41878" t="str">
            <v>Non-proportional</v>
          </cell>
          <cell r="S41878">
            <v>-11510.64</v>
          </cell>
          <cell r="X41878" t="str">
            <v>Variation UPR - gross</v>
          </cell>
          <cell r="Y41878" t="str">
            <v>EUROPE</v>
          </cell>
        </row>
        <row r="41879">
          <cell r="L41879" t="str">
            <v>Non-proportional</v>
          </cell>
          <cell r="S41879">
            <v>-42.45</v>
          </cell>
          <cell r="X41879" t="str">
            <v>Variation UPR - gross</v>
          </cell>
          <cell r="Y41879" t="str">
            <v>ISRAEL</v>
          </cell>
        </row>
        <row r="41880">
          <cell r="L41880" t="str">
            <v>Non-proportional</v>
          </cell>
          <cell r="S41880">
            <v>411.64</v>
          </cell>
          <cell r="X41880" t="str">
            <v>Variation UPR - gross</v>
          </cell>
          <cell r="Y41880" t="str">
            <v>NEW ZEALAND</v>
          </cell>
        </row>
        <row r="41881">
          <cell r="L41881" t="str">
            <v>Non-proportional</v>
          </cell>
          <cell r="S41881">
            <v>-17011.79</v>
          </cell>
          <cell r="X41881" t="str">
            <v>Variation UPR - gross</v>
          </cell>
          <cell r="Y41881" t="str">
            <v>JAPAN</v>
          </cell>
        </row>
        <row r="41882">
          <cell r="L41882" t="str">
            <v>Non-proportional</v>
          </cell>
          <cell r="S41882">
            <v>-9618.7900000000009</v>
          </cell>
          <cell r="X41882" t="str">
            <v>Variation UPR - gross</v>
          </cell>
          <cell r="Y41882" t="str">
            <v>PERU</v>
          </cell>
        </row>
        <row r="41883">
          <cell r="L41883"/>
          <cell r="S41883">
            <v>-2372.39</v>
          </cell>
          <cell r="X41883" t="str">
            <v>Variation UPR - gross</v>
          </cell>
          <cell r="Y41883" t="str">
            <v>PORTUGAL</v>
          </cell>
        </row>
        <row r="41884">
          <cell r="L41884" t="str">
            <v>Non-proportional</v>
          </cell>
          <cell r="S41884">
            <v>-33860.93</v>
          </cell>
          <cell r="X41884" t="str">
            <v>Variation UPR - gross</v>
          </cell>
          <cell r="Y41884" t="str">
            <v>UNITED STATES</v>
          </cell>
        </row>
        <row r="41885">
          <cell r="L41885" t="str">
            <v>Non-proportional</v>
          </cell>
          <cell r="S41885">
            <v>24.42</v>
          </cell>
          <cell r="X41885" t="str">
            <v>Variation UPR - gross</v>
          </cell>
          <cell r="Y41885" t="str">
            <v>JAPAN</v>
          </cell>
        </row>
        <row r="41886">
          <cell r="L41886" t="str">
            <v>Proportional</v>
          </cell>
          <cell r="S41886">
            <v>-199747.33</v>
          </cell>
          <cell r="X41886" t="str">
            <v>Variation UPR - gross</v>
          </cell>
          <cell r="Y41886" t="str">
            <v>HONG KONG</v>
          </cell>
        </row>
        <row r="41887">
          <cell r="L41887" t="str">
            <v>Non-proportional</v>
          </cell>
          <cell r="S41887">
            <v>-1468.75</v>
          </cell>
          <cell r="X41887" t="str">
            <v>Variation UPR - gross</v>
          </cell>
          <cell r="Y41887" t="str">
            <v>GREECE</v>
          </cell>
        </row>
        <row r="41888">
          <cell r="L41888" t="str">
            <v>Non-proportional</v>
          </cell>
          <cell r="S41888">
            <v>-74.5</v>
          </cell>
          <cell r="X41888" t="str">
            <v>Variation UPR - gross</v>
          </cell>
          <cell r="Y41888" t="str">
            <v>COLOMBIA</v>
          </cell>
        </row>
        <row r="41889">
          <cell r="L41889" t="str">
            <v>Proportional</v>
          </cell>
          <cell r="S41889">
            <v>128.85</v>
          </cell>
          <cell r="X41889" t="str">
            <v>Variation UPR - gross</v>
          </cell>
          <cell r="Y41889" t="str">
            <v>UNITED STATES</v>
          </cell>
        </row>
        <row r="41890">
          <cell r="L41890" t="str">
            <v>Proportional</v>
          </cell>
          <cell r="S41890">
            <v>-27758.41</v>
          </cell>
          <cell r="X41890" t="str">
            <v>Variation UPR - gross</v>
          </cell>
          <cell r="Y41890" t="str">
            <v>ITALY</v>
          </cell>
        </row>
        <row r="41891">
          <cell r="L41891" t="str">
            <v>Non-proportional</v>
          </cell>
          <cell r="S41891">
            <v>-5075.8599999999997</v>
          </cell>
          <cell r="X41891" t="str">
            <v>Variation UPR - gross</v>
          </cell>
          <cell r="Y41891" t="str">
            <v>COLOMBIA</v>
          </cell>
        </row>
        <row r="41892">
          <cell r="L41892" t="str">
            <v>Non-proportional</v>
          </cell>
          <cell r="S41892">
            <v>-6250</v>
          </cell>
          <cell r="X41892" t="str">
            <v>Variation UPR - gross</v>
          </cell>
          <cell r="Y41892" t="str">
            <v>SPAIN</v>
          </cell>
        </row>
        <row r="41893">
          <cell r="L41893" t="str">
            <v>Non-proportional</v>
          </cell>
          <cell r="S41893">
            <v>-1305.94</v>
          </cell>
          <cell r="X41893" t="str">
            <v>Variation UPR - gross</v>
          </cell>
          <cell r="Y41893" t="str">
            <v>ECUADOR</v>
          </cell>
        </row>
        <row r="41894">
          <cell r="L41894" t="str">
            <v>Non-proportional</v>
          </cell>
          <cell r="S41894">
            <v>-80.2</v>
          </cell>
          <cell r="X41894" t="str">
            <v>Variation UPR - gross</v>
          </cell>
          <cell r="Y41894" t="str">
            <v>COLOMBIA</v>
          </cell>
        </row>
        <row r="41895">
          <cell r="L41895" t="str">
            <v>Non-proportional</v>
          </cell>
          <cell r="S41895">
            <v>-5274.49</v>
          </cell>
          <cell r="X41895" t="str">
            <v>Variation UPR - gross</v>
          </cell>
          <cell r="Y41895" t="str">
            <v>CYPRUS</v>
          </cell>
        </row>
        <row r="41896">
          <cell r="L41896" t="str">
            <v>Non-proportional</v>
          </cell>
          <cell r="S41896">
            <v>-1132.8499999999999</v>
          </cell>
          <cell r="X41896" t="str">
            <v>Variation UPR - gross</v>
          </cell>
          <cell r="Y41896" t="str">
            <v>SOUTH AFRICA</v>
          </cell>
        </row>
        <row r="41897">
          <cell r="L41897" t="str">
            <v>Non-proportional</v>
          </cell>
          <cell r="S41897">
            <v>-7492.29</v>
          </cell>
          <cell r="X41897" t="str">
            <v>Variation UPR - gross</v>
          </cell>
          <cell r="Y41897" t="str">
            <v>FRANCE</v>
          </cell>
        </row>
        <row r="41898">
          <cell r="L41898" t="str">
            <v>Non-proportional</v>
          </cell>
          <cell r="S41898">
            <v>-975</v>
          </cell>
          <cell r="X41898" t="str">
            <v>Variation UPR - gross</v>
          </cell>
          <cell r="Y41898" t="str">
            <v>GREECE</v>
          </cell>
        </row>
        <row r="41899">
          <cell r="L41899" t="str">
            <v>Non-proportional</v>
          </cell>
          <cell r="S41899">
            <v>-5756.83</v>
          </cell>
          <cell r="X41899" t="str">
            <v>Variation UPR - gross</v>
          </cell>
          <cell r="Y41899" t="str">
            <v>COSTA RICA</v>
          </cell>
        </row>
        <row r="41900">
          <cell r="L41900" t="str">
            <v>Proportional</v>
          </cell>
          <cell r="S41900">
            <v>-106982.85</v>
          </cell>
          <cell r="X41900" t="str">
            <v>Variation UPR - gross</v>
          </cell>
          <cell r="Y41900" t="str">
            <v>JAPAN</v>
          </cell>
        </row>
        <row r="41901">
          <cell r="L41901" t="str">
            <v>Non-proportional</v>
          </cell>
          <cell r="S41901">
            <v>-8843.8799999999992</v>
          </cell>
          <cell r="X41901" t="str">
            <v>Variation UPR - gross</v>
          </cell>
          <cell r="Y41901" t="str">
            <v>TURKEY</v>
          </cell>
        </row>
        <row r="41902">
          <cell r="L41902" t="str">
            <v>Proportional</v>
          </cell>
          <cell r="S41902">
            <v>-8889.3799999999992</v>
          </cell>
          <cell r="X41902" t="str">
            <v>Variation UPR - gross</v>
          </cell>
          <cell r="Y41902" t="str">
            <v>THAILAND</v>
          </cell>
        </row>
        <row r="41903">
          <cell r="L41903" t="str">
            <v>Non-proportional</v>
          </cell>
          <cell r="S41903">
            <v>-9361</v>
          </cell>
          <cell r="X41903" t="str">
            <v>Variation UPR - gross</v>
          </cell>
          <cell r="Y41903" t="str">
            <v>CHINA</v>
          </cell>
        </row>
        <row r="41904">
          <cell r="L41904" t="str">
            <v>Proportional</v>
          </cell>
          <cell r="S41904">
            <v>-1504.49</v>
          </cell>
          <cell r="X41904" t="str">
            <v>Variation UPR - gross</v>
          </cell>
          <cell r="Y41904" t="str">
            <v>UNITED STATES</v>
          </cell>
        </row>
        <row r="41905">
          <cell r="L41905" t="str">
            <v>Non-proportional</v>
          </cell>
          <cell r="S41905">
            <v>-7575.13</v>
          </cell>
          <cell r="X41905" t="str">
            <v>Variation UPR - gross</v>
          </cell>
          <cell r="Y41905" t="str">
            <v>UNITED KINGDOM</v>
          </cell>
        </row>
        <row r="41906">
          <cell r="L41906" t="str">
            <v>Non-proportional</v>
          </cell>
          <cell r="S41906">
            <v>-260925.49</v>
          </cell>
          <cell r="X41906" t="str">
            <v>Variation UPR - gross</v>
          </cell>
          <cell r="Y41906" t="str">
            <v>UNITED KINGDOM</v>
          </cell>
        </row>
        <row r="41907">
          <cell r="L41907" t="str">
            <v>Non-proportional</v>
          </cell>
          <cell r="S41907">
            <v>-33.94</v>
          </cell>
          <cell r="X41907" t="str">
            <v>Variation UPR - gross</v>
          </cell>
          <cell r="Y41907" t="str">
            <v>ISRAEL</v>
          </cell>
        </row>
        <row r="41908">
          <cell r="L41908" t="str">
            <v>Non-proportional</v>
          </cell>
          <cell r="S41908">
            <v>-6783.09</v>
          </cell>
          <cell r="X41908" t="str">
            <v>Variation UPR - gross</v>
          </cell>
          <cell r="Y41908" t="str">
            <v>COLOMBIA</v>
          </cell>
        </row>
        <row r="41909">
          <cell r="L41909" t="str">
            <v>Non-proportional</v>
          </cell>
          <cell r="S41909">
            <v>-70.58</v>
          </cell>
          <cell r="X41909" t="str">
            <v>Variation UPR - gross</v>
          </cell>
          <cell r="Y41909" t="str">
            <v>CHILE</v>
          </cell>
        </row>
        <row r="41910">
          <cell r="L41910" t="str">
            <v>Proportional</v>
          </cell>
          <cell r="S41910">
            <v>-12928.26</v>
          </cell>
          <cell r="X41910" t="str">
            <v>Variation UPR - gross</v>
          </cell>
          <cell r="Y41910" t="str">
            <v>THAILAND</v>
          </cell>
        </row>
        <row r="41911">
          <cell r="L41911" t="str">
            <v>Non-proportional</v>
          </cell>
          <cell r="S41911">
            <v>-431260.18</v>
          </cell>
          <cell r="X41911" t="str">
            <v>Variation UPR - gross</v>
          </cell>
          <cell r="Y41911" t="str">
            <v>UNITED KINGDOM</v>
          </cell>
        </row>
        <row r="41912">
          <cell r="L41912" t="str">
            <v>Non-proportional</v>
          </cell>
          <cell r="S41912">
            <v>-4681.3</v>
          </cell>
          <cell r="X41912" t="str">
            <v>Variation UPR - gross</v>
          </cell>
          <cell r="Y41912" t="str">
            <v>SPAIN</v>
          </cell>
        </row>
        <row r="41913">
          <cell r="L41913" t="str">
            <v>Non-proportional</v>
          </cell>
          <cell r="S41913">
            <v>-14583.41</v>
          </cell>
          <cell r="X41913" t="str">
            <v>Variation UPR - gross</v>
          </cell>
          <cell r="Y41913" t="str">
            <v>EUROPE</v>
          </cell>
        </row>
        <row r="41914">
          <cell r="L41914" t="str">
            <v>Proportional</v>
          </cell>
          <cell r="S41914">
            <v>-216.76</v>
          </cell>
          <cell r="X41914" t="str">
            <v>Variation UPR - gross</v>
          </cell>
          <cell r="Y41914" t="str">
            <v>THAILAND</v>
          </cell>
        </row>
        <row r="41915">
          <cell r="L41915" t="str">
            <v>Non-proportional</v>
          </cell>
          <cell r="S41915">
            <v>-617</v>
          </cell>
          <cell r="X41915" t="str">
            <v>Variation UPR - gross</v>
          </cell>
          <cell r="Y41915" t="str">
            <v>FRANCE</v>
          </cell>
        </row>
        <row r="41916">
          <cell r="L41916" t="str">
            <v>Non-proportional</v>
          </cell>
          <cell r="S41916">
            <v>12.89</v>
          </cell>
          <cell r="X41916" t="str">
            <v>Variation UPR - gross</v>
          </cell>
          <cell r="Y41916" t="str">
            <v>NEW ZEALAND</v>
          </cell>
        </row>
        <row r="41917">
          <cell r="L41917" t="str">
            <v>Non-proportional</v>
          </cell>
          <cell r="S41917">
            <v>-3342.24</v>
          </cell>
          <cell r="X41917" t="str">
            <v>Variation UPR - gross</v>
          </cell>
          <cell r="Y41917" t="str">
            <v>UNITED KINGDOM</v>
          </cell>
        </row>
        <row r="41918">
          <cell r="L41918" t="str">
            <v>Non-proportional</v>
          </cell>
          <cell r="S41918">
            <v>-4372.4399999999996</v>
          </cell>
          <cell r="X41918" t="str">
            <v>Variation UPR - gross</v>
          </cell>
          <cell r="Y41918" t="str">
            <v>UNITED KINGDOM</v>
          </cell>
        </row>
        <row r="41919">
          <cell r="L41919" t="str">
            <v>Proportional</v>
          </cell>
          <cell r="S41919">
            <v>-68.86</v>
          </cell>
          <cell r="X41919" t="str">
            <v>Variation UPR - gross</v>
          </cell>
          <cell r="Y41919" t="str">
            <v>THAILAND</v>
          </cell>
        </row>
        <row r="41920">
          <cell r="L41920" t="str">
            <v>Non-proportional</v>
          </cell>
          <cell r="S41920">
            <v>0.02</v>
          </cell>
          <cell r="X41920" t="str">
            <v>Variation UPR - gross</v>
          </cell>
          <cell r="Y41920" t="str">
            <v>INDIA</v>
          </cell>
        </row>
        <row r="41921">
          <cell r="L41921" t="str">
            <v>Non-proportional</v>
          </cell>
          <cell r="S41921">
            <v>-8671.5300000000007</v>
          </cell>
          <cell r="X41921" t="str">
            <v>Variation UPR - gross</v>
          </cell>
          <cell r="Y41921" t="str">
            <v>PUERTO RICO</v>
          </cell>
        </row>
        <row r="41922">
          <cell r="L41922" t="str">
            <v>Proportional</v>
          </cell>
          <cell r="S41922">
            <v>-178119.54</v>
          </cell>
          <cell r="X41922" t="str">
            <v>Variation UPR - gross</v>
          </cell>
          <cell r="Y41922" t="str">
            <v>UNITED STATES</v>
          </cell>
        </row>
        <row r="41923">
          <cell r="L41923" t="str">
            <v>Non-proportional</v>
          </cell>
          <cell r="S41923">
            <v>-637225.6</v>
          </cell>
          <cell r="X41923" t="str">
            <v>Variation UPR - gross</v>
          </cell>
          <cell r="Y41923" t="str">
            <v>BELGIUM</v>
          </cell>
        </row>
        <row r="41924">
          <cell r="L41924" t="str">
            <v>Non-proportional</v>
          </cell>
          <cell r="S41924">
            <v>-87027.93</v>
          </cell>
          <cell r="X41924" t="str">
            <v>Variation UPR - gross</v>
          </cell>
          <cell r="Y41924" t="str">
            <v>UNITED KINGDOM</v>
          </cell>
        </row>
        <row r="41925">
          <cell r="L41925" t="str">
            <v>Non-proportional</v>
          </cell>
          <cell r="S41925">
            <v>-0.02</v>
          </cell>
          <cell r="X41925" t="str">
            <v>Variation UPR - gross</v>
          </cell>
          <cell r="Y41925" t="str">
            <v>BELIZE</v>
          </cell>
        </row>
        <row r="41926">
          <cell r="L41926" t="str">
            <v>Proportional</v>
          </cell>
          <cell r="S41926">
            <v>4713.2700000000004</v>
          </cell>
          <cell r="X41926" t="str">
            <v>Variation UPR - gross</v>
          </cell>
          <cell r="Y41926" t="str">
            <v>THAILAND</v>
          </cell>
        </row>
        <row r="41927">
          <cell r="L41927" t="str">
            <v>Non-proportional</v>
          </cell>
          <cell r="S41927">
            <v>-800</v>
          </cell>
          <cell r="X41927" t="str">
            <v>Variation UPR - gross</v>
          </cell>
          <cell r="Y41927" t="str">
            <v>ITALY</v>
          </cell>
        </row>
        <row r="41928">
          <cell r="L41928" t="str">
            <v>Non-proportional</v>
          </cell>
          <cell r="S41928">
            <v>-1174.1400000000001</v>
          </cell>
          <cell r="X41928" t="str">
            <v>Variation UPR - gross</v>
          </cell>
          <cell r="Y41928" t="str">
            <v>PERU</v>
          </cell>
        </row>
        <row r="41929">
          <cell r="L41929" t="str">
            <v>Non-proportional</v>
          </cell>
          <cell r="S41929">
            <v>-2822.89</v>
          </cell>
          <cell r="X41929" t="str">
            <v>Variation UPR - gross</v>
          </cell>
          <cell r="Y41929" t="str">
            <v>JAPAN</v>
          </cell>
        </row>
        <row r="41930">
          <cell r="L41930" t="str">
            <v>Non-proportional</v>
          </cell>
          <cell r="S41930">
            <v>287.85000000000002</v>
          </cell>
          <cell r="X41930" t="str">
            <v>Variation UPR - gross</v>
          </cell>
          <cell r="Y41930" t="str">
            <v>JAPAN</v>
          </cell>
        </row>
        <row r="41931">
          <cell r="L41931" t="str">
            <v>Non-proportional</v>
          </cell>
          <cell r="S41931">
            <v>-1234.81</v>
          </cell>
          <cell r="X41931" t="str">
            <v>Variation UPR - gross</v>
          </cell>
          <cell r="Y41931" t="str">
            <v>PERU</v>
          </cell>
        </row>
        <row r="41932">
          <cell r="L41932" t="str">
            <v>Proportional</v>
          </cell>
          <cell r="S41932">
            <v>-1070.67</v>
          </cell>
          <cell r="X41932" t="str">
            <v>Variation UPR - gross</v>
          </cell>
          <cell r="Y41932" t="str">
            <v>UNITED STATES</v>
          </cell>
        </row>
        <row r="41933">
          <cell r="L41933" t="str">
            <v>Non-proportional</v>
          </cell>
          <cell r="S41933">
            <v>-898.87</v>
          </cell>
          <cell r="X41933" t="str">
            <v>Variation UPR - gross</v>
          </cell>
          <cell r="Y41933" t="str">
            <v>FRANCE</v>
          </cell>
        </row>
        <row r="41934">
          <cell r="L41934" t="str">
            <v>Proportional</v>
          </cell>
          <cell r="S41934">
            <v>2356.64</v>
          </cell>
          <cell r="X41934" t="str">
            <v>Variation UPR - gross</v>
          </cell>
          <cell r="Y41934" t="str">
            <v>THAILAND</v>
          </cell>
        </row>
        <row r="41935">
          <cell r="L41935" t="str">
            <v>Non-proportional</v>
          </cell>
          <cell r="S41935">
            <v>-3182.49</v>
          </cell>
          <cell r="X41935" t="str">
            <v>Variation UPR - gross</v>
          </cell>
          <cell r="Y41935" t="str">
            <v>AUSTRALIA</v>
          </cell>
        </row>
        <row r="41936">
          <cell r="L41936" t="str">
            <v>Non-proportional</v>
          </cell>
          <cell r="S41936">
            <v>-0.03</v>
          </cell>
          <cell r="X41936" t="str">
            <v>Variation UPR - gross</v>
          </cell>
          <cell r="Y41936" t="str">
            <v>COLOMBIA</v>
          </cell>
        </row>
        <row r="41937">
          <cell r="L41937" t="str">
            <v>Non-proportional</v>
          </cell>
          <cell r="S41937">
            <v>66.650000000000006</v>
          </cell>
          <cell r="X41937" t="str">
            <v>Variation UPR - gross</v>
          </cell>
          <cell r="Y41937" t="str">
            <v>CANADA</v>
          </cell>
        </row>
        <row r="41938">
          <cell r="L41938" t="str">
            <v>Proportional</v>
          </cell>
          <cell r="S41938">
            <v>-123.59</v>
          </cell>
          <cell r="X41938" t="str">
            <v>Variation UPR - gross</v>
          </cell>
          <cell r="Y41938" t="str">
            <v>UNITED STATES</v>
          </cell>
        </row>
        <row r="41939">
          <cell r="L41939" t="str">
            <v>Non-proportional</v>
          </cell>
          <cell r="S41939">
            <v>-546.88</v>
          </cell>
          <cell r="X41939" t="str">
            <v>Variation UPR - gross</v>
          </cell>
          <cell r="Y41939" t="str">
            <v>ITALY</v>
          </cell>
        </row>
        <row r="41940">
          <cell r="L41940" t="str">
            <v>Non-proportional</v>
          </cell>
          <cell r="S41940">
            <v>-8017.81</v>
          </cell>
          <cell r="X41940" t="str">
            <v>Variation UPR - gross</v>
          </cell>
          <cell r="Y41940" t="str">
            <v>JAPAN</v>
          </cell>
        </row>
        <row r="41941">
          <cell r="L41941" t="str">
            <v>Non-proportional</v>
          </cell>
          <cell r="S41941">
            <v>-4541.93</v>
          </cell>
          <cell r="X41941" t="str">
            <v>Variation UPR - gross</v>
          </cell>
          <cell r="Y41941" t="str">
            <v>TURKEY</v>
          </cell>
        </row>
        <row r="41942">
          <cell r="L41942" t="str">
            <v>Non-proportional</v>
          </cell>
          <cell r="S41942">
            <v>3363.22</v>
          </cell>
          <cell r="X41942" t="str">
            <v>Variation UPR - gross</v>
          </cell>
          <cell r="Y41942" t="str">
            <v>PERU</v>
          </cell>
        </row>
        <row r="41943">
          <cell r="L41943" t="str">
            <v>Non-proportional</v>
          </cell>
          <cell r="S41943">
            <v>-7864.71</v>
          </cell>
          <cell r="X41943" t="str">
            <v>Variation UPR - gross</v>
          </cell>
          <cell r="Y41943" t="str">
            <v>UNITED KINGDOM</v>
          </cell>
        </row>
        <row r="41944">
          <cell r="L41944" t="str">
            <v>Non-proportional</v>
          </cell>
          <cell r="S41944">
            <v>-375978.63</v>
          </cell>
          <cell r="X41944" t="str">
            <v>Variation UPR - gross</v>
          </cell>
          <cell r="Y41944" t="str">
            <v>PORTUGAL</v>
          </cell>
        </row>
        <row r="41945">
          <cell r="L41945" t="str">
            <v>Non-proportional</v>
          </cell>
          <cell r="S41945">
            <v>-4767.3900000000003</v>
          </cell>
          <cell r="X41945" t="str">
            <v>Variation UPR - gross</v>
          </cell>
          <cell r="Y41945" t="str">
            <v>UNITED KINGDOM</v>
          </cell>
        </row>
        <row r="41946">
          <cell r="L41946" t="str">
            <v>Non-proportional</v>
          </cell>
          <cell r="S41946">
            <v>-3825.11</v>
          </cell>
          <cell r="X41946" t="str">
            <v>Variation UPR - gross</v>
          </cell>
          <cell r="Y41946" t="str">
            <v>COLOMBIA</v>
          </cell>
        </row>
        <row r="41947">
          <cell r="L41947" t="str">
            <v>Non-proportional</v>
          </cell>
          <cell r="S41947">
            <v>-10998.98</v>
          </cell>
          <cell r="X41947" t="str">
            <v>Variation UPR - gross</v>
          </cell>
          <cell r="Y41947" t="str">
            <v>PERU</v>
          </cell>
        </row>
        <row r="41948">
          <cell r="L41948" t="str">
            <v>Non-proportional</v>
          </cell>
          <cell r="S41948">
            <v>-1658.7</v>
          </cell>
          <cell r="X41948" t="str">
            <v>Variation UPR - gross</v>
          </cell>
          <cell r="Y41948" t="str">
            <v>CHILE</v>
          </cell>
        </row>
        <row r="41949">
          <cell r="L41949" t="str">
            <v>Non-proportional</v>
          </cell>
          <cell r="S41949">
            <v>-9985.8700000000008</v>
          </cell>
          <cell r="X41949" t="str">
            <v>Variation UPR - gross</v>
          </cell>
          <cell r="Y41949" t="str">
            <v>FRANCE</v>
          </cell>
        </row>
        <row r="41950">
          <cell r="L41950" t="str">
            <v>Non-proportional</v>
          </cell>
          <cell r="S41950">
            <v>-24750</v>
          </cell>
          <cell r="X41950" t="str">
            <v>Variation UPR - gross</v>
          </cell>
          <cell r="Y41950" t="str">
            <v>GREECE</v>
          </cell>
        </row>
        <row r="41951">
          <cell r="L41951" t="str">
            <v>Non-proportional</v>
          </cell>
          <cell r="S41951">
            <v>0.01</v>
          </cell>
          <cell r="X41951" t="str">
            <v>Variation UPR - gross</v>
          </cell>
          <cell r="Y41951" t="str">
            <v>DOMINICAN REPUBLIC</v>
          </cell>
        </row>
        <row r="41952">
          <cell r="L41952" t="str">
            <v>Proportional</v>
          </cell>
          <cell r="S41952">
            <v>24897.31</v>
          </cell>
          <cell r="X41952" t="str">
            <v>Variation UPR - gross</v>
          </cell>
          <cell r="Y41952" t="str">
            <v>AUSTRALIA</v>
          </cell>
        </row>
        <row r="41953">
          <cell r="L41953" t="str">
            <v>Non-proportional</v>
          </cell>
          <cell r="S41953">
            <v>-4256.32</v>
          </cell>
          <cell r="X41953" t="str">
            <v>Variation UPR - gross</v>
          </cell>
          <cell r="Y41953" t="str">
            <v>THAILAND</v>
          </cell>
        </row>
        <row r="41954">
          <cell r="L41954" t="str">
            <v>Non-proportional</v>
          </cell>
          <cell r="S41954">
            <v>-1777.5</v>
          </cell>
          <cell r="X41954" t="str">
            <v>Variation UPR - gross</v>
          </cell>
          <cell r="Y41954" t="str">
            <v>GREECE</v>
          </cell>
        </row>
        <row r="41955">
          <cell r="L41955" t="str">
            <v>Non-proportional</v>
          </cell>
          <cell r="S41955">
            <v>-11175.98</v>
          </cell>
          <cell r="X41955" t="str">
            <v>Variation UPR - gross</v>
          </cell>
          <cell r="Y41955" t="str">
            <v>AUSTRALIA</v>
          </cell>
        </row>
        <row r="41956">
          <cell r="L41956" t="str">
            <v>Non-proportional</v>
          </cell>
          <cell r="S41956">
            <v>1.02</v>
          </cell>
          <cell r="X41956" t="str">
            <v>Variation UPR - gross</v>
          </cell>
          <cell r="Y41956" t="str">
            <v>GUATEMALA</v>
          </cell>
        </row>
        <row r="41957">
          <cell r="L41957" t="str">
            <v>Non-proportional</v>
          </cell>
          <cell r="S41957">
            <v>-183.79</v>
          </cell>
          <cell r="X41957" t="str">
            <v>Variation UPR - gross</v>
          </cell>
          <cell r="Y41957" t="str">
            <v>TURKEY</v>
          </cell>
        </row>
        <row r="41958">
          <cell r="L41958" t="str">
            <v>Non-proportional</v>
          </cell>
          <cell r="S41958">
            <v>-6270.83</v>
          </cell>
          <cell r="X41958" t="str">
            <v>Variation UPR - gross</v>
          </cell>
          <cell r="Y41958" t="str">
            <v>ITALY</v>
          </cell>
        </row>
        <row r="41959">
          <cell r="L41959" t="str">
            <v>Proportional</v>
          </cell>
          <cell r="S41959">
            <v>-368.79</v>
          </cell>
          <cell r="X41959" t="str">
            <v>Variation UPR - gross</v>
          </cell>
          <cell r="Y41959" t="str">
            <v>THAILAND</v>
          </cell>
        </row>
        <row r="41960">
          <cell r="L41960" t="str">
            <v>Non-proportional</v>
          </cell>
          <cell r="S41960">
            <v>-77400.47</v>
          </cell>
          <cell r="X41960" t="str">
            <v>Variation UPR - gross</v>
          </cell>
          <cell r="Y41960" t="str">
            <v>UNITED KINGDOM</v>
          </cell>
        </row>
        <row r="41961">
          <cell r="L41961" t="str">
            <v>Non-proportional</v>
          </cell>
          <cell r="S41961">
            <v>-14128.94</v>
          </cell>
          <cell r="X41961" t="str">
            <v>Variation UPR - gross</v>
          </cell>
          <cell r="Y41961" t="str">
            <v>AUSTRALIA</v>
          </cell>
        </row>
        <row r="41962">
          <cell r="L41962" t="str">
            <v>Non-proportional</v>
          </cell>
          <cell r="S41962">
            <v>-1711.61</v>
          </cell>
          <cell r="X41962" t="str">
            <v>Variation UPR - gross</v>
          </cell>
          <cell r="Y41962" t="str">
            <v>DOMINICAN REPUBLIC</v>
          </cell>
        </row>
        <row r="41963">
          <cell r="L41963" t="str">
            <v>Non-proportional</v>
          </cell>
          <cell r="S41963">
            <v>0.03</v>
          </cell>
          <cell r="X41963" t="str">
            <v>Variation UPR - gross</v>
          </cell>
          <cell r="Y41963" t="str">
            <v>INDIA</v>
          </cell>
        </row>
        <row r="41964">
          <cell r="L41964" t="str">
            <v>Proportional</v>
          </cell>
          <cell r="S41964">
            <v>-121923.18</v>
          </cell>
          <cell r="X41964" t="str">
            <v>Variation UPR - gross</v>
          </cell>
          <cell r="Y41964" t="str">
            <v>FRANCE</v>
          </cell>
        </row>
        <row r="41965">
          <cell r="L41965" t="str">
            <v>Non-proportional</v>
          </cell>
          <cell r="S41965">
            <v>-2840.84</v>
          </cell>
          <cell r="X41965" t="str">
            <v>Variation UPR - gross</v>
          </cell>
          <cell r="Y41965" t="str">
            <v>EUROPE</v>
          </cell>
        </row>
        <row r="41966">
          <cell r="L41966" t="str">
            <v>Proportional</v>
          </cell>
          <cell r="S41966">
            <v>-21727.9</v>
          </cell>
          <cell r="X41966" t="str">
            <v>Variation UPR - gross</v>
          </cell>
          <cell r="Y41966" t="str">
            <v>JAPAN</v>
          </cell>
        </row>
        <row r="41967">
          <cell r="L41967" t="str">
            <v>Non-proportional</v>
          </cell>
          <cell r="S41967">
            <v>-30000</v>
          </cell>
          <cell r="X41967" t="str">
            <v>Variation UPR - gross</v>
          </cell>
          <cell r="Y41967" t="str">
            <v>FRANCE</v>
          </cell>
        </row>
        <row r="41968">
          <cell r="L41968" t="str">
            <v>Non-proportional</v>
          </cell>
          <cell r="S41968">
            <v>-705.83</v>
          </cell>
          <cell r="X41968" t="str">
            <v>Variation UPR - gross</v>
          </cell>
          <cell r="Y41968" t="str">
            <v>CHILE</v>
          </cell>
        </row>
        <row r="41969">
          <cell r="L41969" t="str">
            <v>Non-proportional</v>
          </cell>
          <cell r="S41969">
            <v>-4.18</v>
          </cell>
          <cell r="X41969" t="str">
            <v>Variation UPR - gross</v>
          </cell>
          <cell r="Y41969" t="str">
            <v>COSTA RICA</v>
          </cell>
        </row>
        <row r="41970">
          <cell r="L41970" t="str">
            <v>Non-proportional</v>
          </cell>
          <cell r="S41970">
            <v>-1758.24</v>
          </cell>
          <cell r="X41970" t="str">
            <v>Variation UPR - gross</v>
          </cell>
          <cell r="Y41970" t="str">
            <v>SOUTH AFRICA</v>
          </cell>
        </row>
        <row r="41971">
          <cell r="L41971" t="str">
            <v>Proportional</v>
          </cell>
          <cell r="S41971">
            <v>-2605</v>
          </cell>
          <cell r="X41971" t="str">
            <v>Variation UPR - gross</v>
          </cell>
          <cell r="Y41971" t="str">
            <v>ITALY</v>
          </cell>
        </row>
        <row r="41972">
          <cell r="L41972" t="str">
            <v>Non-proportional</v>
          </cell>
          <cell r="S41972">
            <v>-4675.13</v>
          </cell>
          <cell r="X41972" t="str">
            <v>Variation UPR - gross</v>
          </cell>
          <cell r="Y41972" t="str">
            <v>CYPRUS</v>
          </cell>
        </row>
        <row r="41973">
          <cell r="L41973" t="str">
            <v>Non-proportional</v>
          </cell>
          <cell r="S41973">
            <v>-11551.48</v>
          </cell>
          <cell r="X41973" t="str">
            <v>Variation UPR - gross</v>
          </cell>
          <cell r="Y41973" t="str">
            <v>MEXICO</v>
          </cell>
        </row>
        <row r="41974">
          <cell r="L41974" t="str">
            <v>Proportional</v>
          </cell>
          <cell r="S41974">
            <v>-11536.42</v>
          </cell>
          <cell r="X41974" t="str">
            <v>Variation UPR - gross</v>
          </cell>
          <cell r="Y41974" t="str">
            <v>THAILAND</v>
          </cell>
        </row>
        <row r="41975">
          <cell r="L41975" t="str">
            <v>Non-proportional</v>
          </cell>
          <cell r="S41975">
            <v>56195.43</v>
          </cell>
          <cell r="X41975" t="str">
            <v>Variation UPR - gross</v>
          </cell>
          <cell r="Y41975" t="str">
            <v>COLOMBIA</v>
          </cell>
        </row>
        <row r="41976">
          <cell r="L41976" t="str">
            <v>Non-proportional</v>
          </cell>
          <cell r="S41976">
            <v>-178487.38</v>
          </cell>
          <cell r="X41976" t="str">
            <v>Variation UPR - gross</v>
          </cell>
          <cell r="Y41976" t="str">
            <v>PORTUGAL</v>
          </cell>
        </row>
        <row r="41977">
          <cell r="L41977" t="str">
            <v>Non-proportional</v>
          </cell>
          <cell r="S41977">
            <v>-1749.93</v>
          </cell>
          <cell r="X41977" t="str">
            <v>Variation UPR - gross</v>
          </cell>
          <cell r="Y41977" t="str">
            <v>EUROPE</v>
          </cell>
        </row>
        <row r="41978">
          <cell r="L41978" t="str">
            <v>Non-proportional</v>
          </cell>
          <cell r="S41978">
            <v>-1605.57</v>
          </cell>
          <cell r="X41978" t="str">
            <v>Variation UPR - gross</v>
          </cell>
          <cell r="Y41978" t="str">
            <v>ISRAEL</v>
          </cell>
        </row>
        <row r="41979">
          <cell r="L41979" t="str">
            <v>Non-proportional</v>
          </cell>
          <cell r="S41979">
            <v>-2187.5</v>
          </cell>
          <cell r="X41979" t="str">
            <v>Variation UPR - gross</v>
          </cell>
          <cell r="Y41979" t="str">
            <v>GERMANY</v>
          </cell>
        </row>
        <row r="41980">
          <cell r="L41980" t="str">
            <v>Non-proportional</v>
          </cell>
          <cell r="S41980">
            <v>45897.08</v>
          </cell>
          <cell r="X41980" t="str">
            <v>Variation UPR - gross</v>
          </cell>
          <cell r="Y41980" t="str">
            <v>COLOMBIA</v>
          </cell>
        </row>
        <row r="41981">
          <cell r="L41981" t="str">
            <v>Non-proportional</v>
          </cell>
          <cell r="S41981">
            <v>-937.08</v>
          </cell>
          <cell r="X41981" t="str">
            <v>Variation UPR - gross</v>
          </cell>
          <cell r="Y41981" t="str">
            <v>JAPAN</v>
          </cell>
        </row>
        <row r="41982">
          <cell r="L41982" t="str">
            <v>Non-proportional</v>
          </cell>
          <cell r="S41982">
            <v>-19967.73</v>
          </cell>
          <cell r="X41982" t="str">
            <v>Variation UPR - gross</v>
          </cell>
          <cell r="Y41982" t="str">
            <v>FRANCE</v>
          </cell>
        </row>
        <row r="41983">
          <cell r="L41983" t="str">
            <v>Non-proportional</v>
          </cell>
          <cell r="S41983">
            <v>-4095</v>
          </cell>
          <cell r="X41983" t="str">
            <v>Variation UPR - gross</v>
          </cell>
          <cell r="Y41983" t="str">
            <v>FRANCE</v>
          </cell>
        </row>
        <row r="41984">
          <cell r="L41984" t="str">
            <v>Non-proportional</v>
          </cell>
          <cell r="S41984">
            <v>-71406.429999999993</v>
          </cell>
          <cell r="X41984" t="str">
            <v>Variation UPR - gross</v>
          </cell>
          <cell r="Y41984" t="str">
            <v>UNITED KINGDOM</v>
          </cell>
        </row>
        <row r="41985">
          <cell r="L41985" t="str">
            <v>Non-proportional</v>
          </cell>
          <cell r="S41985">
            <v>-159595.21</v>
          </cell>
          <cell r="X41985" t="str">
            <v>Variation UPR - gross</v>
          </cell>
          <cell r="Y41985" t="str">
            <v>UNITED KINGDOM</v>
          </cell>
        </row>
        <row r="41986">
          <cell r="L41986" t="str">
            <v>Non-proportional</v>
          </cell>
          <cell r="S41986">
            <v>-1197.92</v>
          </cell>
          <cell r="X41986" t="str">
            <v>Variation UPR - gross</v>
          </cell>
          <cell r="Y41986" t="str">
            <v>GERMANY</v>
          </cell>
        </row>
        <row r="41987">
          <cell r="L41987" t="str">
            <v>Non-proportional</v>
          </cell>
          <cell r="S41987">
            <v>-6620.15</v>
          </cell>
          <cell r="X41987" t="str">
            <v>Variation UPR - gross</v>
          </cell>
          <cell r="Y41987" t="str">
            <v>COLOMBIA</v>
          </cell>
        </row>
        <row r="41988">
          <cell r="L41988" t="str">
            <v>Non-proportional</v>
          </cell>
          <cell r="S41988">
            <v>-91016.49</v>
          </cell>
          <cell r="X41988" t="str">
            <v>Variation UPR - gross</v>
          </cell>
          <cell r="Y41988" t="str">
            <v>UNITED KINGDOM</v>
          </cell>
        </row>
        <row r="41989">
          <cell r="L41989" t="str">
            <v>Non-proportional</v>
          </cell>
          <cell r="S41989">
            <v>-7267.71</v>
          </cell>
          <cell r="X41989" t="str">
            <v>Variation UPR - gross</v>
          </cell>
          <cell r="Y41989" t="str">
            <v>FRANCE</v>
          </cell>
        </row>
        <row r="41990">
          <cell r="L41990" t="str">
            <v>Proportional</v>
          </cell>
          <cell r="S41990">
            <v>-142918.12</v>
          </cell>
          <cell r="X41990" t="str">
            <v>Variation UPR - gross</v>
          </cell>
          <cell r="Y41990" t="str">
            <v>JAPAN</v>
          </cell>
        </row>
        <row r="41991">
          <cell r="L41991" t="str">
            <v>Non-proportional</v>
          </cell>
          <cell r="S41991">
            <v>-8500</v>
          </cell>
          <cell r="X41991" t="str">
            <v>Variation UPR - gross</v>
          </cell>
          <cell r="Y41991" t="str">
            <v>ITALY</v>
          </cell>
        </row>
        <row r="41992">
          <cell r="L41992" t="str">
            <v>Non-proportional</v>
          </cell>
          <cell r="S41992">
            <v>-1749.72</v>
          </cell>
          <cell r="X41992" t="str">
            <v>Variation UPR - gross</v>
          </cell>
          <cell r="Y41992" t="str">
            <v>NETHERLANDS</v>
          </cell>
        </row>
        <row r="41993">
          <cell r="L41993" t="str">
            <v>Non-proportional</v>
          </cell>
          <cell r="S41993">
            <v>0.01</v>
          </cell>
          <cell r="X41993" t="str">
            <v>Variation UPR - gross</v>
          </cell>
          <cell r="Y41993" t="str">
            <v>DOMINICAN REPUBLIC</v>
          </cell>
        </row>
        <row r="41994">
          <cell r="L41994" t="str">
            <v>Proportional</v>
          </cell>
          <cell r="S41994">
            <v>-61780.14</v>
          </cell>
          <cell r="X41994" t="str">
            <v>Variation UPR - gross</v>
          </cell>
          <cell r="Y41994" t="str">
            <v>CANADA</v>
          </cell>
        </row>
        <row r="41995">
          <cell r="L41995" t="str">
            <v>Non-proportional</v>
          </cell>
          <cell r="S41995">
            <v>-3147.56</v>
          </cell>
          <cell r="X41995" t="str">
            <v>Variation UPR - gross</v>
          </cell>
          <cell r="Y41995" t="str">
            <v>AUSTRALIA</v>
          </cell>
        </row>
        <row r="41996">
          <cell r="L41996" t="str">
            <v>Non-proportional</v>
          </cell>
          <cell r="S41996">
            <v>-755.06</v>
          </cell>
          <cell r="X41996" t="str">
            <v>Variation UPR - gross</v>
          </cell>
          <cell r="Y41996" t="str">
            <v>JAPAN</v>
          </cell>
        </row>
        <row r="41997">
          <cell r="L41997" t="str">
            <v>Proportional</v>
          </cell>
          <cell r="S41997">
            <v>204.46</v>
          </cell>
          <cell r="X41997" t="str">
            <v>Variation UPR - gross</v>
          </cell>
          <cell r="Y41997" t="str">
            <v>UNITED STATES</v>
          </cell>
        </row>
        <row r="41998">
          <cell r="L41998" t="str">
            <v>Non-proportional</v>
          </cell>
          <cell r="S41998">
            <v>-4355.78</v>
          </cell>
          <cell r="X41998" t="str">
            <v>Variation UPR - gross</v>
          </cell>
          <cell r="Y41998" t="str">
            <v>GUATEMALA</v>
          </cell>
        </row>
        <row r="41999">
          <cell r="L41999" t="str">
            <v>Non-proportional</v>
          </cell>
          <cell r="S41999">
            <v>-3281.25</v>
          </cell>
          <cell r="X41999" t="str">
            <v>Variation UPR - gross</v>
          </cell>
          <cell r="Y41999" t="str">
            <v>ITALY</v>
          </cell>
        </row>
        <row r="42000">
          <cell r="L42000" t="str">
            <v>Non-proportional</v>
          </cell>
          <cell r="S42000">
            <v>-352.92</v>
          </cell>
          <cell r="X42000" t="str">
            <v>Variation UPR - gross</v>
          </cell>
          <cell r="Y42000" t="str">
            <v>CHILE</v>
          </cell>
        </row>
        <row r="42001">
          <cell r="L42001" t="str">
            <v>Non-proportional</v>
          </cell>
          <cell r="S42001">
            <v>-132.91999999999999</v>
          </cell>
          <cell r="X42001" t="str">
            <v>Variation UPR - gross</v>
          </cell>
          <cell r="Y42001" t="str">
            <v>ITALY</v>
          </cell>
        </row>
        <row r="42002">
          <cell r="L42002" t="str">
            <v>Proportional</v>
          </cell>
          <cell r="S42002">
            <v>-176.46</v>
          </cell>
          <cell r="X42002" t="str">
            <v>Variation UPR - gross</v>
          </cell>
          <cell r="Y42002" t="str">
            <v>CHILE</v>
          </cell>
        </row>
        <row r="42003">
          <cell r="L42003" t="str">
            <v>Non-proportional</v>
          </cell>
          <cell r="S42003">
            <v>-1946.5</v>
          </cell>
          <cell r="X42003" t="str">
            <v>Variation UPR - gross</v>
          </cell>
          <cell r="Y42003" t="str">
            <v>REPUBLIC OF IRELAND</v>
          </cell>
        </row>
        <row r="42004">
          <cell r="L42004" t="str">
            <v>Non-proportional</v>
          </cell>
          <cell r="S42004">
            <v>-916.96</v>
          </cell>
          <cell r="X42004" t="str">
            <v>Variation UPR - gross</v>
          </cell>
          <cell r="Y42004" t="str">
            <v>DOMINICAN REPUBLIC</v>
          </cell>
        </row>
        <row r="42005">
          <cell r="L42005" t="str">
            <v>Non-proportional</v>
          </cell>
          <cell r="S42005">
            <v>0.03</v>
          </cell>
          <cell r="X42005" t="str">
            <v>Variation UPR - gross</v>
          </cell>
          <cell r="Y42005" t="str">
            <v>COLOMBIA</v>
          </cell>
        </row>
        <row r="42006">
          <cell r="L42006" t="str">
            <v>Non-proportional</v>
          </cell>
          <cell r="S42006">
            <v>-7958.34</v>
          </cell>
          <cell r="X42006" t="str">
            <v>Variation UPR - gross</v>
          </cell>
          <cell r="Y42006" t="str">
            <v>MEXICO</v>
          </cell>
        </row>
        <row r="42007">
          <cell r="L42007" t="str">
            <v>Non-proportional</v>
          </cell>
          <cell r="S42007">
            <v>-18104.79</v>
          </cell>
          <cell r="X42007" t="str">
            <v>Variation UPR - gross</v>
          </cell>
          <cell r="Y42007" t="str">
            <v>CHINA</v>
          </cell>
        </row>
        <row r="42008">
          <cell r="L42008" t="str">
            <v>Non-proportional</v>
          </cell>
          <cell r="S42008">
            <v>-6629.54</v>
          </cell>
          <cell r="X42008" t="str">
            <v>Variation UPR - gross</v>
          </cell>
          <cell r="Y42008" t="str">
            <v>JAPAN</v>
          </cell>
        </row>
        <row r="42009">
          <cell r="L42009" t="str">
            <v>Proportional</v>
          </cell>
          <cell r="S42009">
            <v>-36937.879999999997</v>
          </cell>
          <cell r="X42009" t="str">
            <v>Variation UPR - gross</v>
          </cell>
          <cell r="Y42009" t="str">
            <v>THAILAND</v>
          </cell>
        </row>
        <row r="42010">
          <cell r="L42010" t="str">
            <v>Non-proportional</v>
          </cell>
          <cell r="S42010">
            <v>-5334.04</v>
          </cell>
          <cell r="X42010" t="str">
            <v>Variation UPR - gross</v>
          </cell>
          <cell r="Y42010" t="str">
            <v>MEXICO</v>
          </cell>
        </row>
        <row r="42011">
          <cell r="L42011" t="str">
            <v>Non-proportional</v>
          </cell>
          <cell r="S42011">
            <v>-8708.34</v>
          </cell>
          <cell r="X42011" t="str">
            <v>Variation UPR - gross</v>
          </cell>
          <cell r="Y42011" t="str">
            <v>TURKEY</v>
          </cell>
        </row>
        <row r="42012">
          <cell r="L42012" t="str">
            <v>Proportional</v>
          </cell>
          <cell r="S42012">
            <v>2.2599999999999998</v>
          </cell>
          <cell r="X42012" t="str">
            <v>Variation UPR - gross</v>
          </cell>
          <cell r="Y42012" t="str">
            <v>Ireland</v>
          </cell>
        </row>
        <row r="42013">
          <cell r="L42013" t="str">
            <v>Non-proportional</v>
          </cell>
          <cell r="S42013">
            <v>-58.17</v>
          </cell>
          <cell r="X42013" t="str">
            <v>Variation UPR - gross</v>
          </cell>
          <cell r="Y42013" t="str">
            <v>BRAZIL</v>
          </cell>
        </row>
        <row r="42014">
          <cell r="L42014" t="str">
            <v>Non-proportional</v>
          </cell>
          <cell r="S42014">
            <v>-9053.2099999999991</v>
          </cell>
          <cell r="X42014" t="str">
            <v>Variation UPR - gross</v>
          </cell>
          <cell r="Y42014" t="str">
            <v>ITALY</v>
          </cell>
        </row>
        <row r="42015">
          <cell r="L42015" t="str">
            <v>Non-proportional</v>
          </cell>
          <cell r="S42015">
            <v>-5079.99</v>
          </cell>
          <cell r="X42015" t="str">
            <v>Variation UPR - gross</v>
          </cell>
          <cell r="Y42015" t="str">
            <v>ISRAEL</v>
          </cell>
        </row>
        <row r="42016">
          <cell r="L42016" t="str">
            <v>Non-proportional</v>
          </cell>
          <cell r="S42016">
            <v>-5246.09</v>
          </cell>
          <cell r="X42016" t="str">
            <v>Variation UPR - gross</v>
          </cell>
          <cell r="Y42016" t="str">
            <v>AUSTRALIA</v>
          </cell>
        </row>
        <row r="42017">
          <cell r="L42017" t="str">
            <v>Non-proportional</v>
          </cell>
          <cell r="S42017">
            <v>-87138.33</v>
          </cell>
          <cell r="X42017" t="str">
            <v>Variation UPR - gross</v>
          </cell>
          <cell r="Y42017" t="str">
            <v>EUROPE</v>
          </cell>
        </row>
        <row r="42018">
          <cell r="L42018" t="str">
            <v>Non-proportional</v>
          </cell>
          <cell r="S42018">
            <v>-1175.0899999999999</v>
          </cell>
          <cell r="X42018" t="str">
            <v>Variation UPR - gross</v>
          </cell>
          <cell r="Y42018" t="str">
            <v>AUSTRALIA</v>
          </cell>
        </row>
        <row r="42019">
          <cell r="L42019" t="str">
            <v>Non-proportional</v>
          </cell>
          <cell r="S42019">
            <v>-4040.71</v>
          </cell>
          <cell r="X42019" t="str">
            <v>Variation UPR - gross</v>
          </cell>
          <cell r="Y42019" t="str">
            <v>UNITED KINGDOM</v>
          </cell>
        </row>
        <row r="42020">
          <cell r="L42020" t="str">
            <v>Proportional</v>
          </cell>
          <cell r="S42020">
            <v>-63550.95</v>
          </cell>
          <cell r="X42020" t="str">
            <v>Variation UPR - gross</v>
          </cell>
          <cell r="Y42020" t="str">
            <v>THAILAND</v>
          </cell>
        </row>
        <row r="42021">
          <cell r="L42021" t="str">
            <v>Non-proportional</v>
          </cell>
          <cell r="S42021">
            <v>-8479.6299999999992</v>
          </cell>
          <cell r="X42021" t="str">
            <v>Variation UPR - gross</v>
          </cell>
          <cell r="Y42021" t="str">
            <v>CANADA</v>
          </cell>
        </row>
        <row r="42022">
          <cell r="L42022" t="str">
            <v>Non-proportional</v>
          </cell>
          <cell r="S42022">
            <v>-2302.8000000000002</v>
          </cell>
          <cell r="X42022" t="str">
            <v>Variation UPR - gross</v>
          </cell>
          <cell r="Y42022" t="str">
            <v>AUSTRALIA</v>
          </cell>
        </row>
        <row r="42023">
          <cell r="L42023" t="str">
            <v>Non-proportional</v>
          </cell>
          <cell r="S42023">
            <v>0</v>
          </cell>
          <cell r="X42023" t="str">
            <v>Variation UPR - gross</v>
          </cell>
          <cell r="Y42023" t="str">
            <v>DOMINICAN REPUBLIC</v>
          </cell>
        </row>
        <row r="42024">
          <cell r="L42024" t="str">
            <v>Non-proportional</v>
          </cell>
          <cell r="S42024">
            <v>-2980.16</v>
          </cell>
          <cell r="X42024" t="str">
            <v>Variation UPR - gross</v>
          </cell>
          <cell r="Y42024" t="str">
            <v>UNITED KINGDOM</v>
          </cell>
        </row>
        <row r="42025">
          <cell r="L42025" t="str">
            <v>Non-proportional</v>
          </cell>
          <cell r="S42025">
            <v>-3381.84</v>
          </cell>
          <cell r="X42025" t="str">
            <v>Variation UPR - gross</v>
          </cell>
          <cell r="Y42025" t="str">
            <v>ITALY</v>
          </cell>
        </row>
        <row r="42026">
          <cell r="L42026" t="str">
            <v>Non-proportional</v>
          </cell>
          <cell r="S42026">
            <v>-310.68</v>
          </cell>
          <cell r="X42026" t="str">
            <v>Variation UPR - gross</v>
          </cell>
          <cell r="Y42026" t="str">
            <v>ITALY</v>
          </cell>
        </row>
        <row r="42027">
          <cell r="L42027" t="str">
            <v>Non-proportional</v>
          </cell>
          <cell r="S42027">
            <v>-9333.33</v>
          </cell>
          <cell r="X42027" t="str">
            <v>Variation UPR - gross</v>
          </cell>
          <cell r="Y42027" t="str">
            <v>PORTUGAL</v>
          </cell>
        </row>
        <row r="42028">
          <cell r="L42028" t="str">
            <v>Non-proportional</v>
          </cell>
          <cell r="S42028">
            <v>-3460.55</v>
          </cell>
          <cell r="X42028" t="str">
            <v>Variation UPR - gross</v>
          </cell>
          <cell r="Y42028" t="str">
            <v>THAILAND</v>
          </cell>
        </row>
        <row r="42029">
          <cell r="L42029" t="str">
            <v>Non-proportional</v>
          </cell>
          <cell r="S42029">
            <v>-1462.67</v>
          </cell>
          <cell r="X42029" t="str">
            <v>Variation UPR - gross</v>
          </cell>
          <cell r="Y42029" t="str">
            <v>UNITED KINGDOM</v>
          </cell>
        </row>
        <row r="42030">
          <cell r="L42030" t="str">
            <v>Non-proportional</v>
          </cell>
          <cell r="S42030">
            <v>-11688.11</v>
          </cell>
          <cell r="X42030" t="str">
            <v>Variation UPR - gross</v>
          </cell>
          <cell r="Y42030" t="str">
            <v>PERU</v>
          </cell>
        </row>
        <row r="42031">
          <cell r="L42031" t="str">
            <v>Proportional</v>
          </cell>
          <cell r="S42031">
            <v>4087.46</v>
          </cell>
          <cell r="X42031" t="str">
            <v>Variation UPR - gross</v>
          </cell>
          <cell r="Y42031" t="str">
            <v>INDIA</v>
          </cell>
        </row>
        <row r="42032">
          <cell r="L42032" t="str">
            <v>Non-proportional</v>
          </cell>
          <cell r="S42032">
            <v>-6683.34</v>
          </cell>
          <cell r="X42032" t="str">
            <v>Variation UPR - gross</v>
          </cell>
          <cell r="Y42032" t="str">
            <v>FRANCE</v>
          </cell>
        </row>
        <row r="42033">
          <cell r="L42033" t="str">
            <v>Non-proportional</v>
          </cell>
          <cell r="S42033">
            <v>-9977.5</v>
          </cell>
          <cell r="X42033" t="str">
            <v>Variation UPR - gross</v>
          </cell>
          <cell r="Y42033" t="str">
            <v>ITALY</v>
          </cell>
        </row>
        <row r="42034">
          <cell r="L42034" t="str">
            <v>Proportional</v>
          </cell>
          <cell r="S42034">
            <v>-4340.67</v>
          </cell>
          <cell r="X42034" t="str">
            <v>Variation UPR - gross</v>
          </cell>
          <cell r="Y42034" t="str">
            <v>THAILAND</v>
          </cell>
        </row>
        <row r="42035">
          <cell r="L42035" t="str">
            <v>Non-proportional</v>
          </cell>
          <cell r="S42035">
            <v>2.2599999999999998</v>
          </cell>
          <cell r="X42035" t="str">
            <v>Variation UPR - gross</v>
          </cell>
          <cell r="Y42035" t="str">
            <v>GUATEMALA</v>
          </cell>
        </row>
        <row r="42036">
          <cell r="L42036" t="str">
            <v>Non-proportional</v>
          </cell>
          <cell r="S42036">
            <v>-1222.1400000000001</v>
          </cell>
          <cell r="X42036" t="str">
            <v>Variation UPR - gross</v>
          </cell>
          <cell r="Y42036" t="str">
            <v>COLOMBIA</v>
          </cell>
        </row>
        <row r="42037">
          <cell r="L42037" t="str">
            <v>Proportional</v>
          </cell>
          <cell r="S42037">
            <v>27265.439999999999</v>
          </cell>
          <cell r="X42037" t="str">
            <v>Variation UPR - gross</v>
          </cell>
          <cell r="Y42037" t="str">
            <v>UNITED STATES</v>
          </cell>
        </row>
        <row r="42038">
          <cell r="L42038" t="str">
            <v>Proportional</v>
          </cell>
          <cell r="S42038">
            <v>-321565.76</v>
          </cell>
          <cell r="X42038" t="str">
            <v>Variation UPR - gross</v>
          </cell>
          <cell r="Y42038" t="str">
            <v>HONG KONG</v>
          </cell>
        </row>
        <row r="42039">
          <cell r="L42039" t="str">
            <v>Non-proportional</v>
          </cell>
          <cell r="S42039">
            <v>0.02</v>
          </cell>
          <cell r="X42039" t="str">
            <v>Variation UPR - gross</v>
          </cell>
          <cell r="Y42039" t="str">
            <v>INDIA</v>
          </cell>
        </row>
        <row r="42040">
          <cell r="L42040" t="str">
            <v>Non-proportional</v>
          </cell>
          <cell r="S42040">
            <v>-1057.3499999999999</v>
          </cell>
          <cell r="X42040" t="str">
            <v>Variation UPR - gross</v>
          </cell>
          <cell r="Y42040" t="str">
            <v>JAPAN</v>
          </cell>
        </row>
        <row r="42041">
          <cell r="L42041" t="str">
            <v>Non-proportional</v>
          </cell>
          <cell r="S42041">
            <v>-3749.94</v>
          </cell>
          <cell r="X42041" t="str">
            <v>Variation UPR - gross</v>
          </cell>
          <cell r="Y42041" t="str">
            <v>EUROPE</v>
          </cell>
        </row>
        <row r="42042">
          <cell r="L42042" t="str">
            <v>Non-proportional</v>
          </cell>
          <cell r="S42042">
            <v>-2156.9</v>
          </cell>
          <cell r="X42042" t="str">
            <v>Variation UPR - gross</v>
          </cell>
          <cell r="Y42042" t="str">
            <v>DOMINICAN REPUBLIC</v>
          </cell>
        </row>
        <row r="42043">
          <cell r="L42043" t="str">
            <v>Non-proportional</v>
          </cell>
          <cell r="S42043">
            <v>-46467.9</v>
          </cell>
          <cell r="X42043" t="str">
            <v>Variation UPR - gross</v>
          </cell>
          <cell r="Y42043" t="str">
            <v>UNITED KINGDOM</v>
          </cell>
        </row>
        <row r="42044">
          <cell r="L42044" t="str">
            <v>Non-proportional</v>
          </cell>
          <cell r="S42044">
            <v>-3472.67</v>
          </cell>
          <cell r="X42044" t="str">
            <v>Variation UPR - gross</v>
          </cell>
          <cell r="Y42044" t="str">
            <v>JAPAN</v>
          </cell>
        </row>
        <row r="42045">
          <cell r="L42045" t="str">
            <v>Non-proportional</v>
          </cell>
          <cell r="S42045">
            <v>-417.67</v>
          </cell>
          <cell r="X42045" t="str">
            <v>Variation UPR - gross</v>
          </cell>
          <cell r="Y42045" t="str">
            <v>NETHERLANDS</v>
          </cell>
        </row>
        <row r="42046">
          <cell r="L42046" t="str">
            <v>Proportional</v>
          </cell>
          <cell r="S42046">
            <v>-2458333.33</v>
          </cell>
          <cell r="X42046" t="str">
            <v>Variation UPR - gross</v>
          </cell>
          <cell r="Y42046" t="str">
            <v>PORTUGAL</v>
          </cell>
        </row>
        <row r="42047">
          <cell r="L42047" t="str">
            <v>Non-proportional</v>
          </cell>
          <cell r="S42047">
            <v>-348111.74</v>
          </cell>
          <cell r="X42047" t="str">
            <v>Variation UPR - gross</v>
          </cell>
          <cell r="Y42047" t="str">
            <v>UNITED KINGDOM</v>
          </cell>
        </row>
        <row r="42048">
          <cell r="L42048" t="str">
            <v>Non-proportional</v>
          </cell>
          <cell r="S42048">
            <v>-9500.14</v>
          </cell>
          <cell r="X42048" t="str">
            <v>Variation UPR - gross</v>
          </cell>
          <cell r="Y42048" t="str">
            <v>TURKEY</v>
          </cell>
        </row>
        <row r="42049">
          <cell r="L42049" t="str">
            <v>Non-proportional</v>
          </cell>
          <cell r="S42049">
            <v>-34.26</v>
          </cell>
          <cell r="X42049" t="str">
            <v>Variation UPR - gross</v>
          </cell>
          <cell r="Y42049" t="str">
            <v>ISRAEL</v>
          </cell>
        </row>
        <row r="42050">
          <cell r="L42050" t="str">
            <v>Non-proportional</v>
          </cell>
          <cell r="S42050">
            <v>1.63</v>
          </cell>
          <cell r="X42050" t="str">
            <v>Variation UPR - gross</v>
          </cell>
          <cell r="Y42050" t="str">
            <v>GUATEMALA</v>
          </cell>
        </row>
        <row r="42051">
          <cell r="L42051" t="str">
            <v>Non-proportional</v>
          </cell>
          <cell r="S42051">
            <v>-6907.69</v>
          </cell>
          <cell r="X42051" t="str">
            <v>Variation UPR - gross</v>
          </cell>
          <cell r="Y42051" t="str">
            <v>GREECE</v>
          </cell>
        </row>
        <row r="42052">
          <cell r="L42052" t="str">
            <v>Proportional</v>
          </cell>
          <cell r="S42052">
            <v>-7860.5</v>
          </cell>
          <cell r="X42052" t="str">
            <v>Variation UPR - gross</v>
          </cell>
          <cell r="Y42052" t="str">
            <v>HONG KONG</v>
          </cell>
        </row>
        <row r="42053">
          <cell r="L42053" t="str">
            <v>Proportional</v>
          </cell>
          <cell r="S42053">
            <v>-1517.54</v>
          </cell>
          <cell r="X42053" t="str">
            <v>Variation UPR - gross</v>
          </cell>
          <cell r="Y42053" t="str">
            <v>CHILE</v>
          </cell>
        </row>
        <row r="42054">
          <cell r="L42054" t="str">
            <v>Non-proportional</v>
          </cell>
          <cell r="S42054">
            <v>-2029.91</v>
          </cell>
          <cell r="X42054" t="str">
            <v>Variation UPR - gross</v>
          </cell>
          <cell r="Y42054" t="str">
            <v>CYPRUS</v>
          </cell>
        </row>
        <row r="42055">
          <cell r="L42055" t="str">
            <v>Non-proportional</v>
          </cell>
          <cell r="S42055">
            <v>-4213.91</v>
          </cell>
          <cell r="X42055" t="str">
            <v>Variation UPR - gross</v>
          </cell>
          <cell r="Y42055" t="str">
            <v>UNITED KINGDOM</v>
          </cell>
        </row>
        <row r="42056">
          <cell r="L42056" t="str">
            <v>Non-proportional</v>
          </cell>
          <cell r="S42056">
            <v>-1172.45</v>
          </cell>
          <cell r="X42056" t="str">
            <v>Variation UPR - gross</v>
          </cell>
          <cell r="Y42056" t="str">
            <v>UNITED KINGDOM</v>
          </cell>
        </row>
        <row r="42057">
          <cell r="L42057" t="str">
            <v>Non-proportional</v>
          </cell>
          <cell r="S42057">
            <v>-2187.56</v>
          </cell>
          <cell r="X42057" t="str">
            <v>Variation UPR - gross</v>
          </cell>
          <cell r="Y42057" t="str">
            <v>SPAIN</v>
          </cell>
        </row>
        <row r="42058">
          <cell r="L42058" t="str">
            <v>Non-proportional</v>
          </cell>
          <cell r="S42058">
            <v>-333.24</v>
          </cell>
          <cell r="X42058" t="str">
            <v>Variation UPR - gross</v>
          </cell>
          <cell r="Y42058" t="str">
            <v>COLOMBIA</v>
          </cell>
        </row>
        <row r="42059">
          <cell r="L42059" t="str">
            <v>Non-proportional</v>
          </cell>
          <cell r="S42059">
            <v>36.96</v>
          </cell>
          <cell r="X42059" t="str">
            <v>Variation UPR - gross</v>
          </cell>
          <cell r="Y42059" t="str">
            <v>COLOMBIA</v>
          </cell>
        </row>
        <row r="42060">
          <cell r="L42060" t="str">
            <v>Non-proportional</v>
          </cell>
          <cell r="S42060">
            <v>-2610</v>
          </cell>
          <cell r="X42060" t="str">
            <v>Variation UPR - gross</v>
          </cell>
          <cell r="Y42060" t="str">
            <v>GREECE</v>
          </cell>
        </row>
        <row r="42061">
          <cell r="L42061" t="str">
            <v>Non-proportional</v>
          </cell>
          <cell r="S42061">
            <v>-1647.22</v>
          </cell>
          <cell r="X42061" t="str">
            <v>Variation UPR - gross</v>
          </cell>
          <cell r="Y42061" t="str">
            <v>CHINA</v>
          </cell>
        </row>
        <row r="42062">
          <cell r="L42062" t="str">
            <v>Non-proportional</v>
          </cell>
          <cell r="S42062">
            <v>-46864.67</v>
          </cell>
          <cell r="X42062" t="str">
            <v>Variation UPR - gross</v>
          </cell>
          <cell r="Y42062" t="str">
            <v>FRANCE</v>
          </cell>
        </row>
        <row r="42063">
          <cell r="L42063" t="str">
            <v>Non-proportional</v>
          </cell>
          <cell r="S42063">
            <v>-1303.78</v>
          </cell>
          <cell r="X42063" t="str">
            <v>Variation UPR - gross</v>
          </cell>
          <cell r="Y42063" t="str">
            <v>CYPRUS</v>
          </cell>
        </row>
        <row r="42064">
          <cell r="L42064" t="str">
            <v>Non-proportional</v>
          </cell>
          <cell r="S42064">
            <v>-244.93</v>
          </cell>
          <cell r="X42064" t="str">
            <v>Variation UPR - gross</v>
          </cell>
          <cell r="Y42064" t="str">
            <v>NEW ZEALAND</v>
          </cell>
        </row>
        <row r="42065">
          <cell r="L42065" t="str">
            <v>Proportional</v>
          </cell>
          <cell r="S42065">
            <v>-118370.11</v>
          </cell>
          <cell r="X42065" t="str">
            <v>Variation UPR - gross</v>
          </cell>
          <cell r="Y42065" t="str">
            <v>SWITZERLAND</v>
          </cell>
        </row>
        <row r="42066">
          <cell r="L42066" t="str">
            <v>Non-proportional</v>
          </cell>
          <cell r="S42066">
            <v>-224.12</v>
          </cell>
          <cell r="X42066" t="str">
            <v>Variation UPR - gross</v>
          </cell>
          <cell r="Y42066" t="str">
            <v>INDIA</v>
          </cell>
        </row>
        <row r="42067">
          <cell r="L42067" t="str">
            <v>Proportional</v>
          </cell>
          <cell r="S42067">
            <v>-22960.86</v>
          </cell>
          <cell r="X42067" t="str">
            <v>Variation UPR - gross</v>
          </cell>
          <cell r="Y42067" t="str">
            <v>ITALY</v>
          </cell>
        </row>
        <row r="42068">
          <cell r="L42068" t="str">
            <v>Non-proportional</v>
          </cell>
          <cell r="S42068">
            <v>-45941.06</v>
          </cell>
          <cell r="X42068" t="str">
            <v>Variation UPR - gross</v>
          </cell>
          <cell r="Y42068" t="str">
            <v>UNITED KINGDOM</v>
          </cell>
        </row>
        <row r="42069">
          <cell r="L42069" t="str">
            <v>Non-proportional</v>
          </cell>
          <cell r="S42069">
            <v>-6963.2</v>
          </cell>
          <cell r="X42069" t="str">
            <v>Variation UPR - gross</v>
          </cell>
          <cell r="Y42069" t="str">
            <v>FRANCE</v>
          </cell>
        </row>
        <row r="42070">
          <cell r="L42070" t="str">
            <v>Non-proportional</v>
          </cell>
          <cell r="S42070">
            <v>-211.75</v>
          </cell>
          <cell r="X42070" t="str">
            <v>Variation UPR - gross</v>
          </cell>
          <cell r="Y42070" t="str">
            <v>CHILE</v>
          </cell>
        </row>
        <row r="42071">
          <cell r="L42071" t="str">
            <v>Non-proportional</v>
          </cell>
          <cell r="S42071">
            <v>-3188.93</v>
          </cell>
          <cell r="X42071" t="str">
            <v>Variation UPR - gross</v>
          </cell>
          <cell r="Y42071" t="str">
            <v>ECUADOR</v>
          </cell>
        </row>
        <row r="42072">
          <cell r="L42072" t="str">
            <v>Non-proportional</v>
          </cell>
          <cell r="S42072">
            <v>-9251.26</v>
          </cell>
          <cell r="X42072" t="str">
            <v>Variation UPR - gross</v>
          </cell>
          <cell r="Y42072" t="str">
            <v>ITALY</v>
          </cell>
        </row>
        <row r="42073">
          <cell r="L42073" t="str">
            <v>Non-proportional</v>
          </cell>
          <cell r="S42073">
            <v>-5512.68</v>
          </cell>
          <cell r="X42073" t="str">
            <v>Variation UPR - gross</v>
          </cell>
          <cell r="Y42073" t="str">
            <v>NETHERLANDS</v>
          </cell>
        </row>
        <row r="42074">
          <cell r="L42074" t="str">
            <v>Non-proportional</v>
          </cell>
          <cell r="S42074">
            <v>-4675.1400000000003</v>
          </cell>
          <cell r="X42074" t="str">
            <v>Variation UPR - gross</v>
          </cell>
          <cell r="Y42074" t="str">
            <v>COLOMBIA</v>
          </cell>
        </row>
        <row r="42075">
          <cell r="L42075" t="str">
            <v>Non-proportional</v>
          </cell>
          <cell r="S42075">
            <v>-12011.95</v>
          </cell>
          <cell r="X42075" t="str">
            <v>Variation UPR - gross</v>
          </cell>
          <cell r="Y42075" t="str">
            <v>FRANCE</v>
          </cell>
        </row>
        <row r="42076">
          <cell r="L42076" t="str">
            <v>Non-proportional</v>
          </cell>
          <cell r="S42076">
            <v>-13073.04</v>
          </cell>
          <cell r="X42076" t="str">
            <v>Variation UPR - gross</v>
          </cell>
          <cell r="Y42076" t="str">
            <v>FRANCE</v>
          </cell>
        </row>
        <row r="42077">
          <cell r="L42077" t="str">
            <v>Non-proportional</v>
          </cell>
          <cell r="S42077">
            <v>-24688.62</v>
          </cell>
          <cell r="X42077" t="str">
            <v>Variation UPR - gross</v>
          </cell>
          <cell r="Y42077" t="str">
            <v>NEW ZEALAND</v>
          </cell>
        </row>
        <row r="42078">
          <cell r="L42078" t="str">
            <v>Non-proportional</v>
          </cell>
          <cell r="S42078">
            <v>-7218.75</v>
          </cell>
          <cell r="X42078" t="str">
            <v>Variation UPR - gross</v>
          </cell>
          <cell r="Y42078" t="str">
            <v>FRANCE</v>
          </cell>
        </row>
        <row r="42079">
          <cell r="L42079" t="str">
            <v>Non-proportional</v>
          </cell>
          <cell r="S42079">
            <v>411.64</v>
          </cell>
          <cell r="X42079" t="str">
            <v>Variation UPR - gross</v>
          </cell>
          <cell r="Y42079" t="str">
            <v>NEW ZEALAND</v>
          </cell>
        </row>
        <row r="42080">
          <cell r="L42080" t="str">
            <v>Non-proportional</v>
          </cell>
          <cell r="S42080">
            <v>-70.58</v>
          </cell>
          <cell r="X42080" t="str">
            <v>Variation UPR - gross</v>
          </cell>
          <cell r="Y42080" t="str">
            <v>CHILE</v>
          </cell>
        </row>
        <row r="42081">
          <cell r="L42081" t="str">
            <v>Non-proportional</v>
          </cell>
          <cell r="S42081">
            <v>56.14</v>
          </cell>
          <cell r="X42081" t="str">
            <v>Variation UPR - gross</v>
          </cell>
          <cell r="Y42081" t="str">
            <v>JAPAN</v>
          </cell>
        </row>
        <row r="42082">
          <cell r="L42082" t="str">
            <v>Non-proportional</v>
          </cell>
          <cell r="S42082">
            <v>-969535.59</v>
          </cell>
          <cell r="X42082" t="str">
            <v>Variation UPR - gross</v>
          </cell>
          <cell r="Y42082" t="str">
            <v>UNITED KINGDOM</v>
          </cell>
        </row>
        <row r="42083">
          <cell r="L42083" t="str">
            <v>Non-proportional</v>
          </cell>
          <cell r="S42083">
            <v>-9442.57</v>
          </cell>
          <cell r="X42083" t="str">
            <v>Variation UPR - gross</v>
          </cell>
          <cell r="Y42083" t="str">
            <v>COLOMBIA</v>
          </cell>
        </row>
        <row r="42084">
          <cell r="L42084" t="str">
            <v>Non-proportional</v>
          </cell>
          <cell r="S42084">
            <v>-4799.66</v>
          </cell>
          <cell r="X42084" t="str">
            <v>Variation UPR - gross</v>
          </cell>
          <cell r="Y42084" t="str">
            <v>CHILE</v>
          </cell>
        </row>
        <row r="42085">
          <cell r="L42085" t="str">
            <v>Non-proportional</v>
          </cell>
          <cell r="S42085">
            <v>-2019.4</v>
          </cell>
          <cell r="X42085" t="str">
            <v>Variation UPR - gross</v>
          </cell>
          <cell r="Y42085" t="str">
            <v>BELIZE</v>
          </cell>
        </row>
        <row r="42086">
          <cell r="L42086" t="str">
            <v>Proportional</v>
          </cell>
          <cell r="S42086">
            <v>-3354.99</v>
          </cell>
          <cell r="X42086" t="str">
            <v>Variation UPR - gross</v>
          </cell>
          <cell r="Y42086" t="str">
            <v>JAPAN</v>
          </cell>
        </row>
        <row r="42087">
          <cell r="L42087" t="str">
            <v>Non-proportional</v>
          </cell>
          <cell r="S42087">
            <v>206.58</v>
          </cell>
          <cell r="X42087" t="str">
            <v>Variation UPR - gross</v>
          </cell>
          <cell r="Y42087" t="str">
            <v>JAPAN</v>
          </cell>
        </row>
        <row r="42088">
          <cell r="L42088" t="str">
            <v>Non-proportional</v>
          </cell>
          <cell r="S42088">
            <v>81.819999999999993</v>
          </cell>
          <cell r="X42088" t="str">
            <v>Variation UPR - gross</v>
          </cell>
          <cell r="Y42088" t="str">
            <v>BRAZIL</v>
          </cell>
        </row>
        <row r="42089">
          <cell r="L42089" t="str">
            <v>Proportional</v>
          </cell>
          <cell r="S42089">
            <v>-829455.83</v>
          </cell>
          <cell r="X42089" t="str">
            <v>Variation UPR - gross</v>
          </cell>
          <cell r="Y42089" t="str">
            <v>THAILAND</v>
          </cell>
        </row>
        <row r="42090">
          <cell r="L42090" t="str">
            <v>Non-proportional</v>
          </cell>
          <cell r="S42090">
            <v>-7342.39</v>
          </cell>
          <cell r="X42090" t="str">
            <v>Variation UPR - gross</v>
          </cell>
          <cell r="Y42090" t="str">
            <v>FRANCE</v>
          </cell>
        </row>
        <row r="42091">
          <cell r="L42091" t="str">
            <v>Non-proportional</v>
          </cell>
          <cell r="S42091">
            <v>-10974.83</v>
          </cell>
          <cell r="X42091" t="str">
            <v>Variation UPR - gross</v>
          </cell>
          <cell r="Y42091" t="str">
            <v>GERMANY</v>
          </cell>
        </row>
        <row r="42092">
          <cell r="L42092" t="str">
            <v>Proportional</v>
          </cell>
          <cell r="S42092">
            <v>-494.08</v>
          </cell>
          <cell r="X42092" t="str">
            <v>Variation UPR - gross</v>
          </cell>
          <cell r="Y42092" t="str">
            <v>CHILE</v>
          </cell>
        </row>
        <row r="42093">
          <cell r="L42093" t="str">
            <v>Non-proportional</v>
          </cell>
          <cell r="S42093">
            <v>238.93</v>
          </cell>
          <cell r="X42093" t="str">
            <v>Variation UPR - gross</v>
          </cell>
          <cell r="Y42093" t="str">
            <v>NEW ZEALAND</v>
          </cell>
        </row>
        <row r="42094">
          <cell r="L42094" t="str">
            <v>Non-proportional</v>
          </cell>
          <cell r="S42094">
            <v>0.02</v>
          </cell>
          <cell r="X42094" t="str">
            <v>Variation UPR - gross</v>
          </cell>
          <cell r="Y42094" t="str">
            <v>INDIA</v>
          </cell>
        </row>
        <row r="42095">
          <cell r="L42095" t="str">
            <v>Non-proportional</v>
          </cell>
          <cell r="S42095">
            <v>-6957.83</v>
          </cell>
          <cell r="X42095" t="str">
            <v>Variation UPR - gross</v>
          </cell>
          <cell r="Y42095" t="str">
            <v>ITALY</v>
          </cell>
        </row>
        <row r="42096">
          <cell r="L42096" t="str">
            <v>Non-proportional</v>
          </cell>
          <cell r="S42096">
            <v>-2054.59</v>
          </cell>
          <cell r="X42096" t="str">
            <v>Variation UPR - gross</v>
          </cell>
          <cell r="Y42096" t="str">
            <v>JAPAN</v>
          </cell>
        </row>
        <row r="42097">
          <cell r="L42097" t="str">
            <v>Proportional</v>
          </cell>
          <cell r="S42097">
            <v>-277095.65999999997</v>
          </cell>
          <cell r="X42097" t="str">
            <v>Variation UPR - gross</v>
          </cell>
          <cell r="Y42097" t="str">
            <v>AUSTRALIA</v>
          </cell>
        </row>
        <row r="42098">
          <cell r="L42098" t="str">
            <v>Non-proportional</v>
          </cell>
          <cell r="S42098">
            <v>-57019.41</v>
          </cell>
          <cell r="X42098" t="str">
            <v>Variation UPR - gross</v>
          </cell>
          <cell r="Y42098" t="str">
            <v>UNITED KINGDOM</v>
          </cell>
        </row>
        <row r="42099">
          <cell r="L42099" t="str">
            <v>Non-proportional</v>
          </cell>
          <cell r="S42099">
            <v>-14331.16</v>
          </cell>
          <cell r="X42099" t="str">
            <v>Variation UPR - gross</v>
          </cell>
          <cell r="Y42099" t="str">
            <v>FRANCE</v>
          </cell>
        </row>
        <row r="42100">
          <cell r="L42100" t="str">
            <v>Non-proportional</v>
          </cell>
          <cell r="S42100">
            <v>53.99</v>
          </cell>
          <cell r="X42100" t="str">
            <v>Variation UPR - gross</v>
          </cell>
          <cell r="Y42100" t="str">
            <v>JAPAN</v>
          </cell>
        </row>
        <row r="42101">
          <cell r="L42101" t="str">
            <v>Non-proportional</v>
          </cell>
          <cell r="S42101">
            <v>-5851.33</v>
          </cell>
          <cell r="X42101" t="str">
            <v>Variation UPR - gross</v>
          </cell>
          <cell r="Y42101" t="str">
            <v>ITALY</v>
          </cell>
        </row>
        <row r="42102">
          <cell r="L42102" t="str">
            <v>Non-proportional</v>
          </cell>
          <cell r="S42102">
            <v>30.3</v>
          </cell>
          <cell r="X42102" t="str">
            <v>Variation UPR - gross</v>
          </cell>
          <cell r="Y42102" t="str">
            <v>JAPAN</v>
          </cell>
        </row>
        <row r="42103">
          <cell r="L42103" t="str">
            <v>Non-proportional</v>
          </cell>
          <cell r="S42103">
            <v>-8046.48</v>
          </cell>
          <cell r="X42103" t="str">
            <v>Variation UPR - gross</v>
          </cell>
          <cell r="Y42103" t="str">
            <v>CHILE</v>
          </cell>
        </row>
        <row r="42104">
          <cell r="L42104" t="str">
            <v>Non-proportional</v>
          </cell>
          <cell r="S42104">
            <v>0.03</v>
          </cell>
          <cell r="X42104" t="str">
            <v>Variation UPR - gross</v>
          </cell>
          <cell r="Y42104" t="str">
            <v>INDIA</v>
          </cell>
        </row>
        <row r="42105">
          <cell r="L42105" t="str">
            <v>Non-proportional</v>
          </cell>
          <cell r="S42105">
            <v>-26887.17</v>
          </cell>
          <cell r="X42105" t="str">
            <v>Variation UPR - gross</v>
          </cell>
          <cell r="Y42105" t="str">
            <v>AUSTRALIA</v>
          </cell>
        </row>
        <row r="42106">
          <cell r="L42106" t="str">
            <v>Non-proportional</v>
          </cell>
          <cell r="S42106">
            <v>-1604.51</v>
          </cell>
          <cell r="X42106" t="str">
            <v>Variation UPR - gross</v>
          </cell>
          <cell r="Y42106" t="str">
            <v>COSTA RICA</v>
          </cell>
        </row>
        <row r="42107">
          <cell r="L42107" t="str">
            <v>Non-proportional</v>
          </cell>
          <cell r="S42107">
            <v>53.14</v>
          </cell>
          <cell r="X42107" t="str">
            <v>Variation UPR - gross</v>
          </cell>
          <cell r="Y42107" t="str">
            <v>JAPAN</v>
          </cell>
        </row>
        <row r="42108">
          <cell r="L42108" t="str">
            <v>Non-proportional</v>
          </cell>
          <cell r="S42108">
            <v>-1357635.74</v>
          </cell>
          <cell r="X42108" t="str">
            <v>Variation UPR - gross</v>
          </cell>
          <cell r="Y42108" t="str">
            <v>UNITED KINGDOM</v>
          </cell>
        </row>
        <row r="42109">
          <cell r="L42109" t="str">
            <v>Non-proportional</v>
          </cell>
          <cell r="S42109">
            <v>-4425.46</v>
          </cell>
          <cell r="X42109" t="str">
            <v>Variation UPR - gross</v>
          </cell>
          <cell r="Y42109" t="str">
            <v>FRANCE</v>
          </cell>
        </row>
        <row r="42110">
          <cell r="L42110" t="str">
            <v>Non-proportional</v>
          </cell>
          <cell r="S42110">
            <v>-3906.16</v>
          </cell>
          <cell r="X42110" t="str">
            <v>Variation UPR - gross</v>
          </cell>
          <cell r="Y42110" t="str">
            <v>EUROPE</v>
          </cell>
        </row>
        <row r="42111">
          <cell r="L42111" t="str">
            <v>Non-proportional</v>
          </cell>
          <cell r="S42111">
            <v>-1476.14</v>
          </cell>
          <cell r="X42111" t="str">
            <v>Variation UPR - gross</v>
          </cell>
          <cell r="Y42111" t="str">
            <v>ISRAEL</v>
          </cell>
        </row>
        <row r="42112">
          <cell r="L42112" t="str">
            <v>Non-proportional</v>
          </cell>
          <cell r="S42112">
            <v>-28848.58</v>
          </cell>
          <cell r="X42112" t="str">
            <v>Variation UPR - gross</v>
          </cell>
          <cell r="Y42112" t="str">
            <v>FRANCE</v>
          </cell>
        </row>
        <row r="42113">
          <cell r="L42113" t="str">
            <v>Non-proportional</v>
          </cell>
          <cell r="S42113">
            <v>-1643.65</v>
          </cell>
          <cell r="X42113" t="str">
            <v>Variation UPR - gross</v>
          </cell>
          <cell r="Y42113" t="str">
            <v>JAPAN</v>
          </cell>
        </row>
        <row r="42114">
          <cell r="L42114" t="str">
            <v>Non-proportional</v>
          </cell>
          <cell r="S42114">
            <v>-2495.2199999999998</v>
          </cell>
          <cell r="X42114" t="str">
            <v>Variation UPR - gross</v>
          </cell>
          <cell r="Y42114" t="str">
            <v>ITALY</v>
          </cell>
        </row>
        <row r="42115">
          <cell r="L42115" t="str">
            <v>Non-proportional</v>
          </cell>
          <cell r="S42115">
            <v>-10000</v>
          </cell>
          <cell r="X42115" t="str">
            <v>Variation UPR - gross</v>
          </cell>
          <cell r="Y42115" t="str">
            <v>EUROPE</v>
          </cell>
        </row>
        <row r="42116">
          <cell r="L42116" t="str">
            <v>Proportional</v>
          </cell>
          <cell r="S42116">
            <v>-7756.96</v>
          </cell>
          <cell r="X42116" t="str">
            <v>Variation UPR - gross</v>
          </cell>
          <cell r="Y42116" t="str">
            <v>THAILAND</v>
          </cell>
        </row>
        <row r="42117">
          <cell r="L42117" t="str">
            <v>Non-proportional</v>
          </cell>
          <cell r="S42117">
            <v>-70.58</v>
          </cell>
          <cell r="X42117" t="str">
            <v>Variation UPR - gross</v>
          </cell>
          <cell r="Y42117" t="str">
            <v>CHILE</v>
          </cell>
        </row>
        <row r="42118">
          <cell r="L42118" t="str">
            <v>Non-proportional</v>
          </cell>
          <cell r="S42118">
            <v>-139678.51</v>
          </cell>
          <cell r="X42118" t="str">
            <v>Variation UPR - gross</v>
          </cell>
          <cell r="Y42118" t="str">
            <v>UNITED KINGDOM</v>
          </cell>
        </row>
        <row r="42119">
          <cell r="L42119" t="str">
            <v>Non-proportional</v>
          </cell>
          <cell r="S42119">
            <v>-1538.55</v>
          </cell>
          <cell r="X42119" t="str">
            <v>Variation UPR - gross</v>
          </cell>
          <cell r="Y42119" t="str">
            <v>AUSTRALIA</v>
          </cell>
        </row>
        <row r="42120">
          <cell r="L42120" t="str">
            <v>Non-proportional</v>
          </cell>
          <cell r="S42120">
            <v>-6554.41</v>
          </cell>
          <cell r="X42120" t="str">
            <v>Variation UPR - gross</v>
          </cell>
          <cell r="Y42120" t="str">
            <v>MEXICO</v>
          </cell>
        </row>
        <row r="42121">
          <cell r="L42121" t="str">
            <v>Non-proportional</v>
          </cell>
          <cell r="S42121">
            <v>-14424.04</v>
          </cell>
          <cell r="X42121" t="str">
            <v>Variation UPR - gross</v>
          </cell>
          <cell r="Y42121" t="str">
            <v>FRANCE</v>
          </cell>
        </row>
        <row r="42122">
          <cell r="L42122" t="str">
            <v>Non-proportional</v>
          </cell>
          <cell r="S42122">
            <v>-4234.99</v>
          </cell>
          <cell r="X42122" t="str">
            <v>Variation UPR - gross</v>
          </cell>
          <cell r="Y42122" t="str">
            <v>CHILE</v>
          </cell>
        </row>
        <row r="42123">
          <cell r="L42123" t="str">
            <v>Non-proportional</v>
          </cell>
          <cell r="S42123">
            <v>-2066.58</v>
          </cell>
          <cell r="X42123" t="str">
            <v>Variation UPR - gross</v>
          </cell>
          <cell r="Y42123" t="str">
            <v>DOMINICAN REPUBLIC</v>
          </cell>
        </row>
        <row r="42124">
          <cell r="L42124" t="str">
            <v>Non-proportional</v>
          </cell>
          <cell r="S42124">
            <v>-3130.23</v>
          </cell>
          <cell r="X42124" t="str">
            <v>Variation UPR - gross</v>
          </cell>
          <cell r="Y42124" t="str">
            <v>UNITED KINGDOM</v>
          </cell>
        </row>
        <row r="42125">
          <cell r="L42125" t="str">
            <v>Non-proportional</v>
          </cell>
          <cell r="S42125">
            <v>-4949.13</v>
          </cell>
          <cell r="X42125" t="str">
            <v>Variation UPR - gross</v>
          </cell>
          <cell r="Y42125" t="str">
            <v>NETHERLANDS</v>
          </cell>
        </row>
        <row r="42126">
          <cell r="L42126" t="str">
            <v>Non-proportional</v>
          </cell>
          <cell r="S42126">
            <v>-8917.1299999999992</v>
          </cell>
          <cell r="X42126" t="str">
            <v>Variation UPR - gross</v>
          </cell>
          <cell r="Y42126" t="str">
            <v>TURKEY</v>
          </cell>
        </row>
        <row r="42127">
          <cell r="L42127" t="str">
            <v>Non-proportional</v>
          </cell>
          <cell r="S42127">
            <v>-855.73</v>
          </cell>
          <cell r="X42127" t="str">
            <v>Variation UPR - gross</v>
          </cell>
          <cell r="Y42127" t="str">
            <v>COSTA RICA</v>
          </cell>
        </row>
        <row r="42128">
          <cell r="L42128" t="str">
            <v>Non-proportional</v>
          </cell>
          <cell r="S42128">
            <v>689.19</v>
          </cell>
          <cell r="X42128" t="str">
            <v>Variation UPR - gross</v>
          </cell>
          <cell r="Y42128" t="str">
            <v>DOMINICAN REPUBLIC</v>
          </cell>
        </row>
        <row r="42129">
          <cell r="L42129" t="str">
            <v>Non-proportional</v>
          </cell>
          <cell r="S42129">
            <v>-7437.5</v>
          </cell>
          <cell r="X42129" t="str">
            <v>Variation UPR - gross</v>
          </cell>
          <cell r="Y42129" t="str">
            <v>ITALY</v>
          </cell>
        </row>
        <row r="42130">
          <cell r="L42130" t="str">
            <v>Proportional</v>
          </cell>
          <cell r="S42130">
            <v>-17798.099999999999</v>
          </cell>
          <cell r="X42130" t="str">
            <v>Variation UPR - gross</v>
          </cell>
          <cell r="Y42130" t="str">
            <v>THAILAND</v>
          </cell>
        </row>
        <row r="42131">
          <cell r="L42131" t="str">
            <v>Non-proportional</v>
          </cell>
          <cell r="S42131">
            <v>-420.38</v>
          </cell>
          <cell r="X42131" t="str">
            <v>Variation UPR - gross</v>
          </cell>
          <cell r="Y42131" t="str">
            <v>PORTUGAL</v>
          </cell>
        </row>
        <row r="42132">
          <cell r="L42132" t="str">
            <v>Non-proportional</v>
          </cell>
          <cell r="S42132">
            <v>-9281.69</v>
          </cell>
          <cell r="X42132" t="str">
            <v>Variation UPR - gross</v>
          </cell>
          <cell r="Y42132" t="str">
            <v>CHILE</v>
          </cell>
        </row>
        <row r="42133">
          <cell r="L42133" t="str">
            <v>Non-proportional</v>
          </cell>
          <cell r="S42133">
            <v>-13821.51</v>
          </cell>
          <cell r="X42133" t="str">
            <v>Variation UPR - gross</v>
          </cell>
          <cell r="Y42133" t="str">
            <v>UNITED KINGDOM</v>
          </cell>
        </row>
        <row r="42134">
          <cell r="L42134" t="str">
            <v>Non-proportional</v>
          </cell>
          <cell r="S42134">
            <v>-9384.98</v>
          </cell>
          <cell r="X42134" t="str">
            <v>Variation UPR - gross</v>
          </cell>
          <cell r="Y42134" t="str">
            <v>UNITED KINGDOM</v>
          </cell>
        </row>
        <row r="42135">
          <cell r="L42135" t="str">
            <v>Non-proportional</v>
          </cell>
          <cell r="S42135">
            <v>-109330.38</v>
          </cell>
          <cell r="X42135" t="str">
            <v>Variation UPR - gross</v>
          </cell>
          <cell r="Y42135" t="str">
            <v>FRANCE</v>
          </cell>
        </row>
        <row r="42136">
          <cell r="L42136" t="str">
            <v>Non-proportional</v>
          </cell>
          <cell r="S42136">
            <v>-2644.4</v>
          </cell>
          <cell r="X42136" t="str">
            <v>Variation UPR - gross</v>
          </cell>
          <cell r="Y42136" t="str">
            <v>DOMINICAN REPUBLIC</v>
          </cell>
        </row>
        <row r="42137">
          <cell r="L42137" t="str">
            <v>Proportional</v>
          </cell>
          <cell r="S42137">
            <v>685.48</v>
          </cell>
          <cell r="X42137" t="str">
            <v>Variation UPR - gross</v>
          </cell>
          <cell r="Y42137" t="str">
            <v>THAILAND</v>
          </cell>
        </row>
        <row r="42138">
          <cell r="L42138" t="str">
            <v>Non-proportional</v>
          </cell>
          <cell r="S42138">
            <v>-20197.509999999998</v>
          </cell>
          <cell r="X42138" t="str">
            <v>Variation UPR - gross</v>
          </cell>
          <cell r="Y42138" t="str">
            <v>ITALY</v>
          </cell>
        </row>
        <row r="42139">
          <cell r="L42139" t="str">
            <v>Non-proportional</v>
          </cell>
          <cell r="S42139">
            <v>-1458.33</v>
          </cell>
          <cell r="X42139" t="str">
            <v>Variation UPR - gross</v>
          </cell>
          <cell r="Y42139" t="str">
            <v>GREECE</v>
          </cell>
        </row>
        <row r="42140">
          <cell r="L42140" t="str">
            <v>Non-proportional</v>
          </cell>
          <cell r="S42140">
            <v>5.51</v>
          </cell>
          <cell r="X42140" t="str">
            <v>Variation UPR - gross</v>
          </cell>
          <cell r="Y42140" t="str">
            <v>GUATEMALA</v>
          </cell>
        </row>
        <row r="42141">
          <cell r="L42141" t="str">
            <v>Non-proportional</v>
          </cell>
          <cell r="S42141">
            <v>34.19</v>
          </cell>
          <cell r="X42141" t="str">
            <v>Variation UPR - gross</v>
          </cell>
          <cell r="Y42141" t="str">
            <v>JAPAN</v>
          </cell>
        </row>
        <row r="42142">
          <cell r="L42142" t="str">
            <v>Non-proportional</v>
          </cell>
          <cell r="S42142">
            <v>-0.01</v>
          </cell>
          <cell r="X42142" t="str">
            <v>Variation UPR - gross</v>
          </cell>
          <cell r="Y42142" t="str">
            <v>DOMINICAN REPUBLIC</v>
          </cell>
        </row>
        <row r="42143">
          <cell r="L42143" t="str">
            <v>Non-proportional</v>
          </cell>
          <cell r="S42143">
            <v>-10707.08</v>
          </cell>
          <cell r="X42143" t="str">
            <v>Variation UPR - gross</v>
          </cell>
          <cell r="Y42143" t="str">
            <v>FRANCE</v>
          </cell>
        </row>
        <row r="42144">
          <cell r="L42144" t="str">
            <v>Non-proportional</v>
          </cell>
          <cell r="S42144">
            <v>-141.16999999999999</v>
          </cell>
          <cell r="X42144" t="str">
            <v>Variation UPR - gross</v>
          </cell>
          <cell r="Y42144" t="str">
            <v>CHILE</v>
          </cell>
        </row>
        <row r="42145">
          <cell r="L42145" t="str">
            <v>Non-proportional</v>
          </cell>
          <cell r="S42145">
            <v>0.02</v>
          </cell>
          <cell r="X42145" t="str">
            <v>Variation UPR - gross</v>
          </cell>
          <cell r="Y42145" t="str">
            <v>COLOMBIA</v>
          </cell>
        </row>
        <row r="42146">
          <cell r="L42146" t="str">
            <v>Non-proportional</v>
          </cell>
          <cell r="S42146">
            <v>144.05000000000001</v>
          </cell>
          <cell r="X42146" t="str">
            <v>Variation UPR - gross</v>
          </cell>
          <cell r="Y42146" t="str">
            <v>NEW ZEALAND</v>
          </cell>
        </row>
        <row r="42147">
          <cell r="L42147" t="str">
            <v>Proportional</v>
          </cell>
          <cell r="S42147">
            <v>10640.22</v>
          </cell>
          <cell r="X42147" t="str">
            <v>Variation UPR - gross</v>
          </cell>
          <cell r="Y42147" t="str">
            <v>THAILAND</v>
          </cell>
        </row>
        <row r="42148">
          <cell r="L42148" t="str">
            <v>Non-proportional</v>
          </cell>
          <cell r="S42148">
            <v>-10748.69</v>
          </cell>
          <cell r="X42148" t="str">
            <v>Variation UPR - gross</v>
          </cell>
          <cell r="Y42148" t="str">
            <v>ITALY</v>
          </cell>
        </row>
        <row r="42149">
          <cell r="L42149" t="str">
            <v>Proportional</v>
          </cell>
          <cell r="S42149">
            <v>18386.71</v>
          </cell>
          <cell r="X42149" t="str">
            <v>Variation UPR - gross</v>
          </cell>
          <cell r="Y42149" t="str">
            <v>UNITED STATES</v>
          </cell>
        </row>
        <row r="42150">
          <cell r="L42150" t="str">
            <v>Non-proportional</v>
          </cell>
          <cell r="S42150">
            <v>-59.02</v>
          </cell>
          <cell r="X42150" t="str">
            <v>Variation UPR - gross</v>
          </cell>
          <cell r="Y42150" t="str">
            <v>THAILAND</v>
          </cell>
        </row>
        <row r="42151">
          <cell r="L42151" t="str">
            <v>Non-proportional</v>
          </cell>
          <cell r="S42151">
            <v>-64729</v>
          </cell>
          <cell r="X42151" t="str">
            <v>Variation UPR - gross</v>
          </cell>
          <cell r="Y42151" t="str">
            <v>UNITED KINGDOM</v>
          </cell>
        </row>
        <row r="42152">
          <cell r="L42152" t="str">
            <v>Non-proportional</v>
          </cell>
          <cell r="S42152">
            <v>-14227.01</v>
          </cell>
          <cell r="X42152" t="str">
            <v>Variation UPR - gross</v>
          </cell>
          <cell r="Y42152" t="str">
            <v>PUERTO RICO</v>
          </cell>
        </row>
        <row r="42153">
          <cell r="L42153" t="str">
            <v>Non-proportional</v>
          </cell>
          <cell r="S42153">
            <v>-4533.33</v>
          </cell>
          <cell r="X42153" t="str">
            <v>Variation UPR - gross</v>
          </cell>
          <cell r="Y42153" t="str">
            <v>PORTUGAL</v>
          </cell>
        </row>
        <row r="42154">
          <cell r="L42154" t="str">
            <v>Non-proportional</v>
          </cell>
          <cell r="S42154">
            <v>-3282.12</v>
          </cell>
          <cell r="X42154" t="str">
            <v>Variation UPR - gross</v>
          </cell>
          <cell r="Y42154" t="str">
            <v>CHILE</v>
          </cell>
        </row>
        <row r="42155">
          <cell r="L42155" t="str">
            <v>Proportional</v>
          </cell>
          <cell r="S42155">
            <v>1189.3900000000001</v>
          </cell>
          <cell r="X42155" t="str">
            <v>Variation UPR - gross</v>
          </cell>
          <cell r="Y42155" t="str">
            <v>CANADA</v>
          </cell>
        </row>
        <row r="42156">
          <cell r="L42156" t="str">
            <v>Proportional</v>
          </cell>
          <cell r="S42156">
            <v>-81148.960000000006</v>
          </cell>
          <cell r="X42156" t="str">
            <v>Variation UPR - gross</v>
          </cell>
          <cell r="Y42156" t="str">
            <v>MEXICO</v>
          </cell>
        </row>
        <row r="42157">
          <cell r="L42157" t="str">
            <v>Non-proportional</v>
          </cell>
          <cell r="S42157">
            <v>-1669.71</v>
          </cell>
          <cell r="X42157" t="str">
            <v>Variation UPR - gross</v>
          </cell>
          <cell r="Y42157" t="str">
            <v>JAPAN</v>
          </cell>
        </row>
        <row r="42158">
          <cell r="L42158" t="str">
            <v>Non-proportional</v>
          </cell>
          <cell r="S42158">
            <v>-3754.76</v>
          </cell>
          <cell r="X42158" t="str">
            <v>Variation UPR - gross</v>
          </cell>
          <cell r="Y42158" t="str">
            <v>ISRAEL</v>
          </cell>
        </row>
        <row r="42159">
          <cell r="L42159" t="str">
            <v>Proportional</v>
          </cell>
          <cell r="S42159">
            <v>-45587.5</v>
          </cell>
          <cell r="X42159" t="str">
            <v>Variation UPR - gross</v>
          </cell>
          <cell r="Y42159" t="str">
            <v>ITALY</v>
          </cell>
        </row>
        <row r="42160">
          <cell r="L42160" t="str">
            <v>Non-proportional</v>
          </cell>
          <cell r="S42160">
            <v>-2574.65</v>
          </cell>
          <cell r="X42160" t="str">
            <v>Variation UPR - gross</v>
          </cell>
          <cell r="Y42160" t="str">
            <v>SOUTH AFRICA</v>
          </cell>
        </row>
        <row r="42161">
          <cell r="L42161" t="str">
            <v>Proportional</v>
          </cell>
          <cell r="S42161">
            <v>-93033.11</v>
          </cell>
          <cell r="X42161" t="str">
            <v>Variation UPR - gross</v>
          </cell>
          <cell r="Y42161" t="str">
            <v>CANADA</v>
          </cell>
        </row>
        <row r="42162">
          <cell r="L42162" t="str">
            <v>Proportional</v>
          </cell>
          <cell r="S42162">
            <v>-3225.62</v>
          </cell>
          <cell r="X42162" t="str">
            <v>Variation UPR - gross</v>
          </cell>
          <cell r="Y42162" t="str">
            <v>INDIA</v>
          </cell>
        </row>
        <row r="42163">
          <cell r="L42163" t="str">
            <v>Non-proportional</v>
          </cell>
          <cell r="S42163">
            <v>-71.17</v>
          </cell>
          <cell r="X42163" t="str">
            <v>Variation UPR - gross</v>
          </cell>
          <cell r="Y42163" t="str">
            <v>THAILAND</v>
          </cell>
        </row>
        <row r="42164">
          <cell r="L42164" t="str">
            <v>Non-proportional</v>
          </cell>
          <cell r="S42164">
            <v>-5933.19</v>
          </cell>
          <cell r="X42164" t="str">
            <v>Variation UPR - gross</v>
          </cell>
          <cell r="Y42164" t="str">
            <v>INDIA</v>
          </cell>
        </row>
        <row r="42165">
          <cell r="L42165" t="str">
            <v>Non-proportional</v>
          </cell>
          <cell r="S42165">
            <v>-105.87</v>
          </cell>
          <cell r="X42165" t="str">
            <v>Variation UPR - gross</v>
          </cell>
          <cell r="Y42165" t="str">
            <v>CHILE</v>
          </cell>
        </row>
        <row r="42166">
          <cell r="L42166" t="str">
            <v>Non-proportional</v>
          </cell>
          <cell r="S42166">
            <v>-2141.2399999999998</v>
          </cell>
          <cell r="X42166" t="str">
            <v>Variation UPR - gross</v>
          </cell>
          <cell r="Y42166" t="str">
            <v>DOMINICAN REPUBLIC</v>
          </cell>
        </row>
        <row r="42167">
          <cell r="L42167" t="str">
            <v>Non-proportional</v>
          </cell>
          <cell r="S42167">
            <v>-855.73</v>
          </cell>
          <cell r="X42167" t="str">
            <v>Variation UPR - gross</v>
          </cell>
          <cell r="Y42167" t="str">
            <v>COSTA RICA</v>
          </cell>
        </row>
        <row r="42168">
          <cell r="L42168" t="str">
            <v>Non-proportional</v>
          </cell>
          <cell r="S42168">
            <v>-17706.689999999999</v>
          </cell>
          <cell r="X42168" t="str">
            <v>Variation UPR - gross</v>
          </cell>
          <cell r="Y42168" t="str">
            <v>UNITED KINGDOM</v>
          </cell>
        </row>
        <row r="42169">
          <cell r="L42169" t="str">
            <v>Non-proportional</v>
          </cell>
          <cell r="S42169">
            <v>-1664.56</v>
          </cell>
          <cell r="X42169" t="str">
            <v>Variation UPR - gross</v>
          </cell>
          <cell r="Y42169" t="str">
            <v>FRANCE</v>
          </cell>
        </row>
        <row r="42170">
          <cell r="L42170" t="str">
            <v>Non-proportional</v>
          </cell>
          <cell r="S42170">
            <v>-8988.08</v>
          </cell>
          <cell r="X42170" t="str">
            <v>Variation UPR - gross</v>
          </cell>
          <cell r="Y42170" t="str">
            <v>ISRAEL</v>
          </cell>
        </row>
        <row r="42171">
          <cell r="L42171" t="str">
            <v>Non-proportional</v>
          </cell>
          <cell r="S42171">
            <v>-2041.67</v>
          </cell>
          <cell r="X42171" t="str">
            <v>Variation UPR - gross</v>
          </cell>
          <cell r="Y42171" t="str">
            <v>ITALY</v>
          </cell>
        </row>
        <row r="42172">
          <cell r="L42172"/>
          <cell r="S42172">
            <v>10048351.24</v>
          </cell>
          <cell r="X42172" t="str">
            <v>Variation UPR - gross</v>
          </cell>
          <cell r="Y42172" t="str">
            <v>United kingdom</v>
          </cell>
        </row>
        <row r="42173">
          <cell r="L42173" t="str">
            <v>Non-proportional</v>
          </cell>
          <cell r="S42173">
            <v>-20197.509999999998</v>
          </cell>
          <cell r="X42173" t="str">
            <v>Variation UPR - gross</v>
          </cell>
          <cell r="Y42173" t="str">
            <v>ITALY</v>
          </cell>
        </row>
        <row r="42174">
          <cell r="L42174" t="str">
            <v>Non-proportional</v>
          </cell>
          <cell r="S42174">
            <v>-62.69</v>
          </cell>
          <cell r="X42174" t="str">
            <v>Variation UPR - gross</v>
          </cell>
          <cell r="Y42174" t="str">
            <v>ISRAEL</v>
          </cell>
        </row>
        <row r="42175">
          <cell r="L42175" t="str">
            <v>Non-proportional</v>
          </cell>
          <cell r="S42175">
            <v>-11418.34</v>
          </cell>
          <cell r="X42175" t="str">
            <v>Variation UPR - gross</v>
          </cell>
          <cell r="Y42175" t="str">
            <v>MEXICO</v>
          </cell>
        </row>
        <row r="42176">
          <cell r="L42176" t="str">
            <v>Non-proportional</v>
          </cell>
          <cell r="S42176">
            <v>12.63</v>
          </cell>
          <cell r="X42176" t="str">
            <v>Variation UPR - gross</v>
          </cell>
          <cell r="Y42176" t="str">
            <v>GUATEMALA</v>
          </cell>
        </row>
        <row r="42177">
          <cell r="L42177" t="str">
            <v>Non-proportional</v>
          </cell>
          <cell r="S42177">
            <v>-9053.2099999999991</v>
          </cell>
          <cell r="X42177" t="str">
            <v>Variation UPR - gross</v>
          </cell>
          <cell r="Y42177" t="str">
            <v>ITALY</v>
          </cell>
        </row>
        <row r="42178">
          <cell r="L42178" t="str">
            <v>Non-proportional</v>
          </cell>
          <cell r="S42178">
            <v>-8249.66</v>
          </cell>
          <cell r="X42178" t="str">
            <v>Variation UPR - gross</v>
          </cell>
          <cell r="Y42178" t="str">
            <v>AUSTRALIA</v>
          </cell>
        </row>
        <row r="42179">
          <cell r="L42179" t="str">
            <v>Non-proportional</v>
          </cell>
          <cell r="S42179">
            <v>-1765.61</v>
          </cell>
          <cell r="X42179" t="str">
            <v>Variation UPR - gross</v>
          </cell>
          <cell r="Y42179" t="str">
            <v>JAPAN</v>
          </cell>
        </row>
        <row r="42180">
          <cell r="L42180" t="str">
            <v>Non-proportional</v>
          </cell>
          <cell r="S42180">
            <v>204.31</v>
          </cell>
          <cell r="X42180" t="str">
            <v>Variation UPR - gross</v>
          </cell>
          <cell r="Y42180" t="str">
            <v>JAPAN</v>
          </cell>
        </row>
        <row r="42181">
          <cell r="L42181" t="str">
            <v>Non-proportional</v>
          </cell>
          <cell r="S42181">
            <v>-3244.77</v>
          </cell>
          <cell r="X42181" t="str">
            <v>Variation UPR - gross</v>
          </cell>
          <cell r="Y42181" t="str">
            <v>FRANCE</v>
          </cell>
        </row>
        <row r="42182">
          <cell r="L42182" t="str">
            <v>Non-proportional</v>
          </cell>
          <cell r="S42182">
            <v>-1935.76</v>
          </cell>
          <cell r="X42182" t="str">
            <v>Variation UPR - gross</v>
          </cell>
          <cell r="Y42182" t="str">
            <v>DOMINICAN REPUBLIC</v>
          </cell>
        </row>
        <row r="42183">
          <cell r="L42183" t="str">
            <v>Non-proportional</v>
          </cell>
          <cell r="S42183">
            <v>-3593.75</v>
          </cell>
          <cell r="X42183" t="str">
            <v>Variation UPR - gross</v>
          </cell>
          <cell r="Y42183" t="str">
            <v>GREECE</v>
          </cell>
        </row>
        <row r="42184">
          <cell r="L42184" t="str">
            <v>Non-proportional</v>
          </cell>
          <cell r="S42184">
            <v>-356.17</v>
          </cell>
          <cell r="X42184" t="str">
            <v>Variation UPR - gross</v>
          </cell>
          <cell r="Y42184" t="str">
            <v>INDIA</v>
          </cell>
        </row>
        <row r="42185">
          <cell r="L42185" t="str">
            <v>Non-proportional</v>
          </cell>
          <cell r="S42185">
            <v>69.44</v>
          </cell>
          <cell r="X42185" t="str">
            <v>Variation UPR - gross</v>
          </cell>
          <cell r="Y42185" t="str">
            <v>NEW ZEALAND</v>
          </cell>
        </row>
        <row r="42186">
          <cell r="L42186" t="str">
            <v>Non-proportional</v>
          </cell>
          <cell r="S42186">
            <v>5.48</v>
          </cell>
          <cell r="X42186" t="str">
            <v>Variation UPR - gross</v>
          </cell>
          <cell r="Y42186" t="str">
            <v>GUATEMALA</v>
          </cell>
        </row>
        <row r="42187">
          <cell r="L42187" t="str">
            <v>Non-proportional</v>
          </cell>
          <cell r="S42187">
            <v>-15146.61</v>
          </cell>
          <cell r="X42187" t="str">
            <v>Variation UPR - gross</v>
          </cell>
          <cell r="Y42187" t="str">
            <v>NEW ZEALAND</v>
          </cell>
        </row>
        <row r="42188">
          <cell r="L42188" t="str">
            <v>Non-proportional</v>
          </cell>
          <cell r="S42188">
            <v>-7586.5</v>
          </cell>
          <cell r="X42188" t="str">
            <v>Variation UPR - gross</v>
          </cell>
          <cell r="Y42188" t="str">
            <v>FRANCE</v>
          </cell>
        </row>
        <row r="42189">
          <cell r="L42189" t="str">
            <v>Non-proportional</v>
          </cell>
          <cell r="S42189">
            <v>-1695.69</v>
          </cell>
          <cell r="X42189" t="str">
            <v>Variation UPR - gross</v>
          </cell>
          <cell r="Y42189" t="str">
            <v>COSTA RICA</v>
          </cell>
        </row>
        <row r="42190">
          <cell r="L42190" t="str">
            <v>Non-proportional</v>
          </cell>
          <cell r="S42190">
            <v>-286.25</v>
          </cell>
          <cell r="X42190" t="str">
            <v>Variation UPR - gross</v>
          </cell>
          <cell r="Y42190" t="str">
            <v>REPUBLIC OF IRELAND</v>
          </cell>
        </row>
        <row r="42191">
          <cell r="L42191" t="str">
            <v>Non-proportional</v>
          </cell>
          <cell r="S42191">
            <v>-4675.13</v>
          </cell>
          <cell r="X42191" t="str">
            <v>Variation UPR - gross</v>
          </cell>
          <cell r="Y42191" t="str">
            <v>CYPRUS</v>
          </cell>
        </row>
        <row r="42192">
          <cell r="L42192" t="str">
            <v>Non-proportional</v>
          </cell>
          <cell r="S42192">
            <v>-7051.19</v>
          </cell>
          <cell r="X42192" t="str">
            <v>Variation UPR - gross</v>
          </cell>
          <cell r="Y42192" t="str">
            <v>UNITED KINGDOM</v>
          </cell>
        </row>
        <row r="42193">
          <cell r="L42193" t="str">
            <v>Non-proportional</v>
          </cell>
          <cell r="S42193">
            <v>-7754.25</v>
          </cell>
          <cell r="X42193" t="str">
            <v>Variation UPR - gross</v>
          </cell>
          <cell r="Y42193" t="str">
            <v>JAPAN</v>
          </cell>
        </row>
        <row r="42194">
          <cell r="L42194" t="str">
            <v>Non-proportional</v>
          </cell>
          <cell r="S42194">
            <v>-6375.69</v>
          </cell>
          <cell r="X42194" t="str">
            <v>Variation UPR - gross</v>
          </cell>
          <cell r="Y42194" t="str">
            <v>NEW ZEALAND</v>
          </cell>
        </row>
        <row r="42195">
          <cell r="L42195" t="str">
            <v>Non-proportional</v>
          </cell>
          <cell r="S42195">
            <v>0.04</v>
          </cell>
          <cell r="X42195" t="str">
            <v>Variation UPR - gross</v>
          </cell>
          <cell r="Y42195" t="str">
            <v>COLOMBIA</v>
          </cell>
        </row>
        <row r="42196">
          <cell r="L42196" t="str">
            <v>Proportional</v>
          </cell>
          <cell r="S42196">
            <v>-1494.05</v>
          </cell>
          <cell r="X42196" t="str">
            <v>Variation UPR - gross</v>
          </cell>
          <cell r="Y42196" t="str">
            <v>HONG KONG</v>
          </cell>
        </row>
        <row r="42197">
          <cell r="L42197" t="str">
            <v>Non-proportional</v>
          </cell>
          <cell r="S42197">
            <v>-2187.5</v>
          </cell>
          <cell r="X42197" t="str">
            <v>Variation UPR - gross</v>
          </cell>
          <cell r="Y42197" t="str">
            <v>GERMANY</v>
          </cell>
        </row>
        <row r="42198">
          <cell r="L42198" t="str">
            <v>Non-proportional</v>
          </cell>
          <cell r="S42198">
            <v>-2035.61</v>
          </cell>
          <cell r="X42198" t="str">
            <v>Variation UPR - gross</v>
          </cell>
          <cell r="Y42198" t="str">
            <v>JAPAN</v>
          </cell>
        </row>
        <row r="42199">
          <cell r="L42199" t="str">
            <v>Proportional</v>
          </cell>
          <cell r="S42199">
            <v>69.17</v>
          </cell>
          <cell r="X42199" t="str">
            <v>Variation UPR - gross</v>
          </cell>
          <cell r="Y42199" t="str">
            <v>THAILAND</v>
          </cell>
        </row>
        <row r="42200">
          <cell r="L42200" t="str">
            <v>Non-proportional</v>
          </cell>
          <cell r="S42200">
            <v>-58.36</v>
          </cell>
          <cell r="X42200" t="str">
            <v>Variation UPR - gross</v>
          </cell>
          <cell r="Y42200" t="str">
            <v>THAILAND</v>
          </cell>
        </row>
        <row r="42201">
          <cell r="L42201" t="str">
            <v>Non-proportional</v>
          </cell>
          <cell r="S42201">
            <v>-2377.5700000000002</v>
          </cell>
          <cell r="X42201" t="str">
            <v>Variation UPR - gross</v>
          </cell>
          <cell r="Y42201" t="str">
            <v>CHILE</v>
          </cell>
        </row>
        <row r="42202">
          <cell r="L42202" t="str">
            <v>Proportional</v>
          </cell>
          <cell r="S42202">
            <v>-238.53</v>
          </cell>
          <cell r="X42202" t="str">
            <v>Variation UPR - gross</v>
          </cell>
          <cell r="Y42202" t="str">
            <v>THAILAND</v>
          </cell>
        </row>
        <row r="42203">
          <cell r="L42203" t="str">
            <v>Non-proportional</v>
          </cell>
          <cell r="S42203">
            <v>-9747.42</v>
          </cell>
          <cell r="X42203" t="str">
            <v>Variation UPR - gross</v>
          </cell>
          <cell r="Y42203" t="str">
            <v>COLOMBIA</v>
          </cell>
        </row>
        <row r="42204">
          <cell r="L42204" t="str">
            <v>Non-proportional</v>
          </cell>
          <cell r="S42204">
            <v>403.14</v>
          </cell>
          <cell r="X42204" t="str">
            <v>Variation UPR - gross</v>
          </cell>
          <cell r="Y42204" t="str">
            <v>NEW ZEALAND</v>
          </cell>
        </row>
        <row r="42205">
          <cell r="L42205" t="str">
            <v>Non-proportional</v>
          </cell>
          <cell r="S42205">
            <v>-3143.33</v>
          </cell>
          <cell r="X42205" t="str">
            <v>Variation UPR - gross</v>
          </cell>
          <cell r="Y42205" t="str">
            <v>GERMANY</v>
          </cell>
        </row>
        <row r="42206">
          <cell r="L42206" t="str">
            <v>Proportional</v>
          </cell>
          <cell r="S42206">
            <v>-148156.87</v>
          </cell>
          <cell r="X42206" t="str">
            <v>Variation UPR - gross</v>
          </cell>
          <cell r="Y42206" t="str">
            <v>THAILAND</v>
          </cell>
        </row>
        <row r="42207">
          <cell r="L42207" t="str">
            <v>Non-proportional</v>
          </cell>
          <cell r="S42207">
            <v>-2519.79</v>
          </cell>
          <cell r="X42207" t="str">
            <v>Variation UPR - gross</v>
          </cell>
          <cell r="Y42207" t="str">
            <v>ECUADOR</v>
          </cell>
        </row>
        <row r="42208">
          <cell r="L42208" t="str">
            <v>Non-proportional</v>
          </cell>
          <cell r="S42208">
            <v>111.57</v>
          </cell>
          <cell r="X42208" t="str">
            <v>Variation UPR - gross</v>
          </cell>
          <cell r="Y42208" t="str">
            <v>JAPAN</v>
          </cell>
        </row>
        <row r="42209">
          <cell r="L42209" t="str">
            <v>Proportional</v>
          </cell>
          <cell r="S42209">
            <v>-26001.75</v>
          </cell>
          <cell r="X42209" t="str">
            <v>Variation UPR - gross</v>
          </cell>
          <cell r="Y42209" t="str">
            <v>ITALY</v>
          </cell>
        </row>
        <row r="42210">
          <cell r="L42210" t="str">
            <v>Non-proportional</v>
          </cell>
          <cell r="S42210">
            <v>-4193.99</v>
          </cell>
          <cell r="X42210" t="str">
            <v>Variation UPR - gross</v>
          </cell>
          <cell r="Y42210" t="str">
            <v>COLOMBIA</v>
          </cell>
        </row>
        <row r="42211">
          <cell r="L42211" t="str">
            <v>Non-proportional</v>
          </cell>
          <cell r="S42211">
            <v>0.02</v>
          </cell>
          <cell r="X42211" t="str">
            <v>Variation UPR - gross</v>
          </cell>
          <cell r="Y42211" t="str">
            <v>BELIZE</v>
          </cell>
        </row>
        <row r="42212">
          <cell r="L42212" t="str">
            <v>Non-proportional</v>
          </cell>
          <cell r="S42212">
            <v>55.52</v>
          </cell>
          <cell r="X42212" t="str">
            <v>Variation UPR - gross</v>
          </cell>
          <cell r="Y42212" t="str">
            <v>JAPAN</v>
          </cell>
        </row>
        <row r="42213">
          <cell r="L42213" t="str">
            <v>Non-proportional</v>
          </cell>
          <cell r="S42213">
            <v>-60375</v>
          </cell>
          <cell r="X42213" t="str">
            <v>Variation UPR - gross</v>
          </cell>
          <cell r="Y42213" t="str">
            <v>BELGIUM</v>
          </cell>
        </row>
        <row r="42214">
          <cell r="L42214" t="str">
            <v>Non-proportional</v>
          </cell>
          <cell r="S42214">
            <v>-893.94</v>
          </cell>
          <cell r="X42214" t="str">
            <v>Variation UPR - gross</v>
          </cell>
          <cell r="Y42214" t="str">
            <v>ECUADOR</v>
          </cell>
        </row>
        <row r="42215">
          <cell r="L42215" t="str">
            <v>Proportional</v>
          </cell>
          <cell r="S42215">
            <v>-61428.38</v>
          </cell>
          <cell r="X42215" t="str">
            <v>Variation UPR - gross</v>
          </cell>
          <cell r="Y42215" t="str">
            <v>ITALY</v>
          </cell>
        </row>
        <row r="42216">
          <cell r="L42216" t="str">
            <v>Non-proportional</v>
          </cell>
          <cell r="S42216">
            <v>-10070.709999999999</v>
          </cell>
          <cell r="X42216" t="str">
            <v>Variation UPR - gross</v>
          </cell>
          <cell r="Y42216" t="str">
            <v>NEW ZEALAND</v>
          </cell>
        </row>
        <row r="42217">
          <cell r="L42217" t="str">
            <v>Proportional</v>
          </cell>
          <cell r="S42217">
            <v>676.14</v>
          </cell>
          <cell r="X42217" t="str">
            <v>Variation UPR - gross</v>
          </cell>
          <cell r="Y42217" t="str">
            <v>INDIA</v>
          </cell>
        </row>
        <row r="42218">
          <cell r="L42218" t="str">
            <v>Non-proportional</v>
          </cell>
          <cell r="S42218">
            <v>-879.4</v>
          </cell>
          <cell r="X42218" t="str">
            <v>Variation UPR - gross</v>
          </cell>
          <cell r="Y42218" t="str">
            <v>INDIA</v>
          </cell>
        </row>
        <row r="42219">
          <cell r="L42219" t="str">
            <v>Proportional</v>
          </cell>
          <cell r="S42219">
            <v>-21608.11</v>
          </cell>
          <cell r="X42219" t="str">
            <v>Variation UPR - gross</v>
          </cell>
          <cell r="Y42219" t="str">
            <v>AUSTRALIA</v>
          </cell>
        </row>
        <row r="42220">
          <cell r="L42220" t="str">
            <v>Non-proportional</v>
          </cell>
          <cell r="S42220">
            <v>-59.15</v>
          </cell>
          <cell r="X42220" t="str">
            <v>Variation UPR - gross</v>
          </cell>
          <cell r="Y42220" t="str">
            <v>BRAZIL</v>
          </cell>
        </row>
        <row r="42221">
          <cell r="L42221" t="str">
            <v>Non-proportional</v>
          </cell>
          <cell r="S42221">
            <v>-746.77</v>
          </cell>
          <cell r="X42221" t="str">
            <v>Variation UPR - gross</v>
          </cell>
          <cell r="Y42221" t="str">
            <v>JAPAN</v>
          </cell>
        </row>
        <row r="42222">
          <cell r="L42222" t="str">
            <v>Non-proportional</v>
          </cell>
          <cell r="S42222">
            <v>-3173.25</v>
          </cell>
          <cell r="X42222" t="str">
            <v>Variation UPR - gross</v>
          </cell>
          <cell r="Y42222" t="str">
            <v>UNITED KINGDOM</v>
          </cell>
        </row>
        <row r="42223">
          <cell r="L42223" t="str">
            <v>Non-proportional</v>
          </cell>
          <cell r="S42223">
            <v>-5308.99</v>
          </cell>
          <cell r="X42223" t="str">
            <v>Variation UPR - gross</v>
          </cell>
          <cell r="Y42223" t="str">
            <v>MEXICO</v>
          </cell>
        </row>
        <row r="42224">
          <cell r="L42224" t="str">
            <v>Non-proportional</v>
          </cell>
          <cell r="S42224">
            <v>-5273.61</v>
          </cell>
          <cell r="X42224" t="str">
            <v>Variation UPR - gross</v>
          </cell>
          <cell r="Y42224" t="str">
            <v>COLOMBIA</v>
          </cell>
        </row>
        <row r="42225">
          <cell r="L42225" t="str">
            <v>Non-proportional</v>
          </cell>
          <cell r="S42225">
            <v>7.23</v>
          </cell>
          <cell r="X42225" t="str">
            <v>Variation UPR - gross</v>
          </cell>
          <cell r="Y42225" t="str">
            <v>JAPAN</v>
          </cell>
        </row>
        <row r="42226">
          <cell r="L42226" t="str">
            <v>Non-proportional</v>
          </cell>
          <cell r="S42226">
            <v>-14217.24</v>
          </cell>
          <cell r="X42226" t="str">
            <v>Variation UPR - gross</v>
          </cell>
          <cell r="Y42226" t="str">
            <v>AUSTRALIA</v>
          </cell>
        </row>
        <row r="42227">
          <cell r="L42227" t="str">
            <v>Non-proportional</v>
          </cell>
          <cell r="S42227">
            <v>-25986.21</v>
          </cell>
          <cell r="X42227" t="str">
            <v>Variation UPR - gross</v>
          </cell>
          <cell r="Y42227" t="str">
            <v>AUSTRALIA</v>
          </cell>
        </row>
        <row r="42228">
          <cell r="L42228" t="str">
            <v>Proportional</v>
          </cell>
          <cell r="S42228">
            <v>-30614.3</v>
          </cell>
          <cell r="X42228" t="str">
            <v>Variation UPR - gross</v>
          </cell>
          <cell r="Y42228" t="str">
            <v>INDIA</v>
          </cell>
        </row>
        <row r="42229">
          <cell r="L42229" t="str">
            <v>Non-proportional</v>
          </cell>
          <cell r="S42229">
            <v>-3381.84</v>
          </cell>
          <cell r="X42229" t="str">
            <v>Variation UPR - gross</v>
          </cell>
          <cell r="Y42229" t="str">
            <v>ITALY</v>
          </cell>
        </row>
        <row r="42230">
          <cell r="L42230" t="str">
            <v>Non-proportional</v>
          </cell>
          <cell r="S42230">
            <v>-4338.8500000000004</v>
          </cell>
          <cell r="X42230" t="str">
            <v>Variation UPR - gross</v>
          </cell>
          <cell r="Y42230" t="str">
            <v>GUATEMALA</v>
          </cell>
        </row>
        <row r="42231">
          <cell r="L42231" t="str">
            <v>Non-proportional</v>
          </cell>
          <cell r="S42231">
            <v>-9583.3700000000008</v>
          </cell>
          <cell r="X42231" t="str">
            <v>Variation UPR - gross</v>
          </cell>
          <cell r="Y42231" t="str">
            <v>MEXICO</v>
          </cell>
        </row>
        <row r="42232">
          <cell r="L42232" t="str">
            <v>Proportional</v>
          </cell>
          <cell r="S42232">
            <v>-451995.15</v>
          </cell>
          <cell r="X42232" t="str">
            <v>Variation UPR - gross</v>
          </cell>
          <cell r="Y42232" t="str">
            <v>INDIA</v>
          </cell>
        </row>
        <row r="42233">
          <cell r="L42233" t="str">
            <v>Non-proportional</v>
          </cell>
          <cell r="S42233">
            <v>31.97</v>
          </cell>
          <cell r="X42233" t="str">
            <v>Variation UPR - gross</v>
          </cell>
          <cell r="Y42233" t="str">
            <v>JAPAN</v>
          </cell>
        </row>
        <row r="42234">
          <cell r="L42234" t="str">
            <v>Non-proportional</v>
          </cell>
          <cell r="S42234">
            <v>-28848.58</v>
          </cell>
          <cell r="X42234" t="str">
            <v>Variation UPR - gross</v>
          </cell>
          <cell r="Y42234" t="str">
            <v>FRANCE</v>
          </cell>
        </row>
        <row r="42235">
          <cell r="L42235" t="str">
            <v>Non-proportional</v>
          </cell>
          <cell r="S42235">
            <v>-8855</v>
          </cell>
          <cell r="X42235" t="str">
            <v>Variation UPR - gross</v>
          </cell>
          <cell r="Y42235" t="str">
            <v>GERMANY</v>
          </cell>
        </row>
        <row r="42236">
          <cell r="L42236" t="str">
            <v>Non-proportional</v>
          </cell>
          <cell r="S42236">
            <v>-1469.21</v>
          </cell>
          <cell r="X42236" t="str">
            <v>Variation UPR - gross</v>
          </cell>
          <cell r="Y42236" t="str">
            <v>ISRAEL</v>
          </cell>
        </row>
        <row r="42237">
          <cell r="L42237" t="str">
            <v>Non-proportional</v>
          </cell>
          <cell r="S42237">
            <v>-43130.95</v>
          </cell>
          <cell r="X42237" t="str">
            <v>Variation UPR - gross</v>
          </cell>
          <cell r="Y42237" t="str">
            <v>UNITED KINGDOM</v>
          </cell>
        </row>
        <row r="42238">
          <cell r="L42238" t="str">
            <v>Non-proportional</v>
          </cell>
          <cell r="S42238">
            <v>-30000</v>
          </cell>
          <cell r="X42238" t="str">
            <v>Variation UPR - gross</v>
          </cell>
          <cell r="Y42238" t="str">
            <v>FRANCE</v>
          </cell>
        </row>
        <row r="42239">
          <cell r="L42239" t="str">
            <v>Non-proportional</v>
          </cell>
          <cell r="S42239">
            <v>-28993.24</v>
          </cell>
          <cell r="X42239" t="str">
            <v>Variation UPR - gross</v>
          </cell>
          <cell r="Y42239" t="str">
            <v>JAPAN</v>
          </cell>
        </row>
        <row r="42240">
          <cell r="L42240" t="str">
            <v>Proportional</v>
          </cell>
          <cell r="S42240">
            <v>2075.14</v>
          </cell>
          <cell r="X42240" t="str">
            <v>Variation UPR - gross</v>
          </cell>
          <cell r="Y42240" t="str">
            <v>THAILAND</v>
          </cell>
        </row>
        <row r="42241">
          <cell r="L42241" t="str">
            <v>Proportional</v>
          </cell>
          <cell r="S42241">
            <v>-29406.92</v>
          </cell>
          <cell r="X42241" t="str">
            <v>Variation UPR - gross</v>
          </cell>
          <cell r="Y42241" t="str">
            <v>PORTUGAL</v>
          </cell>
        </row>
        <row r="42242">
          <cell r="L42242" t="str">
            <v>Non-proportional</v>
          </cell>
          <cell r="S42242">
            <v>-1625.6</v>
          </cell>
          <cell r="X42242" t="str">
            <v>Variation UPR - gross</v>
          </cell>
          <cell r="Y42242" t="str">
            <v>JAPAN</v>
          </cell>
        </row>
        <row r="42243">
          <cell r="L42243" t="str">
            <v>Non-proportional</v>
          </cell>
          <cell r="S42243">
            <v>-4084.6</v>
          </cell>
          <cell r="X42243" t="str">
            <v>Variation UPR - gross</v>
          </cell>
          <cell r="Y42243" t="str">
            <v>UNITED KINGDOM</v>
          </cell>
        </row>
        <row r="42244">
          <cell r="L42244" t="str">
            <v>Non-proportional</v>
          </cell>
          <cell r="S42244">
            <v>-76.88</v>
          </cell>
          <cell r="X42244" t="str">
            <v>Variation UPR - gross</v>
          </cell>
          <cell r="Y42244" t="str">
            <v>COLOMBIA</v>
          </cell>
        </row>
        <row r="42245">
          <cell r="L42245" t="str">
            <v>Non-proportional</v>
          </cell>
          <cell r="S42245">
            <v>-1406.25</v>
          </cell>
          <cell r="X42245" t="str">
            <v>Variation UPR - gross</v>
          </cell>
          <cell r="Y42245" t="str">
            <v>GREECE</v>
          </cell>
        </row>
        <row r="42246">
          <cell r="L42246" t="str">
            <v>Proportional</v>
          </cell>
          <cell r="S42246">
            <v>-182557.64</v>
          </cell>
          <cell r="X42246" t="str">
            <v>Variation UPR - gross</v>
          </cell>
          <cell r="Y42246" t="str">
            <v>CANADA</v>
          </cell>
        </row>
        <row r="42247">
          <cell r="L42247" t="str">
            <v>Non-proportional</v>
          </cell>
          <cell r="S42247">
            <v>-3570.63</v>
          </cell>
          <cell r="X42247" t="str">
            <v>Variation UPR - gross</v>
          </cell>
          <cell r="Y42247" t="str">
            <v>GREECE</v>
          </cell>
        </row>
        <row r="42248">
          <cell r="L42248" t="str">
            <v>Non-proportional</v>
          </cell>
          <cell r="S42248">
            <v>-76677.25</v>
          </cell>
          <cell r="X42248" t="str">
            <v>Variation UPR - gross</v>
          </cell>
          <cell r="Y42248" t="str">
            <v>UNITED KINGDOM</v>
          </cell>
        </row>
        <row r="42249">
          <cell r="L42249" t="str">
            <v>Non-proportional</v>
          </cell>
          <cell r="S42249">
            <v>-2517.67</v>
          </cell>
          <cell r="X42249" t="str">
            <v>Variation UPR - gross</v>
          </cell>
          <cell r="Y42249" t="str">
            <v>ITALY</v>
          </cell>
        </row>
        <row r="42250">
          <cell r="L42250" t="str">
            <v>Non-proportional</v>
          </cell>
          <cell r="S42250">
            <v>-34.96</v>
          </cell>
          <cell r="X42250" t="str">
            <v>Variation UPR - gross</v>
          </cell>
          <cell r="Y42250" t="str">
            <v>CHILE</v>
          </cell>
        </row>
        <row r="42251">
          <cell r="L42251" t="str">
            <v>Non-proportional</v>
          </cell>
          <cell r="S42251">
            <v>-2824.31</v>
          </cell>
          <cell r="X42251" t="str">
            <v>Variation UPR - gross</v>
          </cell>
          <cell r="Y42251" t="str">
            <v>UNITED KINGDOM</v>
          </cell>
        </row>
        <row r="42252">
          <cell r="L42252" t="str">
            <v>Non-proportional</v>
          </cell>
          <cell r="S42252">
            <v>-2432.65</v>
          </cell>
          <cell r="X42252" t="str">
            <v>Variation UPR - gross</v>
          </cell>
          <cell r="Y42252" t="str">
            <v>UNITED KINGDOM</v>
          </cell>
        </row>
        <row r="42253">
          <cell r="L42253" t="str">
            <v>Proportional</v>
          </cell>
          <cell r="S42253">
            <v>610.07000000000005</v>
          </cell>
          <cell r="X42253" t="str">
            <v>Variation UPR - gross</v>
          </cell>
          <cell r="Y42253" t="str">
            <v>CHILE</v>
          </cell>
        </row>
        <row r="42254">
          <cell r="L42254" t="str">
            <v>Non-proportional</v>
          </cell>
          <cell r="S42254">
            <v>-843.75</v>
          </cell>
          <cell r="X42254" t="str">
            <v>Variation UPR - gross</v>
          </cell>
          <cell r="Y42254" t="str">
            <v>GREECE</v>
          </cell>
        </row>
        <row r="42255">
          <cell r="L42255" t="str">
            <v>Non-proportional</v>
          </cell>
          <cell r="S42255">
            <v>-282.32</v>
          </cell>
          <cell r="X42255" t="str">
            <v>Variation UPR - gross</v>
          </cell>
          <cell r="Y42255" t="str">
            <v>MEXICO</v>
          </cell>
        </row>
        <row r="42256">
          <cell r="L42256" t="str">
            <v>Non-proportional</v>
          </cell>
          <cell r="S42256">
            <v>-14424.04</v>
          </cell>
          <cell r="X42256" t="str">
            <v>Variation UPR - gross</v>
          </cell>
          <cell r="Y42256" t="str">
            <v>FRANCE</v>
          </cell>
        </row>
        <row r="42257">
          <cell r="L42257" t="str">
            <v>Non-proportional</v>
          </cell>
          <cell r="S42257">
            <v>-1468.75</v>
          </cell>
          <cell r="X42257" t="str">
            <v>Variation UPR - gross</v>
          </cell>
          <cell r="Y42257" t="str">
            <v>GREECE</v>
          </cell>
        </row>
        <row r="42258">
          <cell r="L42258" t="str">
            <v>Proportional</v>
          </cell>
          <cell r="S42258">
            <v>-302987.68</v>
          </cell>
          <cell r="X42258" t="str">
            <v>Variation UPR - gross</v>
          </cell>
          <cell r="Y42258" t="str">
            <v>AUSTRALIA</v>
          </cell>
        </row>
        <row r="42259">
          <cell r="L42259" t="str">
            <v>Non-proportional</v>
          </cell>
          <cell r="S42259">
            <v>-21338.36</v>
          </cell>
          <cell r="X42259" t="str">
            <v>Variation UPR - gross</v>
          </cell>
          <cell r="Y42259" t="str">
            <v>UNITED KINGDOM</v>
          </cell>
        </row>
        <row r="42260">
          <cell r="L42260" t="str">
            <v>Non-proportional</v>
          </cell>
          <cell r="S42260">
            <v>-851.71</v>
          </cell>
          <cell r="X42260" t="str">
            <v>Variation UPR - gross</v>
          </cell>
          <cell r="Y42260" t="str">
            <v>COSTA RICA</v>
          </cell>
        </row>
        <row r="42261">
          <cell r="L42261" t="str">
            <v>Proportional</v>
          </cell>
          <cell r="S42261">
            <v>-60951.78</v>
          </cell>
          <cell r="X42261" t="str">
            <v>Variation UPR - gross</v>
          </cell>
          <cell r="Y42261" t="str">
            <v>THAILAND</v>
          </cell>
        </row>
        <row r="42262">
          <cell r="L42262" t="str">
            <v>Non-proportional</v>
          </cell>
          <cell r="S42262">
            <v>-33778.31</v>
          </cell>
          <cell r="X42262" t="str">
            <v>Variation UPR - gross</v>
          </cell>
          <cell r="Y42262" t="str">
            <v>UNITED STATES</v>
          </cell>
        </row>
        <row r="42263">
          <cell r="L42263" t="str">
            <v>Non-proportional</v>
          </cell>
          <cell r="S42263">
            <v>-18099.84</v>
          </cell>
          <cell r="X42263" t="str">
            <v>Variation UPR - gross</v>
          </cell>
          <cell r="Y42263" t="str">
            <v>PUERTO RICO</v>
          </cell>
        </row>
        <row r="42264">
          <cell r="L42264" t="str">
            <v>Non-proportional</v>
          </cell>
          <cell r="S42264">
            <v>17.43</v>
          </cell>
          <cell r="X42264" t="str">
            <v>Variation UPR - gross</v>
          </cell>
          <cell r="Y42264" t="str">
            <v>JAPAN</v>
          </cell>
        </row>
        <row r="42265">
          <cell r="L42265" t="str">
            <v>Non-proportional</v>
          </cell>
          <cell r="S42265">
            <v>-49102.61</v>
          </cell>
          <cell r="X42265" t="str">
            <v>Variation UPR - gross</v>
          </cell>
          <cell r="Y42265" t="str">
            <v>UNITED KINGDOM</v>
          </cell>
        </row>
        <row r="42266">
          <cell r="L42266" t="str">
            <v>Non-proportional</v>
          </cell>
          <cell r="S42266">
            <v>-1303.78</v>
          </cell>
          <cell r="X42266" t="str">
            <v>Variation UPR - gross</v>
          </cell>
          <cell r="Y42266" t="str">
            <v>CYPRUS</v>
          </cell>
        </row>
        <row r="42267">
          <cell r="L42267" t="str">
            <v>Non-proportional</v>
          </cell>
          <cell r="S42267">
            <v>-3422.11</v>
          </cell>
          <cell r="X42267" t="str">
            <v>Variation UPR - gross</v>
          </cell>
          <cell r="Y42267" t="str">
            <v>THAILAND</v>
          </cell>
        </row>
        <row r="42268">
          <cell r="L42268" t="str">
            <v>Non-proportional</v>
          </cell>
          <cell r="S42268">
            <v>-1192.57</v>
          </cell>
          <cell r="X42268" t="str">
            <v>Variation UPR - gross</v>
          </cell>
          <cell r="Y42268" t="str">
            <v>COSTA RICA</v>
          </cell>
        </row>
        <row r="42269">
          <cell r="L42269" t="str">
            <v>Non-proportional</v>
          </cell>
          <cell r="S42269">
            <v>-138373.37</v>
          </cell>
          <cell r="X42269" t="str">
            <v>Variation UPR - gross</v>
          </cell>
          <cell r="Y42269" t="str">
            <v>UNITED KINGDOM</v>
          </cell>
        </row>
        <row r="42270">
          <cell r="L42270" t="str">
            <v>Non-proportional</v>
          </cell>
          <cell r="S42270">
            <v>-2443.34</v>
          </cell>
          <cell r="X42270" t="str">
            <v>Variation UPR - gross</v>
          </cell>
          <cell r="Y42270" t="str">
            <v>MEXICO</v>
          </cell>
        </row>
        <row r="42271">
          <cell r="L42271" t="str">
            <v>Non-proportional</v>
          </cell>
          <cell r="S42271">
            <v>-5757.19</v>
          </cell>
          <cell r="X42271" t="str">
            <v>Variation UPR - gross</v>
          </cell>
          <cell r="Y42271" t="str">
            <v>SPAIN</v>
          </cell>
        </row>
        <row r="42272">
          <cell r="L42272" t="str">
            <v>Non-proportional</v>
          </cell>
          <cell r="S42272">
            <v>-7342.39</v>
          </cell>
          <cell r="X42272" t="str">
            <v>Variation UPR - gross</v>
          </cell>
          <cell r="Y42272" t="str">
            <v>FRANCE</v>
          </cell>
        </row>
        <row r="42273">
          <cell r="L42273" t="str">
            <v>Non-proportional</v>
          </cell>
          <cell r="S42273">
            <v>-4174.54</v>
          </cell>
          <cell r="X42273" t="str">
            <v>Variation UPR - gross</v>
          </cell>
          <cell r="Y42273" t="str">
            <v>UNITED KINGDOM</v>
          </cell>
        </row>
        <row r="42274">
          <cell r="L42274" t="str">
            <v>Proportional</v>
          </cell>
          <cell r="S42274">
            <v>-364.53</v>
          </cell>
          <cell r="X42274" t="str">
            <v>Variation UPR - gross</v>
          </cell>
          <cell r="Y42274" t="str">
            <v>UNITED STATES</v>
          </cell>
        </row>
        <row r="42275">
          <cell r="L42275" t="str">
            <v>Non-proportional</v>
          </cell>
          <cell r="S42275">
            <v>197.6</v>
          </cell>
          <cell r="X42275" t="str">
            <v>Variation UPR - gross</v>
          </cell>
          <cell r="Y42275" t="str">
            <v>INDIA</v>
          </cell>
        </row>
        <row r="42276">
          <cell r="L42276" t="str">
            <v>Non-proportional</v>
          </cell>
          <cell r="S42276">
            <v>-4971.4799999999996</v>
          </cell>
          <cell r="X42276" t="str">
            <v>Variation UPR - gross</v>
          </cell>
          <cell r="Y42276" t="str">
            <v>EUROPE</v>
          </cell>
        </row>
        <row r="42277">
          <cell r="L42277" t="str">
            <v>Non-proportional</v>
          </cell>
          <cell r="S42277">
            <v>-1045.74</v>
          </cell>
          <cell r="X42277" t="str">
            <v>Variation UPR - gross</v>
          </cell>
          <cell r="Y42277" t="str">
            <v>JAPAN</v>
          </cell>
        </row>
        <row r="42278">
          <cell r="L42278" t="str">
            <v>Non-proportional</v>
          </cell>
          <cell r="S42278">
            <v>-8019.23</v>
          </cell>
          <cell r="X42278" t="str">
            <v>Variation UPR - gross</v>
          </cell>
          <cell r="Y42278" t="str">
            <v>DOMINICAN REPUBLIC</v>
          </cell>
        </row>
        <row r="42279">
          <cell r="L42279" t="str">
            <v>Non-proportional</v>
          </cell>
          <cell r="S42279">
            <v>-2074.87</v>
          </cell>
          <cell r="X42279" t="str">
            <v>Variation UPR - gross</v>
          </cell>
          <cell r="Y42279" t="str">
            <v>INDIA</v>
          </cell>
        </row>
        <row r="42280">
          <cell r="L42280" t="str">
            <v>Non-proportional</v>
          </cell>
          <cell r="S42280">
            <v>-167.45</v>
          </cell>
          <cell r="X42280" t="str">
            <v>Variation UPR - gross</v>
          </cell>
          <cell r="Y42280" t="str">
            <v>FRANCE</v>
          </cell>
        </row>
        <row r="42281">
          <cell r="L42281" t="str">
            <v>Non-proportional</v>
          </cell>
          <cell r="S42281">
            <v>-8531.25</v>
          </cell>
          <cell r="X42281" t="str">
            <v>Variation UPR - gross</v>
          </cell>
          <cell r="Y42281" t="str">
            <v>TURKEY</v>
          </cell>
        </row>
        <row r="42282">
          <cell r="L42282" t="str">
            <v>Non-proportional</v>
          </cell>
          <cell r="S42282">
            <v>-6523.62</v>
          </cell>
          <cell r="X42282" t="str">
            <v>Variation UPR - gross</v>
          </cell>
          <cell r="Y42282" t="str">
            <v>MEXICO</v>
          </cell>
        </row>
        <row r="42283">
          <cell r="L42283" t="str">
            <v>Proportional</v>
          </cell>
          <cell r="S42283">
            <v>-1424.59</v>
          </cell>
          <cell r="X42283" t="str">
            <v>Variation UPR - gross</v>
          </cell>
          <cell r="Y42283" t="str">
            <v>THAILAND</v>
          </cell>
        </row>
        <row r="42284">
          <cell r="L42284" t="str">
            <v>Non-proportional</v>
          </cell>
          <cell r="S42284">
            <v>0.01</v>
          </cell>
          <cell r="X42284" t="str">
            <v>Variation UPR - gross</v>
          </cell>
          <cell r="Y42284" t="str">
            <v>DOMINICAN REPUBLIC</v>
          </cell>
        </row>
        <row r="42285">
          <cell r="L42285" t="str">
            <v>Non-proportional</v>
          </cell>
          <cell r="S42285">
            <v>-2545.71</v>
          </cell>
          <cell r="X42285" t="str">
            <v>Variation UPR - gross</v>
          </cell>
          <cell r="Y42285" t="str">
            <v>ISRAEL</v>
          </cell>
        </row>
        <row r="42286">
          <cell r="L42286" t="str">
            <v>Non-proportional</v>
          </cell>
          <cell r="S42286">
            <v>-1709.86</v>
          </cell>
          <cell r="X42286" t="str">
            <v>Variation UPR - gross</v>
          </cell>
          <cell r="Y42286" t="str">
            <v>JAPAN</v>
          </cell>
        </row>
        <row r="42287">
          <cell r="L42287" t="str">
            <v>Non-proportional</v>
          </cell>
          <cell r="S42287">
            <v>-695.06</v>
          </cell>
          <cell r="X42287" t="str">
            <v>Variation UPR - gross</v>
          </cell>
          <cell r="Y42287" t="str">
            <v>ECUADOR</v>
          </cell>
        </row>
        <row r="42288">
          <cell r="L42288" t="str">
            <v>Non-proportional</v>
          </cell>
          <cell r="S42288">
            <v>-3948.61</v>
          </cell>
          <cell r="X42288" t="str">
            <v>Variation UPR - gross</v>
          </cell>
          <cell r="Y42288" t="str">
            <v>COLOMBIA</v>
          </cell>
        </row>
        <row r="42289">
          <cell r="L42289" t="str">
            <v>Non-proportional</v>
          </cell>
          <cell r="S42289">
            <v>88.4</v>
          </cell>
          <cell r="X42289" t="str">
            <v>Variation UPR - gross</v>
          </cell>
          <cell r="Y42289" t="str">
            <v>AUSTRALIA</v>
          </cell>
        </row>
        <row r="42290">
          <cell r="L42290" t="str">
            <v>Non-proportional</v>
          </cell>
          <cell r="S42290">
            <v>-4307.17</v>
          </cell>
          <cell r="X42290" t="str">
            <v>Variation UPR - gross</v>
          </cell>
          <cell r="Y42290" t="str">
            <v>COLOMBIA</v>
          </cell>
        </row>
        <row r="42291">
          <cell r="L42291" t="str">
            <v>Non-proportional</v>
          </cell>
          <cell r="S42291">
            <v>0.01</v>
          </cell>
          <cell r="X42291" t="str">
            <v>Variation UPR - gross</v>
          </cell>
          <cell r="Y42291" t="str">
            <v>DOMINICAN REPUBLIC</v>
          </cell>
        </row>
        <row r="42292">
          <cell r="L42292" t="str">
            <v>Non-proportional</v>
          </cell>
          <cell r="S42292">
            <v>-34.200000000000003</v>
          </cell>
          <cell r="X42292" t="str">
            <v>Variation UPR - gross</v>
          </cell>
          <cell r="Y42292" t="str">
            <v>ISRAEL</v>
          </cell>
        </row>
        <row r="42293">
          <cell r="L42293" t="str">
            <v>Non-proportional</v>
          </cell>
          <cell r="S42293">
            <v>-738.73</v>
          </cell>
          <cell r="X42293" t="str">
            <v>Variation UPR - gross</v>
          </cell>
          <cell r="Y42293" t="str">
            <v>INDIA</v>
          </cell>
        </row>
        <row r="42294">
          <cell r="L42294" t="str">
            <v>Non-proportional</v>
          </cell>
          <cell r="S42294">
            <v>-69.930000000000007</v>
          </cell>
          <cell r="X42294" t="str">
            <v>Variation UPR - gross</v>
          </cell>
          <cell r="Y42294" t="str">
            <v>CHILE</v>
          </cell>
        </row>
        <row r="42295">
          <cell r="L42295" t="str">
            <v>Non-proportional</v>
          </cell>
          <cell r="S42295">
            <v>-6678.6</v>
          </cell>
          <cell r="X42295" t="str">
            <v>Variation UPR - gross</v>
          </cell>
          <cell r="Y42295" t="str">
            <v>UNITED KINGDOM</v>
          </cell>
        </row>
        <row r="42296">
          <cell r="L42296" t="str">
            <v>Non-proportional</v>
          </cell>
          <cell r="S42296">
            <v>134.5</v>
          </cell>
          <cell r="X42296" t="str">
            <v>Variation UPR - gross</v>
          </cell>
          <cell r="Y42296" t="str">
            <v>TURKEY</v>
          </cell>
        </row>
        <row r="42297">
          <cell r="L42297" t="str">
            <v>Non-proportional</v>
          </cell>
          <cell r="S42297">
            <v>-96564.47</v>
          </cell>
          <cell r="X42297" t="str">
            <v>Variation UPR - gross</v>
          </cell>
          <cell r="Y42297" t="str">
            <v>UNITED KINGDOM</v>
          </cell>
        </row>
        <row r="42298">
          <cell r="L42298" t="str">
            <v>Non-proportional</v>
          </cell>
          <cell r="S42298">
            <v>-132.91999999999999</v>
          </cell>
          <cell r="X42298" t="str">
            <v>Variation UPR - gross</v>
          </cell>
          <cell r="Y42298" t="str">
            <v>ITALY</v>
          </cell>
        </row>
        <row r="42299">
          <cell r="L42299" t="str">
            <v>Non-proportional</v>
          </cell>
          <cell r="S42299">
            <v>-1122.6099999999999</v>
          </cell>
          <cell r="X42299" t="str">
            <v>Variation UPR - gross</v>
          </cell>
          <cell r="Y42299" t="str">
            <v>ISRAEL</v>
          </cell>
        </row>
        <row r="42300">
          <cell r="L42300" t="str">
            <v>Non-proportional</v>
          </cell>
          <cell r="S42300">
            <v>-6745.76</v>
          </cell>
          <cell r="X42300" t="str">
            <v>Variation UPR - gross</v>
          </cell>
          <cell r="Y42300" t="str">
            <v>UNITED KINGDOM</v>
          </cell>
        </row>
        <row r="42301">
          <cell r="L42301" t="str">
            <v>Proportional</v>
          </cell>
          <cell r="S42301">
            <v>-92666.67</v>
          </cell>
          <cell r="X42301" t="str">
            <v>Variation UPR - gross</v>
          </cell>
          <cell r="Y42301" t="str">
            <v>FRANCE</v>
          </cell>
        </row>
        <row r="42302">
          <cell r="L42302" t="str">
            <v>Non-proportional</v>
          </cell>
          <cell r="S42302">
            <v>-1823.08</v>
          </cell>
          <cell r="X42302" t="str">
            <v>Variation UPR - gross</v>
          </cell>
          <cell r="Y42302" t="str">
            <v>UNITED KINGDOM</v>
          </cell>
        </row>
        <row r="42303">
          <cell r="L42303" t="str">
            <v>Non-proportional</v>
          </cell>
          <cell r="S42303">
            <v>-69.930000000000007</v>
          </cell>
          <cell r="X42303" t="str">
            <v>Variation UPR - gross</v>
          </cell>
          <cell r="Y42303" t="str">
            <v>CHILE</v>
          </cell>
        </row>
        <row r="42304">
          <cell r="L42304" t="str">
            <v>Non-proportional</v>
          </cell>
          <cell r="S42304">
            <v>-8331.27</v>
          </cell>
          <cell r="X42304" t="str">
            <v>Variation UPR - gross</v>
          </cell>
          <cell r="Y42304" t="str">
            <v>CANADA</v>
          </cell>
        </row>
        <row r="42305">
          <cell r="L42305" t="str">
            <v>Proportional</v>
          </cell>
          <cell r="S42305">
            <v>18.899999999999999</v>
          </cell>
          <cell r="X42305" t="str">
            <v>Variation UPR - gross</v>
          </cell>
          <cell r="Y42305" t="str">
            <v>UNITED STATES</v>
          </cell>
        </row>
        <row r="42306">
          <cell r="L42306" t="str">
            <v>Proportional</v>
          </cell>
          <cell r="S42306">
            <v>-424.32</v>
          </cell>
          <cell r="X42306" t="str">
            <v>Variation UPR - gross</v>
          </cell>
          <cell r="Y42306" t="str">
            <v>UNITED STATES</v>
          </cell>
        </row>
        <row r="42307">
          <cell r="L42307" t="str">
            <v>Non-proportional</v>
          </cell>
          <cell r="S42307">
            <v>-9338.16</v>
          </cell>
          <cell r="X42307" t="str">
            <v>Variation UPR - gross</v>
          </cell>
          <cell r="Y42307" t="str">
            <v>CHINA</v>
          </cell>
        </row>
        <row r="42308">
          <cell r="L42308" t="str">
            <v>Non-proportional</v>
          </cell>
          <cell r="S42308">
            <v>-1048.93</v>
          </cell>
          <cell r="X42308" t="str">
            <v>Variation UPR - gross</v>
          </cell>
          <cell r="Y42308" t="str">
            <v>CHILE</v>
          </cell>
        </row>
        <row r="42309">
          <cell r="L42309" t="str">
            <v>Non-proportional</v>
          </cell>
          <cell r="S42309">
            <v>-69.930000000000007</v>
          </cell>
          <cell r="X42309" t="str">
            <v>Variation UPR - gross</v>
          </cell>
          <cell r="Y42309" t="str">
            <v>CHILE</v>
          </cell>
        </row>
        <row r="42310">
          <cell r="L42310" t="str">
            <v>Non-proportional</v>
          </cell>
          <cell r="S42310">
            <v>-3251.67</v>
          </cell>
          <cell r="X42310" t="str">
            <v>Variation UPR - gross</v>
          </cell>
          <cell r="Y42310" t="str">
            <v>CHILE</v>
          </cell>
        </row>
        <row r="42311">
          <cell r="L42311" t="str">
            <v>Non-proportional</v>
          </cell>
          <cell r="S42311">
            <v>-8708.34</v>
          </cell>
          <cell r="X42311" t="str">
            <v>Variation UPR - gross</v>
          </cell>
          <cell r="Y42311" t="str">
            <v>TURKEY</v>
          </cell>
        </row>
        <row r="42312">
          <cell r="L42312" t="str">
            <v>Proportional</v>
          </cell>
          <cell r="S42312">
            <v>-15786.8</v>
          </cell>
          <cell r="X42312" t="str">
            <v>Variation UPR - gross</v>
          </cell>
          <cell r="Y42312" t="str">
            <v>THAILAND</v>
          </cell>
        </row>
        <row r="42313">
          <cell r="L42313" t="str">
            <v>Non-proportional</v>
          </cell>
          <cell r="S42313">
            <v>-5643.52</v>
          </cell>
          <cell r="X42313" t="str">
            <v>Variation UPR - gross</v>
          </cell>
          <cell r="Y42313" t="str">
            <v>COLOMBIA</v>
          </cell>
        </row>
        <row r="42314">
          <cell r="L42314" t="str">
            <v>Proportional</v>
          </cell>
          <cell r="S42314">
            <v>-1969997.9</v>
          </cell>
          <cell r="X42314" t="str">
            <v>Variation UPR - gross</v>
          </cell>
          <cell r="Y42314" t="str">
            <v>THAILAND</v>
          </cell>
        </row>
        <row r="42315">
          <cell r="L42315" t="str">
            <v>Non-proportional</v>
          </cell>
          <cell r="S42315">
            <v>-9297.2900000000009</v>
          </cell>
          <cell r="X42315" t="str">
            <v>Variation UPR - gross</v>
          </cell>
          <cell r="Y42315" t="str">
            <v>UNITED KINGDOM</v>
          </cell>
        </row>
        <row r="42316">
          <cell r="L42316" t="str">
            <v>Non-proportional</v>
          </cell>
          <cell r="S42316">
            <v>-69.930000000000007</v>
          </cell>
          <cell r="X42316" t="str">
            <v>Variation UPR - gross</v>
          </cell>
          <cell r="Y42316" t="str">
            <v>CHILE</v>
          </cell>
        </row>
        <row r="42317">
          <cell r="L42317" t="str">
            <v>Non-proportional</v>
          </cell>
          <cell r="S42317">
            <v>-2903.23</v>
          </cell>
          <cell r="X42317" t="str">
            <v>Variation UPR - gross</v>
          </cell>
          <cell r="Y42317" t="str">
            <v>AUSTRALIA</v>
          </cell>
        </row>
        <row r="42318">
          <cell r="L42318" t="str">
            <v>Non-proportional</v>
          </cell>
          <cell r="S42318">
            <v>-800</v>
          </cell>
          <cell r="X42318" t="str">
            <v>Variation UPR - gross</v>
          </cell>
          <cell r="Y42318" t="str">
            <v>ITALY</v>
          </cell>
        </row>
        <row r="42319">
          <cell r="L42319" t="str">
            <v>Proportional</v>
          </cell>
          <cell r="S42319">
            <v>-10380</v>
          </cell>
          <cell r="X42319" t="str">
            <v>Variation UPR - gross</v>
          </cell>
          <cell r="Y42319" t="str">
            <v>SPAIN</v>
          </cell>
        </row>
        <row r="42320">
          <cell r="L42320" t="str">
            <v>Non-proportional</v>
          </cell>
          <cell r="S42320">
            <v>5946.83</v>
          </cell>
          <cell r="X42320" t="str">
            <v>Variation UPR - gross</v>
          </cell>
          <cell r="Y42320" t="str">
            <v>DOMINICAN REPUBLIC</v>
          </cell>
        </row>
        <row r="42321">
          <cell r="L42321" t="str">
            <v>Non-proportional</v>
          </cell>
          <cell r="S42321">
            <v>-1643.32</v>
          </cell>
          <cell r="X42321" t="str">
            <v>Variation UPR - gross</v>
          </cell>
          <cell r="Y42321" t="str">
            <v>CHILE</v>
          </cell>
        </row>
        <row r="42322">
          <cell r="L42322" t="str">
            <v>Proportional</v>
          </cell>
          <cell r="S42322">
            <v>-42737.56</v>
          </cell>
          <cell r="X42322" t="str">
            <v>Variation UPR - gross</v>
          </cell>
          <cell r="Y42322" t="str">
            <v>THAILAND</v>
          </cell>
        </row>
        <row r="42323">
          <cell r="L42323" t="str">
            <v>Non-proportional</v>
          </cell>
          <cell r="S42323">
            <v>-2105.1</v>
          </cell>
          <cell r="X42323" t="str">
            <v>Variation UPR - gross</v>
          </cell>
          <cell r="Y42323" t="str">
            <v>GUATEMALA</v>
          </cell>
        </row>
        <row r="42324">
          <cell r="L42324" t="str">
            <v>Non-proportional</v>
          </cell>
          <cell r="S42324">
            <v>-34.96</v>
          </cell>
          <cell r="X42324" t="str">
            <v>Variation UPR - gross</v>
          </cell>
          <cell r="Y42324" t="str">
            <v>CHILE</v>
          </cell>
        </row>
        <row r="42325">
          <cell r="L42325" t="str">
            <v>Non-proportional</v>
          </cell>
          <cell r="S42325">
            <v>-31316.15</v>
          </cell>
          <cell r="X42325" t="str">
            <v>Variation UPR - gross</v>
          </cell>
          <cell r="Y42325" t="str">
            <v>FRANCE</v>
          </cell>
        </row>
        <row r="42326">
          <cell r="L42326" t="str">
            <v>Non-proportional</v>
          </cell>
          <cell r="S42326">
            <v>-2952.31</v>
          </cell>
          <cell r="X42326" t="str">
            <v>Variation UPR - gross</v>
          </cell>
          <cell r="Y42326" t="str">
            <v>UNITED KINGDOM</v>
          </cell>
        </row>
        <row r="42327">
          <cell r="L42327" t="str">
            <v>Proportional</v>
          </cell>
          <cell r="S42327">
            <v>-13524.39</v>
          </cell>
          <cell r="X42327" t="str">
            <v>Variation UPR - gross</v>
          </cell>
          <cell r="Y42327" t="str">
            <v>THAILAND</v>
          </cell>
        </row>
        <row r="42328">
          <cell r="L42328" t="str">
            <v>Non-proportional</v>
          </cell>
          <cell r="S42328">
            <v>-1651.37</v>
          </cell>
          <cell r="X42328" t="str">
            <v>Variation UPR - gross</v>
          </cell>
          <cell r="Y42328" t="str">
            <v>JAPAN</v>
          </cell>
        </row>
        <row r="42329">
          <cell r="L42329" t="str">
            <v>Proportional</v>
          </cell>
          <cell r="S42329">
            <v>-590770.46</v>
          </cell>
          <cell r="X42329" t="str">
            <v>Variation UPR - gross</v>
          </cell>
          <cell r="Y42329" t="str">
            <v>THAILAND</v>
          </cell>
        </row>
        <row r="42330">
          <cell r="L42330" t="str">
            <v>Non-proportional</v>
          </cell>
          <cell r="S42330">
            <v>-3584.62</v>
          </cell>
          <cell r="X42330" t="str">
            <v>Variation UPR - gross</v>
          </cell>
          <cell r="Y42330" t="str">
            <v>ISRAEL</v>
          </cell>
        </row>
        <row r="42331">
          <cell r="L42331" t="str">
            <v>Non-proportional</v>
          </cell>
          <cell r="S42331">
            <v>-1717.29</v>
          </cell>
          <cell r="X42331" t="str">
            <v>Variation UPR - gross</v>
          </cell>
          <cell r="Y42331" t="str">
            <v>JAPAN</v>
          </cell>
        </row>
        <row r="42332">
          <cell r="L42332" t="str">
            <v>Non-proportional</v>
          </cell>
          <cell r="S42332">
            <v>-546.88</v>
          </cell>
          <cell r="X42332" t="str">
            <v>Variation UPR - gross</v>
          </cell>
          <cell r="Y42332" t="str">
            <v>ITALY</v>
          </cell>
        </row>
        <row r="42333">
          <cell r="L42333" t="str">
            <v>Non-proportional</v>
          </cell>
          <cell r="S42333">
            <v>-3780</v>
          </cell>
          <cell r="X42333" t="str">
            <v>Variation UPR - gross</v>
          </cell>
          <cell r="Y42333" t="str">
            <v>GREECE</v>
          </cell>
        </row>
        <row r="42334">
          <cell r="L42334" t="str">
            <v>Non-proportional</v>
          </cell>
          <cell r="S42334">
            <v>-3571.95</v>
          </cell>
          <cell r="X42334" t="str">
            <v>Variation UPR - gross</v>
          </cell>
          <cell r="Y42334" t="str">
            <v>ISRAEL</v>
          </cell>
        </row>
        <row r="42335">
          <cell r="L42335" t="str">
            <v>Non-proportional</v>
          </cell>
          <cell r="S42335">
            <v>-4659.3100000000004</v>
          </cell>
          <cell r="X42335" t="str">
            <v>Variation UPR - gross</v>
          </cell>
          <cell r="Y42335" t="str">
            <v>SPAIN</v>
          </cell>
        </row>
        <row r="42336">
          <cell r="L42336" t="str">
            <v>Non-proportional</v>
          </cell>
          <cell r="S42336">
            <v>-139.86000000000001</v>
          </cell>
          <cell r="X42336" t="str">
            <v>Variation UPR - gross</v>
          </cell>
          <cell r="Y42336" t="str">
            <v>CHILE</v>
          </cell>
        </row>
        <row r="42337">
          <cell r="L42337" t="str">
            <v>Non-proportional</v>
          </cell>
          <cell r="S42337">
            <v>-6054.96</v>
          </cell>
          <cell r="X42337" t="str">
            <v>Variation UPR - gross</v>
          </cell>
          <cell r="Y42337" t="str">
            <v>FRANCE</v>
          </cell>
        </row>
        <row r="42338">
          <cell r="L42338" t="str">
            <v>Proportional</v>
          </cell>
          <cell r="S42338">
            <v>0.85</v>
          </cell>
          <cell r="X42338" t="str">
            <v>Variation UPR - gross</v>
          </cell>
          <cell r="Y42338" t="str">
            <v>UNITED STATES</v>
          </cell>
        </row>
        <row r="42339">
          <cell r="L42339" t="str">
            <v>Non-proportional</v>
          </cell>
          <cell r="S42339">
            <v>-2041.67</v>
          </cell>
          <cell r="X42339" t="str">
            <v>Variation UPR - gross</v>
          </cell>
          <cell r="Y42339" t="str">
            <v>ITALY</v>
          </cell>
        </row>
        <row r="42340">
          <cell r="L42340" t="str">
            <v>Proportional</v>
          </cell>
          <cell r="S42340">
            <v>-10351.08</v>
          </cell>
          <cell r="X42340" t="str">
            <v>Variation UPR - gross</v>
          </cell>
          <cell r="Y42340" t="str">
            <v>INDIA</v>
          </cell>
        </row>
        <row r="42341">
          <cell r="L42341" t="str">
            <v>Proportional</v>
          </cell>
          <cell r="S42341">
            <v>197.01</v>
          </cell>
          <cell r="X42341" t="str">
            <v>Variation UPR - gross</v>
          </cell>
          <cell r="Y42341" t="str">
            <v>CHILE</v>
          </cell>
        </row>
        <row r="42342">
          <cell r="L42342" t="str">
            <v>Non-proportional</v>
          </cell>
          <cell r="S42342">
            <v>-420.38</v>
          </cell>
          <cell r="X42342" t="str">
            <v>Variation UPR - gross</v>
          </cell>
          <cell r="Y42342" t="str">
            <v>PORTUGAL</v>
          </cell>
        </row>
        <row r="42343">
          <cell r="L42343" t="str">
            <v>Non-proportional</v>
          </cell>
          <cell r="S42343">
            <v>-14331.16</v>
          </cell>
          <cell r="X42343" t="str">
            <v>Variation UPR - gross</v>
          </cell>
          <cell r="Y42343" t="str">
            <v>FRANCE</v>
          </cell>
        </row>
        <row r="42344">
          <cell r="L42344" t="str">
            <v>Non-proportional</v>
          </cell>
          <cell r="S42344">
            <v>-1091.42</v>
          </cell>
          <cell r="X42344" t="str">
            <v>Variation UPR - gross</v>
          </cell>
          <cell r="Y42344" t="str">
            <v>SOUTH AFRICA</v>
          </cell>
        </row>
        <row r="42345">
          <cell r="L42345" t="str">
            <v>Proportional</v>
          </cell>
          <cell r="S42345">
            <v>4902.95</v>
          </cell>
          <cell r="X42345" t="str">
            <v>Variation UPR - gross</v>
          </cell>
          <cell r="Y42345" t="str">
            <v>CANADA</v>
          </cell>
        </row>
        <row r="42346">
          <cell r="L42346" t="str">
            <v>Non-proportional</v>
          </cell>
          <cell r="S42346">
            <v>-6556.75</v>
          </cell>
          <cell r="X42346" t="str">
            <v>Variation UPR - gross</v>
          </cell>
          <cell r="Y42346" t="str">
            <v>JAPAN</v>
          </cell>
        </row>
        <row r="42347">
          <cell r="L42347" t="str">
            <v>Non-proportional</v>
          </cell>
          <cell r="S42347">
            <v>-3076.85</v>
          </cell>
          <cell r="X42347" t="str">
            <v>Variation UPR - gross</v>
          </cell>
          <cell r="Y42347" t="str">
            <v>CHILE</v>
          </cell>
        </row>
        <row r="42348">
          <cell r="L42348" t="str">
            <v>Non-proportional</v>
          </cell>
          <cell r="S42348">
            <v>-851.71</v>
          </cell>
          <cell r="X42348" t="str">
            <v>Variation UPR - gross</v>
          </cell>
          <cell r="Y42348" t="str">
            <v>COSTA RICA</v>
          </cell>
        </row>
        <row r="42349">
          <cell r="L42349" t="str">
            <v>Non-proportional</v>
          </cell>
          <cell r="S42349">
            <v>-1239.02</v>
          </cell>
          <cell r="X42349" t="str">
            <v>Variation UPR - gross</v>
          </cell>
          <cell r="Y42349" t="str">
            <v>JAPAN</v>
          </cell>
        </row>
        <row r="42350">
          <cell r="L42350" t="str">
            <v>Non-proportional</v>
          </cell>
          <cell r="S42350">
            <v>-14583.41</v>
          </cell>
          <cell r="X42350" t="str">
            <v>Variation UPR - gross</v>
          </cell>
          <cell r="Y42350" t="str">
            <v>EUROPE</v>
          </cell>
        </row>
        <row r="42351">
          <cell r="L42351" t="str">
            <v>Non-proportional</v>
          </cell>
          <cell r="S42351">
            <v>-1946.92</v>
          </cell>
          <cell r="X42351" t="str">
            <v>Variation UPR - gross</v>
          </cell>
          <cell r="Y42351" t="str">
            <v>GUATEMALA</v>
          </cell>
        </row>
        <row r="42352">
          <cell r="L42352" t="str">
            <v>Non-proportional</v>
          </cell>
          <cell r="S42352">
            <v>-1449</v>
          </cell>
          <cell r="X42352" t="str">
            <v>Variation UPR - gross</v>
          </cell>
          <cell r="Y42352" t="str">
            <v>UNITED KINGDOM</v>
          </cell>
        </row>
        <row r="42353">
          <cell r="L42353" t="str">
            <v>Non-proportional</v>
          </cell>
          <cell r="S42353">
            <v>-10947.31</v>
          </cell>
          <cell r="X42353" t="str">
            <v>Variation UPR - gross</v>
          </cell>
          <cell r="Y42353" t="str">
            <v>PERU</v>
          </cell>
        </row>
        <row r="42354">
          <cell r="L42354" t="str">
            <v>Non-proportional</v>
          </cell>
          <cell r="S42354">
            <v>-3360.74</v>
          </cell>
          <cell r="X42354" t="str">
            <v>Variation UPR - gross</v>
          </cell>
          <cell r="Y42354" t="str">
            <v>GUATEMALA</v>
          </cell>
        </row>
        <row r="42355">
          <cell r="L42355" t="str">
            <v>Non-proportional</v>
          </cell>
          <cell r="S42355">
            <v>-793.82</v>
          </cell>
          <cell r="X42355" t="str">
            <v>Variation UPR - gross</v>
          </cell>
          <cell r="Y42355" t="str">
            <v>PERU</v>
          </cell>
        </row>
        <row r="42356">
          <cell r="L42356" t="str">
            <v>Non-proportional</v>
          </cell>
          <cell r="S42356">
            <v>228.92</v>
          </cell>
          <cell r="X42356" t="str">
            <v>Variation UPR - gross</v>
          </cell>
          <cell r="Y42356" t="str">
            <v>SOUTH KOREA</v>
          </cell>
        </row>
        <row r="42357">
          <cell r="L42357" t="str">
            <v>Non-proportional</v>
          </cell>
          <cell r="S42357">
            <v>0.03</v>
          </cell>
          <cell r="X42357" t="str">
            <v>Variation UPR - gross</v>
          </cell>
          <cell r="Y42357" t="str">
            <v>THAILAND</v>
          </cell>
        </row>
        <row r="42358">
          <cell r="L42358" t="str">
            <v>Non-proportional</v>
          </cell>
          <cell r="S42358">
            <v>-4185.91</v>
          </cell>
          <cell r="X42358" t="str">
            <v>Variation UPR - gross</v>
          </cell>
          <cell r="Y42358" t="str">
            <v>FRANCE</v>
          </cell>
        </row>
        <row r="42359">
          <cell r="L42359" t="str">
            <v>Non-proportional</v>
          </cell>
          <cell r="S42359">
            <v>-10974.83</v>
          </cell>
          <cell r="X42359" t="str">
            <v>Variation UPR - gross</v>
          </cell>
          <cell r="Y42359" t="str">
            <v>GERMANY</v>
          </cell>
        </row>
        <row r="42360">
          <cell r="L42360" t="str">
            <v>Non-proportional</v>
          </cell>
          <cell r="S42360">
            <v>-9995.3700000000008</v>
          </cell>
          <cell r="X42360" t="str">
            <v>Variation UPR - gross</v>
          </cell>
          <cell r="Y42360" t="str">
            <v>PERU</v>
          </cell>
        </row>
        <row r="42361">
          <cell r="L42361" t="str">
            <v>Proportional</v>
          </cell>
          <cell r="S42361">
            <v>-822.67</v>
          </cell>
          <cell r="X42361" t="str">
            <v>Variation UPR - gross</v>
          </cell>
          <cell r="Y42361" t="str">
            <v>UNITED STATES</v>
          </cell>
        </row>
        <row r="42362">
          <cell r="L42362" t="str">
            <v>Non-proportional</v>
          </cell>
          <cell r="S42362">
            <v>-5096</v>
          </cell>
          <cell r="X42362" t="str">
            <v>Variation UPR - gross</v>
          </cell>
          <cell r="Y42362" t="str">
            <v>BELIZE</v>
          </cell>
        </row>
        <row r="42363">
          <cell r="L42363" t="str">
            <v>Non-proportional</v>
          </cell>
          <cell r="S42363">
            <v>-1503.46</v>
          </cell>
          <cell r="X42363" t="str">
            <v>Variation UPR - gross</v>
          </cell>
          <cell r="Y42363" t="str">
            <v>CHILE</v>
          </cell>
        </row>
        <row r="42364">
          <cell r="L42364" t="str">
            <v>Non-proportional</v>
          </cell>
          <cell r="S42364">
            <v>-2469.62</v>
          </cell>
          <cell r="X42364" t="str">
            <v>Variation UPR - gross</v>
          </cell>
          <cell r="Y42364" t="str">
            <v>FRANCE</v>
          </cell>
        </row>
        <row r="42365">
          <cell r="L42365" t="str">
            <v>Non-proportional</v>
          </cell>
          <cell r="S42365">
            <v>42.57</v>
          </cell>
          <cell r="X42365" t="str">
            <v>Variation UPR - gross</v>
          </cell>
          <cell r="Y42365" t="str">
            <v>DOMINICAN REPUBLIC</v>
          </cell>
        </row>
        <row r="42366">
          <cell r="L42366" t="str">
            <v>Non-proportional</v>
          </cell>
          <cell r="S42366">
            <v>-2317.19</v>
          </cell>
          <cell r="X42366" t="str">
            <v>Variation UPR - gross</v>
          </cell>
          <cell r="Y42366" t="str">
            <v>AUSTRALIA</v>
          </cell>
        </row>
        <row r="42367">
          <cell r="L42367" t="str">
            <v>Non-proportional</v>
          </cell>
          <cell r="S42367">
            <v>-2683.1</v>
          </cell>
          <cell r="X42367" t="str">
            <v>Variation UPR - gross</v>
          </cell>
          <cell r="Y42367" t="str">
            <v>AUSTRALIA</v>
          </cell>
        </row>
        <row r="42368">
          <cell r="L42368" t="str">
            <v>Non-proportional</v>
          </cell>
          <cell r="S42368">
            <v>-10000</v>
          </cell>
          <cell r="X42368" t="str">
            <v>Variation UPR - gross</v>
          </cell>
          <cell r="Y42368" t="str">
            <v>EUROPE</v>
          </cell>
        </row>
        <row r="42369">
          <cell r="L42369" t="str">
            <v>Non-proportional</v>
          </cell>
          <cell r="S42369">
            <v>-3280.72</v>
          </cell>
          <cell r="X42369" t="str">
            <v>Variation UPR - gross</v>
          </cell>
          <cell r="Y42369" t="str">
            <v>DOMINICAN REPUBLIC</v>
          </cell>
        </row>
        <row r="42370">
          <cell r="L42370" t="str">
            <v>Non-proportional</v>
          </cell>
          <cell r="S42370">
            <v>-19.309999999999999</v>
          </cell>
          <cell r="X42370" t="str">
            <v>Variation UPR - gross</v>
          </cell>
          <cell r="Y42370" t="str">
            <v>ISRAEL</v>
          </cell>
        </row>
        <row r="42371">
          <cell r="L42371" t="str">
            <v>Proportional</v>
          </cell>
          <cell r="S42371">
            <v>-2032.03</v>
          </cell>
          <cell r="X42371" t="str">
            <v>Variation UPR - gross</v>
          </cell>
          <cell r="Y42371" t="str">
            <v>UNITED STATES</v>
          </cell>
        </row>
        <row r="42372">
          <cell r="L42372" t="str">
            <v>Non-proportional</v>
          </cell>
          <cell r="S42372">
            <v>937.44</v>
          </cell>
          <cell r="X42372" t="str">
            <v>Variation UPR - gross</v>
          </cell>
          <cell r="Y42372" t="str">
            <v>JAPAN</v>
          </cell>
        </row>
        <row r="42373">
          <cell r="L42373" t="str">
            <v>Non-proportional</v>
          </cell>
          <cell r="S42373">
            <v>-1062.5899999999999</v>
          </cell>
          <cell r="X42373" t="str">
            <v>Variation UPR - gross</v>
          </cell>
          <cell r="Y42373" t="str">
            <v>JAPAN</v>
          </cell>
        </row>
        <row r="42374">
          <cell r="L42374" t="str">
            <v>Non-proportional</v>
          </cell>
          <cell r="S42374">
            <v>-64.16</v>
          </cell>
          <cell r="X42374" t="str">
            <v>Variation UPR - gross</v>
          </cell>
          <cell r="Y42374" t="str">
            <v>ISRAEL</v>
          </cell>
        </row>
        <row r="42375">
          <cell r="L42375" t="str">
            <v>Proportional</v>
          </cell>
          <cell r="S42375">
            <v>-18632.86</v>
          </cell>
          <cell r="X42375" t="str">
            <v>Variation UPR - gross</v>
          </cell>
          <cell r="Y42375" t="str">
            <v>JAPAN</v>
          </cell>
        </row>
        <row r="42376">
          <cell r="L42376" t="str">
            <v>Proportional</v>
          </cell>
          <cell r="S42376">
            <v>-183771.5</v>
          </cell>
          <cell r="X42376" t="str">
            <v>Variation UPR - gross</v>
          </cell>
          <cell r="Y42376" t="str">
            <v>THAILAND</v>
          </cell>
        </row>
        <row r="42377">
          <cell r="L42377" t="str">
            <v>Non-proportional</v>
          </cell>
          <cell r="S42377">
            <v>-441.23</v>
          </cell>
          <cell r="X42377" t="str">
            <v>Variation UPR - gross</v>
          </cell>
          <cell r="Y42377" t="str">
            <v>UNITED KINGDOM</v>
          </cell>
        </row>
        <row r="42378">
          <cell r="L42378" t="str">
            <v>Proportional</v>
          </cell>
          <cell r="S42378">
            <v>-259600</v>
          </cell>
          <cell r="X42378" t="str">
            <v>Variation UPR - gross</v>
          </cell>
          <cell r="Y42378" t="str">
            <v>PORTUGAL</v>
          </cell>
        </row>
        <row r="42379">
          <cell r="L42379" t="str">
            <v>Non-proportional</v>
          </cell>
          <cell r="S42379">
            <v>-7897.5</v>
          </cell>
          <cell r="X42379" t="str">
            <v>Variation UPR - gross</v>
          </cell>
          <cell r="Y42379" t="str">
            <v>ITALY</v>
          </cell>
        </row>
        <row r="42380">
          <cell r="L42380" t="str">
            <v>Non-proportional</v>
          </cell>
          <cell r="S42380">
            <v>-4166.67</v>
          </cell>
          <cell r="X42380" t="str">
            <v>Variation UPR - gross</v>
          </cell>
          <cell r="Y42380" t="str">
            <v>TURKEY</v>
          </cell>
        </row>
        <row r="42381">
          <cell r="L42381" t="str">
            <v>Non-proportional</v>
          </cell>
          <cell r="S42381">
            <v>-10120.5</v>
          </cell>
          <cell r="X42381" t="str">
            <v>Variation UPR - gross</v>
          </cell>
          <cell r="Y42381" t="str">
            <v>ITALY</v>
          </cell>
        </row>
        <row r="42382">
          <cell r="L42382" t="str">
            <v>Non-proportional</v>
          </cell>
          <cell r="S42382">
            <v>3017.34</v>
          </cell>
          <cell r="X42382" t="str">
            <v>Variation UPR - gross</v>
          </cell>
          <cell r="Y42382" t="str">
            <v>DOMINICAN REPUBLIC</v>
          </cell>
        </row>
        <row r="42383">
          <cell r="L42383" t="str">
            <v>Non-proportional</v>
          </cell>
          <cell r="S42383">
            <v>-612.5</v>
          </cell>
          <cell r="X42383" t="str">
            <v>Variation UPR - gross</v>
          </cell>
          <cell r="Y42383" t="str">
            <v>GREECE</v>
          </cell>
        </row>
        <row r="42384">
          <cell r="L42384" t="str">
            <v>Non-proportional</v>
          </cell>
          <cell r="S42384">
            <v>-3645.07</v>
          </cell>
          <cell r="X42384" t="str">
            <v>Variation UPR - gross</v>
          </cell>
          <cell r="Y42384" t="str">
            <v>NEW ZEALAND</v>
          </cell>
        </row>
        <row r="42385">
          <cell r="L42385" t="str">
            <v>Non-proportional</v>
          </cell>
          <cell r="S42385">
            <v>-7218.75</v>
          </cell>
          <cell r="X42385" t="str">
            <v>Variation UPR - gross</v>
          </cell>
          <cell r="Y42385" t="str">
            <v>FRANCE</v>
          </cell>
        </row>
        <row r="42386">
          <cell r="L42386" t="str">
            <v>Non-proportional</v>
          </cell>
          <cell r="S42386">
            <v>0.02</v>
          </cell>
          <cell r="X42386" t="str">
            <v>Variation UPR - gross</v>
          </cell>
          <cell r="Y42386" t="str">
            <v>DOMINICAN REPUBLIC</v>
          </cell>
        </row>
        <row r="42387">
          <cell r="L42387" t="str">
            <v>Non-proportional</v>
          </cell>
          <cell r="S42387">
            <v>-1664.56</v>
          </cell>
          <cell r="X42387" t="str">
            <v>Variation UPR - gross</v>
          </cell>
          <cell r="Y42387" t="str">
            <v>FRANCE</v>
          </cell>
        </row>
        <row r="42388">
          <cell r="L42388" t="str">
            <v>Non-proportional</v>
          </cell>
          <cell r="S42388">
            <v>-6862.1</v>
          </cell>
          <cell r="X42388" t="str">
            <v>Variation UPR - gross</v>
          </cell>
          <cell r="Y42388" t="str">
            <v>AUSTRALIA</v>
          </cell>
        </row>
        <row r="42389">
          <cell r="L42389" t="str">
            <v>Non-proportional</v>
          </cell>
          <cell r="S42389">
            <v>395.06</v>
          </cell>
          <cell r="X42389" t="str">
            <v>Variation UPR - gross</v>
          </cell>
          <cell r="Y42389" t="str">
            <v>INDIA</v>
          </cell>
        </row>
        <row r="42390">
          <cell r="L42390" t="str">
            <v>Non-proportional</v>
          </cell>
          <cell r="S42390">
            <v>-4755.1400000000003</v>
          </cell>
          <cell r="X42390" t="str">
            <v>Variation UPR - gross</v>
          </cell>
          <cell r="Y42390" t="str">
            <v>CHILE</v>
          </cell>
        </row>
        <row r="42391">
          <cell r="L42391" t="str">
            <v>Proportional</v>
          </cell>
          <cell r="S42391">
            <v>-1484.36</v>
          </cell>
          <cell r="X42391" t="str">
            <v>Variation UPR - gross</v>
          </cell>
          <cell r="Y42391" t="str">
            <v>THAILAND</v>
          </cell>
        </row>
        <row r="42392">
          <cell r="L42392" t="str">
            <v>Non-proportional</v>
          </cell>
          <cell r="S42392">
            <v>-46033.71</v>
          </cell>
          <cell r="X42392" t="str">
            <v>Variation UPR - gross</v>
          </cell>
          <cell r="Y42392" t="str">
            <v>UNITED KINGDOM</v>
          </cell>
        </row>
        <row r="42393">
          <cell r="L42393" t="str">
            <v>Non-proportional</v>
          </cell>
          <cell r="S42393">
            <v>-596.80999999999995</v>
          </cell>
          <cell r="X42393" t="str">
            <v>Variation UPR - gross</v>
          </cell>
          <cell r="Y42393" t="str">
            <v>DOMINICAN REPUBLIC</v>
          </cell>
        </row>
        <row r="42394">
          <cell r="L42394" t="str">
            <v>Non-proportional</v>
          </cell>
          <cell r="S42394">
            <v>-4964.92</v>
          </cell>
          <cell r="X42394" t="str">
            <v>Variation UPR - gross</v>
          </cell>
          <cell r="Y42394" t="str">
            <v>CHILE</v>
          </cell>
        </row>
        <row r="42395">
          <cell r="L42395" t="str">
            <v>Non-proportional</v>
          </cell>
          <cell r="S42395">
            <v>-11245.82</v>
          </cell>
          <cell r="X42395" t="str">
            <v>Variation UPR - gross</v>
          </cell>
          <cell r="Y42395" t="str">
            <v>AUSTRALIA</v>
          </cell>
        </row>
        <row r="42396">
          <cell r="L42396" t="str">
            <v>Non-proportional</v>
          </cell>
          <cell r="S42396">
            <v>-21666.67</v>
          </cell>
          <cell r="X42396" t="str">
            <v>Variation UPR - gross</v>
          </cell>
          <cell r="Y42396" t="str">
            <v>FRANCE</v>
          </cell>
        </row>
        <row r="42397">
          <cell r="L42397" t="str">
            <v>Non-proportional</v>
          </cell>
          <cell r="S42397">
            <v>-255.51</v>
          </cell>
          <cell r="X42397" t="str">
            <v>Variation UPR - gross</v>
          </cell>
          <cell r="Y42397" t="str">
            <v>ECUADOR</v>
          </cell>
        </row>
        <row r="42398">
          <cell r="L42398" t="str">
            <v>Non-proportional</v>
          </cell>
          <cell r="S42398">
            <v>-3281.25</v>
          </cell>
          <cell r="X42398" t="str">
            <v>Variation UPR - gross</v>
          </cell>
          <cell r="Y42398" t="str">
            <v>ITALY</v>
          </cell>
        </row>
        <row r="42399">
          <cell r="L42399" t="str">
            <v>Proportional</v>
          </cell>
          <cell r="S42399">
            <v>-2692.25</v>
          </cell>
          <cell r="X42399" t="str">
            <v>Variation UPR - gross</v>
          </cell>
          <cell r="Y42399" t="str">
            <v>CHILE</v>
          </cell>
        </row>
        <row r="42400">
          <cell r="L42400" t="str">
            <v>Non-proportional</v>
          </cell>
          <cell r="S42400">
            <v>-69.930000000000007</v>
          </cell>
          <cell r="X42400" t="str">
            <v>Variation UPR - gross</v>
          </cell>
          <cell r="Y42400" t="str">
            <v>CHILE</v>
          </cell>
        </row>
        <row r="42401">
          <cell r="L42401" t="str">
            <v>Non-proportional</v>
          </cell>
          <cell r="S42401">
            <v>65.7</v>
          </cell>
          <cell r="X42401" t="str">
            <v>Variation UPR - gross</v>
          </cell>
          <cell r="Y42401" t="str">
            <v>JAPAN</v>
          </cell>
        </row>
        <row r="42402">
          <cell r="L42402" t="str">
            <v>Non-proportional</v>
          </cell>
          <cell r="S42402">
            <v>-926.79</v>
          </cell>
          <cell r="X42402" t="str">
            <v>Variation UPR - gross</v>
          </cell>
          <cell r="Y42402" t="str">
            <v>JAPAN</v>
          </cell>
        </row>
        <row r="42403">
          <cell r="L42403" t="str">
            <v>Non-proportional</v>
          </cell>
          <cell r="S42403">
            <v>-13073.04</v>
          </cell>
          <cell r="X42403" t="str">
            <v>Variation UPR - gross</v>
          </cell>
          <cell r="Y42403" t="str">
            <v>FRANCE</v>
          </cell>
        </row>
        <row r="42404">
          <cell r="L42404" t="str">
            <v>Non-proportional</v>
          </cell>
          <cell r="S42404">
            <v>-3854.17</v>
          </cell>
          <cell r="X42404" t="str">
            <v>Variation UPR - gross</v>
          </cell>
          <cell r="Y42404" t="str">
            <v>FRANCE</v>
          </cell>
        </row>
        <row r="42405">
          <cell r="L42405" t="str">
            <v>Proportional</v>
          </cell>
          <cell r="S42405">
            <v>-16046.82</v>
          </cell>
          <cell r="X42405" t="str">
            <v>Variation UPR - gross</v>
          </cell>
          <cell r="Y42405" t="str">
            <v>EUROPE</v>
          </cell>
        </row>
        <row r="42406">
          <cell r="L42406" t="str">
            <v>Non-proportional</v>
          </cell>
          <cell r="S42406">
            <v>-665.05</v>
          </cell>
          <cell r="X42406" t="str">
            <v>Variation UPR - gross</v>
          </cell>
          <cell r="Y42406" t="str">
            <v>FRANCE</v>
          </cell>
        </row>
        <row r="42407">
          <cell r="L42407" t="str">
            <v>Non-proportional</v>
          </cell>
          <cell r="S42407">
            <v>-7971.85</v>
          </cell>
          <cell r="X42407" t="str">
            <v>Variation UPR - gross</v>
          </cell>
          <cell r="Y42407" t="str">
            <v>CHILE</v>
          </cell>
        </row>
        <row r="42408">
          <cell r="L42408" t="str">
            <v>Non-proportional</v>
          </cell>
          <cell r="S42408">
            <v>-1378035.34</v>
          </cell>
          <cell r="X42408" t="str">
            <v>Variation UPR - gross</v>
          </cell>
          <cell r="Y42408" t="str">
            <v>UNITED KINGDOM</v>
          </cell>
        </row>
        <row r="42409">
          <cell r="L42409" t="str">
            <v>Non-proportional</v>
          </cell>
          <cell r="S42409">
            <v>52.56</v>
          </cell>
          <cell r="X42409" t="str">
            <v>Variation UPR - gross</v>
          </cell>
          <cell r="Y42409" t="str">
            <v>JAPAN</v>
          </cell>
        </row>
        <row r="42410">
          <cell r="L42410" t="str">
            <v>Non-proportional</v>
          </cell>
          <cell r="S42410">
            <v>-855.96</v>
          </cell>
          <cell r="X42410" t="str">
            <v>Variation UPR - gross</v>
          </cell>
          <cell r="Y42410" t="str">
            <v>FRANCE</v>
          </cell>
        </row>
        <row r="42411">
          <cell r="L42411" t="str">
            <v>Non-proportional</v>
          </cell>
          <cell r="S42411">
            <v>-5918.43</v>
          </cell>
          <cell r="X42411" t="str">
            <v>Variation UPR - gross</v>
          </cell>
          <cell r="Y42411" t="str">
            <v>EUROPE</v>
          </cell>
        </row>
        <row r="42412">
          <cell r="L42412" t="str">
            <v>Non-proportional</v>
          </cell>
          <cell r="S42412">
            <v>48.49</v>
          </cell>
          <cell r="X42412" t="str">
            <v>Variation UPR - gross</v>
          </cell>
          <cell r="Y42412" t="str">
            <v>DOMINICAN REPUBLIC</v>
          </cell>
        </row>
        <row r="42413">
          <cell r="L42413" t="str">
            <v>Non-proportional</v>
          </cell>
          <cell r="S42413">
            <v>-1197.04</v>
          </cell>
          <cell r="X42413" t="str">
            <v>Variation UPR - gross</v>
          </cell>
          <cell r="Y42413" t="str">
            <v>AUSTRALIA</v>
          </cell>
        </row>
        <row r="42414">
          <cell r="L42414" t="str">
            <v>Non-proportional</v>
          </cell>
          <cell r="S42414">
            <v>-3295.82</v>
          </cell>
          <cell r="X42414" t="str">
            <v>Variation UPR - gross</v>
          </cell>
          <cell r="Y42414" t="str">
            <v>DOMINICAN REPUBLIC</v>
          </cell>
        </row>
        <row r="42415">
          <cell r="L42415" t="str">
            <v>Proportional</v>
          </cell>
          <cell r="S42415">
            <v>-19089.669999999998</v>
          </cell>
          <cell r="X42415" t="str">
            <v>Variation UPR - gross</v>
          </cell>
          <cell r="Y42415" t="str">
            <v>UNITED KINGDOM</v>
          </cell>
        </row>
        <row r="42416">
          <cell r="L42416" t="str">
            <v>Non-proportional</v>
          </cell>
          <cell r="S42416">
            <v>-10709.07</v>
          </cell>
          <cell r="X42416" t="str">
            <v>Variation UPR - gross</v>
          </cell>
          <cell r="Y42416" t="str">
            <v>COLOMBIA</v>
          </cell>
        </row>
        <row r="42417">
          <cell r="L42417" t="str">
            <v>Non-proportional</v>
          </cell>
          <cell r="S42417">
            <v>41.67</v>
          </cell>
          <cell r="X42417" t="str">
            <v>Variation UPR - gross</v>
          </cell>
          <cell r="Y42417" t="str">
            <v>JAPAN</v>
          </cell>
        </row>
        <row r="42418">
          <cell r="L42418" t="str">
            <v>Proportional</v>
          </cell>
          <cell r="S42418">
            <v>-559.42999999999995</v>
          </cell>
          <cell r="X42418" t="str">
            <v>Variation UPR - gross</v>
          </cell>
          <cell r="Y42418" t="str">
            <v>CHILE</v>
          </cell>
        </row>
        <row r="42419">
          <cell r="L42419" t="str">
            <v>Non-proportional</v>
          </cell>
          <cell r="S42419">
            <v>-3689.32</v>
          </cell>
          <cell r="X42419" t="str">
            <v>Variation UPR - gross</v>
          </cell>
          <cell r="Y42419" t="str">
            <v>THAILAND</v>
          </cell>
        </row>
        <row r="42420">
          <cell r="L42420" t="str">
            <v>Non-proportional</v>
          </cell>
          <cell r="S42420">
            <v>-5512.68</v>
          </cell>
          <cell r="X42420" t="str">
            <v>Variation UPR - gross</v>
          </cell>
          <cell r="Y42420" t="str">
            <v>NETHERLANDS</v>
          </cell>
        </row>
        <row r="42421">
          <cell r="L42421" t="str">
            <v>Non-proportional</v>
          </cell>
          <cell r="S42421">
            <v>-1800</v>
          </cell>
          <cell r="X42421" t="str">
            <v>Variation UPR - gross</v>
          </cell>
          <cell r="Y42421" t="str">
            <v>PORTUGAL</v>
          </cell>
        </row>
        <row r="42422">
          <cell r="L42422" t="str">
            <v>Non-proportional</v>
          </cell>
          <cell r="S42422">
            <v>72.48</v>
          </cell>
          <cell r="X42422" t="str">
            <v>Variation UPR - gross</v>
          </cell>
          <cell r="Y42422" t="str">
            <v>DOMINICAN REPUBLIC</v>
          </cell>
        </row>
        <row r="42423">
          <cell r="L42423" t="str">
            <v>Non-proportional</v>
          </cell>
          <cell r="S42423">
            <v>-5851.33</v>
          </cell>
          <cell r="X42423" t="str">
            <v>Variation UPR - gross</v>
          </cell>
          <cell r="Y42423" t="str">
            <v>ITALY</v>
          </cell>
        </row>
        <row r="42424">
          <cell r="L42424" t="str">
            <v>Non-proportional</v>
          </cell>
          <cell r="S42424">
            <v>-4949.13</v>
          </cell>
          <cell r="X42424" t="str">
            <v>Variation UPR - gross</v>
          </cell>
          <cell r="Y42424" t="str">
            <v>NETHERLANDS</v>
          </cell>
        </row>
        <row r="42425">
          <cell r="L42425" t="str">
            <v>Non-proportional</v>
          </cell>
          <cell r="S42425">
            <v>-960476.34</v>
          </cell>
          <cell r="X42425" t="str">
            <v>Variation UPR - gross</v>
          </cell>
          <cell r="Y42425" t="str">
            <v>UNITED KINGDOM</v>
          </cell>
        </row>
        <row r="42426">
          <cell r="L42426" t="str">
            <v>Non-proportional</v>
          </cell>
          <cell r="S42426">
            <v>-4002.95</v>
          </cell>
          <cell r="X42426" t="str">
            <v>Variation UPR - gross</v>
          </cell>
          <cell r="Y42426" t="str">
            <v>UNITED KINGDOM</v>
          </cell>
        </row>
        <row r="42427">
          <cell r="L42427" t="str">
            <v>Non-proportional</v>
          </cell>
          <cell r="S42427">
            <v>-351.47</v>
          </cell>
          <cell r="X42427" t="str">
            <v>Variation UPR - gross</v>
          </cell>
          <cell r="Y42427" t="str">
            <v>TURKEY</v>
          </cell>
        </row>
        <row r="42428">
          <cell r="L42428" t="str">
            <v>Non-proportional</v>
          </cell>
          <cell r="S42428">
            <v>291.63</v>
          </cell>
          <cell r="X42428" t="str">
            <v>Variation UPR - gross</v>
          </cell>
          <cell r="Y42428" t="str">
            <v>NEW ZEALAND</v>
          </cell>
        </row>
        <row r="42429">
          <cell r="L42429" t="str">
            <v>Proportional</v>
          </cell>
          <cell r="S42429">
            <v>-212.36</v>
          </cell>
          <cell r="X42429" t="str">
            <v>Variation UPR - gross</v>
          </cell>
          <cell r="Y42429" t="str">
            <v>UNITED STATES</v>
          </cell>
        </row>
        <row r="42430">
          <cell r="L42430" t="str">
            <v>Non-proportional</v>
          </cell>
          <cell r="S42430">
            <v>-4750.16</v>
          </cell>
          <cell r="X42430" t="str">
            <v>Variation UPR - gross</v>
          </cell>
          <cell r="Y42430" t="str">
            <v>AUSTRALIA</v>
          </cell>
        </row>
        <row r="42431">
          <cell r="L42431" t="str">
            <v>Non-proportional</v>
          </cell>
          <cell r="S42431">
            <v>-347.57</v>
          </cell>
          <cell r="X42431" t="str">
            <v>Variation UPR - gross</v>
          </cell>
          <cell r="Y42431" t="str">
            <v>NEW ZEALAND</v>
          </cell>
        </row>
        <row r="42432">
          <cell r="L42432" t="str">
            <v>Non-proportional</v>
          </cell>
          <cell r="S42432">
            <v>-1617.88</v>
          </cell>
          <cell r="X42432" t="str">
            <v>Variation UPR - gross</v>
          </cell>
          <cell r="Y42432" t="str">
            <v>ISRAEL</v>
          </cell>
        </row>
        <row r="42433">
          <cell r="L42433" t="str">
            <v>Non-proportional</v>
          </cell>
          <cell r="S42433">
            <v>0.02</v>
          </cell>
          <cell r="X42433" t="str">
            <v>Variation UPR - gross</v>
          </cell>
          <cell r="Y42433" t="str">
            <v>COLOMBIA</v>
          </cell>
        </row>
        <row r="42434">
          <cell r="L42434" t="str">
            <v>Non-proportional</v>
          </cell>
          <cell r="S42434">
            <v>-221935</v>
          </cell>
          <cell r="X42434" t="str">
            <v>Variation UPR - gross</v>
          </cell>
          <cell r="Y42434" t="str">
            <v>BELGIUM</v>
          </cell>
        </row>
        <row r="42435">
          <cell r="L42435" t="str">
            <v>Non-proportional</v>
          </cell>
          <cell r="S42435">
            <v>0.01</v>
          </cell>
          <cell r="X42435" t="str">
            <v>Variation UPR - gross</v>
          </cell>
          <cell r="Y42435" t="str">
            <v>DOMINICAN REPUBLIC</v>
          </cell>
        </row>
        <row r="42436">
          <cell r="L42436" t="str">
            <v>Non-proportional</v>
          </cell>
          <cell r="S42436">
            <v>119.92</v>
          </cell>
          <cell r="X42436" t="str">
            <v>Variation UPR - gross</v>
          </cell>
          <cell r="Y42436" t="str">
            <v>AUSTRALIA</v>
          </cell>
        </row>
        <row r="42437">
          <cell r="L42437" t="str">
            <v>Non-proportional</v>
          </cell>
          <cell r="S42437">
            <v>-70.38</v>
          </cell>
          <cell r="X42437" t="str">
            <v>Variation UPR - gross</v>
          </cell>
          <cell r="Y42437" t="str">
            <v>THAILAND</v>
          </cell>
        </row>
        <row r="42438">
          <cell r="L42438" t="str">
            <v>Non-proportional</v>
          </cell>
          <cell r="S42438">
            <v>-1734.67</v>
          </cell>
          <cell r="X42438" t="str">
            <v>Variation UPR - gross</v>
          </cell>
          <cell r="Y42438" t="str">
            <v>NEW ZEALAND</v>
          </cell>
        </row>
        <row r="42439">
          <cell r="L42439" t="str">
            <v>Proportional</v>
          </cell>
          <cell r="S42439">
            <v>2142366.16</v>
          </cell>
          <cell r="X42439" t="str">
            <v>Variation UPR - gross</v>
          </cell>
          <cell r="Y42439" t="str">
            <v>HONG KONG</v>
          </cell>
        </row>
        <row r="42440">
          <cell r="L42440" t="str">
            <v>Non-proportional</v>
          </cell>
          <cell r="S42440">
            <v>-11785.23</v>
          </cell>
          <cell r="X42440" t="str">
            <v>Variation UPR - gross</v>
          </cell>
          <cell r="Y42440" t="str">
            <v>AUSTRALIA</v>
          </cell>
        </row>
        <row r="42441">
          <cell r="L42441" t="str">
            <v>Non-proportional</v>
          </cell>
          <cell r="S42441">
            <v>234</v>
          </cell>
          <cell r="X42441" t="str">
            <v>Variation UPR - gross</v>
          </cell>
          <cell r="Y42441" t="str">
            <v>NEW ZEALAND</v>
          </cell>
        </row>
        <row r="42442">
          <cell r="L42442" t="str">
            <v>Non-proportional</v>
          </cell>
          <cell r="S42442">
            <v>-4645.9799999999996</v>
          </cell>
          <cell r="X42442" t="str">
            <v>Variation UPR - gross</v>
          </cell>
          <cell r="Y42442" t="str">
            <v>UNITED KINGDOM</v>
          </cell>
        </row>
        <row r="42443">
          <cell r="L42443" t="str">
            <v>Non-proportional</v>
          </cell>
          <cell r="S42443">
            <v>14.61</v>
          </cell>
          <cell r="X42443" t="str">
            <v>Variation UPR - gross</v>
          </cell>
          <cell r="Y42443" t="str">
            <v>AUSTRALIA</v>
          </cell>
        </row>
        <row r="42444">
          <cell r="L42444" t="str">
            <v>Non-proportional</v>
          </cell>
          <cell r="S42444">
            <v>0.02</v>
          </cell>
          <cell r="X42444" t="str">
            <v>Variation UPR - gross</v>
          </cell>
          <cell r="Y42444" t="str">
            <v>COLOMBIA</v>
          </cell>
        </row>
        <row r="42445">
          <cell r="L42445" t="str">
            <v>Non-proportional</v>
          </cell>
          <cell r="S42445">
            <v>-3906.16</v>
          </cell>
          <cell r="X42445" t="str">
            <v>Variation UPR - gross</v>
          </cell>
          <cell r="Y42445" t="str">
            <v>EUROPE</v>
          </cell>
        </row>
        <row r="42446">
          <cell r="L42446" t="str">
            <v>Non-proportional</v>
          </cell>
          <cell r="S42446">
            <v>-4130.1899999999996</v>
          </cell>
          <cell r="X42446" t="str">
            <v>Variation UPR - gross</v>
          </cell>
          <cell r="Y42446" t="str">
            <v>COLOMBIA</v>
          </cell>
        </row>
        <row r="42447">
          <cell r="L42447" t="str">
            <v>Non-proportional</v>
          </cell>
          <cell r="S42447">
            <v>-3007.96</v>
          </cell>
          <cell r="X42447" t="str">
            <v>Variation UPR - gross</v>
          </cell>
          <cell r="Y42447" t="str">
            <v>ISRAEL</v>
          </cell>
        </row>
        <row r="42448">
          <cell r="L42448" t="str">
            <v>Non-proportional</v>
          </cell>
          <cell r="S42448">
            <v>-1642.13</v>
          </cell>
          <cell r="X42448" t="str">
            <v>Variation UPR - gross</v>
          </cell>
          <cell r="Y42448" t="str">
            <v>CHINA</v>
          </cell>
        </row>
        <row r="42449">
          <cell r="L42449" t="str">
            <v>Proportional</v>
          </cell>
          <cell r="S42449">
            <v>-6786.27</v>
          </cell>
          <cell r="X42449" t="str">
            <v>Variation UPR - gross</v>
          </cell>
          <cell r="Y42449" t="str">
            <v>THAILAND</v>
          </cell>
        </row>
        <row r="42450">
          <cell r="L42450" t="str">
            <v>Non-proportional</v>
          </cell>
          <cell r="S42450">
            <v>-2104.94</v>
          </cell>
          <cell r="X42450" t="str">
            <v>Variation UPR - gross</v>
          </cell>
          <cell r="Y42450" t="str">
            <v>INDIA</v>
          </cell>
        </row>
        <row r="42451">
          <cell r="L42451" t="str">
            <v>Non-proportional</v>
          </cell>
          <cell r="S42451">
            <v>-2494.2199999999998</v>
          </cell>
          <cell r="X42451" t="str">
            <v>Variation UPR - gross</v>
          </cell>
          <cell r="Y42451" t="str">
            <v>THAILAND</v>
          </cell>
        </row>
        <row r="42452">
          <cell r="L42452" t="str">
            <v>Non-proportional</v>
          </cell>
          <cell r="S42452">
            <v>0.02</v>
          </cell>
          <cell r="X42452" t="str">
            <v>Variation UPR - gross</v>
          </cell>
          <cell r="Y42452" t="str">
            <v>INDIA</v>
          </cell>
        </row>
        <row r="42453">
          <cell r="L42453" t="str">
            <v>Non-proportional</v>
          </cell>
          <cell r="S42453">
            <v>-1358.19</v>
          </cell>
          <cell r="X42453" t="str">
            <v>Variation UPR - gross</v>
          </cell>
          <cell r="Y42453" t="str">
            <v>COLOMBIA</v>
          </cell>
        </row>
        <row r="42454">
          <cell r="L42454" t="str">
            <v>Non-proportional</v>
          </cell>
          <cell r="S42454">
            <v>-2107.58</v>
          </cell>
          <cell r="X42454" t="str">
            <v>Variation UPR - gross</v>
          </cell>
          <cell r="Y42454" t="str">
            <v>JAPAN</v>
          </cell>
        </row>
        <row r="42455">
          <cell r="L42455" t="str">
            <v>Non-proportional</v>
          </cell>
          <cell r="S42455">
            <v>-18060.62</v>
          </cell>
          <cell r="X42455" t="str">
            <v>Variation UPR - gross</v>
          </cell>
          <cell r="Y42455" t="str">
            <v>CHINA</v>
          </cell>
        </row>
        <row r="42456">
          <cell r="L42456" t="str">
            <v>Proportional</v>
          </cell>
          <cell r="S42456">
            <v>-180249.19</v>
          </cell>
          <cell r="X42456" t="str">
            <v>Variation UPR - gross</v>
          </cell>
          <cell r="Y42456" t="str">
            <v>UNITED STATES</v>
          </cell>
        </row>
        <row r="42457">
          <cell r="L42457" t="str">
            <v>Non-proportional</v>
          </cell>
          <cell r="S42457">
            <v>-73765.19</v>
          </cell>
          <cell r="X42457" t="str">
            <v>Variation UPR - gross</v>
          </cell>
          <cell r="Y42457" t="str">
            <v>UNITED KINGDOM</v>
          </cell>
        </row>
        <row r="42458">
          <cell r="L42458" t="str">
            <v>Non-proportional</v>
          </cell>
          <cell r="S42458">
            <v>-34.96</v>
          </cell>
          <cell r="X42458" t="str">
            <v>Variation UPR - gross</v>
          </cell>
          <cell r="Y42458" t="str">
            <v>CHILE</v>
          </cell>
        </row>
        <row r="42459">
          <cell r="L42459" t="str">
            <v>Non-proportional</v>
          </cell>
          <cell r="S42459">
            <v>-1587.35</v>
          </cell>
          <cell r="X42459" t="str">
            <v>Variation UPR - gross</v>
          </cell>
          <cell r="Y42459" t="str">
            <v>ITALY</v>
          </cell>
        </row>
        <row r="42460">
          <cell r="L42460" t="str">
            <v>Non-proportional</v>
          </cell>
          <cell r="S42460">
            <v>-3783.54</v>
          </cell>
          <cell r="X42460" t="str">
            <v>Variation UPR - gross</v>
          </cell>
          <cell r="Y42460" t="str">
            <v>ISRAEL</v>
          </cell>
        </row>
        <row r="42461">
          <cell r="L42461" t="str">
            <v>Non-proportional</v>
          </cell>
          <cell r="S42461">
            <v>-5785.48</v>
          </cell>
          <cell r="X42461" t="str">
            <v>Variation UPR - gross</v>
          </cell>
          <cell r="Y42461" t="str">
            <v>AUSTRALIA</v>
          </cell>
        </row>
        <row r="42462">
          <cell r="L42462" t="str">
            <v>Non-proportional</v>
          </cell>
          <cell r="S42462">
            <v>-6086.35</v>
          </cell>
          <cell r="X42462" t="str">
            <v>Variation UPR - gross</v>
          </cell>
          <cell r="Y42462" t="str">
            <v>ITALY</v>
          </cell>
        </row>
        <row r="42463">
          <cell r="L42463" t="str">
            <v>Non-proportional</v>
          </cell>
          <cell r="S42463">
            <v>453.76</v>
          </cell>
          <cell r="X42463" t="str">
            <v>Variation UPR - gross</v>
          </cell>
          <cell r="Y42463" t="str">
            <v>AUSTRALIA</v>
          </cell>
        </row>
        <row r="42464">
          <cell r="L42464" t="str">
            <v>Non-proportional</v>
          </cell>
          <cell r="S42464">
            <v>-2172.39</v>
          </cell>
          <cell r="X42464" t="str">
            <v>Variation UPR - gross</v>
          </cell>
          <cell r="Y42464" t="str">
            <v>DOMINICAN REPUBLIC</v>
          </cell>
        </row>
        <row r="42465">
          <cell r="L42465" t="str">
            <v>Non-proportional</v>
          </cell>
          <cell r="S42465">
            <v>-10909.08</v>
          </cell>
          <cell r="X42465" t="str">
            <v>Variation UPR - gross</v>
          </cell>
          <cell r="Y42465" t="str">
            <v>ITALY</v>
          </cell>
        </row>
        <row r="42466">
          <cell r="L42466" t="str">
            <v>Proportional</v>
          </cell>
          <cell r="S42466">
            <v>-14561.2</v>
          </cell>
          <cell r="X42466" t="str">
            <v>Variation UPR - gross</v>
          </cell>
          <cell r="Y42466" t="str">
            <v>FRANCE</v>
          </cell>
        </row>
        <row r="42467">
          <cell r="L42467" t="str">
            <v>Non-proportional</v>
          </cell>
          <cell r="S42467">
            <v>-9832.7800000000007</v>
          </cell>
          <cell r="X42467" t="str">
            <v>Variation UPR - gross</v>
          </cell>
          <cell r="Y42467" t="str">
            <v>FRANCE</v>
          </cell>
        </row>
        <row r="42468">
          <cell r="L42468" t="str">
            <v>Non-proportional</v>
          </cell>
          <cell r="S42468">
            <v>-4150.8</v>
          </cell>
          <cell r="X42468" t="str">
            <v>Variation UPR - gross</v>
          </cell>
          <cell r="Y42468" t="str">
            <v>UNITED KINGDOM</v>
          </cell>
        </row>
        <row r="42469">
          <cell r="L42469" t="str">
            <v>Non-proportional</v>
          </cell>
          <cell r="S42469">
            <v>-427230.53</v>
          </cell>
          <cell r="X42469" t="str">
            <v>Variation UPR - gross</v>
          </cell>
          <cell r="Y42469" t="str">
            <v>UNITED KINGDOM</v>
          </cell>
        </row>
        <row r="42470">
          <cell r="L42470" t="str">
            <v>Proportional</v>
          </cell>
          <cell r="S42470">
            <v>-81404.87</v>
          </cell>
          <cell r="X42470" t="str">
            <v>Variation UPR - gross</v>
          </cell>
          <cell r="Y42470" t="str">
            <v>THAILAND</v>
          </cell>
        </row>
        <row r="42471">
          <cell r="L42471" t="str">
            <v>Non-proportional</v>
          </cell>
          <cell r="S42471">
            <v>-2600.02</v>
          </cell>
          <cell r="X42471" t="str">
            <v>Variation UPR - gross</v>
          </cell>
          <cell r="Y42471" t="str">
            <v>UNITED ARAB EMIRATES</v>
          </cell>
        </row>
        <row r="42472">
          <cell r="L42472" t="str">
            <v>Non-proportional</v>
          </cell>
          <cell r="S42472">
            <v>-2357.5</v>
          </cell>
          <cell r="X42472" t="str">
            <v>Variation UPR - gross</v>
          </cell>
          <cell r="Y42472" t="str">
            <v>GERMANY</v>
          </cell>
        </row>
        <row r="42473">
          <cell r="L42473" t="str">
            <v>Non-proportional</v>
          </cell>
          <cell r="S42473">
            <v>-1548.16</v>
          </cell>
          <cell r="X42473" t="str">
            <v>Variation UPR - gross</v>
          </cell>
          <cell r="Y42473" t="str">
            <v>AUSTRALIA</v>
          </cell>
        </row>
        <row r="42474">
          <cell r="L42474" t="str">
            <v>Non-proportional</v>
          </cell>
          <cell r="S42474">
            <v>-860</v>
          </cell>
          <cell r="X42474" t="str">
            <v>Variation UPR - gross</v>
          </cell>
          <cell r="Y42474" t="str">
            <v>GREECE</v>
          </cell>
        </row>
        <row r="42475">
          <cell r="L42475" t="str">
            <v>Non-proportional</v>
          </cell>
          <cell r="S42475">
            <v>-9251.26</v>
          </cell>
          <cell r="X42475" t="str">
            <v>Variation UPR - gross</v>
          </cell>
          <cell r="Y42475" t="str">
            <v>ITALY</v>
          </cell>
        </row>
        <row r="42476">
          <cell r="L42476" t="str">
            <v>Non-proportional</v>
          </cell>
          <cell r="S42476">
            <v>-23091.279999999999</v>
          </cell>
          <cell r="X42476" t="str">
            <v>Variation UPR - gross</v>
          </cell>
          <cell r="Y42476" t="str">
            <v>UNITED KINGDOM</v>
          </cell>
        </row>
        <row r="42477">
          <cell r="L42477" t="str">
            <v>Non-proportional</v>
          </cell>
          <cell r="S42477">
            <v>-1004401.83</v>
          </cell>
          <cell r="X42477" t="str">
            <v>Variation UPR - gross</v>
          </cell>
          <cell r="Y42477" t="str">
            <v>UNITED KINGDOM</v>
          </cell>
        </row>
        <row r="42478">
          <cell r="L42478" t="str">
            <v>Non-proportional</v>
          </cell>
          <cell r="S42478">
            <v>-9125.67</v>
          </cell>
          <cell r="X42478" t="str">
            <v>Variation UPR - gross</v>
          </cell>
          <cell r="Y42478" t="str">
            <v>CHILE</v>
          </cell>
        </row>
        <row r="42479">
          <cell r="L42479" t="str">
            <v>Non-proportional</v>
          </cell>
          <cell r="S42479">
            <v>-3900.8</v>
          </cell>
          <cell r="X42479" t="str">
            <v>Variation UPR - gross</v>
          </cell>
          <cell r="Y42479" t="str">
            <v>EUROPE</v>
          </cell>
        </row>
        <row r="42480">
          <cell r="L42480" t="str">
            <v>Non-proportional</v>
          </cell>
          <cell r="S42480">
            <v>-37828.21</v>
          </cell>
          <cell r="X42480" t="str">
            <v>Variation UPR - gross</v>
          </cell>
          <cell r="Y42480" t="str">
            <v>TURKEY</v>
          </cell>
        </row>
        <row r="42481">
          <cell r="L42481" t="str">
            <v>Non-proportional</v>
          </cell>
          <cell r="S42481">
            <v>-1044.8399999999999</v>
          </cell>
          <cell r="X42481" t="str">
            <v>Variation UPR - gross</v>
          </cell>
          <cell r="Y42481" t="str">
            <v>CYPRUS</v>
          </cell>
        </row>
        <row r="42482">
          <cell r="L42482" t="str">
            <v>Non-proportional</v>
          </cell>
          <cell r="S42482">
            <v>-1764.38</v>
          </cell>
          <cell r="X42482" t="str">
            <v>Variation UPR - gross</v>
          </cell>
          <cell r="Y42482" t="str">
            <v>NEW ZEALAND</v>
          </cell>
        </row>
        <row r="42483">
          <cell r="L42483" t="str">
            <v>Proportional</v>
          </cell>
          <cell r="S42483">
            <v>-27733.48</v>
          </cell>
          <cell r="X42483" t="str">
            <v>Variation UPR - gross</v>
          </cell>
          <cell r="Y42483" t="str">
            <v>BELGIUM</v>
          </cell>
        </row>
        <row r="42484">
          <cell r="L42484" t="str">
            <v>Non-proportional</v>
          </cell>
          <cell r="S42484">
            <v>0.03</v>
          </cell>
          <cell r="X42484" t="str">
            <v>Variation UPR - gross</v>
          </cell>
          <cell r="Y42484" t="str">
            <v>COLOMBIA</v>
          </cell>
        </row>
        <row r="42485">
          <cell r="L42485" t="str">
            <v>Non-proportional</v>
          </cell>
          <cell r="S42485">
            <v>-9178.3799999999992</v>
          </cell>
          <cell r="X42485" t="str">
            <v>Variation UPR - gross</v>
          </cell>
          <cell r="Y42485" t="str">
            <v>FRANCE</v>
          </cell>
        </row>
        <row r="42486">
          <cell r="L42486" t="str">
            <v>Proportional</v>
          </cell>
          <cell r="S42486">
            <v>1749.63</v>
          </cell>
          <cell r="X42486" t="str">
            <v>Variation UPR - gross</v>
          </cell>
          <cell r="Y42486" t="str">
            <v>CHILE</v>
          </cell>
        </row>
        <row r="42487">
          <cell r="L42487" t="str">
            <v>Proportional</v>
          </cell>
          <cell r="S42487">
            <v>174.34</v>
          </cell>
          <cell r="X42487" t="str">
            <v>Variation UPR - gross</v>
          </cell>
          <cell r="Y42487" t="str">
            <v>INDIA</v>
          </cell>
        </row>
        <row r="42488">
          <cell r="L42488" t="str">
            <v>Non-proportional</v>
          </cell>
          <cell r="S42488">
            <v>-15020.06</v>
          </cell>
          <cell r="X42488" t="str">
            <v>Variation UPR - gross</v>
          </cell>
          <cell r="Y42488" t="str">
            <v>UNITED KINGDOM</v>
          </cell>
        </row>
        <row r="42489">
          <cell r="L42489" t="str">
            <v>Non-proportional</v>
          </cell>
          <cell r="S42489">
            <v>-310.68</v>
          </cell>
          <cell r="X42489" t="str">
            <v>Variation UPR - gross</v>
          </cell>
          <cell r="Y42489" t="str">
            <v>ITALY</v>
          </cell>
        </row>
        <row r="42490">
          <cell r="L42490" t="str">
            <v>Non-proportional</v>
          </cell>
          <cell r="S42490">
            <v>20.77</v>
          </cell>
          <cell r="X42490" t="str">
            <v>Variation UPR - gross</v>
          </cell>
          <cell r="Y42490" t="str">
            <v>DOMINICAN REPUBLIC</v>
          </cell>
        </row>
        <row r="42491">
          <cell r="L42491" t="str">
            <v>Proportional</v>
          </cell>
          <cell r="S42491">
            <v>12511.42</v>
          </cell>
          <cell r="X42491" t="str">
            <v>Variation UPR - gross</v>
          </cell>
          <cell r="Y42491" t="str">
            <v>CANADA</v>
          </cell>
        </row>
        <row r="42492">
          <cell r="L42492" t="str">
            <v>Non-proportional</v>
          </cell>
          <cell r="S42492">
            <v>-6338.2</v>
          </cell>
          <cell r="X42492" t="str">
            <v>Variation UPR - gross</v>
          </cell>
          <cell r="Y42492" t="str">
            <v>ISRAEL</v>
          </cell>
        </row>
        <row r="42493">
          <cell r="L42493" t="str">
            <v>Non-proportional</v>
          </cell>
          <cell r="S42493">
            <v>14.22</v>
          </cell>
          <cell r="X42493" t="str">
            <v>Variation UPR - gross</v>
          </cell>
          <cell r="Y42493" t="str">
            <v>JAPAN</v>
          </cell>
        </row>
        <row r="42494">
          <cell r="L42494" t="str">
            <v>Non-proportional</v>
          </cell>
          <cell r="S42494">
            <v>-417.67</v>
          </cell>
          <cell r="X42494" t="str">
            <v>Variation UPR - gross</v>
          </cell>
          <cell r="Y42494" t="str">
            <v>NETHERLANDS</v>
          </cell>
        </row>
        <row r="42495">
          <cell r="L42495" t="str">
            <v>Non-proportional</v>
          </cell>
          <cell r="S42495">
            <v>0.02</v>
          </cell>
          <cell r="X42495" t="str">
            <v>Variation UPR - gross</v>
          </cell>
          <cell r="Y42495" t="str">
            <v>INDIA</v>
          </cell>
        </row>
        <row r="42496">
          <cell r="L42496" t="str">
            <v>Non-proportional</v>
          </cell>
          <cell r="S42496">
            <v>-2039.8</v>
          </cell>
          <cell r="X42496" t="str">
            <v>Variation UPR - gross</v>
          </cell>
          <cell r="Y42496" t="str">
            <v>UNITED KINGDOM</v>
          </cell>
        </row>
        <row r="42497">
          <cell r="L42497" t="str">
            <v>Non-proportional</v>
          </cell>
          <cell r="S42497">
            <v>-2815.35</v>
          </cell>
          <cell r="X42497" t="str">
            <v>Variation UPR - gross</v>
          </cell>
          <cell r="Y42497" t="str">
            <v>AUSTRALIA</v>
          </cell>
        </row>
        <row r="42498">
          <cell r="L42498"/>
          <cell r="S42498">
            <v>-11046785.35</v>
          </cell>
          <cell r="X42498" t="str">
            <v>Variation UPR - gross</v>
          </cell>
          <cell r="Y42498" t="str">
            <v>United kingdom</v>
          </cell>
        </row>
        <row r="42499">
          <cell r="L42499" t="str">
            <v>Non-proportional</v>
          </cell>
          <cell r="S42499">
            <v>-2442.4499999999998</v>
          </cell>
          <cell r="X42499" t="str">
            <v>Variation UPR - gross</v>
          </cell>
          <cell r="Y42499" t="str">
            <v>CYPRUS</v>
          </cell>
        </row>
        <row r="42500">
          <cell r="L42500" t="str">
            <v>Non-proportional</v>
          </cell>
          <cell r="S42500">
            <v>-73937.19</v>
          </cell>
          <cell r="X42500" t="str">
            <v>Variation UPR - gross</v>
          </cell>
          <cell r="Y42500" t="str">
            <v>UNITED KINGDOM</v>
          </cell>
        </row>
        <row r="42501">
          <cell r="L42501" t="str">
            <v>Non-proportional</v>
          </cell>
          <cell r="S42501">
            <v>-56486.63</v>
          </cell>
          <cell r="X42501" t="str">
            <v>Variation UPR - gross</v>
          </cell>
          <cell r="Y42501" t="str">
            <v>UNITED KINGDOM</v>
          </cell>
        </row>
        <row r="42502">
          <cell r="L42502" t="str">
            <v>Non-proportional</v>
          </cell>
          <cell r="S42502">
            <v>-69.930000000000007</v>
          </cell>
          <cell r="X42502" t="str">
            <v>Variation UPR - gross</v>
          </cell>
          <cell r="Y42502" t="str">
            <v>CHILE</v>
          </cell>
        </row>
        <row r="42503">
          <cell r="L42503" t="str">
            <v>Non-proportional</v>
          </cell>
          <cell r="S42503">
            <v>-2187.56</v>
          </cell>
          <cell r="X42503" t="str">
            <v>Variation UPR - gross</v>
          </cell>
          <cell r="Y42503" t="str">
            <v>SPAIN</v>
          </cell>
        </row>
        <row r="42504">
          <cell r="L42504" t="str">
            <v>Non-proportional</v>
          </cell>
          <cell r="S42504">
            <v>-3100.98</v>
          </cell>
          <cell r="X42504" t="str">
            <v>Variation UPR - gross</v>
          </cell>
          <cell r="Y42504" t="str">
            <v>UNITED KINGDOM</v>
          </cell>
        </row>
        <row r="42505">
          <cell r="L42505" t="str">
            <v>Non-proportional</v>
          </cell>
          <cell r="S42505">
            <v>-2146.4499999999998</v>
          </cell>
          <cell r="X42505" t="str">
            <v>Variation UPR - gross</v>
          </cell>
          <cell r="Y42505" t="str">
            <v>UNITED KINGDOM</v>
          </cell>
        </row>
        <row r="42506">
          <cell r="L42506" t="str">
            <v>Non-proportional</v>
          </cell>
          <cell r="S42506">
            <v>-4910.13</v>
          </cell>
          <cell r="X42506" t="str">
            <v>Variation UPR - gross</v>
          </cell>
          <cell r="Y42506" t="str">
            <v>SOUTH AFRICA</v>
          </cell>
        </row>
        <row r="42507">
          <cell r="L42507" t="str">
            <v>Non-proportional</v>
          </cell>
          <cell r="S42507">
            <v>-16825</v>
          </cell>
          <cell r="X42507" t="str">
            <v>Variation UPR - gross</v>
          </cell>
          <cell r="Y42507" t="str">
            <v>JAPAN</v>
          </cell>
        </row>
        <row r="42508">
          <cell r="L42508" t="str">
            <v>Non-proportional</v>
          </cell>
          <cell r="S42508">
            <v>-2660.06</v>
          </cell>
          <cell r="X42508" t="str">
            <v>Variation UPR - gross</v>
          </cell>
          <cell r="Y42508" t="str">
            <v>ECUADOR</v>
          </cell>
        </row>
        <row r="42509">
          <cell r="L42509" t="str">
            <v>Non-proportional</v>
          </cell>
          <cell r="S42509">
            <v>-9187.5</v>
          </cell>
          <cell r="X42509" t="str">
            <v>Variation UPR - gross</v>
          </cell>
          <cell r="Y42509" t="str">
            <v>TURKEY</v>
          </cell>
        </row>
        <row r="42510">
          <cell r="L42510" t="str">
            <v>Proportional</v>
          </cell>
          <cell r="S42510">
            <v>-200439.05</v>
          </cell>
          <cell r="X42510" t="str">
            <v>Variation UPR - gross</v>
          </cell>
          <cell r="Y42510" t="str">
            <v>UNITED STATES</v>
          </cell>
        </row>
        <row r="42511">
          <cell r="L42511" t="str">
            <v>Proportional</v>
          </cell>
          <cell r="S42511">
            <v>-1713.25</v>
          </cell>
          <cell r="X42511" t="str">
            <v>Variation UPR - gross</v>
          </cell>
          <cell r="Y42511" t="str">
            <v>CHILE</v>
          </cell>
        </row>
        <row r="42512">
          <cell r="L42512" t="str">
            <v>Non-proportional</v>
          </cell>
          <cell r="S42512">
            <v>-1202.25</v>
          </cell>
          <cell r="X42512" t="str">
            <v>Variation UPR - gross</v>
          </cell>
          <cell r="Y42512" t="str">
            <v>REPUBLIC OF IRELAND</v>
          </cell>
        </row>
        <row r="42513">
          <cell r="L42513" t="str">
            <v>Proportional</v>
          </cell>
          <cell r="S42513">
            <v>7193.83</v>
          </cell>
          <cell r="X42513" t="str">
            <v>Variation UPR - gross</v>
          </cell>
          <cell r="Y42513" t="str">
            <v>THAILAND</v>
          </cell>
        </row>
        <row r="42514">
          <cell r="L42514" t="str">
            <v>Non-proportional</v>
          </cell>
          <cell r="S42514">
            <v>-46729.08</v>
          </cell>
          <cell r="X42514" t="str">
            <v>Variation UPR - gross</v>
          </cell>
          <cell r="Y42514" t="str">
            <v>UNITED KINGDOM</v>
          </cell>
        </row>
        <row r="42515">
          <cell r="L42515" t="str">
            <v>Non-proportional</v>
          </cell>
          <cell r="S42515">
            <v>-104.89</v>
          </cell>
          <cell r="X42515" t="str">
            <v>Variation UPR - gross</v>
          </cell>
          <cell r="Y42515" t="str">
            <v>CHILE</v>
          </cell>
        </row>
        <row r="42516">
          <cell r="L42516" t="str">
            <v>Non-proportional</v>
          </cell>
          <cell r="S42516">
            <v>-712.52</v>
          </cell>
          <cell r="X42516" t="str">
            <v>Variation UPR - gross</v>
          </cell>
          <cell r="Y42516" t="str">
            <v>AUSTRALIA</v>
          </cell>
        </row>
        <row r="42517">
          <cell r="L42517" t="str">
            <v>Proportional</v>
          </cell>
          <cell r="S42517">
            <v>-10</v>
          </cell>
          <cell r="X42517" t="str">
            <v>Variation UPR - gross</v>
          </cell>
          <cell r="Y42517" t="str">
            <v>Ireland</v>
          </cell>
        </row>
        <row r="42518">
          <cell r="L42518" t="str">
            <v>Non-proportional</v>
          </cell>
          <cell r="S42518">
            <v>-64124.18</v>
          </cell>
          <cell r="X42518" t="str">
            <v>Variation UPR - gross</v>
          </cell>
          <cell r="Y42518" t="str">
            <v>UNITED KINGDOM</v>
          </cell>
        </row>
        <row r="42519">
          <cell r="L42519" t="str">
            <v>Non-proportional</v>
          </cell>
          <cell r="S42519">
            <v>-3214.76</v>
          </cell>
          <cell r="X42519" t="str">
            <v>Variation UPR - gross</v>
          </cell>
          <cell r="Y42519" t="str">
            <v>ISRAEL</v>
          </cell>
        </row>
        <row r="42520">
          <cell r="L42520" t="str">
            <v>Non-proportional</v>
          </cell>
          <cell r="S42520">
            <v>-221.52</v>
          </cell>
          <cell r="X42520" t="str">
            <v>Variation UPR - gross</v>
          </cell>
          <cell r="Y42520" t="str">
            <v>INDIA</v>
          </cell>
        </row>
        <row r="42521">
          <cell r="L42521" t="str">
            <v>Non-proportional</v>
          </cell>
          <cell r="S42521">
            <v>0.01</v>
          </cell>
          <cell r="X42521" t="str">
            <v>Variation UPR - gross</v>
          </cell>
          <cell r="Y42521" t="str">
            <v>DOMINICAN REPUBLIC</v>
          </cell>
        </row>
        <row r="42522">
          <cell r="L42522" t="str">
            <v>Non-proportional</v>
          </cell>
          <cell r="S42522">
            <v>-11510.64</v>
          </cell>
          <cell r="X42522" t="str">
            <v>Variation UPR - gross</v>
          </cell>
          <cell r="Y42522" t="str">
            <v>EUROPE</v>
          </cell>
        </row>
        <row r="42523">
          <cell r="L42523" t="str">
            <v>Non-proportional</v>
          </cell>
          <cell r="S42523">
            <v>-251100.46</v>
          </cell>
          <cell r="X42523" t="str">
            <v>Variation UPR - gross</v>
          </cell>
          <cell r="Y42523" t="str">
            <v>UNITED KINGDOM</v>
          </cell>
        </row>
        <row r="42524">
          <cell r="L42524" t="str">
            <v>Non-proportional</v>
          </cell>
          <cell r="S42524">
            <v>-2902.03</v>
          </cell>
          <cell r="X42524" t="str">
            <v>Variation UPR - gross</v>
          </cell>
          <cell r="Y42524" t="str">
            <v>CHILE</v>
          </cell>
        </row>
        <row r="42525">
          <cell r="L42525" t="str">
            <v>Non-proportional</v>
          </cell>
          <cell r="S42525">
            <v>-1172.3</v>
          </cell>
          <cell r="X42525" t="str">
            <v>Variation UPR - gross</v>
          </cell>
          <cell r="Y42525" t="str">
            <v>FRANCE</v>
          </cell>
        </row>
        <row r="42526">
          <cell r="L42526" t="str">
            <v>Non-proportional</v>
          </cell>
          <cell r="S42526">
            <v>-1946.5</v>
          </cell>
          <cell r="X42526" t="str">
            <v>Variation UPR - gross</v>
          </cell>
          <cell r="Y42526" t="str">
            <v>REPUBLIC OF IRELAND</v>
          </cell>
        </row>
        <row r="42527">
          <cell r="L42527" t="str">
            <v>Non-proportional</v>
          </cell>
          <cell r="S42527">
            <v>1.01</v>
          </cell>
          <cell r="X42527" t="str">
            <v>Variation UPR - gross</v>
          </cell>
          <cell r="Y42527" t="str">
            <v>GUATEMALA</v>
          </cell>
        </row>
        <row r="42528">
          <cell r="L42528" t="str">
            <v>Non-proportional</v>
          </cell>
          <cell r="S42528">
            <v>-5565.65</v>
          </cell>
          <cell r="X42528" t="str">
            <v>Variation UPR - gross</v>
          </cell>
          <cell r="Y42528" t="str">
            <v>INDIA</v>
          </cell>
        </row>
        <row r="42529">
          <cell r="L42529" t="str">
            <v>Non-proportional</v>
          </cell>
          <cell r="S42529">
            <v>-2014.73</v>
          </cell>
          <cell r="X42529" t="str">
            <v>Variation UPR - gross</v>
          </cell>
          <cell r="Y42529" t="str">
            <v>INDIA</v>
          </cell>
        </row>
        <row r="42530">
          <cell r="L42530" t="str">
            <v>Non-proportional</v>
          </cell>
          <cell r="S42530">
            <v>0.02</v>
          </cell>
          <cell r="X42530" t="str">
            <v>Variation UPR - gross</v>
          </cell>
          <cell r="Y42530" t="str">
            <v>COLOMBIA</v>
          </cell>
        </row>
        <row r="42531">
          <cell r="L42531" t="str">
            <v>Non-proportional</v>
          </cell>
          <cell r="S42531">
            <v>-2837.85</v>
          </cell>
          <cell r="X42531" t="str">
            <v>Variation UPR - gross</v>
          </cell>
          <cell r="Y42531" t="str">
            <v>THAILAND</v>
          </cell>
        </row>
        <row r="42532">
          <cell r="L42532" t="str">
            <v>Non-proportional</v>
          </cell>
          <cell r="S42532">
            <v>-9195.6</v>
          </cell>
          <cell r="X42532" t="str">
            <v>Variation UPR - gross</v>
          </cell>
          <cell r="Y42532" t="str">
            <v>CHILE</v>
          </cell>
        </row>
        <row r="42533">
          <cell r="L42533" t="str">
            <v>Non-proportional</v>
          </cell>
          <cell r="S42533">
            <v>6.14</v>
          </cell>
          <cell r="X42533" t="str">
            <v>Variation UPR - gross</v>
          </cell>
          <cell r="Y42533" t="str">
            <v>JAPAN</v>
          </cell>
        </row>
        <row r="42534">
          <cell r="L42534" t="str">
            <v>Proportional</v>
          </cell>
          <cell r="S42534">
            <v>-1485.35</v>
          </cell>
          <cell r="X42534" t="str">
            <v>Variation UPR - gross</v>
          </cell>
          <cell r="Y42534" t="str">
            <v>THAILAND</v>
          </cell>
        </row>
        <row r="42535">
          <cell r="L42535" t="str">
            <v>Non-proportional</v>
          </cell>
          <cell r="S42535">
            <v>109.06</v>
          </cell>
          <cell r="X42535" t="str">
            <v>Variation UPR - gross</v>
          </cell>
          <cell r="Y42535" t="str">
            <v>JAPAN</v>
          </cell>
        </row>
        <row r="42536">
          <cell r="L42536" t="str">
            <v>Non-proportional</v>
          </cell>
          <cell r="S42536">
            <v>-14483.94</v>
          </cell>
          <cell r="X42536" t="str">
            <v>Variation UPR - gross</v>
          </cell>
          <cell r="Y42536" t="str">
            <v>FRANCE</v>
          </cell>
        </row>
        <row r="42537">
          <cell r="L42537" t="str">
            <v>Non-proportional</v>
          </cell>
          <cell r="S42537">
            <v>-699.28</v>
          </cell>
          <cell r="X42537" t="str">
            <v>Variation UPR - gross</v>
          </cell>
          <cell r="Y42537" t="str">
            <v>CHILE</v>
          </cell>
        </row>
        <row r="42538">
          <cell r="L42538" t="str">
            <v>Proportional</v>
          </cell>
          <cell r="S42538">
            <v>1976.33</v>
          </cell>
          <cell r="X42538" t="str">
            <v>Variation UPR - gross</v>
          </cell>
          <cell r="Y42538" t="str">
            <v>THAILAND</v>
          </cell>
        </row>
        <row r="42539">
          <cell r="L42539" t="str">
            <v>Non-proportional</v>
          </cell>
          <cell r="S42539">
            <v>-3772.97</v>
          </cell>
          <cell r="X42539" t="str">
            <v>Variation UPR - gross</v>
          </cell>
          <cell r="Y42539" t="str">
            <v>ECUADOR</v>
          </cell>
        </row>
        <row r="42540">
          <cell r="L42540" t="str">
            <v>Proportional</v>
          </cell>
          <cell r="S42540">
            <v>66040.960000000006</v>
          </cell>
          <cell r="X42540" t="str">
            <v>Variation UPR - gross</v>
          </cell>
          <cell r="Y42540" t="str">
            <v>HONG KONG</v>
          </cell>
        </row>
        <row r="42541">
          <cell r="L42541" t="str">
            <v>Proportional</v>
          </cell>
          <cell r="S42541">
            <v>27632.76</v>
          </cell>
          <cell r="X42541" t="str">
            <v>Variation UPR - gross</v>
          </cell>
          <cell r="Y42541" t="str">
            <v>ITALY</v>
          </cell>
        </row>
        <row r="42542">
          <cell r="L42542" t="str">
            <v>Non-proportional</v>
          </cell>
          <cell r="S42542">
            <v>-6666.5</v>
          </cell>
          <cell r="X42542" t="str">
            <v>Variation UPR - gross</v>
          </cell>
          <cell r="Y42542" t="str">
            <v>ITALY</v>
          </cell>
        </row>
        <row r="42543">
          <cell r="L42543" t="str">
            <v>Non-proportional</v>
          </cell>
          <cell r="S42543">
            <v>-3311.01</v>
          </cell>
          <cell r="X42543" t="str">
            <v>Variation UPR - gross</v>
          </cell>
          <cell r="Y42543" t="str">
            <v>UNITED KINGDOM</v>
          </cell>
        </row>
        <row r="42544">
          <cell r="L42544" t="str">
            <v>Non-proportional</v>
          </cell>
          <cell r="S42544">
            <v>-6762.3</v>
          </cell>
          <cell r="X42544" t="str">
            <v>Variation UPR - gross</v>
          </cell>
          <cell r="Y42544" t="str">
            <v>UNITED KINGDOM</v>
          </cell>
        </row>
        <row r="42545">
          <cell r="L42545" t="str">
            <v>Proportional</v>
          </cell>
          <cell r="S42545">
            <v>-9972.1</v>
          </cell>
          <cell r="X42545" t="str">
            <v>Variation UPR - gross</v>
          </cell>
          <cell r="Y42545" t="str">
            <v>THAILAND</v>
          </cell>
        </row>
        <row r="42546">
          <cell r="L42546" t="str">
            <v>Non-proportional</v>
          </cell>
          <cell r="S42546">
            <v>-12625.09</v>
          </cell>
          <cell r="X42546" t="str">
            <v>Variation UPR - gross</v>
          </cell>
          <cell r="Y42546" t="str">
            <v>BELGIUM</v>
          </cell>
        </row>
        <row r="42547">
          <cell r="L42547" t="str">
            <v>Non-proportional</v>
          </cell>
          <cell r="S42547">
            <v>-1846.85</v>
          </cell>
          <cell r="X42547" t="str">
            <v>Variation UPR - gross</v>
          </cell>
          <cell r="Y42547" t="str">
            <v>FRANCE</v>
          </cell>
        </row>
        <row r="42548">
          <cell r="L42548" t="str">
            <v>Non-proportional</v>
          </cell>
          <cell r="S42548">
            <v>-8500</v>
          </cell>
          <cell r="X42548" t="str">
            <v>Variation UPR - gross</v>
          </cell>
          <cell r="Y42548" t="str">
            <v>ITALY</v>
          </cell>
        </row>
        <row r="42549">
          <cell r="L42549" t="str">
            <v>Non-proportional</v>
          </cell>
          <cell r="S42549">
            <v>544</v>
          </cell>
          <cell r="X42549" t="str">
            <v>Variation UPR - gross</v>
          </cell>
          <cell r="Y42549" t="str">
            <v>JAPAN</v>
          </cell>
        </row>
        <row r="42550">
          <cell r="L42550" t="str">
            <v>Non-proportional</v>
          </cell>
          <cell r="S42550">
            <v>-5280.83</v>
          </cell>
          <cell r="X42550" t="str">
            <v>Variation UPR - gross</v>
          </cell>
          <cell r="Y42550" t="str">
            <v>ECUADOR</v>
          </cell>
        </row>
        <row r="42551">
          <cell r="L42551" t="str">
            <v>Non-proportional</v>
          </cell>
          <cell r="S42551">
            <v>-15196.1</v>
          </cell>
          <cell r="X42551" t="str">
            <v>Variation UPR - gross</v>
          </cell>
          <cell r="Y42551" t="str">
            <v>SOUTH KOREA</v>
          </cell>
        </row>
        <row r="42552">
          <cell r="L42552" t="str">
            <v>Non-proportional</v>
          </cell>
          <cell r="S42552">
            <v>-8238.26</v>
          </cell>
          <cell r="X42552" t="str">
            <v>Variation UPR - gross</v>
          </cell>
          <cell r="Y42552" t="str">
            <v>ITALY</v>
          </cell>
        </row>
        <row r="42553">
          <cell r="L42553" t="str">
            <v>Non-proportional</v>
          </cell>
          <cell r="S42553">
            <v>-772.88</v>
          </cell>
          <cell r="X42553" t="str">
            <v>Variation UPR - gross</v>
          </cell>
          <cell r="Y42553" t="str">
            <v>REPUBLIC OF IRELAND</v>
          </cell>
        </row>
        <row r="42554">
          <cell r="L42554" t="str">
            <v>Non-proportional</v>
          </cell>
          <cell r="S42554">
            <v>-7931.94</v>
          </cell>
          <cell r="X42554" t="str">
            <v>Variation UPR - gross</v>
          </cell>
          <cell r="Y42554" t="str">
            <v>INDIA</v>
          </cell>
        </row>
        <row r="42555">
          <cell r="L42555" t="str">
            <v>Non-proportional</v>
          </cell>
          <cell r="S42555">
            <v>-4541.7700000000004</v>
          </cell>
          <cell r="X42555" t="str">
            <v>Variation UPR - gross</v>
          </cell>
          <cell r="Y42555" t="str">
            <v>BELIZE</v>
          </cell>
        </row>
        <row r="42556">
          <cell r="L42556" t="str">
            <v>Non-proportional</v>
          </cell>
          <cell r="S42556">
            <v>-4250.1899999999996</v>
          </cell>
          <cell r="X42556" t="str">
            <v>Variation UPR - gross</v>
          </cell>
          <cell r="Y42556" t="str">
            <v>ITALY</v>
          </cell>
        </row>
        <row r="42557">
          <cell r="L42557" t="str">
            <v>Non-proportional</v>
          </cell>
          <cell r="S42557">
            <v>-16501.95</v>
          </cell>
          <cell r="X42557" t="str">
            <v>Variation UPR - gross</v>
          </cell>
          <cell r="Y42557" t="str">
            <v>MEXICO</v>
          </cell>
        </row>
        <row r="42558">
          <cell r="L42558" t="str">
            <v>Proportional</v>
          </cell>
          <cell r="S42558">
            <v>-1317.78</v>
          </cell>
          <cell r="X42558" t="str">
            <v>Variation UPR - gross</v>
          </cell>
          <cell r="Y42558" t="str">
            <v>INDIA</v>
          </cell>
        </row>
        <row r="42559">
          <cell r="L42559" t="str">
            <v>Non-proportional</v>
          </cell>
          <cell r="S42559">
            <v>-804.18</v>
          </cell>
          <cell r="X42559" t="str">
            <v>Variation UPR - gross</v>
          </cell>
          <cell r="Y42559" t="str">
            <v>CHILE</v>
          </cell>
        </row>
        <row r="42560">
          <cell r="L42560" t="str">
            <v>Non-proportional</v>
          </cell>
          <cell r="S42560">
            <v>-4096.76</v>
          </cell>
          <cell r="X42560" t="str">
            <v>Variation UPR - gross</v>
          </cell>
          <cell r="Y42560" t="str">
            <v>THAILAND</v>
          </cell>
        </row>
        <row r="42561">
          <cell r="L42561" t="str">
            <v>Non-proportional</v>
          </cell>
          <cell r="S42561">
            <v>40.06</v>
          </cell>
          <cell r="X42561" t="str">
            <v>Variation UPR - gross</v>
          </cell>
          <cell r="Y42561" t="str">
            <v>JAPAN</v>
          </cell>
        </row>
        <row r="42562">
          <cell r="L42562" t="str">
            <v>Non-proportional</v>
          </cell>
          <cell r="S42562">
            <v>-6907.69</v>
          </cell>
          <cell r="X42562" t="str">
            <v>Variation UPR - gross</v>
          </cell>
          <cell r="Y42562" t="str">
            <v>GREECE</v>
          </cell>
        </row>
        <row r="42563">
          <cell r="L42563" t="str">
            <v>Non-proportional</v>
          </cell>
          <cell r="S42563">
            <v>-1749.93</v>
          </cell>
          <cell r="X42563" t="str">
            <v>Variation UPR - gross</v>
          </cell>
          <cell r="Y42563" t="str">
            <v>EUROPE</v>
          </cell>
        </row>
        <row r="42564">
          <cell r="L42564" t="str">
            <v>Non-proportional</v>
          </cell>
          <cell r="S42564">
            <v>-5376.92</v>
          </cell>
          <cell r="X42564" t="str">
            <v>Variation UPR - gross</v>
          </cell>
          <cell r="Y42564" t="str">
            <v>ISRAEL</v>
          </cell>
        </row>
        <row r="42565">
          <cell r="L42565" t="str">
            <v>Non-proportional</v>
          </cell>
          <cell r="S42565">
            <v>-718</v>
          </cell>
          <cell r="X42565" t="str">
            <v>Variation UPR - gross</v>
          </cell>
          <cell r="Y42565" t="str">
            <v>ECUADOR</v>
          </cell>
        </row>
        <row r="42566">
          <cell r="L42566" t="str">
            <v>Non-proportional</v>
          </cell>
          <cell r="S42566">
            <v>-3264.27</v>
          </cell>
          <cell r="X42566" t="str">
            <v>Variation UPR - gross</v>
          </cell>
          <cell r="Y42566" t="str">
            <v>DOMINICAN REPUBLIC</v>
          </cell>
        </row>
        <row r="42567">
          <cell r="L42567" t="str">
            <v>Non-proportional</v>
          </cell>
          <cell r="S42567">
            <v>-2819.07</v>
          </cell>
          <cell r="X42567" t="str">
            <v>Variation UPR - gross</v>
          </cell>
          <cell r="Y42567" t="str">
            <v>ISRAEL</v>
          </cell>
        </row>
        <row r="42568">
          <cell r="L42568" t="str">
            <v>Proportional</v>
          </cell>
          <cell r="S42568">
            <v>-4222.38</v>
          </cell>
          <cell r="X42568" t="str">
            <v>Variation UPR - gross</v>
          </cell>
          <cell r="Y42568" t="str">
            <v>HONG KONG</v>
          </cell>
        </row>
        <row r="42569">
          <cell r="L42569" t="str">
            <v>Non-proportional</v>
          </cell>
          <cell r="S42569">
            <v>-4.6100000000000003</v>
          </cell>
          <cell r="X42569" t="str">
            <v>Variation UPR - gross</v>
          </cell>
          <cell r="Y42569" t="str">
            <v>COSTA RICA</v>
          </cell>
        </row>
        <row r="42570">
          <cell r="L42570" t="str">
            <v>Non-proportional</v>
          </cell>
          <cell r="S42570">
            <v>39.130000000000003</v>
          </cell>
          <cell r="X42570" t="str">
            <v>Variation UPR - gross</v>
          </cell>
          <cell r="Y42570" t="str">
            <v>AUSTRALIA</v>
          </cell>
        </row>
        <row r="42571">
          <cell r="L42571" t="str">
            <v>Non-proportional</v>
          </cell>
          <cell r="S42571">
            <v>-7503</v>
          </cell>
          <cell r="X42571" t="str">
            <v>Variation UPR - gross</v>
          </cell>
          <cell r="Y42571" t="str">
            <v>CYPRUS</v>
          </cell>
        </row>
        <row r="42572">
          <cell r="L42572" t="str">
            <v>Non-proportional</v>
          </cell>
          <cell r="S42572">
            <v>-3126.85</v>
          </cell>
          <cell r="X42572" t="str">
            <v>Variation UPR - gross</v>
          </cell>
          <cell r="Y42572" t="str">
            <v>FRANCE</v>
          </cell>
        </row>
        <row r="42573">
          <cell r="L42573" t="str">
            <v>Non-proportional</v>
          </cell>
          <cell r="S42573">
            <v>1.0900000000000001</v>
          </cell>
          <cell r="X42573" t="str">
            <v>Variation UPR - gross</v>
          </cell>
          <cell r="Y42573" t="str">
            <v>GUATEMALA</v>
          </cell>
        </row>
        <row r="42574">
          <cell r="L42574" t="str">
            <v>Non-proportional</v>
          </cell>
          <cell r="S42574">
            <v>-1080.77</v>
          </cell>
          <cell r="X42574" t="str">
            <v>Variation UPR - gross</v>
          </cell>
          <cell r="Y42574" t="str">
            <v>COSTA RICA</v>
          </cell>
        </row>
        <row r="42575">
          <cell r="L42575" t="str">
            <v>Non-proportional</v>
          </cell>
          <cell r="S42575">
            <v>-145.52000000000001</v>
          </cell>
          <cell r="X42575" t="str">
            <v>Variation UPR - gross</v>
          </cell>
          <cell r="Y42575" t="str">
            <v>ISRAEL</v>
          </cell>
        </row>
        <row r="42576">
          <cell r="L42576" t="str">
            <v>Non-proportional</v>
          </cell>
          <cell r="S42576">
            <v>-2805.25</v>
          </cell>
          <cell r="X42576" t="str">
            <v>Variation UPR - gross</v>
          </cell>
          <cell r="Y42576" t="str">
            <v>REPUBLIC OF IRELAND</v>
          </cell>
        </row>
        <row r="42577">
          <cell r="L42577" t="str">
            <v>Non-proportional</v>
          </cell>
          <cell r="S42577">
            <v>-4510.3900000000003</v>
          </cell>
          <cell r="X42577" t="str">
            <v>Variation UPR - gross</v>
          </cell>
          <cell r="Y42577" t="str">
            <v>CHILE</v>
          </cell>
        </row>
        <row r="42578">
          <cell r="L42578" t="str">
            <v>Proportional</v>
          </cell>
          <cell r="S42578">
            <v>-209.79</v>
          </cell>
          <cell r="X42578" t="str">
            <v>Variation UPR - gross</v>
          </cell>
          <cell r="Y42578" t="str">
            <v>CHILE</v>
          </cell>
        </row>
        <row r="42579">
          <cell r="L42579" t="str">
            <v>Non-proportional</v>
          </cell>
          <cell r="S42579">
            <v>-2496.1</v>
          </cell>
          <cell r="X42579" t="str">
            <v>Variation UPR - gross</v>
          </cell>
          <cell r="Y42579" t="str">
            <v>DOMINICAN REPUBLIC</v>
          </cell>
        </row>
        <row r="42580">
          <cell r="L42580" t="str">
            <v>Non-proportional</v>
          </cell>
          <cell r="S42580">
            <v>57.96</v>
          </cell>
          <cell r="X42580" t="str">
            <v>Variation UPR - gross</v>
          </cell>
          <cell r="Y42580" t="str">
            <v>AUSTRALIA</v>
          </cell>
        </row>
        <row r="42581">
          <cell r="L42581" t="str">
            <v>Non-proportional</v>
          </cell>
          <cell r="S42581">
            <v>-552.80999999999995</v>
          </cell>
          <cell r="X42581" t="str">
            <v>Variation UPR - gross</v>
          </cell>
          <cell r="Y42581" t="str">
            <v>BRAZIL</v>
          </cell>
        </row>
        <row r="42582">
          <cell r="L42582" t="str">
            <v>Non-proportional</v>
          </cell>
          <cell r="S42582">
            <v>-2893.75</v>
          </cell>
          <cell r="X42582" t="str">
            <v>Variation UPR - gross</v>
          </cell>
          <cell r="Y42582" t="str">
            <v>JAPAN</v>
          </cell>
        </row>
        <row r="42583">
          <cell r="L42583" t="str">
            <v>Proportional</v>
          </cell>
          <cell r="S42583">
            <v>2740.83</v>
          </cell>
          <cell r="X42583" t="str">
            <v>Variation UPR - gross</v>
          </cell>
          <cell r="Y42583" t="str">
            <v>UNITED STATES</v>
          </cell>
        </row>
        <row r="42584">
          <cell r="L42584" t="str">
            <v>Non-proportional</v>
          </cell>
          <cell r="S42584">
            <v>-1880.23</v>
          </cell>
          <cell r="X42584" t="str">
            <v>Variation UPR - gross</v>
          </cell>
          <cell r="Y42584" t="str">
            <v>ISRAEL</v>
          </cell>
        </row>
        <row r="42585">
          <cell r="L42585" t="str">
            <v>Non-proportional</v>
          </cell>
          <cell r="S42585">
            <v>-6658.89</v>
          </cell>
          <cell r="X42585" t="str">
            <v>Variation UPR - gross</v>
          </cell>
          <cell r="Y42585" t="str">
            <v>CYPRUS</v>
          </cell>
        </row>
        <row r="42586">
          <cell r="L42586" t="str">
            <v>Non-proportional</v>
          </cell>
          <cell r="S42586">
            <v>-10707.08</v>
          </cell>
          <cell r="X42586" t="str">
            <v>Variation UPR - gross</v>
          </cell>
          <cell r="Y42586" t="str">
            <v>FRANCE</v>
          </cell>
        </row>
        <row r="42587">
          <cell r="L42587" t="str">
            <v>Proportional</v>
          </cell>
          <cell r="S42587">
            <v>552.25</v>
          </cell>
          <cell r="X42587" t="str">
            <v>Variation UPR - gross</v>
          </cell>
          <cell r="Y42587" t="str">
            <v>INDIA</v>
          </cell>
        </row>
        <row r="42588">
          <cell r="L42588" t="str">
            <v>Non-proportional</v>
          </cell>
          <cell r="S42588">
            <v>-94.63</v>
          </cell>
          <cell r="X42588" t="str">
            <v>Variation UPR - gross</v>
          </cell>
          <cell r="Y42588" t="str">
            <v>BRAZIL</v>
          </cell>
        </row>
        <row r="42589">
          <cell r="L42589" t="str">
            <v>Proportional</v>
          </cell>
          <cell r="S42589">
            <v>-6062.08</v>
          </cell>
          <cell r="X42589" t="str">
            <v>Variation UPR - gross</v>
          </cell>
          <cell r="Y42589" t="str">
            <v>SWITZERLAND</v>
          </cell>
        </row>
        <row r="42590">
          <cell r="L42590" t="str">
            <v>Non-proportional</v>
          </cell>
          <cell r="S42590">
            <v>-45758.47</v>
          </cell>
          <cell r="X42590" t="str">
            <v>Variation UPR - gross</v>
          </cell>
          <cell r="Y42590" t="str">
            <v>TURKEY</v>
          </cell>
        </row>
        <row r="42591">
          <cell r="L42591" t="str">
            <v>Non-proportional</v>
          </cell>
          <cell r="S42591">
            <v>-5037.8599999999997</v>
          </cell>
          <cell r="X42591" t="str">
            <v>Variation UPR - gross</v>
          </cell>
          <cell r="Y42591" t="str">
            <v>UNITED KINGDOM</v>
          </cell>
        </row>
        <row r="42592">
          <cell r="L42592" t="str">
            <v>Non-proportional</v>
          </cell>
          <cell r="S42592">
            <v>-53404.66</v>
          </cell>
          <cell r="X42592" t="str">
            <v>Variation UPR - gross</v>
          </cell>
          <cell r="Y42592" t="str">
            <v>UNITED KINGDOM</v>
          </cell>
        </row>
        <row r="42593">
          <cell r="L42593" t="str">
            <v>Non-proportional</v>
          </cell>
          <cell r="S42593">
            <v>-2578.63</v>
          </cell>
          <cell r="X42593" t="str">
            <v>Variation UPR - gross</v>
          </cell>
          <cell r="Y42593" t="str">
            <v>BELIZE</v>
          </cell>
        </row>
        <row r="42594">
          <cell r="L42594" t="str">
            <v>Non-proportional</v>
          </cell>
          <cell r="S42594">
            <v>-4650.55</v>
          </cell>
          <cell r="X42594" t="str">
            <v>Variation UPR - gross</v>
          </cell>
          <cell r="Y42594" t="str">
            <v>PERU</v>
          </cell>
        </row>
        <row r="42595">
          <cell r="L42595" t="str">
            <v>Non-proportional</v>
          </cell>
          <cell r="S42595">
            <v>-1923.03</v>
          </cell>
          <cell r="X42595" t="str">
            <v>Variation UPR - gross</v>
          </cell>
          <cell r="Y42595" t="str">
            <v>CHILE</v>
          </cell>
        </row>
        <row r="42596">
          <cell r="L42596" t="str">
            <v>Non-proportional</v>
          </cell>
          <cell r="S42596">
            <v>-6398.46</v>
          </cell>
          <cell r="X42596" t="str">
            <v>Variation UPR - gross</v>
          </cell>
          <cell r="Y42596" t="str">
            <v>CHILE</v>
          </cell>
        </row>
        <row r="42597">
          <cell r="L42597" t="str">
            <v>Non-proportional</v>
          </cell>
          <cell r="S42597">
            <v>-3356.57</v>
          </cell>
          <cell r="X42597" t="str">
            <v>Variation UPR - gross</v>
          </cell>
          <cell r="Y42597" t="str">
            <v>CHILE</v>
          </cell>
        </row>
        <row r="42598">
          <cell r="L42598" t="str">
            <v>Non-proportional</v>
          </cell>
          <cell r="S42598">
            <v>-3727.97</v>
          </cell>
          <cell r="X42598" t="str">
            <v>Variation UPR - gross</v>
          </cell>
          <cell r="Y42598" t="str">
            <v>ECUADOR</v>
          </cell>
        </row>
        <row r="42599">
          <cell r="L42599" t="str">
            <v>Non-proportional</v>
          </cell>
          <cell r="S42599">
            <v>-3434.54</v>
          </cell>
          <cell r="X42599" t="str">
            <v>Variation UPR - gross</v>
          </cell>
          <cell r="Y42599" t="str">
            <v>JAPAN</v>
          </cell>
        </row>
        <row r="42600">
          <cell r="L42600" t="str">
            <v>Non-proportional</v>
          </cell>
          <cell r="S42600">
            <v>-15885.46</v>
          </cell>
          <cell r="X42600" t="str">
            <v>Variation UPR - gross</v>
          </cell>
          <cell r="Y42600" t="str">
            <v>EUROPE</v>
          </cell>
        </row>
        <row r="42601">
          <cell r="L42601" t="str">
            <v>Non-proportional</v>
          </cell>
          <cell r="S42601">
            <v>-104.89</v>
          </cell>
          <cell r="X42601" t="str">
            <v>Variation UPR - gross</v>
          </cell>
          <cell r="Y42601" t="str">
            <v>CHILE</v>
          </cell>
        </row>
        <row r="42602">
          <cell r="L42602" t="str">
            <v>Non-proportional</v>
          </cell>
          <cell r="S42602">
            <v>-9416.33</v>
          </cell>
          <cell r="X42602" t="str">
            <v>Variation UPR - gross</v>
          </cell>
          <cell r="Y42602" t="str">
            <v>COSTA RICA</v>
          </cell>
        </row>
        <row r="42603">
          <cell r="L42603" t="str">
            <v>Non-proportional</v>
          </cell>
          <cell r="S42603">
            <v>-2610</v>
          </cell>
          <cell r="X42603" t="str">
            <v>Variation UPR - gross</v>
          </cell>
          <cell r="Y42603" t="str">
            <v>GREECE</v>
          </cell>
        </row>
        <row r="42604">
          <cell r="L42604" t="str">
            <v>Non-proportional</v>
          </cell>
          <cell r="S42604">
            <v>-69.930000000000007</v>
          </cell>
          <cell r="X42604" t="str">
            <v>Variation UPR - gross</v>
          </cell>
          <cell r="Y42604" t="str">
            <v>CHILE</v>
          </cell>
        </row>
        <row r="42605">
          <cell r="L42605" t="str">
            <v>Non-proportional</v>
          </cell>
          <cell r="S42605">
            <v>-23603.45</v>
          </cell>
          <cell r="X42605" t="str">
            <v>Variation UPR - gross</v>
          </cell>
          <cell r="Y42605" t="str">
            <v>ISRAEL</v>
          </cell>
        </row>
        <row r="42606">
          <cell r="L42606" t="str">
            <v>Non-proportional</v>
          </cell>
          <cell r="S42606">
            <v>24.15</v>
          </cell>
          <cell r="X42606" t="str">
            <v>Variation UPR - gross</v>
          </cell>
          <cell r="Y42606" t="str">
            <v>JAPAN</v>
          </cell>
        </row>
        <row r="42607">
          <cell r="L42607" t="str">
            <v>Non-proportional</v>
          </cell>
          <cell r="S42607">
            <v>-1257.8</v>
          </cell>
          <cell r="X42607" t="str">
            <v>Variation UPR - gross</v>
          </cell>
          <cell r="Y42607" t="str">
            <v>ITALY</v>
          </cell>
        </row>
        <row r="42608">
          <cell r="L42608" t="str">
            <v>Non-proportional</v>
          </cell>
          <cell r="S42608">
            <v>-1458.33</v>
          </cell>
          <cell r="X42608" t="str">
            <v>Variation UPR - gross</v>
          </cell>
          <cell r="Y42608" t="str">
            <v>ITALY</v>
          </cell>
        </row>
        <row r="42609">
          <cell r="L42609" t="str">
            <v>Non-proportional</v>
          </cell>
          <cell r="S42609">
            <v>-135936.98000000001</v>
          </cell>
          <cell r="X42609" t="str">
            <v>Variation UPR - gross</v>
          </cell>
          <cell r="Y42609" t="str">
            <v>UNITED KINGDOM</v>
          </cell>
        </row>
        <row r="42610">
          <cell r="L42610" t="str">
            <v>Non-proportional</v>
          </cell>
          <cell r="S42610">
            <v>7.81</v>
          </cell>
          <cell r="X42610" t="str">
            <v>Variation UPR - gross</v>
          </cell>
          <cell r="Y42610" t="str">
            <v>DOMINICAN REPUBLIC</v>
          </cell>
        </row>
        <row r="42611">
          <cell r="L42611" t="str">
            <v>Non-proportional</v>
          </cell>
          <cell r="S42611">
            <v>212</v>
          </cell>
          <cell r="X42611" t="str">
            <v>Variation UPR - gross</v>
          </cell>
          <cell r="Y42611" t="str">
            <v>JAPAN</v>
          </cell>
        </row>
        <row r="42612">
          <cell r="L42612" t="str">
            <v>Non-proportional</v>
          </cell>
          <cell r="S42612">
            <v>-3202.38</v>
          </cell>
          <cell r="X42612" t="str">
            <v>Variation UPR - gross</v>
          </cell>
          <cell r="Y42612" t="str">
            <v>AUSTRALIA</v>
          </cell>
        </row>
        <row r="42613">
          <cell r="L42613" t="str">
            <v>Proportional</v>
          </cell>
          <cell r="S42613">
            <v>-92607.65</v>
          </cell>
          <cell r="X42613" t="str">
            <v>Variation UPR - gross</v>
          </cell>
          <cell r="Y42613" t="str">
            <v>HONG KONG</v>
          </cell>
        </row>
        <row r="42614">
          <cell r="L42614" t="str">
            <v>Non-proportional</v>
          </cell>
          <cell r="S42614">
            <v>210.14</v>
          </cell>
          <cell r="X42614" t="str">
            <v>Variation UPR - gross</v>
          </cell>
          <cell r="Y42614" t="str">
            <v>NEW ZEALAND</v>
          </cell>
        </row>
        <row r="42615">
          <cell r="L42615" t="str">
            <v>Non-proportional</v>
          </cell>
          <cell r="S42615">
            <v>-11151.5</v>
          </cell>
          <cell r="X42615" t="str">
            <v>Variation UPR - gross</v>
          </cell>
          <cell r="Y42615" t="str">
            <v>MEXICO</v>
          </cell>
        </row>
        <row r="42616">
          <cell r="L42616" t="str">
            <v>Non-proportional</v>
          </cell>
          <cell r="S42616">
            <v>-1299.8</v>
          </cell>
          <cell r="X42616" t="str">
            <v>Variation UPR - gross</v>
          </cell>
          <cell r="Y42616" t="str">
            <v>ECUADOR</v>
          </cell>
        </row>
        <row r="42617">
          <cell r="L42617" t="str">
            <v>Non-proportional</v>
          </cell>
          <cell r="S42617">
            <v>-4587.8100000000004</v>
          </cell>
          <cell r="X42617" t="str">
            <v>Variation UPR - gross</v>
          </cell>
          <cell r="Y42617" t="str">
            <v>NEW ZEALAND</v>
          </cell>
        </row>
        <row r="42618">
          <cell r="L42618" t="str">
            <v>Non-proportional</v>
          </cell>
          <cell r="S42618">
            <v>-416.47</v>
          </cell>
          <cell r="X42618" t="str">
            <v>Variation UPR - gross</v>
          </cell>
          <cell r="Y42618" t="str">
            <v>COLOMBIA</v>
          </cell>
        </row>
        <row r="42619">
          <cell r="L42619" t="str">
            <v>Non-proportional</v>
          </cell>
          <cell r="S42619">
            <v>-17541.240000000002</v>
          </cell>
          <cell r="X42619" t="str">
            <v>Variation UPR - gross</v>
          </cell>
          <cell r="Y42619" t="str">
            <v>UNITED KINGDOM</v>
          </cell>
        </row>
        <row r="42620">
          <cell r="L42620" t="str">
            <v>Non-proportional</v>
          </cell>
          <cell r="S42620">
            <v>-40000</v>
          </cell>
          <cell r="X42620" t="str">
            <v>Variation UPR - gross</v>
          </cell>
          <cell r="Y42620" t="str">
            <v>ITALY</v>
          </cell>
        </row>
        <row r="42621">
          <cell r="L42621" t="str">
            <v>Non-proportional</v>
          </cell>
          <cell r="S42621">
            <v>-9500.14</v>
          </cell>
          <cell r="X42621" t="str">
            <v>Variation UPR - gross</v>
          </cell>
          <cell r="Y42621" t="str">
            <v>TURKEY</v>
          </cell>
        </row>
        <row r="42622">
          <cell r="L42622" t="str">
            <v>Non-proportional</v>
          </cell>
          <cell r="S42622">
            <v>-9386.91</v>
          </cell>
          <cell r="X42622" t="str">
            <v>Variation UPR - gross</v>
          </cell>
          <cell r="Y42622" t="str">
            <v>ISRAEL</v>
          </cell>
        </row>
        <row r="42623">
          <cell r="L42623" t="str">
            <v>Non-proportional</v>
          </cell>
          <cell r="S42623">
            <v>-15824.33</v>
          </cell>
          <cell r="X42623" t="str">
            <v>Variation UPR - gross</v>
          </cell>
          <cell r="Y42623" t="str">
            <v>DOMINICAN REPUBLIC</v>
          </cell>
        </row>
        <row r="42624">
          <cell r="L42624" t="str">
            <v>Non-proportional</v>
          </cell>
          <cell r="S42624">
            <v>-597.74</v>
          </cell>
          <cell r="X42624" t="str">
            <v>Variation UPR - gross</v>
          </cell>
          <cell r="Y42624" t="str">
            <v>INDIA</v>
          </cell>
        </row>
        <row r="42625">
          <cell r="L42625" t="str">
            <v>Non-proportional</v>
          </cell>
          <cell r="S42625">
            <v>-1229.01</v>
          </cell>
          <cell r="X42625" t="str">
            <v>Variation UPR - gross</v>
          </cell>
          <cell r="Y42625" t="str">
            <v>PERU</v>
          </cell>
        </row>
        <row r="42626">
          <cell r="L42626" t="str">
            <v>Proportional</v>
          </cell>
          <cell r="S42626">
            <v>-25175.63</v>
          </cell>
          <cell r="X42626" t="str">
            <v>Variation UPR - gross</v>
          </cell>
          <cell r="Y42626" t="str">
            <v>JAPAN</v>
          </cell>
        </row>
        <row r="42627">
          <cell r="L42627" t="str">
            <v>Non-proportional</v>
          </cell>
          <cell r="S42627">
            <v>-2528.5300000000002</v>
          </cell>
          <cell r="X42627" t="str">
            <v>Variation UPR - gross</v>
          </cell>
          <cell r="Y42627" t="str">
            <v>MEXICO</v>
          </cell>
        </row>
        <row r="42628">
          <cell r="L42628" t="str">
            <v>Non-proportional</v>
          </cell>
          <cell r="S42628">
            <v>-22356.78</v>
          </cell>
          <cell r="X42628" t="str">
            <v>Variation UPR - gross</v>
          </cell>
          <cell r="Y42628" t="str">
            <v>PUERTO RICO</v>
          </cell>
        </row>
        <row r="42629">
          <cell r="L42629" t="str">
            <v>Non-proportional</v>
          </cell>
          <cell r="S42629">
            <v>91.66</v>
          </cell>
          <cell r="X42629" t="str">
            <v>Variation UPR - gross</v>
          </cell>
          <cell r="Y42629" t="str">
            <v>JAPAN</v>
          </cell>
        </row>
        <row r="42630">
          <cell r="L42630" t="str">
            <v>Proportional</v>
          </cell>
          <cell r="S42630">
            <v>-1.8</v>
          </cell>
          <cell r="X42630" t="str">
            <v>Variation UPR - gross</v>
          </cell>
          <cell r="Y42630" t="str">
            <v>UNITED STATES</v>
          </cell>
        </row>
        <row r="42631">
          <cell r="L42631" t="str">
            <v>Non-proportional</v>
          </cell>
          <cell r="S42631">
            <v>-880.96</v>
          </cell>
          <cell r="X42631" t="str">
            <v>Variation UPR - gross</v>
          </cell>
          <cell r="Y42631" t="str">
            <v>PUERTO RICO</v>
          </cell>
        </row>
        <row r="42632">
          <cell r="L42632" t="str">
            <v>Non-proportional</v>
          </cell>
          <cell r="S42632">
            <v>-1585.97</v>
          </cell>
          <cell r="X42632" t="str">
            <v>Variation UPR - gross</v>
          </cell>
          <cell r="Y42632" t="str">
            <v>JAPAN</v>
          </cell>
        </row>
        <row r="42633">
          <cell r="L42633" t="str">
            <v>Proportional</v>
          </cell>
          <cell r="S42633">
            <v>-807254.89</v>
          </cell>
          <cell r="X42633" t="str">
            <v>Variation UPR - gross</v>
          </cell>
          <cell r="Y42633" t="str">
            <v>HONG KONG</v>
          </cell>
        </row>
        <row r="42634">
          <cell r="L42634" t="str">
            <v>Non-proportional</v>
          </cell>
          <cell r="S42634">
            <v>-9348.14</v>
          </cell>
          <cell r="X42634" t="str">
            <v>Variation UPR - gross</v>
          </cell>
          <cell r="Y42634" t="str">
            <v>NETHERLANDS</v>
          </cell>
        </row>
        <row r="42635">
          <cell r="L42635" t="str">
            <v>Proportional</v>
          </cell>
          <cell r="S42635">
            <v>8</v>
          </cell>
          <cell r="X42635" t="str">
            <v>Variation UPR - gross</v>
          </cell>
          <cell r="Y42635" t="str">
            <v>Ireland</v>
          </cell>
        </row>
        <row r="42636">
          <cell r="L42636" t="str">
            <v>Proportional</v>
          </cell>
          <cell r="S42636">
            <v>-261184.01</v>
          </cell>
          <cell r="X42636" t="str">
            <v>Variation UPR - gross</v>
          </cell>
          <cell r="Y42636" t="str">
            <v>SWITZERLAND</v>
          </cell>
        </row>
        <row r="42637">
          <cell r="L42637" t="str">
            <v>Non-proportional</v>
          </cell>
          <cell r="S42637">
            <v>-1864.37</v>
          </cell>
          <cell r="X42637" t="str">
            <v>Variation UPR - gross</v>
          </cell>
          <cell r="Y42637" t="str">
            <v>SOUTH AFRICA</v>
          </cell>
        </row>
        <row r="42638">
          <cell r="L42638" t="str">
            <v>Non-proportional</v>
          </cell>
          <cell r="S42638">
            <v>-182021.67</v>
          </cell>
          <cell r="X42638" t="str">
            <v>Variation UPR - gross</v>
          </cell>
          <cell r="Y42638" t="str">
            <v>PORTUGAL</v>
          </cell>
        </row>
        <row r="42639">
          <cell r="L42639" t="str">
            <v>Non-proportional</v>
          </cell>
          <cell r="S42639">
            <v>-7390.2</v>
          </cell>
          <cell r="X42639" t="str">
            <v>Variation UPR - gross</v>
          </cell>
          <cell r="Y42639" t="str">
            <v>AUSTRALIA</v>
          </cell>
        </row>
        <row r="42640">
          <cell r="L42640" t="str">
            <v>Non-proportional</v>
          </cell>
          <cell r="S42640">
            <v>-1591.99</v>
          </cell>
          <cell r="X42640" t="str">
            <v>Variation UPR - gross</v>
          </cell>
          <cell r="Y42640" t="str">
            <v>DOMINICAN REPUBLIC</v>
          </cell>
        </row>
        <row r="42641">
          <cell r="L42641" t="str">
            <v>Non-proportional</v>
          </cell>
          <cell r="S42641">
            <v>0.02</v>
          </cell>
          <cell r="X42641" t="str">
            <v>Variation UPR - gross</v>
          </cell>
          <cell r="Y42641" t="str">
            <v>BELIZE</v>
          </cell>
        </row>
        <row r="42642">
          <cell r="L42642" t="str">
            <v>Proportional</v>
          </cell>
          <cell r="S42642">
            <v>95654.17</v>
          </cell>
          <cell r="X42642" t="str">
            <v>Variation UPR - gross</v>
          </cell>
          <cell r="Y42642" t="str">
            <v>THAILAND</v>
          </cell>
        </row>
        <row r="42643">
          <cell r="L42643" t="str">
            <v>Non-proportional</v>
          </cell>
          <cell r="S42643">
            <v>-2815.84</v>
          </cell>
          <cell r="X42643" t="str">
            <v>Variation UPR - gross</v>
          </cell>
          <cell r="Y42643" t="str">
            <v>AUSTRALIA</v>
          </cell>
        </row>
        <row r="42644">
          <cell r="L42644" t="str">
            <v>Non-proportional</v>
          </cell>
          <cell r="S42644">
            <v>-4209.04</v>
          </cell>
          <cell r="X42644" t="str">
            <v>Variation UPR - gross</v>
          </cell>
          <cell r="Y42644" t="str">
            <v>THAILAND</v>
          </cell>
        </row>
        <row r="42645">
          <cell r="L42645" t="str">
            <v>Non-proportional</v>
          </cell>
          <cell r="S42645">
            <v>-6116.99</v>
          </cell>
          <cell r="X42645" t="str">
            <v>Variation UPR - gross</v>
          </cell>
          <cell r="Y42645" t="str">
            <v>PERU</v>
          </cell>
        </row>
        <row r="42646">
          <cell r="L42646" t="str">
            <v>Non-proportional</v>
          </cell>
          <cell r="S42646">
            <v>-34214.03</v>
          </cell>
          <cell r="X42646" t="str">
            <v>Variation UPR - gross</v>
          </cell>
          <cell r="Y42646" t="str">
            <v>UNITED KINGDOM</v>
          </cell>
        </row>
        <row r="42647">
          <cell r="L42647" t="str">
            <v>Non-proportional</v>
          </cell>
          <cell r="S42647">
            <v>-2883.42</v>
          </cell>
          <cell r="X42647" t="str">
            <v>Variation UPR - gross</v>
          </cell>
          <cell r="Y42647" t="str">
            <v>JAPAN</v>
          </cell>
        </row>
        <row r="42648">
          <cell r="L42648" t="str">
            <v>Non-proportional</v>
          </cell>
          <cell r="S42648">
            <v>-6337.77</v>
          </cell>
          <cell r="X42648" t="str">
            <v>Variation UPR - gross</v>
          </cell>
          <cell r="Y42648" t="str">
            <v>NEW ZEALAND</v>
          </cell>
        </row>
        <row r="42649">
          <cell r="L42649" t="str">
            <v>Non-proportional</v>
          </cell>
          <cell r="S42649">
            <v>-42571.03</v>
          </cell>
          <cell r="X42649" t="str">
            <v>Variation UPR - gross</v>
          </cell>
          <cell r="Y42649" t="str">
            <v>UNITED KINGDOM</v>
          </cell>
        </row>
        <row r="42650">
          <cell r="L42650" t="str">
            <v>Non-proportional</v>
          </cell>
          <cell r="S42650">
            <v>-3147.43</v>
          </cell>
          <cell r="X42650" t="str">
            <v>Variation UPR - gross</v>
          </cell>
          <cell r="Y42650" t="str">
            <v>ISRAEL</v>
          </cell>
        </row>
        <row r="42651">
          <cell r="L42651" t="str">
            <v>Non-proportional</v>
          </cell>
          <cell r="S42651">
            <v>-1562.37</v>
          </cell>
          <cell r="X42651" t="str">
            <v>Variation UPR - gross</v>
          </cell>
          <cell r="Y42651" t="str">
            <v>FRANCE</v>
          </cell>
        </row>
        <row r="42652">
          <cell r="L42652" t="str">
            <v>Non-proportional</v>
          </cell>
          <cell r="S42652">
            <v>-2167.7800000000002</v>
          </cell>
          <cell r="X42652" t="str">
            <v>Variation UPR - gross</v>
          </cell>
          <cell r="Y42652" t="str">
            <v>CHILE</v>
          </cell>
        </row>
        <row r="42653">
          <cell r="L42653" t="str">
            <v>Non-proportional</v>
          </cell>
          <cell r="S42653">
            <v>-12664.64</v>
          </cell>
          <cell r="X42653" t="str">
            <v>Variation UPR - gross</v>
          </cell>
          <cell r="Y42653" t="str">
            <v>FRANCE</v>
          </cell>
        </row>
        <row r="42654">
          <cell r="L42654" t="str">
            <v>Non-proportional</v>
          </cell>
          <cell r="S42654">
            <v>29.97</v>
          </cell>
          <cell r="X42654" t="str">
            <v>Variation UPR - gross</v>
          </cell>
          <cell r="Y42654" t="str">
            <v>JAPAN</v>
          </cell>
        </row>
        <row r="42655">
          <cell r="L42655" t="str">
            <v>Non-proportional</v>
          </cell>
          <cell r="S42655">
            <v>-390</v>
          </cell>
          <cell r="X42655" t="str">
            <v>Variation UPR - gross</v>
          </cell>
          <cell r="Y42655" t="str">
            <v>ITALY</v>
          </cell>
        </row>
        <row r="42656">
          <cell r="L42656" t="str">
            <v>Non-proportional</v>
          </cell>
          <cell r="S42656">
            <v>-16247.71</v>
          </cell>
          <cell r="X42656" t="str">
            <v>Variation UPR - gross</v>
          </cell>
          <cell r="Y42656" t="str">
            <v>HONG KONG</v>
          </cell>
        </row>
        <row r="42657">
          <cell r="L42657" t="str">
            <v>Non-proportional</v>
          </cell>
          <cell r="S42657">
            <v>-4541.93</v>
          </cell>
          <cell r="X42657" t="str">
            <v>Variation UPR - gross</v>
          </cell>
          <cell r="Y42657" t="str">
            <v>TURKEY</v>
          </cell>
        </row>
        <row r="42658">
          <cell r="L42658" t="str">
            <v>Non-proportional</v>
          </cell>
          <cell r="S42658">
            <v>268.67</v>
          </cell>
          <cell r="X42658" t="str">
            <v>Variation UPR - gross</v>
          </cell>
          <cell r="Y42658" t="str">
            <v>INDIA</v>
          </cell>
        </row>
        <row r="42659">
          <cell r="L42659" t="str">
            <v>Proportional</v>
          </cell>
          <cell r="S42659">
            <v>6229.95</v>
          </cell>
          <cell r="X42659" t="str">
            <v>Variation UPR - gross</v>
          </cell>
          <cell r="Y42659" t="str">
            <v>CHILE</v>
          </cell>
        </row>
        <row r="42660">
          <cell r="L42660" t="str">
            <v>Non-proportional</v>
          </cell>
          <cell r="S42660">
            <v>-53.45</v>
          </cell>
          <cell r="X42660" t="str">
            <v>Variation UPR - gross</v>
          </cell>
          <cell r="Y42660" t="str">
            <v>ISRAEL</v>
          </cell>
        </row>
        <row r="42661">
          <cell r="L42661" t="str">
            <v>Non-proportional</v>
          </cell>
          <cell r="S42661">
            <v>-5420.31</v>
          </cell>
          <cell r="X42661" t="str">
            <v>Variation UPR - gross</v>
          </cell>
          <cell r="Y42661" t="str">
            <v>UNITED KINGDOM</v>
          </cell>
        </row>
        <row r="42662">
          <cell r="L42662" t="str">
            <v>Non-proportional</v>
          </cell>
          <cell r="S42662">
            <v>-5118.93</v>
          </cell>
          <cell r="X42662" t="str">
            <v>Variation UPR - gross</v>
          </cell>
          <cell r="Y42662" t="str">
            <v>ISRAEL</v>
          </cell>
        </row>
        <row r="42663">
          <cell r="L42663" t="str">
            <v>Proportional</v>
          </cell>
          <cell r="S42663">
            <v>-1703.74</v>
          </cell>
          <cell r="X42663" t="str">
            <v>Variation UPR - gross</v>
          </cell>
          <cell r="Y42663" t="str">
            <v>UNITED STATES</v>
          </cell>
        </row>
        <row r="42664">
          <cell r="L42664" t="str">
            <v>Non-proportional</v>
          </cell>
          <cell r="S42664">
            <v>0.01</v>
          </cell>
          <cell r="X42664" t="str">
            <v>Variation UPR - gross</v>
          </cell>
          <cell r="Y42664" t="str">
            <v>DOMINICAN REPUBLIC</v>
          </cell>
        </row>
        <row r="42665">
          <cell r="L42665" t="str">
            <v>Non-proportional</v>
          </cell>
          <cell r="S42665">
            <v>-69.930000000000007</v>
          </cell>
          <cell r="X42665" t="str">
            <v>Variation UPR - gross</v>
          </cell>
          <cell r="Y42665" t="str">
            <v>CHILE</v>
          </cell>
        </row>
        <row r="42666">
          <cell r="L42666" t="str">
            <v>Non-proportional</v>
          </cell>
          <cell r="S42666">
            <v>-5278.87</v>
          </cell>
          <cell r="X42666" t="str">
            <v>Variation UPR - gross</v>
          </cell>
          <cell r="Y42666" t="str">
            <v>AUSTRALIA</v>
          </cell>
        </row>
        <row r="42667">
          <cell r="L42667" t="str">
            <v>Proportional</v>
          </cell>
          <cell r="S42667">
            <v>-3088.56</v>
          </cell>
          <cell r="X42667" t="str">
            <v>Variation UPR - gross</v>
          </cell>
          <cell r="Y42667" t="str">
            <v>PERU</v>
          </cell>
        </row>
        <row r="42668">
          <cell r="L42668" t="str">
            <v>Non-proportional</v>
          </cell>
          <cell r="S42668">
            <v>-9102.7199999999993</v>
          </cell>
          <cell r="X42668" t="str">
            <v>Variation UPR - gross</v>
          </cell>
          <cell r="Y42668" t="str">
            <v>PUERTO RICO</v>
          </cell>
        </row>
        <row r="42669">
          <cell r="L42669" t="str">
            <v>Non-proportional</v>
          </cell>
          <cell r="S42669">
            <v>-24999.81</v>
          </cell>
          <cell r="X42669" t="str">
            <v>Variation UPR - gross</v>
          </cell>
          <cell r="Y42669" t="str">
            <v>FRANCE</v>
          </cell>
        </row>
        <row r="42670">
          <cell r="L42670" t="str">
            <v>Non-proportional</v>
          </cell>
          <cell r="S42670">
            <v>-9043.94</v>
          </cell>
          <cell r="X42670" t="str">
            <v>Variation UPR - gross</v>
          </cell>
          <cell r="Y42670" t="str">
            <v>FRANCE</v>
          </cell>
        </row>
        <row r="42671">
          <cell r="L42671" t="str">
            <v>Non-proportional</v>
          </cell>
          <cell r="S42671">
            <v>-87138.33</v>
          </cell>
          <cell r="X42671" t="str">
            <v>Variation UPR - gross</v>
          </cell>
          <cell r="Y42671" t="str">
            <v>EUROPE</v>
          </cell>
        </row>
        <row r="42672">
          <cell r="L42672" t="str">
            <v>Proportional</v>
          </cell>
          <cell r="S42672">
            <v>8923.11</v>
          </cell>
          <cell r="X42672" t="str">
            <v>Variation UPR - gross</v>
          </cell>
          <cell r="Y42672" t="str">
            <v>THAILAND</v>
          </cell>
        </row>
        <row r="42673">
          <cell r="L42673" t="str">
            <v>Non-proportional</v>
          </cell>
          <cell r="S42673">
            <v>53.4</v>
          </cell>
          <cell r="X42673" t="str">
            <v>Variation UPR - gross</v>
          </cell>
          <cell r="Y42673" t="str">
            <v>JAPAN</v>
          </cell>
        </row>
        <row r="42674">
          <cell r="L42674" t="str">
            <v>Non-proportional</v>
          </cell>
          <cell r="S42674">
            <v>-8782.02</v>
          </cell>
          <cell r="X42674" t="str">
            <v>Variation UPR - gross</v>
          </cell>
          <cell r="Y42674" t="str">
            <v>TURKEY</v>
          </cell>
        </row>
        <row r="42675">
          <cell r="L42675" t="str">
            <v>Non-proportional</v>
          </cell>
          <cell r="S42675">
            <v>210.14</v>
          </cell>
          <cell r="X42675" t="str">
            <v>Variation UPR - gross</v>
          </cell>
          <cell r="Y42675" t="str">
            <v>NEW ZEALAND</v>
          </cell>
        </row>
        <row r="42676">
          <cell r="L42676" t="str">
            <v>Non-proportional</v>
          </cell>
          <cell r="S42676">
            <v>-2029.91</v>
          </cell>
          <cell r="X42676" t="str">
            <v>Variation UPR - gross</v>
          </cell>
          <cell r="Y42676" t="str">
            <v>CYPRUS</v>
          </cell>
        </row>
        <row r="42677">
          <cell r="L42677" t="str">
            <v>Non-proportional</v>
          </cell>
          <cell r="S42677">
            <v>-2254.12</v>
          </cell>
          <cell r="X42677" t="str">
            <v>Variation UPR - gross</v>
          </cell>
          <cell r="Y42677" t="str">
            <v>UNITED KINGDOM</v>
          </cell>
        </row>
        <row r="42678">
          <cell r="L42678" t="str">
            <v>Non-proportional</v>
          </cell>
          <cell r="S42678">
            <v>-82.77</v>
          </cell>
          <cell r="X42678" t="str">
            <v>Variation UPR - gross</v>
          </cell>
          <cell r="Y42678" t="str">
            <v>COLOMBIA</v>
          </cell>
        </row>
        <row r="42679">
          <cell r="L42679" t="str">
            <v>Proportional</v>
          </cell>
          <cell r="S42679">
            <v>-2343.31</v>
          </cell>
          <cell r="X42679" t="str">
            <v>Variation UPR - gross</v>
          </cell>
          <cell r="Y42679" t="str">
            <v>UNITED STATES</v>
          </cell>
        </row>
        <row r="42680">
          <cell r="L42680" t="str">
            <v>Non-proportional</v>
          </cell>
          <cell r="S42680">
            <v>-7002.08</v>
          </cell>
          <cell r="X42680" t="str">
            <v>Variation UPR - gross</v>
          </cell>
          <cell r="Y42680" t="str">
            <v>COLOMBIA</v>
          </cell>
        </row>
        <row r="42681">
          <cell r="L42681" t="str">
            <v>Non-proportional</v>
          </cell>
          <cell r="S42681">
            <v>-24750</v>
          </cell>
          <cell r="X42681" t="str">
            <v>Variation UPR - gross</v>
          </cell>
          <cell r="Y42681" t="str">
            <v>GREECE</v>
          </cell>
        </row>
        <row r="42682">
          <cell r="L42682" t="str">
            <v>Non-proportional</v>
          </cell>
          <cell r="S42682">
            <v>-5613.1</v>
          </cell>
          <cell r="X42682" t="str">
            <v>Variation UPR - gross</v>
          </cell>
          <cell r="Y42682" t="str">
            <v>THAILAND</v>
          </cell>
        </row>
        <row r="42683">
          <cell r="L42683" t="str">
            <v>Proportional</v>
          </cell>
          <cell r="S42683">
            <v>-2674</v>
          </cell>
          <cell r="X42683" t="str">
            <v>Variation UPR - gross</v>
          </cell>
          <cell r="Y42683" t="str">
            <v>SAUDI ARABIA</v>
          </cell>
        </row>
        <row r="42684">
          <cell r="L42684" t="str">
            <v>Non-proportional</v>
          </cell>
          <cell r="S42684">
            <v>-1330.33</v>
          </cell>
          <cell r="X42684" t="str">
            <v>Variation UPR - gross</v>
          </cell>
          <cell r="Y42684" t="str">
            <v>FRANCE</v>
          </cell>
        </row>
        <row r="42685">
          <cell r="L42685" t="str">
            <v>Non-proportional</v>
          </cell>
          <cell r="S42685">
            <v>-2909.9</v>
          </cell>
          <cell r="X42685" t="str">
            <v>Variation UPR - gross</v>
          </cell>
          <cell r="Y42685" t="str">
            <v>THAILAND</v>
          </cell>
        </row>
        <row r="42686">
          <cell r="L42686" t="str">
            <v>Proportional</v>
          </cell>
          <cell r="S42686">
            <v>-14245.85</v>
          </cell>
          <cell r="X42686" t="str">
            <v>Variation UPR - gross</v>
          </cell>
          <cell r="Y42686" t="str">
            <v>THAILAND</v>
          </cell>
        </row>
        <row r="42687">
          <cell r="L42687" t="str">
            <v>Non-proportional</v>
          </cell>
          <cell r="S42687">
            <v>-5700.19</v>
          </cell>
          <cell r="X42687" t="str">
            <v>Variation UPR - gross</v>
          </cell>
          <cell r="Y42687" t="str">
            <v>ITALY</v>
          </cell>
        </row>
        <row r="42688">
          <cell r="L42688" t="str">
            <v>Non-proportional</v>
          </cell>
          <cell r="S42688">
            <v>115.17</v>
          </cell>
          <cell r="X42688" t="str">
            <v>Variation UPR - gross</v>
          </cell>
          <cell r="Y42688" t="str">
            <v>INDIA</v>
          </cell>
        </row>
        <row r="42689">
          <cell r="L42689" t="str">
            <v>Proportional</v>
          </cell>
          <cell r="S42689">
            <v>-372.44</v>
          </cell>
          <cell r="X42689" t="str">
            <v>Variation UPR - gross</v>
          </cell>
          <cell r="Y42689" t="str">
            <v>FRANCE</v>
          </cell>
        </row>
        <row r="42690">
          <cell r="L42690" t="str">
            <v>Non-proportional</v>
          </cell>
          <cell r="S42690">
            <v>-1288.5899999999999</v>
          </cell>
          <cell r="X42690" t="str">
            <v>Variation UPR - gross</v>
          </cell>
          <cell r="Y42690" t="str">
            <v>JAPAN</v>
          </cell>
        </row>
        <row r="42691">
          <cell r="L42691" t="str">
            <v>Non-proportional</v>
          </cell>
          <cell r="S42691">
            <v>0.01</v>
          </cell>
          <cell r="X42691" t="str">
            <v>Variation UPR - gross</v>
          </cell>
          <cell r="Y42691" t="str">
            <v>DOMINICAN REPUBLIC</v>
          </cell>
        </row>
        <row r="42692">
          <cell r="L42692" t="str">
            <v>Non-proportional</v>
          </cell>
          <cell r="S42692">
            <v>-7437.5</v>
          </cell>
          <cell r="X42692" t="str">
            <v>Variation UPR - gross</v>
          </cell>
          <cell r="Y42692" t="str">
            <v>ITALY</v>
          </cell>
        </row>
        <row r="42693">
          <cell r="L42693" t="str">
            <v>Non-proportional</v>
          </cell>
          <cell r="S42693">
            <v>-138300.32999999999</v>
          </cell>
          <cell r="X42693" t="str">
            <v>Variation UPR - gross</v>
          </cell>
          <cell r="Y42693" t="str">
            <v>PORTUGAL</v>
          </cell>
        </row>
        <row r="42694">
          <cell r="L42694" t="str">
            <v>Non-proportional</v>
          </cell>
          <cell r="S42694">
            <v>-5151.8999999999996</v>
          </cell>
          <cell r="X42694" t="str">
            <v>Variation UPR - gross</v>
          </cell>
          <cell r="Y42694" t="str">
            <v>ITALY</v>
          </cell>
        </row>
        <row r="42695">
          <cell r="L42695" t="str">
            <v>Non-proportional</v>
          </cell>
          <cell r="S42695">
            <v>57.09</v>
          </cell>
          <cell r="X42695" t="str">
            <v>Variation UPR - gross</v>
          </cell>
          <cell r="Y42695" t="str">
            <v>JAPAN</v>
          </cell>
        </row>
        <row r="42696">
          <cell r="L42696" t="str">
            <v>Non-proportional</v>
          </cell>
          <cell r="S42696">
            <v>145.91999999999999</v>
          </cell>
          <cell r="X42696" t="str">
            <v>Variation UPR - gross</v>
          </cell>
          <cell r="Y42696" t="str">
            <v>NEW ZEALAND</v>
          </cell>
        </row>
        <row r="42697">
          <cell r="L42697" t="str">
            <v>Non-proportional</v>
          </cell>
          <cell r="S42697">
            <v>0.04</v>
          </cell>
          <cell r="X42697" t="str">
            <v>Variation UPR - gross</v>
          </cell>
          <cell r="Y42697" t="str">
            <v>COLOMBIA</v>
          </cell>
        </row>
        <row r="42698">
          <cell r="L42698" t="str">
            <v>Proportional</v>
          </cell>
          <cell r="S42698">
            <v>-3668.64</v>
          </cell>
          <cell r="X42698" t="str">
            <v>Variation UPR - gross</v>
          </cell>
          <cell r="Y42698" t="str">
            <v>INDIA</v>
          </cell>
        </row>
        <row r="42699">
          <cell r="L42699" t="str">
            <v>Non-proportional</v>
          </cell>
          <cell r="S42699">
            <v>-992.86</v>
          </cell>
          <cell r="X42699" t="str">
            <v>Variation UPR - gross</v>
          </cell>
          <cell r="Y42699" t="str">
            <v>UNITED KINGDOM</v>
          </cell>
        </row>
        <row r="42700">
          <cell r="L42700" t="str">
            <v>Non-proportional</v>
          </cell>
          <cell r="S42700">
            <v>29.97</v>
          </cell>
          <cell r="X42700" t="str">
            <v>Variation UPR - gross</v>
          </cell>
          <cell r="Y42700" t="str">
            <v>JAPAN</v>
          </cell>
        </row>
        <row r="42701">
          <cell r="L42701" t="str">
            <v>Non-proportional</v>
          </cell>
          <cell r="S42701">
            <v>-2354.46</v>
          </cell>
          <cell r="X42701" t="str">
            <v>Variation UPR - gross</v>
          </cell>
          <cell r="Y42701" t="str">
            <v>COLOMBIA</v>
          </cell>
        </row>
        <row r="42702">
          <cell r="L42702" t="str">
            <v>Non-proportional</v>
          </cell>
          <cell r="S42702">
            <v>-251.7</v>
          </cell>
          <cell r="X42702" t="str">
            <v>Variation UPR - gross</v>
          </cell>
          <cell r="Y42702" t="str">
            <v>COLOMBIA</v>
          </cell>
        </row>
        <row r="42703">
          <cell r="L42703" t="str">
            <v>Non-proportional</v>
          </cell>
          <cell r="S42703">
            <v>-13816.75</v>
          </cell>
          <cell r="X42703" t="str">
            <v>Variation UPR - gross</v>
          </cell>
          <cell r="Y42703" t="str">
            <v>TURKEY</v>
          </cell>
        </row>
        <row r="42704">
          <cell r="L42704" t="str">
            <v>Non-proportional</v>
          </cell>
          <cell r="S42704">
            <v>-5250.59</v>
          </cell>
          <cell r="X42704" t="str">
            <v>Variation UPR - gross</v>
          </cell>
          <cell r="Y42704" t="str">
            <v>PERU</v>
          </cell>
        </row>
        <row r="42705">
          <cell r="L42705" t="str">
            <v>Non-proportional</v>
          </cell>
          <cell r="S42705">
            <v>-1777.5</v>
          </cell>
          <cell r="X42705" t="str">
            <v>Variation UPR - gross</v>
          </cell>
          <cell r="Y42705" t="str">
            <v>GREECE</v>
          </cell>
        </row>
        <row r="42706">
          <cell r="L42706" t="str">
            <v>Non-proportional</v>
          </cell>
          <cell r="S42706">
            <v>-769.21</v>
          </cell>
          <cell r="X42706" t="str">
            <v>Variation UPR - gross</v>
          </cell>
          <cell r="Y42706" t="str">
            <v>CHILE</v>
          </cell>
        </row>
        <row r="42707">
          <cell r="L42707" t="str">
            <v>Non-proportional</v>
          </cell>
          <cell r="S42707">
            <v>-8020.48</v>
          </cell>
          <cell r="X42707" t="str">
            <v>Variation UPR - gross</v>
          </cell>
          <cell r="Y42707" t="str">
            <v>TURKEY</v>
          </cell>
        </row>
        <row r="42708">
          <cell r="L42708" t="str">
            <v>Non-proportional</v>
          </cell>
          <cell r="S42708">
            <v>-13623.26</v>
          </cell>
          <cell r="X42708" t="str">
            <v>Variation UPR - gross</v>
          </cell>
          <cell r="Y42708" t="str">
            <v>ECUADOR</v>
          </cell>
        </row>
        <row r="42709">
          <cell r="L42709" t="str">
            <v>Proportional</v>
          </cell>
          <cell r="S42709">
            <v>84.24</v>
          </cell>
          <cell r="X42709" t="str">
            <v>Variation UPR - gross</v>
          </cell>
          <cell r="Y42709" t="str">
            <v>UNITED STATES</v>
          </cell>
        </row>
        <row r="42710">
          <cell r="L42710" t="str">
            <v>Non-proportional</v>
          </cell>
          <cell r="S42710">
            <v>-16849.939999999999</v>
          </cell>
          <cell r="X42710" t="str">
            <v>Variation UPR - gross</v>
          </cell>
          <cell r="Y42710" t="str">
            <v>UNITED KINGDOM</v>
          </cell>
        </row>
        <row r="42711">
          <cell r="L42711" t="str">
            <v>Non-proportional</v>
          </cell>
          <cell r="S42711">
            <v>284.60000000000002</v>
          </cell>
          <cell r="X42711" t="str">
            <v>Variation UPR - gross</v>
          </cell>
          <cell r="Y42711" t="str">
            <v>JAPAN</v>
          </cell>
        </row>
        <row r="42712">
          <cell r="L42712" t="str">
            <v>Non-proportional</v>
          </cell>
          <cell r="S42712">
            <v>-6957.83</v>
          </cell>
          <cell r="X42712" t="str">
            <v>Variation UPR - gross</v>
          </cell>
          <cell r="Y42712" t="str">
            <v>ITALY</v>
          </cell>
        </row>
        <row r="42713">
          <cell r="L42713" t="str">
            <v>Non-proportional</v>
          </cell>
          <cell r="S42713">
            <v>-1710.3</v>
          </cell>
          <cell r="X42713" t="str">
            <v>Variation UPR - gross</v>
          </cell>
          <cell r="Y42713" t="str">
            <v>ECUADOR</v>
          </cell>
        </row>
        <row r="42714">
          <cell r="L42714" t="str">
            <v>Non-proportional</v>
          </cell>
          <cell r="S42714">
            <v>-6113.12</v>
          </cell>
          <cell r="X42714" t="str">
            <v>Variation UPR - gross</v>
          </cell>
          <cell r="Y42714" t="str">
            <v>ECUADOR</v>
          </cell>
        </row>
        <row r="42715">
          <cell r="L42715" t="str">
            <v>Proportional</v>
          </cell>
          <cell r="S42715">
            <v>-56689.89</v>
          </cell>
          <cell r="X42715" t="str">
            <v>Variation UPR - gross</v>
          </cell>
          <cell r="Y42715" t="str">
            <v>CANADA</v>
          </cell>
        </row>
        <row r="42716">
          <cell r="L42716" t="str">
            <v>Non-proportional</v>
          </cell>
          <cell r="S42716">
            <v>-2938.42</v>
          </cell>
          <cell r="X42716" t="str">
            <v>Variation UPR - gross</v>
          </cell>
          <cell r="Y42716" t="str">
            <v>ISRAEL</v>
          </cell>
        </row>
        <row r="42717">
          <cell r="L42717" t="str">
            <v>Non-proportional</v>
          </cell>
          <cell r="S42717">
            <v>-2205.09</v>
          </cell>
          <cell r="X42717" t="str">
            <v>Variation UPR - gross</v>
          </cell>
          <cell r="Y42717" t="str">
            <v>DOMINICAN REPUBLIC</v>
          </cell>
        </row>
        <row r="42718">
          <cell r="L42718" t="str">
            <v>Non-proportional</v>
          </cell>
          <cell r="S42718">
            <v>-7492.29</v>
          </cell>
          <cell r="X42718" t="str">
            <v>Variation UPR - gross</v>
          </cell>
          <cell r="Y42718" t="str">
            <v>FRANCE</v>
          </cell>
        </row>
        <row r="42719">
          <cell r="L42719" t="str">
            <v>Non-proportional</v>
          </cell>
          <cell r="S42719">
            <v>-2249.19</v>
          </cell>
          <cell r="X42719" t="str">
            <v>Variation UPR - gross</v>
          </cell>
          <cell r="Y42719" t="str">
            <v>ECUADOR</v>
          </cell>
        </row>
        <row r="42720">
          <cell r="L42720" t="str">
            <v>Non-proportional</v>
          </cell>
          <cell r="S42720">
            <v>-1325.76</v>
          </cell>
          <cell r="X42720" t="str">
            <v>Variation UPR - gross</v>
          </cell>
          <cell r="Y42720" t="str">
            <v>ISRAEL</v>
          </cell>
        </row>
        <row r="42721">
          <cell r="L42721" t="str">
            <v>Proportional</v>
          </cell>
          <cell r="S42721">
            <v>3952.65</v>
          </cell>
          <cell r="X42721" t="str">
            <v>Variation UPR - gross</v>
          </cell>
          <cell r="Y42721" t="str">
            <v>THAILAND</v>
          </cell>
        </row>
        <row r="42722">
          <cell r="L42722" t="str">
            <v>Non-proportional</v>
          </cell>
          <cell r="S42722">
            <v>-1415.93</v>
          </cell>
          <cell r="X42722" t="str">
            <v>Variation UPR - gross</v>
          </cell>
          <cell r="Y42722" t="str">
            <v>FRANCE</v>
          </cell>
        </row>
        <row r="42723">
          <cell r="L42723" t="str">
            <v>Non-proportional</v>
          </cell>
          <cell r="S42723">
            <v>-4896.3</v>
          </cell>
          <cell r="X42723" t="str">
            <v>Variation UPR - gross</v>
          </cell>
          <cell r="Y42723" t="str">
            <v>ISRAEL</v>
          </cell>
        </row>
        <row r="42724">
          <cell r="L42724" t="str">
            <v>Non-proportional</v>
          </cell>
          <cell r="S42724">
            <v>253.71</v>
          </cell>
          <cell r="X42724" t="str">
            <v>Variation UPR - gross</v>
          </cell>
          <cell r="Y42724" t="str">
            <v>NEW ZEALAND</v>
          </cell>
        </row>
        <row r="42725">
          <cell r="L42725" t="str">
            <v>Proportional</v>
          </cell>
          <cell r="S42725">
            <v>-1995.95</v>
          </cell>
          <cell r="X42725" t="str">
            <v>Variation UPR - gross</v>
          </cell>
          <cell r="Y42725" t="str">
            <v>REPUBLIC OF IRELAND</v>
          </cell>
        </row>
        <row r="42726">
          <cell r="L42726" t="str">
            <v>Non-proportional</v>
          </cell>
          <cell r="S42726">
            <v>-3690.61</v>
          </cell>
          <cell r="X42726" t="str">
            <v>Variation UPR - gross</v>
          </cell>
          <cell r="Y42726" t="str">
            <v>SINGAPORE</v>
          </cell>
        </row>
        <row r="42727">
          <cell r="L42727" t="str">
            <v>Non-proportional</v>
          </cell>
          <cell r="S42727">
            <v>-2043.75</v>
          </cell>
          <cell r="X42727" t="str">
            <v>Variation UPR - gross</v>
          </cell>
          <cell r="Y42727" t="str">
            <v>GREECE</v>
          </cell>
        </row>
        <row r="42728">
          <cell r="L42728" t="str">
            <v>Non-proportional</v>
          </cell>
          <cell r="S42728">
            <v>-5312.78</v>
          </cell>
          <cell r="X42728" t="str">
            <v>Variation UPR - gross</v>
          </cell>
          <cell r="Y42728" t="str">
            <v>NETHERLANDS</v>
          </cell>
        </row>
        <row r="42729">
          <cell r="L42729" t="str">
            <v>Non-proportional</v>
          </cell>
          <cell r="S42729">
            <v>-109675.48</v>
          </cell>
          <cell r="X42729" t="str">
            <v>Variation UPR - gross</v>
          </cell>
          <cell r="Y42729" t="str">
            <v>EUROPE</v>
          </cell>
        </row>
        <row r="42730">
          <cell r="L42730" t="str">
            <v>Non-proportional</v>
          </cell>
          <cell r="S42730">
            <v>-6250</v>
          </cell>
          <cell r="X42730" t="str">
            <v>Variation UPR - gross</v>
          </cell>
          <cell r="Y42730" t="str">
            <v>SPAIN</v>
          </cell>
        </row>
        <row r="42731">
          <cell r="L42731" t="str">
            <v>Non-proportional</v>
          </cell>
          <cell r="S42731">
            <v>-7929.78</v>
          </cell>
          <cell r="X42731" t="str">
            <v>Variation UPR - gross</v>
          </cell>
          <cell r="Y42731" t="str">
            <v>JAPAN</v>
          </cell>
        </row>
        <row r="42732">
          <cell r="L42732" t="str">
            <v>Non-proportional</v>
          </cell>
          <cell r="S42732">
            <v>213.78</v>
          </cell>
          <cell r="X42732" t="str">
            <v>Variation UPR - gross</v>
          </cell>
          <cell r="Y42732" t="str">
            <v>INDIA</v>
          </cell>
        </row>
        <row r="42733">
          <cell r="L42733" t="str">
            <v>Non-proportional</v>
          </cell>
          <cell r="S42733">
            <v>-2892.57</v>
          </cell>
          <cell r="X42733" t="str">
            <v>Variation UPR - gross</v>
          </cell>
          <cell r="Y42733" t="str">
            <v>ISRAEL</v>
          </cell>
        </row>
        <row r="42734">
          <cell r="L42734" t="str">
            <v>Proportional</v>
          </cell>
          <cell r="S42734">
            <v>-50976</v>
          </cell>
          <cell r="X42734" t="str">
            <v>Variation UPR - gross</v>
          </cell>
          <cell r="Y42734" t="str">
            <v>FRANCE</v>
          </cell>
        </row>
        <row r="42735">
          <cell r="L42735" t="str">
            <v>Proportional</v>
          </cell>
          <cell r="S42735">
            <v>899.23</v>
          </cell>
          <cell r="X42735" t="str">
            <v>Variation UPR - gross</v>
          </cell>
          <cell r="Y42735" t="str">
            <v>THAILAND</v>
          </cell>
        </row>
        <row r="42736">
          <cell r="L42736" t="str">
            <v>Non-proportional</v>
          </cell>
          <cell r="S42736">
            <v>-884.37</v>
          </cell>
          <cell r="X42736" t="str">
            <v>Variation UPR - gross</v>
          </cell>
          <cell r="Y42736" t="str">
            <v>FRANCE</v>
          </cell>
        </row>
        <row r="42737">
          <cell r="L42737" t="str">
            <v>Non-proportional</v>
          </cell>
          <cell r="S42737">
            <v>1.62</v>
          </cell>
          <cell r="X42737" t="str">
            <v>Variation UPR - gross</v>
          </cell>
          <cell r="Y42737" t="str">
            <v>GUATEMALA</v>
          </cell>
        </row>
        <row r="42738">
          <cell r="L42738" t="str">
            <v>Non-proportional</v>
          </cell>
          <cell r="S42738">
            <v>-9915.7000000000007</v>
          </cell>
          <cell r="X42738" t="str">
            <v>Variation UPR - gross</v>
          </cell>
          <cell r="Y42738" t="str">
            <v>NETHERLANDS</v>
          </cell>
        </row>
        <row r="42739">
          <cell r="L42739" t="str">
            <v>Non-proportional</v>
          </cell>
          <cell r="S42739">
            <v>-4238.47</v>
          </cell>
          <cell r="X42739" t="str">
            <v>Variation UPR - gross</v>
          </cell>
          <cell r="Y42739" t="str">
            <v>FRANCE</v>
          </cell>
        </row>
        <row r="42740">
          <cell r="L42740" t="str">
            <v>Non-proportional</v>
          </cell>
          <cell r="S42740">
            <v>-86214.75</v>
          </cell>
          <cell r="X42740" t="str">
            <v>Variation UPR - gross</v>
          </cell>
          <cell r="Y42740" t="str">
            <v>UNITED KINGDOM</v>
          </cell>
        </row>
        <row r="42741">
          <cell r="L42741" t="str">
            <v>Non-proportional</v>
          </cell>
          <cell r="S42741">
            <v>-10156.290000000001</v>
          </cell>
          <cell r="X42741" t="str">
            <v>Variation UPR - gross</v>
          </cell>
          <cell r="Y42741" t="str">
            <v>EUROPE</v>
          </cell>
        </row>
        <row r="42742">
          <cell r="L42742" t="str">
            <v>Non-proportional</v>
          </cell>
          <cell r="S42742">
            <v>-8996.4599999999991</v>
          </cell>
          <cell r="X42742" t="str">
            <v>Variation UPR - gross</v>
          </cell>
          <cell r="Y42742" t="str">
            <v>NEW ZEALAND</v>
          </cell>
        </row>
        <row r="42743">
          <cell r="L42743" t="str">
            <v>Non-proportional</v>
          </cell>
          <cell r="S42743">
            <v>-105723.33</v>
          </cell>
          <cell r="X42743" t="str">
            <v>Variation UPR - gross</v>
          </cell>
          <cell r="Y42743" t="str">
            <v>FRANCE</v>
          </cell>
        </row>
        <row r="42744">
          <cell r="L42744" t="str">
            <v>Non-proportional</v>
          </cell>
          <cell r="S42744">
            <v>0.02</v>
          </cell>
          <cell r="X42744" t="str">
            <v>Variation UPR - gross</v>
          </cell>
          <cell r="Y42744" t="str">
            <v>COLOMBIA</v>
          </cell>
        </row>
        <row r="42745">
          <cell r="L42745" t="str">
            <v>Non-proportional</v>
          </cell>
          <cell r="S42745">
            <v>-718.28</v>
          </cell>
          <cell r="X42745" t="str">
            <v>Variation UPR - gross</v>
          </cell>
          <cell r="Y42745" t="str">
            <v>ISRAEL</v>
          </cell>
        </row>
        <row r="42746">
          <cell r="L42746" t="str">
            <v>Proportional</v>
          </cell>
          <cell r="S42746">
            <v>67738.009999999995</v>
          </cell>
          <cell r="X42746" t="str">
            <v>Variation UPR - gross</v>
          </cell>
          <cell r="Y42746" t="str">
            <v>INDIA</v>
          </cell>
        </row>
        <row r="42747">
          <cell r="L42747" t="str">
            <v>Non-proportional</v>
          </cell>
          <cell r="S42747">
            <v>-10812.2</v>
          </cell>
          <cell r="X42747" t="str">
            <v>Variation UPR - gross</v>
          </cell>
          <cell r="Y42747" t="str">
            <v>NEW ZEALAND</v>
          </cell>
        </row>
        <row r="42748">
          <cell r="L42748" t="str">
            <v>Non-proportional</v>
          </cell>
          <cell r="S42748">
            <v>-2495.2199999999998</v>
          </cell>
          <cell r="X42748" t="str">
            <v>Variation UPR - gross</v>
          </cell>
          <cell r="Y42748" t="str">
            <v>ITALY</v>
          </cell>
        </row>
        <row r="42749">
          <cell r="L42749" t="str">
            <v>Non-proportional</v>
          </cell>
          <cell r="S42749">
            <v>54.26</v>
          </cell>
          <cell r="X42749" t="str">
            <v>Variation UPR - gross</v>
          </cell>
          <cell r="Y42749" t="str">
            <v>NEW ZEALAND</v>
          </cell>
        </row>
        <row r="42750">
          <cell r="L42750" t="str">
            <v>Non-proportional</v>
          </cell>
          <cell r="S42750">
            <v>-24337.439999999999</v>
          </cell>
          <cell r="X42750" t="str">
            <v>Variation UPR - gross</v>
          </cell>
          <cell r="Y42750" t="str">
            <v>TURKEY</v>
          </cell>
        </row>
        <row r="42751">
          <cell r="L42751" t="str">
            <v>Proportional</v>
          </cell>
          <cell r="S42751">
            <v>-8547.51</v>
          </cell>
          <cell r="X42751" t="str">
            <v>Variation UPR - gross</v>
          </cell>
          <cell r="Y42751" t="str">
            <v>THAILAND</v>
          </cell>
        </row>
        <row r="42752">
          <cell r="L42752" t="str">
            <v>Proportional</v>
          </cell>
          <cell r="S42752">
            <v>-1992.96</v>
          </cell>
          <cell r="X42752" t="str">
            <v>Variation UPR - gross</v>
          </cell>
          <cell r="Y42752" t="str">
            <v>CHILE</v>
          </cell>
        </row>
        <row r="42753">
          <cell r="L42753" t="str">
            <v>Non-proportional</v>
          </cell>
          <cell r="S42753">
            <v>-1995.07</v>
          </cell>
          <cell r="X42753" t="str">
            <v>Variation UPR - gross</v>
          </cell>
          <cell r="Y42753" t="str">
            <v>AUSTRALIA</v>
          </cell>
        </row>
        <row r="42754">
          <cell r="L42754" t="str">
            <v>Non-proportional</v>
          </cell>
          <cell r="S42754">
            <v>-5249.35</v>
          </cell>
          <cell r="X42754" t="str">
            <v>Variation UPR - gross</v>
          </cell>
          <cell r="Y42754" t="str">
            <v>NEW ZEALAND</v>
          </cell>
        </row>
        <row r="42755">
          <cell r="L42755" t="str">
            <v>Non-proportional</v>
          </cell>
          <cell r="S42755">
            <v>51.28</v>
          </cell>
          <cell r="X42755" t="str">
            <v>Variation UPR - gross</v>
          </cell>
          <cell r="Y42755" t="str">
            <v>JAPAN</v>
          </cell>
        </row>
        <row r="42756">
          <cell r="L42756" t="str">
            <v>Non-proportional</v>
          </cell>
          <cell r="S42756">
            <v>-543.75</v>
          </cell>
          <cell r="X42756" t="str">
            <v>Variation UPR - gross</v>
          </cell>
          <cell r="Y42756" t="str">
            <v>GREECE</v>
          </cell>
        </row>
        <row r="42757">
          <cell r="L42757" t="str">
            <v>Proportional</v>
          </cell>
          <cell r="S42757">
            <v>-439.55</v>
          </cell>
          <cell r="X42757" t="str">
            <v>Variation UPR - gross</v>
          </cell>
          <cell r="Y42757" t="str">
            <v>UNITED STATES</v>
          </cell>
        </row>
        <row r="42758">
          <cell r="L42758" t="str">
            <v>Non-proportional</v>
          </cell>
          <cell r="S42758">
            <v>-2866.24</v>
          </cell>
          <cell r="X42758" t="str">
            <v>Variation UPR - gross</v>
          </cell>
          <cell r="Y42758" t="str">
            <v>ISRAEL</v>
          </cell>
        </row>
        <row r="42759">
          <cell r="L42759" t="str">
            <v>Non-proportional</v>
          </cell>
          <cell r="S42759">
            <v>-7136.64</v>
          </cell>
          <cell r="X42759" t="str">
            <v>Variation UPR - gross</v>
          </cell>
          <cell r="Y42759" t="str">
            <v>MEXICO</v>
          </cell>
        </row>
        <row r="42760">
          <cell r="L42760" t="str">
            <v>Non-proportional</v>
          </cell>
          <cell r="S42760">
            <v>-1734.67</v>
          </cell>
          <cell r="X42760" t="str">
            <v>Variation UPR - gross</v>
          </cell>
          <cell r="Y42760" t="str">
            <v>NEW ZEALAND</v>
          </cell>
        </row>
        <row r="42761">
          <cell r="L42761" t="str">
            <v>Non-proportional</v>
          </cell>
          <cell r="S42761">
            <v>-37.56</v>
          </cell>
          <cell r="X42761" t="str">
            <v>Variation UPR - gross</v>
          </cell>
          <cell r="Y42761" t="str">
            <v>ISRAEL</v>
          </cell>
        </row>
        <row r="42762">
          <cell r="L42762" t="str">
            <v>Non-proportional</v>
          </cell>
          <cell r="S42762">
            <v>-12042.3</v>
          </cell>
          <cell r="X42762" t="str">
            <v>Variation UPR - gross</v>
          </cell>
          <cell r="Y42762" t="str">
            <v>COSTA RICA</v>
          </cell>
        </row>
        <row r="42763">
          <cell r="L42763" t="str">
            <v>Non-proportional</v>
          </cell>
          <cell r="S42763">
            <v>-3125.47</v>
          </cell>
          <cell r="X42763" t="str">
            <v>Variation UPR - gross</v>
          </cell>
          <cell r="Y42763" t="str">
            <v>GUATEMALA</v>
          </cell>
        </row>
        <row r="42764">
          <cell r="L42764" t="str">
            <v>Proportional</v>
          </cell>
          <cell r="S42764">
            <v>-207.22</v>
          </cell>
          <cell r="X42764" t="str">
            <v>Variation UPR - gross</v>
          </cell>
          <cell r="Y42764" t="str">
            <v>THAILAND</v>
          </cell>
        </row>
        <row r="42765">
          <cell r="L42765" t="str">
            <v>Non-proportional</v>
          </cell>
          <cell r="S42765">
            <v>-752.12</v>
          </cell>
          <cell r="X42765" t="str">
            <v>Variation UPR - gross</v>
          </cell>
          <cell r="Y42765" t="str">
            <v>BRAZIL</v>
          </cell>
        </row>
        <row r="42766">
          <cell r="L42766" t="str">
            <v>Non-proportional</v>
          </cell>
          <cell r="S42766">
            <v>-6250</v>
          </cell>
          <cell r="X42766" t="str">
            <v>Variation UPR - gross</v>
          </cell>
          <cell r="Y42766" t="str">
            <v>SPAIN</v>
          </cell>
        </row>
        <row r="42767">
          <cell r="L42767" t="str">
            <v>Non-proportional</v>
          </cell>
          <cell r="S42767">
            <v>-7926.52</v>
          </cell>
          <cell r="X42767" t="str">
            <v>Variation UPR - gross</v>
          </cell>
          <cell r="Y42767" t="str">
            <v>PERU</v>
          </cell>
        </row>
        <row r="42768">
          <cell r="L42768" t="str">
            <v>Non-proportional</v>
          </cell>
          <cell r="S42768">
            <v>-27055.21</v>
          </cell>
          <cell r="X42768" t="str">
            <v>Variation UPR - gross</v>
          </cell>
          <cell r="Y42768" t="str">
            <v>AUSTRALIA</v>
          </cell>
        </row>
        <row r="42769">
          <cell r="L42769" t="str">
            <v>Proportional</v>
          </cell>
          <cell r="S42769">
            <v>-137217.17000000001</v>
          </cell>
          <cell r="X42769" t="str">
            <v>Variation UPR - gross</v>
          </cell>
          <cell r="Y42769" t="str">
            <v>HONG KONG</v>
          </cell>
        </row>
        <row r="42770">
          <cell r="L42770" t="str">
            <v>Non-proportional</v>
          </cell>
          <cell r="S42770">
            <v>-45511.79</v>
          </cell>
          <cell r="X42770" t="str">
            <v>Variation UPR - gross</v>
          </cell>
          <cell r="Y42770" t="str">
            <v>UNITED KINGDOM</v>
          </cell>
        </row>
        <row r="42771">
          <cell r="L42771" t="str">
            <v>Non-proportional</v>
          </cell>
          <cell r="S42771">
            <v>-944.3</v>
          </cell>
          <cell r="X42771" t="str">
            <v>Variation UPR - gross</v>
          </cell>
          <cell r="Y42771" t="str">
            <v>DOMINICAN REPUBLIC</v>
          </cell>
        </row>
        <row r="42772">
          <cell r="L42772" t="str">
            <v>Non-proportional</v>
          </cell>
          <cell r="S42772">
            <v>-279.70999999999998</v>
          </cell>
          <cell r="X42772" t="str">
            <v>Variation UPR - gross</v>
          </cell>
          <cell r="Y42772" t="str">
            <v>CHILE</v>
          </cell>
        </row>
        <row r="42773">
          <cell r="L42773" t="str">
            <v>Non-proportional</v>
          </cell>
          <cell r="S42773">
            <v>-4533.33</v>
          </cell>
          <cell r="X42773" t="str">
            <v>Variation UPR - gross</v>
          </cell>
          <cell r="Y42773" t="str">
            <v>PORTUGAL</v>
          </cell>
        </row>
        <row r="42774">
          <cell r="L42774" t="str">
            <v>Non-proportional</v>
          </cell>
          <cell r="S42774">
            <v>-11.51</v>
          </cell>
          <cell r="X42774" t="str">
            <v>Variation UPR - gross</v>
          </cell>
          <cell r="Y42774" t="str">
            <v>ISRAEL</v>
          </cell>
        </row>
        <row r="42775">
          <cell r="L42775" t="str">
            <v>Non-proportional</v>
          </cell>
          <cell r="S42775">
            <v>55.28</v>
          </cell>
          <cell r="X42775" t="str">
            <v>Variation UPR - gross</v>
          </cell>
          <cell r="Y42775" t="str">
            <v>JAPAN</v>
          </cell>
        </row>
        <row r="42776">
          <cell r="L42776" t="str">
            <v>Non-proportional</v>
          </cell>
          <cell r="S42776">
            <v>-7272.56</v>
          </cell>
          <cell r="X42776" t="str">
            <v>Variation UPR - gross</v>
          </cell>
          <cell r="Y42776" t="str">
            <v>CHILE</v>
          </cell>
        </row>
        <row r="42777">
          <cell r="L42777" t="str">
            <v>Non-proportional</v>
          </cell>
          <cell r="S42777">
            <v>-7791.22</v>
          </cell>
          <cell r="X42777" t="str">
            <v>Variation UPR - gross</v>
          </cell>
          <cell r="Y42777" t="str">
            <v>UNITED KINGDOM</v>
          </cell>
        </row>
        <row r="42778">
          <cell r="L42778" t="str">
            <v>Non-proportional</v>
          </cell>
          <cell r="S42778">
            <v>-8242.1299999999992</v>
          </cell>
          <cell r="X42778" t="str">
            <v>Variation UPR - gross</v>
          </cell>
          <cell r="Y42778" t="str">
            <v>INDIA</v>
          </cell>
        </row>
        <row r="42779">
          <cell r="L42779" t="str">
            <v>Non-proportional</v>
          </cell>
          <cell r="S42779">
            <v>53.4</v>
          </cell>
          <cell r="X42779" t="str">
            <v>Variation UPR - gross</v>
          </cell>
          <cell r="Y42779" t="str">
            <v>JAPAN</v>
          </cell>
        </row>
        <row r="42780">
          <cell r="L42780" t="str">
            <v>Non-proportional</v>
          </cell>
          <cell r="S42780">
            <v>-1788.76</v>
          </cell>
          <cell r="X42780" t="str">
            <v>Variation UPR - gross</v>
          </cell>
          <cell r="Y42780" t="str">
            <v>SOUTH AFRICA</v>
          </cell>
        </row>
        <row r="42781">
          <cell r="L42781" t="str">
            <v>Proportional</v>
          </cell>
          <cell r="S42781">
            <v>-1502.32</v>
          </cell>
          <cell r="X42781" t="str">
            <v>Variation UPR - gross</v>
          </cell>
          <cell r="Y42781" t="str">
            <v>UNITED STATES</v>
          </cell>
        </row>
        <row r="42782">
          <cell r="L42782" t="str">
            <v>Non-proportional</v>
          </cell>
          <cell r="S42782">
            <v>-109330.38</v>
          </cell>
          <cell r="X42782" t="str">
            <v>Variation UPR - gross</v>
          </cell>
          <cell r="Y42782" t="str">
            <v>FRANCE</v>
          </cell>
        </row>
        <row r="42783">
          <cell r="L42783" t="str">
            <v>Non-proportional</v>
          </cell>
          <cell r="S42783">
            <v>-70739.210000000006</v>
          </cell>
          <cell r="X42783" t="str">
            <v>Variation UPR - gross</v>
          </cell>
          <cell r="Y42783" t="str">
            <v>UNITED KINGDOM</v>
          </cell>
        </row>
        <row r="42784">
          <cell r="L42784" t="str">
            <v>Non-proportional</v>
          </cell>
          <cell r="S42784">
            <v>-350018.84</v>
          </cell>
          <cell r="X42784" t="str">
            <v>Variation UPR - gross</v>
          </cell>
          <cell r="Y42784" t="str">
            <v>EUROPE</v>
          </cell>
        </row>
        <row r="42785">
          <cell r="L42785" t="str">
            <v>Non-proportional</v>
          </cell>
          <cell r="S42785">
            <v>-4331.59</v>
          </cell>
          <cell r="X42785" t="str">
            <v>Variation UPR - gross</v>
          </cell>
          <cell r="Y42785" t="str">
            <v>UNITED KINGDOM</v>
          </cell>
        </row>
        <row r="42786">
          <cell r="L42786" t="str">
            <v>Non-proportional</v>
          </cell>
          <cell r="S42786">
            <v>-29007.55</v>
          </cell>
          <cell r="X42786" t="str">
            <v>Variation UPR - gross</v>
          </cell>
          <cell r="Y42786" t="str">
            <v>UNITED KINGDOM</v>
          </cell>
        </row>
        <row r="42787">
          <cell r="L42787" t="str">
            <v>Non-proportional</v>
          </cell>
          <cell r="S42787">
            <v>-6.55</v>
          </cell>
          <cell r="X42787" t="str">
            <v>Variation UPR - gross</v>
          </cell>
          <cell r="Y42787" t="str">
            <v>COSTA RICA</v>
          </cell>
        </row>
        <row r="42788">
          <cell r="L42788" t="str">
            <v>Non-proportional</v>
          </cell>
          <cell r="S42788">
            <v>-90200</v>
          </cell>
          <cell r="X42788" t="str">
            <v>Variation UPR - gross</v>
          </cell>
          <cell r="Y42788" t="str">
            <v>EUROPE</v>
          </cell>
        </row>
        <row r="42789">
          <cell r="L42789" t="str">
            <v>Non-proportional</v>
          </cell>
          <cell r="S42789">
            <v>-11154.61</v>
          </cell>
          <cell r="X42789" t="str">
            <v>Variation UPR - gross</v>
          </cell>
          <cell r="Y42789" t="str">
            <v>MEXICO</v>
          </cell>
        </row>
        <row r="42790">
          <cell r="L42790" t="str">
            <v>Non-proportional</v>
          </cell>
          <cell r="S42790">
            <v>-39048.61</v>
          </cell>
          <cell r="X42790" t="str">
            <v>Variation UPR - gross</v>
          </cell>
          <cell r="Y42790" t="str">
            <v>UNITED KINGDOM</v>
          </cell>
        </row>
        <row r="42791">
          <cell r="L42791" t="str">
            <v>Non-proportional</v>
          </cell>
          <cell r="S42791">
            <v>0.03</v>
          </cell>
          <cell r="X42791" t="str">
            <v>Variation UPR - gross</v>
          </cell>
          <cell r="Y42791" t="str">
            <v>THAILAND</v>
          </cell>
        </row>
        <row r="42792">
          <cell r="L42792" t="str">
            <v>Proportional</v>
          </cell>
          <cell r="S42792">
            <v>-1.44</v>
          </cell>
          <cell r="X42792" t="str">
            <v>Variation UPR - gross</v>
          </cell>
          <cell r="Y42792" t="str">
            <v>UNITED STATES</v>
          </cell>
        </row>
        <row r="42793">
          <cell r="L42793" t="str">
            <v>Proportional</v>
          </cell>
          <cell r="S42793">
            <v>-2457.71</v>
          </cell>
          <cell r="X42793" t="str">
            <v>Variation UPR - gross</v>
          </cell>
          <cell r="Y42793" t="str">
            <v>THAILAND</v>
          </cell>
        </row>
        <row r="42794">
          <cell r="L42794" t="str">
            <v>Non-proportional</v>
          </cell>
          <cell r="S42794">
            <v>-32696.83</v>
          </cell>
          <cell r="X42794" t="str">
            <v>Variation UPR - gross</v>
          </cell>
          <cell r="Y42794" t="str">
            <v>NEW ZEALAND</v>
          </cell>
        </row>
        <row r="42795">
          <cell r="L42795" t="str">
            <v>Non-proportional</v>
          </cell>
          <cell r="S42795">
            <v>-12132.59</v>
          </cell>
          <cell r="X42795" t="str">
            <v>Variation UPR - gross</v>
          </cell>
          <cell r="Y42795" t="str">
            <v>CHILE</v>
          </cell>
        </row>
        <row r="42796">
          <cell r="L42796" t="str">
            <v>Non-proportional</v>
          </cell>
          <cell r="S42796">
            <v>-1286.3</v>
          </cell>
          <cell r="X42796" t="str">
            <v>Variation UPR - gross</v>
          </cell>
          <cell r="Y42796" t="str">
            <v>UNITED ARAB EMIRATES</v>
          </cell>
        </row>
        <row r="42797">
          <cell r="L42797" t="str">
            <v>Non-proportional</v>
          </cell>
          <cell r="S42797">
            <v>-2791.9</v>
          </cell>
          <cell r="X42797" t="str">
            <v>Variation UPR - gross</v>
          </cell>
          <cell r="Y42797" t="str">
            <v>JAPAN</v>
          </cell>
        </row>
        <row r="42798">
          <cell r="L42798" t="str">
            <v>Non-proportional</v>
          </cell>
          <cell r="S42798">
            <v>181.43</v>
          </cell>
          <cell r="X42798" t="str">
            <v>Variation UPR - gross</v>
          </cell>
          <cell r="Y42798" t="str">
            <v>INDIA</v>
          </cell>
        </row>
        <row r="42799">
          <cell r="L42799" t="str">
            <v>Non-proportional</v>
          </cell>
          <cell r="S42799">
            <v>-3111.82</v>
          </cell>
          <cell r="X42799" t="str">
            <v>Variation UPR - gross</v>
          </cell>
          <cell r="Y42799" t="str">
            <v>CHILE</v>
          </cell>
        </row>
        <row r="42800">
          <cell r="L42800" t="str">
            <v>Non-proportional</v>
          </cell>
          <cell r="S42800">
            <v>-13692.36</v>
          </cell>
          <cell r="X42800" t="str">
            <v>Variation UPR - gross</v>
          </cell>
          <cell r="Y42800" t="str">
            <v>UNITED KINGDOM</v>
          </cell>
        </row>
        <row r="42801">
          <cell r="L42801" t="str">
            <v>Non-proportional</v>
          </cell>
          <cell r="S42801">
            <v>-3559.33</v>
          </cell>
          <cell r="X42801" t="str">
            <v>Variation UPR - gross</v>
          </cell>
          <cell r="Y42801" t="str">
            <v>BRAZIL</v>
          </cell>
        </row>
        <row r="42802">
          <cell r="L42802" t="str">
            <v>Non-proportional</v>
          </cell>
          <cell r="S42802">
            <v>2.25</v>
          </cell>
          <cell r="X42802" t="str">
            <v>Variation UPR - gross</v>
          </cell>
          <cell r="Y42802" t="str">
            <v>GUATEMALA</v>
          </cell>
        </row>
        <row r="42803">
          <cell r="L42803" t="str">
            <v>Non-proportional</v>
          </cell>
          <cell r="S42803">
            <v>-3749.94</v>
          </cell>
          <cell r="X42803" t="str">
            <v>Variation UPR - gross</v>
          </cell>
          <cell r="Y42803" t="str">
            <v>EUROPE</v>
          </cell>
        </row>
        <row r="42804">
          <cell r="L42804" t="str">
            <v>Non-proportional</v>
          </cell>
          <cell r="S42804">
            <v>-6318.98</v>
          </cell>
          <cell r="X42804" t="str">
            <v>Variation UPR - gross</v>
          </cell>
          <cell r="Y42804" t="str">
            <v>JAPAN</v>
          </cell>
        </row>
        <row r="42805">
          <cell r="L42805" t="str">
            <v>Non-proportional</v>
          </cell>
          <cell r="S42805">
            <v>-6562.5</v>
          </cell>
          <cell r="X42805" t="str">
            <v>Variation UPR - gross</v>
          </cell>
          <cell r="Y42805" t="str">
            <v>ITALY</v>
          </cell>
        </row>
        <row r="42806">
          <cell r="L42806" t="str">
            <v>Proportional</v>
          </cell>
          <cell r="S42806">
            <v>-6083.78</v>
          </cell>
          <cell r="X42806" t="str">
            <v>Variation UPR - gross</v>
          </cell>
          <cell r="Y42806" t="str">
            <v>CHILE</v>
          </cell>
        </row>
        <row r="42807">
          <cell r="L42807" t="str">
            <v>Non-proportional</v>
          </cell>
          <cell r="S42807">
            <v>-6500</v>
          </cell>
          <cell r="X42807" t="str">
            <v>Variation UPR - gross</v>
          </cell>
          <cell r="Y42807" t="str">
            <v>FRANCE</v>
          </cell>
        </row>
        <row r="42808">
          <cell r="L42808" t="str">
            <v>Non-proportional</v>
          </cell>
          <cell r="S42808">
            <v>-22591.64</v>
          </cell>
          <cell r="X42808" t="str">
            <v>Variation UPR - gross</v>
          </cell>
          <cell r="Y42808" t="str">
            <v>NEW ZEALAND</v>
          </cell>
        </row>
        <row r="42809">
          <cell r="L42809" t="str">
            <v>Non-proportional</v>
          </cell>
          <cell r="S42809">
            <v>-40150</v>
          </cell>
          <cell r="X42809" t="str">
            <v>Variation UPR - gross</v>
          </cell>
          <cell r="Y42809" t="str">
            <v>PORTUGAL</v>
          </cell>
        </row>
        <row r="42810">
          <cell r="L42810" t="str">
            <v>Non-proportional</v>
          </cell>
          <cell r="S42810">
            <v>-3234.4</v>
          </cell>
          <cell r="X42810" t="str">
            <v>Variation UPR - gross</v>
          </cell>
          <cell r="Y42810" t="str">
            <v>ECUADOR</v>
          </cell>
        </row>
        <row r="42811">
          <cell r="L42811" t="str">
            <v>Proportional</v>
          </cell>
          <cell r="S42811">
            <v>-142.66999999999999</v>
          </cell>
          <cell r="X42811" t="str">
            <v>Variation UPR - gross</v>
          </cell>
          <cell r="Y42811" t="str">
            <v>THAILAND</v>
          </cell>
        </row>
        <row r="42812">
          <cell r="L42812" t="str">
            <v>Non-proportional</v>
          </cell>
          <cell r="S42812">
            <v>-66.650000000000006</v>
          </cell>
          <cell r="X42812" t="str">
            <v>Variation UPR - gross</v>
          </cell>
          <cell r="Y42812" t="str">
            <v>ISRAEL</v>
          </cell>
        </row>
        <row r="42813">
          <cell r="L42813" t="str">
            <v>Non-proportional</v>
          </cell>
          <cell r="S42813">
            <v>-524.46</v>
          </cell>
          <cell r="X42813" t="str">
            <v>Variation UPR - gross</v>
          </cell>
          <cell r="Y42813" t="str">
            <v>CHILE</v>
          </cell>
        </row>
        <row r="42814">
          <cell r="L42814" t="str">
            <v>Non-proportional</v>
          </cell>
          <cell r="S42814">
            <v>-4890.08</v>
          </cell>
          <cell r="X42814" t="str">
            <v>Variation UPR - gross</v>
          </cell>
          <cell r="Y42814" t="str">
            <v>FRANCE</v>
          </cell>
        </row>
        <row r="42815">
          <cell r="L42815" t="str">
            <v>Non-proportional</v>
          </cell>
          <cell r="S42815">
            <v>-1344950.11</v>
          </cell>
          <cell r="X42815" t="str">
            <v>Variation UPR - gross</v>
          </cell>
          <cell r="Y42815" t="str">
            <v>UNITED KINGDOM</v>
          </cell>
        </row>
        <row r="42816">
          <cell r="L42816" t="str">
            <v>Non-proportional</v>
          </cell>
          <cell r="S42816">
            <v>-11842.94</v>
          </cell>
          <cell r="X42816" t="str">
            <v>Variation UPR - gross</v>
          </cell>
          <cell r="Y42816" t="str">
            <v>MEXICO</v>
          </cell>
        </row>
        <row r="42817">
          <cell r="L42817" t="str">
            <v>Non-proportional</v>
          </cell>
          <cell r="S42817">
            <v>-560.5</v>
          </cell>
          <cell r="X42817" t="str">
            <v>Variation UPR - gross</v>
          </cell>
          <cell r="Y42817" t="str">
            <v>PORTUGAL</v>
          </cell>
        </row>
        <row r="42818">
          <cell r="L42818" t="str">
            <v>Non-proportional</v>
          </cell>
          <cell r="S42818">
            <v>-8094.65</v>
          </cell>
          <cell r="X42818" t="str">
            <v>Variation UPR - gross</v>
          </cell>
          <cell r="Y42818" t="str">
            <v>COLOMBIA</v>
          </cell>
        </row>
        <row r="42819">
          <cell r="L42819" t="str">
            <v>Non-proportional</v>
          </cell>
          <cell r="S42819">
            <v>-4666.5</v>
          </cell>
          <cell r="X42819" t="str">
            <v>Variation UPR - gross</v>
          </cell>
          <cell r="Y42819" t="str">
            <v>TURKEY</v>
          </cell>
        </row>
        <row r="42820">
          <cell r="L42820" t="str">
            <v>Proportional</v>
          </cell>
          <cell r="S42820">
            <v>-2142921.13</v>
          </cell>
          <cell r="X42820" t="str">
            <v>Variation UPR - gross</v>
          </cell>
          <cell r="Y42820" t="str">
            <v>HONG KONG</v>
          </cell>
        </row>
        <row r="42821">
          <cell r="L42821" t="str">
            <v>Non-proportional</v>
          </cell>
          <cell r="S42821">
            <v>-8238.5499999999993</v>
          </cell>
          <cell r="X42821" t="str">
            <v>Variation UPR - gross</v>
          </cell>
          <cell r="Y42821" t="str">
            <v>AUSTRALIA</v>
          </cell>
        </row>
        <row r="42822">
          <cell r="L42822" t="str">
            <v>Non-proportional</v>
          </cell>
          <cell r="S42822">
            <v>-3917.27</v>
          </cell>
          <cell r="X42822" t="str">
            <v>Variation UPR - gross</v>
          </cell>
          <cell r="Y42822" t="str">
            <v>ITALY</v>
          </cell>
        </row>
        <row r="42823">
          <cell r="L42823" t="str">
            <v>Non-proportional</v>
          </cell>
          <cell r="S42823">
            <v>-1261.5999999999999</v>
          </cell>
          <cell r="X42823" t="str">
            <v>Variation UPR - gross</v>
          </cell>
          <cell r="Y42823" t="str">
            <v>COLOMBIA</v>
          </cell>
        </row>
        <row r="42824">
          <cell r="L42824" t="str">
            <v>Non-proportional</v>
          </cell>
          <cell r="S42824">
            <v>-16278.67</v>
          </cell>
          <cell r="X42824" t="str">
            <v>Variation UPR - gross</v>
          </cell>
          <cell r="Y42824" t="str">
            <v>ITALY</v>
          </cell>
        </row>
        <row r="42825">
          <cell r="L42825" t="str">
            <v>Non-proportional</v>
          </cell>
          <cell r="S42825">
            <v>69.44</v>
          </cell>
          <cell r="X42825" t="str">
            <v>Variation UPR - gross</v>
          </cell>
          <cell r="Y42825" t="str">
            <v>NEW ZEALAND</v>
          </cell>
        </row>
        <row r="42826">
          <cell r="L42826" t="str">
            <v>Non-proportional</v>
          </cell>
          <cell r="S42826">
            <v>-17195.580000000002</v>
          </cell>
          <cell r="X42826" t="str">
            <v>Variation UPR - gross</v>
          </cell>
          <cell r="Y42826" t="str">
            <v>UNITED KINGDOM</v>
          </cell>
        </row>
        <row r="42827">
          <cell r="L42827" t="str">
            <v>Proportional</v>
          </cell>
          <cell r="S42827">
            <v>-72201.48</v>
          </cell>
          <cell r="X42827" t="str">
            <v>Variation UPR - gross</v>
          </cell>
          <cell r="Y42827" t="str">
            <v>MEXICO</v>
          </cell>
        </row>
        <row r="42828">
          <cell r="L42828" t="str">
            <v>Non-proportional</v>
          </cell>
          <cell r="S42828">
            <v>13.12</v>
          </cell>
          <cell r="X42828" t="str">
            <v>Variation UPR - gross</v>
          </cell>
          <cell r="Y42828" t="str">
            <v>DOMINICAN REPUBLIC</v>
          </cell>
        </row>
        <row r="42829">
          <cell r="L42829" t="str">
            <v>Non-proportional</v>
          </cell>
          <cell r="S42829">
            <v>-30345.99</v>
          </cell>
          <cell r="X42829" t="str">
            <v>Variation UPR - gross</v>
          </cell>
          <cell r="Y42829" t="str">
            <v>FRANCE</v>
          </cell>
        </row>
        <row r="42830">
          <cell r="L42830" t="str">
            <v>Non-proportional</v>
          </cell>
          <cell r="S42830">
            <v>-1639.69</v>
          </cell>
          <cell r="X42830" t="str">
            <v>Variation UPR - gross</v>
          </cell>
          <cell r="Y42830" t="str">
            <v>PERU</v>
          </cell>
        </row>
        <row r="42831">
          <cell r="L42831" t="str">
            <v>Proportional</v>
          </cell>
          <cell r="S42831">
            <v>28816.51</v>
          </cell>
          <cell r="X42831" t="str">
            <v>Variation UPR - gross</v>
          </cell>
          <cell r="Y42831" t="str">
            <v>AUSTRALIA</v>
          </cell>
        </row>
        <row r="42832">
          <cell r="L42832" t="str">
            <v>Non-proportional</v>
          </cell>
          <cell r="S42832">
            <v>-1131.24</v>
          </cell>
          <cell r="X42832" t="str">
            <v>Variation UPR - gross</v>
          </cell>
          <cell r="Y42832" t="str">
            <v>CYPRUS</v>
          </cell>
        </row>
        <row r="42833">
          <cell r="L42833" t="str">
            <v>Non-proportional</v>
          </cell>
          <cell r="S42833">
            <v>-3744.35</v>
          </cell>
          <cell r="X42833" t="str">
            <v>Variation UPR - gross</v>
          </cell>
          <cell r="Y42833" t="str">
            <v>DOMINICAN REPUBLIC</v>
          </cell>
        </row>
        <row r="42834">
          <cell r="L42834" t="str">
            <v>Non-proportional</v>
          </cell>
          <cell r="S42834">
            <v>-1161.5</v>
          </cell>
          <cell r="X42834" t="str">
            <v>Variation UPR - gross</v>
          </cell>
          <cell r="Y42834" t="str">
            <v>UNITED KINGDOM</v>
          </cell>
        </row>
        <row r="42835">
          <cell r="L42835" t="str">
            <v>Non-proportional</v>
          </cell>
          <cell r="S42835">
            <v>-10499.88</v>
          </cell>
          <cell r="X42835" t="str">
            <v>Variation UPR - gross</v>
          </cell>
          <cell r="Y42835" t="str">
            <v>ITALY</v>
          </cell>
        </row>
        <row r="42836">
          <cell r="L42836" t="str">
            <v>Non-proportional</v>
          </cell>
          <cell r="S42836">
            <v>-6270.83</v>
          </cell>
          <cell r="X42836" t="str">
            <v>Variation UPR - gross</v>
          </cell>
          <cell r="Y42836" t="str">
            <v>ITALY</v>
          </cell>
        </row>
        <row r="42837">
          <cell r="L42837" t="str">
            <v>Non-proportional</v>
          </cell>
          <cell r="S42837">
            <v>-1275.9100000000001</v>
          </cell>
          <cell r="X42837" t="str">
            <v>Variation UPR - gross</v>
          </cell>
          <cell r="Y42837" t="str">
            <v>NEW ZEALAND</v>
          </cell>
        </row>
        <row r="42838">
          <cell r="L42838" t="str">
            <v>Non-proportional</v>
          </cell>
          <cell r="S42838">
            <v>-10748.69</v>
          </cell>
          <cell r="X42838" t="str">
            <v>Variation UPR - gross</v>
          </cell>
          <cell r="Y42838" t="str">
            <v>ITALY</v>
          </cell>
        </row>
        <row r="42839">
          <cell r="L42839" t="str">
            <v>Non-proportional</v>
          </cell>
          <cell r="S42839">
            <v>-3015.29</v>
          </cell>
          <cell r="X42839" t="str">
            <v>Variation UPR - gross</v>
          </cell>
          <cell r="Y42839" t="str">
            <v>ITALY</v>
          </cell>
        </row>
        <row r="42840">
          <cell r="L42840" t="str">
            <v>Non-proportional</v>
          </cell>
          <cell r="S42840">
            <v>-5253.43</v>
          </cell>
          <cell r="X42840" t="str">
            <v>Variation UPR - gross</v>
          </cell>
          <cell r="Y42840" t="str">
            <v>ISRAEL</v>
          </cell>
        </row>
        <row r="42841">
          <cell r="L42841" t="str">
            <v>Non-proportional</v>
          </cell>
          <cell r="S42841">
            <v>-4723.3500000000004</v>
          </cell>
          <cell r="X42841" t="str">
            <v>Variation UPR - gross</v>
          </cell>
          <cell r="Y42841" t="str">
            <v>ECUADOR</v>
          </cell>
        </row>
        <row r="42842">
          <cell r="L42842" t="str">
            <v>Non-proportional</v>
          </cell>
          <cell r="S42842">
            <v>0.03</v>
          </cell>
          <cell r="X42842" t="str">
            <v>Variation UPR - gross</v>
          </cell>
          <cell r="Y42842" t="str">
            <v>THAILAND</v>
          </cell>
        </row>
        <row r="42843">
          <cell r="L42843" t="str">
            <v>Non-proportional</v>
          </cell>
          <cell r="S42843">
            <v>78.900000000000006</v>
          </cell>
          <cell r="X42843" t="str">
            <v>Variation UPR - gross</v>
          </cell>
          <cell r="Y42843" t="str">
            <v>JAPAN</v>
          </cell>
        </row>
        <row r="42844">
          <cell r="L42844" t="str">
            <v>Non-proportional</v>
          </cell>
          <cell r="S42844">
            <v>-5001.13</v>
          </cell>
          <cell r="X42844" t="str">
            <v>Variation UPR - gross</v>
          </cell>
          <cell r="Y42844" t="str">
            <v>ITALY</v>
          </cell>
        </row>
        <row r="42845">
          <cell r="L42845" t="str">
            <v>Non-proportional</v>
          </cell>
          <cell r="S42845">
            <v>-364744.26</v>
          </cell>
          <cell r="X42845" t="str">
            <v>Variation UPR - gross</v>
          </cell>
          <cell r="Y42845" t="str">
            <v>UNITED KINGDOM</v>
          </cell>
        </row>
        <row r="42846">
          <cell r="L42846" t="str">
            <v>Non-proportional</v>
          </cell>
          <cell r="S42846">
            <v>-4762.62</v>
          </cell>
          <cell r="X42846" t="str">
            <v>Variation UPR - gross</v>
          </cell>
          <cell r="Y42846" t="str">
            <v>ECUADOR</v>
          </cell>
        </row>
        <row r="42847">
          <cell r="L42847" t="str">
            <v>Non-proportional</v>
          </cell>
          <cell r="S42847">
            <v>-3853.95</v>
          </cell>
          <cell r="X42847" t="str">
            <v>Variation UPR - gross</v>
          </cell>
          <cell r="Y42847" t="str">
            <v>SPAIN</v>
          </cell>
        </row>
        <row r="42848">
          <cell r="L42848" t="str">
            <v>Non-proportional</v>
          </cell>
          <cell r="S42848">
            <v>-11863.23</v>
          </cell>
          <cell r="X42848" t="str">
            <v>Variation UPR - gross</v>
          </cell>
          <cell r="Y42848" t="str">
            <v>EUROPE</v>
          </cell>
        </row>
        <row r="42849">
          <cell r="L42849" t="str">
            <v>Non-proportional</v>
          </cell>
          <cell r="S42849">
            <v>-5279.6</v>
          </cell>
          <cell r="X42849" t="str">
            <v>Variation UPR - gross</v>
          </cell>
          <cell r="Y42849" t="str">
            <v>CHILE</v>
          </cell>
        </row>
        <row r="42850">
          <cell r="L42850" t="str">
            <v>Proportional</v>
          </cell>
          <cell r="S42850">
            <v>-375000</v>
          </cell>
          <cell r="X42850" t="str">
            <v>Variation UPR - gross</v>
          </cell>
          <cell r="Y42850" t="str">
            <v>PORTUGAL</v>
          </cell>
        </row>
        <row r="42851">
          <cell r="L42851" t="str">
            <v>Non-proportional</v>
          </cell>
          <cell r="S42851">
            <v>-638.52</v>
          </cell>
          <cell r="X42851" t="str">
            <v>Variation UPR - gross</v>
          </cell>
          <cell r="Y42851" t="str">
            <v>MALTA</v>
          </cell>
        </row>
        <row r="42852">
          <cell r="L42852" t="str">
            <v>Proportional</v>
          </cell>
          <cell r="S42852">
            <v>-1995.95</v>
          </cell>
          <cell r="X42852" t="str">
            <v>Variation UPR - gross</v>
          </cell>
          <cell r="Y42852" t="str">
            <v>REPUBLIC OF IRELAND</v>
          </cell>
        </row>
        <row r="42853">
          <cell r="L42853" t="str">
            <v>Non-proportional</v>
          </cell>
          <cell r="S42853">
            <v>-698.58</v>
          </cell>
          <cell r="X42853" t="str">
            <v>Variation UPR - gross</v>
          </cell>
          <cell r="Y42853" t="str">
            <v>ITALY</v>
          </cell>
        </row>
        <row r="42854">
          <cell r="L42854" t="str">
            <v>Non-proportional</v>
          </cell>
          <cell r="S42854">
            <v>-3973.55</v>
          </cell>
          <cell r="X42854" t="str">
            <v>Variation UPR - gross</v>
          </cell>
          <cell r="Y42854" t="str">
            <v>ECUADOR</v>
          </cell>
        </row>
        <row r="42855">
          <cell r="L42855" t="str">
            <v>Non-proportional</v>
          </cell>
          <cell r="S42855">
            <v>-178487.38</v>
          </cell>
          <cell r="X42855" t="str">
            <v>Variation UPR - gross</v>
          </cell>
          <cell r="Y42855" t="str">
            <v>PORTUGAL</v>
          </cell>
        </row>
        <row r="42856">
          <cell r="L42856" t="str">
            <v>Non-proportional</v>
          </cell>
          <cell r="S42856">
            <v>0.02</v>
          </cell>
          <cell r="X42856" t="str">
            <v>Variation UPR - gross</v>
          </cell>
          <cell r="Y42856" t="str">
            <v>COLOMBIA</v>
          </cell>
        </row>
        <row r="42857">
          <cell r="L42857" t="str">
            <v>Proportional</v>
          </cell>
          <cell r="S42857">
            <v>341557.22</v>
          </cell>
          <cell r="X42857" t="str">
            <v>Variation UPR - gross</v>
          </cell>
          <cell r="Y42857" t="str">
            <v>JAPAN</v>
          </cell>
        </row>
        <row r="42858">
          <cell r="L42858" t="str">
            <v>Non-proportional</v>
          </cell>
          <cell r="S42858">
            <v>-90166.04</v>
          </cell>
          <cell r="X42858" t="str">
            <v>Variation UPR - gross</v>
          </cell>
          <cell r="Y42858" t="str">
            <v>UNITED KINGDOM</v>
          </cell>
        </row>
        <row r="42859">
          <cell r="L42859" t="str">
            <v>Proportional</v>
          </cell>
          <cell r="S42859">
            <v>-435083.9</v>
          </cell>
          <cell r="X42859" t="str">
            <v>Variation UPR - gross</v>
          </cell>
          <cell r="Y42859" t="str">
            <v>UNITED STATES</v>
          </cell>
        </row>
        <row r="42860">
          <cell r="L42860" t="str">
            <v>Proportional</v>
          </cell>
          <cell r="S42860">
            <v>569.66</v>
          </cell>
          <cell r="X42860" t="str">
            <v>Variation UPR - gross</v>
          </cell>
          <cell r="Y42860" t="str">
            <v>CHILE</v>
          </cell>
        </row>
        <row r="42861">
          <cell r="L42861" t="str">
            <v>Non-proportional</v>
          </cell>
          <cell r="S42861">
            <v>-12001.33</v>
          </cell>
          <cell r="X42861" t="str">
            <v>Variation UPR - gross</v>
          </cell>
          <cell r="Y42861" t="str">
            <v>ITALY</v>
          </cell>
        </row>
        <row r="42862">
          <cell r="L42862" t="str">
            <v>Non-proportional</v>
          </cell>
          <cell r="S42862">
            <v>-1480.8</v>
          </cell>
          <cell r="X42862" t="str">
            <v>Variation UPR - gross</v>
          </cell>
          <cell r="Y42862" t="str">
            <v>FRANCE</v>
          </cell>
        </row>
        <row r="42863">
          <cell r="L42863" t="str">
            <v>Non-proportional</v>
          </cell>
          <cell r="S42863">
            <v>0.01</v>
          </cell>
          <cell r="X42863" t="str">
            <v>Variation UPR - gross</v>
          </cell>
          <cell r="Y42863" t="str">
            <v>DOMINICAN REPUBLIC</v>
          </cell>
        </row>
        <row r="42864">
          <cell r="L42864" t="str">
            <v>Non-proportional</v>
          </cell>
          <cell r="S42864">
            <v>41.67</v>
          </cell>
          <cell r="X42864" t="str">
            <v>Variation UPR - gross</v>
          </cell>
          <cell r="Y42864" t="str">
            <v>JAPAN</v>
          </cell>
        </row>
        <row r="42865">
          <cell r="L42865" t="str">
            <v>Non-proportional</v>
          </cell>
          <cell r="S42865">
            <v>0.03</v>
          </cell>
          <cell r="X42865" t="str">
            <v>Variation UPR - gross</v>
          </cell>
          <cell r="Y42865" t="str">
            <v>COLOMBIA</v>
          </cell>
        </row>
        <row r="42866">
          <cell r="L42866" t="str">
            <v>Non-proportional</v>
          </cell>
          <cell r="S42866">
            <v>-3249.09</v>
          </cell>
          <cell r="X42866" t="str">
            <v>Variation UPR - gross</v>
          </cell>
          <cell r="Y42866" t="str">
            <v>FRANCE</v>
          </cell>
        </row>
        <row r="42867">
          <cell r="L42867" t="str">
            <v>Proportional</v>
          </cell>
          <cell r="S42867">
            <v>-19878.93</v>
          </cell>
          <cell r="X42867" t="str">
            <v>Variation UPR - gross</v>
          </cell>
          <cell r="Y42867" t="str">
            <v>THAILAND</v>
          </cell>
        </row>
        <row r="42868">
          <cell r="L42868" t="str">
            <v>Non-proportional</v>
          </cell>
          <cell r="S42868">
            <v>-3592.42</v>
          </cell>
          <cell r="X42868" t="str">
            <v>Variation UPR - gross</v>
          </cell>
          <cell r="Y42868" t="str">
            <v>FRANCE</v>
          </cell>
        </row>
        <row r="42869">
          <cell r="L42869" t="str">
            <v>Non-proportional</v>
          </cell>
          <cell r="S42869">
            <v>-15417.46</v>
          </cell>
          <cell r="X42869" t="str">
            <v>Variation UPR - gross</v>
          </cell>
          <cell r="Y42869" t="str">
            <v>UNITED KINGDOM</v>
          </cell>
        </row>
        <row r="42870">
          <cell r="L42870" t="str">
            <v>Non-proportional</v>
          </cell>
          <cell r="S42870">
            <v>-7920.96</v>
          </cell>
          <cell r="X42870" t="str">
            <v>Variation UPR - gross</v>
          </cell>
          <cell r="Y42870" t="str">
            <v>MEXICO</v>
          </cell>
        </row>
        <row r="42871">
          <cell r="L42871" t="str">
            <v>Non-proportional</v>
          </cell>
          <cell r="S42871">
            <v>360.14</v>
          </cell>
          <cell r="X42871" t="str">
            <v>Variation UPR - gross</v>
          </cell>
          <cell r="Y42871" t="str">
            <v>NEW ZEALAND</v>
          </cell>
        </row>
        <row r="42872">
          <cell r="L42872" t="str">
            <v>Proportional</v>
          </cell>
          <cell r="S42872">
            <v>-12692.02</v>
          </cell>
          <cell r="X42872" t="str">
            <v>Variation UPR - gross</v>
          </cell>
          <cell r="Y42872" t="str">
            <v>CHILE</v>
          </cell>
        </row>
        <row r="42873">
          <cell r="L42873" t="str">
            <v>Non-proportional</v>
          </cell>
          <cell r="S42873">
            <v>0.01</v>
          </cell>
          <cell r="X42873" t="str">
            <v>Variation UPR - gross</v>
          </cell>
          <cell r="Y42873" t="str">
            <v>DOMINICAN REPUBLIC</v>
          </cell>
        </row>
        <row r="42874">
          <cell r="L42874" t="str">
            <v>Non-proportional</v>
          </cell>
          <cell r="S42874">
            <v>-9985.8700000000008</v>
          </cell>
          <cell r="X42874" t="str">
            <v>Variation UPR - gross</v>
          </cell>
          <cell r="Y42874" t="str">
            <v>FRANCE</v>
          </cell>
        </row>
        <row r="42875">
          <cell r="L42875" t="str">
            <v>Non-proportional</v>
          </cell>
          <cell r="S42875">
            <v>-6061.95</v>
          </cell>
          <cell r="X42875" t="str">
            <v>Variation UPR - gross</v>
          </cell>
          <cell r="Y42875" t="str">
            <v>INDIA</v>
          </cell>
        </row>
        <row r="42876">
          <cell r="L42876" t="str">
            <v>Non-proportional</v>
          </cell>
          <cell r="S42876">
            <v>-69.930000000000007</v>
          </cell>
          <cell r="X42876" t="str">
            <v>Variation UPR - gross</v>
          </cell>
          <cell r="Y42876" t="str">
            <v>CHILE</v>
          </cell>
        </row>
        <row r="42877">
          <cell r="L42877" t="str">
            <v>Non-proportional</v>
          </cell>
          <cell r="S42877">
            <v>-9056.9599999999991</v>
          </cell>
          <cell r="X42877" t="str">
            <v>Variation UPR - gross</v>
          </cell>
          <cell r="Y42877" t="str">
            <v>ISRAEL</v>
          </cell>
        </row>
        <row r="42878">
          <cell r="L42878" t="str">
            <v>Proportional</v>
          </cell>
          <cell r="S42878">
            <v>-664.32</v>
          </cell>
          <cell r="X42878" t="str">
            <v>Variation UPR - gross</v>
          </cell>
          <cell r="Y42878" t="str">
            <v>CHILE</v>
          </cell>
        </row>
        <row r="42879">
          <cell r="L42879" t="str">
            <v>Non-proportional</v>
          </cell>
          <cell r="S42879">
            <v>-2878.66</v>
          </cell>
          <cell r="X42879" t="str">
            <v>Variation UPR - gross</v>
          </cell>
          <cell r="Y42879" t="str">
            <v>JAPAN</v>
          </cell>
        </row>
        <row r="42880">
          <cell r="L42880" t="str">
            <v>Non-proportional</v>
          </cell>
          <cell r="S42880">
            <v>-102161.07</v>
          </cell>
          <cell r="X42880" t="str">
            <v>Variation UPR - gross</v>
          </cell>
          <cell r="Y42880" t="str">
            <v>HONG KONG</v>
          </cell>
        </row>
        <row r="42881">
          <cell r="L42881" t="str">
            <v>Proportional</v>
          </cell>
          <cell r="S42881">
            <v>-2458333.33</v>
          </cell>
          <cell r="X42881" t="str">
            <v>Variation UPR - gross</v>
          </cell>
          <cell r="Y42881" t="str">
            <v>PORTUGAL</v>
          </cell>
        </row>
        <row r="42882">
          <cell r="L42882" t="str">
            <v>Non-proportional</v>
          </cell>
          <cell r="S42882">
            <v>-10070.709999999999</v>
          </cell>
          <cell r="X42882" t="str">
            <v>Variation UPR - gross</v>
          </cell>
          <cell r="Y42882" t="str">
            <v>NEW ZEALAND</v>
          </cell>
        </row>
        <row r="42883">
          <cell r="L42883" t="str">
            <v>Non-proportional</v>
          </cell>
          <cell r="S42883">
            <v>-617</v>
          </cell>
          <cell r="X42883" t="str">
            <v>Variation UPR - gross</v>
          </cell>
          <cell r="Y42883" t="str">
            <v>FRANCE</v>
          </cell>
        </row>
        <row r="42884">
          <cell r="L42884" t="str">
            <v>Non-proportional</v>
          </cell>
          <cell r="S42884">
            <v>-258487.43</v>
          </cell>
          <cell r="X42884" t="str">
            <v>Variation UPR - gross</v>
          </cell>
          <cell r="Y42884" t="str">
            <v>UNITED KINGDOM</v>
          </cell>
        </row>
        <row r="42885">
          <cell r="L42885" t="str">
            <v>Non-proportional</v>
          </cell>
          <cell r="S42885">
            <v>-30.38</v>
          </cell>
          <cell r="X42885" t="str">
            <v>Variation UPR - gross</v>
          </cell>
          <cell r="Y42885" t="str">
            <v>ISRAEL</v>
          </cell>
        </row>
        <row r="42886">
          <cell r="L42886" t="str">
            <v>Non-proportional</v>
          </cell>
          <cell r="S42886">
            <v>-2587.35</v>
          </cell>
          <cell r="X42886" t="str">
            <v>Variation UPR - gross</v>
          </cell>
          <cell r="Y42886" t="str">
            <v>CHILE</v>
          </cell>
        </row>
        <row r="42887">
          <cell r="L42887" t="str">
            <v>Non-proportional</v>
          </cell>
          <cell r="S42887">
            <v>-8775.06</v>
          </cell>
          <cell r="X42887" t="str">
            <v>Variation UPR - gross</v>
          </cell>
          <cell r="Y42887" t="str">
            <v>FRANCE</v>
          </cell>
        </row>
        <row r="42888">
          <cell r="L42888" t="str">
            <v>Non-proportional</v>
          </cell>
          <cell r="S42888">
            <v>-4425.46</v>
          </cell>
          <cell r="X42888" t="str">
            <v>Variation UPR - gross</v>
          </cell>
          <cell r="Y42888" t="str">
            <v>FRANCE</v>
          </cell>
        </row>
        <row r="42889">
          <cell r="L42889" t="str">
            <v>Non-proportional</v>
          </cell>
          <cell r="S42889">
            <v>-1178960.3999999999</v>
          </cell>
          <cell r="X42889" t="str">
            <v>Variation UPR - gross</v>
          </cell>
          <cell r="Y42889" t="str">
            <v>BELGIUM</v>
          </cell>
        </row>
        <row r="42890">
          <cell r="L42890" t="str">
            <v>Proportional</v>
          </cell>
          <cell r="S42890">
            <v>-40702.44</v>
          </cell>
          <cell r="X42890" t="str">
            <v>Variation UPR - gross</v>
          </cell>
          <cell r="Y42890" t="str">
            <v>THAILAND</v>
          </cell>
        </row>
        <row r="42891">
          <cell r="L42891" t="str">
            <v>Non-proportional</v>
          </cell>
          <cell r="S42891">
            <v>-7504.35</v>
          </cell>
          <cell r="X42891" t="str">
            <v>Variation UPR - gross</v>
          </cell>
          <cell r="Y42891" t="str">
            <v>UNITED KINGDOM</v>
          </cell>
        </row>
        <row r="42892">
          <cell r="L42892" t="str">
            <v>Proportional</v>
          </cell>
          <cell r="S42892">
            <v>-94.96</v>
          </cell>
          <cell r="X42892" t="str">
            <v>Variation UPR - gross</v>
          </cell>
          <cell r="Y42892" t="str">
            <v>UNITED STATES</v>
          </cell>
        </row>
        <row r="42893">
          <cell r="L42893" t="str">
            <v>Non-proportional</v>
          </cell>
          <cell r="S42893">
            <v>-5585.22</v>
          </cell>
          <cell r="X42893" t="str">
            <v>Variation UPR - gross</v>
          </cell>
          <cell r="Y42893" t="str">
            <v>ISRAEL</v>
          </cell>
        </row>
        <row r="42894">
          <cell r="L42894" t="str">
            <v>Non-proportional</v>
          </cell>
          <cell r="S42894">
            <v>-343.93</v>
          </cell>
          <cell r="X42894" t="str">
            <v>Variation UPR - gross</v>
          </cell>
          <cell r="Y42894" t="str">
            <v>COLOMBIA</v>
          </cell>
        </row>
        <row r="42895">
          <cell r="L42895" t="str">
            <v>Non-proportional</v>
          </cell>
          <cell r="S42895">
            <v>-2663.38</v>
          </cell>
          <cell r="X42895" t="str">
            <v>Variation UPR - gross</v>
          </cell>
          <cell r="Y42895" t="str">
            <v>DOMINICAN REPUBLIC</v>
          </cell>
        </row>
        <row r="42896">
          <cell r="L42896" t="str">
            <v>Non-proportional</v>
          </cell>
          <cell r="S42896">
            <v>-34.96</v>
          </cell>
          <cell r="X42896" t="str">
            <v>Variation UPR - gross</v>
          </cell>
          <cell r="Y42896" t="str">
            <v>CHILE</v>
          </cell>
        </row>
        <row r="42897">
          <cell r="L42897" t="str">
            <v>Non-proportional</v>
          </cell>
          <cell r="S42897">
            <v>-2535.4</v>
          </cell>
          <cell r="X42897" t="str">
            <v>Variation UPR - gross</v>
          </cell>
          <cell r="Y42897" t="str">
            <v>ECUADOR</v>
          </cell>
        </row>
        <row r="42898">
          <cell r="L42898" t="str">
            <v>Proportional</v>
          </cell>
          <cell r="S42898">
            <v>-3814.73</v>
          </cell>
          <cell r="X42898" t="str">
            <v>Variation UPR - gross</v>
          </cell>
          <cell r="Y42898" t="str">
            <v>THAILAND</v>
          </cell>
        </row>
        <row r="42899">
          <cell r="L42899" t="str">
            <v>Non-proportional</v>
          </cell>
          <cell r="S42899">
            <v>-771.5</v>
          </cell>
          <cell r="X42899" t="str">
            <v>Variation UPR - gross</v>
          </cell>
          <cell r="Y42899" t="str">
            <v>GERMANY</v>
          </cell>
        </row>
        <row r="42900">
          <cell r="L42900" t="str">
            <v>Non-proportional</v>
          </cell>
          <cell r="S42900">
            <v>-2195.5500000000002</v>
          </cell>
          <cell r="X42900" t="str">
            <v>Variation UPR - gross</v>
          </cell>
          <cell r="Y42900" t="str">
            <v>CHINA</v>
          </cell>
        </row>
        <row r="42901">
          <cell r="L42901" t="str">
            <v>Non-proportional</v>
          </cell>
          <cell r="S42901">
            <v>-839.14</v>
          </cell>
          <cell r="X42901" t="str">
            <v>Variation UPR - gross</v>
          </cell>
          <cell r="Y42901" t="str">
            <v>CHILE</v>
          </cell>
        </row>
        <row r="42902">
          <cell r="L42902" t="str">
            <v>Non-proportional</v>
          </cell>
          <cell r="S42902">
            <v>-89938.33</v>
          </cell>
          <cell r="X42902" t="str">
            <v>Variation UPR - gross</v>
          </cell>
          <cell r="Y42902" t="str">
            <v>PORTUGAL</v>
          </cell>
        </row>
        <row r="42903">
          <cell r="L42903" t="str">
            <v>Non-proportional</v>
          </cell>
          <cell r="S42903">
            <v>-6201.21</v>
          </cell>
          <cell r="X42903" t="str">
            <v>Variation UPR - gross</v>
          </cell>
          <cell r="Y42903" t="str">
            <v>THAILAND</v>
          </cell>
        </row>
        <row r="42904">
          <cell r="L42904" t="str">
            <v>Non-proportional</v>
          </cell>
          <cell r="S42904">
            <v>-9977.5</v>
          </cell>
          <cell r="X42904" t="str">
            <v>Variation UPR - gross</v>
          </cell>
          <cell r="Y42904" t="str">
            <v>ITALY</v>
          </cell>
        </row>
        <row r="42905">
          <cell r="L42905" t="str">
            <v>Non-proportional</v>
          </cell>
          <cell r="S42905">
            <v>12.63</v>
          </cell>
          <cell r="X42905" t="str">
            <v>Variation UPR - gross</v>
          </cell>
          <cell r="Y42905" t="str">
            <v>NEW ZEALAND</v>
          </cell>
        </row>
        <row r="42906">
          <cell r="L42906" t="str">
            <v>Proportional</v>
          </cell>
          <cell r="S42906">
            <v>3497.2</v>
          </cell>
          <cell r="X42906" t="str">
            <v>Variation UPR - gross</v>
          </cell>
          <cell r="Y42906" t="str">
            <v>INDIA</v>
          </cell>
        </row>
        <row r="42907">
          <cell r="L42907" t="str">
            <v>Non-proportional</v>
          </cell>
          <cell r="S42907">
            <v>-11694.8</v>
          </cell>
          <cell r="X42907" t="str">
            <v>Variation UPR - gross</v>
          </cell>
          <cell r="Y42907" t="str">
            <v>AUSTRALIA</v>
          </cell>
        </row>
        <row r="42908">
          <cell r="L42908" t="str">
            <v>Non-proportional</v>
          </cell>
          <cell r="S42908">
            <v>-6558.25</v>
          </cell>
          <cell r="X42908" t="str">
            <v>Variation UPR - gross</v>
          </cell>
          <cell r="Y42908" t="str">
            <v>INDIA</v>
          </cell>
        </row>
        <row r="42909">
          <cell r="L42909" t="str">
            <v>Non-proportional</v>
          </cell>
          <cell r="S42909">
            <v>-24179.16</v>
          </cell>
          <cell r="X42909" t="str">
            <v>Variation UPR - gross</v>
          </cell>
          <cell r="Y42909" t="str">
            <v>NEW ZEALAND</v>
          </cell>
        </row>
        <row r="42910">
          <cell r="L42910" t="str">
            <v>Non-proportional</v>
          </cell>
          <cell r="S42910">
            <v>-240.15</v>
          </cell>
          <cell r="X42910" t="str">
            <v>Variation UPR - gross</v>
          </cell>
          <cell r="Y42910" t="str">
            <v>NEW ZEALAND</v>
          </cell>
        </row>
        <row r="42911">
          <cell r="L42911" t="str">
            <v>Non-proportional</v>
          </cell>
          <cell r="S42911">
            <v>-2686.68</v>
          </cell>
          <cell r="X42911" t="str">
            <v>Variation UPR - gross</v>
          </cell>
          <cell r="Y42911" t="str">
            <v>MALTA</v>
          </cell>
        </row>
        <row r="42912">
          <cell r="L42912" t="str">
            <v>Proportional</v>
          </cell>
          <cell r="S42912">
            <v>-130665.83</v>
          </cell>
          <cell r="X42912" t="str">
            <v>Variation UPR - gross</v>
          </cell>
          <cell r="Y42912" t="str">
            <v>JAPAN</v>
          </cell>
        </row>
        <row r="42913">
          <cell r="L42913" t="str">
            <v>Non-proportional</v>
          </cell>
          <cell r="S42913">
            <v>-988.74</v>
          </cell>
          <cell r="X42913" t="str">
            <v>Variation UPR - gross</v>
          </cell>
          <cell r="Y42913" t="str">
            <v>JAPAN</v>
          </cell>
        </row>
        <row r="42914">
          <cell r="L42914" t="str">
            <v>Non-proportional</v>
          </cell>
          <cell r="S42914">
            <v>-964.19</v>
          </cell>
          <cell r="X42914" t="str">
            <v>Variation UPR - gross</v>
          </cell>
          <cell r="Y42914" t="str">
            <v>ISRAEL</v>
          </cell>
        </row>
        <row r="42915">
          <cell r="L42915" t="str">
            <v>Proportional</v>
          </cell>
          <cell r="S42915">
            <v>484.2</v>
          </cell>
          <cell r="X42915" t="str">
            <v>Variation UPR - gross</v>
          </cell>
          <cell r="Y42915" t="str">
            <v>THAILAND</v>
          </cell>
        </row>
        <row r="42916">
          <cell r="L42916" t="str">
            <v>Non-proportional</v>
          </cell>
          <cell r="S42916">
            <v>-1651.37</v>
          </cell>
          <cell r="X42916" t="str">
            <v>Variation UPR - gross</v>
          </cell>
          <cell r="Y42916" t="str">
            <v>JAPAN</v>
          </cell>
        </row>
        <row r="42917">
          <cell r="L42917" t="str">
            <v>Non-proportional</v>
          </cell>
          <cell r="S42917">
            <v>-146.28</v>
          </cell>
          <cell r="X42917" t="str">
            <v>Variation UPR - gross</v>
          </cell>
          <cell r="Y42917" t="str">
            <v>FRANCE</v>
          </cell>
        </row>
        <row r="42918">
          <cell r="L42918" t="str">
            <v>Non-proportional</v>
          </cell>
          <cell r="S42918">
            <v>-109104.87</v>
          </cell>
          <cell r="X42918" t="str">
            <v>Variation UPR - gross</v>
          </cell>
          <cell r="Y42918" t="str">
            <v>UNITED KINGDOM</v>
          </cell>
        </row>
        <row r="42919">
          <cell r="L42919" t="str">
            <v>Non-proportional</v>
          </cell>
          <cell r="S42919">
            <v>-38481.440000000002</v>
          </cell>
          <cell r="X42919" t="str">
            <v>Variation UPR - gross</v>
          </cell>
          <cell r="Y42919" t="str">
            <v>UNITED STATES</v>
          </cell>
        </row>
        <row r="42920">
          <cell r="L42920" t="str">
            <v>Proportional</v>
          </cell>
          <cell r="S42920">
            <v>-8879.7999999999993</v>
          </cell>
          <cell r="X42920" t="str">
            <v>Variation UPR - gross</v>
          </cell>
          <cell r="Y42920" t="str">
            <v>HONG KONG</v>
          </cell>
        </row>
        <row r="42921">
          <cell r="L42921" t="str">
            <v>Non-proportional</v>
          </cell>
          <cell r="S42921">
            <v>-10974.83</v>
          </cell>
          <cell r="X42921" t="str">
            <v>Variation UPR - gross</v>
          </cell>
          <cell r="Y42921" t="str">
            <v>GERMANY</v>
          </cell>
        </row>
        <row r="42922">
          <cell r="L42922" t="str">
            <v>Non-proportional</v>
          </cell>
          <cell r="S42922">
            <v>100.53</v>
          </cell>
          <cell r="X42922" t="str">
            <v>Variation UPR - gross</v>
          </cell>
          <cell r="Y42922" t="str">
            <v>AUSTRALIA</v>
          </cell>
        </row>
        <row r="42923">
          <cell r="L42923" t="str">
            <v>Non-proportional</v>
          </cell>
          <cell r="S42923">
            <v>-2355.6</v>
          </cell>
          <cell r="X42923" t="str">
            <v>Variation UPR - gross</v>
          </cell>
          <cell r="Y42923" t="str">
            <v>UNITED KINGDOM</v>
          </cell>
        </row>
        <row r="42924">
          <cell r="L42924" t="str">
            <v>Non-proportional</v>
          </cell>
          <cell r="S42924">
            <v>-336237.52</v>
          </cell>
          <cell r="X42924" t="str">
            <v>Variation UPR - gross</v>
          </cell>
          <cell r="Y42924" t="str">
            <v>UNITED KINGDOM</v>
          </cell>
        </row>
        <row r="42925">
          <cell r="L42925" t="str">
            <v>Proportional</v>
          </cell>
          <cell r="S42925">
            <v>8910.59</v>
          </cell>
          <cell r="X42925" t="str">
            <v>Variation UPR - gross</v>
          </cell>
          <cell r="Y42925" t="str">
            <v>ITALY</v>
          </cell>
        </row>
        <row r="42926">
          <cell r="L42926" t="str">
            <v>Non-proportional</v>
          </cell>
          <cell r="S42926">
            <v>-1791.59</v>
          </cell>
          <cell r="X42926" t="str">
            <v>Variation UPR - gross</v>
          </cell>
          <cell r="Y42926" t="str">
            <v>PERU</v>
          </cell>
        </row>
        <row r="42927">
          <cell r="L42927" t="str">
            <v>Proportional</v>
          </cell>
          <cell r="S42927">
            <v>1161.8499999999999</v>
          </cell>
          <cell r="X42927" t="str">
            <v>Variation UPR - gross</v>
          </cell>
          <cell r="Y42927" t="str">
            <v>UNITED STATES</v>
          </cell>
        </row>
        <row r="42928">
          <cell r="L42928" t="str">
            <v>Non-proportional</v>
          </cell>
          <cell r="S42928">
            <v>258.56</v>
          </cell>
          <cell r="X42928" t="str">
            <v>Variation UPR - gross</v>
          </cell>
          <cell r="Y42928" t="str">
            <v>INDIA</v>
          </cell>
        </row>
        <row r="42929">
          <cell r="L42929" t="str">
            <v>Non-proportional</v>
          </cell>
          <cell r="S42929">
            <v>-2018.57</v>
          </cell>
          <cell r="X42929" t="str">
            <v>Variation UPR - gross</v>
          </cell>
          <cell r="Y42929" t="str">
            <v>BELIZE</v>
          </cell>
        </row>
        <row r="42930">
          <cell r="L42930" t="str">
            <v>Proportional</v>
          </cell>
          <cell r="S42930">
            <v>-2505.08</v>
          </cell>
          <cell r="X42930" t="str">
            <v>Variation UPR - gross</v>
          </cell>
          <cell r="Y42930" t="str">
            <v>PERU</v>
          </cell>
        </row>
        <row r="42931">
          <cell r="L42931" t="str">
            <v>Non-proportional</v>
          </cell>
          <cell r="S42931">
            <v>-40799.89</v>
          </cell>
          <cell r="X42931" t="str">
            <v>Variation UPR - gross</v>
          </cell>
          <cell r="Y42931" t="str">
            <v>TURKEY</v>
          </cell>
        </row>
        <row r="42932">
          <cell r="L42932" t="str">
            <v>Proportional</v>
          </cell>
          <cell r="S42932">
            <v>-51625</v>
          </cell>
          <cell r="X42932" t="str">
            <v>Variation UPR - gross</v>
          </cell>
          <cell r="Y42932" t="str">
            <v>ITALY</v>
          </cell>
        </row>
        <row r="42933">
          <cell r="L42933" t="str">
            <v>Non-proportional</v>
          </cell>
          <cell r="S42933">
            <v>-3504.2</v>
          </cell>
          <cell r="X42933" t="str">
            <v>Variation UPR - gross</v>
          </cell>
          <cell r="Y42933" t="str">
            <v>UNITED KINGDOM</v>
          </cell>
        </row>
        <row r="42934">
          <cell r="L42934" t="str">
            <v>Proportional</v>
          </cell>
          <cell r="S42934">
            <v>-5181.3</v>
          </cell>
          <cell r="X42934" t="str">
            <v>Variation UPR - gross</v>
          </cell>
          <cell r="Y42934" t="str">
            <v>HONG KONG</v>
          </cell>
        </row>
        <row r="42935">
          <cell r="L42935" t="str">
            <v>Non-proportional</v>
          </cell>
          <cell r="S42935">
            <v>-1827.78</v>
          </cell>
          <cell r="X42935" t="str">
            <v>Variation UPR - gross</v>
          </cell>
          <cell r="Y42935" t="str">
            <v>PERU</v>
          </cell>
        </row>
        <row r="42936">
          <cell r="L42936" t="str">
            <v>Non-proportional</v>
          </cell>
          <cell r="S42936">
            <v>-1546248.92</v>
          </cell>
          <cell r="X42936" t="str">
            <v>Variation UPR - gross</v>
          </cell>
          <cell r="Y42936" t="str">
            <v>BELGIUM</v>
          </cell>
        </row>
        <row r="42937">
          <cell r="L42937" t="str">
            <v>Non-proportional</v>
          </cell>
          <cell r="S42937">
            <v>-176.93</v>
          </cell>
          <cell r="X42937" t="str">
            <v>Variation UPR - gross</v>
          </cell>
          <cell r="Y42937" t="str">
            <v>JAPAN</v>
          </cell>
        </row>
        <row r="42938">
          <cell r="L42938" t="str">
            <v>Proportional</v>
          </cell>
          <cell r="S42938">
            <v>96675188.549999997</v>
          </cell>
          <cell r="X42938" t="str">
            <v>Variation UPR - gross</v>
          </cell>
          <cell r="Y42938" t="str">
            <v>ITALY</v>
          </cell>
        </row>
        <row r="42939">
          <cell r="L42939" t="str">
            <v>Non-proportional</v>
          </cell>
          <cell r="S42939">
            <v>-721.69</v>
          </cell>
          <cell r="X42939" t="str">
            <v>Variation UPR - gross</v>
          </cell>
          <cell r="Y42939" t="str">
            <v>INDIA</v>
          </cell>
        </row>
        <row r="42940">
          <cell r="L42940" t="str">
            <v>Non-proportional</v>
          </cell>
          <cell r="S42940">
            <v>-174.82</v>
          </cell>
          <cell r="X42940" t="str">
            <v>Variation UPR - gross</v>
          </cell>
          <cell r="Y42940" t="str">
            <v>CHILE</v>
          </cell>
        </row>
        <row r="42941">
          <cell r="L42941" t="str">
            <v>Proportional</v>
          </cell>
          <cell r="S42941">
            <v>-107.04</v>
          </cell>
          <cell r="X42941" t="str">
            <v>Variation UPR - gross</v>
          </cell>
          <cell r="Y42941" t="str">
            <v>THAILAND</v>
          </cell>
        </row>
        <row r="42942">
          <cell r="L42942" t="str">
            <v>Non-proportional</v>
          </cell>
          <cell r="S42942">
            <v>-1718</v>
          </cell>
          <cell r="X42942" t="str">
            <v>Variation UPR - gross</v>
          </cell>
          <cell r="Y42942" t="str">
            <v>FRANCE</v>
          </cell>
        </row>
        <row r="42943">
          <cell r="L42943" t="str">
            <v>Proportional</v>
          </cell>
          <cell r="S42943">
            <v>-13713.02</v>
          </cell>
          <cell r="X42943" t="str">
            <v>Variation UPR - gross</v>
          </cell>
          <cell r="Y42943" t="str">
            <v>JAPAN</v>
          </cell>
        </row>
        <row r="42944">
          <cell r="L42944" t="str">
            <v>Non-proportional</v>
          </cell>
          <cell r="S42944">
            <v>-2834.9</v>
          </cell>
          <cell r="X42944" t="str">
            <v>Variation UPR - gross</v>
          </cell>
          <cell r="Y42944" t="str">
            <v>JAPAN</v>
          </cell>
        </row>
        <row r="42945">
          <cell r="L42945" t="str">
            <v>Non-proportional</v>
          </cell>
          <cell r="S42945">
            <v>-1596.97</v>
          </cell>
          <cell r="X42945" t="str">
            <v>Variation UPR - gross</v>
          </cell>
          <cell r="Y42945" t="str">
            <v>COSTA RICA</v>
          </cell>
        </row>
        <row r="42946">
          <cell r="L42946" t="str">
            <v>Proportional</v>
          </cell>
          <cell r="S42946">
            <v>-18519.61</v>
          </cell>
          <cell r="X42946" t="str">
            <v>Variation UPR - gross</v>
          </cell>
          <cell r="Y42946" t="str">
            <v>THAILAND</v>
          </cell>
        </row>
        <row r="42947">
          <cell r="L42947" t="str">
            <v>Non-proportional</v>
          </cell>
          <cell r="S42947">
            <v>-893.62</v>
          </cell>
          <cell r="X42947" t="str">
            <v>Variation UPR - gross</v>
          </cell>
          <cell r="Y42947" t="str">
            <v>SOUTH AFRICA</v>
          </cell>
        </row>
        <row r="42948">
          <cell r="L42948" t="str">
            <v>Non-proportional</v>
          </cell>
          <cell r="S42948">
            <v>-349.64</v>
          </cell>
          <cell r="X42948" t="str">
            <v>Variation UPR - gross</v>
          </cell>
          <cell r="Y42948" t="str">
            <v>CHILE</v>
          </cell>
        </row>
        <row r="42949">
          <cell r="L42949" t="str">
            <v>Proportional</v>
          </cell>
          <cell r="S42949">
            <v>-3642.94</v>
          </cell>
          <cell r="X42949" t="str">
            <v>Variation UPR - gross</v>
          </cell>
          <cell r="Y42949" t="str">
            <v>PERU</v>
          </cell>
        </row>
        <row r="42950">
          <cell r="L42950" t="str">
            <v>Non-proportional</v>
          </cell>
          <cell r="S42950">
            <v>-5118.93</v>
          </cell>
          <cell r="X42950" t="str">
            <v>Variation UPR - gross</v>
          </cell>
          <cell r="Y42950" t="str">
            <v>ISRAEL</v>
          </cell>
        </row>
        <row r="42951">
          <cell r="L42951" t="str">
            <v>Proportional</v>
          </cell>
          <cell r="S42951">
            <v>-204254.32</v>
          </cell>
          <cell r="X42951" t="str">
            <v>Variation UPR - gross</v>
          </cell>
          <cell r="Y42951" t="str">
            <v>UNITED STATES</v>
          </cell>
        </row>
        <row r="42952">
          <cell r="L42952" t="str">
            <v>Proportional</v>
          </cell>
          <cell r="S42952">
            <v>-3310.04</v>
          </cell>
          <cell r="X42952" t="str">
            <v>Variation UPR - gross</v>
          </cell>
          <cell r="Y42952" t="str">
            <v>THAILAND</v>
          </cell>
        </row>
        <row r="42953">
          <cell r="L42953" t="str">
            <v>Proportional</v>
          </cell>
          <cell r="S42953">
            <v>-4069.33</v>
          </cell>
          <cell r="X42953" t="str">
            <v>Variation UPR - gross</v>
          </cell>
          <cell r="Y42953" t="str">
            <v>JAPAN</v>
          </cell>
        </row>
        <row r="42954">
          <cell r="L42954" t="str">
            <v>Non-proportional</v>
          </cell>
          <cell r="S42954">
            <v>0.02</v>
          </cell>
          <cell r="X42954" t="str">
            <v>Variation UPR - gross</v>
          </cell>
          <cell r="Y42954" t="str">
            <v>COLOMBIA</v>
          </cell>
        </row>
        <row r="42955">
          <cell r="L42955" t="str">
            <v>Non-proportional</v>
          </cell>
          <cell r="S42955">
            <v>-2999.74</v>
          </cell>
          <cell r="X42955" t="str">
            <v>Variation UPR - gross</v>
          </cell>
          <cell r="Y42955" t="str">
            <v>NETHERLANDS</v>
          </cell>
        </row>
        <row r="42956">
          <cell r="L42956" t="str">
            <v>Non-proportional</v>
          </cell>
          <cell r="S42956">
            <v>-1459.87</v>
          </cell>
          <cell r="X42956" t="str">
            <v>Variation UPR - gross</v>
          </cell>
          <cell r="Y42956" t="str">
            <v>GUATEMALA</v>
          </cell>
        </row>
        <row r="42957">
          <cell r="L42957" t="str">
            <v>Non-proportional</v>
          </cell>
          <cell r="S42957">
            <v>-9500.14</v>
          </cell>
          <cell r="X42957" t="str">
            <v>Variation UPR - gross</v>
          </cell>
          <cell r="Y42957" t="str">
            <v>TURKEY</v>
          </cell>
        </row>
        <row r="42958">
          <cell r="L42958" t="str">
            <v>Non-proportional</v>
          </cell>
          <cell r="S42958">
            <v>-3828.13</v>
          </cell>
          <cell r="X42958" t="str">
            <v>Variation UPR - gross</v>
          </cell>
          <cell r="Y42958" t="str">
            <v>ITALY</v>
          </cell>
        </row>
        <row r="42959">
          <cell r="L42959" t="str">
            <v>Non-proportional</v>
          </cell>
          <cell r="S42959">
            <v>-115.44</v>
          </cell>
          <cell r="X42959" t="str">
            <v>Variation UPR - gross</v>
          </cell>
          <cell r="Y42959" t="str">
            <v>THAILAND</v>
          </cell>
        </row>
        <row r="42960">
          <cell r="L42960" t="str">
            <v>Non-proportional</v>
          </cell>
          <cell r="S42960">
            <v>-728.75</v>
          </cell>
          <cell r="X42960" t="str">
            <v>Variation UPR - gross</v>
          </cell>
          <cell r="Y42960" t="str">
            <v>ITALY</v>
          </cell>
        </row>
        <row r="42961">
          <cell r="L42961" t="str">
            <v>Non-proportional</v>
          </cell>
          <cell r="S42961">
            <v>-4078.13</v>
          </cell>
          <cell r="X42961" t="str">
            <v>Variation UPR - gross</v>
          </cell>
          <cell r="Y42961" t="str">
            <v>GREECE</v>
          </cell>
        </row>
        <row r="42962">
          <cell r="L42962" t="str">
            <v>Non-proportional</v>
          </cell>
          <cell r="S42962">
            <v>-3480.63</v>
          </cell>
          <cell r="X42962" t="str">
            <v>Variation UPR - gross</v>
          </cell>
          <cell r="Y42962" t="str">
            <v>ISRAEL</v>
          </cell>
        </row>
        <row r="42963">
          <cell r="L42963" t="str">
            <v>Non-proportional</v>
          </cell>
          <cell r="S42963">
            <v>-1061352.4099999999</v>
          </cell>
          <cell r="X42963" t="str">
            <v>Variation UPR - gross</v>
          </cell>
          <cell r="Y42963" t="str">
            <v>BELGIUM</v>
          </cell>
        </row>
        <row r="42964">
          <cell r="L42964" t="str">
            <v>Non-proportional</v>
          </cell>
          <cell r="S42964">
            <v>-9573.61</v>
          </cell>
          <cell r="X42964" t="str">
            <v>Variation UPR - gross</v>
          </cell>
          <cell r="Y42964" t="str">
            <v>PERU</v>
          </cell>
        </row>
        <row r="42965">
          <cell r="L42965" t="str">
            <v>Non-proportional</v>
          </cell>
          <cell r="S42965">
            <v>-5249.35</v>
          </cell>
          <cell r="X42965" t="str">
            <v>Variation UPR - gross</v>
          </cell>
          <cell r="Y42965" t="str">
            <v>NEW ZEALAND</v>
          </cell>
        </row>
        <row r="42966">
          <cell r="L42966" t="str">
            <v>Non-proportional</v>
          </cell>
          <cell r="S42966">
            <v>-11261.16</v>
          </cell>
          <cell r="X42966" t="str">
            <v>Variation UPR - gross</v>
          </cell>
          <cell r="Y42966" t="str">
            <v>AUSTRALIA</v>
          </cell>
        </row>
        <row r="42967">
          <cell r="L42967" t="str">
            <v>Non-proportional</v>
          </cell>
          <cell r="S42967">
            <v>90.27</v>
          </cell>
          <cell r="X42967" t="str">
            <v>Variation UPR - gross</v>
          </cell>
          <cell r="Y42967" t="str">
            <v>JAPAN</v>
          </cell>
        </row>
        <row r="42968">
          <cell r="L42968" t="str">
            <v>Proportional</v>
          </cell>
          <cell r="S42968">
            <v>-15629.02</v>
          </cell>
          <cell r="X42968" t="str">
            <v>Variation UPR - gross</v>
          </cell>
          <cell r="Y42968" t="str">
            <v>CHILE</v>
          </cell>
        </row>
        <row r="42969">
          <cell r="L42969" t="str">
            <v>Non-proportional</v>
          </cell>
          <cell r="S42969">
            <v>-1625.6</v>
          </cell>
          <cell r="X42969" t="str">
            <v>Variation UPR - gross</v>
          </cell>
          <cell r="Y42969" t="str">
            <v>JAPAN</v>
          </cell>
        </row>
        <row r="42970">
          <cell r="L42970" t="str">
            <v>Non-proportional</v>
          </cell>
          <cell r="S42970">
            <v>-75427.34</v>
          </cell>
          <cell r="X42970" t="str">
            <v>Variation UPR - gross</v>
          </cell>
          <cell r="Y42970" t="str">
            <v>UNITED KINGDOM</v>
          </cell>
        </row>
        <row r="42971">
          <cell r="L42971" t="str">
            <v>Proportional</v>
          </cell>
          <cell r="S42971">
            <v>415.03</v>
          </cell>
          <cell r="X42971" t="str">
            <v>Variation UPR - gross</v>
          </cell>
          <cell r="Y42971" t="str">
            <v>THAILAND</v>
          </cell>
        </row>
        <row r="42972">
          <cell r="L42972" t="str">
            <v>Non-proportional</v>
          </cell>
          <cell r="S42972">
            <v>-355.24</v>
          </cell>
          <cell r="X42972" t="str">
            <v>Variation UPR - gross</v>
          </cell>
          <cell r="Y42972" t="str">
            <v>DOMINICAN REPUBLIC</v>
          </cell>
        </row>
        <row r="42973">
          <cell r="L42973" t="str">
            <v>Non-proportional</v>
          </cell>
          <cell r="S42973">
            <v>65.48</v>
          </cell>
          <cell r="X42973" t="str">
            <v>Variation UPR - gross</v>
          </cell>
          <cell r="Y42973" t="str">
            <v>CANADA</v>
          </cell>
        </row>
        <row r="42974">
          <cell r="L42974" t="str">
            <v>Non-proportional</v>
          </cell>
          <cell r="S42974">
            <v>-6278.98</v>
          </cell>
          <cell r="X42974" t="str">
            <v>Variation UPR - gross</v>
          </cell>
          <cell r="Y42974" t="str">
            <v>FRANCE</v>
          </cell>
        </row>
        <row r="42975">
          <cell r="L42975" t="str">
            <v>Non-proportional</v>
          </cell>
          <cell r="S42975">
            <v>24.34</v>
          </cell>
          <cell r="X42975" t="str">
            <v>Variation UPR - gross</v>
          </cell>
          <cell r="Y42975" t="str">
            <v>AUSTRALIA</v>
          </cell>
        </row>
        <row r="42976">
          <cell r="L42976" t="str">
            <v>Non-proportional</v>
          </cell>
          <cell r="S42976">
            <v>-4284.68</v>
          </cell>
          <cell r="X42976" t="str">
            <v>Variation UPR - gross</v>
          </cell>
          <cell r="Y42976" t="str">
            <v>COLOMBIA</v>
          </cell>
        </row>
        <row r="42977">
          <cell r="L42977" t="str">
            <v>Non-proportional</v>
          </cell>
          <cell r="S42977">
            <v>-26854.35</v>
          </cell>
          <cell r="X42977" t="str">
            <v>Variation UPR - gross</v>
          </cell>
          <cell r="Y42977" t="str">
            <v>TURKEY</v>
          </cell>
        </row>
        <row r="42978">
          <cell r="L42978" t="str">
            <v>Non-proportional</v>
          </cell>
          <cell r="S42978">
            <v>-898.87</v>
          </cell>
          <cell r="X42978" t="str">
            <v>Variation UPR - gross</v>
          </cell>
          <cell r="Y42978" t="str">
            <v>FRANCE</v>
          </cell>
        </row>
        <row r="42979">
          <cell r="L42979" t="str">
            <v>Non-proportional</v>
          </cell>
          <cell r="S42979">
            <v>-318.52999999999997</v>
          </cell>
          <cell r="X42979" t="str">
            <v>Variation UPR - gross</v>
          </cell>
          <cell r="Y42979" t="str">
            <v>TURKEY</v>
          </cell>
        </row>
        <row r="42980">
          <cell r="L42980" t="str">
            <v>Non-proportional</v>
          </cell>
          <cell r="S42980">
            <v>-7267.71</v>
          </cell>
          <cell r="X42980" t="str">
            <v>Variation UPR - gross</v>
          </cell>
          <cell r="Y42980" t="str">
            <v>FRANCE</v>
          </cell>
        </row>
        <row r="42981">
          <cell r="L42981" t="str">
            <v>Proportional</v>
          </cell>
          <cell r="S42981">
            <v>-2950</v>
          </cell>
          <cell r="X42981" t="str">
            <v>Variation UPR - gross</v>
          </cell>
          <cell r="Y42981" t="str">
            <v>ITALY</v>
          </cell>
        </row>
        <row r="42982">
          <cell r="L42982" t="str">
            <v>Proportional</v>
          </cell>
          <cell r="S42982">
            <v>-155831.53</v>
          </cell>
          <cell r="X42982" t="str">
            <v>Variation UPR - gross</v>
          </cell>
          <cell r="Y42982" t="str">
            <v>HONG KONG</v>
          </cell>
        </row>
        <row r="42983">
          <cell r="L42983" t="str">
            <v>Proportional</v>
          </cell>
          <cell r="S42983">
            <v>-3565.52</v>
          </cell>
          <cell r="X42983" t="str">
            <v>Variation UPR - gross</v>
          </cell>
          <cell r="Y42983" t="str">
            <v>ITALY</v>
          </cell>
        </row>
        <row r="42984">
          <cell r="L42984" t="str">
            <v>Non-proportional</v>
          </cell>
          <cell r="S42984">
            <v>68.150000000000006</v>
          </cell>
          <cell r="X42984" t="str">
            <v>Variation UPR - gross</v>
          </cell>
          <cell r="Y42984" t="str">
            <v>JAPAN</v>
          </cell>
        </row>
        <row r="42985">
          <cell r="L42985" t="str">
            <v>Non-proportional</v>
          </cell>
          <cell r="S42985">
            <v>-580.74</v>
          </cell>
          <cell r="X42985" t="str">
            <v>Variation UPR - gross</v>
          </cell>
          <cell r="Y42985" t="str">
            <v>MEXICO</v>
          </cell>
        </row>
        <row r="42986">
          <cell r="L42986" t="str">
            <v>Non-proportional</v>
          </cell>
          <cell r="S42986">
            <v>-2606.33</v>
          </cell>
          <cell r="X42986" t="str">
            <v>Variation UPR - gross</v>
          </cell>
          <cell r="Y42986" t="str">
            <v>UNITED KINGDOM</v>
          </cell>
        </row>
        <row r="42987">
          <cell r="L42987" t="str">
            <v>Non-proportional</v>
          </cell>
          <cell r="S42987">
            <v>-23187.5</v>
          </cell>
          <cell r="X42987" t="str">
            <v>Variation UPR - gross</v>
          </cell>
          <cell r="Y42987" t="str">
            <v>ITALY</v>
          </cell>
        </row>
        <row r="42988">
          <cell r="L42988" t="str">
            <v>Proportional</v>
          </cell>
          <cell r="S42988">
            <v>-240.33</v>
          </cell>
          <cell r="X42988" t="str">
            <v>Variation UPR - gross</v>
          </cell>
          <cell r="Y42988" t="str">
            <v>UNITED STATES</v>
          </cell>
        </row>
        <row r="42989">
          <cell r="L42989" t="str">
            <v>Non-proportional</v>
          </cell>
          <cell r="S42989">
            <v>-4250.71</v>
          </cell>
          <cell r="X42989" t="str">
            <v>Variation UPR - gross</v>
          </cell>
          <cell r="Y42989" t="str">
            <v>ITALY</v>
          </cell>
        </row>
        <row r="42990">
          <cell r="L42990" t="str">
            <v>Non-proportional</v>
          </cell>
          <cell r="S42990">
            <v>-69.930000000000007</v>
          </cell>
          <cell r="X42990" t="str">
            <v>Variation UPR - gross</v>
          </cell>
          <cell r="Y42990" t="str">
            <v>CHILE</v>
          </cell>
        </row>
        <row r="42991">
          <cell r="L42991" t="str">
            <v>Non-proportional</v>
          </cell>
          <cell r="S42991">
            <v>-4826.08</v>
          </cell>
          <cell r="X42991" t="str">
            <v>Variation UPR - gross</v>
          </cell>
          <cell r="Y42991" t="str">
            <v>COLOMBIA</v>
          </cell>
        </row>
        <row r="42992">
          <cell r="L42992" t="str">
            <v>Non-proportional</v>
          </cell>
          <cell r="S42992">
            <v>-2295.38</v>
          </cell>
          <cell r="X42992" t="str">
            <v>Variation UPR - gross</v>
          </cell>
          <cell r="Y42992" t="str">
            <v>PERU</v>
          </cell>
        </row>
        <row r="42993">
          <cell r="L42993" t="str">
            <v>Non-proportional</v>
          </cell>
          <cell r="S42993">
            <v>83.29</v>
          </cell>
          <cell r="X42993" t="str">
            <v>Variation UPR - gross</v>
          </cell>
          <cell r="Y42993" t="str">
            <v>BRAZIL</v>
          </cell>
        </row>
        <row r="42994">
          <cell r="L42994" t="str">
            <v>Proportional</v>
          </cell>
          <cell r="S42994">
            <v>-8817.16</v>
          </cell>
          <cell r="X42994" t="str">
            <v>Variation UPR - gross</v>
          </cell>
          <cell r="Y42994" t="str">
            <v>MEXICO</v>
          </cell>
        </row>
        <row r="42995">
          <cell r="L42995" t="str">
            <v>Non-proportional</v>
          </cell>
          <cell r="S42995">
            <v>-7210.99</v>
          </cell>
          <cell r="X42995" t="str">
            <v>Variation UPR - gross</v>
          </cell>
          <cell r="Y42995" t="str">
            <v>COSTA RICA</v>
          </cell>
        </row>
        <row r="42996">
          <cell r="L42996" t="str">
            <v>Non-proportional</v>
          </cell>
          <cell r="S42996">
            <v>-69.56</v>
          </cell>
          <cell r="X42996" t="str">
            <v>Variation UPR - gross</v>
          </cell>
          <cell r="Y42996" t="str">
            <v>BRAZIL</v>
          </cell>
        </row>
        <row r="42997">
          <cell r="L42997" t="str">
            <v>Proportional</v>
          </cell>
          <cell r="S42997">
            <v>-137421.79999999999</v>
          </cell>
          <cell r="X42997" t="str">
            <v>Variation UPR - gross</v>
          </cell>
          <cell r="Y42997" t="str">
            <v>FRANCE</v>
          </cell>
        </row>
        <row r="42998">
          <cell r="L42998" t="str">
            <v>Non-proportional</v>
          </cell>
          <cell r="S42998">
            <v>-9826.89</v>
          </cell>
          <cell r="X42998" t="str">
            <v>Variation UPR - gross</v>
          </cell>
          <cell r="Y42998" t="str">
            <v>AUSTRALIA</v>
          </cell>
        </row>
        <row r="42999">
          <cell r="L42999" t="str">
            <v>Non-proportional</v>
          </cell>
          <cell r="S42999">
            <v>-3471.49</v>
          </cell>
          <cell r="X42999" t="str">
            <v>Variation UPR - gross</v>
          </cell>
          <cell r="Y42999" t="str">
            <v>THAILAND</v>
          </cell>
        </row>
        <row r="43000">
          <cell r="L43000" t="str">
            <v>Non-proportional</v>
          </cell>
          <cell r="S43000">
            <v>-15.82</v>
          </cell>
          <cell r="X43000" t="str">
            <v>Variation UPR - gross</v>
          </cell>
          <cell r="Y43000" t="str">
            <v>ISRAEL</v>
          </cell>
        </row>
        <row r="43001">
          <cell r="L43001" t="str">
            <v>Non-proportional</v>
          </cell>
          <cell r="S43001">
            <v>-470.07</v>
          </cell>
          <cell r="X43001" t="str">
            <v>Variation UPR - gross</v>
          </cell>
          <cell r="Y43001" t="str">
            <v>BRAZIL</v>
          </cell>
        </row>
        <row r="43002">
          <cell r="L43002" t="str">
            <v>Non-proportional</v>
          </cell>
          <cell r="S43002">
            <v>-36.380000000000003</v>
          </cell>
          <cell r="X43002" t="str">
            <v>Variation UPR - gross</v>
          </cell>
          <cell r="Y43002" t="str">
            <v>COSTA RICA</v>
          </cell>
        </row>
        <row r="43003">
          <cell r="L43003" t="str">
            <v>Non-proportional</v>
          </cell>
          <cell r="S43003">
            <v>-10596.12</v>
          </cell>
          <cell r="X43003" t="str">
            <v>Variation UPR - gross</v>
          </cell>
          <cell r="Y43003" t="str">
            <v>FRANCE</v>
          </cell>
        </row>
        <row r="43004">
          <cell r="L43004" t="str">
            <v>Non-proportional</v>
          </cell>
          <cell r="S43004">
            <v>-1137.57</v>
          </cell>
          <cell r="X43004" t="str">
            <v>Variation UPR - gross</v>
          </cell>
          <cell r="Y43004" t="str">
            <v>INDIA</v>
          </cell>
        </row>
        <row r="43005">
          <cell r="L43005" t="str">
            <v>Non-proportional</v>
          </cell>
          <cell r="S43005">
            <v>5.72</v>
          </cell>
          <cell r="X43005" t="str">
            <v>Variation UPR - gross</v>
          </cell>
          <cell r="Y43005" t="str">
            <v>JAPAN</v>
          </cell>
        </row>
        <row r="43006">
          <cell r="L43006" t="str">
            <v>Non-proportional</v>
          </cell>
          <cell r="S43006">
            <v>-3796.46</v>
          </cell>
          <cell r="X43006" t="str">
            <v>Variation UPR - gross</v>
          </cell>
          <cell r="Y43006" t="str">
            <v>ITALY</v>
          </cell>
        </row>
        <row r="43007">
          <cell r="L43007" t="str">
            <v>Non-proportional</v>
          </cell>
          <cell r="S43007">
            <v>-4478.41</v>
          </cell>
          <cell r="X43007" t="str">
            <v>Variation UPR - gross</v>
          </cell>
          <cell r="Y43007" t="str">
            <v>UNITED KINGDOM</v>
          </cell>
        </row>
        <row r="43008">
          <cell r="L43008" t="str">
            <v>Non-proportional</v>
          </cell>
          <cell r="S43008">
            <v>-3281.25</v>
          </cell>
          <cell r="X43008" t="str">
            <v>Variation UPR - gross</v>
          </cell>
          <cell r="Y43008" t="str">
            <v>ITALY</v>
          </cell>
        </row>
        <row r="43009">
          <cell r="L43009" t="str">
            <v>Non-proportional</v>
          </cell>
          <cell r="S43009">
            <v>-1172.3</v>
          </cell>
          <cell r="X43009" t="str">
            <v>Variation UPR - gross</v>
          </cell>
          <cell r="Y43009" t="str">
            <v>FRANCE</v>
          </cell>
        </row>
        <row r="43010">
          <cell r="L43010" t="str">
            <v>Non-proportional</v>
          </cell>
          <cell r="S43010">
            <v>-257.02999999999997</v>
          </cell>
          <cell r="X43010" t="str">
            <v>Variation UPR - gross</v>
          </cell>
          <cell r="Y43010" t="str">
            <v>NEW ZEALAND</v>
          </cell>
        </row>
        <row r="43011">
          <cell r="L43011" t="str">
            <v>Non-proportional</v>
          </cell>
          <cell r="S43011">
            <v>-5521.02</v>
          </cell>
          <cell r="X43011" t="str">
            <v>Variation UPR - gross</v>
          </cell>
          <cell r="Y43011" t="str">
            <v>JAPAN</v>
          </cell>
        </row>
        <row r="43012">
          <cell r="L43012" t="str">
            <v>Non-proportional</v>
          </cell>
          <cell r="S43012">
            <v>-926.74</v>
          </cell>
          <cell r="X43012" t="str">
            <v>Variation UPR - gross</v>
          </cell>
          <cell r="Y43012" t="str">
            <v>ECUADOR</v>
          </cell>
        </row>
        <row r="43013">
          <cell r="L43013" t="str">
            <v>Proportional</v>
          </cell>
          <cell r="S43013">
            <v>-363264.7</v>
          </cell>
          <cell r="X43013" t="str">
            <v>Variation UPR - gross</v>
          </cell>
          <cell r="Y43013" t="str">
            <v>HONG KONG</v>
          </cell>
        </row>
        <row r="43014">
          <cell r="L43014" t="str">
            <v>Non-proportional</v>
          </cell>
          <cell r="S43014">
            <v>-180.83</v>
          </cell>
          <cell r="X43014" t="str">
            <v>Variation UPR - gross</v>
          </cell>
          <cell r="Y43014" t="str">
            <v>TURKEY</v>
          </cell>
        </row>
        <row r="43015">
          <cell r="L43015" t="str">
            <v>Non-proportional</v>
          </cell>
          <cell r="S43015">
            <v>9.01</v>
          </cell>
          <cell r="X43015" t="str">
            <v>Variation UPR - gross</v>
          </cell>
          <cell r="Y43015" t="str">
            <v>NEW ZEALAND</v>
          </cell>
        </row>
        <row r="43016">
          <cell r="L43016" t="str">
            <v>Non-proportional</v>
          </cell>
          <cell r="S43016">
            <v>403.14</v>
          </cell>
          <cell r="X43016" t="str">
            <v>Variation UPR - gross</v>
          </cell>
          <cell r="Y43016" t="str">
            <v>NEW ZEALAND</v>
          </cell>
        </row>
        <row r="43017">
          <cell r="L43017" t="str">
            <v>Non-proportional</v>
          </cell>
          <cell r="S43017">
            <v>-3077.64</v>
          </cell>
          <cell r="X43017" t="str">
            <v>Variation UPR - gross</v>
          </cell>
          <cell r="Y43017" t="str">
            <v>PERU</v>
          </cell>
        </row>
        <row r="43018">
          <cell r="L43018" t="str">
            <v>Non-proportional</v>
          </cell>
          <cell r="S43018">
            <v>-31640.29</v>
          </cell>
          <cell r="X43018" t="str">
            <v>Variation UPR - gross</v>
          </cell>
          <cell r="Y43018" t="str">
            <v>HONG KONG</v>
          </cell>
        </row>
        <row r="43019">
          <cell r="L43019" t="str">
            <v>Non-proportional</v>
          </cell>
          <cell r="S43019">
            <v>-6833.89</v>
          </cell>
          <cell r="X43019" t="str">
            <v>Variation UPR - gross</v>
          </cell>
          <cell r="Y43019" t="str">
            <v>COLOMBIA</v>
          </cell>
        </row>
        <row r="43020">
          <cell r="L43020" t="str">
            <v>Non-proportional</v>
          </cell>
          <cell r="S43020">
            <v>-1733.75</v>
          </cell>
          <cell r="X43020" t="str">
            <v>Variation UPR - gross</v>
          </cell>
          <cell r="Y43020" t="str">
            <v>PORTUGAL</v>
          </cell>
        </row>
        <row r="43021">
          <cell r="L43021" t="str">
            <v>Non-proportional</v>
          </cell>
          <cell r="S43021">
            <v>-926.79</v>
          </cell>
          <cell r="X43021" t="str">
            <v>Variation UPR - gross</v>
          </cell>
          <cell r="Y43021" t="str">
            <v>JAPAN</v>
          </cell>
        </row>
        <row r="43022">
          <cell r="L43022" t="str">
            <v>Non-proportional</v>
          </cell>
          <cell r="S43022">
            <v>10.039999999999999</v>
          </cell>
          <cell r="X43022" t="str">
            <v>Variation UPR - gross</v>
          </cell>
          <cell r="Y43022" t="str">
            <v>NEW ZEALAND</v>
          </cell>
        </row>
        <row r="43023">
          <cell r="L43023" t="str">
            <v>Non-proportional</v>
          </cell>
          <cell r="S43023">
            <v>-5239.74</v>
          </cell>
          <cell r="X43023" t="str">
            <v>Variation UPR - gross</v>
          </cell>
          <cell r="Y43023" t="str">
            <v>COLOMBIA</v>
          </cell>
        </row>
        <row r="43024">
          <cell r="L43024" t="str">
            <v>Proportional</v>
          </cell>
          <cell r="S43024">
            <v>-81453.84</v>
          </cell>
          <cell r="X43024" t="str">
            <v>Variation UPR - gross</v>
          </cell>
          <cell r="Y43024" t="str">
            <v>PORTUGAL</v>
          </cell>
        </row>
        <row r="43025">
          <cell r="L43025" t="str">
            <v>Non-proportional</v>
          </cell>
          <cell r="S43025">
            <v>-9265.52</v>
          </cell>
          <cell r="X43025" t="str">
            <v>Variation UPR - gross</v>
          </cell>
          <cell r="Y43025" t="str">
            <v>CHILE</v>
          </cell>
        </row>
        <row r="43026">
          <cell r="L43026" t="str">
            <v>Proportional</v>
          </cell>
          <cell r="S43026">
            <v>-199989.69</v>
          </cell>
          <cell r="X43026" t="str">
            <v>Variation UPR - gross</v>
          </cell>
          <cell r="Y43026" t="str">
            <v>UNITED STATES</v>
          </cell>
        </row>
        <row r="43027">
          <cell r="L43027" t="str">
            <v>Non-proportional</v>
          </cell>
          <cell r="S43027">
            <v>-4343.7700000000004</v>
          </cell>
          <cell r="X43027" t="str">
            <v>Variation UPR - gross</v>
          </cell>
          <cell r="Y43027" t="str">
            <v>COSTA RICA</v>
          </cell>
        </row>
        <row r="43028">
          <cell r="L43028" t="str">
            <v>Non-proportional</v>
          </cell>
          <cell r="S43028">
            <v>-439.73</v>
          </cell>
          <cell r="X43028" t="str">
            <v>Variation UPR - gross</v>
          </cell>
          <cell r="Y43028" t="str">
            <v>JAPAN</v>
          </cell>
        </row>
        <row r="43029">
          <cell r="L43029" t="str">
            <v>Proportional</v>
          </cell>
          <cell r="S43029">
            <v>-354.57</v>
          </cell>
          <cell r="X43029" t="str">
            <v>Variation UPR - gross</v>
          </cell>
          <cell r="Y43029" t="str">
            <v>THAILAND</v>
          </cell>
        </row>
        <row r="43030">
          <cell r="L43030" t="str">
            <v>Non-proportional</v>
          </cell>
          <cell r="S43030">
            <v>-279.70999999999998</v>
          </cell>
          <cell r="X43030" t="str">
            <v>Variation UPR - gross</v>
          </cell>
          <cell r="Y43030" t="str">
            <v>CHILE</v>
          </cell>
        </row>
        <row r="43031">
          <cell r="L43031" t="str">
            <v>Proportional</v>
          </cell>
          <cell r="S43031">
            <v>-8590.17</v>
          </cell>
          <cell r="X43031" t="str">
            <v>Variation UPR - gross</v>
          </cell>
          <cell r="Y43031" t="str">
            <v>FRANCE</v>
          </cell>
        </row>
        <row r="43032">
          <cell r="L43032" t="str">
            <v>Non-proportional</v>
          </cell>
          <cell r="S43032">
            <v>-2936.63</v>
          </cell>
          <cell r="X43032" t="str">
            <v>Variation UPR - gross</v>
          </cell>
          <cell r="Y43032" t="str">
            <v>DOMINICAN REPUBLIC</v>
          </cell>
        </row>
        <row r="43033">
          <cell r="L43033" t="str">
            <v>Non-proportional</v>
          </cell>
          <cell r="S43033">
            <v>-760.75</v>
          </cell>
          <cell r="X43033" t="str">
            <v>Variation UPR - gross</v>
          </cell>
          <cell r="Y43033" t="str">
            <v>UNITED KINGDOM</v>
          </cell>
        </row>
        <row r="43034">
          <cell r="L43034" t="str">
            <v>Non-proportional</v>
          </cell>
          <cell r="S43034">
            <v>-11633.21</v>
          </cell>
          <cell r="X43034" t="str">
            <v>Variation UPR - gross</v>
          </cell>
          <cell r="Y43034" t="str">
            <v>PERU</v>
          </cell>
        </row>
        <row r="43035">
          <cell r="L43035" t="str">
            <v>Proportional</v>
          </cell>
          <cell r="S43035">
            <v>-1048.93</v>
          </cell>
          <cell r="X43035" t="str">
            <v>Variation UPR - gross</v>
          </cell>
          <cell r="Y43035" t="str">
            <v>CHILE</v>
          </cell>
        </row>
        <row r="43036">
          <cell r="L43036" t="str">
            <v>Non-proportional</v>
          </cell>
          <cell r="S43036">
            <v>-1064.6500000000001</v>
          </cell>
          <cell r="X43036" t="str">
            <v>Variation UPR - gross</v>
          </cell>
          <cell r="Y43036" t="str">
            <v>JAPAN</v>
          </cell>
        </row>
        <row r="43037">
          <cell r="L43037" t="str">
            <v>Non-proportional</v>
          </cell>
          <cell r="S43037">
            <v>-69.930000000000007</v>
          </cell>
          <cell r="X43037" t="str">
            <v>Variation UPR - gross</v>
          </cell>
          <cell r="Y43037" t="str">
            <v>CHILE</v>
          </cell>
        </row>
        <row r="43038">
          <cell r="L43038" t="str">
            <v>Non-proportional</v>
          </cell>
          <cell r="S43038">
            <v>-11196.44</v>
          </cell>
          <cell r="X43038" t="str">
            <v>Variation UPR - gross</v>
          </cell>
          <cell r="Y43038" t="str">
            <v>ECUADOR</v>
          </cell>
        </row>
        <row r="43039">
          <cell r="L43039" t="str">
            <v>Non-proportional</v>
          </cell>
          <cell r="S43039">
            <v>-45.15</v>
          </cell>
          <cell r="X43039" t="str">
            <v>Variation UPR - gross</v>
          </cell>
          <cell r="Y43039" t="str">
            <v>ISRAEL</v>
          </cell>
        </row>
        <row r="43040">
          <cell r="L43040" t="str">
            <v>Non-proportional</v>
          </cell>
          <cell r="S43040">
            <v>-4.18</v>
          </cell>
          <cell r="X43040" t="str">
            <v>Variation UPR - gross</v>
          </cell>
          <cell r="Y43040" t="str">
            <v>COSTA RICA</v>
          </cell>
        </row>
        <row r="43041">
          <cell r="L43041" t="str">
            <v>Non-proportional</v>
          </cell>
          <cell r="S43041">
            <v>-12659.61</v>
          </cell>
          <cell r="X43041" t="str">
            <v>Variation UPR - gross</v>
          </cell>
          <cell r="Y43041" t="str">
            <v>ITALY</v>
          </cell>
        </row>
        <row r="43042">
          <cell r="L43042" t="str">
            <v>Non-proportional</v>
          </cell>
          <cell r="S43042">
            <v>-1949.44</v>
          </cell>
          <cell r="X43042" t="str">
            <v>Variation UPR - gross</v>
          </cell>
          <cell r="Y43042" t="str">
            <v>UNITED KINGDOM</v>
          </cell>
        </row>
        <row r="43043">
          <cell r="L43043" t="str">
            <v>Non-proportional</v>
          </cell>
          <cell r="S43043">
            <v>-209.79</v>
          </cell>
          <cell r="X43043" t="str">
            <v>Variation UPR - gross</v>
          </cell>
          <cell r="Y43043" t="str">
            <v>CHILE</v>
          </cell>
        </row>
        <row r="43044">
          <cell r="L43044" t="str">
            <v>Non-proportional</v>
          </cell>
          <cell r="S43044">
            <v>-19967.73</v>
          </cell>
          <cell r="X43044" t="str">
            <v>Variation UPR - gross</v>
          </cell>
          <cell r="Y43044" t="str">
            <v>FRANCE</v>
          </cell>
        </row>
        <row r="43045">
          <cell r="L43045" t="str">
            <v>Non-proportional</v>
          </cell>
          <cell r="S43045">
            <v>-344859.01</v>
          </cell>
          <cell r="X43045" t="str">
            <v>Variation UPR - gross</v>
          </cell>
          <cell r="Y43045" t="str">
            <v>UNITED KINGDOM</v>
          </cell>
        </row>
        <row r="43046">
          <cell r="L43046" t="str">
            <v>Non-proportional</v>
          </cell>
          <cell r="S43046">
            <v>-12011.95</v>
          </cell>
          <cell r="X43046" t="str">
            <v>Variation UPR - gross</v>
          </cell>
          <cell r="Y43046" t="str">
            <v>FRANCE</v>
          </cell>
        </row>
        <row r="43047">
          <cell r="L43047" t="str">
            <v>Non-proportional</v>
          </cell>
          <cell r="S43047">
            <v>-2453.4299999999998</v>
          </cell>
          <cell r="X43047" t="str">
            <v>Variation UPR - gross</v>
          </cell>
          <cell r="Y43047" t="str">
            <v>UNITED KINGDOM</v>
          </cell>
        </row>
        <row r="43048">
          <cell r="L43048" t="str">
            <v>Non-proportional</v>
          </cell>
          <cell r="S43048">
            <v>-34.520000000000003</v>
          </cell>
          <cell r="X43048" t="str">
            <v>Variation UPR - gross</v>
          </cell>
          <cell r="Y43048" t="str">
            <v>ISRAEL</v>
          </cell>
        </row>
        <row r="43049">
          <cell r="L43049" t="str">
            <v>Proportional</v>
          </cell>
          <cell r="S43049">
            <v>-36534.97</v>
          </cell>
          <cell r="X43049" t="str">
            <v>Variation UPR - gross</v>
          </cell>
          <cell r="Y43049" t="str">
            <v>MEXICO</v>
          </cell>
        </row>
        <row r="43050">
          <cell r="L43050" t="str">
            <v>Non-proportional</v>
          </cell>
          <cell r="S43050">
            <v>-158103.96</v>
          </cell>
          <cell r="X43050" t="str">
            <v>Variation UPR - gross</v>
          </cell>
          <cell r="Y43050" t="str">
            <v>UNITED KINGDOM</v>
          </cell>
        </row>
        <row r="43051">
          <cell r="L43051" t="str">
            <v>Proportional</v>
          </cell>
          <cell r="S43051">
            <v>-65751.77</v>
          </cell>
          <cell r="X43051" t="str">
            <v>Variation UPR - gross</v>
          </cell>
          <cell r="Y43051" t="str">
            <v>HONG KONG</v>
          </cell>
        </row>
        <row r="43052">
          <cell r="L43052" t="str">
            <v>Non-proportional</v>
          </cell>
          <cell r="S43052">
            <v>-2619.35</v>
          </cell>
          <cell r="X43052" t="str">
            <v>Variation UPR - gross</v>
          </cell>
          <cell r="Y43052" t="str">
            <v>SOUTH AFRICA</v>
          </cell>
        </row>
        <row r="43053">
          <cell r="L43053" t="str">
            <v>Non-proportional</v>
          </cell>
          <cell r="S43053">
            <v>-2059.6999999999998</v>
          </cell>
          <cell r="X43053" t="str">
            <v>Variation UPR - gross</v>
          </cell>
          <cell r="Y43053" t="str">
            <v>CHINA</v>
          </cell>
        </row>
        <row r="43054">
          <cell r="L43054" t="str">
            <v>Non-proportional</v>
          </cell>
          <cell r="S43054">
            <v>-375978.63</v>
          </cell>
          <cell r="X43054" t="str">
            <v>Variation UPR - gross</v>
          </cell>
          <cell r="Y43054" t="str">
            <v>PORTUGAL</v>
          </cell>
        </row>
        <row r="43055">
          <cell r="L43055" t="str">
            <v>Non-proportional</v>
          </cell>
          <cell r="S43055">
            <v>-5750.9</v>
          </cell>
          <cell r="X43055" t="str">
            <v>Variation UPR - gross</v>
          </cell>
          <cell r="Y43055" t="str">
            <v>ISRAEL</v>
          </cell>
        </row>
        <row r="43056">
          <cell r="L43056" t="str">
            <v>Non-proportional</v>
          </cell>
          <cell r="S43056">
            <v>-6185.56</v>
          </cell>
          <cell r="X43056" t="str">
            <v>Variation UPR - gross</v>
          </cell>
          <cell r="Y43056" t="str">
            <v>MEXICO</v>
          </cell>
        </row>
        <row r="43057">
          <cell r="L43057" t="str">
            <v>Proportional</v>
          </cell>
          <cell r="S43057">
            <v>-123.77</v>
          </cell>
          <cell r="X43057" t="str">
            <v>Variation UPR - gross</v>
          </cell>
          <cell r="Y43057" t="str">
            <v>THAILAND</v>
          </cell>
        </row>
        <row r="43058">
          <cell r="L43058" t="str">
            <v>Non-proportional</v>
          </cell>
          <cell r="S43058">
            <v>-8484.18</v>
          </cell>
          <cell r="X43058" t="str">
            <v>Variation UPR - gross</v>
          </cell>
          <cell r="Y43058" t="str">
            <v>ECUADOR</v>
          </cell>
        </row>
        <row r="43059">
          <cell r="L43059" t="str">
            <v>Non-proportional</v>
          </cell>
          <cell r="S43059">
            <v>-13954.09</v>
          </cell>
          <cell r="X43059" t="str">
            <v>Variation UPR - gross</v>
          </cell>
          <cell r="Y43059" t="str">
            <v>UNITED KINGDOM</v>
          </cell>
        </row>
        <row r="43060">
          <cell r="L43060" t="str">
            <v>Non-proportional</v>
          </cell>
          <cell r="S43060">
            <v>-1925.68</v>
          </cell>
          <cell r="X43060" t="str">
            <v>Variation UPR - gross</v>
          </cell>
          <cell r="Y43060" t="str">
            <v>DOMINICAN REPUBLIC</v>
          </cell>
        </row>
        <row r="43061">
          <cell r="L43061" t="str">
            <v>Non-proportional</v>
          </cell>
          <cell r="S43061">
            <v>111.05</v>
          </cell>
          <cell r="X43061" t="str">
            <v>Variation UPR - gross</v>
          </cell>
          <cell r="Y43061" t="str">
            <v>JAPAN</v>
          </cell>
        </row>
        <row r="43062">
          <cell r="L43062" t="str">
            <v>Non-proportional</v>
          </cell>
          <cell r="S43062">
            <v>-1749.72</v>
          </cell>
          <cell r="X43062" t="str">
            <v>Variation UPR - gross</v>
          </cell>
          <cell r="Y43062" t="str">
            <v>NETHERLANDS</v>
          </cell>
        </row>
        <row r="43063">
          <cell r="L43063" t="str">
            <v>Non-proportional</v>
          </cell>
          <cell r="S43063">
            <v>-4195.71</v>
          </cell>
          <cell r="X43063" t="str">
            <v>Variation UPR - gross</v>
          </cell>
          <cell r="Y43063" t="str">
            <v>CHILE</v>
          </cell>
        </row>
        <row r="43064">
          <cell r="L43064" t="str">
            <v>Non-proportional</v>
          </cell>
          <cell r="S43064">
            <v>-9333.33</v>
          </cell>
          <cell r="X43064" t="str">
            <v>Variation UPR - gross</v>
          </cell>
          <cell r="Y43064" t="str">
            <v>PORTUGAL</v>
          </cell>
        </row>
        <row r="43065">
          <cell r="L43065" t="str">
            <v>Non-proportional</v>
          </cell>
          <cell r="S43065">
            <v>-2685.68</v>
          </cell>
          <cell r="X43065" t="str">
            <v>Variation UPR - gross</v>
          </cell>
          <cell r="Y43065" t="str">
            <v>ISRAEL</v>
          </cell>
        </row>
        <row r="43066">
          <cell r="L43066" t="str">
            <v>Non-proportional</v>
          </cell>
          <cell r="S43066">
            <v>-702.53</v>
          </cell>
          <cell r="X43066" t="str">
            <v>Variation UPR - gross</v>
          </cell>
          <cell r="Y43066" t="str">
            <v>JAPAN</v>
          </cell>
        </row>
        <row r="43067">
          <cell r="L43067" t="str">
            <v>Non-proportional</v>
          </cell>
          <cell r="S43067">
            <v>-1723.9</v>
          </cell>
          <cell r="X43067" t="str">
            <v>Variation UPR - gross</v>
          </cell>
          <cell r="Y43067" t="str">
            <v>DOMINICAN REPUBLIC</v>
          </cell>
        </row>
        <row r="43068">
          <cell r="L43068" t="str">
            <v>Non-proportional</v>
          </cell>
          <cell r="S43068">
            <v>-2840.84</v>
          </cell>
          <cell r="X43068" t="str">
            <v>Variation UPR - gross</v>
          </cell>
          <cell r="Y43068" t="str">
            <v>EUROPE</v>
          </cell>
        </row>
        <row r="43069">
          <cell r="L43069" t="str">
            <v>Proportional</v>
          </cell>
          <cell r="S43069">
            <v>-224.97</v>
          </cell>
          <cell r="X43069" t="str">
            <v>Variation UPR - gross</v>
          </cell>
          <cell r="Y43069" t="str">
            <v>UNITED STATES</v>
          </cell>
        </row>
        <row r="43070">
          <cell r="L43070" t="str">
            <v>Non-proportional</v>
          </cell>
          <cell r="S43070">
            <v>-905.42</v>
          </cell>
          <cell r="X43070" t="str">
            <v>Variation UPR - gross</v>
          </cell>
          <cell r="Y43070" t="str">
            <v>ITALY</v>
          </cell>
        </row>
        <row r="43071">
          <cell r="L43071" t="str">
            <v>Non-proportional</v>
          </cell>
          <cell r="S43071">
            <v>-10000</v>
          </cell>
          <cell r="X43071" t="str">
            <v>Variation UPR - gross</v>
          </cell>
          <cell r="Y43071" t="str">
            <v>ITALY</v>
          </cell>
        </row>
        <row r="43072">
          <cell r="L43072" t="str">
            <v>Non-proportional</v>
          </cell>
          <cell r="S43072">
            <v>34.36</v>
          </cell>
          <cell r="X43072" t="str">
            <v>Variation UPR - gross</v>
          </cell>
          <cell r="Y43072" t="str">
            <v>JAPAN</v>
          </cell>
        </row>
        <row r="43073">
          <cell r="L43073" t="str">
            <v>Non-proportional</v>
          </cell>
          <cell r="S43073">
            <v>-6683.34</v>
          </cell>
          <cell r="X43073" t="str">
            <v>Variation UPR - gross</v>
          </cell>
          <cell r="Y43073" t="str">
            <v>FRANCE</v>
          </cell>
        </row>
        <row r="43074">
          <cell r="L43074" t="str">
            <v>Non-proportional</v>
          </cell>
          <cell r="S43074">
            <v>-9597.4</v>
          </cell>
          <cell r="X43074" t="str">
            <v>Variation UPR - gross</v>
          </cell>
          <cell r="Y43074" t="str">
            <v>ECUADOR</v>
          </cell>
        </row>
        <row r="43075">
          <cell r="L43075" t="str">
            <v>Non-proportional</v>
          </cell>
          <cell r="S43075">
            <v>-1458.33</v>
          </cell>
          <cell r="X43075" t="str">
            <v>Variation UPR - gross</v>
          </cell>
          <cell r="Y43075" t="str">
            <v>GREECE</v>
          </cell>
        </row>
        <row r="43076">
          <cell r="L43076" t="str">
            <v>Proportional</v>
          </cell>
          <cell r="S43076">
            <v>-541.5</v>
          </cell>
          <cell r="X43076" t="str">
            <v>Variation UPR - gross</v>
          </cell>
          <cell r="Y43076" t="str">
            <v>UNITED STATES</v>
          </cell>
        </row>
        <row r="43077">
          <cell r="L43077" t="str">
            <v>Non-proportional</v>
          </cell>
          <cell r="S43077">
            <v>0.01</v>
          </cell>
          <cell r="X43077" t="str">
            <v>Variation UPR - gross</v>
          </cell>
          <cell r="Y43077" t="str">
            <v>DOMINICAN REPUBLIC</v>
          </cell>
        </row>
        <row r="43078">
          <cell r="L43078" t="str">
            <v>Proportional</v>
          </cell>
          <cell r="S43078">
            <v>-211.91</v>
          </cell>
          <cell r="X43078" t="str">
            <v>Variation UPR - gross</v>
          </cell>
          <cell r="Y43078" t="str">
            <v>UNITED STATES</v>
          </cell>
        </row>
        <row r="43079">
          <cell r="L43079" t="str">
            <v>Non-proportional</v>
          </cell>
          <cell r="S43079">
            <v>-1288.5899999999999</v>
          </cell>
          <cell r="X43079" t="str">
            <v>Variation UPR - gross</v>
          </cell>
          <cell r="Y43079" t="str">
            <v>JAPAN</v>
          </cell>
        </row>
        <row r="43080">
          <cell r="L43080" t="str">
            <v>Non-proportional</v>
          </cell>
          <cell r="S43080">
            <v>-19116.86</v>
          </cell>
          <cell r="X43080" t="str">
            <v>Variation UPR - gross</v>
          </cell>
          <cell r="Y43080" t="str">
            <v>MEXICO</v>
          </cell>
        </row>
        <row r="43081">
          <cell r="L43081" t="str">
            <v>Non-proportional</v>
          </cell>
          <cell r="S43081">
            <v>-6623.14</v>
          </cell>
          <cell r="X43081" t="str">
            <v>Variation UPR - gross</v>
          </cell>
          <cell r="Y43081" t="str">
            <v>CYPRUS</v>
          </cell>
        </row>
        <row r="43082">
          <cell r="L43082" t="str">
            <v>Non-proportional</v>
          </cell>
          <cell r="S43082">
            <v>-13712.63</v>
          </cell>
          <cell r="X43082" t="str">
            <v>Variation UPR - gross</v>
          </cell>
          <cell r="Y43082" t="str">
            <v>ISRAEL</v>
          </cell>
        </row>
        <row r="43083">
          <cell r="L43083" t="str">
            <v>Non-proportional</v>
          </cell>
          <cell r="S43083">
            <v>-4722.84</v>
          </cell>
          <cell r="X43083" t="str">
            <v>Variation UPR - gross</v>
          </cell>
          <cell r="Y43083" t="str">
            <v>UNITED KINGDOM</v>
          </cell>
        </row>
        <row r="43084">
          <cell r="L43084" t="str">
            <v>Non-proportional</v>
          </cell>
          <cell r="S43084">
            <v>-10229.709999999999</v>
          </cell>
          <cell r="X43084" t="str">
            <v>Variation UPR - gross</v>
          </cell>
          <cell r="Y43084" t="str">
            <v>UNITED KINGDOM</v>
          </cell>
        </row>
        <row r="43085">
          <cell r="L43085" t="str">
            <v>Non-proportional</v>
          </cell>
          <cell r="S43085">
            <v>-12119.48</v>
          </cell>
          <cell r="X43085" t="str">
            <v>Variation UPR - gross</v>
          </cell>
          <cell r="Y43085" t="str">
            <v>INDIA</v>
          </cell>
        </row>
        <row r="43086">
          <cell r="L43086" t="str">
            <v>Non-proportional</v>
          </cell>
          <cell r="S43086">
            <v>-1152.51</v>
          </cell>
          <cell r="X43086" t="str">
            <v>Variation UPR - gross</v>
          </cell>
          <cell r="Y43086" t="str">
            <v>SOUTH AFRICA</v>
          </cell>
        </row>
        <row r="43087">
          <cell r="L43087" t="str">
            <v>Non-proportional</v>
          </cell>
          <cell r="S43087">
            <v>-353.33</v>
          </cell>
          <cell r="X43087" t="str">
            <v>Variation UPR - gross</v>
          </cell>
          <cell r="Y43087" t="str">
            <v>ITALY</v>
          </cell>
        </row>
        <row r="43088">
          <cell r="L43088" t="str">
            <v>Non-proportional</v>
          </cell>
          <cell r="S43088">
            <v>141.09</v>
          </cell>
          <cell r="X43088" t="str">
            <v>Variation UPR - gross</v>
          </cell>
          <cell r="Y43088" t="str">
            <v>NEW ZEALAND</v>
          </cell>
        </row>
        <row r="43089">
          <cell r="L43089" t="str">
            <v>Non-proportional</v>
          </cell>
          <cell r="S43089">
            <v>-3152.41</v>
          </cell>
          <cell r="X43089" t="str">
            <v>Variation UPR - gross</v>
          </cell>
          <cell r="Y43089" t="str">
            <v>ECUADOR</v>
          </cell>
        </row>
        <row r="43090">
          <cell r="L43090" t="str">
            <v>Non-proportional</v>
          </cell>
          <cell r="S43090">
            <v>-34.96</v>
          </cell>
          <cell r="X43090" t="str">
            <v>Variation UPR - gross</v>
          </cell>
          <cell r="Y43090" t="str">
            <v>CHILE</v>
          </cell>
        </row>
        <row r="43091">
          <cell r="L43091" t="str">
            <v>Non-proportional</v>
          </cell>
          <cell r="S43091">
            <v>-44723.82</v>
          </cell>
          <cell r="X43091" t="str">
            <v>Variation UPR - gross</v>
          </cell>
          <cell r="Y43091" t="str">
            <v>UNITED KINGDOM</v>
          </cell>
        </row>
        <row r="43092">
          <cell r="L43092" t="str">
            <v>Non-proportional</v>
          </cell>
          <cell r="S43092">
            <v>-6445.62</v>
          </cell>
          <cell r="X43092" t="str">
            <v>Variation UPR - gross</v>
          </cell>
          <cell r="Y43092" t="str">
            <v>ISRAEL</v>
          </cell>
        </row>
        <row r="43093">
          <cell r="L43093" t="str">
            <v>Non-proportional</v>
          </cell>
          <cell r="S43093">
            <v>0.01</v>
          </cell>
          <cell r="X43093" t="str">
            <v>Variation UPR - gross</v>
          </cell>
          <cell r="Y43093" t="str">
            <v>BELIZE</v>
          </cell>
        </row>
        <row r="43094">
          <cell r="L43094" t="str">
            <v>Non-proportional</v>
          </cell>
          <cell r="S43094">
            <v>-2179.7800000000002</v>
          </cell>
          <cell r="X43094" t="str">
            <v>Variation UPR - gross</v>
          </cell>
          <cell r="Y43094" t="str">
            <v>FRANCE</v>
          </cell>
        </row>
        <row r="43095">
          <cell r="L43095" t="str">
            <v>Non-proportional</v>
          </cell>
          <cell r="S43095">
            <v>-2934.72</v>
          </cell>
          <cell r="X43095" t="str">
            <v>Variation UPR - gross</v>
          </cell>
          <cell r="Y43095" t="str">
            <v>ECUADOR</v>
          </cell>
        </row>
        <row r="43096">
          <cell r="L43096" t="str">
            <v>Non-proportional</v>
          </cell>
          <cell r="S43096">
            <v>-223.77</v>
          </cell>
          <cell r="X43096" t="str">
            <v>Variation UPR - gross</v>
          </cell>
          <cell r="Y43096" t="str">
            <v>JAPAN</v>
          </cell>
        </row>
        <row r="43097">
          <cell r="L43097" t="str">
            <v>Proportional</v>
          </cell>
          <cell r="S43097">
            <v>309.58</v>
          </cell>
          <cell r="X43097" t="str">
            <v>Variation UPR - gross</v>
          </cell>
          <cell r="Y43097" t="str">
            <v>THAILAND</v>
          </cell>
        </row>
        <row r="43098">
          <cell r="L43098" t="str">
            <v>Proportional</v>
          </cell>
          <cell r="S43098">
            <v>-51625</v>
          </cell>
          <cell r="X43098" t="str">
            <v>Variation UPR - gross</v>
          </cell>
          <cell r="Y43098" t="str">
            <v>ITALY</v>
          </cell>
        </row>
        <row r="43099">
          <cell r="L43099" t="str">
            <v>Non-proportional</v>
          </cell>
          <cell r="S43099">
            <v>-2029.5</v>
          </cell>
          <cell r="X43099" t="str">
            <v>Variation UPR - gross</v>
          </cell>
          <cell r="Y43099" t="str">
            <v>PERU</v>
          </cell>
        </row>
        <row r="43100">
          <cell r="L43100" t="str">
            <v>Non-proportional</v>
          </cell>
          <cell r="S43100">
            <v>-539.23</v>
          </cell>
          <cell r="X43100" t="str">
            <v>Variation UPR - gross</v>
          </cell>
          <cell r="Y43100" t="str">
            <v>JAPAN</v>
          </cell>
        </row>
        <row r="43101">
          <cell r="L43101" t="str">
            <v>Non-proportional</v>
          </cell>
          <cell r="S43101">
            <v>-11497.21</v>
          </cell>
          <cell r="X43101" t="str">
            <v>Variation UPR - gross</v>
          </cell>
          <cell r="Y43101" t="str">
            <v>MEXICO</v>
          </cell>
        </row>
        <row r="43102">
          <cell r="L43102" t="str">
            <v>Non-proportional</v>
          </cell>
          <cell r="S43102">
            <v>-46864.67</v>
          </cell>
          <cell r="X43102" t="str">
            <v>Variation UPR - gross</v>
          </cell>
          <cell r="Y43102" t="str">
            <v>FRANCE</v>
          </cell>
        </row>
        <row r="43103">
          <cell r="L43103" t="str">
            <v>Non-proportional</v>
          </cell>
          <cell r="S43103">
            <v>-4095</v>
          </cell>
          <cell r="X43103" t="str">
            <v>Variation UPR - gross</v>
          </cell>
          <cell r="Y43103" t="str">
            <v>FRANCE</v>
          </cell>
        </row>
        <row r="43104">
          <cell r="L43104" t="str">
            <v>Non-proportional</v>
          </cell>
          <cell r="S43104">
            <v>38.15</v>
          </cell>
          <cell r="X43104" t="str">
            <v>Variation UPR - gross</v>
          </cell>
          <cell r="Y43104" t="str">
            <v>COLOMBIA</v>
          </cell>
        </row>
        <row r="43105">
          <cell r="L43105" t="str">
            <v>Non-proportional</v>
          </cell>
          <cell r="S43105">
            <v>-3173.95</v>
          </cell>
          <cell r="X43105" t="str">
            <v>Variation UPR - gross</v>
          </cell>
          <cell r="Y43105" t="str">
            <v>ECUADOR</v>
          </cell>
        </row>
        <row r="43106">
          <cell r="L43106" t="str">
            <v>Non-proportional</v>
          </cell>
          <cell r="S43106">
            <v>22.72</v>
          </cell>
          <cell r="X43106" t="str">
            <v>Variation UPR - gross</v>
          </cell>
          <cell r="Y43106" t="str">
            <v>JAPAN</v>
          </cell>
        </row>
        <row r="43107">
          <cell r="L43107" t="str">
            <v>Non-proportional</v>
          </cell>
          <cell r="S43107">
            <v>-387.5</v>
          </cell>
          <cell r="X43107" t="str">
            <v>Variation UPR - gross</v>
          </cell>
          <cell r="Y43107" t="str">
            <v>ITALY</v>
          </cell>
        </row>
        <row r="43108">
          <cell r="L43108" t="str">
            <v>Non-proportional</v>
          </cell>
          <cell r="S43108">
            <v>-14160.18</v>
          </cell>
          <cell r="X43108" t="str">
            <v>Variation UPR - gross</v>
          </cell>
          <cell r="Y43108" t="str">
            <v>PUERTO RICO</v>
          </cell>
        </row>
        <row r="43109">
          <cell r="L43109"/>
          <cell r="S43109">
            <v>-2372.39</v>
          </cell>
          <cell r="X43109" t="str">
            <v>Variation UPR - gross</v>
          </cell>
          <cell r="Y43109" t="str">
            <v>PORTUGAL</v>
          </cell>
        </row>
        <row r="43110">
          <cell r="L43110" t="str">
            <v>Proportional</v>
          </cell>
          <cell r="S43110">
            <v>-1971.29</v>
          </cell>
          <cell r="X43110" t="str">
            <v>Variation UPR - gross</v>
          </cell>
          <cell r="Y43110" t="str">
            <v>HONG KONG</v>
          </cell>
        </row>
        <row r="43111">
          <cell r="L43111" t="str">
            <v>Non-proportional</v>
          </cell>
          <cell r="S43111">
            <v>-8855</v>
          </cell>
          <cell r="X43111" t="str">
            <v>Variation UPR - gross</v>
          </cell>
          <cell r="Y43111" t="str">
            <v>GERMANY</v>
          </cell>
        </row>
        <row r="43112">
          <cell r="L43112" t="str">
            <v>Non-proportional</v>
          </cell>
          <cell r="S43112">
            <v>-4885.26</v>
          </cell>
          <cell r="X43112" t="str">
            <v>Variation UPR - gross</v>
          </cell>
          <cell r="Y43112" t="str">
            <v>UNITED KINGDOM</v>
          </cell>
        </row>
        <row r="43113">
          <cell r="L43113" t="str">
            <v>Proportional</v>
          </cell>
          <cell r="S43113">
            <v>-133417.09</v>
          </cell>
          <cell r="X43113" t="str">
            <v>Variation UPR - gross</v>
          </cell>
          <cell r="Y43113" t="str">
            <v>SWITZERLAND</v>
          </cell>
        </row>
        <row r="43114">
          <cell r="L43114" t="str">
            <v>Non-proportional</v>
          </cell>
          <cell r="S43114">
            <v>-205.67</v>
          </cell>
          <cell r="X43114" t="str">
            <v>Variation UPR - gross</v>
          </cell>
          <cell r="Y43114" t="str">
            <v>FRANCE</v>
          </cell>
        </row>
        <row r="43115">
          <cell r="L43115" t="str">
            <v>Non-proportional</v>
          </cell>
          <cell r="S43115">
            <v>-2032.03</v>
          </cell>
          <cell r="X43115" t="str">
            <v>Variation UPR - gross</v>
          </cell>
          <cell r="Y43115" t="str">
            <v>JAPAN</v>
          </cell>
        </row>
        <row r="43116">
          <cell r="L43116" t="str">
            <v>Non-proportional</v>
          </cell>
          <cell r="S43116">
            <v>-12038.69</v>
          </cell>
          <cell r="X43116" t="str">
            <v>Variation UPR - gross</v>
          </cell>
          <cell r="Y43116" t="str">
            <v>NEW ZEALAND</v>
          </cell>
        </row>
        <row r="43117">
          <cell r="L43117" t="str">
            <v>Proportional</v>
          </cell>
          <cell r="S43117">
            <v>-465471.38</v>
          </cell>
          <cell r="X43117" t="str">
            <v>Variation UPR - gross</v>
          </cell>
          <cell r="Y43117" t="str">
            <v>JAPAN</v>
          </cell>
        </row>
        <row r="43118">
          <cell r="L43118" t="str">
            <v>Non-proportional</v>
          </cell>
          <cell r="S43118">
            <v>-2199.4299999999998</v>
          </cell>
          <cell r="X43118" t="str">
            <v>Variation UPR - gross</v>
          </cell>
          <cell r="Y43118" t="str">
            <v>ECUADOR</v>
          </cell>
        </row>
        <row r="43119">
          <cell r="L43119" t="str">
            <v>Non-proportional</v>
          </cell>
          <cell r="S43119">
            <v>0.02</v>
          </cell>
          <cell r="X43119" t="str">
            <v>Variation UPR - gross</v>
          </cell>
          <cell r="Y43119" t="str">
            <v>INDIA</v>
          </cell>
        </row>
        <row r="43120">
          <cell r="L43120" t="str">
            <v>Proportional</v>
          </cell>
          <cell r="S43120">
            <v>-73467.039999999994</v>
          </cell>
          <cell r="X43120" t="str">
            <v>Variation UPR - gross</v>
          </cell>
          <cell r="Y43120" t="str">
            <v>THAILAND</v>
          </cell>
        </row>
        <row r="43121">
          <cell r="L43121" t="str">
            <v>Non-proportional</v>
          </cell>
          <cell r="S43121">
            <v>-4958.57</v>
          </cell>
          <cell r="X43121" t="str">
            <v>Variation UPR - gross</v>
          </cell>
          <cell r="Y43121" t="str">
            <v>INDIA</v>
          </cell>
        </row>
        <row r="43122">
          <cell r="L43122" t="str">
            <v>Non-proportional</v>
          </cell>
          <cell r="S43122">
            <v>-145.52000000000001</v>
          </cell>
          <cell r="X43122" t="str">
            <v>Variation UPR - gross</v>
          </cell>
          <cell r="Y43122" t="str">
            <v>ISRAEL</v>
          </cell>
        </row>
        <row r="43123">
          <cell r="L43123" t="str">
            <v>Non-proportional</v>
          </cell>
          <cell r="S43123">
            <v>-38026.75</v>
          </cell>
          <cell r="X43123" t="str">
            <v>Variation UPR - gross</v>
          </cell>
          <cell r="Y43123" t="str">
            <v>FRANCE</v>
          </cell>
        </row>
        <row r="43124">
          <cell r="L43124" t="str">
            <v>Non-proportional</v>
          </cell>
          <cell r="S43124">
            <v>33.81</v>
          </cell>
          <cell r="X43124" t="str">
            <v>Variation UPR - gross</v>
          </cell>
          <cell r="Y43124" t="str">
            <v>JAPAN</v>
          </cell>
        </row>
        <row r="43125">
          <cell r="L43125" t="str">
            <v>Non-proportional</v>
          </cell>
          <cell r="S43125">
            <v>-192601.96</v>
          </cell>
          <cell r="X43125" t="str">
            <v>Variation UPR - gross</v>
          </cell>
          <cell r="Y43125" t="str">
            <v>PORTUGAL</v>
          </cell>
        </row>
        <row r="43126">
          <cell r="L43126" t="str">
            <v>Proportional</v>
          </cell>
          <cell r="S43126">
            <v>-26781.24</v>
          </cell>
          <cell r="X43126" t="str">
            <v>Variation UPR - gross</v>
          </cell>
          <cell r="Y43126" t="str">
            <v>ITALY</v>
          </cell>
        </row>
        <row r="43127">
          <cell r="L43127" t="str">
            <v>Non-proportional</v>
          </cell>
          <cell r="S43127">
            <v>-3214.16</v>
          </cell>
          <cell r="X43127" t="str">
            <v>Variation UPR - gross</v>
          </cell>
          <cell r="Y43127" t="str">
            <v>AUSTRALIA</v>
          </cell>
        </row>
        <row r="43128">
          <cell r="L43128" t="str">
            <v>Non-proportional</v>
          </cell>
          <cell r="S43128">
            <v>-19458.939999999999</v>
          </cell>
          <cell r="X43128" t="str">
            <v>Variation UPR - gross</v>
          </cell>
          <cell r="Y43128" t="str">
            <v>UNITED KINGDOM</v>
          </cell>
        </row>
        <row r="43129">
          <cell r="L43129" t="str">
            <v>Proportional</v>
          </cell>
          <cell r="S43129">
            <v>-67736.31</v>
          </cell>
          <cell r="X43129" t="str">
            <v>Variation UPR - gross</v>
          </cell>
          <cell r="Y43129" t="str">
            <v>PORTUGAL</v>
          </cell>
        </row>
        <row r="43130">
          <cell r="L43130" t="str">
            <v>Non-proportional</v>
          </cell>
          <cell r="S43130">
            <v>-15042.95</v>
          </cell>
          <cell r="X43130" t="str">
            <v>Variation UPR - gross</v>
          </cell>
          <cell r="Y43130" t="str">
            <v>FRANCE</v>
          </cell>
        </row>
        <row r="43131">
          <cell r="L43131" t="str">
            <v>Proportional</v>
          </cell>
          <cell r="S43131">
            <v>-48526.46</v>
          </cell>
          <cell r="X43131" t="str">
            <v>Variation UPR - gross</v>
          </cell>
          <cell r="Y43131" t="str">
            <v>THAILAND</v>
          </cell>
        </row>
        <row r="43132">
          <cell r="L43132" t="str">
            <v>Non-proportional</v>
          </cell>
          <cell r="S43132">
            <v>8.69</v>
          </cell>
          <cell r="X43132" t="str">
            <v>Variation UPR - gross</v>
          </cell>
          <cell r="Y43132" t="str">
            <v>AUSTRALIA</v>
          </cell>
        </row>
        <row r="43133">
          <cell r="L43133" t="str">
            <v>Proportional</v>
          </cell>
          <cell r="S43133">
            <v>-20810.36</v>
          </cell>
          <cell r="X43133" t="str">
            <v>Variation UPR - gross</v>
          </cell>
          <cell r="Y43133" t="str">
            <v>INDIA</v>
          </cell>
        </row>
        <row r="43134">
          <cell r="L43134" t="str">
            <v>Proportional</v>
          </cell>
          <cell r="S43134">
            <v>-71483.67</v>
          </cell>
          <cell r="X43134" t="str">
            <v>Variation UPR - gross</v>
          </cell>
          <cell r="Y43134" t="str">
            <v>CANADA</v>
          </cell>
        </row>
        <row r="43135">
          <cell r="L43135" t="str">
            <v>Proportional</v>
          </cell>
          <cell r="S43135">
            <v>-86683.42</v>
          </cell>
          <cell r="X43135" t="str">
            <v>Variation UPR - gross</v>
          </cell>
          <cell r="Y43135" t="str">
            <v>SWITZERLAND</v>
          </cell>
        </row>
        <row r="43136">
          <cell r="L43136" t="str">
            <v>Non-proportional</v>
          </cell>
          <cell r="S43136">
            <v>-4061.37</v>
          </cell>
          <cell r="X43136" t="str">
            <v>Variation UPR - gross</v>
          </cell>
          <cell r="Y43136" t="str">
            <v>FRANCE</v>
          </cell>
        </row>
        <row r="43137">
          <cell r="L43137" t="str">
            <v>Non-proportional</v>
          </cell>
          <cell r="S43137">
            <v>-637225.6</v>
          </cell>
          <cell r="X43137" t="str">
            <v>Variation UPR - gross</v>
          </cell>
          <cell r="Y43137" t="str">
            <v>BELGIUM</v>
          </cell>
        </row>
        <row r="43138">
          <cell r="L43138" t="str">
            <v>Non-proportional</v>
          </cell>
          <cell r="S43138">
            <v>-9345.4599999999991</v>
          </cell>
          <cell r="X43138" t="str">
            <v>Variation UPR - gross</v>
          </cell>
          <cell r="Y43138" t="str">
            <v>MEXICO</v>
          </cell>
        </row>
        <row r="43139">
          <cell r="L43139" t="str">
            <v>Non-proportional</v>
          </cell>
          <cell r="S43139">
            <v>-1197.92</v>
          </cell>
          <cell r="X43139" t="str">
            <v>Variation UPR - gross</v>
          </cell>
          <cell r="Y43139" t="str">
            <v>GERMANY</v>
          </cell>
        </row>
        <row r="43140">
          <cell r="L43140" t="str">
            <v>Proportional</v>
          </cell>
          <cell r="S43140">
            <v>-755.68</v>
          </cell>
          <cell r="X43140" t="str">
            <v>Variation UPR - gross</v>
          </cell>
          <cell r="Y43140" t="str">
            <v>THAILAND</v>
          </cell>
        </row>
        <row r="43141">
          <cell r="L43141" t="str">
            <v>Non-proportional</v>
          </cell>
          <cell r="S43141">
            <v>161.63999999999999</v>
          </cell>
          <cell r="X43141" t="str">
            <v>Variation UPR - gross</v>
          </cell>
          <cell r="Y43141" t="str">
            <v>INDIA</v>
          </cell>
        </row>
        <row r="43142">
          <cell r="L43142" t="str">
            <v>Non-proportional</v>
          </cell>
          <cell r="S43142">
            <v>0.05</v>
          </cell>
          <cell r="X43142" t="str">
            <v>Variation UPR - gross</v>
          </cell>
          <cell r="Y43142" t="str">
            <v>THAILAND</v>
          </cell>
        </row>
        <row r="43143">
          <cell r="L43143" t="str">
            <v>Non-proportional</v>
          </cell>
          <cell r="S43143">
            <v>-4233.33</v>
          </cell>
          <cell r="X43143" t="str">
            <v>Variation UPR - gross</v>
          </cell>
          <cell r="Y43143" t="str">
            <v>FRANCE</v>
          </cell>
        </row>
        <row r="43144">
          <cell r="L43144" t="str">
            <v>Non-proportional</v>
          </cell>
          <cell r="S43144">
            <v>-42.78</v>
          </cell>
          <cell r="X43144" t="str">
            <v>Variation UPR - gross</v>
          </cell>
          <cell r="Y43144" t="str">
            <v>ISRAEL</v>
          </cell>
        </row>
        <row r="43145">
          <cell r="L43145" t="str">
            <v>Non-proportional</v>
          </cell>
          <cell r="S43145">
            <v>-8750</v>
          </cell>
          <cell r="X43145" t="str">
            <v>Variation UPR - gross</v>
          </cell>
          <cell r="Y43145" t="str">
            <v>EUROPE</v>
          </cell>
        </row>
        <row r="43146">
          <cell r="L43146" t="str">
            <v>Non-proportional</v>
          </cell>
          <cell r="S43146">
            <v>-129823.33</v>
          </cell>
          <cell r="X43146" t="str">
            <v>Variation UPR - gross</v>
          </cell>
          <cell r="Y43146" t="str">
            <v>PORTUGAL</v>
          </cell>
        </row>
        <row r="43147">
          <cell r="L43147" t="str">
            <v>Non-proportional</v>
          </cell>
          <cell r="S43147">
            <v>-5274.49</v>
          </cell>
          <cell r="X43147" t="str">
            <v>Variation UPR - gross</v>
          </cell>
          <cell r="Y43147" t="str">
            <v>CYPRUS</v>
          </cell>
        </row>
        <row r="43148">
          <cell r="L43148" t="str">
            <v>Non-proportional</v>
          </cell>
          <cell r="S43148">
            <v>-1303.4000000000001</v>
          </cell>
          <cell r="X43148" t="str">
            <v>Variation UPR - gross</v>
          </cell>
          <cell r="Y43148" t="str">
            <v>PUERTO RICO</v>
          </cell>
        </row>
        <row r="43149">
          <cell r="L43149" t="str">
            <v>Proportional</v>
          </cell>
          <cell r="S43149">
            <v>-43439.26</v>
          </cell>
          <cell r="X43149" t="str">
            <v>Variation UPR - gross</v>
          </cell>
          <cell r="Y43149" t="str">
            <v>UNITED ARAB EMIRATES</v>
          </cell>
        </row>
        <row r="43150">
          <cell r="L43150" t="str">
            <v>Non-proportional</v>
          </cell>
          <cell r="S43150">
            <v>-975</v>
          </cell>
          <cell r="X43150" t="str">
            <v>Variation UPR - gross</v>
          </cell>
          <cell r="Y43150" t="str">
            <v>GREECE</v>
          </cell>
        </row>
        <row r="43151">
          <cell r="L43151" t="str">
            <v>Non-proportional</v>
          </cell>
          <cell r="S43151">
            <v>-6393.46</v>
          </cell>
          <cell r="X43151" t="str">
            <v>Variation UPR - gross</v>
          </cell>
          <cell r="Y43151" t="str">
            <v>NETHERLANDS</v>
          </cell>
        </row>
        <row r="43152">
          <cell r="L43152" t="str">
            <v>Non-proportional</v>
          </cell>
          <cell r="S43152">
            <v>-375.42</v>
          </cell>
          <cell r="X43152" t="str">
            <v>Variation UPR - gross</v>
          </cell>
          <cell r="Y43152" t="str">
            <v>ITALY</v>
          </cell>
        </row>
        <row r="43153">
          <cell r="L43153" t="str">
            <v>Non-proportional</v>
          </cell>
          <cell r="S43153">
            <v>-7609.15</v>
          </cell>
          <cell r="X43153" t="str">
            <v>Variation UPR - gross</v>
          </cell>
          <cell r="Y43153" t="str">
            <v>NEW ZEALAND</v>
          </cell>
        </row>
        <row r="43154">
          <cell r="L43154" t="str">
            <v>Non-proportional</v>
          </cell>
          <cell r="S43154">
            <v>-8630.7999999999993</v>
          </cell>
          <cell r="X43154" t="str">
            <v>Variation UPR - gross</v>
          </cell>
          <cell r="Y43154" t="str">
            <v>PUERTO RICO</v>
          </cell>
        </row>
        <row r="43155">
          <cell r="L43155" t="str">
            <v>Non-proportional</v>
          </cell>
          <cell r="S43155">
            <v>-6963.2</v>
          </cell>
          <cell r="X43155" t="str">
            <v>Variation UPR - gross</v>
          </cell>
          <cell r="Y43155" t="str">
            <v>FRANCE</v>
          </cell>
        </row>
        <row r="43156">
          <cell r="L43156" t="str">
            <v>Non-proportional</v>
          </cell>
          <cell r="S43156">
            <v>-5628.78</v>
          </cell>
          <cell r="X43156" t="str">
            <v>Variation UPR - gross</v>
          </cell>
          <cell r="Y43156" t="str">
            <v>PUERTO RICO</v>
          </cell>
        </row>
        <row r="43157">
          <cell r="L43157" t="str">
            <v>Non-proportional</v>
          </cell>
          <cell r="S43157">
            <v>-1168.6199999999999</v>
          </cell>
          <cell r="X43157" t="str">
            <v>Variation UPR - gross</v>
          </cell>
          <cell r="Y43157" t="str">
            <v>PERU</v>
          </cell>
        </row>
        <row r="43158">
          <cell r="L43158" t="str">
            <v>Non-proportional</v>
          </cell>
          <cell r="S43158">
            <v>-5500.66</v>
          </cell>
          <cell r="X43158" t="str">
            <v>Variation UPR - gross</v>
          </cell>
          <cell r="Y43158" t="str">
            <v>SINGAPORE</v>
          </cell>
        </row>
        <row r="43159">
          <cell r="L43159" t="str">
            <v>Non-proportional</v>
          </cell>
          <cell r="S43159">
            <v>102.36</v>
          </cell>
          <cell r="X43159" t="str">
            <v>Variation UPR - gross</v>
          </cell>
          <cell r="Y43159" t="str">
            <v>AUSTRALIA</v>
          </cell>
        </row>
        <row r="43160">
          <cell r="L43160" t="str">
            <v>Non-proportional</v>
          </cell>
          <cell r="S43160">
            <v>-35326.94</v>
          </cell>
          <cell r="X43160" t="str">
            <v>Variation UPR - gross</v>
          </cell>
          <cell r="Y43160" t="str">
            <v>TURKEY</v>
          </cell>
        </row>
        <row r="43161">
          <cell r="L43161" t="str">
            <v>Non-proportional</v>
          </cell>
          <cell r="S43161">
            <v>-8843.8799999999992</v>
          </cell>
          <cell r="X43161" t="str">
            <v>Variation UPR - gross</v>
          </cell>
          <cell r="Y43161" t="str">
            <v>TURKEY</v>
          </cell>
        </row>
        <row r="43162">
          <cell r="L43162" t="str">
            <v>Non-proportional</v>
          </cell>
          <cell r="S43162">
            <v>-5729.78</v>
          </cell>
          <cell r="X43162" t="str">
            <v>Variation UPR - gross</v>
          </cell>
          <cell r="Y43162" t="str">
            <v>COSTA RICA</v>
          </cell>
        </row>
        <row r="43163">
          <cell r="L43163" t="str">
            <v>Non-proportional</v>
          </cell>
          <cell r="S43163">
            <v>-3323.53</v>
          </cell>
          <cell r="X43163" t="str">
            <v>Variation UPR - gross</v>
          </cell>
          <cell r="Y43163" t="str">
            <v>ISRAEL</v>
          </cell>
        </row>
        <row r="43164">
          <cell r="L43164" t="str">
            <v>Non-proportional</v>
          </cell>
          <cell r="S43164">
            <v>178.51</v>
          </cell>
          <cell r="X43164" t="str">
            <v>Variation UPR - gross</v>
          </cell>
          <cell r="Y43164" t="str">
            <v>JAPAN</v>
          </cell>
        </row>
        <row r="43165">
          <cell r="L43165" t="str">
            <v>Non-proportional</v>
          </cell>
          <cell r="S43165">
            <v>-938.54</v>
          </cell>
          <cell r="X43165" t="str">
            <v>Variation UPR - gross</v>
          </cell>
          <cell r="Y43165" t="str">
            <v>ITALY</v>
          </cell>
        </row>
        <row r="43166">
          <cell r="L43166" t="str">
            <v>Non-proportional</v>
          </cell>
          <cell r="S43166">
            <v>-4509.75</v>
          </cell>
          <cell r="X43166" t="str">
            <v>Variation UPR - gross</v>
          </cell>
          <cell r="Y43166" t="str">
            <v>FRANCE</v>
          </cell>
        </row>
        <row r="43167">
          <cell r="L43167" t="str">
            <v>Non-proportional</v>
          </cell>
          <cell r="S43167">
            <v>-19231.490000000002</v>
          </cell>
          <cell r="X43167" t="str">
            <v>Variation UPR - gross</v>
          </cell>
          <cell r="Y43167" t="str">
            <v>FRANCE</v>
          </cell>
        </row>
        <row r="43168">
          <cell r="L43168" t="str">
            <v>Non-proportional</v>
          </cell>
          <cell r="S43168">
            <v>-2813.93</v>
          </cell>
          <cell r="X43168" t="str">
            <v>Variation UPR - gross</v>
          </cell>
          <cell r="Y43168" t="str">
            <v>JAPAN</v>
          </cell>
        </row>
        <row r="43169">
          <cell r="L43169" t="str">
            <v>Non-proportional</v>
          </cell>
          <cell r="S43169">
            <v>-2237.79</v>
          </cell>
          <cell r="X43169" t="str">
            <v>Variation UPR - gross</v>
          </cell>
          <cell r="Y43169" t="str">
            <v>UNITED KINGDOM</v>
          </cell>
        </row>
        <row r="43170">
          <cell r="L43170" t="str">
            <v>Non-proportional</v>
          </cell>
          <cell r="S43170">
            <v>112.15</v>
          </cell>
          <cell r="X43170" t="str">
            <v>Variation UPR - gross</v>
          </cell>
          <cell r="Y43170" t="str">
            <v>JAPAN</v>
          </cell>
        </row>
        <row r="43171">
          <cell r="L43171" t="str">
            <v>Non-proportional</v>
          </cell>
          <cell r="S43171">
            <v>-4751.26</v>
          </cell>
          <cell r="X43171" t="str">
            <v>Variation UPR - gross</v>
          </cell>
          <cell r="Y43171" t="str">
            <v>FRANCE</v>
          </cell>
        </row>
        <row r="43172">
          <cell r="L43172" t="str">
            <v>Non-proportional</v>
          </cell>
          <cell r="S43172">
            <v>-7537.69</v>
          </cell>
          <cell r="X43172" t="str">
            <v>Variation UPR - gross</v>
          </cell>
          <cell r="Y43172" t="str">
            <v>PUERTO RICO</v>
          </cell>
        </row>
        <row r="43173">
          <cell r="L43173" t="str">
            <v>Non-proportional</v>
          </cell>
          <cell r="S43173">
            <v>52.56</v>
          </cell>
          <cell r="X43173" t="str">
            <v>Variation UPR - gross</v>
          </cell>
          <cell r="Y43173" t="str">
            <v>JAPAN</v>
          </cell>
        </row>
        <row r="43174">
          <cell r="L43174" t="str">
            <v>Non-proportional</v>
          </cell>
          <cell r="S43174">
            <v>-2143.6999999999998</v>
          </cell>
          <cell r="X43174" t="str">
            <v>Variation UPR - gross</v>
          </cell>
          <cell r="Y43174" t="str">
            <v>MEXICO</v>
          </cell>
        </row>
        <row r="43175">
          <cell r="L43175" t="str">
            <v>Non-proportional</v>
          </cell>
          <cell r="S43175">
            <v>-2081.41</v>
          </cell>
          <cell r="X43175" t="str">
            <v>Variation UPR - gross</v>
          </cell>
          <cell r="Y43175" t="str">
            <v>DOMINICAN REPUBLIC</v>
          </cell>
        </row>
        <row r="43176">
          <cell r="L43176" t="str">
            <v>Non-proportional</v>
          </cell>
          <cell r="S43176">
            <v>39.24</v>
          </cell>
          <cell r="X43176" t="str">
            <v>Variation UPR - gross</v>
          </cell>
          <cell r="Y43176" t="str">
            <v>NEW ZEALAND</v>
          </cell>
        </row>
        <row r="43177">
          <cell r="L43177" t="str">
            <v>Non-proportional</v>
          </cell>
          <cell r="S43177">
            <v>-740.4</v>
          </cell>
          <cell r="X43177" t="str">
            <v>Variation UPR - gross</v>
          </cell>
          <cell r="Y43177" t="str">
            <v>FRANCE</v>
          </cell>
        </row>
        <row r="43178">
          <cell r="L43178" t="str">
            <v>Proportional</v>
          </cell>
          <cell r="S43178">
            <v>691.71</v>
          </cell>
          <cell r="X43178" t="str">
            <v>Variation UPR - gross</v>
          </cell>
          <cell r="Y43178" t="str">
            <v>THAILAND</v>
          </cell>
        </row>
        <row r="43179">
          <cell r="L43179" t="str">
            <v>Non-proportional</v>
          </cell>
          <cell r="S43179">
            <v>0.01</v>
          </cell>
          <cell r="X43179" t="str">
            <v>Variation UPR - gross</v>
          </cell>
          <cell r="Y43179" t="str">
            <v>BELIZE</v>
          </cell>
        </row>
        <row r="43180">
          <cell r="L43180" t="str">
            <v>Proportional</v>
          </cell>
          <cell r="S43180">
            <v>-32.56</v>
          </cell>
          <cell r="X43180" t="str">
            <v>Variation UPR - gross</v>
          </cell>
          <cell r="Y43180" t="str">
            <v>UNITED STATES</v>
          </cell>
        </row>
        <row r="43181">
          <cell r="L43181" t="str">
            <v>Non-proportional</v>
          </cell>
          <cell r="S43181">
            <v>-10646.45</v>
          </cell>
          <cell r="X43181" t="str">
            <v>Variation UPR - gross</v>
          </cell>
          <cell r="Y43181" t="str">
            <v>CHILE</v>
          </cell>
        </row>
        <row r="43182">
          <cell r="L43182" t="str">
            <v>Non-proportional</v>
          </cell>
          <cell r="S43182">
            <v>-2937.09</v>
          </cell>
          <cell r="X43182" t="str">
            <v>Variation UPR - gross</v>
          </cell>
          <cell r="Y43182" t="str">
            <v>NETHERLANDS</v>
          </cell>
        </row>
        <row r="43183">
          <cell r="L43183" t="str">
            <v>Non-proportional</v>
          </cell>
          <cell r="S43183">
            <v>-189.95</v>
          </cell>
          <cell r="X43183" t="str">
            <v>Variation UPR - gross</v>
          </cell>
          <cell r="Y43183" t="str">
            <v>JAPAN</v>
          </cell>
        </row>
        <row r="43184">
          <cell r="L43184" t="str">
            <v>Non-proportional</v>
          </cell>
          <cell r="S43184">
            <v>-3431.21</v>
          </cell>
          <cell r="X43184" t="str">
            <v>Variation UPR - gross</v>
          </cell>
          <cell r="Y43184" t="str">
            <v>AUSTRALIA</v>
          </cell>
        </row>
        <row r="43185">
          <cell r="L43185" t="str">
            <v>Non-proportional</v>
          </cell>
          <cell r="S43185">
            <v>0.01</v>
          </cell>
          <cell r="X43185" t="str">
            <v>Variation UPR - gross</v>
          </cell>
          <cell r="Y43185" t="str">
            <v>DOMINICAN REPUBLIC</v>
          </cell>
        </row>
        <row r="43186">
          <cell r="L43186" t="str">
            <v>Non-proportional</v>
          </cell>
          <cell r="S43186">
            <v>-3206.36</v>
          </cell>
          <cell r="X43186" t="str">
            <v>Variation UPR - gross</v>
          </cell>
          <cell r="Y43186" t="str">
            <v>AUSTRALIA</v>
          </cell>
        </row>
        <row r="43187">
          <cell r="L43187" t="str">
            <v>Non-proportional</v>
          </cell>
          <cell r="S43187">
            <v>-40000</v>
          </cell>
          <cell r="X43187" t="str">
            <v>Variation UPR - gross</v>
          </cell>
          <cell r="Y43187" t="str">
            <v>PORTUGAL</v>
          </cell>
        </row>
        <row r="43188">
          <cell r="L43188" t="str">
            <v>Proportional</v>
          </cell>
          <cell r="S43188">
            <v>-42499.05</v>
          </cell>
          <cell r="X43188" t="str">
            <v>Variation UPR - gross</v>
          </cell>
          <cell r="Y43188" t="str">
            <v>MEXICO</v>
          </cell>
        </row>
        <row r="43189">
          <cell r="L43189" t="str">
            <v>Non-proportional</v>
          </cell>
          <cell r="S43189">
            <v>-1598.11</v>
          </cell>
          <cell r="X43189" t="str">
            <v>Variation UPR - gross</v>
          </cell>
          <cell r="Y43189" t="str">
            <v>ECUADOR</v>
          </cell>
        </row>
        <row r="43190">
          <cell r="L43190" t="str">
            <v>Non-proportional</v>
          </cell>
          <cell r="S43190">
            <v>-139.86000000000001</v>
          </cell>
          <cell r="X43190" t="str">
            <v>Variation UPR - gross</v>
          </cell>
          <cell r="Y43190" t="str">
            <v>CHILE</v>
          </cell>
        </row>
        <row r="43191">
          <cell r="L43191" t="str">
            <v>Non-proportional</v>
          </cell>
          <cell r="S43191">
            <v>0.02</v>
          </cell>
          <cell r="X43191" t="str">
            <v>Variation UPR - gross</v>
          </cell>
          <cell r="Y43191" t="str">
            <v>COLOMBIA</v>
          </cell>
        </row>
        <row r="43192">
          <cell r="L43192" t="str">
            <v>Non-proportional</v>
          </cell>
          <cell r="S43192">
            <v>256.39</v>
          </cell>
          <cell r="X43192" t="str">
            <v>Variation UPR - gross</v>
          </cell>
          <cell r="Y43192" t="str">
            <v>JAPAN</v>
          </cell>
        </row>
        <row r="43193">
          <cell r="L43193" t="str">
            <v>Proportional</v>
          </cell>
          <cell r="S43193">
            <v>-215.62</v>
          </cell>
          <cell r="X43193" t="str">
            <v>Variation UPR - gross</v>
          </cell>
          <cell r="Y43193" t="str">
            <v>THAILAND</v>
          </cell>
        </row>
        <row r="43194">
          <cell r="L43194"/>
          <cell r="S43194">
            <v>11046785.35</v>
          </cell>
          <cell r="X43194" t="str">
            <v>Variation UPR - gross</v>
          </cell>
          <cell r="Y43194" t="str">
            <v>United kingdom</v>
          </cell>
        </row>
        <row r="43195">
          <cell r="L43195" t="str">
            <v>Proportional</v>
          </cell>
          <cell r="S43195">
            <v>2357.71</v>
          </cell>
          <cell r="X43195" t="str">
            <v>Variation UPR - gross</v>
          </cell>
          <cell r="Y43195" t="str">
            <v>India</v>
          </cell>
        </row>
        <row r="43196">
          <cell r="L43196" t="str">
            <v>Non-proportional</v>
          </cell>
          <cell r="S43196">
            <v>-4.7</v>
          </cell>
          <cell r="X43196" t="str">
            <v>Variation UPR - gross</v>
          </cell>
          <cell r="Y43196" t="str">
            <v>COSTA RICA</v>
          </cell>
        </row>
        <row r="43197">
          <cell r="L43197" t="str">
            <v>Non-proportional</v>
          </cell>
          <cell r="S43197">
            <v>-36.42</v>
          </cell>
          <cell r="X43197" t="str">
            <v>Variation UPR - gross</v>
          </cell>
          <cell r="Y43197" t="str">
            <v>CHILE</v>
          </cell>
        </row>
        <row r="43198">
          <cell r="L43198" t="str">
            <v>Non-proportional</v>
          </cell>
          <cell r="S43198">
            <v>-3448.3</v>
          </cell>
          <cell r="X43198" t="str">
            <v>Variation UPR - gross</v>
          </cell>
          <cell r="Y43198" t="str">
            <v>AUSTRALIA</v>
          </cell>
        </row>
        <row r="43199">
          <cell r="L43199" t="str">
            <v>Non-proportional</v>
          </cell>
          <cell r="S43199">
            <v>-10000</v>
          </cell>
          <cell r="X43199" t="str">
            <v>Variation UPR - gross</v>
          </cell>
          <cell r="Y43199" t="str">
            <v>ITALY</v>
          </cell>
        </row>
        <row r="43200">
          <cell r="L43200" t="str">
            <v>Non-proportional</v>
          </cell>
          <cell r="S43200">
            <v>24.45</v>
          </cell>
          <cell r="X43200" t="str">
            <v>Variation UPR - gross</v>
          </cell>
          <cell r="Y43200" t="str">
            <v>AUSTRALIA</v>
          </cell>
        </row>
        <row r="43201">
          <cell r="L43201" t="str">
            <v>Non-proportional</v>
          </cell>
          <cell r="S43201">
            <v>-4238.47</v>
          </cell>
          <cell r="X43201" t="str">
            <v>Variation UPR - gross</v>
          </cell>
          <cell r="Y43201" t="str">
            <v>FRANCE</v>
          </cell>
        </row>
        <row r="43202">
          <cell r="L43202" t="str">
            <v>Non-proportional</v>
          </cell>
          <cell r="S43202">
            <v>-4185.91</v>
          </cell>
          <cell r="X43202" t="str">
            <v>Variation UPR - gross</v>
          </cell>
          <cell r="Y43202" t="str">
            <v>FRANCE</v>
          </cell>
        </row>
        <row r="43203">
          <cell r="L43203" t="str">
            <v>Proportional</v>
          </cell>
          <cell r="S43203">
            <v>-177566.13</v>
          </cell>
          <cell r="X43203" t="str">
            <v>Variation UPR - gross</v>
          </cell>
          <cell r="Y43203" t="str">
            <v>INDIA</v>
          </cell>
        </row>
        <row r="43204">
          <cell r="L43204" t="str">
            <v>Non-proportional</v>
          </cell>
          <cell r="S43204">
            <v>39.06</v>
          </cell>
          <cell r="X43204" t="str">
            <v>Variation UPR - gross</v>
          </cell>
          <cell r="Y43204" t="str">
            <v>JAPAN</v>
          </cell>
        </row>
        <row r="43205">
          <cell r="L43205" t="str">
            <v>Non-proportional</v>
          </cell>
          <cell r="S43205">
            <v>-3241.12</v>
          </cell>
          <cell r="X43205" t="str">
            <v>Variation UPR - gross</v>
          </cell>
          <cell r="Y43205" t="str">
            <v>CHILE</v>
          </cell>
        </row>
        <row r="43206">
          <cell r="L43206" t="str">
            <v>Non-proportional</v>
          </cell>
          <cell r="S43206">
            <v>9.91</v>
          </cell>
          <cell r="X43206" t="str">
            <v>Variation UPR - gross</v>
          </cell>
          <cell r="Y43206" t="str">
            <v>NEW ZEALAND</v>
          </cell>
        </row>
        <row r="43207">
          <cell r="L43207" t="str">
            <v>Non-proportional</v>
          </cell>
          <cell r="S43207">
            <v>-30000</v>
          </cell>
          <cell r="X43207" t="str">
            <v>Variation UPR - gross</v>
          </cell>
          <cell r="Y43207" t="str">
            <v>FRANCE</v>
          </cell>
        </row>
        <row r="43208">
          <cell r="L43208" t="str">
            <v>Non-proportional</v>
          </cell>
          <cell r="S43208">
            <v>-1820.58</v>
          </cell>
          <cell r="X43208" t="str">
            <v>Variation UPR - gross</v>
          </cell>
          <cell r="Y43208" t="str">
            <v>PERU</v>
          </cell>
        </row>
        <row r="43209">
          <cell r="L43209" t="str">
            <v>Non-proportional</v>
          </cell>
          <cell r="S43209">
            <v>-9348.14</v>
          </cell>
          <cell r="X43209" t="str">
            <v>Variation UPR - gross</v>
          </cell>
          <cell r="Y43209" t="str">
            <v>NETHERLANDS</v>
          </cell>
        </row>
        <row r="43210">
          <cell r="L43210" t="str">
            <v>Proportional</v>
          </cell>
          <cell r="S43210">
            <v>-9751.08</v>
          </cell>
          <cell r="X43210" t="str">
            <v>Variation UPR - gross</v>
          </cell>
          <cell r="Y43210" t="str">
            <v>THAILAND</v>
          </cell>
        </row>
        <row r="43211">
          <cell r="L43211" t="str">
            <v>Proportional</v>
          </cell>
          <cell r="S43211">
            <v>-11375.58</v>
          </cell>
          <cell r="X43211" t="str">
            <v>Variation UPR - gross</v>
          </cell>
          <cell r="Y43211" t="str">
            <v>THAILAND</v>
          </cell>
        </row>
        <row r="43212">
          <cell r="L43212" t="str">
            <v>Non-proportional</v>
          </cell>
          <cell r="S43212">
            <v>-89938.33</v>
          </cell>
          <cell r="X43212" t="str">
            <v>Variation UPR - gross</v>
          </cell>
          <cell r="Y43212" t="str">
            <v>PORTUGAL</v>
          </cell>
        </row>
        <row r="43213">
          <cell r="L43213" t="str">
            <v>Proportional</v>
          </cell>
          <cell r="S43213">
            <v>-46433.69</v>
          </cell>
          <cell r="X43213" t="str">
            <v>Variation UPR - gross</v>
          </cell>
          <cell r="Y43213" t="str">
            <v>THAILAND</v>
          </cell>
        </row>
        <row r="43214">
          <cell r="L43214" t="str">
            <v>Non-proportional</v>
          </cell>
          <cell r="S43214">
            <v>-2005</v>
          </cell>
          <cell r="X43214" t="str">
            <v>Variation UPR - gross</v>
          </cell>
          <cell r="Y43214" t="str">
            <v>AUSTRALIA</v>
          </cell>
        </row>
        <row r="43215">
          <cell r="L43215" t="str">
            <v>Non-proportional</v>
          </cell>
          <cell r="S43215">
            <v>-9728.5499999999993</v>
          </cell>
          <cell r="X43215" t="str">
            <v>Variation UPR - gross</v>
          </cell>
          <cell r="Y43215" t="str">
            <v>PERU</v>
          </cell>
        </row>
        <row r="43216">
          <cell r="L43216" t="str">
            <v>Non-proportional</v>
          </cell>
          <cell r="S43216">
            <v>-218.27</v>
          </cell>
          <cell r="X43216" t="str">
            <v>Variation UPR - gross</v>
          </cell>
          <cell r="Y43216" t="str">
            <v>JAPAN</v>
          </cell>
        </row>
        <row r="43217">
          <cell r="L43217" t="str">
            <v>Non-proportional</v>
          </cell>
          <cell r="S43217">
            <v>-3280.22</v>
          </cell>
          <cell r="X43217" t="str">
            <v>Variation UPR - gross</v>
          </cell>
          <cell r="Y43217" t="str">
            <v>UNITED KINGDOM</v>
          </cell>
        </row>
        <row r="43218">
          <cell r="L43218" t="str">
            <v>Non-proportional</v>
          </cell>
          <cell r="S43218">
            <v>-28848.58</v>
          </cell>
          <cell r="X43218" t="str">
            <v>Variation UPR - gross</v>
          </cell>
          <cell r="Y43218" t="str">
            <v>FRANCE</v>
          </cell>
        </row>
        <row r="43219">
          <cell r="L43219" t="str">
            <v>Non-proportional</v>
          </cell>
          <cell r="S43219">
            <v>-1480.32</v>
          </cell>
          <cell r="X43219" t="str">
            <v>Variation UPR - gross</v>
          </cell>
          <cell r="Y43219" t="str">
            <v>GUATEMALA</v>
          </cell>
        </row>
        <row r="43220">
          <cell r="L43220" t="str">
            <v>Non-proportional</v>
          </cell>
          <cell r="S43220">
            <v>-73079.08</v>
          </cell>
          <cell r="X43220" t="str">
            <v>Variation UPR - gross</v>
          </cell>
          <cell r="Y43220" t="str">
            <v>UNITED KINGDOM</v>
          </cell>
        </row>
        <row r="43221">
          <cell r="L43221" t="str">
            <v>Non-proportional</v>
          </cell>
          <cell r="S43221">
            <v>-2622.55</v>
          </cell>
          <cell r="X43221" t="str">
            <v>Variation UPR - gross</v>
          </cell>
          <cell r="Y43221" t="str">
            <v>BELIZE</v>
          </cell>
        </row>
        <row r="43222">
          <cell r="L43222" t="str">
            <v>Non-proportional</v>
          </cell>
          <cell r="S43222">
            <v>-1675.07</v>
          </cell>
          <cell r="X43222" t="str">
            <v>Variation UPR - gross</v>
          </cell>
          <cell r="Y43222" t="str">
            <v>JAPAN</v>
          </cell>
        </row>
        <row r="43223">
          <cell r="L43223" t="str">
            <v>Non-proportional</v>
          </cell>
          <cell r="S43223">
            <v>-1036.47</v>
          </cell>
          <cell r="X43223" t="str">
            <v>Variation UPR - gross</v>
          </cell>
          <cell r="Y43223" t="str">
            <v>JAPAN</v>
          </cell>
        </row>
        <row r="43224">
          <cell r="L43224" t="str">
            <v>Non-proportional</v>
          </cell>
          <cell r="S43224">
            <v>210.55</v>
          </cell>
          <cell r="X43224" t="str">
            <v>Variation UPR - gross</v>
          </cell>
          <cell r="Y43224" t="str">
            <v>NEW ZEALAND</v>
          </cell>
        </row>
        <row r="43225">
          <cell r="L43225" t="str">
            <v>Non-proportional</v>
          </cell>
          <cell r="S43225">
            <v>-30345.99</v>
          </cell>
          <cell r="X43225" t="str">
            <v>Variation UPR - gross</v>
          </cell>
          <cell r="Y43225" t="str">
            <v>FRANCE</v>
          </cell>
        </row>
        <row r="43226">
          <cell r="L43226" t="str">
            <v>Non-proportional</v>
          </cell>
          <cell r="S43226">
            <v>-14483.94</v>
          </cell>
          <cell r="X43226" t="str">
            <v>Variation UPR - gross</v>
          </cell>
          <cell r="Y43226" t="str">
            <v>FRANCE</v>
          </cell>
        </row>
        <row r="43227">
          <cell r="L43227" t="str">
            <v>Proportional</v>
          </cell>
          <cell r="S43227">
            <v>-2458333.33</v>
          </cell>
          <cell r="X43227" t="str">
            <v>Variation UPR - gross</v>
          </cell>
          <cell r="Y43227" t="str">
            <v>PORTUGAL</v>
          </cell>
        </row>
        <row r="43228">
          <cell r="L43228" t="str">
            <v>Proportional</v>
          </cell>
          <cell r="S43228">
            <v>6187.55</v>
          </cell>
          <cell r="X43228" t="str">
            <v>Variation UPR - gross</v>
          </cell>
          <cell r="Y43228" t="str">
            <v>UNITED KINGDOM</v>
          </cell>
        </row>
        <row r="43229">
          <cell r="L43229" t="str">
            <v>Non-proportional</v>
          </cell>
          <cell r="S43229">
            <v>-3126.85</v>
          </cell>
          <cell r="X43229" t="str">
            <v>Variation UPR - gross</v>
          </cell>
          <cell r="Y43229" t="str">
            <v>FRANCE</v>
          </cell>
        </row>
        <row r="43230">
          <cell r="L43230" t="str">
            <v>Non-proportional</v>
          </cell>
          <cell r="S43230">
            <v>-7574.76</v>
          </cell>
          <cell r="X43230" t="str">
            <v>Variation UPR - gross</v>
          </cell>
          <cell r="Y43230" t="str">
            <v>CHILE</v>
          </cell>
        </row>
        <row r="43231">
          <cell r="L43231" t="str">
            <v>Non-proportional</v>
          </cell>
          <cell r="S43231">
            <v>-423256.74</v>
          </cell>
          <cell r="X43231" t="str">
            <v>Variation UPR - gross</v>
          </cell>
          <cell r="Y43231" t="str">
            <v>UNITED KINGDOM</v>
          </cell>
        </row>
        <row r="43232">
          <cell r="L43232" t="str">
            <v>Non-proportional</v>
          </cell>
          <cell r="S43232">
            <v>-3595.78</v>
          </cell>
          <cell r="X43232" t="str">
            <v>Variation UPR - gross</v>
          </cell>
          <cell r="Y43232" t="str">
            <v>ISRAEL</v>
          </cell>
        </row>
        <row r="43233">
          <cell r="L43233" t="str">
            <v>Non-proportional</v>
          </cell>
          <cell r="S43233">
            <v>-15274.06</v>
          </cell>
          <cell r="X43233" t="str">
            <v>Variation UPR - gross</v>
          </cell>
          <cell r="Y43233" t="str">
            <v>UNITED KINGDOM</v>
          </cell>
        </row>
        <row r="43234">
          <cell r="L43234" t="str">
            <v>Non-proportional</v>
          </cell>
          <cell r="S43234">
            <v>-4751.26</v>
          </cell>
          <cell r="X43234" t="str">
            <v>Variation UPR - gross</v>
          </cell>
          <cell r="Y43234" t="str">
            <v>FRANCE</v>
          </cell>
        </row>
        <row r="43235">
          <cell r="L43235" t="str">
            <v>Non-proportional</v>
          </cell>
          <cell r="S43235">
            <v>-3072.14</v>
          </cell>
          <cell r="X43235" t="str">
            <v>Variation UPR - gross</v>
          </cell>
          <cell r="Y43235" t="str">
            <v>UNITED KINGDOM</v>
          </cell>
        </row>
        <row r="43236">
          <cell r="L43236" t="str">
            <v>Non-proportional</v>
          </cell>
          <cell r="S43236">
            <v>-4207.2299999999996</v>
          </cell>
          <cell r="X43236" t="str">
            <v>Variation UPR - gross</v>
          </cell>
          <cell r="Y43236" t="str">
            <v>COLOMBIA</v>
          </cell>
        </row>
        <row r="43237">
          <cell r="L43237" t="str">
            <v>Non-proportional</v>
          </cell>
          <cell r="S43237">
            <v>-1376.25</v>
          </cell>
          <cell r="X43237" t="str">
            <v>Variation UPR - gross</v>
          </cell>
          <cell r="Y43237" t="str">
            <v>COLOMBIA</v>
          </cell>
        </row>
        <row r="43238">
          <cell r="L43238" t="str">
            <v>Non-proportional</v>
          </cell>
          <cell r="S43238">
            <v>-9577.7000000000007</v>
          </cell>
          <cell r="X43238" t="str">
            <v>Variation UPR - gross</v>
          </cell>
          <cell r="Y43238" t="str">
            <v>CHILE</v>
          </cell>
        </row>
        <row r="43239">
          <cell r="L43239" t="str">
            <v>Non-proportional</v>
          </cell>
          <cell r="S43239">
            <v>-9877</v>
          </cell>
          <cell r="X43239" t="str">
            <v>Variation UPR - gross</v>
          </cell>
          <cell r="Y43239" t="str">
            <v>COLOMBIA</v>
          </cell>
        </row>
        <row r="43240">
          <cell r="L43240" t="str">
            <v>Non-proportional</v>
          </cell>
          <cell r="S43240">
            <v>-0.02</v>
          </cell>
          <cell r="X43240" t="str">
            <v>Variation UPR - gross</v>
          </cell>
          <cell r="Y43240" t="str">
            <v>DOMINICAN REPUBLIC</v>
          </cell>
        </row>
        <row r="43241">
          <cell r="L43241" t="str">
            <v>Non-proportional</v>
          </cell>
          <cell r="S43241">
            <v>-15180.33</v>
          </cell>
          <cell r="X43241" t="str">
            <v>Variation UPR - gross</v>
          </cell>
          <cell r="Y43241" t="str">
            <v>NEW ZEALAND</v>
          </cell>
        </row>
        <row r="43242">
          <cell r="L43242" t="str">
            <v>Non-proportional</v>
          </cell>
          <cell r="S43242">
            <v>-1546.97</v>
          </cell>
          <cell r="X43242" t="str">
            <v>Variation UPR - gross</v>
          </cell>
          <cell r="Y43242" t="str">
            <v>JAPAN</v>
          </cell>
        </row>
        <row r="43243">
          <cell r="L43243" t="str">
            <v>Proportional</v>
          </cell>
          <cell r="S43243">
            <v>-546.41</v>
          </cell>
          <cell r="X43243" t="str">
            <v>Variation UPR - gross</v>
          </cell>
          <cell r="Y43243" t="str">
            <v>THAILAND</v>
          </cell>
        </row>
        <row r="43244">
          <cell r="L43244" t="str">
            <v>Non-proportional</v>
          </cell>
          <cell r="S43244">
            <v>-0.02</v>
          </cell>
          <cell r="X43244" t="str">
            <v>Variation UPR - gross</v>
          </cell>
          <cell r="Y43244" t="str">
            <v>INDIA</v>
          </cell>
        </row>
        <row r="43245">
          <cell r="L43245" t="str">
            <v>Non-proportional</v>
          </cell>
          <cell r="S43245">
            <v>-800</v>
          </cell>
          <cell r="X43245" t="str">
            <v>Variation UPR - gross</v>
          </cell>
          <cell r="Y43245" t="str">
            <v>ITALY</v>
          </cell>
        </row>
        <row r="43246">
          <cell r="L43246" t="str">
            <v>Non-proportional</v>
          </cell>
          <cell r="S43246">
            <v>-2178.4</v>
          </cell>
          <cell r="X43246" t="str">
            <v>Variation UPR - gross</v>
          </cell>
          <cell r="Y43246" t="str">
            <v>MEXICO</v>
          </cell>
        </row>
        <row r="43247">
          <cell r="L43247" t="str">
            <v>Non-proportional</v>
          </cell>
          <cell r="S43247">
            <v>38.630000000000003</v>
          </cell>
          <cell r="X43247" t="str">
            <v>Variation UPR - gross</v>
          </cell>
          <cell r="Y43247" t="str">
            <v>COLOMBIA</v>
          </cell>
        </row>
        <row r="43248">
          <cell r="L43248" t="str">
            <v>Non-proportional</v>
          </cell>
          <cell r="S43248">
            <v>174.06</v>
          </cell>
          <cell r="X43248" t="str">
            <v>Variation UPR - gross</v>
          </cell>
          <cell r="Y43248" t="str">
            <v>JAPAN</v>
          </cell>
        </row>
        <row r="43249">
          <cell r="L43249" t="str">
            <v>Non-proportional</v>
          </cell>
          <cell r="S43249">
            <v>-5385.27</v>
          </cell>
          <cell r="X43249" t="str">
            <v>Variation UPR - gross</v>
          </cell>
          <cell r="Y43249" t="str">
            <v>JAPAN</v>
          </cell>
        </row>
        <row r="43250">
          <cell r="L43250" t="str">
            <v>Non-proportional</v>
          </cell>
          <cell r="S43250">
            <v>-2020.83</v>
          </cell>
          <cell r="X43250" t="str">
            <v>Variation UPR - gross</v>
          </cell>
          <cell r="Y43250" t="str">
            <v>UNITED KINGDOM</v>
          </cell>
        </row>
        <row r="43251">
          <cell r="L43251" t="str">
            <v>Non-proportional</v>
          </cell>
          <cell r="S43251">
            <v>-2744.74</v>
          </cell>
          <cell r="X43251" t="str">
            <v>Variation UPR - gross</v>
          </cell>
          <cell r="Y43251" t="str">
            <v>JAPAN</v>
          </cell>
        </row>
        <row r="43252">
          <cell r="L43252" t="str">
            <v>Non-proportional</v>
          </cell>
          <cell r="S43252">
            <v>-4177.9399999999996</v>
          </cell>
          <cell r="X43252" t="str">
            <v>Variation UPR - gross</v>
          </cell>
          <cell r="Y43252" t="str">
            <v>THAILAND</v>
          </cell>
        </row>
        <row r="43253">
          <cell r="L43253" t="str">
            <v>Non-proportional</v>
          </cell>
          <cell r="S43253">
            <v>-0.02</v>
          </cell>
          <cell r="X43253" t="str">
            <v>Variation UPR - gross</v>
          </cell>
          <cell r="Y43253" t="str">
            <v>BELIZE</v>
          </cell>
        </row>
        <row r="43254">
          <cell r="L43254" t="str">
            <v>Non-proportional</v>
          </cell>
          <cell r="S43254">
            <v>-10909.08</v>
          </cell>
          <cell r="X43254" t="str">
            <v>Variation UPR - gross</v>
          </cell>
          <cell r="Y43254" t="str">
            <v>ITALY</v>
          </cell>
        </row>
        <row r="43255">
          <cell r="L43255" t="str">
            <v>Non-proportional</v>
          </cell>
          <cell r="S43255">
            <v>-1099.5999999999999</v>
          </cell>
          <cell r="X43255" t="str">
            <v>Variation UPR - gross</v>
          </cell>
          <cell r="Y43255" t="str">
            <v>COSTA RICA</v>
          </cell>
        </row>
        <row r="43256">
          <cell r="L43256" t="str">
            <v>Proportional</v>
          </cell>
          <cell r="S43256">
            <v>874.01</v>
          </cell>
          <cell r="X43256" t="str">
            <v>Variation UPR - gross</v>
          </cell>
          <cell r="Y43256" t="str">
            <v>CHILE</v>
          </cell>
        </row>
        <row r="43257">
          <cell r="L43257" t="str">
            <v>Non-proportional</v>
          </cell>
          <cell r="S43257">
            <v>-4949.13</v>
          </cell>
          <cell r="X43257" t="str">
            <v>Variation UPR - gross</v>
          </cell>
          <cell r="Y43257" t="str">
            <v>NETHERLANDS</v>
          </cell>
        </row>
        <row r="43258">
          <cell r="L43258" t="str">
            <v>Proportional</v>
          </cell>
          <cell r="S43258">
            <v>-248088.63</v>
          </cell>
          <cell r="X43258" t="str">
            <v>Variation UPR - gross</v>
          </cell>
          <cell r="Y43258" t="str">
            <v>HONG KONG</v>
          </cell>
        </row>
        <row r="43259">
          <cell r="L43259" t="str">
            <v>Proportional</v>
          </cell>
          <cell r="S43259">
            <v>-3157</v>
          </cell>
          <cell r="X43259" t="str">
            <v>Variation UPR - gross</v>
          </cell>
          <cell r="Y43259" t="str">
            <v>SAUDI ARABIA</v>
          </cell>
        </row>
        <row r="43260">
          <cell r="L43260" t="str">
            <v>Non-proportional</v>
          </cell>
          <cell r="S43260">
            <v>-42175.07</v>
          </cell>
          <cell r="X43260" t="str">
            <v>Variation UPR - gross</v>
          </cell>
          <cell r="Y43260" t="str">
            <v>UNITED KINGDOM</v>
          </cell>
        </row>
        <row r="43261">
          <cell r="L43261" t="str">
            <v>Non-proportional</v>
          </cell>
          <cell r="S43261">
            <v>12.93</v>
          </cell>
          <cell r="X43261" t="str">
            <v>Variation UPR - gross</v>
          </cell>
          <cell r="Y43261" t="str">
            <v>DOMINICAN REPUBLIC</v>
          </cell>
        </row>
        <row r="43262">
          <cell r="L43262" t="str">
            <v>Non-proportional</v>
          </cell>
          <cell r="S43262">
            <v>-259.64999999999998</v>
          </cell>
          <cell r="X43262" t="str">
            <v>Variation UPR - gross</v>
          </cell>
          <cell r="Y43262" t="str">
            <v>ECUADOR</v>
          </cell>
        </row>
        <row r="43263">
          <cell r="L43263" t="str">
            <v>Non-proportional</v>
          </cell>
          <cell r="S43263">
            <v>-11863.23</v>
          </cell>
          <cell r="X43263" t="str">
            <v>Variation UPR - gross</v>
          </cell>
          <cell r="Y43263" t="str">
            <v>EUROPE</v>
          </cell>
        </row>
        <row r="43264">
          <cell r="L43264" t="str">
            <v>Proportional</v>
          </cell>
          <cell r="S43264">
            <v>2367.34</v>
          </cell>
          <cell r="X43264" t="str">
            <v>Variation UPR - gross</v>
          </cell>
          <cell r="Y43264" t="str">
            <v>THAILAND</v>
          </cell>
        </row>
        <row r="43265">
          <cell r="L43265" t="str">
            <v>Proportional</v>
          </cell>
          <cell r="S43265">
            <v>-494581.27</v>
          </cell>
          <cell r="X43265" t="str">
            <v>Variation UPR - gross</v>
          </cell>
          <cell r="Y43265" t="str">
            <v>UNITED STATES</v>
          </cell>
        </row>
        <row r="43266">
          <cell r="L43266" t="str">
            <v>Non-proportional</v>
          </cell>
          <cell r="S43266">
            <v>2.23</v>
          </cell>
          <cell r="X43266" t="str">
            <v>Variation UPR - gross</v>
          </cell>
          <cell r="Y43266" t="str">
            <v>GUATEMALA</v>
          </cell>
        </row>
        <row r="43267">
          <cell r="L43267" t="str">
            <v>Non-proportional</v>
          </cell>
          <cell r="S43267">
            <v>-2569.46</v>
          </cell>
          <cell r="X43267" t="str">
            <v>Variation UPR - gross</v>
          </cell>
          <cell r="Y43267" t="str">
            <v>MEXICO</v>
          </cell>
        </row>
        <row r="43268">
          <cell r="L43268" t="str">
            <v>Proportional</v>
          </cell>
          <cell r="S43268">
            <v>60.16</v>
          </cell>
          <cell r="X43268" t="str">
            <v>Variation UPR - gross</v>
          </cell>
          <cell r="Y43268" t="str">
            <v>UNITED STATES</v>
          </cell>
        </row>
        <row r="43269">
          <cell r="L43269" t="str">
            <v>Non-proportional</v>
          </cell>
          <cell r="S43269">
            <v>-1248.9000000000001</v>
          </cell>
          <cell r="X43269" t="str">
            <v>Variation UPR - gross</v>
          </cell>
          <cell r="Y43269" t="str">
            <v>PERU</v>
          </cell>
        </row>
        <row r="43270">
          <cell r="L43270" t="str">
            <v>Non-proportional</v>
          </cell>
          <cell r="S43270">
            <v>-105723.33</v>
          </cell>
          <cell r="X43270" t="str">
            <v>Variation UPR - gross</v>
          </cell>
          <cell r="Y43270" t="str">
            <v>FRANCE</v>
          </cell>
        </row>
        <row r="43271">
          <cell r="L43271" t="str">
            <v>Non-proportional</v>
          </cell>
          <cell r="S43271">
            <v>-1749.72</v>
          </cell>
          <cell r="X43271" t="str">
            <v>Variation UPR - gross</v>
          </cell>
          <cell r="Y43271" t="str">
            <v>NETHERLANDS</v>
          </cell>
        </row>
        <row r="43272">
          <cell r="L43272" t="str">
            <v>Non-proportional</v>
          </cell>
          <cell r="S43272">
            <v>-637225.6</v>
          </cell>
          <cell r="X43272" t="str">
            <v>Variation UPR - gross</v>
          </cell>
          <cell r="Y43272" t="str">
            <v>BELGIUM</v>
          </cell>
        </row>
        <row r="43273">
          <cell r="L43273" t="str">
            <v>Non-proportional</v>
          </cell>
          <cell r="S43273">
            <v>-3381.84</v>
          </cell>
          <cell r="X43273" t="str">
            <v>Variation UPR - gross</v>
          </cell>
          <cell r="Y43273" t="str">
            <v>ITALY</v>
          </cell>
        </row>
        <row r="43274">
          <cell r="L43274" t="str">
            <v>Non-proportional</v>
          </cell>
          <cell r="S43274">
            <v>-362.24</v>
          </cell>
          <cell r="X43274" t="str">
            <v>Variation UPR - gross</v>
          </cell>
          <cell r="Y43274" t="str">
            <v>INDIA</v>
          </cell>
        </row>
        <row r="43275">
          <cell r="L43275" t="str">
            <v>Proportional</v>
          </cell>
          <cell r="S43275">
            <v>-12.76</v>
          </cell>
          <cell r="X43275" t="str">
            <v>Variation UPR - gross</v>
          </cell>
          <cell r="Y43275" t="str">
            <v>Ireland</v>
          </cell>
        </row>
        <row r="43276">
          <cell r="L43276" t="str">
            <v>Proportional</v>
          </cell>
          <cell r="S43276">
            <v>9.5399999999999991</v>
          </cell>
          <cell r="X43276" t="str">
            <v>Variation UPR - gross</v>
          </cell>
          <cell r="Y43276" t="str">
            <v>Ireland</v>
          </cell>
        </row>
        <row r="43277">
          <cell r="L43277" t="str">
            <v>Proportional</v>
          </cell>
          <cell r="S43277">
            <v>-151661.76000000001</v>
          </cell>
          <cell r="X43277" t="str">
            <v>Variation UPR - gross</v>
          </cell>
          <cell r="Y43277" t="str">
            <v>SWITZERLAND</v>
          </cell>
        </row>
        <row r="43278">
          <cell r="L43278" t="str">
            <v>Proportional</v>
          </cell>
          <cell r="S43278">
            <v>-290400</v>
          </cell>
          <cell r="X43278" t="str">
            <v>Variation UPR - gross</v>
          </cell>
          <cell r="Y43278" t="str">
            <v>PORTUGAL</v>
          </cell>
        </row>
        <row r="43279">
          <cell r="L43279" t="str">
            <v>Proportional</v>
          </cell>
          <cell r="S43279">
            <v>4509.22</v>
          </cell>
          <cell r="X43279" t="str">
            <v>Variation UPR - gross</v>
          </cell>
          <cell r="Y43279" t="str">
            <v>THAILAND</v>
          </cell>
        </row>
        <row r="43280">
          <cell r="L43280" t="str">
            <v>Non-proportional</v>
          </cell>
          <cell r="S43280">
            <v>-983.62</v>
          </cell>
          <cell r="X43280" t="str">
            <v>Variation UPR - gross</v>
          </cell>
          <cell r="Y43280" t="str">
            <v>UNITED KINGDOM</v>
          </cell>
        </row>
        <row r="43281">
          <cell r="L43281" t="str">
            <v>Non-proportional</v>
          </cell>
          <cell r="S43281">
            <v>-1372.63</v>
          </cell>
          <cell r="X43281" t="str">
            <v>Variation UPR - gross</v>
          </cell>
          <cell r="Y43281" t="str">
            <v>UNITED KINGDOM</v>
          </cell>
        </row>
        <row r="43282">
          <cell r="L43282" t="str">
            <v>Non-proportional</v>
          </cell>
          <cell r="S43282">
            <v>-2517.67</v>
          </cell>
          <cell r="X43282" t="str">
            <v>Variation UPR - gross</v>
          </cell>
          <cell r="Y43282" t="str">
            <v>ITALY</v>
          </cell>
        </row>
        <row r="43283">
          <cell r="L43283" t="str">
            <v>Proportional</v>
          </cell>
          <cell r="S43283">
            <v>2254.61</v>
          </cell>
          <cell r="X43283" t="str">
            <v>Variation UPR - gross</v>
          </cell>
          <cell r="Y43283" t="str">
            <v>THAILAND</v>
          </cell>
        </row>
        <row r="43284">
          <cell r="L43284" t="str">
            <v>Non-proportional</v>
          </cell>
          <cell r="S43284">
            <v>-3906.16</v>
          </cell>
          <cell r="X43284" t="str">
            <v>Variation UPR - gross</v>
          </cell>
          <cell r="Y43284" t="str">
            <v>EUROPE</v>
          </cell>
        </row>
        <row r="43285">
          <cell r="L43285" t="str">
            <v>Non-proportional</v>
          </cell>
          <cell r="S43285">
            <v>-0.03</v>
          </cell>
          <cell r="X43285" t="str">
            <v>Variation UPR - gross</v>
          </cell>
          <cell r="Y43285" t="str">
            <v>COLOMBIA</v>
          </cell>
        </row>
        <row r="43286">
          <cell r="L43286" t="str">
            <v>Non-proportional</v>
          </cell>
          <cell r="S43286">
            <v>-38685.410000000003</v>
          </cell>
          <cell r="X43286" t="str">
            <v>Variation UPR - gross</v>
          </cell>
          <cell r="Y43286" t="str">
            <v>UNITED KINGDOM</v>
          </cell>
        </row>
        <row r="43287">
          <cell r="L43287" t="str">
            <v>Non-proportional</v>
          </cell>
          <cell r="S43287">
            <v>100.97</v>
          </cell>
          <cell r="X43287" t="str">
            <v>Variation UPR - gross</v>
          </cell>
          <cell r="Y43287" t="str">
            <v>AUSTRALIA</v>
          </cell>
        </row>
        <row r="43288">
          <cell r="L43288" t="str">
            <v>Proportional</v>
          </cell>
          <cell r="S43288">
            <v>-4426.63</v>
          </cell>
          <cell r="X43288" t="str">
            <v>Variation UPR - gross</v>
          </cell>
          <cell r="Y43288" t="str">
            <v>PERU</v>
          </cell>
        </row>
        <row r="43289">
          <cell r="L43289" t="str">
            <v>Non-proportional</v>
          </cell>
          <cell r="S43289">
            <v>-905.42</v>
          </cell>
          <cell r="X43289" t="str">
            <v>Variation UPR - gross</v>
          </cell>
          <cell r="Y43289" t="str">
            <v>ITALY</v>
          </cell>
        </row>
        <row r="43290">
          <cell r="L43290" t="str">
            <v>Non-proportional</v>
          </cell>
          <cell r="S43290">
            <v>-428.92</v>
          </cell>
          <cell r="X43290" t="str">
            <v>Variation UPR - gross</v>
          </cell>
          <cell r="Y43290" t="str">
            <v>JAPAN</v>
          </cell>
        </row>
        <row r="43291">
          <cell r="L43291" t="str">
            <v>Non-proportional</v>
          </cell>
          <cell r="S43291">
            <v>-16278.67</v>
          </cell>
          <cell r="X43291" t="str">
            <v>Variation UPR - gross</v>
          </cell>
          <cell r="Y43291" t="str">
            <v>ITALY</v>
          </cell>
        </row>
        <row r="43292">
          <cell r="L43292" t="str">
            <v>Non-proportional</v>
          </cell>
          <cell r="S43292">
            <v>-1809.89</v>
          </cell>
          <cell r="X43292" t="str">
            <v>Variation UPR - gross</v>
          </cell>
          <cell r="Y43292" t="str">
            <v>SOUTH AFRICA</v>
          </cell>
        </row>
        <row r="43293">
          <cell r="L43293" t="str">
            <v>Non-proportional</v>
          </cell>
          <cell r="S43293">
            <v>-1671.4</v>
          </cell>
          <cell r="X43293" t="str">
            <v>Variation UPR - gross</v>
          </cell>
          <cell r="Y43293" t="str">
            <v>ISRAEL</v>
          </cell>
        </row>
        <row r="43294">
          <cell r="L43294" t="str">
            <v>Non-proportional</v>
          </cell>
          <cell r="S43294">
            <v>69.58</v>
          </cell>
          <cell r="X43294" t="str">
            <v>Variation UPR - gross</v>
          </cell>
          <cell r="Y43294" t="str">
            <v>NEW ZEALAND</v>
          </cell>
        </row>
        <row r="43295">
          <cell r="L43295" t="str">
            <v>Proportional</v>
          </cell>
          <cell r="S43295">
            <v>10179.56</v>
          </cell>
          <cell r="X43295" t="str">
            <v>Variation UPR - gross</v>
          </cell>
          <cell r="Y43295" t="str">
            <v>THAILAND</v>
          </cell>
        </row>
        <row r="43296">
          <cell r="L43296" t="str">
            <v>Proportional</v>
          </cell>
          <cell r="S43296">
            <v>-2809.6</v>
          </cell>
          <cell r="X43296" t="str">
            <v>Variation UPR - gross</v>
          </cell>
          <cell r="Y43296" t="str">
            <v>THAILAND</v>
          </cell>
        </row>
        <row r="43297">
          <cell r="L43297" t="str">
            <v>Non-proportional</v>
          </cell>
          <cell r="S43297">
            <v>-286.25</v>
          </cell>
          <cell r="X43297" t="str">
            <v>Variation UPR - gross</v>
          </cell>
          <cell r="Y43297" t="str">
            <v>REPUBLIC OF IRELAND</v>
          </cell>
        </row>
        <row r="43298">
          <cell r="L43298" t="str">
            <v>Non-proportional</v>
          </cell>
          <cell r="S43298">
            <v>-21666.67</v>
          </cell>
          <cell r="X43298" t="str">
            <v>Variation UPR - gross</v>
          </cell>
          <cell r="Y43298" t="str">
            <v>FRANCE</v>
          </cell>
        </row>
        <row r="43299">
          <cell r="L43299" t="str">
            <v>Non-proportional</v>
          </cell>
          <cell r="S43299">
            <v>-185.28</v>
          </cell>
          <cell r="X43299" t="str">
            <v>Variation UPR - gross</v>
          </cell>
          <cell r="Y43299" t="str">
            <v>JAPAN</v>
          </cell>
        </row>
        <row r="43300">
          <cell r="L43300" t="str">
            <v>Non-proportional</v>
          </cell>
          <cell r="S43300">
            <v>-46294.44</v>
          </cell>
          <cell r="X43300" t="str">
            <v>Variation UPR - gross</v>
          </cell>
          <cell r="Y43300" t="str">
            <v>UNITED KINGDOM</v>
          </cell>
        </row>
        <row r="43301">
          <cell r="L43301" t="str">
            <v>Non-proportional</v>
          </cell>
          <cell r="S43301">
            <v>-1985.56</v>
          </cell>
          <cell r="X43301" t="str">
            <v>Variation UPR - gross</v>
          </cell>
          <cell r="Y43301" t="str">
            <v>JAPAN</v>
          </cell>
        </row>
        <row r="43302">
          <cell r="L43302" t="str">
            <v>Non-proportional</v>
          </cell>
          <cell r="S43302">
            <v>-3127.45</v>
          </cell>
          <cell r="X43302" t="str">
            <v>Variation UPR - gross</v>
          </cell>
          <cell r="Y43302" t="str">
            <v>PERU</v>
          </cell>
        </row>
        <row r="43303">
          <cell r="L43303" t="str">
            <v>Non-proportional</v>
          </cell>
          <cell r="S43303">
            <v>-6664.33</v>
          </cell>
          <cell r="X43303" t="str">
            <v>Variation UPR - gross</v>
          </cell>
          <cell r="Y43303" t="str">
            <v>CHILE</v>
          </cell>
        </row>
        <row r="43304">
          <cell r="L43304" t="str">
            <v>Non-proportional</v>
          </cell>
          <cell r="S43304">
            <v>39.31</v>
          </cell>
          <cell r="X43304" t="str">
            <v>Variation UPR - gross</v>
          </cell>
          <cell r="Y43304" t="str">
            <v>NEW ZEALAND</v>
          </cell>
        </row>
        <row r="43305">
          <cell r="L43305" t="str">
            <v>Non-proportional</v>
          </cell>
          <cell r="S43305">
            <v>-1777.5</v>
          </cell>
          <cell r="X43305" t="str">
            <v>Variation UPR - gross</v>
          </cell>
          <cell r="Y43305" t="str">
            <v>GREECE</v>
          </cell>
        </row>
        <row r="43306">
          <cell r="L43306" t="str">
            <v>Non-proportional</v>
          </cell>
          <cell r="S43306">
            <v>-4945.2700000000004</v>
          </cell>
          <cell r="X43306" t="str">
            <v>Variation UPR - gross</v>
          </cell>
          <cell r="Y43306" t="str">
            <v>DOMINICAN REPUBLIC</v>
          </cell>
        </row>
        <row r="43307">
          <cell r="L43307" t="str">
            <v>Non-proportional</v>
          </cell>
          <cell r="S43307">
            <v>-1768.31</v>
          </cell>
          <cell r="X43307" t="str">
            <v>Variation UPR - gross</v>
          </cell>
          <cell r="Y43307" t="str">
            <v>NEW ZEALAND</v>
          </cell>
        </row>
        <row r="43308">
          <cell r="L43308" t="str">
            <v>Non-proportional</v>
          </cell>
          <cell r="S43308">
            <v>-5151.8999999999996</v>
          </cell>
          <cell r="X43308" t="str">
            <v>Variation UPR - gross</v>
          </cell>
          <cell r="Y43308" t="str">
            <v>ITALY</v>
          </cell>
        </row>
        <row r="43309">
          <cell r="L43309" t="str">
            <v>Non-proportional</v>
          </cell>
          <cell r="S43309">
            <v>-9178.3799999999992</v>
          </cell>
          <cell r="X43309" t="str">
            <v>Variation UPR - gross</v>
          </cell>
          <cell r="Y43309" t="str">
            <v>FRANCE</v>
          </cell>
        </row>
        <row r="43310">
          <cell r="L43310" t="str">
            <v>Non-proportional</v>
          </cell>
          <cell r="S43310">
            <v>-2610</v>
          </cell>
          <cell r="X43310" t="str">
            <v>Variation UPR - gross</v>
          </cell>
          <cell r="Y43310" t="str">
            <v>GREECE</v>
          </cell>
        </row>
        <row r="43311">
          <cell r="L43311" t="str">
            <v>Non-proportional</v>
          </cell>
          <cell r="S43311">
            <v>-1749.93</v>
          </cell>
          <cell r="X43311" t="str">
            <v>Variation UPR - gross</v>
          </cell>
          <cell r="Y43311" t="str">
            <v>EUROPE</v>
          </cell>
        </row>
        <row r="43312">
          <cell r="L43312" t="str">
            <v>Non-proportional</v>
          </cell>
          <cell r="S43312">
            <v>-10156.290000000001</v>
          </cell>
          <cell r="X43312" t="str">
            <v>Variation UPR - gross</v>
          </cell>
          <cell r="Y43312" t="str">
            <v>EUROPE</v>
          </cell>
        </row>
        <row r="43313">
          <cell r="L43313" t="str">
            <v>Proportional</v>
          </cell>
          <cell r="S43313">
            <v>-160041.44</v>
          </cell>
          <cell r="X43313" t="str">
            <v>Variation UPR - gross</v>
          </cell>
          <cell r="Y43313" t="str">
            <v>FRANCE</v>
          </cell>
        </row>
        <row r="43314">
          <cell r="L43314" t="str">
            <v>Non-proportional</v>
          </cell>
          <cell r="S43314">
            <v>-11331.99</v>
          </cell>
          <cell r="X43314" t="str">
            <v>Variation UPR - gross</v>
          </cell>
          <cell r="Y43314" t="str">
            <v>MEXICO</v>
          </cell>
        </row>
        <row r="43315">
          <cell r="L43315" t="str">
            <v>Non-proportional</v>
          </cell>
          <cell r="S43315">
            <v>-3433.47</v>
          </cell>
          <cell r="X43315" t="str">
            <v>Variation UPR - gross</v>
          </cell>
          <cell r="Y43315" t="str">
            <v>ISRAEL</v>
          </cell>
        </row>
        <row r="43316">
          <cell r="L43316" t="str">
            <v>Non-proportional</v>
          </cell>
          <cell r="S43316">
            <v>-941.74</v>
          </cell>
          <cell r="X43316" t="str">
            <v>Variation UPR - gross</v>
          </cell>
          <cell r="Y43316" t="str">
            <v>ECUADOR</v>
          </cell>
        </row>
        <row r="43317">
          <cell r="L43317" t="str">
            <v>Non-proportional</v>
          </cell>
          <cell r="S43317">
            <v>-2179.7800000000002</v>
          </cell>
          <cell r="X43317" t="str">
            <v>Variation UPR - gross</v>
          </cell>
          <cell r="Y43317" t="str">
            <v>FRANCE</v>
          </cell>
        </row>
        <row r="43318">
          <cell r="L43318" t="str">
            <v>Non-proportional</v>
          </cell>
          <cell r="S43318">
            <v>88.02</v>
          </cell>
          <cell r="X43318" t="str">
            <v>Variation UPR - gross</v>
          </cell>
          <cell r="Y43318" t="str">
            <v>JAPAN</v>
          </cell>
        </row>
        <row r="43319">
          <cell r="L43319" t="str">
            <v>Proportional</v>
          </cell>
          <cell r="S43319">
            <v>-26531.05</v>
          </cell>
          <cell r="X43319" t="str">
            <v>Variation UPR - gross</v>
          </cell>
          <cell r="Y43319" t="str">
            <v>AUSTRALIA</v>
          </cell>
        </row>
        <row r="43320">
          <cell r="L43320" t="str">
            <v>Non-proportional</v>
          </cell>
          <cell r="S43320">
            <v>29.22</v>
          </cell>
          <cell r="X43320" t="str">
            <v>Variation UPR - gross</v>
          </cell>
          <cell r="Y43320" t="str">
            <v>JAPAN</v>
          </cell>
        </row>
        <row r="43321">
          <cell r="L43321" t="str">
            <v>Non-proportional</v>
          </cell>
          <cell r="S43321">
            <v>-1320.84</v>
          </cell>
          <cell r="X43321" t="str">
            <v>Variation UPR - gross</v>
          </cell>
          <cell r="Y43321" t="str">
            <v>ECUADOR</v>
          </cell>
        </row>
        <row r="43322">
          <cell r="L43322" t="str">
            <v>Non-proportional</v>
          </cell>
          <cell r="S43322">
            <v>-1569.38</v>
          </cell>
          <cell r="X43322" t="str">
            <v>Variation UPR - gross</v>
          </cell>
          <cell r="Y43322" t="str">
            <v>DOMINICAN REPUBLIC</v>
          </cell>
        </row>
        <row r="43323">
          <cell r="L43323" t="str">
            <v>Non-proportional</v>
          </cell>
          <cell r="S43323">
            <v>-12664.64</v>
          </cell>
          <cell r="X43323" t="str">
            <v>Variation UPR - gross</v>
          </cell>
          <cell r="Y43323" t="str">
            <v>FRANCE</v>
          </cell>
        </row>
        <row r="43324">
          <cell r="L43324" t="str">
            <v>Non-proportional</v>
          </cell>
          <cell r="S43324">
            <v>36.42</v>
          </cell>
          <cell r="X43324" t="str">
            <v>Variation UPR - gross</v>
          </cell>
          <cell r="Y43324" t="str">
            <v>CHILE</v>
          </cell>
        </row>
        <row r="43325">
          <cell r="L43325" t="str">
            <v>Non-proportional</v>
          </cell>
          <cell r="S43325">
            <v>-70081.25</v>
          </cell>
          <cell r="X43325" t="str">
            <v>Variation UPR - gross</v>
          </cell>
          <cell r="Y43325" t="str">
            <v>UNITED KINGDOM</v>
          </cell>
        </row>
        <row r="43326">
          <cell r="L43326" t="str">
            <v>Non-proportional</v>
          </cell>
          <cell r="S43326">
            <v>-87138.33</v>
          </cell>
          <cell r="X43326" t="str">
            <v>Variation UPR - gross</v>
          </cell>
          <cell r="Y43326" t="str">
            <v>EUROPE</v>
          </cell>
        </row>
        <row r="43327">
          <cell r="L43327" t="str">
            <v>Non-proportional</v>
          </cell>
          <cell r="S43327">
            <v>-3471.61</v>
          </cell>
          <cell r="X43327" t="str">
            <v>Variation UPR - gross</v>
          </cell>
          <cell r="Y43327" t="str">
            <v>UNITED KINGDOM</v>
          </cell>
        </row>
        <row r="43328">
          <cell r="L43328" t="str">
            <v>Non-proportional</v>
          </cell>
          <cell r="S43328">
            <v>-0.02</v>
          </cell>
          <cell r="X43328" t="str">
            <v>Variation UPR - gross</v>
          </cell>
          <cell r="Y43328" t="str">
            <v>DOMINICAN REPUBLIC</v>
          </cell>
        </row>
        <row r="43329">
          <cell r="L43329" t="str">
            <v>Non-proportional</v>
          </cell>
          <cell r="S43329">
            <v>217.51</v>
          </cell>
          <cell r="X43329" t="str">
            <v>Variation UPR - gross</v>
          </cell>
          <cell r="Y43329" t="str">
            <v>INDIA</v>
          </cell>
        </row>
        <row r="43330">
          <cell r="L43330" t="str">
            <v>Non-proportional</v>
          </cell>
          <cell r="S43330">
            <v>263.06</v>
          </cell>
          <cell r="X43330" t="str">
            <v>Variation UPR - gross</v>
          </cell>
          <cell r="Y43330" t="str">
            <v>INDIA</v>
          </cell>
        </row>
        <row r="43331">
          <cell r="L43331" t="str">
            <v>Non-proportional</v>
          </cell>
          <cell r="S43331">
            <v>-6670.08</v>
          </cell>
          <cell r="X43331" t="str">
            <v>Variation UPR - gross</v>
          </cell>
          <cell r="Y43331" t="str">
            <v>INDIA</v>
          </cell>
        </row>
        <row r="43332">
          <cell r="L43332" t="str">
            <v>Non-proportional</v>
          </cell>
          <cell r="S43332">
            <v>-9187.5</v>
          </cell>
          <cell r="X43332" t="str">
            <v>Variation UPR - gross</v>
          </cell>
          <cell r="Y43332" t="str">
            <v>TURKEY</v>
          </cell>
        </row>
        <row r="43333">
          <cell r="L43333" t="str">
            <v>Non-proportional</v>
          </cell>
          <cell r="S43333">
            <v>-1330.33</v>
          </cell>
          <cell r="X43333" t="str">
            <v>Variation UPR - gross</v>
          </cell>
          <cell r="Y43333" t="str">
            <v>FRANCE</v>
          </cell>
        </row>
        <row r="43334">
          <cell r="L43334" t="str">
            <v>Non-proportional</v>
          </cell>
          <cell r="S43334">
            <v>-28737.74</v>
          </cell>
          <cell r="X43334" t="str">
            <v>Variation UPR - gross</v>
          </cell>
          <cell r="Y43334" t="str">
            <v>UNITED KINGDOM</v>
          </cell>
        </row>
        <row r="43335">
          <cell r="L43335" t="str">
            <v>Non-proportional</v>
          </cell>
          <cell r="S43335">
            <v>-1369.62</v>
          </cell>
          <cell r="X43335" t="str">
            <v>Variation UPR - gross</v>
          </cell>
          <cell r="Y43335" t="str">
            <v>ISRAEL</v>
          </cell>
        </row>
        <row r="43336">
          <cell r="L43336" t="str">
            <v>Non-proportional</v>
          </cell>
          <cell r="S43336">
            <v>-7342.39</v>
          </cell>
          <cell r="X43336" t="str">
            <v>Variation UPR - gross</v>
          </cell>
          <cell r="Y43336" t="str">
            <v>FRANCE</v>
          </cell>
        </row>
        <row r="43337">
          <cell r="L43337" t="str">
            <v>Proportional</v>
          </cell>
          <cell r="S43337">
            <v>-16288.8</v>
          </cell>
          <cell r="X43337" t="str">
            <v>Variation UPR - gross</v>
          </cell>
          <cell r="Y43337" t="str">
            <v>FRANCE</v>
          </cell>
        </row>
        <row r="43338">
          <cell r="L43338" t="str">
            <v>Non-proportional</v>
          </cell>
          <cell r="S43338">
            <v>-3593.75</v>
          </cell>
          <cell r="X43338" t="str">
            <v>Variation UPR - gross</v>
          </cell>
          <cell r="Y43338" t="str">
            <v>GREECE</v>
          </cell>
        </row>
        <row r="43339">
          <cell r="L43339" t="str">
            <v>Non-proportional</v>
          </cell>
          <cell r="S43339">
            <v>-5719.88</v>
          </cell>
          <cell r="X43339" t="str">
            <v>Variation UPR - gross</v>
          </cell>
          <cell r="Y43339" t="str">
            <v>PUERTO RICO</v>
          </cell>
        </row>
        <row r="43340">
          <cell r="L43340" t="str">
            <v>Proportional</v>
          </cell>
          <cell r="S43340">
            <v>-12855.83</v>
          </cell>
          <cell r="X43340" t="str">
            <v>Variation UPR - gross</v>
          </cell>
          <cell r="Y43340" t="str">
            <v>JAPAN</v>
          </cell>
        </row>
        <row r="43341">
          <cell r="L43341" t="str">
            <v>Non-proportional</v>
          </cell>
          <cell r="S43341">
            <v>-19.96</v>
          </cell>
          <cell r="X43341" t="str">
            <v>Variation UPR - gross</v>
          </cell>
          <cell r="Y43341" t="str">
            <v>ISRAEL</v>
          </cell>
        </row>
        <row r="43342">
          <cell r="L43342" t="str">
            <v>Non-proportional</v>
          </cell>
          <cell r="S43342">
            <v>184.58</v>
          </cell>
          <cell r="X43342" t="str">
            <v>Variation UPR - gross</v>
          </cell>
          <cell r="Y43342" t="str">
            <v>INDIA</v>
          </cell>
        </row>
        <row r="43343">
          <cell r="L43343" t="str">
            <v>Non-proportional</v>
          </cell>
          <cell r="S43343">
            <v>-150.4</v>
          </cell>
          <cell r="X43343" t="str">
            <v>Variation UPR - gross</v>
          </cell>
          <cell r="Y43343" t="str">
            <v>ISRAEL</v>
          </cell>
        </row>
        <row r="43344">
          <cell r="L43344" t="str">
            <v>Non-proportional</v>
          </cell>
          <cell r="S43344">
            <v>-8049.16</v>
          </cell>
          <cell r="X43344" t="str">
            <v>Variation UPR - gross</v>
          </cell>
          <cell r="Y43344" t="str">
            <v>MEXICO</v>
          </cell>
        </row>
        <row r="43345">
          <cell r="L43345" t="str">
            <v>Non-proportional</v>
          </cell>
          <cell r="S43345">
            <v>14.67</v>
          </cell>
          <cell r="X43345" t="str">
            <v>Variation UPR - gross</v>
          </cell>
          <cell r="Y43345" t="str">
            <v>AUSTRALIA</v>
          </cell>
        </row>
        <row r="43346">
          <cell r="L43346" t="str">
            <v>Non-proportional</v>
          </cell>
          <cell r="S43346">
            <v>-3407.82</v>
          </cell>
          <cell r="X43346" t="str">
            <v>Variation UPR - gross</v>
          </cell>
          <cell r="Y43346" t="str">
            <v>GUATEMALA</v>
          </cell>
        </row>
        <row r="43347">
          <cell r="L43347" t="str">
            <v>Non-proportional</v>
          </cell>
          <cell r="S43347">
            <v>-2235.0300000000002</v>
          </cell>
          <cell r="X43347" t="str">
            <v>Variation UPR - gross</v>
          </cell>
          <cell r="Y43347" t="str">
            <v>ECUADOR</v>
          </cell>
        </row>
        <row r="43348">
          <cell r="L43348" t="str">
            <v>Non-proportional</v>
          </cell>
          <cell r="S43348">
            <v>-40000</v>
          </cell>
          <cell r="X43348" t="str">
            <v>Variation UPR - gross</v>
          </cell>
          <cell r="Y43348" t="str">
            <v>PORTUGAL</v>
          </cell>
        </row>
        <row r="43349">
          <cell r="L43349" t="str">
            <v>Non-proportional</v>
          </cell>
          <cell r="S43349">
            <v>-6395.53</v>
          </cell>
          <cell r="X43349" t="str">
            <v>Variation UPR - gross</v>
          </cell>
          <cell r="Y43349" t="str">
            <v>JAPAN</v>
          </cell>
        </row>
        <row r="43350">
          <cell r="L43350" t="str">
            <v>Non-proportional</v>
          </cell>
          <cell r="S43350">
            <v>-1032.6500000000001</v>
          </cell>
          <cell r="X43350" t="str">
            <v>Variation UPR - gross</v>
          </cell>
          <cell r="Y43350" t="str">
            <v>FRANCE</v>
          </cell>
        </row>
        <row r="43351">
          <cell r="L43351" t="str">
            <v>Non-proportional</v>
          </cell>
          <cell r="S43351">
            <v>-3834.03</v>
          </cell>
          <cell r="X43351" t="str">
            <v>Variation UPR - gross</v>
          </cell>
          <cell r="Y43351" t="str">
            <v>ECUADOR</v>
          </cell>
        </row>
        <row r="43352">
          <cell r="L43352" t="str">
            <v>Non-proportional</v>
          </cell>
          <cell r="S43352">
            <v>-40000</v>
          </cell>
          <cell r="X43352" t="str">
            <v>Variation UPR - gross</v>
          </cell>
          <cell r="Y43352" t="str">
            <v>ITALY</v>
          </cell>
        </row>
        <row r="43353">
          <cell r="L43353" t="str">
            <v>Non-proportional</v>
          </cell>
          <cell r="S43353">
            <v>-2864.7</v>
          </cell>
          <cell r="X43353" t="str">
            <v>Variation UPR - gross</v>
          </cell>
          <cell r="Y43353" t="str">
            <v>ISRAEL</v>
          </cell>
        </row>
        <row r="43354">
          <cell r="L43354" t="str">
            <v>Non-proportional</v>
          </cell>
          <cell r="S43354">
            <v>-3204.7</v>
          </cell>
          <cell r="X43354" t="str">
            <v>Variation UPR - gross</v>
          </cell>
          <cell r="Y43354" t="str">
            <v>CHILE</v>
          </cell>
        </row>
        <row r="43355">
          <cell r="L43355" t="str">
            <v>Non-proportional</v>
          </cell>
          <cell r="S43355">
            <v>-13884.86</v>
          </cell>
          <cell r="X43355" t="str">
            <v>Variation UPR - gross</v>
          </cell>
          <cell r="Y43355" t="str">
            <v>TURKEY</v>
          </cell>
        </row>
        <row r="43356">
          <cell r="L43356" t="str">
            <v>Non-proportional</v>
          </cell>
          <cell r="S43356">
            <v>-72.83</v>
          </cell>
          <cell r="X43356" t="str">
            <v>Variation UPR - gross</v>
          </cell>
          <cell r="Y43356" t="str">
            <v>CHILE</v>
          </cell>
        </row>
        <row r="43357">
          <cell r="L43357" t="str">
            <v>Non-proportional</v>
          </cell>
          <cell r="S43357">
            <v>-6389.89</v>
          </cell>
          <cell r="X43357" t="str">
            <v>Variation UPR - gross</v>
          </cell>
          <cell r="Y43357" t="str">
            <v>NEW ZEALAND</v>
          </cell>
        </row>
        <row r="43358">
          <cell r="L43358" t="str">
            <v>Proportional</v>
          </cell>
          <cell r="S43358">
            <v>18215.45</v>
          </cell>
          <cell r="X43358" t="str">
            <v>Variation UPR - gross</v>
          </cell>
          <cell r="Y43358" t="str">
            <v>CANADA</v>
          </cell>
        </row>
        <row r="43359">
          <cell r="L43359" t="str">
            <v>Non-proportional</v>
          </cell>
          <cell r="S43359">
            <v>-4734.72</v>
          </cell>
          <cell r="X43359" t="str">
            <v>Variation UPR - gross</v>
          </cell>
          <cell r="Y43359" t="str">
            <v>SPAIN</v>
          </cell>
        </row>
        <row r="43360">
          <cell r="L43360" t="str">
            <v>Non-proportional</v>
          </cell>
          <cell r="S43360">
            <v>-341651.38</v>
          </cell>
          <cell r="X43360" t="str">
            <v>Variation UPR - gross</v>
          </cell>
          <cell r="Y43360" t="str">
            <v>UNITED KINGDOM</v>
          </cell>
        </row>
        <row r="43361">
          <cell r="L43361" t="str">
            <v>Proportional</v>
          </cell>
          <cell r="S43361">
            <v>789.11</v>
          </cell>
          <cell r="X43361" t="str">
            <v>Variation UPR - gross</v>
          </cell>
          <cell r="Y43361" t="str">
            <v>THAILAND</v>
          </cell>
        </row>
        <row r="43362">
          <cell r="L43362"/>
          <cell r="S43362">
            <v>-2372.39</v>
          </cell>
          <cell r="X43362" t="str">
            <v>Variation UPR - gross</v>
          </cell>
          <cell r="Y43362" t="str">
            <v>PORTUGAL</v>
          </cell>
        </row>
        <row r="43363">
          <cell r="L43363" t="str">
            <v>Non-proportional</v>
          </cell>
          <cell r="S43363">
            <v>-5058.2700000000004</v>
          </cell>
          <cell r="X43363" t="str">
            <v>Variation UPR - gross</v>
          </cell>
          <cell r="Y43363" t="str">
            <v>ISRAEL</v>
          </cell>
        </row>
        <row r="43364">
          <cell r="L43364" t="str">
            <v>Non-proportional</v>
          </cell>
          <cell r="S43364">
            <v>-12625.09</v>
          </cell>
          <cell r="X43364" t="str">
            <v>Variation UPR - gross</v>
          </cell>
          <cell r="Y43364" t="str">
            <v>BELGIUM</v>
          </cell>
        </row>
        <row r="43365">
          <cell r="L43365" t="str">
            <v>Non-proportional</v>
          </cell>
          <cell r="S43365">
            <v>-3540.28</v>
          </cell>
          <cell r="X43365" t="str">
            <v>Variation UPR - gross</v>
          </cell>
          <cell r="Y43365" t="str">
            <v>THAILAND</v>
          </cell>
        </row>
        <row r="43366">
          <cell r="L43366" t="str">
            <v>Non-proportional</v>
          </cell>
          <cell r="S43366">
            <v>-10818.76</v>
          </cell>
          <cell r="X43366" t="str">
            <v>Variation UPR - gross</v>
          </cell>
          <cell r="Y43366" t="str">
            <v>CHILE</v>
          </cell>
        </row>
        <row r="43367">
          <cell r="L43367" t="str">
            <v>Non-proportional</v>
          </cell>
          <cell r="S43367">
            <v>-2332.5300000000002</v>
          </cell>
          <cell r="X43367" t="str">
            <v>Variation UPR - gross</v>
          </cell>
          <cell r="Y43367" t="str">
            <v>PERU</v>
          </cell>
        </row>
        <row r="43368">
          <cell r="L43368" t="str">
            <v>Non-proportional</v>
          </cell>
          <cell r="S43368">
            <v>-837.59</v>
          </cell>
          <cell r="X43368" t="str">
            <v>Variation UPR - gross</v>
          </cell>
          <cell r="Y43368" t="str">
            <v>CHILE</v>
          </cell>
        </row>
        <row r="43369">
          <cell r="L43369" t="str">
            <v>Non-proportional</v>
          </cell>
          <cell r="S43369">
            <v>-26115.61</v>
          </cell>
          <cell r="X43369" t="str">
            <v>Variation UPR - gross</v>
          </cell>
          <cell r="Y43369" t="str">
            <v>AUSTRALIA</v>
          </cell>
        </row>
        <row r="43370">
          <cell r="L43370" t="str">
            <v>Non-proportional</v>
          </cell>
          <cell r="S43370">
            <v>-32194.25</v>
          </cell>
          <cell r="X43370" t="str">
            <v>Variation UPR - gross</v>
          </cell>
          <cell r="Y43370" t="str">
            <v>HONG KONG</v>
          </cell>
        </row>
        <row r="43371">
          <cell r="L43371" t="str">
            <v>Non-proportional</v>
          </cell>
          <cell r="S43371">
            <v>-12636.73</v>
          </cell>
          <cell r="X43371" t="str">
            <v>Variation UPR - gross</v>
          </cell>
          <cell r="Y43371" t="str">
            <v>CHILE</v>
          </cell>
        </row>
        <row r="43372">
          <cell r="L43372" t="str">
            <v>Non-proportional</v>
          </cell>
          <cell r="S43372">
            <v>-2328.73</v>
          </cell>
          <cell r="X43372" t="str">
            <v>Variation UPR - gross</v>
          </cell>
          <cell r="Y43372" t="str">
            <v>AUSTRALIA</v>
          </cell>
        </row>
        <row r="43373">
          <cell r="L43373" t="str">
            <v>Non-proportional</v>
          </cell>
          <cell r="S43373">
            <v>-3908.7</v>
          </cell>
          <cell r="X43373" t="str">
            <v>Variation UPR - gross</v>
          </cell>
          <cell r="Y43373" t="str">
            <v>ISRAEL</v>
          </cell>
        </row>
        <row r="43374">
          <cell r="L43374" t="str">
            <v>Proportional</v>
          </cell>
          <cell r="S43374">
            <v>-868.92</v>
          </cell>
          <cell r="X43374" t="str">
            <v>Variation UPR - gross</v>
          </cell>
          <cell r="Y43374" t="str">
            <v>CHILE</v>
          </cell>
        </row>
        <row r="43375">
          <cell r="L43375" t="str">
            <v>Non-proportional</v>
          </cell>
          <cell r="S43375">
            <v>-3107.47</v>
          </cell>
          <cell r="X43375" t="str">
            <v>Variation UPR - gross</v>
          </cell>
          <cell r="Y43375" t="str">
            <v>ISRAEL</v>
          </cell>
        </row>
        <row r="43376">
          <cell r="L43376" t="str">
            <v>Non-proportional</v>
          </cell>
          <cell r="S43376">
            <v>-117.73</v>
          </cell>
          <cell r="X43376" t="str">
            <v>Variation UPR - gross</v>
          </cell>
          <cell r="Y43376" t="str">
            <v>THAILAND</v>
          </cell>
        </row>
        <row r="43377">
          <cell r="L43377" t="str">
            <v>Non-proportional</v>
          </cell>
          <cell r="S43377">
            <v>-1664.56</v>
          </cell>
          <cell r="X43377" t="str">
            <v>Variation UPR - gross</v>
          </cell>
          <cell r="Y43377" t="str">
            <v>FRANCE</v>
          </cell>
        </row>
        <row r="43378">
          <cell r="L43378" t="str">
            <v>Non-proportional</v>
          </cell>
          <cell r="S43378">
            <v>-256083.17</v>
          </cell>
          <cell r="X43378" t="str">
            <v>Variation UPR - gross</v>
          </cell>
          <cell r="Y43378" t="str">
            <v>UNITED KINGDOM</v>
          </cell>
        </row>
        <row r="43379">
          <cell r="L43379" t="str">
            <v>Non-proportional</v>
          </cell>
          <cell r="S43379">
            <v>-18392.78</v>
          </cell>
          <cell r="X43379" t="str">
            <v>Variation UPR - gross</v>
          </cell>
          <cell r="Y43379" t="str">
            <v>PUERTO RICO</v>
          </cell>
        </row>
        <row r="43380">
          <cell r="L43380" t="str">
            <v>Non-proportional</v>
          </cell>
          <cell r="S43380">
            <v>-1737.98</v>
          </cell>
          <cell r="X43380" t="str">
            <v>Variation UPR - gross</v>
          </cell>
          <cell r="Y43380" t="str">
            <v>ECUADOR</v>
          </cell>
        </row>
        <row r="43381">
          <cell r="L43381" t="str">
            <v>Non-proportional</v>
          </cell>
          <cell r="S43381">
            <v>-6666.5</v>
          </cell>
          <cell r="X43381" t="str">
            <v>Variation UPR - gross</v>
          </cell>
          <cell r="Y43381" t="str">
            <v>ITALY</v>
          </cell>
        </row>
        <row r="43382">
          <cell r="L43382" t="str">
            <v>Non-proportional</v>
          </cell>
          <cell r="S43382">
            <v>-2924.85</v>
          </cell>
          <cell r="X43382" t="str">
            <v>Variation UPR - gross</v>
          </cell>
          <cell r="Y43382" t="str">
            <v>UNITED KINGDOM</v>
          </cell>
        </row>
        <row r="43383">
          <cell r="L43383" t="str">
            <v>Non-proportional</v>
          </cell>
          <cell r="S43383">
            <v>-24384.28</v>
          </cell>
          <cell r="X43383" t="str">
            <v>Variation UPR - gross</v>
          </cell>
          <cell r="Y43383" t="str">
            <v>ISRAEL</v>
          </cell>
        </row>
        <row r="43384">
          <cell r="L43384" t="str">
            <v>Non-proportional</v>
          </cell>
          <cell r="S43384">
            <v>-8303.1</v>
          </cell>
          <cell r="X43384" t="str">
            <v>Variation UPR - gross</v>
          </cell>
          <cell r="Y43384" t="str">
            <v>CHILE</v>
          </cell>
        </row>
        <row r="43385">
          <cell r="L43385" t="str">
            <v>Non-proportional</v>
          </cell>
          <cell r="S43385">
            <v>530.44000000000005</v>
          </cell>
          <cell r="X43385" t="str">
            <v>Variation UPR - gross</v>
          </cell>
          <cell r="Y43385" t="str">
            <v>JAPAN</v>
          </cell>
        </row>
        <row r="43386">
          <cell r="L43386" t="str">
            <v>Non-proportional</v>
          </cell>
          <cell r="S43386">
            <v>-14424.04</v>
          </cell>
          <cell r="X43386" t="str">
            <v>Variation UPR - gross</v>
          </cell>
          <cell r="Y43386" t="str">
            <v>FRANCE</v>
          </cell>
        </row>
        <row r="43387">
          <cell r="L43387" t="str">
            <v>Non-proportional</v>
          </cell>
          <cell r="S43387">
            <v>-2696.46</v>
          </cell>
          <cell r="X43387" t="str">
            <v>Variation UPR - gross</v>
          </cell>
          <cell r="Y43387" t="str">
            <v>AUSTRALIA</v>
          </cell>
        </row>
        <row r="43388">
          <cell r="L43388" t="str">
            <v>Non-proportional</v>
          </cell>
          <cell r="S43388">
            <v>228.46</v>
          </cell>
          <cell r="X43388" t="str">
            <v>Variation UPR - gross</v>
          </cell>
          <cell r="Y43388" t="str">
            <v>SOUTH KOREA</v>
          </cell>
        </row>
        <row r="43389">
          <cell r="L43389" t="str">
            <v>Non-proportional</v>
          </cell>
          <cell r="S43389">
            <v>-3574.28</v>
          </cell>
          <cell r="X43389" t="str">
            <v>Variation UPR - gross</v>
          </cell>
          <cell r="Y43389" t="str">
            <v>BRAZIL</v>
          </cell>
        </row>
        <row r="43390">
          <cell r="L43390" t="str">
            <v>Proportional</v>
          </cell>
          <cell r="S43390">
            <v>-12.05</v>
          </cell>
          <cell r="X43390" t="str">
            <v>Variation UPR - gross</v>
          </cell>
          <cell r="Y43390" t="str">
            <v>HONG KONG</v>
          </cell>
        </row>
        <row r="43391">
          <cell r="L43391" t="str">
            <v>Proportional</v>
          </cell>
          <cell r="S43391">
            <v>-20849.990000000002</v>
          </cell>
          <cell r="X43391" t="str">
            <v>Variation UPR - gross</v>
          </cell>
          <cell r="Y43391" t="str">
            <v>PORTUGAL</v>
          </cell>
        </row>
        <row r="43392">
          <cell r="L43392" t="str">
            <v>Proportional</v>
          </cell>
          <cell r="S43392">
            <v>-3160.35</v>
          </cell>
          <cell r="X43392" t="str">
            <v>Variation UPR - gross</v>
          </cell>
          <cell r="Y43392" t="str">
            <v>INDIA</v>
          </cell>
        </row>
        <row r="43393">
          <cell r="L43393" t="str">
            <v>Non-proportional</v>
          </cell>
          <cell r="S43393">
            <v>-7427</v>
          </cell>
          <cell r="X43393" t="str">
            <v>Variation UPR - gross</v>
          </cell>
          <cell r="Y43393" t="str">
            <v>AUSTRALIA</v>
          </cell>
        </row>
        <row r="43394">
          <cell r="L43394" t="str">
            <v>Non-proportional</v>
          </cell>
          <cell r="S43394">
            <v>-4426.71</v>
          </cell>
          <cell r="X43394" t="str">
            <v>Variation UPR - gross</v>
          </cell>
          <cell r="Y43394" t="str">
            <v>UNITED KINGDOM</v>
          </cell>
        </row>
        <row r="43395">
          <cell r="L43395" t="str">
            <v>Proportional</v>
          </cell>
          <cell r="S43395">
            <v>473.47</v>
          </cell>
          <cell r="X43395" t="str">
            <v>Variation UPR - gross</v>
          </cell>
          <cell r="Y43395" t="str">
            <v>THAILAND</v>
          </cell>
        </row>
        <row r="43396">
          <cell r="L43396" t="str">
            <v>Non-proportional</v>
          </cell>
          <cell r="S43396">
            <v>-5369.9</v>
          </cell>
          <cell r="X43396" t="str">
            <v>Variation UPR - gross</v>
          </cell>
          <cell r="Y43396" t="str">
            <v>UNITED KINGDOM</v>
          </cell>
        </row>
        <row r="43397">
          <cell r="L43397" t="str">
            <v>Non-proportional</v>
          </cell>
          <cell r="S43397">
            <v>-6285.68</v>
          </cell>
          <cell r="X43397" t="str">
            <v>Variation UPR - gross</v>
          </cell>
          <cell r="Y43397" t="str">
            <v>MEXICO</v>
          </cell>
        </row>
        <row r="43398">
          <cell r="L43398" t="str">
            <v>Non-proportional</v>
          </cell>
          <cell r="S43398">
            <v>-45605.54</v>
          </cell>
          <cell r="X43398" t="str">
            <v>Variation UPR - gross</v>
          </cell>
          <cell r="Y43398" t="str">
            <v>UNITED KINGDOM</v>
          </cell>
        </row>
        <row r="43399">
          <cell r="L43399" t="str">
            <v>Non-proportional</v>
          </cell>
          <cell r="S43399">
            <v>-9752.74</v>
          </cell>
          <cell r="X43399" t="str">
            <v>Variation UPR - gross</v>
          </cell>
          <cell r="Y43399" t="str">
            <v>ECUADOR</v>
          </cell>
        </row>
        <row r="43400">
          <cell r="L43400" t="str">
            <v>Non-proportional</v>
          </cell>
          <cell r="S43400">
            <v>-855.96</v>
          </cell>
          <cell r="X43400" t="str">
            <v>Variation UPR - gross</v>
          </cell>
          <cell r="Y43400" t="str">
            <v>FRANCE</v>
          </cell>
        </row>
        <row r="43401">
          <cell r="L43401" t="str">
            <v>Non-proportional</v>
          </cell>
          <cell r="S43401">
            <v>-716.07</v>
          </cell>
          <cell r="X43401" t="str">
            <v>Variation UPR - gross</v>
          </cell>
          <cell r="Y43401" t="str">
            <v>AUSTRALIA</v>
          </cell>
        </row>
        <row r="43402">
          <cell r="L43402" t="str">
            <v>Proportional</v>
          </cell>
          <cell r="S43402">
            <v>527242.80000000005</v>
          </cell>
          <cell r="X43402" t="str">
            <v>Variation UPR - gross</v>
          </cell>
          <cell r="Y43402" t="str">
            <v>ITALY</v>
          </cell>
        </row>
        <row r="43403">
          <cell r="L43403" t="str">
            <v>Non-proportional</v>
          </cell>
          <cell r="S43403">
            <v>-7095.16</v>
          </cell>
          <cell r="X43403" t="str">
            <v>Variation UPR - gross</v>
          </cell>
          <cell r="Y43403" t="str">
            <v>COLOMBIA</v>
          </cell>
        </row>
        <row r="43404">
          <cell r="L43404" t="str">
            <v>Non-proportional</v>
          </cell>
          <cell r="S43404">
            <v>12.47</v>
          </cell>
          <cell r="X43404" t="str">
            <v>Variation UPR - gross</v>
          </cell>
          <cell r="Y43404" t="str">
            <v>NEW ZEALAND</v>
          </cell>
        </row>
        <row r="43405">
          <cell r="L43405" t="str">
            <v>Non-proportional</v>
          </cell>
          <cell r="S43405">
            <v>-638.52</v>
          </cell>
          <cell r="X43405" t="str">
            <v>Variation UPR - gross</v>
          </cell>
          <cell r="Y43405" t="str">
            <v>MALTA</v>
          </cell>
        </row>
        <row r="43406">
          <cell r="L43406" t="str">
            <v>Non-proportional</v>
          </cell>
          <cell r="S43406">
            <v>50</v>
          </cell>
          <cell r="X43406" t="str">
            <v>Variation UPR - gross</v>
          </cell>
          <cell r="Y43406" t="str">
            <v>JAPAN</v>
          </cell>
        </row>
        <row r="43407">
          <cell r="L43407" t="str">
            <v>Non-proportional</v>
          </cell>
          <cell r="S43407">
            <v>-1061352.4099999999</v>
          </cell>
          <cell r="X43407" t="str">
            <v>Variation UPR - gross</v>
          </cell>
          <cell r="Y43407" t="str">
            <v>BELGIUM</v>
          </cell>
        </row>
        <row r="43408">
          <cell r="L43408" t="str">
            <v>Non-proportional</v>
          </cell>
          <cell r="S43408">
            <v>-1585.63</v>
          </cell>
          <cell r="X43408" t="str">
            <v>Variation UPR - gross</v>
          </cell>
          <cell r="Y43408" t="str">
            <v>JAPAN</v>
          </cell>
        </row>
        <row r="43409">
          <cell r="L43409" t="str">
            <v>Non-proportional</v>
          </cell>
          <cell r="S43409">
            <v>-69.86</v>
          </cell>
          <cell r="X43409" t="str">
            <v>Variation UPR - gross</v>
          </cell>
          <cell r="Y43409" t="str">
            <v>BRAZIL</v>
          </cell>
        </row>
        <row r="43410">
          <cell r="L43410" t="str">
            <v>Non-proportional</v>
          </cell>
          <cell r="S43410">
            <v>-837.59</v>
          </cell>
          <cell r="X43410" t="str">
            <v>Variation UPR - gross</v>
          </cell>
          <cell r="Y43410" t="str">
            <v>CHILE</v>
          </cell>
        </row>
        <row r="43411">
          <cell r="L43411" t="str">
            <v>Non-proportional</v>
          </cell>
          <cell r="S43411">
            <v>-6896.27</v>
          </cell>
          <cell r="X43411" t="str">
            <v>Variation UPR - gross</v>
          </cell>
          <cell r="Y43411" t="str">
            <v>AUSTRALIA</v>
          </cell>
        </row>
        <row r="43412">
          <cell r="L43412" t="str">
            <v>Proportional</v>
          </cell>
          <cell r="S43412">
            <v>-21745.93</v>
          </cell>
          <cell r="X43412" t="str">
            <v>Variation UPR - gross</v>
          </cell>
          <cell r="Y43412" t="str">
            <v>CHILE</v>
          </cell>
        </row>
        <row r="43413">
          <cell r="L43413" t="str">
            <v>Non-proportional</v>
          </cell>
          <cell r="S43413">
            <v>-14288.04</v>
          </cell>
          <cell r="X43413" t="str">
            <v>Variation UPR - gross</v>
          </cell>
          <cell r="Y43413" t="str">
            <v>AUSTRALIA</v>
          </cell>
        </row>
        <row r="43414">
          <cell r="L43414" t="str">
            <v>Non-proportional</v>
          </cell>
          <cell r="S43414">
            <v>-22876.5</v>
          </cell>
          <cell r="X43414" t="str">
            <v>Variation UPR - gross</v>
          </cell>
          <cell r="Y43414" t="str">
            <v>UNITED KINGDOM</v>
          </cell>
        </row>
        <row r="43415">
          <cell r="L43415" t="str">
            <v>Non-proportional</v>
          </cell>
          <cell r="S43415">
            <v>-72.83</v>
          </cell>
          <cell r="X43415" t="str">
            <v>Variation UPR - gross</v>
          </cell>
          <cell r="Y43415" t="str">
            <v>CHILE</v>
          </cell>
        </row>
        <row r="43416">
          <cell r="L43416" t="str">
            <v>Non-proportional</v>
          </cell>
          <cell r="S43416">
            <v>-286.89</v>
          </cell>
          <cell r="X43416" t="str">
            <v>Variation UPR - gross</v>
          </cell>
          <cell r="Y43416" t="str">
            <v>MEXICO</v>
          </cell>
        </row>
        <row r="43417">
          <cell r="L43417" t="str">
            <v>Non-proportional</v>
          </cell>
          <cell r="S43417">
            <v>-2894.93</v>
          </cell>
          <cell r="X43417" t="str">
            <v>Variation UPR - gross</v>
          </cell>
          <cell r="Y43417" t="str">
            <v>DOMINICAN REPUBLIC</v>
          </cell>
        </row>
        <row r="43418">
          <cell r="L43418" t="str">
            <v>Non-proportional</v>
          </cell>
          <cell r="S43418">
            <v>-6163.61</v>
          </cell>
          <cell r="X43418" t="str">
            <v>Variation UPR - gross</v>
          </cell>
          <cell r="Y43418" t="str">
            <v>JAPAN</v>
          </cell>
        </row>
        <row r="43419">
          <cell r="L43419" t="str">
            <v>Non-proportional</v>
          </cell>
          <cell r="S43419">
            <v>-3225.32</v>
          </cell>
          <cell r="X43419" t="str">
            <v>Variation UPR - gross</v>
          </cell>
          <cell r="Y43419" t="str">
            <v>ECUADOR</v>
          </cell>
        </row>
        <row r="43420">
          <cell r="L43420" t="str">
            <v>Proportional</v>
          </cell>
          <cell r="S43420">
            <v>-92666.67</v>
          </cell>
          <cell r="X43420" t="str">
            <v>Variation UPR - gross</v>
          </cell>
          <cell r="Y43420" t="str">
            <v>FRANCE</v>
          </cell>
        </row>
        <row r="43421">
          <cell r="L43421" t="str">
            <v>Proportional</v>
          </cell>
          <cell r="S43421">
            <v>-50775.63</v>
          </cell>
          <cell r="X43421" t="str">
            <v>Variation UPR - gross</v>
          </cell>
          <cell r="Y43421" t="str">
            <v>CANADA</v>
          </cell>
        </row>
        <row r="43422">
          <cell r="L43422" t="str">
            <v>Non-proportional</v>
          </cell>
          <cell r="S43422">
            <v>-178487.38</v>
          </cell>
          <cell r="X43422" t="str">
            <v>Variation UPR - gross</v>
          </cell>
          <cell r="Y43422" t="str">
            <v>PORTUGAL</v>
          </cell>
        </row>
        <row r="43423">
          <cell r="L43423" t="str">
            <v>Proportional</v>
          </cell>
          <cell r="S43423">
            <v>-129868.06</v>
          </cell>
          <cell r="X43423" t="str">
            <v>Variation UPR - gross</v>
          </cell>
          <cell r="Y43423" t="str">
            <v>UNITED STATES</v>
          </cell>
        </row>
        <row r="43424">
          <cell r="L43424" t="str">
            <v>Non-proportional</v>
          </cell>
          <cell r="S43424">
            <v>29.22</v>
          </cell>
          <cell r="X43424" t="str">
            <v>Variation UPR - gross</v>
          </cell>
          <cell r="Y43424" t="str">
            <v>JAPAN</v>
          </cell>
        </row>
        <row r="43425">
          <cell r="L43425" t="str">
            <v>Proportional</v>
          </cell>
          <cell r="S43425">
            <v>-53278.62</v>
          </cell>
          <cell r="X43425" t="str">
            <v>Variation UPR - gross</v>
          </cell>
          <cell r="Y43425" t="str">
            <v>JAPAN</v>
          </cell>
        </row>
        <row r="43426">
          <cell r="L43426" t="str">
            <v>Non-proportional</v>
          </cell>
          <cell r="S43426">
            <v>-364.17</v>
          </cell>
          <cell r="X43426" t="str">
            <v>Variation UPR - gross</v>
          </cell>
          <cell r="Y43426" t="str">
            <v>CHILE</v>
          </cell>
        </row>
        <row r="43427">
          <cell r="L43427" t="str">
            <v>Proportional</v>
          </cell>
          <cell r="S43427">
            <v>-26372.65</v>
          </cell>
          <cell r="X43427" t="str">
            <v>Variation UPR - gross</v>
          </cell>
          <cell r="Y43427" t="str">
            <v>INDIA</v>
          </cell>
        </row>
        <row r="43428">
          <cell r="L43428" t="str">
            <v>Non-proportional</v>
          </cell>
          <cell r="S43428">
            <v>401.94</v>
          </cell>
          <cell r="X43428" t="str">
            <v>Variation UPR - gross</v>
          </cell>
          <cell r="Y43428" t="str">
            <v>INDIA</v>
          </cell>
        </row>
        <row r="43429">
          <cell r="L43429" t="str">
            <v>Proportional</v>
          </cell>
          <cell r="S43429">
            <v>-479252.07</v>
          </cell>
          <cell r="X43429" t="str">
            <v>Variation UPR - gross</v>
          </cell>
          <cell r="Y43429" t="str">
            <v>THAILAND</v>
          </cell>
        </row>
        <row r="43430">
          <cell r="L43430" t="str">
            <v>Proportional</v>
          </cell>
          <cell r="S43430">
            <v>-831.41</v>
          </cell>
          <cell r="X43430" t="str">
            <v>Variation UPR - gross</v>
          </cell>
          <cell r="Y43430" t="str">
            <v>ITALY</v>
          </cell>
        </row>
        <row r="43431">
          <cell r="L43431" t="str">
            <v>Non-proportional</v>
          </cell>
          <cell r="S43431">
            <v>199.21</v>
          </cell>
          <cell r="X43431" t="str">
            <v>Variation UPR - gross</v>
          </cell>
          <cell r="Y43431" t="str">
            <v>JAPAN</v>
          </cell>
        </row>
        <row r="43432">
          <cell r="L43432" t="str">
            <v>Proportional</v>
          </cell>
          <cell r="S43432">
            <v>-0.03</v>
          </cell>
          <cell r="X43432" t="str">
            <v>Variation UPR - gross</v>
          </cell>
          <cell r="Y43432" t="str">
            <v>UNITED STATES</v>
          </cell>
        </row>
        <row r="43433">
          <cell r="L43433" t="str">
            <v>Non-proportional</v>
          </cell>
          <cell r="S43433">
            <v>-2999.74</v>
          </cell>
          <cell r="X43433" t="str">
            <v>Variation UPR - gross</v>
          </cell>
          <cell r="Y43433" t="str">
            <v>NETHERLANDS</v>
          </cell>
        </row>
        <row r="43434">
          <cell r="L43434" t="str">
            <v>Non-proportional</v>
          </cell>
          <cell r="S43434">
            <v>-20197.509999999998</v>
          </cell>
          <cell r="X43434" t="str">
            <v>Variation UPR - gross</v>
          </cell>
          <cell r="Y43434" t="str">
            <v>ITALY</v>
          </cell>
        </row>
        <row r="43435">
          <cell r="L43435" t="str">
            <v>Non-proportional</v>
          </cell>
          <cell r="S43435">
            <v>-1610.77</v>
          </cell>
          <cell r="X43435" t="str">
            <v>Variation UPR - gross</v>
          </cell>
          <cell r="Y43435" t="str">
            <v>JAPAN</v>
          </cell>
        </row>
        <row r="43436">
          <cell r="L43436" t="str">
            <v>Non-proportional</v>
          </cell>
          <cell r="S43436">
            <v>-1468.75</v>
          </cell>
          <cell r="X43436" t="str">
            <v>Variation UPR - gross</v>
          </cell>
          <cell r="Y43436" t="str">
            <v>GREECE</v>
          </cell>
        </row>
        <row r="43437">
          <cell r="L43437" t="str">
            <v>Non-proportional</v>
          </cell>
          <cell r="S43437">
            <v>-0.08</v>
          </cell>
          <cell r="X43437" t="str">
            <v>Variation UPR - gross</v>
          </cell>
          <cell r="Y43437" t="str">
            <v>DOMINICAN REPUBLIC</v>
          </cell>
        </row>
        <row r="43438">
          <cell r="L43438" t="str">
            <v>Non-proportional</v>
          </cell>
          <cell r="S43438">
            <v>-1546248.92</v>
          </cell>
          <cell r="X43438" t="str">
            <v>Variation UPR - gross</v>
          </cell>
          <cell r="Y43438" t="str">
            <v>BELGIUM</v>
          </cell>
        </row>
        <row r="43439">
          <cell r="L43439" t="str">
            <v>Proportional</v>
          </cell>
          <cell r="S43439">
            <v>-209648.11</v>
          </cell>
          <cell r="X43439" t="str">
            <v>Variation UPR - gross</v>
          </cell>
          <cell r="Y43439" t="str">
            <v>THAILAND</v>
          </cell>
        </row>
        <row r="43440">
          <cell r="L43440" t="str">
            <v>Non-proportional</v>
          </cell>
          <cell r="S43440">
            <v>-0.03</v>
          </cell>
          <cell r="X43440" t="str">
            <v>Variation UPR - gross</v>
          </cell>
          <cell r="Y43440" t="str">
            <v>THAILAND</v>
          </cell>
        </row>
        <row r="43441">
          <cell r="L43441" t="str">
            <v>Non-proportional</v>
          </cell>
          <cell r="S43441">
            <v>-560.5</v>
          </cell>
          <cell r="X43441" t="str">
            <v>Variation UPR - gross</v>
          </cell>
          <cell r="Y43441" t="str">
            <v>PORTUGAL</v>
          </cell>
        </row>
        <row r="43442">
          <cell r="L43442" t="str">
            <v>Proportional</v>
          </cell>
          <cell r="S43442">
            <v>-880692.78</v>
          </cell>
          <cell r="X43442" t="str">
            <v>Variation UPR - gross</v>
          </cell>
          <cell r="Y43442" t="str">
            <v>THAILAND</v>
          </cell>
        </row>
        <row r="43443">
          <cell r="L43443" t="str">
            <v>Non-proportional</v>
          </cell>
          <cell r="S43443">
            <v>41.94</v>
          </cell>
          <cell r="X43443" t="str">
            <v>Variation UPR - gross</v>
          </cell>
          <cell r="Y43443" t="str">
            <v>DOMINICAN REPUBLIC</v>
          </cell>
        </row>
        <row r="43444">
          <cell r="L43444" t="str">
            <v>Non-proportional</v>
          </cell>
          <cell r="S43444">
            <v>-1203</v>
          </cell>
          <cell r="X43444" t="str">
            <v>Variation UPR - gross</v>
          </cell>
          <cell r="Y43444" t="str">
            <v>AUSTRALIA</v>
          </cell>
        </row>
        <row r="43445">
          <cell r="L43445" t="str">
            <v>Non-proportional</v>
          </cell>
          <cell r="S43445">
            <v>-347.95</v>
          </cell>
          <cell r="X43445" t="str">
            <v>Variation UPR - gross</v>
          </cell>
          <cell r="Y43445" t="str">
            <v>NEW ZEALAND</v>
          </cell>
        </row>
        <row r="43446">
          <cell r="L43446" t="str">
            <v>Non-proportional</v>
          </cell>
          <cell r="S43446">
            <v>-1150.69</v>
          </cell>
          <cell r="X43446" t="str">
            <v>Variation UPR - gross</v>
          </cell>
          <cell r="Y43446" t="str">
            <v>UNITED KINGDOM</v>
          </cell>
        </row>
        <row r="43447">
          <cell r="L43447" t="str">
            <v>Non-proportional</v>
          </cell>
          <cell r="S43447">
            <v>-205.67</v>
          </cell>
          <cell r="X43447" t="str">
            <v>Variation UPR - gross</v>
          </cell>
          <cell r="Y43447" t="str">
            <v>FRANCE</v>
          </cell>
        </row>
        <row r="43448">
          <cell r="L43448" t="str">
            <v>Non-proportional</v>
          </cell>
          <cell r="S43448">
            <v>-2774.52</v>
          </cell>
          <cell r="X43448" t="str">
            <v>Variation UPR - gross</v>
          </cell>
          <cell r="Y43448" t="str">
            <v>ISRAEL</v>
          </cell>
        </row>
        <row r="43449">
          <cell r="L43449" t="str">
            <v>Proportional</v>
          </cell>
          <cell r="S43449">
            <v>57195.82</v>
          </cell>
          <cell r="X43449" t="str">
            <v>Variation UPR - gross</v>
          </cell>
          <cell r="Y43449" t="str">
            <v>PORTUGAL</v>
          </cell>
        </row>
        <row r="43450">
          <cell r="L43450" t="str">
            <v>Non-proportional</v>
          </cell>
          <cell r="S43450">
            <v>-4.26</v>
          </cell>
          <cell r="X43450" t="str">
            <v>Variation UPR - gross</v>
          </cell>
          <cell r="Y43450" t="str">
            <v>COSTA RICA</v>
          </cell>
        </row>
        <row r="43451">
          <cell r="L43451" t="str">
            <v>Non-proportional</v>
          </cell>
          <cell r="S43451">
            <v>-5309.39</v>
          </cell>
          <cell r="X43451" t="str">
            <v>Variation UPR - gross</v>
          </cell>
          <cell r="Y43451" t="str">
            <v>COLOMBIA</v>
          </cell>
        </row>
        <row r="43452">
          <cell r="L43452" t="str">
            <v>Proportional</v>
          </cell>
          <cell r="S43452">
            <v>24909.29</v>
          </cell>
          <cell r="X43452" t="str">
            <v>Variation UPR - gross</v>
          </cell>
          <cell r="Y43452" t="str">
            <v>CHILE</v>
          </cell>
        </row>
        <row r="43453">
          <cell r="L43453" t="str">
            <v>Non-proportional</v>
          </cell>
          <cell r="S43453">
            <v>-2805.25</v>
          </cell>
          <cell r="X43453" t="str">
            <v>Variation UPR - gross</v>
          </cell>
          <cell r="Y43453" t="str">
            <v>REPUBLIC OF IRELAND</v>
          </cell>
        </row>
        <row r="43454">
          <cell r="L43454" t="str">
            <v>Non-proportional</v>
          </cell>
          <cell r="S43454">
            <v>-9977.5</v>
          </cell>
          <cell r="X43454" t="str">
            <v>Variation UPR - gross</v>
          </cell>
          <cell r="Y43454" t="str">
            <v>ITALY</v>
          </cell>
        </row>
        <row r="43455">
          <cell r="L43455" t="str">
            <v>Non-proportional</v>
          </cell>
          <cell r="S43455">
            <v>-218.5</v>
          </cell>
          <cell r="X43455" t="str">
            <v>Variation UPR - gross</v>
          </cell>
          <cell r="Y43455" t="str">
            <v>CHILE</v>
          </cell>
        </row>
        <row r="43456">
          <cell r="L43456" t="str">
            <v>Non-proportional</v>
          </cell>
          <cell r="S43456">
            <v>-55961.23</v>
          </cell>
          <cell r="X43456" t="str">
            <v>Variation UPR - gross</v>
          </cell>
          <cell r="Y43456" t="str">
            <v>UNITED KINGDOM</v>
          </cell>
        </row>
        <row r="43457">
          <cell r="L43457" t="str">
            <v>Non-proportional</v>
          </cell>
          <cell r="S43457">
            <v>-32769.620000000003</v>
          </cell>
          <cell r="X43457" t="str">
            <v>Variation UPR - gross</v>
          </cell>
          <cell r="Y43457" t="str">
            <v>NEW ZEALAND</v>
          </cell>
        </row>
        <row r="43458">
          <cell r="L43458" t="str">
            <v>Non-proportional</v>
          </cell>
          <cell r="S43458">
            <v>-8708.34</v>
          </cell>
          <cell r="X43458" t="str">
            <v>Variation UPR - gross</v>
          </cell>
          <cell r="Y43458" t="str">
            <v>TURKEY</v>
          </cell>
        </row>
        <row r="43459">
          <cell r="L43459" t="str">
            <v>Non-proportional</v>
          </cell>
          <cell r="S43459">
            <v>31.17</v>
          </cell>
          <cell r="X43459" t="str">
            <v>Variation UPR - gross</v>
          </cell>
          <cell r="Y43459" t="str">
            <v>JAPAN</v>
          </cell>
        </row>
        <row r="43460">
          <cell r="L43460" t="str">
            <v>Non-proportional</v>
          </cell>
          <cell r="S43460">
            <v>66.45</v>
          </cell>
          <cell r="X43460" t="str">
            <v>Variation UPR - gross</v>
          </cell>
          <cell r="Y43460" t="str">
            <v>JAPAN</v>
          </cell>
        </row>
        <row r="43461">
          <cell r="L43461" t="str">
            <v>Proportional</v>
          </cell>
          <cell r="S43461">
            <v>-14640</v>
          </cell>
          <cell r="X43461" t="str">
            <v>Variation UPR - gross</v>
          </cell>
          <cell r="Y43461" t="str">
            <v>SPAIN</v>
          </cell>
        </row>
        <row r="43462">
          <cell r="L43462" t="str">
            <v>Non-proportional</v>
          </cell>
          <cell r="S43462">
            <v>-8402.7199999999993</v>
          </cell>
          <cell r="X43462" t="str">
            <v>Variation UPR - gross</v>
          </cell>
          <cell r="Y43462" t="str">
            <v>CANADA</v>
          </cell>
        </row>
        <row r="43463">
          <cell r="L43463" t="str">
            <v>Non-proportional</v>
          </cell>
          <cell r="S43463">
            <v>-8855</v>
          </cell>
          <cell r="X43463" t="str">
            <v>Variation UPR - gross</v>
          </cell>
          <cell r="Y43463" t="str">
            <v>GERMANY</v>
          </cell>
        </row>
        <row r="43464">
          <cell r="L43464" t="str">
            <v>Non-proportional</v>
          </cell>
          <cell r="S43464">
            <v>-18376.830000000002</v>
          </cell>
          <cell r="X43464" t="str">
            <v>Variation UPR - gross</v>
          </cell>
          <cell r="Y43464" t="str">
            <v>CHINA</v>
          </cell>
        </row>
        <row r="43465">
          <cell r="L43465" t="str">
            <v>Non-proportional</v>
          </cell>
          <cell r="S43465">
            <v>-3249.02</v>
          </cell>
          <cell r="X43465" t="str">
            <v>Variation UPR - gross</v>
          </cell>
          <cell r="Y43465" t="str">
            <v>DOMINICAN REPUBLIC</v>
          </cell>
        </row>
        <row r="43466">
          <cell r="L43466" t="str">
            <v>Non-proportional</v>
          </cell>
          <cell r="S43466">
            <v>-1365217.85</v>
          </cell>
          <cell r="X43466" t="str">
            <v>Variation UPR - gross</v>
          </cell>
          <cell r="Y43466" t="str">
            <v>UNITED KINGDOM</v>
          </cell>
        </row>
        <row r="43467">
          <cell r="L43467" t="str">
            <v>Non-proportional</v>
          </cell>
          <cell r="S43467">
            <v>-1725.23</v>
          </cell>
          <cell r="X43467" t="str">
            <v>Variation UPR - gross</v>
          </cell>
          <cell r="Y43467" t="str">
            <v>COSTA RICA</v>
          </cell>
        </row>
        <row r="43468">
          <cell r="L43468" t="str">
            <v>Proportional</v>
          </cell>
          <cell r="S43468">
            <v>-4324.3599999999997</v>
          </cell>
          <cell r="X43468" t="str">
            <v>Variation UPR - gross</v>
          </cell>
          <cell r="Y43468" t="str">
            <v>CHILE</v>
          </cell>
        </row>
        <row r="43469">
          <cell r="L43469" t="str">
            <v>Non-proportional</v>
          </cell>
          <cell r="S43469">
            <v>403.93</v>
          </cell>
          <cell r="X43469" t="str">
            <v>Variation UPR - gross</v>
          </cell>
          <cell r="Y43469" t="str">
            <v>NEW ZEALAND</v>
          </cell>
        </row>
        <row r="43470">
          <cell r="L43470" t="str">
            <v>Non-proportional</v>
          </cell>
          <cell r="S43470">
            <v>-11510.64</v>
          </cell>
          <cell r="X43470" t="str">
            <v>Variation UPR - gross</v>
          </cell>
          <cell r="Y43470" t="str">
            <v>EUROPE</v>
          </cell>
        </row>
        <row r="43471">
          <cell r="L43471" t="str">
            <v>Non-proportional</v>
          </cell>
          <cell r="S43471">
            <v>-46.69</v>
          </cell>
          <cell r="X43471" t="str">
            <v>Variation UPR - gross</v>
          </cell>
          <cell r="Y43471" t="str">
            <v>ISRAEL</v>
          </cell>
        </row>
        <row r="43472">
          <cell r="L43472" t="str">
            <v>Non-proportional</v>
          </cell>
          <cell r="S43472">
            <v>-3321.1</v>
          </cell>
          <cell r="X43472" t="str">
            <v>Variation UPR - gross</v>
          </cell>
          <cell r="Y43472" t="str">
            <v>ISRAEL</v>
          </cell>
        </row>
        <row r="43473">
          <cell r="L43473" t="str">
            <v>Proportional</v>
          </cell>
          <cell r="S43473">
            <v>-27733.48</v>
          </cell>
          <cell r="X43473" t="str">
            <v>Variation UPR - gross</v>
          </cell>
          <cell r="Y43473" t="str">
            <v>BELGIUM</v>
          </cell>
        </row>
        <row r="43474">
          <cell r="L43474" t="str">
            <v>Non-proportional</v>
          </cell>
          <cell r="S43474">
            <v>-3965.72</v>
          </cell>
          <cell r="X43474" t="str">
            <v>Variation UPR - gross</v>
          </cell>
          <cell r="Y43474" t="str">
            <v>UNITED KINGDOM</v>
          </cell>
        </row>
        <row r="43475">
          <cell r="L43475" t="str">
            <v>Non-proportional</v>
          </cell>
          <cell r="S43475">
            <v>-17378.09</v>
          </cell>
          <cell r="X43475" t="str">
            <v>Variation UPR - gross</v>
          </cell>
          <cell r="Y43475" t="str">
            <v>UNITED KINGDOM</v>
          </cell>
        </row>
        <row r="43476">
          <cell r="L43476" t="str">
            <v>Non-proportional</v>
          </cell>
          <cell r="S43476">
            <v>-24233</v>
          </cell>
          <cell r="X43476" t="str">
            <v>Variation UPR - gross</v>
          </cell>
          <cell r="Y43476" t="str">
            <v>NEW ZEALAND</v>
          </cell>
        </row>
        <row r="43477">
          <cell r="L43477" t="str">
            <v>Non-proportional</v>
          </cell>
          <cell r="S43477">
            <v>-150.4</v>
          </cell>
          <cell r="X43477" t="str">
            <v>Variation UPR - gross</v>
          </cell>
          <cell r="Y43477" t="str">
            <v>ISRAEL</v>
          </cell>
        </row>
        <row r="43478">
          <cell r="L43478" t="str">
            <v>Non-proportional</v>
          </cell>
          <cell r="S43478">
            <v>-55.24</v>
          </cell>
          <cell r="X43478" t="str">
            <v>Variation UPR - gross</v>
          </cell>
          <cell r="Y43478" t="str">
            <v>ISRAEL</v>
          </cell>
        </row>
        <row r="43479">
          <cell r="L43479" t="str">
            <v>Non-proportional</v>
          </cell>
          <cell r="S43479">
            <v>1.08</v>
          </cell>
          <cell r="X43479" t="str">
            <v>Variation UPR - gross</v>
          </cell>
          <cell r="Y43479" t="str">
            <v>GUATEMALA</v>
          </cell>
        </row>
        <row r="43480">
          <cell r="L43480" t="str">
            <v>Non-proportional</v>
          </cell>
          <cell r="S43480">
            <v>-36.42</v>
          </cell>
          <cell r="X43480" t="str">
            <v>Variation UPR - gross</v>
          </cell>
          <cell r="Y43480" t="str">
            <v>CHILE</v>
          </cell>
        </row>
        <row r="43481">
          <cell r="L43481" t="str">
            <v>Non-proportional</v>
          </cell>
          <cell r="S43481">
            <v>-698.58</v>
          </cell>
          <cell r="X43481" t="str">
            <v>Variation UPR - gross</v>
          </cell>
          <cell r="Y43481" t="str">
            <v>ITALY</v>
          </cell>
        </row>
        <row r="43482">
          <cell r="L43482" t="str">
            <v>Non-proportional</v>
          </cell>
          <cell r="S43482">
            <v>76.930000000000007</v>
          </cell>
          <cell r="X43482" t="str">
            <v>Variation UPR - gross</v>
          </cell>
          <cell r="Y43482" t="str">
            <v>JAPAN</v>
          </cell>
        </row>
        <row r="43483">
          <cell r="L43483" t="str">
            <v>Non-proportional</v>
          </cell>
          <cell r="S43483">
            <v>-1480.8</v>
          </cell>
          <cell r="X43483" t="str">
            <v>Variation UPR - gross</v>
          </cell>
          <cell r="Y43483" t="str">
            <v>FRANCE</v>
          </cell>
        </row>
        <row r="43484">
          <cell r="L43484" t="str">
            <v>Non-proportional</v>
          </cell>
          <cell r="S43484">
            <v>-734</v>
          </cell>
          <cell r="X43484" t="str">
            <v>Variation UPR - gross</v>
          </cell>
          <cell r="Y43484" t="str">
            <v>INDIA</v>
          </cell>
        </row>
        <row r="43485">
          <cell r="L43485" t="str">
            <v>Non-proportional</v>
          </cell>
          <cell r="S43485">
            <v>-3854.17</v>
          </cell>
          <cell r="X43485" t="str">
            <v>Variation UPR - gross</v>
          </cell>
          <cell r="Y43485" t="str">
            <v>FRANCE</v>
          </cell>
        </row>
        <row r="43486">
          <cell r="L43486" t="str">
            <v>Non-proportional</v>
          </cell>
          <cell r="S43486">
            <v>-5700.19</v>
          </cell>
          <cell r="X43486" t="str">
            <v>Variation UPR - gross</v>
          </cell>
          <cell r="Y43486" t="str">
            <v>ITALY</v>
          </cell>
        </row>
        <row r="43487">
          <cell r="L43487" t="str">
            <v>Non-proportional</v>
          </cell>
          <cell r="S43487">
            <v>51.25</v>
          </cell>
          <cell r="X43487" t="str">
            <v>Variation UPR - gross</v>
          </cell>
          <cell r="Y43487" t="str">
            <v>JAPAN</v>
          </cell>
        </row>
        <row r="43488">
          <cell r="L43488" t="str">
            <v>Proportional</v>
          </cell>
          <cell r="S43488">
            <v>-251.66</v>
          </cell>
          <cell r="X43488" t="str">
            <v>Variation UPR - gross</v>
          </cell>
          <cell r="Y43488" t="str">
            <v>UNITED STATES</v>
          </cell>
        </row>
        <row r="43489">
          <cell r="L43489" t="str">
            <v>Non-proportional</v>
          </cell>
          <cell r="S43489">
            <v>-607.92999999999995</v>
          </cell>
          <cell r="X43489" t="str">
            <v>Variation UPR - gross</v>
          </cell>
          <cell r="Y43489" t="str">
            <v>INDIA</v>
          </cell>
        </row>
        <row r="43490">
          <cell r="L43490" t="str">
            <v>Proportional</v>
          </cell>
          <cell r="S43490">
            <v>96321093.099999994</v>
          </cell>
          <cell r="X43490" t="str">
            <v>Variation UPR - gross</v>
          </cell>
          <cell r="Y43490" t="str">
            <v>ITALY</v>
          </cell>
        </row>
        <row r="43491">
          <cell r="L43491" t="str">
            <v>Proportional</v>
          </cell>
          <cell r="S43491">
            <v>17736.099999999999</v>
          </cell>
          <cell r="X43491" t="str">
            <v>Variation UPR - gross</v>
          </cell>
          <cell r="Y43491" t="str">
            <v>JAPAN</v>
          </cell>
        </row>
        <row r="43492">
          <cell r="L43492" t="str">
            <v>Proportional</v>
          </cell>
          <cell r="S43492">
            <v>685567.54</v>
          </cell>
          <cell r="X43492" t="str">
            <v>Variation UPR - gross</v>
          </cell>
          <cell r="Y43492" t="str">
            <v>UNITED KINGDOM</v>
          </cell>
        </row>
        <row r="43493">
          <cell r="L43493" t="str">
            <v>Non-proportional</v>
          </cell>
          <cell r="S43493">
            <v>-0.02</v>
          </cell>
          <cell r="X43493" t="str">
            <v>Variation UPR - gross</v>
          </cell>
          <cell r="Y43493" t="str">
            <v>DOMINICAN REPUBLIC</v>
          </cell>
        </row>
        <row r="43494">
          <cell r="L43494" t="str">
            <v>Non-proportional</v>
          </cell>
          <cell r="S43494">
            <v>-7327.7</v>
          </cell>
          <cell r="X43494" t="str">
            <v>Variation UPR - gross</v>
          </cell>
          <cell r="Y43494" t="str">
            <v>COSTA RICA</v>
          </cell>
        </row>
        <row r="43495">
          <cell r="L43495" t="str">
            <v>Non-proportional</v>
          </cell>
          <cell r="S43495">
            <v>-5918.43</v>
          </cell>
          <cell r="X43495" t="str">
            <v>Variation UPR - gross</v>
          </cell>
          <cell r="Y43495" t="str">
            <v>EUROPE</v>
          </cell>
        </row>
        <row r="43496">
          <cell r="L43496" t="str">
            <v>Non-proportional</v>
          </cell>
          <cell r="S43496">
            <v>-4037.87</v>
          </cell>
          <cell r="X43496" t="str">
            <v>Variation UPR - gross</v>
          </cell>
          <cell r="Y43496" t="str">
            <v>ECUADOR</v>
          </cell>
        </row>
        <row r="43497">
          <cell r="L43497" t="str">
            <v>Non-proportional</v>
          </cell>
          <cell r="S43497">
            <v>-192.38</v>
          </cell>
          <cell r="X43497" t="str">
            <v>Variation UPR - gross</v>
          </cell>
          <cell r="Y43497" t="str">
            <v>FRANCE</v>
          </cell>
        </row>
        <row r="43498">
          <cell r="L43498" t="str">
            <v>Non-proportional</v>
          </cell>
          <cell r="S43498">
            <v>5.58</v>
          </cell>
          <cell r="X43498" t="str">
            <v>Variation UPR - gross</v>
          </cell>
          <cell r="Y43498" t="str">
            <v>JAPAN</v>
          </cell>
        </row>
        <row r="43499">
          <cell r="L43499" t="str">
            <v>Non-proportional</v>
          </cell>
          <cell r="S43499">
            <v>52.06</v>
          </cell>
          <cell r="X43499" t="str">
            <v>Variation UPR - gross</v>
          </cell>
          <cell r="Y43499" t="str">
            <v>JAPAN</v>
          </cell>
        </row>
        <row r="43500">
          <cell r="L43500" t="str">
            <v>Non-proportional</v>
          </cell>
          <cell r="S43500">
            <v>-1166.1300000000001</v>
          </cell>
          <cell r="X43500" t="str">
            <v>Variation UPR - gross</v>
          </cell>
          <cell r="Y43500" t="str">
            <v>SOUTH AFRICA</v>
          </cell>
        </row>
        <row r="43501">
          <cell r="L43501" t="str">
            <v>Non-proportional</v>
          </cell>
          <cell r="S43501">
            <v>-375978.63</v>
          </cell>
          <cell r="X43501" t="str">
            <v>Variation UPR - gross</v>
          </cell>
          <cell r="Y43501" t="str">
            <v>PORTUGAL</v>
          </cell>
        </row>
        <row r="43502">
          <cell r="L43502" t="str">
            <v>Non-proportional</v>
          </cell>
          <cell r="S43502">
            <v>69.58</v>
          </cell>
          <cell r="X43502" t="str">
            <v>Variation UPR - gross</v>
          </cell>
          <cell r="Y43502" t="str">
            <v>NEW ZEALAND</v>
          </cell>
        </row>
        <row r="43503">
          <cell r="L43503" t="str">
            <v>Non-proportional</v>
          </cell>
          <cell r="S43503">
            <v>-1178960.3999999999</v>
          </cell>
          <cell r="X43503" t="str">
            <v>Variation UPR - gross</v>
          </cell>
          <cell r="Y43503" t="str">
            <v>BELGIUM</v>
          </cell>
        </row>
        <row r="43504">
          <cell r="L43504" t="str">
            <v>Non-proportional</v>
          </cell>
          <cell r="S43504">
            <v>-865.49</v>
          </cell>
          <cell r="X43504" t="str">
            <v>Variation UPR - gross</v>
          </cell>
          <cell r="Y43504" t="str">
            <v>COSTA RICA</v>
          </cell>
        </row>
        <row r="43505">
          <cell r="L43505" t="str">
            <v>Non-proportional</v>
          </cell>
          <cell r="S43505">
            <v>65.95</v>
          </cell>
          <cell r="X43505" t="str">
            <v>Variation UPR - gross</v>
          </cell>
          <cell r="Y43505" t="str">
            <v>CANADA</v>
          </cell>
        </row>
        <row r="43506">
          <cell r="L43506" t="str">
            <v>Proportional</v>
          </cell>
          <cell r="S43506">
            <v>-77.39</v>
          </cell>
          <cell r="X43506" t="str">
            <v>Variation UPR - gross</v>
          </cell>
          <cell r="Y43506" t="str">
            <v>THAILAND</v>
          </cell>
        </row>
        <row r="43507">
          <cell r="L43507" t="str">
            <v>Non-proportional</v>
          </cell>
          <cell r="S43507">
            <v>-7.0000000000000007E-2</v>
          </cell>
          <cell r="X43507" t="str">
            <v>Variation UPR - gross</v>
          </cell>
          <cell r="Y43507" t="str">
            <v>COLOMBIA</v>
          </cell>
        </row>
        <row r="43508">
          <cell r="L43508" t="str">
            <v>Non-proportional</v>
          </cell>
          <cell r="S43508">
            <v>-5589.69</v>
          </cell>
          <cell r="X43508" t="str">
            <v>Variation UPR - gross</v>
          </cell>
          <cell r="Y43508" t="str">
            <v>SINGAPORE</v>
          </cell>
        </row>
        <row r="43509">
          <cell r="L43509" t="str">
            <v>Non-proportional</v>
          </cell>
          <cell r="S43509">
            <v>-6500</v>
          </cell>
          <cell r="X43509" t="str">
            <v>Variation UPR - gross</v>
          </cell>
          <cell r="Y43509" t="str">
            <v>FRANCE</v>
          </cell>
        </row>
        <row r="43510">
          <cell r="L43510" t="str">
            <v>Proportional</v>
          </cell>
          <cell r="S43510">
            <v>-17950.68</v>
          </cell>
          <cell r="X43510" t="str">
            <v>Variation UPR - gross</v>
          </cell>
          <cell r="Y43510" t="str">
            <v>EUROPE</v>
          </cell>
        </row>
        <row r="43511">
          <cell r="L43511" t="str">
            <v>Non-proportional</v>
          </cell>
          <cell r="S43511">
            <v>-14880.35</v>
          </cell>
          <cell r="X43511" t="str">
            <v>Variation UPR - gross</v>
          </cell>
          <cell r="Y43511" t="str">
            <v>UNITED KINGDOM</v>
          </cell>
        </row>
        <row r="43512">
          <cell r="L43512" t="str">
            <v>Non-proportional</v>
          </cell>
          <cell r="S43512">
            <v>-2723.26</v>
          </cell>
          <cell r="X43512" t="str">
            <v>Variation UPR - gross</v>
          </cell>
          <cell r="Y43512" t="str">
            <v>JAPAN</v>
          </cell>
        </row>
        <row r="43513">
          <cell r="L43513" t="str">
            <v>Non-proportional</v>
          </cell>
          <cell r="S43513">
            <v>54857.16</v>
          </cell>
          <cell r="X43513" t="str">
            <v>Variation UPR - gross</v>
          </cell>
          <cell r="Y43513" t="str">
            <v>ECUADOR</v>
          </cell>
        </row>
        <row r="43514">
          <cell r="L43514" t="str">
            <v>Non-proportional</v>
          </cell>
          <cell r="S43514">
            <v>250</v>
          </cell>
          <cell r="X43514" t="str">
            <v>Variation UPR - gross</v>
          </cell>
          <cell r="Y43514" t="str">
            <v>JAPAN</v>
          </cell>
        </row>
        <row r="43515">
          <cell r="L43515" t="str">
            <v>Non-proportional</v>
          </cell>
          <cell r="S43515">
            <v>403.93</v>
          </cell>
          <cell r="X43515" t="str">
            <v>Variation UPR - gross</v>
          </cell>
          <cell r="Y43515" t="str">
            <v>NEW ZEALAND</v>
          </cell>
        </row>
        <row r="43516">
          <cell r="L43516" t="str">
            <v>Non-proportional</v>
          </cell>
          <cell r="S43516">
            <v>-68.92</v>
          </cell>
          <cell r="X43516" t="str">
            <v>Variation UPR - gross</v>
          </cell>
          <cell r="Y43516" t="str">
            <v>ISRAEL</v>
          </cell>
        </row>
        <row r="43517">
          <cell r="L43517" t="str">
            <v>Non-proportional</v>
          </cell>
          <cell r="S43517">
            <v>-5095.87</v>
          </cell>
          <cell r="X43517" t="str">
            <v>Variation UPR - gross</v>
          </cell>
          <cell r="Y43517" t="str">
            <v>UNITED KINGDOM</v>
          </cell>
        </row>
        <row r="43518">
          <cell r="L43518" t="str">
            <v>Non-proportional</v>
          </cell>
          <cell r="S43518">
            <v>-1406.25</v>
          </cell>
          <cell r="X43518" t="str">
            <v>Variation UPR - gross</v>
          </cell>
          <cell r="Y43518" t="str">
            <v>GREECE</v>
          </cell>
        </row>
        <row r="43519">
          <cell r="L43519" t="str">
            <v>Non-proportional</v>
          </cell>
          <cell r="S43519">
            <v>-11317.24</v>
          </cell>
          <cell r="X43519" t="str">
            <v>Variation UPR - gross</v>
          </cell>
          <cell r="Y43519" t="str">
            <v>AUSTRALIA</v>
          </cell>
        </row>
        <row r="43520">
          <cell r="L43520" t="str">
            <v>Proportional</v>
          </cell>
          <cell r="S43520">
            <v>-18208.55</v>
          </cell>
          <cell r="X43520" t="str">
            <v>Variation UPR - gross</v>
          </cell>
          <cell r="Y43520" t="str">
            <v>CHILE</v>
          </cell>
        </row>
        <row r="43521">
          <cell r="L43521" t="str">
            <v>Non-proportional</v>
          </cell>
          <cell r="S43521">
            <v>-2153.7800000000002</v>
          </cell>
          <cell r="X43521" t="str">
            <v>Variation UPR - gross</v>
          </cell>
          <cell r="Y43521" t="str">
            <v>UNITED KINGDOM</v>
          </cell>
        </row>
        <row r="43522">
          <cell r="L43522" t="str">
            <v>Non-proportional</v>
          </cell>
          <cell r="S43522">
            <v>-6658.85</v>
          </cell>
          <cell r="X43522" t="str">
            <v>Variation UPR - gross</v>
          </cell>
          <cell r="Y43522" t="str">
            <v>ISRAEL</v>
          </cell>
        </row>
        <row r="43523">
          <cell r="L43523" t="str">
            <v>Non-proportional</v>
          </cell>
          <cell r="S43523">
            <v>-48645.89</v>
          </cell>
          <cell r="X43523" t="str">
            <v>Variation UPR - gross</v>
          </cell>
          <cell r="Y43523" t="str">
            <v>UNITED KINGDOM</v>
          </cell>
        </row>
        <row r="43524">
          <cell r="L43524" t="str">
            <v>Non-proportional</v>
          </cell>
          <cell r="S43524">
            <v>-9210.81</v>
          </cell>
          <cell r="X43524" t="str">
            <v>Variation UPR - gross</v>
          </cell>
          <cell r="Y43524" t="str">
            <v>UNITED KINGDOM</v>
          </cell>
        </row>
        <row r="43525">
          <cell r="L43525" t="str">
            <v>Proportional</v>
          </cell>
          <cell r="S43525">
            <v>-33188.65</v>
          </cell>
          <cell r="X43525" t="str">
            <v>Variation UPR - gross</v>
          </cell>
          <cell r="Y43525" t="str">
            <v>MEXICO</v>
          </cell>
        </row>
        <row r="43526">
          <cell r="L43526" t="str">
            <v>Non-proportional</v>
          </cell>
          <cell r="S43526">
            <v>-1257.8</v>
          </cell>
          <cell r="X43526" t="str">
            <v>Variation UPR - gross</v>
          </cell>
          <cell r="Y43526" t="str">
            <v>ITALY</v>
          </cell>
        </row>
        <row r="43527">
          <cell r="L43527" t="str">
            <v>Non-proportional</v>
          </cell>
          <cell r="S43527">
            <v>-0.06</v>
          </cell>
          <cell r="X43527" t="str">
            <v>Variation UPR - gross</v>
          </cell>
          <cell r="Y43527" t="str">
            <v>COLOMBIA</v>
          </cell>
        </row>
        <row r="43528">
          <cell r="L43528" t="str">
            <v>Non-proportional</v>
          </cell>
          <cell r="S43528">
            <v>-930.89</v>
          </cell>
          <cell r="X43528" t="str">
            <v>Variation UPR - gross</v>
          </cell>
          <cell r="Y43528" t="str">
            <v>DOMINICAN REPUBLIC</v>
          </cell>
        </row>
        <row r="43529">
          <cell r="L43529" t="str">
            <v>Non-proportional</v>
          </cell>
          <cell r="S43529">
            <v>-291.33999999999997</v>
          </cell>
          <cell r="X43529" t="str">
            <v>Variation UPR - gross</v>
          </cell>
          <cell r="Y43529" t="str">
            <v>CHILE</v>
          </cell>
        </row>
        <row r="43530">
          <cell r="L43530" t="str">
            <v>Non-proportional</v>
          </cell>
          <cell r="S43530">
            <v>-19426.259999999998</v>
          </cell>
          <cell r="X43530" t="str">
            <v>Variation UPR - gross</v>
          </cell>
          <cell r="Y43530" t="str">
            <v>MEXICO</v>
          </cell>
        </row>
        <row r="43531">
          <cell r="L43531" t="str">
            <v>Non-proportional</v>
          </cell>
          <cell r="S43531">
            <v>-1415.93</v>
          </cell>
          <cell r="X43531" t="str">
            <v>Variation UPR - gross</v>
          </cell>
          <cell r="Y43531" t="str">
            <v>FRANCE</v>
          </cell>
        </row>
        <row r="43532">
          <cell r="L43532" t="str">
            <v>Non-proportional</v>
          </cell>
          <cell r="S43532">
            <v>-8531.25</v>
          </cell>
          <cell r="X43532" t="str">
            <v>Variation UPR - gross</v>
          </cell>
          <cell r="Y43532" t="str">
            <v>TURKEY</v>
          </cell>
        </row>
        <row r="43533">
          <cell r="L43533" t="str">
            <v>Non-proportional</v>
          </cell>
          <cell r="S43533">
            <v>-4541.93</v>
          </cell>
          <cell r="X43533" t="str">
            <v>Variation UPR - gross</v>
          </cell>
          <cell r="Y43533" t="str">
            <v>TURKEY</v>
          </cell>
        </row>
        <row r="43534">
          <cell r="L43534" t="str">
            <v>Proportional</v>
          </cell>
          <cell r="S43534">
            <v>223.85</v>
          </cell>
          <cell r="X43534" t="str">
            <v>Variation UPR - gross</v>
          </cell>
          <cell r="Y43534" t="str">
            <v>THAILAND</v>
          </cell>
        </row>
        <row r="43535">
          <cell r="L43535" t="str">
            <v>Non-proportional</v>
          </cell>
          <cell r="S43535">
            <v>-13824.3</v>
          </cell>
          <cell r="X43535" t="str">
            <v>Variation UPR - gross</v>
          </cell>
          <cell r="Y43535" t="str">
            <v>UNITED KINGDOM</v>
          </cell>
        </row>
        <row r="43536">
          <cell r="L43536" t="str">
            <v>Non-proportional</v>
          </cell>
          <cell r="S43536">
            <v>-3796.46</v>
          </cell>
          <cell r="X43536" t="str">
            <v>Variation UPR - gross</v>
          </cell>
          <cell r="Y43536" t="str">
            <v>ITALY</v>
          </cell>
        </row>
        <row r="43537">
          <cell r="L43537" t="str">
            <v>Non-proportional</v>
          </cell>
          <cell r="S43537">
            <v>-1974.2</v>
          </cell>
          <cell r="X43537" t="str">
            <v>Variation UPR - gross</v>
          </cell>
          <cell r="Y43537" t="str">
            <v>GUATEMALA</v>
          </cell>
        </row>
        <row r="43538">
          <cell r="L43538" t="str">
            <v>Non-proportional</v>
          </cell>
          <cell r="S43538">
            <v>-728.75</v>
          </cell>
          <cell r="X43538" t="str">
            <v>Variation UPR - gross</v>
          </cell>
          <cell r="Y43538" t="str">
            <v>ITALY</v>
          </cell>
        </row>
        <row r="43539">
          <cell r="L43539" t="str">
            <v>Proportional</v>
          </cell>
          <cell r="S43539">
            <v>-2292.61</v>
          </cell>
          <cell r="X43539" t="str">
            <v>Variation UPR - gross</v>
          </cell>
          <cell r="Y43539" t="str">
            <v>UNITED STATES</v>
          </cell>
        </row>
        <row r="43540">
          <cell r="L43540" t="str">
            <v>Non-proportional</v>
          </cell>
          <cell r="S43540">
            <v>100830.78</v>
          </cell>
          <cell r="X43540" t="str">
            <v>Variation UPR - gross</v>
          </cell>
          <cell r="Y43540" t="str">
            <v>ECUADOR</v>
          </cell>
        </row>
        <row r="43541">
          <cell r="L43541" t="str">
            <v>Non-proportional</v>
          </cell>
          <cell r="S43541">
            <v>-884.37</v>
          </cell>
          <cell r="X43541" t="str">
            <v>Variation UPR - gross</v>
          </cell>
          <cell r="Y43541" t="str">
            <v>FRANCE</v>
          </cell>
        </row>
        <row r="43542">
          <cell r="L43542" t="str">
            <v>Non-proportional</v>
          </cell>
          <cell r="S43542">
            <v>-5498.98</v>
          </cell>
          <cell r="X43542" t="str">
            <v>Variation UPR - gross</v>
          </cell>
          <cell r="Y43542" t="str">
            <v>CHILE</v>
          </cell>
        </row>
        <row r="43543">
          <cell r="L43543" t="str">
            <v>Non-proportional</v>
          </cell>
          <cell r="S43543">
            <v>-3762.42</v>
          </cell>
          <cell r="X43543" t="str">
            <v>Variation UPR - gross</v>
          </cell>
          <cell r="Y43543" t="str">
            <v>THAILAND</v>
          </cell>
        </row>
        <row r="43544">
          <cell r="L43544" t="str">
            <v>Non-proportional</v>
          </cell>
          <cell r="S43544">
            <v>-7659.69</v>
          </cell>
          <cell r="X43544" t="str">
            <v>Variation UPR - gross</v>
          </cell>
          <cell r="Y43544" t="str">
            <v>PUERTO RICO</v>
          </cell>
        </row>
        <row r="43545">
          <cell r="L43545" t="str">
            <v>Non-proportional</v>
          </cell>
          <cell r="S43545">
            <v>-10707.08</v>
          </cell>
          <cell r="X43545" t="str">
            <v>Variation UPR - gross</v>
          </cell>
          <cell r="Y43545" t="str">
            <v>FRANCE</v>
          </cell>
        </row>
        <row r="43546">
          <cell r="L43546" t="str">
            <v>Non-proportional</v>
          </cell>
          <cell r="S43546">
            <v>-192601.96</v>
          </cell>
          <cell r="X43546" t="str">
            <v>Variation UPR - gross</v>
          </cell>
          <cell r="Y43546" t="str">
            <v>PORTUGAL</v>
          </cell>
        </row>
        <row r="43547">
          <cell r="L43547" t="str">
            <v>Non-proportional</v>
          </cell>
          <cell r="S43547">
            <v>-35326.94</v>
          </cell>
          <cell r="X43547" t="str">
            <v>Variation UPR - gross</v>
          </cell>
          <cell r="Y43547" t="str">
            <v>TURKEY</v>
          </cell>
        </row>
        <row r="43548">
          <cell r="L43548" t="str">
            <v>Non-proportional</v>
          </cell>
          <cell r="S43548">
            <v>-895.21</v>
          </cell>
          <cell r="X43548" t="str">
            <v>Variation UPR - gross</v>
          </cell>
          <cell r="Y43548" t="str">
            <v>PUERTO RICO</v>
          </cell>
        </row>
        <row r="43549">
          <cell r="L43549" t="str">
            <v>Proportional</v>
          </cell>
          <cell r="S43549">
            <v>-8538.34</v>
          </cell>
          <cell r="X43549" t="str">
            <v>Variation UPR - gross</v>
          </cell>
          <cell r="Y43549" t="str">
            <v>CHILE</v>
          </cell>
        </row>
        <row r="43550">
          <cell r="L43550" t="str">
            <v>Non-proportional</v>
          </cell>
          <cell r="S43550">
            <v>10.5</v>
          </cell>
          <cell r="X43550" t="str">
            <v>Variation UPR - gross</v>
          </cell>
          <cell r="Y43550" t="str">
            <v>CHINA</v>
          </cell>
        </row>
        <row r="43551">
          <cell r="L43551" t="str">
            <v>Non-proportional</v>
          </cell>
          <cell r="S43551">
            <v>-40150</v>
          </cell>
          <cell r="X43551" t="str">
            <v>Variation UPR - gross</v>
          </cell>
          <cell r="Y43551" t="str">
            <v>PORTUGAL</v>
          </cell>
        </row>
        <row r="43552">
          <cell r="L43552" t="str">
            <v>Non-proportional</v>
          </cell>
          <cell r="S43552">
            <v>-2233.16</v>
          </cell>
          <cell r="X43552" t="str">
            <v>Variation UPR - gross</v>
          </cell>
          <cell r="Y43552" t="str">
            <v>UNITED KINGDOM</v>
          </cell>
        </row>
        <row r="43553">
          <cell r="L43553" t="str">
            <v>Proportional</v>
          </cell>
          <cell r="S43553">
            <v>-3590.35</v>
          </cell>
          <cell r="X43553" t="str">
            <v>Variation UPR - gross</v>
          </cell>
          <cell r="Y43553" t="str">
            <v>PERU</v>
          </cell>
        </row>
        <row r="43554">
          <cell r="L43554" t="str">
            <v>Proportional</v>
          </cell>
          <cell r="S43554">
            <v>-6781.3</v>
          </cell>
          <cell r="X43554" t="str">
            <v>Variation UPR - gross</v>
          </cell>
          <cell r="Y43554" t="str">
            <v>SWITZERLAND</v>
          </cell>
        </row>
        <row r="43555">
          <cell r="L43555" t="str">
            <v>Non-proportional</v>
          </cell>
          <cell r="S43555">
            <v>-353.2</v>
          </cell>
          <cell r="X43555" t="str">
            <v>Variation UPR - gross</v>
          </cell>
          <cell r="Y43555" t="str">
            <v>TURKEY</v>
          </cell>
        </row>
        <row r="43556">
          <cell r="L43556" t="str">
            <v>Non-proportional</v>
          </cell>
          <cell r="S43556">
            <v>-4399.6400000000003</v>
          </cell>
          <cell r="X43556" t="str">
            <v>Variation UPR - gross</v>
          </cell>
          <cell r="Y43556" t="str">
            <v>GUATEMALA</v>
          </cell>
        </row>
        <row r="43557">
          <cell r="L43557" t="str">
            <v>Non-proportional</v>
          </cell>
          <cell r="S43557">
            <v>-9356.58</v>
          </cell>
          <cell r="X43557" t="str">
            <v>Variation UPR - gross</v>
          </cell>
          <cell r="Y43557" t="str">
            <v>ISRAEL</v>
          </cell>
        </row>
        <row r="43558">
          <cell r="L43558" t="str">
            <v>Non-proportional</v>
          </cell>
          <cell r="S43558">
            <v>-4061.37</v>
          </cell>
          <cell r="X43558" t="str">
            <v>Variation UPR - gross</v>
          </cell>
          <cell r="Y43558" t="str">
            <v>FRANCE</v>
          </cell>
        </row>
        <row r="43559">
          <cell r="L43559" t="str">
            <v>Non-proportional</v>
          </cell>
          <cell r="S43559">
            <v>-1156.96</v>
          </cell>
          <cell r="X43559" t="str">
            <v>Variation UPR - gross</v>
          </cell>
          <cell r="Y43559" t="str">
            <v>INDIA</v>
          </cell>
        </row>
        <row r="43560">
          <cell r="L43560" t="str">
            <v>Non-proportional</v>
          </cell>
          <cell r="S43560">
            <v>-1256.9000000000001</v>
          </cell>
          <cell r="X43560" t="str">
            <v>Variation UPR - gross</v>
          </cell>
          <cell r="Y43560" t="str">
            <v>JAPAN</v>
          </cell>
        </row>
        <row r="43561">
          <cell r="L43561" t="str">
            <v>Non-proportional</v>
          </cell>
          <cell r="S43561">
            <v>33918.550000000003</v>
          </cell>
          <cell r="X43561" t="str">
            <v>Variation UPR - gross</v>
          </cell>
          <cell r="Y43561" t="str">
            <v>BRAZIL</v>
          </cell>
        </row>
        <row r="43562">
          <cell r="L43562" t="str">
            <v>Non-proportional</v>
          </cell>
          <cell r="S43562">
            <v>33355.58</v>
          </cell>
          <cell r="X43562" t="str">
            <v>Variation UPR - gross</v>
          </cell>
          <cell r="Y43562" t="str">
            <v>BRAZIL</v>
          </cell>
        </row>
        <row r="43563">
          <cell r="L43563" t="str">
            <v>Proportional</v>
          </cell>
          <cell r="S43563">
            <v>-1074.01</v>
          </cell>
          <cell r="X43563" t="str">
            <v>Variation UPR - gross</v>
          </cell>
          <cell r="Y43563" t="str">
            <v>THAILAND</v>
          </cell>
        </row>
        <row r="43564">
          <cell r="L43564" t="str">
            <v>Non-proportional</v>
          </cell>
          <cell r="S43564">
            <v>-12237.2</v>
          </cell>
          <cell r="X43564" t="str">
            <v>Variation UPR - gross</v>
          </cell>
          <cell r="Y43564" t="str">
            <v>COSTA RICA</v>
          </cell>
        </row>
        <row r="43565">
          <cell r="L43565" t="str">
            <v>Proportional</v>
          </cell>
          <cell r="S43565">
            <v>-14373.25</v>
          </cell>
          <cell r="X43565" t="str">
            <v>Variation UPR - gross</v>
          </cell>
          <cell r="Y43565" t="str">
            <v>THAILAND</v>
          </cell>
        </row>
        <row r="43566">
          <cell r="L43566" t="str">
            <v>Non-proportional</v>
          </cell>
          <cell r="S43566">
            <v>273.35000000000002</v>
          </cell>
          <cell r="X43566" t="str">
            <v>Variation UPR - gross</v>
          </cell>
          <cell r="Y43566" t="str">
            <v>INDIA</v>
          </cell>
        </row>
        <row r="43567">
          <cell r="L43567" t="str">
            <v>Non-proportional</v>
          </cell>
          <cell r="S43567">
            <v>-1044.8399999999999</v>
          </cell>
          <cell r="X43567" t="str">
            <v>Variation UPR - gross</v>
          </cell>
          <cell r="Y43567" t="str">
            <v>CYPRUS</v>
          </cell>
        </row>
        <row r="43568">
          <cell r="L43568" t="str">
            <v>Non-proportional</v>
          </cell>
          <cell r="S43568">
            <v>-4971.4799999999996</v>
          </cell>
          <cell r="X43568" t="str">
            <v>Variation UPR - gross</v>
          </cell>
          <cell r="Y43568" t="str">
            <v>EUROPE</v>
          </cell>
        </row>
        <row r="43569">
          <cell r="L43569" t="str">
            <v>Non-proportional</v>
          </cell>
          <cell r="S43569">
            <v>-7563.59</v>
          </cell>
          <cell r="X43569" t="str">
            <v>Variation UPR - gross</v>
          </cell>
          <cell r="Y43569" t="str">
            <v>JAPAN</v>
          </cell>
        </row>
        <row r="43570">
          <cell r="L43570" t="str">
            <v>Non-proportional</v>
          </cell>
          <cell r="S43570">
            <v>-36.42</v>
          </cell>
          <cell r="X43570" t="str">
            <v>Variation UPR - gross</v>
          </cell>
          <cell r="Y43570" t="str">
            <v>CHILE</v>
          </cell>
        </row>
        <row r="43571">
          <cell r="L43571" t="str">
            <v>Non-proportional</v>
          </cell>
          <cell r="S43571">
            <v>-320.10000000000002</v>
          </cell>
          <cell r="X43571" t="str">
            <v>Variation UPR - gross</v>
          </cell>
          <cell r="Y43571" t="str">
            <v>TURKEY</v>
          </cell>
        </row>
        <row r="43572">
          <cell r="L43572" t="str">
            <v>Non-proportional</v>
          </cell>
          <cell r="S43572">
            <v>-2894.08</v>
          </cell>
          <cell r="X43572" t="str">
            <v>Variation UPR - gross</v>
          </cell>
          <cell r="Y43572" t="str">
            <v>THAILAND</v>
          </cell>
        </row>
        <row r="43573">
          <cell r="L43573" t="str">
            <v>Non-proportional</v>
          </cell>
          <cell r="S43573">
            <v>-582.66999999999996</v>
          </cell>
          <cell r="X43573" t="str">
            <v>Variation UPR - gross</v>
          </cell>
          <cell r="Y43573" t="str">
            <v>CHILE</v>
          </cell>
        </row>
        <row r="43574">
          <cell r="L43574" t="str">
            <v>Non-proportional</v>
          </cell>
          <cell r="S43574">
            <v>-10974.83</v>
          </cell>
          <cell r="X43574" t="str">
            <v>Variation UPR - gross</v>
          </cell>
          <cell r="Y43574" t="str">
            <v>GERMANY</v>
          </cell>
        </row>
        <row r="43575">
          <cell r="L43575" t="str">
            <v>Non-proportional</v>
          </cell>
          <cell r="S43575">
            <v>-588.33000000000004</v>
          </cell>
          <cell r="X43575" t="str">
            <v>Variation UPR - gross</v>
          </cell>
          <cell r="Y43575" t="str">
            <v>DOMINICAN REPUBLIC</v>
          </cell>
        </row>
        <row r="43576">
          <cell r="L43576" t="str">
            <v>Non-proportional</v>
          </cell>
          <cell r="S43576">
            <v>-31.41</v>
          </cell>
          <cell r="X43576" t="str">
            <v>Variation UPR - gross</v>
          </cell>
          <cell r="Y43576" t="str">
            <v>ISRAEL</v>
          </cell>
        </row>
        <row r="43577">
          <cell r="L43577" t="str">
            <v>Non-proportional</v>
          </cell>
          <cell r="S43577">
            <v>-2285.59</v>
          </cell>
          <cell r="X43577" t="str">
            <v>Variation UPR - gross</v>
          </cell>
          <cell r="Y43577" t="str">
            <v>ECUADOR</v>
          </cell>
        </row>
        <row r="43578">
          <cell r="L43578" t="str">
            <v>Non-proportional</v>
          </cell>
          <cell r="S43578">
            <v>-546.88</v>
          </cell>
          <cell r="X43578" t="str">
            <v>Variation UPR - gross</v>
          </cell>
          <cell r="Y43578" t="str">
            <v>ITALY</v>
          </cell>
        </row>
        <row r="43579">
          <cell r="L43579" t="str">
            <v>Non-proportional</v>
          </cell>
          <cell r="S43579">
            <v>-5288.27</v>
          </cell>
          <cell r="X43579" t="str">
            <v>Variation UPR - gross</v>
          </cell>
          <cell r="Y43579" t="str">
            <v>ISRAEL</v>
          </cell>
        </row>
        <row r="43580">
          <cell r="L43580" t="str">
            <v>Non-proportional</v>
          </cell>
          <cell r="S43580">
            <v>-964.43</v>
          </cell>
          <cell r="X43580" t="str">
            <v>Variation UPR - gross</v>
          </cell>
          <cell r="Y43580" t="str">
            <v>JAPAN</v>
          </cell>
        </row>
        <row r="43581">
          <cell r="L43581" t="str">
            <v>Non-proportional</v>
          </cell>
          <cell r="S43581">
            <v>-1555.87</v>
          </cell>
          <cell r="X43581" t="str">
            <v>Variation UPR - gross</v>
          </cell>
          <cell r="Y43581" t="str">
            <v>AUSTRALIA</v>
          </cell>
        </row>
        <row r="43582">
          <cell r="L43582" t="str">
            <v>Non-proportional</v>
          </cell>
          <cell r="S43582">
            <v>-3143.33</v>
          </cell>
          <cell r="X43582" t="str">
            <v>Variation UPR - gross</v>
          </cell>
          <cell r="Y43582" t="str">
            <v>GERMANY</v>
          </cell>
        </row>
        <row r="43583">
          <cell r="L43583" t="str">
            <v>Non-proportional</v>
          </cell>
          <cell r="S43583">
            <v>-1172.3</v>
          </cell>
          <cell r="X43583" t="str">
            <v>Variation UPR - gross</v>
          </cell>
          <cell r="Y43583" t="str">
            <v>FRANCE</v>
          </cell>
        </row>
        <row r="43584">
          <cell r="L43584" t="str">
            <v>Non-proportional</v>
          </cell>
          <cell r="S43584">
            <v>-9250.0400000000009</v>
          </cell>
          <cell r="X43584" t="str">
            <v>Variation UPR - gross</v>
          </cell>
          <cell r="Y43584" t="str">
            <v>PUERTO RICO</v>
          </cell>
        </row>
        <row r="43585">
          <cell r="L43585" t="str">
            <v>Non-proportional</v>
          </cell>
          <cell r="S43585">
            <v>-7626.09</v>
          </cell>
          <cell r="X43585" t="str">
            <v>Variation UPR - gross</v>
          </cell>
          <cell r="Y43585" t="str">
            <v>NEW ZEALAND</v>
          </cell>
        </row>
        <row r="43586">
          <cell r="L43586" t="str">
            <v>Non-proportional</v>
          </cell>
          <cell r="S43586">
            <v>-894.39</v>
          </cell>
          <cell r="X43586" t="str">
            <v>Variation UPR - gross</v>
          </cell>
          <cell r="Y43586" t="str">
            <v>INDIA</v>
          </cell>
        </row>
        <row r="43587">
          <cell r="L43587" t="str">
            <v>Non-proportional</v>
          </cell>
          <cell r="S43587">
            <v>-38.840000000000003</v>
          </cell>
          <cell r="X43587" t="str">
            <v>Variation UPR - gross</v>
          </cell>
          <cell r="Y43587" t="str">
            <v>ISRAEL</v>
          </cell>
        </row>
        <row r="43588">
          <cell r="L43588" t="str">
            <v>Non-proportional</v>
          </cell>
          <cell r="S43588">
            <v>-5850.37</v>
          </cell>
          <cell r="X43588" t="str">
            <v>Variation UPR - gross</v>
          </cell>
          <cell r="Y43588" t="str">
            <v>SPAIN</v>
          </cell>
        </row>
        <row r="43589">
          <cell r="L43589" t="str">
            <v>Non-proportional</v>
          </cell>
          <cell r="S43589">
            <v>-1159.75</v>
          </cell>
          <cell r="X43589" t="str">
            <v>Variation UPR - gross</v>
          </cell>
          <cell r="Y43589" t="str">
            <v>ISRAEL</v>
          </cell>
        </row>
        <row r="43590">
          <cell r="L43590" t="str">
            <v>Non-proportional</v>
          </cell>
          <cell r="S43590">
            <v>-71.77</v>
          </cell>
          <cell r="X43590" t="str">
            <v>Variation UPR - gross</v>
          </cell>
          <cell r="Y43590" t="str">
            <v>THAILAND</v>
          </cell>
        </row>
        <row r="43591">
          <cell r="L43591" t="str">
            <v>Non-proportional</v>
          </cell>
          <cell r="S43591">
            <v>-3653.18</v>
          </cell>
          <cell r="X43591" t="str">
            <v>Variation UPR - gross</v>
          </cell>
          <cell r="Y43591" t="str">
            <v>NEW ZEALAND</v>
          </cell>
        </row>
        <row r="43592">
          <cell r="L43592" t="str">
            <v>Proportional</v>
          </cell>
          <cell r="S43592">
            <v>-347537.25</v>
          </cell>
          <cell r="X43592" t="str">
            <v>Variation UPR - gross</v>
          </cell>
          <cell r="Y43592" t="str">
            <v>JAPAN</v>
          </cell>
        </row>
        <row r="43593">
          <cell r="L43593" t="str">
            <v>Non-proportional</v>
          </cell>
          <cell r="S43593">
            <v>-2410.0300000000002</v>
          </cell>
          <cell r="X43593" t="str">
            <v>Variation UPR - gross</v>
          </cell>
          <cell r="Y43593" t="str">
            <v>UNITED KINGDOM</v>
          </cell>
        </row>
        <row r="43594">
          <cell r="L43594" t="str">
            <v>Non-proportional</v>
          </cell>
          <cell r="S43594">
            <v>-4773.8100000000004</v>
          </cell>
          <cell r="X43594" t="str">
            <v>Variation UPR - gross</v>
          </cell>
          <cell r="Y43594" t="str">
            <v>AUSTRALIA</v>
          </cell>
        </row>
        <row r="43595">
          <cell r="L43595" t="str">
            <v>Proportional</v>
          </cell>
          <cell r="S43595">
            <v>-2384.4699999999998</v>
          </cell>
          <cell r="X43595" t="str">
            <v>Variation UPR - gross</v>
          </cell>
          <cell r="Y43595" t="str">
            <v>THAILAND</v>
          </cell>
        </row>
        <row r="43596">
          <cell r="L43596" t="str">
            <v>Proportional</v>
          </cell>
          <cell r="S43596">
            <v>-49379.55</v>
          </cell>
          <cell r="X43596" t="str">
            <v>Variation UPR - gross</v>
          </cell>
          <cell r="Y43596" t="str">
            <v>UNITED ARAB EMIRATES</v>
          </cell>
        </row>
        <row r="43597">
          <cell r="L43597" t="str">
            <v>Non-proportional</v>
          </cell>
          <cell r="S43597">
            <v>-4533.33</v>
          </cell>
          <cell r="X43597" t="str">
            <v>Variation UPR - gross</v>
          </cell>
          <cell r="Y43597" t="str">
            <v>PORTUGAL</v>
          </cell>
        </row>
        <row r="43598">
          <cell r="L43598" t="str">
            <v>Non-proportional</v>
          </cell>
          <cell r="S43598">
            <v>206.71</v>
          </cell>
          <cell r="X43598" t="str">
            <v>Variation UPR - gross</v>
          </cell>
          <cell r="Y43598" t="str">
            <v>JAPAN</v>
          </cell>
        </row>
        <row r="43599">
          <cell r="L43599" t="str">
            <v>Non-proportional</v>
          </cell>
          <cell r="S43599">
            <v>-2543.64</v>
          </cell>
          <cell r="X43599" t="str">
            <v>Variation UPR - gross</v>
          </cell>
          <cell r="Y43599" t="str">
            <v>THAILAND</v>
          </cell>
        </row>
        <row r="43600">
          <cell r="L43600" t="str">
            <v>Proportional</v>
          </cell>
          <cell r="S43600">
            <v>-57024</v>
          </cell>
          <cell r="X43600" t="str">
            <v>Variation UPR - gross</v>
          </cell>
          <cell r="Y43600" t="str">
            <v>FRANCE</v>
          </cell>
        </row>
        <row r="43601">
          <cell r="L43601" t="str">
            <v>Non-proportional</v>
          </cell>
          <cell r="S43601">
            <v>-13843.75</v>
          </cell>
          <cell r="X43601" t="str">
            <v>Variation UPR - gross</v>
          </cell>
          <cell r="Y43601" t="str">
            <v>ECUADOR</v>
          </cell>
        </row>
        <row r="43602">
          <cell r="L43602" t="str">
            <v>Non-proportional</v>
          </cell>
          <cell r="S43602">
            <v>-23187.5</v>
          </cell>
          <cell r="X43602" t="str">
            <v>Variation UPR - gross</v>
          </cell>
          <cell r="Y43602" t="str">
            <v>ITALY</v>
          </cell>
        </row>
        <row r="43603">
          <cell r="L43603" t="str">
            <v>Non-proportional</v>
          </cell>
          <cell r="S43603">
            <v>-0.02</v>
          </cell>
          <cell r="X43603" t="str">
            <v>Variation UPR - gross</v>
          </cell>
          <cell r="Y43603" t="str">
            <v>BELIZE</v>
          </cell>
        </row>
        <row r="43604">
          <cell r="L43604" t="str">
            <v>Non-proportional</v>
          </cell>
          <cell r="S43604">
            <v>-0.04</v>
          </cell>
          <cell r="X43604" t="str">
            <v>Variation UPR - gross</v>
          </cell>
          <cell r="Y43604" t="str">
            <v>BELIZE</v>
          </cell>
        </row>
        <row r="43605">
          <cell r="L43605" t="str">
            <v>Non-proportional</v>
          </cell>
          <cell r="S43605">
            <v>-182.09</v>
          </cell>
          <cell r="X43605" t="str">
            <v>Variation UPR - gross</v>
          </cell>
          <cell r="Y43605" t="str">
            <v>CHILE</v>
          </cell>
        </row>
        <row r="43606">
          <cell r="L43606" t="str">
            <v>Non-proportional</v>
          </cell>
          <cell r="S43606">
            <v>-555.13</v>
          </cell>
          <cell r="X43606" t="str">
            <v>Variation UPR - gross</v>
          </cell>
          <cell r="Y43606" t="str">
            <v>BRAZIL</v>
          </cell>
        </row>
        <row r="43607">
          <cell r="L43607" t="str">
            <v>Non-proportional</v>
          </cell>
          <cell r="S43607">
            <v>-0.02</v>
          </cell>
          <cell r="X43607" t="str">
            <v>Variation UPR - gross</v>
          </cell>
          <cell r="Y43607" t="str">
            <v>INDIA</v>
          </cell>
        </row>
        <row r="43608">
          <cell r="L43608" t="str">
            <v>Non-proportional</v>
          </cell>
          <cell r="S43608">
            <v>-11683.3</v>
          </cell>
          <cell r="X43608" t="str">
            <v>Variation UPR - gross</v>
          </cell>
          <cell r="Y43608" t="str">
            <v>MEXICO</v>
          </cell>
        </row>
        <row r="43609">
          <cell r="L43609" t="str">
            <v>Non-proportional</v>
          </cell>
          <cell r="S43609">
            <v>-8290.74</v>
          </cell>
          <cell r="X43609" t="str">
            <v>Variation UPR - gross</v>
          </cell>
          <cell r="Y43609" t="str">
            <v>AUSTRALIA</v>
          </cell>
        </row>
        <row r="43610">
          <cell r="L43610" t="str">
            <v>Non-proportional</v>
          </cell>
          <cell r="S43610">
            <v>-0.02</v>
          </cell>
          <cell r="X43610" t="str">
            <v>Variation UPR - gross</v>
          </cell>
          <cell r="Y43610" t="str">
            <v>DOMINICAN REPUBLIC</v>
          </cell>
        </row>
        <row r="43611">
          <cell r="L43611" t="str">
            <v>Non-proportional</v>
          </cell>
          <cell r="S43611">
            <v>-11821.49</v>
          </cell>
          <cell r="X43611" t="str">
            <v>Variation UPR - gross</v>
          </cell>
          <cell r="Y43611" t="str">
            <v>PERU</v>
          </cell>
        </row>
        <row r="43612">
          <cell r="L43612" t="str">
            <v>Non-proportional</v>
          </cell>
          <cell r="S43612">
            <v>-2062.35</v>
          </cell>
          <cell r="X43612" t="str">
            <v>Variation UPR - gross</v>
          </cell>
          <cell r="Y43612" t="str">
            <v>PERU</v>
          </cell>
        </row>
        <row r="43613">
          <cell r="L43613" t="str">
            <v>Proportional</v>
          </cell>
          <cell r="S43613">
            <v>-256.38</v>
          </cell>
          <cell r="X43613" t="str">
            <v>Variation UPR - gross</v>
          </cell>
          <cell r="Y43613" t="str">
            <v>THAILAND</v>
          </cell>
        </row>
        <row r="43614">
          <cell r="L43614" t="str">
            <v>Non-proportional</v>
          </cell>
          <cell r="S43614">
            <v>-0.03</v>
          </cell>
          <cell r="X43614" t="str">
            <v>Variation UPR - gross</v>
          </cell>
          <cell r="Y43614" t="str">
            <v>COLOMBIA</v>
          </cell>
        </row>
        <row r="43615">
          <cell r="L43615" t="str">
            <v>Non-proportional</v>
          </cell>
          <cell r="S43615">
            <v>-6616.48</v>
          </cell>
          <cell r="X43615" t="str">
            <v>Variation UPR - gross</v>
          </cell>
          <cell r="Y43615" t="str">
            <v>UNITED KINGDOM</v>
          </cell>
        </row>
        <row r="43616">
          <cell r="L43616" t="str">
            <v>Non-proportional</v>
          </cell>
          <cell r="S43616">
            <v>-5394.91</v>
          </cell>
          <cell r="X43616" t="str">
            <v>Variation UPR - gross</v>
          </cell>
          <cell r="Y43616" t="str">
            <v>MEXICO</v>
          </cell>
        </row>
        <row r="43617">
          <cell r="L43617" t="str">
            <v>Non-proportional</v>
          </cell>
          <cell r="S43617">
            <v>-16769.03</v>
          </cell>
          <cell r="X43617" t="str">
            <v>Variation UPR - gross</v>
          </cell>
          <cell r="Y43617" t="str">
            <v>MEXICO</v>
          </cell>
        </row>
        <row r="43618">
          <cell r="L43618" t="str">
            <v>Proportional</v>
          </cell>
          <cell r="S43618">
            <v>29473.65</v>
          </cell>
          <cell r="X43618" t="str">
            <v>Variation UPR - gross</v>
          </cell>
          <cell r="Y43618" t="str">
            <v>AUSTRALIA</v>
          </cell>
        </row>
        <row r="43619">
          <cell r="L43619" t="str">
            <v>Non-proportional</v>
          </cell>
          <cell r="S43619">
            <v>64.06</v>
          </cell>
          <cell r="X43619" t="str">
            <v>Variation UPR - gross</v>
          </cell>
          <cell r="Y43619" t="str">
            <v>JAPAN</v>
          </cell>
        </row>
        <row r="43620">
          <cell r="L43620" t="str">
            <v>Non-proportional</v>
          </cell>
          <cell r="S43620">
            <v>-310.68</v>
          </cell>
          <cell r="X43620" t="str">
            <v>Variation UPR - gross</v>
          </cell>
          <cell r="Y43620" t="str">
            <v>ITALY</v>
          </cell>
        </row>
        <row r="43621">
          <cell r="L43621" t="str">
            <v>Proportional</v>
          </cell>
          <cell r="S43621">
            <v>-718139.49</v>
          </cell>
          <cell r="X43621" t="str">
            <v>Variation UPR - gross</v>
          </cell>
          <cell r="Y43621" t="str">
            <v>HONG KONG</v>
          </cell>
        </row>
        <row r="43622">
          <cell r="L43622" t="str">
            <v>Non-proportional</v>
          </cell>
          <cell r="S43622">
            <v>-2107.23</v>
          </cell>
          <cell r="X43622" t="str">
            <v>Variation UPR - gross</v>
          </cell>
          <cell r="Y43622" t="str">
            <v>CHINA</v>
          </cell>
        </row>
        <row r="43623">
          <cell r="L43623" t="str">
            <v>Non-proportional</v>
          </cell>
          <cell r="S43623">
            <v>-103949.72</v>
          </cell>
          <cell r="X43623" t="str">
            <v>Variation UPR - gross</v>
          </cell>
          <cell r="Y43623" t="str">
            <v>HONG KONG</v>
          </cell>
        </row>
        <row r="43624">
          <cell r="L43624" t="str">
            <v>Non-proportional</v>
          </cell>
          <cell r="S43624">
            <v>-5335.57</v>
          </cell>
          <cell r="X43624" t="str">
            <v>Variation UPR - gross</v>
          </cell>
          <cell r="Y43624" t="str">
            <v>PERU</v>
          </cell>
        </row>
        <row r="43625">
          <cell r="L43625" t="str">
            <v>Non-proportional</v>
          </cell>
          <cell r="S43625">
            <v>-2930.08</v>
          </cell>
          <cell r="X43625" t="str">
            <v>Variation UPR - gross</v>
          </cell>
          <cell r="Y43625" t="str">
            <v>JAPAN</v>
          </cell>
        </row>
        <row r="43626">
          <cell r="L43626" t="str">
            <v>Non-proportional</v>
          </cell>
          <cell r="S43626">
            <v>-1908.26</v>
          </cell>
          <cell r="X43626" t="str">
            <v>Variation UPR - gross</v>
          </cell>
          <cell r="Y43626" t="str">
            <v>DOMINICAN REPUBLIC</v>
          </cell>
        </row>
        <row r="43627">
          <cell r="L43627" t="str">
            <v>Non-proportional</v>
          </cell>
          <cell r="S43627">
            <v>-4666.5</v>
          </cell>
          <cell r="X43627" t="str">
            <v>Variation UPR - gross</v>
          </cell>
          <cell r="Y43627" t="str">
            <v>TURKEY</v>
          </cell>
        </row>
        <row r="43628">
          <cell r="L43628" t="str">
            <v>Non-proportional</v>
          </cell>
          <cell r="S43628">
            <v>-9500.14</v>
          </cell>
          <cell r="X43628" t="str">
            <v>Variation UPR - gross</v>
          </cell>
          <cell r="Y43628" t="str">
            <v>TURKEY</v>
          </cell>
        </row>
        <row r="43629">
          <cell r="L43629" t="str">
            <v>Non-proportional</v>
          </cell>
          <cell r="S43629">
            <v>-4370.05</v>
          </cell>
          <cell r="X43629" t="str">
            <v>Variation UPR - gross</v>
          </cell>
          <cell r="Y43629" t="str">
            <v>CHILE</v>
          </cell>
        </row>
        <row r="43630">
          <cell r="L43630" t="str">
            <v>Non-proportional</v>
          </cell>
          <cell r="S43630">
            <v>-95.05</v>
          </cell>
          <cell r="X43630" t="str">
            <v>Variation UPR - gross</v>
          </cell>
          <cell r="Y43630" t="str">
            <v>BRAZIL</v>
          </cell>
        </row>
        <row r="43631">
          <cell r="L43631" t="str">
            <v>Non-proportional</v>
          </cell>
          <cell r="S43631">
            <v>-1622.81</v>
          </cell>
          <cell r="X43631" t="str">
            <v>Variation UPR - gross</v>
          </cell>
          <cell r="Y43631" t="str">
            <v>COSTA RICA</v>
          </cell>
        </row>
        <row r="43632">
          <cell r="L43632" t="str">
            <v>Proportional</v>
          </cell>
          <cell r="S43632">
            <v>-2356.4699999999998</v>
          </cell>
          <cell r="X43632" t="str">
            <v>Variation UPR - gross</v>
          </cell>
          <cell r="Y43632" t="str">
            <v>REPUBLIC OF IRELAND</v>
          </cell>
        </row>
        <row r="43633">
          <cell r="L43633" t="str">
            <v>Non-proportional</v>
          </cell>
          <cell r="S43633">
            <v>-387.5</v>
          </cell>
          <cell r="X43633" t="str">
            <v>Variation UPR - gross</v>
          </cell>
          <cell r="Y43633" t="str">
            <v>ITALY</v>
          </cell>
        </row>
        <row r="43634">
          <cell r="L43634" t="str">
            <v>Non-proportional</v>
          </cell>
          <cell r="S43634">
            <v>136.01</v>
          </cell>
          <cell r="X43634" t="str">
            <v>Variation UPR - gross</v>
          </cell>
          <cell r="Y43634" t="str">
            <v>DOMINICAN REPUBLIC</v>
          </cell>
        </row>
        <row r="43635">
          <cell r="L43635" t="str">
            <v>Proportional</v>
          </cell>
          <cell r="S43635">
            <v>75450.100000000006</v>
          </cell>
          <cell r="X43635" t="str">
            <v>Variation UPR - gross</v>
          </cell>
          <cell r="Y43635" t="str">
            <v>CHILE</v>
          </cell>
        </row>
        <row r="43636">
          <cell r="L43636" t="str">
            <v>Non-proportional</v>
          </cell>
          <cell r="S43636">
            <v>-12326.12</v>
          </cell>
          <cell r="X43636" t="str">
            <v>Variation UPR - gross</v>
          </cell>
          <cell r="Y43636" t="str">
            <v>INDIA</v>
          </cell>
        </row>
        <row r="43637">
          <cell r="L43637" t="str">
            <v>Non-proportional</v>
          </cell>
          <cell r="S43637">
            <v>-181.73</v>
          </cell>
          <cell r="X43637" t="str">
            <v>Variation UPR - gross</v>
          </cell>
          <cell r="Y43637" t="str">
            <v>TURKEY</v>
          </cell>
        </row>
        <row r="43638">
          <cell r="L43638" t="str">
            <v>Non-proportional</v>
          </cell>
          <cell r="S43638">
            <v>69562.7</v>
          </cell>
          <cell r="X43638" t="str">
            <v>Variation UPR - gross</v>
          </cell>
          <cell r="Y43638" t="str">
            <v>ECUADOR</v>
          </cell>
        </row>
        <row r="43639">
          <cell r="L43639" t="str">
            <v>Non-proportional</v>
          </cell>
          <cell r="S43639">
            <v>-1784.44</v>
          </cell>
          <cell r="X43639" t="str">
            <v>Variation UPR - gross</v>
          </cell>
          <cell r="Y43639" t="str">
            <v>CHILE</v>
          </cell>
        </row>
        <row r="43640">
          <cell r="L43640" t="str">
            <v>Non-proportional</v>
          </cell>
          <cell r="S43640">
            <v>-2110.25</v>
          </cell>
          <cell r="X43640" t="str">
            <v>Variation UPR - gross</v>
          </cell>
          <cell r="Y43640" t="str">
            <v>INDIA</v>
          </cell>
        </row>
        <row r="43641">
          <cell r="L43641" t="str">
            <v>Non-proportional</v>
          </cell>
          <cell r="S43641">
            <v>54.36</v>
          </cell>
          <cell r="X43641" t="str">
            <v>Variation UPR - gross</v>
          </cell>
          <cell r="Y43641" t="str">
            <v>NEW ZEALAND</v>
          </cell>
        </row>
        <row r="43642">
          <cell r="L43642" t="str">
            <v>Non-proportional</v>
          </cell>
          <cell r="S43642">
            <v>-12065.5</v>
          </cell>
          <cell r="X43642" t="str">
            <v>Variation UPR - gross</v>
          </cell>
          <cell r="Y43642" t="str">
            <v>NEW ZEALAND</v>
          </cell>
        </row>
        <row r="43643">
          <cell r="L43643" t="str">
            <v>Non-proportional</v>
          </cell>
          <cell r="S43643">
            <v>-19231.490000000002</v>
          </cell>
          <cell r="X43643" t="str">
            <v>Variation UPR - gross</v>
          </cell>
          <cell r="Y43643" t="str">
            <v>FRANCE</v>
          </cell>
        </row>
        <row r="43644">
          <cell r="L43644" t="str">
            <v>Non-proportional</v>
          </cell>
          <cell r="S43644">
            <v>-182021.67</v>
          </cell>
          <cell r="X43644" t="str">
            <v>Variation UPR - gross</v>
          </cell>
          <cell r="Y43644" t="str">
            <v>PORTUGAL</v>
          </cell>
        </row>
        <row r="43645">
          <cell r="L43645" t="str">
            <v>Non-proportional</v>
          </cell>
          <cell r="S43645">
            <v>-0.03</v>
          </cell>
          <cell r="X43645" t="str">
            <v>Variation UPR - gross</v>
          </cell>
          <cell r="Y43645" t="str">
            <v>THAILAND</v>
          </cell>
        </row>
        <row r="43646">
          <cell r="L43646" t="str">
            <v>Non-proportional</v>
          </cell>
          <cell r="S43646">
            <v>-10093.129999999999</v>
          </cell>
          <cell r="X43646" t="str">
            <v>Variation UPR - gross</v>
          </cell>
          <cell r="Y43646" t="str">
            <v>NEW ZEALAND</v>
          </cell>
        </row>
        <row r="43647">
          <cell r="L43647" t="str">
            <v>Non-proportional</v>
          </cell>
          <cell r="S43647">
            <v>-4414.07</v>
          </cell>
          <cell r="X43647" t="str">
            <v>Variation UPR - gross</v>
          </cell>
          <cell r="Y43647" t="str">
            <v>COSTA RICA</v>
          </cell>
        </row>
        <row r="43648">
          <cell r="L43648" t="str">
            <v>Non-proportional</v>
          </cell>
          <cell r="S43648">
            <v>-21139.88</v>
          </cell>
          <cell r="X43648" t="str">
            <v>Variation UPR - gross</v>
          </cell>
          <cell r="Y43648" t="str">
            <v>UNITED KINGDOM</v>
          </cell>
        </row>
        <row r="43649">
          <cell r="L43649" t="str">
            <v>Non-proportional</v>
          </cell>
          <cell r="S43649">
            <v>-2988.26</v>
          </cell>
          <cell r="X43649" t="str">
            <v>Variation UPR - gross</v>
          </cell>
          <cell r="Y43649" t="str">
            <v>ISRAEL</v>
          </cell>
        </row>
        <row r="43650">
          <cell r="L43650" t="str">
            <v>Non-proportional</v>
          </cell>
          <cell r="S43650">
            <v>-996.09</v>
          </cell>
          <cell r="X43650" t="str">
            <v>Variation UPR - gross</v>
          </cell>
          <cell r="Y43650" t="str">
            <v>ISRAEL</v>
          </cell>
        </row>
        <row r="43651">
          <cell r="L43651" t="str">
            <v>Non-proportional</v>
          </cell>
          <cell r="S43651">
            <v>-10748.69</v>
          </cell>
          <cell r="X43651" t="str">
            <v>Variation UPR - gross</v>
          </cell>
          <cell r="Y43651" t="str">
            <v>ITALY</v>
          </cell>
        </row>
        <row r="43652">
          <cell r="L43652" t="str">
            <v>Non-proportional</v>
          </cell>
          <cell r="S43652">
            <v>-46864.67</v>
          </cell>
          <cell r="X43652" t="str">
            <v>Variation UPR - gross</v>
          </cell>
          <cell r="Y43652" t="str">
            <v>FRANCE</v>
          </cell>
        </row>
        <row r="43653">
          <cell r="L43653" t="str">
            <v>Non-proportional</v>
          </cell>
          <cell r="S43653">
            <v>-951542.68</v>
          </cell>
          <cell r="X43653" t="str">
            <v>Variation UPR - gross</v>
          </cell>
          <cell r="Y43653" t="str">
            <v>UNITED KINGDOM</v>
          </cell>
        </row>
        <row r="43654">
          <cell r="L43654" t="str">
            <v>Non-proportional</v>
          </cell>
          <cell r="S43654">
            <v>-37.130000000000003</v>
          </cell>
          <cell r="X43654" t="str">
            <v>Variation UPR - gross</v>
          </cell>
          <cell r="Y43654" t="str">
            <v>COSTA RICA</v>
          </cell>
        </row>
        <row r="43655">
          <cell r="L43655" t="str">
            <v>Non-proportional</v>
          </cell>
          <cell r="S43655">
            <v>-0.03</v>
          </cell>
          <cell r="X43655" t="str">
            <v>Variation UPR - gross</v>
          </cell>
          <cell r="Y43655" t="str">
            <v>THAILAND</v>
          </cell>
        </row>
        <row r="43656">
          <cell r="L43656" t="str">
            <v>Proportional</v>
          </cell>
          <cell r="S43656">
            <v>-57752.11</v>
          </cell>
          <cell r="X43656" t="str">
            <v>Variation UPR - gross</v>
          </cell>
          <cell r="Y43656" t="str">
            <v>PORTUGAL</v>
          </cell>
        </row>
        <row r="43657">
          <cell r="L43657" t="str">
            <v>Proportional</v>
          </cell>
          <cell r="S43657">
            <v>-1625.18</v>
          </cell>
          <cell r="X43657" t="str">
            <v>Variation UPR - gross</v>
          </cell>
          <cell r="Y43657" t="str">
            <v>THAILAND</v>
          </cell>
        </row>
        <row r="43658">
          <cell r="L43658" t="str">
            <v>Non-proportional</v>
          </cell>
          <cell r="S43658">
            <v>-865.49</v>
          </cell>
          <cell r="X43658" t="str">
            <v>Variation UPR - gross</v>
          </cell>
          <cell r="Y43658" t="str">
            <v>COSTA RICA</v>
          </cell>
        </row>
        <row r="43659">
          <cell r="L43659" t="str">
            <v>Non-proportional</v>
          </cell>
          <cell r="S43659">
            <v>-2457.6</v>
          </cell>
          <cell r="X43659" t="str">
            <v>Variation UPR - gross</v>
          </cell>
          <cell r="Y43659" t="str">
            <v>UNITED KINGDOM</v>
          </cell>
        </row>
        <row r="43660">
          <cell r="L43660" t="str">
            <v>Non-proportional</v>
          </cell>
          <cell r="S43660">
            <v>-4250.71</v>
          </cell>
          <cell r="X43660" t="str">
            <v>Variation UPR - gross</v>
          </cell>
          <cell r="Y43660" t="str">
            <v>ITALY</v>
          </cell>
        </row>
        <row r="43661">
          <cell r="L43661" t="str">
            <v>Proportional</v>
          </cell>
          <cell r="S43661">
            <v>9726.8700000000008</v>
          </cell>
          <cell r="X43661" t="str">
            <v>Variation UPR - gross</v>
          </cell>
          <cell r="Y43661" t="str">
            <v>THAILAND</v>
          </cell>
        </row>
        <row r="43662">
          <cell r="L43662" t="str">
            <v>Non-proportional</v>
          </cell>
          <cell r="S43662">
            <v>-10000</v>
          </cell>
          <cell r="X43662" t="str">
            <v>Variation UPR - gross</v>
          </cell>
          <cell r="Y43662" t="str">
            <v>EUROPE</v>
          </cell>
        </row>
        <row r="43663">
          <cell r="L43663" t="str">
            <v>Non-proportional</v>
          </cell>
          <cell r="S43663">
            <v>-90200</v>
          </cell>
          <cell r="X43663" t="str">
            <v>Variation UPR - gross</v>
          </cell>
          <cell r="Y43663" t="str">
            <v>EUROPE</v>
          </cell>
        </row>
        <row r="43664">
          <cell r="L43664" t="str">
            <v>Non-proportional</v>
          </cell>
          <cell r="S43664">
            <v>-8238.26</v>
          </cell>
          <cell r="X43664" t="str">
            <v>Variation UPR - gross</v>
          </cell>
          <cell r="Y43664" t="str">
            <v>ITALY</v>
          </cell>
        </row>
        <row r="43665">
          <cell r="L43665" t="str">
            <v>Non-proportional</v>
          </cell>
          <cell r="S43665">
            <v>-2187.5</v>
          </cell>
          <cell r="X43665" t="str">
            <v>Variation UPR - gross</v>
          </cell>
          <cell r="Y43665" t="str">
            <v>GERMANY</v>
          </cell>
        </row>
        <row r="43666">
          <cell r="L43666" t="str">
            <v>Non-proportional</v>
          </cell>
          <cell r="S43666">
            <v>-1092.51</v>
          </cell>
          <cell r="X43666" t="str">
            <v>Variation UPR - gross</v>
          </cell>
          <cell r="Y43666" t="str">
            <v>CHILE</v>
          </cell>
        </row>
        <row r="43667">
          <cell r="L43667" t="str">
            <v>Non-proportional</v>
          </cell>
          <cell r="S43667">
            <v>-1738.53</v>
          </cell>
          <cell r="X43667" t="str">
            <v>Variation UPR - gross</v>
          </cell>
          <cell r="Y43667" t="str">
            <v>NEW ZEALAND</v>
          </cell>
        </row>
        <row r="43668">
          <cell r="L43668" t="str">
            <v>Non-proportional</v>
          </cell>
          <cell r="S43668">
            <v>-4078.13</v>
          </cell>
          <cell r="X43668" t="str">
            <v>Variation UPR - gross</v>
          </cell>
          <cell r="Y43668" t="str">
            <v>GREECE</v>
          </cell>
        </row>
        <row r="43669">
          <cell r="L43669" t="str">
            <v>Non-proportional</v>
          </cell>
          <cell r="S43669">
            <v>-37828.21</v>
          </cell>
          <cell r="X43669" t="str">
            <v>Variation UPR - gross</v>
          </cell>
          <cell r="Y43669" t="str">
            <v>TURKEY</v>
          </cell>
        </row>
        <row r="43670">
          <cell r="L43670" t="str">
            <v>Non-proportional</v>
          </cell>
          <cell r="S43670">
            <v>-6393.46</v>
          </cell>
          <cell r="X43670" t="str">
            <v>Variation UPR - gross</v>
          </cell>
          <cell r="Y43670" t="str">
            <v>NETHERLANDS</v>
          </cell>
        </row>
        <row r="43671">
          <cell r="L43671" t="str">
            <v>Non-proportional</v>
          </cell>
          <cell r="S43671">
            <v>-6.69</v>
          </cell>
          <cell r="X43671" t="str">
            <v>Variation UPR - gross</v>
          </cell>
          <cell r="Y43671" t="str">
            <v>COSTA RICA</v>
          </cell>
        </row>
        <row r="43672">
          <cell r="L43672" t="str">
            <v>Non-proportional</v>
          </cell>
          <cell r="S43672">
            <v>-860</v>
          </cell>
          <cell r="X43672" t="str">
            <v>Variation UPR - gross</v>
          </cell>
          <cell r="Y43672" t="str">
            <v>GREECE</v>
          </cell>
        </row>
        <row r="43673">
          <cell r="L43673" t="str">
            <v>Proportional</v>
          </cell>
          <cell r="S43673">
            <v>-53347.81</v>
          </cell>
          <cell r="X43673" t="str">
            <v>Variation UPR - gross</v>
          </cell>
          <cell r="Y43673" t="str">
            <v>THAILAND</v>
          </cell>
        </row>
        <row r="43674">
          <cell r="L43674" t="str">
            <v>Non-proportional</v>
          </cell>
          <cell r="S43674">
            <v>914.06</v>
          </cell>
          <cell r="X43674" t="str">
            <v>Variation UPR - gross</v>
          </cell>
          <cell r="Y43674" t="str">
            <v>JAPAN</v>
          </cell>
        </row>
        <row r="43675">
          <cell r="L43675" t="str">
            <v>Non-proportional</v>
          </cell>
          <cell r="S43675">
            <v>-4890.2299999999996</v>
          </cell>
          <cell r="X43675" t="str">
            <v>Variation UPR - gross</v>
          </cell>
          <cell r="Y43675" t="str">
            <v>COLOMBIA</v>
          </cell>
        </row>
        <row r="43676">
          <cell r="L43676" t="str">
            <v>Non-proportional</v>
          </cell>
          <cell r="S43676">
            <v>-2917.68</v>
          </cell>
          <cell r="X43676" t="str">
            <v>Variation UPR - gross</v>
          </cell>
          <cell r="Y43676" t="str">
            <v>AUSTRALIA</v>
          </cell>
        </row>
        <row r="43677">
          <cell r="L43677" t="str">
            <v>Non-proportional</v>
          </cell>
          <cell r="S43677">
            <v>43865.65</v>
          </cell>
          <cell r="X43677" t="str">
            <v>Variation UPR - gross</v>
          </cell>
          <cell r="Y43677" t="str">
            <v>ECUADOR</v>
          </cell>
        </row>
        <row r="43678">
          <cell r="L43678" t="str">
            <v>Non-proportional</v>
          </cell>
          <cell r="S43678">
            <v>-728.4</v>
          </cell>
          <cell r="X43678" t="str">
            <v>Variation UPR - gross</v>
          </cell>
          <cell r="Y43678" t="str">
            <v>JAPAN</v>
          </cell>
        </row>
        <row r="43679">
          <cell r="L43679" t="str">
            <v>Proportional</v>
          </cell>
          <cell r="S43679">
            <v>-57750</v>
          </cell>
          <cell r="X43679" t="str">
            <v>Variation UPR - gross</v>
          </cell>
          <cell r="Y43679" t="str">
            <v>ITALY</v>
          </cell>
        </row>
        <row r="43680">
          <cell r="L43680" t="str">
            <v>Non-proportional</v>
          </cell>
          <cell r="S43680">
            <v>-1680.01</v>
          </cell>
          <cell r="X43680" t="str">
            <v>Variation UPR - gross</v>
          </cell>
          <cell r="Y43680" t="str">
            <v>CHINA</v>
          </cell>
        </row>
        <row r="43681">
          <cell r="L43681" t="str">
            <v>Non-proportional</v>
          </cell>
          <cell r="S43681">
            <v>-3015.29</v>
          </cell>
          <cell r="X43681" t="str">
            <v>Variation UPR - gross</v>
          </cell>
          <cell r="Y43681" t="str">
            <v>ITALY</v>
          </cell>
        </row>
        <row r="43682">
          <cell r="L43682" t="str">
            <v>Proportional</v>
          </cell>
          <cell r="S43682">
            <v>1978235.78</v>
          </cell>
          <cell r="X43682" t="str">
            <v>Variation UPR - gross</v>
          </cell>
          <cell r="Y43682" t="str">
            <v>HONG KONG</v>
          </cell>
        </row>
        <row r="43683">
          <cell r="L43683" t="str">
            <v>Non-proportional</v>
          </cell>
          <cell r="S43683">
            <v>-2246.1999999999998</v>
          </cell>
          <cell r="X43683" t="str">
            <v>Variation UPR - gross</v>
          </cell>
          <cell r="Y43683" t="str">
            <v>CHINA</v>
          </cell>
        </row>
        <row r="43684">
          <cell r="L43684" t="str">
            <v>Non-proportional</v>
          </cell>
          <cell r="S43684">
            <v>-5001.13</v>
          </cell>
          <cell r="X43684" t="str">
            <v>Variation UPR - gross</v>
          </cell>
          <cell r="Y43684" t="str">
            <v>ITALY</v>
          </cell>
        </row>
        <row r="43685">
          <cell r="L43685" t="str">
            <v>Non-proportional</v>
          </cell>
          <cell r="S43685">
            <v>-9501.65</v>
          </cell>
          <cell r="X43685" t="str">
            <v>Variation UPR - gross</v>
          </cell>
          <cell r="Y43685" t="str">
            <v>CHINA</v>
          </cell>
        </row>
        <row r="43686">
          <cell r="L43686" t="str">
            <v>Non-proportional</v>
          </cell>
          <cell r="S43686">
            <v>-4952.7299999999996</v>
          </cell>
          <cell r="X43686" t="str">
            <v>Variation UPR - gross</v>
          </cell>
          <cell r="Y43686" t="str">
            <v>CHILE</v>
          </cell>
        </row>
        <row r="43687">
          <cell r="L43687" t="str">
            <v>Non-proportional</v>
          </cell>
          <cell r="S43687">
            <v>-2703.12</v>
          </cell>
          <cell r="X43687" t="str">
            <v>Variation UPR - gross</v>
          </cell>
          <cell r="Y43687" t="str">
            <v>ECUADOR</v>
          </cell>
        </row>
        <row r="43688">
          <cell r="L43688" t="str">
            <v>Non-proportional</v>
          </cell>
          <cell r="S43688">
            <v>-6623.14</v>
          </cell>
          <cell r="X43688" t="str">
            <v>Variation UPR - gross</v>
          </cell>
          <cell r="Y43688" t="str">
            <v>CYPRUS</v>
          </cell>
        </row>
        <row r="43689">
          <cell r="L43689" t="str">
            <v>Proportional</v>
          </cell>
          <cell r="S43689">
            <v>-155.91</v>
          </cell>
          <cell r="X43689" t="str">
            <v>Variation UPR - gross</v>
          </cell>
          <cell r="Y43689" t="str">
            <v>THAILAND</v>
          </cell>
        </row>
        <row r="43690">
          <cell r="L43690" t="str">
            <v>Non-proportional</v>
          </cell>
          <cell r="S43690">
            <v>-6278.98</v>
          </cell>
          <cell r="X43690" t="str">
            <v>Variation UPR - gross</v>
          </cell>
          <cell r="Y43690" t="str">
            <v>FRANCE</v>
          </cell>
        </row>
        <row r="43691">
          <cell r="L43691" t="str">
            <v>Non-proportional</v>
          </cell>
          <cell r="S43691">
            <v>-5822.52</v>
          </cell>
          <cell r="X43691" t="str">
            <v>Variation UPR - gross</v>
          </cell>
          <cell r="Y43691" t="str">
            <v>COSTA RICA</v>
          </cell>
        </row>
        <row r="43692">
          <cell r="L43692" t="str">
            <v>Proportional</v>
          </cell>
          <cell r="S43692">
            <v>-21127.33</v>
          </cell>
          <cell r="X43692" t="str">
            <v>Variation UPR - gross</v>
          </cell>
          <cell r="Y43692" t="str">
            <v>THAILAND</v>
          </cell>
        </row>
        <row r="43693">
          <cell r="L43693" t="str">
            <v>Proportional</v>
          </cell>
          <cell r="S43693">
            <v>-9804.1200000000008</v>
          </cell>
          <cell r="X43693" t="str">
            <v>Variation UPR - gross</v>
          </cell>
          <cell r="Y43693" t="str">
            <v>THAILAND</v>
          </cell>
        </row>
        <row r="43694">
          <cell r="L43694" t="str">
            <v>Non-proportional</v>
          </cell>
          <cell r="S43694">
            <v>-1666.23</v>
          </cell>
          <cell r="X43694" t="str">
            <v>Variation UPR - gross</v>
          </cell>
          <cell r="Y43694" t="str">
            <v>PERU</v>
          </cell>
        </row>
        <row r="43695">
          <cell r="L43695" t="str">
            <v>Non-proportional</v>
          </cell>
          <cell r="S43695">
            <v>118.57</v>
          </cell>
          <cell r="X43695" t="str">
            <v>Variation UPR - gross</v>
          </cell>
          <cell r="Y43695" t="str">
            <v>DOMINICAN REPUBLIC</v>
          </cell>
        </row>
        <row r="43696">
          <cell r="L43696" t="str">
            <v>Non-proportional</v>
          </cell>
          <cell r="S43696">
            <v>-6086.35</v>
          </cell>
          <cell r="X43696" t="str">
            <v>Variation UPR - gross</v>
          </cell>
          <cell r="Y43696" t="str">
            <v>ITALY</v>
          </cell>
        </row>
        <row r="43697">
          <cell r="L43697" t="str">
            <v>Non-proportional</v>
          </cell>
          <cell r="S43697">
            <v>-2126.4899999999998</v>
          </cell>
          <cell r="X43697" t="str">
            <v>Variation UPR - gross</v>
          </cell>
          <cell r="Y43697" t="str">
            <v>UNITED KINGDOM</v>
          </cell>
        </row>
        <row r="43698">
          <cell r="L43698" t="str">
            <v>Non-proportional</v>
          </cell>
          <cell r="S43698">
            <v>-3244.77</v>
          </cell>
          <cell r="X43698" t="str">
            <v>Variation UPR - gross</v>
          </cell>
          <cell r="Y43698" t="str">
            <v>FRANCE</v>
          </cell>
        </row>
        <row r="43699">
          <cell r="L43699" t="str">
            <v>Non-proportional</v>
          </cell>
          <cell r="S43699">
            <v>-1623.97</v>
          </cell>
          <cell r="X43699" t="str">
            <v>Variation UPR - gross</v>
          </cell>
          <cell r="Y43699" t="str">
            <v>ECUADOR</v>
          </cell>
        </row>
        <row r="43700">
          <cell r="L43700" t="str">
            <v>Proportional</v>
          </cell>
          <cell r="S43700">
            <v>-24988.22</v>
          </cell>
          <cell r="X43700" t="str">
            <v>Variation UPR - gross</v>
          </cell>
          <cell r="Y43700" t="str">
            <v>INDIA</v>
          </cell>
        </row>
        <row r="43701">
          <cell r="L43701" t="str">
            <v>Non-proportional</v>
          </cell>
          <cell r="S43701">
            <v>109.36</v>
          </cell>
          <cell r="X43701" t="str">
            <v>Variation UPR - gross</v>
          </cell>
          <cell r="Y43701" t="str">
            <v>JAPAN</v>
          </cell>
        </row>
        <row r="43702">
          <cell r="L43702" t="str">
            <v>Non-proportional</v>
          </cell>
          <cell r="S43702">
            <v>-3281.25</v>
          </cell>
          <cell r="X43702" t="str">
            <v>Variation UPR - gross</v>
          </cell>
          <cell r="Y43702" t="str">
            <v>ITALY</v>
          </cell>
        </row>
        <row r="43703">
          <cell r="L43703" t="str">
            <v>Proportional</v>
          </cell>
          <cell r="S43703">
            <v>-154288</v>
          </cell>
          <cell r="X43703" t="str">
            <v>Variation UPR - gross</v>
          </cell>
          <cell r="Y43703" t="str">
            <v>UNITED STATES</v>
          </cell>
        </row>
        <row r="43704">
          <cell r="L43704" t="str">
            <v>Non-proportional</v>
          </cell>
          <cell r="S43704">
            <v>-9043.94</v>
          </cell>
          <cell r="X43704" t="str">
            <v>Variation UPR - gross</v>
          </cell>
          <cell r="Y43704" t="str">
            <v>FRANCE</v>
          </cell>
        </row>
        <row r="43705">
          <cell r="L43705" t="str">
            <v>Non-proportional</v>
          </cell>
          <cell r="S43705">
            <v>-7586.5</v>
          </cell>
          <cell r="X43705" t="str">
            <v>Variation UPR - gross</v>
          </cell>
          <cell r="Y43705" t="str">
            <v>FRANCE</v>
          </cell>
        </row>
        <row r="43706">
          <cell r="L43706" t="str">
            <v>Proportional</v>
          </cell>
          <cell r="S43706">
            <v>-148.84</v>
          </cell>
          <cell r="X43706" t="str">
            <v>Variation UPR - gross</v>
          </cell>
          <cell r="Y43706" t="str">
            <v>UNITED STATES</v>
          </cell>
        </row>
        <row r="43707">
          <cell r="L43707" t="str">
            <v>Non-proportional</v>
          </cell>
          <cell r="S43707">
            <v>40.630000000000003</v>
          </cell>
          <cell r="X43707" t="str">
            <v>Variation UPR - gross</v>
          </cell>
          <cell r="Y43707" t="str">
            <v>JAPAN</v>
          </cell>
        </row>
        <row r="43708">
          <cell r="L43708" t="str">
            <v>Non-proportional</v>
          </cell>
          <cell r="S43708">
            <v>-9650.5300000000007</v>
          </cell>
          <cell r="X43708" t="str">
            <v>Variation UPR - gross</v>
          </cell>
          <cell r="Y43708" t="str">
            <v>CHILE</v>
          </cell>
        </row>
        <row r="43709">
          <cell r="L43709" t="str">
            <v>Non-proportional</v>
          </cell>
          <cell r="S43709">
            <v>-4968.13</v>
          </cell>
          <cell r="X43709" t="str">
            <v>Variation UPR - gross</v>
          </cell>
          <cell r="Y43709" t="str">
            <v>SOUTH AFRICA</v>
          </cell>
        </row>
        <row r="43710">
          <cell r="L43710" t="str">
            <v>Non-proportional</v>
          </cell>
          <cell r="S43710">
            <v>-156.36000000000001</v>
          </cell>
          <cell r="X43710" t="str">
            <v>Variation UPR - gross</v>
          </cell>
          <cell r="Y43710" t="str">
            <v>COLOMBIA</v>
          </cell>
        </row>
        <row r="43711">
          <cell r="L43711" t="str">
            <v>Proportional</v>
          </cell>
          <cell r="S43711">
            <v>811.88</v>
          </cell>
          <cell r="X43711" t="str">
            <v>Variation UPR - gross</v>
          </cell>
          <cell r="Y43711" t="str">
            <v>INDIA</v>
          </cell>
        </row>
        <row r="43712">
          <cell r="L43712" t="str">
            <v>Non-proportional</v>
          </cell>
          <cell r="S43712">
            <v>-3750.35</v>
          </cell>
          <cell r="X43712" t="str">
            <v>Variation UPR - gross</v>
          </cell>
          <cell r="Y43712" t="str">
            <v>SINGAPORE</v>
          </cell>
        </row>
        <row r="43713">
          <cell r="L43713" t="str">
            <v>Non-proportional</v>
          </cell>
          <cell r="S43713">
            <v>-72.83</v>
          </cell>
          <cell r="X43713" t="str">
            <v>Variation UPR - gross</v>
          </cell>
          <cell r="Y43713" t="str">
            <v>CHILE</v>
          </cell>
        </row>
        <row r="43714">
          <cell r="L43714" t="str">
            <v>Non-proportional</v>
          </cell>
          <cell r="S43714">
            <v>-42729.78</v>
          </cell>
          <cell r="X43714" t="str">
            <v>Variation UPR - gross</v>
          </cell>
          <cell r="Y43714" t="str">
            <v>UNITED KINGDOM</v>
          </cell>
        </row>
        <row r="43715">
          <cell r="L43715" t="str">
            <v>Non-proportional</v>
          </cell>
          <cell r="S43715">
            <v>-3169.26</v>
          </cell>
          <cell r="X43715" t="str">
            <v>Variation UPR - gross</v>
          </cell>
          <cell r="Y43715" t="str">
            <v>GUATEMALA</v>
          </cell>
        </row>
        <row r="43716">
          <cell r="L43716" t="str">
            <v>Non-proportional</v>
          </cell>
          <cell r="S43716">
            <v>29160.13</v>
          </cell>
          <cell r="X43716" t="str">
            <v>Variation UPR - gross</v>
          </cell>
          <cell r="Y43716" t="str">
            <v>ECUADOR</v>
          </cell>
        </row>
        <row r="43717">
          <cell r="L43717" t="str">
            <v>Non-proportional</v>
          </cell>
          <cell r="S43717">
            <v>-4135.71</v>
          </cell>
          <cell r="X43717" t="str">
            <v>Variation UPR - gross</v>
          </cell>
          <cell r="Y43717" t="str">
            <v>UNITED KINGDOM</v>
          </cell>
        </row>
        <row r="43718">
          <cell r="L43718" t="str">
            <v>Non-proportional</v>
          </cell>
          <cell r="S43718">
            <v>-2052.9499999999998</v>
          </cell>
          <cell r="X43718" t="str">
            <v>Variation UPR - gross</v>
          </cell>
          <cell r="Y43718" t="str">
            <v>BELIZE</v>
          </cell>
        </row>
        <row r="43719">
          <cell r="L43719" t="str">
            <v>Non-proportional</v>
          </cell>
          <cell r="S43719">
            <v>-3350.09</v>
          </cell>
          <cell r="X43719" t="str">
            <v>Variation UPR - gross</v>
          </cell>
          <cell r="Y43719" t="str">
            <v>JAPAN</v>
          </cell>
        </row>
        <row r="43720">
          <cell r="L43720" t="str">
            <v>Non-proportional</v>
          </cell>
          <cell r="S43720">
            <v>-5366.3</v>
          </cell>
          <cell r="X43720" t="str">
            <v>Variation UPR - gross</v>
          </cell>
          <cell r="Y43720" t="str">
            <v>ECUADOR</v>
          </cell>
        </row>
        <row r="43721">
          <cell r="L43721" t="str">
            <v>Non-proportional</v>
          </cell>
          <cell r="S43721">
            <v>-10974.83</v>
          </cell>
          <cell r="X43721" t="str">
            <v>Variation UPR - gross</v>
          </cell>
          <cell r="Y43721" t="str">
            <v>GERMANY</v>
          </cell>
        </row>
        <row r="43722">
          <cell r="L43722" t="str">
            <v>Non-proportional</v>
          </cell>
          <cell r="S43722">
            <v>-4725.82</v>
          </cell>
          <cell r="X43722" t="str">
            <v>Variation UPR - gross</v>
          </cell>
          <cell r="Y43722" t="str">
            <v>PERU</v>
          </cell>
        </row>
        <row r="43723">
          <cell r="L43723" t="str">
            <v>Non-proportional</v>
          </cell>
          <cell r="S43723">
            <v>-10836.27</v>
          </cell>
          <cell r="X43723" t="str">
            <v>Variation UPR - gross</v>
          </cell>
          <cell r="Y43723" t="str">
            <v>NEW ZEALAND</v>
          </cell>
        </row>
        <row r="43724">
          <cell r="L43724" t="str">
            <v>Non-proportional</v>
          </cell>
          <cell r="S43724">
            <v>-3251.55</v>
          </cell>
          <cell r="X43724" t="str">
            <v>Variation UPR - gross</v>
          </cell>
          <cell r="Y43724" t="str">
            <v>ISRAEL</v>
          </cell>
        </row>
        <row r="43725">
          <cell r="L43725" t="str">
            <v>Non-proportional</v>
          </cell>
          <cell r="S43725">
            <v>-9016.49</v>
          </cell>
          <cell r="X43725" t="str">
            <v>Variation UPR - gross</v>
          </cell>
          <cell r="Y43725" t="str">
            <v>NEW ZEALAND</v>
          </cell>
        </row>
        <row r="43726">
          <cell r="L43726" t="str">
            <v>Non-proportional</v>
          </cell>
          <cell r="S43726">
            <v>-109675.48</v>
          </cell>
          <cell r="X43726" t="str">
            <v>Variation UPR - gross</v>
          </cell>
          <cell r="Y43726" t="str">
            <v>EUROPE</v>
          </cell>
        </row>
        <row r="43727">
          <cell r="L43727" t="str">
            <v>Non-proportional</v>
          </cell>
          <cell r="S43727">
            <v>-15885.46</v>
          </cell>
          <cell r="X43727" t="str">
            <v>Variation UPR - gross</v>
          </cell>
          <cell r="Y43727" t="str">
            <v>EUROPE</v>
          </cell>
        </row>
        <row r="43728">
          <cell r="L43728" t="str">
            <v>Non-proportional</v>
          </cell>
          <cell r="S43728">
            <v>-0.02</v>
          </cell>
          <cell r="X43728" t="str">
            <v>Variation UPR - gross</v>
          </cell>
          <cell r="Y43728" t="str">
            <v>DOMINICAN REPUBLIC</v>
          </cell>
        </row>
        <row r="43729">
          <cell r="L43729" t="str">
            <v>Non-proportional</v>
          </cell>
          <cell r="S43729">
            <v>-44.23</v>
          </cell>
          <cell r="X43729" t="str">
            <v>Variation UPR - gross</v>
          </cell>
          <cell r="Y43729" t="str">
            <v>ISRAEL</v>
          </cell>
        </row>
        <row r="43730">
          <cell r="L43730" t="str">
            <v>Non-proportional</v>
          </cell>
          <cell r="S43730">
            <v>-4233.33</v>
          </cell>
          <cell r="X43730" t="str">
            <v>Variation UPR - gross</v>
          </cell>
          <cell r="Y43730" t="str">
            <v>FRANCE</v>
          </cell>
        </row>
        <row r="43731">
          <cell r="L43731" t="str">
            <v>Non-proportional</v>
          </cell>
          <cell r="S43731">
            <v>-806.66</v>
          </cell>
          <cell r="X43731" t="str">
            <v>Variation UPR - gross</v>
          </cell>
          <cell r="Y43731" t="str">
            <v>PERU</v>
          </cell>
        </row>
        <row r="43732">
          <cell r="L43732" t="str">
            <v>Non-proportional</v>
          </cell>
          <cell r="S43732">
            <v>23.54</v>
          </cell>
          <cell r="X43732" t="str">
            <v>Variation UPR - gross</v>
          </cell>
          <cell r="Y43732" t="str">
            <v>JAPAN</v>
          </cell>
        </row>
        <row r="43733">
          <cell r="L43733" t="str">
            <v>Non-proportional</v>
          </cell>
          <cell r="S43733">
            <v>-4185.26</v>
          </cell>
          <cell r="X43733" t="str">
            <v>Variation UPR - gross</v>
          </cell>
          <cell r="Y43733" t="str">
            <v>COLOMBIA</v>
          </cell>
        </row>
        <row r="43734">
          <cell r="L43734" t="str">
            <v>Non-proportional</v>
          </cell>
          <cell r="S43734">
            <v>141.34</v>
          </cell>
          <cell r="X43734" t="str">
            <v>Variation UPR - gross</v>
          </cell>
          <cell r="Y43734" t="str">
            <v>NEW ZEALAND</v>
          </cell>
        </row>
        <row r="43735">
          <cell r="L43735" t="str">
            <v>Non-proportional</v>
          </cell>
          <cell r="S43735">
            <v>-1081.8800000000001</v>
          </cell>
          <cell r="X43735" t="str">
            <v>Variation UPR - gross</v>
          </cell>
          <cell r="Y43735" t="str">
            <v>JAPAN</v>
          </cell>
        </row>
        <row r="43736">
          <cell r="L43736" t="str">
            <v>Non-proportional</v>
          </cell>
          <cell r="S43736">
            <v>-5305.16</v>
          </cell>
          <cell r="X43736" t="str">
            <v>Variation UPR - gross</v>
          </cell>
          <cell r="Y43736" t="str">
            <v>AUSTRALIA</v>
          </cell>
        </row>
        <row r="43737">
          <cell r="L43737" t="str">
            <v>Non-proportional</v>
          </cell>
          <cell r="S43737">
            <v>-26986.74</v>
          </cell>
          <cell r="X43737" t="str">
            <v>Variation UPR - gross</v>
          </cell>
          <cell r="Y43737" t="str">
            <v>TURKEY</v>
          </cell>
        </row>
        <row r="43738">
          <cell r="L43738" t="str">
            <v>Non-proportional</v>
          </cell>
          <cell r="S43738">
            <v>-14331.16</v>
          </cell>
          <cell r="X43738" t="str">
            <v>Variation UPR - gross</v>
          </cell>
          <cell r="Y43738" t="str">
            <v>FRANCE</v>
          </cell>
        </row>
        <row r="43739">
          <cell r="L43739" t="str">
            <v>Non-proportional</v>
          </cell>
          <cell r="S43739">
            <v>-2686.68</v>
          </cell>
          <cell r="X43739" t="str">
            <v>Variation UPR - gross</v>
          </cell>
          <cell r="Y43739" t="str">
            <v>MALTA</v>
          </cell>
        </row>
        <row r="43740">
          <cell r="L43740" t="str">
            <v>Non-proportional</v>
          </cell>
          <cell r="S43740">
            <v>-3353.32</v>
          </cell>
          <cell r="X43740" t="str">
            <v>Variation UPR - gross</v>
          </cell>
          <cell r="Y43740" t="str">
            <v>DOMINICAN REPUBLIC</v>
          </cell>
        </row>
        <row r="43741">
          <cell r="L43741" t="str">
            <v>Proportional</v>
          </cell>
          <cell r="S43741">
            <v>-1135.2</v>
          </cell>
          <cell r="X43741" t="str">
            <v>Variation UPR - gross</v>
          </cell>
          <cell r="Y43741" t="str">
            <v>INDIA</v>
          </cell>
        </row>
        <row r="43742">
          <cell r="L43742" t="str">
            <v>Proportional</v>
          </cell>
          <cell r="S43742">
            <v>-14785.34</v>
          </cell>
          <cell r="X43742" t="str">
            <v>Variation UPR - gross</v>
          </cell>
          <cell r="Y43742" t="str">
            <v>CHILE</v>
          </cell>
        </row>
        <row r="43743">
          <cell r="L43743" t="str">
            <v>Proportional</v>
          </cell>
          <cell r="S43743">
            <v>109123.1</v>
          </cell>
          <cell r="X43743" t="str">
            <v>Variation UPR - gross</v>
          </cell>
          <cell r="Y43743" t="str">
            <v>THAILAND</v>
          </cell>
        </row>
        <row r="43744">
          <cell r="L43744" t="str">
            <v>Non-proportional</v>
          </cell>
          <cell r="S43744">
            <v>-3916.32</v>
          </cell>
          <cell r="X43744" t="str">
            <v>Variation UPR - gross</v>
          </cell>
          <cell r="Y43744" t="str">
            <v>SPAIN</v>
          </cell>
        </row>
        <row r="43745">
          <cell r="L43745" t="str">
            <v>Non-proportional</v>
          </cell>
          <cell r="S43745">
            <v>-8382.67</v>
          </cell>
          <cell r="X43745" t="str">
            <v>Variation UPR - gross</v>
          </cell>
          <cell r="Y43745" t="str">
            <v>INDIA</v>
          </cell>
        </row>
        <row r="43746">
          <cell r="L43746" t="str">
            <v>Non-proportional</v>
          </cell>
          <cell r="S43746">
            <v>-6562.5</v>
          </cell>
          <cell r="X43746" t="str">
            <v>Variation UPR - gross</v>
          </cell>
          <cell r="Y43746" t="str">
            <v>ITALY</v>
          </cell>
        </row>
        <row r="43747">
          <cell r="L43747" t="str">
            <v>Non-proportional</v>
          </cell>
          <cell r="S43747">
            <v>-2385.7600000000002</v>
          </cell>
          <cell r="X43747" t="str">
            <v>Variation UPR - gross</v>
          </cell>
          <cell r="Y43747" t="str">
            <v>COLOMBIA</v>
          </cell>
        </row>
        <row r="43748">
          <cell r="L43748" t="str">
            <v>Proportional</v>
          </cell>
          <cell r="S43748">
            <v>4523.53</v>
          </cell>
          <cell r="X43748" t="str">
            <v>Variation UPR - gross</v>
          </cell>
          <cell r="Y43748" t="str">
            <v>CANADA</v>
          </cell>
        </row>
        <row r="43749">
          <cell r="L43749" t="str">
            <v>Non-proportional</v>
          </cell>
          <cell r="S43749">
            <v>-9744.4500000000007</v>
          </cell>
          <cell r="X43749" t="str">
            <v>Variation UPR - gross</v>
          </cell>
          <cell r="Y43749" t="str">
            <v>DOMINICAN REPUBLIC</v>
          </cell>
        </row>
        <row r="43750">
          <cell r="L43750" t="str">
            <v>Non-proportional</v>
          </cell>
          <cell r="S43750">
            <v>-617</v>
          </cell>
          <cell r="X43750" t="str">
            <v>Variation UPR - gross</v>
          </cell>
          <cell r="Y43750" t="str">
            <v>FRANCE</v>
          </cell>
        </row>
        <row r="43751">
          <cell r="L43751" t="str">
            <v>Non-proportional</v>
          </cell>
          <cell r="S43751">
            <v>54.14</v>
          </cell>
          <cell r="X43751" t="str">
            <v>Variation UPR - gross</v>
          </cell>
          <cell r="Y43751" t="str">
            <v>JAPAN</v>
          </cell>
        </row>
        <row r="43752">
          <cell r="L43752" t="str">
            <v>Non-proportional</v>
          </cell>
          <cell r="S43752">
            <v>-1278.3699999999999</v>
          </cell>
          <cell r="X43752" t="str">
            <v>Variation UPR - gross</v>
          </cell>
          <cell r="Y43752" t="str">
            <v>COLOMBIA</v>
          </cell>
        </row>
        <row r="43753">
          <cell r="L43753" t="str">
            <v>Non-proportional</v>
          </cell>
          <cell r="S43753">
            <v>-11124.49</v>
          </cell>
          <cell r="X43753" t="str">
            <v>Variation UPR - gross</v>
          </cell>
          <cell r="Y43753" t="str">
            <v>PERU</v>
          </cell>
        </row>
        <row r="43754">
          <cell r="L43754" t="str">
            <v>Non-proportional</v>
          </cell>
          <cell r="S43754">
            <v>-2460.65</v>
          </cell>
          <cell r="X43754" t="str">
            <v>Variation UPR - gross</v>
          </cell>
          <cell r="Y43754" t="str">
            <v>DOMINICAN REPUBLIC</v>
          </cell>
        </row>
        <row r="43755">
          <cell r="L43755" t="str">
            <v>Non-proportional</v>
          </cell>
          <cell r="S43755">
            <v>-8775.06</v>
          </cell>
          <cell r="X43755" t="str">
            <v>Variation UPR - gross</v>
          </cell>
          <cell r="Y43755" t="str">
            <v>FRANCE</v>
          </cell>
        </row>
        <row r="43756">
          <cell r="L43756" t="str">
            <v>Non-proportional</v>
          </cell>
          <cell r="S43756">
            <v>-2140.83</v>
          </cell>
          <cell r="X43756" t="str">
            <v>Variation UPR - gross</v>
          </cell>
          <cell r="Y43756" t="str">
            <v>INDIA</v>
          </cell>
        </row>
        <row r="43757">
          <cell r="L43757" t="str">
            <v>Non-proportional</v>
          </cell>
          <cell r="S43757">
            <v>-5843.98</v>
          </cell>
          <cell r="X43757" t="str">
            <v>Variation UPR - gross</v>
          </cell>
          <cell r="Y43757" t="str">
            <v>ISRAEL</v>
          </cell>
        </row>
        <row r="43758">
          <cell r="L43758" t="str">
            <v>Non-proportional</v>
          </cell>
          <cell r="S43758">
            <v>-6324.07</v>
          </cell>
          <cell r="X43758" t="str">
            <v>Variation UPR - gross</v>
          </cell>
          <cell r="Y43758" t="str">
            <v>THAILAND</v>
          </cell>
        </row>
        <row r="43759">
          <cell r="L43759" t="str">
            <v>Non-proportional</v>
          </cell>
          <cell r="S43759">
            <v>-2051.85</v>
          </cell>
          <cell r="X43759" t="str">
            <v>Variation UPR - gross</v>
          </cell>
          <cell r="Y43759" t="str">
            <v>DOMINICAN REPUBLIC</v>
          </cell>
        </row>
        <row r="43760">
          <cell r="L43760" t="str">
            <v>Non-proportional</v>
          </cell>
          <cell r="S43760">
            <v>-138300.32999999999</v>
          </cell>
          <cell r="X43760" t="str">
            <v>Variation UPR - gross</v>
          </cell>
          <cell r="Y43760" t="str">
            <v>PORTUGAL</v>
          </cell>
        </row>
        <row r="43761">
          <cell r="L43761" t="str">
            <v>Non-proportional</v>
          </cell>
          <cell r="S43761">
            <v>210.55</v>
          </cell>
          <cell r="X43761" t="str">
            <v>Variation UPR - gross</v>
          </cell>
          <cell r="Y43761" t="str">
            <v>NEW ZEALAND</v>
          </cell>
        </row>
        <row r="43762">
          <cell r="L43762" t="str">
            <v>Proportional</v>
          </cell>
          <cell r="S43762">
            <v>-3131.87</v>
          </cell>
          <cell r="X43762" t="str">
            <v>Variation UPR - gross</v>
          </cell>
          <cell r="Y43762" t="str">
            <v>CHILE</v>
          </cell>
        </row>
        <row r="43763">
          <cell r="L43763" t="str">
            <v>Proportional</v>
          </cell>
          <cell r="S43763">
            <v>1025.8499999999999</v>
          </cell>
          <cell r="X43763" t="str">
            <v>Variation UPR - gross</v>
          </cell>
          <cell r="Y43763" t="str">
            <v>THAILAND</v>
          </cell>
        </row>
        <row r="43764">
          <cell r="L43764" t="str">
            <v>Non-proportional</v>
          </cell>
          <cell r="S43764">
            <v>-612.5</v>
          </cell>
          <cell r="X43764" t="str">
            <v>Variation UPR - gross</v>
          </cell>
          <cell r="Y43764" t="str">
            <v>GREECE</v>
          </cell>
        </row>
        <row r="43765">
          <cell r="L43765" t="str">
            <v>Non-proportional</v>
          </cell>
          <cell r="S43765">
            <v>-5274.49</v>
          </cell>
          <cell r="X43765" t="str">
            <v>Variation UPR - gross</v>
          </cell>
          <cell r="Y43765" t="str">
            <v>CYPRUS</v>
          </cell>
        </row>
        <row r="43766">
          <cell r="L43766" t="str">
            <v>Non-proportional</v>
          </cell>
          <cell r="S43766">
            <v>-1202.25</v>
          </cell>
          <cell r="X43766" t="str">
            <v>Variation UPR - gross</v>
          </cell>
          <cell r="Y43766" t="str">
            <v>REPUBLIC OF IRELAND</v>
          </cell>
        </row>
        <row r="43767">
          <cell r="L43767" t="str">
            <v>Non-proportional</v>
          </cell>
          <cell r="S43767">
            <v>-24750</v>
          </cell>
          <cell r="X43767" t="str">
            <v>Variation UPR - gross</v>
          </cell>
          <cell r="Y43767" t="str">
            <v>GREECE</v>
          </cell>
        </row>
        <row r="43768">
          <cell r="L43768" t="str">
            <v>Non-proportional</v>
          </cell>
          <cell r="S43768">
            <v>-7503</v>
          </cell>
          <cell r="X43768" t="str">
            <v>Variation UPR - gross</v>
          </cell>
          <cell r="Y43768" t="str">
            <v>CYPRUS</v>
          </cell>
        </row>
        <row r="43769">
          <cell r="L43769" t="str">
            <v>Non-proportional</v>
          </cell>
          <cell r="S43769">
            <v>-4509.75</v>
          </cell>
          <cell r="X43769" t="str">
            <v>Variation UPR - gross</v>
          </cell>
          <cell r="Y43769" t="str">
            <v>FRANCE</v>
          </cell>
        </row>
        <row r="43770">
          <cell r="L43770" t="str">
            <v>Non-proportional</v>
          </cell>
          <cell r="S43770">
            <v>-4839.83</v>
          </cell>
          <cell r="X43770" t="str">
            <v>Variation UPR - gross</v>
          </cell>
          <cell r="Y43770" t="str">
            <v>UNITED KINGDOM</v>
          </cell>
        </row>
        <row r="43771">
          <cell r="L43771" t="str">
            <v>Non-proportional</v>
          </cell>
          <cell r="S43771">
            <v>-1020.03</v>
          </cell>
          <cell r="X43771" t="str">
            <v>Variation UPR - gross</v>
          </cell>
          <cell r="Y43771" t="str">
            <v>JAPAN</v>
          </cell>
        </row>
        <row r="43772">
          <cell r="L43772" t="str">
            <v>Non-proportional</v>
          </cell>
          <cell r="S43772">
            <v>-13073.04</v>
          </cell>
          <cell r="X43772" t="str">
            <v>Variation UPR - gross</v>
          </cell>
          <cell r="Y43772" t="str">
            <v>FRANCE</v>
          </cell>
        </row>
        <row r="43773">
          <cell r="L43773" t="str">
            <v>Non-proportional</v>
          </cell>
          <cell r="S43773">
            <v>88.81</v>
          </cell>
          <cell r="X43773" t="str">
            <v>Variation UPR - gross</v>
          </cell>
          <cell r="Y43773" t="str">
            <v>AUSTRALIA</v>
          </cell>
        </row>
        <row r="43774">
          <cell r="L43774" t="str">
            <v>Non-proportional</v>
          </cell>
          <cell r="S43774">
            <v>-361351.67999999999</v>
          </cell>
          <cell r="X43774" t="str">
            <v>Variation UPR - gross</v>
          </cell>
          <cell r="Y43774" t="str">
            <v>UNITED KINGDOM</v>
          </cell>
        </row>
        <row r="43775">
          <cell r="L43775" t="str">
            <v>Non-proportional</v>
          </cell>
          <cell r="S43775">
            <v>-2041.67</v>
          </cell>
          <cell r="X43775" t="str">
            <v>Variation UPR - gross</v>
          </cell>
          <cell r="Y43775" t="str">
            <v>ITALY</v>
          </cell>
        </row>
        <row r="43776">
          <cell r="L43776" t="str">
            <v>Non-proportional</v>
          </cell>
          <cell r="S43776">
            <v>-6629.2</v>
          </cell>
          <cell r="X43776" t="str">
            <v>Variation UPR - gross</v>
          </cell>
          <cell r="Y43776" t="str">
            <v>MEXICO</v>
          </cell>
        </row>
        <row r="43777">
          <cell r="L43777" t="str">
            <v>Non-proportional</v>
          </cell>
          <cell r="S43777">
            <v>-3900.8</v>
          </cell>
          <cell r="X43777" t="str">
            <v>Variation UPR - gross</v>
          </cell>
          <cell r="Y43777" t="str">
            <v>EUROPE</v>
          </cell>
        </row>
        <row r="43778">
          <cell r="L43778" t="str">
            <v>Non-proportional</v>
          </cell>
          <cell r="S43778">
            <v>5.54</v>
          </cell>
          <cell r="X43778" t="str">
            <v>Variation UPR - gross</v>
          </cell>
          <cell r="Y43778" t="str">
            <v>GUATEMALA</v>
          </cell>
        </row>
        <row r="43779">
          <cell r="L43779" t="str">
            <v>Non-proportional</v>
          </cell>
          <cell r="S43779">
            <v>-420.38</v>
          </cell>
          <cell r="X43779" t="str">
            <v>Variation UPR - gross</v>
          </cell>
          <cell r="Y43779" t="str">
            <v>PORTUGAL</v>
          </cell>
        </row>
        <row r="43780">
          <cell r="L43780" t="str">
            <v>Non-proportional</v>
          </cell>
          <cell r="S43780">
            <v>-4249.74</v>
          </cell>
          <cell r="X43780" t="str">
            <v>Variation UPR - gross</v>
          </cell>
          <cell r="Y43780" t="str">
            <v>COLOMBIA</v>
          </cell>
        </row>
        <row r="43781">
          <cell r="L43781" t="str">
            <v>Non-proportional</v>
          </cell>
          <cell r="S43781">
            <v>-35.369999999999997</v>
          </cell>
          <cell r="X43781" t="str">
            <v>Variation UPR - gross</v>
          </cell>
          <cell r="Y43781" t="str">
            <v>ISRAEL</v>
          </cell>
        </row>
        <row r="43782">
          <cell r="L43782" t="str">
            <v>Non-proportional</v>
          </cell>
          <cell r="S43782">
            <v>-73249.48</v>
          </cell>
          <cell r="X43782" t="str">
            <v>Variation UPR - gross</v>
          </cell>
          <cell r="Y43782" t="str">
            <v>UNITED KINGDOM</v>
          </cell>
        </row>
        <row r="43783">
          <cell r="L43783" t="str">
            <v>Non-proportional</v>
          </cell>
          <cell r="S43783">
            <v>-6658.89</v>
          </cell>
          <cell r="X43783" t="str">
            <v>Variation UPR - gross</v>
          </cell>
          <cell r="Y43783" t="str">
            <v>CYPRUS</v>
          </cell>
        </row>
        <row r="43784">
          <cell r="L43784" t="str">
            <v>Non-proportional</v>
          </cell>
          <cell r="S43784">
            <v>58.22</v>
          </cell>
          <cell r="X43784" t="str">
            <v>Variation UPR - gross</v>
          </cell>
          <cell r="Y43784" t="str">
            <v>AUSTRALIA</v>
          </cell>
        </row>
        <row r="43785">
          <cell r="L43785" t="str">
            <v>Non-proportional</v>
          </cell>
          <cell r="S43785">
            <v>-9697.43</v>
          </cell>
          <cell r="X43785" t="str">
            <v>Variation UPR - gross</v>
          </cell>
          <cell r="Y43785" t="str">
            <v>ISRAEL</v>
          </cell>
        </row>
        <row r="43786">
          <cell r="L43786" t="str">
            <v>Non-proportional</v>
          </cell>
          <cell r="S43786">
            <v>-72.83</v>
          </cell>
          <cell r="X43786" t="str">
            <v>Variation UPR - gross</v>
          </cell>
          <cell r="Y43786" t="str">
            <v>CHILE</v>
          </cell>
        </row>
        <row r="43787">
          <cell r="L43787" t="str">
            <v>Non-proportional</v>
          </cell>
          <cell r="S43787">
            <v>-771.5</v>
          </cell>
          <cell r="X43787" t="str">
            <v>Variation UPR - gross</v>
          </cell>
          <cell r="Y43787" t="str">
            <v>GERMANY</v>
          </cell>
        </row>
        <row r="43788">
          <cell r="L43788" t="str">
            <v>Non-proportional</v>
          </cell>
          <cell r="S43788">
            <v>-375.42</v>
          </cell>
          <cell r="X43788" t="str">
            <v>Variation UPR - gross</v>
          </cell>
          <cell r="Y43788" t="str">
            <v>ITALY</v>
          </cell>
        </row>
        <row r="43789">
          <cell r="L43789" t="str">
            <v>Non-proportional</v>
          </cell>
          <cell r="S43789">
            <v>-2257.86</v>
          </cell>
          <cell r="X43789" t="str">
            <v>Variation UPR - gross</v>
          </cell>
          <cell r="Y43789" t="str">
            <v>CHILE</v>
          </cell>
        </row>
        <row r="43790">
          <cell r="L43790" t="str">
            <v>Non-proportional</v>
          </cell>
          <cell r="S43790">
            <v>-2822.6</v>
          </cell>
          <cell r="X43790" t="str">
            <v>Variation UPR - gross</v>
          </cell>
          <cell r="Y43790" t="str">
            <v>JAPAN</v>
          </cell>
        </row>
        <row r="43791">
          <cell r="L43791" t="str">
            <v>Proportional</v>
          </cell>
          <cell r="S43791">
            <v>1299.7</v>
          </cell>
          <cell r="X43791" t="str">
            <v>Variation UPR - gross</v>
          </cell>
          <cell r="Y43791" t="str">
            <v>UNITED STATES</v>
          </cell>
        </row>
        <row r="43792">
          <cell r="L43792" t="str">
            <v>Non-proportional</v>
          </cell>
          <cell r="S43792">
            <v>-10596.12</v>
          </cell>
          <cell r="X43792" t="str">
            <v>Variation UPR - gross</v>
          </cell>
          <cell r="Y43792" t="str">
            <v>FRANCE</v>
          </cell>
        </row>
        <row r="43793">
          <cell r="L43793" t="str">
            <v>Non-proportional</v>
          </cell>
          <cell r="S43793">
            <v>-2476.36</v>
          </cell>
          <cell r="X43793" t="str">
            <v>Variation UPR - gross</v>
          </cell>
          <cell r="Y43793" t="str">
            <v>CHILE</v>
          </cell>
        </row>
        <row r="43794">
          <cell r="L43794" t="str">
            <v>Non-proportional</v>
          </cell>
          <cell r="S43794">
            <v>52.06</v>
          </cell>
          <cell r="X43794" t="str">
            <v>Variation UPR - gross</v>
          </cell>
          <cell r="Y43794" t="str">
            <v>JAPAN</v>
          </cell>
        </row>
        <row r="43795">
          <cell r="L43795" t="str">
            <v>Non-proportional</v>
          </cell>
          <cell r="S43795">
            <v>-2560.58</v>
          </cell>
          <cell r="X43795" t="str">
            <v>Variation UPR - gross</v>
          </cell>
          <cell r="Y43795" t="str">
            <v>ECUADOR</v>
          </cell>
        </row>
        <row r="43796">
          <cell r="L43796" t="str">
            <v>Non-proportional</v>
          </cell>
          <cell r="S43796">
            <v>83.56</v>
          </cell>
          <cell r="X43796" t="str">
            <v>Variation UPR - gross</v>
          </cell>
          <cell r="Y43796" t="str">
            <v>BRAZIL</v>
          </cell>
        </row>
        <row r="43797">
          <cell r="L43797" t="str">
            <v>Proportional</v>
          </cell>
          <cell r="S43797">
            <v>-2356.4699999999998</v>
          </cell>
          <cell r="X43797" t="str">
            <v>Variation UPR - gross</v>
          </cell>
          <cell r="Y43797" t="str">
            <v>REPUBLIC OF IRELAND</v>
          </cell>
        </row>
        <row r="43798">
          <cell r="L43798" t="str">
            <v>Non-proportional</v>
          </cell>
          <cell r="S43798">
            <v>-2840.84</v>
          </cell>
          <cell r="X43798" t="str">
            <v>Variation UPR - gross</v>
          </cell>
          <cell r="Y43798" t="str">
            <v>EUROPE</v>
          </cell>
        </row>
        <row r="43799">
          <cell r="L43799" t="str">
            <v>Non-proportional</v>
          </cell>
          <cell r="S43799">
            <v>-35.69</v>
          </cell>
          <cell r="X43799" t="str">
            <v>Variation UPR - gross</v>
          </cell>
          <cell r="Y43799" t="str">
            <v>ISRAEL</v>
          </cell>
        </row>
        <row r="43800">
          <cell r="L43800" t="str">
            <v>Non-proportional</v>
          </cell>
          <cell r="S43800">
            <v>-72.83</v>
          </cell>
          <cell r="X43800" t="str">
            <v>Variation UPR - gross</v>
          </cell>
          <cell r="Y43800" t="str">
            <v>CHILE</v>
          </cell>
        </row>
        <row r="43801">
          <cell r="L43801" t="str">
            <v>Non-proportional</v>
          </cell>
          <cell r="S43801">
            <v>15791.21</v>
          </cell>
          <cell r="X43801" t="str">
            <v>Variation UPR - gross</v>
          </cell>
          <cell r="Y43801" t="str">
            <v>UNITED KINGDOM</v>
          </cell>
        </row>
        <row r="43802">
          <cell r="L43802" t="str">
            <v>Non-proportional</v>
          </cell>
          <cell r="S43802">
            <v>-1172.3</v>
          </cell>
          <cell r="X43802" t="str">
            <v>Variation UPR - gross</v>
          </cell>
          <cell r="Y43802" t="str">
            <v>FRANCE</v>
          </cell>
        </row>
        <row r="43803">
          <cell r="L43803" t="str">
            <v>Non-proportional</v>
          </cell>
          <cell r="S43803">
            <v>-40799.89</v>
          </cell>
          <cell r="X43803" t="str">
            <v>Variation UPR - gross</v>
          </cell>
          <cell r="Y43803" t="str">
            <v>TURKEY</v>
          </cell>
        </row>
        <row r="43804">
          <cell r="L43804" t="str">
            <v>Proportional</v>
          </cell>
          <cell r="S43804">
            <v>-18912.11</v>
          </cell>
          <cell r="X43804" t="str">
            <v>Variation UPR - gross</v>
          </cell>
          <cell r="Y43804" t="str">
            <v>UNITED KINGDOM</v>
          </cell>
        </row>
        <row r="43805">
          <cell r="L43805" t="str">
            <v>Non-proportional</v>
          </cell>
          <cell r="S43805">
            <v>-1722.2</v>
          </cell>
          <cell r="X43805" t="str">
            <v>Variation UPR - gross</v>
          </cell>
          <cell r="Y43805" t="str">
            <v>JAPAN</v>
          </cell>
        </row>
        <row r="43806">
          <cell r="L43806" t="str">
            <v>Non-proportional</v>
          </cell>
          <cell r="S43806">
            <v>-13934.57</v>
          </cell>
          <cell r="X43806" t="str">
            <v>Variation UPR - gross</v>
          </cell>
          <cell r="Y43806" t="str">
            <v>ISRAEL</v>
          </cell>
        </row>
        <row r="43807">
          <cell r="L43807" t="str">
            <v>Non-proportional</v>
          </cell>
          <cell r="S43807">
            <v>-9053.2099999999991</v>
          </cell>
          <cell r="X43807" t="str">
            <v>Variation UPR - gross</v>
          </cell>
          <cell r="Y43807" t="str">
            <v>ITALY</v>
          </cell>
        </row>
        <row r="43808">
          <cell r="L43808" t="str">
            <v>Proportional</v>
          </cell>
          <cell r="S43808">
            <v>-129053.46</v>
          </cell>
          <cell r="X43808" t="str">
            <v>Variation UPR - gross</v>
          </cell>
          <cell r="Y43808" t="str">
            <v>HONG KONG</v>
          </cell>
        </row>
        <row r="43809">
          <cell r="L43809" t="str">
            <v>Proportional</v>
          </cell>
          <cell r="S43809">
            <v>36.42</v>
          </cell>
          <cell r="X43809" t="str">
            <v>Variation UPR - gross</v>
          </cell>
          <cell r="Y43809" t="str">
            <v>CHILE</v>
          </cell>
        </row>
        <row r="43810">
          <cell r="L43810" t="str">
            <v>Non-proportional</v>
          </cell>
          <cell r="S43810">
            <v>-66.349999999999994</v>
          </cell>
          <cell r="X43810" t="str">
            <v>Variation UPR - gross</v>
          </cell>
          <cell r="Y43810" t="str">
            <v>ISRAEL</v>
          </cell>
        </row>
        <row r="43811">
          <cell r="L43811" t="str">
            <v>Non-proportional</v>
          </cell>
          <cell r="S43811">
            <v>-333110.08</v>
          </cell>
          <cell r="X43811" t="str">
            <v>Variation UPR - gross</v>
          </cell>
          <cell r="Y43811" t="str">
            <v>UNITED KINGDOM</v>
          </cell>
        </row>
        <row r="43812">
          <cell r="L43812" t="str">
            <v>Non-proportional</v>
          </cell>
          <cell r="S43812">
            <v>119.17</v>
          </cell>
          <cell r="X43812" t="str">
            <v>Variation UPR - gross</v>
          </cell>
          <cell r="Y43812" t="str">
            <v>DOMINICAN REPUBLIC</v>
          </cell>
        </row>
        <row r="43813">
          <cell r="L43813" t="str">
            <v>Non-proportional</v>
          </cell>
          <cell r="S43813">
            <v>-8279.58</v>
          </cell>
          <cell r="X43813" t="str">
            <v>Variation UPR - gross</v>
          </cell>
          <cell r="Y43813" t="str">
            <v>AUSTRALIA</v>
          </cell>
        </row>
        <row r="43814">
          <cell r="L43814" t="str">
            <v>Non-proportional</v>
          </cell>
          <cell r="S43814">
            <v>-908.41</v>
          </cell>
          <cell r="X43814" t="str">
            <v>Variation UPR - gross</v>
          </cell>
          <cell r="Y43814" t="str">
            <v>ECUADOR</v>
          </cell>
        </row>
        <row r="43815">
          <cell r="L43815" t="str">
            <v>Non-proportional</v>
          </cell>
          <cell r="S43815">
            <v>-12659.61</v>
          </cell>
          <cell r="X43815" t="str">
            <v>Variation UPR - gross</v>
          </cell>
          <cell r="Y43815" t="str">
            <v>ITALY</v>
          </cell>
        </row>
        <row r="43816">
          <cell r="L43816" t="str">
            <v>Non-proportional</v>
          </cell>
          <cell r="S43816">
            <v>-4436.75</v>
          </cell>
          <cell r="X43816" t="str">
            <v>Variation UPR - gross</v>
          </cell>
          <cell r="Y43816" t="str">
            <v>UNITED KINGDOM</v>
          </cell>
        </row>
        <row r="43817">
          <cell r="L43817" t="str">
            <v>Non-proportional</v>
          </cell>
          <cell r="S43817">
            <v>-5554.8</v>
          </cell>
          <cell r="X43817" t="str">
            <v>Variation UPR - gross</v>
          </cell>
          <cell r="Y43817" t="str">
            <v>ISRAEL</v>
          </cell>
        </row>
        <row r="43818">
          <cell r="L43818" t="str">
            <v>Non-proportional</v>
          </cell>
          <cell r="S43818">
            <v>-2961.06</v>
          </cell>
          <cell r="X43818" t="str">
            <v>Variation UPR - gross</v>
          </cell>
          <cell r="Y43818" t="str">
            <v>ISRAEL</v>
          </cell>
        </row>
        <row r="43819">
          <cell r="L43819" t="str">
            <v>Non-proportional</v>
          </cell>
          <cell r="S43819">
            <v>-1942.43</v>
          </cell>
          <cell r="X43819" t="str">
            <v>Variation UPR - gross</v>
          </cell>
          <cell r="Y43819" t="str">
            <v>ISRAEL</v>
          </cell>
        </row>
        <row r="43820">
          <cell r="L43820" t="str">
            <v>Non-proportional</v>
          </cell>
          <cell r="S43820">
            <v>-225.3</v>
          </cell>
          <cell r="X43820" t="str">
            <v>Variation UPR - gross</v>
          </cell>
          <cell r="Y43820" t="str">
            <v>INDIA</v>
          </cell>
        </row>
        <row r="43821">
          <cell r="L43821" t="str">
            <v>Non-proportional</v>
          </cell>
          <cell r="S43821">
            <v>-5182.8</v>
          </cell>
          <cell r="X43821" t="str">
            <v>Variation UPR - gross</v>
          </cell>
          <cell r="Y43821" t="str">
            <v>BELIZE</v>
          </cell>
        </row>
        <row r="43822">
          <cell r="L43822" t="str">
            <v>Proportional</v>
          </cell>
          <cell r="S43822">
            <v>-1675.69</v>
          </cell>
          <cell r="X43822" t="str">
            <v>Variation UPR - gross</v>
          </cell>
          <cell r="Y43822" t="str">
            <v>UNITED STATES</v>
          </cell>
        </row>
        <row r="43823">
          <cell r="L43823" t="str">
            <v>Non-proportional</v>
          </cell>
          <cell r="S43823">
            <v>360.84</v>
          </cell>
          <cell r="X43823" t="str">
            <v>Variation UPR - gross</v>
          </cell>
          <cell r="Y43823" t="str">
            <v>NEW ZEALAND</v>
          </cell>
        </row>
        <row r="43824">
          <cell r="L43824" t="str">
            <v>Non-proportional</v>
          </cell>
          <cell r="S43824">
            <v>-2141.5300000000002</v>
          </cell>
          <cell r="X43824" t="str">
            <v>Variation UPR - gross</v>
          </cell>
          <cell r="Y43824" t="str">
            <v>DOMINICAN REPUBLIC</v>
          </cell>
        </row>
        <row r="43825">
          <cell r="L43825" t="str">
            <v>Non-proportional</v>
          </cell>
          <cell r="S43825">
            <v>-2985.98</v>
          </cell>
          <cell r="X43825" t="str">
            <v>Variation UPR - gross</v>
          </cell>
          <cell r="Y43825" t="str">
            <v>ISRAEL</v>
          </cell>
        </row>
        <row r="43826">
          <cell r="L43826" t="str">
            <v>Non-proportional</v>
          </cell>
          <cell r="S43826">
            <v>-3749.94</v>
          </cell>
          <cell r="X43826" t="str">
            <v>Variation UPR - gross</v>
          </cell>
          <cell r="Y43826" t="str">
            <v>EUROPE</v>
          </cell>
        </row>
        <row r="43827">
          <cell r="L43827" t="str">
            <v>Non-proportional</v>
          </cell>
          <cell r="S43827">
            <v>-9504.86</v>
          </cell>
          <cell r="X43827" t="str">
            <v>Variation UPR - gross</v>
          </cell>
          <cell r="Y43827" t="str">
            <v>CHILE</v>
          </cell>
        </row>
        <row r="43828">
          <cell r="L43828" t="str">
            <v>Non-proportional</v>
          </cell>
          <cell r="S43828">
            <v>-6547.87</v>
          </cell>
          <cell r="X43828" t="str">
            <v>Variation UPR - gross</v>
          </cell>
          <cell r="Y43828" t="str">
            <v>ISRAEL</v>
          </cell>
        </row>
        <row r="43829">
          <cell r="L43829" t="str">
            <v>Proportional</v>
          </cell>
          <cell r="S43829">
            <v>-375000</v>
          </cell>
          <cell r="X43829" t="str">
            <v>Variation UPR - gross</v>
          </cell>
          <cell r="Y43829" t="str">
            <v>PORTUGAL</v>
          </cell>
        </row>
        <row r="43830">
          <cell r="L43830" t="str">
            <v>Non-proportional</v>
          </cell>
          <cell r="S43830">
            <v>-8020.48</v>
          </cell>
          <cell r="X43830" t="str">
            <v>Variation UPR - gross</v>
          </cell>
          <cell r="Y43830" t="str">
            <v>TURKEY</v>
          </cell>
        </row>
        <row r="43831">
          <cell r="L43831" t="str">
            <v>Non-proportional</v>
          </cell>
          <cell r="S43831">
            <v>-132.91999999999999</v>
          </cell>
          <cell r="X43831" t="str">
            <v>Variation UPR - gross</v>
          </cell>
          <cell r="Y43831" t="str">
            <v>ITALY</v>
          </cell>
        </row>
        <row r="43832">
          <cell r="L43832" t="str">
            <v>Non-proportional</v>
          </cell>
          <cell r="S43832">
            <v>-19277.95</v>
          </cell>
          <cell r="X43832" t="str">
            <v>Variation UPR - gross</v>
          </cell>
          <cell r="Y43832" t="str">
            <v>UNITED KINGDOM</v>
          </cell>
        </row>
        <row r="43833">
          <cell r="L43833" t="str">
            <v>Non-proportional</v>
          </cell>
          <cell r="S43833">
            <v>-7897.5</v>
          </cell>
          <cell r="X43833" t="str">
            <v>Variation UPR - gross</v>
          </cell>
          <cell r="Y43833" t="str">
            <v>ITALY</v>
          </cell>
        </row>
        <row r="43834">
          <cell r="L43834" t="str">
            <v>Non-proportional</v>
          </cell>
          <cell r="S43834">
            <v>-8067.19</v>
          </cell>
          <cell r="X43834" t="str">
            <v>Variation UPR - gross</v>
          </cell>
          <cell r="Y43834" t="str">
            <v>INDIA</v>
          </cell>
        </row>
        <row r="43835">
          <cell r="L43835" t="str">
            <v>Non-proportional</v>
          </cell>
          <cell r="S43835">
            <v>-1131.24</v>
          </cell>
          <cell r="X43835" t="str">
            <v>Variation UPR - gross</v>
          </cell>
          <cell r="Y43835" t="str">
            <v>CYPRUS</v>
          </cell>
        </row>
        <row r="43836">
          <cell r="L43836" t="str">
            <v>Non-proportional</v>
          </cell>
          <cell r="S43836">
            <v>-590.14</v>
          </cell>
          <cell r="X43836" t="str">
            <v>Variation UPR - gross</v>
          </cell>
          <cell r="Y43836" t="str">
            <v>MEXICO</v>
          </cell>
        </row>
        <row r="43837">
          <cell r="L43837" t="str">
            <v>Non-proportional</v>
          </cell>
          <cell r="S43837">
            <v>-12001.33</v>
          </cell>
          <cell r="X43837" t="str">
            <v>Variation UPR - gross</v>
          </cell>
          <cell r="Y43837" t="str">
            <v>ITALY</v>
          </cell>
        </row>
        <row r="43838">
          <cell r="L43838" t="str">
            <v>Proportional</v>
          </cell>
          <cell r="S43838">
            <v>-256829.23</v>
          </cell>
          <cell r="X43838" t="str">
            <v>Variation UPR - gross</v>
          </cell>
          <cell r="Y43838" t="str">
            <v>CANADA</v>
          </cell>
        </row>
        <row r="43839">
          <cell r="L43839" t="str">
            <v>Non-proportional</v>
          </cell>
          <cell r="S43839">
            <v>-975</v>
          </cell>
          <cell r="X43839" t="str">
            <v>Variation UPR - gross</v>
          </cell>
          <cell r="Y43839" t="str">
            <v>GREECE</v>
          </cell>
        </row>
        <row r="43840">
          <cell r="L43840" t="str">
            <v>Non-proportional</v>
          </cell>
          <cell r="S43840">
            <v>-4697.8100000000004</v>
          </cell>
          <cell r="X43840" t="str">
            <v>Variation UPR - gross</v>
          </cell>
          <cell r="Y43840" t="str">
            <v>CHILE</v>
          </cell>
        </row>
        <row r="43841">
          <cell r="L43841" t="str">
            <v>Proportional</v>
          </cell>
          <cell r="S43841">
            <v>-151.85</v>
          </cell>
          <cell r="X43841" t="str">
            <v>Variation UPR - gross</v>
          </cell>
          <cell r="Y43841" t="str">
            <v>UNITED STATES</v>
          </cell>
        </row>
        <row r="43842">
          <cell r="L43842" t="str">
            <v>Non-proportional</v>
          </cell>
          <cell r="S43842">
            <v>-0.09</v>
          </cell>
          <cell r="X43842" t="str">
            <v>Variation UPR - gross</v>
          </cell>
          <cell r="Y43842" t="str">
            <v>COLOMBIA</v>
          </cell>
        </row>
        <row r="43843">
          <cell r="L43843" t="str">
            <v>Non-proportional</v>
          </cell>
          <cell r="S43843">
            <v>-2982.21</v>
          </cell>
          <cell r="X43843" t="str">
            <v>Variation UPR - gross</v>
          </cell>
          <cell r="Y43843" t="str">
            <v>ECUADOR</v>
          </cell>
        </row>
        <row r="43844">
          <cell r="L43844" t="str">
            <v>Non-proportional</v>
          </cell>
          <cell r="S43844">
            <v>-145.66999999999999</v>
          </cell>
          <cell r="X43844" t="str">
            <v>Variation UPR - gross</v>
          </cell>
          <cell r="Y43844" t="str">
            <v>CHILE</v>
          </cell>
        </row>
        <row r="43845">
          <cell r="L43845" t="str">
            <v>Non-proportional</v>
          </cell>
          <cell r="S43845">
            <v>-843.75</v>
          </cell>
          <cell r="X43845" t="str">
            <v>Variation UPR - gross</v>
          </cell>
          <cell r="Y43845" t="str">
            <v>GREECE</v>
          </cell>
        </row>
        <row r="43846">
          <cell r="L43846" t="str">
            <v>Non-proportional</v>
          </cell>
          <cell r="S43846">
            <v>-4291.3</v>
          </cell>
          <cell r="X43846" t="str">
            <v>Variation UPR - gross</v>
          </cell>
          <cell r="Y43846" t="str">
            <v>UNITED KINGDOM</v>
          </cell>
        </row>
        <row r="43847">
          <cell r="L43847" t="str">
            <v>Non-proportional</v>
          </cell>
          <cell r="S43847">
            <v>-2187.56</v>
          </cell>
          <cell r="X43847" t="str">
            <v>Variation UPR - gross</v>
          </cell>
          <cell r="Y43847" t="str">
            <v>SPAIN</v>
          </cell>
        </row>
        <row r="43848">
          <cell r="L43848" t="str">
            <v>Non-proportional</v>
          </cell>
          <cell r="S43848">
            <v>-1187.54</v>
          </cell>
          <cell r="X43848" t="str">
            <v>Variation UPR - gross</v>
          </cell>
          <cell r="Y43848" t="str">
            <v>PERU</v>
          </cell>
        </row>
        <row r="43849">
          <cell r="L43849" t="str">
            <v>Non-proportional</v>
          </cell>
          <cell r="S43849">
            <v>-2442.4499999999998</v>
          </cell>
          <cell r="X43849" t="str">
            <v>Variation UPR - gross</v>
          </cell>
          <cell r="Y43849" t="str">
            <v>CYPRUS</v>
          </cell>
        </row>
        <row r="43850">
          <cell r="L43850" t="str">
            <v>Non-proportional</v>
          </cell>
          <cell r="S43850">
            <v>-11603.14</v>
          </cell>
          <cell r="X43850" t="str">
            <v>Variation UPR - gross</v>
          </cell>
          <cell r="Y43850" t="str">
            <v>MEXICO</v>
          </cell>
        </row>
        <row r="43851">
          <cell r="L43851" t="str">
            <v>Non-proportional</v>
          </cell>
          <cell r="S43851">
            <v>-3592.42</v>
          </cell>
          <cell r="X43851" t="str">
            <v>Variation UPR - gross</v>
          </cell>
          <cell r="Y43851" t="str">
            <v>FRANCE</v>
          </cell>
        </row>
        <row r="43852">
          <cell r="L43852" t="str">
            <v>Proportional</v>
          </cell>
          <cell r="S43852">
            <v>-478.74</v>
          </cell>
          <cell r="X43852" t="str">
            <v>Variation UPR - gross</v>
          </cell>
          <cell r="Y43852" t="str">
            <v>UNITED STATES</v>
          </cell>
        </row>
        <row r="43853">
          <cell r="L43853" t="str">
            <v>Non-proportional</v>
          </cell>
          <cell r="S43853">
            <v>-6957.83</v>
          </cell>
          <cell r="X43853" t="str">
            <v>Variation UPR - gross</v>
          </cell>
          <cell r="Y43853" t="str">
            <v>ITALY</v>
          </cell>
        </row>
        <row r="43854">
          <cell r="L43854" t="str">
            <v>Proportional</v>
          </cell>
          <cell r="S43854">
            <v>-57750</v>
          </cell>
          <cell r="X43854" t="str">
            <v>Variation UPR - gross</v>
          </cell>
          <cell r="Y43854" t="str">
            <v>ITALY</v>
          </cell>
        </row>
        <row r="43855">
          <cell r="L43855" t="str">
            <v>Non-proportional</v>
          </cell>
          <cell r="S43855">
            <v>-4619.13</v>
          </cell>
          <cell r="X43855" t="str">
            <v>Variation UPR - gross</v>
          </cell>
          <cell r="Y43855" t="str">
            <v>BELIZE</v>
          </cell>
        </row>
        <row r="43856">
          <cell r="L43856" t="str">
            <v>Proportional</v>
          </cell>
          <cell r="S43856">
            <v>-2178077.6800000002</v>
          </cell>
          <cell r="X43856" t="str">
            <v>Variation UPR - gross</v>
          </cell>
          <cell r="Y43856" t="str">
            <v>HONG KONG</v>
          </cell>
        </row>
        <row r="43857">
          <cell r="L43857" t="str">
            <v>Non-proportional</v>
          </cell>
          <cell r="S43857">
            <v>55.66</v>
          </cell>
          <cell r="X43857" t="str">
            <v>Variation UPR - gross</v>
          </cell>
          <cell r="Y43857" t="str">
            <v>JAPAN</v>
          </cell>
        </row>
        <row r="43858">
          <cell r="L43858" t="str">
            <v>Non-proportional</v>
          </cell>
          <cell r="S43858">
            <v>-2625.56</v>
          </cell>
          <cell r="X43858" t="str">
            <v>Variation UPR - gross</v>
          </cell>
          <cell r="Y43858" t="str">
            <v>DOMINICAN REPUBLIC</v>
          </cell>
        </row>
        <row r="43859">
          <cell r="L43859" t="str">
            <v>Non-proportional</v>
          </cell>
          <cell r="S43859">
            <v>-10851.43</v>
          </cell>
          <cell r="X43859" t="str">
            <v>Variation UPR - gross</v>
          </cell>
          <cell r="Y43859" t="str">
            <v>COLOMBIA</v>
          </cell>
        </row>
        <row r="43860">
          <cell r="L43860" t="str">
            <v>Non-proportional</v>
          </cell>
          <cell r="S43860">
            <v>-685.25</v>
          </cell>
          <cell r="X43860" t="str">
            <v>Variation UPR - gross</v>
          </cell>
          <cell r="Y43860" t="str">
            <v>JAPAN</v>
          </cell>
        </row>
        <row r="43861">
          <cell r="L43861" t="str">
            <v>Proportional</v>
          </cell>
          <cell r="S43861">
            <v>-18894.75</v>
          </cell>
          <cell r="X43861" t="str">
            <v>Variation UPR - gross</v>
          </cell>
          <cell r="Y43861" t="str">
            <v>ITALY</v>
          </cell>
        </row>
        <row r="43862">
          <cell r="L43862" t="str">
            <v>Non-proportional</v>
          </cell>
          <cell r="S43862">
            <v>-350018.84</v>
          </cell>
          <cell r="X43862" t="str">
            <v>Variation UPR - gross</v>
          </cell>
          <cell r="Y43862" t="str">
            <v>EUROPE</v>
          </cell>
        </row>
        <row r="43863">
          <cell r="L43863" t="str">
            <v>Non-proportional</v>
          </cell>
          <cell r="S43863">
            <v>89.37</v>
          </cell>
          <cell r="X43863" t="str">
            <v>Variation UPR - gross</v>
          </cell>
          <cell r="Y43863" t="str">
            <v>JAPAN</v>
          </cell>
        </row>
        <row r="43864">
          <cell r="L43864" t="str">
            <v>Non-proportional</v>
          </cell>
          <cell r="S43864">
            <v>13.18</v>
          </cell>
          <cell r="X43864" t="str">
            <v>Variation UPR - gross</v>
          </cell>
          <cell r="Y43864" t="str">
            <v>CHINA</v>
          </cell>
        </row>
        <row r="43865">
          <cell r="L43865" t="str">
            <v>Non-proportional</v>
          </cell>
          <cell r="S43865">
            <v>-0.01</v>
          </cell>
          <cell r="X43865" t="str">
            <v>Variation UPR - gross</v>
          </cell>
          <cell r="Y43865" t="str">
            <v>DOMINICAN REPUBLIC</v>
          </cell>
        </row>
        <row r="43866">
          <cell r="L43866" t="str">
            <v>Non-proportional</v>
          </cell>
          <cell r="S43866">
            <v>-257.31</v>
          </cell>
          <cell r="X43866" t="str">
            <v>Variation UPR - gross</v>
          </cell>
          <cell r="Y43866" t="str">
            <v>NEW ZEALAND</v>
          </cell>
        </row>
        <row r="43867">
          <cell r="L43867" t="str">
            <v>Proportional</v>
          </cell>
          <cell r="S43867">
            <v>-103.16</v>
          </cell>
          <cell r="X43867" t="str">
            <v>Variation UPR - gross</v>
          </cell>
          <cell r="Y43867" t="str">
            <v>THAILAND</v>
          </cell>
        </row>
        <row r="43868">
          <cell r="L43868" t="str">
            <v>Non-proportional</v>
          </cell>
          <cell r="S43868">
            <v>-7218.75</v>
          </cell>
          <cell r="X43868" t="str">
            <v>Variation UPR - gross</v>
          </cell>
          <cell r="Y43868" t="str">
            <v>FRANCE</v>
          </cell>
        </row>
        <row r="43869">
          <cell r="L43869" t="str">
            <v>Proportional</v>
          </cell>
          <cell r="S43869">
            <v>-1694.98</v>
          </cell>
          <cell r="X43869" t="str">
            <v>Variation UPR - gross</v>
          </cell>
          <cell r="Y43869" t="str">
            <v>UNITED STATES</v>
          </cell>
        </row>
        <row r="43870">
          <cell r="L43870" t="str">
            <v>Non-proportional</v>
          </cell>
          <cell r="S43870">
            <v>-27189.94</v>
          </cell>
          <cell r="X43870" t="str">
            <v>Variation UPR - gross</v>
          </cell>
          <cell r="Y43870" t="str">
            <v>AUSTRALIA</v>
          </cell>
        </row>
        <row r="43871">
          <cell r="L43871" t="str">
            <v>Non-proportional</v>
          </cell>
          <cell r="S43871">
            <v>33.5</v>
          </cell>
          <cell r="X43871" t="str">
            <v>Variation UPR - gross</v>
          </cell>
          <cell r="Y43871" t="str">
            <v>JAPAN</v>
          </cell>
        </row>
        <row r="43872">
          <cell r="L43872" t="str">
            <v>Non-proportional</v>
          </cell>
          <cell r="S43872">
            <v>-9832.7800000000007</v>
          </cell>
          <cell r="X43872" t="str">
            <v>Variation UPR - gross</v>
          </cell>
          <cell r="Y43872" t="str">
            <v>FRANCE</v>
          </cell>
        </row>
        <row r="43873">
          <cell r="L43873" t="str">
            <v>Non-proportional</v>
          </cell>
          <cell r="S43873">
            <v>5.99</v>
          </cell>
          <cell r="X43873" t="str">
            <v>Variation UPR - gross</v>
          </cell>
          <cell r="Y43873" t="str">
            <v>JAPAN</v>
          </cell>
        </row>
        <row r="43874">
          <cell r="L43874" t="str">
            <v>Non-proportional</v>
          </cell>
          <cell r="S43874">
            <v>-145.66999999999999</v>
          </cell>
          <cell r="X43874" t="str">
            <v>Variation UPR - gross</v>
          </cell>
          <cell r="Y43874" t="str">
            <v>CHILE</v>
          </cell>
        </row>
        <row r="43875">
          <cell r="L43875" t="str">
            <v>Non-proportional</v>
          </cell>
          <cell r="S43875">
            <v>254.2</v>
          </cell>
          <cell r="X43875" t="str">
            <v>Variation UPR - gross</v>
          </cell>
          <cell r="Y43875" t="str">
            <v>NEW ZEALAND</v>
          </cell>
        </row>
        <row r="43876">
          <cell r="L43876" t="str">
            <v>Non-proportional</v>
          </cell>
          <cell r="S43876">
            <v>146.19999999999999</v>
          </cell>
          <cell r="X43876" t="str">
            <v>Variation UPR - gross</v>
          </cell>
          <cell r="Y43876" t="str">
            <v>NEW ZEALAND</v>
          </cell>
        </row>
        <row r="43877">
          <cell r="L43877" t="str">
            <v>Non-proportional</v>
          </cell>
          <cell r="S43877">
            <v>-5312.78</v>
          </cell>
          <cell r="X43877" t="str">
            <v>Variation UPR - gross</v>
          </cell>
          <cell r="Y43877" t="str">
            <v>NETHERLANDS</v>
          </cell>
        </row>
        <row r="43878">
          <cell r="L43878" t="str">
            <v>Non-proportional</v>
          </cell>
          <cell r="S43878">
            <v>-0.02</v>
          </cell>
          <cell r="X43878" t="str">
            <v>Variation UPR - gross</v>
          </cell>
          <cell r="Y43878" t="str">
            <v>INDIA</v>
          </cell>
        </row>
        <row r="43879">
          <cell r="L43879" t="str">
            <v>Proportional</v>
          </cell>
          <cell r="S43879">
            <v>-1742.61</v>
          </cell>
          <cell r="X43879" t="str">
            <v>Variation UPR - gross</v>
          </cell>
          <cell r="Y43879" t="str">
            <v>THAILAND</v>
          </cell>
        </row>
        <row r="43880">
          <cell r="L43880" t="str">
            <v>Proportional</v>
          </cell>
          <cell r="S43880">
            <v>-258.45999999999998</v>
          </cell>
          <cell r="X43880" t="str">
            <v>Variation UPR - gross</v>
          </cell>
          <cell r="Y43880" t="str">
            <v>UNITED STATES</v>
          </cell>
        </row>
        <row r="43881">
          <cell r="L43881" t="str">
            <v>Proportional</v>
          </cell>
          <cell r="S43881">
            <v>-108683.85</v>
          </cell>
          <cell r="X43881" t="str">
            <v>Variation UPR - gross</v>
          </cell>
          <cell r="Y43881" t="str">
            <v>HONG KONG</v>
          </cell>
        </row>
        <row r="43882">
          <cell r="L43882" t="str">
            <v>Non-proportional</v>
          </cell>
          <cell r="S43882">
            <v>-72.83</v>
          </cell>
          <cell r="X43882" t="str">
            <v>Variation UPR - gross</v>
          </cell>
          <cell r="Y43882" t="str">
            <v>CHILE</v>
          </cell>
        </row>
        <row r="43883">
          <cell r="L43883" t="str">
            <v>Non-proportional</v>
          </cell>
          <cell r="S43883">
            <v>-3143.74</v>
          </cell>
          <cell r="X43883" t="str">
            <v>Variation UPR - gross</v>
          </cell>
          <cell r="Y43883" t="str">
            <v>UNITED KINGDOM</v>
          </cell>
        </row>
        <row r="43884">
          <cell r="L43884" t="str">
            <v>Proportional</v>
          </cell>
          <cell r="S43884">
            <v>-55222.57</v>
          </cell>
          <cell r="X43884" t="str">
            <v>Variation UPR - gross</v>
          </cell>
          <cell r="Y43884" t="str">
            <v>MEXICO</v>
          </cell>
        </row>
        <row r="43885">
          <cell r="L43885" t="str">
            <v>Non-proportional</v>
          </cell>
          <cell r="S43885">
            <v>-255.05</v>
          </cell>
          <cell r="X43885" t="str">
            <v>Variation UPR - gross</v>
          </cell>
          <cell r="Y43885" t="str">
            <v>COLOMBIA</v>
          </cell>
        </row>
        <row r="43886">
          <cell r="L43886" t="str">
            <v>Non-proportional</v>
          </cell>
          <cell r="S43886">
            <v>-7437.5</v>
          </cell>
          <cell r="X43886" t="str">
            <v>Variation UPR - gross</v>
          </cell>
          <cell r="Y43886" t="str">
            <v>ITALY</v>
          </cell>
        </row>
        <row r="43887">
          <cell r="L43887" t="str">
            <v>Non-proportional</v>
          </cell>
          <cell r="S43887">
            <v>-16693.22</v>
          </cell>
          <cell r="X43887" t="str">
            <v>Variation UPR - gross</v>
          </cell>
          <cell r="Y43887" t="str">
            <v>UNITED KINGDOM</v>
          </cell>
        </row>
        <row r="43888">
          <cell r="L43888" t="str">
            <v>Non-proportional</v>
          </cell>
          <cell r="S43888">
            <v>35684.589999999997</v>
          </cell>
          <cell r="X43888" t="str">
            <v>Variation UPR - gross</v>
          </cell>
          <cell r="Y43888" t="str">
            <v>BRAZIL</v>
          </cell>
        </row>
        <row r="43889">
          <cell r="L43889" t="str">
            <v>Non-proportional</v>
          </cell>
          <cell r="S43889">
            <v>-1565.94</v>
          </cell>
          <cell r="X43889" t="str">
            <v>Variation UPR - gross</v>
          </cell>
          <cell r="Y43889" t="str">
            <v>CHILE</v>
          </cell>
        </row>
        <row r="43890">
          <cell r="L43890" t="str">
            <v>Non-proportional</v>
          </cell>
          <cell r="S43890">
            <v>-1208.56</v>
          </cell>
          <cell r="X43890" t="str">
            <v>Variation UPR - gross</v>
          </cell>
          <cell r="Y43890" t="str">
            <v>JAPAN</v>
          </cell>
        </row>
        <row r="43891">
          <cell r="L43891" t="str">
            <v>Non-proportional</v>
          </cell>
          <cell r="S43891">
            <v>-525.97</v>
          </cell>
          <cell r="X43891" t="str">
            <v>Variation UPR - gross</v>
          </cell>
          <cell r="Y43891" t="str">
            <v>JAPAN</v>
          </cell>
        </row>
        <row r="43892">
          <cell r="L43892" t="str">
            <v>Non-proportional</v>
          </cell>
          <cell r="S43892">
            <v>-8825.31</v>
          </cell>
          <cell r="X43892" t="str">
            <v>Variation UPR - gross</v>
          </cell>
          <cell r="Y43892" t="str">
            <v>TURKEY</v>
          </cell>
        </row>
        <row r="43893">
          <cell r="L43893" t="str">
            <v>Proportional</v>
          </cell>
          <cell r="S43893">
            <v>298120.12</v>
          </cell>
          <cell r="X43893" t="str">
            <v>Variation UPR - gross</v>
          </cell>
          <cell r="Y43893" t="str">
            <v>AUSTRALIA</v>
          </cell>
        </row>
        <row r="43894">
          <cell r="L43894" t="str">
            <v>Non-proportional</v>
          </cell>
          <cell r="S43894">
            <v>-3828.13</v>
          </cell>
          <cell r="X43894" t="str">
            <v>Variation UPR - gross</v>
          </cell>
          <cell r="Y43894" t="str">
            <v>ITALY</v>
          </cell>
        </row>
        <row r="43895">
          <cell r="L43895" t="str">
            <v>Non-proportional</v>
          </cell>
          <cell r="S43895">
            <v>-39155.18</v>
          </cell>
          <cell r="X43895" t="str">
            <v>Variation UPR - gross</v>
          </cell>
          <cell r="Y43895" t="str">
            <v>UNITED STATES</v>
          </cell>
        </row>
        <row r="43896">
          <cell r="L43896" t="str">
            <v>Non-proportional</v>
          </cell>
          <cell r="S43896">
            <v>-4598.0200000000004</v>
          </cell>
          <cell r="X43896" t="str">
            <v>Variation UPR - gross</v>
          </cell>
          <cell r="Y43896" t="str">
            <v>NEW ZEALAND</v>
          </cell>
        </row>
        <row r="43897">
          <cell r="L43897" t="str">
            <v>Non-proportional</v>
          </cell>
          <cell r="S43897">
            <v>-2002.94</v>
          </cell>
          <cell r="X43897" t="str">
            <v>Variation UPR - gross</v>
          </cell>
          <cell r="Y43897" t="str">
            <v>CHILE</v>
          </cell>
        </row>
        <row r="43898">
          <cell r="L43898" t="str">
            <v>Non-proportional</v>
          </cell>
          <cell r="S43898">
            <v>-3570.63</v>
          </cell>
          <cell r="X43898" t="str">
            <v>Variation UPR - gross</v>
          </cell>
          <cell r="Y43898" t="str">
            <v>GREECE</v>
          </cell>
        </row>
        <row r="43899">
          <cell r="L43899" t="str">
            <v>Non-proportional</v>
          </cell>
          <cell r="S43899">
            <v>-904.01</v>
          </cell>
          <cell r="X43899" t="str">
            <v>Variation UPR - gross</v>
          </cell>
          <cell r="Y43899" t="str">
            <v>JAPAN</v>
          </cell>
        </row>
        <row r="43900">
          <cell r="L43900" t="str">
            <v>Non-proportional</v>
          </cell>
          <cell r="S43900">
            <v>-109.25</v>
          </cell>
          <cell r="X43900" t="str">
            <v>Variation UPR - gross</v>
          </cell>
          <cell r="Y43900" t="str">
            <v>CHILE</v>
          </cell>
        </row>
        <row r="43901">
          <cell r="L43901" t="str">
            <v>Non-proportional</v>
          </cell>
          <cell r="S43901">
            <v>-72.83</v>
          </cell>
          <cell r="X43901" t="str">
            <v>Variation UPR - gross</v>
          </cell>
          <cell r="Y43901" t="str">
            <v>CHILE</v>
          </cell>
        </row>
        <row r="43902">
          <cell r="L43902" t="str">
            <v>Proportional</v>
          </cell>
          <cell r="S43902">
            <v>4879.8900000000003</v>
          </cell>
          <cell r="X43902" t="str">
            <v>Variation UPR - gross</v>
          </cell>
          <cell r="Y43902" t="str">
            <v>CHILE</v>
          </cell>
        </row>
        <row r="43903">
          <cell r="L43903" t="str">
            <v>Proportional</v>
          </cell>
          <cell r="S43903">
            <v>8812.94</v>
          </cell>
          <cell r="X43903" t="str">
            <v>Variation UPR - gross</v>
          </cell>
          <cell r="Y43903" t="str">
            <v>CHILE</v>
          </cell>
        </row>
        <row r="43904">
          <cell r="L43904" t="str">
            <v>Proportional</v>
          </cell>
          <cell r="S43904">
            <v>-111.39</v>
          </cell>
          <cell r="X43904" t="str">
            <v>Variation UPR - gross</v>
          </cell>
          <cell r="Y43904" t="str">
            <v>THAILAND</v>
          </cell>
        </row>
        <row r="43905">
          <cell r="L43905" t="str">
            <v>Non-proportional</v>
          </cell>
          <cell r="S43905">
            <v>117.12</v>
          </cell>
          <cell r="X43905" t="str">
            <v>Variation UPR - gross</v>
          </cell>
          <cell r="Y43905" t="str">
            <v>INDIA</v>
          </cell>
        </row>
        <row r="43906">
          <cell r="L43906" t="str">
            <v>Non-proportional</v>
          </cell>
          <cell r="S43906">
            <v>-0.05</v>
          </cell>
          <cell r="X43906" t="str">
            <v>Variation UPR - gross</v>
          </cell>
          <cell r="Y43906" t="str">
            <v>THAILAND</v>
          </cell>
        </row>
        <row r="43907">
          <cell r="L43907" t="str">
            <v>Non-proportional</v>
          </cell>
          <cell r="S43907">
            <v>-1332440.3600000001</v>
          </cell>
          <cell r="X43907" t="str">
            <v>Variation UPR - gross</v>
          </cell>
          <cell r="Y43907" t="str">
            <v>UNITED KINGDOM</v>
          </cell>
        </row>
        <row r="43908">
          <cell r="L43908" t="str">
            <v>Non-proportional</v>
          </cell>
          <cell r="S43908">
            <v>-4602.7700000000004</v>
          </cell>
          <cell r="X43908" t="str">
            <v>Variation UPR - gross</v>
          </cell>
          <cell r="Y43908" t="str">
            <v>UNITED KINGDOM</v>
          </cell>
        </row>
        <row r="43909">
          <cell r="L43909" t="str">
            <v>Non-proportional</v>
          </cell>
          <cell r="S43909">
            <v>-10134.56</v>
          </cell>
          <cell r="X43909" t="str">
            <v>Variation UPR - gross</v>
          </cell>
          <cell r="Y43909" t="str">
            <v>UNITED KINGDOM</v>
          </cell>
        </row>
        <row r="43910">
          <cell r="L43910" t="str">
            <v>Proportional</v>
          </cell>
          <cell r="S43910">
            <v>-600.11</v>
          </cell>
          <cell r="X43910" t="str">
            <v>Variation UPR - gross</v>
          </cell>
          <cell r="Y43910" t="str">
            <v>UNITED STATES</v>
          </cell>
        </row>
        <row r="43911">
          <cell r="L43911" t="str">
            <v>Non-proportional</v>
          </cell>
          <cell r="S43911">
            <v>120.43</v>
          </cell>
          <cell r="X43911" t="str">
            <v>Variation UPR - gross</v>
          </cell>
          <cell r="Y43911" t="str">
            <v>AUSTRALIA</v>
          </cell>
        </row>
        <row r="43912">
          <cell r="L43912" t="str">
            <v>Non-proportional</v>
          </cell>
          <cell r="S43912">
            <v>-52907.93</v>
          </cell>
          <cell r="X43912" t="str">
            <v>Variation UPR - gross</v>
          </cell>
          <cell r="Y43912" t="str">
            <v>UNITED KINGDOM</v>
          </cell>
        </row>
        <row r="43913">
          <cell r="L43913" t="str">
            <v>Proportional</v>
          </cell>
          <cell r="S43913">
            <v>-29086.7</v>
          </cell>
          <cell r="X43913" t="str">
            <v>Variation UPR - gross</v>
          </cell>
          <cell r="Y43913" t="str">
            <v>ITALY</v>
          </cell>
        </row>
        <row r="43914">
          <cell r="L43914" t="str">
            <v>Non-proportional</v>
          </cell>
          <cell r="S43914">
            <v>-3022.62</v>
          </cell>
          <cell r="X43914" t="str">
            <v>Variation UPR - gross</v>
          </cell>
          <cell r="Y43914" t="str">
            <v>CHILE</v>
          </cell>
        </row>
        <row r="43915">
          <cell r="L43915" t="str">
            <v>Non-proportional</v>
          </cell>
          <cell r="S43915">
            <v>108.79</v>
          </cell>
          <cell r="X43915" t="str">
            <v>Variation UPR - gross</v>
          </cell>
          <cell r="Y43915" t="str">
            <v>JAPAN</v>
          </cell>
        </row>
        <row r="43916">
          <cell r="L43916" t="str">
            <v>Proportional</v>
          </cell>
          <cell r="S43916">
            <v>-1.02</v>
          </cell>
          <cell r="X43916" t="str">
            <v>Variation UPR - gross</v>
          </cell>
          <cell r="Y43916" t="str">
            <v>UNITED STATES</v>
          </cell>
        </row>
        <row r="43917">
          <cell r="L43917" t="str">
            <v>Non-proportional</v>
          </cell>
          <cell r="S43917">
            <v>-2629.93</v>
          </cell>
          <cell r="X43917" t="str">
            <v>Variation UPR - gross</v>
          </cell>
          <cell r="Y43917" t="str">
            <v>ISRAEL</v>
          </cell>
        </row>
        <row r="43918">
          <cell r="L43918" t="str">
            <v>Non-proportional</v>
          </cell>
          <cell r="S43918">
            <v>-1104.31</v>
          </cell>
          <cell r="X43918" t="str">
            <v>Variation UPR - gross</v>
          </cell>
          <cell r="Y43918" t="str">
            <v>SOUTH AFRICA</v>
          </cell>
        </row>
        <row r="43919">
          <cell r="L43919" t="str">
            <v>Proportional</v>
          </cell>
          <cell r="S43919">
            <v>-588.29</v>
          </cell>
          <cell r="X43919" t="str">
            <v>Variation UPR - gross</v>
          </cell>
          <cell r="Y43919" t="str">
            <v>UNITED STATES</v>
          </cell>
        </row>
        <row r="43920">
          <cell r="L43920" t="str">
            <v>Proportional</v>
          </cell>
          <cell r="S43920">
            <v>3012.66</v>
          </cell>
          <cell r="X43920" t="str">
            <v>Variation UPR - gross</v>
          </cell>
          <cell r="Y43920" t="str">
            <v>INDIA</v>
          </cell>
        </row>
        <row r="43921">
          <cell r="L43921" t="str">
            <v>Non-proportional</v>
          </cell>
          <cell r="S43921">
            <v>-1946.5</v>
          </cell>
          <cell r="X43921" t="str">
            <v>Variation UPR - gross</v>
          </cell>
          <cell r="Y43921" t="str">
            <v>REPUBLIC OF IRELAND</v>
          </cell>
        </row>
        <row r="43922">
          <cell r="L43922" t="str">
            <v>Proportional</v>
          </cell>
          <cell r="S43922">
            <v>-2247390.5699999998</v>
          </cell>
          <cell r="X43922" t="str">
            <v>Variation UPR - gross</v>
          </cell>
          <cell r="Y43922" t="str">
            <v>THAILAND</v>
          </cell>
        </row>
        <row r="43923">
          <cell r="L43923" t="str">
            <v>Non-proportional</v>
          </cell>
          <cell r="S43923">
            <v>-38026.75</v>
          </cell>
          <cell r="X43923" t="str">
            <v>Variation UPR - gross</v>
          </cell>
          <cell r="Y43923" t="str">
            <v>FRANCE</v>
          </cell>
        </row>
        <row r="43924">
          <cell r="L43924" t="str">
            <v>Proportional</v>
          </cell>
          <cell r="S43924">
            <v>13.51</v>
          </cell>
          <cell r="X43924" t="str">
            <v>Variation UPR - gross</v>
          </cell>
          <cell r="Y43924" t="str">
            <v>UNITED STATES</v>
          </cell>
        </row>
        <row r="43925">
          <cell r="L43925" t="str">
            <v>Non-proportional</v>
          </cell>
          <cell r="S43925">
            <v>-740.4</v>
          </cell>
          <cell r="X43925" t="str">
            <v>Variation UPR - gross</v>
          </cell>
          <cell r="Y43925" t="str">
            <v>FRANCE</v>
          </cell>
        </row>
        <row r="43926">
          <cell r="L43926" t="str">
            <v>Non-proportional</v>
          </cell>
          <cell r="S43926">
            <v>-5171.2299999999996</v>
          </cell>
          <cell r="X43926" t="str">
            <v>Variation UPR - gross</v>
          </cell>
          <cell r="Y43926" t="str">
            <v>CHILE</v>
          </cell>
        </row>
        <row r="43927">
          <cell r="L43927" t="str">
            <v>Non-proportional</v>
          </cell>
          <cell r="S43927">
            <v>7.06</v>
          </cell>
          <cell r="X43927" t="str">
            <v>Variation UPR - gross</v>
          </cell>
          <cell r="Y43927" t="str">
            <v>JAPAN</v>
          </cell>
        </row>
        <row r="43928">
          <cell r="L43928" t="str">
            <v>Proportional</v>
          </cell>
          <cell r="S43928">
            <v>-1905.88</v>
          </cell>
          <cell r="X43928" t="str">
            <v>Variation UPR - gross</v>
          </cell>
          <cell r="Y43928" t="str">
            <v>UNITED STATES</v>
          </cell>
        </row>
        <row r="43929">
          <cell r="L43929" t="str">
            <v>Non-proportional</v>
          </cell>
          <cell r="S43929">
            <v>-4292.4399999999996</v>
          </cell>
          <cell r="X43929" t="str">
            <v>Variation UPR - gross</v>
          </cell>
          <cell r="Y43929" t="str">
            <v>THAILAND</v>
          </cell>
        </row>
        <row r="43930">
          <cell r="L43930" t="str">
            <v>Non-proportional</v>
          </cell>
          <cell r="S43930">
            <v>-12011.95</v>
          </cell>
          <cell r="X43930" t="str">
            <v>Variation UPR - gross</v>
          </cell>
          <cell r="Y43930" t="str">
            <v>FRANCE</v>
          </cell>
        </row>
        <row r="43931">
          <cell r="L43931" t="str">
            <v>Non-proportional</v>
          </cell>
          <cell r="S43931">
            <v>-59.52</v>
          </cell>
          <cell r="X43931" t="str">
            <v>Variation UPR - gross</v>
          </cell>
          <cell r="Y43931" t="str">
            <v>THAILAND</v>
          </cell>
        </row>
        <row r="43932">
          <cell r="L43932" t="str">
            <v>Proportional</v>
          </cell>
          <cell r="S43932">
            <v>-311.64999999999998</v>
          </cell>
          <cell r="X43932" t="str">
            <v>Variation UPR - gross</v>
          </cell>
          <cell r="Y43932" t="str">
            <v>UNITED STATES</v>
          </cell>
        </row>
        <row r="43933">
          <cell r="L43933" t="str">
            <v>Non-proportional</v>
          </cell>
          <cell r="S43933">
            <v>-157.18</v>
          </cell>
          <cell r="X43933" t="str">
            <v>Variation UPR - gross</v>
          </cell>
          <cell r="Y43933" t="str">
            <v>COLOMBIA</v>
          </cell>
        </row>
        <row r="43934">
          <cell r="L43934" t="str">
            <v>Non-proportional</v>
          </cell>
          <cell r="S43934">
            <v>-240.41</v>
          </cell>
          <cell r="X43934" t="str">
            <v>Variation UPR - gross</v>
          </cell>
          <cell r="Y43934" t="str">
            <v>NEW ZEALAND</v>
          </cell>
        </row>
        <row r="43935">
          <cell r="L43935" t="str">
            <v>Non-proportional</v>
          </cell>
          <cell r="S43935">
            <v>-3222.32</v>
          </cell>
          <cell r="X43935" t="str">
            <v>Variation UPR - gross</v>
          </cell>
          <cell r="Y43935" t="str">
            <v>AUSTRALIA</v>
          </cell>
        </row>
        <row r="43936">
          <cell r="L43936" t="str">
            <v>Proportional</v>
          </cell>
          <cell r="S43936">
            <v>552.38</v>
          </cell>
          <cell r="X43936" t="str">
            <v>Variation UPR - gross</v>
          </cell>
          <cell r="Y43936" t="str">
            <v>THAILAND</v>
          </cell>
        </row>
        <row r="43937">
          <cell r="L43937" t="str">
            <v>Non-proportional</v>
          </cell>
          <cell r="S43937">
            <v>-8750</v>
          </cell>
          <cell r="X43937" t="str">
            <v>Variation UPR - gross</v>
          </cell>
          <cell r="Y43937" t="str">
            <v>EUROPE</v>
          </cell>
        </row>
        <row r="43938">
          <cell r="L43938" t="str">
            <v>Non-proportional</v>
          </cell>
          <cell r="S43938">
            <v>-2482.88</v>
          </cell>
          <cell r="X43938" t="str">
            <v>Variation UPR - gross</v>
          </cell>
          <cell r="Y43938" t="str">
            <v>MEXICO</v>
          </cell>
        </row>
        <row r="43939">
          <cell r="L43939" t="str">
            <v>Non-proportional</v>
          </cell>
          <cell r="S43939">
            <v>-6270.83</v>
          </cell>
          <cell r="X43939" t="str">
            <v>Variation UPR - gross</v>
          </cell>
          <cell r="Y43939" t="str">
            <v>ITALY</v>
          </cell>
        </row>
        <row r="43940">
          <cell r="L43940" t="str">
            <v>Non-proportional</v>
          </cell>
          <cell r="S43940">
            <v>-1800</v>
          </cell>
          <cell r="X43940" t="str">
            <v>Variation UPR - gross</v>
          </cell>
          <cell r="Y43940" t="str">
            <v>PORTUGAL</v>
          </cell>
        </row>
        <row r="43941">
          <cell r="L43941" t="str">
            <v>Non-proportional</v>
          </cell>
          <cell r="S43941">
            <v>-4991</v>
          </cell>
          <cell r="X43941" t="str">
            <v>Variation UPR - gross</v>
          </cell>
          <cell r="Y43941" t="str">
            <v>UNITED KINGDOM</v>
          </cell>
        </row>
        <row r="43942">
          <cell r="L43942" t="str">
            <v>Non-proportional</v>
          </cell>
          <cell r="S43942">
            <v>32.97</v>
          </cell>
          <cell r="X43942" t="str">
            <v>Variation UPR - gross</v>
          </cell>
          <cell r="Y43942" t="str">
            <v>JAPAN</v>
          </cell>
        </row>
        <row r="43943">
          <cell r="L43943" t="str">
            <v>Non-proportional</v>
          </cell>
          <cell r="S43943">
            <v>-8855</v>
          </cell>
          <cell r="X43943" t="str">
            <v>Variation UPR - gross</v>
          </cell>
          <cell r="Y43943" t="str">
            <v>GERMANY</v>
          </cell>
        </row>
        <row r="43944">
          <cell r="L43944" t="str">
            <v>Proportional</v>
          </cell>
          <cell r="S43944">
            <v>-61219.79</v>
          </cell>
          <cell r="X43944" t="str">
            <v>Variation UPR - gross</v>
          </cell>
          <cell r="Y43944" t="str">
            <v>CANADA</v>
          </cell>
        </row>
        <row r="43945">
          <cell r="L43945" t="str">
            <v>Non-proportional</v>
          </cell>
          <cell r="S43945">
            <v>-4425.46</v>
          </cell>
          <cell r="X43945" t="str">
            <v>Variation UPR - gross</v>
          </cell>
          <cell r="Y43945" t="str">
            <v>FRANCE</v>
          </cell>
        </row>
        <row r="43946">
          <cell r="L43946" t="str">
            <v>Non-proportional</v>
          </cell>
          <cell r="S43946">
            <v>-729.9</v>
          </cell>
          <cell r="X43946" t="str">
            <v>Variation UPR - gross</v>
          </cell>
          <cell r="Y43946" t="str">
            <v>ISRAEL</v>
          </cell>
        </row>
        <row r="43947">
          <cell r="L43947" t="str">
            <v>Non-proportional</v>
          </cell>
          <cell r="S43947">
            <v>22.15</v>
          </cell>
          <cell r="X43947" t="str">
            <v>Variation UPR - gross</v>
          </cell>
          <cell r="Y43947" t="str">
            <v>JAPAN</v>
          </cell>
        </row>
        <row r="43948">
          <cell r="L43948" t="str">
            <v>Non-proportional</v>
          </cell>
          <cell r="S43948">
            <v>-109.25</v>
          </cell>
          <cell r="X43948" t="str">
            <v>Variation UPR - gross</v>
          </cell>
          <cell r="Y43948" t="str">
            <v>CHILE</v>
          </cell>
        </row>
        <row r="43949">
          <cell r="L43949" t="str">
            <v>Non-proportional</v>
          </cell>
          <cell r="S43949">
            <v>-14583.41</v>
          </cell>
          <cell r="X43949" t="str">
            <v>Variation UPR - gross</v>
          </cell>
          <cell r="Y43949" t="str">
            <v>EUROPE</v>
          </cell>
        </row>
        <row r="43950">
          <cell r="L43950" t="str">
            <v>Proportional</v>
          </cell>
          <cell r="S43950">
            <v>-48755.37</v>
          </cell>
          <cell r="X43950" t="str">
            <v>Variation UPR - gross</v>
          </cell>
          <cell r="Y43950" t="str">
            <v>THAILAND</v>
          </cell>
        </row>
        <row r="43951">
          <cell r="L43951" t="str">
            <v>Proportional</v>
          </cell>
          <cell r="S43951">
            <v>0.5</v>
          </cell>
          <cell r="X43951" t="str">
            <v>Variation UPR - gross</v>
          </cell>
          <cell r="Y43951" t="str">
            <v>UNITED STATES</v>
          </cell>
        </row>
        <row r="43952">
          <cell r="L43952" t="str">
            <v>Non-proportional</v>
          </cell>
          <cell r="S43952">
            <v>39.29</v>
          </cell>
          <cell r="X43952" t="str">
            <v>Variation UPR - gross</v>
          </cell>
          <cell r="Y43952" t="str">
            <v>AUSTRALIA</v>
          </cell>
        </row>
        <row r="43953">
          <cell r="L43953" t="str">
            <v>Non-proportional</v>
          </cell>
          <cell r="S43953">
            <v>-2469.62</v>
          </cell>
          <cell r="X43953" t="str">
            <v>Variation UPR - gross</v>
          </cell>
          <cell r="Y43953" t="str">
            <v>FRANCE</v>
          </cell>
        </row>
        <row r="43954">
          <cell r="L43954" t="str">
            <v>Non-proportional</v>
          </cell>
          <cell r="S43954">
            <v>-2642.1</v>
          </cell>
          <cell r="X43954" t="str">
            <v>Variation UPR - gross</v>
          </cell>
          <cell r="Y43954" t="str">
            <v>UNITED ARAB EMIRATES</v>
          </cell>
        </row>
        <row r="43955">
          <cell r="L43955" t="str">
            <v>Proportional</v>
          </cell>
          <cell r="S43955">
            <v>-227848.93</v>
          </cell>
          <cell r="X43955" t="str">
            <v>Variation UPR - gross</v>
          </cell>
          <cell r="Y43955" t="str">
            <v>UNITED STATES</v>
          </cell>
        </row>
        <row r="43956">
          <cell r="L43956" t="str">
            <v>Non-proportional</v>
          </cell>
          <cell r="S43956">
            <v>17</v>
          </cell>
          <cell r="X43956" t="str">
            <v>Variation UPR - gross</v>
          </cell>
          <cell r="Y43956" t="str">
            <v>JAPAN</v>
          </cell>
        </row>
        <row r="43957">
          <cell r="L43957" t="str">
            <v>Non-proportional</v>
          </cell>
          <cell r="S43957">
            <v>-8054.81</v>
          </cell>
          <cell r="X43957" t="str">
            <v>Variation UPR - gross</v>
          </cell>
          <cell r="Y43957" t="str">
            <v>PERU</v>
          </cell>
        </row>
        <row r="43958">
          <cell r="L43958" t="str">
            <v>Non-proportional</v>
          </cell>
          <cell r="S43958">
            <v>-4675.13</v>
          </cell>
          <cell r="X43958" t="str">
            <v>Variation UPR - gross</v>
          </cell>
          <cell r="Y43958" t="str">
            <v>CYPRUS</v>
          </cell>
        </row>
        <row r="43959">
          <cell r="L43959" t="str">
            <v>Non-proportional</v>
          </cell>
          <cell r="S43959">
            <v>-15042.95</v>
          </cell>
          <cell r="X43959" t="str">
            <v>Variation UPR - gross</v>
          </cell>
          <cell r="Y43959" t="str">
            <v>FRANCE</v>
          </cell>
        </row>
        <row r="43960">
          <cell r="L43960" t="str">
            <v>Non-proportional</v>
          </cell>
          <cell r="S43960">
            <v>-6215.99</v>
          </cell>
          <cell r="X43960" t="str">
            <v>Variation UPR - gross</v>
          </cell>
          <cell r="Y43960" t="str">
            <v>PERU</v>
          </cell>
        </row>
        <row r="43961">
          <cell r="L43961" t="str">
            <v>Proportional</v>
          </cell>
          <cell r="S43961">
            <v>-67.900000000000006</v>
          </cell>
          <cell r="X43961" t="str">
            <v>Variation UPR - gross</v>
          </cell>
          <cell r="Y43961" t="str">
            <v>UNITED STATES</v>
          </cell>
        </row>
        <row r="43962">
          <cell r="L43962" t="str">
            <v>Proportional</v>
          </cell>
          <cell r="S43962">
            <v>-10107.25</v>
          </cell>
          <cell r="X43962" t="str">
            <v>Variation UPR - gross</v>
          </cell>
          <cell r="Y43962" t="str">
            <v>HONG KONG</v>
          </cell>
        </row>
        <row r="43963">
          <cell r="L43963" t="str">
            <v>Non-proportional</v>
          </cell>
          <cell r="S43963">
            <v>-1719.06</v>
          </cell>
          <cell r="X43963" t="str">
            <v>Variation UPR - gross</v>
          </cell>
          <cell r="Y43963" t="str">
            <v>UNITED KINGDOM</v>
          </cell>
        </row>
        <row r="43964">
          <cell r="L43964" t="str">
            <v>Non-proportional</v>
          </cell>
          <cell r="S43964">
            <v>-4001.1</v>
          </cell>
          <cell r="X43964" t="str">
            <v>Variation UPR - gross</v>
          </cell>
          <cell r="Y43964" t="str">
            <v>COLOMBIA</v>
          </cell>
        </row>
        <row r="43965">
          <cell r="L43965" t="str">
            <v>Non-proportional</v>
          </cell>
          <cell r="S43965">
            <v>-60375</v>
          </cell>
          <cell r="X43965" t="str">
            <v>Variation UPR - gross</v>
          </cell>
          <cell r="Y43965" t="str">
            <v>BELGIUM</v>
          </cell>
        </row>
        <row r="43966">
          <cell r="L43966" t="str">
            <v>Non-proportional</v>
          </cell>
          <cell r="S43966">
            <v>-6683.02</v>
          </cell>
          <cell r="X43966" t="str">
            <v>Variation UPR - gross</v>
          </cell>
          <cell r="Y43966" t="str">
            <v>UNITED KINGDOM</v>
          </cell>
        </row>
        <row r="43967">
          <cell r="L43967" t="str">
            <v>Non-proportional</v>
          </cell>
          <cell r="S43967">
            <v>-172.58</v>
          </cell>
          <cell r="X43967" t="str">
            <v>Variation UPR - gross</v>
          </cell>
          <cell r="Y43967" t="str">
            <v>JAPAN</v>
          </cell>
        </row>
        <row r="43968">
          <cell r="L43968" t="str">
            <v>Proportional</v>
          </cell>
          <cell r="S43968">
            <v>28041.16</v>
          </cell>
          <cell r="X43968" t="str">
            <v>Variation UPR - gross</v>
          </cell>
          <cell r="Y43968" t="str">
            <v>CHILE</v>
          </cell>
        </row>
        <row r="43969">
          <cell r="L43969" t="str">
            <v>Non-proportional</v>
          </cell>
          <cell r="S43969">
            <v>-6907.69</v>
          </cell>
          <cell r="X43969" t="str">
            <v>Variation UPR - gross</v>
          </cell>
          <cell r="Y43969" t="str">
            <v>GREECE</v>
          </cell>
        </row>
        <row r="43970">
          <cell r="L43970" t="str">
            <v>Proportional</v>
          </cell>
          <cell r="S43970">
            <v>475.74</v>
          </cell>
          <cell r="X43970" t="str">
            <v>Variation UPR - gross</v>
          </cell>
          <cell r="Y43970" t="str">
            <v>INDIA</v>
          </cell>
        </row>
        <row r="43971">
          <cell r="L43971" t="str">
            <v>Proportional</v>
          </cell>
          <cell r="S43971">
            <v>-11376.25</v>
          </cell>
          <cell r="X43971" t="str">
            <v>Variation UPR - gross</v>
          </cell>
          <cell r="Y43971" t="str">
            <v>THAILAND</v>
          </cell>
        </row>
        <row r="43972">
          <cell r="L43972" t="str">
            <v>Non-proportional</v>
          </cell>
          <cell r="S43972">
            <v>13520.78</v>
          </cell>
          <cell r="X43972" t="str">
            <v>Variation UPR - gross</v>
          </cell>
          <cell r="Y43972" t="str">
            <v>BRAZIL</v>
          </cell>
        </row>
        <row r="43973">
          <cell r="L43973" t="str">
            <v>Non-proportional</v>
          </cell>
          <cell r="S43973">
            <v>-33895.79</v>
          </cell>
          <cell r="X43973" t="str">
            <v>Variation UPR - gross</v>
          </cell>
          <cell r="Y43973" t="str">
            <v>UNITED KINGDOM</v>
          </cell>
        </row>
        <row r="43974">
          <cell r="L43974" t="str">
            <v>Non-proportional</v>
          </cell>
          <cell r="S43974">
            <v>-13565.01</v>
          </cell>
          <cell r="X43974" t="str">
            <v>Variation UPR - gross</v>
          </cell>
          <cell r="Y43974" t="str">
            <v>UNITED KINGDOM</v>
          </cell>
        </row>
        <row r="43975">
          <cell r="L43975" t="str">
            <v>Non-proportional</v>
          </cell>
          <cell r="S43975">
            <v>-28280.39</v>
          </cell>
          <cell r="X43975" t="str">
            <v>Variation UPR - gross</v>
          </cell>
          <cell r="Y43975" t="str">
            <v>JAPAN</v>
          </cell>
        </row>
        <row r="43976">
          <cell r="L43976" t="str">
            <v>Non-proportional</v>
          </cell>
          <cell r="S43976">
            <v>-665.05</v>
          </cell>
          <cell r="X43976" t="str">
            <v>Variation UPR - gross</v>
          </cell>
          <cell r="Y43976" t="str">
            <v>FRANCE</v>
          </cell>
        </row>
        <row r="43977">
          <cell r="L43977" t="str">
            <v>Non-proportional</v>
          </cell>
          <cell r="S43977">
            <v>-8500</v>
          </cell>
          <cell r="X43977" t="str">
            <v>Variation UPR - gross</v>
          </cell>
          <cell r="Y43977" t="str">
            <v>ITALY</v>
          </cell>
        </row>
        <row r="43978">
          <cell r="L43978" t="str">
            <v>Non-proportional</v>
          </cell>
          <cell r="S43978">
            <v>-2357.5</v>
          </cell>
          <cell r="X43978" t="str">
            <v>Variation UPR - gross</v>
          </cell>
          <cell r="Y43978" t="str">
            <v>GERMANY</v>
          </cell>
        </row>
        <row r="43979">
          <cell r="L43979" t="str">
            <v>Non-proportional</v>
          </cell>
          <cell r="S43979">
            <v>-10499.88</v>
          </cell>
          <cell r="X43979" t="str">
            <v>Variation UPR - gross</v>
          </cell>
          <cell r="Y43979" t="str">
            <v>ITALY</v>
          </cell>
        </row>
        <row r="43980">
          <cell r="L43980" t="str">
            <v>Non-proportional</v>
          </cell>
          <cell r="S43980">
            <v>292.20999999999998</v>
          </cell>
          <cell r="X43980" t="str">
            <v>Variation UPR - gross</v>
          </cell>
          <cell r="Y43980" t="str">
            <v>NEW ZEALAND</v>
          </cell>
        </row>
        <row r="43981">
          <cell r="L43981" t="str">
            <v>Non-proportional</v>
          </cell>
          <cell r="S43981">
            <v>-59.41</v>
          </cell>
          <cell r="X43981" t="str">
            <v>Variation UPR - gross</v>
          </cell>
          <cell r="Y43981" t="str">
            <v>BRAZIL</v>
          </cell>
        </row>
        <row r="43982">
          <cell r="L43982" t="str">
            <v>Non-proportional</v>
          </cell>
          <cell r="S43982">
            <v>-72.83</v>
          </cell>
          <cell r="X43982" t="str">
            <v>Variation UPR - gross</v>
          </cell>
          <cell r="Y43982" t="str">
            <v>CHILE</v>
          </cell>
        </row>
        <row r="43983">
          <cell r="L43983" t="str">
            <v>Non-proportional</v>
          </cell>
          <cell r="S43983">
            <v>-8202.25</v>
          </cell>
          <cell r="X43983" t="str">
            <v>Variation UPR - gross</v>
          </cell>
          <cell r="Y43983" t="str">
            <v>COLOMBIA</v>
          </cell>
        </row>
        <row r="43984">
          <cell r="L43984" t="str">
            <v>Non-proportional</v>
          </cell>
          <cell r="S43984">
            <v>164.45</v>
          </cell>
          <cell r="X43984" t="str">
            <v>Variation UPR - gross</v>
          </cell>
          <cell r="Y43984" t="str">
            <v>INDIA</v>
          </cell>
        </row>
        <row r="43985">
          <cell r="L43985" t="str">
            <v>Proportional</v>
          </cell>
          <cell r="S43985">
            <v>-24796.87</v>
          </cell>
          <cell r="X43985" t="str">
            <v>Variation UPR - gross</v>
          </cell>
          <cell r="Y43985" t="str">
            <v>CHILE</v>
          </cell>
        </row>
        <row r="43986">
          <cell r="L43986" t="str">
            <v>Non-proportional</v>
          </cell>
          <cell r="S43986">
            <v>-2043.75</v>
          </cell>
          <cell r="X43986" t="str">
            <v>Variation UPR - gross</v>
          </cell>
          <cell r="Y43986" t="str">
            <v>GREECE</v>
          </cell>
        </row>
        <row r="43987">
          <cell r="L43987" t="str">
            <v>Non-proportional</v>
          </cell>
          <cell r="S43987">
            <v>-16.36</v>
          </cell>
          <cell r="X43987" t="str">
            <v>Variation UPR - gross</v>
          </cell>
          <cell r="Y43987" t="str">
            <v>ISRAEL</v>
          </cell>
        </row>
        <row r="43988">
          <cell r="L43988" t="str">
            <v>Non-proportional</v>
          </cell>
          <cell r="S43988">
            <v>-11.9</v>
          </cell>
          <cell r="X43988" t="str">
            <v>Variation UPR - gross</v>
          </cell>
          <cell r="Y43988" t="str">
            <v>ISRAEL</v>
          </cell>
        </row>
        <row r="43989">
          <cell r="L43989" t="str">
            <v>Non-proportional</v>
          </cell>
          <cell r="S43989">
            <v>-22718.63</v>
          </cell>
          <cell r="X43989" t="str">
            <v>Variation UPR - gross</v>
          </cell>
          <cell r="Y43989" t="str">
            <v>PUERTO RICO</v>
          </cell>
        </row>
        <row r="43990">
          <cell r="L43990" t="str">
            <v>Non-proportional</v>
          </cell>
          <cell r="S43990">
            <v>-348.5</v>
          </cell>
          <cell r="X43990" t="str">
            <v>Variation UPR - gross</v>
          </cell>
          <cell r="Y43990" t="str">
            <v>COLOMBIA</v>
          </cell>
        </row>
        <row r="43991">
          <cell r="L43991" t="str">
            <v>Non-proportional</v>
          </cell>
          <cell r="S43991">
            <v>-36.42</v>
          </cell>
          <cell r="X43991" t="str">
            <v>Variation UPR - gross</v>
          </cell>
          <cell r="Y43991" t="str">
            <v>CHILE</v>
          </cell>
        </row>
        <row r="43992">
          <cell r="L43992" t="str">
            <v>Non-proportional</v>
          </cell>
          <cell r="S43992">
            <v>-4185.09</v>
          </cell>
          <cell r="X43992" t="str">
            <v>Variation UPR - gross</v>
          </cell>
          <cell r="Y43992" t="str">
            <v>COLOMBIA</v>
          </cell>
        </row>
        <row r="43993">
          <cell r="L43993" t="str">
            <v>Proportional</v>
          </cell>
          <cell r="S43993">
            <v>-12429.15</v>
          </cell>
          <cell r="X43993" t="str">
            <v>Variation UPR - gross</v>
          </cell>
          <cell r="Y43993" t="str">
            <v>INDIA</v>
          </cell>
        </row>
        <row r="43994">
          <cell r="L43994" t="str">
            <v>Non-proportional</v>
          </cell>
          <cell r="S43994">
            <v>-4166.67</v>
          </cell>
          <cell r="X43994" t="str">
            <v>Variation UPR - gross</v>
          </cell>
          <cell r="Y43994" t="str">
            <v>TURKEY</v>
          </cell>
        </row>
        <row r="43995">
          <cell r="L43995" t="str">
            <v>Non-proportional</v>
          </cell>
          <cell r="S43995">
            <v>102.84</v>
          </cell>
          <cell r="X43995" t="str">
            <v>Variation UPR - gross</v>
          </cell>
          <cell r="Y43995" t="str">
            <v>AUSTRALIA</v>
          </cell>
        </row>
        <row r="43996">
          <cell r="L43996" t="str">
            <v>Non-proportional</v>
          </cell>
          <cell r="S43996">
            <v>-1667.82</v>
          </cell>
          <cell r="X43996" t="str">
            <v>Variation UPR - gross</v>
          </cell>
          <cell r="Y43996" t="str">
            <v>JAPAN</v>
          </cell>
        </row>
        <row r="43997">
          <cell r="L43997" t="str">
            <v>Non-proportional</v>
          </cell>
          <cell r="S43997">
            <v>-3203.43</v>
          </cell>
          <cell r="X43997" t="str">
            <v>Variation UPR - gross</v>
          </cell>
          <cell r="Y43997" t="str">
            <v>ECUADOR</v>
          </cell>
        </row>
        <row r="43998">
          <cell r="L43998" t="str">
            <v>Non-proportional</v>
          </cell>
          <cell r="S43998">
            <v>-9500.14</v>
          </cell>
          <cell r="X43998" t="str">
            <v>Variation UPR - gross</v>
          </cell>
          <cell r="Y43998" t="str">
            <v>TURKEY</v>
          </cell>
        </row>
        <row r="43999">
          <cell r="L43999" t="str">
            <v>Non-proportional</v>
          </cell>
          <cell r="S43999">
            <v>-751.33</v>
          </cell>
          <cell r="X43999" t="str">
            <v>Variation UPR - gross</v>
          </cell>
          <cell r="Y43999" t="str">
            <v>INDIA</v>
          </cell>
        </row>
        <row r="44000">
          <cell r="L44000" t="str">
            <v>Non-proportional</v>
          </cell>
          <cell r="S44000">
            <v>-1213.3499999999999</v>
          </cell>
          <cell r="X44000" t="str">
            <v>Variation UPR - gross</v>
          </cell>
          <cell r="Y44000" t="str">
            <v>COSTA RICA</v>
          </cell>
        </row>
        <row r="44001">
          <cell r="L44001" t="str">
            <v>Non-proportional</v>
          </cell>
          <cell r="S44001">
            <v>-291.33999999999997</v>
          </cell>
          <cell r="X44001" t="str">
            <v>Variation UPR - gross</v>
          </cell>
          <cell r="Y44001" t="str">
            <v>CHILE</v>
          </cell>
        </row>
        <row r="44002">
          <cell r="L44002" t="str">
            <v>Proportional</v>
          </cell>
          <cell r="S44002">
            <v>-2294.2800000000002</v>
          </cell>
          <cell r="X44002" t="str">
            <v>Variation UPR - gross</v>
          </cell>
          <cell r="Y44002" t="str">
            <v>CHILE</v>
          </cell>
        </row>
        <row r="44003">
          <cell r="L44003" t="str">
            <v>Non-proportional</v>
          </cell>
          <cell r="S44003">
            <v>-12034.61</v>
          </cell>
          <cell r="X44003" t="str">
            <v>Variation UPR - gross</v>
          </cell>
          <cell r="Y44003" t="str">
            <v>MEXICO</v>
          </cell>
        </row>
        <row r="44004">
          <cell r="L44004" t="str">
            <v>Non-proportional</v>
          </cell>
          <cell r="S44004">
            <v>-9496.7199999999993</v>
          </cell>
          <cell r="X44004" t="str">
            <v>Variation UPR - gross</v>
          </cell>
          <cell r="Y44004" t="str">
            <v>MEXICO</v>
          </cell>
        </row>
        <row r="44005">
          <cell r="L44005" t="str">
            <v>Non-proportional</v>
          </cell>
          <cell r="S44005">
            <v>14.05</v>
          </cell>
          <cell r="X44005" t="str">
            <v>Variation UPR - gross</v>
          </cell>
          <cell r="Y44005" t="str">
            <v>CHINA</v>
          </cell>
        </row>
        <row r="44006">
          <cell r="L44006" t="str">
            <v>Non-proportional</v>
          </cell>
          <cell r="S44006">
            <v>-417.67</v>
          </cell>
          <cell r="X44006" t="str">
            <v>Variation UPR - gross</v>
          </cell>
          <cell r="Y44006" t="str">
            <v>NETHERLANDS</v>
          </cell>
        </row>
        <row r="44007">
          <cell r="L44007" t="str">
            <v>Non-proportional</v>
          </cell>
          <cell r="S44007">
            <v>7.7</v>
          </cell>
          <cell r="X44007" t="str">
            <v>Variation UPR - gross</v>
          </cell>
          <cell r="Y44007" t="str">
            <v>DOMINICAN REPUBLIC</v>
          </cell>
        </row>
        <row r="44008">
          <cell r="L44008" t="str">
            <v>Non-proportional</v>
          </cell>
          <cell r="S44008">
            <v>-221935</v>
          </cell>
          <cell r="X44008" t="str">
            <v>Variation UPR - gross</v>
          </cell>
          <cell r="Y44008" t="str">
            <v>BELGIUM</v>
          </cell>
        </row>
        <row r="44009">
          <cell r="L44009" t="str">
            <v>Non-proportional</v>
          </cell>
          <cell r="S44009">
            <v>-5043.12</v>
          </cell>
          <cell r="X44009" t="str">
            <v>Variation UPR - gross</v>
          </cell>
          <cell r="Y44009" t="str">
            <v>INDIA</v>
          </cell>
        </row>
        <row r="44010">
          <cell r="L44010" t="str">
            <v>Non-proportional</v>
          </cell>
          <cell r="S44010">
            <v>-0.04</v>
          </cell>
          <cell r="X44010" t="str">
            <v>Variation UPR - gross</v>
          </cell>
          <cell r="Y44010" t="str">
            <v>COLOMBIA</v>
          </cell>
        </row>
        <row r="44011">
          <cell r="L44011" t="str">
            <v>Proportional</v>
          </cell>
          <cell r="S44011">
            <v>-223990.58</v>
          </cell>
          <cell r="X44011" t="str">
            <v>Variation UPR - gross</v>
          </cell>
          <cell r="Y44011" t="str">
            <v>UNITED STATES</v>
          </cell>
        </row>
        <row r="44012">
          <cell r="L44012" t="str">
            <v>Proportional</v>
          </cell>
          <cell r="S44012">
            <v>3349.72</v>
          </cell>
          <cell r="X44012" t="str">
            <v>Variation UPR - gross</v>
          </cell>
          <cell r="Y44012" t="str">
            <v>FRANCE</v>
          </cell>
        </row>
        <row r="44013">
          <cell r="L44013" t="str">
            <v>Non-proportional</v>
          </cell>
          <cell r="S44013">
            <v>-168.06</v>
          </cell>
          <cell r="X44013" t="str">
            <v>Variation UPR - gross</v>
          </cell>
          <cell r="Y44013" t="str">
            <v>FRANCE</v>
          </cell>
        </row>
        <row r="44014">
          <cell r="L44014" t="str">
            <v>Non-proportional</v>
          </cell>
          <cell r="S44014">
            <v>-2937.09</v>
          </cell>
          <cell r="X44014" t="str">
            <v>Variation UPR - gross</v>
          </cell>
          <cell r="Y44014" t="str">
            <v>NETHERLANDS</v>
          </cell>
        </row>
        <row r="44015">
          <cell r="L44015" t="str">
            <v>Non-proportional</v>
          </cell>
          <cell r="S44015">
            <v>-11753.04</v>
          </cell>
          <cell r="X44015" t="str">
            <v>Variation UPR - gross</v>
          </cell>
          <cell r="Y44015" t="str">
            <v>AUSTRALIA</v>
          </cell>
        </row>
        <row r="44016">
          <cell r="L44016" t="str">
            <v>Non-proportional</v>
          </cell>
          <cell r="S44016">
            <v>-1898.34</v>
          </cell>
          <cell r="X44016" t="str">
            <v>Variation UPR - gross</v>
          </cell>
          <cell r="Y44016" t="str">
            <v>DOMINICAN REPUBLIC</v>
          </cell>
        </row>
        <row r="44017">
          <cell r="L44017" t="str">
            <v>Non-proportional</v>
          </cell>
          <cell r="S44017">
            <v>51.25</v>
          </cell>
          <cell r="X44017" t="str">
            <v>Variation UPR - gross</v>
          </cell>
          <cell r="Y44017" t="str">
            <v>JAPAN</v>
          </cell>
        </row>
        <row r="44018">
          <cell r="L44018" t="str">
            <v>Non-proportional</v>
          </cell>
          <cell r="S44018">
            <v>-904.01</v>
          </cell>
          <cell r="X44018" t="str">
            <v>Variation UPR - gross</v>
          </cell>
          <cell r="Y44018" t="str">
            <v>JAPAN</v>
          </cell>
        </row>
        <row r="44019">
          <cell r="L44019" t="str">
            <v>Non-proportional</v>
          </cell>
          <cell r="S44019">
            <v>-2967.56</v>
          </cell>
          <cell r="X44019" t="str">
            <v>Variation UPR - gross</v>
          </cell>
          <cell r="Y44019" t="str">
            <v>THAILAND</v>
          </cell>
        </row>
        <row r="44020">
          <cell r="L44020" t="str">
            <v>Proportional</v>
          </cell>
          <cell r="S44020">
            <v>-4733.5600000000004</v>
          </cell>
          <cell r="X44020" t="str">
            <v>Variation UPR - gross</v>
          </cell>
          <cell r="Y44020" t="str">
            <v>PERU</v>
          </cell>
        </row>
        <row r="44021">
          <cell r="L44021" t="str">
            <v>Non-proportional</v>
          </cell>
          <cell r="S44021">
            <v>-45758.47</v>
          </cell>
          <cell r="X44021" t="str">
            <v>Variation UPR - gross</v>
          </cell>
          <cell r="Y44021" t="str">
            <v>TURKEY</v>
          </cell>
        </row>
        <row r="44022">
          <cell r="L44022" t="str">
            <v>Non-proportional</v>
          </cell>
          <cell r="S44022">
            <v>-3827.21</v>
          </cell>
          <cell r="X44022" t="str">
            <v>Variation UPR - gross</v>
          </cell>
          <cell r="Y44022" t="str">
            <v>DOMINICAN REPUBLIC</v>
          </cell>
        </row>
        <row r="44023">
          <cell r="L44023" t="str">
            <v>Non-proportional</v>
          </cell>
          <cell r="S44023">
            <v>-1562.37</v>
          </cell>
          <cell r="X44023" t="str">
            <v>Variation UPR - gross</v>
          </cell>
          <cell r="Y44023" t="str">
            <v>FRANCE</v>
          </cell>
        </row>
        <row r="44024">
          <cell r="L44024" t="str">
            <v>Non-proportional</v>
          </cell>
          <cell r="S44024">
            <v>-399.46</v>
          </cell>
          <cell r="X44024" t="str">
            <v>Variation UPR - gross</v>
          </cell>
          <cell r="Y44024" t="str">
            <v>UNITED KINGDOM</v>
          </cell>
        </row>
        <row r="44025">
          <cell r="L44025" t="str">
            <v>Non-proportional</v>
          </cell>
          <cell r="S44025">
            <v>-2333.69</v>
          </cell>
          <cell r="X44025" t="str">
            <v>Variation UPR - gross</v>
          </cell>
          <cell r="Y44025" t="str">
            <v>UNITED KINGDOM</v>
          </cell>
        </row>
        <row r="44026">
          <cell r="L44026" t="str">
            <v>Non-proportional</v>
          </cell>
          <cell r="S44026">
            <v>-15177.56</v>
          </cell>
          <cell r="X44026" t="str">
            <v>Variation UPR - gross</v>
          </cell>
          <cell r="Y44026" t="str">
            <v>SOUTH KOREA</v>
          </cell>
        </row>
        <row r="44027">
          <cell r="L44027" t="str">
            <v>Non-proportional</v>
          </cell>
          <cell r="S44027">
            <v>-4095</v>
          </cell>
          <cell r="X44027" t="str">
            <v>Variation UPR - gross</v>
          </cell>
          <cell r="Y44027" t="str">
            <v>FRANCE</v>
          </cell>
        </row>
        <row r="44028">
          <cell r="L44028" t="str">
            <v>Proportional</v>
          </cell>
          <cell r="S44028">
            <v>-12637.03</v>
          </cell>
          <cell r="X44028" t="str">
            <v>Variation UPR - gross</v>
          </cell>
          <cell r="Y44028" t="str">
            <v>MEXICO</v>
          </cell>
        </row>
        <row r="44029">
          <cell r="L44029" t="str">
            <v>Non-proportional</v>
          </cell>
          <cell r="S44029">
            <v>-1307.1099999999999</v>
          </cell>
          <cell r="X44029" t="str">
            <v>Variation UPR - gross</v>
          </cell>
          <cell r="Y44029" t="str">
            <v>UNITED ARAB EMIRATES</v>
          </cell>
        </row>
        <row r="44030">
          <cell r="L44030" t="str">
            <v>Non-proportional</v>
          </cell>
          <cell r="S44030">
            <v>-938.54</v>
          </cell>
          <cell r="X44030" t="str">
            <v>Variation UPR - gross</v>
          </cell>
          <cell r="Y44030" t="str">
            <v>ITALY</v>
          </cell>
        </row>
        <row r="44031">
          <cell r="L44031" t="str">
            <v>Non-proportional</v>
          </cell>
          <cell r="S44031">
            <v>-5718.54</v>
          </cell>
          <cell r="X44031" t="str">
            <v>Variation UPR - gross</v>
          </cell>
          <cell r="Y44031" t="str">
            <v>COLOMBIA</v>
          </cell>
        </row>
        <row r="44032">
          <cell r="L44032" t="str">
            <v>Non-proportional</v>
          </cell>
          <cell r="S44032">
            <v>-10157.14</v>
          </cell>
          <cell r="X44032" t="str">
            <v>Variation UPR - gross</v>
          </cell>
          <cell r="Y44032" t="str">
            <v>PERU</v>
          </cell>
        </row>
        <row r="44033">
          <cell r="L44033" t="str">
            <v>Non-proportional</v>
          </cell>
          <cell r="S44033">
            <v>-16532.18</v>
          </cell>
          <cell r="X44033" t="str">
            <v>Variation UPR - gross</v>
          </cell>
          <cell r="Y44033" t="str">
            <v>HONG KONG</v>
          </cell>
        </row>
        <row r="44034">
          <cell r="L44034" t="str">
            <v>Non-proportional</v>
          </cell>
          <cell r="S44034">
            <v>-2173.7800000000002</v>
          </cell>
          <cell r="X44034" t="str">
            <v>Variation UPR - gross</v>
          </cell>
          <cell r="Y44034" t="str">
            <v>DOMINICAN REPUBLIC</v>
          </cell>
        </row>
        <row r="44035">
          <cell r="L44035" t="str">
            <v>Proportional</v>
          </cell>
          <cell r="S44035">
            <v>-169018.63</v>
          </cell>
          <cell r="X44035" t="str">
            <v>Variation UPR - gross</v>
          </cell>
          <cell r="Y44035" t="str">
            <v>THAILAND</v>
          </cell>
        </row>
        <row r="44036">
          <cell r="L44036" t="str">
            <v>Proportional</v>
          </cell>
          <cell r="S44036">
            <v>-32410.19</v>
          </cell>
          <cell r="X44036" t="str">
            <v>Variation UPR - gross</v>
          </cell>
          <cell r="Y44036" t="str">
            <v>ITALY</v>
          </cell>
        </row>
        <row r="44037">
          <cell r="L44037" t="str">
            <v>Proportional</v>
          </cell>
          <cell r="S44037">
            <v>-34874.01</v>
          </cell>
          <cell r="X44037" t="str">
            <v>Variation UPR - gross</v>
          </cell>
          <cell r="Y44037" t="str">
            <v>THAILAND</v>
          </cell>
        </row>
        <row r="44038">
          <cell r="L44038" t="str">
            <v>Proportional</v>
          </cell>
          <cell r="S44038">
            <v>4820.9399999999996</v>
          </cell>
          <cell r="X44038" t="str">
            <v>Variation UPR - gross</v>
          </cell>
          <cell r="Y44038" t="str">
            <v>CANADA</v>
          </cell>
        </row>
        <row r="44039">
          <cell r="L44039" t="str">
            <v>Non-proportional</v>
          </cell>
          <cell r="S44039">
            <v>-248764.9</v>
          </cell>
          <cell r="X44039" t="str">
            <v>Variation UPR - gross</v>
          </cell>
          <cell r="Y44039" t="str">
            <v>UNITED KINGDOM</v>
          </cell>
        </row>
        <row r="44040">
          <cell r="L44040" t="str">
            <v>Proportional</v>
          </cell>
          <cell r="S44040">
            <v>-16251.79</v>
          </cell>
          <cell r="X44040" t="str">
            <v>Variation UPR - gross</v>
          </cell>
          <cell r="Y44040" t="str">
            <v>THAILAND</v>
          </cell>
        </row>
        <row r="44041">
          <cell r="L44041" t="str">
            <v>Proportional</v>
          </cell>
          <cell r="S44041">
            <v>150900.20000000001</v>
          </cell>
          <cell r="X44041" t="str">
            <v>Variation UPR - gross</v>
          </cell>
          <cell r="Y44041" t="str">
            <v>CHILE</v>
          </cell>
        </row>
        <row r="44042">
          <cell r="L44042" t="str">
            <v>Non-proportional</v>
          </cell>
          <cell r="S44042">
            <v>-1846.85</v>
          </cell>
          <cell r="X44042" t="str">
            <v>Variation UPR - gross</v>
          </cell>
          <cell r="Y44042" t="str">
            <v>FRANCE</v>
          </cell>
        </row>
        <row r="44043">
          <cell r="L44043" t="str">
            <v>Non-proportional</v>
          </cell>
          <cell r="S44043">
            <v>-9985.8700000000008</v>
          </cell>
          <cell r="X44043" t="str">
            <v>Variation UPR - gross</v>
          </cell>
          <cell r="Y44043" t="str">
            <v>FRANCE</v>
          </cell>
        </row>
        <row r="44044">
          <cell r="L44044" t="str">
            <v>Non-proportional</v>
          </cell>
          <cell r="S44044">
            <v>-7434.55</v>
          </cell>
          <cell r="X44044" t="str">
            <v>Variation UPR - gross</v>
          </cell>
          <cell r="Y44044" t="str">
            <v>UNITED KINGDOM</v>
          </cell>
        </row>
        <row r="44045">
          <cell r="L44045" t="str">
            <v>Non-proportional</v>
          </cell>
          <cell r="S44045">
            <v>-3286.75</v>
          </cell>
          <cell r="X44045" t="str">
            <v>Variation UPR - gross</v>
          </cell>
          <cell r="Y44045" t="str">
            <v>ECUADOR</v>
          </cell>
        </row>
        <row r="44046">
          <cell r="L44046" t="str">
            <v>Non-proportional</v>
          </cell>
          <cell r="S44046">
            <v>-109330.38</v>
          </cell>
          <cell r="X44046" t="str">
            <v>Variation UPR - gross</v>
          </cell>
          <cell r="Y44046" t="str">
            <v>FRANCE</v>
          </cell>
        </row>
        <row r="44047">
          <cell r="L44047" t="str">
            <v>Non-proportional</v>
          </cell>
          <cell r="S44047">
            <v>-19967.73</v>
          </cell>
          <cell r="X44047" t="str">
            <v>Variation UPR - gross</v>
          </cell>
          <cell r="Y44047" t="str">
            <v>FRANCE</v>
          </cell>
        </row>
        <row r="44048">
          <cell r="L44048" t="str">
            <v>Non-proportional</v>
          </cell>
          <cell r="S44048">
            <v>-2694.87</v>
          </cell>
          <cell r="X44048" t="str">
            <v>Variation UPR - gross</v>
          </cell>
          <cell r="Y44048" t="str">
            <v>CHILE</v>
          </cell>
        </row>
        <row r="44049">
          <cell r="L44049" t="str">
            <v>Proportional</v>
          </cell>
          <cell r="S44049">
            <v>-11803.01</v>
          </cell>
          <cell r="X44049" t="str">
            <v>Variation UPR - gross</v>
          </cell>
          <cell r="Y44049" t="str">
            <v>JAPAN</v>
          </cell>
        </row>
        <row r="44050">
          <cell r="L44050" t="str">
            <v>Non-proportional</v>
          </cell>
          <cell r="S44050">
            <v>36.42</v>
          </cell>
          <cell r="X44050" t="str">
            <v>Variation UPR - gross</v>
          </cell>
          <cell r="Y44050" t="str">
            <v>CHILE</v>
          </cell>
        </row>
        <row r="44051">
          <cell r="L44051" t="str">
            <v>Non-proportional</v>
          </cell>
          <cell r="S44051">
            <v>-5261.04</v>
          </cell>
          <cell r="X44051" t="str">
            <v>Variation UPR - gross</v>
          </cell>
          <cell r="Y44051" t="str">
            <v>NEW ZEALAND</v>
          </cell>
        </row>
        <row r="44052">
          <cell r="L44052" t="str">
            <v>Non-proportional</v>
          </cell>
          <cell r="S44052">
            <v>-5261.04</v>
          </cell>
          <cell r="X44052" t="str">
            <v>Variation UPR - gross</v>
          </cell>
          <cell r="Y44052" t="str">
            <v>NEW ZEALAND</v>
          </cell>
        </row>
        <row r="44053">
          <cell r="L44053" t="str">
            <v>Proportional</v>
          </cell>
          <cell r="S44053">
            <v>-6090.57</v>
          </cell>
          <cell r="X44053" t="str">
            <v>Variation UPR - gross</v>
          </cell>
          <cell r="Y44053" t="str">
            <v>FRANCE</v>
          </cell>
        </row>
        <row r="44054">
          <cell r="L44054" t="str">
            <v>Non-proportional</v>
          </cell>
          <cell r="S44054">
            <v>-6985.61</v>
          </cell>
          <cell r="X44054" t="str">
            <v>Variation UPR - gross</v>
          </cell>
          <cell r="Y44054" t="str">
            <v>UNITED KINGDOM</v>
          </cell>
        </row>
        <row r="44055">
          <cell r="L44055" t="str">
            <v>Non-proportional</v>
          </cell>
          <cell r="S44055">
            <v>-22641.94</v>
          </cell>
          <cell r="X44055" t="str">
            <v>Variation UPR - gross</v>
          </cell>
          <cell r="Y44055" t="str">
            <v>NEW ZEALAND</v>
          </cell>
        </row>
        <row r="44056">
          <cell r="L44056" t="str">
            <v>Proportional</v>
          </cell>
          <cell r="S44056">
            <v>-149.83000000000001</v>
          </cell>
          <cell r="X44056" t="str">
            <v>Variation UPR - gross</v>
          </cell>
          <cell r="Y44056" t="str">
            <v>THAILAND</v>
          </cell>
        </row>
        <row r="44057">
          <cell r="L44057" t="str">
            <v>Non-proportional</v>
          </cell>
          <cell r="S44057">
            <v>-31316.15</v>
          </cell>
          <cell r="X44057" t="str">
            <v>Variation UPR - gross</v>
          </cell>
          <cell r="Y44057" t="str">
            <v>FRANCE</v>
          </cell>
        </row>
        <row r="44058">
          <cell r="L44058" t="str">
            <v>Non-proportional</v>
          </cell>
          <cell r="S44058">
            <v>-77.91</v>
          </cell>
          <cell r="X44058" t="str">
            <v>Variation UPR - gross</v>
          </cell>
          <cell r="Y44058" t="str">
            <v>COLOMBIA</v>
          </cell>
        </row>
        <row r="44059">
          <cell r="L44059" t="str">
            <v>Proportional</v>
          </cell>
          <cell r="S44059">
            <v>-3988.55</v>
          </cell>
          <cell r="X44059" t="str">
            <v>Variation UPR - gross</v>
          </cell>
          <cell r="Y44059" t="str">
            <v>ITALY</v>
          </cell>
        </row>
        <row r="44060">
          <cell r="L44060" t="str">
            <v>Non-proportional</v>
          </cell>
          <cell r="S44060">
            <v>-353.33</v>
          </cell>
          <cell r="X44060" t="str">
            <v>Variation UPR - gross</v>
          </cell>
          <cell r="Y44060" t="str">
            <v>ITALY</v>
          </cell>
        </row>
        <row r="44061">
          <cell r="L44061" t="str">
            <v>Non-proportional</v>
          </cell>
          <cell r="S44061">
            <v>-5288.27</v>
          </cell>
          <cell r="X44061" t="str">
            <v>Variation UPR - gross</v>
          </cell>
          <cell r="Y44061" t="str">
            <v>ISRAEL</v>
          </cell>
        </row>
        <row r="44062">
          <cell r="L44062" t="str">
            <v>Non-proportional</v>
          </cell>
          <cell r="S44062">
            <v>-3249.09</v>
          </cell>
          <cell r="X44062" t="str">
            <v>Variation UPR - gross</v>
          </cell>
          <cell r="Y44062" t="str">
            <v>FRANCE</v>
          </cell>
        </row>
        <row r="44063">
          <cell r="L44063" t="str">
            <v>Non-proportional</v>
          </cell>
          <cell r="S44063">
            <v>-24999.81</v>
          </cell>
          <cell r="X44063" t="str">
            <v>Variation UPR - gross</v>
          </cell>
          <cell r="Y44063" t="str">
            <v>FRANCE</v>
          </cell>
        </row>
        <row r="44064">
          <cell r="L44064" t="str">
            <v>Non-proportional</v>
          </cell>
          <cell r="S44064">
            <v>0</v>
          </cell>
          <cell r="X44064" t="str">
            <v>Variation UPR - gross</v>
          </cell>
          <cell r="Y44064" t="str">
            <v>COLOMBIA</v>
          </cell>
        </row>
        <row r="44065">
          <cell r="L44065" t="str">
            <v>Non-proportional</v>
          </cell>
          <cell r="S44065">
            <v>456.02</v>
          </cell>
          <cell r="X44065" t="str">
            <v>Variation UPR - gross</v>
          </cell>
          <cell r="Y44065" t="str">
            <v>AUSTRALIA</v>
          </cell>
        </row>
        <row r="44066">
          <cell r="L44066" t="str">
            <v>Non-proportional</v>
          </cell>
          <cell r="S44066">
            <v>-5769.98</v>
          </cell>
          <cell r="X44066" t="str">
            <v>Variation UPR - gross</v>
          </cell>
          <cell r="Y44066" t="str">
            <v>ISRAEL</v>
          </cell>
        </row>
        <row r="44067">
          <cell r="L44067" t="str">
            <v>Non-proportional</v>
          </cell>
          <cell r="S44067">
            <v>-6351.88</v>
          </cell>
          <cell r="X44067" t="str">
            <v>Variation UPR - gross</v>
          </cell>
          <cell r="Y44067" t="str">
            <v>NEW ZEALAND</v>
          </cell>
        </row>
        <row r="44068">
          <cell r="L44068" t="str">
            <v>Non-proportional</v>
          </cell>
          <cell r="S44068">
            <v>-472.05</v>
          </cell>
          <cell r="X44068" t="str">
            <v>Variation UPR - gross</v>
          </cell>
          <cell r="Y44068" t="str">
            <v>BRAZIL</v>
          </cell>
        </row>
        <row r="44069">
          <cell r="L44069" t="str">
            <v>Non-proportional</v>
          </cell>
          <cell r="S44069">
            <v>-9738.4699999999993</v>
          </cell>
          <cell r="X44069" t="str">
            <v>Variation UPR - gross</v>
          </cell>
          <cell r="Y44069" t="str">
            <v>MEXICO</v>
          </cell>
        </row>
        <row r="44070">
          <cell r="L44070" t="str">
            <v>Non-proportional</v>
          </cell>
          <cell r="S44070">
            <v>-3230.16</v>
          </cell>
          <cell r="X44070" t="str">
            <v>Variation UPR - gross</v>
          </cell>
          <cell r="Y44070" t="str">
            <v>AUSTRALIA</v>
          </cell>
        </row>
        <row r="44071">
          <cell r="L44071" t="str">
            <v>Non-proportional</v>
          </cell>
          <cell r="S44071">
            <v>-192.45</v>
          </cell>
          <cell r="X44071" t="str">
            <v>Variation UPR - gross</v>
          </cell>
          <cell r="Y44071" t="str">
            <v>COLOMBIA</v>
          </cell>
        </row>
        <row r="44072">
          <cell r="L44072" t="str">
            <v>Non-proportional</v>
          </cell>
          <cell r="S44072">
            <v>-74725.77</v>
          </cell>
          <cell r="X44072" t="str">
            <v>Variation UPR - gross</v>
          </cell>
          <cell r="Y44072" t="str">
            <v>UNITED KINGDOM</v>
          </cell>
        </row>
        <row r="44073">
          <cell r="L44073" t="str">
            <v>Non-proportional</v>
          </cell>
          <cell r="S44073">
            <v>277.69</v>
          </cell>
          <cell r="X44073" t="str">
            <v>Variation UPR - gross</v>
          </cell>
          <cell r="Y44073" t="str">
            <v>JAPAN</v>
          </cell>
        </row>
        <row r="44074">
          <cell r="L44074" t="str">
            <v>Non-proportional</v>
          </cell>
          <cell r="S44074">
            <v>-1857.37</v>
          </cell>
          <cell r="X44074" t="str">
            <v>Variation UPR - gross</v>
          </cell>
          <cell r="Y44074" t="str">
            <v>PERU</v>
          </cell>
        </row>
        <row r="44075">
          <cell r="L44075" t="str">
            <v>Proportional</v>
          </cell>
          <cell r="S44075">
            <v>-172.47</v>
          </cell>
          <cell r="X44075" t="str">
            <v>Variation UPR - gross</v>
          </cell>
          <cell r="Y44075" t="str">
            <v>THAILAND</v>
          </cell>
        </row>
        <row r="44076">
          <cell r="L44076" t="str">
            <v>Non-proportional</v>
          </cell>
          <cell r="S44076">
            <v>-134672.6</v>
          </cell>
          <cell r="X44076" t="str">
            <v>Variation UPR - gross</v>
          </cell>
          <cell r="Y44076" t="str">
            <v>UNITED KINGDOM</v>
          </cell>
        </row>
        <row r="44077">
          <cell r="L44077" t="str">
            <v>Non-proportional</v>
          </cell>
          <cell r="S44077">
            <v>-1718</v>
          </cell>
          <cell r="X44077" t="str">
            <v>Variation UPR - gross</v>
          </cell>
          <cell r="Y44077" t="str">
            <v>FRANCE</v>
          </cell>
        </row>
        <row r="44078">
          <cell r="L44078" t="str">
            <v>Non-proportional</v>
          </cell>
          <cell r="S44078">
            <v>-6924.73</v>
          </cell>
          <cell r="X44078" t="str">
            <v>Variation UPR - gross</v>
          </cell>
          <cell r="Y44078" t="str">
            <v>COLOMBIA</v>
          </cell>
        </row>
        <row r="44079">
          <cell r="L44079" t="str">
            <v>Non-proportional</v>
          </cell>
          <cell r="S44079">
            <v>-6250</v>
          </cell>
          <cell r="X44079" t="str">
            <v>Variation UPR - gross</v>
          </cell>
          <cell r="Y44079" t="str">
            <v>SPAIN</v>
          </cell>
        </row>
        <row r="44080">
          <cell r="L44080" t="str">
            <v>Non-proportional</v>
          </cell>
          <cell r="S44080">
            <v>-2055.7600000000002</v>
          </cell>
          <cell r="X44080" t="str">
            <v>Variation UPR - gross</v>
          </cell>
          <cell r="Y44080" t="str">
            <v>JAPAN</v>
          </cell>
        </row>
        <row r="44081">
          <cell r="L44081" t="str">
            <v>Non-proportional</v>
          </cell>
          <cell r="S44081">
            <v>-7734.81</v>
          </cell>
          <cell r="X44081" t="str">
            <v>Variation UPR - gross</v>
          </cell>
          <cell r="Y44081" t="str">
            <v>JAPAN</v>
          </cell>
        </row>
        <row r="44082">
          <cell r="L44082" t="str">
            <v>Non-proportional</v>
          </cell>
          <cell r="S44082">
            <v>-5427.22</v>
          </cell>
          <cell r="X44082" t="str">
            <v>Variation UPR - gross</v>
          </cell>
          <cell r="Y44082" t="str">
            <v>ISRAEL</v>
          </cell>
        </row>
        <row r="44083">
          <cell r="L44083" t="str">
            <v>Non-proportional</v>
          </cell>
          <cell r="S44083">
            <v>-350.2</v>
          </cell>
          <cell r="X44083" t="str">
            <v>Variation UPR - gross</v>
          </cell>
          <cell r="Y44083" t="str">
            <v>DOMINICAN REPUBLIC</v>
          </cell>
        </row>
        <row r="44084">
          <cell r="L44084" t="str">
            <v>Proportional</v>
          </cell>
          <cell r="S44084">
            <v>-1201.76</v>
          </cell>
          <cell r="X44084" t="str">
            <v>Variation UPR - gross</v>
          </cell>
          <cell r="Y44084" t="str">
            <v>CHILE</v>
          </cell>
        </row>
        <row r="44085">
          <cell r="L44085" t="str">
            <v>Non-proportional</v>
          </cell>
          <cell r="S44085">
            <v>-7252.15</v>
          </cell>
          <cell r="X44085" t="str">
            <v>Variation UPR - gross</v>
          </cell>
          <cell r="Y44085" t="str">
            <v>MEXICO</v>
          </cell>
        </row>
        <row r="44086">
          <cell r="L44086" t="str">
            <v>Non-proportional</v>
          </cell>
          <cell r="S44086">
            <v>-3336.5</v>
          </cell>
          <cell r="X44086" t="str">
            <v>Variation UPR - gross</v>
          </cell>
          <cell r="Y44086" t="str">
            <v>DOMINICAN REPUBLIC</v>
          </cell>
        </row>
        <row r="44087">
          <cell r="L44087" t="str">
            <v>Non-proportional</v>
          </cell>
          <cell r="S44087">
            <v>36.42</v>
          </cell>
          <cell r="X44087" t="str">
            <v>Variation UPR - gross</v>
          </cell>
          <cell r="Y44087" t="str">
            <v>CHILE</v>
          </cell>
        </row>
        <row r="44088">
          <cell r="L44088" t="str">
            <v>Proportional</v>
          </cell>
          <cell r="S44088">
            <v>364.17</v>
          </cell>
          <cell r="X44088" t="str">
            <v>Variation UPR - gross</v>
          </cell>
          <cell r="Y44088" t="str">
            <v>CHILE</v>
          </cell>
        </row>
        <row r="44089">
          <cell r="L44089" t="str">
            <v>Non-proportional</v>
          </cell>
          <cell r="S44089">
            <v>-85412.84</v>
          </cell>
          <cell r="X44089" t="str">
            <v>Variation UPR - gross</v>
          </cell>
          <cell r="Y44089" t="str">
            <v>UNITED KINGDOM</v>
          </cell>
        </row>
        <row r="44090">
          <cell r="L44090" t="str">
            <v>Non-proportional</v>
          </cell>
          <cell r="S44090">
            <v>-0.02</v>
          </cell>
          <cell r="X44090" t="str">
            <v>Variation UPR - gross</v>
          </cell>
          <cell r="Y44090" t="str">
            <v>DOMINICAN REPUBLIC</v>
          </cell>
        </row>
        <row r="44091">
          <cell r="L44091" t="str">
            <v>Non-proportional</v>
          </cell>
          <cell r="S44091">
            <v>134.94999999999999</v>
          </cell>
          <cell r="X44091" t="str">
            <v>Variation UPR - gross</v>
          </cell>
          <cell r="Y44091" t="str">
            <v>TURKEY</v>
          </cell>
        </row>
        <row r="44092">
          <cell r="L44092" t="str">
            <v>Non-proportional</v>
          </cell>
          <cell r="S44092">
            <v>-1303.78</v>
          </cell>
          <cell r="X44092" t="str">
            <v>Variation UPR - gross</v>
          </cell>
          <cell r="Y44092" t="str">
            <v>CYPRUS</v>
          </cell>
        </row>
        <row r="44093">
          <cell r="L44093" t="str">
            <v>Non-proportional</v>
          </cell>
          <cell r="S44093">
            <v>-95666.3</v>
          </cell>
          <cell r="X44093" t="str">
            <v>Variation UPR - gross</v>
          </cell>
          <cell r="Y44093" t="str">
            <v>UNITED KINGDOM</v>
          </cell>
        </row>
        <row r="44094">
          <cell r="L44094" t="str">
            <v>Non-proportional</v>
          </cell>
          <cell r="S44094">
            <v>-422.01</v>
          </cell>
          <cell r="X44094" t="str">
            <v>Variation UPR - gross</v>
          </cell>
          <cell r="Y44094" t="str">
            <v>COLOMBIA</v>
          </cell>
        </row>
        <row r="44095">
          <cell r="L44095" t="str">
            <v>Non-proportional</v>
          </cell>
          <cell r="S44095">
            <v>-1587.35</v>
          </cell>
          <cell r="X44095" t="str">
            <v>Variation UPR - gross</v>
          </cell>
          <cell r="Y44095" t="str">
            <v>ITALY</v>
          </cell>
        </row>
        <row r="44096">
          <cell r="L44096" t="str">
            <v>Non-proportional</v>
          </cell>
          <cell r="S44096">
            <v>1</v>
          </cell>
          <cell r="X44096" t="str">
            <v>Variation UPR - gross</v>
          </cell>
          <cell r="Y44096" t="str">
            <v>GUATEMALA</v>
          </cell>
        </row>
        <row r="44097">
          <cell r="L44097" t="str">
            <v>Non-proportional</v>
          </cell>
          <cell r="S44097">
            <v>-129823.33</v>
          </cell>
          <cell r="X44097" t="str">
            <v>Variation UPR - gross</v>
          </cell>
          <cell r="Y44097" t="str">
            <v>PORTUGAL</v>
          </cell>
        </row>
        <row r="44098">
          <cell r="L44098" t="str">
            <v>Non-proportional</v>
          </cell>
          <cell r="S44098">
            <v>8.9</v>
          </cell>
          <cell r="X44098" t="str">
            <v>Variation UPR - gross</v>
          </cell>
          <cell r="Y44098" t="str">
            <v>NEW ZEALAND</v>
          </cell>
        </row>
        <row r="44099">
          <cell r="L44099" t="str">
            <v>Non-proportional</v>
          </cell>
          <cell r="S44099">
            <v>72.83</v>
          </cell>
          <cell r="X44099" t="str">
            <v>Variation UPR - gross</v>
          </cell>
          <cell r="Y44099" t="str">
            <v>CHILE</v>
          </cell>
        </row>
        <row r="44100">
          <cell r="L44100" t="str">
            <v>Non-proportional</v>
          </cell>
          <cell r="S44100">
            <v>-6683.34</v>
          </cell>
          <cell r="X44100" t="str">
            <v>Variation UPR - gross</v>
          </cell>
          <cell r="Y44100" t="str">
            <v>FRANCE</v>
          </cell>
        </row>
        <row r="44101">
          <cell r="L44101" t="str">
            <v>Non-proportional</v>
          </cell>
          <cell r="S44101">
            <v>-2029.91</v>
          </cell>
          <cell r="X44101" t="str">
            <v>Variation UPR - gross</v>
          </cell>
          <cell r="Y44101" t="str">
            <v>CYPRUS</v>
          </cell>
        </row>
        <row r="44102">
          <cell r="L44102" t="str">
            <v>Non-proportional</v>
          </cell>
          <cell r="S44102">
            <v>-1610.77</v>
          </cell>
          <cell r="X44102" t="str">
            <v>Variation UPR - gross</v>
          </cell>
          <cell r="Y44102" t="str">
            <v>JAPAN</v>
          </cell>
        </row>
        <row r="44103">
          <cell r="L44103" t="str">
            <v>Non-proportional</v>
          </cell>
          <cell r="S44103">
            <v>-9915.7000000000007</v>
          </cell>
          <cell r="X44103" t="str">
            <v>Variation UPR - gross</v>
          </cell>
          <cell r="Y44103" t="str">
            <v>NETHERLANDS</v>
          </cell>
        </row>
        <row r="44104">
          <cell r="L44104" t="str">
            <v>Non-proportional</v>
          </cell>
          <cell r="S44104">
            <v>12.76</v>
          </cell>
          <cell r="X44104" t="str">
            <v>Variation UPR - gross</v>
          </cell>
          <cell r="Y44104" t="str">
            <v>GUATEMALA</v>
          </cell>
        </row>
        <row r="44105">
          <cell r="L44105" t="str">
            <v>Non-proportional</v>
          </cell>
          <cell r="S44105">
            <v>-1733.75</v>
          </cell>
          <cell r="X44105" t="str">
            <v>Variation UPR - gross</v>
          </cell>
          <cell r="Y44105" t="str">
            <v>PORTUGAL</v>
          </cell>
        </row>
        <row r="44106">
          <cell r="L44106" t="str">
            <v>Proportional</v>
          </cell>
          <cell r="S44106">
            <v>-1073.29</v>
          </cell>
          <cell r="X44106" t="str">
            <v>Variation UPR - gross</v>
          </cell>
          <cell r="Y44106" t="str">
            <v>THAILAND</v>
          </cell>
        </row>
        <row r="44107">
          <cell r="L44107" t="str">
            <v>Non-proportional</v>
          </cell>
          <cell r="S44107">
            <v>-9333.33</v>
          </cell>
          <cell r="X44107" t="str">
            <v>Variation UPR - gross</v>
          </cell>
          <cell r="Y44107" t="str">
            <v>PORTUGAL</v>
          </cell>
        </row>
        <row r="44108">
          <cell r="L44108" t="str">
            <v>Non-proportional</v>
          </cell>
          <cell r="S44108">
            <v>-5814.29</v>
          </cell>
          <cell r="X44108" t="str">
            <v>Variation UPR - gross</v>
          </cell>
          <cell r="Y44108" t="str">
            <v>AUSTRALIA</v>
          </cell>
        </row>
        <row r="44109">
          <cell r="L44109" t="str">
            <v>Non-proportional</v>
          </cell>
          <cell r="S44109">
            <v>-2829.37</v>
          </cell>
          <cell r="X44109" t="str">
            <v>Variation UPR - gross</v>
          </cell>
          <cell r="Y44109" t="str">
            <v>AUSTRALIA</v>
          </cell>
        </row>
        <row r="44110">
          <cell r="L44110" t="str">
            <v>Proportional</v>
          </cell>
          <cell r="S44110">
            <v>-56.76</v>
          </cell>
          <cell r="X44110" t="str">
            <v>Variation UPR - gross</v>
          </cell>
          <cell r="Y44110" t="str">
            <v>AUSTRALIA</v>
          </cell>
        </row>
        <row r="44111">
          <cell r="L44111" t="str">
            <v>Non-proportional</v>
          </cell>
          <cell r="S44111">
            <v>-729.62</v>
          </cell>
          <cell r="X44111" t="str">
            <v>Variation UPR - gross</v>
          </cell>
          <cell r="Y44111" t="str">
            <v>ECUADOR</v>
          </cell>
        </row>
        <row r="44112">
          <cell r="L44112" t="str">
            <v>Non-proportional</v>
          </cell>
          <cell r="S44112">
            <v>-9875.82</v>
          </cell>
          <cell r="X44112" t="str">
            <v>Variation UPR - gross</v>
          </cell>
          <cell r="Y44112" t="str">
            <v>AUSTRALIA</v>
          </cell>
        </row>
        <row r="44113">
          <cell r="L44113" t="str">
            <v>Non-proportional</v>
          </cell>
          <cell r="S44113">
            <v>-89327.38</v>
          </cell>
          <cell r="X44113" t="str">
            <v>Variation UPR - gross</v>
          </cell>
          <cell r="Y44113" t="str">
            <v>UNITED KINGDOM</v>
          </cell>
        </row>
        <row r="44114">
          <cell r="L44114" t="str">
            <v>Non-proportional</v>
          </cell>
          <cell r="S44114">
            <v>-390</v>
          </cell>
          <cell r="X44114" t="str">
            <v>Variation UPR - gross</v>
          </cell>
          <cell r="Y44114" t="str">
            <v>ITALY</v>
          </cell>
        </row>
        <row r="44115">
          <cell r="L44115" t="str">
            <v>Proportional</v>
          </cell>
          <cell r="S44115">
            <v>78.91</v>
          </cell>
          <cell r="X44115" t="str">
            <v>Variation UPR - gross</v>
          </cell>
          <cell r="Y44115" t="str">
            <v>THAILAND</v>
          </cell>
        </row>
        <row r="44116">
          <cell r="L44116" t="str">
            <v>Non-proportional</v>
          </cell>
          <cell r="S44116">
            <v>-6963.2</v>
          </cell>
          <cell r="X44116" t="str">
            <v>Variation UPR - gross</v>
          </cell>
          <cell r="Y44116" t="str">
            <v>FRANCE</v>
          </cell>
        </row>
        <row r="44117">
          <cell r="L44117" t="str">
            <v>Non-proportional</v>
          </cell>
          <cell r="S44117">
            <v>-3281.25</v>
          </cell>
          <cell r="X44117" t="str">
            <v>Variation UPR - gross</v>
          </cell>
          <cell r="Y44117" t="str">
            <v>ITALY</v>
          </cell>
        </row>
        <row r="44118">
          <cell r="L44118" t="str">
            <v>Non-proportional</v>
          </cell>
          <cell r="S44118">
            <v>-6250</v>
          </cell>
          <cell r="X44118" t="str">
            <v>Variation UPR - gross</v>
          </cell>
          <cell r="Y44118" t="str">
            <v>SPAIN</v>
          </cell>
        </row>
        <row r="44119">
          <cell r="L44119" t="str">
            <v>Non-proportional</v>
          </cell>
          <cell r="S44119">
            <v>106.34</v>
          </cell>
          <cell r="X44119" t="str">
            <v>Variation UPR - gross</v>
          </cell>
          <cell r="Y44119" t="str">
            <v>JAPAN</v>
          </cell>
        </row>
        <row r="44120">
          <cell r="L44120" t="str">
            <v>Non-proportional</v>
          </cell>
          <cell r="S44120">
            <v>40.630000000000003</v>
          </cell>
          <cell r="X44120" t="str">
            <v>Variation UPR - gross</v>
          </cell>
          <cell r="Y44120" t="str">
            <v>JAPAN</v>
          </cell>
        </row>
        <row r="44121">
          <cell r="L44121" t="str">
            <v>Non-proportional</v>
          </cell>
          <cell r="S44121">
            <v>-3218.33</v>
          </cell>
          <cell r="X44121" t="str">
            <v>Variation UPR - gross</v>
          </cell>
          <cell r="Y44121" t="str">
            <v>AUSTRALIA</v>
          </cell>
        </row>
        <row r="44122">
          <cell r="L44122" t="str">
            <v>Non-proportional</v>
          </cell>
          <cell r="S44122">
            <v>-1585.63</v>
          </cell>
          <cell r="X44122" t="str">
            <v>Variation UPR - gross</v>
          </cell>
          <cell r="Y44122" t="str">
            <v>JAPAN</v>
          </cell>
        </row>
        <row r="44123">
          <cell r="L44123" t="str">
            <v>Non-proportional</v>
          </cell>
          <cell r="S44123">
            <v>-1886.39</v>
          </cell>
          <cell r="X44123" t="str">
            <v>Variation UPR - gross</v>
          </cell>
          <cell r="Y44123" t="str">
            <v>SOUTH AFRICA</v>
          </cell>
        </row>
        <row r="44124">
          <cell r="L44124" t="str">
            <v>Proportional</v>
          </cell>
          <cell r="S44124">
            <v>-43.99</v>
          </cell>
          <cell r="X44124" t="str">
            <v>Variation UPR - gross</v>
          </cell>
          <cell r="Y44124" t="str">
            <v>UNITED STATES</v>
          </cell>
        </row>
        <row r="44125">
          <cell r="L44125" t="str">
            <v>Non-proportional</v>
          </cell>
          <cell r="S44125">
            <v>-1738.53</v>
          </cell>
          <cell r="X44125" t="str">
            <v>Variation UPR - gross</v>
          </cell>
          <cell r="Y44125" t="str">
            <v>NEW ZEALAND</v>
          </cell>
        </row>
        <row r="44126">
          <cell r="L44126" t="str">
            <v>Proportional</v>
          </cell>
          <cell r="S44126">
            <v>-296900.7</v>
          </cell>
          <cell r="X44126" t="str">
            <v>Variation UPR - gross</v>
          </cell>
          <cell r="Y44126" t="str">
            <v>SWITZERLAND</v>
          </cell>
        </row>
        <row r="44127">
          <cell r="L44127" t="str">
            <v>Proportional</v>
          </cell>
          <cell r="S44127">
            <v>150.18</v>
          </cell>
          <cell r="X44127" t="str">
            <v>Variation UPR - gross</v>
          </cell>
          <cell r="Y44127" t="str">
            <v>INDIA</v>
          </cell>
        </row>
        <row r="44128">
          <cell r="L44128" t="str">
            <v>Non-proportional</v>
          </cell>
          <cell r="S44128">
            <v>-543.75</v>
          </cell>
          <cell r="X44128" t="str">
            <v>Variation UPR - gross</v>
          </cell>
          <cell r="Y44128" t="str">
            <v>GREECE</v>
          </cell>
        </row>
        <row r="44129">
          <cell r="L44129" t="str">
            <v>Non-proportional</v>
          </cell>
          <cell r="S44129">
            <v>71.41</v>
          </cell>
          <cell r="X44129" t="str">
            <v>Variation UPR - gross</v>
          </cell>
          <cell r="Y44129" t="str">
            <v>DOMINICAN REPUBLIC</v>
          </cell>
        </row>
        <row r="44130">
          <cell r="L44130" t="str">
            <v>Non-proportional</v>
          </cell>
          <cell r="S44130">
            <v>-1458.33</v>
          </cell>
          <cell r="X44130" t="str">
            <v>Variation UPR - gross</v>
          </cell>
          <cell r="Y44130" t="str">
            <v>GREECE</v>
          </cell>
        </row>
        <row r="44131">
          <cell r="L44131" t="str">
            <v>Non-proportional</v>
          </cell>
          <cell r="S44131">
            <v>-10120.5</v>
          </cell>
          <cell r="X44131" t="str">
            <v>Variation UPR - gross</v>
          </cell>
          <cell r="Y44131" t="str">
            <v>ITALY</v>
          </cell>
        </row>
        <row r="44132">
          <cell r="L44132" t="str">
            <v>Proportional</v>
          </cell>
          <cell r="S44132">
            <v>74949.100000000006</v>
          </cell>
          <cell r="X44132" t="str">
            <v>Variation UPR - gross</v>
          </cell>
          <cell r="Y44132" t="str">
            <v>COLOMBIA</v>
          </cell>
        </row>
        <row r="44133">
          <cell r="L44133" t="str">
            <v>Non-proportional</v>
          </cell>
          <cell r="S44133">
            <v>-2495.2199999999998</v>
          </cell>
          <cell r="X44133" t="str">
            <v>Variation UPR - gross</v>
          </cell>
          <cell r="Y44133" t="str">
            <v>ITALY</v>
          </cell>
        </row>
        <row r="44134">
          <cell r="L44134" t="str">
            <v>Non-proportional</v>
          </cell>
          <cell r="S44134">
            <v>-72.83</v>
          </cell>
          <cell r="X44134" t="str">
            <v>Variation UPR - gross</v>
          </cell>
          <cell r="Y44134" t="str">
            <v>CHILE</v>
          </cell>
        </row>
        <row r="44135">
          <cell r="L44135" t="str">
            <v>Non-proportional</v>
          </cell>
          <cell r="S44135">
            <v>-3489.92</v>
          </cell>
          <cell r="X44135" t="str">
            <v>Variation UPR - gross</v>
          </cell>
          <cell r="Y44135" t="str">
            <v>THAILAND</v>
          </cell>
        </row>
        <row r="44136">
          <cell r="L44136" t="str">
            <v>Non-proportional</v>
          </cell>
          <cell r="S44136">
            <v>-4112.1899999999996</v>
          </cell>
          <cell r="X44136" t="str">
            <v>Variation UPR - gross</v>
          </cell>
          <cell r="Y44136" t="str">
            <v>UNITED KINGDOM</v>
          </cell>
        </row>
        <row r="44137">
          <cell r="L44137" t="str">
            <v>Non-proportional</v>
          </cell>
          <cell r="S44137">
            <v>8.73</v>
          </cell>
          <cell r="X44137" t="str">
            <v>Variation UPR - gross</v>
          </cell>
          <cell r="Y44137" t="str">
            <v>AUSTRALIA</v>
          </cell>
        </row>
        <row r="44138">
          <cell r="L44138" t="str">
            <v>Non-proportional</v>
          </cell>
          <cell r="S44138">
            <v>53.91</v>
          </cell>
          <cell r="X44138" t="str">
            <v>Variation UPR - gross</v>
          </cell>
          <cell r="Y44138" t="str">
            <v>JAPAN</v>
          </cell>
        </row>
        <row r="44139">
          <cell r="L44139" t="str">
            <v>Proportional</v>
          </cell>
          <cell r="S44139">
            <v>8206.7800000000007</v>
          </cell>
          <cell r="X44139" t="str">
            <v>Variation UPR - gross</v>
          </cell>
          <cell r="Y44139" t="str">
            <v>THAILAND</v>
          </cell>
        </row>
        <row r="44140">
          <cell r="L44140" t="str">
            <v>Non-proportional</v>
          </cell>
          <cell r="S44140">
            <v>201.05</v>
          </cell>
          <cell r="X44140" t="str">
            <v>Variation UPR - gross</v>
          </cell>
          <cell r="Y44140" t="str">
            <v>INDIA</v>
          </cell>
        </row>
        <row r="44141">
          <cell r="L44141" t="str">
            <v>Non-proportional</v>
          </cell>
          <cell r="S44141">
            <v>-772.88</v>
          </cell>
          <cell r="X44141" t="str">
            <v>Variation UPR - gross</v>
          </cell>
          <cell r="Y44141" t="str">
            <v>REPUBLIC OF IRELAND</v>
          </cell>
        </row>
        <row r="44142">
          <cell r="L44142" t="str">
            <v>Non-proportional</v>
          </cell>
          <cell r="S44142">
            <v>79878.399999999994</v>
          </cell>
          <cell r="X44142" t="str">
            <v>Variation UPR - gross</v>
          </cell>
          <cell r="Y44142" t="str">
            <v>COLOMBIA</v>
          </cell>
        </row>
        <row r="44143">
          <cell r="L44143" t="str">
            <v>Non-proportional</v>
          </cell>
          <cell r="S44143">
            <v>-7718.75</v>
          </cell>
          <cell r="X44143" t="str">
            <v>Variation UPR - gross</v>
          </cell>
          <cell r="Y44143" t="str">
            <v>UNITED KINGDOM</v>
          </cell>
        </row>
        <row r="44144">
          <cell r="L44144" t="str">
            <v>Non-proportional</v>
          </cell>
          <cell r="S44144">
            <v>-11377.65</v>
          </cell>
          <cell r="X44144" t="str">
            <v>Variation UPR - gross</v>
          </cell>
          <cell r="Y44144" t="str">
            <v>ECUADOR</v>
          </cell>
        </row>
        <row r="44145">
          <cell r="L44145" t="str">
            <v>Non-proportional</v>
          </cell>
          <cell r="S44145">
            <v>-874.01</v>
          </cell>
          <cell r="X44145" t="str">
            <v>Variation UPR - gross</v>
          </cell>
          <cell r="Y44145" t="str">
            <v>CHILE</v>
          </cell>
        </row>
        <row r="44146">
          <cell r="L44146" t="str">
            <v>Non-proportional</v>
          </cell>
          <cell r="S44146">
            <v>-1197.92</v>
          </cell>
          <cell r="X44146" t="str">
            <v>Variation UPR - gross</v>
          </cell>
          <cell r="Y44146" t="str">
            <v>GERMANY</v>
          </cell>
        </row>
        <row r="44147">
          <cell r="L44147" t="str">
            <v>Non-proportional</v>
          </cell>
          <cell r="S44147">
            <v>-4678.91</v>
          </cell>
          <cell r="X44147" t="str">
            <v>Variation UPR - gross</v>
          </cell>
          <cell r="Y44147" t="str">
            <v>UNITED KINGDOM</v>
          </cell>
        </row>
        <row r="44148">
          <cell r="L44148" t="str">
            <v>Non-proportional</v>
          </cell>
          <cell r="S44148">
            <v>-5851.33</v>
          </cell>
          <cell r="X44148" t="str">
            <v>Variation UPR - gross</v>
          </cell>
          <cell r="Y44148" t="str">
            <v>ITALY</v>
          </cell>
        </row>
        <row r="44149">
          <cell r="L44149" t="str">
            <v>Non-proportional</v>
          </cell>
          <cell r="S44149">
            <v>-764.76</v>
          </cell>
          <cell r="X44149" t="str">
            <v>Variation UPR - gross</v>
          </cell>
          <cell r="Y44149" t="str">
            <v>CHILE</v>
          </cell>
        </row>
        <row r="44150">
          <cell r="L44150" t="str">
            <v>Non-proportional</v>
          </cell>
          <cell r="S44150">
            <v>-2807.89</v>
          </cell>
          <cell r="X44150" t="str">
            <v>Variation UPR - gross</v>
          </cell>
          <cell r="Y44150" t="str">
            <v>JAPAN</v>
          </cell>
        </row>
        <row r="44151">
          <cell r="L44151" t="str">
            <v>Non-proportional</v>
          </cell>
          <cell r="S44151">
            <v>-8770.49</v>
          </cell>
          <cell r="X44151" t="str">
            <v>Variation UPR - gross</v>
          </cell>
          <cell r="Y44151" t="str">
            <v>PUERTO RICO</v>
          </cell>
        </row>
        <row r="44152">
          <cell r="L44152" t="str">
            <v>Non-proportional</v>
          </cell>
          <cell r="S44152">
            <v>-4250.1899999999996</v>
          </cell>
          <cell r="X44152" t="str">
            <v>Variation UPR - gross</v>
          </cell>
          <cell r="Y44152" t="str">
            <v>ITALY</v>
          </cell>
        </row>
        <row r="44153">
          <cell r="L44153" t="str">
            <v>Non-proportional</v>
          </cell>
          <cell r="S44153">
            <v>-1324.49</v>
          </cell>
          <cell r="X44153" t="str">
            <v>Variation UPR - gross</v>
          </cell>
          <cell r="Y44153" t="str">
            <v>PUERTO RICO</v>
          </cell>
        </row>
        <row r="44154">
          <cell r="L44154" t="str">
            <v>Proportional</v>
          </cell>
          <cell r="S44154">
            <v>-251.66</v>
          </cell>
          <cell r="X44154" t="str">
            <v>Variation UPR - gross</v>
          </cell>
          <cell r="Y44154" t="str">
            <v>UNITED STATES</v>
          </cell>
        </row>
        <row r="44155">
          <cell r="L44155" t="str">
            <v>Non-proportional</v>
          </cell>
          <cell r="S44155">
            <v>-64.83</v>
          </cell>
          <cell r="X44155" t="str">
            <v>Variation UPR - gross</v>
          </cell>
          <cell r="Y44155" t="str">
            <v>ISRAEL</v>
          </cell>
        </row>
        <row r="44156">
          <cell r="L44156" t="str">
            <v>Proportional</v>
          </cell>
          <cell r="S44156">
            <v>145.66999999999999</v>
          </cell>
          <cell r="X44156" t="str">
            <v>Variation UPR - gross</v>
          </cell>
          <cell r="Y44156" t="str">
            <v>CHILE</v>
          </cell>
        </row>
        <row r="44157">
          <cell r="L44157" t="str">
            <v>Proportional</v>
          </cell>
          <cell r="S44157">
            <v>-75772.820000000007</v>
          </cell>
          <cell r="X44157" t="str">
            <v>Variation UPR - gross</v>
          </cell>
          <cell r="Y44157" t="str">
            <v>PORTUGAL</v>
          </cell>
        </row>
        <row r="44158">
          <cell r="L44158" t="str">
            <v>Non-proportional</v>
          </cell>
          <cell r="S44158">
            <v>-0.04</v>
          </cell>
          <cell r="X44158" t="str">
            <v>Variation UPR - gross</v>
          </cell>
          <cell r="Y44158" t="str">
            <v>COLOMBIA</v>
          </cell>
        </row>
        <row r="44159">
          <cell r="L44159" t="str">
            <v>Proportional</v>
          </cell>
          <cell r="S44159">
            <v>112423.65</v>
          </cell>
          <cell r="X44159" t="str">
            <v>Variation UPR - gross</v>
          </cell>
          <cell r="Y44159" t="str">
            <v>COLOMBIA</v>
          </cell>
        </row>
        <row r="44160">
          <cell r="L44160" t="str">
            <v>Non-proportional</v>
          </cell>
          <cell r="S44160">
            <v>-9251.26</v>
          </cell>
          <cell r="X44160" t="str">
            <v>Variation UPR - gross</v>
          </cell>
          <cell r="Y44160" t="str">
            <v>ITALY</v>
          </cell>
        </row>
        <row r="44161">
          <cell r="L44161" t="str">
            <v>Non-proportional</v>
          </cell>
          <cell r="S44161">
            <v>-1458.33</v>
          </cell>
          <cell r="X44161" t="str">
            <v>Variation UPR - gross</v>
          </cell>
          <cell r="Y44161" t="str">
            <v>ITALY</v>
          </cell>
        </row>
        <row r="44162">
          <cell r="L44162" t="str">
            <v>Non-proportional</v>
          </cell>
          <cell r="S44162">
            <v>-7267.71</v>
          </cell>
          <cell r="X44162" t="str">
            <v>Variation UPR - gross</v>
          </cell>
          <cell r="Y44162" t="str">
            <v>FRANCE</v>
          </cell>
        </row>
        <row r="44163">
          <cell r="L44163" t="str">
            <v>Non-proportional</v>
          </cell>
          <cell r="S44163">
            <v>-2049.08</v>
          </cell>
          <cell r="X44163" t="str">
            <v>Variation UPR - gross</v>
          </cell>
          <cell r="Y44163" t="str">
            <v>INDIA</v>
          </cell>
        </row>
        <row r="44164">
          <cell r="L44164" t="str">
            <v>Non-proportional</v>
          </cell>
          <cell r="S44164">
            <v>234.43</v>
          </cell>
          <cell r="X44164" t="str">
            <v>Variation UPR - gross</v>
          </cell>
          <cell r="Y44164" t="str">
            <v>NEW ZEALAND</v>
          </cell>
        </row>
        <row r="44165">
          <cell r="L44165" t="str">
            <v>Non-proportional</v>
          </cell>
          <cell r="S44165">
            <v>-1699.42</v>
          </cell>
          <cell r="X44165" t="str">
            <v>Variation UPR - gross</v>
          </cell>
          <cell r="Y44165" t="str">
            <v>DOMINICAN REPUBLIC</v>
          </cell>
        </row>
        <row r="44166">
          <cell r="L44166" t="str">
            <v>Non-proportional</v>
          </cell>
          <cell r="S44166">
            <v>-10093.129999999999</v>
          </cell>
          <cell r="X44166" t="str">
            <v>Variation UPR - gross</v>
          </cell>
          <cell r="Y44166" t="str">
            <v>NEW ZEALAND</v>
          </cell>
        </row>
        <row r="44167">
          <cell r="L44167" t="str">
            <v>Proportional</v>
          </cell>
          <cell r="S44167">
            <v>-156968.72</v>
          </cell>
          <cell r="X44167" t="str">
            <v>Variation UPR - gross</v>
          </cell>
          <cell r="Y44167" t="str">
            <v>JAPAN</v>
          </cell>
        </row>
        <row r="44168">
          <cell r="L44168" t="str">
            <v>Non-proportional</v>
          </cell>
          <cell r="S44168">
            <v>-5512.68</v>
          </cell>
          <cell r="X44168" t="str">
            <v>Variation UPR - gross</v>
          </cell>
          <cell r="Y44168" t="str">
            <v>NETHERLANDS</v>
          </cell>
        </row>
        <row r="44169">
          <cell r="L44169" t="str">
            <v>Non-proportional</v>
          </cell>
          <cell r="S44169">
            <v>20.46</v>
          </cell>
          <cell r="X44169" t="str">
            <v>Variation UPR - gross</v>
          </cell>
          <cell r="Y44169" t="str">
            <v>DOMINICAN REPUBLIC</v>
          </cell>
        </row>
        <row r="44170">
          <cell r="L44170" t="str">
            <v>Non-proportional</v>
          </cell>
          <cell r="S44170">
            <v>47.78</v>
          </cell>
          <cell r="X44170" t="str">
            <v>Variation UPR - gross</v>
          </cell>
          <cell r="Y44170" t="str">
            <v>DOMINICAN REPUBLIC</v>
          </cell>
        </row>
        <row r="44171">
          <cell r="L44171" t="str">
            <v>Non-proportional</v>
          </cell>
          <cell r="S44171">
            <v>-72.83</v>
          </cell>
          <cell r="X44171" t="str">
            <v>Variation UPR - gross</v>
          </cell>
          <cell r="Y44171" t="str">
            <v>CHILE</v>
          </cell>
        </row>
        <row r="44172">
          <cell r="L44172" t="str">
            <v>Non-proportional</v>
          </cell>
          <cell r="S44172">
            <v>-4839.7</v>
          </cell>
          <cell r="X44172" t="str">
            <v>Variation UPR - gross</v>
          </cell>
          <cell r="Y44172" t="str">
            <v>ECUADOR</v>
          </cell>
        </row>
        <row r="44173">
          <cell r="L44173" t="str">
            <v>Non-proportional</v>
          </cell>
          <cell r="S44173">
            <v>-6054.96</v>
          </cell>
          <cell r="X44173" t="str">
            <v>Variation UPR - gross</v>
          </cell>
          <cell r="Y44173" t="str">
            <v>FRANCE</v>
          </cell>
        </row>
        <row r="44174">
          <cell r="L44174" t="str">
            <v>Non-proportional</v>
          </cell>
          <cell r="S44174">
            <v>-4890.08</v>
          </cell>
          <cell r="X44174" t="str">
            <v>Variation UPR - gross</v>
          </cell>
          <cell r="Y44174" t="str">
            <v>FRANCE</v>
          </cell>
        </row>
        <row r="44175">
          <cell r="L44175" t="str">
            <v>Non-proportional</v>
          </cell>
          <cell r="S44175">
            <v>-11301.82</v>
          </cell>
          <cell r="X44175" t="str">
            <v>Variation UPR - gross</v>
          </cell>
          <cell r="Y44175" t="str">
            <v>AUSTRALIA</v>
          </cell>
        </row>
        <row r="44176">
          <cell r="L44176" t="str">
            <v>Non-proportional</v>
          </cell>
          <cell r="S44176">
            <v>-1256.9000000000001</v>
          </cell>
          <cell r="X44176" t="str">
            <v>Variation UPR - gross</v>
          </cell>
          <cell r="Y44176" t="str">
            <v>JAPAN</v>
          </cell>
        </row>
        <row r="44177">
          <cell r="L44177" t="str">
            <v>Non-proportional</v>
          </cell>
          <cell r="S44177">
            <v>-16411.330000000002</v>
          </cell>
          <cell r="X44177" t="str">
            <v>Variation UPR - gross</v>
          </cell>
          <cell r="Y44177" t="str">
            <v>JAPAN</v>
          </cell>
        </row>
        <row r="44178">
          <cell r="L44178" t="str">
            <v>Non-proportional</v>
          </cell>
          <cell r="S44178">
            <v>-9580.3799999999992</v>
          </cell>
          <cell r="X44178" t="str">
            <v>Variation UPR - gross</v>
          </cell>
          <cell r="Y44178" t="str">
            <v>COSTA RICA</v>
          </cell>
        </row>
        <row r="44179">
          <cell r="L44179" t="str">
            <v>Proportional</v>
          </cell>
          <cell r="S44179">
            <v>-3046.15</v>
          </cell>
          <cell r="X44179" t="str">
            <v>Variation UPR - gross</v>
          </cell>
          <cell r="Y44179" t="str">
            <v>HONG KONG</v>
          </cell>
        </row>
        <row r="44180">
          <cell r="L44180" t="str">
            <v>Non-proportional</v>
          </cell>
          <cell r="S44180">
            <v>-0.01</v>
          </cell>
          <cell r="X44180" t="str">
            <v>Variation UPR - gross</v>
          </cell>
          <cell r="Y44180" t="str">
            <v>DOMINICAN REPUBLIC</v>
          </cell>
        </row>
        <row r="44181">
          <cell r="L44181" t="str">
            <v>Non-proportional</v>
          </cell>
          <cell r="S44181">
            <v>-6165.32</v>
          </cell>
          <cell r="X44181" t="str">
            <v>Variation UPR - gross</v>
          </cell>
          <cell r="Y44181" t="str">
            <v>INDIA</v>
          </cell>
        </row>
        <row r="44182">
          <cell r="L44182" t="str">
            <v>Non-proportional</v>
          </cell>
          <cell r="S44182">
            <v>-14389.36</v>
          </cell>
          <cell r="X44182" t="str">
            <v>Variation UPR - gross</v>
          </cell>
          <cell r="Y44182" t="str">
            <v>PUERTO RICO</v>
          </cell>
        </row>
        <row r="44183">
          <cell r="L44183" t="str">
            <v>Proportional</v>
          </cell>
          <cell r="S44183">
            <v>-4555.43</v>
          </cell>
          <cell r="X44183" t="str">
            <v>Variation UPR - gross</v>
          </cell>
          <cell r="Y44183" t="str">
            <v>ITALY</v>
          </cell>
        </row>
        <row r="44184">
          <cell r="L44184" t="str">
            <v>Non-proportional</v>
          </cell>
          <cell r="S44184">
            <v>13.87</v>
          </cell>
          <cell r="X44184" t="str">
            <v>Variation UPR - gross</v>
          </cell>
          <cell r="Y44184" t="str">
            <v>JAPAN</v>
          </cell>
        </row>
        <row r="44185">
          <cell r="L44185" t="str">
            <v>Non-proportional</v>
          </cell>
          <cell r="S44185">
            <v>-2134.6</v>
          </cell>
          <cell r="X44185" t="str">
            <v>Variation UPR - gross</v>
          </cell>
          <cell r="Y44185" t="str">
            <v>GUATEMALA</v>
          </cell>
        </row>
        <row r="44186">
          <cell r="L44186" t="str">
            <v>Non-proportional</v>
          </cell>
          <cell r="S44186">
            <v>-1982.07</v>
          </cell>
          <cell r="X44186" t="str">
            <v>Variation UPR - gross</v>
          </cell>
          <cell r="Y44186" t="str">
            <v>JAPAN</v>
          </cell>
        </row>
        <row r="44187">
          <cell r="L44187" t="str">
            <v>Non-proportional</v>
          </cell>
          <cell r="S44187">
            <v>-0.08</v>
          </cell>
          <cell r="X44187" t="str">
            <v>Variation UPR - gross</v>
          </cell>
          <cell r="Y44187" t="str">
            <v>COLOMBIA</v>
          </cell>
        </row>
        <row r="44188">
          <cell r="L44188" t="str">
            <v>Proportional</v>
          </cell>
          <cell r="S44188">
            <v>51278.02</v>
          </cell>
          <cell r="X44188" t="str">
            <v>Variation UPR - gross</v>
          </cell>
          <cell r="Y44188" t="str">
            <v>TURKEY</v>
          </cell>
        </row>
        <row r="44189">
          <cell r="L44189" t="str">
            <v>Proportional</v>
          </cell>
          <cell r="S44189">
            <v>-98537.3</v>
          </cell>
          <cell r="X44189" t="str">
            <v>Variation UPR - gross</v>
          </cell>
          <cell r="Y44189" t="str">
            <v>SWITZERLAND</v>
          </cell>
        </row>
        <row r="44190">
          <cell r="L44190" t="str">
            <v>Non-proportional</v>
          </cell>
          <cell r="S44190">
            <v>-3517.34</v>
          </cell>
          <cell r="X44190" t="str">
            <v>Variation UPR - gross</v>
          </cell>
          <cell r="Y44190" t="str">
            <v>UNITED KINGDOM</v>
          </cell>
        </row>
        <row r="44191">
          <cell r="L44191" t="str">
            <v>Non-proportional</v>
          </cell>
          <cell r="S44191">
            <v>-156633.39000000001</v>
          </cell>
          <cell r="X44191" t="str">
            <v>Variation UPR - gross</v>
          </cell>
          <cell r="Y44191" t="str">
            <v>UNITED KINGDOM</v>
          </cell>
        </row>
        <row r="44192">
          <cell r="L44192" t="str">
            <v>Non-proportional</v>
          </cell>
          <cell r="S44192">
            <v>-11335.15</v>
          </cell>
          <cell r="X44192" t="str">
            <v>Variation UPR - gross</v>
          </cell>
          <cell r="Y44192" t="str">
            <v>MEXICO</v>
          </cell>
        </row>
        <row r="44193">
          <cell r="L44193" t="str">
            <v>Proportional</v>
          </cell>
          <cell r="S44193">
            <v>-3300</v>
          </cell>
          <cell r="X44193" t="str">
            <v>Variation UPR - gross</v>
          </cell>
          <cell r="Y44193" t="str">
            <v>ITALY</v>
          </cell>
        </row>
        <row r="44194">
          <cell r="L44194" t="str">
            <v>Non-proportional</v>
          </cell>
          <cell r="S44194">
            <v>-3386.79</v>
          </cell>
          <cell r="X44194" t="str">
            <v>Variation UPR - gross</v>
          </cell>
          <cell r="Y44194" t="str">
            <v>CHILE</v>
          </cell>
        </row>
        <row r="44195">
          <cell r="L44195" t="str">
            <v>Non-proportional</v>
          </cell>
          <cell r="S44195">
            <v>-5151.24</v>
          </cell>
          <cell r="X44195" t="str">
            <v>Variation UPR - gross</v>
          </cell>
          <cell r="Y44195" t="str">
            <v>COLOMBIA</v>
          </cell>
        </row>
        <row r="44196">
          <cell r="L44196" t="str">
            <v>Non-proportional</v>
          </cell>
          <cell r="S44196">
            <v>-1278.76</v>
          </cell>
          <cell r="X44196" t="str">
            <v>Variation UPR - gross</v>
          </cell>
          <cell r="Y44196" t="str">
            <v>NEW ZEALAND</v>
          </cell>
        </row>
        <row r="44197">
          <cell r="L44197" t="str">
            <v>Non-proportional</v>
          </cell>
          <cell r="S44197">
            <v>-7492.29</v>
          </cell>
          <cell r="X44197" t="str">
            <v>Variation UPR - gross</v>
          </cell>
          <cell r="Y44197" t="str">
            <v>FRANCE</v>
          </cell>
        </row>
        <row r="44198">
          <cell r="L44198" t="str">
            <v>Non-proportional</v>
          </cell>
          <cell r="S44198">
            <v>-3496.04</v>
          </cell>
          <cell r="X44198" t="str">
            <v>Variation UPR - gross</v>
          </cell>
          <cell r="Y44198" t="str">
            <v>CHILE</v>
          </cell>
        </row>
        <row r="44199">
          <cell r="L44199" t="str">
            <v>Non-proportional</v>
          </cell>
          <cell r="S44199">
            <v>-2650.29</v>
          </cell>
          <cell r="X44199" t="str">
            <v>Variation UPR - gross</v>
          </cell>
          <cell r="Y44199" t="str">
            <v>SOUTH AFRICA</v>
          </cell>
        </row>
        <row r="44200">
          <cell r="L44200" t="str">
            <v>Non-proportional</v>
          </cell>
          <cell r="S44200">
            <v>-63527.74</v>
          </cell>
          <cell r="X44200" t="str">
            <v>Variation UPR - gross</v>
          </cell>
          <cell r="Y44200" t="str">
            <v>UNITED KINGDOM</v>
          </cell>
        </row>
        <row r="44201">
          <cell r="L44201" t="str">
            <v>Proportional</v>
          </cell>
          <cell r="S44201">
            <v>-170.4</v>
          </cell>
          <cell r="X44201" t="str">
            <v>Variation UPR - gross</v>
          </cell>
          <cell r="Y44201" t="str">
            <v>UNITED STATES</v>
          </cell>
        </row>
        <row r="44202">
          <cell r="L44202" t="str">
            <v>Proportional</v>
          </cell>
          <cell r="S44202">
            <v>-92867.38</v>
          </cell>
          <cell r="X44202" t="str">
            <v>Variation UPR - gross</v>
          </cell>
          <cell r="Y44202" t="str">
            <v>THAILAND</v>
          </cell>
        </row>
        <row r="44203">
          <cell r="L44203" t="str">
            <v>Non-proportional</v>
          </cell>
          <cell r="S44203">
            <v>-11843.92</v>
          </cell>
          <cell r="X44203" t="str">
            <v>Variation UPR - gross</v>
          </cell>
          <cell r="Y44203" t="str">
            <v>AUSTRALIA</v>
          </cell>
        </row>
        <row r="44204">
          <cell r="L44204" t="str">
            <v>Non-proportional</v>
          </cell>
          <cell r="S44204">
            <v>-8843.8799999999992</v>
          </cell>
          <cell r="X44204" t="str">
            <v>Variation UPR - gross</v>
          </cell>
          <cell r="Y44204" t="str">
            <v>TURKEY</v>
          </cell>
        </row>
        <row r="44205">
          <cell r="L44205" t="str">
            <v>Proportional</v>
          </cell>
          <cell r="S44205">
            <v>-4878.97</v>
          </cell>
          <cell r="X44205" t="str">
            <v>Variation UPR - gross</v>
          </cell>
          <cell r="Y44205" t="str">
            <v>THAILAND</v>
          </cell>
        </row>
        <row r="44206">
          <cell r="L44206" t="str">
            <v>Non-proportional</v>
          </cell>
          <cell r="S44206">
            <v>-0.04</v>
          </cell>
          <cell r="X44206" t="str">
            <v>Variation UPR - gross</v>
          </cell>
          <cell r="Y44206" t="str">
            <v>DOMINICAN REPUBLIC</v>
          </cell>
        </row>
        <row r="44207">
          <cell r="L44207" t="str">
            <v>Non-proportional</v>
          </cell>
          <cell r="S44207">
            <v>-995059.62</v>
          </cell>
          <cell r="X44207" t="str">
            <v>Variation UPR - gross</v>
          </cell>
          <cell r="Y44207" t="str">
            <v>UNITED KINGDOM</v>
          </cell>
        </row>
        <row r="44208">
          <cell r="L44208" t="str">
            <v>Non-proportional</v>
          </cell>
          <cell r="S44208">
            <v>-5660.55</v>
          </cell>
          <cell r="X44208" t="str">
            <v>Variation UPR - gross</v>
          </cell>
          <cell r="Y44208" t="str">
            <v>INDIA</v>
          </cell>
        </row>
        <row r="44209">
          <cell r="L44209" t="str">
            <v>Non-proportional</v>
          </cell>
          <cell r="S44209">
            <v>-45088.480000000003</v>
          </cell>
          <cell r="X44209" t="str">
            <v>Variation UPR - gross</v>
          </cell>
          <cell r="Y44209" t="str">
            <v>UNITED KINGDOM</v>
          </cell>
        </row>
        <row r="44210">
          <cell r="L44210" t="str">
            <v>Non-proportional</v>
          </cell>
          <cell r="S44210">
            <v>-3780</v>
          </cell>
          <cell r="X44210" t="str">
            <v>Variation UPR - gross</v>
          </cell>
          <cell r="Y44210" t="str">
            <v>GREECE</v>
          </cell>
        </row>
        <row r="44211">
          <cell r="L44211" t="str">
            <v>Non-proportional</v>
          </cell>
          <cell r="S44211">
            <v>-706.31</v>
          </cell>
          <cell r="X44211" t="str">
            <v>Variation UPR - gross</v>
          </cell>
          <cell r="Y44211" t="str">
            <v>ECUADOR</v>
          </cell>
        </row>
        <row r="44212">
          <cell r="L44212" t="str">
            <v>Non-proportional</v>
          </cell>
          <cell r="S44212">
            <v>-3703.2</v>
          </cell>
          <cell r="X44212" t="str">
            <v>Variation UPR - gross</v>
          </cell>
          <cell r="Y44212" t="str">
            <v>ISRAEL</v>
          </cell>
        </row>
        <row r="44213">
          <cell r="L44213" t="str">
            <v>Non-proportional</v>
          </cell>
          <cell r="S44213">
            <v>1.61</v>
          </cell>
          <cell r="X44213" t="str">
            <v>Variation UPR - gross</v>
          </cell>
          <cell r="Y44213" t="str">
            <v>GUATEMALA</v>
          </cell>
        </row>
        <row r="44214">
          <cell r="L44214" t="str">
            <v>Non-proportional</v>
          </cell>
          <cell r="S44214">
            <v>-904.18</v>
          </cell>
          <cell r="X44214" t="str">
            <v>Variation UPR - gross</v>
          </cell>
          <cell r="Y44214" t="str">
            <v>SOUTH AFRICA</v>
          </cell>
        </row>
        <row r="44215">
          <cell r="L44215" t="str">
            <v>Proportional</v>
          </cell>
          <cell r="S44215">
            <v>-64789.48</v>
          </cell>
          <cell r="X44215" t="str">
            <v>Variation UPR - gross</v>
          </cell>
          <cell r="Y44215" t="str">
            <v>MEXICO</v>
          </cell>
        </row>
        <row r="44216">
          <cell r="L44216" t="str">
            <v>Non-proportional</v>
          </cell>
          <cell r="S44216">
            <v>-0.04</v>
          </cell>
          <cell r="X44216" t="str">
            <v>Variation UPR - gross</v>
          </cell>
          <cell r="Y44216" t="str">
            <v>BELIZE</v>
          </cell>
        </row>
        <row r="44217">
          <cell r="L44217" t="str">
            <v>Non-proportional</v>
          </cell>
          <cell r="S44217">
            <v>44896.33</v>
          </cell>
          <cell r="X44217" t="str">
            <v>Variation UPR - gross</v>
          </cell>
          <cell r="Y44217" t="str">
            <v>BRAZIL</v>
          </cell>
        </row>
        <row r="44218">
          <cell r="L44218" t="str">
            <v>Non-proportional</v>
          </cell>
          <cell r="S44218">
            <v>-3690.12</v>
          </cell>
          <cell r="X44218" t="str">
            <v>Variation UPR - gross</v>
          </cell>
          <cell r="Y44218" t="str">
            <v>ISRAEL</v>
          </cell>
        </row>
        <row r="44219">
          <cell r="L44219" t="str">
            <v>Non-proportional</v>
          </cell>
          <cell r="S44219">
            <v>-755.27</v>
          </cell>
          <cell r="X44219" t="str">
            <v>Variation UPR - gross</v>
          </cell>
          <cell r="Y44219" t="str">
            <v>BRAZIL</v>
          </cell>
        </row>
        <row r="44220">
          <cell r="L44220" t="str">
            <v>Non-proportional</v>
          </cell>
          <cell r="S44220">
            <v>-1492.99</v>
          </cell>
          <cell r="X44220" t="str">
            <v>Variation UPR - gross</v>
          </cell>
          <cell r="Y44220" t="str">
            <v>ISRAEL</v>
          </cell>
        </row>
        <row r="44221">
          <cell r="L44221" t="str">
            <v>Non-proportional</v>
          </cell>
          <cell r="S44221">
            <v>-24457.42</v>
          </cell>
          <cell r="X44221" t="str">
            <v>Variation UPR - gross</v>
          </cell>
          <cell r="Y44221" t="str">
            <v>TURKEY</v>
          </cell>
        </row>
        <row r="44222">
          <cell r="L44222" t="str">
            <v>Non-proportional</v>
          </cell>
          <cell r="S44222">
            <v>-34369.71</v>
          </cell>
          <cell r="X44222" t="str">
            <v>Variation UPR - gross</v>
          </cell>
          <cell r="Y44222" t="str">
            <v>UNITED STATES</v>
          </cell>
        </row>
        <row r="44223">
          <cell r="L44223" t="str">
            <v>Non-proportional</v>
          </cell>
          <cell r="S44223">
            <v>-2829.86</v>
          </cell>
          <cell r="X44223" t="str">
            <v>Variation UPR - gross</v>
          </cell>
          <cell r="Y44223" t="str">
            <v>AUSTRALIA</v>
          </cell>
        </row>
        <row r="44224">
          <cell r="L44224" t="str">
            <v>Proportional</v>
          </cell>
          <cell r="S44224">
            <v>-413478.57</v>
          </cell>
          <cell r="X44224" t="str">
            <v>Variation UPR - gross</v>
          </cell>
          <cell r="Y44224" t="str">
            <v>HONG KONG</v>
          </cell>
        </row>
        <row r="44225">
          <cell r="L44225" t="str">
            <v>Non-proportional</v>
          </cell>
          <cell r="S44225">
            <v>71588.78</v>
          </cell>
          <cell r="X44225" t="str">
            <v>Variation UPR - gross</v>
          </cell>
          <cell r="Y44225" t="str">
            <v>UNITED KINGDOM</v>
          </cell>
        </row>
        <row r="44226">
          <cell r="L44226" t="str">
            <v>Non-proportional</v>
          </cell>
          <cell r="S44226">
            <v>-5724.32</v>
          </cell>
          <cell r="X44226" t="str">
            <v>Variation UPR - gross</v>
          </cell>
          <cell r="Y44226" t="str">
            <v>THAILAND</v>
          </cell>
        </row>
        <row r="44227">
          <cell r="L44227" t="str">
            <v>Non-proportional</v>
          </cell>
          <cell r="S44227">
            <v>-3917.27</v>
          </cell>
          <cell r="X44227" t="str">
            <v>Variation UPR - gross</v>
          </cell>
          <cell r="Y44227" t="str">
            <v>ITALY</v>
          </cell>
        </row>
        <row r="44228">
          <cell r="L44228" t="str">
            <v>Non-proportional</v>
          </cell>
          <cell r="S44228">
            <v>108.28</v>
          </cell>
          <cell r="X44228" t="str">
            <v>Variation UPR - gross</v>
          </cell>
          <cell r="Y44228" t="str">
            <v>JAPAN</v>
          </cell>
        </row>
        <row r="44229">
          <cell r="L44229" t="str">
            <v>Non-proportional</v>
          </cell>
          <cell r="S44229">
            <v>-2765.19</v>
          </cell>
          <cell r="X44229" t="str">
            <v>Variation UPR - gross</v>
          </cell>
          <cell r="Y44229" t="str">
            <v>JAPAN</v>
          </cell>
        </row>
        <row r="44230">
          <cell r="L44230" t="str">
            <v>Non-proportional</v>
          </cell>
          <cell r="S44230">
            <v>-75964.05</v>
          </cell>
          <cell r="X44230" t="str">
            <v>Variation UPR - gross</v>
          </cell>
          <cell r="Y44230" t="str">
            <v>UNITED KINGDOM</v>
          </cell>
        </row>
        <row r="44231">
          <cell r="L44231" t="str">
            <v>Non-proportional</v>
          </cell>
          <cell r="S44231">
            <v>-83.87</v>
          </cell>
          <cell r="X44231" t="str">
            <v>Variation UPR - gross</v>
          </cell>
          <cell r="Y44231" t="str">
            <v>COLOMBIA</v>
          </cell>
        </row>
        <row r="44232">
          <cell r="L44232" t="str">
            <v>Non-proportional</v>
          </cell>
          <cell r="S44232">
            <v>-2216.98</v>
          </cell>
          <cell r="X44232" t="str">
            <v>Variation UPR - gross</v>
          </cell>
          <cell r="Y44232" t="str">
            <v>UNITED KINGDOM</v>
          </cell>
        </row>
        <row r="44233">
          <cell r="L44233" t="str">
            <v>Non-proportional</v>
          </cell>
          <cell r="S44233">
            <v>-4469.2</v>
          </cell>
          <cell r="X44233" t="str">
            <v>Variation UPR - gross</v>
          </cell>
          <cell r="Y44233" t="str">
            <v>UNITED KINGDOM</v>
          </cell>
        </row>
        <row r="44234">
          <cell r="L44234" t="str">
            <v>Non-proportional</v>
          </cell>
          <cell r="S44234">
            <v>-1202.25</v>
          </cell>
          <cell r="X44234" t="str">
            <v>Variation UPR - gross</v>
          </cell>
          <cell r="Y44234" t="str">
            <v>REPUBLIC OF IRELAND</v>
          </cell>
        </row>
        <row r="44235">
          <cell r="L44235" t="str">
            <v>Non-proportional</v>
          </cell>
          <cell r="S44235">
            <v>-560.5</v>
          </cell>
          <cell r="X44235" t="str">
            <v>Variation UPR - gross</v>
          </cell>
          <cell r="Y44235" t="str">
            <v>PORTUGAL</v>
          </cell>
        </row>
        <row r="44236">
          <cell r="L44236" t="str">
            <v>Proportional</v>
          </cell>
          <cell r="S44236">
            <v>-53937.94</v>
          </cell>
          <cell r="X44236" t="str">
            <v>Variation UPR - gross</v>
          </cell>
          <cell r="Y44236" t="str">
            <v>THAILAND</v>
          </cell>
        </row>
        <row r="44237">
          <cell r="L44237" t="str">
            <v>Non-proportional</v>
          </cell>
          <cell r="S44237">
            <v>-1718</v>
          </cell>
          <cell r="X44237" t="str">
            <v>Variation UPR - gross</v>
          </cell>
          <cell r="Y44237" t="str">
            <v>FRANCE</v>
          </cell>
        </row>
        <row r="44238">
          <cell r="L44238" t="str">
            <v>Non-proportional</v>
          </cell>
          <cell r="S44238">
            <v>-109675.48</v>
          </cell>
          <cell r="X44238" t="str">
            <v>Variation UPR - gross</v>
          </cell>
          <cell r="Y44238" t="str">
            <v>EUROPE</v>
          </cell>
        </row>
        <row r="44239">
          <cell r="L44239" t="str">
            <v>Non-proportional</v>
          </cell>
          <cell r="S44239">
            <v>-6957.83</v>
          </cell>
          <cell r="X44239" t="str">
            <v>Variation UPR - gross</v>
          </cell>
          <cell r="Y44239" t="str">
            <v>ITALY</v>
          </cell>
        </row>
        <row r="44240">
          <cell r="L44240" t="str">
            <v>Non-proportional</v>
          </cell>
          <cell r="S44240">
            <v>-3593.75</v>
          </cell>
          <cell r="X44240" t="str">
            <v>Variation UPR - gross</v>
          </cell>
          <cell r="Y44240" t="str">
            <v>GREECE</v>
          </cell>
        </row>
        <row r="44241">
          <cell r="L44241" t="str">
            <v>Non-proportional</v>
          </cell>
          <cell r="S44241">
            <v>-10748.69</v>
          </cell>
          <cell r="X44241" t="str">
            <v>Variation UPR - gross</v>
          </cell>
          <cell r="Y44241" t="str">
            <v>ITALY</v>
          </cell>
        </row>
        <row r="44242">
          <cell r="L44242" t="str">
            <v>Proportional</v>
          </cell>
          <cell r="S44242">
            <v>-437875.31</v>
          </cell>
          <cell r="X44242" t="str">
            <v>Variation UPR - gross</v>
          </cell>
          <cell r="Y44242" t="str">
            <v>SWITZERLAND</v>
          </cell>
        </row>
        <row r="44243">
          <cell r="L44243" t="str">
            <v>Non-proportional</v>
          </cell>
          <cell r="S44243">
            <v>-64.48</v>
          </cell>
          <cell r="X44243" t="str">
            <v>Variation UPR - gross</v>
          </cell>
          <cell r="Y44243" t="str">
            <v>ISRAEL</v>
          </cell>
        </row>
        <row r="44244">
          <cell r="L44244" t="str">
            <v>Non-proportional</v>
          </cell>
          <cell r="S44244">
            <v>-2176.14</v>
          </cell>
          <cell r="X44244" t="str">
            <v>Variation UPR - gross</v>
          </cell>
          <cell r="Y44244" t="str">
            <v>MEXICO</v>
          </cell>
        </row>
        <row r="44245">
          <cell r="L44245" t="str">
            <v>Non-proportional</v>
          </cell>
          <cell r="S44245">
            <v>-34143.660000000003</v>
          </cell>
          <cell r="X44245" t="str">
            <v>Variation UPR - gross</v>
          </cell>
          <cell r="Y44245" t="str">
            <v>UNITED KINGDOM</v>
          </cell>
        </row>
        <row r="44246">
          <cell r="L44246" t="str">
            <v>Non-proportional</v>
          </cell>
          <cell r="S44246">
            <v>-3994.72</v>
          </cell>
          <cell r="X44246" t="str">
            <v>Variation UPR - gross</v>
          </cell>
          <cell r="Y44246" t="str">
            <v>UNITED KINGDOM</v>
          </cell>
        </row>
        <row r="44247">
          <cell r="L44247" t="str">
            <v>Non-proportional</v>
          </cell>
          <cell r="S44247">
            <v>20.92</v>
          </cell>
          <cell r="X44247" t="str">
            <v>Variation UPR - gross</v>
          </cell>
          <cell r="Y44247" t="str">
            <v>DOMINICAN REPUBLIC</v>
          </cell>
        </row>
        <row r="44248">
          <cell r="L44248" t="str">
            <v>Non-proportional</v>
          </cell>
          <cell r="S44248">
            <v>-27899.82</v>
          </cell>
          <cell r="X44248" t="str">
            <v>Variation UPR - gross</v>
          </cell>
          <cell r="Y44248" t="str">
            <v>JAPAN</v>
          </cell>
        </row>
        <row r="44249">
          <cell r="L44249" t="str">
            <v>Non-proportional</v>
          </cell>
          <cell r="S44249">
            <v>-676.03</v>
          </cell>
          <cell r="X44249" t="str">
            <v>Variation UPR - gross</v>
          </cell>
          <cell r="Y44249" t="str">
            <v>JAPAN</v>
          </cell>
        </row>
        <row r="44250">
          <cell r="L44250" t="str">
            <v>Proportional</v>
          </cell>
          <cell r="S44250">
            <v>-199016.53</v>
          </cell>
          <cell r="X44250" t="str">
            <v>Variation UPR - gross</v>
          </cell>
          <cell r="Y44250" t="str">
            <v>FRANCE</v>
          </cell>
        </row>
        <row r="44251">
          <cell r="L44251" t="str">
            <v>Non-proportional</v>
          </cell>
          <cell r="S44251">
            <v>-1491.44</v>
          </cell>
          <cell r="X44251" t="str">
            <v>Variation UPR - gross</v>
          </cell>
          <cell r="Y44251" t="str">
            <v>ISRAEL</v>
          </cell>
        </row>
        <row r="44252">
          <cell r="L44252" t="str">
            <v>Non-proportional</v>
          </cell>
          <cell r="S44252">
            <v>84.13</v>
          </cell>
          <cell r="X44252" t="str">
            <v>Variation UPR - gross</v>
          </cell>
          <cell r="Y44252" t="str">
            <v>BRAZIL</v>
          </cell>
        </row>
        <row r="44253">
          <cell r="L44253" t="str">
            <v>Proportional</v>
          </cell>
          <cell r="S44253">
            <v>46479.14</v>
          </cell>
          <cell r="X44253" t="str">
            <v>Variation UPR - gross</v>
          </cell>
          <cell r="Y44253" t="str">
            <v>CHILE</v>
          </cell>
        </row>
        <row r="44254">
          <cell r="L44254" t="str">
            <v>Proportional</v>
          </cell>
          <cell r="S44254">
            <v>-77595.66</v>
          </cell>
          <cell r="X44254" t="str">
            <v>Variation UPR - gross</v>
          </cell>
          <cell r="Y44254" t="str">
            <v>UNITED STATES</v>
          </cell>
        </row>
        <row r="44255">
          <cell r="L44255" t="str">
            <v>Non-proportional</v>
          </cell>
          <cell r="S44255">
            <v>-9616.3700000000008</v>
          </cell>
          <cell r="X44255" t="str">
            <v>Variation UPR - gross</v>
          </cell>
          <cell r="Y44255" t="str">
            <v>CHILE</v>
          </cell>
        </row>
        <row r="44256">
          <cell r="L44256" t="str">
            <v>Non-proportional</v>
          </cell>
          <cell r="S44256">
            <v>-4078.13</v>
          </cell>
          <cell r="X44256" t="str">
            <v>Variation UPR - gross</v>
          </cell>
          <cell r="Y44256" t="str">
            <v>GREECE</v>
          </cell>
        </row>
        <row r="44257">
          <cell r="L44257" t="str">
            <v>Non-proportional</v>
          </cell>
          <cell r="S44257">
            <v>-12011.95</v>
          </cell>
          <cell r="X44257" t="str">
            <v>Variation UPR - gross</v>
          </cell>
          <cell r="Y44257" t="str">
            <v>FRANCE</v>
          </cell>
        </row>
        <row r="44258">
          <cell r="L44258" t="str">
            <v>Non-proportional</v>
          </cell>
          <cell r="S44258">
            <v>-4166.67</v>
          </cell>
          <cell r="X44258" t="str">
            <v>Variation UPR - gross</v>
          </cell>
          <cell r="Y44258" t="str">
            <v>TURKEY</v>
          </cell>
        </row>
        <row r="44259">
          <cell r="L44259" t="str">
            <v>Non-proportional</v>
          </cell>
          <cell r="S44259">
            <v>-10000</v>
          </cell>
          <cell r="X44259" t="str">
            <v>Variation UPR - gross</v>
          </cell>
          <cell r="Y44259" t="str">
            <v>ITALY</v>
          </cell>
        </row>
        <row r="44260">
          <cell r="L44260" t="str">
            <v>Non-proportional</v>
          </cell>
          <cell r="S44260">
            <v>-59.7</v>
          </cell>
          <cell r="X44260" t="str">
            <v>Variation UPR - gross</v>
          </cell>
          <cell r="Y44260" t="str">
            <v>THAILAND</v>
          </cell>
        </row>
        <row r="44261">
          <cell r="L44261" t="str">
            <v>Non-proportional</v>
          </cell>
          <cell r="S44261">
            <v>13.22</v>
          </cell>
          <cell r="X44261" t="str">
            <v>Variation UPR - gross</v>
          </cell>
          <cell r="Y44261" t="str">
            <v>DOMINICAN REPUBLIC</v>
          </cell>
        </row>
        <row r="44262">
          <cell r="L44262" t="str">
            <v>Non-proportional</v>
          </cell>
          <cell r="S44262">
            <v>-240</v>
          </cell>
          <cell r="X44262" t="str">
            <v>Variation UPR - gross</v>
          </cell>
          <cell r="Y44262" t="str">
            <v>NEW ZEALAND</v>
          </cell>
        </row>
        <row r="44263">
          <cell r="L44263" t="str">
            <v>Non-proportional</v>
          </cell>
          <cell r="S44263">
            <v>24.41</v>
          </cell>
          <cell r="X44263" t="str">
            <v>Variation UPR - gross</v>
          </cell>
          <cell r="Y44263" t="str">
            <v>AUSTRALIA</v>
          </cell>
        </row>
        <row r="44264">
          <cell r="L44264" t="str">
            <v>Non-proportional</v>
          </cell>
          <cell r="S44264">
            <v>-368.44</v>
          </cell>
          <cell r="X44264" t="str">
            <v>Variation UPR - gross</v>
          </cell>
          <cell r="Y44264" t="str">
            <v>CHILE</v>
          </cell>
        </row>
        <row r="44265">
          <cell r="L44265" t="str">
            <v>Non-proportional</v>
          </cell>
          <cell r="S44265">
            <v>-16.27</v>
          </cell>
          <cell r="X44265" t="str">
            <v>Variation UPR - gross</v>
          </cell>
          <cell r="Y44265" t="str">
            <v>ISRAEL</v>
          </cell>
        </row>
        <row r="44266">
          <cell r="L44266" t="str">
            <v>Non-proportional</v>
          </cell>
          <cell r="S44266">
            <v>0.02</v>
          </cell>
          <cell r="X44266" t="str">
            <v>Variation UPR - gross</v>
          </cell>
          <cell r="Y44266" t="str">
            <v>BELIZE</v>
          </cell>
        </row>
        <row r="44267">
          <cell r="L44267" t="str">
            <v>Non-proportional</v>
          </cell>
          <cell r="S44267">
            <v>-1584.31</v>
          </cell>
          <cell r="X44267" t="str">
            <v>Variation UPR - gross</v>
          </cell>
          <cell r="Y44267" t="str">
            <v>CHILE</v>
          </cell>
        </row>
        <row r="44268">
          <cell r="L44268" t="str">
            <v>Non-proportional</v>
          </cell>
          <cell r="S44268">
            <v>-357.82</v>
          </cell>
          <cell r="X44268" t="str">
            <v>Variation UPR - gross</v>
          </cell>
          <cell r="Y44268" t="str">
            <v>DOMINICAN REPUBLIC</v>
          </cell>
        </row>
        <row r="44269">
          <cell r="L44269" t="str">
            <v>Non-proportional</v>
          </cell>
          <cell r="S44269">
            <v>-1664.56</v>
          </cell>
          <cell r="X44269" t="str">
            <v>Variation UPR - gross</v>
          </cell>
          <cell r="Y44269" t="str">
            <v>FRANCE</v>
          </cell>
        </row>
        <row r="44270">
          <cell r="L44270" t="str">
            <v>Non-proportional</v>
          </cell>
          <cell r="S44270">
            <v>-9187.5</v>
          </cell>
          <cell r="X44270" t="str">
            <v>Variation UPR - gross</v>
          </cell>
          <cell r="Y44270" t="str">
            <v>TURKEY</v>
          </cell>
        </row>
        <row r="44271">
          <cell r="L44271" t="str">
            <v>Proportional</v>
          </cell>
          <cell r="S44271">
            <v>-91.8</v>
          </cell>
          <cell r="X44271" t="str">
            <v>Variation UPR - gross</v>
          </cell>
          <cell r="Y44271" t="str">
            <v>THAILAND</v>
          </cell>
        </row>
        <row r="44272">
          <cell r="L44272" t="str">
            <v>Non-proportional</v>
          </cell>
          <cell r="S44272">
            <v>-1197.92</v>
          </cell>
          <cell r="X44272" t="str">
            <v>Variation UPR - gross</v>
          </cell>
          <cell r="Y44272" t="str">
            <v>GERMANY</v>
          </cell>
        </row>
        <row r="44273">
          <cell r="L44273" t="str">
            <v>Non-proportional</v>
          </cell>
          <cell r="S44273">
            <v>-11811.17</v>
          </cell>
          <cell r="X44273" t="str">
            <v>Variation UPR - gross</v>
          </cell>
          <cell r="Y44273" t="str">
            <v>AUSTRALIA</v>
          </cell>
        </row>
        <row r="44274">
          <cell r="L44274" t="str">
            <v>Non-proportional</v>
          </cell>
          <cell r="S44274">
            <v>-3438.76</v>
          </cell>
          <cell r="X44274" t="str">
            <v>Variation UPR - gross</v>
          </cell>
          <cell r="Y44274" t="str">
            <v>AUSTRALIA</v>
          </cell>
        </row>
        <row r="44275">
          <cell r="L44275" t="str">
            <v>Non-proportional</v>
          </cell>
          <cell r="S44275">
            <v>-3910.49</v>
          </cell>
          <cell r="X44275" t="str">
            <v>Variation UPR - gross</v>
          </cell>
          <cell r="Y44275" t="str">
            <v>DOMINICAN REPUBLIC</v>
          </cell>
        </row>
        <row r="44276">
          <cell r="L44276" t="str">
            <v>Non-proportional</v>
          </cell>
          <cell r="S44276">
            <v>-2249.4899999999998</v>
          </cell>
          <cell r="X44276" t="str">
            <v>Variation UPR - gross</v>
          </cell>
          <cell r="Y44276" t="str">
            <v>UNITED KINGDOM</v>
          </cell>
        </row>
        <row r="44277">
          <cell r="L44277" t="str">
            <v>Non-proportional</v>
          </cell>
          <cell r="S44277">
            <v>-8256.68</v>
          </cell>
          <cell r="X44277" t="str">
            <v>Variation UPR - gross</v>
          </cell>
          <cell r="Y44277" t="str">
            <v>AUSTRALIA</v>
          </cell>
        </row>
        <row r="44278">
          <cell r="L44278" t="str">
            <v>Non-proportional</v>
          </cell>
          <cell r="S44278">
            <v>-5409.16</v>
          </cell>
          <cell r="X44278" t="str">
            <v>Variation UPR - gross</v>
          </cell>
          <cell r="Y44278" t="str">
            <v>UNITED KINGDOM</v>
          </cell>
        </row>
        <row r="44279">
          <cell r="L44279" t="str">
            <v>Non-proportional</v>
          </cell>
          <cell r="S44279">
            <v>-2284.35</v>
          </cell>
          <cell r="X44279" t="str">
            <v>Variation UPR - gross</v>
          </cell>
          <cell r="Y44279" t="str">
            <v>CHILE</v>
          </cell>
        </row>
        <row r="44280">
          <cell r="L44280" t="str">
            <v>Non-proportional</v>
          </cell>
          <cell r="S44280">
            <v>13.68</v>
          </cell>
          <cell r="X44280" t="str">
            <v>Variation UPR - gross</v>
          </cell>
          <cell r="Y44280" t="str">
            <v>JAPAN</v>
          </cell>
        </row>
        <row r="44281">
          <cell r="L44281" t="str">
            <v>Non-proportional</v>
          </cell>
          <cell r="S44281">
            <v>-1080.75</v>
          </cell>
          <cell r="X44281" t="str">
            <v>Variation UPR - gross</v>
          </cell>
          <cell r="Y44281" t="str">
            <v>JAPAN</v>
          </cell>
        </row>
        <row r="44282">
          <cell r="L44282" t="str">
            <v>Non-proportional</v>
          </cell>
          <cell r="S44282">
            <v>-1699.03</v>
          </cell>
          <cell r="X44282" t="str">
            <v>Variation UPR - gross</v>
          </cell>
          <cell r="Y44282" t="str">
            <v>JAPAN</v>
          </cell>
        </row>
        <row r="44283">
          <cell r="L44283" t="str">
            <v>Non-proportional</v>
          </cell>
          <cell r="S44283">
            <v>-14483.94</v>
          </cell>
          <cell r="X44283" t="str">
            <v>Variation UPR - gross</v>
          </cell>
          <cell r="Y44283" t="str">
            <v>FRANCE</v>
          </cell>
        </row>
        <row r="44284">
          <cell r="L44284" t="str">
            <v>Non-proportional</v>
          </cell>
          <cell r="S44284">
            <v>-2686.68</v>
          </cell>
          <cell r="X44284" t="str">
            <v>Variation UPR - gross</v>
          </cell>
          <cell r="Y44284" t="str">
            <v>MALTA</v>
          </cell>
        </row>
        <row r="44285">
          <cell r="L44285" t="str">
            <v>Non-proportional</v>
          </cell>
          <cell r="S44285">
            <v>-6278.98</v>
          </cell>
          <cell r="X44285" t="str">
            <v>Variation UPR - gross</v>
          </cell>
          <cell r="Y44285" t="str">
            <v>FRANCE</v>
          </cell>
        </row>
        <row r="44286">
          <cell r="L44286" t="str">
            <v>Non-proportional</v>
          </cell>
          <cell r="S44286">
            <v>-24999.81</v>
          </cell>
          <cell r="X44286" t="str">
            <v>Variation UPR - gross</v>
          </cell>
          <cell r="Y44286" t="str">
            <v>FRANCE</v>
          </cell>
        </row>
        <row r="44287">
          <cell r="L44287" t="str">
            <v>Non-proportional</v>
          </cell>
          <cell r="S44287">
            <v>-8855</v>
          </cell>
          <cell r="X44287" t="str">
            <v>Variation UPR - gross</v>
          </cell>
          <cell r="Y44287" t="str">
            <v>GERMANY</v>
          </cell>
        </row>
        <row r="44288">
          <cell r="L44288" t="str">
            <v>Non-proportional</v>
          </cell>
          <cell r="S44288">
            <v>-3414.87</v>
          </cell>
          <cell r="X44288" t="str">
            <v>Variation UPR - gross</v>
          </cell>
          <cell r="Y44288" t="str">
            <v>BRAZIL</v>
          </cell>
        </row>
        <row r="44289">
          <cell r="L44289" t="str">
            <v>Non-proportional</v>
          </cell>
          <cell r="S44289">
            <v>96826.93</v>
          </cell>
          <cell r="X44289" t="str">
            <v>Variation UPR - gross</v>
          </cell>
          <cell r="Y44289" t="str">
            <v>CHILE</v>
          </cell>
        </row>
        <row r="44290">
          <cell r="L44290" t="str">
            <v>Non-proportional</v>
          </cell>
          <cell r="S44290">
            <v>-9486.8700000000008</v>
          </cell>
          <cell r="X44290" t="str">
            <v>Variation UPR - gross</v>
          </cell>
          <cell r="Y44290" t="str">
            <v>MEXICO</v>
          </cell>
        </row>
        <row r="44291">
          <cell r="L44291" t="str">
            <v>Non-proportional</v>
          </cell>
          <cell r="S44291">
            <v>-2035.6</v>
          </cell>
          <cell r="X44291" t="str">
            <v>Variation UPR - gross</v>
          </cell>
          <cell r="Y44291" t="str">
            <v>UNITED KINGDOM</v>
          </cell>
        </row>
        <row r="44292">
          <cell r="L44292" t="str">
            <v>Non-proportional</v>
          </cell>
          <cell r="S44292">
            <v>-3242.3</v>
          </cell>
          <cell r="X44292" t="str">
            <v>Variation UPR - gross</v>
          </cell>
          <cell r="Y44292" t="str">
            <v>CHILE</v>
          </cell>
        </row>
        <row r="44293">
          <cell r="L44293" t="str">
            <v>Proportional</v>
          </cell>
          <cell r="S44293">
            <v>-31.31</v>
          </cell>
          <cell r="X44293" t="str">
            <v>Variation UPR - gross</v>
          </cell>
          <cell r="Y44293" t="str">
            <v>UNITED STATES</v>
          </cell>
        </row>
        <row r="44294">
          <cell r="L44294" t="str">
            <v>Proportional</v>
          </cell>
          <cell r="S44294">
            <v>-13870.03</v>
          </cell>
          <cell r="X44294" t="str">
            <v>Variation UPR - gross</v>
          </cell>
          <cell r="Y44294" t="str">
            <v>JAPAN</v>
          </cell>
        </row>
        <row r="44295">
          <cell r="L44295" t="str">
            <v>Non-proportional</v>
          </cell>
          <cell r="S44295">
            <v>-2683.63</v>
          </cell>
          <cell r="X44295" t="str">
            <v>Variation UPR - gross</v>
          </cell>
          <cell r="Y44295" t="str">
            <v>SOUTH AFRICA</v>
          </cell>
        </row>
        <row r="44296">
          <cell r="L44296" t="str">
            <v>Non-proportional</v>
          </cell>
          <cell r="S44296">
            <v>-4233.33</v>
          </cell>
          <cell r="X44296" t="str">
            <v>Variation UPR - gross</v>
          </cell>
          <cell r="Y44296" t="str">
            <v>FRANCE</v>
          </cell>
        </row>
        <row r="44297">
          <cell r="L44297" t="str">
            <v>Proportional</v>
          </cell>
          <cell r="S44297">
            <v>13.38</v>
          </cell>
          <cell r="X44297" t="str">
            <v>Variation UPR - gross</v>
          </cell>
          <cell r="Y44297" t="str">
            <v>HONG KONG</v>
          </cell>
        </row>
        <row r="44298">
          <cell r="L44298" t="str">
            <v>Non-proportional</v>
          </cell>
          <cell r="S44298">
            <v>-3281.25</v>
          </cell>
          <cell r="X44298" t="str">
            <v>Variation UPR - gross</v>
          </cell>
          <cell r="Y44298" t="str">
            <v>ITALY</v>
          </cell>
        </row>
        <row r="44299">
          <cell r="L44299" t="str">
            <v>Non-proportional</v>
          </cell>
          <cell r="S44299">
            <v>-6250</v>
          </cell>
          <cell r="X44299" t="str">
            <v>Variation UPR - gross</v>
          </cell>
          <cell r="Y44299" t="str">
            <v>SPAIN</v>
          </cell>
        </row>
        <row r="44300">
          <cell r="L44300" t="str">
            <v>Non-proportional</v>
          </cell>
          <cell r="S44300">
            <v>-9333.33</v>
          </cell>
          <cell r="X44300" t="str">
            <v>Variation UPR - gross</v>
          </cell>
          <cell r="Y44300" t="str">
            <v>PORTUGAL</v>
          </cell>
        </row>
        <row r="44301">
          <cell r="L44301" t="str">
            <v>Non-proportional</v>
          </cell>
          <cell r="S44301">
            <v>-760.4</v>
          </cell>
          <cell r="X44301" t="str">
            <v>Variation UPR - gross</v>
          </cell>
          <cell r="Y44301" t="str">
            <v>BRAZIL</v>
          </cell>
        </row>
        <row r="44302">
          <cell r="L44302" t="str">
            <v>Non-proportional</v>
          </cell>
          <cell r="S44302">
            <v>-2979.12</v>
          </cell>
          <cell r="X44302" t="str">
            <v>Variation UPR - gross</v>
          </cell>
          <cell r="Y44302" t="str">
            <v>ECUADOR</v>
          </cell>
        </row>
        <row r="44303">
          <cell r="L44303" t="str">
            <v>Proportional</v>
          </cell>
          <cell r="S44303">
            <v>-267153.96999999997</v>
          </cell>
          <cell r="X44303" t="str">
            <v>Variation UPR - gross</v>
          </cell>
          <cell r="Y44303" t="str">
            <v>UNITED STATES</v>
          </cell>
        </row>
        <row r="44304">
          <cell r="L44304" t="str">
            <v>Non-proportional</v>
          </cell>
          <cell r="S44304">
            <v>-2232.71</v>
          </cell>
          <cell r="X44304" t="str">
            <v>Variation UPR - gross</v>
          </cell>
          <cell r="Y44304" t="str">
            <v>ECUADOR</v>
          </cell>
        </row>
        <row r="44305">
          <cell r="L44305" t="str">
            <v>Non-proportional</v>
          </cell>
          <cell r="S44305">
            <v>-6309.47</v>
          </cell>
          <cell r="X44305" t="str">
            <v>Variation UPR - gross</v>
          </cell>
          <cell r="Y44305" t="str">
            <v>JAPAN</v>
          </cell>
        </row>
        <row r="44306">
          <cell r="L44306" t="str">
            <v>Non-proportional</v>
          </cell>
          <cell r="S44306">
            <v>50.58</v>
          </cell>
          <cell r="X44306" t="str">
            <v>Variation UPR - gross</v>
          </cell>
          <cell r="Y44306" t="str">
            <v>JAPAN</v>
          </cell>
        </row>
        <row r="44307">
          <cell r="L44307" t="str">
            <v>Non-proportional</v>
          </cell>
          <cell r="S44307">
            <v>-7651.74</v>
          </cell>
          <cell r="X44307" t="str">
            <v>Variation UPR - gross</v>
          </cell>
          <cell r="Y44307" t="str">
            <v>PUERTO RICO</v>
          </cell>
        </row>
        <row r="44308">
          <cell r="L44308" t="str">
            <v>Proportional</v>
          </cell>
          <cell r="S44308">
            <v>-16543.11</v>
          </cell>
          <cell r="X44308" t="str">
            <v>Variation UPR - gross</v>
          </cell>
          <cell r="Y44308" t="str">
            <v>CHILE</v>
          </cell>
        </row>
        <row r="44309">
          <cell r="L44309" t="str">
            <v>Non-proportional</v>
          </cell>
          <cell r="S44309">
            <v>254106.99</v>
          </cell>
          <cell r="X44309" t="str">
            <v>Variation UPR - gross</v>
          </cell>
          <cell r="Y44309" t="str">
            <v>TURKEY</v>
          </cell>
        </row>
        <row r="44310">
          <cell r="L44310" t="str">
            <v>Non-proportional</v>
          </cell>
          <cell r="S44310">
            <v>-2096.5100000000002</v>
          </cell>
          <cell r="X44310" t="str">
            <v>Variation UPR - gross</v>
          </cell>
          <cell r="Y44310" t="str">
            <v>DOMINICAN REPUBLIC</v>
          </cell>
        </row>
        <row r="44311">
          <cell r="L44311" t="str">
            <v>Proportional</v>
          </cell>
          <cell r="S44311">
            <v>3306.62</v>
          </cell>
          <cell r="X44311" t="str">
            <v>Variation UPR - gross</v>
          </cell>
          <cell r="Y44311" t="str">
            <v>CHILE</v>
          </cell>
        </row>
        <row r="44312">
          <cell r="L44312" t="str">
            <v>Non-proportional</v>
          </cell>
          <cell r="S44312">
            <v>-1587.35</v>
          </cell>
          <cell r="X44312" t="str">
            <v>Variation UPR - gross</v>
          </cell>
          <cell r="Y44312" t="str">
            <v>ITALY</v>
          </cell>
        </row>
        <row r="44313">
          <cell r="L44313" t="str">
            <v>Non-proportional</v>
          </cell>
          <cell r="S44313">
            <v>-3281.25</v>
          </cell>
          <cell r="X44313" t="str">
            <v>Variation UPR - gross</v>
          </cell>
          <cell r="Y44313" t="str">
            <v>ITALY</v>
          </cell>
        </row>
        <row r="44314">
          <cell r="L44314" t="str">
            <v>Proportional</v>
          </cell>
          <cell r="S44314">
            <v>594.41999999999996</v>
          </cell>
          <cell r="X44314" t="str">
            <v>Variation UPR - gross</v>
          </cell>
          <cell r="Y44314" t="str">
            <v>THAILAND</v>
          </cell>
        </row>
        <row r="44315">
          <cell r="L44315" t="str">
            <v>Non-proportional</v>
          </cell>
          <cell r="S44315">
            <v>-1002336.11</v>
          </cell>
          <cell r="X44315" t="str">
            <v>Variation UPR - gross</v>
          </cell>
          <cell r="Y44315" t="str">
            <v>UNITED KINGDOM</v>
          </cell>
        </row>
        <row r="44316">
          <cell r="L44316" t="str">
            <v>Non-proportional</v>
          </cell>
          <cell r="S44316">
            <v>0.03</v>
          </cell>
          <cell r="X44316" t="str">
            <v>Variation UPR - gross</v>
          </cell>
          <cell r="Y44316" t="str">
            <v>COLOMBIA</v>
          </cell>
        </row>
        <row r="44317">
          <cell r="L44317" t="str">
            <v>Non-proportional</v>
          </cell>
          <cell r="S44317">
            <v>-8040.81</v>
          </cell>
          <cell r="X44317" t="str">
            <v>Variation UPR - gross</v>
          </cell>
          <cell r="Y44317" t="str">
            <v>MEXICO</v>
          </cell>
        </row>
        <row r="44318">
          <cell r="L44318" t="str">
            <v>Non-proportional</v>
          </cell>
          <cell r="S44318">
            <v>-3496.99</v>
          </cell>
          <cell r="X44318" t="str">
            <v>Variation UPR - gross</v>
          </cell>
          <cell r="Y44318" t="str">
            <v>UNITED KINGDOM</v>
          </cell>
        </row>
        <row r="44319">
          <cell r="L44319" t="str">
            <v>Non-proportional</v>
          </cell>
          <cell r="S44319">
            <v>-184.22</v>
          </cell>
          <cell r="X44319" t="str">
            <v>Variation UPR - gross</v>
          </cell>
          <cell r="Y44319" t="str">
            <v>CHILE</v>
          </cell>
        </row>
        <row r="44320">
          <cell r="L44320" t="str">
            <v>Non-proportional</v>
          </cell>
          <cell r="S44320">
            <v>-4459.08</v>
          </cell>
          <cell r="X44320" t="str">
            <v>Variation UPR - gross</v>
          </cell>
          <cell r="Y44320" t="str">
            <v>UNITED KINGDOM</v>
          </cell>
        </row>
        <row r="44321">
          <cell r="L44321" t="str">
            <v>Non-proportional</v>
          </cell>
          <cell r="S44321">
            <v>-3124.21</v>
          </cell>
          <cell r="X44321" t="str">
            <v>Variation UPR - gross</v>
          </cell>
          <cell r="Y44321" t="str">
            <v>PERU</v>
          </cell>
        </row>
        <row r="44322">
          <cell r="L44322" t="str">
            <v>Proportional</v>
          </cell>
          <cell r="S44322">
            <v>-167343.51</v>
          </cell>
          <cell r="X44322" t="str">
            <v>Variation UPR - gross</v>
          </cell>
          <cell r="Y44322" t="str">
            <v>SWITZERLAND</v>
          </cell>
        </row>
        <row r="44323">
          <cell r="L44323" t="str">
            <v>Non-proportional</v>
          </cell>
          <cell r="S44323">
            <v>-7417.44</v>
          </cell>
          <cell r="X44323" t="str">
            <v>Variation UPR - gross</v>
          </cell>
          <cell r="Y44323" t="str">
            <v>COLOMBIA</v>
          </cell>
        </row>
        <row r="44324">
          <cell r="L44324" t="str">
            <v>Non-proportional</v>
          </cell>
          <cell r="S44324">
            <v>104.95</v>
          </cell>
          <cell r="X44324" t="str">
            <v>Variation UPR - gross</v>
          </cell>
          <cell r="Y44324" t="str">
            <v>JAPAN</v>
          </cell>
        </row>
        <row r="44325">
          <cell r="L44325" t="str">
            <v>Non-proportional</v>
          </cell>
          <cell r="S44325">
            <v>40.1</v>
          </cell>
          <cell r="X44325" t="str">
            <v>Variation UPR - gross</v>
          </cell>
          <cell r="Y44325" t="str">
            <v>JAPAN</v>
          </cell>
        </row>
        <row r="44326">
          <cell r="L44326" t="str">
            <v>Proportional</v>
          </cell>
          <cell r="S44326">
            <v>-147.38</v>
          </cell>
          <cell r="X44326" t="str">
            <v>Variation UPR - gross</v>
          </cell>
          <cell r="Y44326" t="str">
            <v>CHILE</v>
          </cell>
        </row>
        <row r="44327">
          <cell r="L44327" t="str">
            <v>Proportional</v>
          </cell>
          <cell r="S44327">
            <v>-1693.93</v>
          </cell>
          <cell r="X44327" t="str">
            <v>Variation UPR - gross</v>
          </cell>
          <cell r="Y44327" t="str">
            <v>THAILAND</v>
          </cell>
        </row>
        <row r="44328">
          <cell r="L44328" t="str">
            <v>Non-proportional</v>
          </cell>
          <cell r="S44328">
            <v>-7897.5</v>
          </cell>
          <cell r="X44328" t="str">
            <v>Variation UPR - gross</v>
          </cell>
          <cell r="Y44328" t="str">
            <v>ITALY</v>
          </cell>
        </row>
        <row r="44329">
          <cell r="L44329" t="str">
            <v>Non-proportional</v>
          </cell>
          <cell r="S44329">
            <v>-2469.62</v>
          </cell>
          <cell r="X44329" t="str">
            <v>Variation UPR - gross</v>
          </cell>
          <cell r="Y44329" t="str">
            <v>FRANCE</v>
          </cell>
        </row>
        <row r="44330">
          <cell r="L44330" t="str">
            <v>Proportional</v>
          </cell>
          <cell r="S44330">
            <v>26224.25</v>
          </cell>
          <cell r="X44330" t="str">
            <v>Variation UPR - gross</v>
          </cell>
          <cell r="Y44330" t="str">
            <v>FRANCE</v>
          </cell>
        </row>
        <row r="44331">
          <cell r="L44331" t="str">
            <v>Proportional</v>
          </cell>
          <cell r="S44331">
            <v>50993.38</v>
          </cell>
          <cell r="X44331" t="str">
            <v>Variation UPR - gross</v>
          </cell>
          <cell r="Y44331" t="str">
            <v>ITALY</v>
          </cell>
        </row>
        <row r="44332">
          <cell r="L44332" t="str">
            <v>Non-proportional</v>
          </cell>
          <cell r="S44332">
            <v>-12208.98</v>
          </cell>
          <cell r="X44332" t="str">
            <v>Variation UPR - gross</v>
          </cell>
          <cell r="Y44332" t="str">
            <v>INDIA</v>
          </cell>
        </row>
        <row r="44333">
          <cell r="L44333" t="str">
            <v>Non-proportional</v>
          </cell>
          <cell r="S44333">
            <v>-7036.69</v>
          </cell>
          <cell r="X44333" t="str">
            <v>Variation UPR - gross</v>
          </cell>
          <cell r="Y44333" t="str">
            <v>UNITED KINGDOM</v>
          </cell>
        </row>
        <row r="44334">
          <cell r="L44334" t="str">
            <v>Proportional</v>
          </cell>
          <cell r="S44334">
            <v>-667.7</v>
          </cell>
          <cell r="X44334" t="str">
            <v>Variation UPR - gross</v>
          </cell>
          <cell r="Y44334" t="str">
            <v>UNITED STATES</v>
          </cell>
        </row>
        <row r="44335">
          <cell r="L44335" t="str">
            <v>Non-proportional</v>
          </cell>
          <cell r="S44335">
            <v>454.76</v>
          </cell>
          <cell r="X44335" t="str">
            <v>Variation UPR - gross</v>
          </cell>
          <cell r="Y44335" t="str">
            <v>AUSTRALIA</v>
          </cell>
        </row>
        <row r="44336">
          <cell r="L44336" t="str">
            <v>Non-proportional</v>
          </cell>
          <cell r="S44336">
            <v>-894.28</v>
          </cell>
          <cell r="X44336" t="str">
            <v>Variation UPR - gross</v>
          </cell>
          <cell r="Y44336" t="str">
            <v>PUERTO RICO</v>
          </cell>
        </row>
        <row r="44337">
          <cell r="L44337" t="str">
            <v>Non-proportional</v>
          </cell>
          <cell r="S44337">
            <v>-13920.11</v>
          </cell>
          <cell r="X44337" t="str">
            <v>Variation UPR - gross</v>
          </cell>
          <cell r="Y44337" t="str">
            <v>ISRAEL</v>
          </cell>
        </row>
        <row r="44338">
          <cell r="L44338" t="str">
            <v>Non-proportional</v>
          </cell>
          <cell r="S44338">
            <v>-864.59</v>
          </cell>
          <cell r="X44338" t="str">
            <v>Variation UPR - gross</v>
          </cell>
          <cell r="Y44338" t="str">
            <v>COSTA RICA</v>
          </cell>
        </row>
        <row r="44339">
          <cell r="L44339" t="str">
            <v>Non-proportional</v>
          </cell>
          <cell r="S44339">
            <v>-2700.31</v>
          </cell>
          <cell r="X44339" t="str">
            <v>Variation UPR - gross</v>
          </cell>
          <cell r="Y44339" t="str">
            <v>ECUADOR</v>
          </cell>
        </row>
        <row r="44340">
          <cell r="L44340" t="str">
            <v>Non-proportional</v>
          </cell>
          <cell r="S44340">
            <v>-15154.09</v>
          </cell>
          <cell r="X44340" t="str">
            <v>Variation UPR - gross</v>
          </cell>
          <cell r="Y44340" t="str">
            <v>NEW ZEALAND</v>
          </cell>
        </row>
        <row r="44341">
          <cell r="L44341" t="str">
            <v>Non-proportional</v>
          </cell>
          <cell r="S44341">
            <v>-8750</v>
          </cell>
          <cell r="X44341" t="str">
            <v>Variation UPR - gross</v>
          </cell>
          <cell r="Y44341" t="str">
            <v>EUROPE</v>
          </cell>
        </row>
        <row r="44342">
          <cell r="L44342" t="str">
            <v>Non-proportional</v>
          </cell>
          <cell r="S44342">
            <v>-831.98</v>
          </cell>
          <cell r="X44342" t="str">
            <v>Variation UPR - gross</v>
          </cell>
          <cell r="Y44342" t="str">
            <v>FRANCE</v>
          </cell>
        </row>
        <row r="44343">
          <cell r="L44343" t="str">
            <v>Non-proportional</v>
          </cell>
          <cell r="S44343">
            <v>-905.42</v>
          </cell>
          <cell r="X44343" t="str">
            <v>Variation UPR - gross</v>
          </cell>
          <cell r="Y44343" t="str">
            <v>ITALY</v>
          </cell>
        </row>
        <row r="44344">
          <cell r="L44344" t="str">
            <v>Non-proportional</v>
          </cell>
          <cell r="S44344">
            <v>-7663.62</v>
          </cell>
          <cell r="X44344" t="str">
            <v>Variation UPR - gross</v>
          </cell>
          <cell r="Y44344" t="str">
            <v>CHILE</v>
          </cell>
        </row>
        <row r="44345">
          <cell r="L44345" t="str">
            <v>Non-proportional</v>
          </cell>
          <cell r="S44345">
            <v>-38.630000000000003</v>
          </cell>
          <cell r="X44345" t="str">
            <v>Variation UPR - gross</v>
          </cell>
          <cell r="Y44345" t="str">
            <v>ISRAEL</v>
          </cell>
        </row>
        <row r="44346">
          <cell r="L44346" t="str">
            <v>Non-proportional</v>
          </cell>
          <cell r="S44346">
            <v>0.03</v>
          </cell>
          <cell r="X44346" t="str">
            <v>Variation UPR - gross</v>
          </cell>
          <cell r="Y44346" t="str">
            <v>COLOMBIA</v>
          </cell>
        </row>
        <row r="44347">
          <cell r="L44347" t="str">
            <v>Non-proportional</v>
          </cell>
          <cell r="S44347">
            <v>-1622.29</v>
          </cell>
          <cell r="X44347" t="str">
            <v>Variation UPR - gross</v>
          </cell>
          <cell r="Y44347" t="str">
            <v>ECUADOR</v>
          </cell>
        </row>
        <row r="44348">
          <cell r="L44348" t="str">
            <v>Non-proportional</v>
          </cell>
          <cell r="S44348">
            <v>-940.77</v>
          </cell>
          <cell r="X44348" t="str">
            <v>Variation UPR - gross</v>
          </cell>
          <cell r="Y44348" t="str">
            <v>ECUADOR</v>
          </cell>
        </row>
        <row r="44349">
          <cell r="L44349" t="str">
            <v>Non-proportional</v>
          </cell>
          <cell r="S44349">
            <v>-7586.5</v>
          </cell>
          <cell r="X44349" t="str">
            <v>Variation UPR - gross</v>
          </cell>
          <cell r="Y44349" t="str">
            <v>FRANCE</v>
          </cell>
        </row>
        <row r="44350">
          <cell r="L44350" t="str">
            <v>Non-proportional</v>
          </cell>
          <cell r="S44350">
            <v>-3773.64</v>
          </cell>
          <cell r="X44350" t="str">
            <v>Variation UPR - gross</v>
          </cell>
          <cell r="Y44350" t="str">
            <v>THAILAND</v>
          </cell>
        </row>
        <row r="44351">
          <cell r="L44351" t="str">
            <v>Non-proportional</v>
          </cell>
          <cell r="S44351">
            <v>-9251.26</v>
          </cell>
          <cell r="X44351" t="str">
            <v>Variation UPR - gross</v>
          </cell>
          <cell r="Y44351" t="str">
            <v>ITALY</v>
          </cell>
        </row>
        <row r="44352">
          <cell r="L44352" t="str">
            <v>Non-proportional</v>
          </cell>
          <cell r="S44352">
            <v>-135.4</v>
          </cell>
          <cell r="X44352" t="str">
            <v>Variation UPR - gross</v>
          </cell>
          <cell r="Y44352" t="str">
            <v>FRANCE</v>
          </cell>
        </row>
        <row r="44353">
          <cell r="L44353" t="str">
            <v>Non-proportional</v>
          </cell>
          <cell r="S44353">
            <v>-4675.13</v>
          </cell>
          <cell r="X44353" t="str">
            <v>Variation UPR - gross</v>
          </cell>
          <cell r="Y44353" t="str">
            <v>CYPRUS</v>
          </cell>
        </row>
        <row r="44354">
          <cell r="L44354" t="str">
            <v>Proportional</v>
          </cell>
          <cell r="S44354">
            <v>-62985.599999999999</v>
          </cell>
          <cell r="X44354" t="str">
            <v>Variation UPR - gross</v>
          </cell>
          <cell r="Y44354" t="str">
            <v>FRANCE</v>
          </cell>
        </row>
        <row r="44355">
          <cell r="L44355" t="str">
            <v>Non-proportional</v>
          </cell>
          <cell r="S44355">
            <v>-5312.78</v>
          </cell>
          <cell r="X44355" t="str">
            <v>Variation UPR - gross</v>
          </cell>
          <cell r="Y44355" t="str">
            <v>NETHERLANDS</v>
          </cell>
        </row>
        <row r="44356">
          <cell r="L44356" t="str">
            <v>Proportional</v>
          </cell>
          <cell r="S44356">
            <v>-21011.91</v>
          </cell>
          <cell r="X44356" t="str">
            <v>Variation UPR - gross</v>
          </cell>
          <cell r="Y44356" t="str">
            <v>THAILAND</v>
          </cell>
        </row>
        <row r="44357">
          <cell r="L44357" t="str">
            <v>Non-proportional</v>
          </cell>
          <cell r="S44357">
            <v>-12664.64</v>
          </cell>
          <cell r="X44357" t="str">
            <v>Variation UPR - gross</v>
          </cell>
          <cell r="Y44357" t="str">
            <v>FRANCE</v>
          </cell>
        </row>
        <row r="44358">
          <cell r="L44358" t="str">
            <v>Non-proportional</v>
          </cell>
          <cell r="S44358">
            <v>-3912.26</v>
          </cell>
          <cell r="X44358" t="str">
            <v>Variation UPR - gross</v>
          </cell>
          <cell r="Y44358" t="str">
            <v>SPAIN</v>
          </cell>
        </row>
        <row r="44359">
          <cell r="L44359" t="str">
            <v>Non-proportional</v>
          </cell>
          <cell r="S44359">
            <v>-5030.62</v>
          </cell>
          <cell r="X44359" t="str">
            <v>Variation UPR - gross</v>
          </cell>
          <cell r="Y44359" t="str">
            <v>SOUTH AFRICA</v>
          </cell>
        </row>
        <row r="44360">
          <cell r="L44360" t="str">
            <v>Non-proportional</v>
          </cell>
          <cell r="S44360">
            <v>-5112.3500000000004</v>
          </cell>
          <cell r="X44360" t="str">
            <v>Variation UPR - gross</v>
          </cell>
          <cell r="Y44360" t="str">
            <v>COLOMBIA</v>
          </cell>
        </row>
        <row r="44361">
          <cell r="L44361" t="str">
            <v>Non-proportional</v>
          </cell>
          <cell r="S44361">
            <v>-3543.06</v>
          </cell>
          <cell r="X44361" t="str">
            <v>Variation UPR - gross</v>
          </cell>
          <cell r="Y44361" t="str">
            <v>UNITED KINGDOM</v>
          </cell>
        </row>
        <row r="44362">
          <cell r="L44362" t="str">
            <v>Non-proportional</v>
          </cell>
          <cell r="S44362">
            <v>7.87</v>
          </cell>
          <cell r="X44362" t="str">
            <v>Variation UPR - gross</v>
          </cell>
          <cell r="Y44362" t="str">
            <v>DOMINICAN REPUBLIC</v>
          </cell>
        </row>
        <row r="44363">
          <cell r="L44363" t="str">
            <v>Non-proportional</v>
          </cell>
          <cell r="S44363">
            <v>-73613.48</v>
          </cell>
          <cell r="X44363" t="str">
            <v>Variation UPR - gross</v>
          </cell>
          <cell r="Y44363" t="str">
            <v>UNITED KINGDOM</v>
          </cell>
        </row>
        <row r="44364">
          <cell r="L44364" t="str">
            <v>Non-proportional</v>
          </cell>
          <cell r="S44364">
            <v>-7488.92</v>
          </cell>
          <cell r="X44364" t="str">
            <v>Variation UPR - gross</v>
          </cell>
          <cell r="Y44364" t="str">
            <v>UNITED KINGDOM</v>
          </cell>
        </row>
        <row r="44365">
          <cell r="L44365" t="str">
            <v>Non-proportional</v>
          </cell>
          <cell r="S44365">
            <v>-8400.51</v>
          </cell>
          <cell r="X44365" t="str">
            <v>Variation UPR - gross</v>
          </cell>
          <cell r="Y44365" t="str">
            <v>CHILE</v>
          </cell>
        </row>
        <row r="44366">
          <cell r="L44366" t="str">
            <v>Proportional</v>
          </cell>
          <cell r="S44366">
            <v>-66.84</v>
          </cell>
          <cell r="X44366" t="str">
            <v>Variation UPR - gross</v>
          </cell>
          <cell r="Y44366" t="str">
            <v>AUSTRALIA</v>
          </cell>
        </row>
        <row r="44367">
          <cell r="L44367" t="str">
            <v>Proportional</v>
          </cell>
          <cell r="S44367">
            <v>-5789.57</v>
          </cell>
          <cell r="X44367" t="str">
            <v>Variation UPR - gross</v>
          </cell>
          <cell r="Y44367" t="str">
            <v>PERU</v>
          </cell>
        </row>
        <row r="44368">
          <cell r="L44368" t="str">
            <v>Non-proportional</v>
          </cell>
          <cell r="S44368">
            <v>0</v>
          </cell>
          <cell r="X44368" t="str">
            <v>Variation UPR - gross</v>
          </cell>
          <cell r="Y44368" t="str">
            <v>BRAZIL</v>
          </cell>
        </row>
        <row r="44369">
          <cell r="L44369" t="str">
            <v>Non-proportional</v>
          </cell>
          <cell r="S44369">
            <v>69.47</v>
          </cell>
          <cell r="X44369" t="str">
            <v>Variation UPR - gross</v>
          </cell>
          <cell r="Y44369" t="str">
            <v>NEW ZEALAND</v>
          </cell>
        </row>
        <row r="44370">
          <cell r="L44370" t="str">
            <v>Non-proportional</v>
          </cell>
          <cell r="S44370">
            <v>-860</v>
          </cell>
          <cell r="X44370" t="str">
            <v>Variation UPR - gross</v>
          </cell>
          <cell r="Y44370" t="str">
            <v>GREECE</v>
          </cell>
        </row>
        <row r="44371">
          <cell r="L44371" t="str">
            <v>Non-proportional</v>
          </cell>
          <cell r="S44371">
            <v>-8020.48</v>
          </cell>
          <cell r="X44371" t="str">
            <v>Variation UPR - gross</v>
          </cell>
          <cell r="Y44371" t="str">
            <v>TURKEY</v>
          </cell>
        </row>
        <row r="44372">
          <cell r="L44372" t="str">
            <v>Non-proportional</v>
          </cell>
          <cell r="S44372">
            <v>-4185.91</v>
          </cell>
          <cell r="X44372" t="str">
            <v>Variation UPR - gross</v>
          </cell>
          <cell r="Y44372" t="str">
            <v>FRANCE</v>
          </cell>
        </row>
        <row r="44373">
          <cell r="L44373" t="str">
            <v>Non-proportional</v>
          </cell>
          <cell r="S44373">
            <v>-698.58</v>
          </cell>
          <cell r="X44373" t="str">
            <v>Variation UPR - gross</v>
          </cell>
          <cell r="Y44373" t="str">
            <v>ITALY</v>
          </cell>
        </row>
        <row r="44374">
          <cell r="L44374" t="str">
            <v>Proportional</v>
          </cell>
          <cell r="S44374">
            <v>-31236.7</v>
          </cell>
          <cell r="X44374" t="str">
            <v>Variation UPR - gross</v>
          </cell>
          <cell r="Y44374" t="str">
            <v>AUSTRALIA</v>
          </cell>
        </row>
        <row r="44375">
          <cell r="L44375" t="str">
            <v>Non-proportional</v>
          </cell>
          <cell r="S44375">
            <v>-3426.3</v>
          </cell>
          <cell r="X44375" t="str">
            <v>Variation UPR - gross</v>
          </cell>
          <cell r="Y44375" t="str">
            <v>DOMINICAN REPUBLIC</v>
          </cell>
        </row>
        <row r="44376">
          <cell r="L44376" t="str">
            <v>Proportional</v>
          </cell>
          <cell r="S44376">
            <v>-786.62</v>
          </cell>
          <cell r="X44376" t="str">
            <v>Variation UPR - gross</v>
          </cell>
          <cell r="Y44376" t="str">
            <v>CHILE</v>
          </cell>
        </row>
        <row r="44377">
          <cell r="L44377" t="str">
            <v>Non-proportional</v>
          </cell>
          <cell r="S44377">
            <v>-24280.16</v>
          </cell>
          <cell r="X44377" t="str">
            <v>Variation UPR - gross</v>
          </cell>
          <cell r="Y44377" t="str">
            <v>ISRAEL</v>
          </cell>
        </row>
        <row r="44378">
          <cell r="L44378" t="str">
            <v>Non-proportional</v>
          </cell>
          <cell r="S44378">
            <v>0.01</v>
          </cell>
          <cell r="X44378" t="str">
            <v>Variation UPR - gross</v>
          </cell>
          <cell r="Y44378" t="str">
            <v>DOMINICAN REPUBLIC</v>
          </cell>
        </row>
        <row r="44379">
          <cell r="L44379" t="str">
            <v>Non-proportional</v>
          </cell>
          <cell r="S44379">
            <v>-6742.51</v>
          </cell>
          <cell r="X44379" t="str">
            <v>Variation UPR - gross</v>
          </cell>
          <cell r="Y44379" t="str">
            <v>CHILE</v>
          </cell>
        </row>
        <row r="44380">
          <cell r="L44380" t="str">
            <v>Non-proportional</v>
          </cell>
          <cell r="S44380">
            <v>-5563.5</v>
          </cell>
          <cell r="X44380" t="str">
            <v>Variation UPR - gross</v>
          </cell>
          <cell r="Y44380" t="str">
            <v>CHILE</v>
          </cell>
        </row>
        <row r="44381">
          <cell r="L44381" t="str">
            <v>Non-proportional</v>
          </cell>
          <cell r="S44381">
            <v>-5713.95</v>
          </cell>
          <cell r="X44381" t="str">
            <v>Variation UPR - gross</v>
          </cell>
          <cell r="Y44381" t="str">
            <v>PUERTO RICO</v>
          </cell>
        </row>
        <row r="44382">
          <cell r="L44382" t="str">
            <v>Proportional</v>
          </cell>
          <cell r="S44382">
            <v>-2579.1</v>
          </cell>
          <cell r="X44382" t="str">
            <v>Variation UPR - gross</v>
          </cell>
          <cell r="Y44382" t="str">
            <v>CHILE</v>
          </cell>
        </row>
        <row r="44383">
          <cell r="L44383" t="str">
            <v>Non-proportional</v>
          </cell>
          <cell r="S44383">
            <v>-49001.62</v>
          </cell>
          <cell r="X44383" t="str">
            <v>Variation UPR - gross</v>
          </cell>
          <cell r="Y44383" t="str">
            <v>UNITED KINGDOM</v>
          </cell>
        </row>
        <row r="44384">
          <cell r="L44384" t="str">
            <v>Non-proportional</v>
          </cell>
          <cell r="S44384">
            <v>-3319.72</v>
          </cell>
          <cell r="X44384" t="str">
            <v>Variation UPR - gross</v>
          </cell>
          <cell r="Y44384" t="str">
            <v>DOMINICAN REPUBLIC</v>
          </cell>
        </row>
        <row r="44385">
          <cell r="L44385" t="str">
            <v>Non-proportional</v>
          </cell>
          <cell r="S44385">
            <v>-9000.9</v>
          </cell>
          <cell r="X44385" t="str">
            <v>Variation UPR - gross</v>
          </cell>
          <cell r="Y44385" t="str">
            <v>NEW ZEALAND</v>
          </cell>
        </row>
        <row r="44386">
          <cell r="L44386" t="str">
            <v>Non-proportional</v>
          </cell>
          <cell r="S44386">
            <v>-138300.32999999999</v>
          </cell>
          <cell r="X44386" t="str">
            <v>Variation UPR - gross</v>
          </cell>
          <cell r="Y44386" t="str">
            <v>PORTUGAL</v>
          </cell>
        </row>
        <row r="44387">
          <cell r="L44387" t="str">
            <v>Non-proportional</v>
          </cell>
          <cell r="S44387">
            <v>-3249.09</v>
          </cell>
          <cell r="X44387" t="str">
            <v>Variation UPR - gross</v>
          </cell>
          <cell r="Y44387" t="str">
            <v>FRANCE</v>
          </cell>
        </row>
        <row r="44388">
          <cell r="L44388" t="str">
            <v>Proportional</v>
          </cell>
          <cell r="S44388">
            <v>8831.42</v>
          </cell>
          <cell r="X44388" t="str">
            <v>Variation UPR - gross</v>
          </cell>
          <cell r="Y44388" t="str">
            <v>THAILAND</v>
          </cell>
        </row>
        <row r="44389">
          <cell r="L44389" t="str">
            <v>Non-proportional</v>
          </cell>
          <cell r="S44389">
            <v>-3143.33</v>
          </cell>
          <cell r="X44389" t="str">
            <v>Variation UPR - gross</v>
          </cell>
          <cell r="Y44389" t="str">
            <v>GERMANY</v>
          </cell>
        </row>
        <row r="44390">
          <cell r="L44390" t="str">
            <v>Non-proportional</v>
          </cell>
          <cell r="S44390">
            <v>-205.67</v>
          </cell>
          <cell r="X44390" t="str">
            <v>Variation UPR - gross</v>
          </cell>
          <cell r="Y44390" t="str">
            <v>FRANCE</v>
          </cell>
        </row>
        <row r="44391">
          <cell r="L44391" t="str">
            <v>Non-proportional</v>
          </cell>
          <cell r="S44391">
            <v>-11285.94</v>
          </cell>
          <cell r="X44391" t="str">
            <v>Variation UPR - gross</v>
          </cell>
          <cell r="Y44391" t="str">
            <v>AUSTRALIA</v>
          </cell>
        </row>
        <row r="44392">
          <cell r="L44392" t="str">
            <v>Non-proportional</v>
          </cell>
          <cell r="S44392">
            <v>-257955.8</v>
          </cell>
          <cell r="X44392" t="str">
            <v>Variation UPR - gross</v>
          </cell>
          <cell r="Y44392" t="str">
            <v>UNITED KINGDOM</v>
          </cell>
        </row>
        <row r="44393">
          <cell r="L44393" t="str">
            <v>Non-proportional</v>
          </cell>
          <cell r="S44393">
            <v>-1363.77</v>
          </cell>
          <cell r="X44393" t="str">
            <v>Variation UPR - gross</v>
          </cell>
          <cell r="Y44393" t="str">
            <v>ISRAEL</v>
          </cell>
        </row>
        <row r="44394">
          <cell r="L44394" t="str">
            <v>Non-proportional</v>
          </cell>
          <cell r="S44394">
            <v>-3237.66</v>
          </cell>
          <cell r="X44394" t="str">
            <v>Variation UPR - gross</v>
          </cell>
          <cell r="Y44394" t="str">
            <v>ISRAEL</v>
          </cell>
        </row>
        <row r="44395">
          <cell r="L44395" t="str">
            <v>Non-proportional</v>
          </cell>
          <cell r="S44395">
            <v>-36.840000000000003</v>
          </cell>
          <cell r="X44395" t="str">
            <v>Variation UPR - gross</v>
          </cell>
          <cell r="Y44395" t="str">
            <v>CHILE</v>
          </cell>
        </row>
        <row r="44396">
          <cell r="L44396" t="str">
            <v>Non-proportional</v>
          </cell>
          <cell r="S44396">
            <v>-11112.95</v>
          </cell>
          <cell r="X44396" t="str">
            <v>Variation UPR - gross</v>
          </cell>
          <cell r="Y44396" t="str">
            <v>PERU</v>
          </cell>
        </row>
        <row r="44397">
          <cell r="L44397" t="str">
            <v>Non-proportional</v>
          </cell>
          <cell r="S44397">
            <v>-7612.91</v>
          </cell>
          <cell r="X44397" t="str">
            <v>Variation UPR - gross</v>
          </cell>
          <cell r="Y44397" t="str">
            <v>NEW ZEALAND</v>
          </cell>
        </row>
        <row r="44398">
          <cell r="L44398" t="str">
            <v>Non-proportional</v>
          </cell>
          <cell r="S44398">
            <v>-1749.93</v>
          </cell>
          <cell r="X44398" t="str">
            <v>Variation UPR - gross</v>
          </cell>
          <cell r="Y44398" t="str">
            <v>EUROPE</v>
          </cell>
        </row>
        <row r="44399">
          <cell r="L44399" t="str">
            <v>Non-proportional</v>
          </cell>
          <cell r="S44399">
            <v>-9053.2099999999991</v>
          </cell>
          <cell r="X44399" t="str">
            <v>Variation UPR - gross</v>
          </cell>
          <cell r="Y44399" t="str">
            <v>ITALY</v>
          </cell>
        </row>
        <row r="44400">
          <cell r="L44400" t="str">
            <v>Non-proportional</v>
          </cell>
          <cell r="S44400">
            <v>-6562.5</v>
          </cell>
          <cell r="X44400" t="str">
            <v>Variation UPR - gross</v>
          </cell>
          <cell r="Y44400" t="str">
            <v>ITALY</v>
          </cell>
        </row>
        <row r="44401">
          <cell r="L44401" t="str">
            <v>Non-proportional</v>
          </cell>
          <cell r="S44401">
            <v>-9985.8700000000008</v>
          </cell>
          <cell r="X44401" t="str">
            <v>Variation UPR - gross</v>
          </cell>
          <cell r="Y44401" t="str">
            <v>FRANCE</v>
          </cell>
        </row>
        <row r="44402">
          <cell r="L44402" t="str">
            <v>Non-proportional</v>
          </cell>
          <cell r="S44402">
            <v>-387.5</v>
          </cell>
          <cell r="X44402" t="str">
            <v>Variation UPR - gross</v>
          </cell>
          <cell r="Y44402" t="str">
            <v>ITALY</v>
          </cell>
        </row>
        <row r="44403">
          <cell r="L44403" t="str">
            <v>Proportional</v>
          </cell>
          <cell r="S44403">
            <v>-3645</v>
          </cell>
          <cell r="X44403" t="str">
            <v>Variation UPR - gross</v>
          </cell>
          <cell r="Y44403" t="str">
            <v>ITALY</v>
          </cell>
        </row>
        <row r="44404">
          <cell r="L44404" t="str">
            <v>Non-proportional</v>
          </cell>
          <cell r="S44404">
            <v>-1247.6099999999999</v>
          </cell>
          <cell r="X44404" t="str">
            <v>Variation UPR - gross</v>
          </cell>
          <cell r="Y44404" t="str">
            <v>PERU</v>
          </cell>
        </row>
        <row r="44405">
          <cell r="L44405" t="str">
            <v>Non-proportional</v>
          </cell>
          <cell r="S44405">
            <v>-4520.1000000000004</v>
          </cell>
          <cell r="X44405" t="str">
            <v>Variation UPR - gross</v>
          </cell>
          <cell r="Y44405" t="str">
            <v>BRAZIL</v>
          </cell>
        </row>
        <row r="44406">
          <cell r="L44406" t="str">
            <v>Non-proportional</v>
          </cell>
          <cell r="S44406">
            <v>59798.37</v>
          </cell>
          <cell r="X44406" t="str">
            <v>Variation UPR - gross</v>
          </cell>
          <cell r="Y44406" t="str">
            <v>CHILE</v>
          </cell>
        </row>
        <row r="44407">
          <cell r="L44407" t="str">
            <v>Non-proportional</v>
          </cell>
          <cell r="S44407">
            <v>-23043.78</v>
          </cell>
          <cell r="X44407" t="str">
            <v>Variation UPR - gross</v>
          </cell>
          <cell r="Y44407" t="str">
            <v>UNITED KINGDOM</v>
          </cell>
        </row>
        <row r="44408">
          <cell r="L44408" t="str">
            <v>Non-proportional</v>
          </cell>
          <cell r="S44408">
            <v>42.88</v>
          </cell>
          <cell r="X44408" t="str">
            <v>Variation UPR - gross</v>
          </cell>
          <cell r="Y44408" t="str">
            <v>DOMINICAN REPUBLIC</v>
          </cell>
        </row>
        <row r="44409">
          <cell r="L44409" t="str">
            <v>Non-proportional</v>
          </cell>
          <cell r="S44409">
            <v>-2142.04</v>
          </cell>
          <cell r="X44409" t="str">
            <v>Variation UPR - gross</v>
          </cell>
          <cell r="Y44409" t="str">
            <v>UNITED KINGDOM</v>
          </cell>
        </row>
        <row r="44410">
          <cell r="L44410" t="str">
            <v>Non-proportional</v>
          </cell>
          <cell r="S44410">
            <v>-718.6</v>
          </cell>
          <cell r="X44410" t="str">
            <v>Variation UPR - gross</v>
          </cell>
          <cell r="Y44410" t="str">
            <v>JAPAN</v>
          </cell>
        </row>
        <row r="44411">
          <cell r="L44411" t="str">
            <v>Non-proportional</v>
          </cell>
          <cell r="S44411">
            <v>13.24</v>
          </cell>
          <cell r="X44411" t="str">
            <v>Variation UPR - gross</v>
          </cell>
          <cell r="Y44411" t="str">
            <v>CHINA</v>
          </cell>
        </row>
        <row r="44412">
          <cell r="L44412" t="str">
            <v>Non-proportional</v>
          </cell>
          <cell r="S44412">
            <v>10.039999999999999</v>
          </cell>
          <cell r="X44412" t="str">
            <v>Variation UPR - gross</v>
          </cell>
          <cell r="Y44412" t="str">
            <v>NEW ZEALAND</v>
          </cell>
        </row>
        <row r="44413">
          <cell r="L44413" t="str">
            <v>Non-proportional</v>
          </cell>
          <cell r="S44413">
            <v>-3906.16</v>
          </cell>
          <cell r="X44413" t="str">
            <v>Variation UPR - gross</v>
          </cell>
          <cell r="Y44413" t="str">
            <v>EUROPE</v>
          </cell>
        </row>
        <row r="44414">
          <cell r="L44414" t="str">
            <v>Non-proportional</v>
          </cell>
          <cell r="S44414">
            <v>-375978.63</v>
          </cell>
          <cell r="X44414" t="str">
            <v>Variation UPR - gross</v>
          </cell>
          <cell r="Y44414" t="str">
            <v>PORTUGAL</v>
          </cell>
        </row>
        <row r="44415">
          <cell r="L44415" t="str">
            <v>Non-proportional</v>
          </cell>
          <cell r="S44415">
            <v>-800</v>
          </cell>
          <cell r="X44415" t="str">
            <v>Variation UPR - gross</v>
          </cell>
          <cell r="Y44415" t="str">
            <v>ITALY</v>
          </cell>
        </row>
        <row r="44416">
          <cell r="L44416" t="str">
            <v>Proportional</v>
          </cell>
          <cell r="S44416">
            <v>10954.36</v>
          </cell>
          <cell r="X44416" t="str">
            <v>Variation UPR - gross</v>
          </cell>
          <cell r="Y44416" t="str">
            <v>THAILAND</v>
          </cell>
        </row>
        <row r="44417">
          <cell r="L44417" t="str">
            <v>Non-proportional</v>
          </cell>
          <cell r="S44417">
            <v>-3828.13</v>
          </cell>
          <cell r="X44417" t="str">
            <v>Variation UPR - gross</v>
          </cell>
          <cell r="Y44417" t="str">
            <v>ITALY</v>
          </cell>
        </row>
        <row r="44418">
          <cell r="L44418" t="str">
            <v>Non-proportional</v>
          </cell>
          <cell r="S44418">
            <v>-9832.7800000000007</v>
          </cell>
          <cell r="X44418" t="str">
            <v>Variation UPR - gross</v>
          </cell>
          <cell r="Y44418" t="str">
            <v>FRANCE</v>
          </cell>
        </row>
        <row r="44419">
          <cell r="L44419" t="str">
            <v>Proportional</v>
          </cell>
          <cell r="S44419">
            <v>-62.29</v>
          </cell>
          <cell r="X44419" t="str">
            <v>Variation UPR - gross</v>
          </cell>
          <cell r="Y44419" t="str">
            <v>THAILAND</v>
          </cell>
        </row>
        <row r="44420">
          <cell r="L44420" t="str">
            <v>Non-proportional</v>
          </cell>
          <cell r="S44420">
            <v>-221935</v>
          </cell>
          <cell r="X44420" t="str">
            <v>Variation UPR - gross</v>
          </cell>
          <cell r="Y44420" t="str">
            <v>BELGIUM</v>
          </cell>
        </row>
        <row r="44421">
          <cell r="L44421" t="str">
            <v>Non-proportional</v>
          </cell>
          <cell r="S44421">
            <v>-66</v>
          </cell>
          <cell r="X44421" t="str">
            <v>Variation UPR - gross</v>
          </cell>
          <cell r="Y44421" t="str">
            <v>ISRAEL</v>
          </cell>
        </row>
        <row r="44422">
          <cell r="L44422" t="str">
            <v>Non-proportional</v>
          </cell>
          <cell r="S44422">
            <v>-201.26</v>
          </cell>
          <cell r="X44422" t="str">
            <v>Variation UPR - gross</v>
          </cell>
          <cell r="Y44422" t="str">
            <v>COLOMBIA</v>
          </cell>
        </row>
        <row r="44423">
          <cell r="L44423" t="str">
            <v>Non-proportional</v>
          </cell>
          <cell r="S44423">
            <v>-73.69</v>
          </cell>
          <cell r="X44423" t="str">
            <v>Variation UPR - gross</v>
          </cell>
          <cell r="Y44423" t="str">
            <v>CHILE</v>
          </cell>
        </row>
        <row r="44424">
          <cell r="L44424" t="str">
            <v>Proportional</v>
          </cell>
          <cell r="S44424">
            <v>-54485.37</v>
          </cell>
          <cell r="X44424" t="str">
            <v>Variation UPR - gross</v>
          </cell>
          <cell r="Y44424" t="str">
            <v>UNITED ARAB EMIRATES</v>
          </cell>
        </row>
        <row r="44425">
          <cell r="L44425" t="str">
            <v>Non-proportional</v>
          </cell>
          <cell r="S44425">
            <v>-6555.67</v>
          </cell>
          <cell r="X44425" t="str">
            <v>Variation UPR - gross</v>
          </cell>
          <cell r="Y44425" t="str">
            <v>UNITED KINGDOM</v>
          </cell>
        </row>
        <row r="44426">
          <cell r="L44426" t="str">
            <v>Non-proportional</v>
          </cell>
          <cell r="S44426">
            <v>86.86</v>
          </cell>
          <cell r="X44426" t="str">
            <v>Variation UPR - gross</v>
          </cell>
          <cell r="Y44426" t="str">
            <v>JAPAN</v>
          </cell>
        </row>
        <row r="44427">
          <cell r="L44427" t="str">
            <v>Non-proportional</v>
          </cell>
          <cell r="S44427">
            <v>-1939.65</v>
          </cell>
          <cell r="X44427" t="str">
            <v>Variation UPR - gross</v>
          </cell>
          <cell r="Y44427" t="str">
            <v>DOMINICAN REPUBLIC</v>
          </cell>
        </row>
        <row r="44428">
          <cell r="L44428" t="str">
            <v>Non-proportional</v>
          </cell>
          <cell r="S44428">
            <v>902.08</v>
          </cell>
          <cell r="X44428" t="str">
            <v>Variation UPR - gross</v>
          </cell>
          <cell r="Y44428" t="str">
            <v>JAPAN</v>
          </cell>
        </row>
        <row r="44429">
          <cell r="L44429" t="str">
            <v>Non-proportional</v>
          </cell>
          <cell r="S44429">
            <v>-2028.1</v>
          </cell>
          <cell r="X44429" t="str">
            <v>Variation UPR - gross</v>
          </cell>
          <cell r="Y44429" t="str">
            <v>JAPAN</v>
          </cell>
        </row>
        <row r="44430">
          <cell r="L44430" t="str">
            <v>Non-proportional</v>
          </cell>
          <cell r="S44430">
            <v>-1736.4</v>
          </cell>
          <cell r="X44430" t="str">
            <v>Variation UPR - gross</v>
          </cell>
          <cell r="Y44430" t="str">
            <v>DOMINICAN REPUBLIC</v>
          </cell>
        </row>
        <row r="44431">
          <cell r="L44431" t="str">
            <v>Non-proportional</v>
          </cell>
          <cell r="S44431">
            <v>-2517.67</v>
          </cell>
          <cell r="X44431" t="str">
            <v>Variation UPR - gross</v>
          </cell>
          <cell r="Y44431" t="str">
            <v>ITALY</v>
          </cell>
        </row>
        <row r="44432">
          <cell r="L44432" t="str">
            <v>Non-proportional</v>
          </cell>
          <cell r="S44432">
            <v>-2029.61</v>
          </cell>
          <cell r="X44432" t="str">
            <v>Variation UPR - gross</v>
          </cell>
          <cell r="Y44432" t="str">
            <v>INDIA</v>
          </cell>
        </row>
        <row r="44433">
          <cell r="L44433" t="str">
            <v>Non-proportional</v>
          </cell>
          <cell r="S44433">
            <v>-885.89</v>
          </cell>
          <cell r="X44433" t="str">
            <v>Variation UPR - gross</v>
          </cell>
          <cell r="Y44433" t="str">
            <v>INDIA</v>
          </cell>
        </row>
        <row r="44434">
          <cell r="L44434" t="str">
            <v>Non-proportional</v>
          </cell>
          <cell r="S44434">
            <v>-40000</v>
          </cell>
          <cell r="X44434" t="str">
            <v>Variation UPR - gross</v>
          </cell>
          <cell r="Y44434" t="str">
            <v>ITALY</v>
          </cell>
        </row>
        <row r="44435">
          <cell r="L44435" t="str">
            <v>Proportional</v>
          </cell>
          <cell r="S44435">
            <v>-341.5</v>
          </cell>
          <cell r="X44435" t="str">
            <v>Variation UPR - gross</v>
          </cell>
          <cell r="Y44435" t="str">
            <v>THAILAND</v>
          </cell>
        </row>
        <row r="44436">
          <cell r="L44436" t="str">
            <v>Non-proportional</v>
          </cell>
          <cell r="S44436">
            <v>-4061.37</v>
          </cell>
          <cell r="X44436" t="str">
            <v>Variation UPR - gross</v>
          </cell>
          <cell r="Y44436" t="str">
            <v>FRANCE</v>
          </cell>
        </row>
        <row r="44437">
          <cell r="L44437" t="str">
            <v>Proportional</v>
          </cell>
          <cell r="S44437">
            <v>-12585.52</v>
          </cell>
          <cell r="X44437" t="str">
            <v>Variation UPR - gross</v>
          </cell>
          <cell r="Y44437" t="str">
            <v>THAILAND</v>
          </cell>
        </row>
        <row r="44438">
          <cell r="L44438" t="str">
            <v>Proportional</v>
          </cell>
          <cell r="S44438">
            <v>126.75</v>
          </cell>
          <cell r="X44438" t="str">
            <v>Variation UPR - gross</v>
          </cell>
          <cell r="Y44438" t="str">
            <v>THAILAND</v>
          </cell>
        </row>
        <row r="44439">
          <cell r="L44439" t="str">
            <v>Non-proportional</v>
          </cell>
          <cell r="S44439">
            <v>-40150</v>
          </cell>
          <cell r="X44439" t="str">
            <v>Variation UPR - gross</v>
          </cell>
          <cell r="Y44439" t="str">
            <v>PORTUGAL</v>
          </cell>
        </row>
        <row r="44440">
          <cell r="L44440" t="str">
            <v>Proportional</v>
          </cell>
          <cell r="S44440">
            <v>-1868.72</v>
          </cell>
          <cell r="X44440" t="str">
            <v>Variation UPR - gross</v>
          </cell>
          <cell r="Y44440" t="str">
            <v>UNITED STATES</v>
          </cell>
        </row>
        <row r="44441">
          <cell r="L44441" t="str">
            <v>Non-proportional</v>
          </cell>
          <cell r="S44441">
            <v>-5844.3</v>
          </cell>
          <cell r="X44441" t="str">
            <v>Variation UPR - gross</v>
          </cell>
          <cell r="Y44441" t="str">
            <v>SPAIN</v>
          </cell>
        </row>
        <row r="44442">
          <cell r="L44442" t="str">
            <v>Non-proportional</v>
          </cell>
          <cell r="S44442">
            <v>-19.86</v>
          </cell>
          <cell r="X44442" t="str">
            <v>Variation UPR - gross</v>
          </cell>
          <cell r="Y44442" t="str">
            <v>ISRAEL</v>
          </cell>
        </row>
        <row r="44443">
          <cell r="L44443" t="str">
            <v>Non-proportional</v>
          </cell>
          <cell r="S44443">
            <v>73.010000000000005</v>
          </cell>
          <cell r="X44443" t="str">
            <v>Variation UPR - gross</v>
          </cell>
          <cell r="Y44443" t="str">
            <v>DOMINICAN REPUBLIC</v>
          </cell>
        </row>
        <row r="44444">
          <cell r="L44444" t="str">
            <v>Non-proportional</v>
          </cell>
          <cell r="S44444">
            <v>-37.25</v>
          </cell>
          <cell r="X44444" t="str">
            <v>Variation UPR - gross</v>
          </cell>
          <cell r="Y44444" t="str">
            <v>COSTA RICA</v>
          </cell>
        </row>
        <row r="44445">
          <cell r="L44445" t="str">
            <v>Non-proportional</v>
          </cell>
          <cell r="S44445">
            <v>-3598.53</v>
          </cell>
          <cell r="X44445" t="str">
            <v>Variation UPR - gross</v>
          </cell>
          <cell r="Y44445" t="str">
            <v>BRAZIL</v>
          </cell>
        </row>
        <row r="44446">
          <cell r="L44446" t="str">
            <v>Non-proportional</v>
          </cell>
          <cell r="S44446">
            <v>107.92</v>
          </cell>
          <cell r="X44446" t="str">
            <v>Variation UPR - gross</v>
          </cell>
          <cell r="Y44446" t="str">
            <v>JAPAN</v>
          </cell>
        </row>
        <row r="44447">
          <cell r="L44447" t="str">
            <v>Non-proportional</v>
          </cell>
          <cell r="S44447">
            <v>-45939.03</v>
          </cell>
          <cell r="X44447" t="str">
            <v>Variation UPR - gross</v>
          </cell>
          <cell r="Y44447" t="str">
            <v>UNITED KINGDOM</v>
          </cell>
        </row>
        <row r="44448">
          <cell r="L44448" t="str">
            <v>Non-proportional</v>
          </cell>
          <cell r="S44448">
            <v>0</v>
          </cell>
          <cell r="X44448" t="str">
            <v>Variation UPR - gross</v>
          </cell>
          <cell r="Y44448" t="str">
            <v>BRAZIL</v>
          </cell>
        </row>
        <row r="44449">
          <cell r="L44449" t="str">
            <v>Proportional</v>
          </cell>
          <cell r="S44449">
            <v>-20338.080000000002</v>
          </cell>
          <cell r="X44449" t="str">
            <v>Variation UPR - gross</v>
          </cell>
          <cell r="Y44449" t="str">
            <v>CHILE</v>
          </cell>
        </row>
        <row r="44450">
          <cell r="L44450" t="str">
            <v>Non-proportional</v>
          </cell>
          <cell r="S44450">
            <v>-1733.75</v>
          </cell>
          <cell r="X44450" t="str">
            <v>Variation UPR - gross</v>
          </cell>
          <cell r="Y44450" t="str">
            <v>PORTUGAL</v>
          </cell>
        </row>
        <row r="44451">
          <cell r="L44451" t="str">
            <v>Non-proportional</v>
          </cell>
          <cell r="S44451">
            <v>-3500.32</v>
          </cell>
          <cell r="X44451" t="str">
            <v>Variation UPR - gross</v>
          </cell>
          <cell r="Y44451" t="str">
            <v>THAILAND</v>
          </cell>
        </row>
        <row r="44452">
          <cell r="L44452" t="str">
            <v>Non-proportional</v>
          </cell>
          <cell r="S44452">
            <v>-2120.48</v>
          </cell>
          <cell r="X44452" t="str">
            <v>Variation UPR - gross</v>
          </cell>
          <cell r="Y44452" t="str">
            <v>INDIA</v>
          </cell>
        </row>
        <row r="44453">
          <cell r="L44453" t="str">
            <v>Proportional</v>
          </cell>
          <cell r="S44453">
            <v>-98.1</v>
          </cell>
          <cell r="X44453" t="str">
            <v>Variation UPR - gross</v>
          </cell>
          <cell r="Y44453" t="str">
            <v>THAILAND</v>
          </cell>
        </row>
        <row r="44454">
          <cell r="L44454" t="str">
            <v>Non-proportional</v>
          </cell>
          <cell r="S44454">
            <v>-23187.5</v>
          </cell>
          <cell r="X44454" t="str">
            <v>Variation UPR - gross</v>
          </cell>
          <cell r="Y44454" t="str">
            <v>ITALY</v>
          </cell>
        </row>
        <row r="44455">
          <cell r="L44455" t="str">
            <v>Proportional</v>
          </cell>
          <cell r="S44455">
            <v>16514.66</v>
          </cell>
          <cell r="X44455" t="str">
            <v>Variation UPR - gross</v>
          </cell>
          <cell r="Y44455" t="str">
            <v>CHILE</v>
          </cell>
        </row>
        <row r="44456">
          <cell r="L44456" t="str">
            <v>Non-proportional</v>
          </cell>
          <cell r="S44456">
            <v>-28947.89</v>
          </cell>
          <cell r="X44456" t="str">
            <v>Variation UPR - gross</v>
          </cell>
          <cell r="Y44456" t="str">
            <v>UNITED KINGDOM</v>
          </cell>
        </row>
        <row r="44457">
          <cell r="L44457" t="str">
            <v>Non-proportional</v>
          </cell>
          <cell r="S44457">
            <v>-2727.98</v>
          </cell>
          <cell r="X44457" t="str">
            <v>Variation UPR - gross</v>
          </cell>
          <cell r="Y44457" t="str">
            <v>JAPAN</v>
          </cell>
        </row>
        <row r="44458">
          <cell r="L44458" t="str">
            <v>Non-proportional</v>
          </cell>
          <cell r="S44458">
            <v>23543.53</v>
          </cell>
          <cell r="X44458" t="str">
            <v>Variation UPR - gross</v>
          </cell>
          <cell r="Y44458" t="str">
            <v>CHILE</v>
          </cell>
        </row>
        <row r="44459">
          <cell r="L44459" t="str">
            <v>Non-proportional</v>
          </cell>
          <cell r="S44459">
            <v>-1664.5</v>
          </cell>
          <cell r="X44459" t="str">
            <v>Variation UPR - gross</v>
          </cell>
          <cell r="Y44459" t="str">
            <v>PERU</v>
          </cell>
        </row>
        <row r="44460">
          <cell r="L44460" t="str">
            <v>Non-proportional</v>
          </cell>
          <cell r="S44460">
            <v>0.02</v>
          </cell>
          <cell r="X44460" t="str">
            <v>Variation UPR - gross</v>
          </cell>
          <cell r="Y44460" t="str">
            <v>COLOMBIA</v>
          </cell>
        </row>
        <row r="44461">
          <cell r="L44461" t="str">
            <v>Non-proportional</v>
          </cell>
          <cell r="S44461">
            <v>-46632.98</v>
          </cell>
          <cell r="X44461" t="str">
            <v>Variation UPR - gross</v>
          </cell>
          <cell r="Y44461" t="str">
            <v>UNITED KINGDOM</v>
          </cell>
        </row>
        <row r="44462">
          <cell r="L44462" t="str">
            <v>Proportional</v>
          </cell>
          <cell r="S44462">
            <v>23.47</v>
          </cell>
          <cell r="X44462" t="str">
            <v>Variation UPR - gross</v>
          </cell>
          <cell r="Y44462" t="str">
            <v>UNITED STATES</v>
          </cell>
        </row>
        <row r="44463">
          <cell r="L44463" t="str">
            <v>Non-proportional</v>
          </cell>
          <cell r="S44463">
            <v>-26043.4</v>
          </cell>
          <cell r="X44463" t="str">
            <v>Variation UPR - gross</v>
          </cell>
          <cell r="Y44463" t="str">
            <v>AUSTRALIA</v>
          </cell>
        </row>
        <row r="44464">
          <cell r="L44464" t="str">
            <v>Non-proportional</v>
          </cell>
          <cell r="S44464">
            <v>-1526.16</v>
          </cell>
          <cell r="X44464" t="str">
            <v>Variation UPR - gross</v>
          </cell>
          <cell r="Y44464" t="str">
            <v>JAPAN</v>
          </cell>
        </row>
        <row r="44465">
          <cell r="L44465" t="str">
            <v>Non-proportional</v>
          </cell>
          <cell r="S44465">
            <v>-5745.35</v>
          </cell>
          <cell r="X44465" t="str">
            <v>Variation UPR - gross</v>
          </cell>
          <cell r="Y44465" t="str">
            <v>ISRAEL</v>
          </cell>
        </row>
        <row r="44466">
          <cell r="L44466" t="str">
            <v>Non-proportional</v>
          </cell>
          <cell r="S44466">
            <v>69.47</v>
          </cell>
          <cell r="X44466" t="str">
            <v>Variation UPR - gross</v>
          </cell>
          <cell r="Y44466" t="str">
            <v>NEW ZEALAND</v>
          </cell>
        </row>
        <row r="44467">
          <cell r="L44467" t="str">
            <v>Proportional</v>
          </cell>
          <cell r="S44467">
            <v>-91.27</v>
          </cell>
          <cell r="X44467" t="str">
            <v>Variation UPR - gross</v>
          </cell>
          <cell r="Y44467" t="str">
            <v>UNITED STATES</v>
          </cell>
        </row>
        <row r="44468">
          <cell r="L44468" t="str">
            <v>Non-proportional</v>
          </cell>
          <cell r="S44468">
            <v>-3570.63</v>
          </cell>
          <cell r="X44468" t="str">
            <v>Variation UPR - gross</v>
          </cell>
          <cell r="Y44468" t="str">
            <v>GREECE</v>
          </cell>
        </row>
        <row r="44469">
          <cell r="L44469" t="str">
            <v>Non-proportional</v>
          </cell>
          <cell r="S44469">
            <v>-192601.96</v>
          </cell>
          <cell r="X44469" t="str">
            <v>Variation UPR - gross</v>
          </cell>
          <cell r="Y44469" t="str">
            <v>PORTUGAL</v>
          </cell>
        </row>
        <row r="44470">
          <cell r="L44470" t="str">
            <v>Non-proportional</v>
          </cell>
          <cell r="S44470">
            <v>-363994.1</v>
          </cell>
          <cell r="X44470" t="str">
            <v>Variation UPR - gross</v>
          </cell>
          <cell r="Y44470" t="str">
            <v>UNITED KINGDOM</v>
          </cell>
        </row>
        <row r="44471">
          <cell r="L44471" t="str">
            <v>Proportional</v>
          </cell>
          <cell r="S44471">
            <v>-455523.79</v>
          </cell>
          <cell r="X44471" t="str">
            <v>Variation UPR - gross</v>
          </cell>
          <cell r="Y44471" t="str">
            <v>HONG KONG</v>
          </cell>
        </row>
        <row r="44472">
          <cell r="L44472" t="str">
            <v>Non-proportional</v>
          </cell>
          <cell r="S44472">
            <v>-602.15</v>
          </cell>
          <cell r="X44472" t="str">
            <v>Variation UPR - gross</v>
          </cell>
          <cell r="Y44472" t="str">
            <v>INDIA</v>
          </cell>
        </row>
        <row r="44473">
          <cell r="L44473" t="str">
            <v>Non-proportional</v>
          </cell>
          <cell r="S44473">
            <v>-4890.08</v>
          </cell>
          <cell r="X44473" t="str">
            <v>Variation UPR - gross</v>
          </cell>
          <cell r="Y44473" t="str">
            <v>FRANCE</v>
          </cell>
        </row>
        <row r="44474">
          <cell r="L44474" t="str">
            <v>Proportional</v>
          </cell>
          <cell r="S44474">
            <v>-676.81</v>
          </cell>
          <cell r="X44474" t="str">
            <v>Variation UPR - gross</v>
          </cell>
          <cell r="Y44474" t="str">
            <v>THAILAND</v>
          </cell>
        </row>
        <row r="44475">
          <cell r="L44475"/>
          <cell r="S44475">
            <v>-2372.39</v>
          </cell>
          <cell r="X44475" t="str">
            <v>Variation UPR - gross</v>
          </cell>
          <cell r="Y44475" t="str">
            <v>PORTUGAL</v>
          </cell>
        </row>
        <row r="44476">
          <cell r="L44476" t="str">
            <v>Non-proportional</v>
          </cell>
          <cell r="S44476">
            <v>-19967.73</v>
          </cell>
          <cell r="X44476" t="str">
            <v>Variation UPR - gross</v>
          </cell>
          <cell r="Y44476" t="str">
            <v>FRANCE</v>
          </cell>
        </row>
        <row r="44477">
          <cell r="L44477" t="str">
            <v>Non-proportional</v>
          </cell>
          <cell r="S44477">
            <v>-15385.75</v>
          </cell>
          <cell r="X44477" t="str">
            <v>Variation UPR - gross</v>
          </cell>
          <cell r="Y44477" t="str">
            <v>UNITED KINGDOM</v>
          </cell>
        </row>
        <row r="44478">
          <cell r="L44478" t="str">
            <v>Non-proportional</v>
          </cell>
          <cell r="S44478">
            <v>-1827.31</v>
          </cell>
          <cell r="X44478" t="str">
            <v>Variation UPR - gross</v>
          </cell>
          <cell r="Y44478" t="str">
            <v>UNITED KINGDOM</v>
          </cell>
        </row>
        <row r="44479">
          <cell r="L44479" t="str">
            <v>Non-proportional</v>
          </cell>
          <cell r="S44479">
            <v>-9728.3700000000008</v>
          </cell>
          <cell r="X44479" t="str">
            <v>Variation UPR - gross</v>
          </cell>
          <cell r="Y44479" t="str">
            <v>MEXICO</v>
          </cell>
        </row>
        <row r="44480">
          <cell r="L44480" t="str">
            <v>Non-proportional</v>
          </cell>
          <cell r="S44480">
            <v>-32712.97</v>
          </cell>
          <cell r="X44480" t="str">
            <v>Variation UPR - gross</v>
          </cell>
          <cell r="Y44480" t="str">
            <v>NEW ZEALAND</v>
          </cell>
        </row>
        <row r="44481">
          <cell r="L44481" t="str">
            <v>Non-proportional</v>
          </cell>
          <cell r="S44481">
            <v>-14989.17</v>
          </cell>
          <cell r="X44481" t="str">
            <v>Variation UPR - gross</v>
          </cell>
          <cell r="Y44481" t="str">
            <v>UNITED KINGDOM</v>
          </cell>
        </row>
        <row r="44482">
          <cell r="L44482" t="str">
            <v>Non-proportional</v>
          </cell>
          <cell r="S44482">
            <v>-2957.93</v>
          </cell>
          <cell r="X44482" t="str">
            <v>Variation UPR - gross</v>
          </cell>
          <cell r="Y44482" t="str">
            <v>DOMINICAN REPUBLIC</v>
          </cell>
        </row>
        <row r="44483">
          <cell r="L44483" t="str">
            <v>Non-proportional</v>
          </cell>
          <cell r="S44483">
            <v>0.01</v>
          </cell>
          <cell r="X44483" t="str">
            <v>Variation UPR - gross</v>
          </cell>
          <cell r="Y44483" t="str">
            <v>BELIZE</v>
          </cell>
        </row>
        <row r="44484">
          <cell r="L44484" t="str">
            <v>Non-proportional</v>
          </cell>
          <cell r="S44484">
            <v>196.61</v>
          </cell>
          <cell r="X44484" t="str">
            <v>Variation UPR - gross</v>
          </cell>
          <cell r="Y44484" t="str">
            <v>JAPAN</v>
          </cell>
        </row>
        <row r="44485">
          <cell r="L44485" t="str">
            <v>Non-proportional</v>
          </cell>
          <cell r="S44485">
            <v>-3646.87</v>
          </cell>
          <cell r="X44485" t="str">
            <v>Variation UPR - gross</v>
          </cell>
          <cell r="Y44485" t="str">
            <v>NEW ZEALAND</v>
          </cell>
        </row>
        <row r="44486">
          <cell r="L44486" t="str">
            <v>Non-proportional</v>
          </cell>
          <cell r="S44486">
            <v>36.840000000000003</v>
          </cell>
          <cell r="X44486" t="str">
            <v>Variation UPR - gross</v>
          </cell>
          <cell r="Y44486" t="str">
            <v>CHILE</v>
          </cell>
        </row>
        <row r="44487">
          <cell r="L44487" t="str">
            <v>Proportional</v>
          </cell>
          <cell r="S44487">
            <v>104965.04</v>
          </cell>
          <cell r="X44487" t="str">
            <v>Variation UPR - gross</v>
          </cell>
          <cell r="Y44487" t="str">
            <v>CHILE</v>
          </cell>
        </row>
        <row r="44488">
          <cell r="L44488" t="str">
            <v>Proportional</v>
          </cell>
          <cell r="S44488">
            <v>-33408.85</v>
          </cell>
          <cell r="X44488" t="str">
            <v>Variation UPR - gross</v>
          </cell>
          <cell r="Y44488" t="str">
            <v>JAPAN</v>
          </cell>
        </row>
        <row r="44489">
          <cell r="L44489" t="str">
            <v>Non-proportional</v>
          </cell>
          <cell r="S44489">
            <v>-1044.8399999999999</v>
          </cell>
          <cell r="X44489" t="str">
            <v>Variation UPR - gross</v>
          </cell>
          <cell r="Y44489" t="str">
            <v>CYPRUS</v>
          </cell>
        </row>
        <row r="44490">
          <cell r="L44490" t="str">
            <v>Non-proportional</v>
          </cell>
          <cell r="S44490">
            <v>-2902.7</v>
          </cell>
          <cell r="X44490" t="str">
            <v>Variation UPR - gross</v>
          </cell>
          <cell r="Y44490" t="str">
            <v>THAILAND</v>
          </cell>
        </row>
        <row r="44491">
          <cell r="L44491" t="str">
            <v>Non-proportional</v>
          </cell>
          <cell r="S44491">
            <v>-63992.3</v>
          </cell>
          <cell r="X44491" t="str">
            <v>Variation UPR - gross</v>
          </cell>
          <cell r="Y44491" t="str">
            <v>UNITED KINGDOM</v>
          </cell>
        </row>
        <row r="44492">
          <cell r="L44492" t="str">
            <v>Proportional</v>
          </cell>
          <cell r="S44492">
            <v>-630.14</v>
          </cell>
          <cell r="X44492" t="str">
            <v>Variation UPR - gross</v>
          </cell>
          <cell r="Y44492" t="str">
            <v>INDIA</v>
          </cell>
        </row>
        <row r="44493">
          <cell r="L44493" t="str">
            <v>Non-proportional</v>
          </cell>
          <cell r="S44493">
            <v>-46864.67</v>
          </cell>
          <cell r="X44493" t="str">
            <v>Variation UPR - gross</v>
          </cell>
          <cell r="Y44493" t="str">
            <v>FRANCE</v>
          </cell>
        </row>
        <row r="44494">
          <cell r="L44494" t="str">
            <v>Non-proportional</v>
          </cell>
          <cell r="S44494">
            <v>-310.68</v>
          </cell>
          <cell r="X44494" t="str">
            <v>Variation UPR - gross</v>
          </cell>
          <cell r="Y44494" t="str">
            <v>ITALY</v>
          </cell>
        </row>
        <row r="44495">
          <cell r="L44495" t="str">
            <v>Non-proportional</v>
          </cell>
          <cell r="S44495">
            <v>-215.33</v>
          </cell>
          <cell r="X44495" t="str">
            <v>Variation UPR - gross</v>
          </cell>
          <cell r="Y44495" t="str">
            <v>JAPAN</v>
          </cell>
        </row>
        <row r="44496">
          <cell r="L44496" t="str">
            <v>Non-proportional</v>
          </cell>
          <cell r="S44496">
            <v>-3094.2</v>
          </cell>
          <cell r="X44496" t="str">
            <v>Variation UPR - gross</v>
          </cell>
          <cell r="Y44496" t="str">
            <v>ISRAEL</v>
          </cell>
        </row>
        <row r="44497">
          <cell r="L44497" t="str">
            <v>Non-proportional</v>
          </cell>
          <cell r="S44497">
            <v>-11323.39</v>
          </cell>
          <cell r="X44497" t="str">
            <v>Variation UPR - gross</v>
          </cell>
          <cell r="Y44497" t="str">
            <v>MEXICO</v>
          </cell>
        </row>
        <row r="44498">
          <cell r="L44498" t="str">
            <v>Non-proportional</v>
          </cell>
          <cell r="S44498">
            <v>-4442.7700000000004</v>
          </cell>
          <cell r="X44498" t="str">
            <v>Variation UPR - gross</v>
          </cell>
          <cell r="Y44498" t="str">
            <v>COLOMBIA</v>
          </cell>
        </row>
        <row r="44499">
          <cell r="L44499" t="str">
            <v>Non-proportional</v>
          </cell>
          <cell r="S44499">
            <v>-347.35</v>
          </cell>
          <cell r="X44499" t="str">
            <v>Variation UPR - gross</v>
          </cell>
          <cell r="Y44499" t="str">
            <v>NEW ZEALAND</v>
          </cell>
        </row>
        <row r="44500">
          <cell r="L44500" t="str">
            <v>Non-proportional</v>
          </cell>
          <cell r="S44500">
            <v>-6664.87</v>
          </cell>
          <cell r="X44500" t="str">
            <v>Variation UPR - gross</v>
          </cell>
          <cell r="Y44500" t="str">
            <v>UNITED KINGDOM</v>
          </cell>
        </row>
        <row r="44501">
          <cell r="L44501" t="str">
            <v>Non-proportional</v>
          </cell>
          <cell r="S44501">
            <v>-5385.22</v>
          </cell>
          <cell r="X44501" t="str">
            <v>Variation UPR - gross</v>
          </cell>
          <cell r="Y44501" t="str">
            <v>COLOMBIA</v>
          </cell>
        </row>
        <row r="44502">
          <cell r="L44502" t="str">
            <v>Non-proportional</v>
          </cell>
          <cell r="S44502">
            <v>-589.51</v>
          </cell>
          <cell r="X44502" t="str">
            <v>Variation UPR - gross</v>
          </cell>
          <cell r="Y44502" t="str">
            <v>CHILE</v>
          </cell>
        </row>
        <row r="44503">
          <cell r="L44503" t="str">
            <v>Non-proportional</v>
          </cell>
          <cell r="S44503">
            <v>-1006.3</v>
          </cell>
          <cell r="X44503" t="str">
            <v>Variation UPR - gross</v>
          </cell>
          <cell r="Y44503" t="str">
            <v>JAPAN</v>
          </cell>
        </row>
        <row r="44504">
          <cell r="L44504" t="str">
            <v>Non-proportional</v>
          </cell>
          <cell r="S44504">
            <v>-3209.43</v>
          </cell>
          <cell r="X44504" t="str">
            <v>Variation UPR - gross</v>
          </cell>
          <cell r="Y44504" t="str">
            <v>AUSTRALIA</v>
          </cell>
        </row>
        <row r="44505">
          <cell r="L44505" t="str">
            <v>Proportional</v>
          </cell>
          <cell r="S44505">
            <v>-277.97000000000003</v>
          </cell>
          <cell r="X44505" t="str">
            <v>Variation UPR - gross</v>
          </cell>
          <cell r="Y44505" t="str">
            <v>UNITED STATES</v>
          </cell>
        </row>
        <row r="44506">
          <cell r="L44506" t="str">
            <v>Non-proportional</v>
          </cell>
          <cell r="S44506">
            <v>-855.96</v>
          </cell>
          <cell r="X44506" t="str">
            <v>Variation UPR - gross</v>
          </cell>
          <cell r="Y44506" t="str">
            <v>FRANCE</v>
          </cell>
        </row>
        <row r="44507">
          <cell r="L44507" t="str">
            <v>Non-proportional</v>
          </cell>
          <cell r="S44507">
            <v>-9915.7000000000007</v>
          </cell>
          <cell r="X44507" t="str">
            <v>Variation UPR - gross</v>
          </cell>
          <cell r="Y44507" t="str">
            <v>NETHERLANDS</v>
          </cell>
        </row>
        <row r="44508">
          <cell r="L44508" t="str">
            <v>Non-proportional</v>
          </cell>
          <cell r="S44508">
            <v>-30000</v>
          </cell>
          <cell r="X44508" t="str">
            <v>Variation UPR - gross</v>
          </cell>
          <cell r="Y44508" t="str">
            <v>FRANCE</v>
          </cell>
        </row>
        <row r="44509">
          <cell r="L44509" t="str">
            <v>Non-proportional</v>
          </cell>
          <cell r="S44509">
            <v>-335545.99</v>
          </cell>
          <cell r="X44509" t="str">
            <v>Variation UPR - gross</v>
          </cell>
          <cell r="Y44509" t="str">
            <v>UNITED KINGDOM</v>
          </cell>
        </row>
        <row r="44510">
          <cell r="L44510" t="str">
            <v>Proportional</v>
          </cell>
          <cell r="S44510">
            <v>-63787.5</v>
          </cell>
          <cell r="X44510" t="str">
            <v>Variation UPR - gross</v>
          </cell>
          <cell r="Y44510" t="str">
            <v>ITALY</v>
          </cell>
        </row>
        <row r="44511">
          <cell r="L44511" t="str">
            <v>Proportional</v>
          </cell>
          <cell r="S44511">
            <v>20116.060000000001</v>
          </cell>
          <cell r="X44511" t="str">
            <v>Variation UPR - gross</v>
          </cell>
          <cell r="Y44511" t="str">
            <v>CANADA</v>
          </cell>
        </row>
        <row r="44512">
          <cell r="L44512" t="str">
            <v>Non-proportional</v>
          </cell>
          <cell r="S44512">
            <v>-2233.19</v>
          </cell>
          <cell r="X44512" t="str">
            <v>Variation UPR - gross</v>
          </cell>
          <cell r="Y44512" t="str">
            <v>UNITED KINGDOM</v>
          </cell>
        </row>
        <row r="44513">
          <cell r="L44513" t="str">
            <v>Non-proportional</v>
          </cell>
          <cell r="S44513">
            <v>-1855.44</v>
          </cell>
          <cell r="X44513" t="str">
            <v>Variation UPR - gross</v>
          </cell>
          <cell r="Y44513" t="str">
            <v>PERU</v>
          </cell>
        </row>
        <row r="44514">
          <cell r="L44514" t="str">
            <v>Non-proportional</v>
          </cell>
          <cell r="S44514">
            <v>-847.42</v>
          </cell>
          <cell r="X44514" t="str">
            <v>Variation UPR - gross</v>
          </cell>
          <cell r="Y44514" t="str">
            <v>CHILE</v>
          </cell>
        </row>
        <row r="44515">
          <cell r="L44515" t="str">
            <v>Non-proportional</v>
          </cell>
          <cell r="S44515">
            <v>-1239.99</v>
          </cell>
          <cell r="X44515" t="str">
            <v>Variation UPR - gross</v>
          </cell>
          <cell r="Y44515" t="str">
            <v>JAPAN</v>
          </cell>
        </row>
        <row r="44516">
          <cell r="L44516" t="str">
            <v>Non-proportional</v>
          </cell>
          <cell r="S44516">
            <v>-1973.06</v>
          </cell>
          <cell r="X44516" t="str">
            <v>Variation UPR - gross</v>
          </cell>
          <cell r="Y44516" t="str">
            <v>GUATEMALA</v>
          </cell>
        </row>
        <row r="44517">
          <cell r="L44517" t="str">
            <v>Non-proportional</v>
          </cell>
          <cell r="S44517">
            <v>-5251.94</v>
          </cell>
          <cell r="X44517" t="str">
            <v>Variation UPR - gross</v>
          </cell>
          <cell r="Y44517" t="str">
            <v>NEW ZEALAND</v>
          </cell>
        </row>
        <row r="44518">
          <cell r="L44518" t="str">
            <v>Non-proportional</v>
          </cell>
          <cell r="S44518">
            <v>-1832.66</v>
          </cell>
          <cell r="X44518" t="str">
            <v>Variation UPR - gross</v>
          </cell>
          <cell r="Y44518" t="str">
            <v>SOUTH AFRICA</v>
          </cell>
        </row>
        <row r="44519">
          <cell r="L44519" t="str">
            <v>Non-proportional</v>
          </cell>
          <cell r="S44519">
            <v>141.16</v>
          </cell>
          <cell r="X44519" t="str">
            <v>Variation UPR - gross</v>
          </cell>
          <cell r="Y44519" t="str">
            <v>NEW ZEALAND</v>
          </cell>
        </row>
        <row r="44520">
          <cell r="L44520" t="str">
            <v>Non-proportional</v>
          </cell>
          <cell r="S44520">
            <v>-6623.14</v>
          </cell>
          <cell r="X44520" t="str">
            <v>Variation UPR - gross</v>
          </cell>
          <cell r="Y44520" t="str">
            <v>CYPRUS</v>
          </cell>
        </row>
        <row r="44521">
          <cell r="L44521" t="str">
            <v>Non-proportional</v>
          </cell>
          <cell r="S44521">
            <v>-24750</v>
          </cell>
          <cell r="X44521" t="str">
            <v>Variation UPR - gross</v>
          </cell>
          <cell r="Y44521" t="str">
            <v>GREECE</v>
          </cell>
        </row>
        <row r="44522">
          <cell r="L44522" t="str">
            <v>Non-proportional</v>
          </cell>
          <cell r="S44522">
            <v>-1172.3</v>
          </cell>
          <cell r="X44522" t="str">
            <v>Variation UPR - gross</v>
          </cell>
          <cell r="Y44522" t="str">
            <v>FRANCE</v>
          </cell>
        </row>
        <row r="44523">
          <cell r="L44523" t="str">
            <v>Non-proportional</v>
          </cell>
          <cell r="S44523">
            <v>-3244.77</v>
          </cell>
          <cell r="X44523" t="str">
            <v>Variation UPR - gross</v>
          </cell>
          <cell r="Y44523" t="str">
            <v>FRANCE</v>
          </cell>
        </row>
        <row r="44524">
          <cell r="L44524" t="str">
            <v>Non-proportional</v>
          </cell>
          <cell r="S44524">
            <v>-129823.33</v>
          </cell>
          <cell r="X44524" t="str">
            <v>Variation UPR - gross</v>
          </cell>
          <cell r="Y44524" t="str">
            <v>PORTUGAL</v>
          </cell>
        </row>
        <row r="44525">
          <cell r="L44525" t="str">
            <v>Proportional</v>
          </cell>
          <cell r="S44525">
            <v>-66.760000000000005</v>
          </cell>
          <cell r="X44525" t="str">
            <v>Variation UPR - gross</v>
          </cell>
          <cell r="Y44525" t="str">
            <v>THAILAND</v>
          </cell>
        </row>
        <row r="44526">
          <cell r="L44526" t="str">
            <v>Non-proportional</v>
          </cell>
          <cell r="S44526">
            <v>-71.989999999999995</v>
          </cell>
          <cell r="X44526" t="str">
            <v>Variation UPR - gross</v>
          </cell>
          <cell r="Y44526" t="str">
            <v>THAILAND</v>
          </cell>
        </row>
        <row r="44527">
          <cell r="L44527" t="str">
            <v>Non-proportional</v>
          </cell>
          <cell r="S44527">
            <v>0.05</v>
          </cell>
          <cell r="X44527" t="str">
            <v>Variation UPR - gross</v>
          </cell>
          <cell r="Y44527" t="str">
            <v>COLOMBIA</v>
          </cell>
        </row>
        <row r="44528">
          <cell r="L44528" t="str">
            <v>Non-proportional</v>
          </cell>
          <cell r="S44528">
            <v>139.01</v>
          </cell>
          <cell r="X44528" t="str">
            <v>Variation UPR - gross</v>
          </cell>
          <cell r="Y44528" t="str">
            <v>DOMINICAN REPUBLIC</v>
          </cell>
        </row>
        <row r="44529">
          <cell r="L44529" t="str">
            <v>Proportional</v>
          </cell>
          <cell r="S44529">
            <v>-108726.01</v>
          </cell>
          <cell r="X44529" t="str">
            <v>Variation UPR - gross</v>
          </cell>
          <cell r="Y44529" t="str">
            <v>SWITZERLAND</v>
          </cell>
        </row>
        <row r="44530">
          <cell r="L44530" t="str">
            <v>Non-proportional</v>
          </cell>
          <cell r="S44530">
            <v>-4398.33</v>
          </cell>
          <cell r="X44530" t="str">
            <v>Variation UPR - gross</v>
          </cell>
          <cell r="Y44530" t="str">
            <v>COLOMBIA</v>
          </cell>
        </row>
        <row r="44531">
          <cell r="L44531" t="str">
            <v>Non-proportional</v>
          </cell>
          <cell r="S44531">
            <v>1.02</v>
          </cell>
          <cell r="X44531" t="str">
            <v>Variation UPR - gross</v>
          </cell>
          <cell r="Y44531" t="str">
            <v>GUATEMALA</v>
          </cell>
        </row>
        <row r="44532">
          <cell r="L44532" t="str">
            <v>Proportional</v>
          </cell>
          <cell r="S44532">
            <v>15754.91</v>
          </cell>
          <cell r="X44532" t="str">
            <v>Variation UPR - gross</v>
          </cell>
          <cell r="Y44532" t="str">
            <v>CHILE</v>
          </cell>
        </row>
        <row r="44533">
          <cell r="L44533" t="str">
            <v>Non-proportional</v>
          </cell>
          <cell r="S44533">
            <v>-11720.54</v>
          </cell>
          <cell r="X44533" t="str">
            <v>Variation UPR - gross</v>
          </cell>
          <cell r="Y44533" t="str">
            <v>AUSTRALIA</v>
          </cell>
        </row>
        <row r="44534">
          <cell r="L44534" t="str">
            <v>Non-proportional</v>
          </cell>
          <cell r="S44534">
            <v>102.58</v>
          </cell>
          <cell r="X44534" t="str">
            <v>Variation UPR - gross</v>
          </cell>
          <cell r="Y44534" t="str">
            <v>AUSTRALIA</v>
          </cell>
        </row>
        <row r="44535">
          <cell r="L44535" t="str">
            <v>Non-proportional</v>
          </cell>
          <cell r="S44535">
            <v>88.6</v>
          </cell>
          <cell r="X44535" t="str">
            <v>Variation UPR - gross</v>
          </cell>
          <cell r="Y44535" t="str">
            <v>AUSTRALIA</v>
          </cell>
        </row>
        <row r="44536">
          <cell r="L44536" t="str">
            <v>Non-proportional</v>
          </cell>
          <cell r="S44536">
            <v>-951.45</v>
          </cell>
          <cell r="X44536" t="str">
            <v>Variation UPR - gross</v>
          </cell>
          <cell r="Y44536" t="str">
            <v>JAPAN</v>
          </cell>
        </row>
        <row r="44537">
          <cell r="L44537" t="str">
            <v>Non-proportional</v>
          </cell>
          <cell r="S44537">
            <v>-1765.25</v>
          </cell>
          <cell r="X44537" t="str">
            <v>Variation UPR - gross</v>
          </cell>
          <cell r="Y44537" t="str">
            <v>NEW ZEALAND</v>
          </cell>
        </row>
        <row r="44538">
          <cell r="L44538" t="str">
            <v>Non-proportional</v>
          </cell>
          <cell r="S44538">
            <v>-6378.84</v>
          </cell>
          <cell r="X44538" t="str">
            <v>Variation UPR - gross</v>
          </cell>
          <cell r="Y44538" t="str">
            <v>NEW ZEALAND</v>
          </cell>
        </row>
        <row r="44539">
          <cell r="L44539" t="str">
            <v>Non-proportional</v>
          </cell>
          <cell r="S44539">
            <v>-1415.93</v>
          </cell>
          <cell r="X44539" t="str">
            <v>Variation UPR - gross</v>
          </cell>
          <cell r="Y44539" t="str">
            <v>FRANCE</v>
          </cell>
        </row>
        <row r="44540">
          <cell r="L44540" t="str">
            <v>Proportional</v>
          </cell>
          <cell r="S44540">
            <v>-6849.85</v>
          </cell>
          <cell r="X44540" t="str">
            <v>Variation UPR - gross</v>
          </cell>
          <cell r="Y44540" t="str">
            <v>THAILAND</v>
          </cell>
        </row>
        <row r="44541">
          <cell r="L44541" t="str">
            <v>Proportional</v>
          </cell>
          <cell r="S44541">
            <v>-18720</v>
          </cell>
          <cell r="X44541" t="str">
            <v>Variation UPR - gross</v>
          </cell>
          <cell r="Y44541" t="str">
            <v>SPAIN</v>
          </cell>
        </row>
        <row r="44542">
          <cell r="L44542" t="str">
            <v>Proportional</v>
          </cell>
          <cell r="S44542">
            <v>1103.93</v>
          </cell>
          <cell r="X44542" t="str">
            <v>Variation UPR - gross</v>
          </cell>
          <cell r="Y44542" t="str">
            <v>THAILAND</v>
          </cell>
        </row>
        <row r="44543">
          <cell r="L44543" t="str">
            <v>Proportional</v>
          </cell>
          <cell r="S44543">
            <v>-23373.11</v>
          </cell>
          <cell r="X44543" t="str">
            <v>Variation UPR - gross</v>
          </cell>
          <cell r="Y44543" t="str">
            <v>THAILAND</v>
          </cell>
        </row>
        <row r="44544">
          <cell r="L44544" t="str">
            <v>Non-proportional</v>
          </cell>
          <cell r="S44544">
            <v>-4729.8100000000004</v>
          </cell>
          <cell r="X44544" t="str">
            <v>Variation UPR - gross</v>
          </cell>
          <cell r="Y44544" t="str">
            <v>SPAIN</v>
          </cell>
        </row>
        <row r="44545">
          <cell r="L44545" t="str">
            <v>Non-proportional</v>
          </cell>
          <cell r="S44545">
            <v>-12022.13</v>
          </cell>
          <cell r="X44545" t="str">
            <v>Variation UPR - gross</v>
          </cell>
          <cell r="Y44545" t="str">
            <v>MEXICO</v>
          </cell>
        </row>
        <row r="44546">
          <cell r="L44546" t="str">
            <v>Non-proportional</v>
          </cell>
          <cell r="S44546">
            <v>-5265.69</v>
          </cell>
          <cell r="X44546" t="str">
            <v>Variation UPR - gross</v>
          </cell>
          <cell r="Y44546" t="str">
            <v>ISRAEL</v>
          </cell>
        </row>
        <row r="44547">
          <cell r="L44547" t="str">
            <v>Non-proportional</v>
          </cell>
          <cell r="S44547">
            <v>-27114.76</v>
          </cell>
          <cell r="X44547" t="str">
            <v>Variation UPR - gross</v>
          </cell>
          <cell r="Y44547" t="str">
            <v>AUSTRALIA</v>
          </cell>
        </row>
        <row r="44548">
          <cell r="L44548" t="str">
            <v>Non-proportional</v>
          </cell>
          <cell r="S44548">
            <v>-6317.32</v>
          </cell>
          <cell r="X44548" t="str">
            <v>Variation UPR - gross</v>
          </cell>
          <cell r="Y44548" t="str">
            <v>ECUADOR</v>
          </cell>
        </row>
        <row r="44549">
          <cell r="L44549" t="str">
            <v>Non-proportional</v>
          </cell>
          <cell r="S44549">
            <v>-4375.3599999999997</v>
          </cell>
          <cell r="X44549" t="str">
            <v>Variation UPR - gross</v>
          </cell>
          <cell r="Y44549" t="str">
            <v>COLOMBIA</v>
          </cell>
        </row>
        <row r="44550">
          <cell r="L44550" t="str">
            <v>Non-proportional</v>
          </cell>
          <cell r="S44550">
            <v>-3892.01</v>
          </cell>
          <cell r="X44550" t="str">
            <v>Variation UPR - gross</v>
          </cell>
          <cell r="Y44550" t="str">
            <v>ISRAEL</v>
          </cell>
        </row>
        <row r="44551">
          <cell r="L44551" t="str">
            <v>Non-proportional</v>
          </cell>
          <cell r="S44551">
            <v>66.03</v>
          </cell>
          <cell r="X44551" t="str">
            <v>Variation UPR - gross</v>
          </cell>
          <cell r="Y44551" t="str">
            <v>CANADA</v>
          </cell>
        </row>
        <row r="44552">
          <cell r="L44552" t="str">
            <v>Non-proportional</v>
          </cell>
          <cell r="S44552">
            <v>246.72</v>
          </cell>
          <cell r="X44552" t="str">
            <v>Variation UPR - gross</v>
          </cell>
          <cell r="Y44552" t="str">
            <v>JAPAN</v>
          </cell>
        </row>
        <row r="44553">
          <cell r="L44553" t="str">
            <v>Non-proportional</v>
          </cell>
          <cell r="S44553">
            <v>-1910.12</v>
          </cell>
          <cell r="X44553" t="str">
            <v>Variation UPR - gross</v>
          </cell>
          <cell r="Y44553" t="str">
            <v>SOUTH AFRICA</v>
          </cell>
        </row>
        <row r="44554">
          <cell r="L44554" t="str">
            <v>Non-proportional</v>
          </cell>
          <cell r="S44554">
            <v>-9763.75</v>
          </cell>
          <cell r="X44554" t="str">
            <v>Variation UPR - gross</v>
          </cell>
          <cell r="Y44554" t="str">
            <v>CHILE</v>
          </cell>
        </row>
        <row r="44555">
          <cell r="L44555" t="str">
            <v>Non-proportional</v>
          </cell>
          <cell r="S44555">
            <v>-170.26</v>
          </cell>
          <cell r="X44555" t="str">
            <v>Variation UPR - gross</v>
          </cell>
          <cell r="Y44555" t="str">
            <v>JAPAN</v>
          </cell>
        </row>
        <row r="44556">
          <cell r="L44556" t="str">
            <v>Non-proportional</v>
          </cell>
          <cell r="S44556">
            <v>-3418.81</v>
          </cell>
          <cell r="X44556" t="str">
            <v>Variation UPR - gross</v>
          </cell>
          <cell r="Y44556" t="str">
            <v>ISRAEL</v>
          </cell>
        </row>
        <row r="44557">
          <cell r="L44557" t="str">
            <v>Non-proportional</v>
          </cell>
          <cell r="S44557">
            <v>-286.25</v>
          </cell>
          <cell r="X44557" t="str">
            <v>Variation UPR - gross</v>
          </cell>
          <cell r="Y44557" t="str">
            <v>REPUBLIC OF IRELAND</v>
          </cell>
        </row>
        <row r="44558">
          <cell r="L44558" t="str">
            <v>Proportional</v>
          </cell>
          <cell r="S44558">
            <v>-2489.17</v>
          </cell>
          <cell r="X44558" t="str">
            <v>Variation UPR - gross</v>
          </cell>
          <cell r="Y44558" t="str">
            <v>UNITED STATES</v>
          </cell>
        </row>
        <row r="44559">
          <cell r="L44559" t="str">
            <v>Non-proportional</v>
          </cell>
          <cell r="S44559">
            <v>-19231.490000000002</v>
          </cell>
          <cell r="X44559" t="str">
            <v>Variation UPR - gross</v>
          </cell>
          <cell r="Y44559" t="str">
            <v>FRANCE</v>
          </cell>
        </row>
        <row r="44560">
          <cell r="L44560" t="str">
            <v>Proportional</v>
          </cell>
          <cell r="S44560">
            <v>-63787.5</v>
          </cell>
          <cell r="X44560" t="str">
            <v>Variation UPR - gross</v>
          </cell>
          <cell r="Y44560" t="str">
            <v>ITALY</v>
          </cell>
        </row>
        <row r="44561">
          <cell r="L44561" t="str">
            <v>Non-proportional</v>
          </cell>
          <cell r="S44561">
            <v>-884.37</v>
          </cell>
          <cell r="X44561" t="str">
            <v>Variation UPR - gross</v>
          </cell>
          <cell r="Y44561" t="str">
            <v>FRANCE</v>
          </cell>
        </row>
        <row r="44562">
          <cell r="L44562" t="str">
            <v>Proportional</v>
          </cell>
          <cell r="S44562">
            <v>-1363.24</v>
          </cell>
          <cell r="X44562" t="str">
            <v>Variation UPR - gross</v>
          </cell>
          <cell r="Y44562" t="str">
            <v>CHILE</v>
          </cell>
        </row>
        <row r="44563">
          <cell r="L44563" t="str">
            <v>Non-proportional</v>
          </cell>
          <cell r="S44563">
            <v>-157778.79</v>
          </cell>
          <cell r="X44563" t="str">
            <v>Variation UPR - gross</v>
          </cell>
          <cell r="Y44563" t="str">
            <v>UNITED KINGDOM</v>
          </cell>
        </row>
        <row r="44564">
          <cell r="L44564" t="str">
            <v>Non-proportional</v>
          </cell>
          <cell r="S44564">
            <v>-2639.36</v>
          </cell>
          <cell r="X44564" t="str">
            <v>Variation UPR - gross</v>
          </cell>
          <cell r="Y44564" t="str">
            <v>UNITED ARAB EMIRATES</v>
          </cell>
        </row>
        <row r="44565">
          <cell r="L44565" t="str">
            <v>Non-proportional</v>
          </cell>
          <cell r="S44565">
            <v>-1999.46</v>
          </cell>
          <cell r="X44565" t="str">
            <v>Variation UPR - gross</v>
          </cell>
          <cell r="Y44565" t="str">
            <v>AUSTRALIA</v>
          </cell>
        </row>
        <row r="44566">
          <cell r="L44566" t="str">
            <v>Non-proportional</v>
          </cell>
          <cell r="S44566">
            <v>-3687.39</v>
          </cell>
          <cell r="X44566" t="str">
            <v>Variation UPR - gross</v>
          </cell>
          <cell r="Y44566" t="str">
            <v>ISRAEL</v>
          </cell>
        </row>
        <row r="44567">
          <cell r="L44567" t="str">
            <v>Non-proportional</v>
          </cell>
          <cell r="S44567">
            <v>-9956.51</v>
          </cell>
          <cell r="X44567" t="str">
            <v>Variation UPR - gross</v>
          </cell>
          <cell r="Y44567" t="str">
            <v>DOMINICAN REPUBLIC</v>
          </cell>
        </row>
        <row r="44568">
          <cell r="L44568" t="str">
            <v>Non-proportional</v>
          </cell>
          <cell r="S44568">
            <v>1.65</v>
          </cell>
          <cell r="X44568" t="str">
            <v>Variation UPR - gross</v>
          </cell>
          <cell r="Y44568" t="str">
            <v>GUATEMALA</v>
          </cell>
        </row>
        <row r="44569">
          <cell r="L44569" t="str">
            <v>Non-proportional</v>
          </cell>
          <cell r="S44569">
            <v>-1105.33</v>
          </cell>
          <cell r="X44569" t="str">
            <v>Variation UPR - gross</v>
          </cell>
          <cell r="Y44569" t="str">
            <v>CHILE</v>
          </cell>
        </row>
        <row r="44570">
          <cell r="L44570" t="str">
            <v>Non-proportional</v>
          </cell>
          <cell r="S44570">
            <v>88.2</v>
          </cell>
          <cell r="X44570" t="str">
            <v>Variation UPR - gross</v>
          </cell>
          <cell r="Y44570" t="str">
            <v>JAPAN</v>
          </cell>
        </row>
        <row r="44571">
          <cell r="L44571" t="str">
            <v>Non-proportional</v>
          </cell>
          <cell r="S44571">
            <v>36.840000000000003</v>
          </cell>
          <cell r="X44571" t="str">
            <v>Variation UPR - gross</v>
          </cell>
          <cell r="Y44571" t="str">
            <v>CHILE</v>
          </cell>
        </row>
        <row r="44572">
          <cell r="L44572" t="str">
            <v>Non-proportional</v>
          </cell>
          <cell r="S44572">
            <v>51.38</v>
          </cell>
          <cell r="X44572" t="str">
            <v>Variation UPR - gross</v>
          </cell>
          <cell r="Y44572" t="str">
            <v>JAPAN</v>
          </cell>
        </row>
        <row r="44573">
          <cell r="L44573" t="str">
            <v>Non-proportional</v>
          </cell>
          <cell r="S44573">
            <v>-2188.14</v>
          </cell>
          <cell r="X44573" t="str">
            <v>Variation UPR - gross</v>
          </cell>
          <cell r="Y44573" t="str">
            <v>DOMINICAN REPUBLIC</v>
          </cell>
        </row>
        <row r="44574">
          <cell r="L44574" t="str">
            <v>Non-proportional</v>
          </cell>
          <cell r="S44574">
            <v>-16190.48</v>
          </cell>
          <cell r="X44574" t="str">
            <v>Variation UPR - gross</v>
          </cell>
          <cell r="Y44574" t="str">
            <v>JAPAN</v>
          </cell>
        </row>
        <row r="44575">
          <cell r="L44575" t="str">
            <v>Non-proportional</v>
          </cell>
          <cell r="S44575">
            <v>-1330.33</v>
          </cell>
          <cell r="X44575" t="str">
            <v>Variation UPR - gross</v>
          </cell>
          <cell r="Y44575" t="str">
            <v>FRANCE</v>
          </cell>
        </row>
        <row r="44576">
          <cell r="L44576" t="str">
            <v>Non-proportional</v>
          </cell>
          <cell r="S44576">
            <v>-8531.25</v>
          </cell>
          <cell r="X44576" t="str">
            <v>Variation UPR - gross</v>
          </cell>
          <cell r="Y44576" t="str">
            <v>TURKEY</v>
          </cell>
        </row>
        <row r="44577">
          <cell r="L44577" t="str">
            <v>Non-proportional</v>
          </cell>
          <cell r="S44577">
            <v>-4250.71</v>
          </cell>
          <cell r="X44577" t="str">
            <v>Variation UPR - gross</v>
          </cell>
          <cell r="Y44577" t="str">
            <v>ITALY</v>
          </cell>
        </row>
        <row r="44578">
          <cell r="L44578" t="str">
            <v>Non-proportional</v>
          </cell>
          <cell r="S44578">
            <v>-5851.33</v>
          </cell>
          <cell r="X44578" t="str">
            <v>Variation UPR - gross</v>
          </cell>
          <cell r="Y44578" t="str">
            <v>ITALY</v>
          </cell>
        </row>
        <row r="44579">
          <cell r="L44579" t="str">
            <v>Non-proportional</v>
          </cell>
          <cell r="S44579">
            <v>-1777.5</v>
          </cell>
          <cell r="X44579" t="str">
            <v>Variation UPR - gross</v>
          </cell>
          <cell r="Y44579" t="str">
            <v>GREECE</v>
          </cell>
        </row>
        <row r="44580">
          <cell r="L44580" t="str">
            <v>Non-proportional</v>
          </cell>
          <cell r="S44580">
            <v>-728.75</v>
          </cell>
          <cell r="X44580" t="str">
            <v>Variation UPR - gross</v>
          </cell>
          <cell r="Y44580" t="str">
            <v>ITALY</v>
          </cell>
        </row>
        <row r="44581">
          <cell r="L44581" t="str">
            <v>Non-proportional</v>
          </cell>
          <cell r="S44581">
            <v>-353.33</v>
          </cell>
          <cell r="X44581" t="str">
            <v>Variation UPR - gross</v>
          </cell>
          <cell r="Y44581" t="str">
            <v>ITALY</v>
          </cell>
        </row>
        <row r="44582">
          <cell r="L44582" t="str">
            <v>Proportional</v>
          </cell>
          <cell r="S44582">
            <v>-1172.0999999999999</v>
          </cell>
          <cell r="X44582" t="str">
            <v>Variation UPR - gross</v>
          </cell>
          <cell r="Y44582" t="str">
            <v>COLOMBIA</v>
          </cell>
        </row>
        <row r="44583">
          <cell r="L44583" t="str">
            <v>Non-proportional</v>
          </cell>
          <cell r="S44583">
            <v>-11591.1</v>
          </cell>
          <cell r="X44583" t="str">
            <v>Variation UPR - gross</v>
          </cell>
          <cell r="Y44583" t="str">
            <v>MEXICO</v>
          </cell>
        </row>
        <row r="44584">
          <cell r="L44584" t="str">
            <v>Non-proportional</v>
          </cell>
          <cell r="S44584">
            <v>-5036.67</v>
          </cell>
          <cell r="X44584" t="str">
            <v>Variation UPR - gross</v>
          </cell>
          <cell r="Y44584" t="str">
            <v>ISRAEL</v>
          </cell>
        </row>
        <row r="44585">
          <cell r="L44585" t="str">
            <v>Non-proportional</v>
          </cell>
          <cell r="S44585">
            <v>-2026.44</v>
          </cell>
          <cell r="X44585" t="str">
            <v>Variation UPR - gross</v>
          </cell>
          <cell r="Y44585" t="str">
            <v>CHILE</v>
          </cell>
        </row>
        <row r="44586">
          <cell r="L44586" t="str">
            <v>Non-proportional</v>
          </cell>
          <cell r="S44586">
            <v>73.69</v>
          </cell>
          <cell r="X44586" t="str">
            <v>Variation UPR - gross</v>
          </cell>
          <cell r="Y44586" t="str">
            <v>CHILE</v>
          </cell>
        </row>
        <row r="44587">
          <cell r="L44587" t="str">
            <v>Proportional</v>
          </cell>
          <cell r="S44587">
            <v>-36.840000000000003</v>
          </cell>
          <cell r="X44587" t="str">
            <v>Variation UPR - gross</v>
          </cell>
          <cell r="Y44587" t="str">
            <v>CHILE</v>
          </cell>
        </row>
        <row r="44588">
          <cell r="L44588" t="str">
            <v>Non-proportional</v>
          </cell>
          <cell r="S44588">
            <v>-9642.31</v>
          </cell>
          <cell r="X44588" t="str">
            <v>Variation UPR - gross</v>
          </cell>
          <cell r="Y44588" t="str">
            <v>COSTA RICA</v>
          </cell>
        </row>
        <row r="44589">
          <cell r="L44589" t="str">
            <v>Non-proportional</v>
          </cell>
          <cell r="S44589">
            <v>-12044.64</v>
          </cell>
          <cell r="X44589" t="str">
            <v>Variation UPR - gross</v>
          </cell>
          <cell r="Y44589" t="str">
            <v>NEW ZEALAND</v>
          </cell>
        </row>
        <row r="44590">
          <cell r="L44590" t="str">
            <v>Non-proportional</v>
          </cell>
          <cell r="S44590">
            <v>-420.38</v>
          </cell>
          <cell r="X44590" t="str">
            <v>Variation UPR - gross</v>
          </cell>
          <cell r="Y44590" t="str">
            <v>PORTUGAL</v>
          </cell>
        </row>
        <row r="44591">
          <cell r="L44591" t="str">
            <v>Proportional</v>
          </cell>
          <cell r="S44591">
            <v>-2932.82</v>
          </cell>
          <cell r="X44591" t="str">
            <v>Variation UPR - gross</v>
          </cell>
          <cell r="Y44591" t="str">
            <v>THAILAND</v>
          </cell>
        </row>
        <row r="44592">
          <cell r="L44592" t="str">
            <v>Non-proportional</v>
          </cell>
          <cell r="S44592">
            <v>-10596.12</v>
          </cell>
          <cell r="X44592" t="str">
            <v>Variation UPR - gross</v>
          </cell>
          <cell r="Y44592" t="str">
            <v>FRANCE</v>
          </cell>
        </row>
        <row r="44593">
          <cell r="L44593" t="str">
            <v>Proportional</v>
          </cell>
          <cell r="S44593">
            <v>-37660.199999999997</v>
          </cell>
          <cell r="X44593" t="str">
            <v>Variation UPR - gross</v>
          </cell>
          <cell r="Y44593" t="str">
            <v>ITALY</v>
          </cell>
        </row>
        <row r="44594">
          <cell r="L44594" t="str">
            <v>Non-proportional</v>
          </cell>
          <cell r="S44594">
            <v>-7461.81</v>
          </cell>
          <cell r="X44594" t="str">
            <v>Variation UPR - gross</v>
          </cell>
          <cell r="Y44594" t="str">
            <v>JAPAN</v>
          </cell>
        </row>
        <row r="44595">
          <cell r="L44595" t="str">
            <v>Non-proportional</v>
          </cell>
          <cell r="S44595">
            <v>-42483.48</v>
          </cell>
          <cell r="X44595" t="str">
            <v>Variation UPR - gross</v>
          </cell>
          <cell r="Y44595" t="str">
            <v>UNITED KINGDOM</v>
          </cell>
        </row>
        <row r="44596">
          <cell r="L44596" t="str">
            <v>Non-proportional</v>
          </cell>
          <cell r="S44596">
            <v>-54.98</v>
          </cell>
          <cell r="X44596" t="str">
            <v>Variation UPR - gross</v>
          </cell>
          <cell r="Y44596" t="str">
            <v>ISRAEL</v>
          </cell>
        </row>
        <row r="44597">
          <cell r="L44597" t="str">
            <v>Non-proportional</v>
          </cell>
          <cell r="S44597">
            <v>-1664.26</v>
          </cell>
          <cell r="X44597" t="str">
            <v>Variation UPR - gross</v>
          </cell>
          <cell r="Y44597" t="str">
            <v>ISRAEL</v>
          </cell>
        </row>
        <row r="44598">
          <cell r="L44598" t="str">
            <v>Non-proportional</v>
          </cell>
          <cell r="S44598">
            <v>-847.42</v>
          </cell>
          <cell r="X44598" t="str">
            <v>Variation UPR - gross</v>
          </cell>
          <cell r="Y44598" t="str">
            <v>CHILE</v>
          </cell>
        </row>
        <row r="44599">
          <cell r="L44599" t="str">
            <v>Proportional</v>
          </cell>
          <cell r="S44599">
            <v>-28592.33</v>
          </cell>
          <cell r="X44599" t="str">
            <v>Variation UPR - gross</v>
          </cell>
          <cell r="Y44599" t="str">
            <v>INDIA</v>
          </cell>
        </row>
        <row r="44600">
          <cell r="L44600" t="str">
            <v>Non-proportional</v>
          </cell>
          <cell r="S44600">
            <v>-4590.07</v>
          </cell>
          <cell r="X44600" t="str">
            <v>Variation UPR - gross</v>
          </cell>
          <cell r="Y44600" t="str">
            <v>NEW ZEALAND</v>
          </cell>
        </row>
        <row r="44601">
          <cell r="L44601" t="str">
            <v>Non-proportional</v>
          </cell>
          <cell r="S44601">
            <v>-9500.14</v>
          </cell>
          <cell r="X44601" t="str">
            <v>Variation UPR - gross</v>
          </cell>
          <cell r="Y44601" t="str">
            <v>TURKEY</v>
          </cell>
        </row>
        <row r="44602">
          <cell r="L44602" t="str">
            <v>Non-proportional</v>
          </cell>
          <cell r="S44602">
            <v>-1458.33</v>
          </cell>
          <cell r="X44602" t="str">
            <v>Variation UPR - gross</v>
          </cell>
          <cell r="Y44602" t="str">
            <v>GREECE</v>
          </cell>
        </row>
        <row r="44603">
          <cell r="L44603" t="str">
            <v>Non-proportional</v>
          </cell>
          <cell r="S44603">
            <v>-2187.56</v>
          </cell>
          <cell r="X44603" t="str">
            <v>Variation UPR - gross</v>
          </cell>
          <cell r="Y44603" t="str">
            <v>SPAIN</v>
          </cell>
        </row>
        <row r="44604">
          <cell r="L44604" t="str">
            <v>Non-proportional</v>
          </cell>
          <cell r="S44604">
            <v>-182021.67</v>
          </cell>
          <cell r="X44604" t="str">
            <v>Variation UPR - gross</v>
          </cell>
          <cell r="Y44604" t="str">
            <v>PORTUGAL</v>
          </cell>
        </row>
        <row r="44605">
          <cell r="L44605" t="str">
            <v>Non-proportional</v>
          </cell>
          <cell r="S44605">
            <v>-10000</v>
          </cell>
          <cell r="X44605" t="str">
            <v>Variation UPR - gross</v>
          </cell>
          <cell r="Y44605" t="str">
            <v>EUROPE</v>
          </cell>
        </row>
        <row r="44606">
          <cell r="L44606" t="str">
            <v>Non-proportional</v>
          </cell>
          <cell r="S44606">
            <v>-4095</v>
          </cell>
          <cell r="X44606" t="str">
            <v>Variation UPR - gross</v>
          </cell>
          <cell r="Y44606" t="str">
            <v>FRANCE</v>
          </cell>
        </row>
        <row r="44607">
          <cell r="L44607" t="str">
            <v>Proportional</v>
          </cell>
          <cell r="S44607">
            <v>-2458333.33</v>
          </cell>
          <cell r="X44607" t="str">
            <v>Variation UPR - gross</v>
          </cell>
          <cell r="Y44607" t="str">
            <v>PORTUGAL</v>
          </cell>
        </row>
        <row r="44608">
          <cell r="L44608" t="str">
            <v>Non-proportional</v>
          </cell>
          <cell r="S44608">
            <v>-727.02</v>
          </cell>
          <cell r="X44608" t="str">
            <v>Variation UPR - gross</v>
          </cell>
          <cell r="Y44608" t="str">
            <v>INDIA</v>
          </cell>
        </row>
        <row r="44609">
          <cell r="L44609" t="str">
            <v>Non-proportional</v>
          </cell>
          <cell r="S44609">
            <v>-1178960.3999999999</v>
          </cell>
          <cell r="X44609" t="str">
            <v>Variation UPR - gross</v>
          </cell>
          <cell r="Y44609" t="str">
            <v>BELGIUM</v>
          </cell>
        </row>
        <row r="44610">
          <cell r="L44610" t="str">
            <v>Non-proportional</v>
          </cell>
          <cell r="S44610">
            <v>-6270.83</v>
          </cell>
          <cell r="X44610" t="str">
            <v>Variation UPR - gross</v>
          </cell>
          <cell r="Y44610" t="str">
            <v>ITALY</v>
          </cell>
        </row>
        <row r="44611">
          <cell r="L44611" t="str">
            <v>Proportional</v>
          </cell>
          <cell r="S44611">
            <v>-691.86</v>
          </cell>
          <cell r="X44611" t="str">
            <v>Variation UPR - gross</v>
          </cell>
          <cell r="Y44611" t="str">
            <v>THAILAND</v>
          </cell>
        </row>
        <row r="44612">
          <cell r="L44612" t="str">
            <v>Non-proportional</v>
          </cell>
          <cell r="S44612">
            <v>-118.08</v>
          </cell>
          <cell r="X44612" t="str">
            <v>Variation UPR - gross</v>
          </cell>
          <cell r="Y44612" t="str">
            <v>THAILAND</v>
          </cell>
        </row>
        <row r="44613">
          <cell r="L44613" t="str">
            <v>Non-proportional</v>
          </cell>
          <cell r="S44613">
            <v>-2117.11</v>
          </cell>
          <cell r="X44613" t="str">
            <v>Variation UPR - gross</v>
          </cell>
          <cell r="Y44613" t="str">
            <v>CHINA</v>
          </cell>
        </row>
        <row r="44614">
          <cell r="L44614" t="str">
            <v>Non-proportional</v>
          </cell>
          <cell r="S44614">
            <v>-601.14</v>
          </cell>
          <cell r="X44614" t="str">
            <v>Variation UPR - gross</v>
          </cell>
          <cell r="Y44614" t="str">
            <v>DOMINICAN REPUBLIC</v>
          </cell>
        </row>
        <row r="44615">
          <cell r="L44615" t="str">
            <v>Non-proportional</v>
          </cell>
          <cell r="S44615">
            <v>-164.37</v>
          </cell>
          <cell r="X44615" t="str">
            <v>Variation UPR - gross</v>
          </cell>
          <cell r="Y44615" t="str">
            <v>COLOMBIA</v>
          </cell>
        </row>
        <row r="44616">
          <cell r="L44616" t="str">
            <v>Non-proportional</v>
          </cell>
          <cell r="S44616">
            <v>-11671.17</v>
          </cell>
          <cell r="X44616" t="str">
            <v>Variation UPR - gross</v>
          </cell>
          <cell r="Y44616" t="str">
            <v>MEXICO</v>
          </cell>
        </row>
        <row r="44617">
          <cell r="L44617" t="str">
            <v>Non-proportional</v>
          </cell>
          <cell r="S44617">
            <v>0.02</v>
          </cell>
          <cell r="X44617" t="str">
            <v>Variation UPR - gross</v>
          </cell>
          <cell r="Y44617" t="str">
            <v>DOMINICAN REPUBLIC</v>
          </cell>
        </row>
        <row r="44618">
          <cell r="L44618" t="str">
            <v>Non-proportional</v>
          </cell>
          <cell r="S44618">
            <v>-31.25</v>
          </cell>
          <cell r="X44618" t="str">
            <v>Variation UPR - gross</v>
          </cell>
          <cell r="Y44618" t="str">
            <v>ISRAEL</v>
          </cell>
        </row>
        <row r="44619">
          <cell r="L44619" t="str">
            <v>Non-proportional</v>
          </cell>
          <cell r="S44619">
            <v>-46.44</v>
          </cell>
          <cell r="X44619" t="str">
            <v>Variation UPR - gross</v>
          </cell>
          <cell r="Y44619" t="str">
            <v>ISRAEL</v>
          </cell>
        </row>
        <row r="44620">
          <cell r="L44620" t="str">
            <v>Proportional</v>
          </cell>
          <cell r="S44620">
            <v>-1573.24</v>
          </cell>
          <cell r="X44620" t="str">
            <v>Variation UPR - gross</v>
          </cell>
          <cell r="Y44620" t="str">
            <v>CHILE</v>
          </cell>
        </row>
        <row r="44621">
          <cell r="L44621" t="str">
            <v>Proportional</v>
          </cell>
          <cell r="S44621">
            <v>-556601.64</v>
          </cell>
          <cell r="X44621" t="str">
            <v>Variation UPR - gross</v>
          </cell>
          <cell r="Y44621" t="str">
            <v>UNITED STATES</v>
          </cell>
        </row>
        <row r="44622">
          <cell r="L44622" t="str">
            <v>Non-proportional</v>
          </cell>
          <cell r="S44622">
            <v>-10467.969999999999</v>
          </cell>
          <cell r="X44622" t="str">
            <v>Variation UPR - gross</v>
          </cell>
          <cell r="Y44622" t="str">
            <v>COLOMBIA</v>
          </cell>
        </row>
        <row r="44623">
          <cell r="L44623" t="str">
            <v>Non-proportional</v>
          </cell>
          <cell r="S44623">
            <v>-1805.37</v>
          </cell>
          <cell r="X44623" t="str">
            <v>Variation UPR - gross</v>
          </cell>
          <cell r="Y44623" t="str">
            <v>CHILE</v>
          </cell>
        </row>
        <row r="44624">
          <cell r="L44624" t="str">
            <v>Non-proportional</v>
          </cell>
          <cell r="S44624">
            <v>-4397.1000000000004</v>
          </cell>
          <cell r="X44624" t="str">
            <v>Variation UPR - gross</v>
          </cell>
          <cell r="Y44624" t="str">
            <v>GUATEMALA</v>
          </cell>
        </row>
        <row r="44625">
          <cell r="L44625" t="str">
            <v>Non-proportional</v>
          </cell>
          <cell r="S44625">
            <v>-915.55</v>
          </cell>
          <cell r="X44625" t="str">
            <v>Variation UPR - gross</v>
          </cell>
          <cell r="Y44625" t="str">
            <v>SOUTH AFRICA</v>
          </cell>
        </row>
        <row r="44626">
          <cell r="L44626" t="str">
            <v>Non-proportional</v>
          </cell>
          <cell r="S44626">
            <v>-2256.7399999999998</v>
          </cell>
          <cell r="X44626" t="str">
            <v>Variation UPR - gross</v>
          </cell>
          <cell r="Y44626" t="str">
            <v>CHINA</v>
          </cell>
        </row>
        <row r="44627">
          <cell r="L44627" t="str">
            <v>Non-proportional</v>
          </cell>
          <cell r="S44627">
            <v>-558.89</v>
          </cell>
          <cell r="X44627" t="str">
            <v>Variation UPR - gross</v>
          </cell>
          <cell r="Y44627" t="str">
            <v>BRAZIL</v>
          </cell>
        </row>
        <row r="44628">
          <cell r="L44628" t="str">
            <v>Non-proportional</v>
          </cell>
          <cell r="S44628">
            <v>-2495.2199999999998</v>
          </cell>
          <cell r="X44628" t="str">
            <v>Variation UPR - gross</v>
          </cell>
          <cell r="Y44628" t="str">
            <v>ITALY</v>
          </cell>
        </row>
        <row r="44629">
          <cell r="L44629" t="str">
            <v>Non-proportional</v>
          </cell>
          <cell r="S44629">
            <v>-3917.27</v>
          </cell>
          <cell r="X44629" t="str">
            <v>Variation UPR - gross</v>
          </cell>
          <cell r="Y44629" t="str">
            <v>ITALY</v>
          </cell>
        </row>
        <row r="44630">
          <cell r="L44630" t="str">
            <v>Non-proportional</v>
          </cell>
          <cell r="S44630">
            <v>-45758.47</v>
          </cell>
          <cell r="X44630" t="str">
            <v>Variation UPR - gross</v>
          </cell>
          <cell r="Y44630" t="str">
            <v>TURKEY</v>
          </cell>
        </row>
        <row r="44631">
          <cell r="L44631" t="str">
            <v>Proportional</v>
          </cell>
          <cell r="S44631">
            <v>-8653.41</v>
          </cell>
          <cell r="X44631" t="str">
            <v>Variation UPR - gross</v>
          </cell>
          <cell r="Y44631" t="str">
            <v>THAILAND</v>
          </cell>
        </row>
        <row r="44632">
          <cell r="L44632" t="str">
            <v>Proportional</v>
          </cell>
          <cell r="S44632">
            <v>-13.38</v>
          </cell>
          <cell r="X44632" t="str">
            <v>Variation UPR - gross</v>
          </cell>
          <cell r="Y44632" t="str">
            <v>HONG KONG</v>
          </cell>
        </row>
        <row r="44633">
          <cell r="L44633" t="str">
            <v>Non-proportional</v>
          </cell>
          <cell r="S44633">
            <v>-2557.92</v>
          </cell>
          <cell r="X44633" t="str">
            <v>Variation UPR - gross</v>
          </cell>
          <cell r="Y44633" t="str">
            <v>ECUADOR</v>
          </cell>
        </row>
        <row r="44634">
          <cell r="L44634" t="str">
            <v>Non-proportional</v>
          </cell>
          <cell r="S44634">
            <v>-11344.32</v>
          </cell>
          <cell r="X44634" t="str">
            <v>Variation UPR - gross</v>
          </cell>
          <cell r="Y44634" t="str">
            <v>COLOMBIA</v>
          </cell>
        </row>
        <row r="44635">
          <cell r="L44635" t="str">
            <v>Non-proportional</v>
          </cell>
          <cell r="S44635">
            <v>-53294.82</v>
          </cell>
          <cell r="X44635" t="str">
            <v>Variation UPR - gross</v>
          </cell>
          <cell r="Y44635" t="str">
            <v>UNITED KINGDOM</v>
          </cell>
        </row>
        <row r="44636">
          <cell r="L44636" t="str">
            <v>Non-proportional</v>
          </cell>
          <cell r="S44636">
            <v>36.840000000000003</v>
          </cell>
          <cell r="X44636" t="str">
            <v>Variation UPR - gross</v>
          </cell>
          <cell r="Y44636" t="str">
            <v>CHILE</v>
          </cell>
        </row>
        <row r="44637">
          <cell r="L44637" t="str">
            <v>Non-proportional</v>
          </cell>
          <cell r="S44637">
            <v>-1652.53</v>
          </cell>
          <cell r="X44637" t="str">
            <v>Variation UPR - gross</v>
          </cell>
          <cell r="Y44637" t="str">
            <v>JAPAN</v>
          </cell>
        </row>
        <row r="44638">
          <cell r="L44638" t="str">
            <v>Proportional</v>
          </cell>
          <cell r="S44638">
            <v>-12521.1</v>
          </cell>
          <cell r="X44638" t="str">
            <v>Variation UPR - gross</v>
          </cell>
          <cell r="Y44638" t="str">
            <v>PORTUGAL</v>
          </cell>
        </row>
        <row r="44639">
          <cell r="L44639" t="str">
            <v>Non-proportional</v>
          </cell>
          <cell r="S44639">
            <v>-9477.06</v>
          </cell>
          <cell r="X44639" t="str">
            <v>Variation UPR - gross</v>
          </cell>
          <cell r="Y44639" t="str">
            <v>CHINA</v>
          </cell>
        </row>
        <row r="44640">
          <cell r="L44640" t="str">
            <v>Non-proportional</v>
          </cell>
          <cell r="S44640">
            <v>-147.38</v>
          </cell>
          <cell r="X44640" t="str">
            <v>Variation UPR - gross</v>
          </cell>
          <cell r="Y44640" t="str">
            <v>CHILE</v>
          </cell>
        </row>
        <row r="44641">
          <cell r="L44641" t="str">
            <v>Non-proportional</v>
          </cell>
          <cell r="S44641">
            <v>27264.81</v>
          </cell>
          <cell r="X44641" t="str">
            <v>Variation UPR - gross</v>
          </cell>
          <cell r="Y44641" t="str">
            <v>CHILE</v>
          </cell>
        </row>
        <row r="44642">
          <cell r="L44642" t="str">
            <v>Non-proportional</v>
          </cell>
          <cell r="S44642">
            <v>-9156.93</v>
          </cell>
          <cell r="X44642" t="str">
            <v>Variation UPR - gross</v>
          </cell>
          <cell r="Y44642" t="str">
            <v>ECUADOR</v>
          </cell>
        </row>
        <row r="44643">
          <cell r="L44643" t="str">
            <v>Non-proportional</v>
          </cell>
          <cell r="S44643">
            <v>0.02</v>
          </cell>
          <cell r="X44643" t="str">
            <v>Variation UPR - gross</v>
          </cell>
          <cell r="Y44643" t="str">
            <v>COLOMBIA</v>
          </cell>
        </row>
        <row r="44644">
          <cell r="L44644" t="str">
            <v>Non-proportional</v>
          </cell>
          <cell r="S44644">
            <v>398.12</v>
          </cell>
          <cell r="X44644" t="str">
            <v>Variation UPR - gross</v>
          </cell>
          <cell r="Y44644" t="str">
            <v>INDIA</v>
          </cell>
        </row>
        <row r="44645">
          <cell r="L44645" t="str">
            <v>Non-proportional</v>
          </cell>
          <cell r="S44645">
            <v>-5027.5</v>
          </cell>
          <cell r="X44645" t="str">
            <v>Variation UPR - gross</v>
          </cell>
          <cell r="Y44645" t="str">
            <v>UNITED KINGDOM</v>
          </cell>
        </row>
        <row r="44646">
          <cell r="L44646" t="str">
            <v>Non-proportional</v>
          </cell>
          <cell r="S44646">
            <v>0.04</v>
          </cell>
          <cell r="X44646" t="str">
            <v>Variation UPR - gross</v>
          </cell>
          <cell r="Y44646" t="str">
            <v>DOMINICAN REPUBLIC</v>
          </cell>
        </row>
        <row r="44647">
          <cell r="L44647" t="str">
            <v>Non-proportional</v>
          </cell>
          <cell r="S44647">
            <v>-5231.8999999999996</v>
          </cell>
          <cell r="X44647" t="str">
            <v>Variation UPR - gross</v>
          </cell>
          <cell r="Y44647" t="str">
            <v>CHILE</v>
          </cell>
        </row>
        <row r="44648">
          <cell r="L44648" t="str">
            <v>Non-proportional</v>
          </cell>
          <cell r="S44648">
            <v>-73.69</v>
          </cell>
          <cell r="X44648" t="str">
            <v>Variation UPR - gross</v>
          </cell>
          <cell r="Y44648" t="str">
            <v>CHILE</v>
          </cell>
        </row>
        <row r="44649">
          <cell r="L44649" t="str">
            <v>Non-proportional</v>
          </cell>
          <cell r="S44649">
            <v>53.43</v>
          </cell>
          <cell r="X44649" t="str">
            <v>Variation UPR - gross</v>
          </cell>
          <cell r="Y44649" t="str">
            <v>JAPAN</v>
          </cell>
        </row>
        <row r="44650">
          <cell r="L44650" t="str">
            <v>Non-proportional</v>
          </cell>
          <cell r="S44650">
            <v>-714.09</v>
          </cell>
          <cell r="X44650" t="str">
            <v>Variation UPR - gross</v>
          </cell>
          <cell r="Y44650" t="str">
            <v>AUSTRALIA</v>
          </cell>
        </row>
        <row r="44651">
          <cell r="L44651" t="str">
            <v>Non-proportional</v>
          </cell>
          <cell r="S44651">
            <v>-95.7</v>
          </cell>
          <cell r="X44651" t="str">
            <v>Variation UPR - gross</v>
          </cell>
          <cell r="Y44651" t="str">
            <v>BRAZIL</v>
          </cell>
        </row>
        <row r="44652">
          <cell r="L44652" t="str">
            <v>Non-proportional</v>
          </cell>
          <cell r="S44652">
            <v>-5052.88</v>
          </cell>
          <cell r="X44652" t="str">
            <v>Variation UPR - gross</v>
          </cell>
          <cell r="Y44652" t="str">
            <v>DOMINICAN REPUBLIC</v>
          </cell>
        </row>
        <row r="44653">
          <cell r="L44653" t="str">
            <v>Non-proportional</v>
          </cell>
          <cell r="S44653">
            <v>-2784.62</v>
          </cell>
          <cell r="X44653" t="str">
            <v>Variation UPR - gross</v>
          </cell>
          <cell r="Y44653" t="str">
            <v>JAPAN</v>
          </cell>
        </row>
        <row r="44654">
          <cell r="L44654" t="str">
            <v>Non-proportional</v>
          </cell>
          <cell r="S44654">
            <v>-2610</v>
          </cell>
          <cell r="X44654" t="str">
            <v>Variation UPR - gross</v>
          </cell>
          <cell r="Y44654" t="str">
            <v>GREECE</v>
          </cell>
        </row>
        <row r="44655">
          <cell r="L44655" t="str">
            <v>Non-proportional</v>
          </cell>
          <cell r="S44655">
            <v>-2805.25</v>
          </cell>
          <cell r="X44655" t="str">
            <v>Variation UPR - gross</v>
          </cell>
          <cell r="Y44655" t="str">
            <v>REPUBLIC OF IRELAND</v>
          </cell>
        </row>
        <row r="44656">
          <cell r="L44656" t="str">
            <v>Non-proportional</v>
          </cell>
          <cell r="S44656">
            <v>-9977.5</v>
          </cell>
          <cell r="X44656" t="str">
            <v>Variation UPR - gross</v>
          </cell>
          <cell r="Y44656" t="str">
            <v>ITALY</v>
          </cell>
        </row>
        <row r="44657">
          <cell r="L44657" t="str">
            <v>Non-proportional</v>
          </cell>
          <cell r="S44657">
            <v>-6666.5</v>
          </cell>
          <cell r="X44657" t="str">
            <v>Variation UPR - gross</v>
          </cell>
          <cell r="Y44657" t="str">
            <v>ITALY</v>
          </cell>
        </row>
        <row r="44658">
          <cell r="L44658" t="str">
            <v>Proportional</v>
          </cell>
          <cell r="S44658">
            <v>-11135.03</v>
          </cell>
          <cell r="X44658" t="str">
            <v>Variation UPR - gross</v>
          </cell>
          <cell r="Y44658" t="str">
            <v>HONG KONG</v>
          </cell>
        </row>
        <row r="44659">
          <cell r="L44659" t="str">
            <v>Non-proportional</v>
          </cell>
          <cell r="S44659">
            <v>-2821.55</v>
          </cell>
          <cell r="X44659" t="str">
            <v>Variation UPR - gross</v>
          </cell>
          <cell r="Y44659" t="str">
            <v>AUSTRALIA</v>
          </cell>
        </row>
        <row r="44660">
          <cell r="L44660" t="str">
            <v>Non-proportional</v>
          </cell>
          <cell r="S44660">
            <v>-56370.45</v>
          </cell>
          <cell r="X44660" t="str">
            <v>Variation UPR - gross</v>
          </cell>
          <cell r="Y44660" t="str">
            <v>UNITED KINGDOM</v>
          </cell>
        </row>
        <row r="44661">
          <cell r="L44661" t="str">
            <v>Non-proportional</v>
          </cell>
          <cell r="S44661">
            <v>-6877.2</v>
          </cell>
          <cell r="X44661" t="str">
            <v>Variation UPR - gross</v>
          </cell>
          <cell r="Y44661" t="str">
            <v>AUSTRALIA</v>
          </cell>
        </row>
        <row r="44662">
          <cell r="L44662" t="str">
            <v>Non-proportional</v>
          </cell>
          <cell r="S44662">
            <v>-2946.24</v>
          </cell>
          <cell r="X44662" t="str">
            <v>Variation UPR - gross</v>
          </cell>
          <cell r="Y44662" t="str">
            <v>UNITED KINGDOM</v>
          </cell>
        </row>
        <row r="44663">
          <cell r="L44663" t="str">
            <v>Non-proportional</v>
          </cell>
          <cell r="S44663">
            <v>-1199.67</v>
          </cell>
          <cell r="X44663" t="str">
            <v>Variation UPR - gross</v>
          </cell>
          <cell r="Y44663" t="str">
            <v>AUSTRALIA</v>
          </cell>
        </row>
        <row r="44664">
          <cell r="L44664" t="str">
            <v>Non-proportional</v>
          </cell>
          <cell r="S44664">
            <v>6.96</v>
          </cell>
          <cell r="X44664" t="str">
            <v>Variation UPR - gross</v>
          </cell>
          <cell r="Y44664" t="str">
            <v>JAPAN</v>
          </cell>
        </row>
        <row r="44665">
          <cell r="L44665" t="str">
            <v>Non-proportional</v>
          </cell>
          <cell r="S44665">
            <v>204</v>
          </cell>
          <cell r="X44665" t="str">
            <v>Variation UPR - gross</v>
          </cell>
          <cell r="Y44665" t="str">
            <v>JAPAN</v>
          </cell>
        </row>
        <row r="44666">
          <cell r="L44666" t="str">
            <v>Non-proportional</v>
          </cell>
          <cell r="S44666">
            <v>30.76</v>
          </cell>
          <cell r="X44666" t="str">
            <v>Variation UPR - gross</v>
          </cell>
          <cell r="Y44666" t="str">
            <v>JAPAN</v>
          </cell>
        </row>
        <row r="44667">
          <cell r="L44667" t="str">
            <v>Proportional</v>
          </cell>
          <cell r="S44667">
            <v>-83060.990000000005</v>
          </cell>
          <cell r="X44667" t="str">
            <v>Variation UPR - gross</v>
          </cell>
          <cell r="Y44667" t="str">
            <v>UNITED STATES</v>
          </cell>
        </row>
        <row r="44668">
          <cell r="L44668" t="str">
            <v>Non-proportional</v>
          </cell>
          <cell r="S44668">
            <v>63.22</v>
          </cell>
          <cell r="X44668" t="str">
            <v>Variation UPR - gross</v>
          </cell>
          <cell r="Y44668" t="str">
            <v>JAPAN</v>
          </cell>
        </row>
        <row r="44669">
          <cell r="L44669" t="str">
            <v>Non-proportional</v>
          </cell>
          <cell r="S44669">
            <v>-2927.04</v>
          </cell>
          <cell r="X44669" t="str">
            <v>Variation UPR - gross</v>
          </cell>
          <cell r="Y44669" t="str">
            <v>JAPAN</v>
          </cell>
        </row>
        <row r="44670">
          <cell r="L44670" t="str">
            <v>Non-proportional</v>
          </cell>
          <cell r="S44670">
            <v>-1022.52</v>
          </cell>
          <cell r="X44670" t="str">
            <v>Variation UPR - gross</v>
          </cell>
          <cell r="Y44670" t="str">
            <v>JAPAN</v>
          </cell>
        </row>
        <row r="44671">
          <cell r="L44671" t="str">
            <v>Non-proportional</v>
          </cell>
          <cell r="S44671">
            <v>-1735.53</v>
          </cell>
          <cell r="X44671" t="str">
            <v>Variation UPR - gross</v>
          </cell>
          <cell r="Y44671" t="str">
            <v>NEW ZEALAND</v>
          </cell>
        </row>
        <row r="44672">
          <cell r="L44672" t="str">
            <v>Non-proportional</v>
          </cell>
          <cell r="S44672">
            <v>-2041.67</v>
          </cell>
          <cell r="X44672" t="str">
            <v>Variation UPR - gross</v>
          </cell>
          <cell r="Y44672" t="str">
            <v>ITALY</v>
          </cell>
        </row>
        <row r="44673">
          <cell r="L44673" t="str">
            <v>Proportional</v>
          </cell>
          <cell r="S44673">
            <v>-14696.64</v>
          </cell>
          <cell r="X44673" t="str">
            <v>Variation UPR - gross</v>
          </cell>
          <cell r="Y44673" t="str">
            <v>ITALY</v>
          </cell>
        </row>
        <row r="44674">
          <cell r="L44674" t="str">
            <v>Non-proportional</v>
          </cell>
          <cell r="S44674">
            <v>-6086.35</v>
          </cell>
          <cell r="X44674" t="str">
            <v>Variation UPR - gross</v>
          </cell>
          <cell r="Y44674" t="str">
            <v>ITALY</v>
          </cell>
        </row>
        <row r="44675">
          <cell r="L44675" t="str">
            <v>Proportional</v>
          </cell>
          <cell r="S44675">
            <v>-1797.93</v>
          </cell>
          <cell r="X44675" t="str">
            <v>Variation UPR - gross</v>
          </cell>
          <cell r="Y44675" t="str">
            <v>THAILAND</v>
          </cell>
        </row>
        <row r="44676">
          <cell r="L44676" t="str">
            <v>Proportional</v>
          </cell>
          <cell r="S44676">
            <v>-32095.86</v>
          </cell>
          <cell r="X44676" t="str">
            <v>Variation UPR - gross</v>
          </cell>
          <cell r="Y44676" t="str">
            <v>THAILAND</v>
          </cell>
        </row>
        <row r="44677">
          <cell r="L44677" t="str">
            <v>Proportional</v>
          </cell>
          <cell r="S44677">
            <v>-1826.47</v>
          </cell>
          <cell r="X44677" t="str">
            <v>Variation UPR - gross</v>
          </cell>
          <cell r="Y44677" t="str">
            <v>HONG KONG</v>
          </cell>
        </row>
        <row r="44678">
          <cell r="L44678" t="str">
            <v>Non-proportional</v>
          </cell>
          <cell r="S44678">
            <v>-3854.17</v>
          </cell>
          <cell r="X44678" t="str">
            <v>Variation UPR - gross</v>
          </cell>
          <cell r="Y44678" t="str">
            <v>FRANCE</v>
          </cell>
        </row>
        <row r="44679">
          <cell r="L44679" t="str">
            <v>Non-proportional</v>
          </cell>
          <cell r="S44679">
            <v>-7244.62</v>
          </cell>
          <cell r="X44679" t="str">
            <v>Variation UPR - gross</v>
          </cell>
          <cell r="Y44679" t="str">
            <v>MEXICO</v>
          </cell>
        </row>
        <row r="44680">
          <cell r="L44680" t="str">
            <v>Non-proportional</v>
          </cell>
          <cell r="S44680">
            <v>-19406.099999999999</v>
          </cell>
          <cell r="X44680" t="str">
            <v>Variation UPR - gross</v>
          </cell>
          <cell r="Y44680" t="str">
            <v>MEXICO</v>
          </cell>
        </row>
        <row r="44681">
          <cell r="L44681" t="str">
            <v>Non-proportional</v>
          </cell>
          <cell r="S44681">
            <v>-22602.799999999999</v>
          </cell>
          <cell r="X44681" t="str">
            <v>Variation UPR - gross</v>
          </cell>
          <cell r="Y44681" t="str">
            <v>NEW ZEALAND</v>
          </cell>
        </row>
        <row r="44682">
          <cell r="L44682" t="str">
            <v>Non-proportional</v>
          </cell>
          <cell r="S44682">
            <v>-5133.1400000000003</v>
          </cell>
          <cell r="X44682" t="str">
            <v>Variation UPR - gross</v>
          </cell>
          <cell r="Y44682" t="str">
            <v>UNITED KINGDOM</v>
          </cell>
        </row>
        <row r="44683">
          <cell r="L44683" t="str">
            <v>Non-proportional</v>
          </cell>
          <cell r="S44683">
            <v>-1227.8800000000001</v>
          </cell>
          <cell r="X44683" t="str">
            <v>Variation UPR - gross</v>
          </cell>
          <cell r="Y44683" t="str">
            <v>BRAZIL</v>
          </cell>
        </row>
        <row r="44684">
          <cell r="L44684" t="str">
            <v>Non-proportional</v>
          </cell>
          <cell r="S44684">
            <v>162.88999999999999</v>
          </cell>
          <cell r="X44684" t="str">
            <v>Variation UPR - gross</v>
          </cell>
          <cell r="Y44684" t="str">
            <v>INDIA</v>
          </cell>
        </row>
        <row r="44685">
          <cell r="L44685" t="str">
            <v>Non-proportional</v>
          </cell>
          <cell r="S44685">
            <v>-1305.76</v>
          </cell>
          <cell r="X44685" t="str">
            <v>Variation UPR - gross</v>
          </cell>
          <cell r="Y44685" t="str">
            <v>UNITED ARAB EMIRATES</v>
          </cell>
        </row>
        <row r="44686">
          <cell r="L44686" t="str">
            <v>Non-proportional</v>
          </cell>
          <cell r="S44686">
            <v>-991.83</v>
          </cell>
          <cell r="X44686" t="str">
            <v>Variation UPR - gross</v>
          </cell>
          <cell r="Y44686" t="str">
            <v>ISRAEL</v>
          </cell>
        </row>
        <row r="44687">
          <cell r="L44687" t="str">
            <v>Non-proportional</v>
          </cell>
          <cell r="S44687">
            <v>-4834.68</v>
          </cell>
          <cell r="X44687" t="str">
            <v>Variation UPR - gross</v>
          </cell>
          <cell r="Y44687" t="str">
            <v>ECUADOR</v>
          </cell>
        </row>
        <row r="44688">
          <cell r="L44688" t="str">
            <v>Non-proportional</v>
          </cell>
          <cell r="S44688">
            <v>-294.75</v>
          </cell>
          <cell r="X44688" t="str">
            <v>Variation UPR - gross</v>
          </cell>
          <cell r="Y44688" t="str">
            <v>CHILE</v>
          </cell>
        </row>
        <row r="44689">
          <cell r="L44689" t="str">
            <v>Non-proportional</v>
          </cell>
          <cell r="S44689">
            <v>-2505.42</v>
          </cell>
          <cell r="X44689" t="str">
            <v>Variation UPR - gross</v>
          </cell>
          <cell r="Y44689" t="str">
            <v>CHILE</v>
          </cell>
        </row>
        <row r="44690">
          <cell r="L44690" t="str">
            <v>Non-proportional</v>
          </cell>
          <cell r="S44690">
            <v>38.549999999999997</v>
          </cell>
          <cell r="X44690" t="str">
            <v>Variation UPR - gross</v>
          </cell>
          <cell r="Y44690" t="str">
            <v>JAPAN</v>
          </cell>
        </row>
        <row r="44691">
          <cell r="L44691" t="str">
            <v>Non-proportional</v>
          </cell>
          <cell r="S44691">
            <v>-1955.4</v>
          </cell>
          <cell r="X44691" t="str">
            <v>Variation UPR - gross</v>
          </cell>
          <cell r="Y44691" t="str">
            <v>JAPAN</v>
          </cell>
        </row>
        <row r="44692">
          <cell r="L44692" t="str">
            <v>Non-proportional</v>
          </cell>
          <cell r="S44692">
            <v>-2707.8</v>
          </cell>
          <cell r="X44692" t="str">
            <v>Variation UPR - gross</v>
          </cell>
          <cell r="Y44692" t="str">
            <v>JAPAN</v>
          </cell>
        </row>
        <row r="44693">
          <cell r="L44693" t="str">
            <v>Non-proportional</v>
          </cell>
          <cell r="S44693">
            <v>-34280.75</v>
          </cell>
          <cell r="X44693" t="str">
            <v>Variation UPR - gross</v>
          </cell>
          <cell r="Y44693" t="str">
            <v>UNITED STATES</v>
          </cell>
        </row>
        <row r="44694">
          <cell r="L44694" t="str">
            <v>Non-proportional</v>
          </cell>
          <cell r="S44694">
            <v>-6658.89</v>
          </cell>
          <cell r="X44694" t="str">
            <v>Variation UPR - gross</v>
          </cell>
          <cell r="Y44694" t="str">
            <v>CYPRUS</v>
          </cell>
        </row>
        <row r="44695">
          <cell r="L44695" t="str">
            <v>Non-proportional</v>
          </cell>
          <cell r="S44695">
            <v>-2179.7800000000002</v>
          </cell>
          <cell r="X44695" t="str">
            <v>Variation UPR - gross</v>
          </cell>
          <cell r="Y44695" t="str">
            <v>FRANCE</v>
          </cell>
        </row>
        <row r="44696">
          <cell r="L44696" t="str">
            <v>Non-proportional</v>
          </cell>
          <cell r="S44696">
            <v>-15042.95</v>
          </cell>
          <cell r="X44696" t="str">
            <v>Variation UPR - gross</v>
          </cell>
          <cell r="Y44696" t="str">
            <v>FRANCE</v>
          </cell>
        </row>
        <row r="44697">
          <cell r="L44697" t="str">
            <v>Proportional</v>
          </cell>
          <cell r="S44697">
            <v>102899.5</v>
          </cell>
          <cell r="X44697" t="str">
            <v>Variation UPR - gross</v>
          </cell>
          <cell r="Y44697" t="str">
            <v>SWITZERLAND</v>
          </cell>
        </row>
        <row r="44698">
          <cell r="L44698" t="str">
            <v>Non-proportional</v>
          </cell>
          <cell r="S44698">
            <v>-68.56</v>
          </cell>
          <cell r="X44698" t="str">
            <v>Variation UPR - gross</v>
          </cell>
          <cell r="Y44698" t="str">
            <v>ISRAEL</v>
          </cell>
        </row>
        <row r="44699">
          <cell r="L44699" t="str">
            <v>Non-proportional</v>
          </cell>
          <cell r="S44699">
            <v>-0.17</v>
          </cell>
          <cell r="X44699" t="str">
            <v>Variation UPR - gross</v>
          </cell>
          <cell r="Y44699" t="str">
            <v>TURKEY</v>
          </cell>
        </row>
        <row r="44700">
          <cell r="L44700" t="str">
            <v>Non-proportional</v>
          </cell>
          <cell r="S44700">
            <v>-0.22</v>
          </cell>
          <cell r="X44700" t="str">
            <v>Variation UPR - gross</v>
          </cell>
          <cell r="Y44700" t="str">
            <v>TURKEY</v>
          </cell>
        </row>
        <row r="44701">
          <cell r="L44701" t="str">
            <v>Non-proportional</v>
          </cell>
          <cell r="S44701">
            <v>-36.840000000000003</v>
          </cell>
          <cell r="X44701" t="str">
            <v>Variation UPR - gross</v>
          </cell>
          <cell r="Y44701" t="str">
            <v>CHILE</v>
          </cell>
        </row>
        <row r="44702">
          <cell r="L44702" t="str">
            <v>Non-proportional</v>
          </cell>
          <cell r="S44702">
            <v>100.78</v>
          </cell>
          <cell r="X44702" t="str">
            <v>Variation UPR - gross</v>
          </cell>
          <cell r="Y44702" t="str">
            <v>AUSTRALIA</v>
          </cell>
        </row>
        <row r="44703">
          <cell r="L44703" t="str">
            <v>Non-proportional</v>
          </cell>
          <cell r="S44703">
            <v>-4981.84</v>
          </cell>
          <cell r="X44703" t="str">
            <v>Variation UPR - gross</v>
          </cell>
          <cell r="Y44703" t="str">
            <v>ECUADOR</v>
          </cell>
        </row>
        <row r="44704">
          <cell r="L44704" t="str">
            <v>Non-proportional</v>
          </cell>
          <cell r="S44704">
            <v>51.38</v>
          </cell>
          <cell r="X44704" t="str">
            <v>Variation UPR - gross</v>
          </cell>
          <cell r="Y44704" t="str">
            <v>JAPAN</v>
          </cell>
        </row>
        <row r="44705">
          <cell r="L44705" t="str">
            <v>Non-proportional</v>
          </cell>
          <cell r="S44705">
            <v>523.49</v>
          </cell>
          <cell r="X44705" t="str">
            <v>Variation UPR - gross</v>
          </cell>
          <cell r="Y44705" t="str">
            <v>JAPAN</v>
          </cell>
        </row>
        <row r="44706">
          <cell r="L44706" t="str">
            <v>Non-proportional</v>
          </cell>
          <cell r="S44706">
            <v>360.32</v>
          </cell>
          <cell r="X44706" t="str">
            <v>Variation UPR - gross</v>
          </cell>
          <cell r="Y44706" t="str">
            <v>NEW ZEALAND</v>
          </cell>
        </row>
        <row r="44707">
          <cell r="L44707" t="str">
            <v>Non-proportional</v>
          </cell>
          <cell r="S44707">
            <v>-8843.8799999999992</v>
          </cell>
          <cell r="X44707" t="str">
            <v>Variation UPR - gross</v>
          </cell>
          <cell r="Y44707" t="str">
            <v>TURKEY</v>
          </cell>
        </row>
        <row r="44708">
          <cell r="L44708" t="str">
            <v>Non-proportional</v>
          </cell>
          <cell r="S44708">
            <v>-1846.85</v>
          </cell>
          <cell r="X44708" t="str">
            <v>Variation UPR - gross</v>
          </cell>
          <cell r="Y44708" t="str">
            <v>FRANCE</v>
          </cell>
        </row>
        <row r="44709">
          <cell r="L44709" t="str">
            <v>Non-proportional</v>
          </cell>
          <cell r="S44709">
            <v>-6393.46</v>
          </cell>
          <cell r="X44709" t="str">
            <v>Variation UPR - gross</v>
          </cell>
          <cell r="Y44709" t="str">
            <v>NETHERLANDS</v>
          </cell>
        </row>
        <row r="44710">
          <cell r="L44710" t="str">
            <v>Proportional</v>
          </cell>
          <cell r="S44710">
            <v>-92666.67</v>
          </cell>
          <cell r="X44710" t="str">
            <v>Variation UPR - gross</v>
          </cell>
          <cell r="Y44710" t="str">
            <v>FRANCE</v>
          </cell>
        </row>
        <row r="44711">
          <cell r="L44711" t="str">
            <v>Non-proportional</v>
          </cell>
          <cell r="S44711">
            <v>-4760.6099999999997</v>
          </cell>
          <cell r="X44711" t="str">
            <v>Variation UPR - gross</v>
          </cell>
          <cell r="Y44711" t="str">
            <v>AUSTRALIA</v>
          </cell>
        </row>
        <row r="44712">
          <cell r="L44712" t="str">
            <v>Non-proportional</v>
          </cell>
          <cell r="S44712">
            <v>-4752.92</v>
          </cell>
          <cell r="X44712" t="str">
            <v>Variation UPR - gross</v>
          </cell>
          <cell r="Y44712" t="str">
            <v>CHILE</v>
          </cell>
        </row>
        <row r="44713">
          <cell r="L44713" t="str">
            <v>Non-proportional</v>
          </cell>
          <cell r="S44713">
            <v>-149.69</v>
          </cell>
          <cell r="X44713" t="str">
            <v>Variation UPR - gross</v>
          </cell>
          <cell r="Y44713" t="str">
            <v>ISRAEL</v>
          </cell>
        </row>
        <row r="44714">
          <cell r="L44714" t="str">
            <v>Proportional</v>
          </cell>
          <cell r="S44714">
            <v>928.98</v>
          </cell>
          <cell r="X44714" t="str">
            <v>Variation UPR - gross</v>
          </cell>
          <cell r="Y44714" t="str">
            <v>INDIA</v>
          </cell>
        </row>
        <row r="44715">
          <cell r="L44715" t="str">
            <v>Non-proportional</v>
          </cell>
          <cell r="S44715">
            <v>9.02</v>
          </cell>
          <cell r="X44715" t="str">
            <v>Variation UPR - gross</v>
          </cell>
          <cell r="Y44715" t="str">
            <v>NEW ZEALAND</v>
          </cell>
        </row>
        <row r="44716">
          <cell r="L44716" t="str">
            <v>Proportional</v>
          </cell>
          <cell r="S44716">
            <v>-17979.32</v>
          </cell>
          <cell r="X44716" t="str">
            <v>Variation UPR - gross</v>
          </cell>
          <cell r="Y44716" t="str">
            <v>THAILAND</v>
          </cell>
        </row>
        <row r="44717">
          <cell r="L44717" t="str">
            <v>Proportional</v>
          </cell>
          <cell r="S44717">
            <v>4852.43</v>
          </cell>
          <cell r="X44717" t="str">
            <v>Variation UPR - gross</v>
          </cell>
          <cell r="Y44717" t="str">
            <v>THAILAND</v>
          </cell>
        </row>
        <row r="44718">
          <cell r="L44718" t="str">
            <v>Proportional</v>
          </cell>
          <cell r="S44718">
            <v>173.77</v>
          </cell>
          <cell r="X44718" t="str">
            <v>Variation UPR - gross</v>
          </cell>
          <cell r="Y44718" t="str">
            <v>UNITED STATES</v>
          </cell>
        </row>
        <row r="44719">
          <cell r="L44719" t="str">
            <v>Non-proportional</v>
          </cell>
          <cell r="S44719">
            <v>-110.53</v>
          </cell>
          <cell r="X44719" t="str">
            <v>Variation UPR - gross</v>
          </cell>
          <cell r="Y44719" t="str">
            <v>CHILE</v>
          </cell>
        </row>
        <row r="44720">
          <cell r="L44720" t="str">
            <v>Non-proportional</v>
          </cell>
          <cell r="S44720">
            <v>120.21</v>
          </cell>
          <cell r="X44720" t="str">
            <v>Variation UPR - gross</v>
          </cell>
          <cell r="Y44720" t="str">
            <v>AUSTRALIA</v>
          </cell>
        </row>
        <row r="44721">
          <cell r="L44721" t="str">
            <v>Non-proportional</v>
          </cell>
          <cell r="S44721">
            <v>-12784.99</v>
          </cell>
          <cell r="X44721" t="str">
            <v>Variation UPR - gross</v>
          </cell>
          <cell r="Y44721" t="str">
            <v>CHILE</v>
          </cell>
        </row>
        <row r="44722">
          <cell r="L44722" t="str">
            <v>Non-proportional</v>
          </cell>
          <cell r="S44722">
            <v>23.24</v>
          </cell>
          <cell r="X44722" t="str">
            <v>Variation UPR - gross</v>
          </cell>
          <cell r="Y44722" t="str">
            <v>JAPAN</v>
          </cell>
        </row>
        <row r="44723">
          <cell r="L44723" t="str">
            <v>Non-proportional</v>
          </cell>
          <cell r="S44723">
            <v>-773.73</v>
          </cell>
          <cell r="X44723" t="str">
            <v>Variation UPR - gross</v>
          </cell>
          <cell r="Y44723" t="str">
            <v>CHILE</v>
          </cell>
        </row>
        <row r="44724">
          <cell r="L44724" t="str">
            <v>Non-proportional</v>
          </cell>
          <cell r="S44724">
            <v>53.2</v>
          </cell>
          <cell r="X44724" t="str">
            <v>Variation UPR - gross</v>
          </cell>
          <cell r="Y44724" t="str">
            <v>JAPAN</v>
          </cell>
        </row>
        <row r="44725">
          <cell r="L44725" t="str">
            <v>Non-proportional</v>
          </cell>
          <cell r="S44725">
            <v>-8238.26</v>
          </cell>
          <cell r="X44725" t="str">
            <v>Variation UPR - gross</v>
          </cell>
          <cell r="Y44725" t="str">
            <v>ITALY</v>
          </cell>
        </row>
        <row r="44726">
          <cell r="L44726" t="str">
            <v>Non-proportional</v>
          </cell>
          <cell r="S44726">
            <v>-3592.42</v>
          </cell>
          <cell r="X44726" t="str">
            <v>Variation UPR - gross</v>
          </cell>
          <cell r="Y44726" t="str">
            <v>FRANCE</v>
          </cell>
        </row>
        <row r="44727">
          <cell r="L44727" t="str">
            <v>Non-proportional</v>
          </cell>
          <cell r="S44727">
            <v>-154.99</v>
          </cell>
          <cell r="X44727" t="str">
            <v>Variation UPR - gross</v>
          </cell>
          <cell r="Y44727" t="str">
            <v>FRANCE</v>
          </cell>
        </row>
        <row r="44728">
          <cell r="L44728" t="str">
            <v>Proportional</v>
          </cell>
          <cell r="S44728">
            <v>-106.35</v>
          </cell>
          <cell r="X44728" t="str">
            <v>Variation UPR - gross</v>
          </cell>
          <cell r="Y44728" t="str">
            <v>THAILAND</v>
          </cell>
        </row>
        <row r="44729">
          <cell r="L44729" t="str">
            <v>Proportional</v>
          </cell>
          <cell r="S44729">
            <v>-51369.47</v>
          </cell>
          <cell r="X44729" t="str">
            <v>Variation UPR - gross</v>
          </cell>
          <cell r="Y44729" t="str">
            <v>THAILAND</v>
          </cell>
        </row>
        <row r="44730">
          <cell r="L44730" t="str">
            <v>Non-proportional</v>
          </cell>
          <cell r="S44730">
            <v>-2909.62</v>
          </cell>
          <cell r="X44730" t="str">
            <v>Variation UPR - gross</v>
          </cell>
          <cell r="Y44730" t="str">
            <v>AUSTRALIA</v>
          </cell>
        </row>
        <row r="44731">
          <cell r="L44731" t="str">
            <v>Non-proportional</v>
          </cell>
          <cell r="S44731">
            <v>-4995.1899999999996</v>
          </cell>
          <cell r="X44731" t="str">
            <v>Variation UPR - gross</v>
          </cell>
          <cell r="Y44731" t="str">
            <v>INDIA</v>
          </cell>
        </row>
        <row r="44732">
          <cell r="L44732" t="str">
            <v>Non-proportional</v>
          </cell>
          <cell r="S44732">
            <v>-4.28</v>
          </cell>
          <cell r="X44732" t="str">
            <v>Variation UPR - gross</v>
          </cell>
          <cell r="Y44732" t="str">
            <v>COSTA RICA</v>
          </cell>
        </row>
        <row r="44733">
          <cell r="L44733" t="str">
            <v>Non-proportional</v>
          </cell>
          <cell r="S44733">
            <v>-4182.84</v>
          </cell>
          <cell r="X44733" t="str">
            <v>Variation UPR - gross</v>
          </cell>
          <cell r="Y44733" t="str">
            <v>COLOMBIA</v>
          </cell>
        </row>
        <row r="44734">
          <cell r="L44734" t="str">
            <v>Non-proportional</v>
          </cell>
          <cell r="S44734">
            <v>-3304.2</v>
          </cell>
          <cell r="X44734" t="str">
            <v>Variation UPR - gross</v>
          </cell>
          <cell r="Y44734" t="str">
            <v>UNITED KINGDOM</v>
          </cell>
        </row>
        <row r="44735">
          <cell r="L44735" t="str">
            <v>Non-proportional</v>
          </cell>
          <cell r="S44735">
            <v>-6209.55</v>
          </cell>
          <cell r="X44735" t="str">
            <v>Variation UPR - gross</v>
          </cell>
          <cell r="Y44735" t="str">
            <v>PERU</v>
          </cell>
        </row>
        <row r="44736">
          <cell r="L44736" t="str">
            <v>Non-proportional</v>
          </cell>
          <cell r="S44736">
            <v>36.840000000000003</v>
          </cell>
          <cell r="X44736" t="str">
            <v>Variation UPR - gross</v>
          </cell>
          <cell r="Y44736" t="str">
            <v>CHILE</v>
          </cell>
        </row>
        <row r="44737">
          <cell r="L44737" t="str">
            <v>Non-proportional</v>
          </cell>
          <cell r="S44737">
            <v>8.7200000000000006</v>
          </cell>
          <cell r="X44737" t="str">
            <v>Variation UPR - gross</v>
          </cell>
          <cell r="Y44737" t="str">
            <v>AUSTRALIA</v>
          </cell>
        </row>
        <row r="44738">
          <cell r="L44738" t="str">
            <v>Non-proportional</v>
          </cell>
          <cell r="S44738">
            <v>-3305.01</v>
          </cell>
          <cell r="X44738" t="str">
            <v>Variation UPR - gross</v>
          </cell>
          <cell r="Y44738" t="str">
            <v>JAPAN</v>
          </cell>
        </row>
        <row r="44739">
          <cell r="L44739" t="str">
            <v>Non-proportional</v>
          </cell>
          <cell r="S44739">
            <v>16.78</v>
          </cell>
          <cell r="X44739" t="str">
            <v>Variation UPR - gross</v>
          </cell>
          <cell r="Y44739" t="str">
            <v>JAPAN</v>
          </cell>
        </row>
        <row r="44740">
          <cell r="L44740" t="str">
            <v>Non-proportional</v>
          </cell>
          <cell r="S44740">
            <v>65.58</v>
          </cell>
          <cell r="X44740" t="str">
            <v>Variation UPR - gross</v>
          </cell>
          <cell r="Y44740" t="str">
            <v>JAPAN</v>
          </cell>
        </row>
        <row r="44741">
          <cell r="L44741" t="str">
            <v>Non-proportional</v>
          </cell>
          <cell r="S44741">
            <v>107.36</v>
          </cell>
          <cell r="X44741" t="str">
            <v>Variation UPR - gross</v>
          </cell>
          <cell r="Y44741" t="str">
            <v>JAPAN</v>
          </cell>
        </row>
        <row r="44742">
          <cell r="L44742" t="str">
            <v>Proportional</v>
          </cell>
          <cell r="S44742">
            <v>-22696.11</v>
          </cell>
          <cell r="X44742" t="str">
            <v>Variation UPR - gross</v>
          </cell>
          <cell r="Y44742" t="str">
            <v>CHILE</v>
          </cell>
        </row>
        <row r="44743">
          <cell r="L44743" t="str">
            <v>Non-proportional</v>
          </cell>
          <cell r="S44743">
            <v>-2689.01</v>
          </cell>
          <cell r="X44743" t="str">
            <v>Variation UPR - gross</v>
          </cell>
          <cell r="Y44743" t="str">
            <v>AUSTRALIA</v>
          </cell>
        </row>
        <row r="44744">
          <cell r="L44744" t="str">
            <v>Non-proportional</v>
          </cell>
          <cell r="S44744">
            <v>-4425.46</v>
          </cell>
          <cell r="X44744" t="str">
            <v>Variation UPR - gross</v>
          </cell>
          <cell r="Y44744" t="str">
            <v>FRANCE</v>
          </cell>
        </row>
        <row r="44745">
          <cell r="L44745" t="str">
            <v>Proportional</v>
          </cell>
          <cell r="S44745">
            <v>-10787.59</v>
          </cell>
          <cell r="X44745" t="str">
            <v>Variation UPR - gross</v>
          </cell>
          <cell r="Y44745" t="str">
            <v>THAILAND</v>
          </cell>
        </row>
        <row r="44746">
          <cell r="L44746" t="str">
            <v>Non-proportional</v>
          </cell>
          <cell r="S44746">
            <v>-11863.23</v>
          </cell>
          <cell r="X44746" t="str">
            <v>Variation UPR - gross</v>
          </cell>
          <cell r="Y44746" t="str">
            <v>EUROPE</v>
          </cell>
        </row>
        <row r="44747">
          <cell r="L44747" t="str">
            <v>Proportional</v>
          </cell>
          <cell r="S44747">
            <v>71411381.120000005</v>
          </cell>
          <cell r="X44747" t="str">
            <v>Variation UPR - gross</v>
          </cell>
          <cell r="Y44747" t="str">
            <v>ITALY</v>
          </cell>
        </row>
        <row r="44748">
          <cell r="L44748" t="str">
            <v>Proportional</v>
          </cell>
          <cell r="S44748">
            <v>-19827.34</v>
          </cell>
          <cell r="X44748" t="str">
            <v>Variation UPR - gross</v>
          </cell>
          <cell r="Y44748" t="str">
            <v>EUROPE</v>
          </cell>
        </row>
        <row r="44749">
          <cell r="L44749" t="str">
            <v>Non-proportional</v>
          </cell>
          <cell r="S44749">
            <v>-546.88</v>
          </cell>
          <cell r="X44749" t="str">
            <v>Variation UPR - gross</v>
          </cell>
          <cell r="Y44749" t="str">
            <v>ITALY</v>
          </cell>
        </row>
        <row r="44750">
          <cell r="L44750" t="str">
            <v>Non-proportional</v>
          </cell>
          <cell r="S44750">
            <v>-638.52</v>
          </cell>
          <cell r="X44750" t="str">
            <v>Variation UPR - gross</v>
          </cell>
          <cell r="Y44750" t="str">
            <v>MALTA</v>
          </cell>
        </row>
        <row r="44751">
          <cell r="L44751" t="str">
            <v>Non-proportional</v>
          </cell>
          <cell r="S44751">
            <v>-9278.17</v>
          </cell>
          <cell r="X44751" t="str">
            <v>Variation UPR - gross</v>
          </cell>
          <cell r="Y44751" t="str">
            <v>UNITED KINGDOM</v>
          </cell>
        </row>
        <row r="44752">
          <cell r="L44752" t="str">
            <v>Non-proportional</v>
          </cell>
          <cell r="S44752">
            <v>-75272.210000000006</v>
          </cell>
          <cell r="X44752" t="str">
            <v>Variation UPR - gross</v>
          </cell>
          <cell r="Y44752" t="str">
            <v>UNITED KINGDOM</v>
          </cell>
        </row>
        <row r="44753">
          <cell r="L44753" t="str">
            <v>Non-proportional</v>
          </cell>
          <cell r="S44753">
            <v>-73785.119999999995</v>
          </cell>
          <cell r="X44753" t="str">
            <v>Variation UPR - gross</v>
          </cell>
          <cell r="Y44753" t="str">
            <v>UNITED KINGDOM</v>
          </cell>
        </row>
        <row r="44754">
          <cell r="L44754" t="str">
            <v>Non-proportional</v>
          </cell>
          <cell r="S44754">
            <v>-7775.19</v>
          </cell>
          <cell r="X44754" t="str">
            <v>Variation UPR - gross</v>
          </cell>
          <cell r="Y44754" t="str">
            <v>UNITED KINGDOM</v>
          </cell>
        </row>
        <row r="44755">
          <cell r="L44755" t="str">
            <v>Non-proportional</v>
          </cell>
          <cell r="S44755">
            <v>-73.69</v>
          </cell>
          <cell r="X44755" t="str">
            <v>Variation UPR - gross</v>
          </cell>
          <cell r="Y44755" t="str">
            <v>CHILE</v>
          </cell>
        </row>
        <row r="44756">
          <cell r="L44756" t="str">
            <v>Proportional</v>
          </cell>
          <cell r="S44756">
            <v>2746.06</v>
          </cell>
          <cell r="X44756" t="str">
            <v>Variation UPR - gross</v>
          </cell>
          <cell r="Y44756" t="str">
            <v>CANADA</v>
          </cell>
        </row>
        <row r="44757">
          <cell r="L44757" t="str">
            <v>Non-proportional</v>
          </cell>
          <cell r="S44757">
            <v>-5816.48</v>
          </cell>
          <cell r="X44757" t="str">
            <v>Variation UPR - gross</v>
          </cell>
          <cell r="Y44757" t="str">
            <v>COSTA RICA</v>
          </cell>
        </row>
        <row r="44758">
          <cell r="L44758" t="str">
            <v>Proportional</v>
          </cell>
          <cell r="S44758">
            <v>-32352.66</v>
          </cell>
          <cell r="X44758" t="str">
            <v>Variation UPR - gross</v>
          </cell>
          <cell r="Y44758" t="str">
            <v>CANADA</v>
          </cell>
        </row>
        <row r="44759">
          <cell r="L44759" t="str">
            <v>Non-proportional</v>
          </cell>
          <cell r="S44759">
            <v>28.84</v>
          </cell>
          <cell r="X44759" t="str">
            <v>Variation UPR - gross</v>
          </cell>
          <cell r="Y44759" t="str">
            <v>JAPAN</v>
          </cell>
        </row>
        <row r="44760">
          <cell r="L44760" t="str">
            <v>Non-proportional</v>
          </cell>
          <cell r="S44760">
            <v>-21666.67</v>
          </cell>
          <cell r="X44760" t="str">
            <v>Variation UPR - gross</v>
          </cell>
          <cell r="Y44760" t="str">
            <v>FRANCE</v>
          </cell>
        </row>
        <row r="44761">
          <cell r="L44761" t="str">
            <v>Non-proportional</v>
          </cell>
          <cell r="S44761">
            <v>-7437.5</v>
          </cell>
          <cell r="X44761" t="str">
            <v>Variation UPR - gross</v>
          </cell>
          <cell r="Y44761" t="str">
            <v>ITALY</v>
          </cell>
        </row>
        <row r="44762">
          <cell r="L44762" t="str">
            <v>Proportional</v>
          </cell>
          <cell r="S44762">
            <v>-791764.46</v>
          </cell>
          <cell r="X44762" t="str">
            <v>Variation UPR - gross</v>
          </cell>
          <cell r="Y44762" t="str">
            <v>HONG KONG</v>
          </cell>
        </row>
        <row r="44763">
          <cell r="L44763" t="str">
            <v>Proportional</v>
          </cell>
          <cell r="S44763">
            <v>-2722.22</v>
          </cell>
          <cell r="X44763" t="str">
            <v>Variation UPR - gross</v>
          </cell>
          <cell r="Y44763" t="str">
            <v>REPUBLIC OF IRELAND</v>
          </cell>
        </row>
        <row r="44764">
          <cell r="L44764" t="str">
            <v>Non-proportional</v>
          </cell>
          <cell r="S44764">
            <v>-5251.94</v>
          </cell>
          <cell r="X44764" t="str">
            <v>Variation UPR - gross</v>
          </cell>
          <cell r="Y44764" t="str">
            <v>NEW ZEALAND</v>
          </cell>
        </row>
        <row r="44765">
          <cell r="L44765" t="str">
            <v>Proportional</v>
          </cell>
          <cell r="S44765">
            <v>-9026.86</v>
          </cell>
          <cell r="X44765" t="str">
            <v>Variation UPR - gross</v>
          </cell>
          <cell r="Y44765" t="str">
            <v>CHILE</v>
          </cell>
        </row>
        <row r="44766">
          <cell r="L44766" t="str">
            <v>Non-proportional</v>
          </cell>
          <cell r="S44766">
            <v>-10807.54</v>
          </cell>
          <cell r="X44766" t="str">
            <v>Variation UPR - gross</v>
          </cell>
          <cell r="Y44766" t="str">
            <v>CHILE</v>
          </cell>
        </row>
        <row r="44767">
          <cell r="L44767" t="str">
            <v>Proportional</v>
          </cell>
          <cell r="S44767">
            <v>-4586.18</v>
          </cell>
          <cell r="X44767" t="str">
            <v>Variation UPR - gross</v>
          </cell>
          <cell r="Y44767" t="str">
            <v>PERU</v>
          </cell>
        </row>
        <row r="44768">
          <cell r="L44768" t="str">
            <v>Non-proportional</v>
          </cell>
          <cell r="S44768">
            <v>-3537.06</v>
          </cell>
          <cell r="X44768" t="str">
            <v>Variation UPR - gross</v>
          </cell>
          <cell r="Y44768" t="str">
            <v>CHILE</v>
          </cell>
        </row>
        <row r="44769">
          <cell r="L44769" t="str">
            <v>Non-proportional</v>
          </cell>
          <cell r="S44769">
            <v>-9742.6200000000008</v>
          </cell>
          <cell r="X44769" t="str">
            <v>Variation UPR - gross</v>
          </cell>
          <cell r="Y44769" t="str">
            <v>ECUADOR</v>
          </cell>
        </row>
        <row r="44770">
          <cell r="L44770" t="str">
            <v>Non-proportional</v>
          </cell>
          <cell r="S44770">
            <v>-2283.2199999999998</v>
          </cell>
          <cell r="X44770" t="str">
            <v>Variation UPR - gross</v>
          </cell>
          <cell r="Y44770" t="str">
            <v>ECUADOR</v>
          </cell>
        </row>
        <row r="44771">
          <cell r="L44771" t="str">
            <v>Non-proportional</v>
          </cell>
          <cell r="S44771">
            <v>-3283.34</v>
          </cell>
          <cell r="X44771" t="str">
            <v>Variation UPR - gross</v>
          </cell>
          <cell r="Y44771" t="str">
            <v>ECUADOR</v>
          </cell>
        </row>
        <row r="44772">
          <cell r="L44772" t="str">
            <v>Non-proportional</v>
          </cell>
          <cell r="S44772">
            <v>-3167.44</v>
          </cell>
          <cell r="X44772" t="str">
            <v>Variation UPR - gross</v>
          </cell>
          <cell r="Y44772" t="str">
            <v>GUATEMALA</v>
          </cell>
        </row>
        <row r="44773">
          <cell r="L44773" t="str">
            <v>Non-proportional</v>
          </cell>
          <cell r="S44773">
            <v>-1946.5</v>
          </cell>
          <cell r="X44773" t="str">
            <v>Variation UPR - gross</v>
          </cell>
          <cell r="Y44773" t="str">
            <v>REPUBLIC OF IRELAND</v>
          </cell>
        </row>
        <row r="44774">
          <cell r="L44774" t="str">
            <v>Non-proportional</v>
          </cell>
          <cell r="S44774">
            <v>-2976.4</v>
          </cell>
          <cell r="X44774" t="str">
            <v>Variation UPR - gross</v>
          </cell>
          <cell r="Y44774" t="str">
            <v>THAILAND</v>
          </cell>
        </row>
        <row r="44775">
          <cell r="L44775" t="str">
            <v>Non-proportional</v>
          </cell>
          <cell r="S44775">
            <v>-5918.43</v>
          </cell>
          <cell r="X44775" t="str">
            <v>Variation UPR - gross</v>
          </cell>
          <cell r="Y44775" t="str">
            <v>EUROPE</v>
          </cell>
        </row>
        <row r="44776">
          <cell r="L44776" t="str">
            <v>Non-proportional</v>
          </cell>
          <cell r="S44776">
            <v>-3126.85</v>
          </cell>
          <cell r="X44776" t="str">
            <v>Variation UPR - gross</v>
          </cell>
          <cell r="Y44776" t="str">
            <v>FRANCE</v>
          </cell>
        </row>
        <row r="44777">
          <cell r="L44777" t="str">
            <v>Non-proportional</v>
          </cell>
          <cell r="S44777">
            <v>-31316.15</v>
          </cell>
          <cell r="X44777" t="str">
            <v>Variation UPR - gross</v>
          </cell>
          <cell r="Y44777" t="str">
            <v>FRANCE</v>
          </cell>
        </row>
        <row r="44778">
          <cell r="L44778" t="str">
            <v>Non-proportional</v>
          </cell>
          <cell r="S44778">
            <v>-2090.19</v>
          </cell>
          <cell r="X44778" t="str">
            <v>Variation UPR - gross</v>
          </cell>
          <cell r="Y44778" t="str">
            <v>INDIA</v>
          </cell>
        </row>
        <row r="44779">
          <cell r="L44779" t="str">
            <v>Proportional</v>
          </cell>
          <cell r="S44779">
            <v>-4405.53</v>
          </cell>
          <cell r="X44779" t="str">
            <v>Variation UPR - gross</v>
          </cell>
          <cell r="Y44779" t="str">
            <v>ITALY</v>
          </cell>
        </row>
        <row r="44780">
          <cell r="L44780" t="str">
            <v>Non-proportional</v>
          </cell>
          <cell r="S44780">
            <v>-7492.29</v>
          </cell>
          <cell r="X44780" t="str">
            <v>Variation UPR - gross</v>
          </cell>
          <cell r="Y44780" t="str">
            <v>FRANCE</v>
          </cell>
        </row>
        <row r="44781">
          <cell r="L44781" t="str">
            <v>Non-proportional</v>
          </cell>
          <cell r="S44781">
            <v>-14331.16</v>
          </cell>
          <cell r="X44781" t="str">
            <v>Variation UPR - gross</v>
          </cell>
          <cell r="Y44781" t="str">
            <v>FRANCE</v>
          </cell>
        </row>
        <row r="44782">
          <cell r="L44782" t="str">
            <v>Non-proportional</v>
          </cell>
          <cell r="S44782">
            <v>-182.78</v>
          </cell>
          <cell r="X44782" t="str">
            <v>Variation UPR - gross</v>
          </cell>
          <cell r="Y44782" t="str">
            <v>JAPAN</v>
          </cell>
        </row>
        <row r="44783">
          <cell r="L44783" t="str">
            <v>Non-proportional</v>
          </cell>
          <cell r="S44783">
            <v>-14248.53</v>
          </cell>
          <cell r="X44783" t="str">
            <v>Variation UPR - gross</v>
          </cell>
          <cell r="Y44783" t="str">
            <v>AUSTRALIA</v>
          </cell>
        </row>
        <row r="44784">
          <cell r="L44784" t="str">
            <v>Non-proportional</v>
          </cell>
          <cell r="S44784">
            <v>-6622.32</v>
          </cell>
          <cell r="X44784" t="str">
            <v>Variation UPR - gross</v>
          </cell>
          <cell r="Y44784" t="str">
            <v>MEXICO</v>
          </cell>
        </row>
        <row r="44785">
          <cell r="L44785" t="str">
            <v>Non-proportional</v>
          </cell>
          <cell r="S44785">
            <v>-6106.72</v>
          </cell>
          <cell r="X44785" t="str">
            <v>Variation UPR - gross</v>
          </cell>
          <cell r="Y44785" t="str">
            <v>INDIA</v>
          </cell>
        </row>
        <row r="44786">
          <cell r="L44786" t="str">
            <v>Non-proportional</v>
          </cell>
          <cell r="S44786">
            <v>182.83</v>
          </cell>
          <cell r="X44786" t="str">
            <v>Variation UPR - gross</v>
          </cell>
          <cell r="Y44786" t="str">
            <v>INDIA</v>
          </cell>
        </row>
        <row r="44787">
          <cell r="L44787" t="str">
            <v>Non-proportional</v>
          </cell>
          <cell r="S44787">
            <v>-2060.21</v>
          </cell>
          <cell r="X44787" t="str">
            <v>Variation UPR - gross</v>
          </cell>
          <cell r="Y44787" t="str">
            <v>PERU</v>
          </cell>
        </row>
        <row r="44788">
          <cell r="L44788" t="str">
            <v>Non-proportional</v>
          </cell>
          <cell r="S44788">
            <v>-3746.46</v>
          </cell>
          <cell r="X44788" t="str">
            <v>Variation UPR - gross</v>
          </cell>
          <cell r="Y44788" t="str">
            <v>SINGAPORE</v>
          </cell>
        </row>
        <row r="44789">
          <cell r="L44789" t="str">
            <v>Non-proportional</v>
          </cell>
          <cell r="S44789">
            <v>273.95</v>
          </cell>
          <cell r="X44789" t="str">
            <v>Variation UPR - gross</v>
          </cell>
          <cell r="Y44789" t="str">
            <v>JAPAN</v>
          </cell>
        </row>
        <row r="44790">
          <cell r="L44790" t="str">
            <v>Non-proportional</v>
          </cell>
          <cell r="S44790">
            <v>-2648.17</v>
          </cell>
          <cell r="X44790" t="str">
            <v>Variation UPR - gross</v>
          </cell>
          <cell r="Y44790" t="str">
            <v>ECUADOR</v>
          </cell>
        </row>
        <row r="44791">
          <cell r="L44791" t="str">
            <v>Non-proportional</v>
          </cell>
          <cell r="S44791">
            <v>-73.69</v>
          </cell>
          <cell r="X44791" t="str">
            <v>Variation UPR - gross</v>
          </cell>
          <cell r="Y44791" t="str">
            <v>CHILE</v>
          </cell>
        </row>
        <row r="44792">
          <cell r="L44792" t="str">
            <v>Non-proportional</v>
          </cell>
          <cell r="S44792">
            <v>-729.15</v>
          </cell>
          <cell r="X44792" t="str">
            <v>Variation UPR - gross</v>
          </cell>
          <cell r="Y44792" t="str">
            <v>ISRAEL</v>
          </cell>
        </row>
        <row r="44793">
          <cell r="L44793" t="str">
            <v>Non-proportional</v>
          </cell>
          <cell r="S44793">
            <v>-2682.69</v>
          </cell>
          <cell r="X44793" t="str">
            <v>Variation UPR - gross</v>
          </cell>
          <cell r="Y44793" t="str">
            <v>DOMINICAN REPUBLIC</v>
          </cell>
        </row>
        <row r="44794">
          <cell r="L44794" t="str">
            <v>Non-proportional</v>
          </cell>
          <cell r="S44794">
            <v>-1564.3</v>
          </cell>
          <cell r="X44794" t="str">
            <v>Variation UPR - gross</v>
          </cell>
          <cell r="Y44794" t="str">
            <v>JAPAN</v>
          </cell>
        </row>
        <row r="44795">
          <cell r="L44795" t="str">
            <v>Non-proportional</v>
          </cell>
          <cell r="S44795">
            <v>-1949.79</v>
          </cell>
          <cell r="X44795" t="str">
            <v>Variation UPR - gross</v>
          </cell>
          <cell r="Y44795" t="str">
            <v>DOMINICAN REPUBLIC</v>
          </cell>
        </row>
        <row r="44796">
          <cell r="L44796" t="str">
            <v>Non-proportional</v>
          </cell>
          <cell r="S44796">
            <v>-3900.8</v>
          </cell>
          <cell r="X44796" t="str">
            <v>Variation UPR - gross</v>
          </cell>
          <cell r="Y44796" t="str">
            <v>EUROPE</v>
          </cell>
        </row>
        <row r="44797">
          <cell r="L44797" t="str">
            <v>Proportional</v>
          </cell>
          <cell r="S44797">
            <v>-102.44</v>
          </cell>
          <cell r="X44797" t="str">
            <v>Variation UPR - gross</v>
          </cell>
          <cell r="Y44797" t="str">
            <v>UNITED STATES</v>
          </cell>
        </row>
        <row r="44798">
          <cell r="L44798" t="str">
            <v>Non-proportional</v>
          </cell>
          <cell r="S44798">
            <v>-21294.47</v>
          </cell>
          <cell r="X44798" t="str">
            <v>Variation UPR - gross</v>
          </cell>
          <cell r="Y44798" t="str">
            <v>UNITED KINGDOM</v>
          </cell>
        </row>
        <row r="44799">
          <cell r="L44799" t="str">
            <v>Non-proportional</v>
          </cell>
          <cell r="S44799">
            <v>-8401.17</v>
          </cell>
          <cell r="X44799" t="str">
            <v>Variation UPR - gross</v>
          </cell>
          <cell r="Y44799" t="str">
            <v>CANADA</v>
          </cell>
        </row>
        <row r="44800">
          <cell r="L44800" t="str">
            <v>Non-proportional</v>
          </cell>
          <cell r="S44800">
            <v>-13829.39</v>
          </cell>
          <cell r="X44800" t="str">
            <v>Variation UPR - gross</v>
          </cell>
          <cell r="Y44800" t="str">
            <v>ECUADOR</v>
          </cell>
        </row>
        <row r="44801">
          <cell r="L44801" t="str">
            <v>Non-proportional</v>
          </cell>
          <cell r="S44801">
            <v>29.64</v>
          </cell>
          <cell r="X44801" t="str">
            <v>Variation UPR - gross</v>
          </cell>
          <cell r="Y44801" t="str">
            <v>COLOMBIA</v>
          </cell>
        </row>
        <row r="44802">
          <cell r="L44802" t="str">
            <v>Non-proportional</v>
          </cell>
          <cell r="S44802">
            <v>-1645.37</v>
          </cell>
          <cell r="X44802" t="str">
            <v>Variation UPR - gross</v>
          </cell>
          <cell r="Y44802" t="str">
            <v>JAPAN</v>
          </cell>
        </row>
        <row r="44803">
          <cell r="L44803" t="str">
            <v>Non-proportional</v>
          </cell>
          <cell r="S44803">
            <v>-1589.1</v>
          </cell>
          <cell r="X44803" t="str">
            <v>Variation UPR - gross</v>
          </cell>
          <cell r="Y44803" t="str">
            <v>JAPAN</v>
          </cell>
        </row>
        <row r="44804">
          <cell r="L44804" t="str">
            <v>Non-proportional</v>
          </cell>
          <cell r="S44804">
            <v>33.06</v>
          </cell>
          <cell r="X44804" t="str">
            <v>Variation UPR - gross</v>
          </cell>
          <cell r="Y44804" t="str">
            <v>JAPAN</v>
          </cell>
        </row>
        <row r="44805">
          <cell r="L44805" t="str">
            <v>Non-proportional</v>
          </cell>
          <cell r="S44805">
            <v>-2822.04</v>
          </cell>
          <cell r="X44805" t="str">
            <v>Variation UPR - gross</v>
          </cell>
          <cell r="Y44805" t="str">
            <v>AUSTRALIA</v>
          </cell>
        </row>
        <row r="44806">
          <cell r="L44806" t="str">
            <v>Proportional</v>
          </cell>
          <cell r="S44806">
            <v>-248.64</v>
          </cell>
          <cell r="X44806" t="str">
            <v>Variation UPR - gross</v>
          </cell>
          <cell r="Y44806" t="str">
            <v>TURKEY</v>
          </cell>
        </row>
        <row r="44807">
          <cell r="L44807" t="str">
            <v>Non-proportional</v>
          </cell>
          <cell r="S44807">
            <v>-90200</v>
          </cell>
          <cell r="X44807" t="str">
            <v>Variation UPR - gross</v>
          </cell>
          <cell r="Y44807" t="str">
            <v>EUROPE</v>
          </cell>
        </row>
        <row r="44808">
          <cell r="L44808" t="str">
            <v>Proportional</v>
          </cell>
          <cell r="S44808">
            <v>-27733.48</v>
          </cell>
          <cell r="X44808" t="str">
            <v>Variation UPR - gross</v>
          </cell>
          <cell r="Y44808" t="str">
            <v>BELGIUM</v>
          </cell>
        </row>
        <row r="44809">
          <cell r="L44809" t="str">
            <v>Proportional</v>
          </cell>
          <cell r="S44809">
            <v>-1437.12</v>
          </cell>
          <cell r="X44809" t="str">
            <v>Variation UPR - gross</v>
          </cell>
          <cell r="Y44809" t="str">
            <v>THAILAND</v>
          </cell>
        </row>
        <row r="44810">
          <cell r="L44810" t="str">
            <v>Non-proportional</v>
          </cell>
          <cell r="S44810">
            <v>-5151.8999999999996</v>
          </cell>
          <cell r="X44810" t="str">
            <v>Variation UPR - gross</v>
          </cell>
          <cell r="Y44810" t="str">
            <v>ITALY</v>
          </cell>
        </row>
        <row r="44811">
          <cell r="L44811" t="str">
            <v>Non-proportional</v>
          </cell>
          <cell r="S44811">
            <v>-2999.74</v>
          </cell>
          <cell r="X44811" t="str">
            <v>Variation UPR - gross</v>
          </cell>
          <cell r="Y44811" t="str">
            <v>NETHERLANDS</v>
          </cell>
        </row>
        <row r="44812">
          <cell r="L44812" t="str">
            <v>Proportional</v>
          </cell>
          <cell r="S44812">
            <v>-187.35</v>
          </cell>
          <cell r="X44812" t="str">
            <v>Variation UPR - gross</v>
          </cell>
          <cell r="Y44812" t="str">
            <v>UNITED STATES</v>
          </cell>
        </row>
        <row r="44813">
          <cell r="L44813" t="str">
            <v>Non-proportional</v>
          </cell>
          <cell r="S44813">
            <v>-805.83</v>
          </cell>
          <cell r="X44813" t="str">
            <v>Variation UPR - gross</v>
          </cell>
          <cell r="Y44813" t="str">
            <v>PERU</v>
          </cell>
        </row>
        <row r="44814">
          <cell r="L44814" t="str">
            <v>Proportional</v>
          </cell>
          <cell r="S44814">
            <v>-247151.08</v>
          </cell>
          <cell r="X44814" t="str">
            <v>Variation UPR - gross</v>
          </cell>
          <cell r="Y44814" t="str">
            <v>UNITED STATES</v>
          </cell>
        </row>
        <row r="44815">
          <cell r="L44815" t="str">
            <v>Non-proportional</v>
          </cell>
          <cell r="S44815">
            <v>-73.69</v>
          </cell>
          <cell r="X44815" t="str">
            <v>Variation UPR - gross</v>
          </cell>
          <cell r="Y44815" t="str">
            <v>CHILE</v>
          </cell>
        </row>
        <row r="44816">
          <cell r="L44816" t="str">
            <v>Non-proportional</v>
          </cell>
          <cell r="S44816">
            <v>-89980.6</v>
          </cell>
          <cell r="X44816" t="str">
            <v>Variation UPR - gross</v>
          </cell>
          <cell r="Y44816" t="str">
            <v>UNITED KINGDOM</v>
          </cell>
        </row>
        <row r="44817">
          <cell r="L44817" t="str">
            <v>Proportional</v>
          </cell>
          <cell r="S44817">
            <v>-226765.81</v>
          </cell>
          <cell r="X44817" t="str">
            <v>Variation UPR - gross</v>
          </cell>
          <cell r="Y44817" t="str">
            <v>CANADA</v>
          </cell>
        </row>
        <row r="44818">
          <cell r="L44818" t="str">
            <v>Non-proportional</v>
          </cell>
          <cell r="S44818">
            <v>-891.84</v>
          </cell>
          <cell r="X44818" t="str">
            <v>Variation UPR - gross</v>
          </cell>
          <cell r="Y44818" t="str">
            <v>JAPAN</v>
          </cell>
        </row>
        <row r="44819">
          <cell r="L44819" t="str">
            <v>Proportional</v>
          </cell>
          <cell r="S44819">
            <v>36.159999999999997</v>
          </cell>
          <cell r="X44819" t="str">
            <v>Variation UPR - gross</v>
          </cell>
          <cell r="Y44819" t="str">
            <v>UNITED STATES</v>
          </cell>
        </row>
        <row r="44820">
          <cell r="L44820" t="str">
            <v>Non-proportional</v>
          </cell>
          <cell r="S44820">
            <v>-1192.3</v>
          </cell>
          <cell r="X44820" t="str">
            <v>Variation UPR - gross</v>
          </cell>
          <cell r="Y44820" t="str">
            <v>JAPAN</v>
          </cell>
        </row>
        <row r="44821">
          <cell r="L44821" t="str">
            <v>Non-proportional</v>
          </cell>
          <cell r="S44821">
            <v>234.11</v>
          </cell>
          <cell r="X44821" t="str">
            <v>Variation UPR - gross</v>
          </cell>
          <cell r="Y44821" t="str">
            <v>NEW ZEALAND</v>
          </cell>
        </row>
        <row r="44822">
          <cell r="L44822" t="str">
            <v>Proportional</v>
          </cell>
          <cell r="S44822">
            <v>-2358.04</v>
          </cell>
          <cell r="X44822" t="str">
            <v>Variation UPR - gross</v>
          </cell>
          <cell r="Y44822" t="str">
            <v>CHILE</v>
          </cell>
        </row>
        <row r="44823">
          <cell r="L44823" t="str">
            <v>Non-proportional</v>
          </cell>
          <cell r="S44823">
            <v>-259.38</v>
          </cell>
          <cell r="X44823" t="str">
            <v>Variation UPR - gross</v>
          </cell>
          <cell r="Y44823" t="str">
            <v>ECUADOR</v>
          </cell>
        </row>
        <row r="44824">
          <cell r="L44824" t="str">
            <v>Non-proportional</v>
          </cell>
          <cell r="S44824">
            <v>-9718.4599999999991</v>
          </cell>
          <cell r="X44824" t="str">
            <v>Variation UPR - gross</v>
          </cell>
          <cell r="Y44824" t="str">
            <v>PERU</v>
          </cell>
        </row>
        <row r="44825">
          <cell r="L44825" t="str">
            <v>Proportional</v>
          </cell>
          <cell r="S44825">
            <v>-23660.83</v>
          </cell>
          <cell r="X44825" t="str">
            <v>Variation UPR - gross</v>
          </cell>
          <cell r="Y44825" t="str">
            <v>ITALY</v>
          </cell>
        </row>
        <row r="44826">
          <cell r="L44826" t="str">
            <v>Proportional</v>
          </cell>
          <cell r="S44826">
            <v>-231933.16</v>
          </cell>
          <cell r="X44826" t="str">
            <v>Variation UPR - gross</v>
          </cell>
          <cell r="Y44826" t="str">
            <v>THAILAND</v>
          </cell>
        </row>
        <row r="44827">
          <cell r="L44827" t="str">
            <v>Proportional</v>
          </cell>
          <cell r="S44827">
            <v>-186984.87</v>
          </cell>
          <cell r="X44827" t="str">
            <v>Variation UPR - gross</v>
          </cell>
          <cell r="Y44827" t="str">
            <v>THAILAND</v>
          </cell>
        </row>
        <row r="44828">
          <cell r="L44828" t="str">
            <v>Non-proportional</v>
          </cell>
          <cell r="S44828">
            <v>-16278.67</v>
          </cell>
          <cell r="X44828" t="str">
            <v>Variation UPR - gross</v>
          </cell>
          <cell r="Y44828" t="str">
            <v>ITALY</v>
          </cell>
        </row>
        <row r="44829">
          <cell r="L44829" t="str">
            <v>Non-proportional</v>
          </cell>
          <cell r="S44829">
            <v>-13073.04</v>
          </cell>
          <cell r="X44829" t="str">
            <v>Variation UPR - gross</v>
          </cell>
          <cell r="Y44829" t="str">
            <v>FRANCE</v>
          </cell>
        </row>
        <row r="44830">
          <cell r="L44830" t="str">
            <v>Non-proportional</v>
          </cell>
          <cell r="S44830">
            <v>-60375</v>
          </cell>
          <cell r="X44830" t="str">
            <v>Variation UPR - gross</v>
          </cell>
          <cell r="Y44830" t="str">
            <v>BELGIUM</v>
          </cell>
        </row>
        <row r="44831">
          <cell r="L44831" t="str">
            <v>Non-proportional</v>
          </cell>
          <cell r="S44831">
            <v>-10499.88</v>
          </cell>
          <cell r="X44831" t="str">
            <v>Variation UPR - gross</v>
          </cell>
          <cell r="Y44831" t="str">
            <v>ITALY</v>
          </cell>
        </row>
        <row r="44832">
          <cell r="L44832" t="str">
            <v>Non-proportional</v>
          </cell>
          <cell r="S44832">
            <v>-7406.47</v>
          </cell>
          <cell r="X44832" t="str">
            <v>Variation UPR - gross</v>
          </cell>
          <cell r="Y44832" t="str">
            <v>AUSTRALIA</v>
          </cell>
        </row>
        <row r="44833">
          <cell r="L44833" t="str">
            <v>Non-proportional</v>
          </cell>
          <cell r="S44833">
            <v>0.01</v>
          </cell>
          <cell r="X44833" t="str">
            <v>Variation UPR - gross</v>
          </cell>
          <cell r="Y44833" t="str">
            <v>DOMINICAN REPUBLIC</v>
          </cell>
        </row>
        <row r="44834">
          <cell r="L44834" t="str">
            <v>Proportional</v>
          </cell>
          <cell r="S44834">
            <v>-781.39</v>
          </cell>
          <cell r="X44834" t="str">
            <v>Variation UPR - gross</v>
          </cell>
          <cell r="Y44834" t="str">
            <v>COLOMBIA</v>
          </cell>
        </row>
        <row r="44835">
          <cell r="L44835" t="str">
            <v>Non-proportional</v>
          </cell>
          <cell r="S44835">
            <v>-5583.89</v>
          </cell>
          <cell r="X44835" t="str">
            <v>Variation UPR - gross</v>
          </cell>
          <cell r="Y44835" t="str">
            <v>SINGAPORE</v>
          </cell>
        </row>
        <row r="44836">
          <cell r="L44836" t="str">
            <v>Non-proportional</v>
          </cell>
          <cell r="S44836">
            <v>-475.25</v>
          </cell>
          <cell r="X44836" t="str">
            <v>Variation UPR - gross</v>
          </cell>
          <cell r="Y44836" t="str">
            <v>BRAZIL</v>
          </cell>
        </row>
        <row r="44837">
          <cell r="L44837" t="str">
            <v>Non-proportional</v>
          </cell>
          <cell r="S44837">
            <v>-14374.43</v>
          </cell>
          <cell r="X44837" t="str">
            <v>Variation UPR - gross</v>
          </cell>
          <cell r="Y44837" t="str">
            <v>PUERTO RICO</v>
          </cell>
        </row>
        <row r="44838">
          <cell r="L44838" t="str">
            <v>Non-proportional</v>
          </cell>
          <cell r="S44838">
            <v>-1934.14</v>
          </cell>
          <cell r="X44838" t="str">
            <v>Variation UPR - gross</v>
          </cell>
          <cell r="Y44838" t="str">
            <v>ISRAEL</v>
          </cell>
        </row>
        <row r="44839">
          <cell r="L44839" t="str">
            <v>Non-proportional</v>
          </cell>
          <cell r="S44839">
            <v>-3200.1</v>
          </cell>
          <cell r="X44839" t="str">
            <v>Variation UPR - gross</v>
          </cell>
          <cell r="Y44839" t="str">
            <v>ECUADOR</v>
          </cell>
        </row>
        <row r="44840">
          <cell r="L44840" t="str">
            <v>Non-proportional</v>
          </cell>
          <cell r="S44840">
            <v>36.840000000000003</v>
          </cell>
          <cell r="X44840" t="str">
            <v>Variation UPR - gross</v>
          </cell>
          <cell r="Y44840" t="str">
            <v>CHILE</v>
          </cell>
        </row>
        <row r="44841">
          <cell r="L44841" t="str">
            <v>Non-proportional</v>
          </cell>
          <cell r="S44841">
            <v>-73.69</v>
          </cell>
          <cell r="X44841" t="str">
            <v>Variation UPR - gross</v>
          </cell>
          <cell r="Y44841" t="str">
            <v>CHILE</v>
          </cell>
        </row>
        <row r="44842">
          <cell r="L44842" t="str">
            <v>Non-proportional</v>
          </cell>
          <cell r="S44842">
            <v>-1735.53</v>
          </cell>
          <cell r="X44842" t="str">
            <v>Variation UPR - gross</v>
          </cell>
          <cell r="Y44842" t="str">
            <v>NEW ZEALAND</v>
          </cell>
        </row>
        <row r="44843">
          <cell r="L44843" t="str">
            <v>Non-proportional</v>
          </cell>
          <cell r="S44843">
            <v>-1172.3</v>
          </cell>
          <cell r="X44843" t="str">
            <v>Variation UPR - gross</v>
          </cell>
          <cell r="Y44843" t="str">
            <v>FRANCE</v>
          </cell>
        </row>
        <row r="44844">
          <cell r="L44844" t="str">
            <v>Non-proportional</v>
          </cell>
          <cell r="S44844">
            <v>-40000</v>
          </cell>
          <cell r="X44844" t="str">
            <v>Variation UPR - gross</v>
          </cell>
          <cell r="Y44844" t="str">
            <v>PORTUGAL</v>
          </cell>
        </row>
        <row r="44845">
          <cell r="L44845" t="str">
            <v>Non-proportional</v>
          </cell>
          <cell r="S44845">
            <v>-1131.24</v>
          </cell>
          <cell r="X44845" t="str">
            <v>Variation UPR - gross</v>
          </cell>
          <cell r="Y44845" t="str">
            <v>CYPRUS</v>
          </cell>
        </row>
        <row r="44846">
          <cell r="L44846" t="str">
            <v>Proportional</v>
          </cell>
          <cell r="S44846">
            <v>-2722.22</v>
          </cell>
          <cell r="X44846" t="str">
            <v>Variation UPR - gross</v>
          </cell>
          <cell r="Y44846" t="str">
            <v>REPUBLIC OF IRELAND</v>
          </cell>
        </row>
        <row r="44847">
          <cell r="L44847" t="str">
            <v>Non-proportional</v>
          </cell>
          <cell r="S44847">
            <v>403.34</v>
          </cell>
          <cell r="X44847" t="str">
            <v>Variation UPR - gross</v>
          </cell>
          <cell r="Y44847" t="str">
            <v>NEW ZEALAND</v>
          </cell>
        </row>
        <row r="44848">
          <cell r="L44848" t="str">
            <v>Non-proportional</v>
          </cell>
          <cell r="S44848">
            <v>-6279.15</v>
          </cell>
          <cell r="X44848" t="str">
            <v>Variation UPR - gross</v>
          </cell>
          <cell r="Y44848" t="str">
            <v>MEXICO</v>
          </cell>
        </row>
        <row r="44849">
          <cell r="L44849" t="str">
            <v>Non-proportional</v>
          </cell>
          <cell r="S44849">
            <v>-2612.37</v>
          </cell>
          <cell r="X44849" t="str">
            <v>Variation UPR - gross</v>
          </cell>
          <cell r="Y44849" t="str">
            <v>UNITED KINGDOM</v>
          </cell>
        </row>
        <row r="44850">
          <cell r="L44850" t="str">
            <v>Non-proportional</v>
          </cell>
          <cell r="S44850">
            <v>0.01</v>
          </cell>
          <cell r="X44850" t="str">
            <v>Variation UPR - gross</v>
          </cell>
          <cell r="Y44850" t="str">
            <v>DOMINICAN REPUBLIC</v>
          </cell>
        </row>
        <row r="44851">
          <cell r="L44851" t="str">
            <v>Non-proportional</v>
          </cell>
          <cell r="S44851">
            <v>-11320.23</v>
          </cell>
          <cell r="X44851" t="str">
            <v>Variation UPR - gross</v>
          </cell>
          <cell r="Y44851" t="str">
            <v>MEXICO</v>
          </cell>
        </row>
        <row r="44852">
          <cell r="L44852" t="str">
            <v>Proportional</v>
          </cell>
          <cell r="S44852">
            <v>43063.15</v>
          </cell>
          <cell r="X44852" t="str">
            <v>Variation UPR - gross</v>
          </cell>
          <cell r="Y44852" t="str">
            <v>ITALY</v>
          </cell>
        </row>
        <row r="44853">
          <cell r="L44853" t="str">
            <v>Non-proportional</v>
          </cell>
          <cell r="S44853">
            <v>-73.69</v>
          </cell>
          <cell r="X44853" t="str">
            <v>Variation UPR - gross</v>
          </cell>
          <cell r="Y44853" t="str">
            <v>CHILE</v>
          </cell>
        </row>
        <row r="44854">
          <cell r="L44854" t="str">
            <v>Non-proportional</v>
          </cell>
          <cell r="S44854">
            <v>-4636.43</v>
          </cell>
          <cell r="X44854" t="str">
            <v>Variation UPR - gross</v>
          </cell>
          <cell r="Y44854" t="str">
            <v>UNITED KINGDOM</v>
          </cell>
        </row>
        <row r="44855">
          <cell r="L44855" t="str">
            <v>Proportional</v>
          </cell>
          <cell r="S44855">
            <v>25214.58</v>
          </cell>
          <cell r="X44855" t="str">
            <v>Variation UPR - gross</v>
          </cell>
          <cell r="Y44855" t="str">
            <v>AUSTRALIA</v>
          </cell>
        </row>
        <row r="44856">
          <cell r="L44856" t="str">
            <v>Non-proportional</v>
          </cell>
          <cell r="S44856">
            <v>-5155.7700000000004</v>
          </cell>
          <cell r="X44856" t="str">
            <v>Variation UPR - gross</v>
          </cell>
          <cell r="Y44856" t="str">
            <v>BELIZE</v>
          </cell>
        </row>
        <row r="44857">
          <cell r="L44857" t="str">
            <v>Non-proportional</v>
          </cell>
          <cell r="S44857">
            <v>-1323.12</v>
          </cell>
          <cell r="X44857" t="str">
            <v>Variation UPR - gross</v>
          </cell>
          <cell r="Y44857" t="str">
            <v>PUERTO RICO</v>
          </cell>
        </row>
        <row r="44858">
          <cell r="L44858" t="str">
            <v>Non-proportional</v>
          </cell>
          <cell r="S44858">
            <v>10.56</v>
          </cell>
          <cell r="X44858" t="str">
            <v>Variation UPR - gross</v>
          </cell>
          <cell r="Y44858" t="str">
            <v>CHINA</v>
          </cell>
        </row>
        <row r="44859">
          <cell r="L44859" t="str">
            <v>Non-proportional</v>
          </cell>
          <cell r="S44859">
            <v>-864.59</v>
          </cell>
          <cell r="X44859" t="str">
            <v>Variation UPR - gross</v>
          </cell>
          <cell r="Y44859" t="str">
            <v>COSTA RICA</v>
          </cell>
        </row>
        <row r="44860">
          <cell r="L44860" t="str">
            <v>Non-proportional</v>
          </cell>
          <cell r="S44860">
            <v>-8761.39</v>
          </cell>
          <cell r="X44860" t="str">
            <v>Variation UPR - gross</v>
          </cell>
          <cell r="Y44860" t="str">
            <v>PUERTO RICO</v>
          </cell>
        </row>
        <row r="44861">
          <cell r="L44861" t="str">
            <v>Proportional</v>
          </cell>
          <cell r="S44861">
            <v>-66028.5</v>
          </cell>
          <cell r="X44861" t="str">
            <v>Variation UPR - gross</v>
          </cell>
          <cell r="Y44861" t="str">
            <v>CANADA</v>
          </cell>
        </row>
        <row r="44862">
          <cell r="L44862" t="str">
            <v>Non-proportional</v>
          </cell>
          <cell r="S44862">
            <v>-4409.49</v>
          </cell>
          <cell r="X44862" t="str">
            <v>Variation UPR - gross</v>
          </cell>
          <cell r="Y44862" t="str">
            <v>COSTA RICA</v>
          </cell>
        </row>
        <row r="44863">
          <cell r="L44863" t="str">
            <v>Proportional</v>
          </cell>
          <cell r="S44863">
            <v>0.39</v>
          </cell>
          <cell r="X44863" t="str">
            <v>Variation UPR - gross</v>
          </cell>
          <cell r="Y44863" t="str">
            <v>UNITED STATES</v>
          </cell>
        </row>
        <row r="44864">
          <cell r="L44864" t="str">
            <v>Non-proportional</v>
          </cell>
          <cell r="S44864">
            <v>-28848.58</v>
          </cell>
          <cell r="X44864" t="str">
            <v>Variation UPR - gross</v>
          </cell>
          <cell r="Y44864" t="str">
            <v>FRANCE</v>
          </cell>
        </row>
        <row r="44865">
          <cell r="L44865" t="str">
            <v>Non-proportional</v>
          </cell>
          <cell r="S44865">
            <v>-2551.23</v>
          </cell>
          <cell r="X44865" t="str">
            <v>Variation UPR - gross</v>
          </cell>
          <cell r="Y44865" t="str">
            <v>THAILAND</v>
          </cell>
        </row>
        <row r="44866">
          <cell r="L44866" t="str">
            <v>Non-proportional</v>
          </cell>
          <cell r="S44866">
            <v>-3550.83</v>
          </cell>
          <cell r="X44866" t="str">
            <v>Variation UPR - gross</v>
          </cell>
          <cell r="Y44866" t="str">
            <v>THAILAND</v>
          </cell>
        </row>
        <row r="44867">
          <cell r="L44867" t="str">
            <v>Non-proportional</v>
          </cell>
          <cell r="S44867">
            <v>-3796.46</v>
          </cell>
          <cell r="X44867" t="str">
            <v>Variation UPR - gross</v>
          </cell>
          <cell r="Y44867" t="str">
            <v>ITALY</v>
          </cell>
        </row>
        <row r="44868">
          <cell r="L44868" t="str">
            <v>Non-proportional</v>
          </cell>
          <cell r="S44868">
            <v>-4751.26</v>
          </cell>
          <cell r="X44868" t="str">
            <v>Variation UPR - gross</v>
          </cell>
          <cell r="Y44868" t="str">
            <v>FRANCE</v>
          </cell>
        </row>
        <row r="44869">
          <cell r="L44869" t="str">
            <v>Proportional</v>
          </cell>
          <cell r="S44869">
            <v>-164.12</v>
          </cell>
          <cell r="X44869" t="str">
            <v>Variation UPR - gross</v>
          </cell>
          <cell r="Y44869" t="str">
            <v>THAILAND</v>
          </cell>
        </row>
        <row r="44870">
          <cell r="L44870" t="str">
            <v>Non-proportional</v>
          </cell>
          <cell r="S44870">
            <v>-286.58999999999997</v>
          </cell>
          <cell r="X44870" t="str">
            <v>Variation UPR - gross</v>
          </cell>
          <cell r="Y44870" t="str">
            <v>MEXICO</v>
          </cell>
        </row>
        <row r="44871">
          <cell r="L44871" t="str">
            <v>Non-proportional</v>
          </cell>
          <cell r="S44871">
            <v>14.64</v>
          </cell>
          <cell r="X44871" t="str">
            <v>Variation UPR - gross</v>
          </cell>
          <cell r="Y44871" t="str">
            <v>AUSTRALIA</v>
          </cell>
        </row>
        <row r="44872">
          <cell r="L44872" t="str">
            <v>Non-proportional</v>
          </cell>
          <cell r="S44872">
            <v>-73.69</v>
          </cell>
          <cell r="X44872" t="str">
            <v>Variation UPR - gross</v>
          </cell>
          <cell r="Y44872" t="str">
            <v>CHILE</v>
          </cell>
        </row>
        <row r="44873">
          <cell r="L44873" t="str">
            <v>Non-proportional</v>
          </cell>
          <cell r="S44873">
            <v>-5404.04</v>
          </cell>
          <cell r="X44873" t="str">
            <v>Variation UPR - gross</v>
          </cell>
          <cell r="Y44873" t="str">
            <v>ISRAEL</v>
          </cell>
        </row>
        <row r="44874">
          <cell r="L44874" t="str">
            <v>Non-proportional</v>
          </cell>
          <cell r="S44874">
            <v>-2514.1999999999998</v>
          </cell>
          <cell r="X44874" t="str">
            <v>Variation UPR - gross</v>
          </cell>
          <cell r="Y44874" t="str">
            <v>DOMINICAN REPUBLIC</v>
          </cell>
        </row>
        <row r="44875">
          <cell r="L44875" t="str">
            <v>Proportional</v>
          </cell>
          <cell r="S44875">
            <v>-1448937.96</v>
          </cell>
          <cell r="X44875" t="str">
            <v>Variation UPR - gross</v>
          </cell>
          <cell r="Y44875" t="str">
            <v>AUSTRALIA</v>
          </cell>
        </row>
        <row r="44876">
          <cell r="L44876" t="str">
            <v>Proportional</v>
          </cell>
          <cell r="S44876">
            <v>-36.840000000000003</v>
          </cell>
          <cell r="X44876" t="str">
            <v>Variation UPR - gross</v>
          </cell>
          <cell r="Y44876" t="str">
            <v>CHILE</v>
          </cell>
        </row>
        <row r="44877">
          <cell r="L44877" t="str">
            <v>Non-proportional</v>
          </cell>
          <cell r="S44877">
            <v>-3221.97</v>
          </cell>
          <cell r="X44877" t="str">
            <v>Variation UPR - gross</v>
          </cell>
          <cell r="Y44877" t="str">
            <v>ECUADOR</v>
          </cell>
        </row>
        <row r="44878">
          <cell r="L44878" t="str">
            <v>Non-proportional</v>
          </cell>
          <cell r="S44878">
            <v>-2322.29</v>
          </cell>
          <cell r="X44878" t="str">
            <v>Variation UPR - gross</v>
          </cell>
          <cell r="Y44878" t="str">
            <v>AUSTRALIA</v>
          </cell>
        </row>
        <row r="44879">
          <cell r="L44879" t="str">
            <v>Non-proportional</v>
          </cell>
          <cell r="S44879">
            <v>-1186.3</v>
          </cell>
          <cell r="X44879" t="str">
            <v>Variation UPR - gross</v>
          </cell>
          <cell r="Y44879" t="str">
            <v>PERU</v>
          </cell>
        </row>
        <row r="44880">
          <cell r="L44880" t="str">
            <v>Non-proportional</v>
          </cell>
          <cell r="S44880">
            <v>-1480.8</v>
          </cell>
          <cell r="X44880" t="str">
            <v>Variation UPR - gross</v>
          </cell>
          <cell r="Y44880" t="str">
            <v>FRANCE</v>
          </cell>
        </row>
        <row r="44881">
          <cell r="L44881" t="str">
            <v>Non-proportional</v>
          </cell>
          <cell r="S44881">
            <v>-20197.509999999998</v>
          </cell>
          <cell r="X44881" t="str">
            <v>Variation UPR - gross</v>
          </cell>
          <cell r="Y44881" t="str">
            <v>ITALY</v>
          </cell>
        </row>
        <row r="44882">
          <cell r="L44882" t="str">
            <v>Non-proportional</v>
          </cell>
          <cell r="S44882">
            <v>-8775.06</v>
          </cell>
          <cell r="X44882" t="str">
            <v>Variation UPR - gross</v>
          </cell>
          <cell r="Y44882" t="str">
            <v>FRANCE</v>
          </cell>
        </row>
        <row r="44883">
          <cell r="L44883" t="str">
            <v>Proportional</v>
          </cell>
          <cell r="S44883">
            <v>441.26</v>
          </cell>
          <cell r="X44883" t="str">
            <v>Variation UPR - gross</v>
          </cell>
          <cell r="Y44883" t="str">
            <v>INDIA</v>
          </cell>
        </row>
        <row r="44884">
          <cell r="L44884" t="str">
            <v>Non-proportional</v>
          </cell>
          <cell r="S44884">
            <v>-443.77</v>
          </cell>
          <cell r="X44884" t="str">
            <v>Variation UPR - gross</v>
          </cell>
          <cell r="Y44884" t="str">
            <v>UNITED KINGDOM</v>
          </cell>
        </row>
        <row r="44885">
          <cell r="L44885" t="str">
            <v>Non-proportional</v>
          </cell>
          <cell r="S44885">
            <v>12.79</v>
          </cell>
          <cell r="X44885" t="str">
            <v>Variation UPR - gross</v>
          </cell>
          <cell r="Y44885" t="str">
            <v>GUATEMALA</v>
          </cell>
        </row>
        <row r="44886">
          <cell r="L44886" t="str">
            <v>Non-proportional</v>
          </cell>
          <cell r="S44886">
            <v>-7990.52</v>
          </cell>
          <cell r="X44886" t="str">
            <v>Variation UPR - gross</v>
          </cell>
          <cell r="Y44886" t="str">
            <v>INDIA</v>
          </cell>
        </row>
        <row r="44887">
          <cell r="L44887" t="str">
            <v>Non-proportional</v>
          </cell>
          <cell r="S44887">
            <v>-24191.1</v>
          </cell>
          <cell r="X44887" t="str">
            <v>Variation UPR - gross</v>
          </cell>
          <cell r="Y44887" t="str">
            <v>NEW ZEALAND</v>
          </cell>
        </row>
        <row r="44888">
          <cell r="L44888" t="str">
            <v>Non-proportional</v>
          </cell>
          <cell r="S44888">
            <v>-3405.86</v>
          </cell>
          <cell r="X44888" t="str">
            <v>Variation UPR - gross</v>
          </cell>
          <cell r="Y44888" t="str">
            <v>GUATEMALA</v>
          </cell>
        </row>
        <row r="44889">
          <cell r="L44889" t="str">
            <v>Non-proportional</v>
          </cell>
          <cell r="S44889">
            <v>-10325.629999999999</v>
          </cell>
          <cell r="X44889" t="str">
            <v>Variation UPR - gross</v>
          </cell>
          <cell r="Y44889" t="str">
            <v>COLOMBIA</v>
          </cell>
        </row>
        <row r="44890">
          <cell r="L44890" t="str">
            <v>Non-proportional</v>
          </cell>
          <cell r="S44890">
            <v>-73.69</v>
          </cell>
          <cell r="X44890" t="str">
            <v>Variation UPR - gross</v>
          </cell>
          <cell r="Y44890" t="str">
            <v>CHILE</v>
          </cell>
        </row>
        <row r="44891">
          <cell r="L44891" t="str">
            <v>Non-proportional</v>
          </cell>
          <cell r="S44891">
            <v>-2608.87</v>
          </cell>
          <cell r="X44891" t="str">
            <v>Variation UPR - gross</v>
          </cell>
          <cell r="Y44891" t="str">
            <v>BELIZE</v>
          </cell>
        </row>
        <row r="44892">
          <cell r="L44892" t="str">
            <v>Non-proportional</v>
          </cell>
          <cell r="S44892">
            <v>-2618.6999999999998</v>
          </cell>
          <cell r="X44892" t="str">
            <v>Variation UPR - gross</v>
          </cell>
          <cell r="Y44892" t="str">
            <v>ISRAEL</v>
          </cell>
        </row>
        <row r="44893">
          <cell r="L44893" t="str">
            <v>Proportional</v>
          </cell>
          <cell r="S44893">
            <v>2718.84</v>
          </cell>
          <cell r="X44893" t="str">
            <v>Variation UPR - gross</v>
          </cell>
          <cell r="Y44893" t="str">
            <v>CANADA</v>
          </cell>
        </row>
        <row r="44894">
          <cell r="L44894" t="str">
            <v>Non-proportional</v>
          </cell>
          <cell r="S44894">
            <v>-518.89</v>
          </cell>
          <cell r="X44894" t="str">
            <v>Variation UPR - gross</v>
          </cell>
          <cell r="Y44894" t="str">
            <v>JAPAN</v>
          </cell>
        </row>
        <row r="44895">
          <cell r="L44895" t="str">
            <v>Non-proportional</v>
          </cell>
          <cell r="S44895">
            <v>-5274.49</v>
          </cell>
          <cell r="X44895" t="str">
            <v>Variation UPR - gross</v>
          </cell>
          <cell r="Y44895" t="str">
            <v>CYPRUS</v>
          </cell>
        </row>
        <row r="44896">
          <cell r="L44896" t="str">
            <v>Proportional</v>
          </cell>
          <cell r="S44896">
            <v>-1047.01</v>
          </cell>
          <cell r="X44896" t="str">
            <v>Variation UPR - gross</v>
          </cell>
          <cell r="Y44896" t="str">
            <v>THAILAND</v>
          </cell>
        </row>
        <row r="44897">
          <cell r="L44897" t="str">
            <v>Non-proportional</v>
          </cell>
          <cell r="S44897">
            <v>-1375201.17</v>
          </cell>
          <cell r="X44897" t="str">
            <v>Variation UPR - gross</v>
          </cell>
          <cell r="Y44897" t="str">
            <v>UNITED KINGDOM</v>
          </cell>
        </row>
        <row r="44898">
          <cell r="L44898" t="str">
            <v>Non-proportional</v>
          </cell>
          <cell r="S44898">
            <v>-2357.5</v>
          </cell>
          <cell r="X44898" t="str">
            <v>Variation UPR - gross</v>
          </cell>
          <cell r="Y44898" t="str">
            <v>GERMANY</v>
          </cell>
        </row>
        <row r="44899">
          <cell r="L44899" t="str">
            <v>Non-proportional</v>
          </cell>
          <cell r="S44899">
            <v>-3409.11</v>
          </cell>
          <cell r="X44899" t="str">
            <v>Variation UPR - gross</v>
          </cell>
          <cell r="Y44899" t="str">
            <v>DOMINICAN REPUBLIC</v>
          </cell>
        </row>
        <row r="44900">
          <cell r="L44900" t="str">
            <v>Non-proportional</v>
          </cell>
          <cell r="S44900">
            <v>-4142.26</v>
          </cell>
          <cell r="X44900" t="str">
            <v>Variation UPR - gross</v>
          </cell>
          <cell r="Y44900" t="str">
            <v>UNITED KINGDOM</v>
          </cell>
        </row>
        <row r="44901">
          <cell r="L44901" t="str">
            <v>Non-proportional</v>
          </cell>
          <cell r="S44901">
            <v>0.01</v>
          </cell>
          <cell r="X44901" t="str">
            <v>Variation UPR - gross</v>
          </cell>
          <cell r="Y44901" t="str">
            <v>DOMINICAN REPUBLIC</v>
          </cell>
        </row>
        <row r="44902">
          <cell r="L44902" t="str">
            <v>Non-proportional</v>
          </cell>
          <cell r="S44902">
            <v>-0.19</v>
          </cell>
          <cell r="X44902" t="str">
            <v>Variation UPR - gross</v>
          </cell>
          <cell r="Y44902" t="str">
            <v>TURKEY</v>
          </cell>
        </row>
        <row r="44903">
          <cell r="L44903" t="str">
            <v>Non-proportional</v>
          </cell>
          <cell r="S44903">
            <v>-11809.23</v>
          </cell>
          <cell r="X44903" t="str">
            <v>Variation UPR - gross</v>
          </cell>
          <cell r="Y44903" t="str">
            <v>PERU</v>
          </cell>
        </row>
        <row r="44904">
          <cell r="L44904" t="str">
            <v>Non-proportional</v>
          </cell>
          <cell r="S44904">
            <v>-3094.61</v>
          </cell>
          <cell r="X44904" t="str">
            <v>Variation UPR - gross</v>
          </cell>
          <cell r="Y44904" t="str">
            <v>UNITED KINGDOM</v>
          </cell>
        </row>
        <row r="44905">
          <cell r="L44905" t="str">
            <v>Non-proportional</v>
          </cell>
          <cell r="S44905">
            <v>-9690.06</v>
          </cell>
          <cell r="X44905" t="str">
            <v>Variation UPR - gross</v>
          </cell>
          <cell r="Y44905" t="str">
            <v>CHILE</v>
          </cell>
        </row>
        <row r="44906">
          <cell r="L44906" t="str">
            <v>Non-proportional</v>
          </cell>
          <cell r="S44906">
            <v>-3279.15</v>
          </cell>
          <cell r="X44906" t="str">
            <v>Variation UPR - gross</v>
          </cell>
          <cell r="Y44906" t="str">
            <v>CHILE</v>
          </cell>
        </row>
        <row r="44907">
          <cell r="L44907" t="str">
            <v>Proportional</v>
          </cell>
          <cell r="S44907">
            <v>-14221.83</v>
          </cell>
          <cell r="X44907" t="str">
            <v>Variation UPR - gross</v>
          </cell>
          <cell r="Y44907" t="str">
            <v>INDIA</v>
          </cell>
        </row>
        <row r="44908">
          <cell r="L44908" t="str">
            <v>Non-proportional</v>
          </cell>
          <cell r="S44908">
            <v>-2770.1</v>
          </cell>
          <cell r="X44908" t="str">
            <v>Variation UPR - gross</v>
          </cell>
          <cell r="Y44908" t="str">
            <v>JAPAN</v>
          </cell>
        </row>
        <row r="44909">
          <cell r="L44909" t="str">
            <v>Non-proportional</v>
          </cell>
          <cell r="S44909">
            <v>-1687.9</v>
          </cell>
          <cell r="X44909" t="str">
            <v>Variation UPR - gross</v>
          </cell>
          <cell r="Y44909" t="str">
            <v>CHINA</v>
          </cell>
        </row>
        <row r="44910">
          <cell r="L44910" t="str">
            <v>Non-proportional</v>
          </cell>
          <cell r="S44910">
            <v>-1061352.4099999999</v>
          </cell>
          <cell r="X44910" t="str">
            <v>Variation UPR - gross</v>
          </cell>
          <cell r="Y44910" t="str">
            <v>BELGIUM</v>
          </cell>
        </row>
        <row r="44911">
          <cell r="L44911" t="str">
            <v>Proportional</v>
          </cell>
          <cell r="S44911">
            <v>2907.78</v>
          </cell>
          <cell r="X44911" t="str">
            <v>Variation UPR - gross</v>
          </cell>
          <cell r="Y44911" t="str">
            <v>INDIA</v>
          </cell>
        </row>
        <row r="44912">
          <cell r="L44912" t="str">
            <v>Non-proportional</v>
          </cell>
          <cell r="S44912">
            <v>-7267.71</v>
          </cell>
          <cell r="X44912" t="str">
            <v>Variation UPR - gross</v>
          </cell>
          <cell r="Y44912" t="str">
            <v>FRANCE</v>
          </cell>
        </row>
        <row r="44913">
          <cell r="L44913" t="str">
            <v>Proportional</v>
          </cell>
          <cell r="S44913">
            <v>-3647</v>
          </cell>
          <cell r="X44913" t="str">
            <v>Variation UPR - gross</v>
          </cell>
          <cell r="Y44913" t="str">
            <v>SAUDI ARABIA</v>
          </cell>
        </row>
        <row r="44914">
          <cell r="L44914" t="str">
            <v>Non-proportional</v>
          </cell>
          <cell r="S44914">
            <v>-16751.63</v>
          </cell>
          <cell r="X44914" t="str">
            <v>Variation UPR - gross</v>
          </cell>
          <cell r="Y44914" t="str">
            <v>MEXICO</v>
          </cell>
        </row>
        <row r="44915">
          <cell r="L44915" t="str">
            <v>Non-proportional</v>
          </cell>
          <cell r="S44915">
            <v>0.01</v>
          </cell>
          <cell r="X44915" t="str">
            <v>Variation UPR - gross</v>
          </cell>
          <cell r="Y44915" t="str">
            <v>DOMINICAN REPUBLIC</v>
          </cell>
        </row>
        <row r="44916">
          <cell r="L44916" t="str">
            <v>Non-proportional</v>
          </cell>
          <cell r="S44916">
            <v>48.85</v>
          </cell>
          <cell r="X44916" t="str">
            <v>Variation UPR - gross</v>
          </cell>
          <cell r="Y44916" t="str">
            <v>DOMINICAN REPUBLIC</v>
          </cell>
        </row>
        <row r="44917">
          <cell r="L44917" t="str">
            <v>Non-proportional</v>
          </cell>
          <cell r="S44917">
            <v>-5330.04</v>
          </cell>
          <cell r="X44917" t="str">
            <v>Variation UPR - gross</v>
          </cell>
          <cell r="Y44917" t="str">
            <v>PERU</v>
          </cell>
        </row>
        <row r="44918">
          <cell r="L44918" t="str">
            <v>Non-proportional</v>
          </cell>
          <cell r="S44918">
            <v>-907.47</v>
          </cell>
          <cell r="X44918" t="str">
            <v>Variation UPR - gross</v>
          </cell>
          <cell r="Y44918" t="str">
            <v>ECUADOR</v>
          </cell>
        </row>
        <row r="44919">
          <cell r="L44919" t="str">
            <v>Non-proportional</v>
          </cell>
          <cell r="S44919">
            <v>0.02</v>
          </cell>
          <cell r="X44919" t="str">
            <v>Variation UPR - gross</v>
          </cell>
          <cell r="Y44919" t="str">
            <v>BELIZE</v>
          </cell>
        </row>
        <row r="44920">
          <cell r="L44920" t="str">
            <v>Non-proportional</v>
          </cell>
          <cell r="S44920">
            <v>-426351.85</v>
          </cell>
          <cell r="X44920" t="str">
            <v>Variation UPR - gross</v>
          </cell>
          <cell r="Y44920" t="str">
            <v>UNITED KINGDOM</v>
          </cell>
        </row>
        <row r="44921">
          <cell r="L44921" t="str">
            <v>Non-proportional</v>
          </cell>
          <cell r="S44921">
            <v>-59.81</v>
          </cell>
          <cell r="X44921" t="str">
            <v>Variation UPR - gross</v>
          </cell>
          <cell r="Y44921" t="str">
            <v>BRAZIL</v>
          </cell>
        </row>
        <row r="44922">
          <cell r="L44922" t="str">
            <v>Non-proportional</v>
          </cell>
          <cell r="S44922">
            <v>-3674.36</v>
          </cell>
          <cell r="X44922" t="str">
            <v>Variation UPR - gross</v>
          </cell>
          <cell r="Y44922" t="str">
            <v>ISRAEL</v>
          </cell>
        </row>
        <row r="44923">
          <cell r="L44923" t="str">
            <v>Non-proportional</v>
          </cell>
          <cell r="S44923">
            <v>-1406.25</v>
          </cell>
          <cell r="X44923" t="str">
            <v>Variation UPR - gross</v>
          </cell>
          <cell r="Y44923" t="str">
            <v>GREECE</v>
          </cell>
        </row>
        <row r="44924">
          <cell r="L44924" t="str">
            <v>Non-proportional</v>
          </cell>
          <cell r="S44924">
            <v>-4190.3900000000003</v>
          </cell>
          <cell r="X44924" t="str">
            <v>Variation UPR - gross</v>
          </cell>
          <cell r="Y44924" t="str">
            <v>THAILAND</v>
          </cell>
        </row>
        <row r="44925">
          <cell r="L44925" t="str">
            <v>Proportional</v>
          </cell>
          <cell r="S44925">
            <v>-17991.72</v>
          </cell>
          <cell r="X44925" t="str">
            <v>Variation UPR - gross</v>
          </cell>
          <cell r="Y44925" t="str">
            <v>FRANCE</v>
          </cell>
        </row>
        <row r="44926">
          <cell r="L44926" t="str">
            <v>Non-proportional</v>
          </cell>
          <cell r="S44926">
            <v>-87138.33</v>
          </cell>
          <cell r="X44926" t="str">
            <v>Variation UPR - gross</v>
          </cell>
          <cell r="Y44926" t="str">
            <v>EUROPE</v>
          </cell>
        </row>
        <row r="44927">
          <cell r="L44927" t="str">
            <v>Proportional</v>
          </cell>
          <cell r="S44927">
            <v>-65166.85</v>
          </cell>
          <cell r="X44927" t="str">
            <v>Variation UPR - gross</v>
          </cell>
          <cell r="Y44927" t="str">
            <v>HONG KONG</v>
          </cell>
        </row>
        <row r="44928">
          <cell r="L44928" t="str">
            <v>Non-proportional</v>
          </cell>
          <cell r="S44928">
            <v>-8500</v>
          </cell>
          <cell r="X44928" t="str">
            <v>Variation UPR - gross</v>
          </cell>
          <cell r="Y44928" t="str">
            <v>ITALY</v>
          </cell>
        </row>
        <row r="44929">
          <cell r="L44929" t="str">
            <v>Proportional</v>
          </cell>
          <cell r="S44929">
            <v>-19050.41</v>
          </cell>
          <cell r="X44929" t="str">
            <v>Variation UPR - gross</v>
          </cell>
          <cell r="Y44929" t="str">
            <v>UNITED KINGDOM</v>
          </cell>
        </row>
        <row r="44930">
          <cell r="L44930" t="str">
            <v>Non-proportional</v>
          </cell>
          <cell r="S44930">
            <v>-5531.08</v>
          </cell>
          <cell r="X44930" t="str">
            <v>Variation UPR - gross</v>
          </cell>
          <cell r="Y44930" t="str">
            <v>ISRAEL</v>
          </cell>
        </row>
        <row r="44931">
          <cell r="L44931" t="str">
            <v>Proportional</v>
          </cell>
          <cell r="S44931">
            <v>-280.33999999999997</v>
          </cell>
          <cell r="X44931" t="str">
            <v>Variation UPR - gross</v>
          </cell>
          <cell r="Y44931" t="str">
            <v>TURKEY</v>
          </cell>
        </row>
        <row r="44932">
          <cell r="L44932" t="str">
            <v>Non-proportional</v>
          </cell>
          <cell r="S44932">
            <v>-44</v>
          </cell>
          <cell r="X44932" t="str">
            <v>Variation UPR - gross</v>
          </cell>
          <cell r="Y44932" t="str">
            <v>ISRAEL</v>
          </cell>
        </row>
        <row r="44933">
          <cell r="L44933" t="str">
            <v>Non-proportional</v>
          </cell>
          <cell r="S44933">
            <v>-2726.48</v>
          </cell>
          <cell r="X44933" t="str">
            <v>Variation UPR - gross</v>
          </cell>
          <cell r="Y44933" t="str">
            <v>CHILE</v>
          </cell>
        </row>
        <row r="44934">
          <cell r="L44934" t="str">
            <v>Non-proportional</v>
          </cell>
          <cell r="S44934">
            <v>-1736.18</v>
          </cell>
          <cell r="X44934" t="str">
            <v>Variation UPR - gross</v>
          </cell>
          <cell r="Y44934" t="str">
            <v>ECUADOR</v>
          </cell>
        </row>
        <row r="44935">
          <cell r="L44935" t="str">
            <v>Non-proportional</v>
          </cell>
          <cell r="S44935">
            <v>-884.26</v>
          </cell>
          <cell r="X44935" t="str">
            <v>Variation UPR - gross</v>
          </cell>
          <cell r="Y44935" t="str">
            <v>CHILE</v>
          </cell>
        </row>
        <row r="44936">
          <cell r="L44936" t="str">
            <v>Non-proportional</v>
          </cell>
          <cell r="S44936">
            <v>133.38999999999999</v>
          </cell>
          <cell r="X44936" t="str">
            <v>Variation UPR - gross</v>
          </cell>
          <cell r="Y44936" t="str">
            <v>TURKEY</v>
          </cell>
        </row>
        <row r="44937">
          <cell r="L44937" t="str">
            <v>Non-proportional</v>
          </cell>
          <cell r="S44937">
            <v>-1180.8</v>
          </cell>
          <cell r="X44937" t="str">
            <v>Variation UPR - gross</v>
          </cell>
          <cell r="Y44937" t="str">
            <v>SOUTH AFRICA</v>
          </cell>
        </row>
        <row r="44938">
          <cell r="L44938" t="str">
            <v>Proportional</v>
          </cell>
          <cell r="S44938">
            <v>-368.2</v>
          </cell>
          <cell r="X44938" t="str">
            <v>Variation UPR - gross</v>
          </cell>
          <cell r="Y44938" t="str">
            <v>UNITED STATES</v>
          </cell>
        </row>
        <row r="44939">
          <cell r="L44939" t="str">
            <v>Non-proportional</v>
          </cell>
          <cell r="S44939">
            <v>-109330.38</v>
          </cell>
          <cell r="X44939" t="str">
            <v>Variation UPR - gross</v>
          </cell>
          <cell r="Y44939" t="str">
            <v>FRANCE</v>
          </cell>
        </row>
        <row r="44940">
          <cell r="L44940" t="str">
            <v>Non-proportional</v>
          </cell>
          <cell r="S44940">
            <v>-843.75</v>
          </cell>
          <cell r="X44940" t="str">
            <v>Variation UPR - gross</v>
          </cell>
          <cell r="Y44940" t="str">
            <v>GREECE</v>
          </cell>
        </row>
        <row r="44941">
          <cell r="L44941" t="str">
            <v>Non-proportional</v>
          </cell>
          <cell r="S44941">
            <v>-12659.61</v>
          </cell>
          <cell r="X44941" t="str">
            <v>Variation UPR - gross</v>
          </cell>
          <cell r="Y44941" t="str">
            <v>ITALY</v>
          </cell>
        </row>
        <row r="44942">
          <cell r="L44942" t="str">
            <v>Non-proportional</v>
          </cell>
          <cell r="S44942">
            <v>-990.81</v>
          </cell>
          <cell r="X44942" t="str">
            <v>Variation UPR - gross</v>
          </cell>
          <cell r="Y44942" t="str">
            <v>UNITED KINGDOM</v>
          </cell>
        </row>
        <row r="44943">
          <cell r="L44943" t="str">
            <v>Non-proportional</v>
          </cell>
          <cell r="S44943">
            <v>-38968.300000000003</v>
          </cell>
          <cell r="X44943" t="str">
            <v>Variation UPR - gross</v>
          </cell>
          <cell r="Y44943" t="str">
            <v>UNITED KINGDOM</v>
          </cell>
        </row>
        <row r="44944">
          <cell r="L44944" t="str">
            <v>Non-proportional</v>
          </cell>
          <cell r="S44944">
            <v>-8723.3799999999992</v>
          </cell>
          <cell r="X44944" t="str">
            <v>Variation UPR - gross</v>
          </cell>
          <cell r="Y44944" t="str">
            <v>TURKEY</v>
          </cell>
        </row>
        <row r="44945">
          <cell r="L44945" t="str">
            <v>Non-proportional</v>
          </cell>
          <cell r="S44945">
            <v>-36.840000000000003</v>
          </cell>
          <cell r="X44945" t="str">
            <v>Variation UPR - gross</v>
          </cell>
          <cell r="Y44945" t="str">
            <v>CHILE</v>
          </cell>
        </row>
        <row r="44946">
          <cell r="L44946" t="str">
            <v>Proportional</v>
          </cell>
          <cell r="S44946">
            <v>-29276.85</v>
          </cell>
          <cell r="X44946" t="str">
            <v>Variation UPR - gross</v>
          </cell>
          <cell r="Y44946" t="str">
            <v>MEXICO</v>
          </cell>
        </row>
        <row r="44947">
          <cell r="L44947" t="str">
            <v>Non-proportional</v>
          </cell>
          <cell r="S44947">
            <v>171.78</v>
          </cell>
          <cell r="X44947" t="str">
            <v>Variation UPR - gross</v>
          </cell>
          <cell r="Y44947" t="str">
            <v>JAPAN</v>
          </cell>
        </row>
        <row r="44948">
          <cell r="L44948" t="str">
            <v>Non-proportional</v>
          </cell>
          <cell r="S44948">
            <v>-4421.32</v>
          </cell>
          <cell r="X44948" t="str">
            <v>Variation UPR - gross</v>
          </cell>
          <cell r="Y44948" t="str">
            <v>CHILE</v>
          </cell>
        </row>
        <row r="44949">
          <cell r="L44949" t="str">
            <v>Proportional</v>
          </cell>
          <cell r="S44949">
            <v>-56026.38</v>
          </cell>
          <cell r="X44949" t="str">
            <v>Variation UPR - gross</v>
          </cell>
          <cell r="Y44949" t="str">
            <v>MEXICO</v>
          </cell>
        </row>
        <row r="44950">
          <cell r="L44950" t="str">
            <v>Non-proportional</v>
          </cell>
          <cell r="S44950">
            <v>0</v>
          </cell>
          <cell r="X44950" t="str">
            <v>Variation UPR - gross</v>
          </cell>
          <cell r="Y44950" t="str">
            <v>BRAZIL</v>
          </cell>
        </row>
        <row r="44951">
          <cell r="L44951" t="str">
            <v>Non-proportional</v>
          </cell>
          <cell r="S44951">
            <v>-10075.68</v>
          </cell>
          <cell r="X44951" t="str">
            <v>Variation UPR - gross</v>
          </cell>
          <cell r="Y44951" t="str">
            <v>NEW ZEALAND</v>
          </cell>
        </row>
        <row r="44952">
          <cell r="L44952" t="str">
            <v>Non-proportional</v>
          </cell>
          <cell r="S44952">
            <v>-2029.91</v>
          </cell>
          <cell r="X44952" t="str">
            <v>Variation UPR - gross</v>
          </cell>
          <cell r="Y44952" t="str">
            <v>CYPRUS</v>
          </cell>
        </row>
        <row r="44953">
          <cell r="L44953" t="str">
            <v>Non-proportional</v>
          </cell>
          <cell r="S44953">
            <v>-223.16</v>
          </cell>
          <cell r="X44953" t="str">
            <v>Variation UPR - gross</v>
          </cell>
          <cell r="Y44953" t="str">
            <v>INDIA</v>
          </cell>
        </row>
        <row r="44954">
          <cell r="L44954" t="str">
            <v>Non-proportional</v>
          </cell>
          <cell r="S44954">
            <v>-32110.92</v>
          </cell>
          <cell r="X44954" t="str">
            <v>Variation UPR - gross</v>
          </cell>
          <cell r="Y44954" t="str">
            <v>HONG KONG</v>
          </cell>
        </row>
        <row r="44955">
          <cell r="L44955" t="str">
            <v>Non-proportional</v>
          </cell>
          <cell r="S44955">
            <v>-12001.33</v>
          </cell>
          <cell r="X44955" t="str">
            <v>Variation UPR - gross</v>
          </cell>
          <cell r="Y44955" t="str">
            <v>ITALY</v>
          </cell>
        </row>
        <row r="44956">
          <cell r="L44956" t="str">
            <v>Non-proportional</v>
          </cell>
          <cell r="S44956">
            <v>-938.54</v>
          </cell>
          <cell r="X44956" t="str">
            <v>Variation UPR - gross</v>
          </cell>
          <cell r="Y44956" t="str">
            <v>ITALY</v>
          </cell>
        </row>
        <row r="44957">
          <cell r="L44957" t="str">
            <v>Proportional</v>
          </cell>
          <cell r="S44957">
            <v>-48.66</v>
          </cell>
          <cell r="X44957" t="str">
            <v>Variation UPR - gross</v>
          </cell>
          <cell r="Y44957" t="str">
            <v>THAILAND</v>
          </cell>
        </row>
        <row r="44958">
          <cell r="L44958" t="str">
            <v>Non-proportional</v>
          </cell>
          <cell r="S44958">
            <v>-4250.1899999999996</v>
          </cell>
          <cell r="X44958" t="str">
            <v>Variation UPR - gross</v>
          </cell>
          <cell r="Y44958" t="str">
            <v>ITALY</v>
          </cell>
        </row>
        <row r="44959">
          <cell r="L44959" t="str">
            <v>Proportional</v>
          </cell>
          <cell r="S44959">
            <v>-3500.21</v>
          </cell>
          <cell r="X44959" t="str">
            <v>Variation UPR - gross</v>
          </cell>
          <cell r="Y44959" t="str">
            <v>CHILE</v>
          </cell>
        </row>
        <row r="44960">
          <cell r="L44960" t="str">
            <v>Non-proportional</v>
          </cell>
          <cell r="S44960">
            <v>-45418.19</v>
          </cell>
          <cell r="X44960" t="str">
            <v>Variation UPR - gross</v>
          </cell>
          <cell r="Y44960" t="str">
            <v>UNITED KINGDOM</v>
          </cell>
        </row>
        <row r="44961">
          <cell r="L44961" t="str">
            <v>Non-proportional</v>
          </cell>
          <cell r="S44961">
            <v>-8046.46</v>
          </cell>
          <cell r="X44961" t="str">
            <v>Variation UPR - gross</v>
          </cell>
          <cell r="Y44961" t="str">
            <v>PERU</v>
          </cell>
        </row>
        <row r="44962">
          <cell r="L44962" t="str">
            <v>Non-proportional</v>
          </cell>
          <cell r="S44962">
            <v>39.22</v>
          </cell>
          <cell r="X44962" t="str">
            <v>Variation UPR - gross</v>
          </cell>
          <cell r="Y44962" t="str">
            <v>AUSTRALIA</v>
          </cell>
        </row>
        <row r="44963">
          <cell r="L44963" t="str">
            <v>Proportional</v>
          </cell>
          <cell r="S44963">
            <v>-9616.3700000000008</v>
          </cell>
          <cell r="X44963" t="str">
            <v>Variation UPR - gross</v>
          </cell>
          <cell r="Y44963" t="str">
            <v>CHILE</v>
          </cell>
        </row>
        <row r="44964">
          <cell r="L44964" t="str">
            <v>Non-proportional</v>
          </cell>
          <cell r="S44964">
            <v>32.54</v>
          </cell>
          <cell r="X44964" t="str">
            <v>Variation UPR - gross</v>
          </cell>
          <cell r="Y44964" t="str">
            <v>JAPAN</v>
          </cell>
        </row>
        <row r="44965">
          <cell r="L44965" t="str">
            <v>Non-proportional</v>
          </cell>
          <cell r="S44965">
            <v>-10146.6</v>
          </cell>
          <cell r="X44965" t="str">
            <v>Variation UPR - gross</v>
          </cell>
          <cell r="Y44965" t="str">
            <v>PERU</v>
          </cell>
        </row>
        <row r="44966">
          <cell r="L44966" t="str">
            <v>Non-proportional</v>
          </cell>
          <cell r="S44966">
            <v>-891.84</v>
          </cell>
          <cell r="X44966" t="str">
            <v>Variation UPR - gross</v>
          </cell>
          <cell r="Y44966" t="str">
            <v>JAPAN</v>
          </cell>
        </row>
        <row r="44967">
          <cell r="L44967" t="str">
            <v>Non-proportional</v>
          </cell>
          <cell r="S44967">
            <v>-1118.2</v>
          </cell>
          <cell r="X44967" t="str">
            <v>Variation UPR - gross</v>
          </cell>
          <cell r="Y44967" t="str">
            <v>SOUTH AFRICA</v>
          </cell>
        </row>
        <row r="44968">
          <cell r="L44968" t="str">
            <v>Proportional</v>
          </cell>
          <cell r="S44968">
            <v>-56261.31</v>
          </cell>
          <cell r="X44968" t="str">
            <v>Variation UPR - gross</v>
          </cell>
          <cell r="Y44968" t="str">
            <v>CHILE</v>
          </cell>
        </row>
        <row r="44969">
          <cell r="L44969" t="str">
            <v>Non-proportional</v>
          </cell>
          <cell r="S44969">
            <v>-1603.53</v>
          </cell>
          <cell r="X44969" t="str">
            <v>Variation UPR - gross</v>
          </cell>
          <cell r="Y44969" t="str">
            <v>DOMINICAN REPUBLIC</v>
          </cell>
        </row>
        <row r="44970">
          <cell r="L44970" t="str">
            <v>Proportional</v>
          </cell>
          <cell r="S44970">
            <v>-6961.22</v>
          </cell>
          <cell r="X44970" t="str">
            <v>Variation UPR - gross</v>
          </cell>
          <cell r="Y44970" t="str">
            <v>JAPAN</v>
          </cell>
        </row>
        <row r="44971">
          <cell r="L44971" t="str">
            <v>Non-proportional</v>
          </cell>
          <cell r="S44971">
            <v>-6630.42</v>
          </cell>
          <cell r="X44971" t="str">
            <v>Variation UPR - gross</v>
          </cell>
          <cell r="Y44971" t="str">
            <v>ISRAEL</v>
          </cell>
        </row>
        <row r="44972">
          <cell r="L44972" t="str">
            <v>Non-proportional</v>
          </cell>
          <cell r="S44972">
            <v>-2187.5</v>
          </cell>
          <cell r="X44972" t="str">
            <v>Variation UPR - gross</v>
          </cell>
          <cell r="Y44972" t="str">
            <v>GERMANY</v>
          </cell>
        </row>
        <row r="44973">
          <cell r="L44973" t="str">
            <v>Non-proportional</v>
          </cell>
          <cell r="S44973">
            <v>-4238.47</v>
          </cell>
          <cell r="X44973" t="str">
            <v>Variation UPR - gross</v>
          </cell>
          <cell r="Y44973" t="str">
            <v>FRANCE</v>
          </cell>
        </row>
        <row r="44974">
          <cell r="L44974" t="str">
            <v>Proportional</v>
          </cell>
          <cell r="S44974">
            <v>5463</v>
          </cell>
          <cell r="X44974" t="str">
            <v>Variation UPR - gross</v>
          </cell>
          <cell r="Y44974" t="str">
            <v>THAILAND</v>
          </cell>
        </row>
        <row r="44975">
          <cell r="L44975" t="str">
            <v>Non-proportional</v>
          </cell>
          <cell r="S44975">
            <v>-10707.08</v>
          </cell>
          <cell r="X44975" t="str">
            <v>Variation UPR - gross</v>
          </cell>
          <cell r="Y44975" t="str">
            <v>FRANCE</v>
          </cell>
        </row>
        <row r="44976">
          <cell r="L44976" t="str">
            <v>Non-proportional</v>
          </cell>
          <cell r="S44976">
            <v>-2221.08</v>
          </cell>
          <cell r="X44976" t="str">
            <v>Variation UPR - gross</v>
          </cell>
          <cell r="Y44976" t="str">
            <v>DOMINICAN REPUBLIC</v>
          </cell>
        </row>
        <row r="44977">
          <cell r="L44977" t="str">
            <v>Non-proportional</v>
          </cell>
          <cell r="S44977">
            <v>-589.53</v>
          </cell>
          <cell r="X44977" t="str">
            <v>Variation UPR - gross</v>
          </cell>
          <cell r="Y44977" t="str">
            <v>MEXICO</v>
          </cell>
        </row>
        <row r="44978">
          <cell r="L44978" t="str">
            <v>Proportional</v>
          </cell>
          <cell r="S44978">
            <v>-67542.11</v>
          </cell>
          <cell r="X44978" t="str">
            <v>Variation UPR - gross</v>
          </cell>
          <cell r="Y44978" t="str">
            <v>MEXICO</v>
          </cell>
        </row>
        <row r="44979">
          <cell r="L44979" t="str">
            <v>Non-proportional</v>
          </cell>
          <cell r="S44979">
            <v>-19418.919999999998</v>
          </cell>
          <cell r="X44979" t="str">
            <v>Variation UPR - gross</v>
          </cell>
          <cell r="Y44979" t="str">
            <v>UNITED KINGDOM</v>
          </cell>
        </row>
        <row r="44980">
          <cell r="L44980" t="str">
            <v>Non-proportional</v>
          </cell>
          <cell r="S44980">
            <v>-9656.0300000000007</v>
          </cell>
          <cell r="X44980" t="str">
            <v>Variation UPR - gross</v>
          </cell>
          <cell r="Y44980" t="str">
            <v>ISRAEL</v>
          </cell>
        </row>
        <row r="44981">
          <cell r="L44981" t="str">
            <v>Non-proportional</v>
          </cell>
          <cell r="S44981">
            <v>199.13</v>
          </cell>
          <cell r="X44981" t="str">
            <v>Variation UPR - gross</v>
          </cell>
          <cell r="Y44981" t="str">
            <v>INDIA</v>
          </cell>
        </row>
        <row r="44982">
          <cell r="L44982" t="str">
            <v>Non-proportional</v>
          </cell>
          <cell r="S44982">
            <v>106.86</v>
          </cell>
          <cell r="X44982" t="str">
            <v>Variation UPR - gross</v>
          </cell>
          <cell r="Y44982" t="str">
            <v>JAPAN</v>
          </cell>
        </row>
        <row r="44983">
          <cell r="L44983" t="str">
            <v>Non-proportional</v>
          </cell>
          <cell r="S44983">
            <v>14.11</v>
          </cell>
          <cell r="X44983" t="str">
            <v>Variation UPR - gross</v>
          </cell>
          <cell r="Y44983" t="str">
            <v>CHINA</v>
          </cell>
        </row>
        <row r="44984">
          <cell r="L44984" t="str">
            <v>Non-proportional</v>
          </cell>
          <cell r="S44984">
            <v>54.94</v>
          </cell>
          <cell r="X44984" t="str">
            <v>Variation UPR - gross</v>
          </cell>
          <cell r="Y44984" t="str">
            <v>JAPAN</v>
          </cell>
        </row>
        <row r="44985">
          <cell r="L44985" t="str">
            <v>Non-proportional</v>
          </cell>
          <cell r="S44985">
            <v>54.29</v>
          </cell>
          <cell r="X44985" t="str">
            <v>Variation UPR - gross</v>
          </cell>
          <cell r="Y44985" t="str">
            <v>NEW ZEALAND</v>
          </cell>
        </row>
        <row r="44986">
          <cell r="L44986" t="str">
            <v>Non-proportional</v>
          </cell>
          <cell r="S44986">
            <v>-2442.4499999999998</v>
          </cell>
          <cell r="X44986" t="str">
            <v>Variation UPR - gross</v>
          </cell>
          <cell r="Y44986" t="str">
            <v>CYPRUS</v>
          </cell>
        </row>
        <row r="44987">
          <cell r="L44987" t="str">
            <v>Non-proportional</v>
          </cell>
          <cell r="S44987">
            <v>-8708.34</v>
          </cell>
          <cell r="X44987" t="str">
            <v>Variation UPR - gross</v>
          </cell>
          <cell r="Y44987" t="str">
            <v>TURKEY</v>
          </cell>
        </row>
        <row r="44988">
          <cell r="L44988" t="str">
            <v>Non-proportional</v>
          </cell>
          <cell r="S44988">
            <v>-4541.93</v>
          </cell>
          <cell r="X44988" t="str">
            <v>Variation UPR - gross</v>
          </cell>
          <cell r="Y44988" t="str">
            <v>TURKEY</v>
          </cell>
        </row>
        <row r="44989">
          <cell r="L44989" t="str">
            <v>Non-proportional</v>
          </cell>
          <cell r="S44989">
            <v>-16489.39</v>
          </cell>
          <cell r="X44989" t="str">
            <v>Variation UPR - gross</v>
          </cell>
          <cell r="Y44989" t="str">
            <v>HONG KONG</v>
          </cell>
        </row>
        <row r="44990">
          <cell r="L44990" t="str">
            <v>Non-proportional</v>
          </cell>
          <cell r="S44990">
            <v>-358.8</v>
          </cell>
          <cell r="X44990" t="str">
            <v>Variation UPR - gross</v>
          </cell>
          <cell r="Y44990" t="str">
            <v>INDIA</v>
          </cell>
        </row>
        <row r="44991">
          <cell r="L44991" t="str">
            <v>Proportional</v>
          </cell>
          <cell r="S44991">
            <v>509.51</v>
          </cell>
          <cell r="X44991" t="str">
            <v>Variation UPR - gross</v>
          </cell>
          <cell r="Y44991" t="str">
            <v>THAILAND</v>
          </cell>
        </row>
        <row r="44992">
          <cell r="L44992" t="str">
            <v>Non-proportional</v>
          </cell>
          <cell r="S44992">
            <v>-86037.43</v>
          </cell>
          <cell r="X44992" t="str">
            <v>Variation UPR - gross</v>
          </cell>
          <cell r="Y44992" t="str">
            <v>UNITED KINGDOM</v>
          </cell>
        </row>
        <row r="44993">
          <cell r="L44993" t="str">
            <v>Proportional</v>
          </cell>
          <cell r="S44993">
            <v>84.92</v>
          </cell>
          <cell r="X44993" t="str">
            <v>Variation UPR - gross</v>
          </cell>
          <cell r="Y44993" t="str">
            <v>THAILAND</v>
          </cell>
        </row>
        <row r="44994">
          <cell r="L44994" t="str">
            <v>Non-proportional</v>
          </cell>
          <cell r="S44994">
            <v>-9178.3799999999992</v>
          </cell>
          <cell r="X44994" t="str">
            <v>Variation UPR - gross</v>
          </cell>
          <cell r="Y44994" t="str">
            <v>FRANCE</v>
          </cell>
        </row>
        <row r="44995">
          <cell r="L44995" t="str">
            <v>Non-proportional</v>
          </cell>
          <cell r="S44995">
            <v>-132.91999999999999</v>
          </cell>
          <cell r="X44995" t="str">
            <v>Variation UPR - gross</v>
          </cell>
          <cell r="Y44995" t="str">
            <v>ITALY</v>
          </cell>
        </row>
        <row r="44996">
          <cell r="L44996" t="str">
            <v>Proportional</v>
          </cell>
          <cell r="S44996">
            <v>-184.22</v>
          </cell>
          <cell r="X44996" t="str">
            <v>Variation UPR - gross</v>
          </cell>
          <cell r="Y44996" t="str">
            <v>CHILE</v>
          </cell>
        </row>
        <row r="44997">
          <cell r="L44997" t="str">
            <v>Non-proportional</v>
          </cell>
          <cell r="S44997">
            <v>-3221.23</v>
          </cell>
          <cell r="X44997" t="str">
            <v>Variation UPR - gross</v>
          </cell>
          <cell r="Y44997" t="str">
            <v>AUSTRALIA</v>
          </cell>
        </row>
        <row r="44998">
          <cell r="L44998" t="str">
            <v>Non-proportional</v>
          </cell>
          <cell r="S44998">
            <v>-9316.6200000000008</v>
          </cell>
          <cell r="X44998" t="str">
            <v>Variation UPR - gross</v>
          </cell>
          <cell r="Y44998" t="str">
            <v>ISRAEL</v>
          </cell>
        </row>
        <row r="44999">
          <cell r="L44999" t="str">
            <v>Non-proportional</v>
          </cell>
          <cell r="S44999">
            <v>-6731.89</v>
          </cell>
          <cell r="X44999" t="str">
            <v>Variation UPR - gross</v>
          </cell>
          <cell r="Y44999" t="str">
            <v>UNITED KINGDOM</v>
          </cell>
        </row>
        <row r="45000">
          <cell r="L45000" t="str">
            <v>Proportional</v>
          </cell>
          <cell r="S45000">
            <v>-16142.06</v>
          </cell>
          <cell r="X45000" t="str">
            <v>Variation UPR - gross</v>
          </cell>
          <cell r="Y45000" t="str">
            <v>MEXICO</v>
          </cell>
        </row>
        <row r="45001">
          <cell r="L45001" t="str">
            <v>Non-proportional</v>
          </cell>
          <cell r="S45001">
            <v>-4875.22</v>
          </cell>
          <cell r="X45001" t="str">
            <v>Variation UPR - gross</v>
          </cell>
          <cell r="Y45001" t="str">
            <v>UNITED KINGDOM</v>
          </cell>
        </row>
        <row r="45002">
          <cell r="L45002" t="str">
            <v>Non-proportional</v>
          </cell>
          <cell r="S45002">
            <v>-36.840000000000003</v>
          </cell>
          <cell r="X45002" t="str">
            <v>Variation UPR - gross</v>
          </cell>
          <cell r="Y45002" t="str">
            <v>CHILE</v>
          </cell>
        </row>
        <row r="45003">
          <cell r="L45003" t="str">
            <v>Non-proportional</v>
          </cell>
          <cell r="S45003">
            <v>-135657.4</v>
          </cell>
          <cell r="X45003" t="str">
            <v>Variation UPR - gross</v>
          </cell>
          <cell r="Y45003" t="str">
            <v>UNITED KINGDOM</v>
          </cell>
        </row>
        <row r="45004">
          <cell r="L45004" t="str">
            <v>Non-proportional</v>
          </cell>
          <cell r="S45004">
            <v>28.84</v>
          </cell>
          <cell r="X45004" t="str">
            <v>Variation UPR - gross</v>
          </cell>
          <cell r="Y45004" t="str">
            <v>JAPAN</v>
          </cell>
        </row>
        <row r="45005">
          <cell r="L45005" t="str">
            <v>Non-proportional</v>
          </cell>
          <cell r="S45005">
            <v>-1106.7</v>
          </cell>
          <cell r="X45005" t="str">
            <v>Variation UPR - gross</v>
          </cell>
          <cell r="Y45005" t="str">
            <v>COSTA RICA</v>
          </cell>
        </row>
        <row r="45006">
          <cell r="L45006" t="str">
            <v>Proportional</v>
          </cell>
          <cell r="S45006">
            <v>-1007.17</v>
          </cell>
          <cell r="X45006" t="str">
            <v>Variation UPR - gross</v>
          </cell>
          <cell r="Y45006" t="str">
            <v>UNITED STATES</v>
          </cell>
        </row>
        <row r="45007">
          <cell r="L45007" t="str">
            <v>Non-proportional</v>
          </cell>
          <cell r="S45007">
            <v>-1319.47</v>
          </cell>
          <cell r="X45007" t="str">
            <v>Variation UPR - gross</v>
          </cell>
          <cell r="Y45007" t="str">
            <v>ECUADOR</v>
          </cell>
        </row>
        <row r="45008">
          <cell r="L45008" t="str">
            <v>Non-proportional</v>
          </cell>
          <cell r="S45008">
            <v>12.63</v>
          </cell>
          <cell r="X45008" t="str">
            <v>Variation UPR - gross</v>
          </cell>
          <cell r="Y45008" t="str">
            <v>NEW ZEALAND</v>
          </cell>
        </row>
        <row r="45009">
          <cell r="L45009" t="str">
            <v>Non-proportional</v>
          </cell>
          <cell r="S45009">
            <v>291.77999999999997</v>
          </cell>
          <cell r="X45009" t="str">
            <v>Variation UPR - gross</v>
          </cell>
          <cell r="Y45009" t="str">
            <v>NEW ZEALAND</v>
          </cell>
        </row>
        <row r="45010">
          <cell r="L45010" t="str">
            <v>Non-proportional</v>
          </cell>
          <cell r="S45010">
            <v>-2043.75</v>
          </cell>
          <cell r="X45010" t="str">
            <v>Variation UPR - gross</v>
          </cell>
          <cell r="Y45010" t="str">
            <v>GREECE</v>
          </cell>
        </row>
        <row r="45011">
          <cell r="L45011" t="str">
            <v>Non-proportional</v>
          </cell>
          <cell r="S45011">
            <v>-30345.99</v>
          </cell>
          <cell r="X45011" t="str">
            <v>Variation UPR - gross</v>
          </cell>
          <cell r="Y45011" t="str">
            <v>FRANCE</v>
          </cell>
        </row>
        <row r="45012">
          <cell r="L45012" t="str">
            <v>Non-proportional</v>
          </cell>
          <cell r="S45012">
            <v>-7503</v>
          </cell>
          <cell r="X45012" t="str">
            <v>Variation UPR - gross</v>
          </cell>
          <cell r="Y45012" t="str">
            <v>CYPRUS</v>
          </cell>
        </row>
        <row r="45013">
          <cell r="L45013" t="str">
            <v>Proportional</v>
          </cell>
          <cell r="S45013">
            <v>-34049.89</v>
          </cell>
          <cell r="X45013" t="str">
            <v>Variation UPR - gross</v>
          </cell>
          <cell r="Y45013" t="str">
            <v>PORTUGAL</v>
          </cell>
        </row>
        <row r="45014">
          <cell r="L45014" t="str">
            <v>Non-proportional</v>
          </cell>
          <cell r="S45014">
            <v>-7218.75</v>
          </cell>
          <cell r="X45014" t="str">
            <v>Variation UPR - gross</v>
          </cell>
          <cell r="Y45014" t="str">
            <v>FRANCE</v>
          </cell>
        </row>
        <row r="45015">
          <cell r="L45015" t="str">
            <v>Non-proportional</v>
          </cell>
          <cell r="S45015">
            <v>-1257.8</v>
          </cell>
          <cell r="X45015" t="str">
            <v>Variation UPR - gross</v>
          </cell>
          <cell r="Y45015" t="str">
            <v>ITALY</v>
          </cell>
        </row>
        <row r="45016">
          <cell r="L45016" t="str">
            <v>Non-proportional</v>
          </cell>
          <cell r="S45016">
            <v>-5001.13</v>
          </cell>
          <cell r="X45016" t="str">
            <v>Variation UPR - gross</v>
          </cell>
          <cell r="Y45016" t="str">
            <v>ITALY</v>
          </cell>
        </row>
        <row r="45017">
          <cell r="L45017" t="str">
            <v>Proportional</v>
          </cell>
          <cell r="S45017">
            <v>-102738.94</v>
          </cell>
          <cell r="X45017" t="str">
            <v>Variation UPR - gross</v>
          </cell>
          <cell r="Y45017" t="str">
            <v>THAILAND</v>
          </cell>
        </row>
        <row r="45018">
          <cell r="L45018" t="str">
            <v>Non-proportional</v>
          </cell>
          <cell r="S45018">
            <v>-740.4</v>
          </cell>
          <cell r="X45018" t="str">
            <v>Variation UPR - gross</v>
          </cell>
          <cell r="Y45018" t="str">
            <v>FRANCE</v>
          </cell>
        </row>
        <row r="45019">
          <cell r="L45019" t="str">
            <v>Proportional</v>
          </cell>
          <cell r="S45019">
            <v>-2531.83</v>
          </cell>
          <cell r="X45019" t="str">
            <v>Variation UPR - gross</v>
          </cell>
          <cell r="Y45019" t="str">
            <v>UNITED STATES</v>
          </cell>
        </row>
        <row r="45020">
          <cell r="L45020" t="str">
            <v>Non-proportional</v>
          </cell>
          <cell r="S45020">
            <v>-4.72</v>
          </cell>
          <cell r="X45020" t="str">
            <v>Variation UPR - gross</v>
          </cell>
          <cell r="Y45020" t="str">
            <v>COSTA RICA</v>
          </cell>
        </row>
        <row r="45021">
          <cell r="L45021" t="str">
            <v>Proportional</v>
          </cell>
          <cell r="S45021">
            <v>6401.27</v>
          </cell>
          <cell r="X45021" t="str">
            <v>Variation UPR - gross</v>
          </cell>
          <cell r="Y45021" t="str">
            <v>UNITED STATES</v>
          </cell>
        </row>
        <row r="45022">
          <cell r="L45022" t="str">
            <v>Non-proportional</v>
          </cell>
          <cell r="S45022">
            <v>5.91</v>
          </cell>
          <cell r="X45022" t="str">
            <v>Variation UPR - gross</v>
          </cell>
          <cell r="Y45022" t="str">
            <v>JAPAN</v>
          </cell>
        </row>
        <row r="45023">
          <cell r="L45023" t="str">
            <v>Non-proportional</v>
          </cell>
          <cell r="S45023">
            <v>-22695.05</v>
          </cell>
          <cell r="X45023" t="str">
            <v>Variation UPR - gross</v>
          </cell>
          <cell r="Y45023" t="str">
            <v>PUERTO RICO</v>
          </cell>
        </row>
        <row r="45024">
          <cell r="L45024" t="str">
            <v>Proportional</v>
          </cell>
          <cell r="S45024">
            <v>0.56000000000000005</v>
          </cell>
          <cell r="X45024" t="str">
            <v>Variation UPR - gross</v>
          </cell>
          <cell r="Y45024" t="str">
            <v>UNITED STATES</v>
          </cell>
        </row>
        <row r="45025">
          <cell r="L45025" t="str">
            <v>Non-proportional</v>
          </cell>
          <cell r="S45025">
            <v>-18373.7</v>
          </cell>
          <cell r="X45025" t="str">
            <v>Variation UPR - gross</v>
          </cell>
          <cell r="Y45025" t="str">
            <v>PUERTO RICO</v>
          </cell>
        </row>
        <row r="45026">
          <cell r="L45026" t="str">
            <v>Non-proportional</v>
          </cell>
          <cell r="S45026">
            <v>-2330.11</v>
          </cell>
          <cell r="X45026" t="str">
            <v>Variation UPR - gross</v>
          </cell>
          <cell r="Y45026" t="str">
            <v>PERU</v>
          </cell>
        </row>
        <row r="45027">
          <cell r="L45027" t="str">
            <v>Non-proportional</v>
          </cell>
          <cell r="S45027">
            <v>-5010.83</v>
          </cell>
          <cell r="X45027" t="str">
            <v>Variation UPR - gross</v>
          </cell>
          <cell r="Y45027" t="str">
            <v>CHILE</v>
          </cell>
        </row>
        <row r="45028">
          <cell r="L45028" t="str">
            <v>Non-proportional</v>
          </cell>
          <cell r="S45028">
            <v>403.34</v>
          </cell>
          <cell r="X45028" t="str">
            <v>Variation UPR - gross</v>
          </cell>
          <cell r="Y45028" t="str">
            <v>NEW ZEALAND</v>
          </cell>
        </row>
        <row r="45029">
          <cell r="L45029" t="str">
            <v>Non-proportional</v>
          </cell>
          <cell r="S45029">
            <v>-1276.54</v>
          </cell>
          <cell r="X45029" t="str">
            <v>Variation UPR - gross</v>
          </cell>
          <cell r="Y45029" t="str">
            <v>NEW ZEALAND</v>
          </cell>
        </row>
        <row r="45030">
          <cell r="L45030" t="str">
            <v>Non-proportional</v>
          </cell>
          <cell r="S45030">
            <v>-10817.54</v>
          </cell>
          <cell r="X45030" t="str">
            <v>Variation UPR - gross</v>
          </cell>
          <cell r="Y45030" t="str">
            <v>NEW ZEALAND</v>
          </cell>
        </row>
        <row r="45031">
          <cell r="L45031" t="str">
            <v>Non-proportional</v>
          </cell>
          <cell r="S45031">
            <v>-12625.09</v>
          </cell>
          <cell r="X45031" t="str">
            <v>Variation UPR - gross</v>
          </cell>
          <cell r="Y45031" t="str">
            <v>BELGIUM</v>
          </cell>
        </row>
        <row r="45032">
          <cell r="L45032" t="str">
            <v>Non-proportional</v>
          </cell>
          <cell r="S45032">
            <v>-958500.95</v>
          </cell>
          <cell r="X45032" t="str">
            <v>Variation UPR - gross</v>
          </cell>
          <cell r="Y45032" t="str">
            <v>UNITED KINGDOM</v>
          </cell>
        </row>
        <row r="45033">
          <cell r="L45033" t="str">
            <v>Proportional</v>
          </cell>
          <cell r="S45033">
            <v>-31.53</v>
          </cell>
          <cell r="X45033" t="str">
            <v>Variation UPR - gross</v>
          </cell>
          <cell r="Y45033" t="str">
            <v>Ireland</v>
          </cell>
        </row>
        <row r="45034">
          <cell r="L45034" t="str">
            <v>Proportional</v>
          </cell>
          <cell r="S45034">
            <v>-32127.58</v>
          </cell>
          <cell r="X45034" t="str">
            <v>Variation UPR - gross</v>
          </cell>
          <cell r="Y45034" t="str">
            <v>ITALY</v>
          </cell>
        </row>
        <row r="45035">
          <cell r="L45035" t="str">
            <v>Non-proportional</v>
          </cell>
          <cell r="S45035">
            <v>-1342183.98</v>
          </cell>
          <cell r="X45035" t="str">
            <v>Variation UPR - gross</v>
          </cell>
          <cell r="Y45035" t="str">
            <v>UNITED KINGDOM</v>
          </cell>
        </row>
        <row r="45036">
          <cell r="L45036" t="str">
            <v>Non-proportional</v>
          </cell>
          <cell r="S45036">
            <v>-5606.76</v>
          </cell>
          <cell r="X45036" t="str">
            <v>Variation UPR - gross</v>
          </cell>
          <cell r="Y45036" t="str">
            <v>INDIA</v>
          </cell>
        </row>
        <row r="45037">
          <cell r="L45037" t="str">
            <v>Non-proportional</v>
          </cell>
          <cell r="S45037">
            <v>0.01</v>
          </cell>
          <cell r="X45037" t="str">
            <v>Variation UPR - gross</v>
          </cell>
          <cell r="Y45037" t="str">
            <v>DOMINICAN REPUBLIC</v>
          </cell>
        </row>
        <row r="45038">
          <cell r="L45038" t="str">
            <v>Non-proportional</v>
          </cell>
          <cell r="S45038">
            <v>-5550.56</v>
          </cell>
          <cell r="X45038" t="str">
            <v>Variation UPR - gross</v>
          </cell>
          <cell r="Y45038" t="str">
            <v>COLOMBIA</v>
          </cell>
        </row>
        <row r="45039">
          <cell r="L45039" t="str">
            <v>Non-proportional</v>
          </cell>
          <cell r="S45039">
            <v>121.8</v>
          </cell>
          <cell r="X45039" t="str">
            <v>Variation UPR - gross</v>
          </cell>
          <cell r="Y45039" t="str">
            <v>DOMINICAN REPUBLIC</v>
          </cell>
        </row>
        <row r="45040">
          <cell r="L45040" t="str">
            <v>Non-proportional</v>
          </cell>
          <cell r="S45040">
            <v>-9848.51</v>
          </cell>
          <cell r="X45040" t="str">
            <v>Variation UPR - gross</v>
          </cell>
          <cell r="Y45040" t="str">
            <v>AUSTRALIA</v>
          </cell>
        </row>
        <row r="45041">
          <cell r="L45041" t="str">
            <v>Non-proportional</v>
          </cell>
          <cell r="S45041">
            <v>-4033.68</v>
          </cell>
          <cell r="X45041" t="str">
            <v>Variation UPR - gross</v>
          </cell>
          <cell r="Y45041" t="str">
            <v>ECUADOR</v>
          </cell>
        </row>
        <row r="45042">
          <cell r="L45042" t="str">
            <v>Non-proportional</v>
          </cell>
          <cell r="S45042">
            <v>58.11</v>
          </cell>
          <cell r="X45042" t="str">
            <v>Variation UPR - gross</v>
          </cell>
          <cell r="Y45042" t="str">
            <v>AUSTRALIA</v>
          </cell>
        </row>
        <row r="45043">
          <cell r="L45043" t="str">
            <v>Non-proportional</v>
          </cell>
          <cell r="S45043">
            <v>-11.83</v>
          </cell>
          <cell r="X45043" t="str">
            <v>Variation UPR - gross</v>
          </cell>
          <cell r="Y45043" t="str">
            <v>ISRAEL</v>
          </cell>
        </row>
        <row r="45044">
          <cell r="L45044" t="str">
            <v>Proportional</v>
          </cell>
          <cell r="S45044">
            <v>-204913.45</v>
          </cell>
          <cell r="X45044" t="str">
            <v>Variation UPR - gross</v>
          </cell>
          <cell r="Y45044" t="str">
            <v>INDIA</v>
          </cell>
        </row>
        <row r="45045">
          <cell r="L45045" t="str">
            <v>Non-proportional</v>
          </cell>
          <cell r="S45045">
            <v>-3426.52</v>
          </cell>
          <cell r="X45045" t="str">
            <v>Variation UPR - gross</v>
          </cell>
          <cell r="Y45045" t="str">
            <v>CHILE</v>
          </cell>
        </row>
        <row r="45046">
          <cell r="L45046" t="str">
            <v>Non-proportional</v>
          </cell>
          <cell r="S45046">
            <v>-2042.24</v>
          </cell>
          <cell r="X45046" t="str">
            <v>Variation UPR - gross</v>
          </cell>
          <cell r="Y45046" t="str">
            <v>BELIZE</v>
          </cell>
        </row>
        <row r="45047">
          <cell r="L45047" t="str">
            <v>Non-proportional</v>
          </cell>
          <cell r="S45047">
            <v>21.86</v>
          </cell>
          <cell r="X45047" t="str">
            <v>Variation UPR - gross</v>
          </cell>
          <cell r="Y45047" t="str">
            <v>JAPAN</v>
          </cell>
        </row>
        <row r="45048">
          <cell r="L45048" t="str">
            <v>Non-proportional</v>
          </cell>
          <cell r="S45048">
            <v>-39053.83</v>
          </cell>
          <cell r="X45048" t="str">
            <v>Variation UPR - gross</v>
          </cell>
          <cell r="Y45048" t="str">
            <v>UNITED STATES</v>
          </cell>
        </row>
        <row r="45049">
          <cell r="L45049" t="str">
            <v>Non-proportional</v>
          </cell>
          <cell r="S45049">
            <v>-4509.75</v>
          </cell>
          <cell r="X45049" t="str">
            <v>Variation UPR - gross</v>
          </cell>
          <cell r="Y45049" t="str">
            <v>FRANCE</v>
          </cell>
        </row>
        <row r="45050">
          <cell r="L45050" t="str">
            <v>Non-proportional</v>
          </cell>
          <cell r="S45050">
            <v>-9348.14</v>
          </cell>
          <cell r="X45050" t="str">
            <v>Variation UPR - gross</v>
          </cell>
          <cell r="Y45050" t="str">
            <v>NETHERLANDS</v>
          </cell>
        </row>
        <row r="45051">
          <cell r="L45051" t="str">
            <v>Proportional</v>
          </cell>
          <cell r="S45051">
            <v>2426.21</v>
          </cell>
          <cell r="X45051" t="str">
            <v>Variation UPR - gross</v>
          </cell>
          <cell r="Y45051" t="str">
            <v>THAILAND</v>
          </cell>
        </row>
        <row r="45052">
          <cell r="L45052" t="str">
            <v>Non-proportional</v>
          </cell>
          <cell r="S45052">
            <v>-1468.75</v>
          </cell>
          <cell r="X45052" t="str">
            <v>Variation UPR - gross</v>
          </cell>
          <cell r="Y45052" t="str">
            <v>GREECE</v>
          </cell>
        </row>
        <row r="45053">
          <cell r="L45053" t="str">
            <v>Proportional</v>
          </cell>
          <cell r="S45053">
            <v>-3661.38</v>
          </cell>
          <cell r="X45053" t="str">
            <v>Variation UPR - gross</v>
          </cell>
          <cell r="Y45053" t="str">
            <v>FRANCE</v>
          </cell>
        </row>
        <row r="45054">
          <cell r="L45054" t="str">
            <v>Non-proportional</v>
          </cell>
          <cell r="S45054">
            <v>-14424.04</v>
          </cell>
          <cell r="X45054" t="str">
            <v>Variation UPR - gross</v>
          </cell>
          <cell r="Y45054" t="str">
            <v>FRANCE</v>
          </cell>
        </row>
        <row r="45055">
          <cell r="L45055" t="str">
            <v>Non-proportional</v>
          </cell>
          <cell r="S45055">
            <v>-1154.8</v>
          </cell>
          <cell r="X45055" t="str">
            <v>Variation UPR - gross</v>
          </cell>
          <cell r="Y45055" t="str">
            <v>ISRAEL</v>
          </cell>
        </row>
        <row r="45056">
          <cell r="L45056" t="str">
            <v>Non-proportional</v>
          </cell>
          <cell r="S45056">
            <v>-2350.75</v>
          </cell>
          <cell r="X45056" t="str">
            <v>Variation UPR - gross</v>
          </cell>
          <cell r="Y45056" t="str">
            <v>UNITED KINGDOM</v>
          </cell>
        </row>
        <row r="45057">
          <cell r="L45057" t="str">
            <v>Non-proportional</v>
          </cell>
          <cell r="S45057">
            <v>11177.35</v>
          </cell>
          <cell r="X45057" t="str">
            <v>Variation UPR - gross</v>
          </cell>
          <cell r="Y45057" t="str">
            <v>UNITED KINGDOM</v>
          </cell>
        </row>
        <row r="45058">
          <cell r="L45058" t="str">
            <v>Non-proportional</v>
          </cell>
          <cell r="S45058">
            <v>50.58</v>
          </cell>
          <cell r="X45058" t="str">
            <v>Variation UPR - gross</v>
          </cell>
          <cell r="Y45058" t="str">
            <v>JAPAN</v>
          </cell>
        </row>
        <row r="45059">
          <cell r="L45059" t="str">
            <v>Non-proportional</v>
          </cell>
          <cell r="S45059">
            <v>233125.68</v>
          </cell>
          <cell r="X45059" t="str">
            <v>Variation UPR - gross</v>
          </cell>
          <cell r="Y45059" t="str">
            <v>TURKEY</v>
          </cell>
        </row>
        <row r="45060">
          <cell r="L45060" t="str">
            <v>Non-proportional</v>
          </cell>
          <cell r="S45060">
            <v>-6500</v>
          </cell>
          <cell r="X45060" t="str">
            <v>Variation UPR - gross</v>
          </cell>
          <cell r="Y45060" t="str">
            <v>FRANCE</v>
          </cell>
        </row>
        <row r="45061">
          <cell r="L45061" t="str">
            <v>Non-proportional</v>
          </cell>
          <cell r="S45061">
            <v>-744.19</v>
          </cell>
          <cell r="X45061" t="str">
            <v>Variation UPR - gross</v>
          </cell>
          <cell r="Y45061" t="str">
            <v>INDIA</v>
          </cell>
        </row>
        <row r="45062">
          <cell r="L45062" t="str">
            <v>Proportional</v>
          </cell>
          <cell r="S45062">
            <v>117428.79</v>
          </cell>
          <cell r="X45062" t="str">
            <v>Variation UPR - gross</v>
          </cell>
          <cell r="Y45062" t="str">
            <v>THAILAND</v>
          </cell>
        </row>
        <row r="45063">
          <cell r="L45063" t="str">
            <v>Non-proportional</v>
          </cell>
          <cell r="S45063">
            <v>-40799.89</v>
          </cell>
          <cell r="X45063" t="str">
            <v>Variation UPR - gross</v>
          </cell>
          <cell r="Y45063" t="str">
            <v>TURKEY</v>
          </cell>
        </row>
        <row r="45064">
          <cell r="L45064" t="str">
            <v>Non-proportional</v>
          </cell>
          <cell r="S45064">
            <v>-8303</v>
          </cell>
          <cell r="X45064" t="str">
            <v>Variation UPR - gross</v>
          </cell>
          <cell r="Y45064" t="str">
            <v>INDIA</v>
          </cell>
        </row>
        <row r="45065">
          <cell r="L45065" t="str">
            <v>Non-proportional</v>
          </cell>
          <cell r="S45065">
            <v>5.5</v>
          </cell>
          <cell r="X45065" t="str">
            <v>Variation UPR - gross</v>
          </cell>
          <cell r="Y45065" t="str">
            <v>JAPAN</v>
          </cell>
        </row>
        <row r="45066">
          <cell r="L45066" t="str">
            <v>Non-proportional</v>
          </cell>
          <cell r="S45066">
            <v>121.19</v>
          </cell>
          <cell r="X45066" t="str">
            <v>Variation UPR - gross</v>
          </cell>
          <cell r="Y45066" t="str">
            <v>DOMINICAN REPUBLIC</v>
          </cell>
        </row>
        <row r="45067">
          <cell r="L45067" t="str">
            <v>Non-proportional</v>
          </cell>
          <cell r="S45067">
            <v>0.02</v>
          </cell>
          <cell r="X45067" t="str">
            <v>Variation UPR - gross</v>
          </cell>
          <cell r="Y45067" t="str">
            <v>COLOMBIA</v>
          </cell>
        </row>
        <row r="45068">
          <cell r="L45068" t="str">
            <v>Proportional</v>
          </cell>
          <cell r="S45068">
            <v>-5654.41</v>
          </cell>
          <cell r="X45068" t="str">
            <v>Variation UPR - gross</v>
          </cell>
          <cell r="Y45068" t="str">
            <v>PERU</v>
          </cell>
        </row>
        <row r="45069">
          <cell r="L45069" t="str">
            <v>Non-proportional</v>
          </cell>
          <cell r="S45069">
            <v>1.1100000000000001</v>
          </cell>
          <cell r="X45069" t="str">
            <v>Variation UPR - gross</v>
          </cell>
          <cell r="Y45069" t="str">
            <v>GUATEMALA</v>
          </cell>
        </row>
        <row r="45070">
          <cell r="L45070" t="str">
            <v>Non-proportional</v>
          </cell>
          <cell r="S45070">
            <v>-10208.67</v>
          </cell>
          <cell r="X45070" t="str">
            <v>Variation UPR - gross</v>
          </cell>
          <cell r="Y45070" t="str">
            <v>UNITED KINGDOM</v>
          </cell>
        </row>
        <row r="45071">
          <cell r="L45071" t="str">
            <v>Non-proportional</v>
          </cell>
          <cell r="S45071">
            <v>-612.5</v>
          </cell>
          <cell r="X45071" t="str">
            <v>Variation UPR - gross</v>
          </cell>
          <cell r="Y45071" t="str">
            <v>GREECE</v>
          </cell>
        </row>
        <row r="45072">
          <cell r="L45072" t="str">
            <v>Non-proportional</v>
          </cell>
          <cell r="S45072">
            <v>-390</v>
          </cell>
          <cell r="X45072" t="str">
            <v>Variation UPR - gross</v>
          </cell>
          <cell r="Y45072" t="str">
            <v>ITALY</v>
          </cell>
        </row>
        <row r="45073">
          <cell r="L45073" t="str">
            <v>Non-proportional</v>
          </cell>
          <cell r="S45073">
            <v>-37828.21</v>
          </cell>
          <cell r="X45073" t="str">
            <v>Variation UPR - gross</v>
          </cell>
          <cell r="Y45073" t="str">
            <v>TURKEY</v>
          </cell>
        </row>
        <row r="45074">
          <cell r="L45074" t="str">
            <v>Non-proportional</v>
          </cell>
          <cell r="S45074">
            <v>0.04</v>
          </cell>
          <cell r="X45074" t="str">
            <v>Variation UPR - gross</v>
          </cell>
          <cell r="Y45074" t="str">
            <v>COLOMBIA</v>
          </cell>
        </row>
        <row r="45075">
          <cell r="L45075" t="str">
            <v>Non-proportional</v>
          </cell>
          <cell r="S45075">
            <v>-6606.69</v>
          </cell>
          <cell r="X45075" t="str">
            <v>Variation UPR - gross</v>
          </cell>
          <cell r="Y45075" t="str">
            <v>INDIA</v>
          </cell>
        </row>
        <row r="45076">
          <cell r="L45076" t="str">
            <v>Non-proportional</v>
          </cell>
          <cell r="S45076">
            <v>215.44</v>
          </cell>
          <cell r="X45076" t="str">
            <v>Variation UPR - gross</v>
          </cell>
          <cell r="Y45076" t="str">
            <v>INDIA</v>
          </cell>
        </row>
        <row r="45077">
          <cell r="L45077" t="str">
            <v>Non-proportional</v>
          </cell>
          <cell r="S45077">
            <v>260.56</v>
          </cell>
          <cell r="X45077" t="str">
            <v>Variation UPR - gross</v>
          </cell>
          <cell r="Y45077" t="str">
            <v>INDIA</v>
          </cell>
        </row>
        <row r="45078">
          <cell r="L45078" t="str">
            <v>Non-proportional</v>
          </cell>
          <cell r="S45078">
            <v>2.2799999999999998</v>
          </cell>
          <cell r="X45078" t="str">
            <v>Variation UPR - gross</v>
          </cell>
          <cell r="Y45078" t="str">
            <v>GUATEMALA</v>
          </cell>
        </row>
        <row r="45079">
          <cell r="L45079" t="str">
            <v>Non-proportional</v>
          </cell>
          <cell r="S45079">
            <v>40.1</v>
          </cell>
          <cell r="X45079" t="str">
            <v>Variation UPR - gross</v>
          </cell>
          <cell r="Y45079" t="str">
            <v>JAPAN</v>
          </cell>
        </row>
        <row r="45080">
          <cell r="L45080" t="str">
            <v>Non-proportional</v>
          </cell>
          <cell r="S45080">
            <v>75.92</v>
          </cell>
          <cell r="X45080" t="str">
            <v>Variation UPR - gross</v>
          </cell>
          <cell r="Y45080" t="str">
            <v>JAPAN</v>
          </cell>
        </row>
        <row r="45081">
          <cell r="L45081" t="str">
            <v>Non-proportional</v>
          </cell>
          <cell r="S45081">
            <v>-1958.84</v>
          </cell>
          <cell r="X45081" t="str">
            <v>Variation UPR - gross</v>
          </cell>
          <cell r="Y45081" t="str">
            <v>JAPAN</v>
          </cell>
        </row>
        <row r="45082">
          <cell r="L45082" t="str">
            <v>Non-proportional</v>
          </cell>
          <cell r="S45082">
            <v>-9043.94</v>
          </cell>
          <cell r="X45082" t="str">
            <v>Variation UPR - gross</v>
          </cell>
          <cell r="Y45082" t="str">
            <v>FRANCE</v>
          </cell>
        </row>
        <row r="45083">
          <cell r="L45083" t="str">
            <v>Proportional</v>
          </cell>
          <cell r="S45083">
            <v>-5905.79</v>
          </cell>
          <cell r="X45083" t="str">
            <v>Variation UPR - gross</v>
          </cell>
          <cell r="Y45083" t="str">
            <v>THAILAND</v>
          </cell>
        </row>
        <row r="45084">
          <cell r="L45084" t="str">
            <v>Non-proportional</v>
          </cell>
          <cell r="S45084">
            <v>221.94</v>
          </cell>
          <cell r="X45084" t="str">
            <v>Variation UPR - gross</v>
          </cell>
          <cell r="Y45084" t="str">
            <v>SOUTH KOREA</v>
          </cell>
        </row>
        <row r="45085">
          <cell r="L45085" t="str">
            <v>Non-proportional</v>
          </cell>
          <cell r="S45085">
            <v>-2427.65</v>
          </cell>
          <cell r="X45085" t="str">
            <v>Variation UPR - gross</v>
          </cell>
          <cell r="Y45085" t="str">
            <v>UNITED KINGDOM</v>
          </cell>
        </row>
        <row r="45086">
          <cell r="L45086" t="str">
            <v>Non-proportional</v>
          </cell>
          <cell r="S45086">
            <v>-13664.2</v>
          </cell>
          <cell r="X45086" t="str">
            <v>Variation UPR - gross</v>
          </cell>
          <cell r="Y45086" t="str">
            <v>UNITED KINGDOM</v>
          </cell>
        </row>
        <row r="45087">
          <cell r="L45087" t="str">
            <v>Non-proportional</v>
          </cell>
          <cell r="S45087">
            <v>-5265.69</v>
          </cell>
          <cell r="X45087" t="str">
            <v>Variation UPR - gross</v>
          </cell>
          <cell r="Y45087" t="str">
            <v>ISRAEL</v>
          </cell>
        </row>
        <row r="45088">
          <cell r="L45088" t="str">
            <v>Non-proportional</v>
          </cell>
          <cell r="S45088">
            <v>0.01</v>
          </cell>
          <cell r="X45088" t="str">
            <v>Variation UPR - gross</v>
          </cell>
          <cell r="Y45088" t="str">
            <v>DOMINICAN REPUBLIC</v>
          </cell>
        </row>
        <row r="45089">
          <cell r="L45089" t="str">
            <v>Non-proportional</v>
          </cell>
          <cell r="S45089">
            <v>-70.34</v>
          </cell>
          <cell r="X45089" t="str">
            <v>Variation UPR - gross</v>
          </cell>
          <cell r="Y45089" t="str">
            <v>BRAZIL</v>
          </cell>
        </row>
        <row r="45090">
          <cell r="L45090" t="str">
            <v>Non-proportional</v>
          </cell>
          <cell r="S45090">
            <v>-7320.09</v>
          </cell>
          <cell r="X45090" t="str">
            <v>Variation UPR - gross</v>
          </cell>
          <cell r="Y45090" t="str">
            <v>COSTA RICA</v>
          </cell>
        </row>
        <row r="45091">
          <cell r="L45091" t="str">
            <v>Non-proportional</v>
          </cell>
          <cell r="S45091">
            <v>-9500.14</v>
          </cell>
          <cell r="X45091" t="str">
            <v>Variation UPR - gross</v>
          </cell>
          <cell r="Y45091" t="str">
            <v>TURKEY</v>
          </cell>
        </row>
        <row r="45092">
          <cell r="L45092" t="str">
            <v>Non-proportional</v>
          </cell>
          <cell r="S45092">
            <v>-3381.84</v>
          </cell>
          <cell r="X45092" t="str">
            <v>Variation UPR - gross</v>
          </cell>
          <cell r="Y45092" t="str">
            <v>ITALY</v>
          </cell>
        </row>
        <row r="45093">
          <cell r="L45093" t="str">
            <v>Non-proportional</v>
          </cell>
          <cell r="S45093">
            <v>-4971.4799999999996</v>
          </cell>
          <cell r="X45093" t="str">
            <v>Variation UPR - gross</v>
          </cell>
          <cell r="Y45093" t="str">
            <v>EUROPE</v>
          </cell>
        </row>
        <row r="45094">
          <cell r="L45094" t="str">
            <v>Proportional</v>
          </cell>
          <cell r="S45094">
            <v>-2413.64</v>
          </cell>
          <cell r="X45094" t="str">
            <v>Variation UPR - gross</v>
          </cell>
          <cell r="Y45094" t="str">
            <v>INDIA</v>
          </cell>
        </row>
        <row r="45095">
          <cell r="L45095" t="str">
            <v>Proportional</v>
          </cell>
          <cell r="S45095">
            <v>-221951.72</v>
          </cell>
          <cell r="X45095" t="str">
            <v>Variation UPR - gross</v>
          </cell>
          <cell r="Y45095" t="str">
            <v>HONG KONG</v>
          </cell>
        </row>
        <row r="45096">
          <cell r="L45096" t="str">
            <v>Non-proportional</v>
          </cell>
          <cell r="S45096">
            <v>-6963.2</v>
          </cell>
          <cell r="X45096" t="str">
            <v>Variation UPR - gross</v>
          </cell>
          <cell r="Y45096" t="str">
            <v>FRANCE</v>
          </cell>
        </row>
        <row r="45097">
          <cell r="L45097" t="str">
            <v>Non-proportional</v>
          </cell>
          <cell r="S45097">
            <v>-1145.97</v>
          </cell>
          <cell r="X45097" t="str">
            <v>Variation UPR - gross</v>
          </cell>
          <cell r="Y45097" t="str">
            <v>INDIA</v>
          </cell>
        </row>
        <row r="45098">
          <cell r="L45098" t="str">
            <v>Proportional</v>
          </cell>
          <cell r="S45098">
            <v>42.21</v>
          </cell>
          <cell r="X45098" t="str">
            <v>Variation UPR - gross</v>
          </cell>
          <cell r="Y45098" t="str">
            <v>Ireland</v>
          </cell>
        </row>
        <row r="45099">
          <cell r="L45099" t="str">
            <v>Non-proportional</v>
          </cell>
          <cell r="S45099">
            <v>-5512.68</v>
          </cell>
          <cell r="X45099" t="str">
            <v>Variation UPR - gross</v>
          </cell>
          <cell r="Y45099" t="str">
            <v>NETHERLANDS</v>
          </cell>
        </row>
        <row r="45100">
          <cell r="L45100" t="str">
            <v>Non-proportional</v>
          </cell>
          <cell r="S45100">
            <v>-7342.39</v>
          </cell>
          <cell r="X45100" t="str">
            <v>Variation UPR - gross</v>
          </cell>
          <cell r="Y45100" t="str">
            <v>FRANCE</v>
          </cell>
        </row>
        <row r="45101">
          <cell r="L45101" t="str">
            <v>Non-proportional</v>
          </cell>
          <cell r="S45101">
            <v>-344149.75</v>
          </cell>
          <cell r="X45101" t="str">
            <v>Variation UPR - gross</v>
          </cell>
          <cell r="Y45101" t="str">
            <v>UNITED KINGDOM</v>
          </cell>
        </row>
        <row r="45102">
          <cell r="L45102" t="str">
            <v>Proportional</v>
          </cell>
          <cell r="S45102">
            <v>1435.57</v>
          </cell>
          <cell r="X45102" t="str">
            <v>Variation UPR - gross</v>
          </cell>
          <cell r="Y45102" t="str">
            <v>UNITED STATES</v>
          </cell>
        </row>
        <row r="45103">
          <cell r="L45103" t="str">
            <v>Non-proportional</v>
          </cell>
          <cell r="S45103">
            <v>-1458.33</v>
          </cell>
          <cell r="X45103" t="str">
            <v>Variation UPR - gross</v>
          </cell>
          <cell r="Y45103" t="str">
            <v>ITALY</v>
          </cell>
        </row>
        <row r="45104">
          <cell r="L45104" t="str">
            <v>Proportional</v>
          </cell>
          <cell r="S45104">
            <v>-2486282.37</v>
          </cell>
          <cell r="X45104" t="str">
            <v>Variation UPR - gross</v>
          </cell>
          <cell r="Y45104" t="str">
            <v>THAILAND</v>
          </cell>
        </row>
        <row r="45105">
          <cell r="L45105" t="str">
            <v>Non-proportional</v>
          </cell>
          <cell r="S45105">
            <v>-4322.68</v>
          </cell>
          <cell r="X45105" t="str">
            <v>Variation UPR - gross</v>
          </cell>
          <cell r="Y45105" t="str">
            <v>UNITED KINGDOM</v>
          </cell>
        </row>
        <row r="45106">
          <cell r="L45106" t="str">
            <v>Non-proportional</v>
          </cell>
          <cell r="S45106">
            <v>-163.52000000000001</v>
          </cell>
          <cell r="X45106" t="str">
            <v>Variation UPR - gross</v>
          </cell>
          <cell r="Y45106" t="str">
            <v>COLOMBIA</v>
          </cell>
        </row>
        <row r="45107">
          <cell r="L45107" t="str">
            <v>Non-proportional</v>
          </cell>
          <cell r="S45107">
            <v>-11365.85</v>
          </cell>
          <cell r="X45107" t="str">
            <v>Variation UPR - gross</v>
          </cell>
          <cell r="Y45107" t="str">
            <v>ECUADOR</v>
          </cell>
        </row>
        <row r="45108">
          <cell r="L45108" t="str">
            <v>Non-proportional</v>
          </cell>
          <cell r="S45108">
            <v>-2861.72</v>
          </cell>
          <cell r="X45108" t="str">
            <v>Variation UPR - gross</v>
          </cell>
          <cell r="Y45108" t="str">
            <v>ISRAEL</v>
          </cell>
        </row>
        <row r="45109">
          <cell r="L45109" t="str">
            <v>Non-proportional</v>
          </cell>
          <cell r="S45109">
            <v>-1159.1099999999999</v>
          </cell>
          <cell r="X45109" t="str">
            <v>Variation UPR - gross</v>
          </cell>
          <cell r="Y45109" t="str">
            <v>UNITED KINGDOM</v>
          </cell>
        </row>
        <row r="45110">
          <cell r="L45110" t="str">
            <v>Non-proportional</v>
          </cell>
          <cell r="S45110">
            <v>-149.69</v>
          </cell>
          <cell r="X45110" t="str">
            <v>Variation UPR - gross</v>
          </cell>
          <cell r="Y45110" t="str">
            <v>ISRAEL</v>
          </cell>
        </row>
        <row r="45111">
          <cell r="L45111" t="str">
            <v>Non-proportional</v>
          </cell>
          <cell r="S45111">
            <v>-705.58</v>
          </cell>
          <cell r="X45111" t="str">
            <v>Variation UPR - gross</v>
          </cell>
          <cell r="Y45111" t="str">
            <v>ECUADOR</v>
          </cell>
        </row>
        <row r="45112">
          <cell r="L45112" t="str">
            <v>Non-proportional</v>
          </cell>
          <cell r="S45112">
            <v>-73.69</v>
          </cell>
          <cell r="X45112" t="str">
            <v>Variation UPR - gross</v>
          </cell>
          <cell r="Y45112" t="str">
            <v>CHILE</v>
          </cell>
        </row>
        <row r="45113">
          <cell r="L45113" t="str">
            <v>Non-proportional</v>
          </cell>
          <cell r="S45113">
            <v>-2494.12</v>
          </cell>
          <cell r="X45113" t="str">
            <v>Variation UPR - gross</v>
          </cell>
          <cell r="Y45113" t="str">
            <v>COLOMBIA</v>
          </cell>
        </row>
        <row r="45114">
          <cell r="L45114" t="str">
            <v>Non-proportional</v>
          </cell>
          <cell r="S45114">
            <v>-1736.38</v>
          </cell>
          <cell r="X45114" t="str">
            <v>Variation UPR - gross</v>
          </cell>
          <cell r="Y45114" t="str">
            <v>COSTA RICA</v>
          </cell>
        </row>
        <row r="45115">
          <cell r="L45115" t="str">
            <v>Proportional</v>
          </cell>
          <cell r="S45115">
            <v>-83694.52</v>
          </cell>
          <cell r="X45115" t="str">
            <v>Variation UPR - gross</v>
          </cell>
          <cell r="Y45115" t="str">
            <v>PORTUGAL</v>
          </cell>
        </row>
        <row r="45116">
          <cell r="L45116" t="str">
            <v>Proportional</v>
          </cell>
          <cell r="S45116">
            <v>-320760</v>
          </cell>
          <cell r="X45116" t="str">
            <v>Variation UPR - gross</v>
          </cell>
          <cell r="Y45116" t="str">
            <v>PORTUGAL</v>
          </cell>
        </row>
        <row r="45117">
          <cell r="L45117" t="str">
            <v>Non-proportional</v>
          </cell>
          <cell r="S45117">
            <v>-637225.6</v>
          </cell>
          <cell r="X45117" t="str">
            <v>Variation UPR - gross</v>
          </cell>
          <cell r="Y45117" t="str">
            <v>BELGIUM</v>
          </cell>
        </row>
        <row r="45118">
          <cell r="L45118" t="str">
            <v>Non-proportional</v>
          </cell>
          <cell r="S45118">
            <v>-8855</v>
          </cell>
          <cell r="X45118" t="str">
            <v>Variation UPR - gross</v>
          </cell>
          <cell r="Y45118" t="str">
            <v>GERMANY</v>
          </cell>
        </row>
        <row r="45119">
          <cell r="L45119" t="str">
            <v>Proportional</v>
          </cell>
          <cell r="S45119">
            <v>849.18</v>
          </cell>
          <cell r="X45119" t="str">
            <v>Variation UPR - gross</v>
          </cell>
          <cell r="Y45119" t="str">
            <v>THAILAND</v>
          </cell>
        </row>
        <row r="45120">
          <cell r="L45120" t="str">
            <v>Proportional</v>
          </cell>
          <cell r="S45120">
            <v>2547.5300000000002</v>
          </cell>
          <cell r="X45120" t="str">
            <v>Variation UPR - gross</v>
          </cell>
          <cell r="Y45120" t="str">
            <v>THAILAND</v>
          </cell>
        </row>
        <row r="45121">
          <cell r="L45121" t="str">
            <v>Non-proportional</v>
          </cell>
          <cell r="S45121">
            <v>-10909.08</v>
          </cell>
          <cell r="X45121" t="str">
            <v>Variation UPR - gross</v>
          </cell>
          <cell r="Y45121" t="str">
            <v>ITALY</v>
          </cell>
        </row>
        <row r="45122">
          <cell r="L45122" t="str">
            <v>Non-proportional</v>
          </cell>
          <cell r="S45122">
            <v>-1818.69</v>
          </cell>
          <cell r="X45122" t="str">
            <v>Variation UPR - gross</v>
          </cell>
          <cell r="Y45122" t="str">
            <v>PERU</v>
          </cell>
        </row>
        <row r="45123">
          <cell r="L45123" t="str">
            <v>Non-proportional</v>
          </cell>
          <cell r="S45123">
            <v>-5798.21</v>
          </cell>
          <cell r="X45123" t="str">
            <v>Variation UPR - gross</v>
          </cell>
          <cell r="Y45123" t="str">
            <v>AUSTRALIA</v>
          </cell>
        </row>
        <row r="45124">
          <cell r="L45124" t="str">
            <v>Non-proportional</v>
          </cell>
          <cell r="S45124">
            <v>-16815.29</v>
          </cell>
          <cell r="X45124" t="str">
            <v>Variation UPR - gross</v>
          </cell>
          <cell r="Y45124" t="str">
            <v>UNITED KINGDOM</v>
          </cell>
        </row>
        <row r="45125">
          <cell r="L45125" t="str">
            <v>Non-proportional</v>
          </cell>
          <cell r="S45125">
            <v>-3358.19</v>
          </cell>
          <cell r="X45125" t="str">
            <v>Variation UPR - gross</v>
          </cell>
          <cell r="Y45125" t="str">
            <v>BRAZIL</v>
          </cell>
        </row>
        <row r="45126">
          <cell r="L45126" t="str">
            <v>Non-proportional</v>
          </cell>
          <cell r="S45126">
            <v>5.56</v>
          </cell>
          <cell r="X45126" t="str">
            <v>Variation UPR - gross</v>
          </cell>
          <cell r="Y45126" t="str">
            <v>GUATEMALA</v>
          </cell>
        </row>
        <row r="45127">
          <cell r="L45127" t="str">
            <v>Non-proportional</v>
          </cell>
          <cell r="S45127">
            <v>-13925.39</v>
          </cell>
          <cell r="X45127" t="str">
            <v>Variation UPR - gross</v>
          </cell>
          <cell r="Y45127" t="str">
            <v>UNITED KINGDOM</v>
          </cell>
        </row>
        <row r="45128">
          <cell r="L45128" t="str">
            <v>Non-proportional</v>
          </cell>
          <cell r="S45128">
            <v>0.01</v>
          </cell>
          <cell r="X45128" t="str">
            <v>Variation UPR - gross</v>
          </cell>
          <cell r="Y45128" t="str">
            <v>DOMINICAN REPUBLIC</v>
          </cell>
        </row>
        <row r="45129">
          <cell r="L45129" t="str">
            <v>Non-proportional</v>
          </cell>
          <cell r="S45129">
            <v>-5389.31</v>
          </cell>
          <cell r="X45129" t="str">
            <v>Variation UPR - gross</v>
          </cell>
          <cell r="Y45129" t="str">
            <v>MEXICO</v>
          </cell>
        </row>
        <row r="45130">
          <cell r="L45130" t="str">
            <v>Non-proportional</v>
          </cell>
          <cell r="S45130">
            <v>-8574.81</v>
          </cell>
          <cell r="X45130" t="str">
            <v>Variation UPR - gross</v>
          </cell>
          <cell r="Y45130" t="str">
            <v>COLOMBIA</v>
          </cell>
        </row>
        <row r="45131">
          <cell r="L45131" t="str">
            <v>Non-proportional</v>
          </cell>
          <cell r="S45131">
            <v>-17505.16</v>
          </cell>
          <cell r="X45131" t="str">
            <v>Variation UPR - gross</v>
          </cell>
          <cell r="Y45131" t="str">
            <v>UNITED KINGDOM</v>
          </cell>
        </row>
        <row r="45132">
          <cell r="L45132" t="str">
            <v>Non-proportional</v>
          </cell>
          <cell r="S45132">
            <v>-43042.239999999998</v>
          </cell>
          <cell r="X45132" t="str">
            <v>Variation UPR - gross</v>
          </cell>
          <cell r="Y45132" t="str">
            <v>UNITED KINGDOM</v>
          </cell>
        </row>
        <row r="45133">
          <cell r="L45133" t="str">
            <v>Non-proportional</v>
          </cell>
          <cell r="S45133">
            <v>-1564.3</v>
          </cell>
          <cell r="X45133" t="str">
            <v>Variation UPR - gross</v>
          </cell>
          <cell r="Y45133" t="str">
            <v>JAPAN</v>
          </cell>
        </row>
        <row r="45134">
          <cell r="L45134" t="str">
            <v>Non-proportional</v>
          </cell>
          <cell r="S45134">
            <v>-2686.61</v>
          </cell>
          <cell r="X45134" t="str">
            <v>Variation UPR - gross</v>
          </cell>
          <cell r="Y45134" t="str">
            <v>JAPAN</v>
          </cell>
        </row>
        <row r="45135">
          <cell r="L45135" t="str">
            <v>Non-proportional</v>
          </cell>
          <cell r="S45135">
            <v>210.24</v>
          </cell>
          <cell r="X45135" t="str">
            <v>Variation UPR - gross</v>
          </cell>
          <cell r="Y45135" t="str">
            <v>NEW ZEALAND</v>
          </cell>
        </row>
        <row r="45136">
          <cell r="L45136" t="str">
            <v>Non-proportional</v>
          </cell>
          <cell r="S45136">
            <v>-1800</v>
          </cell>
          <cell r="X45136" t="str">
            <v>Variation UPR - gross</v>
          </cell>
          <cell r="Y45136" t="str">
            <v>PORTUGAL</v>
          </cell>
        </row>
        <row r="45137">
          <cell r="L45137" t="str">
            <v>Non-proportional</v>
          </cell>
          <cell r="S45137">
            <v>-3780</v>
          </cell>
          <cell r="X45137" t="str">
            <v>Variation UPR - gross</v>
          </cell>
          <cell r="Y45137" t="str">
            <v>GREECE</v>
          </cell>
        </row>
        <row r="45138">
          <cell r="L45138" t="str">
            <v>Non-proportional</v>
          </cell>
          <cell r="S45138">
            <v>-417.67</v>
          </cell>
          <cell r="X45138" t="str">
            <v>Variation UPR - gross</v>
          </cell>
          <cell r="Y45138" t="str">
            <v>NETHERLANDS</v>
          </cell>
        </row>
        <row r="45139">
          <cell r="L45139" t="str">
            <v>Non-proportional</v>
          </cell>
          <cell r="S45139">
            <v>-103680.67</v>
          </cell>
          <cell r="X45139" t="str">
            <v>Variation UPR - gross</v>
          </cell>
          <cell r="Y45139" t="str">
            <v>HONG KONG</v>
          </cell>
        </row>
        <row r="45140">
          <cell r="L45140" t="str">
            <v>Non-proportional</v>
          </cell>
          <cell r="S45140">
            <v>-105723.33</v>
          </cell>
          <cell r="X45140" t="str">
            <v>Variation UPR - gross</v>
          </cell>
          <cell r="Y45140" t="str">
            <v>FRANCE</v>
          </cell>
        </row>
        <row r="45141">
          <cell r="L45141" t="str">
            <v>Non-proportional</v>
          </cell>
          <cell r="S45141">
            <v>-250584.03</v>
          </cell>
          <cell r="X45141" t="str">
            <v>Variation UPR - gross</v>
          </cell>
          <cell r="Y45141" t="str">
            <v>UNITED KINGDOM</v>
          </cell>
        </row>
        <row r="45142">
          <cell r="L45142" t="str">
            <v>Non-proportional</v>
          </cell>
          <cell r="S45142">
            <v>-951.15</v>
          </cell>
          <cell r="X45142" t="str">
            <v>Variation UPR - gross</v>
          </cell>
          <cell r="Y45142" t="str">
            <v>DOMINICAN REPUBLIC</v>
          </cell>
        </row>
        <row r="45143">
          <cell r="L45143" t="str">
            <v>Non-proportional</v>
          </cell>
          <cell r="S45143">
            <v>-2762.68</v>
          </cell>
          <cell r="X45143" t="str">
            <v>Variation UPR - gross</v>
          </cell>
          <cell r="Y45143" t="str">
            <v>ISRAEL</v>
          </cell>
        </row>
        <row r="45144">
          <cell r="L45144" t="str">
            <v>Proportional</v>
          </cell>
          <cell r="S45144">
            <v>2398.61</v>
          </cell>
          <cell r="X45144" t="str">
            <v>Variation UPR - gross</v>
          </cell>
          <cell r="Y45144" t="str">
            <v>UNITED STATES</v>
          </cell>
        </row>
        <row r="45145">
          <cell r="L45145" t="str">
            <v>Non-proportional</v>
          </cell>
          <cell r="S45145">
            <v>-76519.55</v>
          </cell>
          <cell r="X45145" t="str">
            <v>Variation UPR - gross</v>
          </cell>
          <cell r="Y45145" t="str">
            <v>UNITED KINGDOM</v>
          </cell>
        </row>
        <row r="45146">
          <cell r="L45146" t="str">
            <v>Non-proportional</v>
          </cell>
          <cell r="S45146">
            <v>270.75</v>
          </cell>
          <cell r="X45146" t="str">
            <v>Variation UPR - gross</v>
          </cell>
          <cell r="Y45146" t="str">
            <v>INDIA</v>
          </cell>
        </row>
        <row r="45147">
          <cell r="L45147" t="str">
            <v>Non-proportional</v>
          </cell>
          <cell r="S45147">
            <v>-9240.4500000000007</v>
          </cell>
          <cell r="X45147" t="str">
            <v>Variation UPR - gross</v>
          </cell>
          <cell r="Y45147" t="str">
            <v>PUERTO RICO</v>
          </cell>
        </row>
        <row r="45148">
          <cell r="L45148" t="str">
            <v>Proportional</v>
          </cell>
          <cell r="S45148">
            <v>-9630.16</v>
          </cell>
          <cell r="X45148" t="str">
            <v>Variation UPR - gross</v>
          </cell>
          <cell r="Y45148" t="str">
            <v>JAPAN</v>
          </cell>
        </row>
        <row r="45149">
          <cell r="L45149" t="str">
            <v>Non-proportional</v>
          </cell>
          <cell r="S45149">
            <v>-38026.75</v>
          </cell>
          <cell r="X45149" t="str">
            <v>Variation UPR - gross</v>
          </cell>
          <cell r="Y45149" t="str">
            <v>FRANCE</v>
          </cell>
        </row>
        <row r="45150">
          <cell r="L45150" t="str">
            <v>Non-proportional</v>
          </cell>
          <cell r="S45150">
            <v>-665.05</v>
          </cell>
          <cell r="X45150" t="str">
            <v>Variation UPR - gross</v>
          </cell>
          <cell r="Y45150" t="str">
            <v>FRANCE</v>
          </cell>
        </row>
        <row r="45151">
          <cell r="L45151" t="str">
            <v>Non-proportional</v>
          </cell>
          <cell r="S45151">
            <v>-375.42</v>
          </cell>
          <cell r="X45151" t="str">
            <v>Variation UPR - gross</v>
          </cell>
          <cell r="Y45151" t="str">
            <v>ITALY</v>
          </cell>
        </row>
        <row r="45152">
          <cell r="L45152" t="str">
            <v>Non-proportional</v>
          </cell>
          <cell r="S45152">
            <v>-2480.3000000000002</v>
          </cell>
          <cell r="X45152" t="str">
            <v>Variation UPR - gross</v>
          </cell>
          <cell r="Y45152" t="str">
            <v>MEXICO</v>
          </cell>
        </row>
        <row r="45153">
          <cell r="L45153" t="str">
            <v>Non-proportional</v>
          </cell>
          <cell r="S45153">
            <v>-6519.91</v>
          </cell>
          <cell r="X45153" t="str">
            <v>Variation UPR - gross</v>
          </cell>
          <cell r="Y45153" t="str">
            <v>ISRAEL</v>
          </cell>
        </row>
        <row r="45154">
          <cell r="L45154" t="str">
            <v>Non-proportional</v>
          </cell>
          <cell r="S45154">
            <v>-3830.05</v>
          </cell>
          <cell r="X45154" t="str">
            <v>Variation UPR - gross</v>
          </cell>
          <cell r="Y45154" t="str">
            <v>ECUADOR</v>
          </cell>
        </row>
        <row r="45155">
          <cell r="L45155" t="str">
            <v>Non-proportional</v>
          </cell>
          <cell r="S45155">
            <v>-4720.91</v>
          </cell>
          <cell r="X45155" t="str">
            <v>Variation UPR - gross</v>
          </cell>
          <cell r="Y45155" t="str">
            <v>PERU</v>
          </cell>
        </row>
        <row r="45156">
          <cell r="L45156" t="str">
            <v>Non-proportional</v>
          </cell>
          <cell r="S45156">
            <v>-2948.41</v>
          </cell>
          <cell r="X45156" t="str">
            <v>Variation UPR - gross</v>
          </cell>
          <cell r="Y45156" t="str">
            <v>ISRAEL</v>
          </cell>
        </row>
        <row r="45157">
          <cell r="L45157" t="str">
            <v>Non-proportional</v>
          </cell>
          <cell r="S45157">
            <v>36.840000000000003</v>
          </cell>
          <cell r="X45157" t="str">
            <v>Variation UPR - gross</v>
          </cell>
          <cell r="Y45157" t="str">
            <v>CHILE</v>
          </cell>
        </row>
        <row r="45158">
          <cell r="L45158" t="str">
            <v>Proportional</v>
          </cell>
          <cell r="S45158">
            <v>-90.14</v>
          </cell>
          <cell r="X45158" t="str">
            <v>Variation UPR - gross</v>
          </cell>
          <cell r="Y45158" t="str">
            <v>UNITED STATES</v>
          </cell>
        </row>
        <row r="45159">
          <cell r="L45159" t="str">
            <v>Non-proportional</v>
          </cell>
          <cell r="S45159">
            <v>-728.86</v>
          </cell>
          <cell r="X45159" t="str">
            <v>Variation UPR - gross</v>
          </cell>
          <cell r="Y45159" t="str">
            <v>ECUADOR</v>
          </cell>
        </row>
        <row r="45160">
          <cell r="L45160" t="str">
            <v>Non-proportional</v>
          </cell>
          <cell r="S45160">
            <v>-18329.259999999998</v>
          </cell>
          <cell r="X45160" t="str">
            <v>Variation UPR - gross</v>
          </cell>
          <cell r="Y45160" t="str">
            <v>CHINA</v>
          </cell>
        </row>
        <row r="45161">
          <cell r="L45161" t="str">
            <v>Non-proportional</v>
          </cell>
          <cell r="S45161">
            <v>-6250</v>
          </cell>
          <cell r="X45161" t="str">
            <v>Variation UPR - gross</v>
          </cell>
          <cell r="Y45161" t="str">
            <v>SPAIN</v>
          </cell>
        </row>
        <row r="45162">
          <cell r="L45162" t="str">
            <v>Non-proportional</v>
          </cell>
          <cell r="S45162">
            <v>-10974.83</v>
          </cell>
          <cell r="X45162" t="str">
            <v>Variation UPR - gross</v>
          </cell>
          <cell r="Y45162" t="str">
            <v>GERMANY</v>
          </cell>
        </row>
        <row r="45163">
          <cell r="L45163" t="str">
            <v>Non-proportional</v>
          </cell>
          <cell r="S45163">
            <v>-1749.72</v>
          </cell>
          <cell r="X45163" t="str">
            <v>Variation UPR - gross</v>
          </cell>
          <cell r="Y45163" t="str">
            <v>NETHERLANDS</v>
          </cell>
        </row>
        <row r="45164">
          <cell r="L45164" t="str">
            <v>Proportional</v>
          </cell>
          <cell r="S45164">
            <v>-288614.75</v>
          </cell>
          <cell r="X45164" t="str">
            <v>Variation UPR - gross</v>
          </cell>
          <cell r="Y45164" t="str">
            <v>THAILAND</v>
          </cell>
        </row>
        <row r="45165">
          <cell r="L45165" t="str">
            <v>Non-proportional</v>
          </cell>
          <cell r="S45165">
            <v>-6.71</v>
          </cell>
          <cell r="X45165" t="str">
            <v>Variation UPR - gross</v>
          </cell>
          <cell r="Y45165" t="str">
            <v>COSTA RICA</v>
          </cell>
        </row>
        <row r="45166">
          <cell r="L45166" t="str">
            <v>Proportional</v>
          </cell>
          <cell r="S45166">
            <v>-5801.04</v>
          </cell>
          <cell r="X45166" t="str">
            <v>Variation UPR - gross</v>
          </cell>
          <cell r="Y45166" t="str">
            <v>CHILE</v>
          </cell>
        </row>
        <row r="45167">
          <cell r="L45167" t="str">
            <v>Non-proportional</v>
          </cell>
          <cell r="S45167">
            <v>-2133.37</v>
          </cell>
          <cell r="X45167" t="str">
            <v>Variation UPR - gross</v>
          </cell>
          <cell r="Y45167" t="str">
            <v>GUATEMALA</v>
          </cell>
        </row>
        <row r="45168">
          <cell r="L45168" t="str">
            <v>Non-proportional</v>
          </cell>
          <cell r="S45168">
            <v>-3058.08</v>
          </cell>
          <cell r="X45168" t="str">
            <v>Variation UPR - gross</v>
          </cell>
          <cell r="Y45168" t="str">
            <v>CHILE</v>
          </cell>
        </row>
        <row r="45169">
          <cell r="L45169" t="str">
            <v>Non-proportional</v>
          </cell>
          <cell r="S45169">
            <v>-70593.73</v>
          </cell>
          <cell r="X45169" t="str">
            <v>Variation UPR - gross</v>
          </cell>
          <cell r="Y45169" t="str">
            <v>UNITED KINGDOM</v>
          </cell>
        </row>
        <row r="45170">
          <cell r="L45170" t="str">
            <v>Non-proportional</v>
          </cell>
          <cell r="S45170">
            <v>-1221.19</v>
          </cell>
          <cell r="X45170" t="str">
            <v>Variation UPR - gross</v>
          </cell>
          <cell r="Y45170" t="str">
            <v>COSTA RICA</v>
          </cell>
        </row>
        <row r="45171">
          <cell r="L45171" t="str">
            <v>Non-proportional</v>
          </cell>
          <cell r="S45171">
            <v>-7630.72</v>
          </cell>
          <cell r="X45171" t="str">
            <v>Variation UPR - gross</v>
          </cell>
          <cell r="Y45171" t="str">
            <v>JAPAN</v>
          </cell>
        </row>
        <row r="45172">
          <cell r="L45172" t="str">
            <v>Non-proportional</v>
          </cell>
          <cell r="S45172">
            <v>307725.89</v>
          </cell>
          <cell r="X45172" t="str">
            <v>Variation UPR - gross</v>
          </cell>
          <cell r="Y45172" t="str">
            <v>TURKEY</v>
          </cell>
        </row>
        <row r="45173">
          <cell r="L45173" t="str">
            <v>Non-proportional</v>
          </cell>
          <cell r="S45173">
            <v>-6907.69</v>
          </cell>
          <cell r="X45173" t="str">
            <v>Variation UPR - gross</v>
          </cell>
          <cell r="Y45173" t="str">
            <v>GREECE</v>
          </cell>
        </row>
        <row r="45174">
          <cell r="L45174" t="str">
            <v>Non-proportional</v>
          </cell>
          <cell r="S45174">
            <v>-4305.24</v>
          </cell>
          <cell r="X45174" t="str">
            <v>Variation UPR - gross</v>
          </cell>
          <cell r="Y45174" t="str">
            <v>THAILAND</v>
          </cell>
        </row>
        <row r="45175">
          <cell r="L45175" t="str">
            <v>Proportional</v>
          </cell>
          <cell r="S45175">
            <v>-375000</v>
          </cell>
          <cell r="X45175" t="str">
            <v>Variation UPR - gross</v>
          </cell>
          <cell r="Y45175" t="str">
            <v>PORTUGAL</v>
          </cell>
        </row>
        <row r="45176">
          <cell r="L45176" t="str">
            <v>Non-proportional</v>
          </cell>
          <cell r="S45176">
            <v>-1562.37</v>
          </cell>
          <cell r="X45176" t="str">
            <v>Variation UPR - gross</v>
          </cell>
          <cell r="Y45176" t="str">
            <v>FRANCE</v>
          </cell>
        </row>
        <row r="45177">
          <cell r="L45177" t="str">
            <v>Non-proportional</v>
          </cell>
          <cell r="S45177">
            <v>-1546248.92</v>
          </cell>
          <cell r="X45177" t="str">
            <v>Variation UPR - gross</v>
          </cell>
          <cell r="Y45177" t="str">
            <v>BELGIUM</v>
          </cell>
        </row>
        <row r="45178">
          <cell r="L45178" t="str">
            <v>Proportional</v>
          </cell>
          <cell r="S45178">
            <v>141.75</v>
          </cell>
          <cell r="X45178" t="str">
            <v>Variation UPR - gross</v>
          </cell>
          <cell r="Y45178" t="str">
            <v>INDIA</v>
          </cell>
        </row>
        <row r="45179">
          <cell r="L45179" t="str">
            <v>Non-proportional</v>
          </cell>
          <cell r="S45179">
            <v>-14583.41</v>
          </cell>
          <cell r="X45179" t="str">
            <v>Variation UPR - gross</v>
          </cell>
          <cell r="Y45179" t="str">
            <v>EUROPE</v>
          </cell>
        </row>
        <row r="45180">
          <cell r="L45180" t="str">
            <v>Non-proportional</v>
          </cell>
          <cell r="S45180">
            <v>-4666.5</v>
          </cell>
          <cell r="X45180" t="str">
            <v>Variation UPR - gross</v>
          </cell>
          <cell r="Y45180" t="str">
            <v>TURKEY</v>
          </cell>
        </row>
        <row r="45181">
          <cell r="L45181" t="str">
            <v>Non-proportional</v>
          </cell>
          <cell r="S45181">
            <v>210.24</v>
          </cell>
          <cell r="X45181" t="str">
            <v>Variation UPR - gross</v>
          </cell>
          <cell r="Y45181" t="str">
            <v>NEW ZEALAND</v>
          </cell>
        </row>
        <row r="45182">
          <cell r="L45182" t="str">
            <v>Non-proportional</v>
          </cell>
          <cell r="S45182">
            <v>-4165.95</v>
          </cell>
          <cell r="X45182" t="str">
            <v>Variation UPR - gross</v>
          </cell>
          <cell r="Y45182" t="str">
            <v>UNITED KINGDOM</v>
          </cell>
        </row>
        <row r="45183">
          <cell r="L45183" t="str">
            <v>Non-proportional</v>
          </cell>
          <cell r="S45183">
            <v>-3166.73</v>
          </cell>
          <cell r="X45183" t="str">
            <v>Variation UPR - gross</v>
          </cell>
          <cell r="Y45183" t="str">
            <v>UNITED KINGDOM</v>
          </cell>
        </row>
        <row r="45184">
          <cell r="L45184" t="str">
            <v>Non-proportional</v>
          </cell>
          <cell r="S45184">
            <v>-1479.47</v>
          </cell>
          <cell r="X45184" t="str">
            <v>Variation UPR - gross</v>
          </cell>
          <cell r="Y45184" t="str">
            <v>GUATEMALA</v>
          </cell>
        </row>
        <row r="45185">
          <cell r="L45185" t="str">
            <v>Non-proportional</v>
          </cell>
          <cell r="S45185">
            <v>-5837.91</v>
          </cell>
          <cell r="X45185" t="str">
            <v>Variation UPR - gross</v>
          </cell>
          <cell r="Y45185" t="str">
            <v>ISRAEL</v>
          </cell>
        </row>
        <row r="45186">
          <cell r="L45186" t="str">
            <v>Non-proportional</v>
          </cell>
          <cell r="S45186">
            <v>-3983.65</v>
          </cell>
          <cell r="X45186" t="str">
            <v>Variation UPR - gross</v>
          </cell>
          <cell r="Y45186" t="str">
            <v>ECUADOR</v>
          </cell>
        </row>
        <row r="45187">
          <cell r="L45187" t="str">
            <v>Non-proportional</v>
          </cell>
          <cell r="S45187">
            <v>40.42</v>
          </cell>
          <cell r="X45187" t="str">
            <v>Variation UPR - gross</v>
          </cell>
          <cell r="Y45187" t="str">
            <v>COLOMBIA</v>
          </cell>
        </row>
        <row r="45188">
          <cell r="L45188" t="str">
            <v>Non-proportional</v>
          </cell>
          <cell r="S45188">
            <v>-221.07</v>
          </cell>
          <cell r="X45188" t="str">
            <v>Variation UPR - gross</v>
          </cell>
          <cell r="Y45188" t="str">
            <v>CHILE</v>
          </cell>
        </row>
        <row r="45189">
          <cell r="L45189" t="str">
            <v>Non-proportional</v>
          </cell>
          <cell r="S45189">
            <v>-36.840000000000003</v>
          </cell>
          <cell r="X45189" t="str">
            <v>Variation UPR - gross</v>
          </cell>
          <cell r="Y45189" t="str">
            <v>CHILE</v>
          </cell>
        </row>
        <row r="45190">
          <cell r="L45190" t="str">
            <v>Non-proportional</v>
          </cell>
          <cell r="S45190">
            <v>-2982.88</v>
          </cell>
          <cell r="X45190" t="str">
            <v>Variation UPR - gross</v>
          </cell>
          <cell r="Y45190" t="str">
            <v>ISRAEL</v>
          </cell>
        </row>
        <row r="45191">
          <cell r="L45191" t="str">
            <v>Non-proportional</v>
          </cell>
          <cell r="S45191">
            <v>-10075.68</v>
          </cell>
          <cell r="X45191" t="str">
            <v>Variation UPR - gross</v>
          </cell>
          <cell r="Y45191" t="str">
            <v>NEW ZEALAND</v>
          </cell>
        </row>
        <row r="45192">
          <cell r="L45192" t="str">
            <v>Non-proportional</v>
          </cell>
          <cell r="S45192">
            <v>-1239.99</v>
          </cell>
          <cell r="X45192" t="str">
            <v>Variation UPR - gross</v>
          </cell>
          <cell r="Y45192" t="str">
            <v>JAPAN</v>
          </cell>
        </row>
        <row r="45193">
          <cell r="L45193" t="str">
            <v>Non-proportional</v>
          </cell>
          <cell r="S45193">
            <v>49.34</v>
          </cell>
          <cell r="X45193" t="str">
            <v>Variation UPR - gross</v>
          </cell>
          <cell r="Y45193" t="str">
            <v>JAPAN</v>
          </cell>
        </row>
        <row r="45194">
          <cell r="L45194" t="str">
            <v>Non-proportional</v>
          </cell>
          <cell r="S45194">
            <v>-3306.92</v>
          </cell>
          <cell r="X45194" t="str">
            <v>Variation UPR - gross</v>
          </cell>
          <cell r="Y45194" t="str">
            <v>ISRAEL</v>
          </cell>
        </row>
        <row r="45195">
          <cell r="L45195" t="str">
            <v>Non-proportional</v>
          </cell>
          <cell r="S45195">
            <v>145.99</v>
          </cell>
          <cell r="X45195" t="str">
            <v>Variation UPR - gross</v>
          </cell>
          <cell r="Y45195" t="str">
            <v>NEW ZEALAND</v>
          </cell>
        </row>
        <row r="45196">
          <cell r="L45196" t="str">
            <v>Non-proportional</v>
          </cell>
          <cell r="S45196">
            <v>-772.88</v>
          </cell>
          <cell r="X45196" t="str">
            <v>Variation UPR - gross</v>
          </cell>
          <cell r="Y45196" t="str">
            <v>REPUBLIC OF IRELAND</v>
          </cell>
        </row>
        <row r="45197">
          <cell r="L45197" t="str">
            <v>Non-proportional</v>
          </cell>
          <cell r="S45197">
            <v>-10120.5</v>
          </cell>
          <cell r="X45197" t="str">
            <v>Variation UPR - gross</v>
          </cell>
          <cell r="Y45197" t="str">
            <v>ITALY</v>
          </cell>
        </row>
        <row r="45198">
          <cell r="L45198" t="str">
            <v>Non-proportional</v>
          </cell>
          <cell r="S45198">
            <v>-6683.34</v>
          </cell>
          <cell r="X45198" t="str">
            <v>Variation UPR - gross</v>
          </cell>
          <cell r="Y45198" t="str">
            <v>FRANCE</v>
          </cell>
        </row>
        <row r="45199">
          <cell r="L45199" t="str">
            <v>Non-proportional</v>
          </cell>
          <cell r="S45199">
            <v>-2840.84</v>
          </cell>
          <cell r="X45199" t="str">
            <v>Variation UPR - gross</v>
          </cell>
          <cell r="Y45199" t="str">
            <v>EUROPE</v>
          </cell>
        </row>
        <row r="45200">
          <cell r="L45200" t="str">
            <v>Non-proportional</v>
          </cell>
          <cell r="S45200">
            <v>-178487.38</v>
          </cell>
          <cell r="X45200" t="str">
            <v>Variation UPR - gross</v>
          </cell>
          <cell r="Y45200" t="str">
            <v>PORTUGAL</v>
          </cell>
        </row>
        <row r="45201">
          <cell r="L45201" t="str">
            <v>Non-proportional</v>
          </cell>
          <cell r="S45201">
            <v>-35326.94</v>
          </cell>
          <cell r="X45201" t="str">
            <v>Variation UPR - gross</v>
          </cell>
          <cell r="Y45201" t="str">
            <v>TURKEY</v>
          </cell>
        </row>
        <row r="45202">
          <cell r="L45202" t="str">
            <v>Non-proportional</v>
          </cell>
          <cell r="S45202">
            <v>-6054.96</v>
          </cell>
          <cell r="X45202" t="str">
            <v>Variation UPR - gross</v>
          </cell>
          <cell r="Y45202" t="str">
            <v>FRANCE</v>
          </cell>
        </row>
        <row r="45203">
          <cell r="L45203" t="str">
            <v>Non-proportional</v>
          </cell>
          <cell r="S45203">
            <v>-10156.290000000001</v>
          </cell>
          <cell r="X45203" t="str">
            <v>Variation UPR - gross</v>
          </cell>
          <cell r="Y45203" t="str">
            <v>EUROPE</v>
          </cell>
        </row>
        <row r="45204">
          <cell r="L45204" t="str">
            <v>Proportional</v>
          </cell>
          <cell r="S45204">
            <v>-22039.14</v>
          </cell>
          <cell r="X45204" t="str">
            <v>Variation UPR - gross</v>
          </cell>
          <cell r="Y45204" t="str">
            <v>INDIA</v>
          </cell>
        </row>
        <row r="45205">
          <cell r="L45205" t="str">
            <v>Non-proportional</v>
          </cell>
          <cell r="S45205">
            <v>-2937.09</v>
          </cell>
          <cell r="X45205" t="str">
            <v>Variation UPR - gross</v>
          </cell>
          <cell r="Y45205" t="str">
            <v>NETHERLANDS</v>
          </cell>
        </row>
        <row r="45206">
          <cell r="L45206" t="str">
            <v>Proportional</v>
          </cell>
          <cell r="S45206">
            <v>-163.31</v>
          </cell>
          <cell r="X45206" t="str">
            <v>Variation UPR - gross</v>
          </cell>
          <cell r="Y45206" t="str">
            <v>UNITED STATES</v>
          </cell>
        </row>
        <row r="45207">
          <cell r="L45207" t="str">
            <v>Non-proportional</v>
          </cell>
          <cell r="S45207">
            <v>-89938.33</v>
          </cell>
          <cell r="X45207" t="str">
            <v>Variation UPR - gross</v>
          </cell>
          <cell r="Y45207" t="str">
            <v>PORTUGAL</v>
          </cell>
        </row>
        <row r="45208">
          <cell r="L45208" t="str">
            <v>Non-proportional</v>
          </cell>
          <cell r="S45208">
            <v>-771.5</v>
          </cell>
          <cell r="X45208" t="str">
            <v>Variation UPR - gross</v>
          </cell>
          <cell r="Y45208" t="str">
            <v>GERMANY</v>
          </cell>
        </row>
        <row r="45209">
          <cell r="L45209" t="str">
            <v>Non-proportional</v>
          </cell>
          <cell r="S45209">
            <v>-147.38</v>
          </cell>
          <cell r="X45209" t="str">
            <v>Variation UPR - gross</v>
          </cell>
          <cell r="Y45209" t="str">
            <v>CHILE</v>
          </cell>
        </row>
        <row r="45210">
          <cell r="L45210" t="str">
            <v>Proportional</v>
          </cell>
          <cell r="S45210">
            <v>15057.85</v>
          </cell>
          <cell r="X45210" t="str">
            <v>Variation UPR - gross</v>
          </cell>
          <cell r="Y45210" t="str">
            <v>UNITED STATES</v>
          </cell>
        </row>
        <row r="45211">
          <cell r="L45211" t="str">
            <v>Non-proportional</v>
          </cell>
          <cell r="S45211">
            <v>-110.53</v>
          </cell>
          <cell r="X45211" t="str">
            <v>Variation UPR - gross</v>
          </cell>
          <cell r="Y45211" t="str">
            <v>CHILE</v>
          </cell>
        </row>
        <row r="45212">
          <cell r="L45212" t="str">
            <v>Non-proportional</v>
          </cell>
          <cell r="S45212">
            <v>-1382.67</v>
          </cell>
          <cell r="X45212" t="str">
            <v>Variation UPR - gross</v>
          </cell>
          <cell r="Y45212" t="str">
            <v>UNITED KINGDOM</v>
          </cell>
        </row>
        <row r="45213">
          <cell r="L45213" t="str">
            <v>Non-proportional</v>
          </cell>
          <cell r="S45213">
            <v>-2566.79</v>
          </cell>
          <cell r="X45213" t="str">
            <v>Variation UPR - gross</v>
          </cell>
          <cell r="Y45213" t="str">
            <v>MEXICO</v>
          </cell>
        </row>
        <row r="45214">
          <cell r="L45214" t="str">
            <v>Non-proportional</v>
          </cell>
          <cell r="S45214">
            <v>-2975.5</v>
          </cell>
          <cell r="X45214" t="str">
            <v>Variation UPR - gross</v>
          </cell>
          <cell r="Y45214" t="str">
            <v>ISRAEL</v>
          </cell>
        </row>
        <row r="45215">
          <cell r="L45215" t="str">
            <v>Non-proportional</v>
          </cell>
          <cell r="S45215">
            <v>-35.18</v>
          </cell>
          <cell r="X45215" t="str">
            <v>Variation UPR - gross</v>
          </cell>
          <cell r="Y45215" t="str">
            <v>ISRAEL</v>
          </cell>
        </row>
        <row r="45216">
          <cell r="L45216" t="str">
            <v>Non-proportional</v>
          </cell>
          <cell r="S45216">
            <v>-4595.03</v>
          </cell>
          <cell r="X45216" t="str">
            <v>Variation UPR - gross</v>
          </cell>
          <cell r="Y45216" t="str">
            <v>BELIZE</v>
          </cell>
        </row>
        <row r="45217">
          <cell r="L45217" t="str">
            <v>Non-proportional</v>
          </cell>
          <cell r="S45217">
            <v>-6340.9</v>
          </cell>
          <cell r="X45217" t="str">
            <v>Variation UPR - gross</v>
          </cell>
          <cell r="Y45217" t="str">
            <v>NEW ZEALAND</v>
          </cell>
        </row>
        <row r="45218">
          <cell r="L45218" t="str">
            <v>Non-proportional</v>
          </cell>
          <cell r="S45218">
            <v>-6080.67</v>
          </cell>
          <cell r="X45218" t="str">
            <v>Variation UPR - gross</v>
          </cell>
          <cell r="Y45218" t="str">
            <v>JAPAN</v>
          </cell>
        </row>
        <row r="45219">
          <cell r="L45219" t="str">
            <v>Non-proportional</v>
          </cell>
          <cell r="S45219">
            <v>-5741.38</v>
          </cell>
          <cell r="X45219" t="str">
            <v>Variation UPR - gross</v>
          </cell>
          <cell r="Y45219" t="str">
            <v>THAILAND</v>
          </cell>
        </row>
        <row r="45220">
          <cell r="L45220" t="str">
            <v>Non-proportional</v>
          </cell>
          <cell r="S45220">
            <v>116.02</v>
          </cell>
          <cell r="X45220" t="str">
            <v>Variation UPR - gross</v>
          </cell>
          <cell r="Y45220" t="str">
            <v>INDIA</v>
          </cell>
        </row>
        <row r="45221">
          <cell r="L45221" t="str">
            <v>Non-proportional</v>
          </cell>
          <cell r="S45221">
            <v>-10974.83</v>
          </cell>
          <cell r="X45221" t="str">
            <v>Variation UPR - gross</v>
          </cell>
          <cell r="Y45221" t="str">
            <v>GERMANY</v>
          </cell>
        </row>
        <row r="45222">
          <cell r="L45222" t="str">
            <v>Non-proportional</v>
          </cell>
          <cell r="S45222">
            <v>-4949.13</v>
          </cell>
          <cell r="X45222" t="str">
            <v>Variation UPR - gross</v>
          </cell>
          <cell r="Y45222" t="str">
            <v>NETHERLANDS</v>
          </cell>
        </row>
        <row r="45223">
          <cell r="L45223" t="str">
            <v>Non-proportional</v>
          </cell>
          <cell r="S45223">
            <v>-11510.64</v>
          </cell>
          <cell r="X45223" t="str">
            <v>Variation UPR - gross</v>
          </cell>
          <cell r="Y45223" t="str">
            <v>EUROPE</v>
          </cell>
        </row>
        <row r="45224">
          <cell r="L45224" t="str">
            <v>Non-proportional</v>
          </cell>
          <cell r="S45224">
            <v>-975</v>
          </cell>
          <cell r="X45224" t="str">
            <v>Variation UPR - gross</v>
          </cell>
          <cell r="Y45224" t="str">
            <v>GREECE</v>
          </cell>
        </row>
        <row r="45225">
          <cell r="L45225" t="str">
            <v>Non-proportional</v>
          </cell>
          <cell r="S45225">
            <v>-8267.82</v>
          </cell>
          <cell r="X45225" t="str">
            <v>Variation UPR - gross</v>
          </cell>
          <cell r="Y45225" t="str">
            <v>AUSTRALIA</v>
          </cell>
        </row>
        <row r="45226">
          <cell r="L45226" t="str">
            <v>Non-proportional</v>
          </cell>
          <cell r="S45226">
            <v>-294.75</v>
          </cell>
          <cell r="X45226" t="str">
            <v>Variation UPR - gross</v>
          </cell>
          <cell r="Y45226" t="str">
            <v>CHILE</v>
          </cell>
        </row>
        <row r="45227">
          <cell r="L45227" t="str">
            <v>Non-proportional</v>
          </cell>
          <cell r="S45227">
            <v>-3240.69</v>
          </cell>
          <cell r="X45227" t="str">
            <v>Variation UPR - gross</v>
          </cell>
          <cell r="Y45227" t="str">
            <v>BRAZIL</v>
          </cell>
        </row>
        <row r="45228">
          <cell r="L45228" t="str">
            <v>Non-proportional</v>
          </cell>
          <cell r="S45228">
            <v>-35.51</v>
          </cell>
          <cell r="X45228" t="str">
            <v>Variation UPR - gross</v>
          </cell>
          <cell r="Y45228" t="str">
            <v>ISRAEL</v>
          </cell>
        </row>
        <row r="45229">
          <cell r="L45229" t="str">
            <v>Non-proportional</v>
          </cell>
          <cell r="S45229">
            <v>-1446.06</v>
          </cell>
          <cell r="X45229" t="str">
            <v>Variation UPR - gross</v>
          </cell>
          <cell r="Y45229" t="str">
            <v>UNITED KINGDOM</v>
          </cell>
        </row>
        <row r="45230">
          <cell r="L45230" t="str">
            <v>Non-proportional</v>
          </cell>
          <cell r="S45230">
            <v>0.01</v>
          </cell>
          <cell r="X45230" t="str">
            <v>Variation UPR - gross</v>
          </cell>
          <cell r="Y45230" t="str">
            <v>BELIZE</v>
          </cell>
        </row>
        <row r="45231">
          <cell r="L45231" t="str">
            <v>Non-proportional</v>
          </cell>
          <cell r="S45231">
            <v>-73.69</v>
          </cell>
          <cell r="X45231" t="str">
            <v>Variation UPR - gross</v>
          </cell>
          <cell r="Y45231" t="str">
            <v>CHILE</v>
          </cell>
        </row>
        <row r="45232">
          <cell r="L45232" t="str">
            <v>Non-proportional</v>
          </cell>
          <cell r="S45232">
            <v>-5312.81</v>
          </cell>
          <cell r="X45232" t="str">
            <v>Variation UPR - gross</v>
          </cell>
          <cell r="Y45232" t="str">
            <v>JAPAN</v>
          </cell>
        </row>
        <row r="45233">
          <cell r="L45233" t="str">
            <v>Non-proportional</v>
          </cell>
          <cell r="S45233">
            <v>-14733.29</v>
          </cell>
          <cell r="X45233" t="str">
            <v>Variation UPR - gross</v>
          </cell>
          <cell r="Y45233" t="str">
            <v>SOUTH KOREA</v>
          </cell>
        </row>
        <row r="45234">
          <cell r="L45234" t="str">
            <v>Non-proportional</v>
          </cell>
          <cell r="S45234">
            <v>-1303.78</v>
          </cell>
          <cell r="X45234" t="str">
            <v>Variation UPR - gross</v>
          </cell>
          <cell r="Y45234" t="str">
            <v>CYPRUS</v>
          </cell>
        </row>
        <row r="45235">
          <cell r="L45235" t="str">
            <v>Non-proportional</v>
          </cell>
          <cell r="S45235">
            <v>-4533.33</v>
          </cell>
          <cell r="X45235" t="str">
            <v>Variation UPR - gross</v>
          </cell>
          <cell r="Y45235" t="str">
            <v>PORTUGAL</v>
          </cell>
        </row>
        <row r="45236">
          <cell r="L45236" t="str">
            <v>Non-proportional</v>
          </cell>
          <cell r="S45236">
            <v>-3749.94</v>
          </cell>
          <cell r="X45236" t="str">
            <v>Variation UPR - gross</v>
          </cell>
          <cell r="Y45236" t="str">
            <v>EUROPE</v>
          </cell>
        </row>
        <row r="45237">
          <cell r="L45237" t="str">
            <v>Non-proportional</v>
          </cell>
          <cell r="S45237">
            <v>-543.75</v>
          </cell>
          <cell r="X45237" t="str">
            <v>Variation UPR - gross</v>
          </cell>
          <cell r="Y45237" t="str">
            <v>GREECE</v>
          </cell>
        </row>
        <row r="45238">
          <cell r="L45238" t="str">
            <v>Non-proportional</v>
          </cell>
          <cell r="S45238">
            <v>-15885.46</v>
          </cell>
          <cell r="X45238" t="str">
            <v>Variation UPR - gross</v>
          </cell>
          <cell r="Y45238" t="str">
            <v>EUROPE</v>
          </cell>
        </row>
        <row r="45239">
          <cell r="L45239" t="str">
            <v>Non-proportional</v>
          </cell>
          <cell r="S45239">
            <v>-617</v>
          </cell>
          <cell r="X45239" t="str">
            <v>Variation UPR - gross</v>
          </cell>
          <cell r="Y45239" t="str">
            <v>FRANCE</v>
          </cell>
        </row>
        <row r="45240">
          <cell r="L45240" t="str">
            <v>Non-proportional</v>
          </cell>
          <cell r="S45240">
            <v>-5360.73</v>
          </cell>
          <cell r="X45240" t="str">
            <v>Variation UPR - gross</v>
          </cell>
          <cell r="Y45240" t="str">
            <v>ECUADOR</v>
          </cell>
        </row>
        <row r="45241">
          <cell r="L45241" t="str">
            <v>Non-proportional</v>
          </cell>
          <cell r="S45241">
            <v>-96365.87</v>
          </cell>
          <cell r="X45241" t="str">
            <v>Variation UPR - gross</v>
          </cell>
          <cell r="Y45241" t="str">
            <v>UNITED KINGDOM</v>
          </cell>
        </row>
        <row r="45242">
          <cell r="L45242" t="str">
            <v>Non-proportional</v>
          </cell>
          <cell r="S45242">
            <v>0.02</v>
          </cell>
          <cell r="X45242" t="str">
            <v>Variation UPR - gross</v>
          </cell>
          <cell r="Y45242" t="str">
            <v>COLOMBIA</v>
          </cell>
        </row>
        <row r="45243">
          <cell r="L45243" t="str">
            <v>Non-proportional</v>
          </cell>
          <cell r="S45243">
            <v>-4713.13</v>
          </cell>
          <cell r="X45243" t="str">
            <v>Variation UPR - gross</v>
          </cell>
          <cell r="Y45243" t="str">
            <v>UNITED KINGDOM</v>
          </cell>
        </row>
        <row r="45244">
          <cell r="L45244" t="str">
            <v>Non-proportional</v>
          </cell>
          <cell r="S45244">
            <v>-423.15</v>
          </cell>
          <cell r="X45244" t="str">
            <v>Variation UPR - gross</v>
          </cell>
          <cell r="Y45244" t="str">
            <v>JAPAN</v>
          </cell>
        </row>
        <row r="45245">
          <cell r="L45245" t="str">
            <v>Non-proportional</v>
          </cell>
          <cell r="S45245">
            <v>-1621.13</v>
          </cell>
          <cell r="X45245" t="str">
            <v>Variation UPR - gross</v>
          </cell>
          <cell r="Y45245" t="str">
            <v>COSTA RICA</v>
          </cell>
        </row>
        <row r="45246">
          <cell r="L45246" t="str">
            <v>Non-proportional</v>
          </cell>
          <cell r="S45246">
            <v>-5290.49</v>
          </cell>
          <cell r="X45246" t="str">
            <v>Variation UPR - gross</v>
          </cell>
          <cell r="Y45246" t="str">
            <v>AUSTRALIA</v>
          </cell>
        </row>
        <row r="45247">
          <cell r="L45247" t="str">
            <v>Non-proportional</v>
          </cell>
          <cell r="S45247">
            <v>-1589.1</v>
          </cell>
          <cell r="X45247" t="str">
            <v>Variation UPR - gross</v>
          </cell>
          <cell r="Y45247" t="str">
            <v>JAPAN</v>
          </cell>
        </row>
        <row r="45248">
          <cell r="L45248" t="str">
            <v>Non-proportional</v>
          </cell>
          <cell r="S45248">
            <v>39.26</v>
          </cell>
          <cell r="X45248" t="str">
            <v>Variation UPR - gross</v>
          </cell>
          <cell r="Y45248" t="str">
            <v>NEW ZEALAND</v>
          </cell>
        </row>
        <row r="45249">
          <cell r="L45249" t="str">
            <v>Non-proportional</v>
          </cell>
          <cell r="S45249">
            <v>253.84</v>
          </cell>
          <cell r="X45249" t="str">
            <v>Variation UPR - gross</v>
          </cell>
          <cell r="Y45249" t="str">
            <v>NEW ZEALAND</v>
          </cell>
        </row>
        <row r="45250">
          <cell r="L45250" t="str">
            <v>Non-proportional</v>
          </cell>
          <cell r="S45250">
            <v>-12224.5</v>
          </cell>
          <cell r="X45250" t="str">
            <v>Variation UPR - gross</v>
          </cell>
          <cell r="Y45250" t="str">
            <v>COSTA RICA</v>
          </cell>
        </row>
        <row r="45251">
          <cell r="L45251" t="str">
            <v>Non-proportional</v>
          </cell>
          <cell r="S45251">
            <v>-1551.57</v>
          </cell>
          <cell r="X45251" t="str">
            <v>Variation UPR - gross</v>
          </cell>
          <cell r="Y45251" t="str">
            <v>AUSTRALIA</v>
          </cell>
        </row>
        <row r="45252">
          <cell r="L45252" t="str">
            <v>Non-proportional</v>
          </cell>
          <cell r="S45252">
            <v>-11270.57</v>
          </cell>
          <cell r="X45252" t="str">
            <v>Variation UPR - gross</v>
          </cell>
          <cell r="Y45252" t="str">
            <v>AUSTRALIA</v>
          </cell>
        </row>
        <row r="45253">
          <cell r="L45253" t="str">
            <v>Non-proportional</v>
          </cell>
          <cell r="S45253">
            <v>-256.86</v>
          </cell>
          <cell r="X45253" t="str">
            <v>Variation UPR - gross</v>
          </cell>
          <cell r="Y45253" t="str">
            <v>NEW ZEALAND</v>
          </cell>
        </row>
        <row r="45254">
          <cell r="L45254" t="str">
            <v>Non-proportional</v>
          </cell>
          <cell r="S45254">
            <v>-3580.42</v>
          </cell>
          <cell r="X45254" t="str">
            <v>Variation UPR - gross</v>
          </cell>
          <cell r="Y45254" t="str">
            <v>ISRAEL</v>
          </cell>
        </row>
        <row r="45255">
          <cell r="L45255" t="str">
            <v>Non-proportional</v>
          </cell>
          <cell r="S45255">
            <v>-3213.41</v>
          </cell>
          <cell r="X45255" t="str">
            <v>Variation UPR - gross</v>
          </cell>
          <cell r="Y45255" t="str">
            <v>AUSTRALIA</v>
          </cell>
        </row>
        <row r="45256">
          <cell r="L45256" t="str">
            <v>Non-proportional</v>
          </cell>
          <cell r="S45256">
            <v>-5700.19</v>
          </cell>
          <cell r="X45256" t="str">
            <v>Variation UPR - gross</v>
          </cell>
          <cell r="Y45256" t="str">
            <v>ITALY</v>
          </cell>
        </row>
        <row r="45257">
          <cell r="L45257" t="str">
            <v>Non-proportional</v>
          </cell>
          <cell r="S45257">
            <v>-3015.29</v>
          </cell>
          <cell r="X45257" t="str">
            <v>Variation UPR - gross</v>
          </cell>
          <cell r="Y45257" t="str">
            <v>ITALY</v>
          </cell>
        </row>
        <row r="45258">
          <cell r="L45258" t="str">
            <v>Non-proportional</v>
          </cell>
          <cell r="S45258">
            <v>-350018.84</v>
          </cell>
          <cell r="X45258" t="str">
            <v>Variation UPR - gross</v>
          </cell>
          <cell r="Y45258" t="str">
            <v>EUROPE</v>
          </cell>
        </row>
        <row r="45259">
          <cell r="L45259" t="str">
            <v>Proportional</v>
          </cell>
          <cell r="S45259">
            <v>-180862.59</v>
          </cell>
          <cell r="X45259" t="str">
            <v>Variation UPR - gross</v>
          </cell>
          <cell r="Y45259" t="str">
            <v>JAPAN</v>
          </cell>
        </row>
        <row r="45260">
          <cell r="L45260" t="str">
            <v>Non-proportional</v>
          </cell>
          <cell r="S45260">
            <v>-6342.93</v>
          </cell>
          <cell r="X45260" t="str">
            <v>Variation UPR - gross</v>
          </cell>
          <cell r="Y45260" t="str">
            <v>THAILAND</v>
          </cell>
        </row>
        <row r="45261">
          <cell r="L45261" t="str">
            <v>Non-proportional</v>
          </cell>
          <cell r="S45261">
            <v>8.9499999999999993</v>
          </cell>
          <cell r="X45261" t="str">
            <v>Variation UPR - gross</v>
          </cell>
          <cell r="Y45261" t="str">
            <v>NEW ZEALAND</v>
          </cell>
        </row>
        <row r="45262">
          <cell r="L45262" t="str">
            <v>Non-proportional</v>
          </cell>
          <cell r="S45262">
            <v>-2598.0300000000002</v>
          </cell>
          <cell r="X45262" t="str">
            <v>Variation UPR - gross</v>
          </cell>
          <cell r="Y45262" t="str">
            <v>UNITED ARAB EMIRATES</v>
          </cell>
        </row>
        <row r="45263">
          <cell r="L45263" t="str">
            <v>Non-proportional</v>
          </cell>
          <cell r="S45263">
            <v>-1172.3</v>
          </cell>
          <cell r="X45263" t="str">
            <v>Variation UPR - gross</v>
          </cell>
          <cell r="Y45263" t="str">
            <v>FRANCE</v>
          </cell>
        </row>
        <row r="45264">
          <cell r="L45264" t="str">
            <v>Non-proportional</v>
          </cell>
          <cell r="S45264">
            <v>-5042.4799999999996</v>
          </cell>
          <cell r="X45264" t="str">
            <v>Variation UPR - gross</v>
          </cell>
          <cell r="Y45264" t="str">
            <v>UNITED KINGDOM</v>
          </cell>
        </row>
        <row r="45265">
          <cell r="L45265" t="str">
            <v>Non-proportional</v>
          </cell>
          <cell r="S45265">
            <v>-5752.78</v>
          </cell>
          <cell r="X45265" t="str">
            <v>Variation UPR - gross</v>
          </cell>
          <cell r="Y45265" t="str">
            <v>SPAIN</v>
          </cell>
        </row>
        <row r="45266">
          <cell r="L45266" t="str">
            <v>Non-proportional</v>
          </cell>
          <cell r="S45266">
            <v>-7511.23</v>
          </cell>
          <cell r="X45266" t="str">
            <v>Variation UPR - gross</v>
          </cell>
          <cell r="Y45266" t="str">
            <v>UNITED KINGDOM</v>
          </cell>
        </row>
        <row r="45267">
          <cell r="L45267" t="str">
            <v>Proportional</v>
          </cell>
          <cell r="S45267">
            <v>-6728.3</v>
          </cell>
          <cell r="X45267" t="str">
            <v>Variation UPR - gross</v>
          </cell>
          <cell r="Y45267" t="str">
            <v>PERU</v>
          </cell>
        </row>
        <row r="45268">
          <cell r="L45268" t="str">
            <v>Non-proportional</v>
          </cell>
          <cell r="S45268">
            <v>-2717.14</v>
          </cell>
          <cell r="X45268" t="str">
            <v>Variation UPR - gross</v>
          </cell>
          <cell r="Y45268" t="str">
            <v>JAPAN</v>
          </cell>
        </row>
        <row r="45269">
          <cell r="L45269" t="str">
            <v>Non-proportional</v>
          </cell>
          <cell r="S45269">
            <v>-1458.33</v>
          </cell>
          <cell r="X45269" t="str">
            <v>Variation UPR - gross</v>
          </cell>
          <cell r="Y45269" t="str">
            <v>ITALY</v>
          </cell>
        </row>
        <row r="45270">
          <cell r="L45270" t="str">
            <v>Non-proportional</v>
          </cell>
          <cell r="S45270">
            <v>-2142.06</v>
          </cell>
          <cell r="X45270" t="str">
            <v>Variation UPR - gross</v>
          </cell>
          <cell r="Y45270" t="str">
            <v>MEXICO</v>
          </cell>
        </row>
        <row r="45271">
          <cell r="L45271" t="str">
            <v>Non-proportional</v>
          </cell>
          <cell r="S45271">
            <v>-1303.78</v>
          </cell>
          <cell r="X45271" t="str">
            <v>Variation UPR - gross</v>
          </cell>
          <cell r="Y45271" t="str">
            <v>CYPRUS</v>
          </cell>
        </row>
        <row r="45272">
          <cell r="L45272" t="str">
            <v>Non-proportional</v>
          </cell>
          <cell r="S45272">
            <v>-771.5</v>
          </cell>
          <cell r="X45272" t="str">
            <v>Variation UPR - gross</v>
          </cell>
          <cell r="Y45272" t="str">
            <v>GERMANY</v>
          </cell>
        </row>
        <row r="45273">
          <cell r="L45273" t="str">
            <v>Proportional</v>
          </cell>
          <cell r="S45273">
            <v>21.06</v>
          </cell>
          <cell r="X45273" t="str">
            <v>Variation UPR - gross</v>
          </cell>
          <cell r="Y45273" t="str">
            <v>Ireland</v>
          </cell>
        </row>
        <row r="45274">
          <cell r="L45274" t="str">
            <v>Non-proportional</v>
          </cell>
          <cell r="S45274">
            <v>-2048.5100000000002</v>
          </cell>
          <cell r="X45274" t="str">
            <v>Variation UPR - gross</v>
          </cell>
          <cell r="Y45274" t="str">
            <v>INDIA</v>
          </cell>
        </row>
        <row r="45275">
          <cell r="L45275" t="str">
            <v>Proportional</v>
          </cell>
          <cell r="S45275">
            <v>-12352.1</v>
          </cell>
          <cell r="X45275" t="str">
            <v>Variation UPR - gross</v>
          </cell>
          <cell r="Y45275" t="str">
            <v>PORTUGAL</v>
          </cell>
        </row>
        <row r="45276">
          <cell r="L45276" t="str">
            <v>Non-proportional</v>
          </cell>
          <cell r="S45276">
            <v>200.1</v>
          </cell>
          <cell r="X45276" t="str">
            <v>Variation UPR - gross</v>
          </cell>
          <cell r="Y45276" t="str">
            <v>JAPAN</v>
          </cell>
        </row>
        <row r="45277">
          <cell r="L45277" t="str">
            <v>Proportional</v>
          </cell>
          <cell r="S45277">
            <v>-375000</v>
          </cell>
          <cell r="X45277" t="str">
            <v>Variation UPR - gross</v>
          </cell>
          <cell r="Y45277" t="str">
            <v>PORTUGAL</v>
          </cell>
        </row>
        <row r="45278">
          <cell r="L45278" t="str">
            <v>Non-proportional</v>
          </cell>
          <cell r="S45278">
            <v>-455.96</v>
          </cell>
          <cell r="X45278" t="str">
            <v>Variation UPR - gross</v>
          </cell>
          <cell r="Y45278" t="str">
            <v>BRAZIL</v>
          </cell>
        </row>
        <row r="45279">
          <cell r="L45279" t="str">
            <v>Non-proportional</v>
          </cell>
          <cell r="S45279">
            <v>-35.729999999999997</v>
          </cell>
          <cell r="X45279" t="str">
            <v>Variation UPR - gross</v>
          </cell>
          <cell r="Y45279" t="str">
            <v>ISRAEL</v>
          </cell>
        </row>
        <row r="45280">
          <cell r="L45280" t="str">
            <v>Proportional</v>
          </cell>
          <cell r="S45280">
            <v>-6947.26</v>
          </cell>
          <cell r="X45280" t="str">
            <v>Variation UPR - gross</v>
          </cell>
          <cell r="Y45280" t="str">
            <v>CHILE</v>
          </cell>
        </row>
        <row r="45281">
          <cell r="L45281" t="str">
            <v>Non-proportional</v>
          </cell>
          <cell r="S45281">
            <v>-12659.61</v>
          </cell>
          <cell r="X45281" t="str">
            <v>Variation UPR - gross</v>
          </cell>
          <cell r="Y45281" t="str">
            <v>ITALY</v>
          </cell>
        </row>
        <row r="45282">
          <cell r="L45282" t="str">
            <v>Non-proportional</v>
          </cell>
          <cell r="S45282">
            <v>-1257.8</v>
          </cell>
          <cell r="X45282" t="str">
            <v>Variation UPR - gross</v>
          </cell>
          <cell r="Y45282" t="str">
            <v>ITALY</v>
          </cell>
        </row>
        <row r="45283">
          <cell r="L45283" t="str">
            <v>Non-proportional</v>
          </cell>
          <cell r="S45283">
            <v>-3249.09</v>
          </cell>
          <cell r="X45283" t="str">
            <v>Variation UPR - gross</v>
          </cell>
          <cell r="Y45283" t="str">
            <v>FRANCE</v>
          </cell>
        </row>
        <row r="45284">
          <cell r="L45284" t="str">
            <v>Proportional</v>
          </cell>
          <cell r="S45284">
            <v>-1288.03</v>
          </cell>
          <cell r="X45284" t="str">
            <v>Variation UPR - gross</v>
          </cell>
          <cell r="Y45284" t="str">
            <v>CHILE</v>
          </cell>
        </row>
        <row r="45285">
          <cell r="L45285" t="str">
            <v>Non-proportional</v>
          </cell>
          <cell r="S45285">
            <v>-580.29999999999995</v>
          </cell>
          <cell r="X45285" t="str">
            <v>Variation UPR - gross</v>
          </cell>
          <cell r="Y45285" t="str">
            <v>MEXICO</v>
          </cell>
        </row>
        <row r="45286">
          <cell r="L45286" t="str">
            <v>Non-proportional</v>
          </cell>
          <cell r="S45286">
            <v>-5274.49</v>
          </cell>
          <cell r="X45286" t="str">
            <v>Variation UPR - gross</v>
          </cell>
          <cell r="Y45286" t="str">
            <v>CYPRUS</v>
          </cell>
        </row>
        <row r="45287">
          <cell r="L45287" t="str">
            <v>Non-proportional</v>
          </cell>
          <cell r="S45287">
            <v>-238.7</v>
          </cell>
          <cell r="X45287" t="str">
            <v>Variation UPR - gross</v>
          </cell>
          <cell r="Y45287" t="str">
            <v>NEW ZEALAND</v>
          </cell>
        </row>
        <row r="45288">
          <cell r="L45288" t="str">
            <v>Proportional</v>
          </cell>
          <cell r="S45288">
            <v>-22.89</v>
          </cell>
          <cell r="X45288" t="str">
            <v>Variation UPR - gross</v>
          </cell>
          <cell r="Y45288" t="str">
            <v>THAILAND</v>
          </cell>
        </row>
        <row r="45289">
          <cell r="L45289"/>
          <cell r="S45289">
            <v>-2372.39</v>
          </cell>
          <cell r="X45289" t="str">
            <v>Variation UPR - gross</v>
          </cell>
          <cell r="Y45289" t="str">
            <v>PORTUGAL</v>
          </cell>
        </row>
        <row r="45290">
          <cell r="L45290" t="str">
            <v>Non-proportional</v>
          </cell>
          <cell r="S45290">
            <v>39</v>
          </cell>
          <cell r="X45290" t="str">
            <v>Variation UPR - gross</v>
          </cell>
          <cell r="Y45290" t="str">
            <v>NEW ZEALAND</v>
          </cell>
        </row>
        <row r="45291">
          <cell r="L45291" t="str">
            <v>Non-proportional</v>
          </cell>
          <cell r="S45291">
            <v>-35.4</v>
          </cell>
          <cell r="X45291" t="str">
            <v>Variation UPR - gross</v>
          </cell>
          <cell r="Y45291" t="str">
            <v>ISRAEL</v>
          </cell>
        </row>
        <row r="45292">
          <cell r="L45292" t="str">
            <v>Non-proportional</v>
          </cell>
          <cell r="S45292">
            <v>-2606.6999999999998</v>
          </cell>
          <cell r="X45292" t="str">
            <v>Variation UPR - gross</v>
          </cell>
          <cell r="Y45292" t="str">
            <v>ECUADOR</v>
          </cell>
        </row>
        <row r="45293">
          <cell r="L45293" t="str">
            <v>Non-proportional</v>
          </cell>
          <cell r="S45293">
            <v>-12001.33</v>
          </cell>
          <cell r="X45293" t="str">
            <v>Variation UPR - gross</v>
          </cell>
          <cell r="Y45293" t="str">
            <v>ITALY</v>
          </cell>
        </row>
        <row r="45294">
          <cell r="L45294" t="str">
            <v>Non-proportional</v>
          </cell>
          <cell r="S45294">
            <v>-3116.88</v>
          </cell>
          <cell r="X45294" t="str">
            <v>Variation UPR - gross</v>
          </cell>
          <cell r="Y45294" t="str">
            <v>CHILE</v>
          </cell>
        </row>
        <row r="45295">
          <cell r="L45295" t="str">
            <v>Non-proportional</v>
          </cell>
          <cell r="S45295">
            <v>-4751.26</v>
          </cell>
          <cell r="X45295" t="str">
            <v>Variation UPR - gross</v>
          </cell>
          <cell r="Y45295" t="str">
            <v>FRANCE</v>
          </cell>
        </row>
        <row r="45296">
          <cell r="L45296" t="str">
            <v>Proportional</v>
          </cell>
          <cell r="S45296">
            <v>-34.47</v>
          </cell>
          <cell r="X45296" t="str">
            <v>Variation UPR - gross</v>
          </cell>
          <cell r="Y45296" t="str">
            <v>UNITED STATES</v>
          </cell>
        </row>
        <row r="45297">
          <cell r="L45297" t="str">
            <v>Proportional</v>
          </cell>
          <cell r="S45297">
            <v>0.14000000000000001</v>
          </cell>
          <cell r="X45297" t="str">
            <v>Variation UPR - gross</v>
          </cell>
          <cell r="Y45297" t="str">
            <v>UNITED STATES</v>
          </cell>
        </row>
        <row r="45298">
          <cell r="L45298" t="str">
            <v>Non-proportional</v>
          </cell>
          <cell r="S45298">
            <v>-375.53</v>
          </cell>
          <cell r="X45298" t="str">
            <v>Variation UPR - gross</v>
          </cell>
          <cell r="Y45298" t="str">
            <v>CHILE</v>
          </cell>
        </row>
        <row r="45299">
          <cell r="L45299" t="str">
            <v>Non-proportional</v>
          </cell>
          <cell r="S45299">
            <v>-2027.95</v>
          </cell>
          <cell r="X45299" t="str">
            <v>Variation UPR - gross</v>
          </cell>
          <cell r="Y45299" t="str">
            <v>PERU</v>
          </cell>
        </row>
        <row r="45300">
          <cell r="L45300" t="str">
            <v>Non-proportional</v>
          </cell>
          <cell r="S45300">
            <v>-1178960.3999999999</v>
          </cell>
          <cell r="X45300" t="str">
            <v>Variation UPR - gross</v>
          </cell>
          <cell r="Y45300" t="str">
            <v>BELGIUM</v>
          </cell>
        </row>
        <row r="45301">
          <cell r="L45301" t="str">
            <v>Non-proportional</v>
          </cell>
          <cell r="S45301">
            <v>-75.11</v>
          </cell>
          <cell r="X45301" t="str">
            <v>Variation UPR - gross</v>
          </cell>
          <cell r="Y45301" t="str">
            <v>CHILE</v>
          </cell>
        </row>
        <row r="45302">
          <cell r="L45302" t="str">
            <v>Proportional</v>
          </cell>
          <cell r="S45302">
            <v>2793.57</v>
          </cell>
          <cell r="X45302" t="str">
            <v>Variation UPR - gross</v>
          </cell>
          <cell r="Y45302" t="str">
            <v>THAILAND</v>
          </cell>
        </row>
        <row r="45303">
          <cell r="L45303" t="str">
            <v>Non-proportional</v>
          </cell>
          <cell r="S45303">
            <v>2.25</v>
          </cell>
          <cell r="X45303" t="str">
            <v>Variation UPR - gross</v>
          </cell>
          <cell r="Y45303" t="str">
            <v>GUATEMALA</v>
          </cell>
        </row>
        <row r="45304">
          <cell r="L45304" t="str">
            <v>Non-proportional</v>
          </cell>
          <cell r="S45304">
            <v>39.33</v>
          </cell>
          <cell r="X45304" t="str">
            <v>Variation UPR - gross</v>
          </cell>
          <cell r="Y45304" t="str">
            <v>JAPAN</v>
          </cell>
        </row>
        <row r="45305">
          <cell r="L45305" t="str">
            <v>Non-proportional</v>
          </cell>
          <cell r="S45305">
            <v>-4758.97</v>
          </cell>
          <cell r="X45305" t="str">
            <v>Variation UPR - gross</v>
          </cell>
          <cell r="Y45305" t="str">
            <v>ECUADOR</v>
          </cell>
        </row>
        <row r="45306">
          <cell r="L45306" t="str">
            <v>Non-proportional</v>
          </cell>
          <cell r="S45306">
            <v>-0.03</v>
          </cell>
          <cell r="X45306" t="str">
            <v>Variation UPR - gross</v>
          </cell>
          <cell r="Y45306" t="str">
            <v>BRAZIL</v>
          </cell>
        </row>
        <row r="45307">
          <cell r="L45307" t="str">
            <v>Non-proportional</v>
          </cell>
          <cell r="S45307">
            <v>-415.06</v>
          </cell>
          <cell r="X45307" t="str">
            <v>Variation UPR - gross</v>
          </cell>
          <cell r="Y45307" t="str">
            <v>JAPAN</v>
          </cell>
        </row>
        <row r="45308">
          <cell r="L45308" t="str">
            <v>Proportional</v>
          </cell>
          <cell r="S45308">
            <v>-19719.32</v>
          </cell>
          <cell r="X45308" t="str">
            <v>Variation UPR - gross</v>
          </cell>
          <cell r="Y45308" t="str">
            <v>FRANCE</v>
          </cell>
        </row>
        <row r="45309">
          <cell r="L45309" t="str">
            <v>Non-proportional</v>
          </cell>
          <cell r="S45309">
            <v>-2937.09</v>
          </cell>
          <cell r="X45309" t="str">
            <v>Variation UPR - gross</v>
          </cell>
          <cell r="Y45309" t="str">
            <v>NETHERLANDS</v>
          </cell>
        </row>
        <row r="45310">
          <cell r="L45310" t="str">
            <v>Non-proportional</v>
          </cell>
          <cell r="S45310">
            <v>-975</v>
          </cell>
          <cell r="X45310" t="str">
            <v>Variation UPR - gross</v>
          </cell>
          <cell r="Y45310" t="str">
            <v>GREECE</v>
          </cell>
        </row>
        <row r="45311">
          <cell r="L45311" t="str">
            <v>Non-proportional</v>
          </cell>
          <cell r="S45311">
            <v>-863.71</v>
          </cell>
          <cell r="X45311" t="str">
            <v>Variation UPR - gross</v>
          </cell>
          <cell r="Y45311" t="str">
            <v>CHILE</v>
          </cell>
        </row>
        <row r="45312">
          <cell r="L45312" t="str">
            <v>Non-proportional</v>
          </cell>
          <cell r="S45312">
            <v>-8942.16</v>
          </cell>
          <cell r="X45312" t="str">
            <v>Variation UPR - gross</v>
          </cell>
          <cell r="Y45312" t="str">
            <v>NEW ZEALAND</v>
          </cell>
        </row>
        <row r="45313">
          <cell r="L45313" t="str">
            <v>Non-proportional</v>
          </cell>
          <cell r="S45313">
            <v>-7218.75</v>
          </cell>
          <cell r="X45313" t="str">
            <v>Variation UPR - gross</v>
          </cell>
          <cell r="Y45313" t="str">
            <v>FRANCE</v>
          </cell>
        </row>
        <row r="45314">
          <cell r="L45314" t="str">
            <v>Non-proportional</v>
          </cell>
          <cell r="S45314">
            <v>-543.75</v>
          </cell>
          <cell r="X45314" t="str">
            <v>Variation UPR - gross</v>
          </cell>
          <cell r="Y45314" t="str">
            <v>GREECE</v>
          </cell>
        </row>
        <row r="45315">
          <cell r="L45315" t="str">
            <v>Non-proportional</v>
          </cell>
          <cell r="S45315">
            <v>-1330.33</v>
          </cell>
          <cell r="X45315" t="str">
            <v>Variation UPR - gross</v>
          </cell>
          <cell r="Y45315" t="str">
            <v>FRANCE</v>
          </cell>
        </row>
        <row r="45316">
          <cell r="L45316" t="str">
            <v>Non-proportional</v>
          </cell>
          <cell r="S45316">
            <v>-1638.43</v>
          </cell>
          <cell r="X45316" t="str">
            <v>Variation UPR - gross</v>
          </cell>
          <cell r="Y45316" t="str">
            <v>PERU</v>
          </cell>
        </row>
        <row r="45317">
          <cell r="L45317" t="str">
            <v>Non-proportional</v>
          </cell>
          <cell r="S45317">
            <v>-3176.16</v>
          </cell>
          <cell r="X45317" t="str">
            <v>Variation UPR - gross</v>
          </cell>
          <cell r="Y45317" t="str">
            <v>UNITED KINGDOM</v>
          </cell>
        </row>
        <row r="45318">
          <cell r="L45318" t="str">
            <v>Non-proportional</v>
          </cell>
          <cell r="S45318">
            <v>-23112.45</v>
          </cell>
          <cell r="X45318" t="str">
            <v>Variation UPR - gross</v>
          </cell>
          <cell r="Y45318" t="str">
            <v>UNITED KINGDOM</v>
          </cell>
        </row>
        <row r="45319">
          <cell r="L45319" t="str">
            <v>Non-proportional</v>
          </cell>
          <cell r="S45319">
            <v>-24750</v>
          </cell>
          <cell r="X45319" t="str">
            <v>Variation UPR - gross</v>
          </cell>
          <cell r="Y45319" t="str">
            <v>GREECE</v>
          </cell>
        </row>
        <row r="45320">
          <cell r="L45320" t="str">
            <v>Non-proportional</v>
          </cell>
          <cell r="S45320">
            <v>-5670.47</v>
          </cell>
          <cell r="X45320" t="str">
            <v>Variation UPR - gross</v>
          </cell>
          <cell r="Y45320" t="str">
            <v>CHILE</v>
          </cell>
        </row>
        <row r="45321">
          <cell r="L45321" t="str">
            <v>Non-proportional</v>
          </cell>
          <cell r="S45321">
            <v>-3921.27</v>
          </cell>
          <cell r="X45321" t="str">
            <v>Variation UPR - gross</v>
          </cell>
          <cell r="Y45321" t="str">
            <v>ECUADOR</v>
          </cell>
        </row>
        <row r="45322">
          <cell r="L45322" t="str">
            <v>Non-proportional</v>
          </cell>
          <cell r="S45322">
            <v>-4889.74</v>
          </cell>
          <cell r="X45322" t="str">
            <v>Variation UPR - gross</v>
          </cell>
          <cell r="Y45322" t="str">
            <v>UNITED KINGDOM</v>
          </cell>
        </row>
        <row r="45323">
          <cell r="L45323" t="str">
            <v>Non-proportional</v>
          </cell>
          <cell r="S45323">
            <v>-75.11</v>
          </cell>
          <cell r="X45323" t="str">
            <v>Variation UPR - gross</v>
          </cell>
          <cell r="Y45323" t="str">
            <v>CHILE</v>
          </cell>
        </row>
        <row r="45324">
          <cell r="L45324" t="str">
            <v>Non-proportional</v>
          </cell>
          <cell r="S45324">
            <v>-6872.16</v>
          </cell>
          <cell r="X45324" t="str">
            <v>Variation UPR - gross</v>
          </cell>
          <cell r="Y45324" t="str">
            <v>CHILE</v>
          </cell>
        </row>
        <row r="45325">
          <cell r="L45325" t="str">
            <v>Non-proportional</v>
          </cell>
          <cell r="S45325">
            <v>-14361.99</v>
          </cell>
          <cell r="X45325" t="str">
            <v>Variation UPR - gross</v>
          </cell>
          <cell r="Y45325" t="str">
            <v>AUSTRALIA</v>
          </cell>
        </row>
        <row r="45326">
          <cell r="L45326" t="str">
            <v>Non-proportional</v>
          </cell>
          <cell r="S45326">
            <v>-24033.23</v>
          </cell>
          <cell r="X45326" t="str">
            <v>Variation UPR - gross</v>
          </cell>
          <cell r="Y45326" t="str">
            <v>NEW ZEALAND</v>
          </cell>
        </row>
        <row r="45327">
          <cell r="L45327" t="str">
            <v>Non-proportional</v>
          </cell>
          <cell r="S45327">
            <v>-9724.19</v>
          </cell>
          <cell r="X45327" t="str">
            <v>Variation UPR - gross</v>
          </cell>
          <cell r="Y45327" t="str">
            <v>DOMINICAN REPUBLIC</v>
          </cell>
        </row>
        <row r="45328">
          <cell r="L45328" t="str">
            <v>Non-proportional</v>
          </cell>
          <cell r="S45328">
            <v>0.05</v>
          </cell>
          <cell r="X45328" t="str">
            <v>Variation UPR - gross</v>
          </cell>
          <cell r="Y45328" t="str">
            <v>THAILAND</v>
          </cell>
        </row>
        <row r="45329">
          <cell r="L45329" t="str">
            <v>Non-proportional</v>
          </cell>
          <cell r="S45329">
            <v>-150.21</v>
          </cell>
          <cell r="X45329" t="str">
            <v>Variation UPR - gross</v>
          </cell>
          <cell r="Y45329" t="str">
            <v>CHILE</v>
          </cell>
        </row>
        <row r="45330">
          <cell r="L45330" t="str">
            <v>Proportional</v>
          </cell>
          <cell r="S45330">
            <v>-201582.04</v>
          </cell>
          <cell r="X45330" t="str">
            <v>Variation UPR - gross</v>
          </cell>
          <cell r="Y45330" t="str">
            <v>JAPAN</v>
          </cell>
        </row>
        <row r="45331">
          <cell r="L45331" t="str">
            <v>Non-proportional</v>
          </cell>
          <cell r="S45331">
            <v>-351.64</v>
          </cell>
          <cell r="X45331" t="str">
            <v>Variation UPR - gross</v>
          </cell>
          <cell r="Y45331" t="str">
            <v>INDIA</v>
          </cell>
        </row>
        <row r="45332">
          <cell r="L45332" t="str">
            <v>Non-proportional</v>
          </cell>
          <cell r="S45332">
            <v>-21357.919999999998</v>
          </cell>
          <cell r="X45332" t="str">
            <v>Variation UPR - gross</v>
          </cell>
          <cell r="Y45332" t="str">
            <v>UNITED KINGDOM</v>
          </cell>
        </row>
        <row r="45333">
          <cell r="L45333" t="str">
            <v>Non-proportional</v>
          </cell>
          <cell r="S45333">
            <v>12.62</v>
          </cell>
          <cell r="X45333" t="str">
            <v>Variation UPR - gross</v>
          </cell>
          <cell r="Y45333" t="str">
            <v>GUATEMALA</v>
          </cell>
        </row>
        <row r="45334">
          <cell r="L45334" t="str">
            <v>Proportional</v>
          </cell>
          <cell r="S45334">
            <v>-0.28999999999999998</v>
          </cell>
          <cell r="X45334" t="str">
            <v>Variation UPR - gross</v>
          </cell>
          <cell r="Y45334" t="str">
            <v>CHILE</v>
          </cell>
        </row>
        <row r="45335">
          <cell r="L45335" t="str">
            <v>Non-proportional</v>
          </cell>
          <cell r="S45335">
            <v>232.58</v>
          </cell>
          <cell r="X45335" t="str">
            <v>Variation UPR - gross</v>
          </cell>
          <cell r="Y45335" t="str">
            <v>NEW ZEALAND</v>
          </cell>
        </row>
        <row r="45336">
          <cell r="L45336" t="str">
            <v>Non-proportional</v>
          </cell>
          <cell r="S45336">
            <v>-1733.75</v>
          </cell>
          <cell r="X45336" t="str">
            <v>Variation UPR - gross</v>
          </cell>
          <cell r="Y45336" t="str">
            <v>PORTUGAL</v>
          </cell>
        </row>
        <row r="45337">
          <cell r="L45337" t="str">
            <v>Non-proportional</v>
          </cell>
          <cell r="S45337">
            <v>-1197.92</v>
          </cell>
          <cell r="X45337" t="str">
            <v>Variation UPR - gross</v>
          </cell>
          <cell r="Y45337" t="str">
            <v>GERMANY</v>
          </cell>
        </row>
        <row r="45338">
          <cell r="L45338" t="str">
            <v>Non-proportional</v>
          </cell>
          <cell r="S45338">
            <v>-45758.47</v>
          </cell>
          <cell r="X45338" t="str">
            <v>Variation UPR - gross</v>
          </cell>
          <cell r="Y45338" t="str">
            <v>TURKEY</v>
          </cell>
        </row>
        <row r="45339">
          <cell r="L45339" t="str">
            <v>Non-proportional</v>
          </cell>
          <cell r="S45339">
            <v>-150.62</v>
          </cell>
          <cell r="X45339" t="str">
            <v>Variation UPR - gross</v>
          </cell>
          <cell r="Y45339" t="str">
            <v>ISRAEL</v>
          </cell>
        </row>
        <row r="45340">
          <cell r="L45340" t="str">
            <v>Non-proportional</v>
          </cell>
          <cell r="S45340">
            <v>-7503</v>
          </cell>
          <cell r="X45340" t="str">
            <v>Variation UPR - gross</v>
          </cell>
          <cell r="Y45340" t="str">
            <v>CYPRUS</v>
          </cell>
        </row>
        <row r="45341">
          <cell r="L45341" t="str">
            <v>Non-proportional</v>
          </cell>
          <cell r="S45341">
            <v>-13030.81</v>
          </cell>
          <cell r="X45341" t="str">
            <v>Variation UPR - gross</v>
          </cell>
          <cell r="Y45341" t="str">
            <v>CHILE</v>
          </cell>
        </row>
        <row r="45342">
          <cell r="L45342" t="str">
            <v>Proportional</v>
          </cell>
          <cell r="S45342">
            <v>-69033.600000000006</v>
          </cell>
          <cell r="X45342" t="str">
            <v>Variation UPR - gross</v>
          </cell>
          <cell r="Y45342" t="str">
            <v>FRANCE</v>
          </cell>
        </row>
        <row r="45343">
          <cell r="L45343" t="str">
            <v>Proportional</v>
          </cell>
          <cell r="S45343">
            <v>-1232.2</v>
          </cell>
          <cell r="X45343" t="str">
            <v>Variation UPR - gross</v>
          </cell>
          <cell r="Y45343" t="str">
            <v>FRANCE</v>
          </cell>
        </row>
        <row r="45344">
          <cell r="L45344" t="str">
            <v>Non-proportional</v>
          </cell>
          <cell r="S45344">
            <v>-11360.32</v>
          </cell>
          <cell r="X45344" t="str">
            <v>Variation UPR - gross</v>
          </cell>
          <cell r="Y45344" t="str">
            <v>AUSTRALIA</v>
          </cell>
        </row>
        <row r="45345">
          <cell r="L45345" t="str">
            <v>Non-proportional</v>
          </cell>
          <cell r="S45345">
            <v>-2778.91</v>
          </cell>
          <cell r="X45345" t="str">
            <v>Variation UPR - gross</v>
          </cell>
          <cell r="Y45345" t="str">
            <v>CHILE</v>
          </cell>
        </row>
        <row r="45346">
          <cell r="L45346" t="str">
            <v>Non-proportional</v>
          </cell>
          <cell r="S45346">
            <v>-7586.5</v>
          </cell>
          <cell r="X45346" t="str">
            <v>Variation UPR - gross</v>
          </cell>
          <cell r="Y45346" t="str">
            <v>FRANCE</v>
          </cell>
        </row>
        <row r="45347">
          <cell r="L45347" t="str">
            <v>Non-proportional</v>
          </cell>
          <cell r="S45347">
            <v>0.01</v>
          </cell>
          <cell r="X45347" t="str">
            <v>Variation UPR - gross</v>
          </cell>
          <cell r="Y45347" t="str">
            <v>BELIZE</v>
          </cell>
        </row>
        <row r="45348">
          <cell r="L45348" t="str">
            <v>Non-proportional</v>
          </cell>
          <cell r="S45348">
            <v>208.87</v>
          </cell>
          <cell r="X45348" t="str">
            <v>Variation UPR - gross</v>
          </cell>
          <cell r="Y45348" t="str">
            <v>NEW ZEALAND</v>
          </cell>
        </row>
        <row r="45349">
          <cell r="L45349" t="str">
            <v>Non-proportional</v>
          </cell>
          <cell r="S45349">
            <v>-4307.43</v>
          </cell>
          <cell r="X45349" t="str">
            <v>Variation UPR - gross</v>
          </cell>
          <cell r="Y45349" t="str">
            <v>THAILAND</v>
          </cell>
        </row>
        <row r="45350">
          <cell r="L45350" t="str">
            <v>Non-proportional</v>
          </cell>
          <cell r="S45350">
            <v>-75496.490000000005</v>
          </cell>
          <cell r="X45350" t="str">
            <v>Variation UPR - gross</v>
          </cell>
          <cell r="Y45350" t="str">
            <v>UNITED KINGDOM</v>
          </cell>
        </row>
        <row r="45351">
          <cell r="L45351" t="str">
            <v>Non-proportional</v>
          </cell>
          <cell r="S45351">
            <v>-112.66</v>
          </cell>
          <cell r="X45351" t="str">
            <v>Variation UPR - gross</v>
          </cell>
          <cell r="Y45351" t="str">
            <v>CHILE</v>
          </cell>
        </row>
        <row r="45352">
          <cell r="L45352" t="str">
            <v>Non-proportional</v>
          </cell>
          <cell r="S45352">
            <v>-336545.78</v>
          </cell>
          <cell r="X45352" t="str">
            <v>Variation UPR - gross</v>
          </cell>
          <cell r="Y45352" t="str">
            <v>UNITED KINGDOM</v>
          </cell>
        </row>
        <row r="45353">
          <cell r="L45353" t="str">
            <v>Non-proportional</v>
          </cell>
          <cell r="S45353">
            <v>5.8</v>
          </cell>
          <cell r="X45353" t="str">
            <v>Variation UPR - gross</v>
          </cell>
          <cell r="Y45353" t="str">
            <v>JAPAN</v>
          </cell>
        </row>
        <row r="45354">
          <cell r="L45354" t="str">
            <v>Non-proportional</v>
          </cell>
          <cell r="S45354">
            <v>-14483.94</v>
          </cell>
          <cell r="X45354" t="str">
            <v>Variation UPR - gross</v>
          </cell>
          <cell r="Y45354" t="str">
            <v>FRANCE</v>
          </cell>
        </row>
        <row r="45355">
          <cell r="L45355" t="str">
            <v>Non-proportional</v>
          </cell>
          <cell r="S45355">
            <v>-1595.74</v>
          </cell>
          <cell r="X45355" t="str">
            <v>Variation UPR - gross</v>
          </cell>
          <cell r="Y45355" t="str">
            <v>COSTA RICA</v>
          </cell>
        </row>
        <row r="45356">
          <cell r="L45356" t="str">
            <v>Non-proportional</v>
          </cell>
          <cell r="S45356">
            <v>-4185.91</v>
          </cell>
          <cell r="X45356" t="str">
            <v>Variation UPR - gross</v>
          </cell>
          <cell r="Y45356" t="str">
            <v>FRANCE</v>
          </cell>
        </row>
        <row r="45357">
          <cell r="L45357" t="str">
            <v>Non-proportional</v>
          </cell>
          <cell r="S45357">
            <v>-30000</v>
          </cell>
          <cell r="X45357" t="str">
            <v>Variation UPR - gross</v>
          </cell>
          <cell r="Y45357" t="str">
            <v>FRANCE</v>
          </cell>
        </row>
        <row r="45358">
          <cell r="L45358" t="str">
            <v>Proportional</v>
          </cell>
          <cell r="S45358">
            <v>-78493.39</v>
          </cell>
          <cell r="X45358" t="str">
            <v>Variation UPR - gross</v>
          </cell>
          <cell r="Y45358" t="str">
            <v>MEXICO</v>
          </cell>
        </row>
        <row r="45359">
          <cell r="L45359" t="str">
            <v>Non-proportional</v>
          </cell>
          <cell r="S45359">
            <v>-7914.89</v>
          </cell>
          <cell r="X45359" t="str">
            <v>Variation UPR - gross</v>
          </cell>
          <cell r="Y45359" t="str">
            <v>MEXICO</v>
          </cell>
        </row>
        <row r="45360">
          <cell r="L45360" t="str">
            <v>Non-proportional</v>
          </cell>
          <cell r="S45360">
            <v>-5304.92</v>
          </cell>
          <cell r="X45360" t="str">
            <v>Variation UPR - gross</v>
          </cell>
          <cell r="Y45360" t="str">
            <v>MEXICO</v>
          </cell>
        </row>
        <row r="45361">
          <cell r="L45361" t="str">
            <v>Non-proportional</v>
          </cell>
          <cell r="S45361">
            <v>-2526.6</v>
          </cell>
          <cell r="X45361" t="str">
            <v>Variation UPR - gross</v>
          </cell>
          <cell r="Y45361" t="str">
            <v>MEXICO</v>
          </cell>
        </row>
        <row r="45362">
          <cell r="L45362" t="str">
            <v>Proportional</v>
          </cell>
          <cell r="S45362">
            <v>-21731.200000000001</v>
          </cell>
          <cell r="X45362" t="str">
            <v>Variation UPR - gross</v>
          </cell>
          <cell r="Y45362" t="str">
            <v>EUROPE</v>
          </cell>
        </row>
        <row r="45363">
          <cell r="L45363" t="str">
            <v>Non-proportional</v>
          </cell>
          <cell r="S45363">
            <v>-2340.7800000000002</v>
          </cell>
          <cell r="X45363" t="str">
            <v>Variation UPR - gross</v>
          </cell>
          <cell r="Y45363" t="str">
            <v>AUSTRALIA</v>
          </cell>
        </row>
        <row r="45364">
          <cell r="L45364" t="str">
            <v>Non-proportional</v>
          </cell>
          <cell r="S45364">
            <v>-2955.02</v>
          </cell>
          <cell r="X45364" t="str">
            <v>Variation UPR - gross</v>
          </cell>
          <cell r="Y45364" t="str">
            <v>UNITED KINGDOM</v>
          </cell>
        </row>
        <row r="45365">
          <cell r="L45365" t="str">
            <v>Non-proportional</v>
          </cell>
          <cell r="S45365">
            <v>-31316.15</v>
          </cell>
          <cell r="X45365" t="str">
            <v>Variation UPR - gross</v>
          </cell>
          <cell r="Y45365" t="str">
            <v>FRANCE</v>
          </cell>
        </row>
        <row r="45366">
          <cell r="L45366" t="str">
            <v>Proportional</v>
          </cell>
          <cell r="S45366">
            <v>-2088.59</v>
          </cell>
          <cell r="X45366" t="str">
            <v>Variation UPR - gross</v>
          </cell>
          <cell r="Y45366" t="str">
            <v>INDIA</v>
          </cell>
        </row>
        <row r="45367">
          <cell r="L45367" t="str">
            <v>Proportional</v>
          </cell>
          <cell r="S45367">
            <v>-1985.02</v>
          </cell>
          <cell r="X45367" t="str">
            <v>Variation UPR - gross</v>
          </cell>
          <cell r="Y45367" t="str">
            <v>THAILAND</v>
          </cell>
        </row>
        <row r="45368">
          <cell r="L45368" t="str">
            <v>Proportional</v>
          </cell>
          <cell r="S45368">
            <v>-3082.75</v>
          </cell>
          <cell r="X45368" t="str">
            <v>Variation UPR - gross</v>
          </cell>
          <cell r="Y45368" t="str">
            <v>REPUBLIC OF IRELAND</v>
          </cell>
        </row>
        <row r="45369">
          <cell r="L45369" t="str">
            <v>Proportional</v>
          </cell>
          <cell r="S45369">
            <v>-1502.11</v>
          </cell>
          <cell r="X45369" t="str">
            <v>Variation UPR - gross</v>
          </cell>
          <cell r="Y45369" t="str">
            <v>CHILE</v>
          </cell>
        </row>
        <row r="45370">
          <cell r="L45370" t="str">
            <v>Non-proportional</v>
          </cell>
          <cell r="S45370">
            <v>0.01</v>
          </cell>
          <cell r="X45370" t="str">
            <v>Variation UPR - gross</v>
          </cell>
          <cell r="Y45370" t="str">
            <v>DOMINICAN REPUBLIC</v>
          </cell>
        </row>
        <row r="45371">
          <cell r="L45371" t="str">
            <v>Non-proportional</v>
          </cell>
          <cell r="S45371">
            <v>-10974.83</v>
          </cell>
          <cell r="X45371" t="str">
            <v>Variation UPR - gross</v>
          </cell>
          <cell r="Y45371" t="str">
            <v>GERMANY</v>
          </cell>
        </row>
        <row r="45372">
          <cell r="L45372" t="str">
            <v>Non-proportional</v>
          </cell>
          <cell r="S45372">
            <v>-1708.99</v>
          </cell>
          <cell r="X45372" t="str">
            <v>Variation UPR - gross</v>
          </cell>
          <cell r="Y45372" t="str">
            <v>ECUADOR</v>
          </cell>
        </row>
        <row r="45373">
          <cell r="L45373" t="str">
            <v>Non-proportional</v>
          </cell>
          <cell r="S45373">
            <v>-6957.83</v>
          </cell>
          <cell r="X45373" t="str">
            <v>Variation UPR - gross</v>
          </cell>
          <cell r="Y45373" t="str">
            <v>ITALY</v>
          </cell>
        </row>
        <row r="45374">
          <cell r="L45374" t="str">
            <v>Non-proportional</v>
          </cell>
          <cell r="S45374">
            <v>-1172.3</v>
          </cell>
          <cell r="X45374" t="str">
            <v>Variation UPR - gross</v>
          </cell>
          <cell r="Y45374" t="str">
            <v>FRANCE</v>
          </cell>
        </row>
        <row r="45375">
          <cell r="L45375" t="str">
            <v>Non-proportional</v>
          </cell>
          <cell r="S45375">
            <v>-4250.1899999999996</v>
          </cell>
          <cell r="X45375" t="str">
            <v>Variation UPR - gross</v>
          </cell>
          <cell r="Y45375" t="str">
            <v>ITALY</v>
          </cell>
        </row>
        <row r="45376">
          <cell r="L45376" t="str">
            <v>Non-proportional</v>
          </cell>
          <cell r="S45376">
            <v>-10017.219999999999</v>
          </cell>
          <cell r="X45376" t="str">
            <v>Variation UPR - gross</v>
          </cell>
          <cell r="Y45376" t="str">
            <v>COLOMBIA</v>
          </cell>
        </row>
        <row r="45377">
          <cell r="L45377" t="str">
            <v>Non-proportional</v>
          </cell>
          <cell r="S45377">
            <v>-11965.49</v>
          </cell>
          <cell r="X45377" t="str">
            <v>Variation UPR - gross</v>
          </cell>
          <cell r="Y45377" t="str">
            <v>INDIA</v>
          </cell>
        </row>
        <row r="45378">
          <cell r="L45378" t="str">
            <v>Non-proportional</v>
          </cell>
          <cell r="S45378">
            <v>-2245.06</v>
          </cell>
          <cell r="X45378" t="str">
            <v>Variation UPR - gross</v>
          </cell>
          <cell r="Y45378" t="str">
            <v>CHINA</v>
          </cell>
        </row>
        <row r="45379">
          <cell r="L45379" t="str">
            <v>Non-proportional</v>
          </cell>
          <cell r="S45379">
            <v>-1415.93</v>
          </cell>
          <cell r="X45379" t="str">
            <v>Variation UPR - gross</v>
          </cell>
          <cell r="Y45379" t="str">
            <v>FRANCE</v>
          </cell>
        </row>
        <row r="45380">
          <cell r="L45380" t="str">
            <v>Proportional</v>
          </cell>
          <cell r="S45380">
            <v>-25630.52</v>
          </cell>
          <cell r="X45380" t="str">
            <v>Variation UPR - gross</v>
          </cell>
          <cell r="Y45380" t="str">
            <v>THAILAND</v>
          </cell>
        </row>
        <row r="45381">
          <cell r="L45381" t="str">
            <v>Non-proportional</v>
          </cell>
          <cell r="S45381">
            <v>-2419.63</v>
          </cell>
          <cell r="X45381" t="str">
            <v>Variation UPR - gross</v>
          </cell>
          <cell r="Y45381" t="str">
            <v>COLOMBIA</v>
          </cell>
        </row>
        <row r="45382">
          <cell r="L45382" t="str">
            <v>Non-proportional</v>
          </cell>
          <cell r="S45382">
            <v>-987.06</v>
          </cell>
          <cell r="X45382" t="str">
            <v>Variation UPR - gross</v>
          </cell>
          <cell r="Y45382" t="str">
            <v>JAPAN</v>
          </cell>
        </row>
        <row r="45383">
          <cell r="L45383" t="str">
            <v>Non-proportional</v>
          </cell>
          <cell r="S45383">
            <v>-154.99</v>
          </cell>
          <cell r="X45383" t="str">
            <v>Variation UPR - gross</v>
          </cell>
          <cell r="Y45383" t="str">
            <v>FRANCE</v>
          </cell>
        </row>
        <row r="45384">
          <cell r="L45384" t="str">
            <v>Non-proportional</v>
          </cell>
          <cell r="S45384">
            <v>-10746.94</v>
          </cell>
          <cell r="X45384" t="str">
            <v>Variation UPR - gross</v>
          </cell>
          <cell r="Y45384" t="str">
            <v>NEW ZEALAND</v>
          </cell>
        </row>
        <row r="45385">
          <cell r="L45385" t="str">
            <v>Non-proportional</v>
          </cell>
          <cell r="S45385">
            <v>-2256.19</v>
          </cell>
          <cell r="X45385" t="str">
            <v>Variation UPR - gross</v>
          </cell>
          <cell r="Y45385" t="str">
            <v>UNITED KINGDOM</v>
          </cell>
        </row>
        <row r="45386">
          <cell r="L45386" t="str">
            <v>Non-proportional</v>
          </cell>
          <cell r="S45386">
            <v>-2293.62</v>
          </cell>
          <cell r="X45386" t="str">
            <v>Variation UPR - gross</v>
          </cell>
          <cell r="Y45386" t="str">
            <v>PERU</v>
          </cell>
        </row>
        <row r="45387">
          <cell r="L45387" t="str">
            <v>Non-proportional</v>
          </cell>
          <cell r="S45387">
            <v>-9327.44</v>
          </cell>
          <cell r="X45387" t="str">
            <v>Variation UPR - gross</v>
          </cell>
          <cell r="Y45387" t="str">
            <v>CHINA</v>
          </cell>
        </row>
        <row r="45388">
          <cell r="L45388" t="str">
            <v>Non-proportional</v>
          </cell>
          <cell r="S45388">
            <v>-1162.56</v>
          </cell>
          <cell r="X45388" t="str">
            <v>Variation UPR - gross</v>
          </cell>
          <cell r="Y45388" t="str">
            <v>UNITED KINGDOM</v>
          </cell>
        </row>
        <row r="45389">
          <cell r="L45389" t="str">
            <v>Non-proportional</v>
          </cell>
          <cell r="S45389">
            <v>0.04</v>
          </cell>
          <cell r="X45389" t="str">
            <v>Variation UPR - gross</v>
          </cell>
          <cell r="Y45389" t="str">
            <v>COLOMBIA</v>
          </cell>
        </row>
        <row r="45390">
          <cell r="L45390" t="str">
            <v>Non-proportional</v>
          </cell>
          <cell r="S45390">
            <v>5.4</v>
          </cell>
          <cell r="X45390" t="str">
            <v>Variation UPR - gross</v>
          </cell>
          <cell r="Y45390" t="str">
            <v>JAPAN</v>
          </cell>
        </row>
        <row r="45391">
          <cell r="L45391" t="str">
            <v>Proportional</v>
          </cell>
          <cell r="S45391">
            <v>2575.6999999999998</v>
          </cell>
          <cell r="X45391" t="str">
            <v>Variation UPR - gross</v>
          </cell>
          <cell r="Y45391" t="str">
            <v>CANADA</v>
          </cell>
        </row>
        <row r="45392">
          <cell r="L45392" t="str">
            <v>Proportional</v>
          </cell>
          <cell r="S45392">
            <v>-37240.97</v>
          </cell>
          <cell r="X45392" t="str">
            <v>Variation UPR - gross</v>
          </cell>
          <cell r="Y45392" t="str">
            <v>JAPAN</v>
          </cell>
        </row>
        <row r="45393">
          <cell r="L45393" t="str">
            <v>Non-proportional</v>
          </cell>
          <cell r="S45393">
            <v>-8562.0300000000007</v>
          </cell>
          <cell r="X45393" t="str">
            <v>Variation UPR - gross</v>
          </cell>
          <cell r="Y45393" t="str">
            <v>CHILE</v>
          </cell>
        </row>
        <row r="45394">
          <cell r="L45394" t="str">
            <v>Non-proportional</v>
          </cell>
          <cell r="S45394">
            <v>-1918.01</v>
          </cell>
          <cell r="X45394" t="str">
            <v>Variation UPR - gross</v>
          </cell>
          <cell r="Y45394" t="str">
            <v>JAPAN</v>
          </cell>
        </row>
        <row r="45395">
          <cell r="L45395" t="str">
            <v>Non-proportional</v>
          </cell>
          <cell r="S45395">
            <v>-24999.81</v>
          </cell>
          <cell r="X45395" t="str">
            <v>Variation UPR - gross</v>
          </cell>
          <cell r="Y45395" t="str">
            <v>FRANCE</v>
          </cell>
        </row>
        <row r="45396">
          <cell r="L45396" t="str">
            <v>Non-proportional</v>
          </cell>
          <cell r="S45396">
            <v>-788.61</v>
          </cell>
          <cell r="X45396" t="str">
            <v>Variation UPR - gross</v>
          </cell>
          <cell r="Y45396" t="str">
            <v>CHILE</v>
          </cell>
        </row>
        <row r="45397">
          <cell r="L45397" t="str">
            <v>Proportional</v>
          </cell>
          <cell r="S45397">
            <v>-12011.56</v>
          </cell>
          <cell r="X45397" t="str">
            <v>Variation UPR - gross</v>
          </cell>
          <cell r="Y45397" t="str">
            <v>HONG KONG</v>
          </cell>
        </row>
        <row r="45398">
          <cell r="L45398" t="str">
            <v>Non-proportional</v>
          </cell>
          <cell r="S45398">
            <v>-138300.32999999999</v>
          </cell>
          <cell r="X45398" t="str">
            <v>Variation UPR - gross</v>
          </cell>
          <cell r="Y45398" t="str">
            <v>PORTUGAL</v>
          </cell>
        </row>
        <row r="45399">
          <cell r="L45399" t="str">
            <v>Non-proportional</v>
          </cell>
          <cell r="S45399">
            <v>-5425.28</v>
          </cell>
          <cell r="X45399" t="str">
            <v>Variation UPR - gross</v>
          </cell>
          <cell r="Y45399" t="str">
            <v>UNITED KINGDOM</v>
          </cell>
        </row>
        <row r="45400">
          <cell r="L45400" t="str">
            <v>Non-proportional</v>
          </cell>
          <cell r="S45400">
            <v>6.83</v>
          </cell>
          <cell r="X45400" t="str">
            <v>Variation UPR - gross</v>
          </cell>
          <cell r="Y45400" t="str">
            <v>JAPAN</v>
          </cell>
        </row>
        <row r="45401">
          <cell r="L45401" t="str">
            <v>Non-proportional</v>
          </cell>
          <cell r="S45401">
            <v>-2904.19</v>
          </cell>
          <cell r="X45401" t="str">
            <v>Variation UPR - gross</v>
          </cell>
          <cell r="Y45401" t="str">
            <v>THAILAND</v>
          </cell>
        </row>
        <row r="45402">
          <cell r="L45402" t="str">
            <v>Non-proportional</v>
          </cell>
          <cell r="S45402">
            <v>-4166.67</v>
          </cell>
          <cell r="X45402" t="str">
            <v>Variation UPR - gross</v>
          </cell>
          <cell r="Y45402" t="str">
            <v>TURKEY</v>
          </cell>
        </row>
        <row r="45403">
          <cell r="L45403" t="str">
            <v>Proportional</v>
          </cell>
          <cell r="S45403">
            <v>-242004.19</v>
          </cell>
          <cell r="X45403" t="str">
            <v>Variation UPR - gross</v>
          </cell>
          <cell r="Y45403" t="str">
            <v>HONG KONG</v>
          </cell>
        </row>
        <row r="45404">
          <cell r="L45404" t="str">
            <v>Non-proportional</v>
          </cell>
          <cell r="S45404">
            <v>-22339.66</v>
          </cell>
          <cell r="X45404" t="str">
            <v>Variation UPR - gross</v>
          </cell>
          <cell r="Y45404" t="str">
            <v>PUERTO RICO</v>
          </cell>
        </row>
        <row r="45405">
          <cell r="L45405" t="str">
            <v>Non-proportional</v>
          </cell>
          <cell r="S45405">
            <v>-10748.69</v>
          </cell>
          <cell r="X45405" t="str">
            <v>Variation UPR - gross</v>
          </cell>
          <cell r="Y45405" t="str">
            <v>ITALY</v>
          </cell>
        </row>
        <row r="45406">
          <cell r="L45406" t="str">
            <v>Non-proportional</v>
          </cell>
          <cell r="S45406">
            <v>-3123.53</v>
          </cell>
          <cell r="X45406" t="str">
            <v>Variation UPR - gross</v>
          </cell>
          <cell r="Y45406" t="str">
            <v>GUATEMALA</v>
          </cell>
        </row>
        <row r="45407">
          <cell r="L45407" t="str">
            <v>Non-proportional</v>
          </cell>
          <cell r="S45407">
            <v>-4646.99</v>
          </cell>
          <cell r="X45407" t="str">
            <v>Variation UPR - gross</v>
          </cell>
          <cell r="Y45407" t="str">
            <v>PERU</v>
          </cell>
        </row>
        <row r="45408">
          <cell r="L45408" t="str">
            <v>Non-proportional</v>
          </cell>
          <cell r="S45408">
            <v>-1614.77</v>
          </cell>
          <cell r="X45408" t="str">
            <v>Variation UPR - gross</v>
          </cell>
          <cell r="Y45408" t="str">
            <v>CHILE</v>
          </cell>
        </row>
        <row r="45409">
          <cell r="L45409" t="str">
            <v>Non-proportional</v>
          </cell>
          <cell r="S45409">
            <v>-9566.27</v>
          </cell>
          <cell r="X45409" t="str">
            <v>Variation UPR - gross</v>
          </cell>
          <cell r="Y45409" t="str">
            <v>PERU</v>
          </cell>
        </row>
        <row r="45410">
          <cell r="L45410" t="str">
            <v>Non-proportional</v>
          </cell>
          <cell r="S45410">
            <v>-2844.02</v>
          </cell>
          <cell r="X45410" t="str">
            <v>Variation UPR - gross</v>
          </cell>
          <cell r="Y45410" t="str">
            <v>AUSTRALIA</v>
          </cell>
        </row>
        <row r="45411">
          <cell r="L45411" t="str">
            <v>Non-proportional</v>
          </cell>
          <cell r="S45411">
            <v>-1558.71</v>
          </cell>
          <cell r="X45411" t="str">
            <v>Variation UPR - gross</v>
          </cell>
          <cell r="Y45411" t="str">
            <v>JAPAN</v>
          </cell>
        </row>
        <row r="45412">
          <cell r="L45412" t="str">
            <v>Non-proportional</v>
          </cell>
          <cell r="S45412">
            <v>-9716.33</v>
          </cell>
          <cell r="X45412" t="str">
            <v>Variation UPR - gross</v>
          </cell>
          <cell r="Y45412" t="str">
            <v>ISRAEL</v>
          </cell>
        </row>
        <row r="45413">
          <cell r="L45413" t="str">
            <v>Proportional</v>
          </cell>
          <cell r="S45413">
            <v>-35212.53</v>
          </cell>
          <cell r="X45413" t="str">
            <v>Variation UPR - gross</v>
          </cell>
          <cell r="Y45413" t="str">
            <v>ITALY</v>
          </cell>
        </row>
        <row r="45414">
          <cell r="L45414" t="str">
            <v>Non-proportional</v>
          </cell>
          <cell r="S45414">
            <v>159.58000000000001</v>
          </cell>
          <cell r="X45414" t="str">
            <v>Variation UPR - gross</v>
          </cell>
          <cell r="Y45414" t="str">
            <v>INDIA</v>
          </cell>
        </row>
        <row r="45415">
          <cell r="L45415" t="str">
            <v>Non-proportional</v>
          </cell>
          <cell r="S45415">
            <v>-2106.15</v>
          </cell>
          <cell r="X45415" t="str">
            <v>Variation UPR - gross</v>
          </cell>
          <cell r="Y45415" t="str">
            <v>CHINA</v>
          </cell>
        </row>
        <row r="45416">
          <cell r="L45416" t="str">
            <v>Proportional</v>
          </cell>
          <cell r="S45416">
            <v>2228.6799999999998</v>
          </cell>
          <cell r="X45416" t="str">
            <v>Variation UPR - gross</v>
          </cell>
          <cell r="Y45416" t="str">
            <v>INDIA</v>
          </cell>
        </row>
        <row r="45417">
          <cell r="L45417" t="str">
            <v>Non-proportional</v>
          </cell>
          <cell r="S45417">
            <v>-73832.820000000007</v>
          </cell>
          <cell r="X45417" t="str">
            <v>Variation UPR - gross</v>
          </cell>
          <cell r="Y45417" t="str">
            <v>UNITED KINGDOM</v>
          </cell>
        </row>
        <row r="45418">
          <cell r="L45418" t="str">
            <v>Non-proportional</v>
          </cell>
          <cell r="S45418">
            <v>39.21</v>
          </cell>
          <cell r="X45418" t="str">
            <v>Variation UPR - gross</v>
          </cell>
          <cell r="Y45418" t="str">
            <v>COLOMBIA</v>
          </cell>
        </row>
        <row r="45419">
          <cell r="L45419" t="str">
            <v>Non-proportional</v>
          </cell>
          <cell r="S45419">
            <v>-4533.33</v>
          </cell>
          <cell r="X45419" t="str">
            <v>Variation UPR - gross</v>
          </cell>
          <cell r="Y45419" t="str">
            <v>PORTUGAL</v>
          </cell>
        </row>
        <row r="45420">
          <cell r="L45420" t="str">
            <v>Non-proportional</v>
          </cell>
          <cell r="S45420">
            <v>-118.14</v>
          </cell>
          <cell r="X45420" t="str">
            <v>Variation UPR - gross</v>
          </cell>
          <cell r="Y45420" t="str">
            <v>THAILAND</v>
          </cell>
        </row>
        <row r="45421">
          <cell r="L45421" t="str">
            <v>Non-proportional</v>
          </cell>
          <cell r="S45421">
            <v>105.31</v>
          </cell>
          <cell r="X45421" t="str">
            <v>Variation UPR - gross</v>
          </cell>
          <cell r="Y45421" t="str">
            <v>JAPAN</v>
          </cell>
        </row>
        <row r="45422">
          <cell r="L45422" t="str">
            <v>Non-proportional</v>
          </cell>
          <cell r="S45422">
            <v>0.01</v>
          </cell>
          <cell r="X45422" t="str">
            <v>Variation UPR - gross</v>
          </cell>
          <cell r="Y45422" t="str">
            <v>DOMINICAN REPUBLIC</v>
          </cell>
        </row>
        <row r="45423">
          <cell r="L45423" t="str">
            <v>Non-proportional</v>
          </cell>
          <cell r="S45423">
            <v>-1458.96</v>
          </cell>
          <cell r="X45423" t="str">
            <v>Variation UPR - gross</v>
          </cell>
          <cell r="Y45423" t="str">
            <v>GUATEMALA</v>
          </cell>
        </row>
        <row r="45424">
          <cell r="L45424" t="str">
            <v>Non-proportional</v>
          </cell>
          <cell r="S45424">
            <v>-225.32</v>
          </cell>
          <cell r="X45424" t="str">
            <v>Variation UPR - gross</v>
          </cell>
          <cell r="Y45424" t="str">
            <v>CHILE</v>
          </cell>
        </row>
        <row r="45425">
          <cell r="L45425" t="str">
            <v>Non-proportional</v>
          </cell>
          <cell r="S45425">
            <v>-4266.96</v>
          </cell>
          <cell r="X45425" t="str">
            <v>Variation UPR - gross</v>
          </cell>
          <cell r="Y45425" t="str">
            <v>COLOMBIA</v>
          </cell>
        </row>
        <row r="45426">
          <cell r="L45426" t="str">
            <v>Non-proportional</v>
          </cell>
          <cell r="S45426">
            <v>-9251.26</v>
          </cell>
          <cell r="X45426" t="str">
            <v>Variation UPR - gross</v>
          </cell>
          <cell r="Y45426" t="str">
            <v>ITALY</v>
          </cell>
        </row>
        <row r="45427">
          <cell r="L45427" t="str">
            <v>Proportional</v>
          </cell>
          <cell r="S45427">
            <v>-733.99</v>
          </cell>
          <cell r="X45427" t="str">
            <v>Variation UPR - gross</v>
          </cell>
          <cell r="Y45427" t="str">
            <v>UNITED STATES</v>
          </cell>
        </row>
        <row r="45428">
          <cell r="L45428" t="str">
            <v>Non-proportional</v>
          </cell>
          <cell r="S45428">
            <v>-37.549999999999997</v>
          </cell>
          <cell r="X45428" t="str">
            <v>Variation UPR - gross</v>
          </cell>
          <cell r="Y45428" t="str">
            <v>CHILE</v>
          </cell>
        </row>
        <row r="45429">
          <cell r="L45429" t="str">
            <v>Non-proportional</v>
          </cell>
          <cell r="S45429">
            <v>113.71</v>
          </cell>
          <cell r="X45429" t="str">
            <v>Variation UPR - gross</v>
          </cell>
          <cell r="Y45429" t="str">
            <v>INDIA</v>
          </cell>
        </row>
        <row r="45430">
          <cell r="L45430" t="str">
            <v>Proportional</v>
          </cell>
          <cell r="S45430">
            <v>-640226.67000000004</v>
          </cell>
          <cell r="X45430" t="str">
            <v>Variation UPR - gross</v>
          </cell>
          <cell r="Y45430" t="str">
            <v>ITALY</v>
          </cell>
        </row>
        <row r="45431">
          <cell r="L45431" t="str">
            <v>Non-proportional</v>
          </cell>
          <cell r="S45431">
            <v>24.6</v>
          </cell>
          <cell r="X45431" t="str">
            <v>Variation UPR - gross</v>
          </cell>
          <cell r="Y45431" t="str">
            <v>AUSTRALIA</v>
          </cell>
        </row>
        <row r="45432">
          <cell r="L45432" t="str">
            <v>Non-proportional</v>
          </cell>
          <cell r="S45432">
            <v>-11863.23</v>
          </cell>
          <cell r="X45432" t="str">
            <v>Variation UPR - gross</v>
          </cell>
          <cell r="Y45432" t="str">
            <v>EUROPE</v>
          </cell>
        </row>
        <row r="45433">
          <cell r="L45433" t="str">
            <v>Proportional</v>
          </cell>
          <cell r="S45433">
            <v>338.2</v>
          </cell>
          <cell r="X45433" t="str">
            <v>Variation UPR - gross</v>
          </cell>
          <cell r="Y45433" t="str">
            <v>INDIA</v>
          </cell>
        </row>
        <row r="45434">
          <cell r="L45434" t="str">
            <v>Proportional</v>
          </cell>
          <cell r="S45434">
            <v>-55.26</v>
          </cell>
          <cell r="X45434" t="str">
            <v>Variation UPR - gross</v>
          </cell>
          <cell r="Y45434" t="str">
            <v>THAILAND</v>
          </cell>
        </row>
        <row r="45435">
          <cell r="L45435" t="str">
            <v>Non-proportional</v>
          </cell>
          <cell r="S45435">
            <v>31.91</v>
          </cell>
          <cell r="X45435" t="str">
            <v>Variation UPR - gross</v>
          </cell>
          <cell r="Y45435" t="str">
            <v>JAPAN</v>
          </cell>
        </row>
        <row r="45436">
          <cell r="L45436" t="str">
            <v>Non-proportional</v>
          </cell>
          <cell r="S45436">
            <v>-2247.46</v>
          </cell>
          <cell r="X45436" t="str">
            <v>Variation UPR - gross</v>
          </cell>
          <cell r="Y45436" t="str">
            <v>ECUADOR</v>
          </cell>
        </row>
        <row r="45437">
          <cell r="L45437" t="str">
            <v>Non-proportional</v>
          </cell>
          <cell r="S45437">
            <v>-2881.21</v>
          </cell>
          <cell r="X45437" t="str">
            <v>Variation UPR - gross</v>
          </cell>
          <cell r="Y45437" t="str">
            <v>JAPAN</v>
          </cell>
        </row>
        <row r="45438">
          <cell r="L45438" t="str">
            <v>Non-proportional</v>
          </cell>
          <cell r="S45438">
            <v>-179.29</v>
          </cell>
          <cell r="X45438" t="str">
            <v>Variation UPR - gross</v>
          </cell>
          <cell r="Y45438" t="str">
            <v>JAPAN</v>
          </cell>
        </row>
        <row r="45439">
          <cell r="L45439" t="str">
            <v>Non-proportional</v>
          </cell>
          <cell r="S45439">
            <v>-10499.88</v>
          </cell>
          <cell r="X45439" t="str">
            <v>Variation UPR - gross</v>
          </cell>
          <cell r="Y45439" t="str">
            <v>ITALY</v>
          </cell>
        </row>
        <row r="45440">
          <cell r="L45440" t="str">
            <v>Non-proportional</v>
          </cell>
          <cell r="S45440">
            <v>-349.47</v>
          </cell>
          <cell r="X45440" t="str">
            <v>Variation UPR - gross</v>
          </cell>
          <cell r="Y45440" t="str">
            <v>DOMINICAN REPUBLIC</v>
          </cell>
        </row>
        <row r="45441">
          <cell r="L45441" t="str">
            <v>Non-proportional</v>
          </cell>
          <cell r="S45441">
            <v>-2169.2600000000002</v>
          </cell>
          <cell r="X45441" t="str">
            <v>Variation UPR - gross</v>
          </cell>
          <cell r="Y45441" t="str">
            <v>DOMINICAN REPUBLIC</v>
          </cell>
        </row>
        <row r="45442">
          <cell r="L45442" t="str">
            <v>Non-proportional</v>
          </cell>
          <cell r="S45442">
            <v>-11409.59</v>
          </cell>
          <cell r="X45442" t="str">
            <v>Variation UPR - gross</v>
          </cell>
          <cell r="Y45442" t="str">
            <v>MEXICO</v>
          </cell>
        </row>
        <row r="45443">
          <cell r="L45443" t="str">
            <v>Non-proportional</v>
          </cell>
          <cell r="S45443">
            <v>-2041.67</v>
          </cell>
          <cell r="X45443" t="str">
            <v>Variation UPR - gross</v>
          </cell>
          <cell r="Y45443" t="str">
            <v>ITALY</v>
          </cell>
        </row>
        <row r="45444">
          <cell r="L45444" t="str">
            <v>Proportional</v>
          </cell>
          <cell r="S45444">
            <v>-2747.69</v>
          </cell>
          <cell r="X45444" t="str">
            <v>Variation UPR - gross</v>
          </cell>
          <cell r="Y45444" t="str">
            <v>UNITED STATES</v>
          </cell>
        </row>
        <row r="45445">
          <cell r="L45445" t="str">
            <v>Non-proportional</v>
          </cell>
          <cell r="S45445">
            <v>37.549999999999997</v>
          </cell>
          <cell r="X45445" t="str">
            <v>Variation UPR - gross</v>
          </cell>
          <cell r="Y45445" t="str">
            <v>CHILE</v>
          </cell>
        </row>
        <row r="45446">
          <cell r="L45446" t="str">
            <v>Non-proportional</v>
          </cell>
          <cell r="S45446">
            <v>0.03</v>
          </cell>
          <cell r="X45446" t="str">
            <v>Variation UPR - gross</v>
          </cell>
          <cell r="Y45446" t="str">
            <v>THAILAND</v>
          </cell>
        </row>
        <row r="45447">
          <cell r="L45447" t="str">
            <v>Non-proportional</v>
          </cell>
          <cell r="S45447">
            <v>-4472.37</v>
          </cell>
          <cell r="X45447" t="str">
            <v>Variation UPR - gross</v>
          </cell>
          <cell r="Y45447" t="str">
            <v>UNITED KINGDOM</v>
          </cell>
        </row>
        <row r="45448">
          <cell r="L45448" t="str">
            <v>Non-proportional</v>
          </cell>
          <cell r="S45448">
            <v>-178487.38</v>
          </cell>
          <cell r="X45448" t="str">
            <v>Variation UPR - gross</v>
          </cell>
          <cell r="Y45448" t="str">
            <v>PORTUGAL</v>
          </cell>
        </row>
        <row r="45449">
          <cell r="L45449" t="str">
            <v>Non-proportional</v>
          </cell>
          <cell r="S45449">
            <v>0.02</v>
          </cell>
          <cell r="X45449" t="str">
            <v>Variation UPR - gross</v>
          </cell>
          <cell r="Y45449" t="str">
            <v>COLOMBIA</v>
          </cell>
        </row>
        <row r="45450">
          <cell r="L45450" t="str">
            <v>Non-proportional</v>
          </cell>
          <cell r="S45450">
            <v>-150.21</v>
          </cell>
          <cell r="X45450" t="str">
            <v>Variation UPR - gross</v>
          </cell>
          <cell r="Y45450" t="str">
            <v>CHILE</v>
          </cell>
        </row>
        <row r="45451">
          <cell r="L45451" t="str">
            <v>Proportional</v>
          </cell>
          <cell r="S45451">
            <v>-16.39</v>
          </cell>
          <cell r="X45451" t="str">
            <v>Variation UPR - gross</v>
          </cell>
          <cell r="Y45451" t="str">
            <v>THAILAND</v>
          </cell>
        </row>
        <row r="45452">
          <cell r="L45452" t="str">
            <v>Non-proportional</v>
          </cell>
          <cell r="S45452">
            <v>-75.11</v>
          </cell>
          <cell r="X45452" t="str">
            <v>Variation UPR - gross</v>
          </cell>
          <cell r="Y45452" t="str">
            <v>CHILE</v>
          </cell>
        </row>
        <row r="45453">
          <cell r="L45453" t="str">
            <v>Non-proportional</v>
          </cell>
          <cell r="S45453">
            <v>13.42</v>
          </cell>
          <cell r="X45453" t="str">
            <v>Variation UPR - gross</v>
          </cell>
          <cell r="Y45453" t="str">
            <v>JAPAN</v>
          </cell>
        </row>
        <row r="45454">
          <cell r="L45454" t="str">
            <v>Non-proportional</v>
          </cell>
          <cell r="S45454">
            <v>85.2</v>
          </cell>
          <cell r="X45454" t="str">
            <v>Variation UPR - gross</v>
          </cell>
          <cell r="Y45454" t="str">
            <v>JAPAN</v>
          </cell>
        </row>
        <row r="45455">
          <cell r="L45455" t="str">
            <v>Non-proportional</v>
          </cell>
          <cell r="S45455">
            <v>0.04</v>
          </cell>
          <cell r="X45455" t="str">
            <v>Variation UPR - gross</v>
          </cell>
          <cell r="Y45455" t="str">
            <v>DOMINICAN REPUBLIC</v>
          </cell>
        </row>
        <row r="45456">
          <cell r="L45456" t="str">
            <v>Non-proportional</v>
          </cell>
          <cell r="S45456">
            <v>513.48</v>
          </cell>
          <cell r="X45456" t="str">
            <v>Variation UPR - gross</v>
          </cell>
          <cell r="Y45456" t="str">
            <v>JAPAN</v>
          </cell>
        </row>
        <row r="45457">
          <cell r="L45457" t="str">
            <v>Non-proportional</v>
          </cell>
          <cell r="S45457">
            <v>390.04</v>
          </cell>
          <cell r="X45457" t="str">
            <v>Variation UPR - gross</v>
          </cell>
          <cell r="Y45457" t="str">
            <v>INDIA</v>
          </cell>
        </row>
        <row r="45458">
          <cell r="L45458" t="str">
            <v>Non-proportional</v>
          </cell>
          <cell r="S45458">
            <v>-1534.39</v>
          </cell>
          <cell r="X45458" t="str">
            <v>Variation UPR - gross</v>
          </cell>
          <cell r="Y45458" t="str">
            <v>JAPAN</v>
          </cell>
        </row>
        <row r="45459">
          <cell r="L45459" t="str">
            <v>Non-proportional</v>
          </cell>
          <cell r="S45459">
            <v>-18085.97</v>
          </cell>
          <cell r="X45459" t="str">
            <v>Variation UPR - gross</v>
          </cell>
          <cell r="Y45459" t="str">
            <v>PUERTO RICO</v>
          </cell>
        </row>
        <row r="45460">
          <cell r="L45460" t="str">
            <v>Non-proportional</v>
          </cell>
          <cell r="S45460">
            <v>-5781.23</v>
          </cell>
          <cell r="X45460" t="str">
            <v>Variation UPR - gross</v>
          </cell>
          <cell r="Y45460" t="str">
            <v>ISRAEL</v>
          </cell>
        </row>
        <row r="45461">
          <cell r="L45461" t="str">
            <v>Non-proportional</v>
          </cell>
          <cell r="S45461">
            <v>-20633.689999999999</v>
          </cell>
          <cell r="X45461" t="str">
            <v>Variation UPR - gross</v>
          </cell>
          <cell r="Y45461" t="str">
            <v>TURKEY</v>
          </cell>
        </row>
        <row r="45462">
          <cell r="L45462" t="str">
            <v>Non-proportional</v>
          </cell>
          <cell r="S45462">
            <v>-884.37</v>
          </cell>
          <cell r="X45462" t="str">
            <v>Variation UPR - gross</v>
          </cell>
          <cell r="Y45462" t="str">
            <v>FRANCE</v>
          </cell>
        </row>
        <row r="45463">
          <cell r="L45463" t="str">
            <v>Non-proportional</v>
          </cell>
          <cell r="S45463">
            <v>-37.549999999999997</v>
          </cell>
          <cell r="X45463" t="str">
            <v>Variation UPR - gross</v>
          </cell>
          <cell r="Y45463" t="str">
            <v>CHILE</v>
          </cell>
        </row>
        <row r="45464">
          <cell r="L45464" t="str">
            <v>Non-proportional</v>
          </cell>
          <cell r="S45464">
            <v>-3234.99</v>
          </cell>
          <cell r="X45464" t="str">
            <v>Variation UPR - gross</v>
          </cell>
          <cell r="Y45464" t="str">
            <v>AUSTRALIA</v>
          </cell>
        </row>
        <row r="45465">
          <cell r="L45465" t="str">
            <v>Non-proportional</v>
          </cell>
          <cell r="S45465">
            <v>-14758.33</v>
          </cell>
          <cell r="X45465" t="str">
            <v>Variation UPR - gross</v>
          </cell>
          <cell r="Y45465" t="str">
            <v>SOUTH KOREA</v>
          </cell>
        </row>
        <row r="45466">
          <cell r="L45466" t="str">
            <v>Non-proportional</v>
          </cell>
          <cell r="S45466">
            <v>-2710.42</v>
          </cell>
          <cell r="X45466" t="str">
            <v>Variation UPR - gross</v>
          </cell>
          <cell r="Y45466" t="str">
            <v>AUSTRALIA</v>
          </cell>
        </row>
        <row r="45467">
          <cell r="L45467" t="str">
            <v>Proportional</v>
          </cell>
          <cell r="S45467">
            <v>-99725.11</v>
          </cell>
          <cell r="X45467" t="str">
            <v>Variation UPR - gross</v>
          </cell>
          <cell r="Y45467" t="str">
            <v>ITALY</v>
          </cell>
        </row>
        <row r="45468">
          <cell r="L45468" t="str">
            <v>Non-proportional</v>
          </cell>
          <cell r="S45468">
            <v>0.02</v>
          </cell>
          <cell r="X45468" t="str">
            <v>Variation UPR - gross</v>
          </cell>
          <cell r="Y45468" t="str">
            <v>INDIA</v>
          </cell>
        </row>
        <row r="45469">
          <cell r="L45469" t="str">
            <v>Non-proportional</v>
          </cell>
          <cell r="S45469">
            <v>8.7899999999999991</v>
          </cell>
          <cell r="X45469" t="str">
            <v>Variation UPR - gross</v>
          </cell>
          <cell r="Y45469" t="str">
            <v>AUSTRALIA</v>
          </cell>
        </row>
        <row r="45470">
          <cell r="L45470" t="str">
            <v>Non-proportional</v>
          </cell>
          <cell r="S45470">
            <v>66.540000000000006</v>
          </cell>
          <cell r="X45470" t="str">
            <v>Variation UPR - gross</v>
          </cell>
          <cell r="Y45470" t="str">
            <v>CANADA</v>
          </cell>
        </row>
        <row r="45471">
          <cell r="L45471" t="str">
            <v>Non-proportional</v>
          </cell>
          <cell r="S45471">
            <v>-12033.07</v>
          </cell>
          <cell r="X45471" t="str">
            <v>Variation UPR - gross</v>
          </cell>
          <cell r="Y45471" t="str">
            <v>COSTA RICA</v>
          </cell>
        </row>
        <row r="45472">
          <cell r="L45472" t="str">
            <v>Non-proportional</v>
          </cell>
          <cell r="S45472">
            <v>-4903.83</v>
          </cell>
          <cell r="X45472" t="str">
            <v>Variation UPR - gross</v>
          </cell>
          <cell r="Y45472" t="str">
            <v>ECUADOR</v>
          </cell>
        </row>
        <row r="45473">
          <cell r="L45473" t="str">
            <v>Non-proportional</v>
          </cell>
          <cell r="S45473">
            <v>-2328.27</v>
          </cell>
          <cell r="X45473" t="str">
            <v>Variation UPR - gross</v>
          </cell>
          <cell r="Y45473" t="str">
            <v>CHILE</v>
          </cell>
        </row>
        <row r="45474">
          <cell r="L45474" t="str">
            <v>Non-proportional</v>
          </cell>
          <cell r="S45474">
            <v>-3171.51</v>
          </cell>
          <cell r="X45474" t="str">
            <v>Variation UPR - gross</v>
          </cell>
          <cell r="Y45474" t="str">
            <v>ECUADOR</v>
          </cell>
        </row>
        <row r="45475">
          <cell r="L45475" t="str">
            <v>Proportional</v>
          </cell>
          <cell r="S45475">
            <v>-24946.44</v>
          </cell>
          <cell r="X45475" t="str">
            <v>Variation UPR - gross</v>
          </cell>
          <cell r="Y45475" t="str">
            <v>MEXICO</v>
          </cell>
        </row>
        <row r="45476">
          <cell r="L45476" t="str">
            <v>Non-proportional</v>
          </cell>
          <cell r="S45476">
            <v>-1202.19</v>
          </cell>
          <cell r="X45476" t="str">
            <v>Variation UPR - gross</v>
          </cell>
          <cell r="Y45476" t="str">
            <v>SOUTH AFRICA</v>
          </cell>
        </row>
        <row r="45477">
          <cell r="L45477" t="str">
            <v>Proportional</v>
          </cell>
          <cell r="S45477">
            <v>-37.549999999999997</v>
          </cell>
          <cell r="X45477" t="str">
            <v>Variation UPR - gross</v>
          </cell>
          <cell r="Y45477" t="str">
            <v>CHILE</v>
          </cell>
        </row>
        <row r="45478">
          <cell r="L45478" t="str">
            <v>Proportional</v>
          </cell>
          <cell r="S45478">
            <v>-10970.48</v>
          </cell>
          <cell r="X45478" t="str">
            <v>Variation UPR - gross</v>
          </cell>
          <cell r="Y45478" t="str">
            <v>CANADA</v>
          </cell>
        </row>
        <row r="45479">
          <cell r="L45479" t="str">
            <v>Non-proportional</v>
          </cell>
          <cell r="S45479">
            <v>-2516.04</v>
          </cell>
          <cell r="X45479" t="str">
            <v>Variation UPR - gross</v>
          </cell>
          <cell r="Y45479" t="str">
            <v>CHILE</v>
          </cell>
        </row>
        <row r="45480">
          <cell r="L45480" t="str">
            <v>Non-proportional</v>
          </cell>
          <cell r="S45480">
            <v>-300.42</v>
          </cell>
          <cell r="X45480" t="str">
            <v>Variation UPR - gross</v>
          </cell>
          <cell r="Y45480" t="str">
            <v>CHILE</v>
          </cell>
        </row>
        <row r="45481">
          <cell r="L45481" t="str">
            <v>Non-proportional</v>
          </cell>
          <cell r="S45481">
            <v>-16489.310000000001</v>
          </cell>
          <cell r="X45481" t="str">
            <v>Variation UPR - gross</v>
          </cell>
          <cell r="Y45481" t="str">
            <v>MEXICO</v>
          </cell>
        </row>
        <row r="45482">
          <cell r="L45482" t="str">
            <v>Non-proportional</v>
          </cell>
          <cell r="S45482">
            <v>-3329.56</v>
          </cell>
          <cell r="X45482" t="str">
            <v>Variation UPR - gross</v>
          </cell>
          <cell r="Y45482" t="str">
            <v>DOMINICAN REPUBLIC</v>
          </cell>
        </row>
        <row r="45483">
          <cell r="L45483" t="str">
            <v>Proportional</v>
          </cell>
          <cell r="S45483">
            <v>-266641.09000000003</v>
          </cell>
          <cell r="X45483" t="str">
            <v>Variation UPR - gross</v>
          </cell>
          <cell r="Y45483" t="str">
            <v>UNITED STATES</v>
          </cell>
        </row>
        <row r="45484">
          <cell r="L45484" t="str">
            <v>Proportional</v>
          </cell>
          <cell r="S45484">
            <v>-24.01</v>
          </cell>
          <cell r="X45484" t="str">
            <v>Variation UPR - gross</v>
          </cell>
          <cell r="Y45484" t="str">
            <v>UNITED STATES</v>
          </cell>
        </row>
        <row r="45485">
          <cell r="L45485" t="str">
            <v>Non-proportional</v>
          </cell>
          <cell r="S45485">
            <v>-728.75</v>
          </cell>
          <cell r="X45485" t="str">
            <v>Variation UPR - gross</v>
          </cell>
          <cell r="Y45485" t="str">
            <v>ITALY</v>
          </cell>
        </row>
        <row r="45486">
          <cell r="L45486" t="str">
            <v>Non-proportional</v>
          </cell>
          <cell r="S45486">
            <v>-14424.04</v>
          </cell>
          <cell r="X45486" t="str">
            <v>Variation UPR - gross</v>
          </cell>
          <cell r="Y45486" t="str">
            <v>FRANCE</v>
          </cell>
        </row>
        <row r="45487">
          <cell r="L45487" t="str">
            <v>Non-proportional</v>
          </cell>
          <cell r="S45487">
            <v>-5918.43</v>
          </cell>
          <cell r="X45487" t="str">
            <v>Variation UPR - gross</v>
          </cell>
          <cell r="Y45487" t="str">
            <v>EUROPE</v>
          </cell>
        </row>
        <row r="45488">
          <cell r="L45488" t="str">
            <v>Non-proportional</v>
          </cell>
          <cell r="S45488">
            <v>-365078.66</v>
          </cell>
          <cell r="X45488" t="str">
            <v>Variation UPR - gross</v>
          </cell>
          <cell r="Y45488" t="str">
            <v>UNITED KINGDOM</v>
          </cell>
        </row>
        <row r="45489">
          <cell r="L45489" t="str">
            <v>Non-proportional</v>
          </cell>
          <cell r="S45489">
            <v>-6684.72</v>
          </cell>
          <cell r="X45489" t="str">
            <v>Variation UPR - gross</v>
          </cell>
          <cell r="Y45489" t="str">
            <v>UNITED KINGDOM</v>
          </cell>
        </row>
        <row r="45490">
          <cell r="L45490" t="str">
            <v>Proportional</v>
          </cell>
          <cell r="S45490">
            <v>-2458333.35</v>
          </cell>
          <cell r="X45490" t="str">
            <v>Variation UPR - gross</v>
          </cell>
          <cell r="Y45490" t="str">
            <v>PORTUGAL</v>
          </cell>
        </row>
        <row r="45491">
          <cell r="L45491" t="str">
            <v>Proportional</v>
          </cell>
          <cell r="S45491">
            <v>0.61</v>
          </cell>
          <cell r="X45491" t="str">
            <v>Variation UPR - gross</v>
          </cell>
          <cell r="Y45491" t="str">
            <v>UNITED STATES</v>
          </cell>
        </row>
        <row r="45492">
          <cell r="L45492" t="str">
            <v>Non-proportional</v>
          </cell>
          <cell r="S45492">
            <v>-13966.88</v>
          </cell>
          <cell r="X45492" t="str">
            <v>Variation UPR - gross</v>
          </cell>
          <cell r="Y45492" t="str">
            <v>UNITED KINGDOM</v>
          </cell>
        </row>
        <row r="45493">
          <cell r="L45493" t="str">
            <v>Non-proportional</v>
          </cell>
          <cell r="S45493">
            <v>-3605.07</v>
          </cell>
          <cell r="X45493" t="str">
            <v>Variation UPR - gross</v>
          </cell>
          <cell r="Y45493" t="str">
            <v>CHILE</v>
          </cell>
        </row>
        <row r="45494">
          <cell r="L45494" t="str">
            <v>Non-proportional</v>
          </cell>
          <cell r="S45494">
            <v>-1228.07</v>
          </cell>
          <cell r="X45494" t="str">
            <v>Variation UPR - gross</v>
          </cell>
          <cell r="Y45494" t="str">
            <v>PERU</v>
          </cell>
        </row>
        <row r="45495">
          <cell r="L45495" t="str">
            <v>Non-proportional</v>
          </cell>
          <cell r="S45495">
            <v>-1406.25</v>
          </cell>
          <cell r="X45495" t="str">
            <v>Variation UPR - gross</v>
          </cell>
          <cell r="Y45495" t="str">
            <v>GREECE</v>
          </cell>
        </row>
        <row r="45496">
          <cell r="L45496" t="str">
            <v>Non-proportional</v>
          </cell>
          <cell r="S45496">
            <v>-9977.5</v>
          </cell>
          <cell r="X45496" t="str">
            <v>Variation UPR - gross</v>
          </cell>
          <cell r="Y45496" t="str">
            <v>ITALY</v>
          </cell>
        </row>
        <row r="45497">
          <cell r="L45497" t="str">
            <v>Non-proportional</v>
          </cell>
          <cell r="S45497">
            <v>-2016.42</v>
          </cell>
          <cell r="X45497" t="str">
            <v>Variation UPR - gross</v>
          </cell>
          <cell r="Y45497" t="str">
            <v>BELIZE</v>
          </cell>
        </row>
        <row r="45498">
          <cell r="L45498" t="str">
            <v>Non-proportional</v>
          </cell>
          <cell r="S45498">
            <v>-24431.78</v>
          </cell>
          <cell r="X45498" t="str">
            <v>Variation UPR - gross</v>
          </cell>
          <cell r="Y45498" t="str">
            <v>ISRAEL</v>
          </cell>
        </row>
        <row r="45499">
          <cell r="L45499" t="str">
            <v>Non-proportional</v>
          </cell>
          <cell r="S45499">
            <v>-1832.75</v>
          </cell>
          <cell r="X45499" t="str">
            <v>Variation UPR - gross</v>
          </cell>
          <cell r="Y45499" t="str">
            <v>UNITED KINGDOM</v>
          </cell>
        </row>
        <row r="45500">
          <cell r="L45500" t="str">
            <v>Non-proportional</v>
          </cell>
          <cell r="S45500">
            <v>-109330.38</v>
          </cell>
          <cell r="X45500" t="str">
            <v>Variation UPR - gross</v>
          </cell>
          <cell r="Y45500" t="str">
            <v>FRANCE</v>
          </cell>
        </row>
        <row r="45501">
          <cell r="L45501" t="str">
            <v>Non-proportional</v>
          </cell>
          <cell r="S45501">
            <v>-2552.5300000000002</v>
          </cell>
          <cell r="X45501" t="str">
            <v>Variation UPR - gross</v>
          </cell>
          <cell r="Y45501" t="str">
            <v>THAILAND</v>
          </cell>
        </row>
        <row r="45502">
          <cell r="L45502" t="str">
            <v>Non-proportional</v>
          </cell>
          <cell r="S45502">
            <v>458.39</v>
          </cell>
          <cell r="X45502" t="str">
            <v>Variation UPR - gross</v>
          </cell>
          <cell r="Y45502" t="str">
            <v>AUSTRALIA</v>
          </cell>
        </row>
        <row r="45503">
          <cell r="L45503" t="str">
            <v>Non-proportional</v>
          </cell>
          <cell r="S45503">
            <v>-3015.29</v>
          </cell>
          <cell r="X45503" t="str">
            <v>Variation UPR - gross</v>
          </cell>
          <cell r="Y45503" t="str">
            <v>ITALY</v>
          </cell>
        </row>
        <row r="45504">
          <cell r="L45504" t="str">
            <v>Non-proportional</v>
          </cell>
          <cell r="S45504">
            <v>-851.06</v>
          </cell>
          <cell r="X45504" t="str">
            <v>Variation UPR - gross</v>
          </cell>
          <cell r="Y45504" t="str">
            <v>COSTA RICA</v>
          </cell>
        </row>
        <row r="45505">
          <cell r="L45505" t="str">
            <v>Non-proportional</v>
          </cell>
          <cell r="S45505">
            <v>-5224.38</v>
          </cell>
          <cell r="X45505" t="str">
            <v>Variation UPR - gross</v>
          </cell>
          <cell r="Y45505" t="str">
            <v>COLOMBIA</v>
          </cell>
        </row>
        <row r="45506">
          <cell r="L45506" t="str">
            <v>Non-proportional</v>
          </cell>
          <cell r="S45506">
            <v>-2495.2199999999998</v>
          </cell>
          <cell r="X45506" t="str">
            <v>Variation UPR - gross</v>
          </cell>
          <cell r="Y45506" t="str">
            <v>ITALY</v>
          </cell>
        </row>
        <row r="45507">
          <cell r="L45507" t="str">
            <v>Non-proportional</v>
          </cell>
          <cell r="S45507">
            <v>-9187.5</v>
          </cell>
          <cell r="X45507" t="str">
            <v>Variation UPR - gross</v>
          </cell>
          <cell r="Y45507" t="str">
            <v>TURKEY</v>
          </cell>
        </row>
        <row r="45508">
          <cell r="L45508" t="str">
            <v>Non-proportional</v>
          </cell>
          <cell r="S45508">
            <v>-6963.2</v>
          </cell>
          <cell r="X45508" t="str">
            <v>Variation UPR - gross</v>
          </cell>
          <cell r="Y45508" t="str">
            <v>FRANCE</v>
          </cell>
        </row>
        <row r="45509">
          <cell r="L45509" t="str">
            <v>Non-proportional</v>
          </cell>
          <cell r="S45509">
            <v>-2469.62</v>
          </cell>
          <cell r="X45509" t="str">
            <v>Variation UPR - gross</v>
          </cell>
          <cell r="Y45509" t="str">
            <v>FRANCE</v>
          </cell>
        </row>
        <row r="45510">
          <cell r="L45510" t="str">
            <v>Non-proportional</v>
          </cell>
          <cell r="S45510">
            <v>-4509.75</v>
          </cell>
          <cell r="X45510" t="str">
            <v>Variation UPR - gross</v>
          </cell>
          <cell r="Y45510" t="str">
            <v>FRANCE</v>
          </cell>
        </row>
        <row r="45511">
          <cell r="L45511" t="str">
            <v>Non-proportional</v>
          </cell>
          <cell r="S45511">
            <v>-1718</v>
          </cell>
          <cell r="X45511" t="str">
            <v>Variation UPR - gross</v>
          </cell>
          <cell r="Y45511" t="str">
            <v>FRANCE</v>
          </cell>
        </row>
        <row r="45512">
          <cell r="L45512" t="str">
            <v>Non-proportional</v>
          </cell>
          <cell r="S45512">
            <v>-10909.08</v>
          </cell>
          <cell r="X45512" t="str">
            <v>Variation UPR - gross</v>
          </cell>
          <cell r="Y45512" t="str">
            <v>ITALY</v>
          </cell>
        </row>
        <row r="45513">
          <cell r="L45513" t="str">
            <v>Non-proportional</v>
          </cell>
          <cell r="S45513">
            <v>-5121.7700000000004</v>
          </cell>
          <cell r="X45513" t="str">
            <v>Variation UPR - gross</v>
          </cell>
          <cell r="Y45513" t="str">
            <v>SOUTH AFRICA</v>
          </cell>
        </row>
        <row r="45514">
          <cell r="L45514" t="str">
            <v>Non-proportional</v>
          </cell>
          <cell r="S45514">
            <v>-1840.09</v>
          </cell>
          <cell r="X45514" t="str">
            <v>Variation UPR - gross</v>
          </cell>
          <cell r="Y45514" t="str">
            <v>CHILE</v>
          </cell>
        </row>
        <row r="45515">
          <cell r="L45515" t="str">
            <v>Non-proportional</v>
          </cell>
          <cell r="S45515">
            <v>37.549999999999997</v>
          </cell>
          <cell r="X45515" t="str">
            <v>Variation UPR - gross</v>
          </cell>
          <cell r="Y45515" t="str">
            <v>CHILE</v>
          </cell>
        </row>
        <row r="45516">
          <cell r="L45516" t="str">
            <v>Non-proportional</v>
          </cell>
          <cell r="S45516">
            <v>-38437.26</v>
          </cell>
          <cell r="X45516" t="str">
            <v>Variation UPR - gross</v>
          </cell>
          <cell r="Y45516" t="str">
            <v>UNITED STATES</v>
          </cell>
        </row>
        <row r="45517">
          <cell r="L45517" t="str">
            <v>Non-proportional</v>
          </cell>
          <cell r="S45517">
            <v>-1946.5</v>
          </cell>
          <cell r="X45517" t="str">
            <v>Variation UPR - gross</v>
          </cell>
          <cell r="Y45517" t="str">
            <v>REPUBLIC OF IRELAND</v>
          </cell>
        </row>
        <row r="45518">
          <cell r="L45518" t="str">
            <v>Non-proportional</v>
          </cell>
          <cell r="S45518">
            <v>1.62</v>
          </cell>
          <cell r="X45518" t="str">
            <v>Variation UPR - gross</v>
          </cell>
          <cell r="Y45518" t="str">
            <v>GUATEMALA</v>
          </cell>
        </row>
        <row r="45519">
          <cell r="L45519" t="str">
            <v>Non-proportional</v>
          </cell>
          <cell r="S45519">
            <v>168.49</v>
          </cell>
          <cell r="X45519" t="str">
            <v>Variation UPR - gross</v>
          </cell>
          <cell r="Y45519" t="str">
            <v>JAPAN</v>
          </cell>
        </row>
        <row r="45520">
          <cell r="L45520" t="str">
            <v>Proportional</v>
          </cell>
          <cell r="S45520">
            <v>-13801.05</v>
          </cell>
          <cell r="X45520" t="str">
            <v>Variation UPR - gross</v>
          </cell>
          <cell r="Y45520" t="str">
            <v>THAILAND</v>
          </cell>
        </row>
        <row r="45521">
          <cell r="L45521" t="str">
            <v>Proportional</v>
          </cell>
          <cell r="S45521">
            <v>-854090.79</v>
          </cell>
          <cell r="X45521" t="str">
            <v>Variation UPR - gross</v>
          </cell>
          <cell r="Y45521" t="str">
            <v>HONG KONG</v>
          </cell>
        </row>
        <row r="45522">
          <cell r="L45522" t="str">
            <v>Non-proportional</v>
          </cell>
          <cell r="S45522">
            <v>-7798.36</v>
          </cell>
          <cell r="X45522" t="str">
            <v>Variation UPR - gross</v>
          </cell>
          <cell r="Y45522" t="str">
            <v>UNITED KINGDOM</v>
          </cell>
        </row>
        <row r="45523">
          <cell r="L45523" t="str">
            <v>Non-proportional</v>
          </cell>
          <cell r="S45523">
            <v>-3149.99</v>
          </cell>
          <cell r="X45523" t="str">
            <v>Variation UPR - gross</v>
          </cell>
          <cell r="Y45523" t="str">
            <v>ECUADOR</v>
          </cell>
        </row>
        <row r="45524">
          <cell r="L45524" t="str">
            <v>Non-proportional</v>
          </cell>
          <cell r="S45524">
            <v>-1724.2</v>
          </cell>
          <cell r="X45524" t="str">
            <v>Variation UPR - gross</v>
          </cell>
          <cell r="Y45524" t="str">
            <v>NEW ZEALAND</v>
          </cell>
        </row>
        <row r="45525">
          <cell r="L45525" t="str">
            <v>Non-proportional</v>
          </cell>
          <cell r="S45525">
            <v>-2187.5</v>
          </cell>
          <cell r="X45525" t="str">
            <v>Variation UPR - gross</v>
          </cell>
          <cell r="Y45525" t="str">
            <v>GERMANY</v>
          </cell>
        </row>
        <row r="45526">
          <cell r="L45526" t="str">
            <v>Non-proportional</v>
          </cell>
          <cell r="S45526">
            <v>-901.27</v>
          </cell>
          <cell r="X45526" t="str">
            <v>Variation UPR - gross</v>
          </cell>
          <cell r="Y45526" t="str">
            <v>CHILE</v>
          </cell>
        </row>
        <row r="45527">
          <cell r="L45527" t="str">
            <v>Non-proportional</v>
          </cell>
          <cell r="S45527">
            <v>-3342.2</v>
          </cell>
          <cell r="X45527" t="str">
            <v>Variation UPR - gross</v>
          </cell>
          <cell r="Y45527" t="str">
            <v>CHILE</v>
          </cell>
        </row>
        <row r="45528">
          <cell r="L45528" t="str">
            <v>Non-proportional</v>
          </cell>
          <cell r="S45528">
            <v>-4971.4799999999996</v>
          </cell>
          <cell r="X45528" t="str">
            <v>Variation UPR - gross</v>
          </cell>
          <cell r="Y45528" t="str">
            <v>EUROPE</v>
          </cell>
        </row>
        <row r="45529">
          <cell r="L45529" t="str">
            <v>Proportional</v>
          </cell>
          <cell r="S45529">
            <v>-114.99</v>
          </cell>
          <cell r="X45529" t="str">
            <v>Variation UPR - gross</v>
          </cell>
          <cell r="Y45529" t="str">
            <v>THAILAND</v>
          </cell>
        </row>
        <row r="45530">
          <cell r="L45530" t="str">
            <v>Non-proportional</v>
          </cell>
          <cell r="S45530">
            <v>-961356.9</v>
          </cell>
          <cell r="X45530" t="str">
            <v>Variation UPR - gross</v>
          </cell>
          <cell r="Y45530" t="str">
            <v>UNITED KINGDOM</v>
          </cell>
        </row>
        <row r="45531">
          <cell r="L45531" t="str">
            <v>Non-proportional</v>
          </cell>
          <cell r="S45531">
            <v>-637225.6</v>
          </cell>
          <cell r="X45531" t="str">
            <v>Variation UPR - gross</v>
          </cell>
          <cell r="Y45531" t="str">
            <v>BELGIUM</v>
          </cell>
        </row>
        <row r="45532">
          <cell r="L45532" t="str">
            <v>Non-proportional</v>
          </cell>
          <cell r="S45532">
            <v>-868.22</v>
          </cell>
          <cell r="X45532" t="str">
            <v>Variation UPR - gross</v>
          </cell>
          <cell r="Y45532" t="str">
            <v>INDIA</v>
          </cell>
        </row>
        <row r="45533">
          <cell r="L45533" t="str">
            <v>Proportional</v>
          </cell>
          <cell r="S45533">
            <v>-482.01</v>
          </cell>
          <cell r="X45533" t="str">
            <v>Variation UPR - gross</v>
          </cell>
          <cell r="Y45533" t="str">
            <v>THAILAND</v>
          </cell>
        </row>
        <row r="45534">
          <cell r="L45534" t="str">
            <v>Non-proportional</v>
          </cell>
          <cell r="S45534">
            <v>-13702.13</v>
          </cell>
          <cell r="X45534" t="str">
            <v>Variation UPR - gross</v>
          </cell>
          <cell r="Y45534" t="str">
            <v>ISRAEL</v>
          </cell>
        </row>
        <row r="45535">
          <cell r="L45535" t="str">
            <v>Proportional</v>
          </cell>
          <cell r="S45535">
            <v>-2891.56</v>
          </cell>
          <cell r="X45535" t="str">
            <v>Variation UPR - gross</v>
          </cell>
          <cell r="Y45535" t="str">
            <v>CHILE</v>
          </cell>
        </row>
        <row r="45536">
          <cell r="L45536" t="str">
            <v>Non-proportional</v>
          </cell>
          <cell r="S45536">
            <v>-2844.51</v>
          </cell>
          <cell r="X45536" t="str">
            <v>Variation UPR - gross</v>
          </cell>
          <cell r="Y45536" t="str">
            <v>AUSTRALIA</v>
          </cell>
        </row>
        <row r="45537">
          <cell r="L45537" t="str">
            <v>Non-proportional</v>
          </cell>
          <cell r="S45537">
            <v>-508.97</v>
          </cell>
          <cell r="X45537" t="str">
            <v>Variation UPR - gross</v>
          </cell>
          <cell r="Y45537" t="str">
            <v>JAPAN</v>
          </cell>
        </row>
        <row r="45538">
          <cell r="L45538" t="str">
            <v>Non-proportional</v>
          </cell>
          <cell r="S45538">
            <v>-7437.5</v>
          </cell>
          <cell r="X45538" t="str">
            <v>Variation UPR - gross</v>
          </cell>
          <cell r="Y45538" t="str">
            <v>ITALY</v>
          </cell>
        </row>
        <row r="45539">
          <cell r="L45539" t="str">
            <v>Non-proportional</v>
          </cell>
          <cell r="S45539">
            <v>-3346.35</v>
          </cell>
          <cell r="X45539" t="str">
            <v>Variation UPR - gross</v>
          </cell>
          <cell r="Y45539" t="str">
            <v>DOMINICAN REPUBLIC</v>
          </cell>
        </row>
        <row r="45540">
          <cell r="L45540" t="str">
            <v>Proportional</v>
          </cell>
          <cell r="S45540">
            <v>-331.47</v>
          </cell>
          <cell r="X45540" t="str">
            <v>Variation UPR - gross</v>
          </cell>
          <cell r="Y45540" t="str">
            <v>UNITED STATES</v>
          </cell>
        </row>
        <row r="45541">
          <cell r="L45541" t="str">
            <v>Proportional</v>
          </cell>
          <cell r="S45541">
            <v>-2339.85</v>
          </cell>
          <cell r="X45541" t="str">
            <v>Variation UPR - gross</v>
          </cell>
          <cell r="Y45541" t="str">
            <v>UNITED STATES</v>
          </cell>
        </row>
        <row r="45542">
          <cell r="L45542" t="str">
            <v>Non-proportional</v>
          </cell>
          <cell r="S45542">
            <v>71.3</v>
          </cell>
          <cell r="X45542" t="str">
            <v>Variation UPR - gross</v>
          </cell>
          <cell r="Y45542" t="str">
            <v>DOMINICAN REPUBLIC</v>
          </cell>
        </row>
        <row r="45543">
          <cell r="L45543" t="str">
            <v>Proportional</v>
          </cell>
          <cell r="S45543">
            <v>-33.03</v>
          </cell>
          <cell r="X45543" t="str">
            <v>Variation UPR - gross</v>
          </cell>
          <cell r="Y45543" t="str">
            <v>THAILAND</v>
          </cell>
        </row>
        <row r="45544">
          <cell r="L45544" t="str">
            <v>Non-proportional</v>
          </cell>
          <cell r="S45544">
            <v>222.32</v>
          </cell>
          <cell r="X45544" t="str">
            <v>Variation UPR - gross</v>
          </cell>
          <cell r="Y45544" t="str">
            <v>SOUTH KOREA</v>
          </cell>
        </row>
        <row r="45545">
          <cell r="L45545" t="str">
            <v>Non-proportional</v>
          </cell>
          <cell r="S45545">
            <v>-86293.79</v>
          </cell>
          <cell r="X45545" t="str">
            <v>Variation UPR - gross</v>
          </cell>
          <cell r="Y45545" t="str">
            <v>UNITED KINGDOM</v>
          </cell>
        </row>
        <row r="45546">
          <cell r="L45546" t="str">
            <v>Non-proportional</v>
          </cell>
          <cell r="S45546">
            <v>104.82</v>
          </cell>
          <cell r="X45546" t="str">
            <v>Variation UPR - gross</v>
          </cell>
          <cell r="Y45546" t="str">
            <v>JAPAN</v>
          </cell>
        </row>
        <row r="45547">
          <cell r="L45547" t="str">
            <v>Non-proportional</v>
          </cell>
          <cell r="S45547">
            <v>-158.58000000000001</v>
          </cell>
          <cell r="X45547" t="str">
            <v>Variation UPR - gross</v>
          </cell>
          <cell r="Y45547" t="str">
            <v>COLOMBIA</v>
          </cell>
        </row>
        <row r="45548">
          <cell r="L45548" t="str">
            <v>Non-proportional</v>
          </cell>
          <cell r="S45548">
            <v>0.02</v>
          </cell>
          <cell r="X45548" t="str">
            <v>Variation UPR - gross</v>
          </cell>
          <cell r="Y45548" t="str">
            <v>DOMINICAN REPUBLIC</v>
          </cell>
        </row>
        <row r="45549">
          <cell r="L45549" t="str">
            <v>Non-proportional</v>
          </cell>
          <cell r="S45549">
            <v>-3103.83</v>
          </cell>
          <cell r="X45549" t="str">
            <v>Variation UPR - gross</v>
          </cell>
          <cell r="Y45549" t="str">
            <v>UNITED KINGDOM</v>
          </cell>
        </row>
        <row r="45550">
          <cell r="L45550" t="str">
            <v>Non-proportional</v>
          </cell>
          <cell r="S45550">
            <v>-91.8</v>
          </cell>
          <cell r="X45550" t="str">
            <v>Variation UPR - gross</v>
          </cell>
          <cell r="Y45550" t="str">
            <v>BRAZIL</v>
          </cell>
        </row>
        <row r="45551">
          <cell r="L45551" t="str">
            <v>Non-proportional</v>
          </cell>
          <cell r="S45551">
            <v>-9013.5300000000007</v>
          </cell>
          <cell r="X45551" t="str">
            <v>Variation UPR - gross</v>
          </cell>
          <cell r="Y45551" t="str">
            <v>ECUADOR</v>
          </cell>
        </row>
        <row r="45552">
          <cell r="L45552" t="str">
            <v>Non-proportional</v>
          </cell>
          <cell r="S45552">
            <v>-3780</v>
          </cell>
          <cell r="X45552" t="str">
            <v>Variation UPR - gross</v>
          </cell>
          <cell r="Y45552" t="str">
            <v>GREECE</v>
          </cell>
        </row>
        <row r="45553">
          <cell r="L45553" t="str">
            <v>Non-proportional</v>
          </cell>
          <cell r="S45553">
            <v>-55.33</v>
          </cell>
          <cell r="X45553" t="str">
            <v>Variation UPR - gross</v>
          </cell>
          <cell r="Y45553" t="str">
            <v>ISRAEL</v>
          </cell>
        </row>
        <row r="45554">
          <cell r="L45554" t="str">
            <v>Non-proportional</v>
          </cell>
          <cell r="S45554">
            <v>-7920.45</v>
          </cell>
          <cell r="X45554" t="str">
            <v>Variation UPR - gross</v>
          </cell>
          <cell r="Y45554" t="str">
            <v>PERU</v>
          </cell>
        </row>
        <row r="45555">
          <cell r="L45555" t="str">
            <v>Proportional</v>
          </cell>
          <cell r="S45555">
            <v>-426.62</v>
          </cell>
          <cell r="X45555" t="str">
            <v>Variation UPR - gross</v>
          </cell>
          <cell r="Y45555" t="str">
            <v>CHILE</v>
          </cell>
        </row>
        <row r="45556">
          <cell r="L45556" t="str">
            <v>Proportional</v>
          </cell>
          <cell r="S45556">
            <v>7.96</v>
          </cell>
          <cell r="X45556" t="str">
            <v>Variation UPR - gross</v>
          </cell>
          <cell r="Y45556" t="str">
            <v>UNITED STATES</v>
          </cell>
        </row>
        <row r="45557">
          <cell r="L45557" t="str">
            <v>Non-proportional</v>
          </cell>
          <cell r="S45557">
            <v>-2043.75</v>
          </cell>
          <cell r="X45557" t="str">
            <v>Variation UPR - gross</v>
          </cell>
          <cell r="Y45557" t="str">
            <v>GREECE</v>
          </cell>
        </row>
        <row r="45558">
          <cell r="L45558" t="str">
            <v>Non-proportional</v>
          </cell>
          <cell r="S45558">
            <v>-9043.94</v>
          </cell>
          <cell r="X45558" t="str">
            <v>Variation UPR - gross</v>
          </cell>
          <cell r="Y45558" t="str">
            <v>FRANCE</v>
          </cell>
        </row>
        <row r="45559">
          <cell r="L45559" t="str">
            <v>Non-proportional</v>
          </cell>
          <cell r="S45559">
            <v>-10120.5</v>
          </cell>
          <cell r="X45559" t="str">
            <v>Variation UPR - gross</v>
          </cell>
          <cell r="Y45559" t="str">
            <v>ITALY</v>
          </cell>
        </row>
        <row r="45560">
          <cell r="L45560" t="str">
            <v>Proportional</v>
          </cell>
          <cell r="S45560">
            <v>-24.43</v>
          </cell>
          <cell r="X45560" t="str">
            <v>Variation UPR - gross</v>
          </cell>
          <cell r="Y45560" t="str">
            <v>CHILE</v>
          </cell>
        </row>
        <row r="45561">
          <cell r="L45561" t="str">
            <v>Proportional</v>
          </cell>
          <cell r="S45561">
            <v>-604.97</v>
          </cell>
          <cell r="X45561" t="str">
            <v>Variation UPR - gross</v>
          </cell>
          <cell r="Y45561" t="str">
            <v>HONG KONG</v>
          </cell>
        </row>
        <row r="45562">
          <cell r="L45562" t="str">
            <v>Non-proportional</v>
          </cell>
          <cell r="S45562">
            <v>-158248.91</v>
          </cell>
          <cell r="X45562" t="str">
            <v>Variation UPR - gross</v>
          </cell>
          <cell r="Y45562" t="str">
            <v>UNITED KINGDOM</v>
          </cell>
        </row>
        <row r="45563">
          <cell r="L45563" t="str">
            <v>Non-proportional</v>
          </cell>
          <cell r="S45563">
            <v>-136061.60999999999</v>
          </cell>
          <cell r="X45563" t="str">
            <v>Variation UPR - gross</v>
          </cell>
          <cell r="Y45563" t="str">
            <v>UNITED KINGDOM</v>
          </cell>
        </row>
        <row r="45564">
          <cell r="L45564" t="str">
            <v>Non-proportional</v>
          </cell>
          <cell r="S45564">
            <v>-10000</v>
          </cell>
          <cell r="X45564" t="str">
            <v>Variation UPR - gross</v>
          </cell>
          <cell r="Y45564" t="str">
            <v>ITALY</v>
          </cell>
        </row>
        <row r="45565">
          <cell r="L45565" t="str">
            <v>Non-proportional</v>
          </cell>
          <cell r="S45565">
            <v>-221935</v>
          </cell>
          <cell r="X45565" t="str">
            <v>Variation UPR - gross</v>
          </cell>
          <cell r="Y45565" t="str">
            <v>BELGIUM</v>
          </cell>
        </row>
        <row r="45566">
          <cell r="L45566" t="str">
            <v>Non-proportional</v>
          </cell>
          <cell r="S45566">
            <v>-2966.83</v>
          </cell>
          <cell r="X45566" t="str">
            <v>Variation UPR - gross</v>
          </cell>
          <cell r="Y45566" t="str">
            <v>ISRAEL</v>
          </cell>
        </row>
        <row r="45567">
          <cell r="L45567" t="str">
            <v>Non-proportional</v>
          </cell>
          <cell r="S45567">
            <v>-10009.93</v>
          </cell>
          <cell r="X45567" t="str">
            <v>Variation UPR - gross</v>
          </cell>
          <cell r="Y45567" t="str">
            <v>NEW ZEALAND</v>
          </cell>
        </row>
        <row r="45568">
          <cell r="L45568" t="str">
            <v>Non-proportional</v>
          </cell>
          <cell r="S45568">
            <v>-851.06</v>
          </cell>
          <cell r="X45568" t="str">
            <v>Variation UPR - gross</v>
          </cell>
          <cell r="Y45568" t="str">
            <v>COSTA RICA</v>
          </cell>
        </row>
        <row r="45569">
          <cell r="L45569" t="str">
            <v>Non-proportional</v>
          </cell>
          <cell r="S45569">
            <v>-6575.2</v>
          </cell>
          <cell r="X45569" t="str">
            <v>Variation UPR - gross</v>
          </cell>
          <cell r="Y45569" t="str">
            <v>UNITED KINGDOM</v>
          </cell>
        </row>
        <row r="45570">
          <cell r="L45570" t="str">
            <v>Non-proportional</v>
          </cell>
          <cell r="S45570">
            <v>-375.42</v>
          </cell>
          <cell r="X45570" t="str">
            <v>Variation UPR - gross</v>
          </cell>
          <cell r="Y45570" t="str">
            <v>ITALY</v>
          </cell>
        </row>
        <row r="45571">
          <cell r="L45571" t="str">
            <v>Non-proportional</v>
          </cell>
          <cell r="S45571">
            <v>-46.73</v>
          </cell>
          <cell r="X45571" t="str">
            <v>Variation UPR - gross</v>
          </cell>
          <cell r="Y45571" t="str">
            <v>ISRAEL</v>
          </cell>
        </row>
        <row r="45572">
          <cell r="L45572" t="str">
            <v>Non-proportional</v>
          </cell>
          <cell r="S45572">
            <v>-3854.17</v>
          </cell>
          <cell r="X45572" t="str">
            <v>Variation UPR - gross</v>
          </cell>
          <cell r="Y45572" t="str">
            <v>FRANCE</v>
          </cell>
        </row>
        <row r="45573">
          <cell r="L45573" t="str">
            <v>Proportional</v>
          </cell>
          <cell r="S45573">
            <v>-67007.73</v>
          </cell>
          <cell r="X45573" t="str">
            <v>Variation UPR - gross</v>
          </cell>
          <cell r="Y45573" t="str">
            <v>ITALY</v>
          </cell>
        </row>
        <row r="45574">
          <cell r="L45574" t="str">
            <v>Non-proportional</v>
          </cell>
          <cell r="S45574">
            <v>-7897.5</v>
          </cell>
          <cell r="X45574" t="str">
            <v>Variation UPR - gross</v>
          </cell>
          <cell r="Y45574" t="str">
            <v>ITALY</v>
          </cell>
        </row>
        <row r="45575">
          <cell r="L45575" t="str">
            <v>Non-proportional</v>
          </cell>
          <cell r="S45575">
            <v>21.44</v>
          </cell>
          <cell r="X45575" t="str">
            <v>Variation UPR - gross</v>
          </cell>
          <cell r="Y45575" t="str">
            <v>JAPAN</v>
          </cell>
        </row>
        <row r="45576">
          <cell r="L45576" t="str">
            <v>Non-proportional</v>
          </cell>
          <cell r="S45576">
            <v>-258724.41</v>
          </cell>
          <cell r="X45576" t="str">
            <v>Variation UPR - gross</v>
          </cell>
          <cell r="Y45576" t="str">
            <v>UNITED KINGDOM</v>
          </cell>
        </row>
        <row r="45577">
          <cell r="L45577" t="str">
            <v>Non-proportional</v>
          </cell>
          <cell r="S45577">
            <v>-10000</v>
          </cell>
          <cell r="X45577" t="str">
            <v>Variation UPR - gross</v>
          </cell>
          <cell r="Y45577" t="str">
            <v>EUROPE</v>
          </cell>
        </row>
        <row r="45578">
          <cell r="L45578" t="str">
            <v>Non-proportional</v>
          </cell>
          <cell r="S45578">
            <v>39.54</v>
          </cell>
          <cell r="X45578" t="str">
            <v>Variation UPR - gross</v>
          </cell>
          <cell r="Y45578" t="str">
            <v>AUSTRALIA</v>
          </cell>
        </row>
        <row r="45579">
          <cell r="L45579" t="str">
            <v>Non-proportional</v>
          </cell>
          <cell r="S45579">
            <v>-590.14</v>
          </cell>
          <cell r="X45579" t="str">
            <v>Variation UPR - gross</v>
          </cell>
          <cell r="Y45579" t="str">
            <v>INDIA</v>
          </cell>
        </row>
        <row r="45580">
          <cell r="L45580" t="str">
            <v>Non-proportional</v>
          </cell>
          <cell r="S45580">
            <v>-9333.33</v>
          </cell>
          <cell r="X45580" t="str">
            <v>Variation UPR - gross</v>
          </cell>
          <cell r="Y45580" t="str">
            <v>PORTUGAL</v>
          </cell>
        </row>
        <row r="45581">
          <cell r="L45581" t="str">
            <v>Non-proportional</v>
          </cell>
          <cell r="S45581">
            <v>-345175.18</v>
          </cell>
          <cell r="X45581" t="str">
            <v>Variation UPR - gross</v>
          </cell>
          <cell r="Y45581" t="str">
            <v>UNITED KINGDOM</v>
          </cell>
        </row>
        <row r="45582">
          <cell r="L45582" t="str">
            <v>Non-proportional</v>
          </cell>
          <cell r="S45582">
            <v>0.01</v>
          </cell>
          <cell r="X45582" t="str">
            <v>Variation UPR - gross</v>
          </cell>
          <cell r="Y45582" t="str">
            <v>DOMINICAN REPUBLIC</v>
          </cell>
        </row>
        <row r="45583">
          <cell r="L45583" t="str">
            <v>Non-proportional</v>
          </cell>
          <cell r="S45583">
            <v>74.47</v>
          </cell>
          <cell r="X45583" t="str">
            <v>Variation UPR - gross</v>
          </cell>
          <cell r="Y45583" t="str">
            <v>JAPAN</v>
          </cell>
        </row>
        <row r="45584">
          <cell r="L45584" t="str">
            <v>Proportional</v>
          </cell>
          <cell r="S45584">
            <v>-37.549999999999997</v>
          </cell>
          <cell r="X45584" t="str">
            <v>Variation UPR - gross</v>
          </cell>
          <cell r="Y45584" t="str">
            <v>CHILE</v>
          </cell>
        </row>
        <row r="45585">
          <cell r="L45585" t="str">
            <v>Non-proportional</v>
          </cell>
          <cell r="S45585">
            <v>-5624.47</v>
          </cell>
          <cell r="X45585" t="str">
            <v>Variation UPR - gross</v>
          </cell>
          <cell r="Y45585" t="str">
            <v>PUERTO RICO</v>
          </cell>
        </row>
        <row r="45586">
          <cell r="L45586" t="str">
            <v>Non-proportional</v>
          </cell>
          <cell r="S45586">
            <v>-1169.5</v>
          </cell>
          <cell r="X45586" t="str">
            <v>Variation UPR - gross</v>
          </cell>
          <cell r="Y45586" t="str">
            <v>JAPAN</v>
          </cell>
        </row>
        <row r="45587">
          <cell r="L45587" t="str">
            <v>Non-proportional</v>
          </cell>
          <cell r="S45587">
            <v>-5844.38</v>
          </cell>
          <cell r="X45587" t="str">
            <v>Variation UPR - gross</v>
          </cell>
          <cell r="Y45587" t="str">
            <v>AUSTRALIA</v>
          </cell>
        </row>
        <row r="45588">
          <cell r="L45588" t="str">
            <v>Non-proportional</v>
          </cell>
          <cell r="S45588">
            <v>-5332.62</v>
          </cell>
          <cell r="X45588" t="str">
            <v>Variation UPR - gross</v>
          </cell>
          <cell r="Y45588" t="str">
            <v>AUSTRALIA</v>
          </cell>
        </row>
        <row r="45589">
          <cell r="L45589" t="str">
            <v>Non-proportional</v>
          </cell>
          <cell r="S45589">
            <v>-874.79</v>
          </cell>
          <cell r="X45589" t="str">
            <v>Variation UPR - gross</v>
          </cell>
          <cell r="Y45589" t="str">
            <v>JAPAN</v>
          </cell>
        </row>
        <row r="45590">
          <cell r="L45590" t="str">
            <v>Non-proportional</v>
          </cell>
          <cell r="S45590">
            <v>103.4</v>
          </cell>
          <cell r="X45590" t="str">
            <v>Variation UPR - gross</v>
          </cell>
          <cell r="Y45590" t="str">
            <v>AUSTRALIA</v>
          </cell>
        </row>
        <row r="45591">
          <cell r="L45591" t="str">
            <v>Non-proportional</v>
          </cell>
          <cell r="S45591">
            <v>89.3</v>
          </cell>
          <cell r="X45591" t="str">
            <v>Variation UPR - gross</v>
          </cell>
          <cell r="Y45591" t="str">
            <v>AUSTRALIA</v>
          </cell>
        </row>
        <row r="45592">
          <cell r="L45592" t="str">
            <v>Non-proportional</v>
          </cell>
          <cell r="S45592">
            <v>-15431.6</v>
          </cell>
          <cell r="X45592" t="str">
            <v>Variation UPR - gross</v>
          </cell>
          <cell r="Y45592" t="str">
            <v>UNITED KINGDOM</v>
          </cell>
        </row>
        <row r="45593">
          <cell r="L45593" t="str">
            <v>Proportional</v>
          </cell>
          <cell r="S45593">
            <v>651.83000000000004</v>
          </cell>
          <cell r="X45593" t="str">
            <v>Variation UPR - gross</v>
          </cell>
          <cell r="Y45593" t="str">
            <v>THAILAND</v>
          </cell>
        </row>
        <row r="45594">
          <cell r="L45594" t="str">
            <v>Proportional</v>
          </cell>
          <cell r="S45594">
            <v>-30.91</v>
          </cell>
          <cell r="X45594" t="str">
            <v>Variation UPR - gross</v>
          </cell>
          <cell r="Y45594" t="str">
            <v>THAILAND</v>
          </cell>
        </row>
        <row r="45595">
          <cell r="L45595" t="str">
            <v>Non-proportional</v>
          </cell>
          <cell r="S45595">
            <v>105.86</v>
          </cell>
          <cell r="X45595" t="str">
            <v>Variation UPR - gross</v>
          </cell>
          <cell r="Y45595" t="str">
            <v>JAPAN</v>
          </cell>
        </row>
        <row r="45596">
          <cell r="L45596" t="str">
            <v>Non-proportional</v>
          </cell>
          <cell r="S45596">
            <v>884.83</v>
          </cell>
          <cell r="X45596" t="str">
            <v>Variation UPR - gross</v>
          </cell>
          <cell r="Y45596" t="str">
            <v>JAPAN</v>
          </cell>
        </row>
        <row r="45597">
          <cell r="L45597" t="str">
            <v>Non-proportional</v>
          </cell>
          <cell r="S45597">
            <v>-5001.13</v>
          </cell>
          <cell r="X45597" t="str">
            <v>Variation UPR - gross</v>
          </cell>
          <cell r="Y45597" t="str">
            <v>ITALY</v>
          </cell>
        </row>
        <row r="45598">
          <cell r="L45598" t="str">
            <v>Non-proportional</v>
          </cell>
          <cell r="S45598">
            <v>-740.4</v>
          </cell>
          <cell r="X45598" t="str">
            <v>Variation UPR - gross</v>
          </cell>
          <cell r="Y45598" t="str">
            <v>FRANCE</v>
          </cell>
        </row>
        <row r="45599">
          <cell r="L45599" t="str">
            <v>Non-proportional</v>
          </cell>
          <cell r="S45599">
            <v>-1946.21</v>
          </cell>
          <cell r="X45599" t="str">
            <v>Variation UPR - gross</v>
          </cell>
          <cell r="Y45599" t="str">
            <v>ISRAEL</v>
          </cell>
        </row>
        <row r="45600">
          <cell r="L45600" t="str">
            <v>Non-proportional</v>
          </cell>
          <cell r="S45600">
            <v>-6218.39</v>
          </cell>
          <cell r="X45600" t="str">
            <v>Variation UPR - gross</v>
          </cell>
          <cell r="Y45600" t="str">
            <v>ECUADOR</v>
          </cell>
        </row>
        <row r="45601">
          <cell r="L45601" t="str">
            <v>Non-proportional</v>
          </cell>
          <cell r="S45601">
            <v>-16278.67</v>
          </cell>
          <cell r="X45601" t="str">
            <v>Variation UPR - gross</v>
          </cell>
          <cell r="Y45601" t="str">
            <v>ITALY</v>
          </cell>
        </row>
        <row r="45602">
          <cell r="L45602" t="str">
            <v>Non-proportional</v>
          </cell>
          <cell r="S45602">
            <v>-1563.93</v>
          </cell>
          <cell r="X45602" t="str">
            <v>Variation UPR - gross</v>
          </cell>
          <cell r="Y45602" t="str">
            <v>AUSTRALIA</v>
          </cell>
        </row>
        <row r="45603">
          <cell r="L45603" t="str">
            <v>Non-proportional</v>
          </cell>
          <cell r="S45603">
            <v>-11905.22</v>
          </cell>
          <cell r="X45603" t="str">
            <v>Variation UPR - gross</v>
          </cell>
          <cell r="Y45603" t="str">
            <v>AUSTRALIA</v>
          </cell>
        </row>
        <row r="45604">
          <cell r="L45604" t="str">
            <v>Non-proportional</v>
          </cell>
          <cell r="S45604">
            <v>-1749.72</v>
          </cell>
          <cell r="X45604" t="str">
            <v>Variation UPR - gross</v>
          </cell>
          <cell r="Y45604" t="str">
            <v>NETHERLANDS</v>
          </cell>
        </row>
        <row r="45605">
          <cell r="L45605" t="str">
            <v>Non-proportional</v>
          </cell>
          <cell r="S45605">
            <v>-3466.15</v>
          </cell>
          <cell r="X45605" t="str">
            <v>Variation UPR - gross</v>
          </cell>
          <cell r="Y45605" t="str">
            <v>AUSTRALIA</v>
          </cell>
        </row>
        <row r="45606">
          <cell r="L45606" t="str">
            <v>Non-proportional</v>
          </cell>
          <cell r="S45606">
            <v>-6270.83</v>
          </cell>
          <cell r="X45606" t="str">
            <v>Variation UPR - gross</v>
          </cell>
          <cell r="Y45606" t="str">
            <v>ITALY</v>
          </cell>
        </row>
        <row r="45607">
          <cell r="L45607" t="str">
            <v>Non-proportional</v>
          </cell>
          <cell r="S45607">
            <v>-8322.43</v>
          </cell>
          <cell r="X45607" t="str">
            <v>Variation UPR - gross</v>
          </cell>
          <cell r="Y45607" t="str">
            <v>AUSTRALIA</v>
          </cell>
        </row>
        <row r="45608">
          <cell r="L45608" t="str">
            <v>Proportional</v>
          </cell>
          <cell r="S45608">
            <v>-19715.78</v>
          </cell>
          <cell r="X45608" t="str">
            <v>Variation UPR - gross</v>
          </cell>
          <cell r="Y45608" t="str">
            <v>THAILAND</v>
          </cell>
        </row>
        <row r="45609">
          <cell r="L45609" t="str">
            <v>Non-proportional</v>
          </cell>
          <cell r="S45609">
            <v>-387.5</v>
          </cell>
          <cell r="X45609" t="str">
            <v>Variation UPR - gross</v>
          </cell>
          <cell r="Y45609" t="str">
            <v>ITALY</v>
          </cell>
        </row>
        <row r="45610">
          <cell r="L45610" t="str">
            <v>Non-proportional</v>
          </cell>
          <cell r="S45610">
            <v>192.85</v>
          </cell>
          <cell r="X45610" t="str">
            <v>Variation UPR - gross</v>
          </cell>
          <cell r="Y45610" t="str">
            <v>JAPAN</v>
          </cell>
        </row>
        <row r="45611">
          <cell r="L45611" t="str">
            <v>Non-proportional</v>
          </cell>
          <cell r="S45611">
            <v>-72.03</v>
          </cell>
          <cell r="X45611" t="str">
            <v>Variation UPR - gross</v>
          </cell>
          <cell r="Y45611" t="str">
            <v>THAILAND</v>
          </cell>
        </row>
        <row r="45612">
          <cell r="L45612" t="str">
            <v>Non-proportional</v>
          </cell>
          <cell r="S45612">
            <v>-26250.79</v>
          </cell>
          <cell r="X45612" t="str">
            <v>Variation UPR - gross</v>
          </cell>
          <cell r="Y45612" t="str">
            <v>AUSTRALIA</v>
          </cell>
        </row>
        <row r="45613">
          <cell r="L45613" t="str">
            <v>Non-proportional</v>
          </cell>
          <cell r="S45613">
            <v>13.17</v>
          </cell>
          <cell r="X45613" t="str">
            <v>Variation UPR - gross</v>
          </cell>
          <cell r="Y45613" t="str">
            <v>CHINA</v>
          </cell>
        </row>
        <row r="45614">
          <cell r="L45614" t="str">
            <v>Non-proportional</v>
          </cell>
          <cell r="S45614">
            <v>-10938.93</v>
          </cell>
          <cell r="X45614" t="str">
            <v>Variation UPR - gross</v>
          </cell>
          <cell r="Y45614" t="str">
            <v>PERU</v>
          </cell>
        </row>
        <row r="45615">
          <cell r="L45615" t="str">
            <v>Non-proportional</v>
          </cell>
          <cell r="S45615">
            <v>-5298.57</v>
          </cell>
          <cell r="X45615" t="str">
            <v>Variation UPR - gross</v>
          </cell>
          <cell r="Y45615" t="str">
            <v>ISRAEL</v>
          </cell>
        </row>
        <row r="45616">
          <cell r="L45616" t="str">
            <v>Non-proportional</v>
          </cell>
          <cell r="S45616">
            <v>-1596.89</v>
          </cell>
          <cell r="X45616" t="str">
            <v>Variation UPR - gross</v>
          </cell>
          <cell r="Y45616" t="str">
            <v>ECUADOR</v>
          </cell>
        </row>
        <row r="45617">
          <cell r="L45617" t="str">
            <v>Proportional</v>
          </cell>
          <cell r="S45617">
            <v>-863.71</v>
          </cell>
          <cell r="X45617" t="str">
            <v>Variation UPR - gross</v>
          </cell>
          <cell r="Y45617" t="str">
            <v>CHILE</v>
          </cell>
        </row>
        <row r="45618">
          <cell r="L45618" t="str">
            <v>Non-proportional</v>
          </cell>
          <cell r="S45618">
            <v>-7205.46</v>
          </cell>
          <cell r="X45618" t="str">
            <v>Variation UPR - gross</v>
          </cell>
          <cell r="Y45618" t="str">
            <v>COSTA RICA</v>
          </cell>
        </row>
        <row r="45619">
          <cell r="L45619" t="str">
            <v>Non-proportional</v>
          </cell>
          <cell r="S45619">
            <v>-22490.720000000001</v>
          </cell>
          <cell r="X45619" t="str">
            <v>Variation UPR - gross</v>
          </cell>
          <cell r="Y45619" t="str">
            <v>TURKEY</v>
          </cell>
        </row>
        <row r="45620">
          <cell r="L45620" t="str">
            <v>Non-proportional</v>
          </cell>
          <cell r="S45620">
            <v>-0.03</v>
          </cell>
          <cell r="X45620" t="str">
            <v>Variation UPR - gross</v>
          </cell>
          <cell r="Y45620" t="str">
            <v>BRAZIL</v>
          </cell>
        </row>
        <row r="45621">
          <cell r="L45621" t="str">
            <v>Non-proportional</v>
          </cell>
          <cell r="S45621">
            <v>-1904.3</v>
          </cell>
          <cell r="X45621" t="str">
            <v>Variation UPR - gross</v>
          </cell>
          <cell r="Y45621" t="str">
            <v>DOMINICAN REPUBLIC</v>
          </cell>
        </row>
        <row r="45622">
          <cell r="L45622" t="str">
            <v>Proportional</v>
          </cell>
          <cell r="S45622">
            <v>-26223.74</v>
          </cell>
          <cell r="X45622" t="str">
            <v>Variation UPR - gross</v>
          </cell>
          <cell r="Y45622" t="str">
            <v>UNITED STATES</v>
          </cell>
        </row>
        <row r="45623">
          <cell r="L45623" t="str">
            <v>Non-proportional</v>
          </cell>
          <cell r="S45623">
            <v>-2932.47</v>
          </cell>
          <cell r="X45623" t="str">
            <v>Variation UPR - gross</v>
          </cell>
          <cell r="Y45623" t="str">
            <v>ECUADOR</v>
          </cell>
        </row>
        <row r="45624">
          <cell r="L45624" t="str">
            <v>Proportional</v>
          </cell>
          <cell r="S45624">
            <v>-3995</v>
          </cell>
          <cell r="X45624" t="str">
            <v>Variation UPR - gross</v>
          </cell>
          <cell r="Y45624" t="str">
            <v>ITALY</v>
          </cell>
        </row>
        <row r="45625">
          <cell r="L45625" t="str">
            <v>Non-proportional</v>
          </cell>
          <cell r="S45625">
            <v>-6250</v>
          </cell>
          <cell r="X45625" t="str">
            <v>Variation UPR - gross</v>
          </cell>
          <cell r="Y45625" t="str">
            <v>SPAIN</v>
          </cell>
        </row>
        <row r="45626">
          <cell r="L45626" t="str">
            <v>Non-proportional</v>
          </cell>
          <cell r="S45626">
            <v>-4675.13</v>
          </cell>
          <cell r="X45626" t="str">
            <v>Variation UPR - gross</v>
          </cell>
          <cell r="Y45626" t="str">
            <v>CYPRUS</v>
          </cell>
        </row>
        <row r="45627">
          <cell r="L45627" t="str">
            <v>Non-proportional</v>
          </cell>
          <cell r="S45627">
            <v>-3828.13</v>
          </cell>
          <cell r="X45627" t="str">
            <v>Variation UPR - gross</v>
          </cell>
          <cell r="Y45627" t="str">
            <v>ITALY</v>
          </cell>
        </row>
        <row r="45628">
          <cell r="L45628" t="str">
            <v>Non-proportional</v>
          </cell>
          <cell r="S45628">
            <v>47.71</v>
          </cell>
          <cell r="X45628" t="str">
            <v>Variation UPR - gross</v>
          </cell>
          <cell r="Y45628" t="str">
            <v>DOMINICAN REPUBLIC</v>
          </cell>
        </row>
        <row r="45629">
          <cell r="L45629" t="str">
            <v>Non-proportional</v>
          </cell>
          <cell r="S45629">
            <v>-132.91999999999999</v>
          </cell>
          <cell r="X45629" t="str">
            <v>Variation UPR - gross</v>
          </cell>
          <cell r="Y45629" t="str">
            <v>ITALY</v>
          </cell>
        </row>
        <row r="45630">
          <cell r="L45630" t="str">
            <v>Non-proportional</v>
          </cell>
          <cell r="S45630">
            <v>-390</v>
          </cell>
          <cell r="X45630" t="str">
            <v>Variation UPR - gross</v>
          </cell>
          <cell r="Y45630" t="str">
            <v>ITALY</v>
          </cell>
        </row>
        <row r="45631">
          <cell r="L45631" t="str">
            <v>Proportional</v>
          </cell>
          <cell r="S45631">
            <v>-4130</v>
          </cell>
          <cell r="X45631" t="str">
            <v>Variation UPR - gross</v>
          </cell>
          <cell r="Y45631" t="str">
            <v>SAUDI ARABIA</v>
          </cell>
        </row>
        <row r="45632">
          <cell r="L45632" t="str">
            <v>Non-proportional</v>
          </cell>
          <cell r="S45632">
            <v>7.69</v>
          </cell>
          <cell r="X45632" t="str">
            <v>Variation UPR - gross</v>
          </cell>
          <cell r="Y45632" t="str">
            <v>DOMINICAN REPUBLIC</v>
          </cell>
        </row>
        <row r="45633">
          <cell r="L45633" t="str">
            <v>Non-proportional</v>
          </cell>
          <cell r="S45633">
            <v>-3281.25</v>
          </cell>
          <cell r="X45633" t="str">
            <v>Variation UPR - gross</v>
          </cell>
          <cell r="Y45633" t="str">
            <v>ITALY</v>
          </cell>
        </row>
        <row r="45634">
          <cell r="L45634" t="str">
            <v>Non-proportional</v>
          </cell>
          <cell r="S45634">
            <v>-57.37</v>
          </cell>
          <cell r="X45634" t="str">
            <v>Variation UPR - gross</v>
          </cell>
          <cell r="Y45634" t="str">
            <v>BRAZIL</v>
          </cell>
        </row>
        <row r="45635">
          <cell r="L45635" t="str">
            <v>Non-proportional</v>
          </cell>
          <cell r="S45635">
            <v>-2197.7399999999998</v>
          </cell>
          <cell r="X45635" t="str">
            <v>Variation UPR - gross</v>
          </cell>
          <cell r="Y45635" t="str">
            <v>ECUADOR</v>
          </cell>
        </row>
        <row r="45636">
          <cell r="L45636" t="str">
            <v>Non-proportional</v>
          </cell>
          <cell r="S45636">
            <v>-4890.08</v>
          </cell>
          <cell r="X45636" t="str">
            <v>Variation UPR - gross</v>
          </cell>
          <cell r="Y45636" t="str">
            <v>FRANCE</v>
          </cell>
        </row>
        <row r="45637">
          <cell r="L45637" t="str">
            <v>Non-proportional</v>
          </cell>
          <cell r="S45637">
            <v>-1480.8</v>
          </cell>
          <cell r="X45637" t="str">
            <v>Variation UPR - gross</v>
          </cell>
          <cell r="Y45637" t="str">
            <v>FRANCE</v>
          </cell>
        </row>
        <row r="45638">
          <cell r="L45638" t="str">
            <v>Non-proportional</v>
          </cell>
          <cell r="S45638">
            <v>-4895.57</v>
          </cell>
          <cell r="X45638" t="str">
            <v>Variation UPR - gross</v>
          </cell>
          <cell r="Y45638" t="str">
            <v>INDIA</v>
          </cell>
        </row>
        <row r="45639">
          <cell r="L45639" t="str">
            <v>Non-proportional</v>
          </cell>
          <cell r="S45639">
            <v>-5494.94</v>
          </cell>
          <cell r="X45639" t="str">
            <v>Variation UPR - gross</v>
          </cell>
          <cell r="Y45639" t="str">
            <v>INDIA</v>
          </cell>
        </row>
        <row r="45640">
          <cell r="L45640" t="str">
            <v>Non-proportional</v>
          </cell>
          <cell r="S45640">
            <v>-928.96</v>
          </cell>
          <cell r="X45640" t="str">
            <v>Variation UPR - gross</v>
          </cell>
          <cell r="Y45640" t="str">
            <v>DOMINICAN REPUBLIC</v>
          </cell>
        </row>
        <row r="45641">
          <cell r="L45641" t="str">
            <v>Non-proportional</v>
          </cell>
          <cell r="S45641">
            <v>-8500</v>
          </cell>
          <cell r="X45641" t="str">
            <v>Variation UPR - gross</v>
          </cell>
          <cell r="Y45641" t="str">
            <v>ITALY</v>
          </cell>
        </row>
        <row r="45642">
          <cell r="L45642" t="str">
            <v>Non-proportional</v>
          </cell>
          <cell r="S45642">
            <v>-4178.3599999999997</v>
          </cell>
          <cell r="X45642" t="str">
            <v>Variation UPR - gross</v>
          </cell>
          <cell r="Y45642" t="str">
            <v>UNITED KINGDOM</v>
          </cell>
        </row>
        <row r="45643">
          <cell r="L45643" t="str">
            <v>Non-proportional</v>
          </cell>
          <cell r="S45643">
            <v>-1302.4000000000001</v>
          </cell>
          <cell r="X45643" t="str">
            <v>Variation UPR - gross</v>
          </cell>
          <cell r="Y45643" t="str">
            <v>PUERTO RICO</v>
          </cell>
        </row>
        <row r="45644">
          <cell r="L45644" t="str">
            <v>Non-proportional</v>
          </cell>
          <cell r="S45644">
            <v>-10239.09</v>
          </cell>
          <cell r="X45644" t="str">
            <v>Variation UPR - gross</v>
          </cell>
          <cell r="Y45644" t="str">
            <v>UNITED KINGDOM</v>
          </cell>
        </row>
        <row r="45645">
          <cell r="L45645" t="str">
            <v>Non-proportional</v>
          </cell>
          <cell r="S45645">
            <v>-350018.84</v>
          </cell>
          <cell r="X45645" t="str">
            <v>Variation UPR - gross</v>
          </cell>
          <cell r="Y45645" t="str">
            <v>EUROPE</v>
          </cell>
        </row>
        <row r="45646">
          <cell r="L45646" t="str">
            <v>Proportional</v>
          </cell>
          <cell r="S45646">
            <v>42.68</v>
          </cell>
          <cell r="X45646" t="str">
            <v>Variation UPR - gross</v>
          </cell>
          <cell r="Y45646" t="str">
            <v>THAILAND</v>
          </cell>
        </row>
        <row r="45647">
          <cell r="L45647" t="str">
            <v>Proportional</v>
          </cell>
          <cell r="S45647">
            <v>-7056.29</v>
          </cell>
          <cell r="X45647" t="str">
            <v>Variation UPR - gross</v>
          </cell>
          <cell r="Y45647" t="str">
            <v>THAILAND</v>
          </cell>
        </row>
        <row r="45648">
          <cell r="L45648" t="str">
            <v>Proportional</v>
          </cell>
          <cell r="S45648">
            <v>-3082.75</v>
          </cell>
          <cell r="X45648" t="str">
            <v>Variation UPR - gross</v>
          </cell>
          <cell r="Y45648" t="str">
            <v>REPUBLIC OF IRELAND</v>
          </cell>
        </row>
        <row r="45649">
          <cell r="L45649" t="str">
            <v>Non-proportional</v>
          </cell>
          <cell r="S45649">
            <v>-3502.11</v>
          </cell>
          <cell r="X45649" t="str">
            <v>Variation UPR - gross</v>
          </cell>
          <cell r="Y45649" t="str">
            <v>THAILAND</v>
          </cell>
        </row>
        <row r="45650">
          <cell r="L45650" t="str">
            <v>Non-proportional</v>
          </cell>
          <cell r="S45650">
            <v>-5437.79</v>
          </cell>
          <cell r="X45650" t="str">
            <v>Variation UPR - gross</v>
          </cell>
          <cell r="Y45650" t="str">
            <v>ISRAEL</v>
          </cell>
        </row>
        <row r="45651">
          <cell r="L45651" t="str">
            <v>Proportional</v>
          </cell>
          <cell r="S45651">
            <v>1031.03</v>
          </cell>
          <cell r="X45651" t="str">
            <v>Variation UPR - gross</v>
          </cell>
          <cell r="Y45651" t="str">
            <v>INDIA</v>
          </cell>
        </row>
        <row r="45652">
          <cell r="L45652" t="str">
            <v>Non-proportional</v>
          </cell>
          <cell r="S45652">
            <v>-75.11</v>
          </cell>
          <cell r="X45652" t="str">
            <v>Variation UPR - gross</v>
          </cell>
          <cell r="Y45652" t="str">
            <v>CHILE</v>
          </cell>
        </row>
        <row r="45653">
          <cell r="L45653" t="str">
            <v>Non-proportional</v>
          </cell>
          <cell r="S45653">
            <v>-0.04</v>
          </cell>
          <cell r="X45653" t="str">
            <v>Variation UPR - gross</v>
          </cell>
          <cell r="Y45653" t="str">
            <v>BRAZIL</v>
          </cell>
        </row>
        <row r="45654">
          <cell r="L45654" t="str">
            <v>Non-proportional</v>
          </cell>
          <cell r="S45654">
            <v>-1534.39</v>
          </cell>
          <cell r="X45654" t="str">
            <v>Variation UPR - gross</v>
          </cell>
          <cell r="Y45654" t="str">
            <v>JAPAN</v>
          </cell>
        </row>
        <row r="45655">
          <cell r="L45655" t="str">
            <v>Non-proportional</v>
          </cell>
          <cell r="S45655">
            <v>-6112.31</v>
          </cell>
          <cell r="X45655" t="str">
            <v>Variation UPR - gross</v>
          </cell>
          <cell r="Y45655" t="str">
            <v>PERU</v>
          </cell>
        </row>
        <row r="45656">
          <cell r="L45656" t="str">
            <v>Non-proportional</v>
          </cell>
          <cell r="S45656">
            <v>-3231.92</v>
          </cell>
          <cell r="X45656" t="str">
            <v>Variation UPR - gross</v>
          </cell>
          <cell r="Y45656" t="str">
            <v>ECUADOR</v>
          </cell>
        </row>
        <row r="45657">
          <cell r="L45657" t="str">
            <v>Non-proportional</v>
          </cell>
          <cell r="S45657">
            <v>-1613.91</v>
          </cell>
          <cell r="X45657" t="str">
            <v>Variation UPR - gross</v>
          </cell>
          <cell r="Y45657" t="str">
            <v>JAPAN</v>
          </cell>
        </row>
        <row r="45658">
          <cell r="L45658" t="str">
            <v>Non-proportional</v>
          </cell>
          <cell r="S45658">
            <v>28.29</v>
          </cell>
          <cell r="X45658" t="str">
            <v>Variation UPR - gross</v>
          </cell>
          <cell r="Y45658" t="str">
            <v>JAPAN</v>
          </cell>
        </row>
        <row r="45659">
          <cell r="L45659" t="str">
            <v>Proportional</v>
          </cell>
          <cell r="S45659">
            <v>5321.08</v>
          </cell>
          <cell r="X45659" t="str">
            <v>Variation UPR - gross</v>
          </cell>
          <cell r="Y45659" t="str">
            <v>THAILAND</v>
          </cell>
        </row>
        <row r="45660">
          <cell r="L45660" t="str">
            <v>Proportional</v>
          </cell>
          <cell r="S45660">
            <v>-852.09</v>
          </cell>
          <cell r="X45660" t="str">
            <v>Variation UPR - gross</v>
          </cell>
          <cell r="Y45660" t="str">
            <v>INDIA</v>
          </cell>
        </row>
        <row r="45661">
          <cell r="L45661" t="str">
            <v>Non-proportional</v>
          </cell>
          <cell r="S45661">
            <v>-40000</v>
          </cell>
          <cell r="X45661" t="str">
            <v>Variation UPR - gross</v>
          </cell>
          <cell r="Y45661" t="str">
            <v>PORTUGAL</v>
          </cell>
        </row>
        <row r="45662">
          <cell r="L45662" t="str">
            <v>Non-proportional</v>
          </cell>
          <cell r="S45662">
            <v>-159.41</v>
          </cell>
          <cell r="X45662" t="str">
            <v>Variation UPR - gross</v>
          </cell>
          <cell r="Y45662" t="str">
            <v>COLOMBIA</v>
          </cell>
        </row>
        <row r="45663">
          <cell r="L45663" t="str">
            <v>Non-proportional</v>
          </cell>
          <cell r="S45663">
            <v>-11187.86</v>
          </cell>
          <cell r="X45663" t="str">
            <v>Variation UPR - gross</v>
          </cell>
          <cell r="Y45663" t="str">
            <v>ECUADOR</v>
          </cell>
        </row>
        <row r="45664">
          <cell r="L45664" t="str">
            <v>Non-proportional</v>
          </cell>
          <cell r="S45664">
            <v>-11.91</v>
          </cell>
          <cell r="X45664" t="str">
            <v>Variation UPR - gross</v>
          </cell>
          <cell r="Y45664" t="str">
            <v>ISRAEL</v>
          </cell>
        </row>
        <row r="45665">
          <cell r="L45665" t="str">
            <v>Non-proportional</v>
          </cell>
          <cell r="S45665">
            <v>-13073.04</v>
          </cell>
          <cell r="X45665" t="str">
            <v>Variation UPR - gross</v>
          </cell>
          <cell r="Y45665" t="str">
            <v>FRANCE</v>
          </cell>
        </row>
        <row r="45666">
          <cell r="L45666" t="str">
            <v>Proportional</v>
          </cell>
          <cell r="S45666">
            <v>-218.02</v>
          </cell>
          <cell r="X45666" t="str">
            <v>Variation UPR - gross</v>
          </cell>
          <cell r="Y45666" t="str">
            <v>CHILE</v>
          </cell>
        </row>
        <row r="45667">
          <cell r="L45667" t="str">
            <v>Non-proportional</v>
          </cell>
          <cell r="S45667">
            <v>-2635.24</v>
          </cell>
          <cell r="X45667" t="str">
            <v>Variation UPR - gross</v>
          </cell>
          <cell r="Y45667" t="str">
            <v>JAPAN</v>
          </cell>
        </row>
        <row r="45668">
          <cell r="L45668" t="str">
            <v>Non-proportional</v>
          </cell>
          <cell r="S45668">
            <v>-3246.88</v>
          </cell>
          <cell r="X45668" t="str">
            <v>Variation UPR - gross</v>
          </cell>
          <cell r="Y45668" t="str">
            <v>AUSTRALIA</v>
          </cell>
        </row>
        <row r="45669">
          <cell r="L45669" t="str">
            <v>Non-proportional</v>
          </cell>
          <cell r="S45669">
            <v>-19102.21</v>
          </cell>
          <cell r="X45669" t="str">
            <v>Variation UPR - gross</v>
          </cell>
          <cell r="Y45669" t="str">
            <v>MEXICO</v>
          </cell>
        </row>
        <row r="45670">
          <cell r="L45670" t="str">
            <v>Non-proportional</v>
          </cell>
          <cell r="S45670">
            <v>-1664.56</v>
          </cell>
          <cell r="X45670" t="str">
            <v>Variation UPR - gross</v>
          </cell>
          <cell r="Y45670" t="str">
            <v>FRANCE</v>
          </cell>
        </row>
        <row r="45671">
          <cell r="L45671" t="str">
            <v>Non-proportional</v>
          </cell>
          <cell r="S45671">
            <v>0.02</v>
          </cell>
          <cell r="X45671" t="str">
            <v>Variation UPR - gross</v>
          </cell>
          <cell r="Y45671" t="str">
            <v>BELIZE</v>
          </cell>
        </row>
        <row r="45672">
          <cell r="L45672" t="str">
            <v>Non-proportional</v>
          </cell>
          <cell r="S45672">
            <v>69.02</v>
          </cell>
          <cell r="X45672" t="str">
            <v>Variation UPR - gross</v>
          </cell>
          <cell r="Y45672" t="str">
            <v>NEW ZEALAND</v>
          </cell>
        </row>
        <row r="45673">
          <cell r="L45673" t="str">
            <v>Proportional</v>
          </cell>
          <cell r="S45673">
            <v>-10840.93</v>
          </cell>
          <cell r="X45673" t="str">
            <v>Variation UPR - gross</v>
          </cell>
          <cell r="Y45673" t="str">
            <v>THAILAND</v>
          </cell>
        </row>
        <row r="45674">
          <cell r="L45674" t="str">
            <v>Non-proportional</v>
          </cell>
          <cell r="S45674">
            <v>32.43</v>
          </cell>
          <cell r="X45674" t="str">
            <v>Variation UPR - gross</v>
          </cell>
          <cell r="Y45674" t="str">
            <v>JAPAN</v>
          </cell>
        </row>
        <row r="45675">
          <cell r="L45675" t="str">
            <v>Non-proportional</v>
          </cell>
          <cell r="S45675">
            <v>-255.48</v>
          </cell>
          <cell r="X45675" t="str">
            <v>Variation UPR - gross</v>
          </cell>
          <cell r="Y45675" t="str">
            <v>NEW ZEALAND</v>
          </cell>
        </row>
        <row r="45676">
          <cell r="L45676" t="str">
            <v>Non-proportional</v>
          </cell>
          <cell r="S45676">
            <v>-6393.46</v>
          </cell>
          <cell r="X45676" t="str">
            <v>Variation UPR - gross</v>
          </cell>
          <cell r="Y45676" t="str">
            <v>NETHERLANDS</v>
          </cell>
        </row>
        <row r="45677">
          <cell r="L45677" t="str">
            <v>Non-proportional</v>
          </cell>
          <cell r="S45677">
            <v>-150.62</v>
          </cell>
          <cell r="X45677" t="str">
            <v>Variation UPR - gross</v>
          </cell>
          <cell r="Y45677" t="str">
            <v>ISRAEL</v>
          </cell>
        </row>
        <row r="45678">
          <cell r="L45678" t="str">
            <v>Non-proportional</v>
          </cell>
          <cell r="S45678">
            <v>-2620.1</v>
          </cell>
          <cell r="X45678" t="str">
            <v>Variation UPR - gross</v>
          </cell>
          <cell r="Y45678" t="str">
            <v>DOMINICAN REPUBLIC</v>
          </cell>
        </row>
        <row r="45679">
          <cell r="L45679" t="str">
            <v>Non-proportional</v>
          </cell>
          <cell r="S45679">
            <v>-6188.83</v>
          </cell>
          <cell r="X45679" t="str">
            <v>Variation UPR - gross</v>
          </cell>
          <cell r="Y45679" t="str">
            <v>JAPAN</v>
          </cell>
        </row>
        <row r="45680">
          <cell r="L45680" t="str">
            <v>Non-proportional</v>
          </cell>
          <cell r="S45680">
            <v>-7267.71</v>
          </cell>
          <cell r="X45680" t="str">
            <v>Variation UPR - gross</v>
          </cell>
          <cell r="Y45680" t="str">
            <v>FRANCE</v>
          </cell>
        </row>
        <row r="45681">
          <cell r="L45681" t="str">
            <v>Proportional</v>
          </cell>
          <cell r="S45681">
            <v>-250425.06</v>
          </cell>
          <cell r="X45681" t="str">
            <v>Variation UPR - gross</v>
          </cell>
          <cell r="Y45681" t="str">
            <v>CANADA</v>
          </cell>
        </row>
        <row r="45682">
          <cell r="L45682" t="str">
            <v>Non-proportional</v>
          </cell>
          <cell r="S45682">
            <v>-2178.06</v>
          </cell>
          <cell r="X45682" t="str">
            <v>Variation UPR - gross</v>
          </cell>
          <cell r="Y45682" t="str">
            <v>CHILE</v>
          </cell>
        </row>
        <row r="45683">
          <cell r="L45683" t="str">
            <v>Proportional</v>
          </cell>
          <cell r="S45683">
            <v>-269098.64</v>
          </cell>
          <cell r="X45683" t="str">
            <v>Variation UPR - gross</v>
          </cell>
          <cell r="Y45683" t="str">
            <v>UNITED STATES</v>
          </cell>
        </row>
        <row r="45684">
          <cell r="L45684" t="str">
            <v>Non-proportional</v>
          </cell>
          <cell r="S45684">
            <v>-10638.3</v>
          </cell>
          <cell r="X45684" t="str">
            <v>Variation UPR - gross</v>
          </cell>
          <cell r="Y45684" t="str">
            <v>CHILE</v>
          </cell>
        </row>
        <row r="45685">
          <cell r="L45685" t="str">
            <v>Non-proportional</v>
          </cell>
          <cell r="S45685">
            <v>-3749.94</v>
          </cell>
          <cell r="X45685" t="str">
            <v>Variation UPR - gross</v>
          </cell>
          <cell r="Y45685" t="str">
            <v>EUROPE</v>
          </cell>
        </row>
        <row r="45686">
          <cell r="L45686" t="str">
            <v>Non-proportional</v>
          </cell>
          <cell r="S45686">
            <v>-12011.95</v>
          </cell>
          <cell r="X45686" t="str">
            <v>Variation UPR - gross</v>
          </cell>
          <cell r="Y45686" t="str">
            <v>FRANCE</v>
          </cell>
        </row>
        <row r="45687">
          <cell r="L45687" t="str">
            <v>Non-proportional</v>
          </cell>
          <cell r="S45687">
            <v>-8020.48</v>
          </cell>
          <cell r="X45687" t="str">
            <v>Variation UPR - gross</v>
          </cell>
          <cell r="Y45687" t="str">
            <v>TURKEY</v>
          </cell>
        </row>
        <row r="45688">
          <cell r="L45688" t="str">
            <v>Proportional</v>
          </cell>
          <cell r="S45688">
            <v>-28.19</v>
          </cell>
          <cell r="X45688" t="str">
            <v>Variation UPR - gross</v>
          </cell>
          <cell r="Y45688" t="str">
            <v>Ireland</v>
          </cell>
        </row>
        <row r="45689">
          <cell r="L45689" t="str">
            <v>Non-proportional</v>
          </cell>
          <cell r="S45689">
            <v>0.02</v>
          </cell>
          <cell r="X45689" t="str">
            <v>Variation UPR - gross</v>
          </cell>
          <cell r="Y45689" t="str">
            <v>INDIA</v>
          </cell>
        </row>
        <row r="45690">
          <cell r="L45690" t="str">
            <v>Non-proportional</v>
          </cell>
          <cell r="S45690">
            <v>-9305.81</v>
          </cell>
          <cell r="X45690" t="str">
            <v>Variation UPR - gross</v>
          </cell>
          <cell r="Y45690" t="str">
            <v>UNITED KINGDOM</v>
          </cell>
        </row>
        <row r="45691">
          <cell r="L45691" t="str">
            <v>Proportional</v>
          </cell>
          <cell r="S45691">
            <v>-20.97</v>
          </cell>
          <cell r="X45691" t="str">
            <v>Variation UPR - gross</v>
          </cell>
          <cell r="Y45691" t="str">
            <v>THAILAND</v>
          </cell>
        </row>
        <row r="45692">
          <cell r="L45692" t="str">
            <v>Proportional</v>
          </cell>
          <cell r="S45692">
            <v>-600.84</v>
          </cell>
          <cell r="X45692" t="str">
            <v>Variation UPR - gross</v>
          </cell>
          <cell r="Y45692" t="str">
            <v>CHILE</v>
          </cell>
        </row>
        <row r="45693">
          <cell r="L45693" t="str">
            <v>Non-proportional</v>
          </cell>
          <cell r="S45693">
            <v>-1717.37</v>
          </cell>
          <cell r="X45693" t="str">
            <v>Variation UPR - gross</v>
          </cell>
          <cell r="Y45693" t="str">
            <v>COSTA RICA</v>
          </cell>
        </row>
        <row r="45694">
          <cell r="L45694" t="str">
            <v>Non-proportional</v>
          </cell>
          <cell r="S45694">
            <v>130.07</v>
          </cell>
          <cell r="X45694" t="str">
            <v>Variation UPR - gross</v>
          </cell>
          <cell r="Y45694" t="str">
            <v>TURKEY</v>
          </cell>
        </row>
        <row r="45695">
          <cell r="L45695" t="str">
            <v>Non-proportional</v>
          </cell>
          <cell r="S45695">
            <v>-6671.83</v>
          </cell>
          <cell r="X45695" t="str">
            <v>Variation UPR - gross</v>
          </cell>
          <cell r="Y45695" t="str">
            <v>ISRAEL</v>
          </cell>
        </row>
        <row r="45696">
          <cell r="L45696" t="str">
            <v>Non-proportional</v>
          </cell>
          <cell r="S45696">
            <v>-2179.7800000000002</v>
          </cell>
          <cell r="X45696" t="str">
            <v>Variation UPR - gross</v>
          </cell>
          <cell r="Y45696" t="str">
            <v>FRANCE</v>
          </cell>
        </row>
        <row r="45697">
          <cell r="L45697" t="str">
            <v>Non-proportional</v>
          </cell>
          <cell r="S45697">
            <v>-546.88</v>
          </cell>
          <cell r="X45697" t="str">
            <v>Variation UPR - gross</v>
          </cell>
          <cell r="Y45697" t="str">
            <v>ITALY</v>
          </cell>
        </row>
        <row r="45698">
          <cell r="L45698" t="str">
            <v>Non-proportional</v>
          </cell>
          <cell r="S45698">
            <v>-4934.9799999999996</v>
          </cell>
          <cell r="X45698" t="str">
            <v>Variation UPR - gross</v>
          </cell>
          <cell r="Y45698" t="str">
            <v>DOMINICAN REPUBLIC</v>
          </cell>
        </row>
        <row r="45699">
          <cell r="L45699" t="str">
            <v>Non-proportional</v>
          </cell>
          <cell r="S45699">
            <v>-2137.08</v>
          </cell>
          <cell r="X45699" t="str">
            <v>Variation UPR - gross</v>
          </cell>
          <cell r="Y45699" t="str">
            <v>DOMINICAN REPUBLIC</v>
          </cell>
        </row>
        <row r="45700">
          <cell r="L45700" t="str">
            <v>Non-proportional</v>
          </cell>
          <cell r="S45700">
            <v>-7831.16</v>
          </cell>
          <cell r="X45700" t="str">
            <v>Variation UPR - gross</v>
          </cell>
          <cell r="Y45700" t="str">
            <v>INDIA</v>
          </cell>
        </row>
        <row r="45701">
          <cell r="L45701" t="str">
            <v>Proportional</v>
          </cell>
          <cell r="S45701">
            <v>-46711.59</v>
          </cell>
          <cell r="X45701" t="str">
            <v>Variation UPR - gross</v>
          </cell>
          <cell r="Y45701" t="str">
            <v>MEXICO</v>
          </cell>
        </row>
        <row r="45702">
          <cell r="L45702" t="str">
            <v>Non-proportional</v>
          </cell>
          <cell r="S45702">
            <v>-6683.34</v>
          </cell>
          <cell r="X45702" t="str">
            <v>Variation UPR - gross</v>
          </cell>
          <cell r="Y45702" t="str">
            <v>FRANCE</v>
          </cell>
        </row>
        <row r="45703">
          <cell r="L45703" t="str">
            <v>Non-proportional</v>
          </cell>
          <cell r="S45703">
            <v>-11624.3</v>
          </cell>
          <cell r="X45703" t="str">
            <v>Variation UPR - gross</v>
          </cell>
          <cell r="Y45703" t="str">
            <v>PERU</v>
          </cell>
        </row>
        <row r="45704">
          <cell r="L45704" t="str">
            <v>Non-proportional</v>
          </cell>
          <cell r="S45704">
            <v>69.02</v>
          </cell>
          <cell r="X45704" t="str">
            <v>Variation UPR - gross</v>
          </cell>
          <cell r="Y45704" t="str">
            <v>NEW ZEALAND</v>
          </cell>
        </row>
        <row r="45705">
          <cell r="L45705" t="str">
            <v>Non-proportional</v>
          </cell>
          <cell r="S45705">
            <v>75.11</v>
          </cell>
          <cell r="X45705" t="str">
            <v>Variation UPR - gross</v>
          </cell>
          <cell r="Y45705" t="str">
            <v>CHILE</v>
          </cell>
        </row>
        <row r="45706">
          <cell r="L45706" t="str">
            <v>Non-proportional</v>
          </cell>
          <cell r="S45706">
            <v>52.18</v>
          </cell>
          <cell r="X45706" t="str">
            <v>Variation UPR - gross</v>
          </cell>
          <cell r="Y45706" t="str">
            <v>JAPAN</v>
          </cell>
        </row>
        <row r="45707">
          <cell r="L45707" t="str">
            <v>Non-proportional</v>
          </cell>
          <cell r="S45707">
            <v>-1386.79</v>
          </cell>
          <cell r="X45707" t="str">
            <v>Variation UPR - gross</v>
          </cell>
          <cell r="Y45707" t="str">
            <v>UNITED KINGDOM</v>
          </cell>
        </row>
        <row r="45708">
          <cell r="L45708" t="str">
            <v>Non-proportional</v>
          </cell>
          <cell r="S45708">
            <v>-192601.96</v>
          </cell>
          <cell r="X45708" t="str">
            <v>Variation UPR - gross</v>
          </cell>
          <cell r="Y45708" t="str">
            <v>PORTUGAL</v>
          </cell>
        </row>
        <row r="45709">
          <cell r="L45709" t="str">
            <v>Non-proportional</v>
          </cell>
          <cell r="S45709">
            <v>101.59</v>
          </cell>
          <cell r="X45709" t="str">
            <v>Variation UPR - gross</v>
          </cell>
          <cell r="Y45709" t="str">
            <v>AUSTRALIA</v>
          </cell>
        </row>
        <row r="45710">
          <cell r="L45710" t="str">
            <v>Non-proportional</v>
          </cell>
          <cell r="S45710">
            <v>-729.35</v>
          </cell>
          <cell r="X45710" t="str">
            <v>Variation UPR - gross</v>
          </cell>
          <cell r="Y45710" t="str">
            <v>INDIA</v>
          </cell>
        </row>
        <row r="45711">
          <cell r="L45711" t="str">
            <v>Proportional</v>
          </cell>
          <cell r="S45711">
            <v>-205044.15</v>
          </cell>
          <cell r="X45711" t="str">
            <v>Variation UPR - gross</v>
          </cell>
          <cell r="Y45711" t="str">
            <v>THAILAND</v>
          </cell>
        </row>
        <row r="45712">
          <cell r="L45712" t="str">
            <v>Non-proportional</v>
          </cell>
          <cell r="S45712">
            <v>-2805.25</v>
          </cell>
          <cell r="X45712" t="str">
            <v>Variation UPR - gross</v>
          </cell>
          <cell r="Y45712" t="str">
            <v>REPUBLIC OF IRELAND</v>
          </cell>
        </row>
        <row r="45713">
          <cell r="L45713" t="str">
            <v>Non-proportional</v>
          </cell>
          <cell r="S45713">
            <v>37.81</v>
          </cell>
          <cell r="X45713" t="str">
            <v>Variation UPR - gross</v>
          </cell>
          <cell r="Y45713" t="str">
            <v>JAPAN</v>
          </cell>
        </row>
        <row r="45714">
          <cell r="L45714" t="str">
            <v>Non-proportional</v>
          </cell>
          <cell r="S45714">
            <v>12.55</v>
          </cell>
          <cell r="X45714" t="str">
            <v>Variation UPR - gross</v>
          </cell>
          <cell r="Y45714" t="str">
            <v>NEW ZEALAND</v>
          </cell>
        </row>
        <row r="45715">
          <cell r="L45715" t="str">
            <v>Non-proportional</v>
          </cell>
          <cell r="S45715">
            <v>-2635.05</v>
          </cell>
          <cell r="X45715" t="str">
            <v>Variation UPR - gross</v>
          </cell>
          <cell r="Y45715" t="str">
            <v>ISRAEL</v>
          </cell>
        </row>
        <row r="45716">
          <cell r="L45716" t="str">
            <v>Non-proportional</v>
          </cell>
          <cell r="S45716">
            <v>-1216.28</v>
          </cell>
          <cell r="X45716" t="str">
            <v>Variation UPR - gross</v>
          </cell>
          <cell r="Y45716" t="str">
            <v>JAPAN</v>
          </cell>
        </row>
        <row r="45717">
          <cell r="L45717" t="str">
            <v>Non-proportional</v>
          </cell>
          <cell r="S45717">
            <v>-9053.2099999999991</v>
          </cell>
          <cell r="X45717" t="str">
            <v>Variation UPR - gross</v>
          </cell>
          <cell r="Y45717" t="str">
            <v>ITALY</v>
          </cell>
        </row>
        <row r="45718">
          <cell r="L45718" t="str">
            <v>Non-proportional</v>
          </cell>
          <cell r="S45718">
            <v>-663.11</v>
          </cell>
          <cell r="X45718" t="str">
            <v>Variation UPR - gross</v>
          </cell>
          <cell r="Y45718" t="str">
            <v>JAPAN</v>
          </cell>
        </row>
        <row r="45719">
          <cell r="L45719" t="str">
            <v>Non-proportional</v>
          </cell>
          <cell r="S45719">
            <v>-10974.83</v>
          </cell>
          <cell r="X45719" t="str">
            <v>Variation UPR - gross</v>
          </cell>
          <cell r="Y45719" t="str">
            <v>GERMANY</v>
          </cell>
        </row>
        <row r="45720">
          <cell r="L45720" t="str">
            <v>Non-proportional</v>
          </cell>
          <cell r="S45720">
            <v>-27236.47</v>
          </cell>
          <cell r="X45720" t="str">
            <v>Variation UPR - gross</v>
          </cell>
          <cell r="Y45720" t="str">
            <v>TURKEY</v>
          </cell>
        </row>
        <row r="45721">
          <cell r="L45721" t="str">
            <v>Non-proportional</v>
          </cell>
          <cell r="S45721">
            <v>-2047.59</v>
          </cell>
          <cell r="X45721" t="str">
            <v>Variation UPR - gross</v>
          </cell>
          <cell r="Y45721" t="str">
            <v>DOMINICAN REPUBLIC</v>
          </cell>
        </row>
        <row r="45722">
          <cell r="L45722" t="str">
            <v>Non-proportional</v>
          </cell>
          <cell r="S45722">
            <v>-7131.17</v>
          </cell>
          <cell r="X45722" t="str">
            <v>Variation UPR - gross</v>
          </cell>
          <cell r="Y45722" t="str">
            <v>MEXICO</v>
          </cell>
        </row>
        <row r="45723">
          <cell r="L45723" t="str">
            <v>Non-proportional</v>
          </cell>
          <cell r="S45723">
            <v>-1989.13</v>
          </cell>
          <cell r="X45723" t="str">
            <v>Variation UPR - gross</v>
          </cell>
          <cell r="Y45723" t="str">
            <v>INDIA</v>
          </cell>
        </row>
        <row r="45724">
          <cell r="L45724" t="str">
            <v>Proportional</v>
          </cell>
          <cell r="S45724">
            <v>12012.35</v>
          </cell>
          <cell r="X45724" t="str">
            <v>Variation UPR - gross</v>
          </cell>
          <cell r="Y45724" t="str">
            <v>THAILAND</v>
          </cell>
        </row>
        <row r="45725">
          <cell r="L45725" t="str">
            <v>Non-proportional</v>
          </cell>
          <cell r="S45725">
            <v>0.02</v>
          </cell>
          <cell r="X45725" t="str">
            <v>Variation UPR - gross</v>
          </cell>
          <cell r="Y45725" t="str">
            <v>COLOMBIA</v>
          </cell>
        </row>
        <row r="45726">
          <cell r="L45726" t="str">
            <v>Non-proportional</v>
          </cell>
          <cell r="S45726">
            <v>0.03</v>
          </cell>
          <cell r="X45726" t="str">
            <v>Variation UPR - gross</v>
          </cell>
          <cell r="Y45726" t="str">
            <v>COLOMBIA</v>
          </cell>
        </row>
        <row r="45727">
          <cell r="L45727" t="str">
            <v>Proportional</v>
          </cell>
          <cell r="S45727">
            <v>-75.11</v>
          </cell>
          <cell r="X45727" t="str">
            <v>Variation UPR - gross</v>
          </cell>
          <cell r="Y45727" t="str">
            <v>CHILE</v>
          </cell>
        </row>
        <row r="45728">
          <cell r="L45728" t="str">
            <v>Non-proportional</v>
          </cell>
          <cell r="S45728">
            <v>-64182.97</v>
          </cell>
          <cell r="X45728" t="str">
            <v>Variation UPR - gross</v>
          </cell>
          <cell r="Y45728" t="str">
            <v>UNITED KINGDOM</v>
          </cell>
        </row>
        <row r="45729">
          <cell r="L45729" t="str">
            <v>Proportional</v>
          </cell>
          <cell r="S45729">
            <v>-2914.85</v>
          </cell>
          <cell r="X45729" t="str">
            <v>Variation UPR - gross</v>
          </cell>
          <cell r="Y45729" t="str">
            <v>THAILAND</v>
          </cell>
        </row>
        <row r="45730">
          <cell r="L45730" t="str">
            <v>Non-proportional</v>
          </cell>
          <cell r="S45730">
            <v>-76747.55</v>
          </cell>
          <cell r="X45730" t="str">
            <v>Variation UPR - gross</v>
          </cell>
          <cell r="Y45730" t="str">
            <v>UNITED KINGDOM</v>
          </cell>
        </row>
        <row r="45731">
          <cell r="L45731" t="str">
            <v>Proportional</v>
          </cell>
          <cell r="S45731">
            <v>5079.5600000000004</v>
          </cell>
          <cell r="X45731" t="str">
            <v>Variation UPR - gross</v>
          </cell>
          <cell r="Y45731" t="str">
            <v>CHILE</v>
          </cell>
        </row>
        <row r="45732">
          <cell r="L45732" t="str">
            <v>Non-proportional</v>
          </cell>
          <cell r="S45732">
            <v>-2840.84</v>
          </cell>
          <cell r="X45732" t="str">
            <v>Variation UPR - gross</v>
          </cell>
          <cell r="Y45732" t="str">
            <v>EUROPE</v>
          </cell>
        </row>
        <row r="45733">
          <cell r="L45733" t="str">
            <v>Non-proportional</v>
          </cell>
          <cell r="S45733">
            <v>9.98</v>
          </cell>
          <cell r="X45733" t="str">
            <v>Variation UPR - gross</v>
          </cell>
          <cell r="Y45733" t="str">
            <v>NEW ZEALAND</v>
          </cell>
        </row>
        <row r="45734">
          <cell r="L45734" t="str">
            <v>Non-proportional</v>
          </cell>
          <cell r="S45734">
            <v>-8843.8799999999992</v>
          </cell>
          <cell r="X45734" t="str">
            <v>Variation UPR - gross</v>
          </cell>
          <cell r="Y45734" t="str">
            <v>TURKEY</v>
          </cell>
        </row>
        <row r="45735">
          <cell r="L45735" t="str">
            <v>Non-proportional</v>
          </cell>
          <cell r="S45735">
            <v>-1131.24</v>
          </cell>
          <cell r="X45735" t="str">
            <v>Variation UPR - gross</v>
          </cell>
          <cell r="Y45735" t="str">
            <v>CYPRUS</v>
          </cell>
        </row>
        <row r="45736">
          <cell r="L45736" t="str">
            <v>Non-proportional</v>
          </cell>
          <cell r="S45736">
            <v>-8708.34</v>
          </cell>
          <cell r="X45736" t="str">
            <v>Variation UPR - gross</v>
          </cell>
          <cell r="Y45736" t="str">
            <v>TURKEY</v>
          </cell>
        </row>
        <row r="45737">
          <cell r="L45737" t="str">
            <v>Non-proportional</v>
          </cell>
          <cell r="S45737">
            <v>-1587.35</v>
          </cell>
          <cell r="X45737" t="str">
            <v>Variation UPR - gross</v>
          </cell>
          <cell r="Y45737" t="str">
            <v>ITALY</v>
          </cell>
        </row>
        <row r="45738">
          <cell r="L45738" t="str">
            <v>Non-proportional</v>
          </cell>
          <cell r="S45738">
            <v>-2658.03</v>
          </cell>
          <cell r="X45738" t="str">
            <v>Variation UPR - gross</v>
          </cell>
          <cell r="Y45738" t="str">
            <v>ECUADOR</v>
          </cell>
        </row>
        <row r="45739">
          <cell r="L45739" t="str">
            <v>Non-proportional</v>
          </cell>
          <cell r="S45739">
            <v>-8975.11</v>
          </cell>
          <cell r="X45739" t="str">
            <v>Variation UPR - gross</v>
          </cell>
          <cell r="Y45739" t="str">
            <v>CHILE</v>
          </cell>
        </row>
        <row r="45740">
          <cell r="L45740" t="str">
            <v>Proportional</v>
          </cell>
          <cell r="S45740">
            <v>-6814.61</v>
          </cell>
          <cell r="X45740" t="str">
            <v>Variation UPR - gross</v>
          </cell>
          <cell r="Y45740" t="str">
            <v>PERU</v>
          </cell>
        </row>
        <row r="45741">
          <cell r="L45741" t="str">
            <v>Proportional</v>
          </cell>
          <cell r="S45741">
            <v>-228417.87</v>
          </cell>
          <cell r="X45741" t="str">
            <v>Variation UPR - gross</v>
          </cell>
          <cell r="Y45741" t="str">
            <v>INDIA</v>
          </cell>
        </row>
        <row r="45742">
          <cell r="L45742" t="str">
            <v>Non-proportional</v>
          </cell>
          <cell r="S45742">
            <v>-4154.6099999999997</v>
          </cell>
          <cell r="X45742" t="str">
            <v>Variation UPR - gross</v>
          </cell>
          <cell r="Y45742" t="str">
            <v>UNITED KINGDOM</v>
          </cell>
        </row>
        <row r="45743">
          <cell r="L45743" t="str">
            <v>Non-proportional</v>
          </cell>
          <cell r="S45743">
            <v>-13612.83</v>
          </cell>
          <cell r="X45743" t="str">
            <v>Variation UPR - gross</v>
          </cell>
          <cell r="Y45743" t="str">
            <v>ECUADOR</v>
          </cell>
        </row>
        <row r="45744">
          <cell r="L45744" t="str">
            <v>Non-proportional</v>
          </cell>
          <cell r="S45744">
            <v>-33739.54</v>
          </cell>
          <cell r="X45744" t="str">
            <v>Variation UPR - gross</v>
          </cell>
          <cell r="Y45744" t="str">
            <v>UNITED STATES</v>
          </cell>
        </row>
        <row r="45745">
          <cell r="L45745" t="str">
            <v>Non-proportional</v>
          </cell>
          <cell r="S45745">
            <v>-4650.24</v>
          </cell>
          <cell r="X45745" t="str">
            <v>Variation UPR - gross</v>
          </cell>
          <cell r="Y45745" t="str">
            <v>UNITED KINGDOM</v>
          </cell>
        </row>
        <row r="45746">
          <cell r="L45746" t="str">
            <v>Proportional</v>
          </cell>
          <cell r="S45746">
            <v>-4231.2</v>
          </cell>
          <cell r="X45746" t="str">
            <v>Variation UPR - gross</v>
          </cell>
          <cell r="Y45746" t="str">
            <v>PORTUGAL</v>
          </cell>
        </row>
        <row r="45747">
          <cell r="L45747" t="str">
            <v>Proportional</v>
          </cell>
          <cell r="S45747">
            <v>-112661.62</v>
          </cell>
          <cell r="X45747" t="str">
            <v>Variation UPR - gross</v>
          </cell>
          <cell r="Y45747" t="str">
            <v>THAILAND</v>
          </cell>
        </row>
        <row r="45748">
          <cell r="L45748" t="str">
            <v>Non-proportional</v>
          </cell>
          <cell r="S45748">
            <v>-1005322.67</v>
          </cell>
          <cell r="X45748" t="str">
            <v>Variation UPR - gross</v>
          </cell>
          <cell r="Y45748" t="str">
            <v>UNITED KINGDOM</v>
          </cell>
        </row>
        <row r="45749">
          <cell r="L45749" t="str">
            <v>Non-proportional</v>
          </cell>
          <cell r="S45749">
            <v>28.76</v>
          </cell>
          <cell r="X45749" t="str">
            <v>Variation UPR - gross</v>
          </cell>
          <cell r="Y45749" t="str">
            <v>COLOMBIA</v>
          </cell>
        </row>
        <row r="45750">
          <cell r="L45750" t="str">
            <v>Non-proportional</v>
          </cell>
          <cell r="S45750">
            <v>-70804.070000000007</v>
          </cell>
          <cell r="X45750" t="str">
            <v>Variation UPR - gross</v>
          </cell>
          <cell r="Y45750" t="str">
            <v>UNITED KINGDOM</v>
          </cell>
        </row>
        <row r="45751">
          <cell r="L45751" t="str">
            <v>Non-proportional</v>
          </cell>
          <cell r="S45751">
            <v>-3221.91</v>
          </cell>
          <cell r="X45751" t="str">
            <v>Variation UPR - gross</v>
          </cell>
          <cell r="Y45751" t="str">
            <v>BRAZIL</v>
          </cell>
        </row>
        <row r="45752">
          <cell r="L45752" t="str">
            <v>Non-proportional</v>
          </cell>
          <cell r="S45752">
            <v>-4727.17</v>
          </cell>
          <cell r="X45752" t="str">
            <v>Variation UPR - gross</v>
          </cell>
          <cell r="Y45752" t="str">
            <v>UNITED KINGDOM</v>
          </cell>
        </row>
        <row r="45753">
          <cell r="L45753" t="str">
            <v>Non-proportional</v>
          </cell>
          <cell r="S45753">
            <v>-7465.45</v>
          </cell>
          <cell r="X45753" t="str">
            <v>Variation UPR - gross</v>
          </cell>
          <cell r="Y45753" t="str">
            <v>AUSTRALIA</v>
          </cell>
        </row>
        <row r="45754">
          <cell r="L45754" t="str">
            <v>Proportional</v>
          </cell>
          <cell r="S45754">
            <v>-15784.14</v>
          </cell>
          <cell r="X45754" t="str">
            <v>Variation UPR - gross</v>
          </cell>
          <cell r="Y45754" t="str">
            <v>INDIA</v>
          </cell>
        </row>
        <row r="45755">
          <cell r="L45755" t="str">
            <v>Non-proportional</v>
          </cell>
          <cell r="S45755">
            <v>-7563.23</v>
          </cell>
          <cell r="X45755" t="str">
            <v>Variation UPR - gross</v>
          </cell>
          <cell r="Y45755" t="str">
            <v>NEW ZEALAND</v>
          </cell>
        </row>
        <row r="45756">
          <cell r="L45756" t="str">
            <v>Non-proportional</v>
          </cell>
          <cell r="S45756">
            <v>-8137.41</v>
          </cell>
          <cell r="X45756" t="str">
            <v>Variation UPR - gross</v>
          </cell>
          <cell r="Y45756" t="str">
            <v>INDIA</v>
          </cell>
        </row>
        <row r="45757">
          <cell r="L45757" t="str">
            <v>Non-proportional</v>
          </cell>
          <cell r="S45757">
            <v>-9500.14</v>
          </cell>
          <cell r="X45757" t="str">
            <v>Variation UPR - gross</v>
          </cell>
          <cell r="Y45757" t="str">
            <v>TURKEY</v>
          </cell>
        </row>
        <row r="45758">
          <cell r="L45758" t="str">
            <v>Proportional</v>
          </cell>
          <cell r="S45758">
            <v>-2795.98</v>
          </cell>
          <cell r="X45758" t="str">
            <v>Variation UPR - gross</v>
          </cell>
          <cell r="Y45758" t="str">
            <v>UNITED STATES</v>
          </cell>
        </row>
        <row r="45759">
          <cell r="L45759" t="str">
            <v>Non-proportional</v>
          </cell>
          <cell r="S45759">
            <v>-9178.3799999999992</v>
          </cell>
          <cell r="X45759" t="str">
            <v>Variation UPR - gross</v>
          </cell>
          <cell r="Y45759" t="str">
            <v>FRANCE</v>
          </cell>
        </row>
        <row r="45760">
          <cell r="L45760" t="str">
            <v>Non-proportional</v>
          </cell>
          <cell r="S45760">
            <v>-1138.46</v>
          </cell>
          <cell r="X45760" t="str">
            <v>Variation UPR - gross</v>
          </cell>
          <cell r="Y45760" t="str">
            <v>SOUTH AFRICA</v>
          </cell>
        </row>
        <row r="45761">
          <cell r="L45761" t="str">
            <v>Non-proportional</v>
          </cell>
          <cell r="S45761">
            <v>-89938.33</v>
          </cell>
          <cell r="X45761" t="str">
            <v>Variation UPR - gross</v>
          </cell>
          <cell r="Y45761" t="str">
            <v>PORTUGAL</v>
          </cell>
        </row>
        <row r="45762">
          <cell r="L45762" t="str">
            <v>Non-proportional</v>
          </cell>
          <cell r="S45762">
            <v>10.5</v>
          </cell>
          <cell r="X45762" t="str">
            <v>Variation UPR - gross</v>
          </cell>
          <cell r="Y45762" t="str">
            <v>CHINA</v>
          </cell>
        </row>
        <row r="45763">
          <cell r="L45763" t="str">
            <v>Non-proportional</v>
          </cell>
          <cell r="S45763">
            <v>14.04</v>
          </cell>
          <cell r="X45763" t="str">
            <v>Variation UPR - gross</v>
          </cell>
          <cell r="Y45763" t="str">
            <v>CHINA</v>
          </cell>
        </row>
        <row r="45764">
          <cell r="L45764" t="str">
            <v>Proportional</v>
          </cell>
          <cell r="S45764">
            <v>-19454.189999999999</v>
          </cell>
          <cell r="X45764" t="str">
            <v>Variation UPR - gross</v>
          </cell>
          <cell r="Y45764" t="str">
            <v>MEXICO</v>
          </cell>
        </row>
        <row r="45765">
          <cell r="L45765" t="str">
            <v>Non-proportional</v>
          </cell>
          <cell r="S45765">
            <v>-2686.68</v>
          </cell>
          <cell r="X45765" t="str">
            <v>Variation UPR - gross</v>
          </cell>
          <cell r="Y45765" t="str">
            <v>MALTA</v>
          </cell>
        </row>
        <row r="45766">
          <cell r="L45766" t="str">
            <v>Non-proportional</v>
          </cell>
          <cell r="S45766">
            <v>-3623.07</v>
          </cell>
          <cell r="X45766" t="str">
            <v>Variation UPR - gross</v>
          </cell>
          <cell r="Y45766" t="str">
            <v>NEW ZEALAND</v>
          </cell>
        </row>
        <row r="45767">
          <cell r="L45767" t="str">
            <v>Non-proportional</v>
          </cell>
          <cell r="S45767">
            <v>-5312.78</v>
          </cell>
          <cell r="X45767" t="str">
            <v>Variation UPR - gross</v>
          </cell>
          <cell r="Y45767" t="str">
            <v>NETHERLANDS</v>
          </cell>
        </row>
        <row r="45768">
          <cell r="L45768" t="str">
            <v>Non-proportional</v>
          </cell>
          <cell r="S45768">
            <v>-1126.58</v>
          </cell>
          <cell r="X45768" t="str">
            <v>Variation UPR - gross</v>
          </cell>
          <cell r="Y45768" t="str">
            <v>CHILE</v>
          </cell>
        </row>
        <row r="45769">
          <cell r="L45769" t="str">
            <v>Non-proportional</v>
          </cell>
          <cell r="S45769">
            <v>-2455.54</v>
          </cell>
          <cell r="X45769" t="str">
            <v>Variation UPR - gross</v>
          </cell>
          <cell r="Y45769" t="str">
            <v>DOMINICAN REPUBLIC</v>
          </cell>
        </row>
        <row r="45770">
          <cell r="L45770" t="str">
            <v>Non-proportional</v>
          </cell>
          <cell r="S45770">
            <v>-2779.93</v>
          </cell>
          <cell r="X45770" t="str">
            <v>Variation UPR - gross</v>
          </cell>
          <cell r="Y45770" t="str">
            <v>ISRAEL</v>
          </cell>
        </row>
        <row r="45771">
          <cell r="L45771" t="str">
            <v>Non-proportional</v>
          </cell>
          <cell r="S45771">
            <v>-19.98</v>
          </cell>
          <cell r="X45771" t="str">
            <v>Variation UPR - gross</v>
          </cell>
          <cell r="Y45771" t="str">
            <v>ISRAEL</v>
          </cell>
        </row>
        <row r="45772">
          <cell r="L45772" t="str">
            <v>Non-proportional</v>
          </cell>
          <cell r="S45772">
            <v>400.71</v>
          </cell>
          <cell r="X45772" t="str">
            <v>Variation UPR - gross</v>
          </cell>
          <cell r="Y45772" t="str">
            <v>NEW ZEALAND</v>
          </cell>
        </row>
        <row r="45773">
          <cell r="L45773" t="str">
            <v>Non-proportional</v>
          </cell>
          <cell r="S45773">
            <v>-445.1</v>
          </cell>
          <cell r="X45773" t="str">
            <v>Variation UPR - gross</v>
          </cell>
          <cell r="Y45773" t="str">
            <v>UNITED KINGDOM</v>
          </cell>
        </row>
        <row r="45774">
          <cell r="L45774" t="str">
            <v>Non-proportional</v>
          </cell>
          <cell r="S45774">
            <v>-102043.79</v>
          </cell>
          <cell r="X45774" t="str">
            <v>Variation UPR - gross</v>
          </cell>
          <cell r="Y45774" t="str">
            <v>HONG KONG</v>
          </cell>
        </row>
        <row r="45775">
          <cell r="L45775" t="str">
            <v>Non-proportional</v>
          </cell>
          <cell r="S45775">
            <v>37.549999999999997</v>
          </cell>
          <cell r="X45775" t="str">
            <v>Variation UPR - gross</v>
          </cell>
          <cell r="Y45775" t="str">
            <v>CHILE</v>
          </cell>
        </row>
        <row r="45776">
          <cell r="L45776" t="str">
            <v>Proportional</v>
          </cell>
          <cell r="S45776">
            <v>78176890.790000007</v>
          </cell>
          <cell r="X45776" t="str">
            <v>Variation UPR - gross</v>
          </cell>
          <cell r="Y45776" t="str">
            <v>ITALY</v>
          </cell>
        </row>
        <row r="45777">
          <cell r="L45777" t="str">
            <v>Non-proportional</v>
          </cell>
          <cell r="S45777">
            <v>-800</v>
          </cell>
          <cell r="X45777" t="str">
            <v>Variation UPR - gross</v>
          </cell>
          <cell r="Y45777" t="str">
            <v>ITALY</v>
          </cell>
        </row>
        <row r="45778">
          <cell r="L45778" t="str">
            <v>Non-proportional</v>
          </cell>
          <cell r="S45778">
            <v>-3257.88</v>
          </cell>
          <cell r="X45778" t="str">
            <v>Variation UPR - gross</v>
          </cell>
          <cell r="Y45778" t="str">
            <v>ISRAEL</v>
          </cell>
        </row>
        <row r="45779">
          <cell r="L45779" t="str">
            <v>Non-proportional</v>
          </cell>
          <cell r="S45779">
            <v>-20197.509999999998</v>
          </cell>
          <cell r="X45779" t="str">
            <v>Variation UPR - gross</v>
          </cell>
          <cell r="Y45779" t="str">
            <v>ITALY</v>
          </cell>
        </row>
        <row r="45780">
          <cell r="L45780" t="str">
            <v>Non-proportional</v>
          </cell>
          <cell r="S45780">
            <v>-75.11</v>
          </cell>
          <cell r="X45780" t="str">
            <v>Variation UPR - gross</v>
          </cell>
          <cell r="Y45780" t="str">
            <v>CHILE</v>
          </cell>
        </row>
        <row r="45781">
          <cell r="L45781" t="str">
            <v>Non-proportional</v>
          </cell>
          <cell r="S45781">
            <v>-3244.77</v>
          </cell>
          <cell r="X45781" t="str">
            <v>Variation UPR - gross</v>
          </cell>
          <cell r="Y45781" t="str">
            <v>FRANCE</v>
          </cell>
        </row>
        <row r="45782">
          <cell r="L45782" t="str">
            <v>Non-proportional</v>
          </cell>
          <cell r="S45782">
            <v>-587.11</v>
          </cell>
          <cell r="X45782" t="str">
            <v>Variation UPR - gross</v>
          </cell>
          <cell r="Y45782" t="str">
            <v>DOMINICAN REPUBLIC</v>
          </cell>
        </row>
        <row r="45783">
          <cell r="L45783" t="str">
            <v>Proportional</v>
          </cell>
          <cell r="S45783">
            <v>-13020.51</v>
          </cell>
          <cell r="X45783" t="str">
            <v>Variation UPR - gross</v>
          </cell>
          <cell r="Y45783" t="str">
            <v>ITALY</v>
          </cell>
        </row>
        <row r="45784">
          <cell r="L45784" t="str">
            <v>Non-proportional</v>
          </cell>
          <cell r="S45784">
            <v>-19231.490000000002</v>
          </cell>
          <cell r="X45784" t="str">
            <v>Variation UPR - gross</v>
          </cell>
          <cell r="Y45784" t="str">
            <v>FRANCE</v>
          </cell>
        </row>
        <row r="45785">
          <cell r="L45785" t="str">
            <v>Non-proportional</v>
          </cell>
          <cell r="S45785">
            <v>-843.75</v>
          </cell>
          <cell r="X45785" t="str">
            <v>Variation UPR - gross</v>
          </cell>
          <cell r="Y45785" t="str">
            <v>GREECE</v>
          </cell>
        </row>
        <row r="45786">
          <cell r="L45786" t="str">
            <v>Non-proportional</v>
          </cell>
          <cell r="S45786">
            <v>-7057.66</v>
          </cell>
          <cell r="X45786" t="str">
            <v>Variation UPR - gross</v>
          </cell>
          <cell r="Y45786" t="str">
            <v>UNITED KINGDOM</v>
          </cell>
        </row>
        <row r="45787">
          <cell r="L45787" t="str">
            <v>Non-proportional</v>
          </cell>
          <cell r="S45787">
            <v>-310.68</v>
          </cell>
          <cell r="X45787" t="str">
            <v>Variation UPR - gross</v>
          </cell>
          <cell r="Y45787" t="str">
            <v>ITALY</v>
          </cell>
        </row>
        <row r="45788">
          <cell r="L45788" t="str">
            <v>Non-proportional</v>
          </cell>
          <cell r="S45788">
            <v>-21666.67</v>
          </cell>
          <cell r="X45788" t="str">
            <v>Variation UPR - gross</v>
          </cell>
          <cell r="Y45788" t="str">
            <v>FRANCE</v>
          </cell>
        </row>
        <row r="45789">
          <cell r="L45789" t="str">
            <v>Non-proportional</v>
          </cell>
          <cell r="S45789">
            <v>0.02</v>
          </cell>
          <cell r="X45789" t="str">
            <v>Variation UPR - gross</v>
          </cell>
          <cell r="Y45789" t="str">
            <v>BELIZE</v>
          </cell>
        </row>
        <row r="45790">
          <cell r="L45790" t="str">
            <v>Non-proportional</v>
          </cell>
          <cell r="S45790">
            <v>-3553.62</v>
          </cell>
          <cell r="X45790" t="str">
            <v>Variation UPR - gross</v>
          </cell>
          <cell r="Y45790" t="str">
            <v>UNITED KINGDOM</v>
          </cell>
        </row>
        <row r="45791">
          <cell r="L45791" t="str">
            <v>Non-proportional</v>
          </cell>
          <cell r="S45791">
            <v>-1496.98</v>
          </cell>
          <cell r="X45791" t="str">
            <v>Variation UPR - gross</v>
          </cell>
          <cell r="Y45791" t="str">
            <v>JAPAN</v>
          </cell>
        </row>
        <row r="45792">
          <cell r="L45792" t="str">
            <v>Non-proportional</v>
          </cell>
          <cell r="S45792">
            <v>-4844.3100000000004</v>
          </cell>
          <cell r="X45792" t="str">
            <v>Variation UPR - gross</v>
          </cell>
          <cell r="Y45792" t="str">
            <v>CHILE</v>
          </cell>
        </row>
        <row r="45793">
          <cell r="L45793" t="str">
            <v>Non-proportional</v>
          </cell>
          <cell r="S45793">
            <v>-5851.33</v>
          </cell>
          <cell r="X45793" t="str">
            <v>Variation UPR - gross</v>
          </cell>
          <cell r="Y45793" t="str">
            <v>ITALY</v>
          </cell>
        </row>
        <row r="45794">
          <cell r="L45794" t="str">
            <v>Non-proportional</v>
          </cell>
          <cell r="S45794">
            <v>-6054.96</v>
          </cell>
          <cell r="X45794" t="str">
            <v>Variation UPR - gross</v>
          </cell>
          <cell r="Y45794" t="str">
            <v>FRANCE</v>
          </cell>
        </row>
        <row r="45795">
          <cell r="L45795" t="str">
            <v>Non-proportional</v>
          </cell>
          <cell r="S45795">
            <v>-1846.85</v>
          </cell>
          <cell r="X45795" t="str">
            <v>Variation UPR - gross</v>
          </cell>
          <cell r="Y45795" t="str">
            <v>FRANCE</v>
          </cell>
        </row>
        <row r="45796">
          <cell r="L45796" t="str">
            <v>Non-proportional</v>
          </cell>
          <cell r="S45796">
            <v>-5984.93</v>
          </cell>
          <cell r="X45796" t="str">
            <v>Variation UPR - gross</v>
          </cell>
          <cell r="Y45796" t="str">
            <v>INDIA</v>
          </cell>
        </row>
        <row r="45797">
          <cell r="L45797" t="str">
            <v>Proportional</v>
          </cell>
          <cell r="S45797">
            <v>-1919.2</v>
          </cell>
          <cell r="X45797" t="str">
            <v>Variation UPR - gross</v>
          </cell>
          <cell r="Y45797" t="str">
            <v>COLOMBIA</v>
          </cell>
        </row>
        <row r="45798">
          <cell r="L45798" t="str">
            <v>Non-proportional</v>
          </cell>
          <cell r="S45798">
            <v>357.97</v>
          </cell>
          <cell r="X45798" t="str">
            <v>Variation UPR - gross</v>
          </cell>
          <cell r="Y45798" t="str">
            <v>NEW ZEALAND</v>
          </cell>
        </row>
        <row r="45799">
          <cell r="L45799" t="str">
            <v>Non-proportional</v>
          </cell>
          <cell r="S45799">
            <v>242.01</v>
          </cell>
          <cell r="X45799" t="str">
            <v>Variation UPR - gross</v>
          </cell>
          <cell r="Y45799" t="str">
            <v>JAPAN</v>
          </cell>
        </row>
        <row r="45800">
          <cell r="L45800" t="str">
            <v>Non-proportional</v>
          </cell>
          <cell r="S45800">
            <v>195.09</v>
          </cell>
          <cell r="X45800" t="str">
            <v>Variation UPR - gross</v>
          </cell>
          <cell r="Y45800" t="str">
            <v>INDIA</v>
          </cell>
        </row>
        <row r="45801">
          <cell r="L45801" t="str">
            <v>Non-proportional</v>
          </cell>
          <cell r="S45801">
            <v>-874.79</v>
          </cell>
          <cell r="X45801" t="str">
            <v>Variation UPR - gross</v>
          </cell>
          <cell r="Y45801" t="str">
            <v>JAPAN</v>
          </cell>
        </row>
        <row r="45802">
          <cell r="L45802" t="str">
            <v>Non-proportional</v>
          </cell>
          <cell r="S45802">
            <v>80.790000000000006</v>
          </cell>
          <cell r="X45802" t="str">
            <v>Variation UPR - gross</v>
          </cell>
          <cell r="Y45802" t="str">
            <v>BRAZIL</v>
          </cell>
        </row>
        <row r="45803">
          <cell r="L45803" t="str">
            <v>Non-proportional</v>
          </cell>
          <cell r="S45803">
            <v>-2816.91</v>
          </cell>
          <cell r="X45803" t="str">
            <v>Variation UPR - gross</v>
          </cell>
          <cell r="Y45803" t="str">
            <v>ISRAEL</v>
          </cell>
        </row>
        <row r="45804">
          <cell r="L45804" t="str">
            <v>Non-proportional</v>
          </cell>
          <cell r="S45804">
            <v>-2239.85</v>
          </cell>
          <cell r="X45804" t="str">
            <v>Variation UPR - gross</v>
          </cell>
          <cell r="Y45804" t="str">
            <v>UNITED KINGDOM</v>
          </cell>
        </row>
        <row r="45805">
          <cell r="L45805" t="str">
            <v>Proportional</v>
          </cell>
          <cell r="S45805">
            <v>-5527.2</v>
          </cell>
          <cell r="X45805" t="str">
            <v>Variation UPR - gross</v>
          </cell>
          <cell r="Y45805" t="str">
            <v>PERU</v>
          </cell>
        </row>
        <row r="45806">
          <cell r="L45806" t="str">
            <v>Non-proportional</v>
          </cell>
          <cell r="S45806">
            <v>-1044.8399999999999</v>
          </cell>
          <cell r="X45806" t="str">
            <v>Variation UPR - gross</v>
          </cell>
          <cell r="Y45806" t="str">
            <v>CYPRUS</v>
          </cell>
        </row>
        <row r="45807">
          <cell r="L45807" t="str">
            <v>Non-proportional</v>
          </cell>
          <cell r="S45807">
            <v>-9926.94</v>
          </cell>
          <cell r="X45807" t="str">
            <v>Variation UPR - gross</v>
          </cell>
          <cell r="Y45807" t="str">
            <v>AUSTRALIA</v>
          </cell>
        </row>
        <row r="45808">
          <cell r="L45808" t="str">
            <v>Non-proportional</v>
          </cell>
          <cell r="S45808">
            <v>-8531.25</v>
          </cell>
          <cell r="X45808" t="str">
            <v>Variation UPR - gross</v>
          </cell>
          <cell r="Y45808" t="str">
            <v>TURKEY</v>
          </cell>
        </row>
        <row r="45809">
          <cell r="L45809" t="str">
            <v>Non-proportional</v>
          </cell>
          <cell r="S45809">
            <v>-112.66</v>
          </cell>
          <cell r="X45809" t="str">
            <v>Variation UPR - gross</v>
          </cell>
          <cell r="Y45809" t="str">
            <v>CHILE</v>
          </cell>
        </row>
        <row r="45810">
          <cell r="L45810" t="str">
            <v>Non-proportional</v>
          </cell>
          <cell r="S45810">
            <v>-300.42</v>
          </cell>
          <cell r="X45810" t="str">
            <v>Variation UPR - gross</v>
          </cell>
          <cell r="Y45810" t="str">
            <v>CHILE</v>
          </cell>
        </row>
        <row r="45811">
          <cell r="L45811" t="str">
            <v>Non-proportional</v>
          </cell>
          <cell r="S45811">
            <v>-53453.62</v>
          </cell>
          <cell r="X45811" t="str">
            <v>Variation UPR - gross</v>
          </cell>
          <cell r="Y45811" t="str">
            <v>UNITED KINGDOM</v>
          </cell>
        </row>
        <row r="45812">
          <cell r="L45812" t="str">
            <v>Non-proportional</v>
          </cell>
          <cell r="S45812">
            <v>64.319999999999993</v>
          </cell>
          <cell r="X45812" t="str">
            <v>Variation UPR - gross</v>
          </cell>
          <cell r="Y45812" t="str">
            <v>JAPAN</v>
          </cell>
        </row>
        <row r="45813">
          <cell r="L45813" t="str">
            <v>Non-proportional</v>
          </cell>
          <cell r="S45813">
            <v>-3687.79</v>
          </cell>
          <cell r="X45813" t="str">
            <v>Variation UPR - gross</v>
          </cell>
          <cell r="Y45813" t="str">
            <v>SINGAPORE</v>
          </cell>
        </row>
        <row r="45814">
          <cell r="L45814" t="str">
            <v>Non-proportional</v>
          </cell>
          <cell r="S45814">
            <v>-9536.73</v>
          </cell>
          <cell r="X45814" t="str">
            <v>Variation UPR - gross</v>
          </cell>
          <cell r="Y45814" t="str">
            <v>COSTA RICA</v>
          </cell>
        </row>
        <row r="45815">
          <cell r="L45815" t="str">
            <v>Non-proportional</v>
          </cell>
          <cell r="S45815">
            <v>-19967.73</v>
          </cell>
          <cell r="X45815" t="str">
            <v>Variation UPR - gross</v>
          </cell>
          <cell r="Y45815" t="str">
            <v>FRANCE</v>
          </cell>
        </row>
        <row r="45816">
          <cell r="L45816" t="str">
            <v>Non-proportional</v>
          </cell>
          <cell r="S45816">
            <v>-8624.19</v>
          </cell>
          <cell r="X45816" t="str">
            <v>Variation UPR - gross</v>
          </cell>
          <cell r="Y45816" t="str">
            <v>PUERTO RICO</v>
          </cell>
        </row>
        <row r="45817">
          <cell r="L45817" t="str">
            <v>Non-proportional</v>
          </cell>
          <cell r="S45817">
            <v>-3241.82</v>
          </cell>
          <cell r="X45817" t="str">
            <v>Variation UPR - gross</v>
          </cell>
          <cell r="Y45817" t="str">
            <v>JAPAN</v>
          </cell>
        </row>
        <row r="45818">
          <cell r="L45818" t="str">
            <v>Non-proportional</v>
          </cell>
          <cell r="S45818">
            <v>-255.32</v>
          </cell>
          <cell r="X45818" t="str">
            <v>Variation UPR - gross</v>
          </cell>
          <cell r="Y45818" t="str">
            <v>ECUADOR</v>
          </cell>
        </row>
        <row r="45819">
          <cell r="L45819" t="str">
            <v>Non-proportional</v>
          </cell>
          <cell r="S45819">
            <v>-2610</v>
          </cell>
          <cell r="X45819" t="str">
            <v>Variation UPR - gross</v>
          </cell>
          <cell r="Y45819" t="str">
            <v>GREECE</v>
          </cell>
        </row>
        <row r="45820">
          <cell r="L45820" t="str">
            <v>Non-proportional</v>
          </cell>
          <cell r="S45820">
            <v>-3570.63</v>
          </cell>
          <cell r="X45820" t="str">
            <v>Variation UPR - gross</v>
          </cell>
          <cell r="Y45820" t="str">
            <v>GREECE</v>
          </cell>
        </row>
        <row r="45821">
          <cell r="L45821" t="str">
            <v>Non-proportional</v>
          </cell>
          <cell r="S45821">
            <v>-4310.07</v>
          </cell>
          <cell r="X45821" t="str">
            <v>Variation UPR - gross</v>
          </cell>
          <cell r="Y45821" t="str">
            <v>COLOMBIA</v>
          </cell>
        </row>
        <row r="45822">
          <cell r="L45822" t="str">
            <v>Proportional</v>
          </cell>
          <cell r="S45822">
            <v>-69912.5</v>
          </cell>
          <cell r="X45822" t="str">
            <v>Variation UPR - gross</v>
          </cell>
          <cell r="Y45822" t="str">
            <v>ITALY</v>
          </cell>
        </row>
        <row r="45823">
          <cell r="L45823" t="str">
            <v>Non-proportional</v>
          </cell>
          <cell r="S45823">
            <v>-2517.67</v>
          </cell>
          <cell r="X45823" t="str">
            <v>Variation UPR - gross</v>
          </cell>
          <cell r="Y45823" t="str">
            <v>ITALY</v>
          </cell>
        </row>
        <row r="45824">
          <cell r="L45824" t="str">
            <v>Non-proportional</v>
          </cell>
          <cell r="S45824">
            <v>48.4</v>
          </cell>
          <cell r="X45824" t="str">
            <v>Variation UPR - gross</v>
          </cell>
          <cell r="Y45824" t="str">
            <v>JAPAN</v>
          </cell>
        </row>
        <row r="45825">
          <cell r="L45825" t="str">
            <v>Non-proportional</v>
          </cell>
          <cell r="S45825">
            <v>-16229.06</v>
          </cell>
          <cell r="X45825" t="str">
            <v>Variation UPR - gross</v>
          </cell>
          <cell r="Y45825" t="str">
            <v>HONG KONG</v>
          </cell>
        </row>
        <row r="45826">
          <cell r="L45826" t="str">
            <v>Non-proportional</v>
          </cell>
          <cell r="S45826">
            <v>-375978.63</v>
          </cell>
          <cell r="X45826" t="str">
            <v>Variation UPR - gross</v>
          </cell>
          <cell r="Y45826" t="str">
            <v>PORTUGAL</v>
          </cell>
        </row>
        <row r="45827">
          <cell r="L45827" t="str">
            <v>Non-proportional</v>
          </cell>
          <cell r="S45827">
            <v>-96653</v>
          </cell>
          <cell r="X45827" t="str">
            <v>Variation UPR - gross</v>
          </cell>
          <cell r="Y45827" t="str">
            <v>UNITED KINGDOM</v>
          </cell>
        </row>
        <row r="45828">
          <cell r="L45828" t="str">
            <v>Non-proportional</v>
          </cell>
          <cell r="S45828">
            <v>-37828.21</v>
          </cell>
          <cell r="X45828" t="str">
            <v>Variation UPR - gross</v>
          </cell>
          <cell r="Y45828" t="str">
            <v>TURKEY</v>
          </cell>
        </row>
        <row r="45829">
          <cell r="L45829" t="str">
            <v>Proportional</v>
          </cell>
          <cell r="S45829">
            <v>-16612.810000000001</v>
          </cell>
          <cell r="X45829" t="str">
            <v>Variation UPR - gross</v>
          </cell>
          <cell r="Y45829" t="str">
            <v>INDIA</v>
          </cell>
        </row>
        <row r="45830">
          <cell r="L45830" t="str">
            <v>Non-proportional</v>
          </cell>
          <cell r="S45830">
            <v>-39084.410000000003</v>
          </cell>
          <cell r="X45830" t="str">
            <v>Variation UPR - gross</v>
          </cell>
          <cell r="Y45830" t="str">
            <v>UNITED KINGDOM</v>
          </cell>
        </row>
        <row r="45831">
          <cell r="L45831" t="str">
            <v>Non-proportional</v>
          </cell>
          <cell r="S45831">
            <v>-46771.92</v>
          </cell>
          <cell r="X45831" t="str">
            <v>Variation UPR - gross</v>
          </cell>
          <cell r="Y45831" t="str">
            <v>UNITED KINGDOM</v>
          </cell>
        </row>
        <row r="45832">
          <cell r="L45832" t="str">
            <v>Non-proportional</v>
          </cell>
          <cell r="S45832">
            <v>50.4</v>
          </cell>
          <cell r="X45832" t="str">
            <v>Variation UPR - gross</v>
          </cell>
          <cell r="Y45832" t="str">
            <v>JAPAN</v>
          </cell>
        </row>
        <row r="45833">
          <cell r="L45833" t="str">
            <v>Non-proportional</v>
          </cell>
          <cell r="S45833">
            <v>140.22999999999999</v>
          </cell>
          <cell r="X45833" t="str">
            <v>Variation UPR - gross</v>
          </cell>
          <cell r="Y45833" t="str">
            <v>NEW ZEALAND</v>
          </cell>
        </row>
        <row r="45834">
          <cell r="L45834" t="str">
            <v>Non-proportional</v>
          </cell>
          <cell r="S45834">
            <v>-11813.87</v>
          </cell>
          <cell r="X45834" t="str">
            <v>Variation UPR - gross</v>
          </cell>
          <cell r="Y45834" t="str">
            <v>AUSTRALIA</v>
          </cell>
        </row>
        <row r="45835">
          <cell r="L45835" t="str">
            <v>Non-proportional</v>
          </cell>
          <cell r="S45835">
            <v>-5276.78</v>
          </cell>
          <cell r="X45835" t="str">
            <v>Variation UPR - gross</v>
          </cell>
          <cell r="Y45835" t="str">
            <v>ECUADOR</v>
          </cell>
        </row>
        <row r="45836">
          <cell r="L45836" t="str">
            <v>Non-proportional</v>
          </cell>
          <cell r="S45836">
            <v>-719.78</v>
          </cell>
          <cell r="X45836" t="str">
            <v>Variation UPR - gross</v>
          </cell>
          <cell r="Y45836" t="str">
            <v>AUSTRALIA</v>
          </cell>
        </row>
        <row r="45837">
          <cell r="L45837" t="str">
            <v>Non-proportional</v>
          </cell>
          <cell r="S45837">
            <v>-5725.4</v>
          </cell>
          <cell r="X45837" t="str">
            <v>Variation UPR - gross</v>
          </cell>
          <cell r="Y45837" t="str">
            <v>COSTA RICA</v>
          </cell>
        </row>
        <row r="45838">
          <cell r="L45838" t="str">
            <v>Non-proportional</v>
          </cell>
          <cell r="S45838">
            <v>-4336.1499999999996</v>
          </cell>
          <cell r="X45838" t="str">
            <v>Variation UPR - gross</v>
          </cell>
          <cell r="Y45838" t="str">
            <v>GUATEMALA</v>
          </cell>
        </row>
        <row r="45839">
          <cell r="L45839" t="str">
            <v>Non-proportional</v>
          </cell>
          <cell r="S45839">
            <v>-2065.4</v>
          </cell>
          <cell r="X45839" t="str">
            <v>Variation UPR - gross</v>
          </cell>
          <cell r="Y45839" t="str">
            <v>CHILE</v>
          </cell>
        </row>
        <row r="45840">
          <cell r="L45840" t="str">
            <v>Non-proportional</v>
          </cell>
          <cell r="S45840">
            <v>-7531.91</v>
          </cell>
          <cell r="X45840" t="str">
            <v>Variation UPR - gross</v>
          </cell>
          <cell r="Y45840" t="str">
            <v>PUERTO RICO</v>
          </cell>
        </row>
        <row r="45841">
          <cell r="L45841" t="str">
            <v>Non-proportional</v>
          </cell>
          <cell r="S45841">
            <v>-4061.37</v>
          </cell>
          <cell r="X45841" t="str">
            <v>Variation UPR - gross</v>
          </cell>
          <cell r="Y45841" t="str">
            <v>FRANCE</v>
          </cell>
        </row>
        <row r="45842">
          <cell r="L45842" t="str">
            <v>Non-proportional</v>
          </cell>
          <cell r="S45842">
            <v>-1298.81</v>
          </cell>
          <cell r="X45842" t="str">
            <v>Variation UPR - gross</v>
          </cell>
          <cell r="Y45842" t="str">
            <v>ECUADOR</v>
          </cell>
        </row>
        <row r="45843">
          <cell r="L45843" t="str">
            <v>Proportional</v>
          </cell>
          <cell r="S45843">
            <v>-63.05</v>
          </cell>
          <cell r="X45843" t="str">
            <v>Variation UPR - gross</v>
          </cell>
          <cell r="Y45843" t="str">
            <v>UNITED STATES</v>
          </cell>
        </row>
        <row r="45844">
          <cell r="L45844" t="str">
            <v>Non-proportional</v>
          </cell>
          <cell r="S45844">
            <v>-6518.62</v>
          </cell>
          <cell r="X45844" t="str">
            <v>Variation UPR - gross</v>
          </cell>
          <cell r="Y45844" t="str">
            <v>MEXICO</v>
          </cell>
        </row>
        <row r="45845">
          <cell r="L45845" t="str">
            <v>Proportional</v>
          </cell>
          <cell r="S45845">
            <v>-3215.66</v>
          </cell>
          <cell r="X45845" t="str">
            <v>Variation UPR - gross</v>
          </cell>
          <cell r="Y45845" t="str">
            <v>UNITED STATES</v>
          </cell>
        </row>
        <row r="45846">
          <cell r="L45846" t="str">
            <v>Non-proportional</v>
          </cell>
          <cell r="S45846">
            <v>-10707.08</v>
          </cell>
          <cell r="X45846" t="str">
            <v>Variation UPR - gross</v>
          </cell>
          <cell r="Y45846" t="str">
            <v>FRANCE</v>
          </cell>
        </row>
        <row r="45847">
          <cell r="L45847" t="str">
            <v>Non-proportional</v>
          </cell>
          <cell r="S45847">
            <v>-938.54</v>
          </cell>
          <cell r="X45847" t="str">
            <v>Variation UPR - gross</v>
          </cell>
          <cell r="Y45847" t="str">
            <v>ITALY</v>
          </cell>
        </row>
        <row r="45848">
          <cell r="L45848" t="str">
            <v>Non-proportional</v>
          </cell>
          <cell r="S45848">
            <v>-6346.16</v>
          </cell>
          <cell r="X45848" t="str">
            <v>Variation UPR - gross</v>
          </cell>
          <cell r="Y45848" t="str">
            <v>THAILAND</v>
          </cell>
        </row>
        <row r="45849">
          <cell r="L45849" t="str">
            <v>Non-proportional</v>
          </cell>
          <cell r="S45849">
            <v>14.76</v>
          </cell>
          <cell r="X45849" t="str">
            <v>Variation UPR - gross</v>
          </cell>
          <cell r="Y45849" t="str">
            <v>AUSTRALIA</v>
          </cell>
        </row>
        <row r="45850">
          <cell r="L45850" t="str">
            <v>Non-proportional</v>
          </cell>
          <cell r="S45850">
            <v>-1546248.92</v>
          </cell>
          <cell r="X45850" t="str">
            <v>Variation UPR - gross</v>
          </cell>
          <cell r="Y45850" t="str">
            <v>BELGIUM</v>
          </cell>
        </row>
        <row r="45851">
          <cell r="L45851" t="str">
            <v>Proportional</v>
          </cell>
          <cell r="S45851">
            <v>-44.35</v>
          </cell>
          <cell r="X45851" t="str">
            <v>Variation UPR - gross</v>
          </cell>
          <cell r="Y45851" t="str">
            <v>UNITED STATES</v>
          </cell>
        </row>
        <row r="45852">
          <cell r="L45852" t="str">
            <v>Non-proportional</v>
          </cell>
          <cell r="S45852">
            <v>-4541.93</v>
          </cell>
          <cell r="X45852" t="str">
            <v>Variation UPR - gross</v>
          </cell>
          <cell r="Y45852" t="str">
            <v>TURKEY</v>
          </cell>
        </row>
        <row r="45853">
          <cell r="L45853" t="str">
            <v>Non-proportional</v>
          </cell>
          <cell r="S45853">
            <v>-3770.08</v>
          </cell>
          <cell r="X45853" t="str">
            <v>Variation UPR - gross</v>
          </cell>
          <cell r="Y45853" t="str">
            <v>ECUADOR</v>
          </cell>
        </row>
        <row r="45854">
          <cell r="L45854" t="str">
            <v>Non-proportional</v>
          </cell>
          <cell r="S45854">
            <v>-345.48</v>
          </cell>
          <cell r="X45854" t="str">
            <v>Variation UPR - gross</v>
          </cell>
          <cell r="Y45854" t="str">
            <v>NEW ZEALAND</v>
          </cell>
        </row>
        <row r="45855">
          <cell r="L45855" t="str">
            <v>Non-proportional</v>
          </cell>
          <cell r="S45855">
            <v>-16.38</v>
          </cell>
          <cell r="X45855" t="str">
            <v>Variation UPR - gross</v>
          </cell>
          <cell r="Y45855" t="str">
            <v>ISRAEL</v>
          </cell>
        </row>
        <row r="45856">
          <cell r="L45856" t="str">
            <v>Non-proportional</v>
          </cell>
          <cell r="S45856">
            <v>-3851</v>
          </cell>
          <cell r="X45856" t="str">
            <v>Variation UPR - gross</v>
          </cell>
          <cell r="Y45856" t="str">
            <v>SPAIN</v>
          </cell>
        </row>
        <row r="45857">
          <cell r="L45857" t="str">
            <v>Non-proportional</v>
          </cell>
          <cell r="S45857">
            <v>-6474.93</v>
          </cell>
          <cell r="X45857" t="str">
            <v>Variation UPR - gross</v>
          </cell>
          <cell r="Y45857" t="str">
            <v>INDIA</v>
          </cell>
        </row>
        <row r="45858">
          <cell r="L45858" t="str">
            <v>Proportional</v>
          </cell>
          <cell r="S45858">
            <v>-4828.5600000000004</v>
          </cell>
          <cell r="X45858" t="str">
            <v>Variation UPR - gross</v>
          </cell>
          <cell r="Y45858" t="str">
            <v>ITALY</v>
          </cell>
        </row>
        <row r="45859">
          <cell r="L45859" t="str">
            <v>Non-proportional</v>
          </cell>
          <cell r="S45859">
            <v>-1790.21</v>
          </cell>
          <cell r="X45859" t="str">
            <v>Variation UPR - gross</v>
          </cell>
          <cell r="Y45859" t="str">
            <v>PERU</v>
          </cell>
        </row>
        <row r="45860">
          <cell r="L45860" t="str">
            <v>Non-proportional</v>
          </cell>
          <cell r="S45860">
            <v>-27330.68</v>
          </cell>
          <cell r="X45860" t="str">
            <v>Variation UPR - gross</v>
          </cell>
          <cell r="Y45860" t="str">
            <v>AUSTRALIA</v>
          </cell>
        </row>
        <row r="45861">
          <cell r="L45861" t="str">
            <v>Non-proportional</v>
          </cell>
          <cell r="S45861">
            <v>-4.67</v>
          </cell>
          <cell r="X45861" t="str">
            <v>Variation UPR - gross</v>
          </cell>
          <cell r="Y45861" t="str">
            <v>COSTA RICA</v>
          </cell>
        </row>
        <row r="45862">
          <cell r="L45862" t="str">
            <v>Non-proportional</v>
          </cell>
          <cell r="S45862">
            <v>-2888.91</v>
          </cell>
          <cell r="X45862" t="str">
            <v>Variation UPR - gross</v>
          </cell>
          <cell r="Y45862" t="str">
            <v>DOMINICAN REPUBLIC</v>
          </cell>
        </row>
        <row r="45863">
          <cell r="L45863" t="str">
            <v>Non-proportional</v>
          </cell>
          <cell r="S45863">
            <v>-9374.7999999999993</v>
          </cell>
          <cell r="X45863" t="str">
            <v>Variation UPR - gross</v>
          </cell>
          <cell r="Y45863" t="str">
            <v>ISRAEL</v>
          </cell>
        </row>
        <row r="45864">
          <cell r="L45864" t="str">
            <v>Non-proportional</v>
          </cell>
          <cell r="S45864">
            <v>-2078.19</v>
          </cell>
          <cell r="X45864" t="str">
            <v>Variation UPR - gross</v>
          </cell>
          <cell r="Y45864" t="str">
            <v>INDIA</v>
          </cell>
        </row>
        <row r="45865">
          <cell r="L45865" t="str">
            <v>Non-proportional</v>
          </cell>
          <cell r="S45865">
            <v>135.77000000000001</v>
          </cell>
          <cell r="X45865" t="str">
            <v>Variation UPR - gross</v>
          </cell>
          <cell r="Y45865" t="str">
            <v>DOMINICAN REPUBLIC</v>
          </cell>
        </row>
        <row r="45866">
          <cell r="L45866" t="str">
            <v>Non-proportional</v>
          </cell>
          <cell r="S45866">
            <v>-3775.56</v>
          </cell>
          <cell r="X45866" t="str">
            <v>Variation UPR - gross</v>
          </cell>
          <cell r="Y45866" t="str">
            <v>THAILAND</v>
          </cell>
        </row>
        <row r="45867">
          <cell r="L45867" t="str">
            <v>Non-proportional</v>
          </cell>
          <cell r="S45867">
            <v>0.02</v>
          </cell>
          <cell r="X45867" t="str">
            <v>Variation UPR - gross</v>
          </cell>
          <cell r="Y45867" t="str">
            <v>COLOMBIA</v>
          </cell>
        </row>
        <row r="45868">
          <cell r="L45868" t="str">
            <v>Proportional</v>
          </cell>
          <cell r="S45868">
            <v>-35.81</v>
          </cell>
          <cell r="X45868" t="str">
            <v>Variation UPR - gross</v>
          </cell>
          <cell r="Y45868" t="str">
            <v>THAILAND</v>
          </cell>
        </row>
        <row r="45869">
          <cell r="L45869" t="str">
            <v>Proportional</v>
          </cell>
          <cell r="S45869">
            <v>-2726411.22</v>
          </cell>
          <cell r="X45869" t="str">
            <v>Variation UPR - gross</v>
          </cell>
          <cell r="Y45869" t="str">
            <v>THAILAND</v>
          </cell>
        </row>
        <row r="45870">
          <cell r="L45870" t="str">
            <v>Non-proportional</v>
          </cell>
          <cell r="S45870">
            <v>52.41</v>
          </cell>
          <cell r="X45870" t="str">
            <v>Variation UPR - gross</v>
          </cell>
          <cell r="Y45870" t="str">
            <v>JAPAN</v>
          </cell>
        </row>
        <row r="45871">
          <cell r="L45871" t="str">
            <v>Non-proportional</v>
          </cell>
          <cell r="S45871">
            <v>0.01</v>
          </cell>
          <cell r="X45871" t="str">
            <v>Variation UPR - gross</v>
          </cell>
          <cell r="Y45871" t="str">
            <v>DOMINICAN REPUBLIC</v>
          </cell>
        </row>
        <row r="45872">
          <cell r="L45872" t="str">
            <v>Non-proportional</v>
          </cell>
          <cell r="S45872">
            <v>-1800</v>
          </cell>
          <cell r="X45872" t="str">
            <v>Variation UPR - gross</v>
          </cell>
          <cell r="Y45872" t="str">
            <v>PORTUGAL</v>
          </cell>
        </row>
        <row r="45873">
          <cell r="L45873" t="str">
            <v>Non-proportional</v>
          </cell>
          <cell r="S45873">
            <v>0.01</v>
          </cell>
          <cell r="X45873" t="str">
            <v>Variation UPR - gross</v>
          </cell>
          <cell r="Y45873" t="str">
            <v>DOMINICAN REPUBLIC</v>
          </cell>
        </row>
        <row r="45874">
          <cell r="L45874" t="str">
            <v>Non-proportional</v>
          </cell>
          <cell r="S45874">
            <v>-8493.06</v>
          </cell>
          <cell r="X45874" t="str">
            <v>Variation UPR - gross</v>
          </cell>
          <cell r="Y45874" t="str">
            <v>TURKEY</v>
          </cell>
        </row>
        <row r="45875">
          <cell r="L45875" t="str">
            <v>Non-proportional</v>
          </cell>
          <cell r="S45875">
            <v>-4506.33</v>
          </cell>
          <cell r="X45875" t="str">
            <v>Variation UPR - gross</v>
          </cell>
          <cell r="Y45875" t="str">
            <v>CHILE</v>
          </cell>
        </row>
        <row r="45876">
          <cell r="L45876" t="str">
            <v>Non-proportional</v>
          </cell>
          <cell r="S45876">
            <v>-9801.27</v>
          </cell>
          <cell r="X45876" t="str">
            <v>Variation UPR - gross</v>
          </cell>
          <cell r="Y45876" t="str">
            <v>CHILE</v>
          </cell>
        </row>
        <row r="45877">
          <cell r="L45877" t="str">
            <v>Proportional</v>
          </cell>
          <cell r="S45877">
            <v>921.94</v>
          </cell>
          <cell r="X45877" t="str">
            <v>Variation UPR - gross</v>
          </cell>
          <cell r="Y45877" t="str">
            <v>CANADA</v>
          </cell>
        </row>
        <row r="45878">
          <cell r="L45878" t="str">
            <v>Non-proportional</v>
          </cell>
          <cell r="S45878">
            <v>-6500</v>
          </cell>
          <cell r="X45878" t="str">
            <v>Variation UPR - gross</v>
          </cell>
          <cell r="Y45878" t="str">
            <v>FRANCE</v>
          </cell>
        </row>
        <row r="45879">
          <cell r="L45879" t="str">
            <v>Proportional</v>
          </cell>
          <cell r="S45879">
            <v>-31733.27</v>
          </cell>
          <cell r="X45879" t="str">
            <v>Variation UPR - gross</v>
          </cell>
          <cell r="Y45879" t="str">
            <v>INDIA</v>
          </cell>
        </row>
        <row r="45880">
          <cell r="L45880" t="str">
            <v>Non-proportional</v>
          </cell>
          <cell r="S45880">
            <v>-11966.04</v>
          </cell>
          <cell r="X45880" t="str">
            <v>Variation UPR - gross</v>
          </cell>
          <cell r="Y45880" t="str">
            <v>NEW ZEALAND</v>
          </cell>
        </row>
        <row r="45881">
          <cell r="L45881" t="str">
            <v>Non-proportional</v>
          </cell>
          <cell r="S45881">
            <v>-4057.9</v>
          </cell>
          <cell r="X45881" t="str">
            <v>Variation UPR - gross</v>
          </cell>
          <cell r="Y45881" t="str">
            <v>COLOMBIA</v>
          </cell>
        </row>
        <row r="45882">
          <cell r="L45882" t="str">
            <v>Non-proportional</v>
          </cell>
          <cell r="S45882">
            <v>-3239</v>
          </cell>
          <cell r="X45882" t="str">
            <v>Variation UPR - gross</v>
          </cell>
          <cell r="Y45882" t="str">
            <v>AUSTRALIA</v>
          </cell>
        </row>
        <row r="45883">
          <cell r="L45883" t="str">
            <v>Non-proportional</v>
          </cell>
          <cell r="S45883">
            <v>118.96</v>
          </cell>
          <cell r="X45883" t="str">
            <v>Variation UPR - gross</v>
          </cell>
          <cell r="Y45883" t="str">
            <v>DOMINICAN REPUBLIC</v>
          </cell>
        </row>
        <row r="45884">
          <cell r="L45884" t="str">
            <v>Non-proportional</v>
          </cell>
          <cell r="S45884">
            <v>145.04</v>
          </cell>
          <cell r="X45884" t="str">
            <v>Variation UPR - gross</v>
          </cell>
          <cell r="Y45884" t="str">
            <v>NEW ZEALAND</v>
          </cell>
        </row>
        <row r="45885">
          <cell r="L45885" t="str">
            <v>Non-proportional</v>
          </cell>
          <cell r="S45885">
            <v>-4482.51</v>
          </cell>
          <cell r="X45885" t="str">
            <v>Variation UPR - gross</v>
          </cell>
          <cell r="Y45885" t="str">
            <v>UNITED KINGDOM</v>
          </cell>
        </row>
        <row r="45886">
          <cell r="L45886" t="str">
            <v>Non-proportional</v>
          </cell>
          <cell r="S45886">
            <v>-16865.39</v>
          </cell>
          <cell r="X45886" t="str">
            <v>Variation UPR - gross</v>
          </cell>
          <cell r="Y45886" t="str">
            <v>UNITED KINGDOM</v>
          </cell>
        </row>
        <row r="45887">
          <cell r="L45887" t="str">
            <v>Proportional</v>
          </cell>
          <cell r="S45887">
            <v>-994</v>
          </cell>
          <cell r="X45887" t="str">
            <v>Variation UPR - gross</v>
          </cell>
          <cell r="Y45887" t="str">
            <v>THAILAND</v>
          </cell>
        </row>
        <row r="45888">
          <cell r="L45888" t="str">
            <v>Proportional</v>
          </cell>
          <cell r="S45888">
            <v>-56330.81</v>
          </cell>
          <cell r="X45888" t="str">
            <v>Variation UPR - gross</v>
          </cell>
          <cell r="Y45888" t="str">
            <v>THAILAND</v>
          </cell>
        </row>
        <row r="45889">
          <cell r="L45889" t="str">
            <v>Non-proportional</v>
          </cell>
          <cell r="S45889">
            <v>-37.549999999999997</v>
          </cell>
          <cell r="X45889" t="str">
            <v>Variation UPR - gross</v>
          </cell>
          <cell r="Y45889" t="str">
            <v>CHILE</v>
          </cell>
        </row>
        <row r="45890">
          <cell r="L45890" t="str">
            <v>Non-proportional</v>
          </cell>
          <cell r="S45890">
            <v>53.89</v>
          </cell>
          <cell r="X45890" t="str">
            <v>Variation UPR - gross</v>
          </cell>
          <cell r="Y45890" t="str">
            <v>JAPAN</v>
          </cell>
        </row>
        <row r="45891">
          <cell r="L45891" t="str">
            <v>Non-proportional</v>
          </cell>
          <cell r="S45891">
            <v>-12625.09</v>
          </cell>
          <cell r="X45891" t="str">
            <v>Variation UPR - gross</v>
          </cell>
          <cell r="Y45891" t="str">
            <v>BELGIUM</v>
          </cell>
        </row>
        <row r="45892">
          <cell r="L45892" t="str">
            <v>Proportional</v>
          </cell>
          <cell r="S45892">
            <v>-125.83</v>
          </cell>
          <cell r="X45892" t="str">
            <v>Variation UPR - gross</v>
          </cell>
          <cell r="Y45892" t="str">
            <v>UNITED STATES</v>
          </cell>
        </row>
        <row r="45893">
          <cell r="L45893" t="str">
            <v>Non-proportional</v>
          </cell>
          <cell r="S45893">
            <v>265.26</v>
          </cell>
          <cell r="X45893" t="str">
            <v>Variation UPR - gross</v>
          </cell>
          <cell r="Y45893" t="str">
            <v>INDIA</v>
          </cell>
        </row>
        <row r="45894">
          <cell r="L45894" t="str">
            <v>Non-proportional</v>
          </cell>
          <cell r="S45894">
            <v>-15880.91</v>
          </cell>
          <cell r="X45894" t="str">
            <v>Variation UPR - gross</v>
          </cell>
          <cell r="Y45894" t="str">
            <v>JAPAN</v>
          </cell>
        </row>
        <row r="45895">
          <cell r="L45895" t="str">
            <v>Non-proportional</v>
          </cell>
          <cell r="S45895">
            <v>-3281.25</v>
          </cell>
          <cell r="X45895" t="str">
            <v>Variation UPR - gross</v>
          </cell>
          <cell r="Y45895" t="str">
            <v>ITALY</v>
          </cell>
        </row>
        <row r="45896">
          <cell r="L45896" t="str">
            <v>Non-proportional</v>
          </cell>
          <cell r="S45896">
            <v>-5217.67</v>
          </cell>
          <cell r="X45896" t="str">
            <v>Variation UPR - gross</v>
          </cell>
          <cell r="Y45896" t="str">
            <v>NEW ZEALAND</v>
          </cell>
        </row>
        <row r="45897">
          <cell r="L45897" t="str">
            <v>Non-proportional</v>
          </cell>
          <cell r="S45897">
            <v>-353.33</v>
          </cell>
          <cell r="X45897" t="str">
            <v>Variation UPR - gross</v>
          </cell>
          <cell r="Y45897" t="str">
            <v>ITALY</v>
          </cell>
        </row>
        <row r="45898">
          <cell r="L45898" t="str">
            <v>Non-proportional</v>
          </cell>
          <cell r="S45898">
            <v>-1379298.72</v>
          </cell>
          <cell r="X45898" t="str">
            <v>Variation UPR - gross</v>
          </cell>
          <cell r="Y45898" t="str">
            <v>UNITED KINGDOM</v>
          </cell>
        </row>
        <row r="45899">
          <cell r="L45899" t="str">
            <v>Non-proportional</v>
          </cell>
          <cell r="S45899">
            <v>-87138.33</v>
          </cell>
          <cell r="X45899" t="str">
            <v>Variation UPR - gross</v>
          </cell>
          <cell r="Y45899" t="str">
            <v>EUROPE</v>
          </cell>
        </row>
        <row r="45900">
          <cell r="L45900" t="str">
            <v>Proportional</v>
          </cell>
          <cell r="S45900">
            <v>-30.95</v>
          </cell>
          <cell r="X45900" t="str">
            <v>Variation UPR - gross</v>
          </cell>
          <cell r="Y45900" t="str">
            <v>UNITED STATES</v>
          </cell>
        </row>
        <row r="45901">
          <cell r="L45901" t="str">
            <v>Non-proportional</v>
          </cell>
          <cell r="S45901">
            <v>-6658.89</v>
          </cell>
          <cell r="X45901" t="str">
            <v>Variation UPR - gross</v>
          </cell>
          <cell r="Y45901" t="str">
            <v>CYPRUS</v>
          </cell>
        </row>
        <row r="45902">
          <cell r="L45902" t="str">
            <v>Non-proportional</v>
          </cell>
          <cell r="S45902">
            <v>-2442.4499999999998</v>
          </cell>
          <cell r="X45902" t="str">
            <v>Variation UPR - gross</v>
          </cell>
          <cell r="Y45902" t="str">
            <v>CYPRUS</v>
          </cell>
        </row>
        <row r="45903">
          <cell r="L45903" t="str">
            <v>Non-proportional</v>
          </cell>
          <cell r="S45903">
            <v>-3906.16</v>
          </cell>
          <cell r="X45903" t="str">
            <v>Variation UPR - gross</v>
          </cell>
          <cell r="Y45903" t="str">
            <v>EUROPE</v>
          </cell>
        </row>
        <row r="45904">
          <cell r="L45904" t="str">
            <v>Non-proportional</v>
          </cell>
          <cell r="S45904">
            <v>-5246.57</v>
          </cell>
          <cell r="X45904" t="str">
            <v>Variation UPR - gross</v>
          </cell>
          <cell r="Y45904" t="str">
            <v>PERU</v>
          </cell>
        </row>
        <row r="45905">
          <cell r="L45905" t="str">
            <v>Non-proportional</v>
          </cell>
          <cell r="S45905">
            <v>-9951.49</v>
          </cell>
          <cell r="X45905" t="str">
            <v>Variation UPR - gross</v>
          </cell>
          <cell r="Y45905" t="str">
            <v>CHILE</v>
          </cell>
        </row>
        <row r="45906">
          <cell r="L45906" t="str">
            <v>Non-proportional</v>
          </cell>
          <cell r="S45906">
            <v>-1002.97</v>
          </cell>
          <cell r="X45906" t="str">
            <v>Variation UPR - gross</v>
          </cell>
          <cell r="Y45906" t="str">
            <v>JAPAN</v>
          </cell>
        </row>
        <row r="45907">
          <cell r="L45907" t="str">
            <v>Non-proportional</v>
          </cell>
          <cell r="S45907">
            <v>-2656.03</v>
          </cell>
          <cell r="X45907" t="str">
            <v>Variation UPR - gross</v>
          </cell>
          <cell r="Y45907" t="str">
            <v>JAPAN</v>
          </cell>
        </row>
        <row r="45908">
          <cell r="L45908" t="str">
            <v>Non-proportional</v>
          </cell>
          <cell r="S45908">
            <v>-167.01</v>
          </cell>
          <cell r="X45908" t="str">
            <v>Variation UPR - gross</v>
          </cell>
          <cell r="Y45908" t="str">
            <v>JAPAN</v>
          </cell>
        </row>
        <row r="45909">
          <cell r="L45909" t="str">
            <v>Non-proportional</v>
          </cell>
          <cell r="S45909">
            <v>-23187.5</v>
          </cell>
          <cell r="X45909" t="str">
            <v>Variation UPR - gross</v>
          </cell>
          <cell r="Y45909" t="str">
            <v>ITALY</v>
          </cell>
        </row>
        <row r="45910">
          <cell r="L45910" t="str">
            <v>Non-proportional</v>
          </cell>
          <cell r="S45910">
            <v>-2441.46</v>
          </cell>
          <cell r="X45910" t="str">
            <v>Variation UPR - gross</v>
          </cell>
          <cell r="Y45910" t="str">
            <v>MEXICO</v>
          </cell>
        </row>
        <row r="45911">
          <cell r="L45911" t="str">
            <v>Non-proportional</v>
          </cell>
          <cell r="S45911">
            <v>-11142.96</v>
          </cell>
          <cell r="X45911" t="str">
            <v>Variation UPR - gross</v>
          </cell>
          <cell r="Y45911" t="str">
            <v>MEXICO</v>
          </cell>
        </row>
        <row r="45912">
          <cell r="L45912" t="str">
            <v>Non-proportional</v>
          </cell>
          <cell r="S45912">
            <v>-3126.85</v>
          </cell>
          <cell r="X45912" t="str">
            <v>Variation UPR - gross</v>
          </cell>
          <cell r="Y45912" t="str">
            <v>FRANCE</v>
          </cell>
        </row>
        <row r="45913">
          <cell r="L45913" t="str">
            <v>Non-proportional</v>
          </cell>
          <cell r="S45913">
            <v>-8238.26</v>
          </cell>
          <cell r="X45913" t="str">
            <v>Variation UPR - gross</v>
          </cell>
          <cell r="Y45913" t="str">
            <v>ITALY</v>
          </cell>
        </row>
        <row r="45914">
          <cell r="L45914" t="str">
            <v>Non-proportional</v>
          </cell>
          <cell r="S45914">
            <v>-4192.53</v>
          </cell>
          <cell r="X45914" t="str">
            <v>Variation UPR - gross</v>
          </cell>
          <cell r="Y45914" t="str">
            <v>THAILAND</v>
          </cell>
        </row>
        <row r="45915">
          <cell r="L45915" t="str">
            <v>Non-proportional</v>
          </cell>
          <cell r="S45915">
            <v>-4088.35</v>
          </cell>
          <cell r="X45915" t="str">
            <v>Variation UPR - gross</v>
          </cell>
          <cell r="Y45915" t="str">
            <v>UNITED KINGDOM</v>
          </cell>
        </row>
        <row r="45916">
          <cell r="L45916" t="str">
            <v>Non-proportional</v>
          </cell>
          <cell r="S45916">
            <v>-427622.21</v>
          </cell>
          <cell r="X45916" t="str">
            <v>Variation UPR - gross</v>
          </cell>
          <cell r="Y45916" t="str">
            <v>UNITED KINGDOM</v>
          </cell>
        </row>
        <row r="45917">
          <cell r="L45917" t="str">
            <v>Non-proportional</v>
          </cell>
          <cell r="S45917">
            <v>-31.45</v>
          </cell>
          <cell r="X45917" t="str">
            <v>Variation UPR - gross</v>
          </cell>
          <cell r="Y45917" t="str">
            <v>ISRAEL</v>
          </cell>
        </row>
        <row r="45918">
          <cell r="L45918" t="str">
            <v>Non-proportional</v>
          </cell>
          <cell r="S45918">
            <v>-1202.25</v>
          </cell>
          <cell r="X45918" t="str">
            <v>Variation UPR - gross</v>
          </cell>
          <cell r="Y45918" t="str">
            <v>REPUBLIC OF IRELAND</v>
          </cell>
        </row>
        <row r="45919">
          <cell r="L45919" t="str">
            <v>Non-proportional</v>
          </cell>
          <cell r="S45919">
            <v>0.01</v>
          </cell>
          <cell r="X45919" t="str">
            <v>Variation UPR - gross</v>
          </cell>
          <cell r="Y45919" t="str">
            <v>BELIZE</v>
          </cell>
        </row>
        <row r="45920">
          <cell r="L45920" t="str">
            <v>Non-proportional</v>
          </cell>
          <cell r="S45920">
            <v>-2999.74</v>
          </cell>
          <cell r="X45920" t="str">
            <v>Variation UPR - gross</v>
          </cell>
          <cell r="Y45920" t="str">
            <v>NETHERLANDS</v>
          </cell>
        </row>
        <row r="45921">
          <cell r="L45921" t="str">
            <v>Proportional</v>
          </cell>
          <cell r="S45921">
            <v>-181826.26</v>
          </cell>
          <cell r="X45921" t="str">
            <v>Variation UPR - gross</v>
          </cell>
          <cell r="Y45921" t="str">
            <v>FRANCE</v>
          </cell>
        </row>
        <row r="45922">
          <cell r="L45922" t="str">
            <v>Non-proportional</v>
          </cell>
          <cell r="S45922">
            <v>-717.73</v>
          </cell>
          <cell r="X45922" t="str">
            <v>Variation UPR - gross</v>
          </cell>
          <cell r="Y45922" t="str">
            <v>ISRAEL</v>
          </cell>
        </row>
        <row r="45923">
          <cell r="L45923" t="str">
            <v>Non-proportional</v>
          </cell>
          <cell r="S45923">
            <v>-9987.7099999999991</v>
          </cell>
          <cell r="X45923" t="str">
            <v>Variation UPR - gross</v>
          </cell>
          <cell r="Y45923" t="str">
            <v>PERU</v>
          </cell>
        </row>
        <row r="45924">
          <cell r="L45924" t="str">
            <v>Non-proportional</v>
          </cell>
          <cell r="S45924">
            <v>-8855</v>
          </cell>
          <cell r="X45924" t="str">
            <v>Variation UPR - gross</v>
          </cell>
          <cell r="Y45924" t="str">
            <v>GERMANY</v>
          </cell>
        </row>
        <row r="45925">
          <cell r="L45925" t="str">
            <v>Non-proportional</v>
          </cell>
          <cell r="S45925">
            <v>-1167.73</v>
          </cell>
          <cell r="X45925" t="str">
            <v>Variation UPR - gross</v>
          </cell>
          <cell r="Y45925" t="str">
            <v>PERU</v>
          </cell>
        </row>
        <row r="45926">
          <cell r="L45926" t="str">
            <v>Non-proportional</v>
          </cell>
          <cell r="S45926">
            <v>-4.2300000000000004</v>
          </cell>
          <cell r="X45926" t="str">
            <v>Variation UPR - gross</v>
          </cell>
          <cell r="Y45926" t="str">
            <v>COSTA RICA</v>
          </cell>
        </row>
        <row r="45927">
          <cell r="L45927" t="str">
            <v>Proportional</v>
          </cell>
          <cell r="S45927">
            <v>1839.45</v>
          </cell>
          <cell r="X45927" t="str">
            <v>Variation UPR - gross</v>
          </cell>
          <cell r="Y45927" t="str">
            <v>THAILAND</v>
          </cell>
        </row>
        <row r="45928">
          <cell r="L45928" t="str">
            <v>Proportional</v>
          </cell>
          <cell r="S45928">
            <v>-3905.49</v>
          </cell>
          <cell r="X45928" t="str">
            <v>Variation UPR - gross</v>
          </cell>
          <cell r="Y45928" t="str">
            <v>CHILE</v>
          </cell>
        </row>
        <row r="45929">
          <cell r="L45929" t="str">
            <v>Non-proportional</v>
          </cell>
          <cell r="S45929">
            <v>102.94</v>
          </cell>
          <cell r="X45929" t="str">
            <v>Variation UPR - gross</v>
          </cell>
          <cell r="Y45929" t="str">
            <v>JAPAN</v>
          </cell>
        </row>
        <row r="45930">
          <cell r="L45930" t="str">
            <v>Non-proportional</v>
          </cell>
          <cell r="S45930">
            <v>-40799.89</v>
          </cell>
          <cell r="X45930" t="str">
            <v>Variation UPR - gross</v>
          </cell>
          <cell r="Y45930" t="str">
            <v>TURKEY</v>
          </cell>
        </row>
        <row r="45931">
          <cell r="L45931" t="str">
            <v>Non-proportional</v>
          </cell>
          <cell r="S45931">
            <v>-44.28</v>
          </cell>
          <cell r="X45931" t="str">
            <v>Variation UPR - gross</v>
          </cell>
          <cell r="Y45931" t="str">
            <v>ISRAEL</v>
          </cell>
        </row>
        <row r="45932">
          <cell r="L45932" t="str">
            <v>Non-proportional</v>
          </cell>
          <cell r="S45932">
            <v>-28848.58</v>
          </cell>
          <cell r="X45932" t="str">
            <v>Variation UPR - gross</v>
          </cell>
          <cell r="Y45932" t="str">
            <v>FRANCE</v>
          </cell>
        </row>
        <row r="45933">
          <cell r="L45933" t="str">
            <v>Non-proportional</v>
          </cell>
          <cell r="S45933">
            <v>-8333.66</v>
          </cell>
          <cell r="X45933" t="str">
            <v>Variation UPR - gross</v>
          </cell>
          <cell r="Y45933" t="str">
            <v>AUSTRALIA</v>
          </cell>
        </row>
        <row r="45934">
          <cell r="L45934" t="str">
            <v>Non-proportional</v>
          </cell>
          <cell r="S45934">
            <v>-1216.28</v>
          </cell>
          <cell r="X45934" t="str">
            <v>Variation UPR - gross</v>
          </cell>
          <cell r="Y45934" t="str">
            <v>JAPAN</v>
          </cell>
        </row>
        <row r="45935">
          <cell r="L45935" t="str">
            <v>Proportional</v>
          </cell>
          <cell r="S45935">
            <v>-341.52</v>
          </cell>
          <cell r="X45935" t="str">
            <v>Variation UPR - gross</v>
          </cell>
          <cell r="Y45935" t="str">
            <v>UNITED STATES</v>
          </cell>
        </row>
        <row r="45936">
          <cell r="L45936" t="str">
            <v>Non-proportional</v>
          </cell>
          <cell r="S45936">
            <v>-15055.19</v>
          </cell>
          <cell r="X45936" t="str">
            <v>Variation UPR - gross</v>
          </cell>
          <cell r="Y45936" t="str">
            <v>NEW ZEALAND</v>
          </cell>
        </row>
        <row r="45937">
          <cell r="L45937" t="str">
            <v>Non-proportional</v>
          </cell>
          <cell r="S45937">
            <v>-793.21</v>
          </cell>
          <cell r="X45937" t="str">
            <v>Variation UPR - gross</v>
          </cell>
          <cell r="Y45937" t="str">
            <v>PERU</v>
          </cell>
        </row>
        <row r="45938">
          <cell r="L45938" t="str">
            <v>Non-proportional</v>
          </cell>
          <cell r="S45938">
            <v>-7492.29</v>
          </cell>
          <cell r="X45938" t="str">
            <v>Variation UPR - gross</v>
          </cell>
          <cell r="Y45938" t="str">
            <v>FRANCE</v>
          </cell>
        </row>
        <row r="45939">
          <cell r="L45939" t="str">
            <v>Non-proportional</v>
          </cell>
          <cell r="S45939">
            <v>0.09</v>
          </cell>
          <cell r="X45939" t="str">
            <v>Variation UPR - gross</v>
          </cell>
          <cell r="Y45939" t="str">
            <v>TURKEY</v>
          </cell>
        </row>
        <row r="45940">
          <cell r="L45940" t="str">
            <v>Non-proportional</v>
          </cell>
          <cell r="S45940">
            <v>-2015.38</v>
          </cell>
          <cell r="X45940" t="str">
            <v>Variation UPR - gross</v>
          </cell>
          <cell r="Y45940" t="str">
            <v>AUSTRALIA</v>
          </cell>
        </row>
        <row r="45941">
          <cell r="L45941" t="str">
            <v>Non-proportional</v>
          </cell>
          <cell r="S45941">
            <v>118.36</v>
          </cell>
          <cell r="X45941" t="str">
            <v>Variation UPR - gross</v>
          </cell>
          <cell r="Y45941" t="str">
            <v>DOMINICAN REPUBLIC</v>
          </cell>
        </row>
        <row r="45942">
          <cell r="L45942" t="str">
            <v>Proportional</v>
          </cell>
          <cell r="S45942">
            <v>-91731.03</v>
          </cell>
          <cell r="X45942" t="str">
            <v>Variation UPR - gross</v>
          </cell>
          <cell r="Y45942" t="str">
            <v>PORTUGAL</v>
          </cell>
        </row>
        <row r="45943">
          <cell r="L45943" t="str">
            <v>Proportional</v>
          </cell>
          <cell r="S45943">
            <v>-37660.199999999997</v>
          </cell>
          <cell r="X45943" t="str">
            <v>Variation UPR - gross</v>
          </cell>
          <cell r="Y45943" t="str">
            <v>ITALY</v>
          </cell>
        </row>
        <row r="45944">
          <cell r="L45944" t="str">
            <v>Non-proportional</v>
          </cell>
          <cell r="S45944">
            <v>-2029.91</v>
          </cell>
          <cell r="X45944" t="str">
            <v>Variation UPR - gross</v>
          </cell>
          <cell r="Y45944" t="str">
            <v>CYPRUS</v>
          </cell>
        </row>
        <row r="45945">
          <cell r="L45945" t="str">
            <v>Non-proportional</v>
          </cell>
          <cell r="S45945">
            <v>268.63</v>
          </cell>
          <cell r="X45945" t="str">
            <v>Variation UPR - gross</v>
          </cell>
          <cell r="Y45945" t="str">
            <v>JAPAN</v>
          </cell>
        </row>
        <row r="45946">
          <cell r="L45946" t="str">
            <v>Non-proportional</v>
          </cell>
          <cell r="S45946">
            <v>-4233.33</v>
          </cell>
          <cell r="X45946" t="str">
            <v>Variation UPR - gross</v>
          </cell>
          <cell r="Y45946" t="str">
            <v>FRANCE</v>
          </cell>
        </row>
        <row r="45947">
          <cell r="L45947" t="str">
            <v>Non-proportional</v>
          </cell>
          <cell r="S45947">
            <v>-6299.52</v>
          </cell>
          <cell r="X45947" t="str">
            <v>Variation UPR - gross</v>
          </cell>
          <cell r="Y45947" t="str">
            <v>NEW ZEALAND</v>
          </cell>
        </row>
        <row r="45948">
          <cell r="L45948" t="str">
            <v>Non-proportional</v>
          </cell>
          <cell r="S45948">
            <v>-5217.67</v>
          </cell>
          <cell r="X45948" t="str">
            <v>Variation UPR - gross</v>
          </cell>
          <cell r="Y45948" t="str">
            <v>NEW ZEALAND</v>
          </cell>
        </row>
        <row r="45949">
          <cell r="L45949" t="str">
            <v>Non-proportional</v>
          </cell>
          <cell r="S45949">
            <v>-5512.68</v>
          </cell>
          <cell r="X45949" t="str">
            <v>Variation UPR - gross</v>
          </cell>
          <cell r="Y45949" t="str">
            <v>NETHERLANDS</v>
          </cell>
        </row>
        <row r="45950">
          <cell r="L45950" t="str">
            <v>Non-proportional</v>
          </cell>
          <cell r="S45950">
            <v>-1450.37</v>
          </cell>
          <cell r="X45950" t="str">
            <v>Variation UPR - gross</v>
          </cell>
          <cell r="Y45950" t="str">
            <v>UNITED KINGDOM</v>
          </cell>
        </row>
        <row r="45951">
          <cell r="L45951" t="str">
            <v>Non-proportional</v>
          </cell>
          <cell r="S45951">
            <v>-8775.06</v>
          </cell>
          <cell r="X45951" t="str">
            <v>Variation UPR - gross</v>
          </cell>
          <cell r="Y45951" t="str">
            <v>FRANCE</v>
          </cell>
        </row>
        <row r="45952">
          <cell r="L45952" t="str">
            <v>Non-proportional</v>
          </cell>
          <cell r="S45952">
            <v>-15042.95</v>
          </cell>
          <cell r="X45952" t="str">
            <v>Variation UPR - gross</v>
          </cell>
          <cell r="Y45952" t="str">
            <v>FRANCE</v>
          </cell>
        </row>
        <row r="45953">
          <cell r="L45953" t="str">
            <v>Non-proportional</v>
          </cell>
          <cell r="S45953">
            <v>-1989.32</v>
          </cell>
          <cell r="X45953" t="str">
            <v>Variation UPR - gross</v>
          </cell>
          <cell r="Y45953" t="str">
            <v>JAPAN</v>
          </cell>
        </row>
        <row r="45954">
          <cell r="L45954" t="str">
            <v>Non-proportional</v>
          </cell>
          <cell r="S45954">
            <v>-717.45</v>
          </cell>
          <cell r="X45954" t="str">
            <v>Variation UPR - gross</v>
          </cell>
          <cell r="Y45954" t="str">
            <v>ECUADOR</v>
          </cell>
        </row>
        <row r="45955">
          <cell r="L45955" t="str">
            <v>Non-proportional</v>
          </cell>
          <cell r="S45955">
            <v>-135.4</v>
          </cell>
          <cell r="X45955" t="str">
            <v>Variation UPR - gross</v>
          </cell>
          <cell r="Y45955" t="str">
            <v>FRANCE</v>
          </cell>
        </row>
        <row r="45956">
          <cell r="L45956" t="str">
            <v>Non-proportional</v>
          </cell>
          <cell r="S45956">
            <v>-1777.5</v>
          </cell>
          <cell r="X45956" t="str">
            <v>Variation UPR - gross</v>
          </cell>
          <cell r="Y45956" t="str">
            <v>GREECE</v>
          </cell>
        </row>
        <row r="45957">
          <cell r="L45957" t="str">
            <v>Non-proportional</v>
          </cell>
          <cell r="S45957">
            <v>-3113.52</v>
          </cell>
          <cell r="X45957" t="str">
            <v>Variation UPR - gross</v>
          </cell>
          <cell r="Y45957" t="str">
            <v>ISRAEL</v>
          </cell>
        </row>
        <row r="45958">
          <cell r="L45958" t="str">
            <v>Non-proportional</v>
          </cell>
          <cell r="S45958">
            <v>-11833.86</v>
          </cell>
          <cell r="X45958" t="str">
            <v>Variation UPR - gross</v>
          </cell>
          <cell r="Y45958" t="str">
            <v>MEXICO</v>
          </cell>
        </row>
        <row r="45959">
          <cell r="L45959" t="str">
            <v>Non-proportional</v>
          </cell>
          <cell r="S45959">
            <v>-8318.7000000000007</v>
          </cell>
          <cell r="X45959" t="str">
            <v>Variation UPR - gross</v>
          </cell>
          <cell r="Y45959" t="str">
            <v>COLOMBIA</v>
          </cell>
        </row>
        <row r="45960">
          <cell r="L45960" t="str">
            <v>Non-proportional</v>
          </cell>
          <cell r="S45960">
            <v>-612.5</v>
          </cell>
          <cell r="X45960" t="str">
            <v>Variation UPR - gross</v>
          </cell>
          <cell r="Y45960" t="str">
            <v>GREECE</v>
          </cell>
        </row>
        <row r="45961">
          <cell r="L45961" t="str">
            <v>Non-proportional</v>
          </cell>
          <cell r="S45961">
            <v>39.33</v>
          </cell>
          <cell r="X45961" t="str">
            <v>Variation UPR - gross</v>
          </cell>
          <cell r="Y45961" t="str">
            <v>JAPAN</v>
          </cell>
        </row>
        <row r="45962">
          <cell r="L45962" t="str">
            <v>Non-proportional</v>
          </cell>
          <cell r="S45962">
            <v>-5148.43</v>
          </cell>
          <cell r="X45962" t="str">
            <v>Variation UPR - gross</v>
          </cell>
          <cell r="Y45962" t="str">
            <v>UNITED KINGDOM</v>
          </cell>
        </row>
        <row r="45963">
          <cell r="L45963" t="str">
            <v>Non-proportional</v>
          </cell>
          <cell r="S45963">
            <v>-182021.67</v>
          </cell>
          <cell r="X45963" t="str">
            <v>Variation UPR - gross</v>
          </cell>
          <cell r="Y45963" t="str">
            <v>PORTUGAL</v>
          </cell>
        </row>
        <row r="45964">
          <cell r="L45964" t="str">
            <v>Non-proportional</v>
          </cell>
          <cell r="S45964">
            <v>121.18</v>
          </cell>
          <cell r="X45964" t="str">
            <v>Variation UPR - gross</v>
          </cell>
          <cell r="Y45964" t="str">
            <v>AUSTRALIA</v>
          </cell>
        </row>
        <row r="45965">
          <cell r="L45965" t="str">
            <v>Non-proportional</v>
          </cell>
          <cell r="S45965">
            <v>22.79</v>
          </cell>
          <cell r="X45965" t="str">
            <v>Variation UPR - gross</v>
          </cell>
          <cell r="Y45965" t="str">
            <v>JAPAN</v>
          </cell>
        </row>
        <row r="45966">
          <cell r="L45966" t="str">
            <v>Non-proportional</v>
          </cell>
          <cell r="S45966">
            <v>-3552.64</v>
          </cell>
          <cell r="X45966" t="str">
            <v>Variation UPR - gross</v>
          </cell>
          <cell r="Y45966" t="str">
            <v>THAILAND</v>
          </cell>
        </row>
        <row r="45967">
          <cell r="L45967" t="str">
            <v>Non-proportional</v>
          </cell>
          <cell r="S45967">
            <v>-5744.31</v>
          </cell>
          <cell r="X45967" t="str">
            <v>Variation UPR - gross</v>
          </cell>
          <cell r="Y45967" t="str">
            <v>THAILAND</v>
          </cell>
        </row>
        <row r="45968">
          <cell r="L45968" t="str">
            <v>Non-proportional</v>
          </cell>
          <cell r="S45968">
            <v>0.01</v>
          </cell>
          <cell r="X45968" t="str">
            <v>Variation UPR - gross</v>
          </cell>
          <cell r="Y45968" t="str">
            <v>DOMINICAN REPUBLIC</v>
          </cell>
        </row>
        <row r="45969">
          <cell r="L45969" t="str">
            <v>Non-proportional</v>
          </cell>
          <cell r="S45969">
            <v>86.52</v>
          </cell>
          <cell r="X45969" t="str">
            <v>Variation UPR - gross</v>
          </cell>
          <cell r="Y45969" t="str">
            <v>JAPAN</v>
          </cell>
        </row>
        <row r="45970">
          <cell r="L45970" t="str">
            <v>Non-proportional</v>
          </cell>
          <cell r="S45970">
            <v>-40000</v>
          </cell>
          <cell r="X45970" t="str">
            <v>Variation UPR - gross</v>
          </cell>
          <cell r="Y45970" t="str">
            <v>ITALY</v>
          </cell>
        </row>
        <row r="45971">
          <cell r="L45971" t="str">
            <v>Non-proportional</v>
          </cell>
          <cell r="S45971">
            <v>-1094.58</v>
          </cell>
          <cell r="X45971" t="str">
            <v>Variation UPR - gross</v>
          </cell>
          <cell r="Y45971" t="str">
            <v>COSTA RICA</v>
          </cell>
        </row>
        <row r="45972">
          <cell r="L45972" t="str">
            <v>Non-proportional</v>
          </cell>
          <cell r="S45972">
            <v>-1207.82</v>
          </cell>
          <cell r="X45972" t="str">
            <v>Variation UPR - gross</v>
          </cell>
          <cell r="Y45972" t="str">
            <v>COSTA RICA</v>
          </cell>
        </row>
        <row r="45973">
          <cell r="L45973" t="str">
            <v>Non-proportional</v>
          </cell>
          <cell r="S45973">
            <v>-3697.3</v>
          </cell>
          <cell r="X45973" t="str">
            <v>Variation UPR - gross</v>
          </cell>
          <cell r="Y45973" t="str">
            <v>ISRAEL</v>
          </cell>
        </row>
        <row r="45974">
          <cell r="L45974" t="str">
            <v>Proportional</v>
          </cell>
          <cell r="S45974">
            <v>12.36</v>
          </cell>
          <cell r="X45974" t="str">
            <v>Variation UPR - gross</v>
          </cell>
          <cell r="Y45974" t="str">
            <v>UNITED STATES</v>
          </cell>
        </row>
        <row r="45975">
          <cell r="L45975" t="str">
            <v>Non-proportional</v>
          </cell>
          <cell r="S45975">
            <v>-211.21</v>
          </cell>
          <cell r="X45975" t="str">
            <v>Variation UPR - gross</v>
          </cell>
          <cell r="Y45975" t="str">
            <v>JAPAN</v>
          </cell>
        </row>
        <row r="45976">
          <cell r="L45976" t="str">
            <v>Proportional</v>
          </cell>
          <cell r="S45976">
            <v>-23.42</v>
          </cell>
          <cell r="X45976" t="str">
            <v>Variation UPR - gross</v>
          </cell>
          <cell r="Y45976" t="str">
            <v>UNITED STATES</v>
          </cell>
        </row>
        <row r="45977">
          <cell r="L45977" t="str">
            <v>Non-proportional</v>
          </cell>
          <cell r="S45977">
            <v>-46864.67</v>
          </cell>
          <cell r="X45977" t="str">
            <v>Variation UPR - gross</v>
          </cell>
          <cell r="Y45977" t="str">
            <v>FRANCE</v>
          </cell>
        </row>
        <row r="45978">
          <cell r="L45978" t="str">
            <v>Non-proportional</v>
          </cell>
          <cell r="S45978">
            <v>-32499.49</v>
          </cell>
          <cell r="X45978" t="str">
            <v>Variation UPR - gross</v>
          </cell>
          <cell r="Y45978" t="str">
            <v>NEW ZEALAND</v>
          </cell>
        </row>
        <row r="45979">
          <cell r="L45979" t="str">
            <v>Non-proportional</v>
          </cell>
          <cell r="S45979">
            <v>-2517.86</v>
          </cell>
          <cell r="X45979" t="str">
            <v>Variation UPR - gross</v>
          </cell>
          <cell r="Y45979" t="str">
            <v>ECUADOR</v>
          </cell>
        </row>
        <row r="45980">
          <cell r="L45980" t="str">
            <v>Non-proportional</v>
          </cell>
          <cell r="S45980">
            <v>-2148.42</v>
          </cell>
          <cell r="X45980" t="str">
            <v>Variation UPR - gross</v>
          </cell>
          <cell r="Y45980" t="str">
            <v>UNITED KINGDOM</v>
          </cell>
        </row>
        <row r="45981">
          <cell r="L45981" t="str">
            <v>Non-proportional</v>
          </cell>
          <cell r="S45981">
            <v>-1679.16</v>
          </cell>
          <cell r="X45981" t="str">
            <v>Variation UPR - gross</v>
          </cell>
          <cell r="Y45981" t="str">
            <v>CHINA</v>
          </cell>
        </row>
        <row r="45982">
          <cell r="L45982" t="str">
            <v>Proportional</v>
          </cell>
          <cell r="S45982">
            <v>-304.66000000000003</v>
          </cell>
          <cell r="X45982" t="str">
            <v>Variation UPR - gross</v>
          </cell>
          <cell r="Y45982" t="str">
            <v>UNITED STATES</v>
          </cell>
        </row>
        <row r="45983">
          <cell r="L45983" t="str">
            <v>Non-proportional</v>
          </cell>
          <cell r="S45983">
            <v>-6250</v>
          </cell>
          <cell r="X45983" t="str">
            <v>Variation UPR - gross</v>
          </cell>
          <cell r="Y45983" t="str">
            <v>SPAIN</v>
          </cell>
        </row>
        <row r="45984">
          <cell r="L45984" t="str">
            <v>Non-proportional</v>
          </cell>
          <cell r="S45984">
            <v>-4425.46</v>
          </cell>
          <cell r="X45984" t="str">
            <v>Variation UPR - gross</v>
          </cell>
          <cell r="Y45984" t="str">
            <v>FRANCE</v>
          </cell>
        </row>
        <row r="45985">
          <cell r="L45985" t="str">
            <v>Non-proportional</v>
          </cell>
          <cell r="S45985">
            <v>-31603.96</v>
          </cell>
          <cell r="X45985" t="str">
            <v>Variation UPR - gross</v>
          </cell>
          <cell r="Y45985" t="str">
            <v>HONG KONG</v>
          </cell>
        </row>
        <row r="45986">
          <cell r="L45986" t="str">
            <v>Non-proportional</v>
          </cell>
          <cell r="S45986">
            <v>-6751.95</v>
          </cell>
          <cell r="X45986" t="str">
            <v>Variation UPR - gross</v>
          </cell>
          <cell r="Y45986" t="str">
            <v>UNITED KINGDOM</v>
          </cell>
        </row>
        <row r="45987">
          <cell r="L45987" t="str">
            <v>Non-proportional</v>
          </cell>
          <cell r="S45987">
            <v>-19476.78</v>
          </cell>
          <cell r="X45987" t="str">
            <v>Variation UPR - gross</v>
          </cell>
          <cell r="Y45987" t="str">
            <v>UNITED KINGDOM</v>
          </cell>
        </row>
        <row r="45988">
          <cell r="L45988" t="str">
            <v>Non-proportional</v>
          </cell>
          <cell r="S45988">
            <v>-38026.75</v>
          </cell>
          <cell r="X45988" t="str">
            <v>Variation UPR - gross</v>
          </cell>
          <cell r="Y45988" t="str">
            <v>FRANCE</v>
          </cell>
        </row>
        <row r="45989">
          <cell r="L45989" t="str">
            <v>Non-proportional</v>
          </cell>
          <cell r="S45989">
            <v>-43170.49</v>
          </cell>
          <cell r="X45989" t="str">
            <v>Variation UPR - gross</v>
          </cell>
          <cell r="Y45989" t="str">
            <v>UNITED KINGDOM</v>
          </cell>
        </row>
        <row r="45990">
          <cell r="L45990" t="str">
            <v>Non-proportional</v>
          </cell>
          <cell r="S45990">
            <v>-11146.07</v>
          </cell>
          <cell r="X45990" t="str">
            <v>Variation UPR - gross</v>
          </cell>
          <cell r="Y45990" t="str">
            <v>MEXICO</v>
          </cell>
        </row>
        <row r="45991">
          <cell r="L45991" t="str">
            <v>Non-proportional</v>
          </cell>
          <cell r="S45991">
            <v>-6623.14</v>
          </cell>
          <cell r="X45991" t="str">
            <v>Variation UPR - gross</v>
          </cell>
          <cell r="Y45991" t="str">
            <v>CYPRUS</v>
          </cell>
        </row>
        <row r="45992">
          <cell r="L45992" t="str">
            <v>Non-proportional</v>
          </cell>
          <cell r="S45992">
            <v>-1894.39</v>
          </cell>
          <cell r="X45992" t="str">
            <v>Variation UPR - gross</v>
          </cell>
          <cell r="Y45992" t="str">
            <v>DOMINICAN REPUBLIC</v>
          </cell>
        </row>
        <row r="45993">
          <cell r="L45993" t="str">
            <v>Non-proportional</v>
          </cell>
          <cell r="S45993">
            <v>-3796.46</v>
          </cell>
          <cell r="X45993" t="str">
            <v>Variation UPR - gross</v>
          </cell>
          <cell r="Y45993" t="str">
            <v>ITALY</v>
          </cell>
        </row>
        <row r="45994">
          <cell r="L45994" t="str">
            <v>Non-proportional</v>
          </cell>
          <cell r="S45994">
            <v>-9876.3799999999992</v>
          </cell>
          <cell r="X45994" t="str">
            <v>Variation UPR - gross</v>
          </cell>
          <cell r="Y45994" t="str">
            <v>CHILE</v>
          </cell>
        </row>
        <row r="45995">
          <cell r="L45995" t="str">
            <v>Non-proportional</v>
          </cell>
          <cell r="S45995">
            <v>-6337.21</v>
          </cell>
          <cell r="X45995" t="str">
            <v>Variation UPR - gross</v>
          </cell>
          <cell r="Y45995" t="str">
            <v>NEW ZEALAND</v>
          </cell>
        </row>
        <row r="45996">
          <cell r="L45996" t="str">
            <v>Non-proportional</v>
          </cell>
          <cell r="S45996">
            <v>-3314.05</v>
          </cell>
          <cell r="X45996" t="str">
            <v>Variation UPR - gross</v>
          </cell>
          <cell r="Y45996" t="str">
            <v>UNITED KINGDOM</v>
          </cell>
        </row>
        <row r="45997">
          <cell r="L45997" t="str">
            <v>Non-proportional</v>
          </cell>
          <cell r="S45997">
            <v>-11488.41</v>
          </cell>
          <cell r="X45997" t="str">
            <v>Variation UPR - gross</v>
          </cell>
          <cell r="Y45997" t="str">
            <v>MEXICO</v>
          </cell>
        </row>
        <row r="45998">
          <cell r="L45998" t="str">
            <v>Non-proportional</v>
          </cell>
          <cell r="S45998">
            <v>-3602.78</v>
          </cell>
          <cell r="X45998" t="str">
            <v>Variation UPR - gross</v>
          </cell>
          <cell r="Y45998" t="str">
            <v>ISRAEL</v>
          </cell>
        </row>
        <row r="45999">
          <cell r="L45999" t="str">
            <v>Non-proportional</v>
          </cell>
          <cell r="S45999">
            <v>-5384.77</v>
          </cell>
          <cell r="X45999" t="str">
            <v>Variation UPR - gross</v>
          </cell>
          <cell r="Y45999" t="str">
            <v>COLOMBIA</v>
          </cell>
        </row>
        <row r="46000">
          <cell r="L46000" t="str">
            <v>Non-proportional</v>
          </cell>
          <cell r="S46000">
            <v>-4006.62</v>
          </cell>
          <cell r="X46000" t="str">
            <v>Variation UPR - gross</v>
          </cell>
          <cell r="Y46000" t="str">
            <v>UNITED KINGDOM</v>
          </cell>
        </row>
        <row r="46001">
          <cell r="L46001" t="str">
            <v>Non-proportional</v>
          </cell>
          <cell r="S46001">
            <v>-2575.89</v>
          </cell>
          <cell r="X46001" t="str">
            <v>Variation UPR - gross</v>
          </cell>
          <cell r="Y46001" t="str">
            <v>BELIZE</v>
          </cell>
        </row>
        <row r="46002">
          <cell r="L46002" t="str">
            <v>Non-proportional</v>
          </cell>
          <cell r="S46002">
            <v>-2357.7600000000002</v>
          </cell>
          <cell r="X46002" t="str">
            <v>Variation UPR - gross</v>
          </cell>
          <cell r="Y46002" t="str">
            <v>UNITED KINGDOM</v>
          </cell>
        </row>
        <row r="46003">
          <cell r="L46003" t="str">
            <v>Non-proportional</v>
          </cell>
          <cell r="S46003">
            <v>49.61</v>
          </cell>
          <cell r="X46003" t="str">
            <v>Variation UPR - gross</v>
          </cell>
          <cell r="Y46003" t="str">
            <v>JAPAN</v>
          </cell>
        </row>
        <row r="46004">
          <cell r="L46004" t="str">
            <v>Proportional</v>
          </cell>
          <cell r="S46004">
            <v>-97109.37</v>
          </cell>
          <cell r="X46004" t="str">
            <v>Variation UPR - gross</v>
          </cell>
          <cell r="Y46004" t="str">
            <v>THAILAND</v>
          </cell>
        </row>
        <row r="46005">
          <cell r="L46005" t="str">
            <v>Non-proportional</v>
          </cell>
          <cell r="S46005">
            <v>-417.67</v>
          </cell>
          <cell r="X46005" t="str">
            <v>Variation UPR - gross</v>
          </cell>
          <cell r="Y46005" t="str">
            <v>NETHERLANDS</v>
          </cell>
        </row>
        <row r="46006">
          <cell r="L46006" t="str">
            <v>Non-proportional</v>
          </cell>
          <cell r="S46006">
            <v>-3970.51</v>
          </cell>
          <cell r="X46006" t="str">
            <v>Variation UPR - gross</v>
          </cell>
          <cell r="Y46006" t="str">
            <v>ECUADOR</v>
          </cell>
        </row>
        <row r="46007">
          <cell r="L46007" t="str">
            <v>Non-proportional</v>
          </cell>
          <cell r="S46007">
            <v>-617</v>
          </cell>
          <cell r="X46007" t="str">
            <v>Variation UPR - gross</v>
          </cell>
          <cell r="Y46007" t="str">
            <v>FRANCE</v>
          </cell>
        </row>
        <row r="46008">
          <cell r="L46008" t="str">
            <v>Non-proportional</v>
          </cell>
          <cell r="S46008">
            <v>-3492.41</v>
          </cell>
          <cell r="X46008" t="str">
            <v>Variation UPR - gross</v>
          </cell>
          <cell r="Y46008" t="str">
            <v>CHILE</v>
          </cell>
        </row>
        <row r="46009">
          <cell r="L46009" t="str">
            <v>Proportional</v>
          </cell>
          <cell r="S46009">
            <v>-2576.04</v>
          </cell>
          <cell r="X46009" t="str">
            <v>Variation UPR - gross</v>
          </cell>
          <cell r="Y46009" t="str">
            <v>CHILE</v>
          </cell>
        </row>
        <row r="46010">
          <cell r="L46010" t="str">
            <v>Proportional</v>
          </cell>
          <cell r="S46010">
            <v>-117300</v>
          </cell>
          <cell r="X46010" t="str">
            <v>Variation UPR - gross</v>
          </cell>
          <cell r="Y46010" t="str">
            <v>SWITZERLAND</v>
          </cell>
        </row>
        <row r="46011">
          <cell r="L46011" t="str">
            <v>Non-proportional</v>
          </cell>
          <cell r="S46011">
            <v>-6.64</v>
          </cell>
          <cell r="X46011" t="str">
            <v>Variation UPR - gross</v>
          </cell>
          <cell r="Y46011" t="str">
            <v>COSTA RICA</v>
          </cell>
        </row>
        <row r="46012">
          <cell r="L46012" t="str">
            <v>Non-proportional</v>
          </cell>
          <cell r="S46012">
            <v>-905.42</v>
          </cell>
          <cell r="X46012" t="str">
            <v>Variation UPR - gross</v>
          </cell>
          <cell r="Y46012" t="str">
            <v>ITALY</v>
          </cell>
        </row>
        <row r="46013">
          <cell r="L46013" t="str">
            <v>Non-proportional</v>
          </cell>
          <cell r="S46013">
            <v>-1209.23</v>
          </cell>
          <cell r="X46013" t="str">
            <v>Variation UPR - gross</v>
          </cell>
          <cell r="Y46013" t="str">
            <v>AUSTRALIA</v>
          </cell>
        </row>
        <row r="46014">
          <cell r="L46014" t="str">
            <v>Non-proportional</v>
          </cell>
          <cell r="S46014">
            <v>-600.84</v>
          </cell>
          <cell r="X46014" t="str">
            <v>Variation UPR - gross</v>
          </cell>
          <cell r="Y46014" t="str">
            <v>CHILE</v>
          </cell>
        </row>
        <row r="46015">
          <cell r="L46015" t="str">
            <v>Non-proportional</v>
          </cell>
          <cell r="S46015">
            <v>0.02</v>
          </cell>
          <cell r="X46015" t="str">
            <v>Variation UPR - gross</v>
          </cell>
          <cell r="Y46015" t="str">
            <v>INDIA</v>
          </cell>
        </row>
        <row r="46016">
          <cell r="L46016" t="str">
            <v>Non-proportional</v>
          </cell>
          <cell r="S46016">
            <v>-712.52</v>
          </cell>
          <cell r="X46016" t="str">
            <v>Variation UPR - gross</v>
          </cell>
          <cell r="Y46016" t="str">
            <v>INDIA</v>
          </cell>
        </row>
        <row r="46017">
          <cell r="L46017" t="str">
            <v>Non-proportional</v>
          </cell>
          <cell r="S46017">
            <v>-2977.92</v>
          </cell>
          <cell r="X46017" t="str">
            <v>Variation UPR - gross</v>
          </cell>
          <cell r="Y46017" t="str">
            <v>THAILAND</v>
          </cell>
        </row>
        <row r="46018">
          <cell r="L46018" t="str">
            <v>Non-proportional</v>
          </cell>
          <cell r="S46018">
            <v>-8750</v>
          </cell>
          <cell r="X46018" t="str">
            <v>Variation UPR - gross</v>
          </cell>
          <cell r="Y46018" t="str">
            <v>EUROPE</v>
          </cell>
        </row>
        <row r="46019">
          <cell r="L46019" t="str">
            <v>Non-proportional</v>
          </cell>
          <cell r="S46019">
            <v>-90248.71</v>
          </cell>
          <cell r="X46019" t="str">
            <v>Variation UPR - gross</v>
          </cell>
          <cell r="Y46019" t="str">
            <v>UNITED KINGDOM</v>
          </cell>
        </row>
        <row r="46020">
          <cell r="L46020" t="str">
            <v>Non-proportional</v>
          </cell>
          <cell r="S46020">
            <v>-49147.63</v>
          </cell>
          <cell r="X46020" t="str">
            <v>Variation UPR - gross</v>
          </cell>
          <cell r="Y46020" t="str">
            <v>UNITED KINGDOM</v>
          </cell>
        </row>
        <row r="46021">
          <cell r="L46021" t="str">
            <v>Proportional</v>
          </cell>
          <cell r="S46021">
            <v>-112.66</v>
          </cell>
          <cell r="X46021" t="str">
            <v>Variation UPR - gross</v>
          </cell>
          <cell r="Y46021" t="str">
            <v>CHILE</v>
          </cell>
        </row>
        <row r="46022">
          <cell r="L46022" t="str">
            <v>Non-proportional</v>
          </cell>
          <cell r="S46022">
            <v>53.93</v>
          </cell>
          <cell r="X46022" t="str">
            <v>Variation UPR - gross</v>
          </cell>
          <cell r="Y46022" t="str">
            <v>NEW ZEALAND</v>
          </cell>
        </row>
        <row r="46023">
          <cell r="L46023" t="str">
            <v>Non-proportional</v>
          </cell>
          <cell r="S46023">
            <v>-420.38</v>
          </cell>
          <cell r="X46023" t="str">
            <v>Variation UPR - gross</v>
          </cell>
          <cell r="Y46023" t="str">
            <v>PORTUGAL</v>
          </cell>
        </row>
        <row r="46024">
          <cell r="L46024" t="str">
            <v>Non-proportional</v>
          </cell>
          <cell r="S46024">
            <v>-3916.32</v>
          </cell>
          <cell r="X46024" t="str">
            <v>Variation UPR - gross</v>
          </cell>
          <cell r="Y46024" t="str">
            <v>ISRAEL</v>
          </cell>
        </row>
        <row r="46025">
          <cell r="L46025" t="str">
            <v>Non-proportional</v>
          </cell>
          <cell r="S46025">
            <v>-694.53</v>
          </cell>
          <cell r="X46025" t="str">
            <v>Variation UPR - gross</v>
          </cell>
          <cell r="Y46025" t="str">
            <v>ECUADOR</v>
          </cell>
        </row>
        <row r="46026">
          <cell r="L46026" t="str">
            <v>Non-proportional</v>
          </cell>
          <cell r="S46026">
            <v>-1063.83</v>
          </cell>
          <cell r="X46026" t="str">
            <v>Variation UPR - gross</v>
          </cell>
          <cell r="Y46026" t="str">
            <v>JAPAN</v>
          </cell>
        </row>
        <row r="46027">
          <cell r="L46027" t="str">
            <v>Non-proportional</v>
          </cell>
          <cell r="S46027">
            <v>-7342.39</v>
          </cell>
          <cell r="X46027" t="str">
            <v>Variation UPR - gross</v>
          </cell>
          <cell r="Y46027" t="str">
            <v>FRANCE</v>
          </cell>
        </row>
        <row r="46028">
          <cell r="L46028" t="str">
            <v>Non-proportional</v>
          </cell>
          <cell r="S46028">
            <v>-4244.67</v>
          </cell>
          <cell r="X46028" t="str">
            <v>Variation UPR - gross</v>
          </cell>
          <cell r="Y46028" t="str">
            <v>COLOMBIA</v>
          </cell>
        </row>
        <row r="46029">
          <cell r="L46029" t="str">
            <v>Non-proportional</v>
          </cell>
          <cell r="S46029">
            <v>-5746.49</v>
          </cell>
          <cell r="X46029" t="str">
            <v>Variation UPR - gross</v>
          </cell>
          <cell r="Y46029" t="str">
            <v>ISRAEL</v>
          </cell>
        </row>
        <row r="46030">
          <cell r="L46030" t="str">
            <v>Proportional</v>
          </cell>
          <cell r="S46030">
            <v>-7906.64</v>
          </cell>
          <cell r="X46030" t="str">
            <v>Variation UPR - gross</v>
          </cell>
          <cell r="Y46030" t="str">
            <v>JAPAN</v>
          </cell>
        </row>
        <row r="46031">
          <cell r="L46031" t="str">
            <v>Non-proportional</v>
          </cell>
          <cell r="S46031">
            <v>-75.11</v>
          </cell>
          <cell r="X46031" t="str">
            <v>Variation UPR - gross</v>
          </cell>
          <cell r="Y46031" t="str">
            <v>CHILE</v>
          </cell>
        </row>
        <row r="46032">
          <cell r="L46032" t="str">
            <v>Non-proportional</v>
          </cell>
          <cell r="S46032">
            <v>-1620.93</v>
          </cell>
          <cell r="X46032" t="str">
            <v>Variation UPR - gross</v>
          </cell>
          <cell r="Y46032" t="str">
            <v>JAPAN</v>
          </cell>
        </row>
        <row r="46033">
          <cell r="L46033" t="str">
            <v>Non-proportional</v>
          </cell>
          <cell r="S46033">
            <v>-1566.12</v>
          </cell>
          <cell r="X46033" t="str">
            <v>Variation UPR - gross</v>
          </cell>
          <cell r="Y46033" t="str">
            <v>DOMINICAN REPUBLIC</v>
          </cell>
        </row>
        <row r="46034">
          <cell r="L46034" t="str">
            <v>Non-proportional</v>
          </cell>
          <cell r="S46034">
            <v>-7810.98</v>
          </cell>
          <cell r="X46034" t="str">
            <v>Variation UPR - gross</v>
          </cell>
          <cell r="Y46034" t="str">
            <v>CHILE</v>
          </cell>
        </row>
        <row r="46035">
          <cell r="L46035" t="str">
            <v>Non-proportional</v>
          </cell>
          <cell r="S46035">
            <v>-22455.29</v>
          </cell>
          <cell r="X46035" t="str">
            <v>Variation UPR - gross</v>
          </cell>
          <cell r="Y46035" t="str">
            <v>NEW ZEALAND</v>
          </cell>
        </row>
        <row r="46036">
          <cell r="L46036" t="str">
            <v>Non-proportional</v>
          </cell>
          <cell r="S46036">
            <v>-6180.83</v>
          </cell>
          <cell r="X46036" t="str">
            <v>Variation UPR - gross</v>
          </cell>
          <cell r="Y46036" t="str">
            <v>MEXICO</v>
          </cell>
        </row>
        <row r="46037">
          <cell r="L46037" t="str">
            <v>Proportional</v>
          </cell>
          <cell r="S46037">
            <v>-23419.25</v>
          </cell>
          <cell r="X46037" t="str">
            <v>Variation UPR - gross</v>
          </cell>
          <cell r="Y46037" t="str">
            <v>SWITZERLAND</v>
          </cell>
        </row>
        <row r="46038">
          <cell r="L46038" t="str">
            <v>Non-proportional</v>
          </cell>
          <cell r="S46038">
            <v>-282.10000000000002</v>
          </cell>
          <cell r="X46038" t="str">
            <v>Variation UPR - gross</v>
          </cell>
          <cell r="Y46038" t="str">
            <v>MEXICO</v>
          </cell>
        </row>
        <row r="46039">
          <cell r="L46039" t="str">
            <v>Non-proportional</v>
          </cell>
          <cell r="S46039">
            <v>-4536.9399999999996</v>
          </cell>
          <cell r="X46039" t="str">
            <v>Variation UPR - gross</v>
          </cell>
          <cell r="Y46039" t="str">
            <v>BELIZE</v>
          </cell>
        </row>
        <row r="46040">
          <cell r="L46040" t="str">
            <v>Non-proportional</v>
          </cell>
          <cell r="S46040">
            <v>208.87</v>
          </cell>
          <cell r="X46040" t="str">
            <v>Variation UPR - gross</v>
          </cell>
          <cell r="Y46040" t="str">
            <v>NEW ZEALAND</v>
          </cell>
        </row>
        <row r="46041">
          <cell r="L46041" t="str">
            <v>Proportional</v>
          </cell>
          <cell r="S46041">
            <v>-11829.47</v>
          </cell>
          <cell r="X46041" t="str">
            <v>Variation UPR - gross</v>
          </cell>
          <cell r="Y46041" t="str">
            <v>THAILAND</v>
          </cell>
        </row>
        <row r="46042">
          <cell r="L46042" t="str">
            <v>Proportional</v>
          </cell>
          <cell r="S46042">
            <v>1210.55</v>
          </cell>
          <cell r="X46042" t="str">
            <v>Variation UPR - gross</v>
          </cell>
          <cell r="Y46042" t="str">
            <v>THAILAND</v>
          </cell>
        </row>
        <row r="46043">
          <cell r="L46043" t="str">
            <v>Non-proportional</v>
          </cell>
          <cell r="S46043">
            <v>-74004.97</v>
          </cell>
          <cell r="X46043" t="str">
            <v>Variation UPR - gross</v>
          </cell>
          <cell r="Y46043" t="str">
            <v>UNITED KINGDOM</v>
          </cell>
        </row>
        <row r="46044">
          <cell r="L46044" t="str">
            <v>Non-proportional</v>
          </cell>
          <cell r="S46044">
            <v>-5565.62</v>
          </cell>
          <cell r="X46044" t="str">
            <v>Variation UPR - gross</v>
          </cell>
          <cell r="Y46044" t="str">
            <v>ISRAEL</v>
          </cell>
        </row>
        <row r="46045">
          <cell r="L46045" t="str">
            <v>Proportional</v>
          </cell>
          <cell r="S46045">
            <v>23910.27</v>
          </cell>
          <cell r="X46045" t="str">
            <v>Variation UPR - gross</v>
          </cell>
          <cell r="Y46045" t="str">
            <v>AUSTRALIA</v>
          </cell>
        </row>
        <row r="46046">
          <cell r="L46046" t="str">
            <v>Non-proportional</v>
          </cell>
          <cell r="S46046">
            <v>-4655.74</v>
          </cell>
          <cell r="X46046" t="str">
            <v>Variation UPR - gross</v>
          </cell>
          <cell r="Y46046" t="str">
            <v>SPAIN</v>
          </cell>
        </row>
        <row r="46047">
          <cell r="L46047" t="str">
            <v>Non-proportional</v>
          </cell>
          <cell r="S46047">
            <v>-831.98</v>
          </cell>
          <cell r="X46047" t="str">
            <v>Variation UPR - gross</v>
          </cell>
          <cell r="Y46047" t="str">
            <v>FRANCE</v>
          </cell>
        </row>
        <row r="46048">
          <cell r="L46048" t="str">
            <v>Non-proportional</v>
          </cell>
          <cell r="S46048">
            <v>-4095</v>
          </cell>
          <cell r="X46048" t="str">
            <v>Variation UPR - gross</v>
          </cell>
          <cell r="Y46048" t="str">
            <v>FRANCE</v>
          </cell>
        </row>
        <row r="46049">
          <cell r="L46049" t="str">
            <v>Non-proportional</v>
          </cell>
          <cell r="S46049">
            <v>41.88</v>
          </cell>
          <cell r="X46049" t="str">
            <v>Variation UPR - gross</v>
          </cell>
          <cell r="Y46049" t="str">
            <v>DOMINICAN REPUBLIC</v>
          </cell>
        </row>
        <row r="46050">
          <cell r="L46050" t="str">
            <v>Non-proportional</v>
          </cell>
          <cell r="S46050">
            <v>-129823.33</v>
          </cell>
          <cell r="X46050" t="str">
            <v>Variation UPR - gross</v>
          </cell>
          <cell r="Y46050" t="str">
            <v>PORTUGAL</v>
          </cell>
        </row>
        <row r="46051">
          <cell r="L46051" t="str">
            <v>Proportional</v>
          </cell>
          <cell r="S46051">
            <v>85291.28</v>
          </cell>
          <cell r="X46051" t="str">
            <v>Variation UPR - gross</v>
          </cell>
          <cell r="Y46051" t="str">
            <v>JAPAN</v>
          </cell>
        </row>
        <row r="46052">
          <cell r="L46052" t="str">
            <v>Proportional</v>
          </cell>
          <cell r="S46052">
            <v>-27733.48</v>
          </cell>
          <cell r="X46052" t="str">
            <v>Variation UPR - gross</v>
          </cell>
          <cell r="Y46052" t="str">
            <v>BELGIUM</v>
          </cell>
        </row>
        <row r="46053">
          <cell r="L46053" t="str">
            <v>Non-proportional</v>
          </cell>
          <cell r="S46053">
            <v>-64.89</v>
          </cell>
          <cell r="X46053" t="str">
            <v>Variation UPR - gross</v>
          </cell>
          <cell r="Y46053" t="str">
            <v>ISRAEL</v>
          </cell>
        </row>
        <row r="46054">
          <cell r="L46054" t="str">
            <v>Proportional</v>
          </cell>
          <cell r="S46054">
            <v>-21584.91</v>
          </cell>
          <cell r="X46054" t="str">
            <v>Variation UPR - gross</v>
          </cell>
          <cell r="Y46054" t="str">
            <v>HONG KONG</v>
          </cell>
        </row>
        <row r="46055">
          <cell r="L46055" t="str">
            <v>Proportional</v>
          </cell>
          <cell r="S46055">
            <v>931.19</v>
          </cell>
          <cell r="X46055" t="str">
            <v>Variation UPR - gross</v>
          </cell>
          <cell r="Y46055" t="str">
            <v>THAILAND</v>
          </cell>
        </row>
        <row r="46056">
          <cell r="L46056" t="str">
            <v>Non-proportional</v>
          </cell>
          <cell r="S46056">
            <v>-772.88</v>
          </cell>
          <cell r="X46056" t="str">
            <v>Variation UPR - gross</v>
          </cell>
          <cell r="Y46056" t="str">
            <v>REPUBLIC OF IRELAND</v>
          </cell>
        </row>
        <row r="46057">
          <cell r="L46057" t="str">
            <v>Non-proportional</v>
          </cell>
          <cell r="S46057">
            <v>-195.18</v>
          </cell>
          <cell r="X46057" t="str">
            <v>Variation UPR - gross</v>
          </cell>
          <cell r="Y46057" t="str">
            <v>COLOMBIA</v>
          </cell>
        </row>
        <row r="46058">
          <cell r="L46058" t="str">
            <v>Non-proportional</v>
          </cell>
          <cell r="S46058">
            <v>-6907.69</v>
          </cell>
          <cell r="X46058" t="str">
            <v>Variation UPR - gross</v>
          </cell>
          <cell r="Y46058" t="str">
            <v>GREECE</v>
          </cell>
        </row>
        <row r="46059">
          <cell r="L46059" t="str">
            <v>Non-proportional</v>
          </cell>
          <cell r="S46059">
            <v>-1674.66</v>
          </cell>
          <cell r="X46059" t="str">
            <v>Variation UPR - gross</v>
          </cell>
          <cell r="Y46059" t="str">
            <v>ISRAEL</v>
          </cell>
        </row>
        <row r="46060">
          <cell r="L46060" t="str">
            <v>Non-proportional</v>
          </cell>
          <cell r="S46060">
            <v>-2936.17</v>
          </cell>
          <cell r="X46060" t="str">
            <v>Variation UPR - gross</v>
          </cell>
          <cell r="Y46060" t="str">
            <v>ISRAEL</v>
          </cell>
        </row>
        <row r="46061">
          <cell r="L46061" t="str">
            <v>Non-proportional</v>
          </cell>
          <cell r="S46061">
            <v>-10156.290000000001</v>
          </cell>
          <cell r="X46061" t="str">
            <v>Variation UPR - gross</v>
          </cell>
          <cell r="Y46061" t="str">
            <v>EUROPE</v>
          </cell>
        </row>
        <row r="46062">
          <cell r="L46062" t="str">
            <v>Non-proportional</v>
          </cell>
          <cell r="S46062">
            <v>-9095.74</v>
          </cell>
          <cell r="X46062" t="str">
            <v>Variation UPR - gross</v>
          </cell>
          <cell r="Y46062" t="str">
            <v>PUERTO RICO</v>
          </cell>
        </row>
        <row r="46063">
          <cell r="L46063" t="str">
            <v>Non-proportional</v>
          </cell>
          <cell r="S46063">
            <v>-4340.4399999999996</v>
          </cell>
          <cell r="X46063" t="str">
            <v>Variation UPR - gross</v>
          </cell>
          <cell r="Y46063" t="str">
            <v>COSTA RICA</v>
          </cell>
        </row>
        <row r="46064">
          <cell r="L46064" t="str">
            <v>Non-proportional</v>
          </cell>
          <cell r="S46064">
            <v>-4250.71</v>
          </cell>
          <cell r="X46064" t="str">
            <v>Variation UPR - gross</v>
          </cell>
          <cell r="Y46064" t="str">
            <v>ITALY</v>
          </cell>
        </row>
        <row r="46065">
          <cell r="L46065" t="str">
            <v>Non-proportional</v>
          </cell>
          <cell r="S46065">
            <v>-37.549999999999997</v>
          </cell>
          <cell r="X46065" t="str">
            <v>Variation UPR - gross</v>
          </cell>
          <cell r="Y46065" t="str">
            <v>CHILE</v>
          </cell>
        </row>
        <row r="46066">
          <cell r="L46066" t="str">
            <v>Proportional</v>
          </cell>
          <cell r="S46066">
            <v>-22719.43</v>
          </cell>
          <cell r="X46066" t="str">
            <v>Variation UPR - gross</v>
          </cell>
          <cell r="Y46066" t="str">
            <v>CHILE</v>
          </cell>
        </row>
        <row r="46067">
          <cell r="L46067" t="str">
            <v>Proportional</v>
          </cell>
          <cell r="S46067">
            <v>-69912.5</v>
          </cell>
          <cell r="X46067" t="str">
            <v>Variation UPR - gross</v>
          </cell>
          <cell r="Y46067" t="str">
            <v>ITALY</v>
          </cell>
        </row>
        <row r="46068">
          <cell r="L46068" t="str">
            <v>Non-proportional</v>
          </cell>
          <cell r="S46068">
            <v>-7195.89</v>
          </cell>
          <cell r="X46068" t="str">
            <v>Variation UPR - gross</v>
          </cell>
          <cell r="Y46068" t="str">
            <v>COLOMBIA</v>
          </cell>
        </row>
        <row r="46069">
          <cell r="L46069" t="str">
            <v>Non-proportional</v>
          </cell>
          <cell r="S46069">
            <v>-36.85</v>
          </cell>
          <cell r="X46069" t="str">
            <v>Variation UPR - gross</v>
          </cell>
          <cell r="Y46069" t="str">
            <v>COSTA RICA</v>
          </cell>
        </row>
        <row r="46070">
          <cell r="L46070" t="str">
            <v>Non-proportional</v>
          </cell>
          <cell r="S46070">
            <v>-10596.12</v>
          </cell>
          <cell r="X46070" t="str">
            <v>Variation UPR - gross</v>
          </cell>
          <cell r="Y46070" t="str">
            <v>FRANCE</v>
          </cell>
        </row>
        <row r="46071">
          <cell r="L46071" t="str">
            <v>Non-proportional</v>
          </cell>
          <cell r="S46071">
            <v>-2041.67</v>
          </cell>
          <cell r="X46071" t="str">
            <v>Variation UPR - gross</v>
          </cell>
          <cell r="Y46071" t="str">
            <v>UNITED KINGDOM</v>
          </cell>
        </row>
        <row r="46072">
          <cell r="L46072" t="str">
            <v>Non-proportional</v>
          </cell>
          <cell r="S46072">
            <v>-3507.41</v>
          </cell>
          <cell r="X46072" t="str">
            <v>Variation UPR - gross</v>
          </cell>
          <cell r="Y46072" t="str">
            <v>UNITED KINGDOM</v>
          </cell>
        </row>
        <row r="46073">
          <cell r="L46073" t="str">
            <v>Non-proportional</v>
          </cell>
          <cell r="S46073">
            <v>400.71</v>
          </cell>
          <cell r="X46073" t="str">
            <v>Variation UPR - gross</v>
          </cell>
          <cell r="Y46073" t="str">
            <v>NEW ZEALAND</v>
          </cell>
        </row>
        <row r="46074">
          <cell r="L46074" t="str">
            <v>Non-proportional</v>
          </cell>
          <cell r="S46074">
            <v>-37.549999999999997</v>
          </cell>
          <cell r="X46074" t="str">
            <v>Variation UPR - gross</v>
          </cell>
          <cell r="Y46074" t="str">
            <v>CHILE</v>
          </cell>
        </row>
        <row r="46075">
          <cell r="L46075" t="str">
            <v>Non-proportional</v>
          </cell>
          <cell r="S46075">
            <v>-218.7</v>
          </cell>
          <cell r="X46075" t="str">
            <v>Variation UPR - gross</v>
          </cell>
          <cell r="Y46075" t="str">
            <v>INDIA</v>
          </cell>
        </row>
        <row r="46076">
          <cell r="L46076" t="str">
            <v>Non-proportional</v>
          </cell>
          <cell r="S46076">
            <v>-1558.71</v>
          </cell>
          <cell r="X46076" t="str">
            <v>Variation UPR - gross</v>
          </cell>
          <cell r="Y46076" t="str">
            <v>JAPAN</v>
          </cell>
        </row>
        <row r="46077">
          <cell r="L46077" t="str">
            <v>Non-proportional</v>
          </cell>
          <cell r="S46077">
            <v>-4949.13</v>
          </cell>
          <cell r="X46077" t="str">
            <v>Variation UPR - gross</v>
          </cell>
          <cell r="Y46077" t="str">
            <v>NETHERLANDS</v>
          </cell>
        </row>
        <row r="46078">
          <cell r="L46078" t="str">
            <v>Proportional</v>
          </cell>
          <cell r="S46078">
            <v>-18475.97</v>
          </cell>
          <cell r="X46078" t="str">
            <v>Variation UPR - gross</v>
          </cell>
          <cell r="Y46078" t="str">
            <v>CHILE</v>
          </cell>
        </row>
        <row r="46079">
          <cell r="L46079" t="str">
            <v>Non-proportional</v>
          </cell>
          <cell r="S46079">
            <v>-933.26</v>
          </cell>
          <cell r="X46079" t="str">
            <v>Variation UPR - gross</v>
          </cell>
          <cell r="Y46079" t="str">
            <v>JAPAN</v>
          </cell>
        </row>
        <row r="46080">
          <cell r="L46080" t="str">
            <v>Non-proportional</v>
          </cell>
          <cell r="S46080">
            <v>-10009.93</v>
          </cell>
          <cell r="X46080" t="str">
            <v>Variation UPR - gross</v>
          </cell>
          <cell r="Y46080" t="str">
            <v>NEW ZEALAND</v>
          </cell>
        </row>
        <row r="46081">
          <cell r="L46081" t="str">
            <v>Non-proportional</v>
          </cell>
          <cell r="S46081">
            <v>-3819.25</v>
          </cell>
          <cell r="X46081" t="str">
            <v>Variation UPR - gross</v>
          </cell>
          <cell r="Y46081" t="str">
            <v>DOMINICAN REPUBLIC</v>
          </cell>
        </row>
        <row r="46082">
          <cell r="L46082" t="str">
            <v>Proportional</v>
          </cell>
          <cell r="S46082">
            <v>1573.42</v>
          </cell>
          <cell r="X46082" t="str">
            <v>Variation UPR - gross</v>
          </cell>
          <cell r="Y46082" t="str">
            <v>UNITED STATES</v>
          </cell>
        </row>
        <row r="46083">
          <cell r="L46083" t="str">
            <v>Non-proportional</v>
          </cell>
          <cell r="S46083">
            <v>50.4</v>
          </cell>
          <cell r="X46083" t="str">
            <v>Variation UPR - gross</v>
          </cell>
          <cell r="Y46083" t="str">
            <v>JAPAN</v>
          </cell>
        </row>
        <row r="46084">
          <cell r="L46084" t="str">
            <v>Proportional</v>
          </cell>
          <cell r="S46084">
            <v>-254333.61</v>
          </cell>
          <cell r="X46084" t="str">
            <v>Variation UPR - gross</v>
          </cell>
          <cell r="Y46084" t="str">
            <v>THAILAND</v>
          </cell>
        </row>
        <row r="46085">
          <cell r="L46085" t="str">
            <v>Non-proportional</v>
          </cell>
          <cell r="S46085">
            <v>-38.880000000000003</v>
          </cell>
          <cell r="X46085" t="str">
            <v>Variation UPR - gross</v>
          </cell>
          <cell r="Y46085" t="str">
            <v>ISRAEL</v>
          </cell>
        </row>
        <row r="46086">
          <cell r="L46086" t="str">
            <v>Non-proportional</v>
          </cell>
          <cell r="S46086">
            <v>0.01</v>
          </cell>
          <cell r="X46086" t="str">
            <v>Variation UPR - gross</v>
          </cell>
          <cell r="Y46086" t="str">
            <v>DOMINICAN REPUBLIC</v>
          </cell>
        </row>
        <row r="46087">
          <cell r="L46087" t="str">
            <v>Non-proportional</v>
          </cell>
          <cell r="S46087">
            <v>-3276.29</v>
          </cell>
          <cell r="X46087" t="str">
            <v>Variation UPR - gross</v>
          </cell>
          <cell r="Y46087" t="str">
            <v>BRAZIL</v>
          </cell>
        </row>
        <row r="46088">
          <cell r="L46088" t="str">
            <v>Non-proportional</v>
          </cell>
          <cell r="S46088">
            <v>-5298.57</v>
          </cell>
          <cell r="X46088" t="str">
            <v>Variation UPR - gross</v>
          </cell>
          <cell r="Y46088" t="str">
            <v>ISRAEL</v>
          </cell>
        </row>
        <row r="46089">
          <cell r="L46089" t="str">
            <v>Non-proportional</v>
          </cell>
          <cell r="S46089">
            <v>-9348.14</v>
          </cell>
          <cell r="X46089" t="str">
            <v>Variation UPR - gross</v>
          </cell>
          <cell r="Y46089" t="str">
            <v>NETHERLANDS</v>
          </cell>
        </row>
        <row r="46090">
          <cell r="L46090" t="str">
            <v>Non-proportional</v>
          </cell>
          <cell r="S46090">
            <v>-9915.7000000000007</v>
          </cell>
          <cell r="X46090" t="str">
            <v>Variation UPR - gross</v>
          </cell>
          <cell r="Y46090" t="str">
            <v>NETHERLANDS</v>
          </cell>
        </row>
        <row r="46091">
          <cell r="L46091" t="str">
            <v>Proportional</v>
          </cell>
          <cell r="S46091">
            <v>-3342.2</v>
          </cell>
          <cell r="X46091" t="str">
            <v>Variation UPR - gross</v>
          </cell>
          <cell r="Y46091" t="str">
            <v>CHILE</v>
          </cell>
        </row>
        <row r="46092">
          <cell r="L46092" t="str">
            <v>Non-proportional</v>
          </cell>
          <cell r="S46092">
            <v>-2731.38</v>
          </cell>
          <cell r="X46092" t="str">
            <v>Variation UPR - gross</v>
          </cell>
          <cell r="Y46092" t="str">
            <v>JAPAN</v>
          </cell>
        </row>
        <row r="46093">
          <cell r="L46093" t="str">
            <v>Non-proportional</v>
          </cell>
          <cell r="S46093">
            <v>-11375.81</v>
          </cell>
          <cell r="X46093" t="str">
            <v>Variation UPR - gross</v>
          </cell>
          <cell r="Y46093" t="str">
            <v>AUSTRALIA</v>
          </cell>
        </row>
        <row r="46094">
          <cell r="L46094" t="str">
            <v>Proportional</v>
          </cell>
          <cell r="S46094">
            <v>-7413.34</v>
          </cell>
          <cell r="X46094" t="str">
            <v>Variation UPR - gross</v>
          </cell>
          <cell r="Y46094" t="str">
            <v>JAPAN</v>
          </cell>
        </row>
        <row r="46095">
          <cell r="L46095" t="str">
            <v>Non-proportional</v>
          </cell>
          <cell r="S46095">
            <v>-1753.73</v>
          </cell>
          <cell r="X46095" t="str">
            <v>Variation UPR - gross</v>
          </cell>
          <cell r="Y46095" t="str">
            <v>NEW ZEALAND</v>
          </cell>
        </row>
        <row r="46096">
          <cell r="L46096" t="str">
            <v>Non-proportional</v>
          </cell>
          <cell r="S46096">
            <v>-9500.14</v>
          </cell>
          <cell r="X46096" t="str">
            <v>Variation UPR - gross</v>
          </cell>
          <cell r="Y46096" t="str">
            <v>TURKEY</v>
          </cell>
        </row>
        <row r="46097">
          <cell r="L46097" t="str">
            <v>Non-proportional</v>
          </cell>
          <cell r="S46097">
            <v>-1458.33</v>
          </cell>
          <cell r="X46097" t="str">
            <v>Variation UPR - gross</v>
          </cell>
          <cell r="Y46097" t="str">
            <v>GREECE</v>
          </cell>
        </row>
        <row r="46098">
          <cell r="L46098" t="str">
            <v>Non-proportional</v>
          </cell>
          <cell r="S46098">
            <v>-863.71</v>
          </cell>
          <cell r="X46098" t="str">
            <v>Variation UPR - gross</v>
          </cell>
          <cell r="Y46098" t="str">
            <v>CHILE</v>
          </cell>
        </row>
        <row r="46099">
          <cell r="L46099" t="str">
            <v>Non-proportional</v>
          </cell>
          <cell r="S46099">
            <v>-6278.98</v>
          </cell>
          <cell r="X46099" t="str">
            <v>Variation UPR - gross</v>
          </cell>
          <cell r="Y46099" t="str">
            <v>FRANCE</v>
          </cell>
        </row>
        <row r="46100">
          <cell r="L46100" t="str">
            <v>Proportional</v>
          </cell>
          <cell r="S46100">
            <v>-2305.7399999999998</v>
          </cell>
          <cell r="X46100" t="str">
            <v>Variation UPR - gross</v>
          </cell>
          <cell r="Y46100" t="str">
            <v>THAILAND</v>
          </cell>
        </row>
        <row r="46101">
          <cell r="L46101" t="str">
            <v>Non-proportional</v>
          </cell>
          <cell r="S46101">
            <v>-17557.32</v>
          </cell>
          <cell r="X46101" t="str">
            <v>Variation UPR - gross</v>
          </cell>
          <cell r="Y46101" t="str">
            <v>UNITED KINGDOM</v>
          </cell>
        </row>
        <row r="46102">
          <cell r="L46102" t="str">
            <v>Proportional</v>
          </cell>
          <cell r="S46102">
            <v>-351560</v>
          </cell>
          <cell r="X46102" t="str">
            <v>Variation UPR - gross</v>
          </cell>
          <cell r="Y46102" t="str">
            <v>PORTUGAL</v>
          </cell>
        </row>
        <row r="46103">
          <cell r="L46103" t="str">
            <v>Non-proportional</v>
          </cell>
          <cell r="S46103">
            <v>-27366.36</v>
          </cell>
          <cell r="X46103" t="str">
            <v>Variation UPR - gross</v>
          </cell>
          <cell r="Y46103" t="str">
            <v>JAPAN</v>
          </cell>
        </row>
        <row r="46104">
          <cell r="L46104" t="str">
            <v>Non-proportional</v>
          </cell>
          <cell r="S46104">
            <v>-75.11</v>
          </cell>
          <cell r="X46104" t="str">
            <v>Variation UPR - gross</v>
          </cell>
          <cell r="Y46104" t="str">
            <v>CHILE</v>
          </cell>
        </row>
        <row r="46105">
          <cell r="L46105" t="str">
            <v>Proportional</v>
          </cell>
          <cell r="S46105">
            <v>-59147.35</v>
          </cell>
          <cell r="X46105" t="str">
            <v>Variation UPR - gross</v>
          </cell>
          <cell r="Y46105" t="str">
            <v>THAILAND</v>
          </cell>
        </row>
        <row r="46106">
          <cell r="L46106" t="str">
            <v>Proportional</v>
          </cell>
          <cell r="S46106">
            <v>-36372.32</v>
          </cell>
          <cell r="X46106" t="str">
            <v>Variation UPR - gross</v>
          </cell>
          <cell r="Y46106" t="str">
            <v>AUSTRALIA</v>
          </cell>
        </row>
        <row r="46107">
          <cell r="L46107" t="str">
            <v>Non-proportional</v>
          </cell>
          <cell r="S46107">
            <v>-5496.45</v>
          </cell>
          <cell r="X46107" t="str">
            <v>Variation UPR - gross</v>
          </cell>
          <cell r="Y46107" t="str">
            <v>SINGAPORE</v>
          </cell>
        </row>
        <row r="46108">
          <cell r="L46108" t="str">
            <v>Non-proportional</v>
          </cell>
          <cell r="S46108">
            <v>-3143.33</v>
          </cell>
          <cell r="X46108" t="str">
            <v>Variation UPR - gross</v>
          </cell>
          <cell r="Y46108" t="str">
            <v>GERMANY</v>
          </cell>
        </row>
        <row r="46109">
          <cell r="L46109" t="str">
            <v>Non-proportional</v>
          </cell>
          <cell r="S46109">
            <v>-4336.66</v>
          </cell>
          <cell r="X46109" t="str">
            <v>Variation UPR - gross</v>
          </cell>
          <cell r="Y46109" t="str">
            <v>BRAZIL</v>
          </cell>
        </row>
        <row r="46110">
          <cell r="L46110" t="str">
            <v>Non-proportional</v>
          </cell>
          <cell r="S46110">
            <v>-3917.27</v>
          </cell>
          <cell r="X46110" t="str">
            <v>Variation UPR - gross</v>
          </cell>
          <cell r="Y46110" t="str">
            <v>ITALY</v>
          </cell>
        </row>
        <row r="46111">
          <cell r="L46111" t="str">
            <v>Non-proportional</v>
          </cell>
          <cell r="S46111">
            <v>-5332.49</v>
          </cell>
          <cell r="X46111" t="str">
            <v>Variation UPR - gross</v>
          </cell>
          <cell r="Y46111" t="str">
            <v>CHILE</v>
          </cell>
        </row>
        <row r="46112">
          <cell r="L46112" t="str">
            <v>Non-proportional</v>
          </cell>
          <cell r="S46112">
            <v>-1695.88</v>
          </cell>
          <cell r="X46112" t="str">
            <v>Variation UPR - gross</v>
          </cell>
          <cell r="Y46112" t="str">
            <v>DOMINICAN REPUBLIC</v>
          </cell>
        </row>
        <row r="46113">
          <cell r="L46113" t="str">
            <v>Non-proportional</v>
          </cell>
          <cell r="S46113">
            <v>-4560.12</v>
          </cell>
          <cell r="X46113" t="str">
            <v>Variation UPR - gross</v>
          </cell>
          <cell r="Y46113" t="str">
            <v>NEW ZEALAND</v>
          </cell>
        </row>
        <row r="46114">
          <cell r="L46114" t="str">
            <v>Non-proportional</v>
          </cell>
          <cell r="S46114">
            <v>-4666.5</v>
          </cell>
          <cell r="X46114" t="str">
            <v>Variation UPR - gross</v>
          </cell>
          <cell r="Y46114" t="str">
            <v>TURKEY</v>
          </cell>
        </row>
        <row r="46115">
          <cell r="L46115" t="str">
            <v>Non-proportional</v>
          </cell>
          <cell r="S46115">
            <v>-3381.84</v>
          </cell>
          <cell r="X46115" t="str">
            <v>Variation UPR - gross</v>
          </cell>
          <cell r="Y46115" t="str">
            <v>ITALY</v>
          </cell>
        </row>
        <row r="46116">
          <cell r="L46116" t="str">
            <v>Non-proportional</v>
          </cell>
          <cell r="S46116">
            <v>-2732.25</v>
          </cell>
          <cell r="X46116" t="str">
            <v>Variation UPR - gross</v>
          </cell>
          <cell r="Y46116" t="str">
            <v>SOUTH AFRICA</v>
          </cell>
        </row>
        <row r="46117">
          <cell r="L46117" t="str">
            <v>Non-proportional</v>
          </cell>
          <cell r="S46117">
            <v>20.43</v>
          </cell>
          <cell r="X46117" t="str">
            <v>Variation UPR - gross</v>
          </cell>
          <cell r="Y46117" t="str">
            <v>DOMINICAN REPUBLIC</v>
          </cell>
        </row>
        <row r="46118">
          <cell r="L46118" t="str">
            <v>Non-proportional</v>
          </cell>
          <cell r="S46118">
            <v>-90200</v>
          </cell>
          <cell r="X46118" t="str">
            <v>Variation UPR - gross</v>
          </cell>
          <cell r="Y46118" t="str">
            <v>EUROPE</v>
          </cell>
        </row>
        <row r="46119">
          <cell r="L46119" t="str">
            <v>Non-proportional</v>
          </cell>
          <cell r="S46119">
            <v>-35326.94</v>
          </cell>
          <cell r="X46119" t="str">
            <v>Variation UPR - gross</v>
          </cell>
          <cell r="Y46119" t="str">
            <v>TURKEY</v>
          </cell>
        </row>
        <row r="46120">
          <cell r="L46120" t="str">
            <v>Proportional</v>
          </cell>
          <cell r="S46120">
            <v>-61672.62</v>
          </cell>
          <cell r="X46120" t="str">
            <v>Variation UPR - gross</v>
          </cell>
          <cell r="Y46120" t="str">
            <v>CANADA</v>
          </cell>
        </row>
        <row r="46121">
          <cell r="L46121" t="str">
            <v>Non-proportional</v>
          </cell>
          <cell r="S46121">
            <v>-30345.99</v>
          </cell>
          <cell r="X46121" t="str">
            <v>Variation UPR - gross</v>
          </cell>
          <cell r="Y46121" t="str">
            <v>FRANCE</v>
          </cell>
        </row>
        <row r="46122">
          <cell r="L46122" t="str">
            <v>Non-proportional</v>
          </cell>
          <cell r="S46122">
            <v>255.28</v>
          </cell>
          <cell r="X46122" t="str">
            <v>Variation UPR - gross</v>
          </cell>
          <cell r="Y46122" t="str">
            <v>INDIA</v>
          </cell>
        </row>
        <row r="46123">
          <cell r="L46123" t="str">
            <v>Non-proportional</v>
          </cell>
          <cell r="S46123">
            <v>-3358.65</v>
          </cell>
          <cell r="X46123" t="str">
            <v>Variation UPR - gross</v>
          </cell>
          <cell r="Y46123" t="str">
            <v>GUATEMALA</v>
          </cell>
        </row>
        <row r="46124">
          <cell r="L46124" t="str">
            <v>Non-proportional</v>
          </cell>
          <cell r="S46124">
            <v>-3710.41</v>
          </cell>
          <cell r="X46124" t="str">
            <v>Variation UPR - gross</v>
          </cell>
          <cell r="Y46124" t="str">
            <v>ISRAEL</v>
          </cell>
        </row>
        <row r="46125">
          <cell r="L46125" t="str">
            <v>Proportional</v>
          </cell>
          <cell r="S46125">
            <v>-77.83</v>
          </cell>
          <cell r="X46125" t="str">
            <v>Variation UPR - gross</v>
          </cell>
          <cell r="Y46125" t="str">
            <v>AUSTRALIA</v>
          </cell>
        </row>
        <row r="46126">
          <cell r="L46126" t="str">
            <v>Non-proportional</v>
          </cell>
          <cell r="S46126">
            <v>-11510.64</v>
          </cell>
          <cell r="X46126" t="str">
            <v>Variation UPR - gross</v>
          </cell>
          <cell r="Y46126" t="str">
            <v>EUROPE</v>
          </cell>
        </row>
        <row r="46127">
          <cell r="L46127" t="str">
            <v>Proportional</v>
          </cell>
          <cell r="S46127">
            <v>-4699.96</v>
          </cell>
          <cell r="X46127" t="str">
            <v>Variation UPR - gross</v>
          </cell>
          <cell r="Y46127" t="str">
            <v>FRANCE</v>
          </cell>
        </row>
        <row r="46128">
          <cell r="L46128" t="str">
            <v>Non-proportional</v>
          </cell>
          <cell r="S46128">
            <v>-6086.35</v>
          </cell>
          <cell r="X46128" t="str">
            <v>Variation UPR - gross</v>
          </cell>
          <cell r="Y46128" t="str">
            <v>ITALY</v>
          </cell>
        </row>
        <row r="46129">
          <cell r="L46129" t="str">
            <v>Non-proportional</v>
          </cell>
          <cell r="S46129">
            <v>-1162.01</v>
          </cell>
          <cell r="X46129" t="str">
            <v>Variation UPR - gross</v>
          </cell>
          <cell r="Y46129" t="str">
            <v>ISRAEL</v>
          </cell>
        </row>
        <row r="46130">
          <cell r="L46130" t="str">
            <v>Non-proportional</v>
          </cell>
          <cell r="S46130">
            <v>-3593.75</v>
          </cell>
          <cell r="X46130" t="str">
            <v>Variation UPR - gross</v>
          </cell>
          <cell r="Y46130" t="str">
            <v>GREECE</v>
          </cell>
        </row>
        <row r="46131">
          <cell r="L46131" t="str">
            <v>Non-proportional</v>
          </cell>
          <cell r="S46131">
            <v>-105723.33</v>
          </cell>
          <cell r="X46131" t="str">
            <v>Variation UPR - gross</v>
          </cell>
          <cell r="Y46131" t="str">
            <v>FRANCE</v>
          </cell>
        </row>
        <row r="46132">
          <cell r="L46132" t="str">
            <v>Non-proportional</v>
          </cell>
          <cell r="S46132">
            <v>-3189.94</v>
          </cell>
          <cell r="X46132" t="str">
            <v>Variation UPR - gross</v>
          </cell>
          <cell r="Y46132" t="str">
            <v>BRAZIL</v>
          </cell>
        </row>
        <row r="46133">
          <cell r="L46133" t="str">
            <v>Non-proportional</v>
          </cell>
          <cell r="S46133">
            <v>-5068.12</v>
          </cell>
          <cell r="X46133" t="str">
            <v>Variation UPR - gross</v>
          </cell>
          <cell r="Y46133" t="str">
            <v>ISRAEL</v>
          </cell>
        </row>
        <row r="46134">
          <cell r="L46134" t="str">
            <v>Non-proportional</v>
          </cell>
          <cell r="S46134">
            <v>0.08</v>
          </cell>
          <cell r="X46134" t="str">
            <v>Variation UPR - gross</v>
          </cell>
          <cell r="Y46134" t="str">
            <v>TURKEY</v>
          </cell>
        </row>
        <row r="46135">
          <cell r="L46135" t="str">
            <v>Non-proportional</v>
          </cell>
          <cell r="S46135">
            <v>-75.11</v>
          </cell>
          <cell r="X46135" t="str">
            <v>Variation UPR - gross</v>
          </cell>
          <cell r="Y46135" t="str">
            <v>CHILE</v>
          </cell>
        </row>
        <row r="46136">
          <cell r="L46136" t="str">
            <v>Non-proportional</v>
          </cell>
          <cell r="S46136">
            <v>-698.58</v>
          </cell>
          <cell r="X46136" t="str">
            <v>Variation UPR - gross</v>
          </cell>
          <cell r="Y46136" t="str">
            <v>ITALY</v>
          </cell>
        </row>
        <row r="46137">
          <cell r="L46137" t="str">
            <v>Non-proportional</v>
          </cell>
          <cell r="S46137">
            <v>-109675.48</v>
          </cell>
          <cell r="X46137" t="str">
            <v>Variation UPR - gross</v>
          </cell>
          <cell r="Y46137" t="str">
            <v>EUROPE</v>
          </cell>
        </row>
        <row r="46138">
          <cell r="L46138" t="str">
            <v>Non-proportional</v>
          </cell>
          <cell r="S46138">
            <v>16.45</v>
          </cell>
          <cell r="X46138" t="str">
            <v>Variation UPR - gross</v>
          </cell>
          <cell r="Y46138" t="str">
            <v>JAPAN</v>
          </cell>
        </row>
        <row r="46139">
          <cell r="L46139" t="str">
            <v>Non-proportional</v>
          </cell>
          <cell r="S46139">
            <v>-2675.82</v>
          </cell>
          <cell r="X46139" t="str">
            <v>Variation UPR - gross</v>
          </cell>
          <cell r="Y46139" t="str">
            <v>JAPAN</v>
          </cell>
        </row>
        <row r="46140">
          <cell r="L46140" t="str">
            <v>Non-proportional</v>
          </cell>
          <cell r="S46140">
            <v>-893.26</v>
          </cell>
          <cell r="X46140" t="str">
            <v>Variation UPR - gross</v>
          </cell>
          <cell r="Y46140" t="str">
            <v>ECUADOR</v>
          </cell>
        </row>
        <row r="46141">
          <cell r="L46141" t="str">
            <v>Non-proportional</v>
          </cell>
          <cell r="S46141">
            <v>-3075.29</v>
          </cell>
          <cell r="X46141" t="str">
            <v>Variation UPR - gross</v>
          </cell>
          <cell r="Y46141" t="str">
            <v>PERU</v>
          </cell>
        </row>
        <row r="46142">
          <cell r="L46142" t="str">
            <v>Non-proportional</v>
          </cell>
          <cell r="S46142">
            <v>-14583.41</v>
          </cell>
          <cell r="X46142" t="str">
            <v>Variation UPR - gross</v>
          </cell>
          <cell r="Y46142" t="str">
            <v>EUROPE</v>
          </cell>
        </row>
        <row r="46143">
          <cell r="L46143" t="str">
            <v>Non-proportional</v>
          </cell>
          <cell r="S46143">
            <v>-6666.5</v>
          </cell>
          <cell r="X46143" t="str">
            <v>Variation UPR - gross</v>
          </cell>
          <cell r="Y46143" t="str">
            <v>ITALY</v>
          </cell>
        </row>
        <row r="46144">
          <cell r="L46144" t="str">
            <v>Non-proportional</v>
          </cell>
          <cell r="S46144">
            <v>-5151.8999999999996</v>
          </cell>
          <cell r="X46144" t="str">
            <v>Variation UPR - gross</v>
          </cell>
          <cell r="Y46144" t="str">
            <v>ITALY</v>
          </cell>
        </row>
        <row r="46145">
          <cell r="L46145" t="str">
            <v>Non-proportional</v>
          </cell>
          <cell r="S46145">
            <v>-855.96</v>
          </cell>
          <cell r="X46145" t="str">
            <v>Variation UPR - gross</v>
          </cell>
          <cell r="Y46145" t="str">
            <v>FRANCE</v>
          </cell>
        </row>
        <row r="46146">
          <cell r="L46146" t="str">
            <v>Non-proportional</v>
          </cell>
          <cell r="S46146">
            <v>-3452.5</v>
          </cell>
          <cell r="X46146" t="str">
            <v>Variation UPR - gross</v>
          </cell>
          <cell r="Y46146" t="str">
            <v>BRAZIL</v>
          </cell>
        </row>
        <row r="46147">
          <cell r="L46147" t="str">
            <v>Non-proportional</v>
          </cell>
          <cell r="S46147">
            <v>-729.54</v>
          </cell>
          <cell r="X46147" t="str">
            <v>Variation UPR - gross</v>
          </cell>
          <cell r="Y46147" t="str">
            <v>BRAZIL</v>
          </cell>
        </row>
        <row r="46148">
          <cell r="L46148" t="str">
            <v>Non-proportional</v>
          </cell>
          <cell r="S46148">
            <v>-9576.0300000000007</v>
          </cell>
          <cell r="X46148" t="str">
            <v>Variation UPR - gross</v>
          </cell>
          <cell r="Y46148" t="str">
            <v>MEXICO</v>
          </cell>
        </row>
        <row r="46149">
          <cell r="L46149" t="str">
            <v>Non-proportional</v>
          </cell>
          <cell r="S46149">
            <v>-1562.37</v>
          </cell>
          <cell r="X46149" t="str">
            <v>Variation UPR - gross</v>
          </cell>
          <cell r="Y46149" t="str">
            <v>FRANCE</v>
          </cell>
        </row>
        <row r="46150">
          <cell r="L46150" t="str">
            <v>Non-proportional</v>
          </cell>
          <cell r="S46150">
            <v>-1826.38</v>
          </cell>
          <cell r="X46150" t="str">
            <v>Variation UPR - gross</v>
          </cell>
          <cell r="Y46150" t="str">
            <v>PERU</v>
          </cell>
        </row>
        <row r="46151">
          <cell r="L46151" t="str">
            <v>Non-proportional</v>
          </cell>
          <cell r="S46151">
            <v>12.91</v>
          </cell>
          <cell r="X46151" t="str">
            <v>Variation UPR - gross</v>
          </cell>
          <cell r="Y46151" t="str">
            <v>DOMINICAN REPUBLIC</v>
          </cell>
        </row>
        <row r="46152">
          <cell r="L46152" t="str">
            <v>Proportional</v>
          </cell>
          <cell r="S46152">
            <v>9684.3700000000008</v>
          </cell>
          <cell r="X46152" t="str">
            <v>Variation UPR - gross</v>
          </cell>
          <cell r="Y46152" t="str">
            <v>THAILAND</v>
          </cell>
        </row>
        <row r="46153">
          <cell r="L46153" t="str">
            <v>Non-proportional</v>
          </cell>
          <cell r="S46153">
            <v>252.18</v>
          </cell>
          <cell r="X46153" t="str">
            <v>Variation UPR - gross</v>
          </cell>
          <cell r="Y46153" t="str">
            <v>NEW ZEALAND</v>
          </cell>
        </row>
        <row r="46154">
          <cell r="L46154" t="str">
            <v>Proportional</v>
          </cell>
          <cell r="S46154">
            <v>108.65</v>
          </cell>
          <cell r="X46154" t="str">
            <v>Variation UPR - gross</v>
          </cell>
          <cell r="Y46154" t="str">
            <v>INDIA</v>
          </cell>
        </row>
        <row r="46155">
          <cell r="L46155" t="str">
            <v>Non-proportional</v>
          </cell>
          <cell r="S46155">
            <v>-1061352.4099999999</v>
          </cell>
          <cell r="X46155" t="str">
            <v>Variation UPR - gross</v>
          </cell>
          <cell r="Y46155" t="str">
            <v>BELGIUM</v>
          </cell>
        </row>
        <row r="46156">
          <cell r="L46156" t="str">
            <v>Non-proportional</v>
          </cell>
          <cell r="S46156">
            <v>-15033.83</v>
          </cell>
          <cell r="X46156" t="str">
            <v>Variation UPR - gross</v>
          </cell>
          <cell r="Y46156" t="str">
            <v>UNITED KINGDOM</v>
          </cell>
        </row>
        <row r="46157">
          <cell r="L46157" t="str">
            <v>Non-proportional</v>
          </cell>
          <cell r="S46157">
            <v>30.18</v>
          </cell>
          <cell r="X46157" t="str">
            <v>Variation UPR - gross</v>
          </cell>
          <cell r="Y46157" t="str">
            <v>JAPAN</v>
          </cell>
        </row>
        <row r="46158">
          <cell r="L46158" t="str">
            <v>Proportional</v>
          </cell>
          <cell r="S46158">
            <v>-14.59</v>
          </cell>
          <cell r="X46158" t="str">
            <v>Variation UPR - gross</v>
          </cell>
          <cell r="Y46158" t="str">
            <v>HONG KONG</v>
          </cell>
        </row>
        <row r="46159">
          <cell r="L46159" t="str">
            <v>Non-proportional</v>
          </cell>
          <cell r="S46159">
            <v>-560.5</v>
          </cell>
          <cell r="X46159" t="str">
            <v>Variation UPR - gross</v>
          </cell>
          <cell r="Y46159" t="str">
            <v>PORTUGAL</v>
          </cell>
        </row>
        <row r="46160">
          <cell r="L46160" t="str">
            <v>Proportional</v>
          </cell>
          <cell r="S46160">
            <v>-22920</v>
          </cell>
          <cell r="X46160" t="str">
            <v>Variation UPR - gross</v>
          </cell>
          <cell r="Y46160" t="str">
            <v>SPAIN</v>
          </cell>
        </row>
        <row r="46161">
          <cell r="L46161" t="str">
            <v>Non-proportional</v>
          </cell>
          <cell r="S46161">
            <v>-3592.42</v>
          </cell>
          <cell r="X46161" t="str">
            <v>Variation UPR - gross</v>
          </cell>
          <cell r="Y46161" t="str">
            <v>FRANCE</v>
          </cell>
        </row>
        <row r="46162">
          <cell r="L46162" t="str">
            <v>Non-proportional</v>
          </cell>
          <cell r="S46162">
            <v>-7484.82</v>
          </cell>
          <cell r="X46162" t="str">
            <v>Variation UPR - gross</v>
          </cell>
          <cell r="Y46162" t="str">
            <v>JAPAN</v>
          </cell>
        </row>
        <row r="46163">
          <cell r="L46163" t="str">
            <v>Non-proportional</v>
          </cell>
          <cell r="S46163">
            <v>-56538.41</v>
          </cell>
          <cell r="X46163" t="str">
            <v>Variation UPR - gross</v>
          </cell>
          <cell r="Y46163" t="str">
            <v>UNITED KINGDOM</v>
          </cell>
        </row>
        <row r="46164">
          <cell r="L46164" t="str">
            <v>Non-proportional</v>
          </cell>
          <cell r="S46164">
            <v>-45553.52</v>
          </cell>
          <cell r="X46164" t="str">
            <v>Variation UPR - gross</v>
          </cell>
          <cell r="Y46164" t="str">
            <v>UNITED KINGDOM</v>
          </cell>
        </row>
        <row r="46165">
          <cell r="L46165" t="str">
            <v>Non-proportional</v>
          </cell>
          <cell r="S46165">
            <v>-11005.48</v>
          </cell>
          <cell r="X46165" t="str">
            <v>Variation UPR - gross</v>
          </cell>
          <cell r="Y46165" t="str">
            <v>COLOMBIA</v>
          </cell>
        </row>
        <row r="46166">
          <cell r="L46166" t="str">
            <v>Proportional</v>
          </cell>
          <cell r="S46166">
            <v>-30.43</v>
          </cell>
          <cell r="X46166" t="str">
            <v>Variation UPR - gross</v>
          </cell>
          <cell r="Y46166" t="str">
            <v>UNITED STATES</v>
          </cell>
        </row>
        <row r="46167">
          <cell r="L46167" t="str">
            <v>Proportional</v>
          </cell>
          <cell r="S46167">
            <v>-1279.47</v>
          </cell>
          <cell r="X46167" t="str">
            <v>Variation UPR - gross</v>
          </cell>
          <cell r="Y46167" t="str">
            <v>COLOMBIA</v>
          </cell>
        </row>
        <row r="46168">
          <cell r="L46168" t="str">
            <v>Non-proportional</v>
          </cell>
          <cell r="S46168">
            <v>0.11</v>
          </cell>
          <cell r="X46168" t="str">
            <v>Variation UPR - gross</v>
          </cell>
          <cell r="Y46168" t="str">
            <v>TURKEY</v>
          </cell>
        </row>
        <row r="46169">
          <cell r="L46169" t="str">
            <v>Non-proportional</v>
          </cell>
          <cell r="S46169">
            <v>-4798.5200000000004</v>
          </cell>
          <cell r="X46169" t="str">
            <v>Variation UPR - gross</v>
          </cell>
          <cell r="Y46169" t="str">
            <v>AUSTRALIA</v>
          </cell>
        </row>
        <row r="46170">
          <cell r="L46170" t="str">
            <v>Non-proportional</v>
          </cell>
          <cell r="S46170">
            <v>-3304.64</v>
          </cell>
          <cell r="X46170" t="str">
            <v>Variation UPR - gross</v>
          </cell>
          <cell r="Y46170" t="str">
            <v>CHILE</v>
          </cell>
        </row>
        <row r="46171">
          <cell r="L46171" t="str">
            <v>Non-proportional</v>
          </cell>
          <cell r="S46171">
            <v>0.03</v>
          </cell>
          <cell r="X46171" t="str">
            <v>Variation UPR - gross</v>
          </cell>
          <cell r="Y46171" t="str">
            <v>COLOMBIA</v>
          </cell>
        </row>
        <row r="46172">
          <cell r="L46172" t="str">
            <v>Non-proportional</v>
          </cell>
          <cell r="S46172">
            <v>0.02</v>
          </cell>
          <cell r="X46172" t="str">
            <v>Variation UPR - gross</v>
          </cell>
          <cell r="Y46172" t="str">
            <v>COLOMBIA</v>
          </cell>
        </row>
        <row r="46173">
          <cell r="L46173" t="str">
            <v>Proportional</v>
          </cell>
          <cell r="S46173">
            <v>-232.96</v>
          </cell>
          <cell r="X46173" t="str">
            <v>Variation UPR - gross</v>
          </cell>
          <cell r="Y46173" t="str">
            <v>THAILAND</v>
          </cell>
        </row>
        <row r="46174">
          <cell r="L46174" t="str">
            <v>Non-proportional</v>
          </cell>
          <cell r="S46174">
            <v>-46075.91</v>
          </cell>
          <cell r="X46174" t="str">
            <v>Variation UPR - gross</v>
          </cell>
          <cell r="Y46174" t="str">
            <v>UNITED KINGDOM</v>
          </cell>
        </row>
        <row r="46175">
          <cell r="L46175" t="str">
            <v>Proportional</v>
          </cell>
          <cell r="S46175">
            <v>-19107.169999999998</v>
          </cell>
          <cell r="X46175" t="str">
            <v>Variation UPR - gross</v>
          </cell>
          <cell r="Y46175" t="str">
            <v>UNITED KINGDOM</v>
          </cell>
        </row>
        <row r="46176">
          <cell r="L46176" t="str">
            <v>Non-proportional</v>
          </cell>
          <cell r="S46176">
            <v>-34245.39</v>
          </cell>
          <cell r="X46176" t="str">
            <v>Variation UPR - gross</v>
          </cell>
          <cell r="Y46176" t="str">
            <v>UNITED KINGDOM</v>
          </cell>
        </row>
        <row r="46177">
          <cell r="L46177" t="str">
            <v>Non-proportional</v>
          </cell>
          <cell r="S46177">
            <v>1.01</v>
          </cell>
          <cell r="X46177" t="str">
            <v>Variation UPR - gross</v>
          </cell>
          <cell r="Y46177" t="str">
            <v>GUATEMALA</v>
          </cell>
        </row>
        <row r="46178">
          <cell r="L46178"/>
          <cell r="S46178">
            <v>-10132918.640000001</v>
          </cell>
          <cell r="X46178" t="str">
            <v>Variation UPR - gross</v>
          </cell>
          <cell r="Y46178" t="str">
            <v>United kingdom</v>
          </cell>
        </row>
        <row r="46179">
          <cell r="L46179" t="str">
            <v>Non-proportional</v>
          </cell>
          <cell r="S46179">
            <v>-8464.8700000000008</v>
          </cell>
          <cell r="X46179" t="str">
            <v>Variation UPR - gross</v>
          </cell>
          <cell r="Y46179" t="str">
            <v>CANADA</v>
          </cell>
        </row>
        <row r="46180">
          <cell r="L46180" t="str">
            <v>Non-proportional</v>
          </cell>
          <cell r="S46180">
            <v>-998.03</v>
          </cell>
          <cell r="X46180" t="str">
            <v>Variation UPR - gross</v>
          </cell>
          <cell r="Y46180" t="str">
            <v>ISRAEL</v>
          </cell>
        </row>
        <row r="46181">
          <cell r="L46181" t="str">
            <v>Non-proportional</v>
          </cell>
          <cell r="S46181">
            <v>-5211.22</v>
          </cell>
          <cell r="X46181" t="str">
            <v>Variation UPR - gross</v>
          </cell>
          <cell r="Y46181" t="str">
            <v>JAPAN</v>
          </cell>
        </row>
        <row r="46182">
          <cell r="L46182" t="str">
            <v>Non-proportional</v>
          </cell>
          <cell r="S46182">
            <v>-1468.75</v>
          </cell>
          <cell r="X46182" t="str">
            <v>Variation UPR - gross</v>
          </cell>
          <cell r="Y46182" t="str">
            <v>GREECE</v>
          </cell>
        </row>
        <row r="46183">
          <cell r="L46183" t="str">
            <v>Non-proportional</v>
          </cell>
          <cell r="S46183">
            <v>-6560.63</v>
          </cell>
          <cell r="X46183" t="str">
            <v>Variation UPR - gross</v>
          </cell>
          <cell r="Y46183" t="str">
            <v>ISRAEL</v>
          </cell>
        </row>
        <row r="46184">
          <cell r="L46184" t="str">
            <v>Non-proportional</v>
          </cell>
          <cell r="S46184">
            <v>-9985.8700000000008</v>
          </cell>
          <cell r="X46184" t="str">
            <v>Variation UPR - gross</v>
          </cell>
          <cell r="Y46184" t="str">
            <v>FRANCE</v>
          </cell>
        </row>
        <row r="46185">
          <cell r="L46185" t="str">
            <v>Non-proportional</v>
          </cell>
          <cell r="S46185">
            <v>-1724.2</v>
          </cell>
          <cell r="X46185" t="str">
            <v>Variation UPR - gross</v>
          </cell>
          <cell r="Y46185" t="str">
            <v>NEW ZEALAND</v>
          </cell>
        </row>
        <row r="46186">
          <cell r="L46186" t="str">
            <v>Non-proportional</v>
          </cell>
          <cell r="S46186">
            <v>-10155.31</v>
          </cell>
          <cell r="X46186" t="str">
            <v>Variation UPR - gross</v>
          </cell>
          <cell r="Y46186" t="str">
            <v>COLOMBIA</v>
          </cell>
        </row>
        <row r="46187">
          <cell r="L46187" t="str">
            <v>Non-proportional</v>
          </cell>
          <cell r="S46187">
            <v>-5090.58</v>
          </cell>
          <cell r="X46187" t="str">
            <v>Variation UPR - gross</v>
          </cell>
          <cell r="Y46187" t="str">
            <v>BELIZE</v>
          </cell>
        </row>
        <row r="46188">
          <cell r="L46188" t="str">
            <v>Non-proportional</v>
          </cell>
          <cell r="S46188">
            <v>0.03</v>
          </cell>
          <cell r="X46188" t="str">
            <v>Variation UPR - gross</v>
          </cell>
          <cell r="Y46188" t="str">
            <v>THAILAND</v>
          </cell>
        </row>
        <row r="46189">
          <cell r="L46189" t="str">
            <v>Non-proportional</v>
          </cell>
          <cell r="S46189">
            <v>-2620.16</v>
          </cell>
          <cell r="X46189" t="str">
            <v>Variation UPR - gross</v>
          </cell>
          <cell r="Y46189" t="str">
            <v>UNITED KINGDOM</v>
          </cell>
        </row>
        <row r="46190">
          <cell r="L46190" t="str">
            <v>Non-proportional</v>
          </cell>
          <cell r="S46190">
            <v>-1346183.16</v>
          </cell>
          <cell r="X46190" t="str">
            <v>Variation UPR - gross</v>
          </cell>
          <cell r="Y46190" t="str">
            <v>UNITED KINGDOM</v>
          </cell>
        </row>
        <row r="46191">
          <cell r="L46191" t="str">
            <v>Non-proportional</v>
          </cell>
          <cell r="S46191">
            <v>28.29</v>
          </cell>
          <cell r="X46191" t="str">
            <v>Variation UPR - gross</v>
          </cell>
          <cell r="Y46191" t="str">
            <v>JAPAN</v>
          </cell>
        </row>
        <row r="46192">
          <cell r="L46192" t="str">
            <v>Non-proportional</v>
          </cell>
          <cell r="S46192">
            <v>0.01</v>
          </cell>
          <cell r="X46192" t="str">
            <v>Variation UPR - gross</v>
          </cell>
          <cell r="Y46192" t="str">
            <v>DOMINICAN REPUBLIC</v>
          </cell>
        </row>
        <row r="46193">
          <cell r="L46193" t="str">
            <v>Non-proportional</v>
          </cell>
          <cell r="S46193">
            <v>-2187.56</v>
          </cell>
          <cell r="X46193" t="str">
            <v>Variation UPR - gross</v>
          </cell>
          <cell r="Y46193" t="str">
            <v>SPAIN</v>
          </cell>
        </row>
        <row r="46194">
          <cell r="L46194" t="str">
            <v>Non-proportional</v>
          </cell>
          <cell r="S46194">
            <v>-665.05</v>
          </cell>
          <cell r="X46194" t="str">
            <v>Variation UPR - gross</v>
          </cell>
          <cell r="Y46194" t="str">
            <v>FRANCE</v>
          </cell>
        </row>
        <row r="46195">
          <cell r="L46195" t="str">
            <v>Non-proportional</v>
          </cell>
          <cell r="S46195">
            <v>-704.86</v>
          </cell>
          <cell r="X46195" t="str">
            <v>Variation UPR - gross</v>
          </cell>
          <cell r="Y46195" t="str">
            <v>JAPAN</v>
          </cell>
        </row>
        <row r="46196">
          <cell r="L46196" t="str">
            <v>Proportional</v>
          </cell>
          <cell r="S46196">
            <v>-338478.14</v>
          </cell>
          <cell r="X46196" t="str">
            <v>Variation UPR - gross</v>
          </cell>
          <cell r="Y46196" t="str">
            <v>SWITZERLAND</v>
          </cell>
        </row>
        <row r="46197">
          <cell r="L46197" t="str">
            <v>Non-proportional</v>
          </cell>
          <cell r="S46197">
            <v>-6931.97</v>
          </cell>
          <cell r="X46197" t="str">
            <v>Variation UPR - gross</v>
          </cell>
          <cell r="Y46197" t="str">
            <v>AUSTRALIA</v>
          </cell>
        </row>
        <row r="46198">
          <cell r="L46198" t="str">
            <v>Non-proportional</v>
          </cell>
          <cell r="S46198">
            <v>-3242.26</v>
          </cell>
          <cell r="X46198" t="str">
            <v>Variation UPR - gross</v>
          </cell>
          <cell r="Y46198" t="str">
            <v>DOMINICAN REPUBLIC</v>
          </cell>
        </row>
        <row r="46199">
          <cell r="L46199" t="str">
            <v>Non-proportional</v>
          </cell>
          <cell r="S46199">
            <v>-1268.21</v>
          </cell>
          <cell r="X46199" t="str">
            <v>Variation UPR - gross</v>
          </cell>
          <cell r="Y46199" t="str">
            <v>NEW ZEALAND</v>
          </cell>
        </row>
        <row r="46200">
          <cell r="L46200" t="str">
            <v>Non-proportional</v>
          </cell>
          <cell r="S46200">
            <v>-7319.14</v>
          </cell>
          <cell r="X46200" t="str">
            <v>Variation UPR - gross</v>
          </cell>
          <cell r="Y46200" t="str">
            <v>JAPAN</v>
          </cell>
        </row>
        <row r="46201">
          <cell r="L46201" t="str">
            <v>Non-proportional</v>
          </cell>
          <cell r="S46201">
            <v>-536.21</v>
          </cell>
          <cell r="X46201" t="str">
            <v>Variation UPR - gross</v>
          </cell>
          <cell r="Y46201" t="str">
            <v>BRAZIL</v>
          </cell>
        </row>
        <row r="46202">
          <cell r="L46202" t="str">
            <v>Non-proportional</v>
          </cell>
          <cell r="S46202">
            <v>-68.989999999999995</v>
          </cell>
          <cell r="X46202" t="str">
            <v>Variation UPR - gross</v>
          </cell>
          <cell r="Y46202" t="str">
            <v>ISRAEL</v>
          </cell>
        </row>
        <row r="46203">
          <cell r="L46203" t="str">
            <v>Non-proportional</v>
          </cell>
          <cell r="S46203">
            <v>-4959.66</v>
          </cell>
          <cell r="X46203" t="str">
            <v>Variation UPR - gross</v>
          </cell>
          <cell r="Y46203" t="str">
            <v>COLOMBIA</v>
          </cell>
        </row>
        <row r="46204">
          <cell r="L46204" t="str">
            <v>Proportional</v>
          </cell>
          <cell r="S46204">
            <v>22214.84</v>
          </cell>
          <cell r="X46204" t="str">
            <v>Variation UPR - gross</v>
          </cell>
          <cell r="Y46204" t="str">
            <v>CANADA</v>
          </cell>
        </row>
        <row r="46205">
          <cell r="L46205" t="str">
            <v>Non-proportional</v>
          </cell>
          <cell r="S46205">
            <v>-187.76</v>
          </cell>
          <cell r="X46205" t="str">
            <v>Variation UPR - gross</v>
          </cell>
          <cell r="Y46205" t="str">
            <v>CHILE</v>
          </cell>
        </row>
        <row r="46206">
          <cell r="L46206" t="str">
            <v>Proportional</v>
          </cell>
          <cell r="S46206">
            <v>-355.52</v>
          </cell>
          <cell r="X46206" t="str">
            <v>Variation UPR - gross</v>
          </cell>
          <cell r="Y46206" t="str">
            <v>THAILAND</v>
          </cell>
        </row>
        <row r="46207">
          <cell r="L46207" t="str">
            <v>Proportional</v>
          </cell>
          <cell r="S46207">
            <v>2660.54</v>
          </cell>
          <cell r="X46207" t="str">
            <v>Variation UPR - gross</v>
          </cell>
          <cell r="Y46207" t="str">
            <v>THAILAND</v>
          </cell>
        </row>
        <row r="46208">
          <cell r="L46208" t="str">
            <v>Non-proportional</v>
          </cell>
          <cell r="S46208">
            <v>-13704.92</v>
          </cell>
          <cell r="X46208" t="str">
            <v>Variation UPR - gross</v>
          </cell>
          <cell r="Y46208" t="str">
            <v>UNITED KINGDOM</v>
          </cell>
        </row>
        <row r="46209">
          <cell r="L46209" t="str">
            <v>Non-proportional</v>
          </cell>
          <cell r="S46209">
            <v>5.48</v>
          </cell>
          <cell r="X46209" t="str">
            <v>Variation UPR - gross</v>
          </cell>
          <cell r="Y46209" t="str">
            <v>GUATEMALA</v>
          </cell>
        </row>
        <row r="46210">
          <cell r="L46210" t="str">
            <v>Non-proportional</v>
          </cell>
          <cell r="S46210">
            <v>-2994.09</v>
          </cell>
          <cell r="X46210" t="str">
            <v>Variation UPR - gross</v>
          </cell>
          <cell r="Y46210" t="str">
            <v>ISRAEL</v>
          </cell>
        </row>
        <row r="46211">
          <cell r="L46211" t="str">
            <v>Proportional</v>
          </cell>
          <cell r="S46211">
            <v>-58782.02</v>
          </cell>
          <cell r="X46211" t="str">
            <v>Variation UPR - gross</v>
          </cell>
          <cell r="Y46211" t="str">
            <v>UNITED ARAB EMIRATES</v>
          </cell>
        </row>
        <row r="46212">
          <cell r="L46212" t="str">
            <v>Non-proportional</v>
          </cell>
          <cell r="S46212">
            <v>-3327.57</v>
          </cell>
          <cell r="X46212" t="str">
            <v>Variation UPR - gross</v>
          </cell>
          <cell r="Y46212" t="str">
            <v>ISRAEL</v>
          </cell>
        </row>
        <row r="46213">
          <cell r="L46213" t="str">
            <v>Non-proportional</v>
          </cell>
          <cell r="S46213">
            <v>37.549999999999997</v>
          </cell>
          <cell r="X46213" t="str">
            <v>Variation UPR - gross</v>
          </cell>
          <cell r="Y46213" t="str">
            <v>CHILE</v>
          </cell>
        </row>
        <row r="46214">
          <cell r="L46214" t="str">
            <v>Non-proportional</v>
          </cell>
          <cell r="S46214">
            <v>-3440.16</v>
          </cell>
          <cell r="X46214" t="str">
            <v>Variation UPR - gross</v>
          </cell>
          <cell r="Y46214" t="str">
            <v>ISRAEL</v>
          </cell>
        </row>
        <row r="46215">
          <cell r="L46215" t="str">
            <v>Non-proportional</v>
          </cell>
          <cell r="S46215">
            <v>-5107.18</v>
          </cell>
          <cell r="X46215" t="str">
            <v>Variation UPR - gross</v>
          </cell>
          <cell r="Y46215" t="str">
            <v>CHILE</v>
          </cell>
        </row>
        <row r="46216">
          <cell r="L46216" t="str">
            <v>Proportional</v>
          </cell>
          <cell r="S46216">
            <v>-10879.39</v>
          </cell>
          <cell r="X46216" t="str">
            <v>Variation UPR - gross</v>
          </cell>
          <cell r="Y46216" t="str">
            <v>JAPAN</v>
          </cell>
        </row>
        <row r="46217">
          <cell r="L46217" t="str">
            <v>Non-proportional</v>
          </cell>
          <cell r="S46217">
            <v>-1749.93</v>
          </cell>
          <cell r="X46217" t="str">
            <v>Variation UPR - gross</v>
          </cell>
          <cell r="Y46217" t="str">
            <v>EUROPE</v>
          </cell>
        </row>
        <row r="46218">
          <cell r="L46218" t="str">
            <v>Non-proportional</v>
          </cell>
          <cell r="S46218">
            <v>-12664.64</v>
          </cell>
          <cell r="X46218" t="str">
            <v>Variation UPR - gross</v>
          </cell>
          <cell r="Y46218" t="str">
            <v>FRANCE</v>
          </cell>
        </row>
        <row r="46219">
          <cell r="L46219" t="str">
            <v>Non-proportional</v>
          </cell>
          <cell r="S46219">
            <v>-75.11</v>
          </cell>
          <cell r="X46219" t="str">
            <v>Variation UPR - gross</v>
          </cell>
          <cell r="Y46219" t="str">
            <v>CHILE</v>
          </cell>
        </row>
        <row r="46220">
          <cell r="L46220" t="str">
            <v>Non-proportional</v>
          </cell>
          <cell r="S46220">
            <v>-9590.0499999999993</v>
          </cell>
          <cell r="X46220" t="str">
            <v>Variation UPR - gross</v>
          </cell>
          <cell r="Y46220" t="str">
            <v>ECUADOR</v>
          </cell>
        </row>
        <row r="46221">
          <cell r="L46221" t="str">
            <v>Proportional</v>
          </cell>
          <cell r="S46221">
            <v>-227.89</v>
          </cell>
          <cell r="X46221" t="str">
            <v>Variation UPR - gross</v>
          </cell>
          <cell r="Y46221" t="str">
            <v>THAILAND</v>
          </cell>
        </row>
        <row r="46222">
          <cell r="L46222" t="str">
            <v>Non-proportional</v>
          </cell>
          <cell r="S46222">
            <v>1.0900000000000001</v>
          </cell>
          <cell r="X46222" t="str">
            <v>Variation UPR - gross</v>
          </cell>
          <cell r="Y46222" t="str">
            <v>GUATEMALA</v>
          </cell>
        </row>
        <row r="46223">
          <cell r="L46223" t="str">
            <v>Non-proportional</v>
          </cell>
          <cell r="S46223">
            <v>-926.03</v>
          </cell>
          <cell r="X46223" t="str">
            <v>Variation UPR - gross</v>
          </cell>
          <cell r="Y46223" t="str">
            <v>ECUADOR</v>
          </cell>
        </row>
        <row r="46224">
          <cell r="L46224" t="str">
            <v>Non-proportional</v>
          </cell>
          <cell r="S46224">
            <v>-67.47</v>
          </cell>
          <cell r="X46224" t="str">
            <v>Variation UPR - gross</v>
          </cell>
          <cell r="Y46224" t="str">
            <v>BRAZIL</v>
          </cell>
        </row>
        <row r="46225">
          <cell r="L46225" t="str">
            <v>Non-proportional</v>
          </cell>
          <cell r="S46225">
            <v>-2103.79</v>
          </cell>
          <cell r="X46225" t="str">
            <v>Variation UPR - gross</v>
          </cell>
          <cell r="Y46225" t="str">
            <v>GUATEMALA</v>
          </cell>
        </row>
        <row r="46226">
          <cell r="L46226" t="str">
            <v>Non-proportional</v>
          </cell>
          <cell r="S46226">
            <v>-1945.71</v>
          </cell>
          <cell r="X46226" t="str">
            <v>Variation UPR - gross</v>
          </cell>
          <cell r="Y46226" t="str">
            <v>GUATEMALA</v>
          </cell>
        </row>
        <row r="46227">
          <cell r="L46227" t="str">
            <v>Non-proportional</v>
          </cell>
          <cell r="S46227">
            <v>-15885.46</v>
          </cell>
          <cell r="X46227" t="str">
            <v>Variation UPR - gross</v>
          </cell>
          <cell r="Y46227" t="str">
            <v>EUROPE</v>
          </cell>
        </row>
        <row r="46228">
          <cell r="L46228" t="str">
            <v>Non-proportional</v>
          </cell>
          <cell r="S46228">
            <v>-5964.4</v>
          </cell>
          <cell r="X46228" t="str">
            <v>Variation UPR - gross</v>
          </cell>
          <cell r="Y46228" t="str">
            <v>JAPAN</v>
          </cell>
        </row>
        <row r="46229">
          <cell r="L46229" t="str">
            <v>Proportional</v>
          </cell>
          <cell r="S46229">
            <v>-189057.65</v>
          </cell>
          <cell r="X46229" t="str">
            <v>Variation UPR - gross</v>
          </cell>
          <cell r="Y46229" t="str">
            <v>AUSTRALIA</v>
          </cell>
        </row>
        <row r="46230">
          <cell r="L46230" t="str">
            <v>Non-proportional</v>
          </cell>
          <cell r="S46230">
            <v>-1666.54</v>
          </cell>
          <cell r="X46230" t="str">
            <v>Variation UPR - gross</v>
          </cell>
          <cell r="Y46230" t="str">
            <v>JAPAN</v>
          </cell>
        </row>
        <row r="46231">
          <cell r="L46231" t="str">
            <v>Non-proportional</v>
          </cell>
          <cell r="S46231">
            <v>-5700.19</v>
          </cell>
          <cell r="X46231" t="str">
            <v>Variation UPR - gross</v>
          </cell>
          <cell r="Y46231" t="str">
            <v>ITALY</v>
          </cell>
        </row>
        <row r="46232">
          <cell r="L46232" t="str">
            <v>Non-proportional</v>
          </cell>
          <cell r="S46232">
            <v>-4078.13</v>
          </cell>
          <cell r="X46232" t="str">
            <v>Variation UPR - gross</v>
          </cell>
          <cell r="Y46232" t="str">
            <v>GREECE</v>
          </cell>
        </row>
        <row r="46233">
          <cell r="L46233" t="str">
            <v>Non-proportional</v>
          </cell>
          <cell r="S46233">
            <v>-1208.6600000000001</v>
          </cell>
          <cell r="X46233" t="str">
            <v>Variation UPR - gross</v>
          </cell>
          <cell r="Y46233" t="str">
            <v>BRAZIL</v>
          </cell>
        </row>
        <row r="46234">
          <cell r="L46234" t="str">
            <v>Non-proportional</v>
          </cell>
          <cell r="S46234">
            <v>-9338.31</v>
          </cell>
          <cell r="X46234" t="str">
            <v>Variation UPR - gross</v>
          </cell>
          <cell r="Y46234" t="str">
            <v>MEXICO</v>
          </cell>
        </row>
        <row r="46235">
          <cell r="L46235" t="str">
            <v>Non-proportional</v>
          </cell>
          <cell r="S46235">
            <v>-860</v>
          </cell>
          <cell r="X46235" t="str">
            <v>Variation UPR - gross</v>
          </cell>
          <cell r="Y46235" t="str">
            <v>GREECE</v>
          </cell>
        </row>
        <row r="46236">
          <cell r="L46236" t="str">
            <v>Non-proportional</v>
          </cell>
          <cell r="S46236">
            <v>-880.28</v>
          </cell>
          <cell r="X46236" t="str">
            <v>Variation UPR - gross</v>
          </cell>
          <cell r="Y46236" t="str">
            <v>PUERTO RICO</v>
          </cell>
        </row>
        <row r="46237">
          <cell r="L46237" t="str">
            <v>Non-proportional</v>
          </cell>
          <cell r="S46237">
            <v>-286.25</v>
          </cell>
          <cell r="X46237" t="str">
            <v>Variation UPR - gross</v>
          </cell>
          <cell r="Y46237" t="str">
            <v>REPUBLIC OF IRELAND</v>
          </cell>
        </row>
        <row r="46238">
          <cell r="L46238" t="str">
            <v>Non-proportional</v>
          </cell>
          <cell r="S46238">
            <v>-59.73</v>
          </cell>
          <cell r="X46238" t="str">
            <v>Variation UPR - gross</v>
          </cell>
          <cell r="Y46238" t="str">
            <v>THAILAND</v>
          </cell>
        </row>
        <row r="46239">
          <cell r="L46239" t="str">
            <v>Non-proportional</v>
          </cell>
          <cell r="S46239">
            <v>211.07</v>
          </cell>
          <cell r="X46239" t="str">
            <v>Variation UPR - gross</v>
          </cell>
          <cell r="Y46239" t="str">
            <v>INDIA</v>
          </cell>
        </row>
        <row r="46240">
          <cell r="L46240" t="str">
            <v>Non-proportional</v>
          </cell>
          <cell r="S46240">
            <v>-14149.34</v>
          </cell>
          <cell r="X46240" t="str">
            <v>Variation UPR - gross</v>
          </cell>
          <cell r="Y46240" t="str">
            <v>PUERTO RICO</v>
          </cell>
        </row>
        <row r="46241">
          <cell r="L46241" t="str">
            <v>Non-proportional</v>
          </cell>
          <cell r="S46241">
            <v>-1468.09</v>
          </cell>
          <cell r="X46241" t="str">
            <v>Variation UPR - gross</v>
          </cell>
          <cell r="Y46241" t="str">
            <v>ISRAEL</v>
          </cell>
        </row>
        <row r="46242">
          <cell r="L46242" t="str">
            <v>Non-proportional</v>
          </cell>
          <cell r="S46242">
            <v>-205.67</v>
          </cell>
          <cell r="X46242" t="str">
            <v>Variation UPR - gross</v>
          </cell>
          <cell r="Y46242" t="str">
            <v>FRANCE</v>
          </cell>
        </row>
        <row r="46243">
          <cell r="L46243" t="str">
            <v>Non-proportional</v>
          </cell>
          <cell r="S46243">
            <v>-1372.29</v>
          </cell>
          <cell r="X46243" t="str">
            <v>Variation UPR - gross</v>
          </cell>
          <cell r="Y46243" t="str">
            <v>ISRAEL</v>
          </cell>
        </row>
        <row r="46244">
          <cell r="L46244" t="str">
            <v>Non-proportional</v>
          </cell>
          <cell r="S46244">
            <v>-8855</v>
          </cell>
          <cell r="X46244" t="str">
            <v>Variation UPR - gross</v>
          </cell>
          <cell r="Y46244" t="str">
            <v>GERMANY</v>
          </cell>
        </row>
        <row r="46245">
          <cell r="L46245" t="str">
            <v>Non-proportional</v>
          </cell>
          <cell r="S46245">
            <v>-932.14</v>
          </cell>
          <cell r="X46245" t="str">
            <v>Variation UPR - gross</v>
          </cell>
          <cell r="Y46245" t="str">
            <v>SOUTH AFRICA</v>
          </cell>
        </row>
        <row r="46246">
          <cell r="L46246" t="str">
            <v>Proportional</v>
          </cell>
          <cell r="S46246">
            <v>-27502.99</v>
          </cell>
          <cell r="X46246" t="str">
            <v>Variation UPR - gross</v>
          </cell>
          <cell r="Y46246" t="str">
            <v>UNITED STATES</v>
          </cell>
        </row>
        <row r="46247">
          <cell r="L46247" t="str">
            <v>Non-proportional</v>
          </cell>
          <cell r="S46247">
            <v>-638.52</v>
          </cell>
          <cell r="X46247" t="str">
            <v>Variation UPR - gross</v>
          </cell>
          <cell r="Y46247" t="str">
            <v>MALTA</v>
          </cell>
        </row>
        <row r="46248">
          <cell r="L46248" t="str">
            <v>Non-proportional</v>
          </cell>
          <cell r="S46248">
            <v>-3900.8</v>
          </cell>
          <cell r="X46248" t="str">
            <v>Variation UPR - gross</v>
          </cell>
          <cell r="Y46248" t="str">
            <v>EUROPE</v>
          </cell>
        </row>
        <row r="46249">
          <cell r="L46249" t="str">
            <v>Proportional</v>
          </cell>
          <cell r="S46249">
            <v>-6954.57</v>
          </cell>
          <cell r="X46249" t="str">
            <v>Variation UPR - gross</v>
          </cell>
          <cell r="Y46249" t="str">
            <v>ITALY</v>
          </cell>
        </row>
        <row r="46250">
          <cell r="L46250" t="str">
            <v>Proportional</v>
          </cell>
          <cell r="S46250">
            <v>-567.36</v>
          </cell>
          <cell r="X46250" t="str">
            <v>Variation UPR - gross</v>
          </cell>
          <cell r="Y46250" t="str">
            <v>THAILAND</v>
          </cell>
        </row>
        <row r="46251">
          <cell r="L46251" t="str">
            <v>Non-proportional</v>
          </cell>
          <cell r="S46251">
            <v>-29034.14</v>
          </cell>
          <cell r="X46251" t="str">
            <v>Variation UPR - gross</v>
          </cell>
          <cell r="Y46251" t="str">
            <v>UNITED KINGDOM</v>
          </cell>
        </row>
        <row r="46252">
          <cell r="L46252" t="str">
            <v>Non-proportional</v>
          </cell>
          <cell r="S46252">
            <v>49.61</v>
          </cell>
          <cell r="X46252" t="str">
            <v>Variation UPR - gross</v>
          </cell>
          <cell r="Y46252" t="str">
            <v>JAPAN</v>
          </cell>
        </row>
        <row r="46253">
          <cell r="L46253" t="str">
            <v>Non-proportional</v>
          </cell>
          <cell r="S46253">
            <v>179.12</v>
          </cell>
          <cell r="X46253" t="str">
            <v>Variation UPR - gross</v>
          </cell>
          <cell r="Y46253" t="str">
            <v>INDIA</v>
          </cell>
        </row>
        <row r="46254">
          <cell r="L46254" t="str">
            <v>Non-proportional</v>
          </cell>
          <cell r="S46254">
            <v>-2357.5</v>
          </cell>
          <cell r="X46254" t="str">
            <v>Variation UPR - gross</v>
          </cell>
          <cell r="Y46254" t="str">
            <v>GERMANY</v>
          </cell>
        </row>
        <row r="46255">
          <cell r="L46255" t="str">
            <v>Proportional</v>
          </cell>
          <cell r="S46255">
            <v>-180540</v>
          </cell>
          <cell r="X46255" t="str">
            <v>Variation UPR - gross</v>
          </cell>
          <cell r="Y46255" t="str">
            <v>SWITZERLAND</v>
          </cell>
        </row>
        <row r="46256">
          <cell r="L46256" t="str">
            <v>Non-proportional</v>
          </cell>
          <cell r="S46256">
            <v>-5557.81</v>
          </cell>
          <cell r="X46256" t="str">
            <v>Variation UPR - gross</v>
          </cell>
          <cell r="Y46256" t="str">
            <v>CHILE</v>
          </cell>
        </row>
        <row r="46257">
          <cell r="L46257" t="str">
            <v>Proportional</v>
          </cell>
          <cell r="S46257">
            <v>-587279.81000000006</v>
          </cell>
          <cell r="X46257" t="str">
            <v>Variation UPR - gross</v>
          </cell>
          <cell r="Y46257" t="str">
            <v>UNITED STATES</v>
          </cell>
        </row>
        <row r="46258">
          <cell r="L46258" t="str">
            <v>Non-proportional</v>
          </cell>
          <cell r="S46258">
            <v>-1865.86</v>
          </cell>
          <cell r="X46258" t="str">
            <v>Variation UPR - gross</v>
          </cell>
          <cell r="Y46258" t="str">
            <v>SOUTH AFRICA</v>
          </cell>
        </row>
        <row r="46259">
          <cell r="L46259" t="str">
            <v>Non-proportional</v>
          </cell>
          <cell r="S46259">
            <v>-2434.88</v>
          </cell>
          <cell r="X46259" t="str">
            <v>Variation UPR - gross</v>
          </cell>
          <cell r="Y46259" t="str">
            <v>UNITED KINGDOM</v>
          </cell>
        </row>
        <row r="46260">
          <cell r="L46260" t="str">
            <v>Proportional</v>
          </cell>
          <cell r="S46260">
            <v>-1971.58</v>
          </cell>
          <cell r="X46260" t="str">
            <v>Variation UPR - gross</v>
          </cell>
          <cell r="Y46260" t="str">
            <v>THAILAND</v>
          </cell>
        </row>
        <row r="46261">
          <cell r="L46261" t="str">
            <v>Non-proportional</v>
          </cell>
          <cell r="S46261">
            <v>0.03</v>
          </cell>
          <cell r="X46261" t="str">
            <v>Variation UPR - gross</v>
          </cell>
          <cell r="Y46261" t="str">
            <v>THAILAND</v>
          </cell>
        </row>
        <row r="46262">
          <cell r="L46262" t="str">
            <v>Non-proportional</v>
          </cell>
          <cell r="S46262">
            <v>-4335.5600000000004</v>
          </cell>
          <cell r="X46262" t="str">
            <v>Variation UPR - gross</v>
          </cell>
          <cell r="Y46262" t="str">
            <v>UNITED KINGDOM</v>
          </cell>
        </row>
        <row r="46263">
          <cell r="L46263" t="str">
            <v>Non-proportional</v>
          </cell>
          <cell r="S46263">
            <v>58.57</v>
          </cell>
          <cell r="X46263" t="str">
            <v>Variation UPR - gross</v>
          </cell>
          <cell r="Y46263" t="str">
            <v>AUSTRALIA</v>
          </cell>
        </row>
        <row r="46264">
          <cell r="L46264" t="str">
            <v>Non-proportional</v>
          </cell>
          <cell r="S46264">
            <v>0.04</v>
          </cell>
          <cell r="X46264" t="str">
            <v>Variation UPR - gross</v>
          </cell>
          <cell r="Y46264" t="str">
            <v>COLOMBIA</v>
          </cell>
        </row>
        <row r="46265">
          <cell r="L46265" t="str">
            <v>Proportional</v>
          </cell>
          <cell r="S46265">
            <v>-92666.64</v>
          </cell>
          <cell r="X46265" t="str">
            <v>Variation UPR - gross</v>
          </cell>
          <cell r="Y46265" t="str">
            <v>FRANCE</v>
          </cell>
        </row>
        <row r="46266">
          <cell r="L46266" t="str">
            <v>Proportional</v>
          </cell>
          <cell r="S46266">
            <v>93.12</v>
          </cell>
          <cell r="X46266" t="str">
            <v>Variation UPR - gross</v>
          </cell>
          <cell r="Y46266" t="str">
            <v>THAILAND</v>
          </cell>
        </row>
        <row r="46267">
          <cell r="L46267" t="str">
            <v>Non-proportional</v>
          </cell>
          <cell r="S46267">
            <v>-251330.67</v>
          </cell>
          <cell r="X46267" t="str">
            <v>Variation UPR - gross</v>
          </cell>
          <cell r="Y46267" t="str">
            <v>UNITED KINGDOM</v>
          </cell>
        </row>
        <row r="46268">
          <cell r="L46268" t="str">
            <v>Non-proportional</v>
          </cell>
          <cell r="S46268">
            <v>-66.41</v>
          </cell>
          <cell r="X46268" t="str">
            <v>Variation UPR - gross</v>
          </cell>
          <cell r="Y46268" t="str">
            <v>ISRAEL</v>
          </cell>
        </row>
        <row r="46269">
          <cell r="L46269" t="str">
            <v>Non-proportional</v>
          </cell>
          <cell r="S46269">
            <v>-60375</v>
          </cell>
          <cell r="X46269" t="str">
            <v>Variation UPR - gross</v>
          </cell>
          <cell r="Y46269" t="str">
            <v>BELGIUM</v>
          </cell>
        </row>
        <row r="46270">
          <cell r="L46270" t="str">
            <v>Proportional</v>
          </cell>
          <cell r="S46270">
            <v>14.59</v>
          </cell>
          <cell r="X46270" t="str">
            <v>Variation UPR - gross</v>
          </cell>
          <cell r="Y46270" t="str">
            <v>HONG KONG</v>
          </cell>
        </row>
        <row r="46271">
          <cell r="L46271" t="str">
            <v>Proportional</v>
          </cell>
          <cell r="S46271">
            <v>-491381.84</v>
          </cell>
          <cell r="X46271" t="str">
            <v>Variation UPR - gross</v>
          </cell>
          <cell r="Y46271" t="str">
            <v>HONG KONG</v>
          </cell>
        </row>
        <row r="46272">
          <cell r="L46272" t="str">
            <v>Proportional</v>
          </cell>
          <cell r="S46272">
            <v>-150.21</v>
          </cell>
          <cell r="X46272" t="str">
            <v>Variation UPR - gross</v>
          </cell>
          <cell r="Y46272" t="str">
            <v>CHILE</v>
          </cell>
        </row>
        <row r="46273">
          <cell r="L46273" t="str">
            <v>Non-proportional</v>
          </cell>
          <cell r="S46273">
            <v>62.01</v>
          </cell>
          <cell r="X46273" t="str">
            <v>Variation UPR - gross</v>
          </cell>
          <cell r="Y46273" t="str">
            <v>JAPAN</v>
          </cell>
        </row>
        <row r="46274">
          <cell r="L46274" t="str">
            <v>Non-proportional</v>
          </cell>
          <cell r="S46274">
            <v>-40150</v>
          </cell>
          <cell r="X46274" t="str">
            <v>Variation UPR - gross</v>
          </cell>
          <cell r="Y46274" t="str">
            <v>PORTUGAL</v>
          </cell>
        </row>
        <row r="46275">
          <cell r="L46275" t="str">
            <v>Proportional</v>
          </cell>
          <cell r="S46275">
            <v>558.71</v>
          </cell>
          <cell r="X46275" t="str">
            <v>Variation UPR - gross</v>
          </cell>
          <cell r="Y46275" t="str">
            <v>THAILAND</v>
          </cell>
        </row>
        <row r="46276">
          <cell r="L46276" t="str">
            <v>Proportional</v>
          </cell>
          <cell r="S46276">
            <v>128770.24000000001</v>
          </cell>
          <cell r="X46276" t="str">
            <v>Variation UPR - gross</v>
          </cell>
          <cell r="Y46276" t="str">
            <v>THAILAND</v>
          </cell>
        </row>
        <row r="46277">
          <cell r="L46277" t="str">
            <v>Non-proportional</v>
          </cell>
          <cell r="S46277">
            <v>-42610.06</v>
          </cell>
          <cell r="X46277" t="str">
            <v>Variation UPR - gross</v>
          </cell>
          <cell r="Y46277" t="str">
            <v>UNITED KINGDOM</v>
          </cell>
        </row>
        <row r="46278">
          <cell r="L46278" t="str">
            <v>Non-proportional</v>
          </cell>
          <cell r="S46278">
            <v>-993.77</v>
          </cell>
          <cell r="X46278" t="str">
            <v>Variation UPR - gross</v>
          </cell>
          <cell r="Y46278" t="str">
            <v>UNITED KINGDOM</v>
          </cell>
        </row>
        <row r="46279">
          <cell r="L46279" t="str">
            <v>Non-proportional</v>
          </cell>
          <cell r="S46279">
            <v>-18039.88</v>
          </cell>
          <cell r="X46279" t="str">
            <v>Variation UPR - gross</v>
          </cell>
          <cell r="Y46279" t="str">
            <v>CHINA</v>
          </cell>
        </row>
        <row r="46280">
          <cell r="L46280" t="str">
            <v>Non-proportional</v>
          </cell>
          <cell r="S46280">
            <v>-1123.1099999999999</v>
          </cell>
          <cell r="X46280" t="str">
            <v>Variation UPR - gross</v>
          </cell>
          <cell r="Y46280" t="str">
            <v>INDIA</v>
          </cell>
        </row>
        <row r="46281">
          <cell r="L46281" t="str">
            <v>Non-proportional</v>
          </cell>
          <cell r="S46281">
            <v>289.87</v>
          </cell>
          <cell r="X46281" t="str">
            <v>Variation UPR - gross</v>
          </cell>
          <cell r="Y46281" t="str">
            <v>NEW ZEALAND</v>
          </cell>
        </row>
        <row r="46282">
          <cell r="L46282" t="str">
            <v>Non-proportional</v>
          </cell>
          <cell r="S46282">
            <v>-14331.16</v>
          </cell>
          <cell r="X46282" t="str">
            <v>Variation UPR - gross</v>
          </cell>
          <cell r="Y46282" t="str">
            <v>FRANCE</v>
          </cell>
        </row>
        <row r="46283">
          <cell r="L46283" t="str">
            <v>Non-proportional</v>
          </cell>
          <cell r="S46283">
            <v>-1944.73</v>
          </cell>
          <cell r="X46283" t="str">
            <v>Variation UPR - gross</v>
          </cell>
          <cell r="Y46283" t="str">
            <v>SOUTH AFRICA</v>
          </cell>
        </row>
        <row r="46284">
          <cell r="L46284" t="str">
            <v>Proportional</v>
          </cell>
          <cell r="S46284">
            <v>-856.71</v>
          </cell>
          <cell r="X46284" t="str">
            <v>Variation UPR - gross</v>
          </cell>
          <cell r="Y46284" t="str">
            <v>TURKEY</v>
          </cell>
        </row>
        <row r="46285">
          <cell r="L46285" t="str">
            <v>Non-proportional</v>
          </cell>
          <cell r="S46285">
            <v>-2932.79</v>
          </cell>
          <cell r="X46285" t="str">
            <v>Variation UPR - gross</v>
          </cell>
          <cell r="Y46285" t="str">
            <v>AUSTRALIA</v>
          </cell>
        </row>
        <row r="46286">
          <cell r="L46286" t="str">
            <v>Non-proportional</v>
          </cell>
          <cell r="S46286">
            <v>-4238.47</v>
          </cell>
          <cell r="X46286" t="str">
            <v>Variation UPR - gross</v>
          </cell>
          <cell r="Y46286" t="str">
            <v>FRANCE</v>
          </cell>
        </row>
        <row r="46287">
          <cell r="L46287" t="str">
            <v>Non-proportional</v>
          </cell>
          <cell r="S46287">
            <v>-1921.38</v>
          </cell>
          <cell r="X46287" t="str">
            <v>Variation UPR - gross</v>
          </cell>
          <cell r="Y46287" t="str">
            <v>JAPAN</v>
          </cell>
        </row>
        <row r="46288">
          <cell r="L46288" t="str">
            <v>Non-proportional</v>
          </cell>
          <cell r="S46288">
            <v>-9832.7800000000007</v>
          </cell>
          <cell r="X46288" t="str">
            <v>Variation UPR - gross</v>
          </cell>
          <cell r="Y46288" t="str">
            <v>FRANCE</v>
          </cell>
        </row>
        <row r="46289">
          <cell r="L46289" t="str">
            <v>Non-proportional</v>
          </cell>
          <cell r="S46289">
            <v>-2553.59</v>
          </cell>
          <cell r="X46289" t="str">
            <v>Variation UPR - gross</v>
          </cell>
          <cell r="Y46289" t="str">
            <v>CHILE</v>
          </cell>
        </row>
        <row r="46290">
          <cell r="L46290" t="str">
            <v>Non-proportional</v>
          </cell>
          <cell r="S46290">
            <v>-1285.31</v>
          </cell>
          <cell r="X46290" t="str">
            <v>Variation UPR - gross</v>
          </cell>
          <cell r="Y46290" t="str">
            <v>UNITED ARAB EMIRATES</v>
          </cell>
        </row>
        <row r="46291">
          <cell r="L46291" t="str">
            <v>Non-proportional</v>
          </cell>
          <cell r="S46291">
            <v>-6562.5</v>
          </cell>
          <cell r="X46291" t="str">
            <v>Variation UPR - gross</v>
          </cell>
          <cell r="Y46291" t="str">
            <v>ITALY</v>
          </cell>
        </row>
        <row r="46292">
          <cell r="L46292" t="str">
            <v>Non-proportional</v>
          </cell>
          <cell r="S46292">
            <v>20502.27</v>
          </cell>
          <cell r="X46292" t="str">
            <v>GWP - gross</v>
          </cell>
          <cell r="Y46292" t="str">
            <v>UNITED KINGDOM</v>
          </cell>
        </row>
        <row r="46293">
          <cell r="L46293" t="str">
            <v>Non-proportional</v>
          </cell>
          <cell r="S46293">
            <v>1317.99</v>
          </cell>
          <cell r="X46293" t="str">
            <v>GWP - gross</v>
          </cell>
          <cell r="Y46293" t="str">
            <v>United kingdom</v>
          </cell>
        </row>
        <row r="46294">
          <cell r="L46294" t="str">
            <v>Non-proportional</v>
          </cell>
          <cell r="S46294">
            <v>-485.82</v>
          </cell>
          <cell r="X46294" t="str">
            <v>GWP - gross</v>
          </cell>
          <cell r="Y46294" t="str">
            <v>UNITED KINGDOM</v>
          </cell>
        </row>
        <row r="46295">
          <cell r="L46295" t="str">
            <v>Non-proportional</v>
          </cell>
          <cell r="S46295">
            <v>-9806.17</v>
          </cell>
          <cell r="X46295" t="str">
            <v>GWP - gross</v>
          </cell>
          <cell r="Y46295" t="str">
            <v>SWEDEN</v>
          </cell>
        </row>
        <row r="46296">
          <cell r="L46296" t="str">
            <v>Non-proportional</v>
          </cell>
          <cell r="S46296">
            <v>7348.79</v>
          </cell>
          <cell r="X46296" t="str">
            <v>GWP - gross</v>
          </cell>
          <cell r="Y46296" t="str">
            <v>SWEDEN</v>
          </cell>
        </row>
        <row r="46297">
          <cell r="L46297" t="str">
            <v>Non-proportional</v>
          </cell>
          <cell r="S46297">
            <v>-30637.81</v>
          </cell>
          <cell r="X46297" t="str">
            <v>GWP - gross</v>
          </cell>
          <cell r="Y46297" t="str">
            <v>United kingdom</v>
          </cell>
        </row>
        <row r="46298">
          <cell r="L46298" t="str">
            <v>Non-proportional</v>
          </cell>
          <cell r="S46298">
            <v>-1317.99</v>
          </cell>
          <cell r="X46298" t="str">
            <v>GWP - gross</v>
          </cell>
          <cell r="Y46298" t="str">
            <v>United kingdom</v>
          </cell>
        </row>
        <row r="46299">
          <cell r="L46299" t="str">
            <v>Non-proportional</v>
          </cell>
          <cell r="S46299">
            <v>-1317.99</v>
          </cell>
          <cell r="X46299" t="str">
            <v>GWP - gross</v>
          </cell>
          <cell r="Y46299" t="str">
            <v>United kingdom</v>
          </cell>
        </row>
        <row r="46300">
          <cell r="L46300" t="str">
            <v>Non-proportional</v>
          </cell>
          <cell r="S46300">
            <v>-55082.21</v>
          </cell>
          <cell r="X46300" t="str">
            <v>GWP - gross</v>
          </cell>
          <cell r="Y46300" t="str">
            <v>Belgium</v>
          </cell>
        </row>
        <row r="46301">
          <cell r="L46301" t="str">
            <v>Non-proportional</v>
          </cell>
          <cell r="S46301">
            <v>-10301.969999999999</v>
          </cell>
          <cell r="X46301" t="str">
            <v>GWP - gross</v>
          </cell>
          <cell r="Y46301" t="str">
            <v>SWEDEN</v>
          </cell>
        </row>
        <row r="46302">
          <cell r="L46302" t="str">
            <v>Non-proportional</v>
          </cell>
          <cell r="S46302">
            <v>7298.2</v>
          </cell>
          <cell r="X46302" t="str">
            <v>GWP - gross</v>
          </cell>
          <cell r="Y46302" t="str">
            <v>United kingdom</v>
          </cell>
        </row>
        <row r="46303">
          <cell r="L46303" t="str">
            <v>Non-proportional</v>
          </cell>
          <cell r="S46303">
            <v>373.45</v>
          </cell>
          <cell r="X46303" t="str">
            <v>GWP - gross</v>
          </cell>
          <cell r="Y46303" t="str">
            <v>ICELAND</v>
          </cell>
        </row>
        <row r="46304">
          <cell r="L46304" t="str">
            <v>Non-proportional</v>
          </cell>
          <cell r="S46304">
            <v>-3362.3</v>
          </cell>
          <cell r="X46304" t="str">
            <v>GWP - gross</v>
          </cell>
          <cell r="Y46304" t="str">
            <v>POLAND</v>
          </cell>
        </row>
        <row r="46305">
          <cell r="L46305" t="str">
            <v>Non-proportional</v>
          </cell>
          <cell r="S46305">
            <v>-8302.4699999999993</v>
          </cell>
          <cell r="X46305" t="str">
            <v>GWP - gross</v>
          </cell>
          <cell r="Y46305" t="str">
            <v>TURKEY</v>
          </cell>
        </row>
        <row r="46306">
          <cell r="L46306" t="str">
            <v>Non-proportional</v>
          </cell>
          <cell r="S46306">
            <v>30637.82</v>
          </cell>
          <cell r="X46306" t="str">
            <v>GWP - gross</v>
          </cell>
          <cell r="Y46306" t="str">
            <v>United kingdom</v>
          </cell>
        </row>
        <row r="46307">
          <cell r="L46307" t="str">
            <v>Non-proportional</v>
          </cell>
          <cell r="S46307">
            <v>8302.4699999999993</v>
          </cell>
          <cell r="X46307" t="str">
            <v>GWP - gross</v>
          </cell>
          <cell r="Y46307" t="str">
            <v>TURKEY</v>
          </cell>
        </row>
        <row r="46308">
          <cell r="L46308" t="str">
            <v>Non-proportional</v>
          </cell>
          <cell r="S46308">
            <v>606373.63</v>
          </cell>
          <cell r="X46308" t="str">
            <v>GWP - gross</v>
          </cell>
          <cell r="Y46308" t="str">
            <v>United kingdom</v>
          </cell>
        </row>
        <row r="46309">
          <cell r="L46309" t="str">
            <v>Non-proportional</v>
          </cell>
          <cell r="S46309">
            <v>-1157.03</v>
          </cell>
          <cell r="X46309" t="str">
            <v>GWP - gross</v>
          </cell>
          <cell r="Y46309" t="str">
            <v>SWEDEN</v>
          </cell>
        </row>
        <row r="46310">
          <cell r="L46310" t="str">
            <v>Non-proportional</v>
          </cell>
          <cell r="S46310">
            <v>4.47</v>
          </cell>
          <cell r="X46310" t="str">
            <v>GWP - gross</v>
          </cell>
          <cell r="Y46310" t="str">
            <v>UNITED KINGDOM</v>
          </cell>
        </row>
        <row r="46311">
          <cell r="L46311" t="str">
            <v>Non-proportional</v>
          </cell>
          <cell r="S46311">
            <v>-1336.7</v>
          </cell>
          <cell r="X46311" t="str">
            <v>GWP - gross</v>
          </cell>
          <cell r="Y46311" t="str">
            <v>POLAND</v>
          </cell>
        </row>
        <row r="46312">
          <cell r="L46312" t="str">
            <v>Non-proportional</v>
          </cell>
          <cell r="S46312">
            <v>9806.17</v>
          </cell>
          <cell r="X46312" t="str">
            <v>GWP - gross</v>
          </cell>
          <cell r="Y46312" t="str">
            <v>SWEDEN</v>
          </cell>
        </row>
        <row r="46313">
          <cell r="L46313" t="str">
            <v>Non-proportional</v>
          </cell>
          <cell r="S46313">
            <v>-29847.84</v>
          </cell>
          <cell r="X46313" t="str">
            <v>GWP - gross</v>
          </cell>
          <cell r="Y46313" t="str">
            <v>United kingdom</v>
          </cell>
        </row>
        <row r="46314">
          <cell r="L46314" t="str">
            <v>Non-proportional</v>
          </cell>
          <cell r="S46314">
            <v>-4757.1899999999996</v>
          </cell>
          <cell r="X46314" t="str">
            <v>GWP - gross</v>
          </cell>
          <cell r="Y46314" t="str">
            <v>ICELAND</v>
          </cell>
        </row>
        <row r="46315">
          <cell r="L46315" t="str">
            <v>Non-proportional</v>
          </cell>
          <cell r="S46315">
            <v>-161134.26999999999</v>
          </cell>
          <cell r="X46315" t="str">
            <v>GWP - gross</v>
          </cell>
          <cell r="Y46315" t="str">
            <v>United kingdom</v>
          </cell>
        </row>
        <row r="46316">
          <cell r="L46316" t="str">
            <v>Non-proportional</v>
          </cell>
          <cell r="S46316">
            <v>-1616.43</v>
          </cell>
          <cell r="X46316" t="str">
            <v>GWP - gross</v>
          </cell>
          <cell r="Y46316" t="str">
            <v>ICELAND</v>
          </cell>
        </row>
        <row r="46317">
          <cell r="L46317" t="str">
            <v>Non-proportional</v>
          </cell>
          <cell r="S46317">
            <v>2335.2399999999998</v>
          </cell>
          <cell r="X46317" t="str">
            <v>GWP - gross</v>
          </cell>
          <cell r="Y46317" t="str">
            <v>GERMANY</v>
          </cell>
        </row>
        <row r="46318">
          <cell r="L46318" t="str">
            <v>Non-proportional</v>
          </cell>
          <cell r="S46318">
            <v>-2600.16</v>
          </cell>
          <cell r="X46318" t="str">
            <v>GWP - gross</v>
          </cell>
          <cell r="Y46318" t="str">
            <v>GERMANY</v>
          </cell>
        </row>
        <row r="46319">
          <cell r="L46319" t="str">
            <v>Non-proportional</v>
          </cell>
          <cell r="S46319">
            <v>1306.5</v>
          </cell>
          <cell r="X46319" t="str">
            <v>GWP - gross</v>
          </cell>
          <cell r="Y46319" t="str">
            <v>GERMANY</v>
          </cell>
        </row>
        <row r="46320">
          <cell r="L46320" t="str">
            <v>Non-proportional</v>
          </cell>
          <cell r="S46320">
            <v>616.70000000000005</v>
          </cell>
          <cell r="X46320" t="str">
            <v>GWP - gross</v>
          </cell>
          <cell r="Y46320" t="str">
            <v>Malaysia</v>
          </cell>
        </row>
        <row r="46321">
          <cell r="L46321" t="str">
            <v>Non-proportional</v>
          </cell>
          <cell r="S46321">
            <v>15059.89</v>
          </cell>
          <cell r="X46321" t="str">
            <v>GWP - gross</v>
          </cell>
          <cell r="Y46321" t="str">
            <v>SLOVENIA</v>
          </cell>
        </row>
        <row r="46322">
          <cell r="L46322" t="str">
            <v>Non-proportional</v>
          </cell>
          <cell r="S46322">
            <v>-1616.43</v>
          </cell>
          <cell r="X46322" t="str">
            <v>GWP - gross</v>
          </cell>
          <cell r="Y46322" t="str">
            <v>ICELAND</v>
          </cell>
        </row>
        <row r="46323">
          <cell r="L46323" t="str">
            <v>Non-proportional</v>
          </cell>
          <cell r="S46323">
            <v>19476.07</v>
          </cell>
          <cell r="X46323" t="str">
            <v>GWP - gross</v>
          </cell>
          <cell r="Y46323" t="str">
            <v>TURKEY</v>
          </cell>
        </row>
        <row r="46324">
          <cell r="L46324" t="str">
            <v>Non-proportional</v>
          </cell>
          <cell r="S46324">
            <v>0.01</v>
          </cell>
          <cell r="X46324" t="str">
            <v>GWP - gross</v>
          </cell>
          <cell r="Y46324" t="str">
            <v>UNITED KINGDOM</v>
          </cell>
        </row>
        <row r="46325">
          <cell r="L46325" t="str">
            <v>Non-proportional</v>
          </cell>
          <cell r="S46325">
            <v>4491.3100000000004</v>
          </cell>
          <cell r="X46325" t="str">
            <v>GWP - gross</v>
          </cell>
          <cell r="Y46325" t="str">
            <v>GERMANY</v>
          </cell>
        </row>
        <row r="46326">
          <cell r="L46326" t="str">
            <v>Non-proportional</v>
          </cell>
          <cell r="S46326">
            <v>-14392.22</v>
          </cell>
          <cell r="X46326" t="str">
            <v>GWP - gross</v>
          </cell>
          <cell r="Y46326" t="str">
            <v>UNITED KINGDOM</v>
          </cell>
        </row>
        <row r="46327">
          <cell r="L46327" t="str">
            <v>Non-proportional</v>
          </cell>
          <cell r="S46327">
            <v>68173.52</v>
          </cell>
          <cell r="X46327" t="str">
            <v>GWP - gross</v>
          </cell>
          <cell r="Y46327" t="str">
            <v>GERMANY</v>
          </cell>
        </row>
        <row r="46328">
          <cell r="L46328" t="str">
            <v>Non-proportional</v>
          </cell>
          <cell r="S46328">
            <v>-1777.22</v>
          </cell>
          <cell r="X46328" t="str">
            <v>GWP - gross</v>
          </cell>
          <cell r="Y46328" t="str">
            <v>POLAND</v>
          </cell>
        </row>
        <row r="46329">
          <cell r="L46329" t="str">
            <v>Non-proportional</v>
          </cell>
          <cell r="S46329">
            <v>441.04</v>
          </cell>
          <cell r="X46329" t="str">
            <v>GWP - gross</v>
          </cell>
          <cell r="Y46329" t="str">
            <v>ICELAND</v>
          </cell>
        </row>
        <row r="46330">
          <cell r="L46330" t="str">
            <v>Non-proportional</v>
          </cell>
          <cell r="S46330">
            <v>14392.23</v>
          </cell>
          <cell r="X46330" t="str">
            <v>GWP - gross</v>
          </cell>
          <cell r="Y46330" t="str">
            <v>UNITED KINGDOM</v>
          </cell>
        </row>
        <row r="46331">
          <cell r="L46331" t="str">
            <v>Non-proportional</v>
          </cell>
          <cell r="S46331">
            <v>-2026.95</v>
          </cell>
          <cell r="X46331" t="str">
            <v>GWP - gross</v>
          </cell>
          <cell r="Y46331" t="str">
            <v>CZECH REPUBLIC</v>
          </cell>
        </row>
        <row r="46332">
          <cell r="L46332" t="str">
            <v>Non-proportional</v>
          </cell>
          <cell r="S46332">
            <v>-57.16</v>
          </cell>
          <cell r="X46332" t="str">
            <v>GWP - gross</v>
          </cell>
          <cell r="Y46332" t="str">
            <v>ITALY</v>
          </cell>
        </row>
        <row r="46333">
          <cell r="L46333" t="str">
            <v>Non-proportional</v>
          </cell>
          <cell r="S46333">
            <v>-21069.31</v>
          </cell>
          <cell r="X46333" t="str">
            <v>GWP - gross</v>
          </cell>
          <cell r="Y46333" t="str">
            <v>ITALY</v>
          </cell>
        </row>
        <row r="46334">
          <cell r="L46334" t="str">
            <v>Non-proportional</v>
          </cell>
          <cell r="S46334">
            <v>-9845.48</v>
          </cell>
          <cell r="X46334" t="str">
            <v>GWP - gross</v>
          </cell>
          <cell r="Y46334" t="str">
            <v>GERMANY</v>
          </cell>
        </row>
        <row r="46335">
          <cell r="L46335" t="str">
            <v>Non-proportional</v>
          </cell>
          <cell r="S46335">
            <v>-908.89</v>
          </cell>
          <cell r="X46335" t="str">
            <v>GWP - gross</v>
          </cell>
          <cell r="Y46335" t="str">
            <v>TURKEY</v>
          </cell>
        </row>
        <row r="46336">
          <cell r="L46336" t="str">
            <v>Non-proportional</v>
          </cell>
          <cell r="S46336">
            <v>-25157.66</v>
          </cell>
          <cell r="X46336" t="str">
            <v>GWP - gross</v>
          </cell>
          <cell r="Y46336" t="str">
            <v>SLOVENIA</v>
          </cell>
        </row>
        <row r="46337">
          <cell r="L46337" t="str">
            <v>Non-proportional</v>
          </cell>
          <cell r="S46337">
            <v>-59.2</v>
          </cell>
          <cell r="X46337" t="str">
            <v>GWP - gross</v>
          </cell>
          <cell r="Y46337" t="str">
            <v>ITALY</v>
          </cell>
        </row>
        <row r="46338">
          <cell r="L46338" t="str">
            <v>Non-proportional</v>
          </cell>
          <cell r="S46338">
            <v>-441.04</v>
          </cell>
          <cell r="X46338" t="str">
            <v>GWP - gross</v>
          </cell>
          <cell r="Y46338" t="str">
            <v>ICELAND</v>
          </cell>
        </row>
        <row r="46339">
          <cell r="L46339" t="str">
            <v>Non-proportional</v>
          </cell>
          <cell r="S46339">
            <v>-189.95</v>
          </cell>
          <cell r="X46339" t="str">
            <v>GWP - gross</v>
          </cell>
          <cell r="Y46339" t="str">
            <v>TURKEY</v>
          </cell>
        </row>
        <row r="46340">
          <cell r="L46340" t="str">
            <v>Non-proportional</v>
          </cell>
          <cell r="S46340">
            <v>-19476.07</v>
          </cell>
          <cell r="X46340" t="str">
            <v>GWP - gross</v>
          </cell>
          <cell r="Y46340" t="str">
            <v>TURKEY</v>
          </cell>
        </row>
        <row r="46341">
          <cell r="L46341" t="str">
            <v>Non-proportional</v>
          </cell>
          <cell r="S46341">
            <v>-11337.24</v>
          </cell>
          <cell r="X46341" t="str">
            <v>GWP - gross</v>
          </cell>
          <cell r="Y46341" t="str">
            <v>UNITED KINGDOM</v>
          </cell>
        </row>
        <row r="46342">
          <cell r="L46342" t="str">
            <v>Non-proportional</v>
          </cell>
          <cell r="S46342">
            <v>386.42</v>
          </cell>
          <cell r="X46342" t="str">
            <v>GWP - gross</v>
          </cell>
          <cell r="Y46342" t="str">
            <v>UNITED KINGDOM</v>
          </cell>
        </row>
        <row r="46343">
          <cell r="L46343" t="str">
            <v>Non-proportional</v>
          </cell>
          <cell r="S46343">
            <v>1616.43</v>
          </cell>
          <cell r="X46343" t="str">
            <v>GWP - gross</v>
          </cell>
          <cell r="Y46343" t="str">
            <v>ICELAND</v>
          </cell>
        </row>
        <row r="46344">
          <cell r="L46344" t="str">
            <v>Non-proportional</v>
          </cell>
          <cell r="S46344">
            <v>-6192.74</v>
          </cell>
          <cell r="X46344" t="str">
            <v>GWP - gross</v>
          </cell>
          <cell r="Y46344" t="str">
            <v>THAILAND</v>
          </cell>
        </row>
        <row r="46345">
          <cell r="L46345" t="str">
            <v>Non-proportional</v>
          </cell>
          <cell r="S46345">
            <v>6838.89</v>
          </cell>
          <cell r="X46345" t="str">
            <v>GWP - gross</v>
          </cell>
          <cell r="Y46345" t="str">
            <v>JAPAN</v>
          </cell>
        </row>
        <row r="46346">
          <cell r="L46346" t="str">
            <v>Non-proportional</v>
          </cell>
          <cell r="S46346">
            <v>11337.25</v>
          </cell>
          <cell r="X46346" t="str">
            <v>GWP - gross</v>
          </cell>
          <cell r="Y46346" t="str">
            <v>UNITED KINGDOM</v>
          </cell>
        </row>
        <row r="46347">
          <cell r="L46347" t="str">
            <v>Non-proportional</v>
          </cell>
          <cell r="S46347">
            <v>-5080.24</v>
          </cell>
          <cell r="X46347" t="str">
            <v>GWP - gross</v>
          </cell>
          <cell r="Y46347" t="str">
            <v>GERMANY</v>
          </cell>
        </row>
        <row r="46348">
          <cell r="L46348" t="str">
            <v>Non-proportional</v>
          </cell>
          <cell r="S46348">
            <v>2</v>
          </cell>
          <cell r="X46348" t="str">
            <v>GWP - gross</v>
          </cell>
          <cell r="Y46348" t="str">
            <v>ITALY</v>
          </cell>
        </row>
        <row r="46349">
          <cell r="L46349" t="str">
            <v>Non-proportional</v>
          </cell>
          <cell r="S46349">
            <v>1777.22</v>
          </cell>
          <cell r="X46349" t="str">
            <v>GWP - gross</v>
          </cell>
          <cell r="Y46349" t="str">
            <v>POLAND</v>
          </cell>
        </row>
        <row r="46350">
          <cell r="L46350" t="str">
            <v>Non-proportional</v>
          </cell>
          <cell r="S46350">
            <v>189.95</v>
          </cell>
          <cell r="X46350" t="str">
            <v>GWP - gross</v>
          </cell>
          <cell r="Y46350" t="str">
            <v>TURKEY</v>
          </cell>
        </row>
        <row r="46351">
          <cell r="L46351" t="str">
            <v>Non-proportional</v>
          </cell>
          <cell r="S46351">
            <v>-4018.6</v>
          </cell>
          <cell r="X46351" t="str">
            <v>GWP - gross</v>
          </cell>
          <cell r="Y46351" t="str">
            <v>GERMANY</v>
          </cell>
        </row>
        <row r="46352">
          <cell r="L46352" t="str">
            <v>Non-proportional</v>
          </cell>
          <cell r="S46352">
            <v>441.04</v>
          </cell>
          <cell r="X46352" t="str">
            <v>GWP - gross</v>
          </cell>
          <cell r="Y46352" t="str">
            <v>ICELAND</v>
          </cell>
        </row>
        <row r="46353">
          <cell r="L46353" t="str">
            <v>Non-proportional</v>
          </cell>
          <cell r="S46353">
            <v>-391.1</v>
          </cell>
          <cell r="X46353" t="str">
            <v>GWP - gross</v>
          </cell>
          <cell r="Y46353" t="str">
            <v>GERMANY</v>
          </cell>
        </row>
        <row r="46354">
          <cell r="L46354" t="str">
            <v>Non-proportional</v>
          </cell>
          <cell r="S46354">
            <v>-4743.2299999999996</v>
          </cell>
          <cell r="X46354" t="str">
            <v>GWP - gross</v>
          </cell>
          <cell r="Y46354" t="str">
            <v>GERMANY</v>
          </cell>
        </row>
        <row r="46355">
          <cell r="L46355" t="str">
            <v>Non-proportional</v>
          </cell>
          <cell r="S46355">
            <v>5.54</v>
          </cell>
          <cell r="X46355" t="str">
            <v>GWP - gross</v>
          </cell>
          <cell r="Y46355" t="str">
            <v>UNITED KINGDOM</v>
          </cell>
        </row>
        <row r="46356">
          <cell r="L46356" t="str">
            <v>Non-proportional</v>
          </cell>
          <cell r="S46356">
            <v>-540.52</v>
          </cell>
          <cell r="X46356" t="str">
            <v>GWP - gross</v>
          </cell>
          <cell r="Y46356" t="str">
            <v>SLOVENIA</v>
          </cell>
        </row>
        <row r="46357">
          <cell r="L46357" t="str">
            <v>Non-proportional</v>
          </cell>
          <cell r="S46357">
            <v>1777.22</v>
          </cell>
          <cell r="X46357" t="str">
            <v>GWP - gross</v>
          </cell>
          <cell r="Y46357" t="str">
            <v>POLAND</v>
          </cell>
        </row>
        <row r="46358">
          <cell r="L46358" t="str">
            <v>Non-proportional</v>
          </cell>
          <cell r="S46358">
            <v>-82.46</v>
          </cell>
          <cell r="X46358" t="str">
            <v>GWP - gross</v>
          </cell>
          <cell r="Y46358" t="str">
            <v>ITALY</v>
          </cell>
        </row>
        <row r="46359">
          <cell r="L46359" t="str">
            <v>Non-proportional</v>
          </cell>
          <cell r="S46359">
            <v>-68173.509999999995</v>
          </cell>
          <cell r="X46359" t="str">
            <v>GWP - gross</v>
          </cell>
          <cell r="Y46359" t="str">
            <v>GERMANY</v>
          </cell>
        </row>
        <row r="46360">
          <cell r="L46360" t="str">
            <v>Non-proportional</v>
          </cell>
          <cell r="S46360">
            <v>-23806.01</v>
          </cell>
          <cell r="X46360" t="str">
            <v>GWP - gross</v>
          </cell>
          <cell r="Y46360" t="str">
            <v>EUROPE</v>
          </cell>
        </row>
        <row r="46361">
          <cell r="L46361" t="str">
            <v>Non-proportional</v>
          </cell>
          <cell r="S46361">
            <v>-21533.14</v>
          </cell>
          <cell r="X46361" t="str">
            <v>GWP - gross</v>
          </cell>
          <cell r="Y46361" t="str">
            <v>JAPAN</v>
          </cell>
        </row>
        <row r="46362">
          <cell r="L46362" t="str">
            <v>Non-proportional</v>
          </cell>
          <cell r="S46362">
            <v>-56084.38</v>
          </cell>
          <cell r="X46362" t="str">
            <v>GWP - gross</v>
          </cell>
          <cell r="Y46362" t="str">
            <v>Belgium</v>
          </cell>
        </row>
        <row r="46363">
          <cell r="L46363" t="str">
            <v>Non-proportional</v>
          </cell>
          <cell r="S46363">
            <v>-6289.42</v>
          </cell>
          <cell r="X46363" t="str">
            <v>GWP - gross</v>
          </cell>
          <cell r="Y46363" t="str">
            <v>SLOVENIA</v>
          </cell>
        </row>
        <row r="46364">
          <cell r="L46364" t="str">
            <v>Non-proportional</v>
          </cell>
          <cell r="S46364">
            <v>-5979.32</v>
          </cell>
          <cell r="X46364" t="str">
            <v>GWP - gross</v>
          </cell>
          <cell r="Y46364" t="str">
            <v>THAILAND</v>
          </cell>
        </row>
        <row r="46365">
          <cell r="L46365" t="str">
            <v>Non-proportional</v>
          </cell>
          <cell r="S46365">
            <v>5979.32</v>
          </cell>
          <cell r="X46365" t="str">
            <v>GWP - gross</v>
          </cell>
          <cell r="Y46365" t="str">
            <v>THAILAND</v>
          </cell>
        </row>
        <row r="46366">
          <cell r="L46366" t="str">
            <v>Non-proportional</v>
          </cell>
          <cell r="S46366">
            <v>1167.3599999999999</v>
          </cell>
          <cell r="X46366" t="str">
            <v>GWP - gross</v>
          </cell>
          <cell r="Y46366" t="str">
            <v>CZECH REPUBLIC</v>
          </cell>
        </row>
        <row r="46367">
          <cell r="L46367" t="str">
            <v>Non-proportional</v>
          </cell>
          <cell r="S46367">
            <v>-1235.0999999999999</v>
          </cell>
          <cell r="X46367" t="str">
            <v>GWP - gross</v>
          </cell>
          <cell r="Y46367" t="str">
            <v>TURKEY</v>
          </cell>
        </row>
        <row r="46368">
          <cell r="L46368" t="str">
            <v>Non-proportional</v>
          </cell>
          <cell r="S46368">
            <v>-12036.92</v>
          </cell>
          <cell r="X46368" t="str">
            <v>GWP - gross</v>
          </cell>
          <cell r="Y46368" t="str">
            <v>Belgium</v>
          </cell>
        </row>
        <row r="46369">
          <cell r="L46369" t="str">
            <v>Non-proportional</v>
          </cell>
          <cell r="S46369">
            <v>-2843.63</v>
          </cell>
          <cell r="X46369" t="str">
            <v>GWP - gross</v>
          </cell>
          <cell r="Y46369" t="str">
            <v>CZECH REPUBLIC</v>
          </cell>
        </row>
        <row r="46370">
          <cell r="L46370" t="str">
            <v>Non-proportional</v>
          </cell>
          <cell r="S46370">
            <v>-593.83000000000004</v>
          </cell>
          <cell r="X46370" t="str">
            <v>GWP - gross</v>
          </cell>
          <cell r="Y46370" t="str">
            <v>AUSTRIA</v>
          </cell>
        </row>
        <row r="46371">
          <cell r="L46371" t="str">
            <v>Non-proportional</v>
          </cell>
          <cell r="S46371">
            <v>1690.41</v>
          </cell>
          <cell r="X46371" t="str">
            <v>GWP - gross</v>
          </cell>
          <cell r="Y46371" t="str">
            <v>ICELAND</v>
          </cell>
        </row>
        <row r="46372">
          <cell r="L46372" t="str">
            <v>Non-proportional</v>
          </cell>
          <cell r="S46372">
            <v>-4834.05</v>
          </cell>
          <cell r="X46372" t="str">
            <v>GWP - gross</v>
          </cell>
          <cell r="Y46372" t="str">
            <v>CZECH REPUBLIC</v>
          </cell>
        </row>
        <row r="46373">
          <cell r="L46373" t="str">
            <v>Non-proportional</v>
          </cell>
          <cell r="S46373">
            <v>-6158</v>
          </cell>
          <cell r="X46373" t="str">
            <v>GWP - gross</v>
          </cell>
          <cell r="Y46373" t="str">
            <v>ICELAND</v>
          </cell>
        </row>
        <row r="46374">
          <cell r="L46374" t="str">
            <v>Non-proportional</v>
          </cell>
          <cell r="S46374">
            <v>-1049.8800000000001</v>
          </cell>
          <cell r="X46374" t="str">
            <v>GWP - gross</v>
          </cell>
          <cell r="Y46374" t="str">
            <v>ICELAND</v>
          </cell>
        </row>
        <row r="46375">
          <cell r="L46375" t="str">
            <v>Non-proportional</v>
          </cell>
          <cell r="S46375">
            <v>3584.16</v>
          </cell>
          <cell r="X46375" t="str">
            <v>GWP - gross</v>
          </cell>
          <cell r="Y46375" t="str">
            <v>CZECH REPUBLIC</v>
          </cell>
        </row>
        <row r="46376">
          <cell r="L46376" t="str">
            <v>Non-proportional</v>
          </cell>
          <cell r="S46376">
            <v>-2115.27</v>
          </cell>
          <cell r="X46376" t="str">
            <v>GWP - gross</v>
          </cell>
          <cell r="Y46376" t="str">
            <v>CZECH REPUBLIC</v>
          </cell>
        </row>
        <row r="46377">
          <cell r="L46377" t="str">
            <v>Non-proportional</v>
          </cell>
          <cell r="S46377">
            <v>1870.39</v>
          </cell>
          <cell r="X46377" t="str">
            <v>GWP - gross</v>
          </cell>
          <cell r="Y46377" t="str">
            <v>CZECH REPUBLIC</v>
          </cell>
        </row>
        <row r="46378">
          <cell r="L46378" t="str">
            <v>Non-proportional</v>
          </cell>
          <cell r="S46378">
            <v>12036.92</v>
          </cell>
          <cell r="X46378" t="str">
            <v>GWP - gross</v>
          </cell>
          <cell r="Y46378" t="str">
            <v>Belgium</v>
          </cell>
        </row>
        <row r="46379">
          <cell r="L46379" t="str">
            <v>Non-proportional</v>
          </cell>
          <cell r="S46379">
            <v>55082.31</v>
          </cell>
          <cell r="X46379" t="str">
            <v>GWP - gross</v>
          </cell>
          <cell r="Y46379" t="str">
            <v>Belgium</v>
          </cell>
        </row>
        <row r="46380">
          <cell r="L46380" t="str">
            <v>Non-proportional</v>
          </cell>
          <cell r="S46380">
            <v>2130.94</v>
          </cell>
          <cell r="X46380" t="str">
            <v>GWP - gross</v>
          </cell>
          <cell r="Y46380" t="str">
            <v>United kingdom</v>
          </cell>
        </row>
        <row r="46381">
          <cell r="L46381" t="str">
            <v>Non-proportional</v>
          </cell>
          <cell r="S46381">
            <v>-7428.9</v>
          </cell>
          <cell r="X46381" t="str">
            <v>GWP - gross</v>
          </cell>
          <cell r="Y46381" t="str">
            <v>AUSTRIA</v>
          </cell>
        </row>
        <row r="46382">
          <cell r="L46382" t="str">
            <v>Non-proportional</v>
          </cell>
          <cell r="S46382">
            <v>-3712.35</v>
          </cell>
          <cell r="X46382" t="str">
            <v>GWP - gross</v>
          </cell>
          <cell r="Y46382" t="str">
            <v>United kingdom</v>
          </cell>
        </row>
        <row r="46383">
          <cell r="L46383" t="str">
            <v>Non-proportional</v>
          </cell>
          <cell r="S46383">
            <v>-1133.0999999999999</v>
          </cell>
          <cell r="X46383" t="str">
            <v>GWP - gross</v>
          </cell>
          <cell r="Y46383" t="str">
            <v>CZECH REPUBLIC</v>
          </cell>
        </row>
        <row r="46384">
          <cell r="L46384" t="str">
            <v>Non-proportional</v>
          </cell>
          <cell r="S46384">
            <v>-899.1</v>
          </cell>
          <cell r="X46384" t="str">
            <v>GWP - gross</v>
          </cell>
          <cell r="Y46384" t="str">
            <v>AUSTRIA</v>
          </cell>
        </row>
        <row r="46385">
          <cell r="L46385" t="str">
            <v>Non-proportional</v>
          </cell>
          <cell r="S46385">
            <v>17275.53</v>
          </cell>
          <cell r="X46385" t="str">
            <v>GWP - gross</v>
          </cell>
          <cell r="Y46385" t="str">
            <v>UNITED KINGDOM</v>
          </cell>
        </row>
        <row r="46386">
          <cell r="L46386" t="str">
            <v>Non-proportional</v>
          </cell>
          <cell r="S46386">
            <v>1570.3</v>
          </cell>
          <cell r="X46386" t="str">
            <v>GWP - gross</v>
          </cell>
          <cell r="Y46386" t="str">
            <v>CZECH REPUBLIC</v>
          </cell>
        </row>
        <row r="46387">
          <cell r="L46387" t="str">
            <v>Non-proportional</v>
          </cell>
          <cell r="S46387">
            <v>129.33000000000001</v>
          </cell>
          <cell r="X46387" t="str">
            <v>GWP - gross</v>
          </cell>
          <cell r="Y46387" t="str">
            <v>UNITED KINGDOM</v>
          </cell>
        </row>
        <row r="46388">
          <cell r="L46388" t="str">
            <v>Non-proportional</v>
          </cell>
          <cell r="S46388">
            <v>-17006.919999999998</v>
          </cell>
          <cell r="X46388" t="str">
            <v>GWP - gross</v>
          </cell>
          <cell r="Y46388" t="str">
            <v>UNITED KINGDOM</v>
          </cell>
        </row>
        <row r="46389">
          <cell r="L46389" t="str">
            <v>Non-proportional</v>
          </cell>
          <cell r="S46389">
            <v>-4624.34</v>
          </cell>
          <cell r="X46389" t="str">
            <v>GWP - gross</v>
          </cell>
          <cell r="Y46389" t="str">
            <v>FAROE ISLANDS</v>
          </cell>
        </row>
        <row r="46390">
          <cell r="L46390" t="str">
            <v>Non-proportional</v>
          </cell>
          <cell r="S46390">
            <v>-299.57</v>
          </cell>
          <cell r="X46390" t="str">
            <v>GWP - gross</v>
          </cell>
          <cell r="Y46390" t="str">
            <v>ITALY</v>
          </cell>
        </row>
        <row r="46391">
          <cell r="L46391" t="str">
            <v>Non-proportional</v>
          </cell>
          <cell r="S46391">
            <v>16452.18</v>
          </cell>
          <cell r="X46391" t="str">
            <v>GWP - gross</v>
          </cell>
          <cell r="Y46391" t="str">
            <v>SWEDEN</v>
          </cell>
        </row>
        <row r="46392">
          <cell r="L46392" t="str">
            <v>Non-proportional</v>
          </cell>
          <cell r="S46392">
            <v>7798.28</v>
          </cell>
          <cell r="X46392" t="str">
            <v>GWP - gross</v>
          </cell>
          <cell r="Y46392" t="str">
            <v>ITALY</v>
          </cell>
        </row>
        <row r="46393">
          <cell r="L46393" t="str">
            <v>Non-proportional</v>
          </cell>
          <cell r="S46393">
            <v>-2606.16</v>
          </cell>
          <cell r="X46393" t="str">
            <v>GWP - gross</v>
          </cell>
          <cell r="Y46393" t="str">
            <v>FAROE ISLANDS</v>
          </cell>
        </row>
        <row r="46394">
          <cell r="L46394" t="str">
            <v>Non-proportional</v>
          </cell>
          <cell r="S46394">
            <v>3499.27</v>
          </cell>
          <cell r="X46394" t="str">
            <v>GWP - gross</v>
          </cell>
          <cell r="Y46394" t="str">
            <v>EUROPE</v>
          </cell>
        </row>
        <row r="46395">
          <cell r="L46395" t="str">
            <v>Non-proportional</v>
          </cell>
          <cell r="S46395">
            <v>-171.82</v>
          </cell>
          <cell r="X46395" t="str">
            <v>GWP - gross</v>
          </cell>
          <cell r="Y46395" t="str">
            <v>FRANCE</v>
          </cell>
        </row>
        <row r="46396">
          <cell r="L46396" t="str">
            <v>Non-proportional</v>
          </cell>
          <cell r="S46396">
            <v>37620.39</v>
          </cell>
          <cell r="X46396" t="str">
            <v>GWP - gross</v>
          </cell>
          <cell r="Y46396" t="str">
            <v>UNITED KINGDOM</v>
          </cell>
        </row>
        <row r="46397">
          <cell r="L46397" t="str">
            <v>Non-proportional</v>
          </cell>
          <cell r="S46397">
            <v>-4588.2</v>
          </cell>
          <cell r="X46397" t="str">
            <v>GWP - gross</v>
          </cell>
          <cell r="Y46397" t="str">
            <v>SWEDEN</v>
          </cell>
        </row>
        <row r="46398">
          <cell r="L46398" t="str">
            <v>Non-proportional</v>
          </cell>
          <cell r="S46398">
            <v>-455.99</v>
          </cell>
          <cell r="X46398" t="str">
            <v>GWP - gross</v>
          </cell>
          <cell r="Y46398" t="str">
            <v>EUROPE</v>
          </cell>
        </row>
        <row r="46399">
          <cell r="L46399" t="str">
            <v>Non-proportional</v>
          </cell>
          <cell r="S46399">
            <v>-7798.28</v>
          </cell>
          <cell r="X46399" t="str">
            <v>GWP - gross</v>
          </cell>
          <cell r="Y46399" t="str">
            <v>ITALY</v>
          </cell>
        </row>
        <row r="46400">
          <cell r="L46400" t="str">
            <v>Non-proportional</v>
          </cell>
          <cell r="S46400">
            <v>-5275.45</v>
          </cell>
          <cell r="X46400" t="str">
            <v>GWP - gross</v>
          </cell>
          <cell r="Y46400" t="str">
            <v>SWEDEN</v>
          </cell>
        </row>
        <row r="46401">
          <cell r="L46401" t="str">
            <v>Non-proportional</v>
          </cell>
          <cell r="S46401">
            <v>-2688.61</v>
          </cell>
          <cell r="X46401" t="str">
            <v>GWP - gross</v>
          </cell>
          <cell r="Y46401" t="str">
            <v>ITALY</v>
          </cell>
        </row>
        <row r="46402">
          <cell r="L46402" t="str">
            <v>Non-proportional</v>
          </cell>
          <cell r="S46402">
            <v>-4490.0600000000004</v>
          </cell>
          <cell r="X46402" t="str">
            <v>GWP - gross</v>
          </cell>
          <cell r="Y46402" t="str">
            <v>EUROPE</v>
          </cell>
        </row>
        <row r="46403">
          <cell r="L46403" t="str">
            <v>Non-proportional</v>
          </cell>
          <cell r="S46403">
            <v>-252.3</v>
          </cell>
          <cell r="X46403" t="str">
            <v>GWP - gross</v>
          </cell>
          <cell r="Y46403" t="str">
            <v>FAROE ISLANDS</v>
          </cell>
        </row>
        <row r="46404">
          <cell r="L46404" t="str">
            <v>Non-proportional</v>
          </cell>
          <cell r="S46404">
            <v>-1973</v>
          </cell>
          <cell r="X46404" t="str">
            <v>GWP - gross</v>
          </cell>
          <cell r="Y46404" t="str">
            <v>United kingdom</v>
          </cell>
        </row>
        <row r="46405">
          <cell r="L46405" t="str">
            <v>Non-proportional</v>
          </cell>
          <cell r="S46405">
            <v>-17914.599999999999</v>
          </cell>
          <cell r="X46405" t="str">
            <v>GWP - gross</v>
          </cell>
          <cell r="Y46405" t="str">
            <v>FRANCE</v>
          </cell>
        </row>
        <row r="46406">
          <cell r="L46406" t="str">
            <v>Non-proportional</v>
          </cell>
          <cell r="S46406">
            <v>2372.7800000000002</v>
          </cell>
          <cell r="X46406" t="str">
            <v>GWP - gross</v>
          </cell>
          <cell r="Y46406" t="str">
            <v>SWEDEN</v>
          </cell>
        </row>
        <row r="46407">
          <cell r="L46407" t="str">
            <v>Non-proportional</v>
          </cell>
          <cell r="S46407">
            <v>-6259.29</v>
          </cell>
          <cell r="X46407" t="str">
            <v>GWP - gross</v>
          </cell>
          <cell r="Y46407" t="str">
            <v>United kingdom</v>
          </cell>
        </row>
        <row r="46408">
          <cell r="L46408" t="str">
            <v>Non-proportional</v>
          </cell>
          <cell r="S46408">
            <v>262457.89</v>
          </cell>
          <cell r="X46408" t="str">
            <v>GWP - gross</v>
          </cell>
          <cell r="Y46408" t="str">
            <v>United kingdom</v>
          </cell>
        </row>
        <row r="46409">
          <cell r="L46409" t="str">
            <v>Non-proportional</v>
          </cell>
          <cell r="S46409">
            <v>-280233.02</v>
          </cell>
          <cell r="X46409" t="str">
            <v>GWP - gross</v>
          </cell>
          <cell r="Y46409" t="str">
            <v>United kingdom</v>
          </cell>
        </row>
        <row r="46410">
          <cell r="L46410" t="str">
            <v>Non-proportional</v>
          </cell>
          <cell r="S46410">
            <v>-288.64</v>
          </cell>
          <cell r="X46410" t="str">
            <v>GWP - gross</v>
          </cell>
          <cell r="Y46410" t="str">
            <v>ITALY</v>
          </cell>
        </row>
        <row r="46411">
          <cell r="L46411" t="str">
            <v>Non-proportional</v>
          </cell>
          <cell r="S46411">
            <v>9240.15</v>
          </cell>
          <cell r="X46411" t="str">
            <v>GWP - gross</v>
          </cell>
          <cell r="Y46411" t="str">
            <v>ICELAND</v>
          </cell>
        </row>
        <row r="46412">
          <cell r="L46412" t="str">
            <v>Non-proportional</v>
          </cell>
          <cell r="S46412">
            <v>-7722.89</v>
          </cell>
          <cell r="X46412" t="str">
            <v>GWP - gross</v>
          </cell>
          <cell r="Y46412" t="str">
            <v>EUROPE</v>
          </cell>
        </row>
        <row r="46413">
          <cell r="L46413" t="str">
            <v>Non-proportional</v>
          </cell>
          <cell r="S46413">
            <v>-344.98</v>
          </cell>
          <cell r="X46413" t="str">
            <v>GWP - gross</v>
          </cell>
          <cell r="Y46413" t="str">
            <v>ITALY</v>
          </cell>
        </row>
        <row r="46414">
          <cell r="L46414" t="str">
            <v>Non-proportional</v>
          </cell>
          <cell r="S46414">
            <v>17914.599999999999</v>
          </cell>
          <cell r="X46414" t="str">
            <v>GWP - gross</v>
          </cell>
          <cell r="Y46414" t="str">
            <v>FRANCE</v>
          </cell>
        </row>
        <row r="46415">
          <cell r="L46415" t="str">
            <v>Non-proportional</v>
          </cell>
          <cell r="S46415">
            <v>158243.73000000001</v>
          </cell>
          <cell r="X46415" t="str">
            <v>GWP - gross</v>
          </cell>
          <cell r="Y46415" t="str">
            <v>United kingdom</v>
          </cell>
        </row>
        <row r="46416">
          <cell r="L46416" t="str">
            <v>Non-proportional</v>
          </cell>
          <cell r="S46416">
            <v>-22797.31</v>
          </cell>
          <cell r="X46416" t="str">
            <v>GWP - gross</v>
          </cell>
          <cell r="Y46416" t="str">
            <v>FAROE ISLANDS</v>
          </cell>
        </row>
        <row r="46417">
          <cell r="L46417" t="str">
            <v>Non-proportional</v>
          </cell>
          <cell r="S46417">
            <v>-1331.92</v>
          </cell>
          <cell r="X46417" t="str">
            <v>GWP - gross</v>
          </cell>
          <cell r="Y46417" t="str">
            <v>FAROE ISLANDS</v>
          </cell>
        </row>
        <row r="46418">
          <cell r="L46418" t="str">
            <v>Non-proportional</v>
          </cell>
          <cell r="S46418">
            <v>-10054.85</v>
          </cell>
          <cell r="X46418" t="str">
            <v>GWP - gross</v>
          </cell>
          <cell r="Y46418" t="str">
            <v>SWEDEN</v>
          </cell>
        </row>
        <row r="46419">
          <cell r="L46419" t="str">
            <v>Non-proportional</v>
          </cell>
          <cell r="S46419">
            <v>-2114.7199999999998</v>
          </cell>
          <cell r="X46419" t="str">
            <v>GWP - gross</v>
          </cell>
          <cell r="Y46419" t="str">
            <v>United kingdom</v>
          </cell>
        </row>
        <row r="46420">
          <cell r="L46420" t="str">
            <v>Non-proportional</v>
          </cell>
          <cell r="S46420">
            <v>-31012.01</v>
          </cell>
          <cell r="X46420" t="str">
            <v>GWP - gross</v>
          </cell>
          <cell r="Y46420" t="str">
            <v>ITALY</v>
          </cell>
        </row>
        <row r="46421">
          <cell r="L46421" t="str">
            <v>Non-proportional</v>
          </cell>
          <cell r="S46421">
            <v>21992.32</v>
          </cell>
          <cell r="X46421" t="str">
            <v>GWP - gross</v>
          </cell>
          <cell r="Y46421" t="str">
            <v>FRANCE</v>
          </cell>
        </row>
        <row r="46422">
          <cell r="L46422" t="str">
            <v>Non-proportional</v>
          </cell>
          <cell r="S46422">
            <v>5275.45</v>
          </cell>
          <cell r="X46422" t="str">
            <v>GWP - gross</v>
          </cell>
          <cell r="Y46422" t="str">
            <v>SWEDEN</v>
          </cell>
        </row>
        <row r="46423">
          <cell r="L46423" t="str">
            <v>Non-proportional</v>
          </cell>
          <cell r="S46423">
            <v>-4974.29</v>
          </cell>
          <cell r="X46423" t="str">
            <v>GWP - gross</v>
          </cell>
          <cell r="Y46423" t="str">
            <v>SWEDEN</v>
          </cell>
        </row>
        <row r="46424">
          <cell r="L46424" t="str">
            <v>Non-proportional</v>
          </cell>
          <cell r="S46424">
            <v>776</v>
          </cell>
          <cell r="X46424" t="str">
            <v>GWP - gross</v>
          </cell>
          <cell r="Y46424" t="str">
            <v>SWEDEN</v>
          </cell>
        </row>
        <row r="46425">
          <cell r="L46425" t="str">
            <v>Non-proportional</v>
          </cell>
          <cell r="S46425">
            <v>32228.93</v>
          </cell>
          <cell r="X46425" t="str">
            <v>GWP - gross</v>
          </cell>
          <cell r="Y46425" t="str">
            <v>FAROE ISLANDS</v>
          </cell>
        </row>
        <row r="46426">
          <cell r="L46426" t="str">
            <v>Non-proportional</v>
          </cell>
          <cell r="S46426">
            <v>-32232.58</v>
          </cell>
          <cell r="X46426" t="str">
            <v>GWP - gross</v>
          </cell>
          <cell r="Y46426" t="str">
            <v>UNITED KINGDOM</v>
          </cell>
        </row>
        <row r="46427">
          <cell r="L46427" t="str">
            <v>Non-proportional</v>
          </cell>
          <cell r="S46427">
            <v>2688.61</v>
          </cell>
          <cell r="X46427" t="str">
            <v>GWP - gross</v>
          </cell>
          <cell r="Y46427" t="str">
            <v>ITALY</v>
          </cell>
        </row>
        <row r="46428">
          <cell r="L46428" t="str">
            <v>Non-proportional</v>
          </cell>
          <cell r="S46428">
            <v>16609.72</v>
          </cell>
          <cell r="X46428" t="str">
            <v>GWP - gross</v>
          </cell>
          <cell r="Y46428" t="str">
            <v>United kingdom</v>
          </cell>
        </row>
        <row r="46429">
          <cell r="L46429" t="str">
            <v>Non-proportional</v>
          </cell>
          <cell r="S46429">
            <v>-51146.43</v>
          </cell>
          <cell r="X46429" t="str">
            <v>GWP - gross</v>
          </cell>
          <cell r="Y46429" t="str">
            <v>United kingdom</v>
          </cell>
        </row>
        <row r="46430">
          <cell r="L46430" t="str">
            <v>Non-proportional</v>
          </cell>
          <cell r="S46430">
            <v>391.1</v>
          </cell>
          <cell r="X46430" t="str">
            <v>GWP - gross</v>
          </cell>
          <cell r="Y46430" t="str">
            <v>GERMANY</v>
          </cell>
        </row>
        <row r="46431">
          <cell r="L46431" t="str">
            <v>Non-proportional</v>
          </cell>
          <cell r="S46431">
            <v>-3540.88</v>
          </cell>
          <cell r="X46431" t="str">
            <v>GWP - gross</v>
          </cell>
          <cell r="Y46431" t="str">
            <v>CZECH REPUBLIC</v>
          </cell>
        </row>
        <row r="46432">
          <cell r="L46432" t="str">
            <v>Non-proportional</v>
          </cell>
          <cell r="S46432">
            <v>-140222.14000000001</v>
          </cell>
          <cell r="X46432" t="str">
            <v>GWP - gross</v>
          </cell>
          <cell r="Y46432" t="str">
            <v>EUROPE</v>
          </cell>
        </row>
        <row r="46433">
          <cell r="L46433" t="str">
            <v>Non-proportional</v>
          </cell>
          <cell r="S46433">
            <v>6289.42</v>
          </cell>
          <cell r="X46433" t="str">
            <v>GWP - gross</v>
          </cell>
          <cell r="Y46433" t="str">
            <v>SLOVENIA</v>
          </cell>
        </row>
        <row r="46434">
          <cell r="L46434" t="str">
            <v>Non-proportional</v>
          </cell>
          <cell r="S46434">
            <v>-574.01</v>
          </cell>
          <cell r="X46434" t="str">
            <v>GWP - gross</v>
          </cell>
          <cell r="Y46434" t="str">
            <v>TURKEY</v>
          </cell>
        </row>
        <row r="46435">
          <cell r="L46435" t="str">
            <v>Non-proportional</v>
          </cell>
          <cell r="S46435">
            <v>-1310.1400000000001</v>
          </cell>
          <cell r="X46435" t="str">
            <v>GWP - gross</v>
          </cell>
          <cell r="Y46435" t="str">
            <v>GERMANY</v>
          </cell>
        </row>
        <row r="46436">
          <cell r="L46436" t="str">
            <v>Non-proportional</v>
          </cell>
          <cell r="S46436">
            <v>-1800.78</v>
          </cell>
          <cell r="X46436" t="str">
            <v>GWP - gross</v>
          </cell>
          <cell r="Y46436" t="str">
            <v>Belgium</v>
          </cell>
        </row>
        <row r="46437">
          <cell r="L46437" t="str">
            <v>Non-proportional</v>
          </cell>
          <cell r="S46437">
            <v>126316.44</v>
          </cell>
          <cell r="X46437" t="str">
            <v>GWP - gross</v>
          </cell>
          <cell r="Y46437" t="str">
            <v>Belgium</v>
          </cell>
        </row>
        <row r="46438">
          <cell r="L46438" t="str">
            <v>Non-proportional</v>
          </cell>
          <cell r="S46438">
            <v>-1048.46</v>
          </cell>
          <cell r="X46438" t="str">
            <v>GWP - gross</v>
          </cell>
          <cell r="Y46438" t="str">
            <v>TURKEY</v>
          </cell>
        </row>
        <row r="46439">
          <cell r="L46439" t="str">
            <v>Non-proportional</v>
          </cell>
          <cell r="S46439">
            <v>-10627.11</v>
          </cell>
          <cell r="X46439" t="str">
            <v>GWP - gross</v>
          </cell>
          <cell r="Y46439" t="str">
            <v>SLOVENIA</v>
          </cell>
        </row>
        <row r="46440">
          <cell r="L46440" t="str">
            <v>Non-proportional</v>
          </cell>
          <cell r="S46440">
            <v>-38396.720000000001</v>
          </cell>
          <cell r="X46440" t="str">
            <v>GWP - gross</v>
          </cell>
          <cell r="Y46440" t="str">
            <v>THAILAND</v>
          </cell>
        </row>
        <row r="46441">
          <cell r="L46441" t="str">
            <v>Non-proportional</v>
          </cell>
          <cell r="S46441">
            <v>-3273.38</v>
          </cell>
          <cell r="X46441" t="str">
            <v>GWP - gross</v>
          </cell>
          <cell r="Y46441" t="str">
            <v>Italy</v>
          </cell>
        </row>
        <row r="46442">
          <cell r="L46442" t="str">
            <v>Non-proportional</v>
          </cell>
          <cell r="S46442">
            <v>-34778.76</v>
          </cell>
          <cell r="X46442" t="str">
            <v>GWP - gross</v>
          </cell>
          <cell r="Y46442" t="str">
            <v>EUROPE</v>
          </cell>
        </row>
        <row r="46443">
          <cell r="L46443" t="str">
            <v>Non-proportional</v>
          </cell>
          <cell r="S46443">
            <v>-736.95</v>
          </cell>
          <cell r="X46443" t="str">
            <v>GWP - gross</v>
          </cell>
          <cell r="Y46443" t="str">
            <v>Italy</v>
          </cell>
        </row>
        <row r="46444">
          <cell r="L46444" t="str">
            <v>Non-proportional</v>
          </cell>
          <cell r="S46444">
            <v>-45172</v>
          </cell>
          <cell r="X46444" t="str">
            <v>GWP - gross</v>
          </cell>
          <cell r="Y46444" t="str">
            <v>THAILAND</v>
          </cell>
        </row>
        <row r="46445">
          <cell r="L46445" t="str">
            <v>Non-proportional</v>
          </cell>
          <cell r="S46445">
            <v>45172</v>
          </cell>
          <cell r="X46445" t="str">
            <v>GWP - gross</v>
          </cell>
          <cell r="Y46445" t="str">
            <v>THAILAND</v>
          </cell>
        </row>
        <row r="46446">
          <cell r="L46446" t="str">
            <v>Non-proportional</v>
          </cell>
          <cell r="S46446">
            <v>3399.52</v>
          </cell>
          <cell r="X46446" t="str">
            <v>GWP - gross</v>
          </cell>
          <cell r="Y46446" t="str">
            <v>TURKEY</v>
          </cell>
        </row>
        <row r="46447">
          <cell r="L46447" t="str">
            <v>Non-proportional</v>
          </cell>
          <cell r="S46447">
            <v>-6289.42</v>
          </cell>
          <cell r="X46447" t="str">
            <v>GWP - gross</v>
          </cell>
          <cell r="Y46447" t="str">
            <v>SLOVENIA</v>
          </cell>
        </row>
        <row r="46448">
          <cell r="L46448" t="str">
            <v>Non-proportional</v>
          </cell>
          <cell r="S46448">
            <v>2075.19</v>
          </cell>
          <cell r="X46448" t="str">
            <v>GWP - gross</v>
          </cell>
          <cell r="Y46448" t="str">
            <v>INDIA</v>
          </cell>
        </row>
        <row r="46449">
          <cell r="L46449" t="str">
            <v>Non-proportional</v>
          </cell>
          <cell r="S46449">
            <v>-1408.21</v>
          </cell>
          <cell r="X46449" t="str">
            <v>GWP - gross</v>
          </cell>
          <cell r="Y46449" t="str">
            <v>INDIA</v>
          </cell>
        </row>
        <row r="46450">
          <cell r="L46450" t="str">
            <v>Non-proportional</v>
          </cell>
          <cell r="S46450">
            <v>-7730.75</v>
          </cell>
          <cell r="X46450" t="str">
            <v>GWP - gross</v>
          </cell>
          <cell r="Y46450" t="str">
            <v>THAILAND</v>
          </cell>
        </row>
        <row r="46451">
          <cell r="L46451" t="str">
            <v>Non-proportional</v>
          </cell>
          <cell r="S46451">
            <v>-35628.76</v>
          </cell>
          <cell r="X46451" t="str">
            <v>GWP - gross</v>
          </cell>
          <cell r="Y46451" t="str">
            <v>THAILAND</v>
          </cell>
        </row>
        <row r="46452">
          <cell r="L46452" t="str">
            <v>Non-proportional</v>
          </cell>
          <cell r="S46452">
            <v>-4998.37</v>
          </cell>
          <cell r="X46452" t="str">
            <v>GWP - gross</v>
          </cell>
          <cell r="Y46452" t="str">
            <v>ITALY</v>
          </cell>
        </row>
        <row r="46453">
          <cell r="L46453" t="str">
            <v>Non-proportional</v>
          </cell>
          <cell r="S46453">
            <v>-1280.48</v>
          </cell>
          <cell r="X46453" t="str">
            <v>GWP - gross</v>
          </cell>
          <cell r="Y46453" t="str">
            <v>Belgium</v>
          </cell>
        </row>
        <row r="46454">
          <cell r="L46454" t="str">
            <v>Non-proportional</v>
          </cell>
          <cell r="S46454">
            <v>2688.61</v>
          </cell>
          <cell r="X46454" t="str">
            <v>GWP - gross</v>
          </cell>
          <cell r="Y46454" t="str">
            <v>ITALY</v>
          </cell>
        </row>
        <row r="46455">
          <cell r="L46455" t="str">
            <v>Non-proportional</v>
          </cell>
          <cell r="S46455">
            <v>-74.56</v>
          </cell>
          <cell r="X46455" t="str">
            <v>GWP - gross</v>
          </cell>
          <cell r="Y46455" t="str">
            <v>SLOVENIA</v>
          </cell>
        </row>
        <row r="46456">
          <cell r="L46456" t="str">
            <v>Non-proportional</v>
          </cell>
          <cell r="S46456">
            <v>-3893.27</v>
          </cell>
          <cell r="X46456" t="str">
            <v>GWP - gross</v>
          </cell>
          <cell r="Y46456" t="str">
            <v>Belgium</v>
          </cell>
        </row>
        <row r="46457">
          <cell r="L46457" t="str">
            <v>Non-proportional</v>
          </cell>
          <cell r="S46457">
            <v>7208.44</v>
          </cell>
          <cell r="X46457" t="str">
            <v>GWP - gross</v>
          </cell>
          <cell r="Y46457" t="str">
            <v>TURKEY</v>
          </cell>
        </row>
        <row r="46458">
          <cell r="L46458" t="str">
            <v>Non-proportional</v>
          </cell>
          <cell r="S46458">
            <v>1408.21</v>
          </cell>
          <cell r="X46458" t="str">
            <v>GWP - gross</v>
          </cell>
          <cell r="Y46458" t="str">
            <v>INDIA</v>
          </cell>
        </row>
        <row r="46459">
          <cell r="L46459" t="str">
            <v>Non-proportional</v>
          </cell>
          <cell r="S46459">
            <v>1800.78</v>
          </cell>
          <cell r="X46459" t="str">
            <v>GWP - gross</v>
          </cell>
          <cell r="Y46459" t="str">
            <v>Belgium</v>
          </cell>
        </row>
        <row r="46460">
          <cell r="L46460" t="str">
            <v>Non-proportional</v>
          </cell>
          <cell r="S46460">
            <v>-10424.52</v>
          </cell>
          <cell r="X46460" t="str">
            <v>GWP - gross</v>
          </cell>
          <cell r="Y46460" t="str">
            <v>POLAND</v>
          </cell>
        </row>
        <row r="46461">
          <cell r="L46461" t="str">
            <v>Non-proportional</v>
          </cell>
          <cell r="S46461">
            <v>-171562</v>
          </cell>
          <cell r="X46461" t="str">
            <v>GWP - gross</v>
          </cell>
          <cell r="Y46461" t="str">
            <v>EUROPE</v>
          </cell>
        </row>
        <row r="46462">
          <cell r="L46462" t="str">
            <v>Non-proportional</v>
          </cell>
          <cell r="S46462">
            <v>-27518.01</v>
          </cell>
          <cell r="X46462" t="str">
            <v>GWP - gross</v>
          </cell>
          <cell r="Y46462" t="str">
            <v>EUROPE</v>
          </cell>
        </row>
        <row r="46463">
          <cell r="L46463" t="str">
            <v>Non-proportional</v>
          </cell>
          <cell r="S46463">
            <v>-1394.57</v>
          </cell>
          <cell r="X46463" t="str">
            <v>GWP - gross</v>
          </cell>
          <cell r="Y46463" t="str">
            <v>INDIA</v>
          </cell>
        </row>
        <row r="46464">
          <cell r="L46464" t="str">
            <v>Non-proportional</v>
          </cell>
          <cell r="S46464">
            <v>-19063.05</v>
          </cell>
          <cell r="X46464" t="str">
            <v>GWP - gross</v>
          </cell>
          <cell r="Y46464" t="str">
            <v>EUROPE</v>
          </cell>
        </row>
        <row r="46465">
          <cell r="L46465" t="str">
            <v>Non-proportional</v>
          </cell>
          <cell r="S46465">
            <v>-9519.6</v>
          </cell>
          <cell r="X46465" t="str">
            <v>GWP - gross</v>
          </cell>
          <cell r="Y46465" t="str">
            <v>UNITED KINGDOM</v>
          </cell>
        </row>
        <row r="46466">
          <cell r="L46466" t="str">
            <v>Non-proportional</v>
          </cell>
          <cell r="S46466">
            <v>10627.11</v>
          </cell>
          <cell r="X46466" t="str">
            <v>GWP - gross</v>
          </cell>
          <cell r="Y46466" t="str">
            <v>SLOVENIA</v>
          </cell>
        </row>
        <row r="46467">
          <cell r="L46467" t="str">
            <v>Non-proportional</v>
          </cell>
          <cell r="S46467">
            <v>-126830.47</v>
          </cell>
          <cell r="X46467" t="str">
            <v>GWP - gross</v>
          </cell>
          <cell r="Y46467" t="str">
            <v>Belgium</v>
          </cell>
        </row>
        <row r="46468">
          <cell r="L46468" t="str">
            <v>Non-proportional</v>
          </cell>
          <cell r="S46468">
            <v>-10595.58</v>
          </cell>
          <cell r="X46468" t="str">
            <v>GWP - gross</v>
          </cell>
          <cell r="Y46468" t="str">
            <v>SLOVENIA</v>
          </cell>
        </row>
        <row r="46469">
          <cell r="L46469" t="str">
            <v>Non-proportional</v>
          </cell>
          <cell r="S46469">
            <v>-6775.28</v>
          </cell>
          <cell r="X46469" t="str">
            <v>GWP - gross</v>
          </cell>
          <cell r="Y46469" t="str">
            <v>THAILAND</v>
          </cell>
        </row>
        <row r="46470">
          <cell r="L46470" t="str">
            <v>Non-proportional</v>
          </cell>
          <cell r="S46470">
            <v>-7798.28</v>
          </cell>
          <cell r="X46470" t="str">
            <v>GWP - gross</v>
          </cell>
          <cell r="Y46470" t="str">
            <v>ITALY</v>
          </cell>
        </row>
        <row r="46471">
          <cell r="L46471" t="str">
            <v>Non-proportional</v>
          </cell>
          <cell r="S46471">
            <v>-43804.71</v>
          </cell>
          <cell r="X46471" t="str">
            <v>GWP - gross</v>
          </cell>
          <cell r="Y46471" t="str">
            <v>THAILAND</v>
          </cell>
        </row>
        <row r="46472">
          <cell r="L46472" t="str">
            <v>Non-proportional</v>
          </cell>
          <cell r="S46472">
            <v>-4464.8999999999996</v>
          </cell>
          <cell r="X46472" t="str">
            <v>GWP - gross</v>
          </cell>
          <cell r="Y46472" t="str">
            <v>ITALY</v>
          </cell>
        </row>
        <row r="46473">
          <cell r="L46473" t="str">
            <v>Non-proportional</v>
          </cell>
          <cell r="S46473">
            <v>-301.60000000000002</v>
          </cell>
          <cell r="X46473" t="str">
            <v>GWP - gross</v>
          </cell>
          <cell r="Y46473" t="str">
            <v>UNITED KINGDOM</v>
          </cell>
        </row>
        <row r="46474">
          <cell r="L46474" t="str">
            <v>Non-proportional</v>
          </cell>
          <cell r="S46474">
            <v>-2397.79</v>
          </cell>
          <cell r="X46474" t="str">
            <v>GWP - gross</v>
          </cell>
          <cell r="Y46474" t="str">
            <v>TURKEY</v>
          </cell>
        </row>
        <row r="46475">
          <cell r="L46475" t="str">
            <v>Non-proportional</v>
          </cell>
          <cell r="S46475">
            <v>-1875.42</v>
          </cell>
          <cell r="X46475" t="str">
            <v>GWP - gross</v>
          </cell>
          <cell r="Y46475" t="str">
            <v>SLOVENIA</v>
          </cell>
        </row>
        <row r="46476">
          <cell r="L46476" t="str">
            <v>Non-proportional</v>
          </cell>
          <cell r="S46476">
            <v>2794.51</v>
          </cell>
          <cell r="X46476" t="str">
            <v>GWP - gross</v>
          </cell>
          <cell r="Y46476" t="str">
            <v>INDIA</v>
          </cell>
        </row>
        <row r="46477">
          <cell r="L46477" t="str">
            <v>Non-proportional</v>
          </cell>
          <cell r="S46477">
            <v>78.05</v>
          </cell>
          <cell r="X46477" t="str">
            <v>GWP - gross</v>
          </cell>
          <cell r="Y46477" t="str">
            <v>CZECH REPUBLIC</v>
          </cell>
        </row>
        <row r="46478">
          <cell r="L46478" t="str">
            <v>Non-proportional</v>
          </cell>
          <cell r="S46478">
            <v>4374.8599999999997</v>
          </cell>
          <cell r="X46478" t="str">
            <v>GWP - gross</v>
          </cell>
          <cell r="Y46478" t="str">
            <v>TURKEY</v>
          </cell>
        </row>
        <row r="46479">
          <cell r="L46479" t="str">
            <v>Non-proportional</v>
          </cell>
          <cell r="S46479">
            <v>-2397.79</v>
          </cell>
          <cell r="X46479" t="str">
            <v>GWP - gross</v>
          </cell>
          <cell r="Y46479" t="str">
            <v>TURKEY</v>
          </cell>
        </row>
        <row r="46480">
          <cell r="L46480" t="str">
            <v>Non-proportional</v>
          </cell>
          <cell r="S46480">
            <v>-34369.58</v>
          </cell>
          <cell r="X46480" t="str">
            <v>GWP - gross</v>
          </cell>
          <cell r="Y46480" t="str">
            <v>UNITED KINGDOM</v>
          </cell>
        </row>
        <row r="46481">
          <cell r="L46481" t="str">
            <v>Non-proportional</v>
          </cell>
          <cell r="S46481">
            <v>-4665.6000000000004</v>
          </cell>
          <cell r="X46481" t="str">
            <v>GWP - gross</v>
          </cell>
          <cell r="Y46481" t="str">
            <v>United kingdom</v>
          </cell>
        </row>
        <row r="46482">
          <cell r="L46482" t="str">
            <v>Non-proportional</v>
          </cell>
          <cell r="S46482">
            <v>-22002.55</v>
          </cell>
          <cell r="X46482" t="str">
            <v>GWP - gross</v>
          </cell>
          <cell r="Y46482" t="str">
            <v>SLOVENIA</v>
          </cell>
        </row>
        <row r="46483">
          <cell r="L46483" t="str">
            <v>Non-proportional</v>
          </cell>
          <cell r="S46483">
            <v>165.73</v>
          </cell>
          <cell r="X46483" t="str">
            <v>GWP - gross</v>
          </cell>
          <cell r="Y46483" t="str">
            <v>CZECH REPUBLIC</v>
          </cell>
        </row>
        <row r="46484">
          <cell r="L46484" t="str">
            <v>Non-proportional</v>
          </cell>
          <cell r="S46484">
            <v>22002.55</v>
          </cell>
          <cell r="X46484" t="str">
            <v>GWP - gross</v>
          </cell>
          <cell r="Y46484" t="str">
            <v>SLOVENIA</v>
          </cell>
        </row>
        <row r="46485">
          <cell r="L46485" t="str">
            <v>Non-proportional</v>
          </cell>
          <cell r="S46485">
            <v>-78.05</v>
          </cell>
          <cell r="X46485" t="str">
            <v>GWP - gross</v>
          </cell>
          <cell r="Y46485" t="str">
            <v>CZECH REPUBLIC</v>
          </cell>
        </row>
        <row r="46486">
          <cell r="L46486" t="str">
            <v>Non-proportional</v>
          </cell>
          <cell r="S46486">
            <v>1501.11</v>
          </cell>
          <cell r="X46486" t="str">
            <v>GWP - gross</v>
          </cell>
          <cell r="Y46486" t="str">
            <v>United kingdom</v>
          </cell>
        </row>
        <row r="46487">
          <cell r="L46487" t="str">
            <v>Non-proportional</v>
          </cell>
          <cell r="S46487">
            <v>931.9</v>
          </cell>
          <cell r="X46487" t="str">
            <v>GWP - gross</v>
          </cell>
          <cell r="Y46487" t="str">
            <v>CZECH REPUBLIC</v>
          </cell>
        </row>
        <row r="46488">
          <cell r="L46488" t="str">
            <v>Non-proportional</v>
          </cell>
          <cell r="S46488">
            <v>-115.15</v>
          </cell>
          <cell r="X46488" t="str">
            <v>GWP - gross</v>
          </cell>
          <cell r="Y46488" t="str">
            <v>ITALY</v>
          </cell>
        </row>
        <row r="46489">
          <cell r="L46489" t="str">
            <v>Non-proportional</v>
          </cell>
          <cell r="S46489">
            <v>1586.95</v>
          </cell>
          <cell r="X46489" t="str">
            <v>GWP - gross</v>
          </cell>
          <cell r="Y46489" t="str">
            <v>CZECH REPUBLIC</v>
          </cell>
        </row>
        <row r="46490">
          <cell r="L46490" t="str">
            <v>Non-proportional</v>
          </cell>
          <cell r="S46490">
            <v>4466.79</v>
          </cell>
          <cell r="X46490" t="str">
            <v>GWP - gross</v>
          </cell>
          <cell r="Y46490" t="str">
            <v>ICELAND</v>
          </cell>
        </row>
        <row r="46491">
          <cell r="L46491" t="str">
            <v>Non-proportional</v>
          </cell>
          <cell r="S46491">
            <v>-2380.12</v>
          </cell>
          <cell r="X46491" t="str">
            <v>GWP - gross</v>
          </cell>
          <cell r="Y46491" t="str">
            <v>CZECH REPUBLIC</v>
          </cell>
        </row>
        <row r="46492">
          <cell r="L46492" t="str">
            <v>Non-proportional</v>
          </cell>
          <cell r="S46492">
            <v>22002.55</v>
          </cell>
          <cell r="X46492" t="str">
            <v>GWP - gross</v>
          </cell>
          <cell r="Y46492" t="str">
            <v>SLOVENIA</v>
          </cell>
        </row>
        <row r="46493">
          <cell r="L46493" t="str">
            <v>Non-proportional</v>
          </cell>
          <cell r="S46493">
            <v>-22002.55</v>
          </cell>
          <cell r="X46493" t="str">
            <v>GWP - gross</v>
          </cell>
          <cell r="Y46493" t="str">
            <v>SLOVENIA</v>
          </cell>
        </row>
        <row r="46494">
          <cell r="L46494" t="str">
            <v>Non-proportional</v>
          </cell>
          <cell r="S46494">
            <v>-4374.8599999999997</v>
          </cell>
          <cell r="X46494" t="str">
            <v>GWP - gross</v>
          </cell>
          <cell r="Y46494" t="str">
            <v>TURKEY</v>
          </cell>
        </row>
        <row r="46495">
          <cell r="L46495" t="str">
            <v>Non-proportional</v>
          </cell>
          <cell r="S46495">
            <v>4374.8599999999997</v>
          </cell>
          <cell r="X46495" t="str">
            <v>GWP - gross</v>
          </cell>
          <cell r="Y46495" t="str">
            <v>TURKEY</v>
          </cell>
        </row>
        <row r="46496">
          <cell r="L46496" t="str">
            <v>Non-proportional</v>
          </cell>
          <cell r="S46496">
            <v>-22002.55</v>
          </cell>
          <cell r="X46496" t="str">
            <v>GWP - gross</v>
          </cell>
          <cell r="Y46496" t="str">
            <v>SLOVENIA</v>
          </cell>
        </row>
        <row r="46497">
          <cell r="L46497" t="str">
            <v>Non-proportional</v>
          </cell>
          <cell r="S46497">
            <v>-2111.7399999999998</v>
          </cell>
          <cell r="X46497" t="str">
            <v>GWP - gross</v>
          </cell>
          <cell r="Y46497" t="str">
            <v>CZECH REPUBLIC</v>
          </cell>
        </row>
        <row r="46498">
          <cell r="L46498" t="str">
            <v>Non-proportional</v>
          </cell>
          <cell r="S46498">
            <v>-2794.51</v>
          </cell>
          <cell r="X46498" t="str">
            <v>GWP - gross</v>
          </cell>
          <cell r="Y46498" t="str">
            <v>INDIA</v>
          </cell>
        </row>
        <row r="46499">
          <cell r="L46499" t="str">
            <v>Non-proportional</v>
          </cell>
          <cell r="S46499">
            <v>-814.8</v>
          </cell>
          <cell r="X46499" t="str">
            <v>GWP - gross</v>
          </cell>
          <cell r="Y46499" t="str">
            <v>CZECH REPUBLIC</v>
          </cell>
        </row>
        <row r="46500">
          <cell r="L46500" t="str">
            <v>Non-proportional</v>
          </cell>
          <cell r="S46500">
            <v>2695.2</v>
          </cell>
          <cell r="X46500" t="str">
            <v>GWP - gross</v>
          </cell>
          <cell r="Y46500" t="str">
            <v>Belgium</v>
          </cell>
        </row>
        <row r="46501">
          <cell r="L46501" t="str">
            <v>Non-proportional</v>
          </cell>
          <cell r="S46501">
            <v>-311.88</v>
          </cell>
          <cell r="X46501" t="str">
            <v>GWP - gross</v>
          </cell>
          <cell r="Y46501" t="str">
            <v>POLAND</v>
          </cell>
        </row>
        <row r="46502">
          <cell r="L46502" t="str">
            <v>Non-proportional</v>
          </cell>
          <cell r="S46502">
            <v>2794.51</v>
          </cell>
          <cell r="X46502" t="str">
            <v>GWP - gross</v>
          </cell>
          <cell r="Y46502" t="str">
            <v>INDIA</v>
          </cell>
        </row>
        <row r="46503">
          <cell r="L46503" t="str">
            <v>Non-proportional</v>
          </cell>
          <cell r="S46503">
            <v>-189.58</v>
          </cell>
          <cell r="X46503" t="str">
            <v>GWP - gross</v>
          </cell>
          <cell r="Y46503" t="str">
            <v>CZECH REPUBLIC</v>
          </cell>
        </row>
        <row r="46504">
          <cell r="L46504" t="str">
            <v>Non-proportional</v>
          </cell>
          <cell r="S46504">
            <v>1083.56</v>
          </cell>
          <cell r="X46504" t="str">
            <v>GWP - gross</v>
          </cell>
          <cell r="Y46504" t="str">
            <v>CZECH REPUBLIC</v>
          </cell>
        </row>
        <row r="46505">
          <cell r="L46505" t="str">
            <v>Non-proportional</v>
          </cell>
          <cell r="S46505">
            <v>2397.79</v>
          </cell>
          <cell r="X46505" t="str">
            <v>GWP - gross</v>
          </cell>
          <cell r="Y46505" t="str">
            <v>TURKEY</v>
          </cell>
        </row>
        <row r="46506">
          <cell r="L46506" t="str">
            <v>Non-proportional</v>
          </cell>
          <cell r="S46506">
            <v>-4578.55</v>
          </cell>
          <cell r="X46506" t="str">
            <v>GWP - gross</v>
          </cell>
          <cell r="Y46506" t="str">
            <v>ICELAND</v>
          </cell>
        </row>
        <row r="46507">
          <cell r="L46507" t="str">
            <v>Non-proportional</v>
          </cell>
          <cell r="S46507">
            <v>22002.55</v>
          </cell>
          <cell r="X46507" t="str">
            <v>GWP - gross</v>
          </cell>
          <cell r="Y46507" t="str">
            <v>SLOVENIA</v>
          </cell>
        </row>
        <row r="46508">
          <cell r="L46508" t="str">
            <v>Non-proportional</v>
          </cell>
          <cell r="S46508">
            <v>-23555.82</v>
          </cell>
          <cell r="X46508" t="str">
            <v>GWP - gross</v>
          </cell>
          <cell r="Y46508" t="str">
            <v>ECUADOR</v>
          </cell>
        </row>
        <row r="46509">
          <cell r="L46509" t="str">
            <v>Non-proportional</v>
          </cell>
          <cell r="S46509">
            <v>5374.61</v>
          </cell>
          <cell r="X46509" t="str">
            <v>GWP - gross</v>
          </cell>
          <cell r="Y46509" t="str">
            <v>FAROE ISLANDS</v>
          </cell>
        </row>
        <row r="46510">
          <cell r="L46510" t="str">
            <v>Non-proportional</v>
          </cell>
          <cell r="S46510">
            <v>-6795.54</v>
          </cell>
          <cell r="X46510" t="str">
            <v>GWP - gross</v>
          </cell>
          <cell r="Y46510" t="str">
            <v>UNITED KINGDOM</v>
          </cell>
        </row>
        <row r="46511">
          <cell r="L46511" t="str">
            <v>Non-proportional</v>
          </cell>
          <cell r="S46511">
            <v>-25697.26</v>
          </cell>
          <cell r="X46511" t="str">
            <v>GWP - gross</v>
          </cell>
          <cell r="Y46511" t="str">
            <v>ECUADOR</v>
          </cell>
        </row>
        <row r="46512">
          <cell r="L46512" t="str">
            <v>Non-proportional</v>
          </cell>
          <cell r="S46512">
            <v>-57779.17</v>
          </cell>
          <cell r="X46512" t="str">
            <v>GWP - gross</v>
          </cell>
          <cell r="Y46512" t="str">
            <v>United kingdom</v>
          </cell>
        </row>
        <row r="46513">
          <cell r="L46513" t="str">
            <v>Non-proportional</v>
          </cell>
          <cell r="S46513">
            <v>139.49</v>
          </cell>
          <cell r="X46513" t="str">
            <v>GWP - gross</v>
          </cell>
          <cell r="Y46513" t="str">
            <v>FAROE ISLANDS</v>
          </cell>
        </row>
        <row r="46514">
          <cell r="L46514" t="str">
            <v>Non-proportional</v>
          </cell>
          <cell r="S46514">
            <v>991.02</v>
          </cell>
          <cell r="X46514" t="str">
            <v>GWP - gross</v>
          </cell>
          <cell r="Y46514" t="str">
            <v>GERMANY</v>
          </cell>
        </row>
        <row r="46515">
          <cell r="L46515" t="str">
            <v>Non-proportional</v>
          </cell>
          <cell r="S46515">
            <v>-1332.53</v>
          </cell>
          <cell r="X46515" t="str">
            <v>GWP - gross</v>
          </cell>
          <cell r="Y46515" t="str">
            <v>ITALY</v>
          </cell>
        </row>
        <row r="46516">
          <cell r="L46516" t="str">
            <v>Non-proportional</v>
          </cell>
          <cell r="S46516">
            <v>-5374.61</v>
          </cell>
          <cell r="X46516" t="str">
            <v>GWP - gross</v>
          </cell>
          <cell r="Y46516" t="str">
            <v>FAROE ISLANDS</v>
          </cell>
        </row>
        <row r="46517">
          <cell r="L46517" t="str">
            <v>Non-proportional</v>
          </cell>
          <cell r="S46517">
            <v>-2104729.59</v>
          </cell>
          <cell r="X46517" t="str">
            <v>GWP - gross</v>
          </cell>
          <cell r="Y46517" t="str">
            <v>CZECH REPUBLIC</v>
          </cell>
        </row>
        <row r="46518">
          <cell r="L46518" t="str">
            <v>Non-proportional</v>
          </cell>
          <cell r="S46518">
            <v>-1238.95</v>
          </cell>
          <cell r="X46518" t="str">
            <v>GWP - gross</v>
          </cell>
          <cell r="Y46518" t="str">
            <v>POLAND</v>
          </cell>
        </row>
        <row r="46519">
          <cell r="L46519" t="str">
            <v>Non-proportional</v>
          </cell>
          <cell r="S46519">
            <v>6545.95</v>
          </cell>
          <cell r="X46519" t="str">
            <v>GWP - gross</v>
          </cell>
          <cell r="Y46519" t="str">
            <v>TURKEY</v>
          </cell>
        </row>
        <row r="46520">
          <cell r="L46520" t="str">
            <v>Non-proportional</v>
          </cell>
          <cell r="S46520">
            <v>-2544.15</v>
          </cell>
          <cell r="X46520" t="str">
            <v>GWP - gross</v>
          </cell>
          <cell r="Y46520" t="str">
            <v>CZECH REPUBLIC</v>
          </cell>
        </row>
        <row r="46521">
          <cell r="L46521" t="str">
            <v>Non-proportional</v>
          </cell>
          <cell r="S46521">
            <v>-1594.55</v>
          </cell>
          <cell r="X46521" t="str">
            <v>GWP - gross</v>
          </cell>
          <cell r="Y46521" t="str">
            <v>ICELAND</v>
          </cell>
        </row>
        <row r="46522">
          <cell r="L46522" t="str">
            <v>Non-proportional</v>
          </cell>
          <cell r="S46522">
            <v>-2180.4299999999998</v>
          </cell>
          <cell r="X46522" t="str">
            <v>GWP - gross</v>
          </cell>
          <cell r="Y46522" t="str">
            <v>FAROE ISLANDS</v>
          </cell>
        </row>
        <row r="46523">
          <cell r="L46523" t="str">
            <v>Non-proportional</v>
          </cell>
          <cell r="S46523">
            <v>349.07</v>
          </cell>
          <cell r="X46523" t="str">
            <v>GWP - gross</v>
          </cell>
          <cell r="Y46523" t="str">
            <v>United kingdom</v>
          </cell>
        </row>
        <row r="46524">
          <cell r="L46524" t="str">
            <v>Non-proportional</v>
          </cell>
          <cell r="S46524">
            <v>4852.09</v>
          </cell>
          <cell r="X46524" t="str">
            <v>GWP - gross</v>
          </cell>
          <cell r="Y46524" t="str">
            <v>SWEDEN</v>
          </cell>
        </row>
        <row r="46525">
          <cell r="L46525" t="str">
            <v>Non-proportional</v>
          </cell>
          <cell r="S46525">
            <v>883.77</v>
          </cell>
          <cell r="X46525" t="str">
            <v>GWP - gross</v>
          </cell>
          <cell r="Y46525" t="str">
            <v>SWEDEN</v>
          </cell>
        </row>
        <row r="46526">
          <cell r="L46526" t="str">
            <v>Non-proportional</v>
          </cell>
          <cell r="S46526">
            <v>1322.5</v>
          </cell>
          <cell r="X46526" t="str">
            <v>GWP - gross</v>
          </cell>
          <cell r="Y46526" t="str">
            <v>FAROE ISLANDS</v>
          </cell>
        </row>
        <row r="46527">
          <cell r="L46527" t="str">
            <v>Non-proportional</v>
          </cell>
          <cell r="S46527">
            <v>-3912.73</v>
          </cell>
          <cell r="X46527" t="str">
            <v>GWP - gross</v>
          </cell>
          <cell r="Y46527" t="str">
            <v>United kingdom</v>
          </cell>
        </row>
        <row r="46528">
          <cell r="L46528" t="str">
            <v>Non-proportional</v>
          </cell>
          <cell r="S46528">
            <v>32451.65</v>
          </cell>
          <cell r="X46528" t="str">
            <v>GWP - gross</v>
          </cell>
          <cell r="Y46528" t="str">
            <v>UNITED KINGDOM</v>
          </cell>
        </row>
        <row r="46529">
          <cell r="L46529" t="str">
            <v>Non-proportional</v>
          </cell>
          <cell r="S46529">
            <v>-1829.53</v>
          </cell>
          <cell r="X46529" t="str">
            <v>GWP - gross</v>
          </cell>
          <cell r="Y46529" t="str">
            <v>SWEDEN</v>
          </cell>
        </row>
        <row r="46530">
          <cell r="L46530" t="str">
            <v>Non-proportional</v>
          </cell>
          <cell r="S46530">
            <v>-8379.36</v>
          </cell>
          <cell r="X46530" t="str">
            <v>GWP - gross</v>
          </cell>
          <cell r="Y46530" t="str">
            <v>MEXICO</v>
          </cell>
        </row>
        <row r="46531">
          <cell r="L46531" t="str">
            <v>Non-proportional</v>
          </cell>
          <cell r="S46531">
            <v>-123.63</v>
          </cell>
          <cell r="X46531" t="str">
            <v>GWP - gross</v>
          </cell>
          <cell r="Y46531" t="str">
            <v>EUROPE</v>
          </cell>
        </row>
        <row r="46532">
          <cell r="L46532" t="str">
            <v>Non-proportional</v>
          </cell>
          <cell r="S46532">
            <v>-2328.2199999999998</v>
          </cell>
          <cell r="X46532" t="str">
            <v>GWP - gross</v>
          </cell>
          <cell r="Y46532" t="str">
            <v>United kingdom</v>
          </cell>
        </row>
        <row r="46533">
          <cell r="L46533" t="str">
            <v>Non-proportional</v>
          </cell>
          <cell r="S46533">
            <v>-2182.2600000000002</v>
          </cell>
          <cell r="X46533" t="str">
            <v>GWP - gross</v>
          </cell>
          <cell r="Y46533" t="str">
            <v>SWEDEN</v>
          </cell>
        </row>
        <row r="46534">
          <cell r="L46534" t="str">
            <v>Non-proportional</v>
          </cell>
          <cell r="S46534">
            <v>23555.82</v>
          </cell>
          <cell r="X46534" t="str">
            <v>GWP - gross</v>
          </cell>
          <cell r="Y46534" t="str">
            <v>ECUADOR</v>
          </cell>
        </row>
        <row r="46535">
          <cell r="L46535" t="str">
            <v>Non-proportional</v>
          </cell>
          <cell r="S46535">
            <v>57433.47</v>
          </cell>
          <cell r="X46535" t="str">
            <v>GWP - gross</v>
          </cell>
          <cell r="Y46535" t="str">
            <v>United kingdom</v>
          </cell>
        </row>
        <row r="46536">
          <cell r="L46536" t="str">
            <v>Non-proportional</v>
          </cell>
          <cell r="S46536">
            <v>-1529.66</v>
          </cell>
          <cell r="X46536" t="str">
            <v>GWP - gross</v>
          </cell>
          <cell r="Y46536" t="str">
            <v>MEXICO</v>
          </cell>
        </row>
        <row r="46537">
          <cell r="L46537" t="str">
            <v>Non-proportional</v>
          </cell>
          <cell r="S46537">
            <v>1212.05</v>
          </cell>
          <cell r="X46537" t="str">
            <v>GWP - gross</v>
          </cell>
          <cell r="Y46537" t="str">
            <v>POLAND</v>
          </cell>
        </row>
        <row r="46538">
          <cell r="L46538" t="str">
            <v>Non-proportional</v>
          </cell>
          <cell r="S46538">
            <v>-26387.41</v>
          </cell>
          <cell r="X46538" t="str">
            <v>GWP - gross</v>
          </cell>
          <cell r="Y46538" t="str">
            <v>MEXICO</v>
          </cell>
        </row>
        <row r="46539">
          <cell r="L46539" t="str">
            <v>Non-proportional</v>
          </cell>
          <cell r="S46539">
            <v>345.7</v>
          </cell>
          <cell r="X46539" t="str">
            <v>GWP - gross</v>
          </cell>
          <cell r="Y46539" t="str">
            <v>United kingdom</v>
          </cell>
        </row>
        <row r="46540">
          <cell r="L46540" t="str">
            <v>Non-proportional</v>
          </cell>
          <cell r="S46540">
            <v>-1212.05</v>
          </cell>
          <cell r="X46540" t="str">
            <v>GWP - gross</v>
          </cell>
          <cell r="Y46540" t="str">
            <v>POLAND</v>
          </cell>
        </row>
        <row r="46541">
          <cell r="L46541" t="str">
            <v>Non-proportional</v>
          </cell>
          <cell r="S46541">
            <v>-352.73</v>
          </cell>
          <cell r="X46541" t="str">
            <v>GWP - gross</v>
          </cell>
          <cell r="Y46541" t="str">
            <v>SWEDEN</v>
          </cell>
        </row>
        <row r="46542">
          <cell r="L46542" t="str">
            <v>Non-proportional</v>
          </cell>
          <cell r="S46542">
            <v>-7368.02</v>
          </cell>
          <cell r="X46542" t="str">
            <v>GWP - gross</v>
          </cell>
          <cell r="Y46542" t="str">
            <v>TURKEY</v>
          </cell>
        </row>
        <row r="46543">
          <cell r="L46543" t="str">
            <v>Non-proportional</v>
          </cell>
          <cell r="S46543">
            <v>352.73</v>
          </cell>
          <cell r="X46543" t="str">
            <v>GWP - gross</v>
          </cell>
          <cell r="Y46543" t="str">
            <v>SWEDEN</v>
          </cell>
        </row>
        <row r="46544">
          <cell r="L46544" t="str">
            <v>Non-proportional</v>
          </cell>
          <cell r="S46544">
            <v>-4852.09</v>
          </cell>
          <cell r="X46544" t="str">
            <v>GWP - gross</v>
          </cell>
          <cell r="Y46544" t="str">
            <v>SWEDEN</v>
          </cell>
        </row>
        <row r="46545">
          <cell r="L46545" t="str">
            <v>Non-proportional</v>
          </cell>
          <cell r="S46545">
            <v>2104729.59</v>
          </cell>
          <cell r="X46545" t="str">
            <v>GWP - gross</v>
          </cell>
          <cell r="Y46545" t="str">
            <v>CZECH REPUBLIC</v>
          </cell>
        </row>
        <row r="46546">
          <cell r="L46546" t="str">
            <v>Non-proportional</v>
          </cell>
          <cell r="S46546">
            <v>2182.2600000000002</v>
          </cell>
          <cell r="X46546" t="str">
            <v>GWP - gross</v>
          </cell>
          <cell r="Y46546" t="str">
            <v>SWEDEN</v>
          </cell>
        </row>
        <row r="46547">
          <cell r="L46547" t="str">
            <v>Non-proportional</v>
          </cell>
          <cell r="S46547">
            <v>2268.67</v>
          </cell>
          <cell r="X46547" t="str">
            <v>GWP - gross</v>
          </cell>
          <cell r="Y46547" t="str">
            <v>ITALY</v>
          </cell>
        </row>
        <row r="46548">
          <cell r="L46548" t="str">
            <v>Non-proportional</v>
          </cell>
          <cell r="S46548">
            <v>4499.3599999999997</v>
          </cell>
          <cell r="X46548" t="str">
            <v>GWP - gross</v>
          </cell>
          <cell r="Y46548" t="str">
            <v>SWEDEN</v>
          </cell>
        </row>
        <row r="46549">
          <cell r="L46549" t="str">
            <v>Non-proportional</v>
          </cell>
          <cell r="S46549">
            <v>1981.75</v>
          </cell>
          <cell r="X46549" t="str">
            <v>GWP - gross</v>
          </cell>
          <cell r="Y46549" t="str">
            <v>ICELAND</v>
          </cell>
        </row>
        <row r="46550">
          <cell r="L46550" t="str">
            <v>Non-proportional</v>
          </cell>
          <cell r="S46550">
            <v>-5745.07</v>
          </cell>
          <cell r="X46550" t="str">
            <v>GWP - gross</v>
          </cell>
          <cell r="Y46550" t="str">
            <v>UNITED KINGDOM</v>
          </cell>
        </row>
        <row r="46551">
          <cell r="L46551" t="str">
            <v>Non-proportional</v>
          </cell>
          <cell r="S46551">
            <v>-177607.78</v>
          </cell>
          <cell r="X46551" t="str">
            <v>GWP - gross</v>
          </cell>
          <cell r="Y46551" t="str">
            <v>EUROPE</v>
          </cell>
        </row>
        <row r="46552">
          <cell r="L46552" t="str">
            <v>Non-proportional</v>
          </cell>
          <cell r="S46552">
            <v>-2073.83</v>
          </cell>
          <cell r="X46552" t="str">
            <v>GWP - gross</v>
          </cell>
          <cell r="Y46552" t="str">
            <v>INDIA</v>
          </cell>
        </row>
        <row r="46553">
          <cell r="L46553" t="str">
            <v>Non-proportional</v>
          </cell>
          <cell r="S46553">
            <v>-602526.74</v>
          </cell>
          <cell r="X46553" t="str">
            <v>GWP - gross</v>
          </cell>
          <cell r="Y46553" t="str">
            <v>EUROPE</v>
          </cell>
        </row>
        <row r="46554">
          <cell r="L46554" t="str">
            <v>Non-proportional</v>
          </cell>
          <cell r="S46554">
            <v>-2314.2600000000002</v>
          </cell>
          <cell r="X46554" t="str">
            <v>GWP - gross</v>
          </cell>
          <cell r="Y46554" t="str">
            <v>INDIA</v>
          </cell>
        </row>
        <row r="46555">
          <cell r="L46555" t="str">
            <v>Non-proportional</v>
          </cell>
          <cell r="S46555">
            <v>61260.91</v>
          </cell>
          <cell r="X46555" t="str">
            <v>GWP - gross</v>
          </cell>
          <cell r="Y46555" t="str">
            <v>EUROPE</v>
          </cell>
        </row>
        <row r="46556">
          <cell r="L46556" t="str">
            <v>Non-proportional</v>
          </cell>
          <cell r="S46556">
            <v>366484.76</v>
          </cell>
          <cell r="X46556" t="str">
            <v>GWP - gross</v>
          </cell>
          <cell r="Y46556" t="str">
            <v>EUROPE</v>
          </cell>
        </row>
        <row r="46557">
          <cell r="L46557" t="str">
            <v>Non-proportional</v>
          </cell>
          <cell r="S46557">
            <v>262.68</v>
          </cell>
          <cell r="X46557" t="str">
            <v>GWP - gross</v>
          </cell>
          <cell r="Y46557" t="str">
            <v>INDIA</v>
          </cell>
        </row>
        <row r="46558">
          <cell r="L46558" t="str">
            <v>Non-proportional</v>
          </cell>
          <cell r="S46558">
            <v>-484.12</v>
          </cell>
          <cell r="X46558" t="str">
            <v>GWP - gross</v>
          </cell>
          <cell r="Y46558" t="str">
            <v>INDIA</v>
          </cell>
        </row>
        <row r="46559">
          <cell r="L46559" t="str">
            <v>Non-proportional</v>
          </cell>
          <cell r="S46559">
            <v>-14</v>
          </cell>
          <cell r="X46559" t="str">
            <v>GWP - gross</v>
          </cell>
          <cell r="Y46559" t="str">
            <v>INDIA</v>
          </cell>
        </row>
        <row r="46560">
          <cell r="L46560" t="str">
            <v>Non-proportional</v>
          </cell>
          <cell r="S46560">
            <v>-1102559.3500000001</v>
          </cell>
          <cell r="X46560" t="str">
            <v>GWP - gross</v>
          </cell>
          <cell r="Y46560" t="str">
            <v>EUROPE</v>
          </cell>
        </row>
        <row r="46561">
          <cell r="L46561" t="str">
            <v>Non-proportional</v>
          </cell>
          <cell r="S46561">
            <v>5817.83</v>
          </cell>
          <cell r="X46561" t="str">
            <v>GWP - gross</v>
          </cell>
          <cell r="Y46561" t="str">
            <v>POLAND</v>
          </cell>
        </row>
        <row r="46562">
          <cell r="L46562" t="str">
            <v>Non-proportional</v>
          </cell>
          <cell r="S46562">
            <v>3323.44</v>
          </cell>
          <cell r="X46562" t="str">
            <v>GWP - gross</v>
          </cell>
          <cell r="Y46562" t="str">
            <v>UNITED KINGDOM</v>
          </cell>
        </row>
        <row r="46563">
          <cell r="L46563" t="str">
            <v>Non-proportional</v>
          </cell>
          <cell r="S46563">
            <v>-311.16000000000003</v>
          </cell>
          <cell r="X46563" t="str">
            <v>GWP - gross</v>
          </cell>
          <cell r="Y46563" t="str">
            <v>Belgium</v>
          </cell>
        </row>
        <row r="46564">
          <cell r="L46564" t="str">
            <v>Non-proportional</v>
          </cell>
          <cell r="S46564">
            <v>1268.3599999999999</v>
          </cell>
          <cell r="X46564" t="str">
            <v>GWP - gross</v>
          </cell>
          <cell r="Y46564" t="str">
            <v>GERMANY</v>
          </cell>
        </row>
        <row r="46565">
          <cell r="L46565" t="str">
            <v>Non-proportional</v>
          </cell>
          <cell r="S46565">
            <v>14</v>
          </cell>
          <cell r="X46565" t="str">
            <v>GWP - gross</v>
          </cell>
          <cell r="Y46565" t="str">
            <v>INDIA</v>
          </cell>
        </row>
        <row r="46566">
          <cell r="L46566" t="str">
            <v>Non-proportional</v>
          </cell>
          <cell r="S46566">
            <v>248.68</v>
          </cell>
          <cell r="X46566" t="str">
            <v>GWP - gross</v>
          </cell>
          <cell r="Y46566" t="str">
            <v>INDIA</v>
          </cell>
        </row>
        <row r="46567">
          <cell r="L46567" t="str">
            <v>Non-proportional</v>
          </cell>
          <cell r="S46567">
            <v>-2607.37</v>
          </cell>
          <cell r="X46567" t="str">
            <v>GWP - gross</v>
          </cell>
          <cell r="Y46567" t="str">
            <v>INDIA</v>
          </cell>
        </row>
        <row r="46568">
          <cell r="L46568" t="str">
            <v>Non-proportional</v>
          </cell>
          <cell r="S46568">
            <v>-1268.3599999999999</v>
          </cell>
          <cell r="X46568" t="str">
            <v>GWP - gross</v>
          </cell>
          <cell r="Y46568" t="str">
            <v>GERMANY</v>
          </cell>
        </row>
        <row r="46569">
          <cell r="L46569" t="str">
            <v>Non-proportional</v>
          </cell>
          <cell r="S46569">
            <v>-6170.5</v>
          </cell>
          <cell r="X46569" t="str">
            <v>GWP - gross</v>
          </cell>
          <cell r="Y46569" t="str">
            <v>POLAND</v>
          </cell>
        </row>
        <row r="46570">
          <cell r="L46570" t="str">
            <v>Non-proportional</v>
          </cell>
          <cell r="S46570">
            <v>-61260.91</v>
          </cell>
          <cell r="X46570" t="str">
            <v>GWP - gross</v>
          </cell>
          <cell r="Y46570" t="str">
            <v>EUROPE</v>
          </cell>
        </row>
        <row r="46571">
          <cell r="L46571" t="str">
            <v>Non-proportional</v>
          </cell>
          <cell r="S46571">
            <v>-2516.33</v>
          </cell>
          <cell r="X46571" t="str">
            <v>GWP - gross</v>
          </cell>
          <cell r="Y46571" t="str">
            <v>United kingdom</v>
          </cell>
        </row>
        <row r="46572">
          <cell r="L46572" t="str">
            <v>Non-proportional</v>
          </cell>
          <cell r="S46572">
            <v>-1885.55</v>
          </cell>
          <cell r="X46572" t="str">
            <v>GWP - gross</v>
          </cell>
          <cell r="Y46572" t="str">
            <v>TURKEY</v>
          </cell>
        </row>
        <row r="46573">
          <cell r="L46573" t="str">
            <v>Non-proportional</v>
          </cell>
          <cell r="S46573">
            <v>-4.82</v>
          </cell>
          <cell r="X46573" t="str">
            <v>GWP - gross</v>
          </cell>
          <cell r="Y46573" t="str">
            <v>India</v>
          </cell>
        </row>
        <row r="46574">
          <cell r="L46574" t="str">
            <v>Non-proportional</v>
          </cell>
          <cell r="S46574">
            <v>-16094.44</v>
          </cell>
          <cell r="X46574" t="str">
            <v>GWP - gross</v>
          </cell>
          <cell r="Y46574" t="str">
            <v>United kingdom</v>
          </cell>
        </row>
        <row r="46575">
          <cell r="L46575" t="str">
            <v>Non-proportional</v>
          </cell>
          <cell r="S46575">
            <v>-926983.71</v>
          </cell>
          <cell r="X46575" t="str">
            <v>GWP - gross</v>
          </cell>
          <cell r="Y46575" t="str">
            <v>EUROPE</v>
          </cell>
        </row>
        <row r="46576">
          <cell r="L46576" t="str">
            <v>Non-proportional</v>
          </cell>
          <cell r="S46576">
            <v>3568.68</v>
          </cell>
          <cell r="X46576" t="str">
            <v>GWP - gross</v>
          </cell>
          <cell r="Y46576" t="str">
            <v>FRANCE</v>
          </cell>
        </row>
        <row r="46577">
          <cell r="L46577" t="str">
            <v>Non-proportional</v>
          </cell>
          <cell r="S46577">
            <v>1125.25</v>
          </cell>
          <cell r="X46577" t="str">
            <v>GWP - gross</v>
          </cell>
          <cell r="Y46577" t="str">
            <v>INDIA</v>
          </cell>
        </row>
        <row r="46578">
          <cell r="L46578" t="str">
            <v>Non-proportional</v>
          </cell>
          <cell r="S46578">
            <v>-1080.6199999999999</v>
          </cell>
          <cell r="X46578" t="str">
            <v>GWP - gross</v>
          </cell>
          <cell r="Y46578" t="str">
            <v>TURKEY</v>
          </cell>
        </row>
        <row r="46579">
          <cell r="L46579" t="str">
            <v>Non-proportional</v>
          </cell>
          <cell r="S46579">
            <v>-159.01</v>
          </cell>
          <cell r="X46579" t="str">
            <v>GWP - gross</v>
          </cell>
          <cell r="Y46579" t="str">
            <v>ITALY</v>
          </cell>
        </row>
        <row r="46580">
          <cell r="L46580" t="str">
            <v>Non-proportional</v>
          </cell>
          <cell r="S46580">
            <v>-7744.96</v>
          </cell>
          <cell r="X46580" t="str">
            <v>GWP - gross</v>
          </cell>
          <cell r="Y46580" t="str">
            <v>INDIA</v>
          </cell>
        </row>
        <row r="46581">
          <cell r="L46581" t="str">
            <v>Non-proportional</v>
          </cell>
          <cell r="S46581">
            <v>-2030.82</v>
          </cell>
          <cell r="X46581" t="str">
            <v>GWP - gross</v>
          </cell>
          <cell r="Y46581" t="str">
            <v>TURKEY</v>
          </cell>
        </row>
        <row r="46582">
          <cell r="L46582" t="str">
            <v>Non-proportional</v>
          </cell>
          <cell r="S46582">
            <v>16422.12</v>
          </cell>
          <cell r="X46582" t="str">
            <v>GWP - gross</v>
          </cell>
          <cell r="Y46582" t="str">
            <v>SLOVENIA</v>
          </cell>
        </row>
        <row r="46583">
          <cell r="L46583" t="str">
            <v>Non-proportional</v>
          </cell>
          <cell r="S46583">
            <v>-50145.68</v>
          </cell>
          <cell r="X46583" t="str">
            <v>GWP - gross</v>
          </cell>
          <cell r="Y46583" t="str">
            <v>EUROPE</v>
          </cell>
        </row>
        <row r="46584">
          <cell r="L46584" t="str">
            <v>Non-proportional</v>
          </cell>
          <cell r="S46584">
            <v>-6415.17</v>
          </cell>
          <cell r="X46584" t="str">
            <v>GWP - gross</v>
          </cell>
          <cell r="Y46584" t="str">
            <v>SLOVENIA</v>
          </cell>
        </row>
        <row r="46585">
          <cell r="L46585" t="str">
            <v>Non-proportional</v>
          </cell>
          <cell r="S46585">
            <v>-12946.09</v>
          </cell>
          <cell r="X46585" t="str">
            <v>GWP - gross</v>
          </cell>
          <cell r="Y46585" t="str">
            <v>MEXICO</v>
          </cell>
        </row>
        <row r="46586">
          <cell r="L46586" t="str">
            <v>Non-proportional</v>
          </cell>
          <cell r="S46586">
            <v>-16422.11</v>
          </cell>
          <cell r="X46586" t="str">
            <v>GWP - gross</v>
          </cell>
          <cell r="Y46586" t="str">
            <v>SLOVENIA</v>
          </cell>
        </row>
        <row r="46587">
          <cell r="L46587" t="str">
            <v>Non-proportional</v>
          </cell>
          <cell r="S46587">
            <v>3949.25</v>
          </cell>
          <cell r="X46587" t="str">
            <v>GWP - gross</v>
          </cell>
          <cell r="Y46587" t="str">
            <v>CZECH REPUBLIC</v>
          </cell>
        </row>
        <row r="46588">
          <cell r="L46588" t="str">
            <v>Non-proportional</v>
          </cell>
          <cell r="S46588">
            <v>16182.63</v>
          </cell>
          <cell r="X46588" t="str">
            <v>GWP - gross</v>
          </cell>
          <cell r="Y46588" t="str">
            <v>MEXICO</v>
          </cell>
        </row>
        <row r="46589">
          <cell r="L46589" t="str">
            <v>Non-proportional</v>
          </cell>
          <cell r="S46589">
            <v>-153.37</v>
          </cell>
          <cell r="X46589" t="str">
            <v>GWP - gross</v>
          </cell>
          <cell r="Y46589" t="str">
            <v>ITALY</v>
          </cell>
        </row>
        <row r="46590">
          <cell r="L46590" t="str">
            <v>Non-proportional</v>
          </cell>
          <cell r="S46590">
            <v>-17887.060000000001</v>
          </cell>
          <cell r="X46590" t="str">
            <v>GWP - gross</v>
          </cell>
          <cell r="Y46590" t="str">
            <v>MEXICO</v>
          </cell>
        </row>
        <row r="46591">
          <cell r="L46591" t="str">
            <v>Non-proportional</v>
          </cell>
          <cell r="S46591">
            <v>5430.08</v>
          </cell>
          <cell r="X46591" t="str">
            <v>GWP - gross</v>
          </cell>
          <cell r="Y46591" t="str">
            <v>CZECH REPUBLIC</v>
          </cell>
        </row>
        <row r="46592">
          <cell r="L46592" t="str">
            <v>Non-proportional</v>
          </cell>
          <cell r="S46592">
            <v>159.01</v>
          </cell>
          <cell r="X46592" t="str">
            <v>GWP - gross</v>
          </cell>
          <cell r="Y46592" t="str">
            <v>ITALY</v>
          </cell>
        </row>
        <row r="46593">
          <cell r="L46593" t="str">
            <v>Non-proportional</v>
          </cell>
          <cell r="S46593">
            <v>-16182.63</v>
          </cell>
          <cell r="X46593" t="str">
            <v>GWP - gross</v>
          </cell>
          <cell r="Y46593" t="str">
            <v>MEXICO</v>
          </cell>
        </row>
        <row r="46594">
          <cell r="L46594" t="str">
            <v>Non-proportional</v>
          </cell>
          <cell r="S46594">
            <v>9424.3799999999992</v>
          </cell>
          <cell r="X46594" t="str">
            <v>GWP - gross</v>
          </cell>
          <cell r="Y46594" t="str">
            <v>CZECH REPUBLIC</v>
          </cell>
        </row>
        <row r="46595">
          <cell r="L46595" t="str">
            <v>Non-proportional</v>
          </cell>
          <cell r="S46595">
            <v>-40.11</v>
          </cell>
          <cell r="X46595" t="str">
            <v>GWP - gross</v>
          </cell>
          <cell r="Y46595" t="str">
            <v>CZECH REPUBLIC</v>
          </cell>
        </row>
        <row r="46596">
          <cell r="L46596" t="str">
            <v>Non-proportional</v>
          </cell>
          <cell r="S46596">
            <v>2197.5</v>
          </cell>
          <cell r="X46596" t="str">
            <v>GWP - gross</v>
          </cell>
          <cell r="Y46596" t="str">
            <v>POLAND</v>
          </cell>
        </row>
        <row r="46597">
          <cell r="L46597" t="str">
            <v>Non-proportional</v>
          </cell>
          <cell r="S46597">
            <v>153.37</v>
          </cell>
          <cell r="X46597" t="str">
            <v>GWP - gross</v>
          </cell>
          <cell r="Y46597" t="str">
            <v>ITALY</v>
          </cell>
        </row>
        <row r="46598">
          <cell r="L46598" t="str">
            <v>Non-proportional</v>
          </cell>
          <cell r="S46598">
            <v>3336.92</v>
          </cell>
          <cell r="X46598" t="str">
            <v>GWP - gross</v>
          </cell>
          <cell r="Y46598" t="str">
            <v>TURKEY</v>
          </cell>
        </row>
        <row r="46599">
          <cell r="L46599" t="str">
            <v>Non-proportional</v>
          </cell>
          <cell r="S46599">
            <v>50145.68</v>
          </cell>
          <cell r="X46599" t="str">
            <v>GWP - gross</v>
          </cell>
          <cell r="Y46599" t="str">
            <v>EUROPE</v>
          </cell>
        </row>
        <row r="46600">
          <cell r="L46600" t="str">
            <v>Non-proportional</v>
          </cell>
          <cell r="S46600">
            <v>-14308.83</v>
          </cell>
          <cell r="X46600" t="str">
            <v>GWP - gross</v>
          </cell>
          <cell r="Y46600" t="str">
            <v>MEXICO</v>
          </cell>
        </row>
        <row r="46601">
          <cell r="L46601" t="str">
            <v>Non-proportional</v>
          </cell>
          <cell r="S46601">
            <v>-2786.87</v>
          </cell>
          <cell r="X46601" t="str">
            <v>GWP - gross</v>
          </cell>
          <cell r="Y46601" t="str">
            <v>POLAND</v>
          </cell>
        </row>
        <row r="46602">
          <cell r="L46602" t="str">
            <v>Non-proportional</v>
          </cell>
          <cell r="S46602">
            <v>-3.89</v>
          </cell>
          <cell r="X46602" t="str">
            <v>GWP - gross</v>
          </cell>
          <cell r="Y46602" t="str">
            <v>CZECH REPUBLIC</v>
          </cell>
        </row>
        <row r="46603">
          <cell r="L46603" t="str">
            <v>Non-proportional</v>
          </cell>
          <cell r="S46603">
            <v>17887.060000000001</v>
          </cell>
          <cell r="X46603" t="str">
            <v>GWP - gross</v>
          </cell>
          <cell r="Y46603" t="str">
            <v>MEXICO</v>
          </cell>
        </row>
        <row r="46604">
          <cell r="L46604" t="str">
            <v>Non-proportional</v>
          </cell>
          <cell r="S46604">
            <v>1983.24</v>
          </cell>
          <cell r="X46604" t="str">
            <v>GWP - gross</v>
          </cell>
          <cell r="Y46604" t="str">
            <v>SWEDEN</v>
          </cell>
        </row>
        <row r="46605">
          <cell r="L46605" t="str">
            <v>Non-proportional</v>
          </cell>
          <cell r="S46605">
            <v>583.34</v>
          </cell>
          <cell r="X46605" t="str">
            <v>GWP - gross</v>
          </cell>
          <cell r="Y46605" t="str">
            <v>SWEDEN</v>
          </cell>
        </row>
        <row r="46606">
          <cell r="L46606" t="str">
            <v>Proportional</v>
          </cell>
          <cell r="S46606">
            <v>247682.89</v>
          </cell>
          <cell r="X46606" t="str">
            <v>GWP - gross</v>
          </cell>
          <cell r="Y46606" t="str">
            <v>United kingdom</v>
          </cell>
        </row>
        <row r="46607">
          <cell r="L46607" t="str">
            <v>Non-proportional</v>
          </cell>
          <cell r="S46607">
            <v>-5681.74</v>
          </cell>
          <cell r="X46607" t="str">
            <v>GWP - gross</v>
          </cell>
          <cell r="Y46607" t="str">
            <v>EUROPE</v>
          </cell>
        </row>
        <row r="46608">
          <cell r="L46608" t="str">
            <v>Non-proportional</v>
          </cell>
          <cell r="S46608">
            <v>-253.7</v>
          </cell>
          <cell r="X46608" t="str">
            <v>GWP - gross</v>
          </cell>
          <cell r="Y46608" t="str">
            <v>Belgium</v>
          </cell>
        </row>
        <row r="46609">
          <cell r="L46609" t="str">
            <v>Non-proportional</v>
          </cell>
          <cell r="S46609">
            <v>1035.57</v>
          </cell>
          <cell r="X46609" t="str">
            <v>GWP - gross</v>
          </cell>
          <cell r="Y46609" t="str">
            <v>EUROPE</v>
          </cell>
        </row>
        <row r="46610">
          <cell r="L46610" t="str">
            <v>Proportional</v>
          </cell>
          <cell r="S46610">
            <v>-951251.21</v>
          </cell>
          <cell r="X46610" t="str">
            <v>GWP - gross</v>
          </cell>
          <cell r="Y46610" t="str">
            <v>Belgium</v>
          </cell>
        </row>
        <row r="46611">
          <cell r="L46611" t="str">
            <v>Non-proportional</v>
          </cell>
          <cell r="S46611">
            <v>17805.330000000002</v>
          </cell>
          <cell r="X46611" t="str">
            <v>GWP - gross</v>
          </cell>
          <cell r="Y46611" t="str">
            <v>THAILAND</v>
          </cell>
        </row>
        <row r="46612">
          <cell r="L46612" t="str">
            <v>Non-proportional</v>
          </cell>
          <cell r="S46612">
            <v>-6302.15</v>
          </cell>
          <cell r="X46612" t="str">
            <v>GWP - gross</v>
          </cell>
          <cell r="Y46612" t="str">
            <v>EUROPE</v>
          </cell>
        </row>
        <row r="46613">
          <cell r="L46613" t="str">
            <v>Non-proportional</v>
          </cell>
          <cell r="S46613">
            <v>-1035.57</v>
          </cell>
          <cell r="X46613" t="str">
            <v>GWP - gross</v>
          </cell>
          <cell r="Y46613" t="str">
            <v>EUROPE</v>
          </cell>
        </row>
        <row r="46614">
          <cell r="L46614" t="str">
            <v>Non-proportional</v>
          </cell>
          <cell r="S46614">
            <v>-154.69999999999999</v>
          </cell>
          <cell r="X46614" t="str">
            <v>GWP - gross</v>
          </cell>
          <cell r="Y46614" t="str">
            <v>CYPRUS</v>
          </cell>
        </row>
        <row r="46615">
          <cell r="L46615" t="str">
            <v>Non-proportional</v>
          </cell>
          <cell r="S46615">
            <v>-1079.8499999999999</v>
          </cell>
          <cell r="X46615" t="str">
            <v>GWP - gross</v>
          </cell>
          <cell r="Y46615" t="str">
            <v>ICELAND</v>
          </cell>
        </row>
        <row r="46616">
          <cell r="L46616" t="str">
            <v>Non-proportional</v>
          </cell>
          <cell r="S46616">
            <v>-1849.98</v>
          </cell>
          <cell r="X46616" t="str">
            <v>GWP - gross</v>
          </cell>
          <cell r="Y46616" t="str">
            <v>EUROPE</v>
          </cell>
        </row>
        <row r="46617">
          <cell r="L46617" t="str">
            <v>Non-proportional</v>
          </cell>
          <cell r="S46617">
            <v>9417.36</v>
          </cell>
          <cell r="X46617" t="str">
            <v>GWP - gross</v>
          </cell>
          <cell r="Y46617" t="str">
            <v>SLOVENIA</v>
          </cell>
        </row>
        <row r="46618">
          <cell r="L46618" t="str">
            <v>Non-proportional</v>
          </cell>
          <cell r="S46618">
            <v>-43.41</v>
          </cell>
          <cell r="X46618" t="str">
            <v>GWP - gross</v>
          </cell>
          <cell r="Y46618" t="str">
            <v>UNITED KINGDOM</v>
          </cell>
        </row>
        <row r="46619">
          <cell r="L46619" t="str">
            <v>Non-proportional</v>
          </cell>
          <cell r="S46619">
            <v>79.33</v>
          </cell>
          <cell r="X46619" t="str">
            <v>GWP - gross</v>
          </cell>
          <cell r="Y46619" t="str">
            <v>SWEDEN</v>
          </cell>
        </row>
        <row r="46620">
          <cell r="L46620" t="str">
            <v>Non-proportional</v>
          </cell>
          <cell r="S46620">
            <v>-26930.45</v>
          </cell>
          <cell r="X46620" t="str">
            <v>GWP - gross</v>
          </cell>
          <cell r="Y46620" t="str">
            <v>MEXICO</v>
          </cell>
        </row>
        <row r="46621">
          <cell r="L46621" t="str">
            <v>Non-proportional</v>
          </cell>
          <cell r="S46621">
            <v>-64.09</v>
          </cell>
          <cell r="X46621" t="str">
            <v>GWP - gross</v>
          </cell>
          <cell r="Y46621" t="str">
            <v>SLOVENIA</v>
          </cell>
        </row>
        <row r="46622">
          <cell r="L46622" t="str">
            <v>Non-proportional</v>
          </cell>
          <cell r="S46622">
            <v>-9417.36</v>
          </cell>
          <cell r="X46622" t="str">
            <v>GWP - gross</v>
          </cell>
          <cell r="Y46622" t="str">
            <v>SLOVENIA</v>
          </cell>
        </row>
        <row r="46623">
          <cell r="L46623" t="str">
            <v>Proportional</v>
          </cell>
          <cell r="S46623">
            <v>-356337.07</v>
          </cell>
          <cell r="X46623" t="str">
            <v>GWP - gross</v>
          </cell>
          <cell r="Y46623" t="str">
            <v>Turkey</v>
          </cell>
        </row>
        <row r="46624">
          <cell r="L46624" t="str">
            <v>Non-proportional</v>
          </cell>
          <cell r="S46624">
            <v>-41894.730000000003</v>
          </cell>
          <cell r="X46624" t="str">
            <v>GWP - gross</v>
          </cell>
          <cell r="Y46624" t="str">
            <v>ECUADOR</v>
          </cell>
        </row>
        <row r="46625">
          <cell r="L46625" t="str">
            <v>Non-proportional</v>
          </cell>
          <cell r="S46625">
            <v>-2564.5</v>
          </cell>
          <cell r="X46625" t="str">
            <v>GWP - gross</v>
          </cell>
          <cell r="Y46625" t="str">
            <v>ICELAND</v>
          </cell>
        </row>
        <row r="46626">
          <cell r="L46626" t="str">
            <v>Non-proportional</v>
          </cell>
          <cell r="S46626">
            <v>-17805.330000000002</v>
          </cell>
          <cell r="X46626" t="str">
            <v>GWP - gross</v>
          </cell>
          <cell r="Y46626" t="str">
            <v>THAILAND</v>
          </cell>
        </row>
        <row r="46627">
          <cell r="L46627" t="str">
            <v>Proportional</v>
          </cell>
          <cell r="S46627">
            <v>7951.68</v>
          </cell>
          <cell r="X46627" t="str">
            <v>GWP - gross</v>
          </cell>
          <cell r="Y46627" t="str">
            <v>India</v>
          </cell>
        </row>
        <row r="46628">
          <cell r="L46628" t="str">
            <v>Non-proportional</v>
          </cell>
          <cell r="S46628">
            <v>-4599</v>
          </cell>
          <cell r="X46628" t="str">
            <v>GWP - gross</v>
          </cell>
          <cell r="Y46628" t="str">
            <v>ITALY</v>
          </cell>
        </row>
        <row r="46629">
          <cell r="L46629" t="str">
            <v>Non-proportional</v>
          </cell>
          <cell r="S46629">
            <v>-15347.8</v>
          </cell>
          <cell r="X46629" t="str">
            <v>GWP - gross</v>
          </cell>
          <cell r="Y46629" t="str">
            <v>EUROPE</v>
          </cell>
        </row>
        <row r="46630">
          <cell r="L46630" t="str">
            <v>Non-proportional</v>
          </cell>
          <cell r="S46630">
            <v>-154.69999999999999</v>
          </cell>
          <cell r="X46630" t="str">
            <v>GWP - gross</v>
          </cell>
          <cell r="Y46630" t="str">
            <v>CYPRUS</v>
          </cell>
        </row>
        <row r="46631">
          <cell r="L46631" t="str">
            <v>Non-proportional</v>
          </cell>
          <cell r="S46631">
            <v>-79.33</v>
          </cell>
          <cell r="X46631" t="str">
            <v>GWP - gross</v>
          </cell>
          <cell r="Y46631" t="str">
            <v>SWEDEN</v>
          </cell>
        </row>
        <row r="46632">
          <cell r="L46632" t="str">
            <v>Non-proportional</v>
          </cell>
          <cell r="S46632">
            <v>-2540.4</v>
          </cell>
          <cell r="X46632" t="str">
            <v>GWP - gross</v>
          </cell>
          <cell r="Y46632" t="str">
            <v>ITALY</v>
          </cell>
        </row>
        <row r="46633">
          <cell r="L46633" t="str">
            <v>Non-proportional</v>
          </cell>
          <cell r="S46633">
            <v>-698.12</v>
          </cell>
          <cell r="X46633" t="str">
            <v>GWP - gross</v>
          </cell>
          <cell r="Y46633" t="str">
            <v>SWEDEN</v>
          </cell>
        </row>
        <row r="46634">
          <cell r="L46634" t="str">
            <v>Non-proportional</v>
          </cell>
          <cell r="S46634">
            <v>-1270.0899999999999</v>
          </cell>
          <cell r="X46634" t="str">
            <v>GWP - gross</v>
          </cell>
          <cell r="Y46634" t="str">
            <v>POLAND</v>
          </cell>
        </row>
        <row r="46635">
          <cell r="L46635" t="str">
            <v>Non-proportional</v>
          </cell>
          <cell r="S46635">
            <v>-42672.45</v>
          </cell>
          <cell r="X46635" t="str">
            <v>GWP - gross</v>
          </cell>
          <cell r="Y46635" t="str">
            <v>THAILAND</v>
          </cell>
        </row>
        <row r="46636">
          <cell r="L46636" t="str">
            <v>Non-proportional</v>
          </cell>
          <cell r="S46636">
            <v>72466.559999999998</v>
          </cell>
          <cell r="X46636" t="str">
            <v>GWP - gross</v>
          </cell>
          <cell r="Y46636" t="str">
            <v>UNITED KINGDOM</v>
          </cell>
        </row>
        <row r="46637">
          <cell r="L46637" t="str">
            <v>Non-proportional</v>
          </cell>
          <cell r="S46637">
            <v>-20487.189999999999</v>
          </cell>
          <cell r="X46637" t="str">
            <v>GWP - gross</v>
          </cell>
          <cell r="Y46637" t="str">
            <v>EUROPE</v>
          </cell>
        </row>
        <row r="46638">
          <cell r="L46638" t="str">
            <v>Non-proportional</v>
          </cell>
          <cell r="S46638">
            <v>-554.97</v>
          </cell>
          <cell r="X46638" t="str">
            <v>GWP - gross</v>
          </cell>
          <cell r="Y46638" t="str">
            <v>SWEDEN</v>
          </cell>
        </row>
        <row r="46639">
          <cell r="L46639" t="str">
            <v>Non-proportional</v>
          </cell>
          <cell r="S46639">
            <v>32.56</v>
          </cell>
          <cell r="X46639" t="str">
            <v>GWP - gross</v>
          </cell>
          <cell r="Y46639" t="str">
            <v>ITALY</v>
          </cell>
        </row>
        <row r="46640">
          <cell r="L46640" t="str">
            <v>Non-proportional</v>
          </cell>
          <cell r="S46640">
            <v>1360.15</v>
          </cell>
          <cell r="X46640" t="str">
            <v>GWP - gross</v>
          </cell>
          <cell r="Y46640" t="str">
            <v>POLAND</v>
          </cell>
        </row>
        <row r="46641">
          <cell r="L46641" t="str">
            <v>Non-proportional</v>
          </cell>
          <cell r="S46641">
            <v>6302.15</v>
          </cell>
          <cell r="X46641" t="str">
            <v>GWP - gross</v>
          </cell>
          <cell r="Y46641" t="str">
            <v>EUROPE</v>
          </cell>
        </row>
        <row r="46642">
          <cell r="L46642" t="str">
            <v>Non-proportional</v>
          </cell>
          <cell r="S46642">
            <v>17805.330000000002</v>
          </cell>
          <cell r="X46642" t="str">
            <v>GWP - gross</v>
          </cell>
          <cell r="Y46642" t="str">
            <v>THAILAND</v>
          </cell>
        </row>
        <row r="46643">
          <cell r="L46643" t="str">
            <v>Non-proportional</v>
          </cell>
          <cell r="S46643">
            <v>824.84</v>
          </cell>
          <cell r="X46643" t="str">
            <v>GWP - gross</v>
          </cell>
          <cell r="Y46643" t="str">
            <v>FRANCE</v>
          </cell>
        </row>
        <row r="46644">
          <cell r="L46644" t="str">
            <v>Non-proportional</v>
          </cell>
          <cell r="S46644">
            <v>-918.35</v>
          </cell>
          <cell r="X46644" t="str">
            <v>GWP - gross</v>
          </cell>
          <cell r="Y46644" t="str">
            <v>SWEDEN</v>
          </cell>
        </row>
        <row r="46645">
          <cell r="L46645" t="str">
            <v>Proportional</v>
          </cell>
          <cell r="S46645">
            <v>-653873.13</v>
          </cell>
          <cell r="X46645" t="str">
            <v>GWP - gross</v>
          </cell>
          <cell r="Y46645" t="str">
            <v>United kingdom</v>
          </cell>
        </row>
        <row r="46646">
          <cell r="L46646" t="str">
            <v>Non-proportional</v>
          </cell>
          <cell r="S46646">
            <v>2004.17</v>
          </cell>
          <cell r="X46646" t="str">
            <v>GWP - gross</v>
          </cell>
          <cell r="Y46646" t="str">
            <v>SWEDEN</v>
          </cell>
        </row>
        <row r="46647">
          <cell r="L46647" t="str">
            <v>Non-proportional</v>
          </cell>
          <cell r="S46647">
            <v>-2203.4299999999998</v>
          </cell>
          <cell r="X46647" t="str">
            <v>GWP - gross</v>
          </cell>
          <cell r="Y46647" t="str">
            <v>Belgium</v>
          </cell>
        </row>
        <row r="46648">
          <cell r="L46648" t="str">
            <v>Non-proportional</v>
          </cell>
          <cell r="S46648">
            <v>-159.01</v>
          </cell>
          <cell r="X46648" t="str">
            <v>GWP - gross</v>
          </cell>
          <cell r="Y46648" t="str">
            <v>ITALY</v>
          </cell>
        </row>
        <row r="46649">
          <cell r="L46649" t="str">
            <v>Non-proportional</v>
          </cell>
          <cell r="S46649">
            <v>79.33</v>
          </cell>
          <cell r="X46649" t="str">
            <v>GWP - gross</v>
          </cell>
          <cell r="Y46649" t="str">
            <v>SWEDEN</v>
          </cell>
        </row>
        <row r="46650">
          <cell r="L46650" t="str">
            <v>Non-proportional</v>
          </cell>
          <cell r="S46650">
            <v>-1983.24</v>
          </cell>
          <cell r="X46650" t="str">
            <v>GWP - gross</v>
          </cell>
          <cell r="Y46650" t="str">
            <v>SWEDEN</v>
          </cell>
        </row>
        <row r="46651">
          <cell r="L46651" t="str">
            <v>Non-proportional</v>
          </cell>
          <cell r="S46651">
            <v>-46873.95</v>
          </cell>
          <cell r="X46651" t="str">
            <v>GWP - gross</v>
          </cell>
          <cell r="Y46651" t="str">
            <v>EUROPE</v>
          </cell>
        </row>
        <row r="46652">
          <cell r="L46652" t="str">
            <v>Non-proportional</v>
          </cell>
          <cell r="S46652">
            <v>-72466.559999999998</v>
          </cell>
          <cell r="X46652" t="str">
            <v>GWP - gross</v>
          </cell>
          <cell r="Y46652" t="str">
            <v>UNITED KINGDOM</v>
          </cell>
        </row>
        <row r="46653">
          <cell r="L46653" t="str">
            <v>Non-proportional</v>
          </cell>
          <cell r="S46653">
            <v>154.69999999999999</v>
          </cell>
          <cell r="X46653" t="str">
            <v>GWP - gross</v>
          </cell>
          <cell r="Y46653" t="str">
            <v>CYPRUS</v>
          </cell>
        </row>
        <row r="46654">
          <cell r="L46654" t="str">
            <v>Non-proportional</v>
          </cell>
          <cell r="S46654">
            <v>3462.76</v>
          </cell>
          <cell r="X46654" t="str">
            <v>GWP - gross</v>
          </cell>
          <cell r="Y46654" t="str">
            <v>SWEDEN</v>
          </cell>
        </row>
        <row r="46655">
          <cell r="L46655" t="str">
            <v>Proportional</v>
          </cell>
          <cell r="S46655">
            <v>-15881.37</v>
          </cell>
          <cell r="X46655" t="str">
            <v>GWP - gross</v>
          </cell>
          <cell r="Y46655" t="str">
            <v>Belgium</v>
          </cell>
        </row>
        <row r="46656">
          <cell r="L46656" t="str">
            <v>Non-proportional</v>
          </cell>
          <cell r="S46656">
            <v>7864.33</v>
          </cell>
          <cell r="X46656" t="str">
            <v>GWP - gross</v>
          </cell>
          <cell r="Y46656" t="str">
            <v>EUROPE</v>
          </cell>
        </row>
        <row r="46657">
          <cell r="L46657" t="str">
            <v>Non-proportional</v>
          </cell>
          <cell r="S46657">
            <v>-8358.14</v>
          </cell>
          <cell r="X46657" t="str">
            <v>GWP - gross</v>
          </cell>
          <cell r="Y46657" t="str">
            <v>ITALY</v>
          </cell>
        </row>
        <row r="46658">
          <cell r="L46658" t="str">
            <v>Non-proportional</v>
          </cell>
          <cell r="S46658">
            <v>-1702.07</v>
          </cell>
          <cell r="X46658" t="str">
            <v>GWP - gross</v>
          </cell>
          <cell r="Y46658" t="str">
            <v>SWEDEN</v>
          </cell>
        </row>
        <row r="46659">
          <cell r="L46659" t="str">
            <v>Non-proportional</v>
          </cell>
          <cell r="S46659">
            <v>-5.34</v>
          </cell>
          <cell r="X46659" t="str">
            <v>GWP - gross</v>
          </cell>
          <cell r="Y46659" t="str">
            <v>ITALY</v>
          </cell>
        </row>
        <row r="46660">
          <cell r="L46660" t="str">
            <v>Non-proportional</v>
          </cell>
          <cell r="S46660">
            <v>-2881.82</v>
          </cell>
          <cell r="X46660" t="str">
            <v>GWP - gross</v>
          </cell>
          <cell r="Y46660" t="str">
            <v>MEXICO</v>
          </cell>
        </row>
        <row r="46661">
          <cell r="L46661" t="str">
            <v>Non-proportional</v>
          </cell>
          <cell r="S46661">
            <v>153.37</v>
          </cell>
          <cell r="X46661" t="str">
            <v>GWP - gross</v>
          </cell>
          <cell r="Y46661" t="str">
            <v>ITALY</v>
          </cell>
        </row>
        <row r="46662">
          <cell r="L46662" t="str">
            <v>Non-proportional</v>
          </cell>
          <cell r="S46662">
            <v>-3427.46</v>
          </cell>
          <cell r="X46662" t="str">
            <v>GWP - gross</v>
          </cell>
          <cell r="Y46662" t="str">
            <v>United kingdom</v>
          </cell>
        </row>
        <row r="46663">
          <cell r="L46663" t="str">
            <v>Proportional</v>
          </cell>
          <cell r="S46663">
            <v>665938.87</v>
          </cell>
          <cell r="X46663" t="str">
            <v>GWP - gross</v>
          </cell>
          <cell r="Y46663" t="str">
            <v>UNITED KINGDOM</v>
          </cell>
        </row>
        <row r="46664">
          <cell r="L46664" t="str">
            <v>Non-proportional</v>
          </cell>
          <cell r="S46664">
            <v>-4177.92</v>
          </cell>
          <cell r="X46664" t="str">
            <v>GWP - gross</v>
          </cell>
          <cell r="Y46664" t="str">
            <v>FRANCE</v>
          </cell>
        </row>
        <row r="46665">
          <cell r="L46665" t="str">
            <v>Proportional</v>
          </cell>
          <cell r="S46665">
            <v>-1085.24</v>
          </cell>
          <cell r="X46665" t="str">
            <v>GWP - gross</v>
          </cell>
          <cell r="Y46665" t="str">
            <v>India</v>
          </cell>
        </row>
        <row r="46666">
          <cell r="L46666" t="str">
            <v>Non-proportional</v>
          </cell>
          <cell r="S46666">
            <v>-6980.63</v>
          </cell>
          <cell r="X46666" t="str">
            <v>GWP - gross</v>
          </cell>
          <cell r="Y46666" t="str">
            <v>ITALY</v>
          </cell>
        </row>
        <row r="46667">
          <cell r="L46667" t="str">
            <v>Non-proportional</v>
          </cell>
          <cell r="S46667">
            <v>-79.33</v>
          </cell>
          <cell r="X46667" t="str">
            <v>GWP - gross</v>
          </cell>
          <cell r="Y46667" t="str">
            <v>SWEDEN</v>
          </cell>
        </row>
        <row r="46668">
          <cell r="L46668" t="str">
            <v>Non-proportional</v>
          </cell>
          <cell r="S46668">
            <v>68060.62</v>
          </cell>
          <cell r="X46668" t="str">
            <v>GWP - gross</v>
          </cell>
          <cell r="Y46668" t="str">
            <v>FRANCE</v>
          </cell>
        </row>
        <row r="46669">
          <cell r="L46669" t="str">
            <v>Non-proportional</v>
          </cell>
          <cell r="S46669">
            <v>-6026.23</v>
          </cell>
          <cell r="X46669" t="str">
            <v>GWP - gross</v>
          </cell>
          <cell r="Y46669" t="str">
            <v>POLAND</v>
          </cell>
        </row>
        <row r="46670">
          <cell r="L46670" t="str">
            <v>Non-proportional</v>
          </cell>
          <cell r="S46670">
            <v>11314.65</v>
          </cell>
          <cell r="X46670" t="str">
            <v>GWP - gross</v>
          </cell>
          <cell r="Y46670" t="str">
            <v>EUROPE</v>
          </cell>
        </row>
        <row r="46671">
          <cell r="L46671" t="str">
            <v>Non-proportional</v>
          </cell>
          <cell r="S46671">
            <v>-5790.32</v>
          </cell>
          <cell r="X46671" t="str">
            <v>GWP - gross</v>
          </cell>
          <cell r="Y46671" t="str">
            <v>POLAND</v>
          </cell>
        </row>
        <row r="46672">
          <cell r="L46672" t="str">
            <v>Non-proportional</v>
          </cell>
          <cell r="S46672">
            <v>-11314.65</v>
          </cell>
          <cell r="X46672" t="str">
            <v>GWP - gross</v>
          </cell>
          <cell r="Y46672" t="str">
            <v>EUROPE</v>
          </cell>
        </row>
        <row r="46673">
          <cell r="L46673" t="str">
            <v>Non-proportional</v>
          </cell>
          <cell r="S46673">
            <v>2149.33</v>
          </cell>
          <cell r="X46673" t="str">
            <v>GWP - gross</v>
          </cell>
          <cell r="Y46673" t="str">
            <v>ICELAND</v>
          </cell>
        </row>
        <row r="46674">
          <cell r="L46674" t="str">
            <v>Non-proportional</v>
          </cell>
          <cell r="S46674">
            <v>980.81</v>
          </cell>
          <cell r="X46674" t="str">
            <v>GWP - gross</v>
          </cell>
          <cell r="Y46674" t="str">
            <v>CZECH REPUBLIC</v>
          </cell>
        </row>
        <row r="46675">
          <cell r="L46675" t="str">
            <v>Non-proportional</v>
          </cell>
          <cell r="S46675">
            <v>4831.0200000000004</v>
          </cell>
          <cell r="X46675" t="str">
            <v>GWP - gross</v>
          </cell>
          <cell r="Y46675" t="str">
            <v>United kingdom</v>
          </cell>
        </row>
        <row r="46676">
          <cell r="L46676" t="str">
            <v>Non-proportional</v>
          </cell>
          <cell r="S46676">
            <v>43797.89</v>
          </cell>
          <cell r="X46676" t="str">
            <v>GWP - gross</v>
          </cell>
          <cell r="Y46676" t="str">
            <v>UNITED KINGDOM</v>
          </cell>
        </row>
        <row r="46677">
          <cell r="L46677" t="str">
            <v>Non-proportional</v>
          </cell>
          <cell r="S46677">
            <v>-1151.8499999999999</v>
          </cell>
          <cell r="X46677" t="str">
            <v>GWP - gross</v>
          </cell>
          <cell r="Y46677" t="str">
            <v>UNITED KINGDOM</v>
          </cell>
        </row>
        <row r="46678">
          <cell r="L46678" t="str">
            <v>Non-proportional</v>
          </cell>
          <cell r="S46678">
            <v>7058.02</v>
          </cell>
          <cell r="X46678" t="str">
            <v>GWP - gross</v>
          </cell>
          <cell r="Y46678" t="str">
            <v>POLAND</v>
          </cell>
        </row>
        <row r="46679">
          <cell r="L46679" t="str">
            <v>Non-proportional</v>
          </cell>
          <cell r="S46679">
            <v>15099.23</v>
          </cell>
          <cell r="X46679" t="str">
            <v>GWP - gross</v>
          </cell>
          <cell r="Y46679" t="str">
            <v>THAILAND</v>
          </cell>
        </row>
        <row r="46680">
          <cell r="L46680" t="str">
            <v>Non-proportional</v>
          </cell>
          <cell r="S46680">
            <v>7088.52</v>
          </cell>
          <cell r="X46680" t="str">
            <v>GWP - gross</v>
          </cell>
          <cell r="Y46680" t="str">
            <v>United kingdom</v>
          </cell>
        </row>
        <row r="46681">
          <cell r="L46681" t="str">
            <v>Non-proportional</v>
          </cell>
          <cell r="S46681">
            <v>-14703.86</v>
          </cell>
          <cell r="X46681" t="str">
            <v>GWP - gross</v>
          </cell>
          <cell r="Y46681" t="str">
            <v>EUROPE</v>
          </cell>
        </row>
        <row r="46682">
          <cell r="L46682" t="str">
            <v>Non-proportional</v>
          </cell>
          <cell r="S46682">
            <v>-17858.41</v>
          </cell>
          <cell r="X46682" t="str">
            <v>GWP - gross</v>
          </cell>
          <cell r="Y46682" t="str">
            <v>THAILAND</v>
          </cell>
        </row>
        <row r="46683">
          <cell r="L46683" t="str">
            <v>Non-proportional</v>
          </cell>
          <cell r="S46683">
            <v>-25632.560000000001</v>
          </cell>
          <cell r="X46683" t="str">
            <v>GWP - gross</v>
          </cell>
          <cell r="Y46683" t="str">
            <v>UNITED KINGDOM</v>
          </cell>
        </row>
        <row r="46684">
          <cell r="L46684" t="str">
            <v>Non-proportional</v>
          </cell>
          <cell r="S46684">
            <v>-2675.86</v>
          </cell>
          <cell r="X46684" t="str">
            <v>GWP - gross</v>
          </cell>
          <cell r="Y46684" t="str">
            <v>ICELAND</v>
          </cell>
        </row>
        <row r="46685">
          <cell r="L46685" t="str">
            <v>Non-proportional</v>
          </cell>
          <cell r="S46685">
            <v>13472.31</v>
          </cell>
          <cell r="X46685" t="str">
            <v>GWP - gross</v>
          </cell>
          <cell r="Y46685" t="str">
            <v>UNITED KINGDOM</v>
          </cell>
        </row>
        <row r="46686">
          <cell r="L46686" t="str">
            <v>Non-proportional</v>
          </cell>
          <cell r="S46686">
            <v>-2739.23</v>
          </cell>
          <cell r="X46686" t="str">
            <v>GWP - gross</v>
          </cell>
          <cell r="Y46686" t="str">
            <v>EUROPE</v>
          </cell>
        </row>
        <row r="46687">
          <cell r="L46687" t="str">
            <v>Non-proportional</v>
          </cell>
          <cell r="S46687">
            <v>-14.03</v>
          </cell>
          <cell r="X46687" t="str">
            <v>GWP - gross</v>
          </cell>
          <cell r="Y46687" t="str">
            <v>ITALY</v>
          </cell>
        </row>
        <row r="46688">
          <cell r="L46688" t="str">
            <v>Non-proportional</v>
          </cell>
          <cell r="S46688">
            <v>-14550.37</v>
          </cell>
          <cell r="X46688" t="str">
            <v>GWP - gross</v>
          </cell>
          <cell r="Y46688" t="str">
            <v>UNITED KINGDOM</v>
          </cell>
        </row>
        <row r="46689">
          <cell r="L46689" t="str">
            <v>Non-proportional</v>
          </cell>
          <cell r="S46689">
            <v>-15099.23</v>
          </cell>
          <cell r="X46689" t="str">
            <v>GWP - gross</v>
          </cell>
          <cell r="Y46689" t="str">
            <v>THAILAND</v>
          </cell>
        </row>
        <row r="46690">
          <cell r="L46690" t="str">
            <v>Non-proportional</v>
          </cell>
          <cell r="S46690">
            <v>-43797.75</v>
          </cell>
          <cell r="X46690" t="str">
            <v>GWP - gross</v>
          </cell>
          <cell r="Y46690" t="str">
            <v>UNITED KINGDOM</v>
          </cell>
        </row>
        <row r="46691">
          <cell r="L46691" t="str">
            <v>Non-proportional</v>
          </cell>
          <cell r="S46691">
            <v>480.94</v>
          </cell>
          <cell r="X46691" t="str">
            <v>GWP - gross</v>
          </cell>
          <cell r="Y46691" t="str">
            <v>GERMANY</v>
          </cell>
        </row>
        <row r="46692">
          <cell r="L46692" t="str">
            <v>Non-proportional</v>
          </cell>
          <cell r="S46692">
            <v>-697.32</v>
          </cell>
          <cell r="X46692" t="str">
            <v>GWP - gross</v>
          </cell>
          <cell r="Y46692" t="str">
            <v>GERMANY</v>
          </cell>
        </row>
        <row r="46693">
          <cell r="L46693" t="str">
            <v>Non-proportional</v>
          </cell>
          <cell r="S46693">
            <v>6026.23</v>
          </cell>
          <cell r="X46693" t="str">
            <v>GWP - gross</v>
          </cell>
          <cell r="Y46693" t="str">
            <v>POLAND</v>
          </cell>
        </row>
        <row r="46694">
          <cell r="L46694" t="str">
            <v>Non-proportional</v>
          </cell>
          <cell r="S46694">
            <v>-1125.0999999999999</v>
          </cell>
          <cell r="X46694" t="str">
            <v>GWP - gross</v>
          </cell>
          <cell r="Y46694" t="str">
            <v>CZECH REPUBLIC</v>
          </cell>
        </row>
        <row r="46695">
          <cell r="L46695" t="str">
            <v>Non-proportional</v>
          </cell>
          <cell r="S46695">
            <v>13661.14</v>
          </cell>
          <cell r="X46695" t="str">
            <v>GWP - gross</v>
          </cell>
          <cell r="Y46695" t="str">
            <v>UNITED KINGDOM</v>
          </cell>
        </row>
        <row r="46696">
          <cell r="L46696" t="str">
            <v>Non-proportional</v>
          </cell>
          <cell r="S46696">
            <v>17858.41</v>
          </cell>
          <cell r="X46696" t="str">
            <v>GWP - gross</v>
          </cell>
          <cell r="Y46696" t="str">
            <v>THAILAND</v>
          </cell>
        </row>
        <row r="46697">
          <cell r="L46697" t="str">
            <v>Non-proportional</v>
          </cell>
          <cell r="S46697">
            <v>487189.21</v>
          </cell>
          <cell r="X46697" t="str">
            <v>GWP - gross</v>
          </cell>
          <cell r="Y46697" t="str">
            <v>EUROPE</v>
          </cell>
        </row>
        <row r="46698">
          <cell r="L46698" t="str">
            <v>Non-proportional</v>
          </cell>
          <cell r="S46698">
            <v>-2317.48</v>
          </cell>
          <cell r="X46698" t="str">
            <v>GWP - gross</v>
          </cell>
          <cell r="Y46698" t="str">
            <v>United kingdom</v>
          </cell>
        </row>
        <row r="46699">
          <cell r="L46699" t="str">
            <v>Non-proportional</v>
          </cell>
          <cell r="S46699">
            <v>2271.39</v>
          </cell>
          <cell r="X46699" t="str">
            <v>GWP - gross</v>
          </cell>
          <cell r="Y46699" t="str">
            <v>EUROPE</v>
          </cell>
        </row>
        <row r="46700">
          <cell r="L46700" t="str">
            <v>Non-proportional</v>
          </cell>
          <cell r="S46700">
            <v>26607.82</v>
          </cell>
          <cell r="X46700" t="str">
            <v>GWP - gross</v>
          </cell>
          <cell r="Y46700" t="str">
            <v>United kingdom</v>
          </cell>
        </row>
        <row r="46701">
          <cell r="L46701" t="str">
            <v>Non-proportional</v>
          </cell>
          <cell r="S46701">
            <v>2301.6799999999998</v>
          </cell>
          <cell r="X46701" t="str">
            <v>GWP - gross</v>
          </cell>
          <cell r="Y46701" t="str">
            <v>EUROPE</v>
          </cell>
        </row>
        <row r="46702">
          <cell r="L46702" t="str">
            <v>Non-proportional</v>
          </cell>
          <cell r="S46702">
            <v>-80.569999999999993</v>
          </cell>
          <cell r="X46702" t="str">
            <v>GWP - gross</v>
          </cell>
          <cell r="Y46702" t="str">
            <v>THAILAND</v>
          </cell>
        </row>
        <row r="46703">
          <cell r="L46703" t="str">
            <v>Non-proportional</v>
          </cell>
          <cell r="S46703">
            <v>-26687.1</v>
          </cell>
          <cell r="X46703" t="str">
            <v>GWP - gross</v>
          </cell>
          <cell r="Y46703" t="str">
            <v>United kingdom</v>
          </cell>
        </row>
        <row r="46704">
          <cell r="L46704" t="str">
            <v>Non-proportional</v>
          </cell>
          <cell r="S46704">
            <v>1956.14</v>
          </cell>
          <cell r="X46704" t="str">
            <v>GWP - gross</v>
          </cell>
          <cell r="Y46704" t="str">
            <v>EUROPE</v>
          </cell>
        </row>
        <row r="46705">
          <cell r="L46705" t="str">
            <v>Non-proportional</v>
          </cell>
          <cell r="S46705">
            <v>-2109.98</v>
          </cell>
          <cell r="X46705" t="str">
            <v>GWP - gross</v>
          </cell>
          <cell r="Y46705" t="str">
            <v>EUROPE</v>
          </cell>
        </row>
        <row r="46706">
          <cell r="L46706" t="str">
            <v>Non-proportional</v>
          </cell>
          <cell r="S46706">
            <v>-3086.06</v>
          </cell>
          <cell r="X46706" t="str">
            <v>GWP - gross</v>
          </cell>
          <cell r="Y46706" t="str">
            <v>GERMANY</v>
          </cell>
        </row>
        <row r="46707">
          <cell r="L46707" t="str">
            <v>Non-proportional</v>
          </cell>
          <cell r="S46707">
            <v>26687.1</v>
          </cell>
          <cell r="X46707" t="str">
            <v>GWP - gross</v>
          </cell>
          <cell r="Y46707" t="str">
            <v>United kingdom</v>
          </cell>
        </row>
        <row r="46708">
          <cell r="L46708" t="str">
            <v>Non-proportional</v>
          </cell>
          <cell r="S46708">
            <v>-26687.1</v>
          </cell>
          <cell r="X46708" t="str">
            <v>GWP - gross</v>
          </cell>
          <cell r="Y46708" t="str">
            <v>United kingdom</v>
          </cell>
        </row>
        <row r="46709">
          <cell r="L46709" t="str">
            <v>Non-proportional</v>
          </cell>
          <cell r="S46709">
            <v>249.94</v>
          </cell>
          <cell r="X46709" t="str">
            <v>GWP - gross</v>
          </cell>
          <cell r="Y46709" t="str">
            <v>TURKEY</v>
          </cell>
        </row>
        <row r="46710">
          <cell r="L46710" t="str">
            <v>Non-proportional</v>
          </cell>
          <cell r="S46710">
            <v>-791.55</v>
          </cell>
          <cell r="X46710" t="str">
            <v>GWP - gross</v>
          </cell>
          <cell r="Y46710" t="str">
            <v>TURKEY</v>
          </cell>
        </row>
        <row r="46711">
          <cell r="L46711" t="str">
            <v>Non-proportional</v>
          </cell>
          <cell r="S46711">
            <v>-2150.83</v>
          </cell>
          <cell r="X46711" t="str">
            <v>GWP - gross</v>
          </cell>
          <cell r="Y46711" t="str">
            <v>EUROPE</v>
          </cell>
        </row>
        <row r="46712">
          <cell r="L46712" t="str">
            <v>Non-proportional</v>
          </cell>
          <cell r="S46712">
            <v>-26687.1</v>
          </cell>
          <cell r="X46712" t="str">
            <v>GWP - gross</v>
          </cell>
          <cell r="Y46712" t="str">
            <v>United kingdom</v>
          </cell>
        </row>
        <row r="46713">
          <cell r="L46713" t="str">
            <v>Non-proportional</v>
          </cell>
          <cell r="S46713">
            <v>-2367.46</v>
          </cell>
          <cell r="X46713" t="str">
            <v>GWP - gross</v>
          </cell>
          <cell r="Y46713" t="str">
            <v>ITALY</v>
          </cell>
        </row>
        <row r="46714">
          <cell r="L46714" t="str">
            <v>Non-proportional</v>
          </cell>
          <cell r="S46714">
            <v>33062</v>
          </cell>
          <cell r="X46714" t="str">
            <v>GWP - gross</v>
          </cell>
          <cell r="Y46714" t="str">
            <v>EUROPE</v>
          </cell>
        </row>
        <row r="46715">
          <cell r="L46715" t="str">
            <v>Non-proportional</v>
          </cell>
          <cell r="S46715">
            <v>-15187.54</v>
          </cell>
          <cell r="X46715" t="str">
            <v>GWP - gross</v>
          </cell>
          <cell r="Y46715" t="str">
            <v>THAILAND</v>
          </cell>
        </row>
        <row r="46716">
          <cell r="L46716" t="str">
            <v>Non-proportional</v>
          </cell>
          <cell r="S46716">
            <v>3642.98</v>
          </cell>
          <cell r="X46716" t="str">
            <v>GWP - gross</v>
          </cell>
          <cell r="Y46716" t="str">
            <v>GERMANY</v>
          </cell>
        </row>
        <row r="46717">
          <cell r="L46717" t="str">
            <v>Non-proportional</v>
          </cell>
          <cell r="S46717">
            <v>-33062</v>
          </cell>
          <cell r="X46717" t="str">
            <v>GWP - gross</v>
          </cell>
          <cell r="Y46717" t="str">
            <v>EUROPE</v>
          </cell>
        </row>
        <row r="46718">
          <cell r="L46718" t="str">
            <v>Non-proportional</v>
          </cell>
          <cell r="S46718">
            <v>-140625.01999999999</v>
          </cell>
          <cell r="X46718" t="str">
            <v>GWP - gross</v>
          </cell>
          <cell r="Y46718" t="str">
            <v>FRANCE</v>
          </cell>
        </row>
        <row r="46719">
          <cell r="L46719" t="str">
            <v>Non-proportional</v>
          </cell>
          <cell r="S46719">
            <v>4244.96</v>
          </cell>
          <cell r="X46719" t="str">
            <v>GWP - gross</v>
          </cell>
          <cell r="Y46719" t="str">
            <v>FRANCE</v>
          </cell>
        </row>
        <row r="46720">
          <cell r="L46720" t="str">
            <v>Non-proportional</v>
          </cell>
          <cell r="S46720">
            <v>35970.19</v>
          </cell>
          <cell r="X46720" t="str">
            <v>GWP - gross</v>
          </cell>
          <cell r="Y46720" t="str">
            <v>CHILE</v>
          </cell>
        </row>
        <row r="46721">
          <cell r="L46721" t="str">
            <v>Non-proportional</v>
          </cell>
          <cell r="S46721">
            <v>140625.01999999999</v>
          </cell>
          <cell r="X46721" t="str">
            <v>GWP - gross</v>
          </cell>
          <cell r="Y46721" t="str">
            <v>FRANCE</v>
          </cell>
        </row>
        <row r="46722">
          <cell r="L46722" t="str">
            <v>Non-proportional</v>
          </cell>
          <cell r="S46722">
            <v>-3553.92</v>
          </cell>
          <cell r="X46722" t="str">
            <v>GWP - gross</v>
          </cell>
          <cell r="Y46722" t="str">
            <v>FRANCE</v>
          </cell>
        </row>
        <row r="46723">
          <cell r="L46723" t="str">
            <v>Non-proportional</v>
          </cell>
          <cell r="S46723">
            <v>-140594</v>
          </cell>
          <cell r="X46723" t="str">
            <v>GWP - gross</v>
          </cell>
          <cell r="Y46723" t="str">
            <v>FRANCE</v>
          </cell>
        </row>
        <row r="46724">
          <cell r="L46724" t="str">
            <v>Non-proportional</v>
          </cell>
          <cell r="S46724">
            <v>-5627.04</v>
          </cell>
          <cell r="X46724" t="str">
            <v>GWP - gross</v>
          </cell>
          <cell r="Y46724" t="str">
            <v>FRANCE</v>
          </cell>
        </row>
        <row r="46725">
          <cell r="L46725" t="str">
            <v>Non-proportional</v>
          </cell>
          <cell r="S46725">
            <v>-262392.90999999997</v>
          </cell>
          <cell r="X46725" t="str">
            <v>GWP - gross</v>
          </cell>
          <cell r="Y46725" t="str">
            <v>FRANCE</v>
          </cell>
        </row>
        <row r="46726">
          <cell r="L46726" t="str">
            <v>Non-proportional</v>
          </cell>
          <cell r="S46726">
            <v>5627.04</v>
          </cell>
          <cell r="X46726" t="str">
            <v>GWP - gross</v>
          </cell>
          <cell r="Y46726" t="str">
            <v>FRANCE</v>
          </cell>
        </row>
        <row r="46727">
          <cell r="L46727" t="str">
            <v>Non-proportional</v>
          </cell>
          <cell r="S46727">
            <v>-987.2</v>
          </cell>
          <cell r="X46727" t="str">
            <v>GWP - gross</v>
          </cell>
          <cell r="Y46727" t="str">
            <v>FRANCE</v>
          </cell>
        </row>
        <row r="46728">
          <cell r="L46728" t="str">
            <v>Non-proportional</v>
          </cell>
          <cell r="S46728">
            <v>3553.92</v>
          </cell>
          <cell r="X46728" t="str">
            <v>GWP - gross</v>
          </cell>
          <cell r="Y46728" t="str">
            <v>FRANCE</v>
          </cell>
        </row>
        <row r="46729">
          <cell r="L46729" t="str">
            <v>Non-proportional</v>
          </cell>
          <cell r="S46729">
            <v>262392.90999999997</v>
          </cell>
          <cell r="X46729" t="str">
            <v>GWP - gross</v>
          </cell>
          <cell r="Y46729" t="str">
            <v>FRANCE</v>
          </cell>
        </row>
        <row r="46730">
          <cell r="L46730" t="str">
            <v>Non-proportional</v>
          </cell>
          <cell r="S46730">
            <v>987.2</v>
          </cell>
          <cell r="X46730" t="str">
            <v>GWP - gross</v>
          </cell>
          <cell r="Y46730" t="str">
            <v>FRANCE</v>
          </cell>
        </row>
        <row r="46731">
          <cell r="L46731" t="str">
            <v>Non-proportional</v>
          </cell>
          <cell r="S46731">
            <v>-5627.04</v>
          </cell>
          <cell r="X46731" t="str">
            <v>GWP - gross</v>
          </cell>
          <cell r="Y46731" t="str">
            <v>FRANCE</v>
          </cell>
        </row>
        <row r="46732">
          <cell r="L46732" t="str">
            <v>Non-proportional</v>
          </cell>
          <cell r="S46732">
            <v>7107.84</v>
          </cell>
          <cell r="X46732" t="str">
            <v>GWP - gross</v>
          </cell>
          <cell r="Y46732" t="str">
            <v>FRANCE</v>
          </cell>
        </row>
        <row r="46733">
          <cell r="L46733" t="str">
            <v>Non-proportional</v>
          </cell>
          <cell r="S46733">
            <v>-4244.96</v>
          </cell>
          <cell r="X46733" t="str">
            <v>GWP - gross</v>
          </cell>
          <cell r="Y46733" t="str">
            <v>FRANCE</v>
          </cell>
        </row>
        <row r="46734">
          <cell r="L46734" t="str">
            <v>Non-proportional</v>
          </cell>
          <cell r="S46734">
            <v>140594</v>
          </cell>
          <cell r="X46734" t="str">
            <v>GWP - gross</v>
          </cell>
          <cell r="Y46734" t="str">
            <v>FRANCE</v>
          </cell>
        </row>
        <row r="46735">
          <cell r="L46735" t="str">
            <v>Non-proportional</v>
          </cell>
          <cell r="S46735">
            <v>5627.04</v>
          </cell>
          <cell r="X46735" t="str">
            <v>GWP - gross</v>
          </cell>
          <cell r="Y46735" t="str">
            <v>FRANCE</v>
          </cell>
        </row>
        <row r="46736">
          <cell r="L46736" t="str">
            <v>Non-proportional</v>
          </cell>
          <cell r="S46736">
            <v>-35970.19</v>
          </cell>
          <cell r="X46736" t="str">
            <v>GWP - gross</v>
          </cell>
          <cell r="Y46736" t="str">
            <v>CHILE</v>
          </cell>
        </row>
        <row r="46737">
          <cell r="L46737" t="str">
            <v>Non-proportional</v>
          </cell>
          <cell r="S46737">
            <v>-7107.84</v>
          </cell>
          <cell r="X46737" t="str">
            <v>GWP - gross</v>
          </cell>
          <cell r="Y46737" t="str">
            <v>FRANCE</v>
          </cell>
        </row>
        <row r="46738">
          <cell r="L46738" t="str">
            <v>Non-proportional</v>
          </cell>
          <cell r="S46738">
            <v>-262392.92</v>
          </cell>
          <cell r="X46738" t="str">
            <v>GWP - gross</v>
          </cell>
          <cell r="Y46738" t="str">
            <v>FRANCE</v>
          </cell>
        </row>
        <row r="46739">
          <cell r="L46739" t="str">
            <v>Non-proportional</v>
          </cell>
          <cell r="S46739">
            <v>262392.92</v>
          </cell>
          <cell r="X46739" t="str">
            <v>GWP - gross</v>
          </cell>
          <cell r="Y46739" t="str">
            <v>FRANCE</v>
          </cell>
        </row>
        <row r="46740">
          <cell r="L46740" t="str">
            <v>Non-proportional</v>
          </cell>
          <cell r="S46740">
            <v>6742.78</v>
          </cell>
          <cell r="X46740" t="str">
            <v>GWP - gross</v>
          </cell>
          <cell r="Y46740" t="str">
            <v>ITALY</v>
          </cell>
        </row>
        <row r="46741">
          <cell r="L46741" t="str">
            <v>Non-proportional</v>
          </cell>
          <cell r="S46741">
            <v>259495.45</v>
          </cell>
          <cell r="X46741" t="str">
            <v>GWP - gross</v>
          </cell>
          <cell r="Y46741" t="str">
            <v>FRANCE</v>
          </cell>
        </row>
        <row r="46742">
          <cell r="L46742" t="str">
            <v>Non-proportional</v>
          </cell>
          <cell r="S46742">
            <v>283734.13</v>
          </cell>
          <cell r="X46742" t="str">
            <v>GWP - gross</v>
          </cell>
          <cell r="Y46742" t="str">
            <v>FRANCE</v>
          </cell>
        </row>
        <row r="46743">
          <cell r="L46743" t="str">
            <v>Proportional</v>
          </cell>
          <cell r="S46743">
            <v>-226276.74</v>
          </cell>
          <cell r="X46743" t="str">
            <v>Variation UPR - gross</v>
          </cell>
          <cell r="Y46743" t="str">
            <v>JAPAN</v>
          </cell>
        </row>
        <row r="46744">
          <cell r="L46744" t="str">
            <v>Proportional</v>
          </cell>
          <cell r="S46744">
            <v>-53913.05</v>
          </cell>
          <cell r="X46744" t="str">
            <v>Variation UPR - gross</v>
          </cell>
          <cell r="Y46744" t="str">
            <v>HONG KONG</v>
          </cell>
        </row>
        <row r="46745">
          <cell r="L46745" t="str">
            <v>Proportional</v>
          </cell>
          <cell r="S46745">
            <v>-1130057.6399999999</v>
          </cell>
          <cell r="X46745" t="str">
            <v>Variation UPR - gross</v>
          </cell>
          <cell r="Y46745" t="str">
            <v>PORTUGAL</v>
          </cell>
        </row>
        <row r="46746">
          <cell r="L46746" t="str">
            <v>Proportional</v>
          </cell>
          <cell r="S46746">
            <v>-7426368.6100000003</v>
          </cell>
          <cell r="X46746" t="str">
            <v>Variation UPR - gross</v>
          </cell>
          <cell r="Y46746" t="str">
            <v>PORTUGAL</v>
          </cell>
        </row>
        <row r="46747">
          <cell r="L46747" t="str">
            <v>Proportional</v>
          </cell>
          <cell r="S46747">
            <v>-16699.169999999998</v>
          </cell>
          <cell r="X46747" t="str">
            <v>Variation UPR - gross</v>
          </cell>
          <cell r="Y46747" t="str">
            <v>JAPAN</v>
          </cell>
        </row>
        <row r="46748">
          <cell r="L46748" t="str">
            <v>Proportional</v>
          </cell>
          <cell r="S46748">
            <v>-51681.39</v>
          </cell>
          <cell r="X46748" t="str">
            <v>Variation UPR - gross</v>
          </cell>
          <cell r="Y46748" t="str">
            <v>UNITED KINGDOM</v>
          </cell>
        </row>
        <row r="46749">
          <cell r="L46749" t="str">
            <v>Proportional</v>
          </cell>
          <cell r="S46749">
            <v>-209355.46</v>
          </cell>
          <cell r="X46749" t="str">
            <v>Variation UPR - gross</v>
          </cell>
          <cell r="Y46749" t="str">
            <v>HONG KONG</v>
          </cell>
        </row>
        <row r="46750">
          <cell r="L46750" t="str">
            <v>Proportional</v>
          </cell>
          <cell r="S46750">
            <v>-4029.57</v>
          </cell>
          <cell r="X46750" t="str">
            <v>Variation UPR - gross</v>
          </cell>
          <cell r="Y46750" t="str">
            <v>JAPAN</v>
          </cell>
        </row>
        <row r="46751">
          <cell r="L46751" t="str">
            <v>Proportional</v>
          </cell>
          <cell r="S46751">
            <v>213905.95</v>
          </cell>
          <cell r="X46751" t="str">
            <v>Variation UPR - gross</v>
          </cell>
          <cell r="Y46751" t="str">
            <v>JAPAN</v>
          </cell>
        </row>
        <row r="46752">
          <cell r="L46752" t="str">
            <v>Proportional</v>
          </cell>
          <cell r="S46752">
            <v>7426368.6100000003</v>
          </cell>
          <cell r="X46752" t="str">
            <v>Variation UPR - gross</v>
          </cell>
          <cell r="Y46752" t="str">
            <v>PORTUGAL</v>
          </cell>
        </row>
        <row r="46753">
          <cell r="L46753" t="str">
            <v>Proportional</v>
          </cell>
          <cell r="S46753">
            <v>1130057.6399999999</v>
          </cell>
          <cell r="X46753" t="str">
            <v>Variation UPR - gross</v>
          </cell>
          <cell r="Y46753" t="str">
            <v>PORTUGAL</v>
          </cell>
        </row>
        <row r="46754">
          <cell r="L46754" t="str">
            <v>Proportional</v>
          </cell>
          <cell r="S46754">
            <v>21127.38</v>
          </cell>
          <cell r="X46754" t="str">
            <v>Variation UPR - gross</v>
          </cell>
          <cell r="Y46754" t="str">
            <v>HONG KONG</v>
          </cell>
        </row>
        <row r="46755">
          <cell r="L46755" t="str">
            <v>Proportional</v>
          </cell>
          <cell r="S46755">
            <v>270127.15000000002</v>
          </cell>
          <cell r="X46755" t="str">
            <v>Variation UPR - gross</v>
          </cell>
          <cell r="Y46755" t="str">
            <v>AUSTRIA</v>
          </cell>
        </row>
        <row r="46756">
          <cell r="L46756" t="str">
            <v>Proportional</v>
          </cell>
          <cell r="S46756">
            <v>22521.78</v>
          </cell>
          <cell r="X46756" t="str">
            <v>Variation UPR - gross</v>
          </cell>
          <cell r="Y46756" t="str">
            <v>Hong Kong</v>
          </cell>
        </row>
        <row r="46757">
          <cell r="L46757" t="str">
            <v>Proportional</v>
          </cell>
          <cell r="S46757">
            <v>16881.03</v>
          </cell>
          <cell r="X46757" t="str">
            <v>Variation UPR - gross</v>
          </cell>
          <cell r="Y46757" t="str">
            <v>JAPAN</v>
          </cell>
        </row>
        <row r="46758">
          <cell r="L46758" t="str">
            <v>Proportional</v>
          </cell>
          <cell r="S46758">
            <v>3468.01</v>
          </cell>
          <cell r="X46758" t="str">
            <v>Variation UPR - gross</v>
          </cell>
          <cell r="Y46758" t="str">
            <v>HONG KONG</v>
          </cell>
        </row>
        <row r="46759">
          <cell r="L46759" t="str">
            <v>Proportional</v>
          </cell>
          <cell r="S46759">
            <v>3999.51</v>
          </cell>
          <cell r="X46759" t="str">
            <v>Variation UPR - gross</v>
          </cell>
          <cell r="Y46759" t="str">
            <v>JAPAN</v>
          </cell>
        </row>
        <row r="46760">
          <cell r="L46760" t="str">
            <v>Proportional</v>
          </cell>
          <cell r="S46760">
            <v>176020.17</v>
          </cell>
          <cell r="X46760" t="str">
            <v>Variation UPR - gross</v>
          </cell>
          <cell r="Y46760" t="str">
            <v>HONG KONG</v>
          </cell>
        </row>
        <row r="46761">
          <cell r="S46761">
            <v>68405.279999999999</v>
          </cell>
          <cell r="X46761" t="str">
            <v>GWP - share RI</v>
          </cell>
        </row>
        <row r="46762">
          <cell r="S46762">
            <v>1557880</v>
          </cell>
          <cell r="X46762" t="str">
            <v>GWP - share RI</v>
          </cell>
        </row>
        <row r="46763">
          <cell r="S46763">
            <v>7474.23</v>
          </cell>
          <cell r="X46763" t="str">
            <v>GWP - share RI</v>
          </cell>
        </row>
        <row r="46764">
          <cell r="S46764">
            <v>-217564.97</v>
          </cell>
          <cell r="X46764" t="str">
            <v>GWP - share RI</v>
          </cell>
        </row>
        <row r="46765">
          <cell r="S46765">
            <v>66904.33</v>
          </cell>
          <cell r="X46765" t="str">
            <v>GWP - share RI</v>
          </cell>
        </row>
        <row r="46766">
          <cell r="S46766">
            <v>13442.57</v>
          </cell>
          <cell r="X46766" t="str">
            <v>GWP - share RI</v>
          </cell>
        </row>
        <row r="46767">
          <cell r="S46767">
            <v>-762.52</v>
          </cell>
          <cell r="X46767" t="str">
            <v>GWP - share RI</v>
          </cell>
        </row>
        <row r="46768">
          <cell r="S46768">
            <v>15296.87</v>
          </cell>
          <cell r="X46768" t="str">
            <v>GWP - share RI</v>
          </cell>
        </row>
        <row r="46769">
          <cell r="S46769">
            <v>13449379.060000001</v>
          </cell>
          <cell r="X46769" t="str">
            <v>GWP - share RI</v>
          </cell>
        </row>
        <row r="46770">
          <cell r="S46770">
            <v>-167944.89</v>
          </cell>
          <cell r="X46770" t="str">
            <v>GWP - share RI</v>
          </cell>
        </row>
        <row r="46771">
          <cell r="S46771">
            <v>9906.1</v>
          </cell>
          <cell r="X46771" t="str">
            <v>GWP - share RI</v>
          </cell>
        </row>
        <row r="46772">
          <cell r="S46772">
            <v>10465.27</v>
          </cell>
          <cell r="X46772" t="str">
            <v>GWP - share RI</v>
          </cell>
        </row>
        <row r="46773">
          <cell r="S46773">
            <v>453.37</v>
          </cell>
          <cell r="X46773" t="str">
            <v>GWP - share RI</v>
          </cell>
        </row>
        <row r="46774">
          <cell r="S46774">
            <v>22570.58</v>
          </cell>
          <cell r="X46774" t="str">
            <v>GWP - share RI</v>
          </cell>
        </row>
        <row r="46775">
          <cell r="S46775">
            <v>-894.9</v>
          </cell>
          <cell r="X46775" t="str">
            <v>GWP - share RI</v>
          </cell>
        </row>
        <row r="46776">
          <cell r="S46776">
            <v>21410.2</v>
          </cell>
          <cell r="X46776" t="str">
            <v>GWP - share RI</v>
          </cell>
        </row>
        <row r="46777">
          <cell r="S46777">
            <v>200655.52</v>
          </cell>
          <cell r="X46777" t="str">
            <v>GWP - share RI</v>
          </cell>
        </row>
        <row r="46778">
          <cell r="S46778">
            <v>-3028.67</v>
          </cell>
          <cell r="X46778" t="str">
            <v>GWP - share RI</v>
          </cell>
        </row>
        <row r="46779">
          <cell r="S46779">
            <v>762.52</v>
          </cell>
          <cell r="X46779" t="str">
            <v>GWP - share RI</v>
          </cell>
        </row>
        <row r="46780">
          <cell r="S46780">
            <v>-17423059.260000002</v>
          </cell>
          <cell r="X46780" t="str">
            <v>GWP - share RI</v>
          </cell>
        </row>
        <row r="46781">
          <cell r="S46781">
            <v>-453.37</v>
          </cell>
          <cell r="X46781" t="str">
            <v>GWP - share RI</v>
          </cell>
        </row>
        <row r="46782">
          <cell r="S46782">
            <v>32114.22</v>
          </cell>
          <cell r="X46782" t="str">
            <v>GWP - share RI</v>
          </cell>
        </row>
        <row r="46783">
          <cell r="S46783">
            <v>18716.669999999998</v>
          </cell>
          <cell r="X46783" t="str">
            <v>GWP - share RI</v>
          </cell>
        </row>
        <row r="46784">
          <cell r="S46784">
            <v>2980.16</v>
          </cell>
          <cell r="X46784" t="str">
            <v>GWP - share RI</v>
          </cell>
        </row>
        <row r="46785">
          <cell r="S46785">
            <v>37373.99</v>
          </cell>
          <cell r="X46785" t="str">
            <v>GWP - share RI</v>
          </cell>
        </row>
        <row r="46786">
          <cell r="S46786">
            <v>-13449379.060000001</v>
          </cell>
          <cell r="X46786" t="str">
            <v>GWP - share RI</v>
          </cell>
        </row>
        <row r="46787">
          <cell r="S46787">
            <v>4369.1099999999997</v>
          </cell>
          <cell r="X46787" t="str">
            <v>GWP - share RI</v>
          </cell>
        </row>
        <row r="46788">
          <cell r="S46788">
            <v>377.81</v>
          </cell>
          <cell r="X46788" t="str">
            <v>GWP - share RI</v>
          </cell>
        </row>
        <row r="46789">
          <cell r="S46789">
            <v>4827.57</v>
          </cell>
          <cell r="X46789" t="str">
            <v>GWP - share RI</v>
          </cell>
        </row>
        <row r="46790">
          <cell r="S46790">
            <v>37200.46</v>
          </cell>
          <cell r="X46790" t="str">
            <v>GWP - share RI</v>
          </cell>
        </row>
        <row r="46791">
          <cell r="S46791">
            <v>167944.89</v>
          </cell>
          <cell r="X46791" t="str">
            <v>GWP - share RI</v>
          </cell>
        </row>
        <row r="46792">
          <cell r="S46792">
            <v>48205.120000000003</v>
          </cell>
          <cell r="X46792" t="str">
            <v>GWP - share RI</v>
          </cell>
        </row>
        <row r="46793">
          <cell r="S46793">
            <v>-14582772.630000001</v>
          </cell>
          <cell r="X46793" t="str">
            <v>GWP - share RI</v>
          </cell>
        </row>
        <row r="46794">
          <cell r="S46794">
            <v>-11256877.109999999</v>
          </cell>
          <cell r="X46794" t="str">
            <v>GWP - share RI</v>
          </cell>
        </row>
        <row r="46795">
          <cell r="S46795">
            <v>37765</v>
          </cell>
          <cell r="X46795" t="str">
            <v>GWP - share RI</v>
          </cell>
        </row>
        <row r="46796">
          <cell r="S46796">
            <v>6854.97</v>
          </cell>
          <cell r="X46796" t="str">
            <v>GWP - share RI</v>
          </cell>
        </row>
        <row r="46797">
          <cell r="S46797">
            <v>6158.26</v>
          </cell>
          <cell r="X46797" t="str">
            <v>GWP - share RI</v>
          </cell>
        </row>
        <row r="46798">
          <cell r="S46798">
            <v>7106.99</v>
          </cell>
          <cell r="X46798" t="str">
            <v>GWP - share RI</v>
          </cell>
        </row>
        <row r="46799">
          <cell r="S46799">
            <v>459229.2</v>
          </cell>
          <cell r="X46799" t="str">
            <v>GWP - share RI</v>
          </cell>
        </row>
        <row r="46800">
          <cell r="S46800">
            <v>58221.82</v>
          </cell>
          <cell r="X46800" t="str">
            <v>GWP - share RI</v>
          </cell>
        </row>
        <row r="46801">
          <cell r="S46801">
            <v>-4585015.5</v>
          </cell>
          <cell r="X46801" t="str">
            <v>GWP - share RI</v>
          </cell>
        </row>
        <row r="46802">
          <cell r="S46802">
            <v>-259940.1</v>
          </cell>
          <cell r="X46802" t="str">
            <v>GWP - share RI</v>
          </cell>
        </row>
        <row r="46803">
          <cell r="S46803">
            <v>7707.28</v>
          </cell>
          <cell r="X46803" t="str">
            <v>GWP - share RI</v>
          </cell>
        </row>
        <row r="46804">
          <cell r="S46804">
            <v>259940.1</v>
          </cell>
          <cell r="X46804" t="str">
            <v>GWP - share RI</v>
          </cell>
        </row>
        <row r="46805">
          <cell r="S46805">
            <v>-22570.58</v>
          </cell>
          <cell r="X46805" t="str">
            <v>GWP - share RI</v>
          </cell>
        </row>
        <row r="46806">
          <cell r="S46806">
            <v>29469</v>
          </cell>
          <cell r="X46806" t="str">
            <v>GWP - share RI</v>
          </cell>
        </row>
        <row r="46807">
          <cell r="S46807">
            <v>259940.1</v>
          </cell>
          <cell r="X46807" t="str">
            <v>GWP - share RI</v>
          </cell>
        </row>
        <row r="46808">
          <cell r="S46808">
            <v>4344.79</v>
          </cell>
          <cell r="X46808" t="str">
            <v>GWP - share RI</v>
          </cell>
        </row>
        <row r="46809">
          <cell r="S46809">
            <v>25078.3</v>
          </cell>
          <cell r="X46809" t="str">
            <v>GWP - share RI</v>
          </cell>
        </row>
        <row r="46810">
          <cell r="S46810">
            <v>4821.08</v>
          </cell>
          <cell r="X46810" t="str">
            <v>GWP - share RI</v>
          </cell>
        </row>
        <row r="46811">
          <cell r="S46811">
            <v>10895.52</v>
          </cell>
          <cell r="X46811" t="str">
            <v>GWP - share RI</v>
          </cell>
        </row>
        <row r="46812">
          <cell r="S46812">
            <v>11256877.109999999</v>
          </cell>
          <cell r="X46812" t="str">
            <v>GWP - share RI</v>
          </cell>
        </row>
        <row r="46813">
          <cell r="S46813">
            <v>-2980.16</v>
          </cell>
          <cell r="X46813" t="str">
            <v>GWP - share RI</v>
          </cell>
        </row>
        <row r="46814">
          <cell r="S46814">
            <v>200655.52</v>
          </cell>
          <cell r="X46814" t="str">
            <v>GWP - share RI</v>
          </cell>
        </row>
        <row r="46815">
          <cell r="S46815">
            <v>68405.279999999999</v>
          </cell>
          <cell r="X46815" t="str">
            <v>GWP - share RI</v>
          </cell>
        </row>
        <row r="46816">
          <cell r="S46816">
            <v>4585015.5</v>
          </cell>
          <cell r="X46816" t="str">
            <v>GWP - share RI</v>
          </cell>
        </row>
        <row r="46817">
          <cell r="S46817">
            <v>14582772.630000001</v>
          </cell>
          <cell r="X46817" t="str">
            <v>GWP - share RI</v>
          </cell>
        </row>
        <row r="46818">
          <cell r="S46818">
            <v>3028.67</v>
          </cell>
          <cell r="X46818" t="str">
            <v>GWP - share RI</v>
          </cell>
        </row>
        <row r="46819">
          <cell r="S46819">
            <v>55233.17</v>
          </cell>
          <cell r="X46819" t="str">
            <v>GWP - share RI</v>
          </cell>
        </row>
        <row r="46820">
          <cell r="S46820">
            <v>13638.86</v>
          </cell>
          <cell r="X46820" t="str">
            <v>GWP - share RI</v>
          </cell>
        </row>
        <row r="46821">
          <cell r="S46821">
            <v>28282.27</v>
          </cell>
          <cell r="X46821" t="str">
            <v>GWP - share RI</v>
          </cell>
        </row>
        <row r="46822">
          <cell r="S46822">
            <v>2541.7199999999998</v>
          </cell>
          <cell r="X46822" t="str">
            <v>GWP - share RI</v>
          </cell>
        </row>
        <row r="46823">
          <cell r="S46823">
            <v>31931.439999999999</v>
          </cell>
          <cell r="X46823" t="str">
            <v>GWP - share RI</v>
          </cell>
        </row>
        <row r="46824">
          <cell r="S46824">
            <v>865920</v>
          </cell>
          <cell r="X46824" t="str">
            <v>GWP - share RI</v>
          </cell>
        </row>
        <row r="46825">
          <cell r="S46825">
            <v>-2541.7199999999998</v>
          </cell>
          <cell r="X46825" t="str">
            <v>GWP - share RI</v>
          </cell>
        </row>
        <row r="46826">
          <cell r="S46826">
            <v>5839.31</v>
          </cell>
          <cell r="X46826" t="str">
            <v>GWP - share RI</v>
          </cell>
        </row>
        <row r="46827">
          <cell r="S46827">
            <v>-377.81</v>
          </cell>
          <cell r="X46827" t="str">
            <v>GWP - share RI</v>
          </cell>
        </row>
        <row r="46828">
          <cell r="S46828">
            <v>-68405.279999999999</v>
          </cell>
          <cell r="X46828" t="str">
            <v>GWP - share RI</v>
          </cell>
        </row>
        <row r="46829">
          <cell r="S46829">
            <v>38066.480000000003</v>
          </cell>
          <cell r="X46829" t="str">
            <v>GWP - share RI</v>
          </cell>
        </row>
        <row r="46830">
          <cell r="S46830">
            <v>-200655.52</v>
          </cell>
          <cell r="X46830" t="str">
            <v>GWP - share RI</v>
          </cell>
        </row>
        <row r="46831">
          <cell r="S46831">
            <v>13449379.060000001</v>
          </cell>
          <cell r="X46831" t="str">
            <v>GWP - share RI</v>
          </cell>
        </row>
        <row r="46832">
          <cell r="S46832">
            <v>27403.24</v>
          </cell>
          <cell r="X46832" t="str">
            <v>GWP - share RI</v>
          </cell>
        </row>
        <row r="46833">
          <cell r="S46833">
            <v>17423059.260000002</v>
          </cell>
          <cell r="X46833" t="str">
            <v>GWP - share RI</v>
          </cell>
        </row>
        <row r="46834">
          <cell r="S46834">
            <v>217564.97</v>
          </cell>
          <cell r="X46834" t="str">
            <v>GWP - share RI</v>
          </cell>
        </row>
        <row r="46835">
          <cell r="S46835">
            <v>917000.54</v>
          </cell>
          <cell r="X46835" t="str">
            <v>GWP - share RI</v>
          </cell>
        </row>
        <row r="46836">
          <cell r="S46836">
            <v>4585015.5</v>
          </cell>
          <cell r="X46836" t="str">
            <v>GWP - share RI</v>
          </cell>
        </row>
        <row r="46837">
          <cell r="S46837">
            <v>894.9</v>
          </cell>
          <cell r="X46837" t="str">
            <v>GWP - share RI</v>
          </cell>
        </row>
        <row r="46838">
          <cell r="S46838">
            <v>18248.11</v>
          </cell>
          <cell r="X46838" t="str">
            <v>GWP - share RI</v>
          </cell>
        </row>
        <row r="46839">
          <cell r="S46839">
            <v>17423059.260000002</v>
          </cell>
          <cell r="X46839" t="str">
            <v>GWP - share RI</v>
          </cell>
        </row>
        <row r="46840">
          <cell r="S46840">
            <v>256084.47</v>
          </cell>
          <cell r="X46840" t="str">
            <v>GWP - share RI</v>
          </cell>
        </row>
        <row r="46841">
          <cell r="S46841">
            <v>3475.83</v>
          </cell>
          <cell r="X46841" t="str">
            <v>GWP - share RI</v>
          </cell>
        </row>
        <row r="46842">
          <cell r="S46842">
            <v>21524.400000000001</v>
          </cell>
          <cell r="X46842" t="str">
            <v>GWP - share RI</v>
          </cell>
        </row>
        <row r="46843">
          <cell r="S46843">
            <v>9558.5400000000009</v>
          </cell>
          <cell r="X46843" t="str">
            <v>GWP - share RI</v>
          </cell>
        </row>
        <row r="46844">
          <cell r="S46844">
            <v>1540000</v>
          </cell>
          <cell r="X46844" t="str">
            <v>GWP - share RI</v>
          </cell>
        </row>
        <row r="46845">
          <cell r="S46845">
            <v>12392.09</v>
          </cell>
          <cell r="X46845" t="str">
            <v>GWP - share RI</v>
          </cell>
        </row>
        <row r="46846">
          <cell r="S46846">
            <v>6186.41</v>
          </cell>
          <cell r="X46846" t="str">
            <v>GWP - share RI</v>
          </cell>
        </row>
        <row r="46847">
          <cell r="S46847">
            <v>-8923.15</v>
          </cell>
          <cell r="X46847" t="str">
            <v>GWP - share RI</v>
          </cell>
        </row>
        <row r="46848">
          <cell r="S46848">
            <v>4741314.8</v>
          </cell>
          <cell r="X46848" t="str">
            <v>GWP - share RI</v>
          </cell>
        </row>
        <row r="46849">
          <cell r="S46849">
            <v>23248.26</v>
          </cell>
          <cell r="X46849" t="str">
            <v>GWP - share RI</v>
          </cell>
        </row>
        <row r="46850">
          <cell r="S46850">
            <v>34351.53</v>
          </cell>
          <cell r="X46850" t="str">
            <v>GWP - share RI</v>
          </cell>
        </row>
        <row r="46851">
          <cell r="S46851">
            <v>-4346.17</v>
          </cell>
          <cell r="X46851" t="str">
            <v>GWP - share RI</v>
          </cell>
        </row>
        <row r="46852">
          <cell r="S46852">
            <v>-577403.34</v>
          </cell>
          <cell r="X46852" t="str">
            <v>GWP - share RI</v>
          </cell>
        </row>
        <row r="46853">
          <cell r="S46853">
            <v>-5369.97</v>
          </cell>
          <cell r="X46853" t="str">
            <v>GWP - share RI</v>
          </cell>
        </row>
        <row r="46854">
          <cell r="S46854">
            <v>4346.17</v>
          </cell>
          <cell r="X46854" t="str">
            <v>GWP - share RI</v>
          </cell>
        </row>
        <row r="46855">
          <cell r="S46855">
            <v>7270.12</v>
          </cell>
          <cell r="X46855" t="str">
            <v>GWP - share RI</v>
          </cell>
        </row>
        <row r="46856">
          <cell r="S46856">
            <v>-7270.12</v>
          </cell>
          <cell r="X46856" t="str">
            <v>GWP - share RI</v>
          </cell>
        </row>
        <row r="46857">
          <cell r="S46857">
            <v>941094</v>
          </cell>
          <cell r="X46857" t="str">
            <v>GWP - share RI</v>
          </cell>
        </row>
        <row r="46858">
          <cell r="S46858">
            <v>5268128.05</v>
          </cell>
          <cell r="X46858" t="str">
            <v>GWP - share RI</v>
          </cell>
        </row>
        <row r="46859">
          <cell r="S46859">
            <v>29258.18</v>
          </cell>
          <cell r="X46859" t="str">
            <v>GWP - share RI</v>
          </cell>
        </row>
        <row r="46860">
          <cell r="S46860">
            <v>22090374.699999999</v>
          </cell>
          <cell r="X46860" t="str">
            <v>GWP - share RI</v>
          </cell>
        </row>
        <row r="46861">
          <cell r="S46861">
            <v>-28924.97</v>
          </cell>
          <cell r="X46861" t="str">
            <v>GWP - share RI</v>
          </cell>
        </row>
        <row r="46862">
          <cell r="S46862">
            <v>-941094</v>
          </cell>
          <cell r="X46862" t="str">
            <v>GWP - share RI</v>
          </cell>
        </row>
        <row r="46863">
          <cell r="S46863">
            <v>28924.97</v>
          </cell>
          <cell r="X46863" t="str">
            <v>GWP - share RI</v>
          </cell>
        </row>
        <row r="46864">
          <cell r="S46864">
            <v>283385.86</v>
          </cell>
          <cell r="X46864" t="str">
            <v>GWP - share RI</v>
          </cell>
        </row>
        <row r="46865">
          <cell r="S46865">
            <v>641559.27</v>
          </cell>
          <cell r="X46865" t="str">
            <v>GWP - share RI</v>
          </cell>
        </row>
        <row r="46866">
          <cell r="S46866">
            <v>17624.61</v>
          </cell>
          <cell r="X46866" t="str">
            <v>GWP - share RI</v>
          </cell>
        </row>
        <row r="46867">
          <cell r="S46867">
            <v>-696937.78</v>
          </cell>
          <cell r="X46867" t="str">
            <v>GWP - share RI</v>
          </cell>
        </row>
        <row r="46868">
          <cell r="S46868">
            <v>-34351.53</v>
          </cell>
          <cell r="X46868" t="str">
            <v>GWP - share RI</v>
          </cell>
        </row>
        <row r="46869">
          <cell r="S46869">
            <v>1045660</v>
          </cell>
          <cell r="X46869" t="str">
            <v>GWP - share RI</v>
          </cell>
        </row>
        <row r="46870">
          <cell r="S46870">
            <v>3267782.28</v>
          </cell>
          <cell r="X46870" t="str">
            <v>GWP - share RI</v>
          </cell>
        </row>
        <row r="46871">
          <cell r="S46871">
            <v>5228383.8899999997</v>
          </cell>
          <cell r="X46871" t="str">
            <v>GWP - share RI</v>
          </cell>
        </row>
        <row r="46872">
          <cell r="S46872">
            <v>10793.87</v>
          </cell>
          <cell r="X46872" t="str">
            <v>GWP - share RI</v>
          </cell>
        </row>
        <row r="46873">
          <cell r="S46873">
            <v>-1402092</v>
          </cell>
          <cell r="X46873" t="str">
            <v>GWP - share RI</v>
          </cell>
        </row>
        <row r="46874">
          <cell r="S46874">
            <v>-167057.79</v>
          </cell>
          <cell r="X46874" t="str">
            <v>GWP - share RI</v>
          </cell>
        </row>
        <row r="46875">
          <cell r="S46875">
            <v>5083066.32</v>
          </cell>
          <cell r="X46875" t="str">
            <v>GWP - share RI</v>
          </cell>
        </row>
        <row r="46876">
          <cell r="S46876">
            <v>19386.990000000002</v>
          </cell>
          <cell r="X46876" t="str">
            <v>GWP - share RI</v>
          </cell>
        </row>
        <row r="46877">
          <cell r="S46877">
            <v>16510819.5</v>
          </cell>
          <cell r="X46877" t="str">
            <v>GWP - share RI</v>
          </cell>
        </row>
        <row r="46878">
          <cell r="S46878">
            <v>60260.36</v>
          </cell>
          <cell r="X46878" t="str">
            <v>GWP - share RI</v>
          </cell>
        </row>
        <row r="46879">
          <cell r="S46879">
            <v>-6186.41</v>
          </cell>
          <cell r="X46879" t="str">
            <v>GWP - share RI</v>
          </cell>
        </row>
        <row r="46880">
          <cell r="S46880">
            <v>5369.97</v>
          </cell>
          <cell r="X46880" t="str">
            <v>GWP - share RI</v>
          </cell>
        </row>
        <row r="46881">
          <cell r="S46881">
            <v>7270.12</v>
          </cell>
          <cell r="X46881" t="str">
            <v>GWP - share RI</v>
          </cell>
        </row>
        <row r="46882">
          <cell r="S46882">
            <v>-3943.97</v>
          </cell>
          <cell r="X46882" t="str">
            <v>GWP - share RI</v>
          </cell>
        </row>
        <row r="46883">
          <cell r="S46883">
            <v>155868.34</v>
          </cell>
          <cell r="X46883" t="str">
            <v>GWP - share RI</v>
          </cell>
        </row>
        <row r="46884">
          <cell r="S46884">
            <v>-4688.7299999999996</v>
          </cell>
          <cell r="X46884" t="str">
            <v>GWP - share RI</v>
          </cell>
        </row>
        <row r="46885">
          <cell r="S46885">
            <v>-116156.3</v>
          </cell>
          <cell r="X46885" t="str">
            <v>GWP - share RI</v>
          </cell>
        </row>
        <row r="46886">
          <cell r="S46886">
            <v>3943.97</v>
          </cell>
          <cell r="X46886" t="str">
            <v>GWP - share RI</v>
          </cell>
        </row>
        <row r="46887">
          <cell r="S46887">
            <v>-5369.97</v>
          </cell>
          <cell r="X46887" t="str">
            <v>GWP - share RI</v>
          </cell>
        </row>
        <row r="46888">
          <cell r="S46888">
            <v>577403.34</v>
          </cell>
          <cell r="X46888" t="str">
            <v>GWP - share RI</v>
          </cell>
        </row>
        <row r="46889">
          <cell r="S46889">
            <v>-4741314.8</v>
          </cell>
          <cell r="X46889" t="str">
            <v>GWP - share RI</v>
          </cell>
        </row>
        <row r="46890">
          <cell r="S46890">
            <v>8923.14</v>
          </cell>
          <cell r="X46890" t="str">
            <v>GWP - share RI</v>
          </cell>
        </row>
        <row r="46891">
          <cell r="S46891">
            <v>-10793.87</v>
          </cell>
          <cell r="X46891" t="str">
            <v>GWP - share RI</v>
          </cell>
        </row>
        <row r="46892">
          <cell r="S46892">
            <v>1402092</v>
          </cell>
          <cell r="X46892" t="str">
            <v>GWP - share RI</v>
          </cell>
        </row>
        <row r="46893">
          <cell r="S46893">
            <v>-7270.12</v>
          </cell>
          <cell r="X46893" t="str">
            <v>GWP - share RI</v>
          </cell>
        </row>
        <row r="46894">
          <cell r="S46894">
            <v>779328</v>
          </cell>
          <cell r="X46894" t="str">
            <v>GWP - share RI</v>
          </cell>
        </row>
        <row r="46895">
          <cell r="S46895">
            <v>-7270.12</v>
          </cell>
          <cell r="X46895" t="str">
            <v>GWP - share RI</v>
          </cell>
        </row>
        <row r="46896">
          <cell r="S46896">
            <v>48860.94</v>
          </cell>
          <cell r="X46896" t="str">
            <v>GWP - share RI</v>
          </cell>
        </row>
        <row r="46897">
          <cell r="S46897">
            <v>-19386.990000000002</v>
          </cell>
          <cell r="X46897" t="str">
            <v>GWP - share RI</v>
          </cell>
        </row>
        <row r="46898">
          <cell r="S46898">
            <v>16051918.199999999</v>
          </cell>
          <cell r="X46898" t="str">
            <v>GWP - share RI</v>
          </cell>
        </row>
        <row r="46899">
          <cell r="S46899">
            <v>5369.97</v>
          </cell>
          <cell r="X46899" t="str">
            <v>GWP - share RI</v>
          </cell>
        </row>
        <row r="46900">
          <cell r="S46900">
            <v>-779328</v>
          </cell>
          <cell r="X46900" t="str">
            <v>GWP - share RI</v>
          </cell>
        </row>
        <row r="46901">
          <cell r="S46901">
            <v>10319395.9</v>
          </cell>
          <cell r="X46901" t="str">
            <v>GWP - share RI</v>
          </cell>
        </row>
        <row r="46902">
          <cell r="S46902">
            <v>6995228.7599999998</v>
          </cell>
          <cell r="X46902" t="str">
            <v>GWP - share RI</v>
          </cell>
        </row>
        <row r="46903">
          <cell r="S46903">
            <v>-7270.12</v>
          </cell>
          <cell r="X46903" t="str">
            <v>GWP - share RI</v>
          </cell>
        </row>
        <row r="46904">
          <cell r="S46904">
            <v>7270.12</v>
          </cell>
          <cell r="X46904" t="str">
            <v>GWP - share RI</v>
          </cell>
        </row>
        <row r="46905">
          <cell r="S46905">
            <v>47230.98</v>
          </cell>
          <cell r="X46905" t="str">
            <v>GWP - share RI</v>
          </cell>
        </row>
        <row r="46906">
          <cell r="S46906">
            <v>-60260.36</v>
          </cell>
          <cell r="X46906" t="str">
            <v>GWP - share RI</v>
          </cell>
        </row>
        <row r="46907">
          <cell r="S46907">
            <v>7270.12</v>
          </cell>
          <cell r="X46907" t="str">
            <v>GWP - share RI</v>
          </cell>
        </row>
        <row r="46908">
          <cell r="S46908">
            <v>4688.7299999999996</v>
          </cell>
          <cell r="X46908" t="str">
            <v>GWP - share RI</v>
          </cell>
        </row>
        <row r="46909">
          <cell r="S46909">
            <v>23213.48</v>
          </cell>
          <cell r="X46909" t="str">
            <v>GWP - share RI</v>
          </cell>
        </row>
        <row r="46910">
          <cell r="S46910">
            <v>6850.9</v>
          </cell>
          <cell r="X46910" t="str">
            <v>GWP - share RI</v>
          </cell>
        </row>
        <row r="46911">
          <cell r="S46911">
            <v>14859738</v>
          </cell>
          <cell r="X46911" t="str">
            <v>GWP - share RI</v>
          </cell>
        </row>
        <row r="46912">
          <cell r="S46912">
            <v>1903432.5</v>
          </cell>
          <cell r="X46912" t="str">
            <v>GWP - share RI</v>
          </cell>
        </row>
        <row r="46913">
          <cell r="S46913">
            <v>9287456</v>
          </cell>
          <cell r="X46913" t="str">
            <v>GWP - share RI</v>
          </cell>
        </row>
        <row r="46914">
          <cell r="S46914">
            <v>8548.5499999999993</v>
          </cell>
          <cell r="X46914" t="str">
            <v>GWP - share RI</v>
          </cell>
        </row>
        <row r="46915">
          <cell r="S46915">
            <v>-14859738.01</v>
          </cell>
          <cell r="X46915" t="str">
            <v>GWP - share RI</v>
          </cell>
        </row>
        <row r="46916">
          <cell r="S46916">
            <v>-50515.28</v>
          </cell>
          <cell r="X46916" t="str">
            <v>GWP - share RI</v>
          </cell>
        </row>
        <row r="46917">
          <cell r="S46917">
            <v>19594.900000000001</v>
          </cell>
          <cell r="X46917" t="str">
            <v>GWP - share RI</v>
          </cell>
        </row>
        <row r="46918">
          <cell r="S46918">
            <v>5625.84</v>
          </cell>
          <cell r="X46918" t="str">
            <v>GWP - share RI</v>
          </cell>
        </row>
        <row r="46919">
          <cell r="S46919">
            <v>-5625.84</v>
          </cell>
          <cell r="X46919" t="str">
            <v>GWP - share RI</v>
          </cell>
        </row>
        <row r="46920">
          <cell r="S46920">
            <v>-4388507.95</v>
          </cell>
          <cell r="X46920" t="str">
            <v>GWP - share RI</v>
          </cell>
        </row>
        <row r="46921">
          <cell r="S46921">
            <v>19881337</v>
          </cell>
          <cell r="X46921" t="str">
            <v>GWP - share RI</v>
          </cell>
        </row>
        <row r="46922">
          <cell r="S46922">
            <v>41184.67</v>
          </cell>
          <cell r="X46922" t="str">
            <v>GWP - share RI</v>
          </cell>
        </row>
        <row r="46923">
          <cell r="S46923">
            <v>5065.82</v>
          </cell>
          <cell r="X46923" t="str">
            <v>GWP - share RI</v>
          </cell>
        </row>
        <row r="46924">
          <cell r="S46924">
            <v>-19594.900000000001</v>
          </cell>
          <cell r="X46924" t="str">
            <v>GWP - share RI</v>
          </cell>
        </row>
        <row r="46925">
          <cell r="S46925">
            <v>4653.67</v>
          </cell>
          <cell r="X46925" t="str">
            <v>GWP - share RI</v>
          </cell>
        </row>
        <row r="46926">
          <cell r="S46926">
            <v>16237.29</v>
          </cell>
          <cell r="X46926" t="str">
            <v>GWP - share RI</v>
          </cell>
        </row>
        <row r="46927">
          <cell r="S46927">
            <v>14446726</v>
          </cell>
          <cell r="X46927" t="str">
            <v>GWP - share RI</v>
          </cell>
        </row>
        <row r="46928">
          <cell r="S46928">
            <v>-2823.73</v>
          </cell>
          <cell r="X46928" t="str">
            <v>GWP - share RI</v>
          </cell>
        </row>
        <row r="46929">
          <cell r="S46929">
            <v>50515.28</v>
          </cell>
          <cell r="X46929" t="str">
            <v>GWP - share RI</v>
          </cell>
        </row>
        <row r="46930">
          <cell r="S46930">
            <v>217671.8</v>
          </cell>
          <cell r="X46930" t="str">
            <v>GWP - share RI</v>
          </cell>
        </row>
        <row r="46931">
          <cell r="S46931">
            <v>41819.32</v>
          </cell>
          <cell r="X46931" t="str">
            <v>GWP - share RI</v>
          </cell>
        </row>
        <row r="46932">
          <cell r="S46932">
            <v>35502.97</v>
          </cell>
          <cell r="X46932" t="str">
            <v>GWP - share RI</v>
          </cell>
        </row>
        <row r="46933">
          <cell r="S46933">
            <v>-13925.24</v>
          </cell>
          <cell r="X46933" t="str">
            <v>GWP - share RI</v>
          </cell>
        </row>
        <row r="46934">
          <cell r="S46934">
            <v>-5724.82</v>
          </cell>
          <cell r="X46934" t="str">
            <v>GWP - share RI</v>
          </cell>
        </row>
        <row r="46935">
          <cell r="S46935">
            <v>3752.08</v>
          </cell>
          <cell r="X46935" t="str">
            <v>GWP - share RI</v>
          </cell>
        </row>
        <row r="46936">
          <cell r="S46936">
            <v>-6114.88</v>
          </cell>
          <cell r="X46936" t="str">
            <v>GWP - share RI</v>
          </cell>
        </row>
        <row r="46937">
          <cell r="S46937">
            <v>-22836.34</v>
          </cell>
          <cell r="X46937" t="str">
            <v>GWP - share RI</v>
          </cell>
        </row>
        <row r="46938">
          <cell r="S46938">
            <v>-41819.32</v>
          </cell>
          <cell r="X46938" t="str">
            <v>GWP - share RI</v>
          </cell>
        </row>
        <row r="46939">
          <cell r="S46939">
            <v>-32272.78</v>
          </cell>
          <cell r="X46939" t="str">
            <v>GWP - share RI</v>
          </cell>
        </row>
        <row r="46940">
          <cell r="S46940">
            <v>1713089</v>
          </cell>
          <cell r="X46940" t="str">
            <v>GWP - share RI</v>
          </cell>
        </row>
        <row r="46941">
          <cell r="S46941">
            <v>-24137.08</v>
          </cell>
          <cell r="X46941" t="str">
            <v>GWP - share RI</v>
          </cell>
        </row>
        <row r="46942">
          <cell r="S46942">
            <v>6850.9</v>
          </cell>
          <cell r="X46942" t="str">
            <v>GWP - share RI</v>
          </cell>
        </row>
        <row r="46943">
          <cell r="S46943">
            <v>10173.16</v>
          </cell>
          <cell r="X46943" t="str">
            <v>GWP - share RI</v>
          </cell>
        </row>
        <row r="46944">
          <cell r="S46944">
            <v>12533.12</v>
          </cell>
          <cell r="X46944" t="str">
            <v>GWP - share RI</v>
          </cell>
        </row>
        <row r="46945">
          <cell r="S46945">
            <v>45257.34</v>
          </cell>
          <cell r="X46945" t="str">
            <v>GWP - share RI</v>
          </cell>
        </row>
        <row r="46946">
          <cell r="S46946">
            <v>-10173.16</v>
          </cell>
          <cell r="X46946" t="str">
            <v>GWP - share RI</v>
          </cell>
        </row>
        <row r="46947">
          <cell r="S46947">
            <v>-6850.9</v>
          </cell>
          <cell r="X46947" t="str">
            <v>GWP - share RI</v>
          </cell>
        </row>
        <row r="46948">
          <cell r="S46948">
            <v>579305.93000000005</v>
          </cell>
          <cell r="X46948" t="str">
            <v>GWP - share RI</v>
          </cell>
        </row>
        <row r="46949">
          <cell r="S46949">
            <v>2742853.38</v>
          </cell>
          <cell r="X46949" t="str">
            <v>GWP - share RI</v>
          </cell>
        </row>
        <row r="46950">
          <cell r="S46950">
            <v>8355.15</v>
          </cell>
          <cell r="X46950" t="str">
            <v>GWP - share RI</v>
          </cell>
        </row>
        <row r="46951">
          <cell r="S46951">
            <v>4266534.1900000004</v>
          </cell>
          <cell r="X46951" t="str">
            <v>GWP - share RI</v>
          </cell>
        </row>
        <row r="46952">
          <cell r="S46952">
            <v>-217671.8</v>
          </cell>
          <cell r="X46952" t="str">
            <v>GWP - share RI</v>
          </cell>
        </row>
        <row r="46953">
          <cell r="S46953">
            <v>-14446726</v>
          </cell>
          <cell r="X46953" t="str">
            <v>GWP - share RI</v>
          </cell>
        </row>
        <row r="46954">
          <cell r="S46954">
            <v>32272.78</v>
          </cell>
          <cell r="X46954" t="str">
            <v>GWP - share RI</v>
          </cell>
        </row>
        <row r="46955">
          <cell r="S46955">
            <v>-6808.88</v>
          </cell>
          <cell r="X46955" t="str">
            <v>GWP - share RI</v>
          </cell>
        </row>
        <row r="46956">
          <cell r="S46956">
            <v>14850.87</v>
          </cell>
          <cell r="X46956" t="str">
            <v>GWP - share RI</v>
          </cell>
        </row>
        <row r="46957">
          <cell r="S46957">
            <v>-3519.99</v>
          </cell>
          <cell r="X46957" t="str">
            <v>GWP - share RI</v>
          </cell>
        </row>
        <row r="46958">
          <cell r="S46958">
            <v>-4266534.1900000004</v>
          </cell>
          <cell r="X46958" t="str">
            <v>GWP - share RI</v>
          </cell>
        </row>
        <row r="46959">
          <cell r="S46959">
            <v>-14850.88</v>
          </cell>
          <cell r="X46959" t="str">
            <v>GWP - share RI</v>
          </cell>
        </row>
        <row r="46960">
          <cell r="S46960">
            <v>-24535.77</v>
          </cell>
          <cell r="X46960" t="str">
            <v>GWP - share RI</v>
          </cell>
        </row>
        <row r="46961">
          <cell r="S46961">
            <v>-36406.959999999999</v>
          </cell>
          <cell r="X46961" t="str">
            <v>GWP - share RI</v>
          </cell>
        </row>
        <row r="46962">
          <cell r="S46962">
            <v>9287456</v>
          </cell>
          <cell r="X46962" t="str">
            <v>GWP - share RI</v>
          </cell>
        </row>
        <row r="46963">
          <cell r="S46963">
            <v>-779450.5</v>
          </cell>
          <cell r="X46963" t="str">
            <v>GWP - share RI</v>
          </cell>
        </row>
        <row r="46964">
          <cell r="S46964">
            <v>-1257.32</v>
          </cell>
          <cell r="X46964" t="str">
            <v>GWP - share RI</v>
          </cell>
        </row>
        <row r="46965">
          <cell r="S46965">
            <v>-26694.2</v>
          </cell>
          <cell r="X46965" t="str">
            <v>GWP - share RI</v>
          </cell>
        </row>
        <row r="46966">
          <cell r="S46966">
            <v>39447.75</v>
          </cell>
          <cell r="X46966" t="str">
            <v>GWP - share RI</v>
          </cell>
        </row>
        <row r="46967">
          <cell r="S46967">
            <v>11178.87</v>
          </cell>
          <cell r="X46967" t="str">
            <v>GWP - share RI</v>
          </cell>
        </row>
        <row r="46968">
          <cell r="S46968">
            <v>17542.3</v>
          </cell>
          <cell r="X46968" t="str">
            <v>GWP - share RI</v>
          </cell>
        </row>
        <row r="46969">
          <cell r="S46969">
            <v>-6850.9</v>
          </cell>
          <cell r="X46969" t="str">
            <v>GWP - share RI</v>
          </cell>
        </row>
        <row r="46970">
          <cell r="S46970">
            <v>-12533.12</v>
          </cell>
          <cell r="X46970" t="str">
            <v>GWP - share RI</v>
          </cell>
        </row>
        <row r="46971">
          <cell r="S46971">
            <v>-8355.15</v>
          </cell>
          <cell r="X46971" t="str">
            <v>GWP - share RI</v>
          </cell>
        </row>
        <row r="46972">
          <cell r="S46972">
            <v>-5065.82</v>
          </cell>
          <cell r="X46972" t="str">
            <v>GWP - share RI</v>
          </cell>
        </row>
        <row r="46973">
          <cell r="S46973">
            <v>-9287456</v>
          </cell>
          <cell r="X46973" t="str">
            <v>GWP - share RI</v>
          </cell>
        </row>
        <row r="46974">
          <cell r="S46974">
            <v>22836.34</v>
          </cell>
          <cell r="X46974" t="str">
            <v>GWP - share RI</v>
          </cell>
        </row>
        <row r="46975">
          <cell r="S46975">
            <v>4989.88</v>
          </cell>
          <cell r="X46975" t="str">
            <v>GWP - share RI</v>
          </cell>
        </row>
        <row r="46976">
          <cell r="S46976">
            <v>5065.82</v>
          </cell>
          <cell r="X46976" t="str">
            <v>GWP - share RI</v>
          </cell>
        </row>
        <row r="46977">
          <cell r="S46977">
            <v>25792.76</v>
          </cell>
          <cell r="X46977" t="str">
            <v>GWP - share RI</v>
          </cell>
        </row>
        <row r="46978">
          <cell r="S46978">
            <v>4116.28</v>
          </cell>
          <cell r="X46978" t="str">
            <v>GWP - share RI</v>
          </cell>
        </row>
        <row r="46979">
          <cell r="S46979">
            <v>-4116.28</v>
          </cell>
          <cell r="X46979" t="str">
            <v>GWP - share RI</v>
          </cell>
        </row>
        <row r="46980">
          <cell r="S46980">
            <v>24137.08</v>
          </cell>
          <cell r="X46980" t="str">
            <v>GWP - share RI</v>
          </cell>
        </row>
        <row r="46981">
          <cell r="S46981">
            <v>-45257.34</v>
          </cell>
          <cell r="X46981" t="str">
            <v>GWP - share RI</v>
          </cell>
        </row>
        <row r="46982">
          <cell r="S46982">
            <v>3519.99</v>
          </cell>
          <cell r="X46982" t="str">
            <v>GWP - share RI</v>
          </cell>
        </row>
        <row r="46983">
          <cell r="S46983">
            <v>-5871532.04</v>
          </cell>
          <cell r="X46983" t="str">
            <v>GWP - share RI</v>
          </cell>
        </row>
        <row r="46984">
          <cell r="S46984">
            <v>-8548.5499999999993</v>
          </cell>
          <cell r="X46984" t="str">
            <v>GWP - share RI</v>
          </cell>
        </row>
        <row r="46985">
          <cell r="S46985">
            <v>10502.91</v>
          </cell>
          <cell r="X46985" t="str">
            <v>GWP - share RI</v>
          </cell>
        </row>
        <row r="46986">
          <cell r="S46986">
            <v>-4989.88</v>
          </cell>
          <cell r="X46986" t="str">
            <v>GWP - share RI</v>
          </cell>
        </row>
        <row r="46987">
          <cell r="S46987">
            <v>643673.35</v>
          </cell>
          <cell r="X46987" t="str">
            <v>GWP - share RI</v>
          </cell>
        </row>
        <row r="46988">
          <cell r="S46988">
            <v>6808.88</v>
          </cell>
          <cell r="X46988" t="str">
            <v>GWP - share RI</v>
          </cell>
        </row>
        <row r="46989">
          <cell r="S46989">
            <v>-15820.61</v>
          </cell>
          <cell r="X46989" t="str">
            <v>GWP - share RI</v>
          </cell>
        </row>
        <row r="46990">
          <cell r="S46990">
            <v>5871532.0300000003</v>
          </cell>
          <cell r="X46990" t="str">
            <v>GWP - share RI</v>
          </cell>
        </row>
        <row r="46991">
          <cell r="S46991">
            <v>1354.04</v>
          </cell>
          <cell r="X46991" t="str">
            <v>GWP - share RI</v>
          </cell>
        </row>
        <row r="46992">
          <cell r="S46992">
            <v>-36787.85</v>
          </cell>
          <cell r="X46992" t="str">
            <v>GWP - share RI</v>
          </cell>
        </row>
        <row r="46993">
          <cell r="S46993">
            <v>27702.77</v>
          </cell>
          <cell r="X46993" t="str">
            <v>GWP - share RI</v>
          </cell>
        </row>
        <row r="46994">
          <cell r="S46994">
            <v>-1354.04</v>
          </cell>
          <cell r="X46994" t="str">
            <v>GWP - share RI</v>
          </cell>
        </row>
        <row r="46995">
          <cell r="S46995">
            <v>-32314.91</v>
          </cell>
          <cell r="X46995" t="str">
            <v>GWP - share RI</v>
          </cell>
        </row>
        <row r="46996">
          <cell r="S46996">
            <v>7204.87</v>
          </cell>
          <cell r="X46996" t="str">
            <v>GWP - share RI</v>
          </cell>
        </row>
        <row r="46997">
          <cell r="S46997">
            <v>-23213.48</v>
          </cell>
          <cell r="X46997" t="str">
            <v>GWP - share RI</v>
          </cell>
        </row>
        <row r="46998">
          <cell r="S46998">
            <v>35905.449999999997</v>
          </cell>
          <cell r="X46998" t="str">
            <v>GWP - share RI</v>
          </cell>
        </row>
        <row r="46999">
          <cell r="S46999">
            <v>-7204.87</v>
          </cell>
          <cell r="X46999" t="str">
            <v>GWP - share RI</v>
          </cell>
        </row>
        <row r="47000">
          <cell r="S47000">
            <v>-24658.35</v>
          </cell>
          <cell r="X47000" t="str">
            <v>GWP - share RI</v>
          </cell>
        </row>
        <row r="47001">
          <cell r="S47001">
            <v>-579305.93000000005</v>
          </cell>
          <cell r="X47001" t="str">
            <v>GWP - share RI</v>
          </cell>
        </row>
        <row r="47002">
          <cell r="S47002">
            <v>779450.5</v>
          </cell>
          <cell r="X47002" t="str">
            <v>GWP - share RI</v>
          </cell>
        </row>
        <row r="47003">
          <cell r="S47003">
            <v>-10502.92</v>
          </cell>
          <cell r="X47003" t="str">
            <v>GWP - share RI</v>
          </cell>
        </row>
        <row r="47004">
          <cell r="S47004">
            <v>4388507.95</v>
          </cell>
          <cell r="X47004" t="str">
            <v>GWP - share RI</v>
          </cell>
        </row>
        <row r="47005">
          <cell r="S47005">
            <v>5724.82</v>
          </cell>
          <cell r="X47005" t="str">
            <v>GWP - share RI</v>
          </cell>
        </row>
        <row r="47006">
          <cell r="S47006">
            <v>-41184.660000000003</v>
          </cell>
          <cell r="X47006" t="str">
            <v>GWP - share RI</v>
          </cell>
        </row>
        <row r="47007">
          <cell r="S47007">
            <v>13925.24</v>
          </cell>
          <cell r="X47007" t="str">
            <v>GWP - share RI</v>
          </cell>
        </row>
        <row r="47008">
          <cell r="S47008">
            <v>15820.61</v>
          </cell>
          <cell r="X47008" t="str">
            <v>GWP - share RI</v>
          </cell>
        </row>
        <row r="47009">
          <cell r="S47009">
            <v>-17542.310000000001</v>
          </cell>
          <cell r="X47009" t="str">
            <v>GWP - share RI</v>
          </cell>
        </row>
        <row r="47010">
          <cell r="S47010">
            <v>-2742853.39</v>
          </cell>
          <cell r="X47010" t="str">
            <v>GWP - share RI</v>
          </cell>
        </row>
        <row r="47011">
          <cell r="S47011">
            <v>-11178.87</v>
          </cell>
          <cell r="X47011" t="str">
            <v>GWP - share RI</v>
          </cell>
        </row>
        <row r="47012">
          <cell r="S47012">
            <v>-6769.21</v>
          </cell>
          <cell r="X47012" t="str">
            <v>GWP - share RI</v>
          </cell>
        </row>
        <row r="47013">
          <cell r="S47013">
            <v>-1713089</v>
          </cell>
          <cell r="X47013" t="str">
            <v>GWP - share RI</v>
          </cell>
        </row>
        <row r="47014">
          <cell r="S47014">
            <v>32314.91</v>
          </cell>
          <cell r="X47014" t="str">
            <v>GWP - share RI</v>
          </cell>
        </row>
        <row r="47015">
          <cell r="S47015">
            <v>6769.21</v>
          </cell>
          <cell r="X47015" t="str">
            <v>GWP - share RI</v>
          </cell>
        </row>
        <row r="47016">
          <cell r="S47016">
            <v>-19881337</v>
          </cell>
          <cell r="X47016" t="str">
            <v>GWP - share RI</v>
          </cell>
        </row>
        <row r="47017">
          <cell r="S47017">
            <v>-3752.08</v>
          </cell>
          <cell r="X47017" t="str">
            <v>GWP - share RI</v>
          </cell>
        </row>
        <row r="47018">
          <cell r="S47018">
            <v>-27702.78</v>
          </cell>
          <cell r="X47018" t="str">
            <v>GWP - share RI</v>
          </cell>
        </row>
        <row r="47019">
          <cell r="S47019">
            <v>2823.73</v>
          </cell>
          <cell r="X47019" t="str">
            <v>GWP - share RI</v>
          </cell>
        </row>
        <row r="47020">
          <cell r="S47020">
            <v>-16237.3</v>
          </cell>
          <cell r="X47020" t="str">
            <v>GWP - share RI</v>
          </cell>
        </row>
        <row r="47021">
          <cell r="S47021">
            <v>-4653.62</v>
          </cell>
          <cell r="X47021" t="str">
            <v>GWP - share RI</v>
          </cell>
        </row>
        <row r="47022">
          <cell r="S47022">
            <v>24658.35</v>
          </cell>
          <cell r="X47022" t="str">
            <v>GWP - share RI</v>
          </cell>
        </row>
        <row r="47023">
          <cell r="S47023">
            <v>24535.77</v>
          </cell>
          <cell r="X47023" t="str">
            <v>GWP - share RI</v>
          </cell>
        </row>
        <row r="47024">
          <cell r="S47024">
            <v>-35502.97</v>
          </cell>
          <cell r="X47024" t="str">
            <v>GWP - share RI</v>
          </cell>
        </row>
        <row r="47025">
          <cell r="S47025">
            <v>1257.32</v>
          </cell>
          <cell r="X47025" t="str">
            <v>GWP - share RI</v>
          </cell>
        </row>
        <row r="47026">
          <cell r="S47026">
            <v>-9287456</v>
          </cell>
          <cell r="X47026" t="str">
            <v>GWP - share RI</v>
          </cell>
        </row>
        <row r="47027">
          <cell r="S47027">
            <v>-17136.84</v>
          </cell>
          <cell r="X47027" t="str">
            <v>GWP - share RI</v>
          </cell>
        </row>
        <row r="47028">
          <cell r="S47028">
            <v>-9450.4500000000007</v>
          </cell>
          <cell r="X47028" t="str">
            <v>GWP - share RI</v>
          </cell>
        </row>
        <row r="47029">
          <cell r="S47029">
            <v>-4356.3500000000004</v>
          </cell>
          <cell r="X47029" t="str">
            <v>GWP - share RI</v>
          </cell>
        </row>
        <row r="47030">
          <cell r="S47030">
            <v>17136.84</v>
          </cell>
          <cell r="X47030" t="str">
            <v>GWP - share RI</v>
          </cell>
        </row>
        <row r="47031">
          <cell r="S47031">
            <v>11136.44</v>
          </cell>
          <cell r="X47031" t="str">
            <v>GWP - share RI</v>
          </cell>
        </row>
        <row r="47032">
          <cell r="S47032">
            <v>3441.45</v>
          </cell>
          <cell r="X47032" t="str">
            <v>GWP - share RI</v>
          </cell>
        </row>
        <row r="47033">
          <cell r="S47033">
            <v>11540.81</v>
          </cell>
          <cell r="X47033" t="str">
            <v>GWP - share RI</v>
          </cell>
        </row>
        <row r="47034">
          <cell r="S47034">
            <v>5786.81</v>
          </cell>
          <cell r="X47034" t="str">
            <v>GWP - share RI</v>
          </cell>
        </row>
        <row r="47035">
          <cell r="S47035">
            <v>-17400.04</v>
          </cell>
          <cell r="X47035" t="str">
            <v>GWP - share RI</v>
          </cell>
        </row>
        <row r="47036">
          <cell r="S47036">
            <v>3807.03</v>
          </cell>
          <cell r="X47036" t="str">
            <v>GWP - share RI</v>
          </cell>
        </row>
        <row r="47037">
          <cell r="S47037">
            <v>6242.77</v>
          </cell>
          <cell r="X47037" t="str">
            <v>GWP - share RI</v>
          </cell>
        </row>
        <row r="47038">
          <cell r="S47038">
            <v>-1540000</v>
          </cell>
          <cell r="X47038" t="str">
            <v>GWP - share RI</v>
          </cell>
        </row>
        <row r="47039">
          <cell r="S47039">
            <v>2399.42</v>
          </cell>
          <cell r="X47039" t="str">
            <v>GWP - share RI</v>
          </cell>
        </row>
        <row r="47040">
          <cell r="S47040">
            <v>8352.34</v>
          </cell>
          <cell r="X47040" t="str">
            <v>GWP - share RI</v>
          </cell>
        </row>
        <row r="47041">
          <cell r="S47041">
            <v>2319.9299999999998</v>
          </cell>
          <cell r="X47041" t="str">
            <v>GWP - share RI</v>
          </cell>
        </row>
        <row r="47042">
          <cell r="S47042">
            <v>-2581.09</v>
          </cell>
          <cell r="X47042" t="str">
            <v>GWP - share RI</v>
          </cell>
        </row>
        <row r="47043">
          <cell r="S47043">
            <v>3110.65</v>
          </cell>
          <cell r="X47043" t="str">
            <v>GWP - share RI</v>
          </cell>
        </row>
        <row r="47044">
          <cell r="S47044">
            <v>-2397.33</v>
          </cell>
          <cell r="X47044" t="str">
            <v>GWP - share RI</v>
          </cell>
        </row>
        <row r="47045">
          <cell r="S47045">
            <v>1547.06</v>
          </cell>
          <cell r="X47045" t="str">
            <v>GWP - share RI</v>
          </cell>
        </row>
        <row r="47046">
          <cell r="S47046">
            <v>41880.050000000003</v>
          </cell>
          <cell r="X47046" t="str">
            <v>GWP - share RI</v>
          </cell>
        </row>
        <row r="47047">
          <cell r="S47047">
            <v>246.47</v>
          </cell>
          <cell r="X47047" t="str">
            <v>GWP - share RI</v>
          </cell>
        </row>
        <row r="47048">
          <cell r="S47048">
            <v>-6808.54</v>
          </cell>
          <cell r="X47048" t="str">
            <v>GWP - share RI</v>
          </cell>
        </row>
        <row r="47049">
          <cell r="S47049">
            <v>-3110.65</v>
          </cell>
          <cell r="X47049" t="str">
            <v>GWP - share RI</v>
          </cell>
        </row>
        <row r="47050">
          <cell r="S47050">
            <v>49770.51</v>
          </cell>
          <cell r="X47050" t="str">
            <v>GWP - share RI</v>
          </cell>
        </row>
        <row r="47051">
          <cell r="S47051">
            <v>-41190.959999999999</v>
          </cell>
          <cell r="X47051" t="str">
            <v>GWP - share RI</v>
          </cell>
        </row>
        <row r="47052">
          <cell r="S47052">
            <v>-6995.79</v>
          </cell>
          <cell r="X47052" t="str">
            <v>GWP - share RI</v>
          </cell>
        </row>
        <row r="47053">
          <cell r="S47053">
            <v>-5304.56</v>
          </cell>
          <cell r="X47053" t="str">
            <v>GWP - share RI</v>
          </cell>
        </row>
        <row r="47054">
          <cell r="S47054">
            <v>-15921.04</v>
          </cell>
          <cell r="X47054" t="str">
            <v>GWP - share RI</v>
          </cell>
        </row>
        <row r="47055">
          <cell r="S47055">
            <v>2581.09</v>
          </cell>
          <cell r="X47055" t="str">
            <v>GWP - share RI</v>
          </cell>
        </row>
        <row r="47056">
          <cell r="S47056">
            <v>-48951.57</v>
          </cell>
          <cell r="X47056" t="str">
            <v>GWP - share RI</v>
          </cell>
        </row>
        <row r="47057">
          <cell r="S47057">
            <v>2948452.47</v>
          </cell>
          <cell r="X47057" t="str">
            <v>GWP - share RI</v>
          </cell>
        </row>
        <row r="47058">
          <cell r="S47058">
            <v>1805.78</v>
          </cell>
          <cell r="X47058" t="str">
            <v>GWP - share RI</v>
          </cell>
        </row>
        <row r="47059">
          <cell r="S47059">
            <v>-3800.15</v>
          </cell>
          <cell r="X47059" t="str">
            <v>GWP - share RI</v>
          </cell>
        </row>
        <row r="47060">
          <cell r="S47060">
            <v>459229.2</v>
          </cell>
          <cell r="X47060" t="str">
            <v>GWP - share RI</v>
          </cell>
        </row>
        <row r="47061">
          <cell r="S47061">
            <v>862961.69</v>
          </cell>
          <cell r="X47061" t="str">
            <v>GWP - share RI</v>
          </cell>
        </row>
        <row r="47062">
          <cell r="S47062">
            <v>3800.15</v>
          </cell>
          <cell r="X47062" t="str">
            <v>GWP - share RI</v>
          </cell>
        </row>
        <row r="47063">
          <cell r="S47063">
            <v>-17400.04</v>
          </cell>
          <cell r="X47063" t="str">
            <v>GWP - share RI</v>
          </cell>
        </row>
        <row r="47064">
          <cell r="S47064">
            <v>-2846.55</v>
          </cell>
          <cell r="X47064" t="str">
            <v>GWP - share RI</v>
          </cell>
        </row>
        <row r="47065">
          <cell r="S47065">
            <v>-4097.0200000000004</v>
          </cell>
          <cell r="X47065" t="str">
            <v>GWP - share RI</v>
          </cell>
        </row>
        <row r="47066">
          <cell r="S47066">
            <v>-11136.44</v>
          </cell>
          <cell r="X47066" t="str">
            <v>GWP - share RI</v>
          </cell>
        </row>
        <row r="47067">
          <cell r="S47067">
            <v>7913.95</v>
          </cell>
          <cell r="X47067" t="str">
            <v>GWP - share RI</v>
          </cell>
        </row>
        <row r="47068">
          <cell r="S47068">
            <v>6470.09</v>
          </cell>
          <cell r="X47068" t="str">
            <v>GWP - share RI</v>
          </cell>
        </row>
        <row r="47069">
          <cell r="S47069">
            <v>13325.31</v>
          </cell>
          <cell r="X47069" t="str">
            <v>GWP - share RI</v>
          </cell>
        </row>
        <row r="47070">
          <cell r="S47070">
            <v>-3528.54</v>
          </cell>
          <cell r="X47070" t="str">
            <v>GWP - share RI</v>
          </cell>
        </row>
        <row r="47071">
          <cell r="S47071">
            <v>-10783.49</v>
          </cell>
          <cell r="X47071" t="str">
            <v>GWP - share RI</v>
          </cell>
        </row>
        <row r="47072">
          <cell r="S47072">
            <v>4840.16</v>
          </cell>
          <cell r="X47072" t="str">
            <v>GWP - share RI</v>
          </cell>
        </row>
        <row r="47073">
          <cell r="S47073">
            <v>17685.91</v>
          </cell>
          <cell r="X47073" t="str">
            <v>GWP - share RI</v>
          </cell>
        </row>
        <row r="47074">
          <cell r="S47074">
            <v>-50.01</v>
          </cell>
          <cell r="X47074" t="str">
            <v>GWP - share RI</v>
          </cell>
        </row>
        <row r="47075">
          <cell r="S47075">
            <v>6351.16</v>
          </cell>
          <cell r="X47075" t="str">
            <v>GWP - share RI</v>
          </cell>
        </row>
        <row r="47076">
          <cell r="S47076">
            <v>24031.77</v>
          </cell>
          <cell r="X47076" t="str">
            <v>GWP - share RI</v>
          </cell>
        </row>
        <row r="47077">
          <cell r="S47077">
            <v>3271.43</v>
          </cell>
          <cell r="X47077" t="str">
            <v>GWP - share RI</v>
          </cell>
        </row>
        <row r="47078">
          <cell r="S47078">
            <v>3528.54</v>
          </cell>
          <cell r="X47078" t="str">
            <v>GWP - share RI</v>
          </cell>
        </row>
        <row r="47079">
          <cell r="S47079">
            <v>3441.45</v>
          </cell>
          <cell r="X47079" t="str">
            <v>GWP - share RI</v>
          </cell>
        </row>
        <row r="47080">
          <cell r="S47080">
            <v>6995.79</v>
          </cell>
          <cell r="X47080" t="str">
            <v>GWP - share RI</v>
          </cell>
        </row>
        <row r="47081">
          <cell r="S47081">
            <v>-24031.77</v>
          </cell>
          <cell r="X47081" t="str">
            <v>GWP - share RI</v>
          </cell>
        </row>
        <row r="47082">
          <cell r="S47082">
            <v>-8034</v>
          </cell>
          <cell r="X47082" t="str">
            <v>GWP - share RI</v>
          </cell>
        </row>
        <row r="47083">
          <cell r="S47083">
            <v>-13325.31</v>
          </cell>
          <cell r="X47083" t="str">
            <v>GWP - share RI</v>
          </cell>
        </row>
        <row r="47084">
          <cell r="S47084">
            <v>-14419.07</v>
          </cell>
          <cell r="X47084" t="str">
            <v>GWP - share RI</v>
          </cell>
        </row>
        <row r="47085">
          <cell r="S47085">
            <v>17400.04</v>
          </cell>
          <cell r="X47085" t="str">
            <v>GWP - share RI</v>
          </cell>
        </row>
        <row r="47086">
          <cell r="S47086">
            <v>7773.09</v>
          </cell>
          <cell r="X47086" t="str">
            <v>GWP - share RI</v>
          </cell>
        </row>
        <row r="47087">
          <cell r="S47087">
            <v>7189</v>
          </cell>
          <cell r="X47087" t="str">
            <v>GWP - share RI</v>
          </cell>
        </row>
        <row r="47088">
          <cell r="S47088">
            <v>-7189</v>
          </cell>
          <cell r="X47088" t="str">
            <v>GWP - share RI</v>
          </cell>
        </row>
        <row r="47089">
          <cell r="S47089">
            <v>15921.04</v>
          </cell>
          <cell r="X47089" t="str">
            <v>GWP - share RI</v>
          </cell>
        </row>
        <row r="47090">
          <cell r="S47090">
            <v>429.59</v>
          </cell>
          <cell r="X47090" t="str">
            <v>GWP - share RI</v>
          </cell>
        </row>
        <row r="47091">
          <cell r="S47091">
            <v>2481015.13</v>
          </cell>
          <cell r="X47091" t="str">
            <v>GWP - share RI</v>
          </cell>
        </row>
        <row r="47092">
          <cell r="S47092">
            <v>-11540.81</v>
          </cell>
          <cell r="X47092" t="str">
            <v>GWP - share RI</v>
          </cell>
        </row>
        <row r="47093">
          <cell r="S47093">
            <v>-2399.41</v>
          </cell>
          <cell r="X47093" t="str">
            <v>GWP - share RI</v>
          </cell>
        </row>
        <row r="47094">
          <cell r="S47094">
            <v>11706.42</v>
          </cell>
          <cell r="X47094" t="str">
            <v>GWP - share RI</v>
          </cell>
        </row>
        <row r="47095">
          <cell r="S47095">
            <v>-16021.21</v>
          </cell>
          <cell r="X47095" t="str">
            <v>GWP - share RI</v>
          </cell>
        </row>
        <row r="47096">
          <cell r="S47096">
            <v>5304.56</v>
          </cell>
          <cell r="X47096" t="str">
            <v>GWP - share RI</v>
          </cell>
        </row>
        <row r="47097">
          <cell r="S47097">
            <v>-10386.81</v>
          </cell>
          <cell r="X47097" t="str">
            <v>GWP - share RI</v>
          </cell>
        </row>
        <row r="47098">
          <cell r="S47098">
            <v>-2199.4499999999998</v>
          </cell>
          <cell r="X47098" t="str">
            <v>GWP - share RI</v>
          </cell>
        </row>
        <row r="47099">
          <cell r="S47099">
            <v>-2899938.68</v>
          </cell>
          <cell r="X47099" t="str">
            <v>GWP - share RI</v>
          </cell>
        </row>
        <row r="47100">
          <cell r="S47100">
            <v>4356.3500000000004</v>
          </cell>
          <cell r="X47100" t="str">
            <v>GWP - share RI</v>
          </cell>
        </row>
        <row r="47101">
          <cell r="S47101">
            <v>-3234.49</v>
          </cell>
          <cell r="X47101" t="str">
            <v>GWP - share RI</v>
          </cell>
        </row>
        <row r="47102">
          <cell r="S47102">
            <v>2581.09</v>
          </cell>
          <cell r="X47102" t="str">
            <v>GWP - share RI</v>
          </cell>
        </row>
        <row r="47103">
          <cell r="S47103">
            <v>3319.63</v>
          </cell>
          <cell r="X47103" t="str">
            <v>GWP - share RI</v>
          </cell>
        </row>
        <row r="47104">
          <cell r="S47104">
            <v>2589.16</v>
          </cell>
          <cell r="X47104" t="str">
            <v>GWP - share RI</v>
          </cell>
        </row>
        <row r="47105">
          <cell r="S47105">
            <v>16021.21</v>
          </cell>
          <cell r="X47105" t="str">
            <v>GWP - share RI</v>
          </cell>
        </row>
        <row r="47106">
          <cell r="S47106">
            <v>-3319.63</v>
          </cell>
          <cell r="X47106" t="str">
            <v>GWP - share RI</v>
          </cell>
        </row>
        <row r="47107">
          <cell r="S47107">
            <v>-3441.45</v>
          </cell>
          <cell r="X47107" t="str">
            <v>GWP - share RI</v>
          </cell>
        </row>
        <row r="47108">
          <cell r="S47108">
            <v>-14327.29</v>
          </cell>
          <cell r="X47108" t="str">
            <v>GWP - share RI</v>
          </cell>
        </row>
        <row r="47109">
          <cell r="S47109">
            <v>2944.66</v>
          </cell>
          <cell r="X47109" t="str">
            <v>GWP - share RI</v>
          </cell>
        </row>
        <row r="47110">
          <cell r="S47110">
            <v>-7364.5</v>
          </cell>
          <cell r="X47110" t="str">
            <v>GWP - share RI</v>
          </cell>
        </row>
        <row r="47111">
          <cell r="S47111">
            <v>14326.64</v>
          </cell>
          <cell r="X47111" t="str">
            <v>GWP - share RI</v>
          </cell>
        </row>
        <row r="47112">
          <cell r="S47112">
            <v>1972.73</v>
          </cell>
          <cell r="X47112" t="str">
            <v>GWP - share RI</v>
          </cell>
        </row>
        <row r="47113">
          <cell r="S47113">
            <v>-57</v>
          </cell>
          <cell r="X47113" t="str">
            <v>GWP - share RI</v>
          </cell>
        </row>
        <row r="47114">
          <cell r="S47114">
            <v>8664.11</v>
          </cell>
          <cell r="X47114" t="str">
            <v>GWP - share RI</v>
          </cell>
        </row>
        <row r="47115">
          <cell r="S47115">
            <v>7189</v>
          </cell>
          <cell r="X47115" t="str">
            <v>GWP - share RI</v>
          </cell>
        </row>
        <row r="47116">
          <cell r="S47116">
            <v>-7773.09</v>
          </cell>
          <cell r="X47116" t="str">
            <v>GWP - share RI</v>
          </cell>
        </row>
        <row r="47117">
          <cell r="S47117">
            <v>-435.49</v>
          </cell>
          <cell r="X47117" t="str">
            <v>GWP - share RI</v>
          </cell>
        </row>
        <row r="47118">
          <cell r="S47118">
            <v>1350.32</v>
          </cell>
          <cell r="X47118" t="str">
            <v>GWP - share RI</v>
          </cell>
        </row>
        <row r="47119">
          <cell r="S47119">
            <v>-2990.36</v>
          </cell>
          <cell r="X47119" t="str">
            <v>GWP - share RI</v>
          </cell>
        </row>
        <row r="47120">
          <cell r="S47120">
            <v>-526.76</v>
          </cell>
          <cell r="X47120" t="str">
            <v>GWP - share RI</v>
          </cell>
        </row>
        <row r="47121">
          <cell r="S47121">
            <v>14566.99</v>
          </cell>
          <cell r="X47121" t="str">
            <v>GWP - share RI</v>
          </cell>
        </row>
        <row r="47122">
          <cell r="S47122">
            <v>1540000</v>
          </cell>
          <cell r="X47122" t="str">
            <v>GWP - share RI</v>
          </cell>
        </row>
        <row r="47123">
          <cell r="S47123">
            <v>2846.55</v>
          </cell>
          <cell r="X47123" t="str">
            <v>GWP - share RI</v>
          </cell>
        </row>
        <row r="47124">
          <cell r="S47124">
            <v>-6470.09</v>
          </cell>
          <cell r="X47124" t="str">
            <v>GWP - share RI</v>
          </cell>
        </row>
        <row r="47125">
          <cell r="S47125">
            <v>17400.04</v>
          </cell>
          <cell r="X47125" t="str">
            <v>GWP - share RI</v>
          </cell>
        </row>
        <row r="47126">
          <cell r="S47126">
            <v>-1972.73</v>
          </cell>
          <cell r="X47126" t="str">
            <v>GWP - share RI</v>
          </cell>
        </row>
        <row r="47127">
          <cell r="S47127">
            <v>-537.55999999999995</v>
          </cell>
          <cell r="X47127" t="str">
            <v>GWP - share RI</v>
          </cell>
        </row>
        <row r="47128">
          <cell r="S47128">
            <v>8034</v>
          </cell>
          <cell r="X47128" t="str">
            <v>GWP - share RI</v>
          </cell>
        </row>
        <row r="47129">
          <cell r="S47129">
            <v>11540.81</v>
          </cell>
          <cell r="X47129" t="str">
            <v>GWP - share RI</v>
          </cell>
        </row>
        <row r="47130">
          <cell r="S47130">
            <v>-5786.8</v>
          </cell>
          <cell r="X47130" t="str">
            <v>GWP - share RI</v>
          </cell>
        </row>
        <row r="47131">
          <cell r="S47131">
            <v>-2440192.2599999998</v>
          </cell>
          <cell r="X47131" t="str">
            <v>GWP - share RI</v>
          </cell>
        </row>
        <row r="47132">
          <cell r="S47132">
            <v>4097.0200000000004</v>
          </cell>
          <cell r="X47132" t="str">
            <v>GWP - share RI</v>
          </cell>
        </row>
        <row r="47133">
          <cell r="S47133">
            <v>-2944.66</v>
          </cell>
          <cell r="X47133" t="str">
            <v>GWP - share RI</v>
          </cell>
        </row>
        <row r="47134">
          <cell r="S47134">
            <v>7773.09</v>
          </cell>
          <cell r="X47134" t="str">
            <v>GWP - share RI</v>
          </cell>
        </row>
        <row r="47135">
          <cell r="S47135">
            <v>10783.49</v>
          </cell>
          <cell r="X47135" t="str">
            <v>GWP - share RI</v>
          </cell>
        </row>
        <row r="47136">
          <cell r="S47136">
            <v>4823.51</v>
          </cell>
          <cell r="X47136" t="str">
            <v>GWP - share RI</v>
          </cell>
        </row>
        <row r="47137">
          <cell r="S47137">
            <v>50</v>
          </cell>
          <cell r="X47137" t="str">
            <v>GWP - share RI</v>
          </cell>
        </row>
        <row r="47138">
          <cell r="S47138">
            <v>14419.07</v>
          </cell>
          <cell r="X47138" t="str">
            <v>GWP - share RI</v>
          </cell>
        </row>
        <row r="47139">
          <cell r="S47139">
            <v>-343.79</v>
          </cell>
          <cell r="X47139" t="str">
            <v>GWP - share RI</v>
          </cell>
        </row>
        <row r="47140">
          <cell r="S47140">
            <v>-2824.1</v>
          </cell>
          <cell r="X47140" t="str">
            <v>GWP - share RI</v>
          </cell>
        </row>
        <row r="47141">
          <cell r="S47141">
            <v>-2319.9299999999998</v>
          </cell>
          <cell r="X47141" t="str">
            <v>GWP - share RI</v>
          </cell>
        </row>
        <row r="47142">
          <cell r="S47142">
            <v>-1350.32</v>
          </cell>
          <cell r="X47142" t="str">
            <v>GWP - share RI</v>
          </cell>
        </row>
        <row r="47143">
          <cell r="S47143">
            <v>3234.49</v>
          </cell>
          <cell r="X47143" t="str">
            <v>GWP - share RI</v>
          </cell>
        </row>
        <row r="47144">
          <cell r="S47144">
            <v>2990.36</v>
          </cell>
          <cell r="X47144" t="str">
            <v>GWP - share RI</v>
          </cell>
        </row>
        <row r="47145">
          <cell r="S47145">
            <v>3319.63</v>
          </cell>
          <cell r="X47145" t="str">
            <v>GWP - share RI</v>
          </cell>
        </row>
        <row r="47146">
          <cell r="S47146">
            <v>2199.4499999999998</v>
          </cell>
          <cell r="X47146" t="str">
            <v>GWP - share RI</v>
          </cell>
        </row>
        <row r="47147">
          <cell r="S47147">
            <v>10386.81</v>
          </cell>
          <cell r="X47147" t="str">
            <v>GWP - share RI</v>
          </cell>
        </row>
        <row r="47148">
          <cell r="S47148">
            <v>2397.33</v>
          </cell>
          <cell r="X47148" t="str">
            <v>GWP - share RI</v>
          </cell>
        </row>
        <row r="47149">
          <cell r="S47149">
            <v>7364.5</v>
          </cell>
          <cell r="X47149" t="str">
            <v>GWP - share RI</v>
          </cell>
        </row>
        <row r="47150">
          <cell r="S47150">
            <v>-5259.84</v>
          </cell>
          <cell r="X47150" t="str">
            <v>GWP - share RI</v>
          </cell>
        </row>
        <row r="47151">
          <cell r="S47151">
            <v>-459229.2</v>
          </cell>
          <cell r="X47151" t="str">
            <v>GWP - share RI</v>
          </cell>
        </row>
        <row r="47152">
          <cell r="S47152">
            <v>-401.32</v>
          </cell>
          <cell r="X47152" t="str">
            <v>GWP - share RI</v>
          </cell>
        </row>
        <row r="47153">
          <cell r="S47153">
            <v>-4469.4799999999996</v>
          </cell>
          <cell r="X47153" t="str">
            <v>GWP - share RI</v>
          </cell>
        </row>
        <row r="47154">
          <cell r="S47154">
            <v>-4152.26</v>
          </cell>
          <cell r="X47154" t="str">
            <v>GWP - share RI</v>
          </cell>
        </row>
        <row r="47155">
          <cell r="S47155">
            <v>-14326.64</v>
          </cell>
          <cell r="X47155" t="str">
            <v>GWP - share RI</v>
          </cell>
        </row>
        <row r="47156">
          <cell r="S47156">
            <v>-848762.54</v>
          </cell>
          <cell r="X47156" t="str">
            <v>GWP - share RI</v>
          </cell>
        </row>
        <row r="47157">
          <cell r="S47157">
            <v>-303.38</v>
          </cell>
          <cell r="X47157" t="str">
            <v>GWP - share RI</v>
          </cell>
        </row>
        <row r="47158">
          <cell r="S47158">
            <v>8167.56</v>
          </cell>
          <cell r="X47158" t="str">
            <v>GWP - share RI</v>
          </cell>
        </row>
        <row r="47159">
          <cell r="S47159">
            <v>3669.16</v>
          </cell>
          <cell r="X47159" t="str">
            <v>GWP - share RI</v>
          </cell>
        </row>
        <row r="47160">
          <cell r="S47160">
            <v>-3669.16</v>
          </cell>
          <cell r="X47160" t="str">
            <v>GWP - share RI</v>
          </cell>
        </row>
        <row r="47161">
          <cell r="S47161">
            <v>-1805.78</v>
          </cell>
          <cell r="X47161" t="str">
            <v>GWP - share RI</v>
          </cell>
        </row>
        <row r="47162">
          <cell r="S47162">
            <v>4469.49</v>
          </cell>
          <cell r="X47162" t="str">
            <v>GWP - share RI</v>
          </cell>
        </row>
        <row r="47163">
          <cell r="S47163">
            <v>16021.21</v>
          </cell>
          <cell r="X47163" t="str">
            <v>GWP - share RI</v>
          </cell>
        </row>
        <row r="47164">
          <cell r="S47164">
            <v>-1547.06</v>
          </cell>
          <cell r="X47164" t="str">
            <v>GWP - share RI</v>
          </cell>
        </row>
        <row r="47165">
          <cell r="S47165">
            <v>52692.59</v>
          </cell>
          <cell r="X47165" t="str">
            <v>GWP - share RI</v>
          </cell>
        </row>
        <row r="47166">
          <cell r="S47166">
            <v>-31747.7</v>
          </cell>
          <cell r="X47166" t="str">
            <v>GWP - share RI</v>
          </cell>
        </row>
        <row r="47167">
          <cell r="S47167">
            <v>28039.34</v>
          </cell>
          <cell r="X47167" t="str">
            <v>GWP - share RI</v>
          </cell>
        </row>
        <row r="47168">
          <cell r="S47168">
            <v>20945.72</v>
          </cell>
          <cell r="X47168" t="str">
            <v>GWP - share RI</v>
          </cell>
        </row>
        <row r="47169">
          <cell r="S47169">
            <v>-3103.53</v>
          </cell>
          <cell r="X47169" t="str">
            <v>GWP - share RI</v>
          </cell>
        </row>
        <row r="47170">
          <cell r="S47170">
            <v>70254.12</v>
          </cell>
          <cell r="X47170" t="str">
            <v>GWP - share RI</v>
          </cell>
        </row>
        <row r="47171">
          <cell r="S47171">
            <v>304.02</v>
          </cell>
          <cell r="X47171" t="str">
            <v>GWP - share RI</v>
          </cell>
        </row>
        <row r="47172">
          <cell r="S47172">
            <v>41508.32</v>
          </cell>
          <cell r="X47172" t="str">
            <v>GWP - share RI</v>
          </cell>
        </row>
        <row r="47173">
          <cell r="S47173">
            <v>67352.740000000005</v>
          </cell>
          <cell r="X47173" t="str">
            <v>GWP - share RI</v>
          </cell>
        </row>
        <row r="47174">
          <cell r="S47174">
            <v>32116.76</v>
          </cell>
          <cell r="X47174" t="str">
            <v>GWP - share RI</v>
          </cell>
        </row>
        <row r="47175">
          <cell r="S47175">
            <v>538.66999999999996</v>
          </cell>
          <cell r="X47175" t="str">
            <v>GWP - share RI</v>
          </cell>
        </row>
        <row r="47176">
          <cell r="S47176">
            <v>69267.710000000006</v>
          </cell>
          <cell r="X47176" t="str">
            <v>GWP - share RI</v>
          </cell>
        </row>
        <row r="47177">
          <cell r="S47177">
            <v>33848.28</v>
          </cell>
          <cell r="X47177" t="str">
            <v>GWP - share RI</v>
          </cell>
        </row>
        <row r="47178">
          <cell r="S47178">
            <v>436.39</v>
          </cell>
          <cell r="X47178" t="str">
            <v>GWP - share RI</v>
          </cell>
        </row>
        <row r="47179">
          <cell r="S47179">
            <v>31747.7</v>
          </cell>
          <cell r="X47179" t="str">
            <v>GWP - share RI</v>
          </cell>
        </row>
        <row r="47180">
          <cell r="S47180">
            <v>402.14</v>
          </cell>
          <cell r="X47180" t="str">
            <v>GWP - share RI</v>
          </cell>
        </row>
        <row r="47181">
          <cell r="S47181">
            <v>3117.1</v>
          </cell>
          <cell r="X47181" t="str">
            <v>GWP - share RI</v>
          </cell>
        </row>
        <row r="47182">
          <cell r="S47182">
            <v>-70254.12</v>
          </cell>
          <cell r="X47182" t="str">
            <v>GWP - share RI</v>
          </cell>
        </row>
        <row r="47183">
          <cell r="S47183">
            <v>-69267.710000000006</v>
          </cell>
          <cell r="X47183" t="str">
            <v>GWP - share RI</v>
          </cell>
        </row>
        <row r="47184">
          <cell r="S47184">
            <v>344.51</v>
          </cell>
          <cell r="X47184" t="str">
            <v>GWP - share RI</v>
          </cell>
        </row>
        <row r="47185">
          <cell r="S47185">
            <v>-3117.1</v>
          </cell>
          <cell r="X47185" t="str">
            <v>GWP - share RI</v>
          </cell>
        </row>
        <row r="47186">
          <cell r="S47186">
            <v>83193.64</v>
          </cell>
          <cell r="X47186" t="str">
            <v>GWP - share RI</v>
          </cell>
        </row>
        <row r="47187">
          <cell r="S47187">
            <v>3103.53</v>
          </cell>
          <cell r="X47187" t="str">
            <v>GWP - share RI</v>
          </cell>
        </row>
        <row r="47188">
          <cell r="S47188">
            <v>-144875.70000000001</v>
          </cell>
          <cell r="X47188" t="str">
            <v>GWP - share RI</v>
          </cell>
        </row>
        <row r="47189">
          <cell r="S47189">
            <v>84.68</v>
          </cell>
          <cell r="X47189" t="str">
            <v>GWP - share RI</v>
          </cell>
        </row>
        <row r="47190">
          <cell r="S47190">
            <v>160087.10999999999</v>
          </cell>
          <cell r="X47190" t="str">
            <v>GWP - share RI</v>
          </cell>
        </row>
        <row r="47191">
          <cell r="S47191">
            <v>-1730519.95</v>
          </cell>
          <cell r="X47191" t="str">
            <v>GWP - share RI</v>
          </cell>
        </row>
        <row r="47192">
          <cell r="S47192">
            <v>-533000.31000000006</v>
          </cell>
          <cell r="X47192" t="str">
            <v>GWP - share RI</v>
          </cell>
        </row>
        <row r="47193">
          <cell r="S47193">
            <v>-350389.2</v>
          </cell>
          <cell r="X47193" t="str">
            <v>GWP - share RI</v>
          </cell>
        </row>
        <row r="47194">
          <cell r="S47194">
            <v>7294.72</v>
          </cell>
          <cell r="X47194" t="str">
            <v>GWP - share RI</v>
          </cell>
        </row>
        <row r="47195">
          <cell r="S47195">
            <v>167923.53</v>
          </cell>
          <cell r="X47195" t="str">
            <v>GWP - share RI</v>
          </cell>
        </row>
        <row r="47196">
          <cell r="S47196">
            <v>-1031172.26</v>
          </cell>
          <cell r="X47196" t="str">
            <v>GWP - share RI</v>
          </cell>
        </row>
        <row r="47197">
          <cell r="S47197">
            <v>97850.8</v>
          </cell>
          <cell r="X47197" t="str">
            <v>GWP - share RI</v>
          </cell>
        </row>
        <row r="47198">
          <cell r="S47198">
            <v>250454.39</v>
          </cell>
          <cell r="X47198" t="str">
            <v>GWP - share RI</v>
          </cell>
        </row>
        <row r="47199">
          <cell r="S47199">
            <v>-350389.2</v>
          </cell>
          <cell r="X47199" t="str">
            <v>GWP - share RI</v>
          </cell>
        </row>
        <row r="47200">
          <cell r="S47200">
            <v>-3796.23</v>
          </cell>
          <cell r="X47200" t="str">
            <v>GWP - share RI</v>
          </cell>
        </row>
        <row r="47201">
          <cell r="S47201">
            <v>84.68</v>
          </cell>
          <cell r="X47201" t="str">
            <v>GWP - share RI</v>
          </cell>
        </row>
        <row r="47202">
          <cell r="S47202">
            <v>74909.05</v>
          </cell>
          <cell r="X47202" t="str">
            <v>GWP - share RI</v>
          </cell>
        </row>
        <row r="47203">
          <cell r="S47203">
            <v>-4286.1499999999996</v>
          </cell>
          <cell r="X47203" t="str">
            <v>GWP - share RI</v>
          </cell>
        </row>
        <row r="47204">
          <cell r="S47204">
            <v>-113083.52</v>
          </cell>
          <cell r="X47204" t="str">
            <v>GWP - share RI</v>
          </cell>
        </row>
        <row r="47205">
          <cell r="S47205">
            <v>6803.47</v>
          </cell>
          <cell r="X47205" t="str">
            <v>GWP - share RI</v>
          </cell>
        </row>
        <row r="47206">
          <cell r="S47206">
            <v>310076.13</v>
          </cell>
          <cell r="X47206" t="str">
            <v>GWP - share RI</v>
          </cell>
        </row>
        <row r="47207">
          <cell r="S47207">
            <v>-97850.8</v>
          </cell>
          <cell r="X47207" t="str">
            <v>GWP - share RI</v>
          </cell>
        </row>
        <row r="47208">
          <cell r="S47208">
            <v>730588.16000000003</v>
          </cell>
          <cell r="X47208" t="str">
            <v>GWP - share RI</v>
          </cell>
        </row>
        <row r="47209">
          <cell r="S47209">
            <v>4981.7</v>
          </cell>
          <cell r="X47209" t="str">
            <v>GWP - share RI</v>
          </cell>
        </row>
        <row r="47210">
          <cell r="S47210">
            <v>-611375.43999999994</v>
          </cell>
          <cell r="X47210" t="str">
            <v>GWP - share RI</v>
          </cell>
        </row>
        <row r="47211">
          <cell r="S47211">
            <v>-71633.38</v>
          </cell>
          <cell r="X47211" t="str">
            <v>GWP - share RI</v>
          </cell>
        </row>
        <row r="47212">
          <cell r="S47212">
            <v>-168600</v>
          </cell>
          <cell r="X47212" t="str">
            <v>GWP - share RI</v>
          </cell>
        </row>
        <row r="47213">
          <cell r="S47213">
            <v>-12747.3</v>
          </cell>
          <cell r="X47213" t="str">
            <v>GWP - share RI</v>
          </cell>
        </row>
        <row r="47214">
          <cell r="S47214">
            <v>-240318.94</v>
          </cell>
          <cell r="X47214" t="str">
            <v>GWP - share RI</v>
          </cell>
        </row>
        <row r="47215">
          <cell r="S47215">
            <v>-776306.43</v>
          </cell>
          <cell r="X47215" t="str">
            <v>GWP - share RI</v>
          </cell>
        </row>
        <row r="47216">
          <cell r="S47216">
            <v>261068.13</v>
          </cell>
          <cell r="X47216" t="str">
            <v>GWP - share RI</v>
          </cell>
        </row>
        <row r="47217">
          <cell r="S47217">
            <v>-4425.6000000000004</v>
          </cell>
          <cell r="X47217" t="str">
            <v>GWP - share RI</v>
          </cell>
        </row>
        <row r="47218">
          <cell r="S47218">
            <v>-310076.13</v>
          </cell>
          <cell r="X47218" t="str">
            <v>GWP - share RI</v>
          </cell>
        </row>
        <row r="47219">
          <cell r="S47219">
            <v>-94019.98</v>
          </cell>
          <cell r="X47219" t="str">
            <v>GWP - share RI</v>
          </cell>
        </row>
        <row r="47220">
          <cell r="S47220">
            <v>-93500</v>
          </cell>
          <cell r="X47220" t="str">
            <v>GWP - share RI</v>
          </cell>
        </row>
        <row r="47221">
          <cell r="S47221">
            <v>436277.59</v>
          </cell>
          <cell r="X47221" t="str">
            <v>GWP - share RI</v>
          </cell>
        </row>
        <row r="47222">
          <cell r="S47222">
            <v>43768.3</v>
          </cell>
          <cell r="X47222" t="str">
            <v>GWP - share RI</v>
          </cell>
        </row>
        <row r="47223">
          <cell r="S47223">
            <v>350389.2</v>
          </cell>
          <cell r="X47223" t="str">
            <v>GWP - share RI</v>
          </cell>
        </row>
        <row r="47224">
          <cell r="S47224">
            <v>247144.49</v>
          </cell>
          <cell r="X47224" t="str">
            <v>GWP - share RI</v>
          </cell>
        </row>
        <row r="47225">
          <cell r="S47225">
            <v>418340.3</v>
          </cell>
          <cell r="X47225" t="str">
            <v>GWP - share RI</v>
          </cell>
        </row>
        <row r="47226">
          <cell r="S47226">
            <v>-842713.1</v>
          </cell>
          <cell r="X47226" t="str">
            <v>GWP - share RI</v>
          </cell>
        </row>
        <row r="47227">
          <cell r="S47227">
            <v>-102035.85</v>
          </cell>
          <cell r="X47227" t="str">
            <v>GWP - share RI</v>
          </cell>
        </row>
        <row r="47228">
          <cell r="S47228">
            <v>-462580.13</v>
          </cell>
          <cell r="X47228" t="str">
            <v>GWP - share RI</v>
          </cell>
        </row>
        <row r="47229">
          <cell r="S47229">
            <v>791479.59</v>
          </cell>
          <cell r="X47229" t="str">
            <v>GWP - share RI</v>
          </cell>
        </row>
        <row r="47230">
          <cell r="S47230">
            <v>139615.10999999999</v>
          </cell>
          <cell r="X47230" t="str">
            <v>GWP - share RI</v>
          </cell>
        </row>
        <row r="47231">
          <cell r="S47231">
            <v>243201.78</v>
          </cell>
          <cell r="X47231" t="str">
            <v>GWP - share RI</v>
          </cell>
        </row>
        <row r="47232">
          <cell r="S47232">
            <v>173125.16</v>
          </cell>
          <cell r="X47232" t="str">
            <v>GWP - share RI</v>
          </cell>
        </row>
        <row r="47233">
          <cell r="S47233">
            <v>-163777.73000000001</v>
          </cell>
          <cell r="X47233" t="str">
            <v>GWP - share RI</v>
          </cell>
        </row>
        <row r="47234">
          <cell r="S47234">
            <v>1152776.4099999999</v>
          </cell>
          <cell r="X47234" t="str">
            <v>GWP - share RI</v>
          </cell>
        </row>
        <row r="47235">
          <cell r="S47235">
            <v>407264.35</v>
          </cell>
          <cell r="X47235" t="str">
            <v>GWP - share RI</v>
          </cell>
        </row>
        <row r="47236">
          <cell r="S47236">
            <v>-365088.6</v>
          </cell>
          <cell r="X47236" t="str">
            <v>GWP - share RI</v>
          </cell>
        </row>
        <row r="47237">
          <cell r="S47237">
            <v>-3796.23</v>
          </cell>
          <cell r="X47237" t="str">
            <v>GWP - share RI</v>
          </cell>
        </row>
        <row r="47238">
          <cell r="S47238">
            <v>-6803.47</v>
          </cell>
          <cell r="X47238" t="str">
            <v>GWP - share RI</v>
          </cell>
        </row>
        <row r="47239">
          <cell r="S47239">
            <v>148838.91</v>
          </cell>
          <cell r="X47239" t="str">
            <v>GWP - share RI</v>
          </cell>
        </row>
        <row r="47240">
          <cell r="S47240">
            <v>301236.67</v>
          </cell>
          <cell r="X47240" t="str">
            <v>GWP - share RI</v>
          </cell>
        </row>
        <row r="47241">
          <cell r="S47241">
            <v>-16287.36</v>
          </cell>
          <cell r="X47241" t="str">
            <v>GWP - share RI</v>
          </cell>
        </row>
        <row r="47242">
          <cell r="S47242">
            <v>335.74</v>
          </cell>
          <cell r="X47242" t="str">
            <v>GWP - share RI</v>
          </cell>
        </row>
        <row r="47243">
          <cell r="S47243">
            <v>-209586.85</v>
          </cell>
          <cell r="X47243" t="str">
            <v>GWP - share RI</v>
          </cell>
        </row>
        <row r="47244">
          <cell r="S47244">
            <v>103659.23</v>
          </cell>
          <cell r="X47244" t="str">
            <v>GWP - share RI</v>
          </cell>
        </row>
        <row r="47245">
          <cell r="S47245">
            <v>-151767.35999999999</v>
          </cell>
          <cell r="X47245" t="str">
            <v>GWP - share RI</v>
          </cell>
        </row>
        <row r="47246">
          <cell r="S47246">
            <v>-1053.52</v>
          </cell>
          <cell r="X47246" t="str">
            <v>GWP - share RI</v>
          </cell>
        </row>
        <row r="47247">
          <cell r="S47247">
            <v>-97850.8</v>
          </cell>
          <cell r="X47247" t="str">
            <v>GWP - share RI</v>
          </cell>
        </row>
        <row r="47248">
          <cell r="S47248">
            <v>145531.63</v>
          </cell>
          <cell r="X47248" t="str">
            <v>GWP - share RI</v>
          </cell>
        </row>
        <row r="47249">
          <cell r="S47249">
            <v>-287288.56</v>
          </cell>
          <cell r="X47249" t="str">
            <v>GWP - share RI</v>
          </cell>
        </row>
        <row r="47250">
          <cell r="S47250">
            <v>-1091696.53</v>
          </cell>
          <cell r="X47250" t="str">
            <v>GWP - share RI</v>
          </cell>
        </row>
        <row r="47251">
          <cell r="S47251">
            <v>-231800.21</v>
          </cell>
          <cell r="X47251" t="str">
            <v>GWP - share RI</v>
          </cell>
        </row>
        <row r="47252">
          <cell r="S47252">
            <v>-338315.44</v>
          </cell>
          <cell r="X47252" t="str">
            <v>GWP - share RI</v>
          </cell>
        </row>
        <row r="47253">
          <cell r="S47253">
            <v>137769.94</v>
          </cell>
          <cell r="X47253" t="str">
            <v>GWP - share RI</v>
          </cell>
        </row>
        <row r="47254">
          <cell r="S47254">
            <v>-252082.8</v>
          </cell>
          <cell r="X47254" t="str">
            <v>GWP - share RI</v>
          </cell>
        </row>
        <row r="47255">
          <cell r="S47255">
            <v>-92777.37</v>
          </cell>
          <cell r="X47255" t="str">
            <v>GWP - share RI</v>
          </cell>
        </row>
        <row r="47256">
          <cell r="S47256">
            <v>-1188150.26</v>
          </cell>
          <cell r="X47256" t="str">
            <v>GWP - share RI</v>
          </cell>
        </row>
        <row r="47257">
          <cell r="S47257">
            <v>986.66</v>
          </cell>
          <cell r="X47257" t="str">
            <v>GWP - share RI</v>
          </cell>
        </row>
        <row r="47258">
          <cell r="S47258">
            <v>-12572.71</v>
          </cell>
          <cell r="X47258" t="str">
            <v>GWP - share RI</v>
          </cell>
        </row>
        <row r="47259">
          <cell r="S47259">
            <v>-470400</v>
          </cell>
          <cell r="X47259" t="str">
            <v>GWP - share RI</v>
          </cell>
        </row>
        <row r="47260">
          <cell r="S47260">
            <v>-1927.89</v>
          </cell>
          <cell r="X47260" t="str">
            <v>GWP - share RI</v>
          </cell>
        </row>
        <row r="47261">
          <cell r="S47261">
            <v>11938.52</v>
          </cell>
          <cell r="X47261" t="str">
            <v>GWP - share RI</v>
          </cell>
        </row>
        <row r="47262">
          <cell r="S47262">
            <v>96508.14</v>
          </cell>
          <cell r="X47262" t="str">
            <v>GWP - share RI</v>
          </cell>
        </row>
        <row r="47263">
          <cell r="S47263">
            <v>404283.9</v>
          </cell>
          <cell r="X47263" t="str">
            <v>GWP - share RI</v>
          </cell>
        </row>
        <row r="47264">
          <cell r="S47264">
            <v>-206817.04</v>
          </cell>
          <cell r="X47264" t="str">
            <v>GWP - share RI</v>
          </cell>
        </row>
        <row r="47265">
          <cell r="S47265">
            <v>39354.44</v>
          </cell>
          <cell r="X47265" t="str">
            <v>GWP - share RI</v>
          </cell>
        </row>
        <row r="47266">
          <cell r="S47266">
            <v>-218468.7</v>
          </cell>
          <cell r="X47266" t="str">
            <v>GWP - share RI</v>
          </cell>
        </row>
        <row r="47267">
          <cell r="S47267">
            <v>231800.24</v>
          </cell>
          <cell r="X47267" t="str">
            <v>GWP - share RI</v>
          </cell>
        </row>
        <row r="47268">
          <cell r="S47268">
            <v>-98004.27</v>
          </cell>
          <cell r="X47268" t="str">
            <v>GWP - share RI</v>
          </cell>
        </row>
        <row r="47269">
          <cell r="S47269">
            <v>53377.32</v>
          </cell>
          <cell r="X47269" t="str">
            <v>GWP - share RI</v>
          </cell>
        </row>
        <row r="47270">
          <cell r="S47270">
            <v>-64990.77</v>
          </cell>
          <cell r="X47270" t="str">
            <v>GWP - share RI</v>
          </cell>
        </row>
        <row r="47271">
          <cell r="S47271">
            <v>-71200</v>
          </cell>
          <cell r="X47271" t="str">
            <v>GWP - share RI</v>
          </cell>
        </row>
        <row r="47272">
          <cell r="S47272">
            <v>686596.88</v>
          </cell>
          <cell r="X47272" t="str">
            <v>GWP - share RI</v>
          </cell>
        </row>
        <row r="47273">
          <cell r="S47273">
            <v>-5319.18</v>
          </cell>
          <cell r="X47273" t="str">
            <v>GWP - share RI</v>
          </cell>
        </row>
        <row r="47274">
          <cell r="S47274">
            <v>-18013.05</v>
          </cell>
          <cell r="X47274" t="str">
            <v>GWP - share RI</v>
          </cell>
        </row>
        <row r="47275">
          <cell r="S47275">
            <v>104501.46</v>
          </cell>
          <cell r="X47275" t="str">
            <v>GWP - share RI</v>
          </cell>
        </row>
        <row r="47276">
          <cell r="S47276">
            <v>686909.28</v>
          </cell>
          <cell r="X47276" t="str">
            <v>GWP - share RI</v>
          </cell>
        </row>
        <row r="47277">
          <cell r="S47277">
            <v>-107806.28</v>
          </cell>
          <cell r="X47277" t="str">
            <v>GWP - share RI</v>
          </cell>
        </row>
        <row r="47278">
          <cell r="S47278">
            <v>-2149.9499999999998</v>
          </cell>
          <cell r="X47278" t="str">
            <v>GWP - share RI</v>
          </cell>
        </row>
        <row r="47279">
          <cell r="S47279">
            <v>-274261.03000000003</v>
          </cell>
          <cell r="X47279" t="str">
            <v>GWP - share RI</v>
          </cell>
        </row>
        <row r="47280">
          <cell r="S47280">
            <v>287178.96000000002</v>
          </cell>
          <cell r="X47280" t="str">
            <v>GWP - share RI</v>
          </cell>
        </row>
        <row r="47281">
          <cell r="S47281">
            <v>2067955.76</v>
          </cell>
          <cell r="X47281" t="str">
            <v>GWP - share RI</v>
          </cell>
        </row>
        <row r="47282">
          <cell r="S47282">
            <v>1232241.56</v>
          </cell>
          <cell r="X47282" t="str">
            <v>GWP - share RI</v>
          </cell>
        </row>
        <row r="47283">
          <cell r="S47283">
            <v>371188.37</v>
          </cell>
          <cell r="X47283" t="str">
            <v>GWP - share RI</v>
          </cell>
        </row>
        <row r="47284">
          <cell r="S47284">
            <v>277035.95</v>
          </cell>
          <cell r="X47284" t="str">
            <v>GWP - share RI</v>
          </cell>
        </row>
        <row r="47285">
          <cell r="S47285">
            <v>-933.6</v>
          </cell>
          <cell r="X47285" t="str">
            <v>GWP - share RI</v>
          </cell>
        </row>
        <row r="47286">
          <cell r="S47286">
            <v>225366.98</v>
          </cell>
          <cell r="X47286" t="str">
            <v>GWP - share RI</v>
          </cell>
        </row>
        <row r="47287">
          <cell r="S47287">
            <v>1419828.86</v>
          </cell>
          <cell r="X47287" t="str">
            <v>GWP - share RI</v>
          </cell>
        </row>
        <row r="47288">
          <cell r="L47288"/>
          <cell r="S47288">
            <v>11515.71</v>
          </cell>
          <cell r="X47288" t="str">
            <v>GWP - share RI</v>
          </cell>
        </row>
        <row r="47289">
          <cell r="L47289"/>
          <cell r="S47289">
            <v>34510.79</v>
          </cell>
          <cell r="X47289" t="str">
            <v>GWP - share RI</v>
          </cell>
        </row>
        <row r="47290">
          <cell r="L47290"/>
          <cell r="S47290">
            <v>-36180.32</v>
          </cell>
          <cell r="X47290" t="str">
            <v>GWP - share RI</v>
          </cell>
        </row>
        <row r="47291">
          <cell r="L47291"/>
          <cell r="S47291">
            <v>-8842.57</v>
          </cell>
          <cell r="X47291" t="str">
            <v>GWP - share RI</v>
          </cell>
        </row>
        <row r="47292">
          <cell r="L47292"/>
          <cell r="S47292">
            <v>-6371.65</v>
          </cell>
          <cell r="X47292" t="str">
            <v>GWP - share RI</v>
          </cell>
        </row>
        <row r="47293">
          <cell r="L47293"/>
          <cell r="S47293">
            <v>21265.26</v>
          </cell>
          <cell r="X47293" t="str">
            <v>GWP - share RI</v>
          </cell>
        </row>
        <row r="47294">
          <cell r="L47294"/>
          <cell r="S47294">
            <v>-1079831.6299999999</v>
          </cell>
          <cell r="X47294" t="str">
            <v>GWP - share RI</v>
          </cell>
        </row>
        <row r="47295">
          <cell r="L47295"/>
          <cell r="S47295">
            <v>-27941.66</v>
          </cell>
          <cell r="X47295" t="str">
            <v>GWP - share RI</v>
          </cell>
        </row>
        <row r="47296">
          <cell r="L47296"/>
          <cell r="S47296">
            <v>-16110.35</v>
          </cell>
          <cell r="X47296" t="str">
            <v>GWP - share RI</v>
          </cell>
        </row>
        <row r="47297">
          <cell r="L47297"/>
          <cell r="S47297">
            <v>11943.94</v>
          </cell>
          <cell r="X47297" t="str">
            <v>GWP - share RI</v>
          </cell>
        </row>
        <row r="47298">
          <cell r="L47298"/>
          <cell r="S47298">
            <v>-31893.77</v>
          </cell>
          <cell r="X47298" t="str">
            <v>GWP - share RI</v>
          </cell>
        </row>
        <row r="47299">
          <cell r="L47299"/>
          <cell r="S47299">
            <v>9423.07</v>
          </cell>
          <cell r="X47299" t="str">
            <v>GWP - share RI</v>
          </cell>
        </row>
        <row r="47300">
          <cell r="L47300"/>
          <cell r="S47300">
            <v>7465.38</v>
          </cell>
          <cell r="X47300" t="str">
            <v>GWP - share RI</v>
          </cell>
        </row>
        <row r="47301">
          <cell r="L47301"/>
          <cell r="S47301">
            <v>14296.64</v>
          </cell>
          <cell r="X47301" t="str">
            <v>GWP - share RI</v>
          </cell>
        </row>
        <row r="47302">
          <cell r="L47302"/>
          <cell r="S47302">
            <v>36910.74</v>
          </cell>
          <cell r="X47302" t="str">
            <v>GWP - share RI</v>
          </cell>
        </row>
        <row r="47303">
          <cell r="L47303"/>
          <cell r="S47303">
            <v>27941.66</v>
          </cell>
          <cell r="X47303" t="str">
            <v>GWP - share RI</v>
          </cell>
        </row>
        <row r="47304">
          <cell r="L47304"/>
          <cell r="S47304">
            <v>-36515.300000000003</v>
          </cell>
          <cell r="X47304" t="str">
            <v>GWP - share RI</v>
          </cell>
        </row>
        <row r="47305">
          <cell r="L47305"/>
          <cell r="S47305">
            <v>6507.91</v>
          </cell>
          <cell r="X47305" t="str">
            <v>GWP - share RI</v>
          </cell>
        </row>
        <row r="47306">
          <cell r="L47306"/>
          <cell r="S47306">
            <v>8400511.3100000005</v>
          </cell>
          <cell r="X47306" t="str">
            <v>GWP - share RI</v>
          </cell>
        </row>
        <row r="47307">
          <cell r="L47307"/>
          <cell r="S47307">
            <v>279.38</v>
          </cell>
          <cell r="X47307" t="str">
            <v>GWP - share RI</v>
          </cell>
        </row>
        <row r="47308">
          <cell r="L47308"/>
          <cell r="S47308">
            <v>5738.95</v>
          </cell>
          <cell r="X47308" t="str">
            <v>GWP - share RI</v>
          </cell>
        </row>
        <row r="47309">
          <cell r="L47309"/>
          <cell r="S47309">
            <v>-22389.919999999998</v>
          </cell>
          <cell r="X47309" t="str">
            <v>GWP - share RI</v>
          </cell>
        </row>
        <row r="47310">
          <cell r="L47310"/>
          <cell r="S47310">
            <v>31090.01</v>
          </cell>
          <cell r="X47310" t="str">
            <v>GWP - share RI</v>
          </cell>
        </row>
        <row r="47311">
          <cell r="L47311"/>
          <cell r="S47311">
            <v>2575.9299999999998</v>
          </cell>
          <cell r="X47311" t="str">
            <v>GWP - share RI</v>
          </cell>
        </row>
        <row r="47312">
          <cell r="L47312"/>
          <cell r="S47312">
            <v>12168.52</v>
          </cell>
          <cell r="X47312" t="str">
            <v>GWP - share RI</v>
          </cell>
        </row>
        <row r="47313">
          <cell r="L47313"/>
          <cell r="S47313">
            <v>35093.129999999997</v>
          </cell>
          <cell r="X47313" t="str">
            <v>GWP - share RI</v>
          </cell>
        </row>
        <row r="47314">
          <cell r="L47314"/>
          <cell r="S47314">
            <v>-180661.49</v>
          </cell>
          <cell r="X47314" t="str">
            <v>GWP - share RI</v>
          </cell>
        </row>
        <row r="47315">
          <cell r="L47315"/>
          <cell r="S47315">
            <v>6371.65</v>
          </cell>
          <cell r="X47315" t="str">
            <v>GWP - share RI</v>
          </cell>
        </row>
        <row r="47316">
          <cell r="L47316"/>
          <cell r="S47316">
            <v>-284166.21999999997</v>
          </cell>
          <cell r="X47316" t="str">
            <v>GWP - share RI</v>
          </cell>
        </row>
        <row r="47317">
          <cell r="L47317"/>
          <cell r="S47317">
            <v>1311.6</v>
          </cell>
          <cell r="X47317" t="str">
            <v>GWP - share RI</v>
          </cell>
        </row>
        <row r="47318">
          <cell r="L47318"/>
          <cell r="S47318">
            <v>36515.300000000003</v>
          </cell>
          <cell r="X47318" t="str">
            <v>GWP - share RI</v>
          </cell>
        </row>
        <row r="47319">
          <cell r="L47319"/>
          <cell r="S47319">
            <v>3544.21</v>
          </cell>
          <cell r="X47319" t="str">
            <v>GWP - share RI</v>
          </cell>
        </row>
        <row r="47320">
          <cell r="L47320"/>
          <cell r="S47320">
            <v>35441.1</v>
          </cell>
          <cell r="X47320" t="str">
            <v>GWP - share RI</v>
          </cell>
        </row>
        <row r="47321">
          <cell r="L47321"/>
          <cell r="S47321">
            <v>180661.49</v>
          </cell>
          <cell r="X47321" t="str">
            <v>GWP - share RI</v>
          </cell>
        </row>
        <row r="47322">
          <cell r="L47322"/>
          <cell r="S47322">
            <v>10841.85</v>
          </cell>
          <cell r="X47322" t="str">
            <v>GWP - share RI</v>
          </cell>
        </row>
        <row r="47323">
          <cell r="L47323"/>
          <cell r="S47323">
            <v>40426.050000000003</v>
          </cell>
          <cell r="X47323" t="str">
            <v>GWP - share RI</v>
          </cell>
        </row>
        <row r="47324">
          <cell r="L47324"/>
          <cell r="S47324">
            <v>29407.65</v>
          </cell>
          <cell r="X47324" t="str">
            <v>GWP - share RI</v>
          </cell>
        </row>
        <row r="47325">
          <cell r="L47325"/>
          <cell r="S47325">
            <v>43733.4</v>
          </cell>
          <cell r="X47325" t="str">
            <v>GWP - share RI</v>
          </cell>
        </row>
        <row r="47326">
          <cell r="L47326"/>
          <cell r="S47326">
            <v>-6179.55</v>
          </cell>
          <cell r="X47326" t="str">
            <v>GWP - share RI</v>
          </cell>
        </row>
        <row r="47327">
          <cell r="L47327"/>
          <cell r="S47327">
            <v>-9014.51</v>
          </cell>
          <cell r="X47327" t="str">
            <v>GWP - share RI</v>
          </cell>
        </row>
        <row r="47328">
          <cell r="L47328"/>
          <cell r="S47328">
            <v>-558.45000000000005</v>
          </cell>
          <cell r="X47328" t="str">
            <v>GWP - share RI</v>
          </cell>
        </row>
        <row r="47329">
          <cell r="L47329"/>
          <cell r="S47329">
            <v>-686.38</v>
          </cell>
          <cell r="X47329" t="str">
            <v>GWP - share RI</v>
          </cell>
        </row>
        <row r="47330">
          <cell r="L47330"/>
          <cell r="S47330">
            <v>6680.4</v>
          </cell>
          <cell r="X47330" t="str">
            <v>GWP - share RI</v>
          </cell>
        </row>
        <row r="47331">
          <cell r="L47331"/>
          <cell r="S47331">
            <v>60152.01</v>
          </cell>
          <cell r="X47331" t="str">
            <v>GWP - share RI</v>
          </cell>
        </row>
        <row r="47332">
          <cell r="L47332"/>
          <cell r="S47332">
            <v>-5738.95</v>
          </cell>
          <cell r="X47332" t="str">
            <v>GWP - share RI</v>
          </cell>
        </row>
        <row r="47333">
          <cell r="L47333"/>
          <cell r="S47333">
            <v>-279.38</v>
          </cell>
          <cell r="X47333" t="str">
            <v>GWP - share RI</v>
          </cell>
        </row>
        <row r="47334">
          <cell r="L47334"/>
          <cell r="S47334">
            <v>14394.51</v>
          </cell>
          <cell r="X47334" t="str">
            <v>GWP - share RI</v>
          </cell>
        </row>
        <row r="47335">
          <cell r="L47335"/>
          <cell r="S47335">
            <v>-14386.97</v>
          </cell>
          <cell r="X47335" t="str">
            <v>GWP - share RI</v>
          </cell>
        </row>
        <row r="47336">
          <cell r="L47336"/>
          <cell r="S47336">
            <v>10595.77</v>
          </cell>
          <cell r="X47336" t="str">
            <v>GWP - share RI</v>
          </cell>
        </row>
        <row r="47337">
          <cell r="L47337"/>
          <cell r="S47337">
            <v>12464.07</v>
          </cell>
          <cell r="X47337" t="str">
            <v>GWP - share RI</v>
          </cell>
        </row>
        <row r="47338">
          <cell r="L47338"/>
          <cell r="S47338">
            <v>-768.31</v>
          </cell>
          <cell r="X47338" t="str">
            <v>GWP - share RI</v>
          </cell>
        </row>
        <row r="47339">
          <cell r="L47339"/>
          <cell r="S47339">
            <v>13251.16</v>
          </cell>
          <cell r="X47339" t="str">
            <v>GWP - share RI</v>
          </cell>
        </row>
        <row r="47340">
          <cell r="L47340"/>
          <cell r="S47340">
            <v>18932.39</v>
          </cell>
          <cell r="X47340" t="str">
            <v>GWP - share RI</v>
          </cell>
        </row>
        <row r="47341">
          <cell r="L47341"/>
          <cell r="S47341">
            <v>-61070.94</v>
          </cell>
          <cell r="X47341" t="str">
            <v>GWP - share RI</v>
          </cell>
        </row>
        <row r="47342">
          <cell r="L47342"/>
          <cell r="S47342">
            <v>41180.07</v>
          </cell>
          <cell r="X47342" t="str">
            <v>GWP - share RI</v>
          </cell>
        </row>
        <row r="47343">
          <cell r="L47343"/>
          <cell r="S47343">
            <v>4799.8999999999996</v>
          </cell>
          <cell r="X47343" t="str">
            <v>GWP - share RI</v>
          </cell>
        </row>
        <row r="47344">
          <cell r="L47344"/>
          <cell r="S47344">
            <v>14079.4</v>
          </cell>
          <cell r="X47344" t="str">
            <v>GWP - share RI</v>
          </cell>
        </row>
        <row r="47345">
          <cell r="L47345"/>
          <cell r="S47345">
            <v>15798.43</v>
          </cell>
          <cell r="X47345" t="str">
            <v>GWP - share RI</v>
          </cell>
        </row>
        <row r="47346">
          <cell r="L47346"/>
          <cell r="S47346">
            <v>63258.09</v>
          </cell>
          <cell r="X47346" t="str">
            <v>GWP - share RI</v>
          </cell>
        </row>
        <row r="47347">
          <cell r="L47347"/>
          <cell r="S47347">
            <v>313776.95</v>
          </cell>
          <cell r="X47347" t="str">
            <v>GWP - share RI</v>
          </cell>
        </row>
        <row r="47348">
          <cell r="L47348"/>
          <cell r="S47348">
            <v>-12436.05</v>
          </cell>
          <cell r="X47348" t="str">
            <v>GWP - share RI</v>
          </cell>
        </row>
        <row r="47349">
          <cell r="L47349"/>
          <cell r="S47349">
            <v>-61858.03</v>
          </cell>
          <cell r="X47349" t="str">
            <v>GWP - share RI</v>
          </cell>
        </row>
        <row r="47350">
          <cell r="L47350"/>
          <cell r="S47350">
            <v>-10733.01</v>
          </cell>
          <cell r="X47350" t="str">
            <v>GWP - share RI</v>
          </cell>
        </row>
        <row r="47351">
          <cell r="L47351"/>
          <cell r="S47351">
            <v>2862.15</v>
          </cell>
          <cell r="X47351" t="str">
            <v>GWP - share RI</v>
          </cell>
        </row>
        <row r="47352">
          <cell r="L47352"/>
          <cell r="S47352">
            <v>-4334.4799999999996</v>
          </cell>
          <cell r="X47352" t="str">
            <v>GWP - share RI</v>
          </cell>
        </row>
        <row r="47353">
          <cell r="L47353"/>
          <cell r="S47353">
            <v>36180.33</v>
          </cell>
          <cell r="X47353" t="str">
            <v>GWP - share RI</v>
          </cell>
        </row>
        <row r="47354">
          <cell r="L47354"/>
          <cell r="S47354">
            <v>10054.57</v>
          </cell>
          <cell r="X47354" t="str">
            <v>GWP - share RI</v>
          </cell>
        </row>
        <row r="47355">
          <cell r="L47355"/>
          <cell r="S47355">
            <v>41346.03</v>
          </cell>
          <cell r="X47355" t="str">
            <v>GWP - share RI</v>
          </cell>
        </row>
        <row r="47356">
          <cell r="L47356"/>
          <cell r="S47356">
            <v>5531.63</v>
          </cell>
          <cell r="X47356" t="str">
            <v>GWP - share RI</v>
          </cell>
        </row>
        <row r="47357">
          <cell r="L47357"/>
          <cell r="S47357">
            <v>-5531.63</v>
          </cell>
          <cell r="X47357" t="str">
            <v>GWP - share RI</v>
          </cell>
        </row>
        <row r="47358">
          <cell r="L47358"/>
          <cell r="S47358">
            <v>-1396.92</v>
          </cell>
          <cell r="X47358" t="str">
            <v>GWP - share RI</v>
          </cell>
        </row>
        <row r="47359">
          <cell r="L47359"/>
          <cell r="S47359">
            <v>5146.34</v>
          </cell>
          <cell r="X47359" t="str">
            <v>GWP - share RI</v>
          </cell>
        </row>
        <row r="47360">
          <cell r="L47360"/>
          <cell r="S47360">
            <v>14386.97</v>
          </cell>
          <cell r="X47360" t="str">
            <v>GWP - share RI</v>
          </cell>
        </row>
        <row r="47361">
          <cell r="L47361"/>
          <cell r="S47361">
            <v>-60152.01</v>
          </cell>
          <cell r="X47361" t="str">
            <v>GWP - share RI</v>
          </cell>
        </row>
        <row r="47362">
          <cell r="L47362"/>
          <cell r="S47362">
            <v>9402.39</v>
          </cell>
          <cell r="X47362" t="str">
            <v>GWP - share RI</v>
          </cell>
        </row>
        <row r="47363">
          <cell r="L47363"/>
          <cell r="S47363">
            <v>-35454.78</v>
          </cell>
          <cell r="X47363" t="str">
            <v>GWP - share RI</v>
          </cell>
        </row>
        <row r="47364">
          <cell r="L47364"/>
          <cell r="S47364">
            <v>7994.11</v>
          </cell>
          <cell r="X47364" t="str">
            <v>GWP - share RI</v>
          </cell>
        </row>
        <row r="47365">
          <cell r="L47365"/>
          <cell r="S47365">
            <v>-6253.19</v>
          </cell>
          <cell r="X47365" t="str">
            <v>GWP - share RI</v>
          </cell>
        </row>
        <row r="47366">
          <cell r="L47366"/>
          <cell r="S47366">
            <v>8543.93</v>
          </cell>
          <cell r="X47366" t="str">
            <v>GWP - share RI</v>
          </cell>
        </row>
        <row r="47367">
          <cell r="L47367"/>
          <cell r="S47367">
            <v>9014.51</v>
          </cell>
          <cell r="X47367" t="str">
            <v>GWP - share RI</v>
          </cell>
        </row>
        <row r="47368">
          <cell r="L47368"/>
          <cell r="S47368">
            <v>-4239.57</v>
          </cell>
          <cell r="X47368" t="str">
            <v>GWP - share RI</v>
          </cell>
        </row>
        <row r="47369">
          <cell r="L47369"/>
          <cell r="S47369">
            <v>8201</v>
          </cell>
          <cell r="X47369" t="str">
            <v>GWP - share RI</v>
          </cell>
        </row>
        <row r="47370">
          <cell r="L47370"/>
          <cell r="S47370">
            <v>1967.72</v>
          </cell>
          <cell r="X47370" t="str">
            <v>GWP - share RI</v>
          </cell>
        </row>
        <row r="47371">
          <cell r="L47371"/>
          <cell r="S47371">
            <v>-29407.65</v>
          </cell>
          <cell r="X47371" t="str">
            <v>GWP - share RI</v>
          </cell>
        </row>
        <row r="47372">
          <cell r="L47372"/>
          <cell r="S47372">
            <v>5901.48</v>
          </cell>
          <cell r="X47372" t="str">
            <v>GWP - share RI</v>
          </cell>
        </row>
        <row r="47373">
          <cell r="L47373"/>
          <cell r="S47373">
            <v>-13251.16</v>
          </cell>
          <cell r="X47373" t="str">
            <v>GWP - share RI</v>
          </cell>
        </row>
        <row r="47374">
          <cell r="L47374"/>
          <cell r="S47374">
            <v>6009.95</v>
          </cell>
          <cell r="X47374" t="str">
            <v>GWP - share RI</v>
          </cell>
        </row>
        <row r="47375">
          <cell r="L47375"/>
          <cell r="S47375">
            <v>1252.19</v>
          </cell>
          <cell r="X47375" t="str">
            <v>GWP - share RI</v>
          </cell>
        </row>
        <row r="47376">
          <cell r="L47376"/>
          <cell r="S47376">
            <v>-22225.81</v>
          </cell>
          <cell r="X47376" t="str">
            <v>GWP - share RI</v>
          </cell>
        </row>
        <row r="47377">
          <cell r="L47377"/>
          <cell r="S47377">
            <v>67832.75</v>
          </cell>
          <cell r="X47377" t="str">
            <v>GWP - share RI</v>
          </cell>
        </row>
        <row r="47378">
          <cell r="L47378"/>
          <cell r="S47378">
            <v>10733.01</v>
          </cell>
          <cell r="X47378" t="str">
            <v>GWP - share RI</v>
          </cell>
        </row>
        <row r="47379">
          <cell r="L47379"/>
          <cell r="S47379">
            <v>10567.88</v>
          </cell>
          <cell r="X47379" t="str">
            <v>GWP - share RI</v>
          </cell>
        </row>
        <row r="47380">
          <cell r="L47380"/>
          <cell r="S47380">
            <v>-8010.61</v>
          </cell>
          <cell r="X47380" t="str">
            <v>GWP - share RI</v>
          </cell>
        </row>
        <row r="47381">
          <cell r="L47381"/>
          <cell r="S47381">
            <v>-6680.4</v>
          </cell>
          <cell r="X47381" t="str">
            <v>GWP - share RI</v>
          </cell>
        </row>
        <row r="47382">
          <cell r="L47382"/>
          <cell r="S47382">
            <v>35454.78</v>
          </cell>
          <cell r="X47382" t="str">
            <v>GWP - share RI</v>
          </cell>
        </row>
        <row r="47383">
          <cell r="L47383"/>
          <cell r="S47383">
            <v>37267.519999999997</v>
          </cell>
          <cell r="X47383" t="str">
            <v>GWP - share RI</v>
          </cell>
        </row>
        <row r="47384">
          <cell r="L47384"/>
          <cell r="S47384">
            <v>4511.84</v>
          </cell>
          <cell r="X47384" t="str">
            <v>GWP - share RI</v>
          </cell>
        </row>
        <row r="47385">
          <cell r="L47385"/>
          <cell r="S47385">
            <v>2897.92</v>
          </cell>
          <cell r="X47385" t="str">
            <v>GWP - share RI</v>
          </cell>
        </row>
        <row r="47386">
          <cell r="L47386"/>
          <cell r="S47386">
            <v>12527.11</v>
          </cell>
          <cell r="X47386" t="str">
            <v>GWP - share RI</v>
          </cell>
        </row>
        <row r="47387">
          <cell r="L47387"/>
          <cell r="S47387">
            <v>6117.83</v>
          </cell>
          <cell r="X47387" t="str">
            <v>GWP - share RI</v>
          </cell>
        </row>
        <row r="47388">
          <cell r="L47388"/>
          <cell r="S47388">
            <v>61858.03</v>
          </cell>
          <cell r="X47388" t="str">
            <v>GWP - share RI</v>
          </cell>
        </row>
        <row r="47389">
          <cell r="L47389"/>
          <cell r="S47389">
            <v>7360.24</v>
          </cell>
          <cell r="X47389" t="str">
            <v>GWP - share RI</v>
          </cell>
        </row>
        <row r="47390">
          <cell r="L47390"/>
          <cell r="S47390">
            <v>22389.919999999998</v>
          </cell>
          <cell r="X47390" t="str">
            <v>GWP - share RI</v>
          </cell>
        </row>
        <row r="47391">
          <cell r="L47391"/>
          <cell r="S47391">
            <v>6253.18</v>
          </cell>
          <cell r="X47391" t="str">
            <v>GWP - share RI</v>
          </cell>
        </row>
        <row r="47392">
          <cell r="L47392"/>
          <cell r="S47392">
            <v>-833554.25</v>
          </cell>
          <cell r="X47392" t="str">
            <v>GWP - share RI</v>
          </cell>
        </row>
        <row r="47393">
          <cell r="L47393"/>
          <cell r="S47393">
            <v>14673.48</v>
          </cell>
          <cell r="X47393" t="str">
            <v>GWP - share RI</v>
          </cell>
        </row>
        <row r="47394">
          <cell r="L47394"/>
          <cell r="S47394">
            <v>1001.75</v>
          </cell>
          <cell r="X47394" t="str">
            <v>GWP - share RI</v>
          </cell>
        </row>
        <row r="47395">
          <cell r="L47395"/>
          <cell r="S47395">
            <v>-5146.3500000000004</v>
          </cell>
          <cell r="X47395" t="str">
            <v>GWP - share RI</v>
          </cell>
        </row>
        <row r="47396">
          <cell r="L47396"/>
          <cell r="S47396">
            <v>26354.07</v>
          </cell>
          <cell r="X47396" t="str">
            <v>GWP - share RI</v>
          </cell>
        </row>
        <row r="47397">
          <cell r="L47397"/>
          <cell r="S47397">
            <v>27782.27</v>
          </cell>
          <cell r="X47397" t="str">
            <v>GWP - share RI</v>
          </cell>
        </row>
        <row r="47398">
          <cell r="L47398"/>
          <cell r="S47398">
            <v>-7994.11</v>
          </cell>
          <cell r="X47398" t="str">
            <v>GWP - share RI</v>
          </cell>
        </row>
        <row r="47399">
          <cell r="L47399"/>
          <cell r="S47399">
            <v>17983.72</v>
          </cell>
          <cell r="X47399" t="str">
            <v>GWP - share RI</v>
          </cell>
        </row>
        <row r="47400">
          <cell r="L47400"/>
          <cell r="S47400">
            <v>6165.01</v>
          </cell>
          <cell r="X47400" t="str">
            <v>GWP - share RI</v>
          </cell>
        </row>
        <row r="47401">
          <cell r="L47401"/>
          <cell r="S47401">
            <v>13552.32</v>
          </cell>
          <cell r="X47401" t="str">
            <v>GWP - share RI</v>
          </cell>
        </row>
        <row r="47402">
          <cell r="L47402"/>
          <cell r="S47402">
            <v>24041.99</v>
          </cell>
          <cell r="X47402" t="str">
            <v>GWP - share RI</v>
          </cell>
        </row>
        <row r="47403">
          <cell r="L47403"/>
          <cell r="S47403">
            <v>8141.44</v>
          </cell>
          <cell r="X47403" t="str">
            <v>GWP - share RI</v>
          </cell>
        </row>
        <row r="47404">
          <cell r="L47404"/>
          <cell r="S47404">
            <v>68798.73</v>
          </cell>
          <cell r="X47404" t="str">
            <v>GWP - share RI</v>
          </cell>
        </row>
        <row r="47405">
          <cell r="L47405"/>
          <cell r="S47405">
            <v>5109.59</v>
          </cell>
          <cell r="X47405" t="str">
            <v>GWP - share RI</v>
          </cell>
        </row>
        <row r="47406">
          <cell r="L47406"/>
          <cell r="S47406">
            <v>-37267.519999999997</v>
          </cell>
          <cell r="X47406" t="str">
            <v>GWP - share RI</v>
          </cell>
        </row>
        <row r="47407">
          <cell r="L47407"/>
          <cell r="S47407">
            <v>61070.94</v>
          </cell>
          <cell r="X47407" t="str">
            <v>GWP - share RI</v>
          </cell>
        </row>
        <row r="47408">
          <cell r="L47408"/>
          <cell r="S47408">
            <v>-279.38</v>
          </cell>
          <cell r="X47408" t="str">
            <v>GWP - share RI</v>
          </cell>
        </row>
        <row r="47409">
          <cell r="L47409"/>
          <cell r="S47409">
            <v>4334.4799999999996</v>
          </cell>
          <cell r="X47409" t="str">
            <v>GWP - share RI</v>
          </cell>
        </row>
        <row r="47410">
          <cell r="L47410"/>
          <cell r="S47410">
            <v>8842.58</v>
          </cell>
          <cell r="X47410" t="str">
            <v>GWP - share RI</v>
          </cell>
        </row>
        <row r="47411">
          <cell r="L47411"/>
          <cell r="S47411">
            <v>18581.400000000001</v>
          </cell>
          <cell r="X47411" t="str">
            <v>GWP - share RI</v>
          </cell>
        </row>
        <row r="47412">
          <cell r="L47412"/>
          <cell r="S47412">
            <v>-11515.71</v>
          </cell>
          <cell r="X47412" t="str">
            <v>GWP - share RI</v>
          </cell>
        </row>
        <row r="47413">
          <cell r="L47413"/>
          <cell r="S47413">
            <v>1378.18</v>
          </cell>
          <cell r="X47413" t="str">
            <v>GWP - share RI</v>
          </cell>
        </row>
        <row r="47414">
          <cell r="L47414"/>
          <cell r="S47414">
            <v>22225.81</v>
          </cell>
          <cell r="X47414" t="str">
            <v>GWP - share RI</v>
          </cell>
        </row>
        <row r="47415">
          <cell r="L47415"/>
          <cell r="S47415">
            <v>11720.7</v>
          </cell>
          <cell r="X47415" t="str">
            <v>GWP - share RI</v>
          </cell>
        </row>
        <row r="47416">
          <cell r="L47416"/>
          <cell r="S47416">
            <v>3486.47</v>
          </cell>
          <cell r="X47416" t="str">
            <v>GWP - share RI</v>
          </cell>
        </row>
        <row r="47417">
          <cell r="L47417"/>
          <cell r="S47417">
            <v>-15798.43</v>
          </cell>
          <cell r="X47417" t="str">
            <v>GWP - share RI</v>
          </cell>
        </row>
        <row r="47418">
          <cell r="L47418"/>
          <cell r="S47418">
            <v>37313.599999999999</v>
          </cell>
          <cell r="X47418" t="str">
            <v>GWP - share RI</v>
          </cell>
        </row>
        <row r="47419">
          <cell r="L47419"/>
          <cell r="S47419">
            <v>70594.41</v>
          </cell>
          <cell r="X47419" t="str">
            <v>GWP - share RI</v>
          </cell>
        </row>
        <row r="47420">
          <cell r="L47420"/>
          <cell r="S47420">
            <v>6179.55</v>
          </cell>
          <cell r="X47420" t="str">
            <v>GWP - share RI</v>
          </cell>
        </row>
        <row r="47421">
          <cell r="L47421"/>
          <cell r="S47421">
            <v>-14079.4</v>
          </cell>
          <cell r="X47421" t="str">
            <v>GWP - share RI</v>
          </cell>
        </row>
        <row r="47422">
          <cell r="L47422"/>
          <cell r="S47422">
            <v>-6969.41</v>
          </cell>
          <cell r="X47422" t="str">
            <v>GWP - share RI</v>
          </cell>
        </row>
        <row r="47423">
          <cell r="L47423"/>
          <cell r="S47423">
            <v>7857.57</v>
          </cell>
          <cell r="X47423" t="str">
            <v>GWP - share RI</v>
          </cell>
        </row>
        <row r="47424">
          <cell r="L47424"/>
          <cell r="S47424">
            <v>-5109.59</v>
          </cell>
          <cell r="X47424" t="str">
            <v>GWP - share RI</v>
          </cell>
        </row>
        <row r="47425">
          <cell r="L47425"/>
          <cell r="S47425">
            <v>-10567.88</v>
          </cell>
          <cell r="X47425" t="str">
            <v>GWP - share RI</v>
          </cell>
        </row>
        <row r="47426">
          <cell r="L47426"/>
          <cell r="S47426">
            <v>31893.77</v>
          </cell>
          <cell r="X47426" t="str">
            <v>GWP - share RI</v>
          </cell>
        </row>
        <row r="47427">
          <cell r="L47427"/>
          <cell r="S47427">
            <v>-8543.93</v>
          </cell>
          <cell r="X47427" t="str">
            <v>GWP - share RI</v>
          </cell>
        </row>
        <row r="47428">
          <cell r="L47428"/>
          <cell r="S47428">
            <v>7147.01</v>
          </cell>
          <cell r="X47428" t="str">
            <v>GWP - share RI</v>
          </cell>
        </row>
        <row r="47429">
          <cell r="L47429"/>
          <cell r="S47429">
            <v>1483.69</v>
          </cell>
          <cell r="X47429" t="str">
            <v>GWP - share RI</v>
          </cell>
        </row>
        <row r="47430">
          <cell r="L47430"/>
          <cell r="S47430">
            <v>7269.68</v>
          </cell>
          <cell r="X47430" t="str">
            <v>GWP - share RI</v>
          </cell>
        </row>
        <row r="47431">
          <cell r="L47431"/>
          <cell r="S47431">
            <v>9823.0400000000009</v>
          </cell>
          <cell r="X47431" t="str">
            <v>GWP - share RI</v>
          </cell>
        </row>
        <row r="47432">
          <cell r="L47432"/>
          <cell r="S47432">
            <v>16563.95</v>
          </cell>
          <cell r="X47432" t="str">
            <v>GWP - share RI</v>
          </cell>
        </row>
        <row r="47433">
          <cell r="L47433"/>
          <cell r="S47433">
            <v>-35093.129999999997</v>
          </cell>
          <cell r="X47433" t="str">
            <v>GWP - share RI</v>
          </cell>
        </row>
        <row r="47434">
          <cell r="L47434"/>
          <cell r="S47434">
            <v>42456.75</v>
          </cell>
          <cell r="X47434" t="str">
            <v>GWP - share RI</v>
          </cell>
        </row>
        <row r="47435">
          <cell r="L47435"/>
          <cell r="S47435">
            <v>-10841.85</v>
          </cell>
          <cell r="X47435" t="str">
            <v>GWP - share RI</v>
          </cell>
        </row>
        <row r="47436">
          <cell r="L47436"/>
          <cell r="S47436">
            <v>16560.52</v>
          </cell>
          <cell r="X47436" t="str">
            <v>GWP - share RI</v>
          </cell>
        </row>
        <row r="47437">
          <cell r="L47437"/>
          <cell r="S47437">
            <v>11590.67</v>
          </cell>
          <cell r="X47437" t="str">
            <v>GWP - share RI</v>
          </cell>
        </row>
        <row r="47438">
          <cell r="L47438"/>
          <cell r="S47438">
            <v>6969.41</v>
          </cell>
          <cell r="X47438" t="str">
            <v>GWP - share RI</v>
          </cell>
        </row>
        <row r="47439">
          <cell r="L47439"/>
          <cell r="S47439">
            <v>-313776.95</v>
          </cell>
          <cell r="X47439" t="str">
            <v>GWP - share RI</v>
          </cell>
        </row>
        <row r="47440">
          <cell r="L47440"/>
          <cell r="S47440">
            <v>2203.48</v>
          </cell>
          <cell r="X47440" t="str">
            <v>GWP - share RI</v>
          </cell>
        </row>
        <row r="47441">
          <cell r="L47441"/>
          <cell r="S47441">
            <v>8010.61</v>
          </cell>
          <cell r="X47441" t="str">
            <v>GWP - share RI</v>
          </cell>
        </row>
        <row r="47442">
          <cell r="L47442"/>
          <cell r="S47442">
            <v>1333.37</v>
          </cell>
          <cell r="X47442" t="str">
            <v>GWP - share RI</v>
          </cell>
        </row>
        <row r="47443">
          <cell r="L47443"/>
          <cell r="S47443">
            <v>1679.41</v>
          </cell>
          <cell r="X47443" t="str">
            <v>GWP - share RI</v>
          </cell>
        </row>
        <row r="47444">
          <cell r="L47444"/>
          <cell r="S47444">
            <v>-8400511.3100000005</v>
          </cell>
          <cell r="X47444" t="str">
            <v>GWP - share RI</v>
          </cell>
        </row>
        <row r="47445">
          <cell r="L47445"/>
          <cell r="S47445">
            <v>314.04000000000002</v>
          </cell>
          <cell r="X47445" t="str">
            <v>GWP - share RI</v>
          </cell>
        </row>
        <row r="47446">
          <cell r="L47446"/>
          <cell r="S47446">
            <v>-64.44</v>
          </cell>
          <cell r="X47446" t="str">
            <v>GWP - share RI</v>
          </cell>
        </row>
        <row r="47447">
          <cell r="L47447"/>
          <cell r="S47447">
            <v>27263.75</v>
          </cell>
          <cell r="X47447" t="str">
            <v>GWP - share RI</v>
          </cell>
        </row>
        <row r="47448">
          <cell r="L47448"/>
          <cell r="S47448">
            <v>31191.57</v>
          </cell>
          <cell r="X47448" t="str">
            <v>GWP - share RI</v>
          </cell>
        </row>
        <row r="47449">
          <cell r="L47449"/>
          <cell r="S47449">
            <v>154655.63</v>
          </cell>
          <cell r="X47449" t="str">
            <v>GWP - share RI</v>
          </cell>
        </row>
        <row r="47450">
          <cell r="L47450"/>
          <cell r="S47450">
            <v>-27254.26</v>
          </cell>
          <cell r="X47450" t="str">
            <v>GWP - share RI</v>
          </cell>
        </row>
        <row r="47451">
          <cell r="L47451"/>
          <cell r="S47451">
            <v>-431.52</v>
          </cell>
          <cell r="X47451" t="str">
            <v>GWP - share RI</v>
          </cell>
        </row>
        <row r="47452">
          <cell r="L47452"/>
          <cell r="S47452">
            <v>-13536.31</v>
          </cell>
          <cell r="X47452" t="str">
            <v>GWP - share RI</v>
          </cell>
        </row>
        <row r="47453">
          <cell r="L47453"/>
          <cell r="S47453">
            <v>-88.54</v>
          </cell>
          <cell r="X47453" t="str">
            <v>GWP - share RI</v>
          </cell>
        </row>
        <row r="47454">
          <cell r="L47454"/>
          <cell r="S47454">
            <v>-314.04000000000002</v>
          </cell>
          <cell r="X47454" t="str">
            <v>GWP - share RI</v>
          </cell>
        </row>
        <row r="47455">
          <cell r="L47455"/>
          <cell r="S47455">
            <v>-431.52</v>
          </cell>
          <cell r="X47455" t="str">
            <v>GWP - share RI</v>
          </cell>
        </row>
        <row r="47456">
          <cell r="L47456"/>
          <cell r="S47456">
            <v>188.7</v>
          </cell>
          <cell r="X47456" t="str">
            <v>GWP - share RI</v>
          </cell>
        </row>
        <row r="47457">
          <cell r="L47457"/>
          <cell r="S47457">
            <v>-11801.2</v>
          </cell>
          <cell r="X47457" t="str">
            <v>GWP - share RI</v>
          </cell>
        </row>
        <row r="47458">
          <cell r="L47458"/>
          <cell r="S47458">
            <v>11726.44</v>
          </cell>
          <cell r="X47458" t="str">
            <v>GWP - share RI</v>
          </cell>
        </row>
        <row r="47459">
          <cell r="L47459"/>
          <cell r="S47459">
            <v>-197.39</v>
          </cell>
          <cell r="X47459" t="str">
            <v>GWP - share RI</v>
          </cell>
        </row>
        <row r="47460">
          <cell r="L47460"/>
          <cell r="S47460">
            <v>18391.23</v>
          </cell>
          <cell r="X47460" t="str">
            <v>GWP - share RI</v>
          </cell>
        </row>
        <row r="47461">
          <cell r="L47461"/>
          <cell r="S47461">
            <v>14942.41</v>
          </cell>
          <cell r="X47461" t="str">
            <v>GWP - share RI</v>
          </cell>
        </row>
        <row r="47462">
          <cell r="L47462"/>
          <cell r="S47462">
            <v>-11860.89</v>
          </cell>
          <cell r="X47462" t="str">
            <v>GWP - share RI</v>
          </cell>
        </row>
        <row r="47463">
          <cell r="L47463"/>
          <cell r="S47463">
            <v>10496.55</v>
          </cell>
          <cell r="X47463" t="str">
            <v>GWP - share RI</v>
          </cell>
        </row>
        <row r="47464">
          <cell r="L47464"/>
          <cell r="S47464">
            <v>-31191.57</v>
          </cell>
          <cell r="X47464" t="str">
            <v>GWP - share RI</v>
          </cell>
        </row>
        <row r="47465">
          <cell r="L47465"/>
          <cell r="S47465">
            <v>13383.59</v>
          </cell>
          <cell r="X47465" t="str">
            <v>GWP - share RI</v>
          </cell>
        </row>
        <row r="47466">
          <cell r="L47466"/>
          <cell r="S47466">
            <v>-227.41</v>
          </cell>
          <cell r="X47466" t="str">
            <v>GWP - share RI</v>
          </cell>
        </row>
        <row r="47467">
          <cell r="L47467"/>
          <cell r="S47467">
            <v>-188.7</v>
          </cell>
          <cell r="X47467" t="str">
            <v>GWP - share RI</v>
          </cell>
        </row>
        <row r="47468">
          <cell r="L47468"/>
          <cell r="S47468">
            <v>8400000</v>
          </cell>
          <cell r="X47468" t="str">
            <v>GWP - share RI</v>
          </cell>
        </row>
        <row r="47469">
          <cell r="L47469"/>
          <cell r="S47469">
            <v>15020.87</v>
          </cell>
          <cell r="X47469" t="str">
            <v>GWP - share RI</v>
          </cell>
        </row>
        <row r="47470">
          <cell r="L47470"/>
          <cell r="S47470">
            <v>32924.44</v>
          </cell>
          <cell r="X47470" t="str">
            <v>GWP - share RI</v>
          </cell>
        </row>
        <row r="47471">
          <cell r="L47471"/>
          <cell r="S47471">
            <v>-154655.63</v>
          </cell>
          <cell r="X47471" t="str">
            <v>GWP - share RI</v>
          </cell>
        </row>
        <row r="47472">
          <cell r="L47472"/>
          <cell r="S47472">
            <v>227.41</v>
          </cell>
          <cell r="X47472" t="str">
            <v>GWP - share RI</v>
          </cell>
        </row>
        <row r="47473">
          <cell r="L47473"/>
          <cell r="S47473">
            <v>-10032.27</v>
          </cell>
          <cell r="X47473" t="str">
            <v>GWP - share RI</v>
          </cell>
        </row>
        <row r="47474">
          <cell r="L47474"/>
          <cell r="S47474">
            <v>-32900.559999999998</v>
          </cell>
          <cell r="X47474" t="str">
            <v>GWP - share RI</v>
          </cell>
        </row>
        <row r="47475">
          <cell r="L47475"/>
          <cell r="S47475">
            <v>-40.5</v>
          </cell>
          <cell r="X47475" t="str">
            <v>GWP - share RI</v>
          </cell>
        </row>
        <row r="47476">
          <cell r="L47476"/>
          <cell r="S47476">
            <v>20332.29</v>
          </cell>
          <cell r="X47476" t="str">
            <v>GWP - share RI</v>
          </cell>
        </row>
        <row r="47477">
          <cell r="L47477"/>
          <cell r="S47477">
            <v>-20332.29</v>
          </cell>
          <cell r="X47477" t="str">
            <v>GWP - share RI</v>
          </cell>
        </row>
        <row r="47478">
          <cell r="L47478"/>
          <cell r="S47478">
            <v>-38.72</v>
          </cell>
          <cell r="X47478" t="str">
            <v>GWP - share RI</v>
          </cell>
        </row>
        <row r="47479">
          <cell r="L47479"/>
          <cell r="S47479">
            <v>197.39</v>
          </cell>
          <cell r="X47479" t="str">
            <v>GWP - share RI</v>
          </cell>
        </row>
        <row r="47480">
          <cell r="L47480"/>
          <cell r="S47480">
            <v>11667.61</v>
          </cell>
          <cell r="X47480" t="str">
            <v>GWP - share RI</v>
          </cell>
        </row>
        <row r="47481">
          <cell r="L47481"/>
          <cell r="S47481">
            <v>431.52</v>
          </cell>
          <cell r="X47481" t="str">
            <v>GWP - share RI</v>
          </cell>
        </row>
        <row r="47482">
          <cell r="L47482"/>
          <cell r="S47482">
            <v>431.52</v>
          </cell>
          <cell r="X47482" t="str">
            <v>GWP - share RI</v>
          </cell>
        </row>
        <row r="47483">
          <cell r="L47483"/>
          <cell r="S47483">
            <v>-2825.92</v>
          </cell>
          <cell r="X47483" t="str">
            <v>GWP - share RI</v>
          </cell>
        </row>
        <row r="47484">
          <cell r="L47484"/>
          <cell r="S47484">
            <v>-1643.32</v>
          </cell>
          <cell r="X47484" t="str">
            <v>GWP - share RI</v>
          </cell>
        </row>
        <row r="47485">
          <cell r="L47485"/>
          <cell r="S47485">
            <v>34.96</v>
          </cell>
          <cell r="X47485" t="str">
            <v>GWP - share RI</v>
          </cell>
        </row>
        <row r="47486">
          <cell r="L47486"/>
          <cell r="S47486">
            <v>-6604.53</v>
          </cell>
          <cell r="X47486" t="str">
            <v>GWP - share RI</v>
          </cell>
        </row>
        <row r="47487">
          <cell r="L47487"/>
          <cell r="S47487">
            <v>-139.85</v>
          </cell>
          <cell r="X47487" t="str">
            <v>GWP - share RI</v>
          </cell>
        </row>
        <row r="47488">
          <cell r="L47488"/>
          <cell r="S47488">
            <v>1063.1500000000001</v>
          </cell>
          <cell r="X47488" t="str">
            <v>GWP - share RI</v>
          </cell>
        </row>
        <row r="47489">
          <cell r="L47489"/>
          <cell r="S47489">
            <v>-1013.96</v>
          </cell>
          <cell r="X47489" t="str">
            <v>GWP - share RI</v>
          </cell>
        </row>
        <row r="47490">
          <cell r="L47490"/>
          <cell r="S47490">
            <v>-1013.96</v>
          </cell>
          <cell r="X47490" t="str">
            <v>GWP - share RI</v>
          </cell>
        </row>
        <row r="47491">
          <cell r="L47491"/>
          <cell r="S47491">
            <v>349.64</v>
          </cell>
          <cell r="X47491" t="str">
            <v>GWP - share RI</v>
          </cell>
        </row>
        <row r="47492">
          <cell r="L47492"/>
          <cell r="S47492">
            <v>-5792.08</v>
          </cell>
          <cell r="X47492" t="str">
            <v>GWP - share RI</v>
          </cell>
        </row>
        <row r="47493">
          <cell r="L47493"/>
          <cell r="S47493">
            <v>6604.53</v>
          </cell>
          <cell r="X47493" t="str">
            <v>GWP - share RI</v>
          </cell>
        </row>
        <row r="47494">
          <cell r="L47494"/>
          <cell r="S47494">
            <v>-349.64</v>
          </cell>
          <cell r="X47494" t="str">
            <v>GWP - share RI</v>
          </cell>
        </row>
        <row r="47495">
          <cell r="L47495"/>
          <cell r="S47495">
            <v>-9866.0300000000007</v>
          </cell>
          <cell r="X47495" t="str">
            <v>GWP - share RI</v>
          </cell>
        </row>
        <row r="47496">
          <cell r="L47496"/>
          <cell r="S47496">
            <v>-2412.5300000000002</v>
          </cell>
          <cell r="X47496" t="str">
            <v>GWP - share RI</v>
          </cell>
        </row>
        <row r="47497">
          <cell r="L47497"/>
          <cell r="S47497">
            <v>1643.32</v>
          </cell>
          <cell r="X47497" t="str">
            <v>GWP - share RI</v>
          </cell>
        </row>
        <row r="47498">
          <cell r="L47498"/>
          <cell r="S47498">
            <v>-18054.189999999999</v>
          </cell>
          <cell r="X47498" t="str">
            <v>GWP - share RI</v>
          </cell>
        </row>
        <row r="47499">
          <cell r="L47499"/>
          <cell r="S47499">
            <v>5792.08</v>
          </cell>
          <cell r="X47499" t="str">
            <v>GWP - share RI</v>
          </cell>
        </row>
        <row r="47500">
          <cell r="L47500"/>
          <cell r="S47500">
            <v>839.15</v>
          </cell>
          <cell r="X47500" t="str">
            <v>GWP - share RI</v>
          </cell>
        </row>
        <row r="47501">
          <cell r="L47501"/>
          <cell r="S47501">
            <v>2412.5300000000002</v>
          </cell>
          <cell r="X47501" t="str">
            <v>GWP - share RI</v>
          </cell>
        </row>
        <row r="47502">
          <cell r="L47502"/>
          <cell r="S47502">
            <v>1013.96</v>
          </cell>
          <cell r="X47502" t="str">
            <v>GWP - share RI</v>
          </cell>
        </row>
        <row r="47503">
          <cell r="L47503"/>
          <cell r="S47503">
            <v>-35582.769999999997</v>
          </cell>
          <cell r="X47503" t="str">
            <v>GWP - share RI</v>
          </cell>
        </row>
        <row r="47504">
          <cell r="L47504"/>
          <cell r="S47504">
            <v>35585.4</v>
          </cell>
          <cell r="X47504" t="str">
            <v>GWP - share RI</v>
          </cell>
        </row>
        <row r="47505">
          <cell r="L47505"/>
          <cell r="S47505">
            <v>18059.439999999999</v>
          </cell>
          <cell r="X47505" t="str">
            <v>GWP - share RI</v>
          </cell>
        </row>
        <row r="47506">
          <cell r="L47506"/>
          <cell r="S47506">
            <v>2825.92</v>
          </cell>
          <cell r="X47506" t="str">
            <v>GWP - share RI</v>
          </cell>
        </row>
        <row r="47507">
          <cell r="L47507"/>
          <cell r="S47507">
            <v>1013.96</v>
          </cell>
          <cell r="X47507" t="str">
            <v>GWP - share RI</v>
          </cell>
        </row>
        <row r="47508">
          <cell r="L47508"/>
          <cell r="S47508">
            <v>-1063.1500000000001</v>
          </cell>
          <cell r="X47508" t="str">
            <v>GWP - share RI</v>
          </cell>
        </row>
        <row r="47509">
          <cell r="L47509"/>
          <cell r="S47509">
            <v>0.01</v>
          </cell>
          <cell r="X47509" t="str">
            <v>GWP - share RI</v>
          </cell>
        </row>
        <row r="47510">
          <cell r="L47510"/>
          <cell r="S47510">
            <v>-3379.81</v>
          </cell>
          <cell r="X47510" t="str">
            <v>GWP - share RI</v>
          </cell>
        </row>
        <row r="47511">
          <cell r="L47511"/>
          <cell r="S47511">
            <v>2377.5700000000002</v>
          </cell>
          <cell r="X47511" t="str">
            <v>GWP - share RI</v>
          </cell>
        </row>
        <row r="47512">
          <cell r="L47512"/>
          <cell r="S47512">
            <v>419.57</v>
          </cell>
          <cell r="X47512" t="str">
            <v>GWP - share RI</v>
          </cell>
        </row>
        <row r="47513">
          <cell r="L47513"/>
          <cell r="S47513">
            <v>-2377.5700000000002</v>
          </cell>
          <cell r="X47513" t="str">
            <v>GWP - share RI</v>
          </cell>
        </row>
        <row r="47514">
          <cell r="L47514"/>
          <cell r="S47514">
            <v>-8596.36</v>
          </cell>
          <cell r="X47514" t="str">
            <v>GWP - share RI</v>
          </cell>
        </row>
        <row r="47515">
          <cell r="L47515"/>
          <cell r="S47515">
            <v>-2132.8200000000002</v>
          </cell>
          <cell r="X47515" t="str">
            <v>GWP - share RI</v>
          </cell>
        </row>
        <row r="47516">
          <cell r="L47516"/>
          <cell r="S47516">
            <v>-1788</v>
          </cell>
          <cell r="X47516" t="str">
            <v>GWP - share RI</v>
          </cell>
        </row>
        <row r="47517">
          <cell r="L47517"/>
          <cell r="S47517">
            <v>-889.1</v>
          </cell>
          <cell r="X47517" t="str">
            <v>GWP - share RI</v>
          </cell>
        </row>
        <row r="47518">
          <cell r="L47518"/>
          <cell r="S47518">
            <v>1013.96</v>
          </cell>
          <cell r="X47518" t="str">
            <v>GWP - share RI</v>
          </cell>
        </row>
        <row r="47519">
          <cell r="L47519"/>
          <cell r="S47519">
            <v>-839.15</v>
          </cell>
          <cell r="X47519" t="str">
            <v>GWP - share RI</v>
          </cell>
        </row>
        <row r="47520">
          <cell r="L47520"/>
          <cell r="S47520">
            <v>9866.0300000000007</v>
          </cell>
          <cell r="X47520" t="str">
            <v>GWP - share RI</v>
          </cell>
        </row>
        <row r="47521">
          <cell r="L47521"/>
          <cell r="S47521">
            <v>-8987.11</v>
          </cell>
          <cell r="X47521" t="str">
            <v>GWP - share RI</v>
          </cell>
        </row>
        <row r="47522">
          <cell r="L47522"/>
          <cell r="S47522">
            <v>-1013.96</v>
          </cell>
          <cell r="X47522" t="str">
            <v>GWP - share RI</v>
          </cell>
        </row>
        <row r="47523">
          <cell r="L47523"/>
          <cell r="S47523">
            <v>1788</v>
          </cell>
          <cell r="X47523" t="str">
            <v>GWP - share RI</v>
          </cell>
        </row>
        <row r="47524">
          <cell r="L47524"/>
          <cell r="S47524">
            <v>-69.930000000000007</v>
          </cell>
          <cell r="X47524" t="str">
            <v>GWP - share RI</v>
          </cell>
        </row>
        <row r="47525">
          <cell r="L47525"/>
          <cell r="S47525">
            <v>8596.36</v>
          </cell>
          <cell r="X47525" t="str">
            <v>GWP - share RI</v>
          </cell>
        </row>
        <row r="47526">
          <cell r="L47526"/>
          <cell r="S47526">
            <v>0.01</v>
          </cell>
          <cell r="X47526" t="str">
            <v>GWP - share RI</v>
          </cell>
        </row>
        <row r="47527">
          <cell r="L47527"/>
          <cell r="S47527">
            <v>-889635.09</v>
          </cell>
          <cell r="X47527" t="str">
            <v>GWP - share RI</v>
          </cell>
        </row>
        <row r="47528">
          <cell r="L47528"/>
          <cell r="S47528">
            <v>889635.09</v>
          </cell>
          <cell r="X47528" t="str">
            <v>GWP - share RI</v>
          </cell>
        </row>
        <row r="47529">
          <cell r="L47529"/>
          <cell r="S47529">
            <v>-419.57</v>
          </cell>
          <cell r="X47529" t="str">
            <v>GWP - share RI</v>
          </cell>
        </row>
        <row r="47530">
          <cell r="L47530"/>
          <cell r="S47530">
            <v>34.96</v>
          </cell>
          <cell r="X47530" t="str">
            <v>GWP - share RI</v>
          </cell>
        </row>
        <row r="47531">
          <cell r="L47531"/>
          <cell r="S47531">
            <v>-5069.8100000000004</v>
          </cell>
          <cell r="X47531" t="str">
            <v>GWP - share RI</v>
          </cell>
        </row>
        <row r="47532">
          <cell r="L47532"/>
          <cell r="S47532">
            <v>2132.8200000000002</v>
          </cell>
          <cell r="X47532" t="str">
            <v>GWP - share RI</v>
          </cell>
        </row>
        <row r="47533">
          <cell r="L47533"/>
          <cell r="S47533">
            <v>0.01</v>
          </cell>
          <cell r="X47533" t="str">
            <v>GWP - share RI</v>
          </cell>
        </row>
        <row r="47534">
          <cell r="L47534"/>
          <cell r="S47534">
            <v>8987.11</v>
          </cell>
          <cell r="X47534" t="str">
            <v>GWP - share RI</v>
          </cell>
        </row>
        <row r="47535">
          <cell r="L47535"/>
          <cell r="S47535">
            <v>5069.8100000000004</v>
          </cell>
          <cell r="X47535" t="str">
            <v>GWP - share RI</v>
          </cell>
        </row>
        <row r="47536">
          <cell r="L47536"/>
          <cell r="S47536">
            <v>-139.85</v>
          </cell>
          <cell r="X47536" t="str">
            <v>GWP - share RI</v>
          </cell>
        </row>
        <row r="47537">
          <cell r="L47537"/>
          <cell r="S47537">
            <v>36.42</v>
          </cell>
          <cell r="X47537" t="str">
            <v>GWP - share RI</v>
          </cell>
        </row>
        <row r="47538">
          <cell r="L47538"/>
          <cell r="S47538">
            <v>-32038.53</v>
          </cell>
          <cell r="X47538" t="str">
            <v>GWP - share RI</v>
          </cell>
        </row>
        <row r="47539">
          <cell r="L47539"/>
          <cell r="S47539">
            <v>-226.56</v>
          </cell>
          <cell r="X47539" t="str">
            <v>GWP - share RI</v>
          </cell>
        </row>
        <row r="47540">
          <cell r="L47540"/>
          <cell r="S47540">
            <v>-138.77000000000001</v>
          </cell>
          <cell r="X47540" t="str">
            <v>GWP - share RI</v>
          </cell>
        </row>
        <row r="47541">
          <cell r="L47541"/>
          <cell r="S47541">
            <v>-28048.52</v>
          </cell>
          <cell r="X47541" t="str">
            <v>GWP - share RI</v>
          </cell>
        </row>
        <row r="47542">
          <cell r="L47542"/>
          <cell r="S47542">
            <v>-36.42</v>
          </cell>
          <cell r="X47542" t="str">
            <v>GWP - share RI</v>
          </cell>
        </row>
        <row r="47543">
          <cell r="L47543"/>
          <cell r="S47543">
            <v>90.94</v>
          </cell>
          <cell r="X47543" t="str">
            <v>GWP - share RI</v>
          </cell>
        </row>
        <row r="47544">
          <cell r="L47544"/>
          <cell r="S47544">
            <v>0.01</v>
          </cell>
          <cell r="X47544" t="str">
            <v>GWP - share RI</v>
          </cell>
        </row>
        <row r="47545">
          <cell r="L47545"/>
          <cell r="S47545">
            <v>281.35000000000002</v>
          </cell>
          <cell r="X47545" t="str">
            <v>GWP - share RI</v>
          </cell>
        </row>
        <row r="47546">
          <cell r="L47546"/>
          <cell r="S47546">
            <v>-36.42</v>
          </cell>
          <cell r="X47546" t="str">
            <v>GWP - share RI</v>
          </cell>
        </row>
        <row r="47547">
          <cell r="L47547"/>
          <cell r="S47547">
            <v>-256.7</v>
          </cell>
          <cell r="X47547" t="str">
            <v>GWP - share RI</v>
          </cell>
        </row>
        <row r="47548">
          <cell r="L47548"/>
          <cell r="S47548">
            <v>-2585.44</v>
          </cell>
          <cell r="X47548" t="str">
            <v>GWP - share RI</v>
          </cell>
        </row>
        <row r="47549">
          <cell r="L47549"/>
          <cell r="S47549">
            <v>15256.08</v>
          </cell>
          <cell r="X47549" t="str">
            <v>GWP - share RI</v>
          </cell>
        </row>
        <row r="47550">
          <cell r="L47550"/>
          <cell r="S47550">
            <v>-145.66999999999999</v>
          </cell>
          <cell r="X47550" t="str">
            <v>GWP - share RI</v>
          </cell>
        </row>
        <row r="47551">
          <cell r="L47551"/>
          <cell r="S47551">
            <v>188.63</v>
          </cell>
          <cell r="X47551" t="str">
            <v>GWP - share RI</v>
          </cell>
        </row>
        <row r="47552">
          <cell r="L47552"/>
          <cell r="S47552">
            <v>711.96</v>
          </cell>
          <cell r="X47552" t="str">
            <v>GWP - share RI</v>
          </cell>
        </row>
        <row r="47553">
          <cell r="L47553"/>
          <cell r="S47553">
            <v>-29252.12</v>
          </cell>
          <cell r="X47553" t="str">
            <v>GWP - share RI</v>
          </cell>
        </row>
        <row r="47554">
          <cell r="L47554"/>
          <cell r="S47554">
            <v>29252.12</v>
          </cell>
          <cell r="X47554" t="str">
            <v>GWP - share RI</v>
          </cell>
        </row>
        <row r="47555">
          <cell r="L47555"/>
          <cell r="S47555">
            <v>-29252.12</v>
          </cell>
          <cell r="X47555" t="str">
            <v>GWP - share RI</v>
          </cell>
        </row>
        <row r="47556">
          <cell r="L47556"/>
          <cell r="S47556">
            <v>16346.28</v>
          </cell>
          <cell r="X47556" t="str">
            <v>GWP - share RI</v>
          </cell>
        </row>
        <row r="47557">
          <cell r="L47557"/>
          <cell r="S47557">
            <v>-29252.12</v>
          </cell>
          <cell r="X47557" t="str">
            <v>GWP - share RI</v>
          </cell>
        </row>
        <row r="47558">
          <cell r="L47558"/>
          <cell r="S47558">
            <v>145.66999999999999</v>
          </cell>
          <cell r="X47558" t="str">
            <v>GWP - share RI</v>
          </cell>
        </row>
        <row r="47559">
          <cell r="L47559"/>
          <cell r="S47559">
            <v>-365.99</v>
          </cell>
          <cell r="X47559" t="str">
            <v>GWP - share RI</v>
          </cell>
        </row>
        <row r="47560">
          <cell r="L47560"/>
          <cell r="S47560">
            <v>-1009.31</v>
          </cell>
          <cell r="X47560" t="str">
            <v>GWP - share RI</v>
          </cell>
        </row>
        <row r="47561">
          <cell r="L47561"/>
          <cell r="S47561">
            <v>-254.92</v>
          </cell>
          <cell r="X47561" t="str">
            <v>GWP - share RI</v>
          </cell>
        </row>
        <row r="47562">
          <cell r="L47562"/>
          <cell r="S47562">
            <v>252.05</v>
          </cell>
          <cell r="X47562" t="str">
            <v>GWP - share RI</v>
          </cell>
        </row>
        <row r="47563">
          <cell r="L47563"/>
          <cell r="S47563">
            <v>-945.85</v>
          </cell>
          <cell r="X47563" t="str">
            <v>GWP - share RI</v>
          </cell>
        </row>
        <row r="47564">
          <cell r="L47564"/>
          <cell r="S47564">
            <v>4424.97</v>
          </cell>
          <cell r="X47564" t="str">
            <v>GWP - share RI</v>
          </cell>
        </row>
        <row r="47565">
          <cell r="L47565"/>
          <cell r="S47565">
            <v>13349.45</v>
          </cell>
          <cell r="X47565" t="str">
            <v>GWP - share RI</v>
          </cell>
        </row>
        <row r="47566">
          <cell r="L47566"/>
          <cell r="S47566">
            <v>13281.35</v>
          </cell>
          <cell r="X47566" t="str">
            <v>GWP - share RI</v>
          </cell>
        </row>
        <row r="47567">
          <cell r="L47567"/>
          <cell r="S47567">
            <v>17953.259999999998</v>
          </cell>
          <cell r="X47567" t="str">
            <v>GWP - share RI</v>
          </cell>
        </row>
        <row r="47568">
          <cell r="L47568"/>
          <cell r="S47568">
            <v>-13281.35</v>
          </cell>
          <cell r="X47568" t="str">
            <v>GWP - share RI</v>
          </cell>
        </row>
        <row r="47569">
          <cell r="L47569"/>
          <cell r="S47569">
            <v>228.53</v>
          </cell>
          <cell r="X47569" t="str">
            <v>GWP - share RI</v>
          </cell>
        </row>
        <row r="47570">
          <cell r="L47570"/>
          <cell r="S47570">
            <v>-12359.36</v>
          </cell>
          <cell r="X47570" t="str">
            <v>GWP - share RI</v>
          </cell>
        </row>
        <row r="47571">
          <cell r="L47571"/>
          <cell r="S47571">
            <v>-36.42</v>
          </cell>
          <cell r="X47571" t="str">
            <v>GWP - share RI</v>
          </cell>
        </row>
        <row r="47572">
          <cell r="L47572"/>
          <cell r="S47572">
            <v>-31572.19</v>
          </cell>
          <cell r="X47572" t="str">
            <v>GWP - share RI</v>
          </cell>
        </row>
        <row r="47573">
          <cell r="L47573"/>
          <cell r="S47573">
            <v>-16022.8</v>
          </cell>
          <cell r="X47573" t="str">
            <v>GWP - share RI</v>
          </cell>
        </row>
        <row r="47574">
          <cell r="L47574"/>
          <cell r="S47574">
            <v>-4965.82</v>
          </cell>
          <cell r="X47574" t="str">
            <v>GWP - share RI</v>
          </cell>
        </row>
        <row r="47575">
          <cell r="L47575"/>
          <cell r="S47575">
            <v>82.63</v>
          </cell>
          <cell r="X47575" t="str">
            <v>GWP - share RI</v>
          </cell>
        </row>
        <row r="47576">
          <cell r="L47576"/>
          <cell r="S47576">
            <v>11958.95</v>
          </cell>
          <cell r="X47576" t="str">
            <v>GWP - share RI</v>
          </cell>
        </row>
        <row r="47577">
          <cell r="L47577"/>
          <cell r="S47577">
            <v>-109.25</v>
          </cell>
          <cell r="X47577" t="str">
            <v>GWP - share RI</v>
          </cell>
        </row>
        <row r="47578">
          <cell r="L47578"/>
          <cell r="S47578">
            <v>-23305.87</v>
          </cell>
          <cell r="X47578" t="str">
            <v>GWP - share RI</v>
          </cell>
        </row>
        <row r="47579">
          <cell r="L47579"/>
          <cell r="S47579">
            <v>-145.66999999999999</v>
          </cell>
          <cell r="X47579" t="str">
            <v>GWP - share RI</v>
          </cell>
        </row>
        <row r="47580">
          <cell r="L47580"/>
          <cell r="S47580">
            <v>145.66999999999999</v>
          </cell>
          <cell r="X47580" t="str">
            <v>GWP - share RI</v>
          </cell>
        </row>
        <row r="47581">
          <cell r="L47581"/>
          <cell r="S47581">
            <v>-145.66999999999999</v>
          </cell>
          <cell r="X47581" t="str">
            <v>GWP - share RI</v>
          </cell>
        </row>
        <row r="47582">
          <cell r="L47582"/>
          <cell r="S47582">
            <v>145.66999999999999</v>
          </cell>
          <cell r="X47582" t="str">
            <v>GWP - share RI</v>
          </cell>
        </row>
        <row r="47583">
          <cell r="L47583"/>
          <cell r="S47583">
            <v>-84.62</v>
          </cell>
          <cell r="X47583" t="str">
            <v>GWP - share RI</v>
          </cell>
        </row>
        <row r="47584">
          <cell r="L47584"/>
          <cell r="S47584">
            <v>145.66999999999999</v>
          </cell>
          <cell r="X47584" t="str">
            <v>GWP - share RI</v>
          </cell>
        </row>
        <row r="47585">
          <cell r="L47585"/>
          <cell r="S47585">
            <v>145.66999999999999</v>
          </cell>
          <cell r="X47585" t="str">
            <v>GWP - share RI</v>
          </cell>
        </row>
        <row r="47586">
          <cell r="L47586"/>
          <cell r="S47586">
            <v>-145.66999999999999</v>
          </cell>
          <cell r="X47586" t="str">
            <v>GWP - share RI</v>
          </cell>
        </row>
        <row r="47587">
          <cell r="L47587"/>
          <cell r="S47587">
            <v>145.66999999999999</v>
          </cell>
          <cell r="X47587" t="str">
            <v>GWP - share RI</v>
          </cell>
        </row>
        <row r="47588">
          <cell r="L47588"/>
          <cell r="S47588">
            <v>102.61</v>
          </cell>
          <cell r="X47588" t="str">
            <v>GWP - share RI</v>
          </cell>
        </row>
        <row r="47589">
          <cell r="L47589"/>
          <cell r="S47589">
            <v>-34820.28</v>
          </cell>
          <cell r="X47589" t="str">
            <v>GWP - share RI</v>
          </cell>
        </row>
        <row r="47590">
          <cell r="L47590"/>
          <cell r="S47590">
            <v>-170.96</v>
          </cell>
          <cell r="X47590" t="str">
            <v>GWP - share RI</v>
          </cell>
        </row>
        <row r="47591">
          <cell r="L47591"/>
          <cell r="S47591">
            <v>-145.66999999999999</v>
          </cell>
          <cell r="X47591" t="str">
            <v>GWP - share RI</v>
          </cell>
        </row>
        <row r="47592">
          <cell r="L47592"/>
          <cell r="S47592">
            <v>29252.12</v>
          </cell>
          <cell r="X47592" t="str">
            <v>GWP - share RI</v>
          </cell>
        </row>
        <row r="47593">
          <cell r="L47593"/>
          <cell r="S47593">
            <v>158.72</v>
          </cell>
          <cell r="X47593" t="str">
            <v>GWP - share RI</v>
          </cell>
        </row>
        <row r="47594">
          <cell r="L47594"/>
          <cell r="S47594">
            <v>-285.92</v>
          </cell>
          <cell r="X47594" t="str">
            <v>GWP - share RI</v>
          </cell>
        </row>
        <row r="47595">
          <cell r="L47595"/>
          <cell r="S47595">
            <v>-12204.87</v>
          </cell>
          <cell r="X47595" t="str">
            <v>GWP - share RI</v>
          </cell>
        </row>
        <row r="47596">
          <cell r="L47596"/>
          <cell r="S47596">
            <v>4965.82</v>
          </cell>
          <cell r="X47596" t="str">
            <v>GWP - share RI</v>
          </cell>
        </row>
        <row r="47597">
          <cell r="L47597"/>
          <cell r="S47597">
            <v>31572.19</v>
          </cell>
          <cell r="X47597" t="str">
            <v>GWP - share RI</v>
          </cell>
        </row>
        <row r="47598">
          <cell r="L47598"/>
          <cell r="S47598">
            <v>-36.42</v>
          </cell>
          <cell r="X47598" t="str">
            <v>GWP - share RI</v>
          </cell>
        </row>
        <row r="47599">
          <cell r="L47599"/>
          <cell r="S47599">
            <v>814.74</v>
          </cell>
          <cell r="X47599" t="str">
            <v>GWP - share RI</v>
          </cell>
        </row>
        <row r="47600">
          <cell r="L47600"/>
          <cell r="S47600">
            <v>12204.86</v>
          </cell>
          <cell r="X47600" t="str">
            <v>GWP - share RI</v>
          </cell>
        </row>
        <row r="47601">
          <cell r="L47601"/>
          <cell r="S47601">
            <v>32038.53</v>
          </cell>
          <cell r="X47601" t="str">
            <v>GWP - share RI</v>
          </cell>
        </row>
        <row r="47602">
          <cell r="L47602"/>
          <cell r="S47602">
            <v>1556.53</v>
          </cell>
          <cell r="X47602" t="str">
            <v>GWP - share RI</v>
          </cell>
        </row>
        <row r="47603">
          <cell r="L47603"/>
          <cell r="S47603">
            <v>-145.66999999999999</v>
          </cell>
          <cell r="X47603" t="str">
            <v>GWP - share RI</v>
          </cell>
        </row>
        <row r="47604">
          <cell r="L47604"/>
          <cell r="S47604">
            <v>77.569999999999993</v>
          </cell>
          <cell r="X47604" t="str">
            <v>GWP - share RI</v>
          </cell>
        </row>
        <row r="47605">
          <cell r="L47605"/>
          <cell r="S47605">
            <v>22765.98</v>
          </cell>
          <cell r="X47605" t="str">
            <v>GWP - share RI</v>
          </cell>
        </row>
        <row r="47606">
          <cell r="L47606"/>
          <cell r="S47606">
            <v>-102.61</v>
          </cell>
          <cell r="X47606" t="str">
            <v>GWP - share RI</v>
          </cell>
        </row>
        <row r="47607">
          <cell r="L47607"/>
          <cell r="S47607">
            <v>10816.26</v>
          </cell>
          <cell r="X47607" t="str">
            <v>GWP - share RI</v>
          </cell>
        </row>
        <row r="47608">
          <cell r="L47608"/>
          <cell r="S47608">
            <v>-15256.08</v>
          </cell>
          <cell r="X47608" t="str">
            <v>GWP - share RI</v>
          </cell>
        </row>
        <row r="47609">
          <cell r="L47609"/>
          <cell r="S47609">
            <v>36.42</v>
          </cell>
          <cell r="X47609" t="str">
            <v>GWP - share RI</v>
          </cell>
        </row>
        <row r="47610">
          <cell r="L47610"/>
          <cell r="S47610">
            <v>-145.66999999999999</v>
          </cell>
          <cell r="X47610" t="str">
            <v>GWP - share RI</v>
          </cell>
        </row>
        <row r="47611">
          <cell r="L47611"/>
          <cell r="S47611">
            <v>29252.12</v>
          </cell>
          <cell r="X47611" t="str">
            <v>GWP - share RI</v>
          </cell>
        </row>
        <row r="47612">
          <cell r="L47612"/>
          <cell r="S47612">
            <v>-82.63</v>
          </cell>
          <cell r="X47612" t="str">
            <v>GWP - share RI</v>
          </cell>
        </row>
        <row r="47613">
          <cell r="L47613"/>
          <cell r="S47613">
            <v>2585.44</v>
          </cell>
          <cell r="X47613" t="str">
            <v>GWP - share RI</v>
          </cell>
        </row>
        <row r="47614">
          <cell r="L47614"/>
          <cell r="S47614">
            <v>8110.82</v>
          </cell>
          <cell r="X47614" t="str">
            <v>GWP - share RI</v>
          </cell>
        </row>
        <row r="47615">
          <cell r="L47615"/>
          <cell r="S47615">
            <v>-10426.030000000001</v>
          </cell>
          <cell r="X47615" t="str">
            <v>GWP - share RI</v>
          </cell>
        </row>
        <row r="47616">
          <cell r="L47616"/>
          <cell r="S47616">
            <v>202.52</v>
          </cell>
          <cell r="X47616" t="str">
            <v>GWP - share RI</v>
          </cell>
        </row>
        <row r="47617">
          <cell r="L47617"/>
          <cell r="S47617">
            <v>160.93</v>
          </cell>
          <cell r="X47617" t="str">
            <v>GWP - share RI</v>
          </cell>
        </row>
        <row r="47618">
          <cell r="L47618"/>
          <cell r="S47618">
            <v>-814.74</v>
          </cell>
          <cell r="X47618" t="str">
            <v>GWP - share RI</v>
          </cell>
        </row>
        <row r="47619">
          <cell r="L47619"/>
          <cell r="S47619">
            <v>0.01</v>
          </cell>
          <cell r="X47619" t="str">
            <v>GWP - share RI</v>
          </cell>
        </row>
        <row r="47620">
          <cell r="L47620"/>
          <cell r="S47620">
            <v>-16346.28</v>
          </cell>
          <cell r="X47620" t="str">
            <v>GWP - share RI</v>
          </cell>
        </row>
        <row r="47621">
          <cell r="L47621"/>
          <cell r="S47621">
            <v>-145.66999999999999</v>
          </cell>
          <cell r="X47621" t="str">
            <v>GWP - share RI</v>
          </cell>
        </row>
        <row r="47622">
          <cell r="L47622"/>
          <cell r="S47622">
            <v>84.62</v>
          </cell>
          <cell r="X47622" t="str">
            <v>GWP - share RI</v>
          </cell>
        </row>
        <row r="47623">
          <cell r="L47623"/>
          <cell r="S47623">
            <v>28048.52</v>
          </cell>
          <cell r="X47623" t="str">
            <v>GWP - share RI</v>
          </cell>
        </row>
        <row r="47624">
          <cell r="L47624"/>
          <cell r="S47624">
            <v>180.36</v>
          </cell>
          <cell r="X47624" t="str">
            <v>GWP - share RI</v>
          </cell>
        </row>
        <row r="47625">
          <cell r="L47625"/>
          <cell r="S47625">
            <v>32999.160000000003</v>
          </cell>
          <cell r="X47625" t="str">
            <v>GWP - share RI</v>
          </cell>
        </row>
        <row r="47626">
          <cell r="L47626"/>
          <cell r="S47626">
            <v>12359.36</v>
          </cell>
          <cell r="X47626" t="str">
            <v>GWP - share RI</v>
          </cell>
        </row>
        <row r="47627">
          <cell r="L47627"/>
          <cell r="S47627">
            <v>11678.6</v>
          </cell>
          <cell r="X47627" t="str">
            <v>GWP - share RI</v>
          </cell>
        </row>
        <row r="47628">
          <cell r="L47628"/>
          <cell r="S47628">
            <v>-453.73</v>
          </cell>
          <cell r="X47628" t="str">
            <v>GWP - share RI</v>
          </cell>
        </row>
        <row r="47629">
          <cell r="L47629"/>
          <cell r="S47629">
            <v>-8110.82</v>
          </cell>
          <cell r="X47629" t="str">
            <v>GWP - share RI</v>
          </cell>
        </row>
        <row r="47630">
          <cell r="L47630"/>
          <cell r="S47630">
            <v>-13349.45</v>
          </cell>
          <cell r="X47630" t="str">
            <v>GWP - share RI</v>
          </cell>
        </row>
        <row r="47631">
          <cell r="L47631"/>
          <cell r="S47631">
            <v>226.56</v>
          </cell>
          <cell r="X47631" t="str">
            <v>GWP - share RI</v>
          </cell>
        </row>
        <row r="47632">
          <cell r="L47632"/>
          <cell r="S47632">
            <v>36.42</v>
          </cell>
          <cell r="X47632" t="str">
            <v>GWP - share RI</v>
          </cell>
        </row>
        <row r="47633">
          <cell r="L47633"/>
          <cell r="S47633">
            <v>-0.01</v>
          </cell>
          <cell r="X47633" t="str">
            <v>GWP - share RI</v>
          </cell>
        </row>
        <row r="47634">
          <cell r="L47634"/>
          <cell r="S47634">
            <v>-226.56</v>
          </cell>
          <cell r="X47634" t="str">
            <v>GWP - share RI</v>
          </cell>
        </row>
        <row r="47635">
          <cell r="L47635"/>
          <cell r="S47635">
            <v>-188.63</v>
          </cell>
          <cell r="X47635" t="str">
            <v>GWP - share RI</v>
          </cell>
        </row>
        <row r="47636">
          <cell r="L47636"/>
          <cell r="S47636">
            <v>-153.13</v>
          </cell>
          <cell r="X47636" t="str">
            <v>GWP - share RI</v>
          </cell>
        </row>
        <row r="47637">
          <cell r="L47637"/>
          <cell r="S47637">
            <v>-158.72</v>
          </cell>
          <cell r="X47637" t="str">
            <v>GWP - share RI</v>
          </cell>
        </row>
        <row r="47638">
          <cell r="L47638"/>
          <cell r="S47638">
            <v>36.42</v>
          </cell>
          <cell r="X47638" t="str">
            <v>GWP - share RI</v>
          </cell>
        </row>
        <row r="47639">
          <cell r="L47639"/>
          <cell r="S47639">
            <v>158.72</v>
          </cell>
          <cell r="X47639" t="str">
            <v>GWP - share RI</v>
          </cell>
        </row>
        <row r="47640">
          <cell r="L47640"/>
          <cell r="S47640">
            <v>16022.8</v>
          </cell>
          <cell r="X47640" t="str">
            <v>GWP - share RI</v>
          </cell>
        </row>
        <row r="47641">
          <cell r="L47641"/>
          <cell r="S47641">
            <v>-19350.12</v>
          </cell>
          <cell r="X47641" t="str">
            <v>GWP - share RI</v>
          </cell>
        </row>
        <row r="47642">
          <cell r="L47642"/>
          <cell r="S47642">
            <v>34820.269999999997</v>
          </cell>
          <cell r="X47642" t="str">
            <v>GWP - share RI</v>
          </cell>
        </row>
        <row r="47643">
          <cell r="L47643"/>
          <cell r="S47643">
            <v>145.66999999999999</v>
          </cell>
          <cell r="X47643" t="str">
            <v>GWP - share RI</v>
          </cell>
        </row>
        <row r="47644">
          <cell r="L47644"/>
          <cell r="S47644">
            <v>9543.2999999999993</v>
          </cell>
          <cell r="X47644" t="str">
            <v>GWP - share RI</v>
          </cell>
        </row>
        <row r="47645">
          <cell r="L47645"/>
          <cell r="S47645">
            <v>29954.400000000001</v>
          </cell>
          <cell r="X47645" t="str">
            <v>GWP - share RI</v>
          </cell>
        </row>
        <row r="47646">
          <cell r="L47646"/>
          <cell r="S47646">
            <v>-2.72</v>
          </cell>
          <cell r="X47646" t="str">
            <v>GWP - share RI</v>
          </cell>
        </row>
        <row r="47647">
          <cell r="L47647"/>
          <cell r="S47647">
            <v>-11958.95</v>
          </cell>
          <cell r="X47647" t="str">
            <v>GWP - share RI</v>
          </cell>
        </row>
        <row r="47648">
          <cell r="L47648"/>
          <cell r="S47648">
            <v>-36.42</v>
          </cell>
          <cell r="X47648" t="str">
            <v>GWP - share RI</v>
          </cell>
        </row>
        <row r="47649">
          <cell r="L47649"/>
          <cell r="S47649">
            <v>5364.23</v>
          </cell>
          <cell r="X47649" t="str">
            <v>GWP - share RI</v>
          </cell>
        </row>
        <row r="47650">
          <cell r="L47650"/>
          <cell r="S47650">
            <v>19350.13</v>
          </cell>
          <cell r="X47650" t="str">
            <v>GWP - share RI</v>
          </cell>
        </row>
        <row r="47651">
          <cell r="L47651"/>
          <cell r="S47651">
            <v>2.72</v>
          </cell>
          <cell r="X47651" t="str">
            <v>GWP - share RI</v>
          </cell>
        </row>
        <row r="47652">
          <cell r="L47652"/>
          <cell r="S47652">
            <v>14356.03</v>
          </cell>
          <cell r="X47652" t="str">
            <v>GWP - share RI</v>
          </cell>
        </row>
        <row r="47653">
          <cell r="L47653"/>
          <cell r="S47653">
            <v>-5364.23</v>
          </cell>
          <cell r="X47653" t="str">
            <v>GWP - share RI</v>
          </cell>
        </row>
        <row r="47654">
          <cell r="L47654"/>
          <cell r="S47654">
            <v>699.18</v>
          </cell>
          <cell r="X47654" t="str">
            <v>GWP - share RI</v>
          </cell>
        </row>
        <row r="47655">
          <cell r="L47655"/>
          <cell r="S47655">
            <v>-188.63</v>
          </cell>
          <cell r="X47655" t="str">
            <v>GWP - share RI</v>
          </cell>
        </row>
        <row r="47656">
          <cell r="L47656"/>
          <cell r="S47656">
            <v>0.01</v>
          </cell>
          <cell r="X47656" t="str">
            <v>GWP - share RI</v>
          </cell>
        </row>
        <row r="47657">
          <cell r="L47657"/>
          <cell r="S47657">
            <v>-291.33999999999997</v>
          </cell>
          <cell r="X47657" t="str">
            <v>GWP - share RI</v>
          </cell>
        </row>
        <row r="47658">
          <cell r="L47658"/>
          <cell r="S47658">
            <v>36.42</v>
          </cell>
          <cell r="X47658" t="str">
            <v>GWP - share RI</v>
          </cell>
        </row>
        <row r="47659">
          <cell r="L47659"/>
          <cell r="S47659">
            <v>-369.74</v>
          </cell>
          <cell r="X47659" t="str">
            <v>GWP - share RI</v>
          </cell>
        </row>
        <row r="47660">
          <cell r="L47660"/>
          <cell r="S47660">
            <v>10426.030000000001</v>
          </cell>
          <cell r="X47660" t="str">
            <v>GWP - share RI</v>
          </cell>
        </row>
        <row r="47661">
          <cell r="L47661"/>
          <cell r="S47661">
            <v>-4015.49</v>
          </cell>
          <cell r="X47661" t="str">
            <v>GWP - share RI</v>
          </cell>
        </row>
        <row r="47662">
          <cell r="L47662"/>
          <cell r="S47662">
            <v>23305.87</v>
          </cell>
          <cell r="X47662" t="str">
            <v>GWP - share RI</v>
          </cell>
        </row>
        <row r="47663">
          <cell r="L47663"/>
          <cell r="S47663">
            <v>-90.94</v>
          </cell>
          <cell r="X47663" t="str">
            <v>GWP - share RI</v>
          </cell>
        </row>
        <row r="47664">
          <cell r="L47664"/>
          <cell r="S47664">
            <v>10478.75</v>
          </cell>
          <cell r="X47664" t="str">
            <v>GWP - share RI</v>
          </cell>
        </row>
        <row r="47665">
          <cell r="L47665"/>
          <cell r="S47665">
            <v>-90.94</v>
          </cell>
          <cell r="X47665" t="str">
            <v>GWP - share RI</v>
          </cell>
        </row>
        <row r="47666">
          <cell r="L47666"/>
          <cell r="S47666">
            <v>145.66999999999999</v>
          </cell>
          <cell r="X47666" t="str">
            <v>GWP - share RI</v>
          </cell>
        </row>
        <row r="47667">
          <cell r="L47667"/>
          <cell r="S47667">
            <v>254.92</v>
          </cell>
          <cell r="X47667" t="str">
            <v>GWP - share RI</v>
          </cell>
        </row>
        <row r="47668">
          <cell r="L47668"/>
          <cell r="S47668">
            <v>-10478.75</v>
          </cell>
          <cell r="X47668" t="str">
            <v>GWP - share RI</v>
          </cell>
        </row>
        <row r="47669">
          <cell r="L47669"/>
          <cell r="S47669">
            <v>291.33999999999997</v>
          </cell>
          <cell r="X47669" t="str">
            <v>GWP - share RI</v>
          </cell>
        </row>
        <row r="47670">
          <cell r="L47670"/>
          <cell r="S47670">
            <v>-814.74</v>
          </cell>
          <cell r="X47670" t="str">
            <v>GWP - share RI</v>
          </cell>
        </row>
        <row r="47671">
          <cell r="L47671"/>
          <cell r="S47671">
            <v>-289.36</v>
          </cell>
          <cell r="X47671" t="str">
            <v>GWP - share RI</v>
          </cell>
        </row>
        <row r="47672">
          <cell r="L47672"/>
          <cell r="S47672">
            <v>-238.65</v>
          </cell>
          <cell r="X47672" t="str">
            <v>GWP - share RI</v>
          </cell>
        </row>
        <row r="47673">
          <cell r="L47673"/>
          <cell r="S47673">
            <v>-32005.29</v>
          </cell>
          <cell r="X47673" t="str">
            <v>GWP - share RI</v>
          </cell>
        </row>
        <row r="47674">
          <cell r="L47674"/>
          <cell r="S47674">
            <v>6000.99</v>
          </cell>
          <cell r="X47674" t="str">
            <v>GWP - share RI</v>
          </cell>
        </row>
        <row r="47675">
          <cell r="L47675"/>
          <cell r="S47675">
            <v>-8068.91</v>
          </cell>
          <cell r="X47675" t="str">
            <v>GWP - share RI</v>
          </cell>
        </row>
        <row r="47676">
          <cell r="L47676"/>
          <cell r="S47676">
            <v>17574.75</v>
          </cell>
          <cell r="X47676" t="str">
            <v>GWP - share RI</v>
          </cell>
        </row>
        <row r="47677">
          <cell r="L47677"/>
          <cell r="S47677">
            <v>238.65</v>
          </cell>
          <cell r="X47677" t="str">
            <v>GWP - share RI</v>
          </cell>
        </row>
        <row r="47678">
          <cell r="L47678"/>
          <cell r="S47678">
            <v>-6926.73</v>
          </cell>
          <cell r="X47678" t="str">
            <v>GWP - share RI</v>
          </cell>
        </row>
        <row r="47679">
          <cell r="L47679"/>
          <cell r="S47679">
            <v>126.36</v>
          </cell>
          <cell r="X47679" t="str">
            <v>GWP - share RI</v>
          </cell>
        </row>
        <row r="47680">
          <cell r="L47680"/>
          <cell r="S47680">
            <v>28480.68</v>
          </cell>
          <cell r="X47680" t="str">
            <v>GWP - share RI</v>
          </cell>
        </row>
        <row r="47681">
          <cell r="L47681"/>
          <cell r="S47681">
            <v>-81</v>
          </cell>
          <cell r="X47681" t="str">
            <v>GWP - share RI</v>
          </cell>
        </row>
        <row r="47682">
          <cell r="L47682"/>
          <cell r="S47682">
            <v>77076.28</v>
          </cell>
          <cell r="X47682" t="str">
            <v>GWP - share RI</v>
          </cell>
        </row>
        <row r="47683">
          <cell r="L47683"/>
          <cell r="S47683">
            <v>19564.349999999999</v>
          </cell>
          <cell r="X47683" t="str">
            <v>GWP - share RI</v>
          </cell>
        </row>
        <row r="47684">
          <cell r="L47684"/>
          <cell r="S47684">
            <v>349798.72</v>
          </cell>
          <cell r="X47684" t="str">
            <v>GWP - share RI</v>
          </cell>
        </row>
        <row r="47685">
          <cell r="L47685"/>
          <cell r="S47685">
            <v>34005.629999999997</v>
          </cell>
          <cell r="X47685" t="str">
            <v>GWP - share RI</v>
          </cell>
        </row>
        <row r="47686">
          <cell r="L47686"/>
          <cell r="S47686">
            <v>-73.37</v>
          </cell>
          <cell r="X47686" t="str">
            <v>GWP - share RI</v>
          </cell>
        </row>
        <row r="47687">
          <cell r="L47687"/>
          <cell r="S47687">
            <v>-32005.29</v>
          </cell>
          <cell r="X47687" t="str">
            <v>GWP - share RI</v>
          </cell>
        </row>
        <row r="47688">
          <cell r="L47688"/>
          <cell r="S47688">
            <v>8068.91</v>
          </cell>
          <cell r="X47688" t="str">
            <v>GWP - share RI</v>
          </cell>
        </row>
        <row r="47689">
          <cell r="L47689"/>
          <cell r="S47689">
            <v>-29221.78</v>
          </cell>
          <cell r="X47689" t="str">
            <v>GWP - share RI</v>
          </cell>
        </row>
        <row r="47690">
          <cell r="L47690"/>
          <cell r="S47690">
            <v>32005.29</v>
          </cell>
          <cell r="X47690" t="str">
            <v>GWP - share RI</v>
          </cell>
        </row>
        <row r="47691">
          <cell r="L47691"/>
          <cell r="S47691">
            <v>-365.8</v>
          </cell>
          <cell r="X47691" t="str">
            <v>GWP - share RI</v>
          </cell>
        </row>
        <row r="47692">
          <cell r="L47692"/>
          <cell r="S47692">
            <v>-31048.15</v>
          </cell>
          <cell r="X47692" t="str">
            <v>GWP - share RI</v>
          </cell>
        </row>
        <row r="47693">
          <cell r="L47693"/>
          <cell r="S47693">
            <v>28183.48</v>
          </cell>
          <cell r="X47693" t="str">
            <v>GWP - share RI</v>
          </cell>
        </row>
        <row r="47694">
          <cell r="L47694"/>
          <cell r="S47694">
            <v>-57.04</v>
          </cell>
          <cell r="X47694" t="str">
            <v>GWP - share RI</v>
          </cell>
        </row>
        <row r="47695">
          <cell r="L47695"/>
          <cell r="S47695">
            <v>34005.629999999997</v>
          </cell>
          <cell r="X47695" t="str">
            <v>GWP - share RI</v>
          </cell>
        </row>
        <row r="47696">
          <cell r="L47696"/>
          <cell r="S47696">
            <v>468.47</v>
          </cell>
          <cell r="X47696" t="str">
            <v>GWP - share RI</v>
          </cell>
        </row>
        <row r="47697">
          <cell r="L47697"/>
          <cell r="S47697">
            <v>-17574.75</v>
          </cell>
          <cell r="X47697" t="str">
            <v>GWP - share RI</v>
          </cell>
        </row>
        <row r="47698">
          <cell r="L47698"/>
          <cell r="S47698">
            <v>29221.78</v>
          </cell>
          <cell r="X47698" t="str">
            <v>GWP - share RI</v>
          </cell>
        </row>
        <row r="47699">
          <cell r="L47699"/>
          <cell r="S47699">
            <v>-36.840000000000003</v>
          </cell>
          <cell r="X47699" t="str">
            <v>GWP - share RI</v>
          </cell>
        </row>
        <row r="47700">
          <cell r="L47700"/>
          <cell r="S47700">
            <v>-133.37</v>
          </cell>
          <cell r="X47700" t="str">
            <v>GWP - share RI</v>
          </cell>
        </row>
        <row r="47701">
          <cell r="L47701"/>
          <cell r="S47701">
            <v>8953.17</v>
          </cell>
          <cell r="X47701" t="str">
            <v>GWP - share RI</v>
          </cell>
        </row>
        <row r="47702">
          <cell r="L47702"/>
          <cell r="S47702">
            <v>36.840000000000003</v>
          </cell>
          <cell r="X47702" t="str">
            <v>GWP - share RI</v>
          </cell>
        </row>
        <row r="47703">
          <cell r="L47703"/>
          <cell r="S47703">
            <v>365.8</v>
          </cell>
          <cell r="X47703" t="str">
            <v>GWP - share RI</v>
          </cell>
        </row>
        <row r="47704">
          <cell r="L47704"/>
          <cell r="S47704">
            <v>-349798.72</v>
          </cell>
          <cell r="X47704" t="str">
            <v>GWP - share RI</v>
          </cell>
        </row>
        <row r="47705">
          <cell r="L47705"/>
          <cell r="S47705">
            <v>31048.15</v>
          </cell>
          <cell r="X47705" t="str">
            <v>GWP - share RI</v>
          </cell>
        </row>
        <row r="47706">
          <cell r="L47706"/>
          <cell r="S47706">
            <v>-77076.28</v>
          </cell>
          <cell r="X47706" t="str">
            <v>GWP - share RI</v>
          </cell>
        </row>
        <row r="47707">
          <cell r="L47707"/>
          <cell r="S47707">
            <v>257.64</v>
          </cell>
          <cell r="X47707" t="str">
            <v>GWP - share RI</v>
          </cell>
        </row>
        <row r="47708">
          <cell r="L47708"/>
          <cell r="S47708">
            <v>-28183.48</v>
          </cell>
          <cell r="X47708" t="str">
            <v>GWP - share RI</v>
          </cell>
        </row>
        <row r="47709">
          <cell r="L47709"/>
          <cell r="S47709">
            <v>-337.24</v>
          </cell>
          <cell r="X47709" t="str">
            <v>GWP - share RI</v>
          </cell>
        </row>
        <row r="47710">
          <cell r="L47710"/>
          <cell r="S47710">
            <v>-32005.29</v>
          </cell>
          <cell r="X47710" t="str">
            <v>GWP - share RI</v>
          </cell>
        </row>
        <row r="47711">
          <cell r="L47711"/>
          <cell r="S47711">
            <v>-468.47</v>
          </cell>
          <cell r="X47711" t="str">
            <v>GWP - share RI</v>
          </cell>
        </row>
        <row r="47712">
          <cell r="L47712"/>
          <cell r="S47712">
            <v>-161.52000000000001</v>
          </cell>
          <cell r="X47712" t="str">
            <v>GWP - share RI</v>
          </cell>
        </row>
        <row r="47713">
          <cell r="L47713"/>
          <cell r="S47713">
            <v>-70.260000000000005</v>
          </cell>
          <cell r="X47713" t="str">
            <v>GWP - share RI</v>
          </cell>
        </row>
        <row r="47714">
          <cell r="L47714"/>
          <cell r="S47714">
            <v>9544.92</v>
          </cell>
          <cell r="X47714" t="str">
            <v>GWP - share RI</v>
          </cell>
        </row>
        <row r="47715">
          <cell r="L47715"/>
          <cell r="S47715">
            <v>289.36</v>
          </cell>
          <cell r="X47715" t="str">
            <v>GWP - share RI</v>
          </cell>
        </row>
        <row r="47716">
          <cell r="L47716"/>
          <cell r="S47716">
            <v>-126.36</v>
          </cell>
          <cell r="X47716" t="str">
            <v>GWP - share RI</v>
          </cell>
        </row>
        <row r="47717">
          <cell r="L47717"/>
          <cell r="S47717">
            <v>-36.840000000000003</v>
          </cell>
          <cell r="X47717" t="str">
            <v>GWP - share RI</v>
          </cell>
        </row>
        <row r="47718">
          <cell r="L47718"/>
          <cell r="S47718">
            <v>31686.13</v>
          </cell>
          <cell r="X47718" t="str">
            <v>GWP - share RI</v>
          </cell>
        </row>
        <row r="47719">
          <cell r="L47719"/>
          <cell r="S47719">
            <v>7700.47</v>
          </cell>
          <cell r="X47719" t="str">
            <v>GWP - share RI</v>
          </cell>
        </row>
        <row r="47720">
          <cell r="L47720"/>
          <cell r="S47720">
            <v>-131.11000000000001</v>
          </cell>
          <cell r="X47720" t="str">
            <v>GWP - share RI</v>
          </cell>
        </row>
        <row r="47721">
          <cell r="L47721"/>
          <cell r="S47721">
            <v>-257.64</v>
          </cell>
          <cell r="X47721" t="str">
            <v>GWP - share RI</v>
          </cell>
        </row>
        <row r="47722">
          <cell r="L47722"/>
          <cell r="S47722">
            <v>337.24</v>
          </cell>
          <cell r="X47722" t="str">
            <v>GWP - share RI</v>
          </cell>
        </row>
        <row r="47723">
          <cell r="L47723"/>
          <cell r="S47723">
            <v>131.11000000000001</v>
          </cell>
          <cell r="X47723" t="str">
            <v>GWP - share RI</v>
          </cell>
        </row>
        <row r="47724">
          <cell r="L47724"/>
          <cell r="S47724">
            <v>57269.5</v>
          </cell>
          <cell r="X47724" t="str">
            <v>GWP - share RI</v>
          </cell>
        </row>
        <row r="47725">
          <cell r="L47725"/>
          <cell r="S47725">
            <v>-10001.66</v>
          </cell>
          <cell r="X47725" t="str">
            <v>GWP - share RI</v>
          </cell>
        </row>
        <row r="47726">
          <cell r="L47726"/>
          <cell r="S47726">
            <v>32.51</v>
          </cell>
          <cell r="X47726" t="str">
            <v>GWP - share RI</v>
          </cell>
        </row>
        <row r="47727">
          <cell r="L47727"/>
          <cell r="S47727">
            <v>-28480.68</v>
          </cell>
          <cell r="X47727" t="str">
            <v>GWP - share RI</v>
          </cell>
        </row>
        <row r="47728">
          <cell r="L47728"/>
          <cell r="S47728">
            <v>-18.170000000000002</v>
          </cell>
          <cell r="X47728" t="str">
            <v>GWP - share RI</v>
          </cell>
        </row>
        <row r="47729">
          <cell r="L47729"/>
          <cell r="S47729">
            <v>6926.73</v>
          </cell>
          <cell r="X47729" t="str">
            <v>GWP - share RI</v>
          </cell>
        </row>
        <row r="47730">
          <cell r="L47730"/>
          <cell r="S47730">
            <v>1485.06</v>
          </cell>
          <cell r="X47730" t="str">
            <v>GWP - share RI</v>
          </cell>
        </row>
        <row r="47731">
          <cell r="L47731"/>
          <cell r="S47731">
            <v>36.840000000000003</v>
          </cell>
          <cell r="X47731" t="str">
            <v>GWP - share RI</v>
          </cell>
        </row>
        <row r="47732">
          <cell r="L47732"/>
          <cell r="S47732">
            <v>-32.51</v>
          </cell>
          <cell r="X47732" t="str">
            <v>GWP - share RI</v>
          </cell>
        </row>
        <row r="47733">
          <cell r="L47733"/>
          <cell r="S47733">
            <v>-74.680000000000007</v>
          </cell>
          <cell r="X47733" t="str">
            <v>GWP - share RI</v>
          </cell>
        </row>
        <row r="47734">
          <cell r="L47734"/>
          <cell r="S47734">
            <v>-262.66000000000003</v>
          </cell>
          <cell r="X47734" t="str">
            <v>GWP - share RI</v>
          </cell>
        </row>
        <row r="47735">
          <cell r="S47735">
            <v>-725058.71</v>
          </cell>
          <cell r="X47735" t="str">
            <v>Variation UPR - share RI</v>
          </cell>
        </row>
        <row r="47736">
          <cell r="S47736">
            <v>-183934.22</v>
          </cell>
          <cell r="X47736" t="str">
            <v>Variation UPR - share RI</v>
          </cell>
        </row>
        <row r="47737">
          <cell r="S47737">
            <v>-12328597.48</v>
          </cell>
          <cell r="X47737" t="str">
            <v>Variation UPR - share RI</v>
          </cell>
        </row>
        <row r="47738">
          <cell r="S47738">
            <v>-234744.09</v>
          </cell>
          <cell r="X47738" t="str">
            <v>Variation UPR - share RI</v>
          </cell>
        </row>
        <row r="47739">
          <cell r="S47739">
            <v>-793760</v>
          </cell>
          <cell r="X47739" t="str">
            <v>Variation UPR - share RI</v>
          </cell>
        </row>
        <row r="47740">
          <cell r="S47740">
            <v>-4202930.88</v>
          </cell>
          <cell r="X47740" t="str">
            <v>Variation UPR - share RI</v>
          </cell>
        </row>
        <row r="47741">
          <cell r="S47741">
            <v>-457621.89</v>
          </cell>
          <cell r="X47741" t="str">
            <v>Variation UPR - share RI</v>
          </cell>
        </row>
        <row r="47742">
          <cell r="S47742">
            <v>177786.67</v>
          </cell>
          <cell r="X47742" t="str">
            <v>Variation UPR - share RI</v>
          </cell>
        </row>
        <row r="47743">
          <cell r="S47743">
            <v>107865</v>
          </cell>
          <cell r="X47743" t="str">
            <v>Variation UPR - share RI</v>
          </cell>
        </row>
        <row r="47744">
          <cell r="S47744">
            <v>-15971137.65</v>
          </cell>
          <cell r="X47744" t="str">
            <v>Variation UPR - share RI</v>
          </cell>
        </row>
        <row r="47745">
          <cell r="S47745">
            <v>84273.72</v>
          </cell>
          <cell r="X47745" t="str">
            <v>Variation UPR - share RI</v>
          </cell>
        </row>
        <row r="47746">
          <cell r="S47746">
            <v>14281.13</v>
          </cell>
          <cell r="X47746" t="str">
            <v>Variation UPR - share RI</v>
          </cell>
        </row>
        <row r="47747">
          <cell r="S47747">
            <v>38352</v>
          </cell>
          <cell r="X47747" t="str">
            <v>Variation UPR - share RI</v>
          </cell>
        </row>
        <row r="47748">
          <cell r="S47748">
            <v>-1534610</v>
          </cell>
          <cell r="X47748" t="str">
            <v>Variation UPR - share RI</v>
          </cell>
        </row>
        <row r="47749">
          <cell r="S47749">
            <v>88893.33</v>
          </cell>
          <cell r="X47749" t="str">
            <v>Variation UPR - share RI</v>
          </cell>
        </row>
        <row r="47750">
          <cell r="S47750">
            <v>-238278.42</v>
          </cell>
          <cell r="X47750" t="str">
            <v>Variation UPR - share RI</v>
          </cell>
        </row>
        <row r="47751">
          <cell r="S47751">
            <v>-62704.84</v>
          </cell>
          <cell r="X47751" t="str">
            <v>Variation UPR - share RI</v>
          </cell>
        </row>
        <row r="47752">
          <cell r="S47752">
            <v>-84.04</v>
          </cell>
          <cell r="X47752" t="str">
            <v>Variation UPR - share RI</v>
          </cell>
        </row>
        <row r="47753">
          <cell r="S47753">
            <v>17977.5</v>
          </cell>
          <cell r="X47753" t="str">
            <v>Variation UPR - share RI</v>
          </cell>
        </row>
        <row r="47754">
          <cell r="S47754">
            <v>5856.02</v>
          </cell>
          <cell r="X47754" t="str">
            <v>Variation UPR - share RI</v>
          </cell>
        </row>
        <row r="47755">
          <cell r="S47755">
            <v>-840583.83</v>
          </cell>
          <cell r="X47755" t="str">
            <v>Variation UPR - share RI</v>
          </cell>
        </row>
        <row r="47756">
          <cell r="S47756">
            <v>27776.39</v>
          </cell>
          <cell r="X47756" t="str">
            <v>Variation UPR - share RI</v>
          </cell>
        </row>
        <row r="47757">
          <cell r="S47757">
            <v>117.11</v>
          </cell>
          <cell r="X47757" t="str">
            <v>Variation UPR - share RI</v>
          </cell>
        </row>
        <row r="47758">
          <cell r="S47758">
            <v>-1428056.67</v>
          </cell>
          <cell r="X47758" t="str">
            <v>Variation UPR - share RI</v>
          </cell>
        </row>
        <row r="47759">
          <cell r="S47759">
            <v>-18408645.59</v>
          </cell>
          <cell r="X47759" t="str">
            <v>Variation UPR - share RI</v>
          </cell>
        </row>
        <row r="47760">
          <cell r="S47760">
            <v>1137188.48</v>
          </cell>
          <cell r="X47760" t="str">
            <v>Variation UPR - share RI</v>
          </cell>
        </row>
        <row r="47761">
          <cell r="S47761">
            <v>-13759016.25</v>
          </cell>
          <cell r="X47761" t="str">
            <v>Variation UPR - share RI</v>
          </cell>
        </row>
        <row r="47762">
          <cell r="S47762">
            <v>16016</v>
          </cell>
          <cell r="X47762" t="str">
            <v>Variation UPR - share RI</v>
          </cell>
        </row>
        <row r="47763">
          <cell r="S47763">
            <v>16966.080000000002</v>
          </cell>
          <cell r="X47763" t="str">
            <v>Variation UPR - share RI</v>
          </cell>
        </row>
        <row r="47764">
          <cell r="S47764">
            <v>40333.370000000003</v>
          </cell>
          <cell r="X47764" t="str">
            <v>Variation UPR - share RI</v>
          </cell>
        </row>
        <row r="47765">
          <cell r="S47765">
            <v>1473176</v>
          </cell>
          <cell r="X47765" t="str">
            <v>Variation UPR - share RI</v>
          </cell>
        </row>
        <row r="47766">
          <cell r="S47766">
            <v>21340.38</v>
          </cell>
          <cell r="X47766" t="str">
            <v>Variation UPR - share RI</v>
          </cell>
        </row>
        <row r="47767">
          <cell r="S47767">
            <v>6944.1</v>
          </cell>
          <cell r="X47767" t="str">
            <v>Variation UPR - share RI</v>
          </cell>
        </row>
        <row r="47768">
          <cell r="S47768">
            <v>72160</v>
          </cell>
          <cell r="X47768" t="str">
            <v>Variation UPR - share RI</v>
          </cell>
        </row>
        <row r="47769">
          <cell r="S47769">
            <v>129823.34</v>
          </cell>
          <cell r="X47769" t="str">
            <v>Variation UPR - share RI</v>
          </cell>
        </row>
        <row r="47770">
          <cell r="S47770">
            <v>-4390106.71</v>
          </cell>
          <cell r="X47770" t="str">
            <v>Variation UPR - share RI</v>
          </cell>
        </row>
        <row r="47771">
          <cell r="S47771">
            <v>88893.34</v>
          </cell>
          <cell r="X47771" t="str">
            <v>Variation UPR - share RI</v>
          </cell>
        </row>
        <row r="47772">
          <cell r="S47772">
            <v>21978.77</v>
          </cell>
          <cell r="X47772" t="str">
            <v>Variation UPR - share RI</v>
          </cell>
        </row>
        <row r="47773">
          <cell r="S47773">
            <v>-50779.31</v>
          </cell>
          <cell r="X47773" t="str">
            <v>Variation UPR - share RI</v>
          </cell>
        </row>
        <row r="47774">
          <cell r="L47774" t="str">
            <v>Proportional</v>
          </cell>
          <cell r="S47774">
            <v>396.77</v>
          </cell>
          <cell r="X47774" t="str">
            <v>Variation UPR - share RI</v>
          </cell>
        </row>
        <row r="47775">
          <cell r="S47775">
            <v>177786.66</v>
          </cell>
          <cell r="X47775" t="str">
            <v>Variation UPR - share RI</v>
          </cell>
        </row>
        <row r="47776">
          <cell r="S47776">
            <v>-8599496.5800000001</v>
          </cell>
          <cell r="X47776" t="str">
            <v>Variation UPR - share RI</v>
          </cell>
        </row>
        <row r="47777">
          <cell r="S47777">
            <v>4775.99</v>
          </cell>
          <cell r="X47777" t="str">
            <v>Variation UPR - share RI</v>
          </cell>
        </row>
        <row r="47778">
          <cell r="S47778">
            <v>-4235888.6100000003</v>
          </cell>
          <cell r="X47778" t="str">
            <v>Variation UPR - share RI</v>
          </cell>
        </row>
        <row r="47779">
          <cell r="S47779">
            <v>-13376598.5</v>
          </cell>
          <cell r="X47779" t="str">
            <v>Variation UPR - share RI</v>
          </cell>
        </row>
        <row r="47780">
          <cell r="S47780">
            <v>-871383.33</v>
          </cell>
          <cell r="X47780" t="str">
            <v>Variation UPR - share RI</v>
          </cell>
        </row>
        <row r="47781">
          <cell r="S47781">
            <v>-534632.73</v>
          </cell>
          <cell r="X47781" t="str">
            <v>Variation UPR - share RI</v>
          </cell>
        </row>
        <row r="47782">
          <cell r="S47782">
            <v>-5829357.2999999998</v>
          </cell>
          <cell r="X47782" t="str">
            <v>Variation UPR - share RI</v>
          </cell>
        </row>
        <row r="47783">
          <cell r="S47783">
            <v>-2723151.9</v>
          </cell>
          <cell r="X47783" t="str">
            <v>Variation UPR - share RI</v>
          </cell>
        </row>
        <row r="47784">
          <cell r="S47784">
            <v>76416.7</v>
          </cell>
          <cell r="X47784" t="str">
            <v>Variation UPR - share RI</v>
          </cell>
        </row>
        <row r="47785">
          <cell r="L47785" t="str">
            <v>Proportional</v>
          </cell>
          <cell r="S47785">
            <v>-364.77</v>
          </cell>
          <cell r="X47785" t="str">
            <v>Variation UPR - share RI</v>
          </cell>
        </row>
        <row r="47786">
          <cell r="S47786">
            <v>38876.97</v>
          </cell>
          <cell r="X47786" t="str">
            <v>Variation UPR - share RI</v>
          </cell>
        </row>
        <row r="47787">
          <cell r="S47787">
            <v>5783.88</v>
          </cell>
          <cell r="X47787" t="str">
            <v>Variation UPR - share RI</v>
          </cell>
        </row>
        <row r="47788">
          <cell r="S47788">
            <v>-4356986.58</v>
          </cell>
          <cell r="X47788" t="str">
            <v>Variation UPR - share RI</v>
          </cell>
        </row>
        <row r="47789">
          <cell r="S47789">
            <v>32816.6</v>
          </cell>
          <cell r="X47789" t="str">
            <v>Variation UPR - share RI</v>
          </cell>
        </row>
        <row r="47790">
          <cell r="S47790">
            <v>242000.23</v>
          </cell>
          <cell r="X47790" t="str">
            <v>Variation UPR - share RI</v>
          </cell>
        </row>
        <row r="47791">
          <cell r="S47791">
            <v>387677.89</v>
          </cell>
          <cell r="X47791" t="str">
            <v>Variation UPR - share RI</v>
          </cell>
        </row>
        <row r="47792">
          <cell r="S47792">
            <v>859949.66</v>
          </cell>
          <cell r="X47792" t="str">
            <v>Variation UPR - share RI</v>
          </cell>
        </row>
        <row r="47793">
          <cell r="S47793">
            <v>382826.14</v>
          </cell>
          <cell r="X47793" t="str">
            <v>Variation UPR - share RI</v>
          </cell>
        </row>
        <row r="47794">
          <cell r="S47794">
            <v>575640.34</v>
          </cell>
          <cell r="X47794" t="str">
            <v>Variation UPR - share RI</v>
          </cell>
        </row>
        <row r="47795">
          <cell r="S47795">
            <v>10300.93</v>
          </cell>
          <cell r="X47795" t="str">
            <v>Variation UPR - share RI</v>
          </cell>
        </row>
        <row r="47796">
          <cell r="S47796">
            <v>16753.73</v>
          </cell>
          <cell r="X47796" t="str">
            <v>Variation UPR - share RI</v>
          </cell>
        </row>
        <row r="47797">
          <cell r="S47797">
            <v>53463.28</v>
          </cell>
          <cell r="X47797" t="str">
            <v>Variation UPR - share RI</v>
          </cell>
        </row>
        <row r="47798">
          <cell r="S47798">
            <v>418287.69</v>
          </cell>
          <cell r="X47798" t="str">
            <v>Variation UPR - share RI</v>
          </cell>
        </row>
        <row r="47799">
          <cell r="S47799">
            <v>30941.49</v>
          </cell>
          <cell r="X47799" t="str">
            <v>Variation UPR - share RI</v>
          </cell>
        </row>
        <row r="47800">
          <cell r="S47800">
            <v>21703.7</v>
          </cell>
          <cell r="X47800" t="str">
            <v>Variation UPR - share RI</v>
          </cell>
        </row>
        <row r="47801">
          <cell r="S47801">
            <v>177786.67</v>
          </cell>
          <cell r="X47801" t="str">
            <v>Variation UPR - share RI</v>
          </cell>
        </row>
        <row r="47802">
          <cell r="S47802">
            <v>-409.32</v>
          </cell>
          <cell r="X47802" t="str">
            <v>Variation UPR - share RI</v>
          </cell>
        </row>
        <row r="47803">
          <cell r="S47803">
            <v>87138.33</v>
          </cell>
          <cell r="X47803" t="str">
            <v>Variation UPR - share RI</v>
          </cell>
        </row>
        <row r="47804">
          <cell r="S47804">
            <v>31609.83</v>
          </cell>
          <cell r="X47804" t="str">
            <v>Variation UPR - share RI</v>
          </cell>
        </row>
        <row r="47805">
          <cell r="S47805">
            <v>1122956.69</v>
          </cell>
          <cell r="X47805" t="str">
            <v>Variation UPR - share RI</v>
          </cell>
        </row>
        <row r="47806">
          <cell r="S47806">
            <v>129823.33</v>
          </cell>
          <cell r="X47806" t="str">
            <v>Variation UPR - share RI</v>
          </cell>
        </row>
        <row r="47807">
          <cell r="S47807">
            <v>5711.5</v>
          </cell>
          <cell r="X47807" t="str">
            <v>Variation UPR - share RI</v>
          </cell>
        </row>
        <row r="47808">
          <cell r="S47808">
            <v>76416.72</v>
          </cell>
          <cell r="X47808" t="str">
            <v>Variation UPR - share RI</v>
          </cell>
        </row>
        <row r="47809">
          <cell r="S47809">
            <v>21340.37</v>
          </cell>
          <cell r="X47809" t="str">
            <v>Variation UPR - share RI</v>
          </cell>
        </row>
        <row r="47810">
          <cell r="S47810">
            <v>88893.33</v>
          </cell>
          <cell r="X47810" t="str">
            <v>Variation UPR - share RI</v>
          </cell>
        </row>
        <row r="47811">
          <cell r="S47811">
            <v>350.91</v>
          </cell>
          <cell r="X47811" t="str">
            <v>Variation UPR - share RI</v>
          </cell>
        </row>
        <row r="47812">
          <cell r="S47812">
            <v>-1427574.38</v>
          </cell>
          <cell r="X47812" t="str">
            <v>Variation UPR - share RI</v>
          </cell>
        </row>
        <row r="47813">
          <cell r="S47813">
            <v>1337659.8500000001</v>
          </cell>
          <cell r="X47813" t="str">
            <v>Variation UPR - share RI</v>
          </cell>
        </row>
        <row r="47814">
          <cell r="S47814">
            <v>1375901.63</v>
          </cell>
          <cell r="X47814" t="str">
            <v>Variation UPR - share RI</v>
          </cell>
        </row>
        <row r="47815">
          <cell r="S47815">
            <v>439010.68</v>
          </cell>
          <cell r="X47815" t="str">
            <v>Variation UPR - share RI</v>
          </cell>
        </row>
        <row r="47816">
          <cell r="S47816">
            <v>268907.19</v>
          </cell>
          <cell r="X47816" t="str">
            <v>Variation UPR - share RI</v>
          </cell>
        </row>
        <row r="47817">
          <cell r="S47817">
            <v>61805.57</v>
          </cell>
          <cell r="X47817" t="str">
            <v>Variation UPR - share RI</v>
          </cell>
        </row>
        <row r="47818">
          <cell r="S47818">
            <v>430245.92</v>
          </cell>
          <cell r="X47818" t="str">
            <v>Variation UPR - share RI</v>
          </cell>
        </row>
        <row r="47819">
          <cell r="S47819">
            <v>1840864.56</v>
          </cell>
          <cell r="X47819" t="str">
            <v>Variation UPR - share RI</v>
          </cell>
        </row>
        <row r="47820">
          <cell r="S47820">
            <v>6944.1</v>
          </cell>
          <cell r="X47820" t="str">
            <v>Variation UPR - share RI</v>
          </cell>
        </row>
        <row r="47821">
          <cell r="S47821">
            <v>59677.05</v>
          </cell>
          <cell r="X47821" t="str">
            <v>Variation UPR - share RI</v>
          </cell>
        </row>
        <row r="47822">
          <cell r="S47822">
            <v>72160</v>
          </cell>
          <cell r="X47822" t="str">
            <v>Variation UPR - share RI</v>
          </cell>
        </row>
        <row r="47823">
          <cell r="S47823">
            <v>7944.67</v>
          </cell>
          <cell r="X47823" t="str">
            <v>Variation UPR - share RI</v>
          </cell>
        </row>
        <row r="47824">
          <cell r="S47824">
            <v>1454739.33</v>
          </cell>
          <cell r="X47824" t="str">
            <v>Variation UPR - share RI</v>
          </cell>
        </row>
        <row r="47825">
          <cell r="S47825">
            <v>-482755.02</v>
          </cell>
          <cell r="X47825" t="str">
            <v>Variation UPR - share RI</v>
          </cell>
        </row>
        <row r="47826">
          <cell r="S47826">
            <v>26642</v>
          </cell>
          <cell r="X47826" t="str">
            <v>Variation UPR - share RI</v>
          </cell>
        </row>
        <row r="47827">
          <cell r="S47827">
            <v>264486.69</v>
          </cell>
          <cell r="X47827" t="str">
            <v>Variation UPR - share RI</v>
          </cell>
        </row>
        <row r="47828">
          <cell r="S47828">
            <v>21340.38</v>
          </cell>
          <cell r="X47828" t="str">
            <v>Variation UPR - share RI</v>
          </cell>
        </row>
        <row r="47829">
          <cell r="S47829">
            <v>1430825.2</v>
          </cell>
          <cell r="X47829" t="str">
            <v>Variation UPR - share RI</v>
          </cell>
        </row>
        <row r="47830">
          <cell r="S47830">
            <v>411411.54</v>
          </cell>
          <cell r="X47830" t="str">
            <v>Variation UPR - share RI</v>
          </cell>
        </row>
        <row r="47831">
          <cell r="S47831">
            <v>423173.21</v>
          </cell>
          <cell r="X47831" t="str">
            <v>Variation UPR - share RI</v>
          </cell>
        </row>
        <row r="47832">
          <cell r="S47832">
            <v>88893.33</v>
          </cell>
          <cell r="X47832" t="str">
            <v>Variation UPR - share RI</v>
          </cell>
        </row>
        <row r="47833">
          <cell r="S47833">
            <v>158619.38</v>
          </cell>
          <cell r="X47833" t="str">
            <v>Variation UPR - share RI</v>
          </cell>
        </row>
        <row r="47834">
          <cell r="S47834">
            <v>-8749.15</v>
          </cell>
          <cell r="X47834" t="str">
            <v>Variation UPR - share RI</v>
          </cell>
        </row>
        <row r="47835">
          <cell r="S47835">
            <v>37576</v>
          </cell>
          <cell r="X47835" t="str">
            <v>Variation UPR - share RI</v>
          </cell>
        </row>
        <row r="47836">
          <cell r="S47836">
            <v>5617.62</v>
          </cell>
          <cell r="X47836" t="str">
            <v>Variation UPR - share RI</v>
          </cell>
        </row>
        <row r="47837">
          <cell r="S47837">
            <v>52757.68</v>
          </cell>
          <cell r="X47837" t="str">
            <v>Variation UPR - share RI</v>
          </cell>
        </row>
        <row r="47838">
          <cell r="S47838">
            <v>55250.44</v>
          </cell>
          <cell r="X47838" t="str">
            <v>Variation UPR - share RI</v>
          </cell>
        </row>
        <row r="47839">
          <cell r="S47839">
            <v>72160</v>
          </cell>
          <cell r="X47839" t="str">
            <v>Variation UPR - share RI</v>
          </cell>
        </row>
        <row r="47840">
          <cell r="S47840">
            <v>376532.94</v>
          </cell>
          <cell r="X47840" t="str">
            <v>Variation UPR - share RI</v>
          </cell>
        </row>
        <row r="47841">
          <cell r="S47841">
            <v>76416.710000000006</v>
          </cell>
          <cell r="X47841" t="str">
            <v>Variation UPR - share RI</v>
          </cell>
        </row>
        <row r="47842">
          <cell r="S47842">
            <v>129823.33</v>
          </cell>
          <cell r="X47842" t="str">
            <v>Variation UPR - share RI</v>
          </cell>
        </row>
        <row r="47843">
          <cell r="S47843">
            <v>859949.65</v>
          </cell>
          <cell r="X47843" t="str">
            <v>Variation UPR - share RI</v>
          </cell>
        </row>
        <row r="47844">
          <cell r="S47844">
            <v>-19472.41</v>
          </cell>
          <cell r="X47844" t="str">
            <v>Variation UPR - share RI</v>
          </cell>
        </row>
        <row r="47845">
          <cell r="S47845">
            <v>16478.34</v>
          </cell>
          <cell r="X47845" t="str">
            <v>Variation UPR - share RI</v>
          </cell>
        </row>
        <row r="47846">
          <cell r="S47846">
            <v>439010.67</v>
          </cell>
          <cell r="X47846" t="str">
            <v>Variation UPR - share RI</v>
          </cell>
        </row>
        <row r="47847">
          <cell r="S47847">
            <v>11205.19</v>
          </cell>
          <cell r="X47847" t="str">
            <v>Variation UPR - share RI</v>
          </cell>
        </row>
        <row r="47848">
          <cell r="S47848">
            <v>87138.33</v>
          </cell>
          <cell r="X47848" t="str">
            <v>Variation UPR - share RI</v>
          </cell>
        </row>
        <row r="47849">
          <cell r="S47849">
            <v>53463.27</v>
          </cell>
          <cell r="X47849" t="str">
            <v>Variation UPR - share RI</v>
          </cell>
        </row>
        <row r="47850">
          <cell r="S47850">
            <v>1337659.8500000001</v>
          </cell>
          <cell r="X47850" t="str">
            <v>Variation UPR - share RI</v>
          </cell>
        </row>
        <row r="47851">
          <cell r="S47851">
            <v>1375901.62</v>
          </cell>
          <cell r="X47851" t="str">
            <v>Variation UPR - share RI</v>
          </cell>
        </row>
        <row r="47852">
          <cell r="S47852">
            <v>1840864.56</v>
          </cell>
          <cell r="X47852" t="str">
            <v>Variation UPR - share RI</v>
          </cell>
        </row>
        <row r="47853">
          <cell r="S47853">
            <v>1104496.6399999999</v>
          </cell>
          <cell r="X47853" t="str">
            <v>Variation UPR - share RI</v>
          </cell>
        </row>
        <row r="47854">
          <cell r="S47854">
            <v>6944.1</v>
          </cell>
          <cell r="X47854" t="str">
            <v>Variation UPR - share RI</v>
          </cell>
        </row>
        <row r="47855">
          <cell r="S47855">
            <v>-123.37</v>
          </cell>
          <cell r="X47855" t="str">
            <v>Variation UPR - share RI</v>
          </cell>
        </row>
        <row r="47856">
          <cell r="S47856">
            <v>566177.52</v>
          </cell>
          <cell r="X47856" t="str">
            <v>Variation UPR - share RI</v>
          </cell>
        </row>
        <row r="47857">
          <cell r="S47857">
            <v>-47187.54</v>
          </cell>
          <cell r="X47857" t="str">
            <v>Variation UPR - share RI</v>
          </cell>
        </row>
        <row r="47858">
          <cell r="S47858">
            <v>9208.41</v>
          </cell>
          <cell r="X47858" t="str">
            <v>Variation UPR - share RI</v>
          </cell>
        </row>
        <row r="47859">
          <cell r="S47859">
            <v>177786.67</v>
          </cell>
          <cell r="X47859" t="str">
            <v>Variation UPR - share RI</v>
          </cell>
        </row>
        <row r="47860">
          <cell r="S47860">
            <v>-37970.6</v>
          </cell>
          <cell r="X47860" t="str">
            <v>Variation UPR - share RI</v>
          </cell>
        </row>
        <row r="47861">
          <cell r="S47861">
            <v>21346.94</v>
          </cell>
          <cell r="X47861" t="str">
            <v>Variation UPR - share RI</v>
          </cell>
        </row>
        <row r="47862">
          <cell r="S47862">
            <v>-27866.76</v>
          </cell>
          <cell r="X47862" t="str">
            <v>Variation UPR - share RI</v>
          </cell>
        </row>
        <row r="47863">
          <cell r="S47863">
            <v>27659.83</v>
          </cell>
          <cell r="X47863" t="str">
            <v>Variation UPR - share RI</v>
          </cell>
        </row>
        <row r="47864">
          <cell r="S47864">
            <v>27866.77</v>
          </cell>
          <cell r="X47864" t="str">
            <v>Variation UPR - share RI</v>
          </cell>
        </row>
        <row r="47865">
          <cell r="S47865">
            <v>426163.5</v>
          </cell>
          <cell r="X47865" t="str">
            <v>Variation UPR - share RI</v>
          </cell>
        </row>
        <row r="47866">
          <cell r="S47866">
            <v>76416.710000000006</v>
          </cell>
          <cell r="X47866" t="str">
            <v>Variation UPR - share RI</v>
          </cell>
        </row>
        <row r="47867">
          <cell r="S47867">
            <v>1840864.56</v>
          </cell>
          <cell r="X47867" t="str">
            <v>Variation UPR - share RI</v>
          </cell>
        </row>
        <row r="47868">
          <cell r="S47868">
            <v>439010.67</v>
          </cell>
          <cell r="X47868" t="str">
            <v>Variation UPR - share RI</v>
          </cell>
        </row>
        <row r="47869">
          <cell r="S47869">
            <v>570178.34</v>
          </cell>
          <cell r="X47869" t="str">
            <v>Variation UPR - share RI</v>
          </cell>
        </row>
        <row r="47870">
          <cell r="S47870">
            <v>379193.65</v>
          </cell>
          <cell r="X47870" t="str">
            <v>Variation UPR - share RI</v>
          </cell>
        </row>
        <row r="47871">
          <cell r="S47871">
            <v>21340.38</v>
          </cell>
          <cell r="X47871" t="str">
            <v>Variation UPR - share RI</v>
          </cell>
        </row>
        <row r="47872">
          <cell r="S47872">
            <v>88893.34</v>
          </cell>
          <cell r="X47872" t="str">
            <v>Variation UPR - share RI</v>
          </cell>
        </row>
        <row r="47873">
          <cell r="S47873">
            <v>8131.49</v>
          </cell>
          <cell r="X47873" t="str">
            <v>Variation UPR - share RI</v>
          </cell>
        </row>
        <row r="47874">
          <cell r="S47874">
            <v>1112301.3999999999</v>
          </cell>
          <cell r="X47874" t="str">
            <v>Variation UPR - share RI</v>
          </cell>
        </row>
        <row r="47875">
          <cell r="S47875">
            <v>158619.37</v>
          </cell>
          <cell r="X47875" t="str">
            <v>Variation UPR - share RI</v>
          </cell>
        </row>
        <row r="47876">
          <cell r="S47876">
            <v>53463.27</v>
          </cell>
          <cell r="X47876" t="str">
            <v>Variation UPR - share RI</v>
          </cell>
        </row>
        <row r="47877">
          <cell r="S47877">
            <v>266355.64</v>
          </cell>
          <cell r="X47877" t="str">
            <v>Variation UPR - share RI</v>
          </cell>
        </row>
        <row r="47878">
          <cell r="S47878">
            <v>14327.95</v>
          </cell>
          <cell r="X47878" t="str">
            <v>Variation UPR - share RI</v>
          </cell>
        </row>
        <row r="47879">
          <cell r="S47879">
            <v>1440935.92</v>
          </cell>
          <cell r="X47879" t="str">
            <v>Variation UPR - share RI</v>
          </cell>
        </row>
        <row r="47880">
          <cell r="S47880">
            <v>859949.66</v>
          </cell>
          <cell r="X47880" t="str">
            <v>Variation UPR - share RI</v>
          </cell>
        </row>
        <row r="47881">
          <cell r="S47881">
            <v>-180382.99</v>
          </cell>
          <cell r="X47881" t="str">
            <v>Variation UPR - share RI</v>
          </cell>
        </row>
        <row r="47882">
          <cell r="S47882">
            <v>21497.77</v>
          </cell>
          <cell r="X47882" t="str">
            <v>Variation UPR - share RI</v>
          </cell>
        </row>
        <row r="47883">
          <cell r="S47883">
            <v>-220.17</v>
          </cell>
          <cell r="X47883" t="str">
            <v>Variation UPR - share RI</v>
          </cell>
        </row>
        <row r="47884">
          <cell r="S47884">
            <v>5657.31</v>
          </cell>
          <cell r="X47884" t="str">
            <v>Variation UPR - share RI</v>
          </cell>
        </row>
        <row r="47885">
          <cell r="S47885">
            <v>15693.25</v>
          </cell>
          <cell r="X47885" t="str">
            <v>Variation UPR - share RI</v>
          </cell>
        </row>
        <row r="47886">
          <cell r="S47886">
            <v>56</v>
          </cell>
          <cell r="X47886" t="str">
            <v>Variation UPR - share RI</v>
          </cell>
        </row>
        <row r="47887">
          <cell r="S47887">
            <v>1337659.8500000001</v>
          </cell>
          <cell r="X47887" t="str">
            <v>Variation UPR - share RI</v>
          </cell>
        </row>
        <row r="47888">
          <cell r="S47888">
            <v>87138.34</v>
          </cell>
          <cell r="X47888" t="str">
            <v>Variation UPR - share RI</v>
          </cell>
        </row>
        <row r="47889">
          <cell r="S47889">
            <v>177786.66</v>
          </cell>
          <cell r="X47889" t="str">
            <v>Variation UPR - share RI</v>
          </cell>
        </row>
        <row r="47890">
          <cell r="S47890">
            <v>53130.49</v>
          </cell>
          <cell r="X47890" t="str">
            <v>Variation UPR - share RI</v>
          </cell>
        </row>
        <row r="47891">
          <cell r="S47891">
            <v>1375901.63</v>
          </cell>
          <cell r="X47891" t="str">
            <v>Variation UPR - share RI</v>
          </cell>
        </row>
        <row r="47892">
          <cell r="S47892">
            <v>16594.78</v>
          </cell>
          <cell r="X47892" t="str">
            <v>Variation UPR - share RI</v>
          </cell>
        </row>
        <row r="47893">
          <cell r="S47893">
            <v>129823.34</v>
          </cell>
          <cell r="X47893" t="str">
            <v>Variation UPR - share RI</v>
          </cell>
        </row>
        <row r="47894">
          <cell r="S47894">
            <v>48788.94</v>
          </cell>
          <cell r="X47894" t="str">
            <v>Variation UPR - share RI</v>
          </cell>
        </row>
        <row r="47895">
          <cell r="S47895">
            <v>-34590.269999999997</v>
          </cell>
          <cell r="X47895" t="str">
            <v>Variation UPR - share RI</v>
          </cell>
        </row>
        <row r="47896">
          <cell r="S47896">
            <v>24425.03</v>
          </cell>
          <cell r="X47896" t="str">
            <v>Variation UPR - share RI</v>
          </cell>
        </row>
        <row r="47897">
          <cell r="S47897">
            <v>414318.73</v>
          </cell>
          <cell r="X47897" t="str">
            <v>Variation UPR - share RI</v>
          </cell>
        </row>
        <row r="47898">
          <cell r="S47898">
            <v>52088.91</v>
          </cell>
          <cell r="X47898" t="str">
            <v>Variation UPR - share RI</v>
          </cell>
        </row>
        <row r="47899">
          <cell r="S47899">
            <v>72160</v>
          </cell>
          <cell r="X47899" t="str">
            <v>Variation UPR - share RI</v>
          </cell>
        </row>
        <row r="47900">
          <cell r="S47900">
            <v>48048</v>
          </cell>
          <cell r="X47900" t="str">
            <v>Variation UPR - share RI</v>
          </cell>
        </row>
        <row r="47901">
          <cell r="S47901">
            <v>562088.74</v>
          </cell>
          <cell r="X47901" t="str">
            <v>Variation UPR - share RI</v>
          </cell>
        </row>
        <row r="47902">
          <cell r="S47902">
            <v>21192.78</v>
          </cell>
          <cell r="X47902" t="str">
            <v>Variation UPR - share RI</v>
          </cell>
        </row>
        <row r="47903">
          <cell r="S47903">
            <v>158619.38</v>
          </cell>
          <cell r="X47903" t="str">
            <v>Variation UPR - share RI</v>
          </cell>
        </row>
        <row r="47904">
          <cell r="S47904">
            <v>420117.16</v>
          </cell>
          <cell r="X47904" t="str">
            <v>Variation UPR - share RI</v>
          </cell>
        </row>
        <row r="47905">
          <cell r="S47905">
            <v>1375901.62</v>
          </cell>
          <cell r="X47905" t="str">
            <v>Variation UPR - share RI</v>
          </cell>
        </row>
        <row r="47906">
          <cell r="S47906">
            <v>17542.560000000001</v>
          </cell>
          <cell r="X47906" t="str">
            <v>Variation UPR - share RI</v>
          </cell>
        </row>
        <row r="47907">
          <cell r="S47907">
            <v>22975</v>
          </cell>
          <cell r="X47907" t="str">
            <v>Variation UPR - share RI</v>
          </cell>
        </row>
        <row r="47908">
          <cell r="S47908">
            <v>87138.33</v>
          </cell>
          <cell r="X47908" t="str">
            <v>Variation UPR - share RI</v>
          </cell>
        </row>
        <row r="47909">
          <cell r="S47909">
            <v>1337659.8500000001</v>
          </cell>
          <cell r="X47909" t="str">
            <v>Variation UPR - share RI</v>
          </cell>
        </row>
        <row r="47910">
          <cell r="S47910">
            <v>1110157.19</v>
          </cell>
          <cell r="X47910" t="str">
            <v>Variation UPR - share RI</v>
          </cell>
        </row>
        <row r="47911">
          <cell r="S47911">
            <v>72160</v>
          </cell>
          <cell r="X47911" t="str">
            <v>Variation UPR - share RI</v>
          </cell>
        </row>
        <row r="47912">
          <cell r="S47912">
            <v>5281.03</v>
          </cell>
          <cell r="X47912" t="str">
            <v>Variation UPR - share RI</v>
          </cell>
        </row>
        <row r="47913">
          <cell r="S47913">
            <v>373813.72</v>
          </cell>
          <cell r="X47913" t="str">
            <v>Variation UPR - share RI</v>
          </cell>
        </row>
        <row r="47914">
          <cell r="S47914">
            <v>52376.67</v>
          </cell>
          <cell r="X47914" t="str">
            <v>Variation UPR - share RI</v>
          </cell>
        </row>
        <row r="47915">
          <cell r="S47915">
            <v>10012.879999999999</v>
          </cell>
          <cell r="X47915" t="str">
            <v>Variation UPR - share RI</v>
          </cell>
        </row>
        <row r="47916">
          <cell r="S47916">
            <v>262576.63</v>
          </cell>
          <cell r="X47916" t="str">
            <v>Variation UPR - share RI</v>
          </cell>
        </row>
        <row r="47917">
          <cell r="S47917">
            <v>129823.33</v>
          </cell>
          <cell r="X47917" t="str">
            <v>Variation UPR - share RI</v>
          </cell>
        </row>
        <row r="47918">
          <cell r="S47918">
            <v>176614.63</v>
          </cell>
          <cell r="X47918" t="str">
            <v>Variation UPR - share RI</v>
          </cell>
        </row>
        <row r="47919">
          <cell r="S47919">
            <v>1420492.17</v>
          </cell>
          <cell r="X47919" t="str">
            <v>Variation UPR - share RI</v>
          </cell>
        </row>
        <row r="47920">
          <cell r="S47920">
            <v>518069.64</v>
          </cell>
          <cell r="X47920" t="str">
            <v>Variation UPR - share RI</v>
          </cell>
        </row>
        <row r="47921">
          <cell r="S47921">
            <v>859949.66</v>
          </cell>
          <cell r="X47921" t="str">
            <v>Variation UPR - share RI</v>
          </cell>
        </row>
        <row r="47922">
          <cell r="S47922">
            <v>58828</v>
          </cell>
          <cell r="X47922" t="str">
            <v>Variation UPR - share RI</v>
          </cell>
        </row>
        <row r="47923">
          <cell r="S47923">
            <v>439010.67</v>
          </cell>
          <cell r="X47923" t="str">
            <v>Variation UPR - share RI</v>
          </cell>
        </row>
        <row r="47924">
          <cell r="S47924">
            <v>7729.25</v>
          </cell>
          <cell r="X47924" t="str">
            <v>Variation UPR - share RI</v>
          </cell>
        </row>
        <row r="47925">
          <cell r="S47925">
            <v>21143.360000000001</v>
          </cell>
          <cell r="X47925" t="str">
            <v>Variation UPR - share RI</v>
          </cell>
        </row>
        <row r="47926">
          <cell r="S47926">
            <v>88893.33</v>
          </cell>
          <cell r="X47926" t="str">
            <v>Variation UPR - share RI</v>
          </cell>
        </row>
        <row r="47927">
          <cell r="S47927">
            <v>408440.46</v>
          </cell>
          <cell r="X47927" t="str">
            <v>Variation UPR - share RI</v>
          </cell>
        </row>
        <row r="47928">
          <cell r="S47928">
            <v>36762.769999999997</v>
          </cell>
          <cell r="X47928" t="str">
            <v>Variation UPR - share RI</v>
          </cell>
        </row>
        <row r="47929">
          <cell r="S47929">
            <v>21340.37</v>
          </cell>
          <cell r="X47929" t="str">
            <v>Variation UPR - share RI</v>
          </cell>
        </row>
        <row r="47930">
          <cell r="S47930">
            <v>16359.33</v>
          </cell>
          <cell r="X47930" t="str">
            <v>Variation UPR - share RI</v>
          </cell>
        </row>
        <row r="47931">
          <cell r="S47931">
            <v>6127.13</v>
          </cell>
          <cell r="X47931" t="str">
            <v>Variation UPR - share RI</v>
          </cell>
        </row>
        <row r="47932">
          <cell r="S47932">
            <v>1096520.26</v>
          </cell>
          <cell r="X47932" t="str">
            <v>Variation UPR - share RI</v>
          </cell>
        </row>
        <row r="47933">
          <cell r="S47933">
            <v>62826.51</v>
          </cell>
          <cell r="X47933" t="str">
            <v>Variation UPR - share RI</v>
          </cell>
        </row>
        <row r="47934">
          <cell r="S47934">
            <v>1840864.56</v>
          </cell>
          <cell r="X47934" t="str">
            <v>Variation UPR - share RI</v>
          </cell>
        </row>
        <row r="47935">
          <cell r="S47935">
            <v>53463.27</v>
          </cell>
          <cell r="X47935" t="str">
            <v>Variation UPR - share RI</v>
          </cell>
        </row>
        <row r="47936">
          <cell r="S47936">
            <v>2634.97</v>
          </cell>
          <cell r="X47936" t="str">
            <v>Variation UPR - share RI</v>
          </cell>
        </row>
        <row r="47937">
          <cell r="S47937">
            <v>671135.69</v>
          </cell>
          <cell r="X47937" t="str">
            <v>Variation UPR - share RI</v>
          </cell>
        </row>
        <row r="47938">
          <cell r="S47938">
            <v>76416.710000000006</v>
          </cell>
          <cell r="X47938" t="str">
            <v>Variation UPR - share RI</v>
          </cell>
        </row>
        <row r="47939">
          <cell r="S47939">
            <v>5577.04</v>
          </cell>
          <cell r="X47939" t="str">
            <v>Variation UPR - share RI</v>
          </cell>
        </row>
        <row r="47940">
          <cell r="S47940">
            <v>-73.510000000000005</v>
          </cell>
          <cell r="X47940" t="str">
            <v>Variation UPR - share RI</v>
          </cell>
        </row>
        <row r="47941">
          <cell r="S47941">
            <v>177786.67</v>
          </cell>
          <cell r="X47941" t="str">
            <v>Variation UPR - share RI</v>
          </cell>
        </row>
        <row r="47942">
          <cell r="L47942"/>
          <cell r="S47942">
            <v>-1110157.19</v>
          </cell>
          <cell r="X47942" t="str">
            <v>Variation UPR - share RI</v>
          </cell>
        </row>
        <row r="47943">
          <cell r="L47943"/>
          <cell r="S47943">
            <v>158619.37</v>
          </cell>
          <cell r="X47943" t="str">
            <v>Variation UPR - share RI</v>
          </cell>
        </row>
        <row r="47944">
          <cell r="L47944"/>
          <cell r="S47944">
            <v>1641071.94</v>
          </cell>
          <cell r="X47944" t="str">
            <v>Variation UPR - share RI</v>
          </cell>
        </row>
        <row r="47945">
          <cell r="L47945"/>
          <cell r="S47945">
            <v>51807.43</v>
          </cell>
          <cell r="X47945" t="str">
            <v>Variation UPR - share RI</v>
          </cell>
        </row>
        <row r="47946">
          <cell r="L47946"/>
          <cell r="S47946">
            <v>129823.33</v>
          </cell>
          <cell r="X47946" t="str">
            <v>Variation UPR - share RI</v>
          </cell>
        </row>
        <row r="47947">
          <cell r="L47947"/>
          <cell r="S47947">
            <v>72160</v>
          </cell>
          <cell r="X47947" t="str">
            <v>Variation UPR - share RI</v>
          </cell>
        </row>
        <row r="47948">
          <cell r="L47948"/>
          <cell r="S47948">
            <v>415551.21</v>
          </cell>
          <cell r="X47948" t="str">
            <v>Variation UPR - share RI</v>
          </cell>
        </row>
        <row r="47949">
          <cell r="L47949"/>
          <cell r="S47949">
            <v>5933.07</v>
          </cell>
          <cell r="X47949" t="str">
            <v>Variation UPR - share RI</v>
          </cell>
        </row>
        <row r="47950">
          <cell r="L47950" t="str">
            <v>Proportional</v>
          </cell>
          <cell r="S47950">
            <v>15.23</v>
          </cell>
          <cell r="X47950" t="str">
            <v>Variation UPR - share RI</v>
          </cell>
        </row>
        <row r="47951">
          <cell r="L47951"/>
          <cell r="S47951">
            <v>431861.05</v>
          </cell>
          <cell r="X47951" t="str">
            <v>Variation UPR - share RI</v>
          </cell>
        </row>
        <row r="47952">
          <cell r="L47952"/>
          <cell r="S47952">
            <v>21340.37</v>
          </cell>
          <cell r="X47952" t="str">
            <v>Variation UPR - share RI</v>
          </cell>
        </row>
        <row r="47953">
          <cell r="L47953"/>
          <cell r="S47953">
            <v>4194.7</v>
          </cell>
          <cell r="X47953" t="str">
            <v>Variation UPR - share RI</v>
          </cell>
        </row>
        <row r="47954">
          <cell r="L47954"/>
          <cell r="S47954">
            <v>-851096.7</v>
          </cell>
          <cell r="X47954" t="str">
            <v>Variation UPR - share RI</v>
          </cell>
        </row>
        <row r="47955">
          <cell r="L47955"/>
          <cell r="S47955">
            <v>1375901.63</v>
          </cell>
          <cell r="X47955" t="str">
            <v>Variation UPR - share RI</v>
          </cell>
        </row>
        <row r="47956">
          <cell r="L47956"/>
          <cell r="S47956">
            <v>2077.52</v>
          </cell>
          <cell r="X47956" t="str">
            <v>Variation UPR - share RI</v>
          </cell>
        </row>
        <row r="47957">
          <cell r="L47957"/>
          <cell r="S47957">
            <v>1337659.8500000001</v>
          </cell>
          <cell r="X47957" t="str">
            <v>Variation UPR - share RI</v>
          </cell>
        </row>
        <row r="47958">
          <cell r="L47958"/>
          <cell r="S47958">
            <v>259722.88</v>
          </cell>
          <cell r="X47958" t="str">
            <v>Variation UPR - share RI</v>
          </cell>
        </row>
        <row r="47959">
          <cell r="L47959"/>
          <cell r="S47959">
            <v>6443.07</v>
          </cell>
          <cell r="X47959" t="str">
            <v>Variation UPR - share RI</v>
          </cell>
        </row>
        <row r="47960">
          <cell r="L47960"/>
          <cell r="S47960">
            <v>69454</v>
          </cell>
          <cell r="X47960" t="str">
            <v>Variation UPR - share RI</v>
          </cell>
        </row>
        <row r="47961">
          <cell r="L47961"/>
          <cell r="S47961">
            <v>555979.81000000006</v>
          </cell>
          <cell r="X47961" t="str">
            <v>Variation UPR - share RI</v>
          </cell>
        </row>
        <row r="47962">
          <cell r="L47962"/>
          <cell r="S47962">
            <v>-27461.05</v>
          </cell>
          <cell r="X47962" t="str">
            <v>Variation UPR - share RI</v>
          </cell>
        </row>
        <row r="47963">
          <cell r="L47963"/>
          <cell r="S47963">
            <v>528741.99</v>
          </cell>
          <cell r="X47963" t="str">
            <v>Variation UPR - share RI</v>
          </cell>
        </row>
        <row r="47964">
          <cell r="L47964"/>
          <cell r="S47964">
            <v>24483.67</v>
          </cell>
          <cell r="X47964" t="str">
            <v>Variation UPR - share RI</v>
          </cell>
        </row>
        <row r="47965">
          <cell r="L47965"/>
          <cell r="S47965">
            <v>18899.68</v>
          </cell>
          <cell r="X47965" t="str">
            <v>Variation UPR - share RI</v>
          </cell>
        </row>
        <row r="47966">
          <cell r="L47966"/>
          <cell r="S47966">
            <v>87138.33</v>
          </cell>
          <cell r="X47966" t="str">
            <v>Variation UPR - share RI</v>
          </cell>
        </row>
        <row r="47967">
          <cell r="L47967"/>
          <cell r="S47967">
            <v>439010.66</v>
          </cell>
          <cell r="X47967" t="str">
            <v>Variation UPR - share RI</v>
          </cell>
        </row>
        <row r="47968">
          <cell r="L47968" t="str">
            <v>Proportional</v>
          </cell>
          <cell r="S47968">
            <v>-11.37</v>
          </cell>
          <cell r="X47968" t="str">
            <v>Variation UPR - share RI</v>
          </cell>
        </row>
        <row r="47969">
          <cell r="L47969"/>
          <cell r="S47969">
            <v>1840864.56</v>
          </cell>
          <cell r="X47969" t="str">
            <v>Variation UPR - share RI</v>
          </cell>
        </row>
        <row r="47970">
          <cell r="L47970"/>
          <cell r="S47970">
            <v>20711.240000000002</v>
          </cell>
          <cell r="X47970" t="str">
            <v>Variation UPR - share RI</v>
          </cell>
        </row>
        <row r="47971">
          <cell r="L47971"/>
          <cell r="S47971">
            <v>3826.09</v>
          </cell>
          <cell r="X47971" t="str">
            <v>Variation UPR - share RI</v>
          </cell>
        </row>
        <row r="47972">
          <cell r="L47972"/>
          <cell r="S47972">
            <v>6175.39</v>
          </cell>
          <cell r="X47972" t="str">
            <v>Variation UPR - share RI</v>
          </cell>
        </row>
        <row r="47973">
          <cell r="L47973"/>
          <cell r="S47973">
            <v>35598.44</v>
          </cell>
          <cell r="X47973" t="str">
            <v>Variation UPR - share RI</v>
          </cell>
        </row>
        <row r="47974">
          <cell r="L47974"/>
          <cell r="S47974">
            <v>1266792.3899999999</v>
          </cell>
          <cell r="X47974" t="str">
            <v>Variation UPR - share RI</v>
          </cell>
        </row>
        <row r="47975">
          <cell r="L47975"/>
          <cell r="S47975">
            <v>76416.72</v>
          </cell>
          <cell r="X47975" t="str">
            <v>Variation UPR - share RI</v>
          </cell>
        </row>
        <row r="47976">
          <cell r="L47976"/>
          <cell r="S47976">
            <v>16902.490000000002</v>
          </cell>
          <cell r="X47976" t="str">
            <v>Variation UPR - share RI</v>
          </cell>
        </row>
        <row r="47977">
          <cell r="L47977"/>
          <cell r="S47977">
            <v>-7700468.7000000002</v>
          </cell>
          <cell r="X47977" t="str">
            <v>Variation UPR - share RI</v>
          </cell>
        </row>
        <row r="47978">
          <cell r="L47978"/>
          <cell r="S47978">
            <v>53463.28</v>
          </cell>
          <cell r="X47978" t="str">
            <v>Variation UPR - share RI</v>
          </cell>
        </row>
        <row r="47979">
          <cell r="L47979"/>
          <cell r="S47979">
            <v>859949.66</v>
          </cell>
          <cell r="X47979" t="str">
            <v>Variation UPR - share RI</v>
          </cell>
        </row>
        <row r="47980">
          <cell r="L47980"/>
          <cell r="S47980">
            <v>404001.39</v>
          </cell>
          <cell r="X47980" t="str">
            <v>Variation UPR - share RI</v>
          </cell>
        </row>
        <row r="47981">
          <cell r="L47981"/>
          <cell r="S47981">
            <v>76416.710000000006</v>
          </cell>
          <cell r="X47981" t="str">
            <v>Variation UPR - share RI</v>
          </cell>
        </row>
        <row r="47982">
          <cell r="L47982"/>
          <cell r="S47982">
            <v>322263.64</v>
          </cell>
          <cell r="X47982" t="str">
            <v>Variation UPR - share RI</v>
          </cell>
        </row>
        <row r="47983">
          <cell r="L47983"/>
          <cell r="S47983">
            <v>3362.18</v>
          </cell>
          <cell r="X47983" t="str">
            <v>Variation UPR - share RI</v>
          </cell>
        </row>
        <row r="47984">
          <cell r="L47984"/>
          <cell r="S47984">
            <v>14895.15</v>
          </cell>
          <cell r="X47984" t="str">
            <v>Variation UPR - share RI</v>
          </cell>
        </row>
        <row r="47985">
          <cell r="L47985"/>
          <cell r="S47985">
            <v>403843.07</v>
          </cell>
          <cell r="X47985" t="str">
            <v>Variation UPR - share RI</v>
          </cell>
        </row>
        <row r="47986">
          <cell r="L47986"/>
          <cell r="S47986">
            <v>14103.33</v>
          </cell>
          <cell r="X47986" t="str">
            <v>Variation UPR - share RI</v>
          </cell>
        </row>
        <row r="47987">
          <cell r="L47987"/>
          <cell r="S47987">
            <v>158619.38</v>
          </cell>
          <cell r="X47987" t="str">
            <v>Variation UPR - share RI</v>
          </cell>
        </row>
        <row r="47988">
          <cell r="L47988"/>
          <cell r="S47988">
            <v>555761.93000000005</v>
          </cell>
          <cell r="X47988" t="str">
            <v>Variation UPR - share RI</v>
          </cell>
        </row>
        <row r="47989">
          <cell r="L47989"/>
          <cell r="S47989">
            <v>259621.09</v>
          </cell>
          <cell r="X47989" t="str">
            <v>Variation UPR - share RI</v>
          </cell>
        </row>
        <row r="47990">
          <cell r="L47990"/>
          <cell r="S47990">
            <v>18270.21</v>
          </cell>
          <cell r="X47990" t="str">
            <v>Variation UPR - share RI</v>
          </cell>
        </row>
        <row r="47991">
          <cell r="L47991" t="str">
            <v>Proportional</v>
          </cell>
          <cell r="S47991">
            <v>3.03</v>
          </cell>
          <cell r="X47991" t="str">
            <v>Variation UPR - share RI</v>
          </cell>
        </row>
        <row r="47992">
          <cell r="L47992"/>
          <cell r="S47992">
            <v>368.6</v>
          </cell>
          <cell r="X47992" t="str">
            <v>Variation UPR - share RI</v>
          </cell>
        </row>
        <row r="47993">
          <cell r="L47993"/>
          <cell r="S47993">
            <v>859949.65</v>
          </cell>
          <cell r="X47993" t="str">
            <v>Variation UPR - share RI</v>
          </cell>
        </row>
        <row r="47994">
          <cell r="L47994"/>
          <cell r="S47994">
            <v>3101.41</v>
          </cell>
          <cell r="X47994" t="str">
            <v>Variation UPR - share RI</v>
          </cell>
        </row>
        <row r="47995">
          <cell r="L47995"/>
          <cell r="S47995">
            <v>945306.71</v>
          </cell>
          <cell r="X47995" t="str">
            <v>Variation UPR - share RI</v>
          </cell>
        </row>
        <row r="47996">
          <cell r="L47996"/>
          <cell r="S47996">
            <v>80234</v>
          </cell>
          <cell r="X47996" t="str">
            <v>Variation UPR - share RI</v>
          </cell>
        </row>
        <row r="47997">
          <cell r="L47997"/>
          <cell r="S47997">
            <v>415388.38</v>
          </cell>
          <cell r="X47997" t="str">
            <v>Variation UPR - share RI</v>
          </cell>
        </row>
        <row r="47998">
          <cell r="L47998"/>
          <cell r="S47998">
            <v>700468.7</v>
          </cell>
          <cell r="X47998" t="str">
            <v>Variation UPR - share RI</v>
          </cell>
        </row>
        <row r="47999">
          <cell r="L47999"/>
          <cell r="S47999">
            <v>51787.13</v>
          </cell>
          <cell r="X47999" t="str">
            <v>Variation UPR - share RI</v>
          </cell>
        </row>
        <row r="48000">
          <cell r="L48000"/>
          <cell r="S48000">
            <v>5207.7</v>
          </cell>
          <cell r="X48000" t="str">
            <v>Variation UPR - share RI</v>
          </cell>
        </row>
        <row r="48001">
          <cell r="L48001"/>
          <cell r="S48001">
            <v>-380681.99</v>
          </cell>
          <cell r="X48001" t="str">
            <v>Variation UPR - share RI</v>
          </cell>
        </row>
        <row r="48002">
          <cell r="L48002"/>
          <cell r="S48002">
            <v>1840864.56</v>
          </cell>
          <cell r="X48002" t="str">
            <v>Variation UPR - share RI</v>
          </cell>
        </row>
        <row r="48003">
          <cell r="L48003"/>
          <cell r="S48003">
            <v>-232.5</v>
          </cell>
          <cell r="X48003" t="str">
            <v>Variation UPR - share RI</v>
          </cell>
        </row>
        <row r="48004">
          <cell r="L48004"/>
          <cell r="S48004">
            <v>87138.34</v>
          </cell>
          <cell r="X48004" t="str">
            <v>Variation UPR - share RI</v>
          </cell>
        </row>
        <row r="48005">
          <cell r="L48005"/>
          <cell r="S48005">
            <v>-145.13</v>
          </cell>
          <cell r="X48005" t="str">
            <v>Variation UPR - share RI</v>
          </cell>
        </row>
        <row r="48006">
          <cell r="L48006"/>
          <cell r="S48006">
            <v>72160</v>
          </cell>
          <cell r="X48006" t="str">
            <v>Variation UPR - share RI</v>
          </cell>
        </row>
        <row r="48007">
          <cell r="L48007"/>
          <cell r="S48007">
            <v>1224601.8799999999</v>
          </cell>
          <cell r="X48007" t="str">
            <v>Variation UPR - share RI</v>
          </cell>
        </row>
        <row r="48008">
          <cell r="L48008"/>
          <cell r="S48008">
            <v>1337659.8500000001</v>
          </cell>
          <cell r="X48008" t="str">
            <v>Variation UPR - share RI</v>
          </cell>
        </row>
        <row r="48009">
          <cell r="L48009" t="str">
            <v>Proportional</v>
          </cell>
          <cell r="S48009">
            <v>-2.2599999999999998</v>
          </cell>
          <cell r="X48009" t="str">
            <v>Variation UPR - share RI</v>
          </cell>
        </row>
        <row r="48010">
          <cell r="L48010"/>
          <cell r="S48010">
            <v>53463.27</v>
          </cell>
          <cell r="X48010" t="str">
            <v>Variation UPR - share RI</v>
          </cell>
        </row>
        <row r="48011">
          <cell r="L48011"/>
          <cell r="S48011">
            <v>129823.34</v>
          </cell>
          <cell r="X48011" t="str">
            <v>Variation UPR - share RI</v>
          </cell>
        </row>
        <row r="48012">
          <cell r="L48012"/>
          <cell r="S48012">
            <v>31246.23</v>
          </cell>
          <cell r="X48012" t="str">
            <v>Variation UPR - share RI</v>
          </cell>
        </row>
        <row r="48013">
          <cell r="L48013"/>
          <cell r="S48013">
            <v>21340.38</v>
          </cell>
          <cell r="X48013" t="str">
            <v>Variation UPR - share RI</v>
          </cell>
        </row>
        <row r="48014">
          <cell r="L48014"/>
          <cell r="S48014">
            <v>23925.84</v>
          </cell>
          <cell r="X48014" t="str">
            <v>Variation UPR - share RI</v>
          </cell>
        </row>
        <row r="48015">
          <cell r="L48015"/>
          <cell r="S48015">
            <v>439010.67</v>
          </cell>
          <cell r="X48015" t="str">
            <v>Variation UPR - share RI</v>
          </cell>
        </row>
        <row r="48016">
          <cell r="L48016"/>
          <cell r="S48016">
            <v>1410302.64</v>
          </cell>
          <cell r="X48016" t="str">
            <v>Variation UPR - share RI</v>
          </cell>
        </row>
        <row r="48017">
          <cell r="L48017"/>
          <cell r="S48017">
            <v>4807.95</v>
          </cell>
          <cell r="X48017" t="str">
            <v>Variation UPR - share RI</v>
          </cell>
        </row>
        <row r="48018">
          <cell r="L48018"/>
          <cell r="S48018">
            <v>1375901.62</v>
          </cell>
          <cell r="X48018" t="str">
            <v>Variation UPR - share RI</v>
          </cell>
        </row>
        <row r="48019">
          <cell r="L48019"/>
          <cell r="S48019">
            <v>-1410302.64</v>
          </cell>
          <cell r="X48019" t="str">
            <v>Variation UPR - share RI</v>
          </cell>
        </row>
        <row r="48020">
          <cell r="L48020"/>
          <cell r="S48020">
            <v>76416.710000000006</v>
          </cell>
          <cell r="X48020" t="str">
            <v>Variation UPR - share RI</v>
          </cell>
        </row>
        <row r="48021">
          <cell r="L48021"/>
          <cell r="S48021">
            <v>1575400.28</v>
          </cell>
          <cell r="X48021" t="str">
            <v>Variation UPR - share RI</v>
          </cell>
        </row>
        <row r="48022">
          <cell r="L48022"/>
          <cell r="S48022">
            <v>411507.03</v>
          </cell>
          <cell r="X48022" t="str">
            <v>Variation UPR - share RI</v>
          </cell>
        </row>
        <row r="48023">
          <cell r="L48023"/>
          <cell r="S48023">
            <v>51303.24</v>
          </cell>
          <cell r="X48023" t="str">
            <v>Variation UPR - share RI</v>
          </cell>
        </row>
        <row r="48024">
          <cell r="L48024"/>
          <cell r="S48024">
            <v>4194.7</v>
          </cell>
          <cell r="X48024" t="str">
            <v>Variation UPR - share RI</v>
          </cell>
        </row>
        <row r="48025">
          <cell r="L48025"/>
          <cell r="S48025">
            <v>1840864.56</v>
          </cell>
          <cell r="X48025" t="str">
            <v>Variation UPR - share RI</v>
          </cell>
        </row>
        <row r="48026">
          <cell r="L48026"/>
          <cell r="S48026">
            <v>859949.67</v>
          </cell>
          <cell r="X48026" t="str">
            <v>Variation UPR - share RI</v>
          </cell>
        </row>
        <row r="48027">
          <cell r="L48027"/>
          <cell r="S48027">
            <v>417193</v>
          </cell>
          <cell r="X48027" t="str">
            <v>Variation UPR - share RI</v>
          </cell>
        </row>
        <row r="48028">
          <cell r="L48028"/>
          <cell r="S48028">
            <v>3346.39</v>
          </cell>
          <cell r="X48028" t="str">
            <v>Variation UPR - share RI</v>
          </cell>
        </row>
        <row r="48029">
          <cell r="L48029"/>
          <cell r="S48029">
            <v>129823.33</v>
          </cell>
          <cell r="X48029" t="str">
            <v>Variation UPR - share RI</v>
          </cell>
        </row>
        <row r="48030">
          <cell r="L48030"/>
          <cell r="S48030">
            <v>1213159.29</v>
          </cell>
          <cell r="X48030" t="str">
            <v>Variation UPR - share RI</v>
          </cell>
        </row>
        <row r="48031">
          <cell r="L48031"/>
          <cell r="S48031">
            <v>21340.37</v>
          </cell>
          <cell r="X48031" t="str">
            <v>Variation UPR - share RI</v>
          </cell>
        </row>
        <row r="48032">
          <cell r="L48032"/>
          <cell r="S48032">
            <v>87138.33</v>
          </cell>
          <cell r="X48032" t="str">
            <v>Variation UPR - share RI</v>
          </cell>
        </row>
        <row r="48033">
          <cell r="L48033"/>
          <cell r="S48033">
            <v>13971.55</v>
          </cell>
          <cell r="X48033" t="str">
            <v>Variation UPR - share RI</v>
          </cell>
        </row>
        <row r="48034">
          <cell r="L48034"/>
          <cell r="S48034">
            <v>18099.509999999998</v>
          </cell>
          <cell r="X48034" t="str">
            <v>Variation UPR - share RI</v>
          </cell>
        </row>
        <row r="48035">
          <cell r="L48035"/>
          <cell r="S48035">
            <v>27094.52</v>
          </cell>
          <cell r="X48035" t="str">
            <v>Variation UPR - share RI</v>
          </cell>
        </row>
        <row r="48036">
          <cell r="L48036"/>
          <cell r="S48036">
            <v>11762.77</v>
          </cell>
          <cell r="X48036" t="str">
            <v>Variation UPR - share RI</v>
          </cell>
        </row>
        <row r="48037">
          <cell r="L48037" t="str">
            <v>Proportional</v>
          </cell>
          <cell r="S48037">
            <v>10</v>
          </cell>
          <cell r="X48037" t="str">
            <v>Variation UPR - share RI</v>
          </cell>
        </row>
        <row r="48038">
          <cell r="L48038"/>
          <cell r="S48038">
            <v>53463.27</v>
          </cell>
          <cell r="X48038" t="str">
            <v>Variation UPR - share RI</v>
          </cell>
        </row>
        <row r="48039">
          <cell r="L48039"/>
          <cell r="S48039">
            <v>4072.69</v>
          </cell>
          <cell r="X48039" t="str">
            <v>Variation UPR - share RI</v>
          </cell>
        </row>
        <row r="48040">
          <cell r="L48040"/>
          <cell r="S48040">
            <v>319252.44</v>
          </cell>
          <cell r="X48040" t="str">
            <v>Variation UPR - share RI</v>
          </cell>
        </row>
        <row r="48041">
          <cell r="L48041"/>
          <cell r="S48041">
            <v>184290.72</v>
          </cell>
          <cell r="X48041" t="str">
            <v>Variation UPR - share RI</v>
          </cell>
        </row>
        <row r="48042">
          <cell r="L48042"/>
          <cell r="S48042">
            <v>58.12</v>
          </cell>
          <cell r="X48042" t="str">
            <v>Variation UPR - share RI</v>
          </cell>
        </row>
        <row r="48043">
          <cell r="L48043"/>
          <cell r="S48043">
            <v>158619.37</v>
          </cell>
          <cell r="X48043" t="str">
            <v>Variation UPR - share RI</v>
          </cell>
        </row>
        <row r="48044">
          <cell r="L48044"/>
          <cell r="S48044">
            <v>1337659.8500000001</v>
          </cell>
          <cell r="X48044" t="str">
            <v>Variation UPR - share RI</v>
          </cell>
        </row>
        <row r="48045">
          <cell r="L48045"/>
          <cell r="S48045">
            <v>936473.83</v>
          </cell>
          <cell r="X48045" t="str">
            <v>Variation UPR - share RI</v>
          </cell>
        </row>
        <row r="48046">
          <cell r="L48046"/>
          <cell r="S48046">
            <v>5112.1499999999996</v>
          </cell>
          <cell r="X48046" t="str">
            <v>Variation UPR - share RI</v>
          </cell>
        </row>
        <row r="48047">
          <cell r="L48047"/>
          <cell r="S48047">
            <v>700000</v>
          </cell>
          <cell r="X48047" t="str">
            <v>Variation UPR - share RI</v>
          </cell>
        </row>
        <row r="48048">
          <cell r="L48048"/>
          <cell r="S48048">
            <v>4763.03</v>
          </cell>
          <cell r="X48048" t="str">
            <v>Variation UPR - share RI</v>
          </cell>
        </row>
        <row r="48049">
          <cell r="L48049"/>
          <cell r="S48049">
            <v>550568.94999999995</v>
          </cell>
          <cell r="X48049" t="str">
            <v>Variation UPR - share RI</v>
          </cell>
        </row>
        <row r="48050">
          <cell r="L48050"/>
          <cell r="S48050">
            <v>3084.85</v>
          </cell>
          <cell r="X48050" t="str">
            <v>Variation UPR - share RI</v>
          </cell>
        </row>
        <row r="48051">
          <cell r="L48051"/>
          <cell r="S48051">
            <v>257195.23</v>
          </cell>
          <cell r="X48051" t="str">
            <v>Variation UPR - share RI</v>
          </cell>
        </row>
        <row r="48052">
          <cell r="L48052"/>
          <cell r="S48052">
            <v>24436.15</v>
          </cell>
          <cell r="X48052" t="str">
            <v>Variation UPR - share RI</v>
          </cell>
        </row>
        <row r="48053">
          <cell r="L48053"/>
          <cell r="S48053">
            <v>1105.1300000000001</v>
          </cell>
          <cell r="X48053" t="str">
            <v>Variation UPR - share RI</v>
          </cell>
        </row>
        <row r="48054">
          <cell r="L48054"/>
          <cell r="S48054">
            <v>90860</v>
          </cell>
          <cell r="X48054" t="str">
            <v>Variation UPR - share RI</v>
          </cell>
        </row>
        <row r="48055">
          <cell r="L48055"/>
          <cell r="S48055">
            <v>439010.68</v>
          </cell>
          <cell r="X48055" t="str">
            <v>Variation UPR - share RI</v>
          </cell>
        </row>
        <row r="48056">
          <cell r="L48056" t="str">
            <v>Proportional</v>
          </cell>
          <cell r="S48056">
            <v>-8</v>
          </cell>
          <cell r="X48056" t="str">
            <v>Variation UPR - share RI</v>
          </cell>
        </row>
        <row r="48057">
          <cell r="L48057"/>
          <cell r="S48057">
            <v>400069.61</v>
          </cell>
          <cell r="X48057" t="str">
            <v>Variation UPR - share RI</v>
          </cell>
        </row>
        <row r="48058">
          <cell r="L48058"/>
          <cell r="S48058">
            <v>1375901.63</v>
          </cell>
          <cell r="X48058" t="str">
            <v>Variation UPR - share RI</v>
          </cell>
        </row>
        <row r="48059">
          <cell r="L48059"/>
          <cell r="S48059">
            <v>72160</v>
          </cell>
          <cell r="X48059" t="str">
            <v>Variation UPR - share RI</v>
          </cell>
        </row>
        <row r="48060">
          <cell r="L48060"/>
          <cell r="S48060">
            <v>-1575400.28</v>
          </cell>
          <cell r="X48060" t="str">
            <v>Variation UPR - share RI</v>
          </cell>
        </row>
        <row r="48061">
          <cell r="L48061"/>
          <cell r="S48061">
            <v>21340.38</v>
          </cell>
          <cell r="X48061" t="str">
            <v>Variation UPR - share RI</v>
          </cell>
        </row>
        <row r="48062">
          <cell r="L48062"/>
          <cell r="S48062">
            <v>4718.72</v>
          </cell>
          <cell r="X48062" t="str">
            <v>Variation UPR - share RI</v>
          </cell>
        </row>
        <row r="48063">
          <cell r="L48063"/>
          <cell r="S48063">
            <v>3400.55</v>
          </cell>
          <cell r="X48063" t="str">
            <v>Variation UPR - share RI</v>
          </cell>
        </row>
        <row r="48064">
          <cell r="L48064"/>
          <cell r="S48064">
            <v>1337659.8500000001</v>
          </cell>
          <cell r="X48064" t="str">
            <v>Variation UPR - share RI</v>
          </cell>
        </row>
        <row r="48065">
          <cell r="L48065"/>
          <cell r="S48065">
            <v>1201875.3600000001</v>
          </cell>
          <cell r="X48065" t="str">
            <v>Variation UPR - share RI</v>
          </cell>
        </row>
        <row r="48066">
          <cell r="L48066"/>
          <cell r="S48066">
            <v>545447.94999999995</v>
          </cell>
          <cell r="X48066" t="str">
            <v>Variation UPR - share RI</v>
          </cell>
        </row>
        <row r="48067">
          <cell r="L48067"/>
          <cell r="S48067">
            <v>17931.16</v>
          </cell>
          <cell r="X48067" t="str">
            <v>Variation UPR - share RI</v>
          </cell>
        </row>
        <row r="48068">
          <cell r="L48068"/>
          <cell r="S48068">
            <v>927763.44</v>
          </cell>
          <cell r="X48068" t="str">
            <v>Variation UPR - share RI</v>
          </cell>
        </row>
        <row r="48069">
          <cell r="L48069"/>
          <cell r="S48069">
            <v>1840864.55</v>
          </cell>
          <cell r="X48069" t="str">
            <v>Variation UPR - share RI</v>
          </cell>
        </row>
        <row r="48070">
          <cell r="L48070"/>
          <cell r="S48070">
            <v>8340</v>
          </cell>
          <cell r="X48070" t="str">
            <v>Variation UPR - share RI</v>
          </cell>
        </row>
        <row r="48071">
          <cell r="L48071"/>
          <cell r="S48071">
            <v>1109.8599999999999</v>
          </cell>
          <cell r="X48071" t="str">
            <v>Variation UPR - share RI</v>
          </cell>
        </row>
        <row r="48072">
          <cell r="L48072"/>
          <cell r="S48072">
            <v>50826.04</v>
          </cell>
          <cell r="X48072" t="str">
            <v>Variation UPR - share RI</v>
          </cell>
        </row>
        <row r="48073">
          <cell r="L48073"/>
          <cell r="S48073">
            <v>2887.61</v>
          </cell>
          <cell r="X48073" t="str">
            <v>Variation UPR - share RI</v>
          </cell>
        </row>
        <row r="48074">
          <cell r="L48074"/>
          <cell r="S48074">
            <v>30309.13</v>
          </cell>
          <cell r="X48074" t="str">
            <v>Variation UPR - share RI</v>
          </cell>
        </row>
        <row r="48075">
          <cell r="L48075" t="str">
            <v>Proportional</v>
          </cell>
          <cell r="S48075">
            <v>12.76</v>
          </cell>
          <cell r="X48075" t="str">
            <v>Variation UPR - share RI</v>
          </cell>
        </row>
        <row r="48076">
          <cell r="L48076"/>
          <cell r="S48076">
            <v>407679.49</v>
          </cell>
          <cell r="X48076" t="str">
            <v>Variation UPR - share RI</v>
          </cell>
        </row>
        <row r="48077">
          <cell r="L48077"/>
          <cell r="S48077">
            <v>53463.27</v>
          </cell>
          <cell r="X48077" t="str">
            <v>Variation UPR - share RI</v>
          </cell>
        </row>
        <row r="48078">
          <cell r="L48078"/>
          <cell r="S48078">
            <v>87138.33</v>
          </cell>
          <cell r="X48078" t="str">
            <v>Variation UPR - share RI</v>
          </cell>
        </row>
        <row r="48079">
          <cell r="L48079"/>
          <cell r="S48079">
            <v>72160</v>
          </cell>
          <cell r="X48079" t="str">
            <v>Variation UPR - share RI</v>
          </cell>
        </row>
        <row r="48080">
          <cell r="L48080"/>
          <cell r="S48080">
            <v>76416.710000000006</v>
          </cell>
          <cell r="X48080" t="str">
            <v>Variation UPR - share RI</v>
          </cell>
        </row>
        <row r="48081">
          <cell r="L48081"/>
          <cell r="S48081">
            <v>129823.33</v>
          </cell>
          <cell r="X48081" t="str">
            <v>Variation UPR - share RI</v>
          </cell>
        </row>
        <row r="48082">
          <cell r="L48082"/>
          <cell r="S48082">
            <v>396348.45</v>
          </cell>
          <cell r="X48082" t="str">
            <v>Variation UPR - share RI</v>
          </cell>
        </row>
        <row r="48083">
          <cell r="L48083"/>
          <cell r="S48083">
            <v>158619.38</v>
          </cell>
          <cell r="X48083" t="str">
            <v>Variation UPR - share RI</v>
          </cell>
        </row>
        <row r="48084">
          <cell r="L48084"/>
          <cell r="S48084">
            <v>439010.67</v>
          </cell>
          <cell r="X48084" t="str">
            <v>Variation UPR - share RI</v>
          </cell>
        </row>
        <row r="48085">
          <cell r="L48085"/>
          <cell r="S48085">
            <v>101640</v>
          </cell>
          <cell r="X48085" t="str">
            <v>Variation UPR - share RI</v>
          </cell>
        </row>
        <row r="48086">
          <cell r="L48086"/>
          <cell r="S48086">
            <v>700000</v>
          </cell>
          <cell r="X48086" t="str">
            <v>Variation UPR - share RI</v>
          </cell>
        </row>
        <row r="48087">
          <cell r="L48087"/>
          <cell r="S48087">
            <v>13841.59</v>
          </cell>
          <cell r="X48087" t="str">
            <v>Variation UPR - share RI</v>
          </cell>
        </row>
        <row r="48088">
          <cell r="L48088"/>
          <cell r="S48088">
            <v>1375901.62</v>
          </cell>
          <cell r="X48088" t="str">
            <v>Variation UPR - share RI</v>
          </cell>
        </row>
        <row r="48089">
          <cell r="L48089"/>
          <cell r="S48089">
            <v>17325.63</v>
          </cell>
          <cell r="X48089" t="str">
            <v>Variation UPR - share RI</v>
          </cell>
        </row>
        <row r="48090">
          <cell r="L48090"/>
          <cell r="S48090">
            <v>58.13</v>
          </cell>
          <cell r="X48090" t="str">
            <v>Variation UPR - share RI</v>
          </cell>
        </row>
        <row r="48091">
          <cell r="L48091"/>
          <cell r="S48091">
            <v>254803</v>
          </cell>
          <cell r="X48091" t="str">
            <v>Variation UPR - share RI</v>
          </cell>
        </row>
        <row r="48092">
          <cell r="L48092"/>
          <cell r="S48092">
            <v>316282.99</v>
          </cell>
          <cell r="X48092" t="str">
            <v>Variation UPR - share RI</v>
          </cell>
        </row>
        <row r="48093">
          <cell r="L48093"/>
          <cell r="S48093">
            <v>859949.66</v>
          </cell>
          <cell r="X48093" t="str">
            <v>Variation UPR - share RI</v>
          </cell>
        </row>
        <row r="48094">
          <cell r="L48094" t="str">
            <v>Proportional</v>
          </cell>
          <cell r="S48094">
            <v>-9.5399999999999991</v>
          </cell>
          <cell r="X48094" t="str">
            <v>Variation UPR - share RI</v>
          </cell>
        </row>
        <row r="48095">
          <cell r="L48095"/>
          <cell r="S48095">
            <v>-367635.16</v>
          </cell>
          <cell r="X48095" t="str">
            <v>Variation UPR - share RI</v>
          </cell>
        </row>
        <row r="48096">
          <cell r="L48096"/>
          <cell r="S48096">
            <v>1732.06</v>
          </cell>
          <cell r="X48096" t="str">
            <v>Variation UPR - share RI</v>
          </cell>
        </row>
        <row r="48097">
          <cell r="L48097"/>
          <cell r="S48097">
            <v>1840864.56</v>
          </cell>
          <cell r="X48097" t="str">
            <v>Variation UPR - share RI</v>
          </cell>
        </row>
        <row r="48098">
          <cell r="L48098"/>
          <cell r="S48098">
            <v>1375901.63</v>
          </cell>
          <cell r="X48098" t="str">
            <v>Variation UPR - share RI</v>
          </cell>
        </row>
        <row r="48099">
          <cell r="L48099"/>
          <cell r="S48099">
            <v>4194.7</v>
          </cell>
          <cell r="X48099" t="str">
            <v>Variation UPR - share RI</v>
          </cell>
        </row>
        <row r="48100">
          <cell r="L48100"/>
          <cell r="S48100">
            <v>5008.4399999999996</v>
          </cell>
          <cell r="X48100" t="str">
            <v>Variation UPR - share RI</v>
          </cell>
        </row>
        <row r="48101">
          <cell r="L48101"/>
          <cell r="S48101">
            <v>1702.49</v>
          </cell>
          <cell r="X48101" t="str">
            <v>Variation UPR - share RI</v>
          </cell>
        </row>
        <row r="48102">
          <cell r="L48102"/>
          <cell r="S48102">
            <v>1201.6099999999999</v>
          </cell>
          <cell r="X48102" t="str">
            <v>Variation UPR - share RI</v>
          </cell>
        </row>
        <row r="48103">
          <cell r="L48103"/>
          <cell r="S48103">
            <v>1210664.22</v>
          </cell>
          <cell r="X48103" t="str">
            <v>Variation UPR - share RI</v>
          </cell>
        </row>
        <row r="48104">
          <cell r="L48104"/>
          <cell r="S48104">
            <v>87138.34</v>
          </cell>
          <cell r="X48104" t="str">
            <v>Variation UPR - share RI</v>
          </cell>
        </row>
        <row r="48105">
          <cell r="L48105"/>
          <cell r="S48105">
            <v>700000</v>
          </cell>
          <cell r="X48105" t="str">
            <v>Variation UPR - share RI</v>
          </cell>
        </row>
        <row r="48106">
          <cell r="L48106"/>
          <cell r="S48106">
            <v>72160</v>
          </cell>
          <cell r="X48106" t="str">
            <v>Variation UPR - share RI</v>
          </cell>
        </row>
        <row r="48107">
          <cell r="L48107" t="str">
            <v>Proportional</v>
          </cell>
          <cell r="S48107">
            <v>31.53</v>
          </cell>
          <cell r="X48107" t="str">
            <v>Variation UPR - share RI</v>
          </cell>
        </row>
        <row r="48108">
          <cell r="L48108"/>
          <cell r="S48108">
            <v>18062.27</v>
          </cell>
          <cell r="X48108" t="str">
            <v>Variation UPR - share RI</v>
          </cell>
        </row>
        <row r="48109">
          <cell r="L48109"/>
          <cell r="S48109">
            <v>859949.65</v>
          </cell>
          <cell r="X48109" t="str">
            <v>Variation UPR - share RI</v>
          </cell>
        </row>
        <row r="48110">
          <cell r="L48110"/>
          <cell r="S48110">
            <v>58.13</v>
          </cell>
          <cell r="X48110" t="str">
            <v>Variation UPR - share RI</v>
          </cell>
        </row>
        <row r="48111">
          <cell r="L48111"/>
          <cell r="S48111">
            <v>33477.81</v>
          </cell>
          <cell r="X48111" t="str">
            <v>Variation UPR - share RI</v>
          </cell>
        </row>
        <row r="48112">
          <cell r="L48112"/>
          <cell r="S48112">
            <v>1337659.8500000001</v>
          </cell>
          <cell r="X48112" t="str">
            <v>Variation UPR - share RI</v>
          </cell>
        </row>
        <row r="48113">
          <cell r="L48113"/>
          <cell r="S48113">
            <v>10214.969999999999</v>
          </cell>
          <cell r="X48113" t="str">
            <v>Variation UPR - share RI</v>
          </cell>
        </row>
        <row r="48114">
          <cell r="L48114"/>
          <cell r="S48114">
            <v>76416.72</v>
          </cell>
          <cell r="X48114" t="str">
            <v>Variation UPR - share RI</v>
          </cell>
        </row>
        <row r="48115">
          <cell r="L48115"/>
          <cell r="S48115">
            <v>51197.72</v>
          </cell>
          <cell r="X48115" t="str">
            <v>Variation UPR - share RI</v>
          </cell>
        </row>
        <row r="48116">
          <cell r="L48116" t="str">
            <v>Proportional</v>
          </cell>
          <cell r="S48116">
            <v>-42.21</v>
          </cell>
          <cell r="X48116" t="str">
            <v>Variation UPR - share RI</v>
          </cell>
        </row>
        <row r="48117">
          <cell r="L48117"/>
          <cell r="S48117">
            <v>399246.81</v>
          </cell>
          <cell r="X48117" t="str">
            <v>Variation UPR - share RI</v>
          </cell>
        </row>
        <row r="48118">
          <cell r="L48118"/>
          <cell r="S48118">
            <v>135419.47</v>
          </cell>
          <cell r="X48118" t="str">
            <v>Variation UPR - share RI</v>
          </cell>
        </row>
        <row r="48119">
          <cell r="L48119"/>
          <cell r="S48119">
            <v>549436.62</v>
          </cell>
          <cell r="X48119" t="str">
            <v>Variation UPR - share RI</v>
          </cell>
        </row>
        <row r="48120">
          <cell r="L48120"/>
          <cell r="S48120">
            <v>934547.82</v>
          </cell>
          <cell r="X48120" t="str">
            <v>Variation UPR - share RI</v>
          </cell>
        </row>
        <row r="48121">
          <cell r="L48121"/>
          <cell r="S48121">
            <v>439010.67</v>
          </cell>
          <cell r="X48121" t="str">
            <v>Variation UPR - share RI</v>
          </cell>
        </row>
        <row r="48122">
          <cell r="L48122"/>
          <cell r="S48122">
            <v>129823.34</v>
          </cell>
          <cell r="X48122" t="str">
            <v>Variation UPR - share RI</v>
          </cell>
        </row>
        <row r="48123">
          <cell r="L48123"/>
          <cell r="S48123">
            <v>112266</v>
          </cell>
          <cell r="X48123" t="str">
            <v>Variation UPR - share RI</v>
          </cell>
        </row>
        <row r="48124">
          <cell r="L48124"/>
          <cell r="S48124">
            <v>410660.69</v>
          </cell>
          <cell r="X48124" t="str">
            <v>Variation UPR - share RI</v>
          </cell>
        </row>
        <row r="48125">
          <cell r="L48125"/>
          <cell r="S48125">
            <v>318595.84000000003</v>
          </cell>
          <cell r="X48125" t="str">
            <v>Variation UPR - share RI</v>
          </cell>
        </row>
        <row r="48126">
          <cell r="L48126"/>
          <cell r="S48126">
            <v>13942.82</v>
          </cell>
          <cell r="X48126" t="str">
            <v>Variation UPR - share RI</v>
          </cell>
        </row>
        <row r="48127">
          <cell r="L48127"/>
          <cell r="S48127">
            <v>158619.37</v>
          </cell>
          <cell r="X48127" t="str">
            <v>Variation UPR - share RI</v>
          </cell>
        </row>
        <row r="48128">
          <cell r="L48128"/>
          <cell r="S48128">
            <v>3397.02</v>
          </cell>
          <cell r="X48128" t="str">
            <v>Variation UPR - share RI</v>
          </cell>
        </row>
        <row r="48129">
          <cell r="L48129"/>
          <cell r="S48129">
            <v>256666.26</v>
          </cell>
          <cell r="X48129" t="str">
            <v>Variation UPR - share RI</v>
          </cell>
        </row>
        <row r="48130">
          <cell r="L48130"/>
          <cell r="S48130">
            <v>21340.37</v>
          </cell>
          <cell r="X48130" t="str">
            <v>Variation UPR - share RI</v>
          </cell>
        </row>
        <row r="48131">
          <cell r="L48131"/>
          <cell r="S48131">
            <v>4753.24</v>
          </cell>
          <cell r="X48131" t="str">
            <v>Variation UPR - share RI</v>
          </cell>
        </row>
        <row r="48132">
          <cell r="L48132"/>
          <cell r="S48132">
            <v>53463.28</v>
          </cell>
          <cell r="X48132" t="str">
            <v>Variation UPR - share RI</v>
          </cell>
        </row>
        <row r="48133">
          <cell r="L48133"/>
          <cell r="S48133">
            <v>700000</v>
          </cell>
          <cell r="X48133" t="str">
            <v>Variation UPR - share RI</v>
          </cell>
        </row>
        <row r="48134">
          <cell r="L48134"/>
          <cell r="S48134">
            <v>76416.710000000006</v>
          </cell>
          <cell r="X48134" t="str">
            <v>Variation UPR - share RI</v>
          </cell>
        </row>
        <row r="48135">
          <cell r="L48135"/>
          <cell r="S48135">
            <v>53463.27</v>
          </cell>
          <cell r="X48135" t="str">
            <v>Variation UPR - share RI</v>
          </cell>
        </row>
        <row r="48136">
          <cell r="L48136"/>
          <cell r="S48136">
            <v>36692.410000000003</v>
          </cell>
          <cell r="X48136" t="str">
            <v>Variation UPR - share RI</v>
          </cell>
        </row>
        <row r="48137">
          <cell r="L48137"/>
          <cell r="S48137">
            <v>-21.06</v>
          </cell>
          <cell r="X48137" t="str">
            <v>Variation UPR - share RI</v>
          </cell>
        </row>
        <row r="48138">
          <cell r="L48138"/>
          <cell r="S48138">
            <v>1840864.56</v>
          </cell>
          <cell r="X48138" t="str">
            <v>Variation UPR - share RI</v>
          </cell>
        </row>
        <row r="48139">
          <cell r="L48139"/>
          <cell r="S48139">
            <v>1623616.04</v>
          </cell>
          <cell r="X48139" t="str">
            <v>Variation UPR - share RI</v>
          </cell>
        </row>
        <row r="48140">
          <cell r="L48140"/>
          <cell r="S48140">
            <v>58.13</v>
          </cell>
          <cell r="X48140" t="str">
            <v>Variation UPR - share RI</v>
          </cell>
        </row>
        <row r="48141">
          <cell r="L48141"/>
          <cell r="S48141">
            <v>20973.47</v>
          </cell>
          <cell r="X48141" t="str">
            <v>Variation UPR - share RI</v>
          </cell>
        </row>
        <row r="48142">
          <cell r="L48142"/>
          <cell r="S48142">
            <v>1375901.62</v>
          </cell>
          <cell r="X48142" t="str">
            <v>Variation UPR - share RI</v>
          </cell>
        </row>
        <row r="48143">
          <cell r="L48143"/>
          <cell r="S48143">
            <v>400436.39</v>
          </cell>
          <cell r="X48143" t="str">
            <v>Variation UPR - share RI</v>
          </cell>
        </row>
        <row r="48144">
          <cell r="L48144"/>
          <cell r="S48144">
            <v>1182.79</v>
          </cell>
          <cell r="X48144" t="str">
            <v>Variation UPR - share RI</v>
          </cell>
        </row>
        <row r="48145">
          <cell r="L48145"/>
          <cell r="S48145">
            <v>551073.69999999995</v>
          </cell>
          <cell r="X48145" t="str">
            <v>Variation UPR - share RI</v>
          </cell>
        </row>
        <row r="48146">
          <cell r="L48146"/>
          <cell r="S48146">
            <v>21340.37</v>
          </cell>
          <cell r="X48146" t="str">
            <v>Variation UPR - share RI</v>
          </cell>
        </row>
        <row r="48147">
          <cell r="L48147"/>
          <cell r="S48147">
            <v>199277.6</v>
          </cell>
          <cell r="X48147" t="str">
            <v>Variation UPR - share RI</v>
          </cell>
        </row>
        <row r="48148">
          <cell r="L48148"/>
          <cell r="S48148">
            <v>319545.13</v>
          </cell>
          <cell r="X48148" t="str">
            <v>Variation UPR - share RI</v>
          </cell>
        </row>
        <row r="48149">
          <cell r="L48149"/>
          <cell r="S48149">
            <v>257431.02</v>
          </cell>
          <cell r="X48149" t="str">
            <v>Variation UPR - share RI</v>
          </cell>
        </row>
        <row r="48150">
          <cell r="L48150"/>
          <cell r="S48150">
            <v>13984.36</v>
          </cell>
          <cell r="X48150" t="str">
            <v>Variation UPR - share RI</v>
          </cell>
        </row>
        <row r="48151">
          <cell r="L48151"/>
          <cell r="S48151">
            <v>1337659.8500000001</v>
          </cell>
          <cell r="X48151" t="str">
            <v>Variation UPR - share RI</v>
          </cell>
        </row>
        <row r="48152">
          <cell r="L48152"/>
          <cell r="S48152">
            <v>72160</v>
          </cell>
          <cell r="X48152" t="str">
            <v>Variation UPR - share RI</v>
          </cell>
        </row>
        <row r="48153">
          <cell r="L48153"/>
          <cell r="S48153">
            <v>1692.48</v>
          </cell>
          <cell r="X48153" t="str">
            <v>Variation UPR - share RI</v>
          </cell>
        </row>
        <row r="48154">
          <cell r="L48154"/>
          <cell r="S48154">
            <v>859949.66</v>
          </cell>
          <cell r="X48154" t="str">
            <v>Variation UPR - share RI</v>
          </cell>
        </row>
        <row r="48155">
          <cell r="L48155"/>
          <cell r="S48155">
            <v>439010.67</v>
          </cell>
          <cell r="X48155" t="str">
            <v>Variation UPR - share RI</v>
          </cell>
        </row>
        <row r="48156">
          <cell r="L48156"/>
          <cell r="S48156">
            <v>1214271.51</v>
          </cell>
          <cell r="X48156" t="str">
            <v>Variation UPR - share RI</v>
          </cell>
        </row>
        <row r="48157">
          <cell r="L48157"/>
          <cell r="S48157">
            <v>937332.4</v>
          </cell>
          <cell r="X48157" t="str">
            <v>Variation UPR - share RI</v>
          </cell>
        </row>
        <row r="48158">
          <cell r="L48158"/>
          <cell r="S48158">
            <v>7096.79</v>
          </cell>
          <cell r="X48158" t="str">
            <v>Variation UPR - share RI</v>
          </cell>
        </row>
        <row r="48159">
          <cell r="L48159"/>
          <cell r="S48159">
            <v>4194.7</v>
          </cell>
          <cell r="X48159" t="str">
            <v>Variation UPR - share RI</v>
          </cell>
        </row>
        <row r="48160">
          <cell r="L48160"/>
          <cell r="S48160">
            <v>87138.33</v>
          </cell>
          <cell r="X48160" t="str">
            <v>Variation UPR - share RI</v>
          </cell>
        </row>
        <row r="48161">
          <cell r="L48161"/>
          <cell r="S48161">
            <v>158619.38</v>
          </cell>
          <cell r="X48161" t="str">
            <v>Variation UPR - share RI</v>
          </cell>
        </row>
        <row r="48162">
          <cell r="L48162"/>
          <cell r="S48162">
            <v>4767.3999999999996</v>
          </cell>
          <cell r="X48162" t="str">
            <v>Variation UPR - share RI</v>
          </cell>
        </row>
        <row r="48163">
          <cell r="L48163"/>
          <cell r="S48163">
            <v>129823.33</v>
          </cell>
          <cell r="X48163" t="str">
            <v>Variation UPR - share RI</v>
          </cell>
        </row>
        <row r="48164">
          <cell r="L48164"/>
          <cell r="S48164">
            <v>18116.099999999999</v>
          </cell>
          <cell r="X48164" t="str">
            <v>Variation UPR - share RI</v>
          </cell>
        </row>
        <row r="48165">
          <cell r="L48165"/>
          <cell r="S48165">
            <v>51350.28</v>
          </cell>
          <cell r="X48165" t="str">
            <v>Variation UPR - share RI</v>
          </cell>
        </row>
        <row r="48166">
          <cell r="L48166"/>
          <cell r="S48166">
            <v>411884.3</v>
          </cell>
          <cell r="X48166" t="str">
            <v>Variation UPR - share RI</v>
          </cell>
        </row>
        <row r="48167">
          <cell r="L48167"/>
          <cell r="S48167">
            <v>143.80000000000001</v>
          </cell>
          <cell r="X48167" t="str">
            <v>Variation UPR - share RI</v>
          </cell>
        </row>
        <row r="48168">
          <cell r="L48168"/>
          <cell r="S48168">
            <v>617.6</v>
          </cell>
          <cell r="X48168" t="str">
            <v>Variation UPR - share RI</v>
          </cell>
        </row>
        <row r="48169">
          <cell r="L48169"/>
          <cell r="S48169">
            <v>28.19</v>
          </cell>
          <cell r="X48169" t="str">
            <v>Variation UPR - share RI</v>
          </cell>
        </row>
        <row r="48170">
          <cell r="L48170"/>
          <cell r="S48170">
            <v>3343.82</v>
          </cell>
          <cell r="X48170" t="str">
            <v>Variation UPR - share RI</v>
          </cell>
        </row>
        <row r="48171">
          <cell r="L48171"/>
          <cell r="S48171">
            <v>123046</v>
          </cell>
          <cell r="X48171" t="str">
            <v>Variation UPR - share RI</v>
          </cell>
        </row>
        <row r="48172">
          <cell r="L48172"/>
          <cell r="S48172">
            <v>3705.63</v>
          </cell>
          <cell r="X48172" t="str">
            <v>Variation UPR - share RI</v>
          </cell>
        </row>
        <row r="48173">
          <cell r="S48173">
            <v>-6275.98</v>
          </cell>
          <cell r="X48173" t="str">
            <v>GWP - share RI</v>
          </cell>
        </row>
        <row r="48174">
          <cell r="S48174">
            <v>-9215.5300000000007</v>
          </cell>
          <cell r="X48174" t="str">
            <v>GWP - share RI</v>
          </cell>
        </row>
        <row r="48175">
          <cell r="S48175">
            <v>-1813.96</v>
          </cell>
          <cell r="X48175" t="str">
            <v>GWP - share RI</v>
          </cell>
        </row>
        <row r="48176">
          <cell r="S48176">
            <v>-2294.48</v>
          </cell>
          <cell r="X48176" t="str">
            <v>GWP - share RI</v>
          </cell>
        </row>
        <row r="48177">
          <cell r="S48177">
            <v>601.83000000000004</v>
          </cell>
          <cell r="X48177" t="str">
            <v>GWP - share RI</v>
          </cell>
        </row>
        <row r="48178">
          <cell r="S48178">
            <v>-2256.87</v>
          </cell>
          <cell r="X48178" t="str">
            <v>GWP - share RI</v>
          </cell>
        </row>
        <row r="48179">
          <cell r="S48179">
            <v>663.18</v>
          </cell>
          <cell r="X48179" t="str">
            <v>GWP - share RI</v>
          </cell>
        </row>
        <row r="48180">
          <cell r="S48180">
            <v>2294.48</v>
          </cell>
          <cell r="X48180" t="str">
            <v>GWP - share RI</v>
          </cell>
        </row>
        <row r="48181">
          <cell r="S48181">
            <v>-663.18</v>
          </cell>
          <cell r="X48181" t="str">
            <v>GWP - share RI</v>
          </cell>
        </row>
        <row r="48182">
          <cell r="S48182">
            <v>9215.5499999999993</v>
          </cell>
          <cell r="X48182" t="str">
            <v>GWP - share RI</v>
          </cell>
        </row>
        <row r="48183">
          <cell r="S48183">
            <v>6275.98</v>
          </cell>
          <cell r="X48183" t="str">
            <v>GWP - share RI</v>
          </cell>
        </row>
        <row r="48184">
          <cell r="S48184">
            <v>-6173.1</v>
          </cell>
          <cell r="X48184" t="str">
            <v>GWP - share RI</v>
          </cell>
        </row>
        <row r="48185">
          <cell r="S48185">
            <v>6173.1</v>
          </cell>
          <cell r="X48185" t="str">
            <v>GWP - share RI</v>
          </cell>
        </row>
        <row r="48186">
          <cell r="S48186">
            <v>2256.87</v>
          </cell>
          <cell r="X48186" t="str">
            <v>GWP - share RI</v>
          </cell>
        </row>
        <row r="48187">
          <cell r="S48187">
            <v>-25206.81</v>
          </cell>
          <cell r="X48187" t="str">
            <v>GWP - share RI</v>
          </cell>
        </row>
        <row r="48188">
          <cell r="S48188">
            <v>-1646.16</v>
          </cell>
          <cell r="X48188" t="str">
            <v>GWP - share RI</v>
          </cell>
        </row>
        <row r="48189">
          <cell r="S48189">
            <v>1646.16</v>
          </cell>
          <cell r="X48189" t="str">
            <v>GWP - share RI</v>
          </cell>
        </row>
        <row r="48190">
          <cell r="S48190">
            <v>25206.81</v>
          </cell>
          <cell r="X48190" t="str">
            <v>GWP - share RI</v>
          </cell>
        </row>
        <row r="48191">
          <cell r="S48191">
            <v>1813.96</v>
          </cell>
          <cell r="X48191" t="str">
            <v>GWP - share RI</v>
          </cell>
        </row>
        <row r="48192">
          <cell r="S48192">
            <v>-601.83000000000004</v>
          </cell>
          <cell r="X48192" t="str">
            <v>GWP - share RI</v>
          </cell>
        </row>
        <row r="48193">
          <cell r="S48193">
            <v>17908.349999999999</v>
          </cell>
          <cell r="X48193" t="str">
            <v>GWP - share RI</v>
          </cell>
        </row>
        <row r="48194">
          <cell r="S48194">
            <v>-1117.6500000000001</v>
          </cell>
          <cell r="X48194" t="str">
            <v>GWP - share RI</v>
          </cell>
        </row>
        <row r="48195">
          <cell r="S48195">
            <v>-750.15</v>
          </cell>
          <cell r="X48195" t="str">
            <v>GWP - share RI</v>
          </cell>
        </row>
        <row r="48196">
          <cell r="S48196">
            <v>25500.9</v>
          </cell>
          <cell r="X48196" t="str">
            <v>GWP - share RI</v>
          </cell>
        </row>
        <row r="48197">
          <cell r="S48197">
            <v>-273.7</v>
          </cell>
          <cell r="X48197" t="str">
            <v>GWP - share RI</v>
          </cell>
        </row>
        <row r="48198">
          <cell r="S48198">
            <v>260.94</v>
          </cell>
          <cell r="X48198" t="str">
            <v>GWP - share RI</v>
          </cell>
        </row>
        <row r="48199">
          <cell r="S48199">
            <v>888.03</v>
          </cell>
          <cell r="X48199" t="str">
            <v>GWP - share RI</v>
          </cell>
        </row>
        <row r="48200">
          <cell r="S48200">
            <v>-196.76</v>
          </cell>
          <cell r="X48200" t="str">
            <v>GWP - share RI</v>
          </cell>
        </row>
        <row r="48201">
          <cell r="S48201">
            <v>-737.86</v>
          </cell>
          <cell r="X48201" t="str">
            <v>GWP - share RI</v>
          </cell>
        </row>
        <row r="48202">
          <cell r="S48202">
            <v>117600</v>
          </cell>
          <cell r="X48202" t="str">
            <v>GWP - share RI</v>
          </cell>
        </row>
        <row r="48203">
          <cell r="S48203">
            <v>-80.430000000000007</v>
          </cell>
          <cell r="X48203" t="str">
            <v>GWP - share RI</v>
          </cell>
        </row>
        <row r="48204">
          <cell r="S48204">
            <v>236.8</v>
          </cell>
          <cell r="X48204" t="str">
            <v>GWP - share RI</v>
          </cell>
        </row>
        <row r="48205">
          <cell r="S48205">
            <v>-72.989999999999995</v>
          </cell>
          <cell r="X48205" t="str">
            <v>GWP - share RI</v>
          </cell>
        </row>
        <row r="48206">
          <cell r="S48206">
            <v>-216.82</v>
          </cell>
          <cell r="X48206" t="str">
            <v>GWP - share RI</v>
          </cell>
        </row>
        <row r="48207">
          <cell r="S48207">
            <v>2433.8200000000002</v>
          </cell>
          <cell r="X48207" t="str">
            <v>GWP - share RI</v>
          </cell>
        </row>
        <row r="48208">
          <cell r="S48208">
            <v>703.45</v>
          </cell>
          <cell r="X48208" t="str">
            <v>GWP - share RI</v>
          </cell>
        </row>
        <row r="48209">
          <cell r="S48209">
            <v>638.38</v>
          </cell>
          <cell r="X48209" t="str">
            <v>GWP - share RI</v>
          </cell>
        </row>
        <row r="48210">
          <cell r="S48210">
            <v>9775.19</v>
          </cell>
          <cell r="X48210" t="str">
            <v>GWP - share RI</v>
          </cell>
        </row>
        <row r="48211">
          <cell r="S48211">
            <v>902.83</v>
          </cell>
          <cell r="X48211" t="str">
            <v>GWP - share RI</v>
          </cell>
        </row>
        <row r="48212">
          <cell r="S48212">
            <v>-278.27</v>
          </cell>
          <cell r="X48212" t="str">
            <v>GWP - share RI</v>
          </cell>
        </row>
        <row r="48213">
          <cell r="S48213">
            <v>3626.11</v>
          </cell>
          <cell r="X48213" t="str">
            <v>GWP - share RI</v>
          </cell>
        </row>
        <row r="48214">
          <cell r="S48214">
            <v>2393.92</v>
          </cell>
          <cell r="X48214" t="str">
            <v>GWP - share RI</v>
          </cell>
        </row>
        <row r="48215">
          <cell r="S48215">
            <v>-3012.91</v>
          </cell>
          <cell r="X48215" t="str">
            <v>GWP - share RI</v>
          </cell>
        </row>
        <row r="48216">
          <cell r="S48216">
            <v>318880.86</v>
          </cell>
          <cell r="X48216" t="str">
            <v>GWP - share RI</v>
          </cell>
        </row>
        <row r="48217">
          <cell r="S48217">
            <v>-298654.27</v>
          </cell>
          <cell r="X48217" t="str">
            <v>GWP - share RI</v>
          </cell>
        </row>
        <row r="48218">
          <cell r="S48218">
            <v>526.4</v>
          </cell>
          <cell r="X48218" t="str">
            <v>GWP - share RI</v>
          </cell>
        </row>
        <row r="48219">
          <cell r="S48219">
            <v>155.72999999999999</v>
          </cell>
          <cell r="X48219" t="str">
            <v>GWP - share RI</v>
          </cell>
        </row>
        <row r="48220">
          <cell r="S48220">
            <v>2338.13</v>
          </cell>
          <cell r="X48220" t="str">
            <v>GWP - share RI</v>
          </cell>
        </row>
        <row r="48221">
          <cell r="S48221">
            <v>-1416.79</v>
          </cell>
          <cell r="X48221" t="str">
            <v>GWP - share RI</v>
          </cell>
        </row>
        <row r="48222">
          <cell r="S48222">
            <v>148.84</v>
          </cell>
          <cell r="X48222" t="str">
            <v>GWP - share RI</v>
          </cell>
        </row>
        <row r="48223">
          <cell r="S48223">
            <v>377.59</v>
          </cell>
          <cell r="X48223" t="str">
            <v>GWP - share RI</v>
          </cell>
        </row>
        <row r="48224">
          <cell r="S48224">
            <v>-9775.18</v>
          </cell>
          <cell r="X48224" t="str">
            <v>GWP - share RI</v>
          </cell>
        </row>
        <row r="48225">
          <cell r="S48225">
            <v>506.45</v>
          </cell>
          <cell r="X48225" t="str">
            <v>GWP - share RI</v>
          </cell>
        </row>
        <row r="48226">
          <cell r="S48226">
            <v>-73424.22</v>
          </cell>
          <cell r="X48226" t="str">
            <v>GWP - share RI</v>
          </cell>
        </row>
        <row r="48227">
          <cell r="S48227">
            <v>-104553.67</v>
          </cell>
          <cell r="X48227" t="str">
            <v>GWP - share RI</v>
          </cell>
        </row>
        <row r="48228">
          <cell r="S48228">
            <v>-14853.85</v>
          </cell>
          <cell r="X48228" t="str">
            <v>GWP - share RI</v>
          </cell>
        </row>
        <row r="48229">
          <cell r="S48229">
            <v>1077.68</v>
          </cell>
          <cell r="X48229" t="str">
            <v>GWP - share RI</v>
          </cell>
        </row>
        <row r="48230">
          <cell r="S48230">
            <v>-8172.91</v>
          </cell>
          <cell r="X48230" t="str">
            <v>GWP - share RI</v>
          </cell>
        </row>
        <row r="48231">
          <cell r="S48231">
            <v>-0.01</v>
          </cell>
          <cell r="X48231" t="str">
            <v>GWP - share RI</v>
          </cell>
        </row>
        <row r="48232">
          <cell r="S48232">
            <v>15557.01</v>
          </cell>
          <cell r="X48232" t="str">
            <v>GWP - share RI</v>
          </cell>
        </row>
        <row r="48233">
          <cell r="S48233">
            <v>135.07</v>
          </cell>
          <cell r="X48233" t="str">
            <v>GWP - share RI</v>
          </cell>
        </row>
        <row r="48234">
          <cell r="S48234">
            <v>-5312.97</v>
          </cell>
          <cell r="X48234" t="str">
            <v>GWP - share RI</v>
          </cell>
        </row>
        <row r="48235">
          <cell r="S48235">
            <v>-4364.78</v>
          </cell>
          <cell r="X48235" t="str">
            <v>GWP - share RI</v>
          </cell>
        </row>
        <row r="48236">
          <cell r="S48236">
            <v>416.07</v>
          </cell>
          <cell r="X48236" t="str">
            <v>GWP - share RI</v>
          </cell>
        </row>
        <row r="48237">
          <cell r="S48237">
            <v>338263.54</v>
          </cell>
          <cell r="X48237" t="str">
            <v>GWP - share RI</v>
          </cell>
        </row>
        <row r="48238">
          <cell r="S48238">
            <v>-63666.13</v>
          </cell>
          <cell r="X48238" t="str">
            <v>GWP - share RI</v>
          </cell>
        </row>
        <row r="48239">
          <cell r="S48239">
            <v>1439.55</v>
          </cell>
          <cell r="X48239" t="str">
            <v>GWP - share RI</v>
          </cell>
        </row>
        <row r="48240">
          <cell r="S48240">
            <v>9250.58</v>
          </cell>
          <cell r="X48240" t="str">
            <v>GWP - share RI</v>
          </cell>
        </row>
        <row r="48241">
          <cell r="S48241">
            <v>-5401.51</v>
          </cell>
          <cell r="X48241" t="str">
            <v>GWP - share RI</v>
          </cell>
        </row>
        <row r="48242">
          <cell r="S48242">
            <v>3012.91</v>
          </cell>
          <cell r="X48242" t="str">
            <v>GWP - share RI</v>
          </cell>
        </row>
        <row r="48243">
          <cell r="S48243">
            <v>-3496.44</v>
          </cell>
          <cell r="X48243" t="str">
            <v>GWP - share RI</v>
          </cell>
        </row>
        <row r="48244">
          <cell r="S48244">
            <v>-3961.04</v>
          </cell>
          <cell r="X48244" t="str">
            <v>GWP - share RI</v>
          </cell>
        </row>
        <row r="48245">
          <cell r="S48245">
            <v>-22772.31</v>
          </cell>
          <cell r="X48245" t="str">
            <v>GWP - share RI</v>
          </cell>
        </row>
        <row r="48246">
          <cell r="S48246">
            <v>51507.63</v>
          </cell>
          <cell r="X48246" t="str">
            <v>GWP - share RI</v>
          </cell>
        </row>
        <row r="48247">
          <cell r="S48247">
            <v>-15101.42</v>
          </cell>
          <cell r="X48247" t="str">
            <v>GWP - share RI</v>
          </cell>
        </row>
        <row r="48248">
          <cell r="S48248">
            <v>514.9</v>
          </cell>
          <cell r="X48248" t="str">
            <v>GWP - share RI</v>
          </cell>
        </row>
        <row r="48249">
          <cell r="S48249">
            <v>-1077.68</v>
          </cell>
          <cell r="X48249" t="str">
            <v>GWP - share RI</v>
          </cell>
        </row>
        <row r="48250">
          <cell r="S48250">
            <v>-482160</v>
          </cell>
          <cell r="X48250" t="str">
            <v>GWP - share RI</v>
          </cell>
        </row>
        <row r="48251">
          <cell r="S48251">
            <v>1415.96</v>
          </cell>
          <cell r="X48251" t="str">
            <v>GWP - share RI</v>
          </cell>
        </row>
        <row r="48252">
          <cell r="S48252">
            <v>5564.5</v>
          </cell>
          <cell r="X48252" t="str">
            <v>GWP - share RI</v>
          </cell>
        </row>
        <row r="48253">
          <cell r="S48253">
            <v>73345.179999999993</v>
          </cell>
          <cell r="X48253" t="str">
            <v>GWP - share RI</v>
          </cell>
        </row>
        <row r="48254">
          <cell r="S48254">
            <v>-1561.2</v>
          </cell>
          <cell r="X48254" t="str">
            <v>GWP - share RI</v>
          </cell>
        </row>
        <row r="48255">
          <cell r="L48255"/>
          <cell r="S48255">
            <v>754.14</v>
          </cell>
          <cell r="X48255" t="str">
            <v>GWP - share RI</v>
          </cell>
        </row>
        <row r="48256">
          <cell r="L48256"/>
          <cell r="S48256">
            <v>-2120.0300000000002</v>
          </cell>
          <cell r="X48256" t="str">
            <v>GWP - share RI</v>
          </cell>
        </row>
        <row r="48257">
          <cell r="L48257"/>
          <cell r="S48257">
            <v>2312.75</v>
          </cell>
          <cell r="X48257" t="str">
            <v>GWP - share RI</v>
          </cell>
        </row>
        <row r="48258">
          <cell r="L48258"/>
          <cell r="S48258">
            <v>65747.67</v>
          </cell>
          <cell r="X48258" t="str">
            <v>GWP - share RI</v>
          </cell>
        </row>
        <row r="48259">
          <cell r="L48259"/>
          <cell r="S48259">
            <v>-65354.29</v>
          </cell>
          <cell r="X48259" t="str">
            <v>GWP - share RI</v>
          </cell>
        </row>
        <row r="48260">
          <cell r="L48260"/>
          <cell r="S48260">
            <v>2120.0300000000002</v>
          </cell>
          <cell r="X48260" t="str">
            <v>GWP - share RI</v>
          </cell>
        </row>
        <row r="48261">
          <cell r="L48261"/>
          <cell r="S48261">
            <v>12624.25</v>
          </cell>
          <cell r="X48261" t="str">
            <v>GWP - share RI</v>
          </cell>
        </row>
        <row r="48262">
          <cell r="L48262"/>
          <cell r="S48262">
            <v>4440.3500000000004</v>
          </cell>
          <cell r="X48262" t="str">
            <v>GWP - share RI</v>
          </cell>
        </row>
        <row r="48263">
          <cell r="L48263"/>
          <cell r="S48263">
            <v>50427.78</v>
          </cell>
          <cell r="X48263" t="str">
            <v>GWP - share RI</v>
          </cell>
        </row>
        <row r="48264">
          <cell r="L48264"/>
          <cell r="S48264">
            <v>17834.14</v>
          </cell>
          <cell r="X48264" t="str">
            <v>GWP - share RI</v>
          </cell>
        </row>
        <row r="48265">
          <cell r="L48265"/>
          <cell r="S48265">
            <v>17931.830000000002</v>
          </cell>
          <cell r="X48265" t="str">
            <v>GWP - share RI</v>
          </cell>
        </row>
        <row r="48266">
          <cell r="L48266"/>
          <cell r="S48266">
            <v>1283.4100000000001</v>
          </cell>
          <cell r="X48266" t="str">
            <v>GWP - share RI</v>
          </cell>
        </row>
        <row r="48267">
          <cell r="L48267"/>
          <cell r="S48267">
            <v>4464.66</v>
          </cell>
          <cell r="X48267" t="str">
            <v>GWP - share RI</v>
          </cell>
        </row>
        <row r="48268">
          <cell r="L48268"/>
          <cell r="S48268">
            <v>3628.93</v>
          </cell>
          <cell r="X48268" t="str">
            <v>GWP - share RI</v>
          </cell>
        </row>
        <row r="48269">
          <cell r="L48269"/>
          <cell r="S48269">
            <v>3311.28</v>
          </cell>
          <cell r="X48269" t="str">
            <v>GWP - share RI</v>
          </cell>
        </row>
        <row r="48270">
          <cell r="L48270"/>
          <cell r="S48270">
            <v>4391.47</v>
          </cell>
          <cell r="X48270" t="str">
            <v>GWP - share RI</v>
          </cell>
        </row>
        <row r="48271">
          <cell r="L48271"/>
          <cell r="S48271">
            <v>12555.49</v>
          </cell>
          <cell r="X48271" t="str">
            <v>GWP - share RI</v>
          </cell>
        </row>
        <row r="48272">
          <cell r="L48272"/>
          <cell r="S48272">
            <v>3293.24</v>
          </cell>
          <cell r="X48272" t="str">
            <v>GWP - share RI</v>
          </cell>
        </row>
        <row r="48273">
          <cell r="L48273"/>
          <cell r="S48273">
            <v>1290.43</v>
          </cell>
          <cell r="X48273" t="str">
            <v>GWP - share RI</v>
          </cell>
        </row>
        <row r="48274">
          <cell r="L48274"/>
          <cell r="S48274">
            <v>1171.05</v>
          </cell>
          <cell r="X48274" t="str">
            <v>GWP - share RI</v>
          </cell>
        </row>
        <row r="48275">
          <cell r="L48275"/>
          <cell r="S48275">
            <v>12417.29</v>
          </cell>
          <cell r="X48275" t="str">
            <v>GWP - share RI</v>
          </cell>
        </row>
        <row r="48276">
          <cell r="L48276"/>
          <cell r="S48276">
            <v>50703.94</v>
          </cell>
          <cell r="X48276" t="str">
            <v>GWP - share RI</v>
          </cell>
        </row>
        <row r="48277">
          <cell r="L48277"/>
          <cell r="S48277">
            <v>12349.66</v>
          </cell>
          <cell r="X48277" t="str">
            <v>GWP - share RI</v>
          </cell>
        </row>
        <row r="48278">
          <cell r="L48278"/>
          <cell r="S48278">
            <v>3648.8</v>
          </cell>
          <cell r="X48278" t="str">
            <v>GWP - share RI</v>
          </cell>
        </row>
        <row r="48279">
          <cell r="L48279"/>
          <cell r="S48279">
            <v>1164.68</v>
          </cell>
          <cell r="X48279" t="str">
            <v>GWP - share RI</v>
          </cell>
        </row>
        <row r="48280">
          <cell r="L48280"/>
          <cell r="S48280">
            <v>4367.54</v>
          </cell>
          <cell r="X48280" t="str">
            <v>GWP - share RI</v>
          </cell>
        </row>
        <row r="48281">
          <cell r="L48281"/>
          <cell r="S48281">
            <v>-1456.44</v>
          </cell>
          <cell r="X48281" t="str">
            <v>GWP - share RI</v>
          </cell>
        </row>
        <row r="48282">
          <cell r="L48282"/>
          <cell r="S48282">
            <v>-1609.84</v>
          </cell>
          <cell r="X48282" t="str">
            <v>GWP - share RI</v>
          </cell>
        </row>
        <row r="48283">
          <cell r="L48283"/>
          <cell r="S48283">
            <v>1165.1500000000001</v>
          </cell>
          <cell r="X48283" t="str">
            <v>GWP - share RI</v>
          </cell>
        </row>
        <row r="48284">
          <cell r="L48284"/>
          <cell r="S48284">
            <v>1287.79</v>
          </cell>
          <cell r="X48284" t="str">
            <v>GWP - share RI</v>
          </cell>
        </row>
        <row r="48285">
          <cell r="L48285"/>
          <cell r="S48285">
            <v>1609.84</v>
          </cell>
          <cell r="X48285" t="str">
            <v>GWP - share RI</v>
          </cell>
        </row>
        <row r="48286">
          <cell r="L48286"/>
          <cell r="S48286">
            <v>1456.44</v>
          </cell>
          <cell r="X48286" t="str">
            <v>GWP - share RI</v>
          </cell>
        </row>
        <row r="48287">
          <cell r="L48287"/>
          <cell r="S48287">
            <v>-1848.27</v>
          </cell>
          <cell r="X48287" t="str">
            <v>GWP - share RI</v>
          </cell>
        </row>
        <row r="48288">
          <cell r="L48288"/>
          <cell r="S48288">
            <v>12568.42</v>
          </cell>
          <cell r="X48288" t="str">
            <v>GWP - share RI</v>
          </cell>
        </row>
        <row r="48289">
          <cell r="L48289"/>
          <cell r="S48289">
            <v>151020.69</v>
          </cell>
          <cell r="X48289" t="str">
            <v>GWP - share RI</v>
          </cell>
        </row>
        <row r="48290">
          <cell r="L48290"/>
          <cell r="S48290">
            <v>915809.51</v>
          </cell>
          <cell r="X48290" t="str">
            <v>GWP - share RI</v>
          </cell>
        </row>
        <row r="48291">
          <cell r="L48291"/>
          <cell r="S48291">
            <v>8079.14</v>
          </cell>
          <cell r="X48291" t="str">
            <v>GWP - share RI</v>
          </cell>
        </row>
        <row r="48292">
          <cell r="L48292"/>
          <cell r="S48292">
            <v>158.22</v>
          </cell>
          <cell r="X48292" t="str">
            <v>GWP - share RI</v>
          </cell>
        </row>
        <row r="48293">
          <cell r="L48293"/>
          <cell r="S48293">
            <v>-1073.24</v>
          </cell>
          <cell r="X48293" t="str">
            <v>GWP - share RI</v>
          </cell>
        </row>
        <row r="48294">
          <cell r="L48294"/>
          <cell r="S48294">
            <v>409.46</v>
          </cell>
          <cell r="X48294" t="str">
            <v>GWP - share RI</v>
          </cell>
        </row>
        <row r="48295">
          <cell r="L48295"/>
          <cell r="S48295">
            <v>-749.51</v>
          </cell>
          <cell r="X48295" t="str">
            <v>GWP - share RI</v>
          </cell>
        </row>
        <row r="48296">
          <cell r="L48296"/>
          <cell r="S48296">
            <v>-77.23</v>
          </cell>
          <cell r="X48296" t="str">
            <v>GWP - share RI</v>
          </cell>
        </row>
        <row r="48297">
          <cell r="L48297"/>
          <cell r="S48297">
            <v>-70.09</v>
          </cell>
          <cell r="X48297" t="str">
            <v>GWP - share RI</v>
          </cell>
        </row>
        <row r="48298">
          <cell r="L48298"/>
          <cell r="S48298">
            <v>143.58000000000001</v>
          </cell>
          <cell r="X48298" t="str">
            <v>GWP - share RI</v>
          </cell>
        </row>
        <row r="48299">
          <cell r="L48299"/>
          <cell r="S48299">
            <v>1561.05</v>
          </cell>
          <cell r="X48299" t="str">
            <v>GWP - share RI</v>
          </cell>
        </row>
        <row r="48300">
          <cell r="L48300"/>
          <cell r="S48300">
            <v>1535.46</v>
          </cell>
          <cell r="X48300" t="str">
            <v>GWP - share RI</v>
          </cell>
        </row>
        <row r="48301">
          <cell r="L48301"/>
          <cell r="S48301">
            <v>2198.65</v>
          </cell>
          <cell r="X48301" t="str">
            <v>GWP - share RI</v>
          </cell>
        </row>
        <row r="48302">
          <cell r="L48302"/>
          <cell r="S48302">
            <v>547.41999999999996</v>
          </cell>
          <cell r="X48302" t="str">
            <v>GWP - share RI</v>
          </cell>
        </row>
        <row r="48303">
          <cell r="L48303"/>
          <cell r="S48303">
            <v>-762</v>
          </cell>
          <cell r="X48303" t="str">
            <v>GWP - share RI</v>
          </cell>
        </row>
        <row r="48304">
          <cell r="L48304"/>
          <cell r="S48304">
            <v>-3060.48</v>
          </cell>
          <cell r="X48304" t="str">
            <v>GWP - share RI</v>
          </cell>
        </row>
        <row r="48305">
          <cell r="L48305"/>
          <cell r="S48305">
            <v>-220.24</v>
          </cell>
          <cell r="X48305" t="str">
            <v>GWP - share RI</v>
          </cell>
        </row>
        <row r="48306">
          <cell r="L48306"/>
          <cell r="S48306">
            <v>451.19</v>
          </cell>
          <cell r="X48306" t="str">
            <v>GWP - share RI</v>
          </cell>
        </row>
        <row r="48307">
          <cell r="L48307"/>
          <cell r="S48307">
            <v>-267.20999999999998</v>
          </cell>
          <cell r="X48307" t="str">
            <v>GWP - share RI</v>
          </cell>
        </row>
        <row r="48308">
          <cell r="L48308"/>
          <cell r="S48308">
            <v>-199.87</v>
          </cell>
          <cell r="X48308" t="str">
            <v>GWP - share RI</v>
          </cell>
        </row>
        <row r="48309">
          <cell r="L48309"/>
          <cell r="S48309">
            <v>6269.79</v>
          </cell>
          <cell r="X48309" t="str">
            <v>GWP - share RI</v>
          </cell>
        </row>
        <row r="48310">
          <cell r="L48310"/>
          <cell r="S48310">
            <v>-262.83999999999997</v>
          </cell>
          <cell r="X48310" t="str">
            <v>GWP - share RI</v>
          </cell>
        </row>
        <row r="48311">
          <cell r="L48311"/>
          <cell r="S48311">
            <v>538.45000000000005</v>
          </cell>
          <cell r="X48311" t="str">
            <v>GWP - share RI</v>
          </cell>
        </row>
        <row r="48312">
          <cell r="S48312">
            <v>-59448.77</v>
          </cell>
          <cell r="X48312" t="str">
            <v>Financial income</v>
          </cell>
        </row>
        <row r="48313">
          <cell r="S48313">
            <v>-0.41</v>
          </cell>
          <cell r="X48313" t="str">
            <v>Financial income</v>
          </cell>
        </row>
        <row r="48314">
          <cell r="S48314">
            <v>-224589.77</v>
          </cell>
          <cell r="X48314" t="str">
            <v>Financial income</v>
          </cell>
        </row>
        <row r="48315">
          <cell r="S48315">
            <v>-4352.6099999999997</v>
          </cell>
          <cell r="X48315" t="str">
            <v>Financial income</v>
          </cell>
        </row>
        <row r="48316">
          <cell r="S48316">
            <v>-1106.3800000000001</v>
          </cell>
          <cell r="X48316" t="str">
            <v>Financial income</v>
          </cell>
        </row>
        <row r="48317">
          <cell r="S48317">
            <v>-275.52</v>
          </cell>
          <cell r="X48317" t="str">
            <v>Financial income</v>
          </cell>
        </row>
        <row r="48318">
          <cell r="S48318">
            <v>-0.42</v>
          </cell>
          <cell r="X48318" t="str">
            <v>Financial income</v>
          </cell>
        </row>
        <row r="48319">
          <cell r="S48319">
            <v>-217.61</v>
          </cell>
          <cell r="X48319" t="str">
            <v>Financial income</v>
          </cell>
        </row>
        <row r="48320">
          <cell r="S48320">
            <v>-363.91</v>
          </cell>
          <cell r="X48320" t="str">
            <v>Financial income</v>
          </cell>
        </row>
        <row r="48321">
          <cell r="S48321">
            <v>-536.53</v>
          </cell>
          <cell r="X48321" t="str">
            <v>Financial income</v>
          </cell>
        </row>
        <row r="48322">
          <cell r="S48322">
            <v>-0.32</v>
          </cell>
          <cell r="X48322" t="str">
            <v>Financial income</v>
          </cell>
        </row>
        <row r="48323">
          <cell r="S48323">
            <v>-741.96</v>
          </cell>
          <cell r="X48323" t="str">
            <v>Financial income</v>
          </cell>
        </row>
        <row r="48324">
          <cell r="S48324">
            <v>-13717.87</v>
          </cell>
          <cell r="X48324" t="str">
            <v>Financial income</v>
          </cell>
        </row>
        <row r="48325">
          <cell r="S48325">
            <v>-6943.79</v>
          </cell>
          <cell r="X48325" t="str">
            <v>Financial income</v>
          </cell>
        </row>
        <row r="48326">
          <cell r="S48326">
            <v>-404063.59</v>
          </cell>
          <cell r="X48326" t="str">
            <v>Financial income</v>
          </cell>
        </row>
        <row r="48327">
          <cell r="S48327">
            <v>-0.33</v>
          </cell>
          <cell r="X48327" t="str">
            <v>Financial income</v>
          </cell>
        </row>
        <row r="48328">
          <cell r="S48328">
            <v>-45.11</v>
          </cell>
          <cell r="X48328" t="str">
            <v>Financial income</v>
          </cell>
        </row>
        <row r="48329">
          <cell r="S48329">
            <v>-268.69</v>
          </cell>
          <cell r="X48329" t="str">
            <v>Financial income</v>
          </cell>
        </row>
        <row r="48330">
          <cell r="S48330">
            <v>9331.9</v>
          </cell>
          <cell r="X48330" t="str">
            <v>Financial income</v>
          </cell>
        </row>
        <row r="48331">
          <cell r="S48331">
            <v>-8566.7999999999993</v>
          </cell>
          <cell r="X48331" t="str">
            <v>Financial income</v>
          </cell>
        </row>
        <row r="48332">
          <cell r="S48332">
            <v>-11582.63</v>
          </cell>
          <cell r="X48332" t="str">
            <v>Financial income</v>
          </cell>
        </row>
        <row r="48333">
          <cell r="S48333">
            <v>70181.17</v>
          </cell>
          <cell r="X48333" t="str">
            <v>Financial income</v>
          </cell>
        </row>
        <row r="48334">
          <cell r="S48334">
            <v>-191.61</v>
          </cell>
          <cell r="X48334" t="str">
            <v>Financial income</v>
          </cell>
        </row>
        <row r="48335">
          <cell r="S48335">
            <v>-71783.39</v>
          </cell>
          <cell r="X48335" t="str">
            <v>Financial income</v>
          </cell>
        </row>
        <row r="48336">
          <cell r="S48336">
            <v>272.74</v>
          </cell>
          <cell r="X48336" t="str">
            <v>Financial income</v>
          </cell>
        </row>
        <row r="48337">
          <cell r="S48337">
            <v>-11238.02</v>
          </cell>
          <cell r="X48337" t="str">
            <v>Financial income</v>
          </cell>
        </row>
        <row r="48338">
          <cell r="S48338">
            <v>-1652.49</v>
          </cell>
          <cell r="X48338" t="str">
            <v>Financial income</v>
          </cell>
        </row>
        <row r="48339">
          <cell r="S48339">
            <v>-12936.79</v>
          </cell>
          <cell r="X48339" t="str">
            <v>Financial income</v>
          </cell>
        </row>
        <row r="48340">
          <cell r="L48340"/>
          <cell r="S48340">
            <v>-153262.67000000001</v>
          </cell>
          <cell r="X48340" t="str">
            <v>Financial income</v>
          </cell>
        </row>
        <row r="48341">
          <cell r="L48341"/>
          <cell r="S48341">
            <v>-10314.15</v>
          </cell>
          <cell r="X48341" t="str">
            <v>Financial income</v>
          </cell>
        </row>
        <row r="48342">
          <cell r="L48342"/>
          <cell r="S48342">
            <v>-219.98</v>
          </cell>
          <cell r="X48342" t="str">
            <v>Financial income</v>
          </cell>
        </row>
        <row r="48343">
          <cell r="L48343"/>
          <cell r="S48343">
            <v>9683.32</v>
          </cell>
          <cell r="X48343" t="str">
            <v>Financial income</v>
          </cell>
        </row>
        <row r="48344">
          <cell r="L48344"/>
          <cell r="S48344">
            <v>-76.709999999999994</v>
          </cell>
          <cell r="X48344" t="str">
            <v>Financial income</v>
          </cell>
        </row>
        <row r="48345">
          <cell r="L48345"/>
          <cell r="S48345">
            <v>-2344.13</v>
          </cell>
          <cell r="X48345" t="str">
            <v>Financial income</v>
          </cell>
        </row>
        <row r="48346">
          <cell r="L48346"/>
          <cell r="S48346">
            <v>-599.96</v>
          </cell>
          <cell r="X48346" t="str">
            <v>Financial income</v>
          </cell>
        </row>
        <row r="48347">
          <cell r="L48347"/>
          <cell r="S48347">
            <v>-73104.92</v>
          </cell>
          <cell r="X48347" t="str">
            <v>Financial income</v>
          </cell>
        </row>
        <row r="48348">
          <cell r="L48348"/>
          <cell r="S48348">
            <v>-63.46</v>
          </cell>
          <cell r="X48348" t="str">
            <v>Financial income</v>
          </cell>
        </row>
        <row r="48349">
          <cell r="L48349"/>
          <cell r="S48349">
            <v>65656.87</v>
          </cell>
          <cell r="X48349" t="str">
            <v>Financial income</v>
          </cell>
        </row>
        <row r="48350">
          <cell r="L48350"/>
          <cell r="S48350">
            <v>-9991.08</v>
          </cell>
          <cell r="X48350" t="str">
            <v>Financial income</v>
          </cell>
        </row>
        <row r="48351">
          <cell r="L48351"/>
          <cell r="S48351">
            <v>-644.42999999999995</v>
          </cell>
          <cell r="X48351" t="str">
            <v>Financial income</v>
          </cell>
        </row>
        <row r="48352">
          <cell r="L48352"/>
          <cell r="S48352">
            <v>-0.57999999999999996</v>
          </cell>
          <cell r="X48352" t="str">
            <v>Financial income</v>
          </cell>
        </row>
        <row r="48353">
          <cell r="L48353"/>
          <cell r="S48353">
            <v>57783.62</v>
          </cell>
          <cell r="X48353" t="str">
            <v>Financial income</v>
          </cell>
        </row>
        <row r="48354">
          <cell r="L48354"/>
          <cell r="S48354">
            <v>-443.68</v>
          </cell>
          <cell r="X48354" t="str">
            <v>Financial income</v>
          </cell>
        </row>
        <row r="48355">
          <cell r="L48355"/>
          <cell r="S48355">
            <v>-490.33</v>
          </cell>
          <cell r="X48355" t="str">
            <v>Financial income</v>
          </cell>
        </row>
        <row r="48356">
          <cell r="L48356"/>
          <cell r="S48356">
            <v>-569.41</v>
          </cell>
          <cell r="X48356" t="str">
            <v>Financial income</v>
          </cell>
        </row>
        <row r="48357">
          <cell r="L48357"/>
          <cell r="S48357">
            <v>-9082.5499999999993</v>
          </cell>
          <cell r="X48357" t="str">
            <v>Financial income</v>
          </cell>
        </row>
        <row r="48358">
          <cell r="L48358"/>
          <cell r="S48358">
            <v>-58642.7</v>
          </cell>
          <cell r="X48358" t="str">
            <v>Financial income</v>
          </cell>
        </row>
        <row r="48359">
          <cell r="L48359"/>
          <cell r="S48359">
            <v>-127951.75</v>
          </cell>
          <cell r="X48359" t="str">
            <v>Financial income</v>
          </cell>
        </row>
        <row r="48360">
          <cell r="L48360"/>
          <cell r="S48360">
            <v>67989.570000000007</v>
          </cell>
          <cell r="X48360" t="str">
            <v>Financial income</v>
          </cell>
        </row>
        <row r="48361">
          <cell r="L48361"/>
          <cell r="S48361">
            <v>-1694.63</v>
          </cell>
          <cell r="X48361" t="str">
            <v>Financial income</v>
          </cell>
        </row>
        <row r="48362">
          <cell r="L48362"/>
          <cell r="S48362">
            <v>-714.57</v>
          </cell>
          <cell r="X48362" t="str">
            <v>Financial income</v>
          </cell>
        </row>
        <row r="48363">
          <cell r="L48363"/>
          <cell r="S48363">
            <v>-554.80999999999995</v>
          </cell>
          <cell r="X48363" t="str">
            <v>Financial income</v>
          </cell>
        </row>
        <row r="48364">
          <cell r="L48364"/>
          <cell r="S48364">
            <v>-0.47</v>
          </cell>
          <cell r="X48364" t="str">
            <v>Financial income</v>
          </cell>
        </row>
        <row r="48365">
          <cell r="L48365"/>
          <cell r="S48365">
            <v>-168.42</v>
          </cell>
          <cell r="X48365" t="str">
            <v>Financial income</v>
          </cell>
        </row>
        <row r="48366">
          <cell r="L48366"/>
          <cell r="S48366">
            <v>-78625</v>
          </cell>
          <cell r="X48366" t="str">
            <v>Financial income</v>
          </cell>
        </row>
        <row r="48367">
          <cell r="L48367"/>
          <cell r="S48367">
            <v>83712.59</v>
          </cell>
          <cell r="X48367" t="str">
            <v>Financial income</v>
          </cell>
        </row>
        <row r="48368">
          <cell r="L48368"/>
          <cell r="S48368">
            <v>-425.41</v>
          </cell>
          <cell r="X48368" t="str">
            <v>Financial income</v>
          </cell>
        </row>
        <row r="48369">
          <cell r="L48369"/>
          <cell r="S48369">
            <v>-98382</v>
          </cell>
          <cell r="X48369" t="str">
            <v>Financial income</v>
          </cell>
        </row>
        <row r="48370">
          <cell r="L48370"/>
          <cell r="S48370">
            <v>-69536.039999999994</v>
          </cell>
          <cell r="X48370" t="str">
            <v>Financial income</v>
          </cell>
        </row>
        <row r="48371">
          <cell r="L48371"/>
          <cell r="S48371">
            <v>69145.429999999993</v>
          </cell>
          <cell r="X48371" t="str">
            <v>Financial income</v>
          </cell>
        </row>
        <row r="48372">
          <cell r="L48372"/>
          <cell r="S48372">
            <v>-0.45</v>
          </cell>
          <cell r="X48372" t="str">
            <v>Financial income</v>
          </cell>
        </row>
        <row r="48373">
          <cell r="L48373"/>
          <cell r="S48373">
            <v>36.299999999999997</v>
          </cell>
          <cell r="X48373" t="str">
            <v>Financial income</v>
          </cell>
        </row>
        <row r="48374">
          <cell r="L48374"/>
          <cell r="S48374">
            <v>-1721.9</v>
          </cell>
          <cell r="X48374" t="str">
            <v>Financial income</v>
          </cell>
        </row>
        <row r="48375">
          <cell r="L48375"/>
          <cell r="S48375">
            <v>-1204.0899999999999</v>
          </cell>
          <cell r="X48375" t="str">
            <v>Financial income</v>
          </cell>
        </row>
        <row r="48376">
          <cell r="L48376"/>
          <cell r="S48376">
            <v>-254.37</v>
          </cell>
          <cell r="X48376" t="str">
            <v>Financial income</v>
          </cell>
        </row>
        <row r="48377">
          <cell r="L48377"/>
          <cell r="S48377">
            <v>-87532.65</v>
          </cell>
          <cell r="X48377" t="str">
            <v>Financial income</v>
          </cell>
        </row>
        <row r="48378">
          <cell r="L48378"/>
          <cell r="S48378">
            <v>87345.04</v>
          </cell>
          <cell r="X48378" t="str">
            <v>Financial income</v>
          </cell>
        </row>
        <row r="48379">
          <cell r="L48379"/>
          <cell r="S48379">
            <v>-8540</v>
          </cell>
          <cell r="X48379" t="str">
            <v>Financial income</v>
          </cell>
        </row>
        <row r="48380">
          <cell r="S48380">
            <v>-3365.12</v>
          </cell>
          <cell r="X48380" t="str">
            <v>Other Income</v>
          </cell>
        </row>
        <row r="48381">
          <cell r="S48381">
            <v>-14902.69</v>
          </cell>
          <cell r="X48381" t="str">
            <v>Other Income</v>
          </cell>
        </row>
        <row r="48382">
          <cell r="S48382">
            <v>-13460.49</v>
          </cell>
          <cell r="X48382" t="str">
            <v>Other Income</v>
          </cell>
        </row>
        <row r="48383">
          <cell r="S48383">
            <v>3365.12</v>
          </cell>
          <cell r="X48383" t="str">
            <v>Other Income</v>
          </cell>
        </row>
        <row r="48384">
          <cell r="S48384">
            <v>-40649.03</v>
          </cell>
          <cell r="X48384" t="str">
            <v>Other Income</v>
          </cell>
        </row>
        <row r="48385">
          <cell r="S48385">
            <v>13460.49</v>
          </cell>
          <cell r="X48385" t="str">
            <v>Other Income</v>
          </cell>
        </row>
        <row r="48386">
          <cell r="S48386">
            <v>14902.69</v>
          </cell>
          <cell r="X48386" t="str">
            <v>Other Income</v>
          </cell>
        </row>
        <row r="48387">
          <cell r="S48387">
            <v>-3690.18</v>
          </cell>
          <cell r="X48387" t="str">
            <v>Other Income</v>
          </cell>
        </row>
        <row r="48388">
          <cell r="L48388"/>
          <cell r="S48388">
            <v>-5856.64</v>
          </cell>
          <cell r="X48388" t="str">
            <v>Other Income</v>
          </cell>
        </row>
        <row r="48389">
          <cell r="L48389"/>
          <cell r="S48389">
            <v>-5774.06</v>
          </cell>
          <cell r="X48389" t="str">
            <v>Other Income</v>
          </cell>
        </row>
        <row r="48390">
          <cell r="L48390"/>
          <cell r="S48390">
            <v>15236.05</v>
          </cell>
          <cell r="X48390" t="str">
            <v>Other Income</v>
          </cell>
        </row>
        <row r="48391">
          <cell r="L48391"/>
          <cell r="S48391">
            <v>-16628.509999999998</v>
          </cell>
          <cell r="X48391" t="str">
            <v>Other Income</v>
          </cell>
        </row>
        <row r="48392">
          <cell r="L48392"/>
          <cell r="S48392">
            <v>-6582.82</v>
          </cell>
          <cell r="X48392" t="str">
            <v>Other Income</v>
          </cell>
        </row>
        <row r="48393">
          <cell r="L48393"/>
          <cell r="S48393">
            <v>-11535.57</v>
          </cell>
          <cell r="X48393" t="str">
            <v>Other Income</v>
          </cell>
        </row>
        <row r="48394">
          <cell r="L48394"/>
          <cell r="S48394">
            <v>-11134.56</v>
          </cell>
          <cell r="X48394" t="str">
            <v>Other Income</v>
          </cell>
        </row>
        <row r="48395">
          <cell r="L48395"/>
          <cell r="S48395">
            <v>-43162.35</v>
          </cell>
          <cell r="X48395" t="str">
            <v>Other Income</v>
          </cell>
        </row>
        <row r="48396">
          <cell r="S48396">
            <v>-43835.3</v>
          </cell>
          <cell r="X48396" t="str">
            <v>Financial income</v>
          </cell>
        </row>
        <row r="48397">
          <cell r="S48397">
            <v>-21857.29</v>
          </cell>
          <cell r="X48397" t="str">
            <v>Financial income</v>
          </cell>
        </row>
        <row r="48398">
          <cell r="S48398">
            <v>-39593.14</v>
          </cell>
          <cell r="X48398" t="str">
            <v>Financial income</v>
          </cell>
        </row>
        <row r="48399">
          <cell r="S48399">
            <v>-21889.29</v>
          </cell>
          <cell r="X48399" t="str">
            <v>Financial income</v>
          </cell>
        </row>
        <row r="48400">
          <cell r="S48400">
            <v>-23908.61</v>
          </cell>
          <cell r="X48400" t="str">
            <v>Financial income</v>
          </cell>
        </row>
        <row r="48401">
          <cell r="S48401">
            <v>-43835.28</v>
          </cell>
          <cell r="X48401" t="str">
            <v>Financial income</v>
          </cell>
        </row>
        <row r="48402">
          <cell r="S48402">
            <v>-23812.92</v>
          </cell>
          <cell r="X48402" t="str">
            <v>Financial income</v>
          </cell>
        </row>
        <row r="48403">
          <cell r="S48403">
            <v>-86256.48</v>
          </cell>
          <cell r="X48403" t="str">
            <v>Financial income</v>
          </cell>
        </row>
        <row r="48404">
          <cell r="S48404">
            <v>-44143.519999999997</v>
          </cell>
          <cell r="X48404" t="str">
            <v>Financial income</v>
          </cell>
        </row>
        <row r="48405">
          <cell r="S48405">
            <v>-27439.22</v>
          </cell>
          <cell r="X48405" t="str">
            <v>Financial income</v>
          </cell>
        </row>
        <row r="48406">
          <cell r="S48406">
            <v>-43962.32</v>
          </cell>
          <cell r="X48406" t="str">
            <v>Financial income</v>
          </cell>
        </row>
        <row r="48407">
          <cell r="S48407">
            <v>-26764.57</v>
          </cell>
          <cell r="X48407" t="str">
            <v>Financial income</v>
          </cell>
        </row>
        <row r="48408">
          <cell r="L48408"/>
          <cell r="S48408">
            <v>-45427.74</v>
          </cell>
          <cell r="X48408" t="str">
            <v>Financial income</v>
          </cell>
        </row>
        <row r="48409">
          <cell r="L48409"/>
          <cell r="S48409">
            <v>-27313.69</v>
          </cell>
          <cell r="X48409" t="str">
            <v>Financial income</v>
          </cell>
        </row>
        <row r="48410">
          <cell r="L48410"/>
          <cell r="S48410">
            <v>-45427.76</v>
          </cell>
          <cell r="X48410" t="str">
            <v>Financial income</v>
          </cell>
        </row>
        <row r="48411">
          <cell r="L48411"/>
          <cell r="S48411">
            <v>-28805.83</v>
          </cell>
          <cell r="X48411" t="str">
            <v>Financial income</v>
          </cell>
        </row>
        <row r="48412">
          <cell r="L48412"/>
          <cell r="S48412">
            <v>-1027.4000000000001</v>
          </cell>
          <cell r="X48412" t="str">
            <v>Financial income</v>
          </cell>
        </row>
        <row r="48413">
          <cell r="L48413"/>
          <cell r="S48413">
            <v>-43962.31</v>
          </cell>
          <cell r="X48413" t="str">
            <v>Financial income</v>
          </cell>
        </row>
        <row r="48414">
          <cell r="L48414"/>
          <cell r="S48414">
            <v>-30717.74</v>
          </cell>
          <cell r="X48414" t="str">
            <v>Financial income</v>
          </cell>
        </row>
        <row r="48415">
          <cell r="L48415"/>
          <cell r="S48415">
            <v>-14073.97</v>
          </cell>
          <cell r="X48415" t="str">
            <v>Financial income</v>
          </cell>
        </row>
        <row r="48416">
          <cell r="L48416"/>
          <cell r="S48416">
            <v>-68798.570000000007</v>
          </cell>
          <cell r="X48416" t="str">
            <v>Financial income</v>
          </cell>
        </row>
        <row r="48417">
          <cell r="L48417"/>
          <cell r="S48417">
            <v>-45427.73</v>
          </cell>
          <cell r="X48417" t="str">
            <v>Financial income</v>
          </cell>
        </row>
        <row r="48418">
          <cell r="L48418"/>
          <cell r="S48418">
            <v>-67102.19</v>
          </cell>
          <cell r="X48418" t="str">
            <v>Financial income</v>
          </cell>
        </row>
        <row r="48419">
          <cell r="L48419"/>
          <cell r="S48419">
            <v>-43962.35</v>
          </cell>
          <cell r="X48419" t="str">
            <v>Financial income</v>
          </cell>
        </row>
        <row r="48420">
          <cell r="L48420"/>
          <cell r="S48420">
            <v>-26506.85</v>
          </cell>
          <cell r="X48420" t="str">
            <v>Financial income</v>
          </cell>
        </row>
        <row r="48421">
          <cell r="L48421"/>
          <cell r="S48421">
            <v>-45427.71</v>
          </cell>
          <cell r="X48421" t="str">
            <v>Financial income</v>
          </cell>
        </row>
        <row r="48422">
          <cell r="L48422"/>
          <cell r="S48422">
            <v>-68823.3</v>
          </cell>
          <cell r="X48422" t="str">
            <v>Financial income</v>
          </cell>
        </row>
        <row r="48423">
          <cell r="L48423"/>
          <cell r="S48423">
            <v>-62886.31</v>
          </cell>
          <cell r="X48423" t="str">
            <v>Financial income</v>
          </cell>
        </row>
        <row r="48424">
          <cell r="S48424">
            <v>-26540.53</v>
          </cell>
          <cell r="X48424" t="str">
            <v>Financial income</v>
          </cell>
        </row>
        <row r="48425">
          <cell r="S48425">
            <v>-51182.15</v>
          </cell>
          <cell r="X48425" t="str">
            <v>Financial income</v>
          </cell>
        </row>
        <row r="48426">
          <cell r="S48426">
            <v>-38830.03</v>
          </cell>
          <cell r="X48426" t="str">
            <v>Financial income</v>
          </cell>
        </row>
        <row r="48427">
          <cell r="S48427">
            <v>-469585</v>
          </cell>
          <cell r="X48427" t="str">
            <v>Financial income</v>
          </cell>
        </row>
        <row r="48428">
          <cell r="S48428">
            <v>46050.7</v>
          </cell>
          <cell r="X48428" t="str">
            <v>Financial income</v>
          </cell>
        </row>
        <row r="48429">
          <cell r="S48429">
            <v>-154775</v>
          </cell>
          <cell r="X48429" t="str">
            <v>Financial income</v>
          </cell>
        </row>
        <row r="48430">
          <cell r="S48430">
            <v>-227833.37</v>
          </cell>
          <cell r="X48430" t="str">
            <v>Financial income</v>
          </cell>
        </row>
        <row r="48431">
          <cell r="S48431">
            <v>-47244.6</v>
          </cell>
          <cell r="X48431" t="str">
            <v>Financial income</v>
          </cell>
        </row>
        <row r="48432">
          <cell r="S48432">
            <v>-64913.01</v>
          </cell>
          <cell r="X48432" t="str">
            <v>Financial income</v>
          </cell>
        </row>
        <row r="48433">
          <cell r="S48433">
            <v>-993952.43</v>
          </cell>
          <cell r="X48433" t="str">
            <v>Financial income</v>
          </cell>
        </row>
        <row r="48434">
          <cell r="S48434">
            <v>-51087.35</v>
          </cell>
          <cell r="X48434" t="str">
            <v>Financial income</v>
          </cell>
        </row>
        <row r="48435">
          <cell r="S48435">
            <v>570325.57999999996</v>
          </cell>
          <cell r="X48435" t="str">
            <v>Financial income</v>
          </cell>
        </row>
        <row r="48436">
          <cell r="S48436">
            <v>-74704.740000000005</v>
          </cell>
          <cell r="X48436" t="str">
            <v>Financial income</v>
          </cell>
        </row>
        <row r="48437">
          <cell r="S48437">
            <v>-559334</v>
          </cell>
          <cell r="X48437" t="str">
            <v>Financial income</v>
          </cell>
        </row>
        <row r="48438">
          <cell r="S48438">
            <v>720855.68</v>
          </cell>
          <cell r="X48438" t="str">
            <v>Financial income</v>
          </cell>
        </row>
        <row r="48439">
          <cell r="S48439">
            <v>-159391.88</v>
          </cell>
          <cell r="X48439" t="str">
            <v>Financial income</v>
          </cell>
        </row>
        <row r="48440">
          <cell r="S48440">
            <v>-48717.46</v>
          </cell>
          <cell r="X48440" t="str">
            <v>Financial income</v>
          </cell>
        </row>
        <row r="48441">
          <cell r="S48441">
            <v>78399.710000000006</v>
          </cell>
          <cell r="X48441" t="str">
            <v>Financial income</v>
          </cell>
        </row>
        <row r="48442">
          <cell r="S48442">
            <v>-538768</v>
          </cell>
          <cell r="X48442" t="str">
            <v>Financial income</v>
          </cell>
        </row>
        <row r="48443">
          <cell r="S48443">
            <v>118036.63</v>
          </cell>
          <cell r="X48443" t="str">
            <v>Financial income</v>
          </cell>
        </row>
        <row r="48444">
          <cell r="S48444">
            <v>-50524.83</v>
          </cell>
          <cell r="X48444" t="str">
            <v>Financial income</v>
          </cell>
        </row>
        <row r="48445">
          <cell r="S48445">
            <v>-82652.98</v>
          </cell>
          <cell r="X48445" t="str">
            <v>Financial income</v>
          </cell>
        </row>
        <row r="48446">
          <cell r="S48446">
            <v>-48302.91</v>
          </cell>
          <cell r="X48446" t="str">
            <v>Financial income</v>
          </cell>
        </row>
        <row r="48447">
          <cell r="S48447">
            <v>-130274.69</v>
          </cell>
          <cell r="X48447" t="str">
            <v>Financial income</v>
          </cell>
        </row>
        <row r="48448">
          <cell r="S48448">
            <v>-19069.57</v>
          </cell>
          <cell r="X48448" t="str">
            <v>Financial income</v>
          </cell>
        </row>
        <row r="48449">
          <cell r="S48449">
            <v>19069.57</v>
          </cell>
          <cell r="X48449" t="str">
            <v>Financial income</v>
          </cell>
        </row>
        <row r="48450">
          <cell r="S48450">
            <v>51071.63</v>
          </cell>
          <cell r="X48450" t="str">
            <v>Financial income</v>
          </cell>
        </row>
        <row r="48451">
          <cell r="S48451">
            <v>70433.11</v>
          </cell>
          <cell r="X48451" t="str">
            <v>Financial income</v>
          </cell>
        </row>
        <row r="48452">
          <cell r="S48452">
            <v>-490785</v>
          </cell>
          <cell r="X48452" t="str">
            <v>Financial income</v>
          </cell>
        </row>
        <row r="48453">
          <cell r="L48453"/>
          <cell r="S48453">
            <v>-101890.39</v>
          </cell>
          <cell r="X48453" t="str">
            <v>Financial income</v>
          </cell>
        </row>
        <row r="48454">
          <cell r="L48454"/>
          <cell r="S48454">
            <v>-49142.879999999997</v>
          </cell>
          <cell r="X48454" t="str">
            <v>Financial income</v>
          </cell>
        </row>
        <row r="48455">
          <cell r="L48455"/>
          <cell r="S48455">
            <v>-262375</v>
          </cell>
          <cell r="X48455" t="str">
            <v>Financial income</v>
          </cell>
        </row>
        <row r="48456">
          <cell r="L48456"/>
          <cell r="S48456">
            <v>-241040.13</v>
          </cell>
          <cell r="X48456" t="str">
            <v>Financial income</v>
          </cell>
        </row>
        <row r="48457">
          <cell r="L48457"/>
          <cell r="S48457">
            <v>-8534.11</v>
          </cell>
          <cell r="X48457" t="str">
            <v>Financial income</v>
          </cell>
        </row>
        <row r="48458">
          <cell r="L48458"/>
          <cell r="S48458">
            <v>-150578.79999999999</v>
          </cell>
          <cell r="X48458" t="str">
            <v>Financial income</v>
          </cell>
        </row>
        <row r="48459">
          <cell r="L48459"/>
          <cell r="S48459">
            <v>-121008.31</v>
          </cell>
          <cell r="X48459" t="str">
            <v>Financial income</v>
          </cell>
        </row>
        <row r="48460">
          <cell r="L48460"/>
          <cell r="S48460">
            <v>-49065.29</v>
          </cell>
          <cell r="X48460" t="str">
            <v>Financial income</v>
          </cell>
        </row>
        <row r="48461">
          <cell r="L48461"/>
          <cell r="S48461">
            <v>-355675.34</v>
          </cell>
          <cell r="X48461" t="str">
            <v>Financial income</v>
          </cell>
        </row>
        <row r="48462">
          <cell r="L48462"/>
          <cell r="S48462">
            <v>-5283.64</v>
          </cell>
          <cell r="X48462" t="str">
            <v>Financial income</v>
          </cell>
        </row>
        <row r="48463">
          <cell r="L48463"/>
          <cell r="S48463">
            <v>-340762.45</v>
          </cell>
          <cell r="X48463" t="str">
            <v>Financial income</v>
          </cell>
        </row>
        <row r="48464">
          <cell r="L48464"/>
          <cell r="S48464">
            <v>554855.5</v>
          </cell>
          <cell r="X48464" t="str">
            <v>Financial income</v>
          </cell>
        </row>
        <row r="48465">
          <cell r="L48465"/>
          <cell r="S48465">
            <v>-1042909</v>
          </cell>
          <cell r="X48465" t="str">
            <v>Financial income</v>
          </cell>
        </row>
        <row r="48466">
          <cell r="L48466"/>
          <cell r="S48466">
            <v>-47089</v>
          </cell>
          <cell r="X48466" t="str">
            <v>Financial income</v>
          </cell>
        </row>
        <row r="48467">
          <cell r="L48467"/>
          <cell r="S48467">
            <v>194698.11</v>
          </cell>
          <cell r="X48467" t="str">
            <v>Financial income</v>
          </cell>
        </row>
        <row r="48468">
          <cell r="L48468"/>
          <cell r="S48468">
            <v>-47613.62</v>
          </cell>
          <cell r="X48468" t="str">
            <v>Financial income</v>
          </cell>
        </row>
        <row r="48469">
          <cell r="L48469"/>
          <cell r="S48469">
            <v>45354.13</v>
          </cell>
          <cell r="X48469" t="str">
            <v>Financial income</v>
          </cell>
        </row>
        <row r="48470">
          <cell r="L48470"/>
          <cell r="S48470">
            <v>-31885.38</v>
          </cell>
          <cell r="X48470" t="str">
            <v>Financial income</v>
          </cell>
        </row>
        <row r="48471">
          <cell r="L48471"/>
          <cell r="S48471">
            <v>-295424.5</v>
          </cell>
          <cell r="X48471" t="str">
            <v>Financial income</v>
          </cell>
        </row>
        <row r="48472">
          <cell r="L48472"/>
          <cell r="S48472">
            <v>-194419.82</v>
          </cell>
          <cell r="X48472" t="str">
            <v>Financial income</v>
          </cell>
        </row>
        <row r="48473">
          <cell r="L48473"/>
          <cell r="S48473">
            <v>-207759.11</v>
          </cell>
          <cell r="X48473" t="str">
            <v>Financial income</v>
          </cell>
        </row>
        <row r="48474">
          <cell r="L48474"/>
          <cell r="S48474">
            <v>-111772.74</v>
          </cell>
          <cell r="X48474" t="str">
            <v>Financial income</v>
          </cell>
        </row>
        <row r="48475">
          <cell r="L48475"/>
          <cell r="S48475">
            <v>-470875</v>
          </cell>
          <cell r="X48475" t="str">
            <v>Financial income</v>
          </cell>
        </row>
        <row r="48476">
          <cell r="L48476"/>
          <cell r="S48476">
            <v>-33903.339999999997</v>
          </cell>
          <cell r="X48476" t="str">
            <v>Financial income</v>
          </cell>
        </row>
        <row r="48477">
          <cell r="L48477"/>
          <cell r="S48477">
            <v>-46497.79</v>
          </cell>
          <cell r="X48477" t="str">
            <v>Financial income</v>
          </cell>
        </row>
        <row r="48478">
          <cell r="L48478"/>
          <cell r="S48478">
            <v>-16023.07</v>
          </cell>
          <cell r="X48478" t="str">
            <v>Financial income</v>
          </cell>
        </row>
        <row r="48479">
          <cell r="L48479"/>
          <cell r="S48479">
            <v>-14647.16</v>
          </cell>
          <cell r="X48479" t="str">
            <v>Financial income</v>
          </cell>
        </row>
        <row r="48480">
          <cell r="L48480"/>
          <cell r="S48480">
            <v>-33664.78</v>
          </cell>
          <cell r="X48480" t="str">
            <v>Financial income</v>
          </cell>
        </row>
        <row r="48481">
          <cell r="L48481"/>
          <cell r="S48481">
            <v>-10698.02</v>
          </cell>
          <cell r="X48481" t="str">
            <v>Financial income</v>
          </cell>
        </row>
        <row r="48482">
          <cell r="L48482"/>
          <cell r="S48482">
            <v>-6919.28</v>
          </cell>
          <cell r="X48482" t="str">
            <v>Financial income</v>
          </cell>
        </row>
        <row r="48483">
          <cell r="L48483"/>
          <cell r="S48483">
            <v>-47245.77</v>
          </cell>
          <cell r="X48483" t="str">
            <v>Financial income</v>
          </cell>
        </row>
        <row r="48484">
          <cell r="L48484"/>
          <cell r="S48484">
            <v>-327269.39</v>
          </cell>
          <cell r="X48484" t="str">
            <v>Financial income</v>
          </cell>
        </row>
        <row r="48485">
          <cell r="L48485"/>
          <cell r="S48485">
            <v>-8740.93</v>
          </cell>
          <cell r="X48485" t="str">
            <v>Financial income</v>
          </cell>
        </row>
        <row r="48486">
          <cell r="L48486"/>
          <cell r="S48486">
            <v>-143765.76000000001</v>
          </cell>
          <cell r="X48486" t="str">
            <v>Financial income</v>
          </cell>
        </row>
        <row r="48487">
          <cell r="L48487"/>
          <cell r="S48487">
            <v>-83638.34</v>
          </cell>
          <cell r="X48487" t="str">
            <v>Financial income</v>
          </cell>
        </row>
        <row r="48488">
          <cell r="L48488"/>
          <cell r="S48488">
            <v>-175379.77</v>
          </cell>
          <cell r="X48488" t="str">
            <v>Financial income</v>
          </cell>
        </row>
        <row r="48489">
          <cell r="S48489">
            <v>-11128.81</v>
          </cell>
          <cell r="X48489" t="str">
            <v>Financial income</v>
          </cell>
        </row>
        <row r="48490">
          <cell r="L48490"/>
          <cell r="S48490">
            <v>-20403</v>
          </cell>
          <cell r="X48490" t="str">
            <v>Financial income</v>
          </cell>
        </row>
        <row r="48491">
          <cell r="S48491">
            <v>-7554.89</v>
          </cell>
          <cell r="X48491" t="str">
            <v>Financial income</v>
          </cell>
        </row>
        <row r="48492">
          <cell r="S48492">
            <v>-101076.67</v>
          </cell>
          <cell r="X48492" t="str">
            <v>Financial income</v>
          </cell>
        </row>
        <row r="48493">
          <cell r="S48493">
            <v>-83287.47</v>
          </cell>
          <cell r="X48493" t="str">
            <v>Financial income</v>
          </cell>
        </row>
        <row r="48494">
          <cell r="S48494">
            <v>9161.2999999999993</v>
          </cell>
          <cell r="X48494" t="str">
            <v>Financial income</v>
          </cell>
        </row>
        <row r="48495">
          <cell r="S48495">
            <v>-40136.03</v>
          </cell>
          <cell r="X48495" t="str">
            <v>Financial income</v>
          </cell>
        </row>
        <row r="48496">
          <cell r="S48496">
            <v>132937.63</v>
          </cell>
          <cell r="X48496" t="str">
            <v>Financial income</v>
          </cell>
        </row>
        <row r="48497">
          <cell r="S48497">
            <v>5198.1000000000004</v>
          </cell>
          <cell r="X48497" t="str">
            <v>Financial income</v>
          </cell>
        </row>
        <row r="48498">
          <cell r="S48498">
            <v>-7401.77</v>
          </cell>
          <cell r="X48498" t="str">
            <v>Financial income</v>
          </cell>
        </row>
        <row r="48499">
          <cell r="S48499">
            <v>-34847.17</v>
          </cell>
          <cell r="X48499" t="str">
            <v>Financial income</v>
          </cell>
        </row>
        <row r="48500">
          <cell r="S48500">
            <v>-23448.21</v>
          </cell>
          <cell r="X48500" t="str">
            <v>Financial income</v>
          </cell>
        </row>
        <row r="48501">
          <cell r="S48501">
            <v>132937.63</v>
          </cell>
          <cell r="X48501" t="str">
            <v>Financial income</v>
          </cell>
        </row>
        <row r="48502">
          <cell r="S48502">
            <v>4585.96</v>
          </cell>
          <cell r="X48502" t="str">
            <v>Financial income</v>
          </cell>
        </row>
        <row r="48503">
          <cell r="S48503">
            <v>-69397.78</v>
          </cell>
          <cell r="X48503" t="str">
            <v>Financial income</v>
          </cell>
        </row>
        <row r="48504">
          <cell r="S48504">
            <v>-114.41</v>
          </cell>
          <cell r="X48504" t="str">
            <v>Financial income</v>
          </cell>
        </row>
        <row r="48505">
          <cell r="S48505">
            <v>-19551.57</v>
          </cell>
          <cell r="X48505" t="str">
            <v>Financial income</v>
          </cell>
        </row>
        <row r="48506">
          <cell r="S48506">
            <v>-2359.31</v>
          </cell>
          <cell r="X48506" t="str">
            <v>Financial income</v>
          </cell>
        </row>
        <row r="48507">
          <cell r="S48507">
            <v>-9786.09</v>
          </cell>
          <cell r="X48507" t="str">
            <v>Financial income</v>
          </cell>
        </row>
        <row r="48508">
          <cell r="S48508">
            <v>-132853.78</v>
          </cell>
          <cell r="X48508" t="str">
            <v>Financial income</v>
          </cell>
        </row>
        <row r="48509">
          <cell r="S48509">
            <v>-30952.97</v>
          </cell>
          <cell r="X48509" t="str">
            <v>Financial income</v>
          </cell>
        </row>
        <row r="48510">
          <cell r="L48510"/>
          <cell r="S48510">
            <v>-65664.639999999999</v>
          </cell>
          <cell r="X48510" t="str">
            <v>Financial income</v>
          </cell>
        </row>
        <row r="48511">
          <cell r="L48511"/>
          <cell r="S48511">
            <v>-17024.41</v>
          </cell>
          <cell r="X48511" t="str">
            <v>Financial income</v>
          </cell>
        </row>
        <row r="48512">
          <cell r="L48512"/>
          <cell r="S48512">
            <v>-29243.119999999999</v>
          </cell>
          <cell r="X48512" t="str">
            <v>Financial income</v>
          </cell>
        </row>
        <row r="48513">
          <cell r="L48513"/>
          <cell r="S48513">
            <v>-56201.3</v>
          </cell>
          <cell r="X48513" t="str">
            <v>Financial income</v>
          </cell>
        </row>
        <row r="48514">
          <cell r="L48514"/>
          <cell r="S48514">
            <v>1640.27</v>
          </cell>
          <cell r="X48514" t="str">
            <v>Financial income</v>
          </cell>
        </row>
        <row r="48515">
          <cell r="L48515"/>
          <cell r="S48515">
            <v>-47079.38</v>
          </cell>
          <cell r="X48515" t="str">
            <v>Financial income</v>
          </cell>
        </row>
        <row r="48516">
          <cell r="L48516"/>
          <cell r="S48516">
            <v>-17723.75</v>
          </cell>
          <cell r="X48516" t="str">
            <v>Financial income</v>
          </cell>
        </row>
        <row r="48517">
          <cell r="L48517"/>
          <cell r="S48517">
            <v>-56006.09</v>
          </cell>
          <cell r="X48517" t="str">
            <v>Financial income</v>
          </cell>
        </row>
        <row r="48518">
          <cell r="L48518"/>
          <cell r="S48518">
            <v>-46777.04</v>
          </cell>
          <cell r="X48518" t="str">
            <v>Financial income</v>
          </cell>
        </row>
        <row r="48519">
          <cell r="L48519"/>
          <cell r="S48519">
            <v>-4801.83</v>
          </cell>
          <cell r="X48519" t="str">
            <v>Financial income</v>
          </cell>
        </row>
        <row r="48520">
          <cell r="L48520"/>
          <cell r="S48520">
            <v>-108648.9</v>
          </cell>
          <cell r="X48520" t="str">
            <v>Financial income</v>
          </cell>
        </row>
        <row r="48521">
          <cell r="L48521"/>
          <cell r="S48521">
            <v>-277243.31</v>
          </cell>
          <cell r="X48521" t="str">
            <v>Financial income</v>
          </cell>
        </row>
        <row r="48522">
          <cell r="L48522"/>
          <cell r="S48522">
            <v>-72214.19</v>
          </cell>
          <cell r="X48522" t="str">
            <v>Financial income</v>
          </cell>
        </row>
        <row r="48523">
          <cell r="L48523"/>
          <cell r="S48523">
            <v>-8056.21</v>
          </cell>
          <cell r="X48523" t="str">
            <v>Financial income</v>
          </cell>
        </row>
        <row r="48524">
          <cell r="L48524"/>
          <cell r="S48524">
            <v>-58247.69</v>
          </cell>
          <cell r="X48524" t="str">
            <v>Financial income</v>
          </cell>
        </row>
        <row r="48525">
          <cell r="L48525"/>
          <cell r="S48525">
            <v>-13348.82</v>
          </cell>
          <cell r="X48525" t="str">
            <v>Financial income</v>
          </cell>
        </row>
        <row r="48526">
          <cell r="L48526"/>
          <cell r="S48526">
            <v>-130382.78</v>
          </cell>
          <cell r="X48526" t="str">
            <v>Financial income</v>
          </cell>
        </row>
        <row r="48527">
          <cell r="L48527"/>
          <cell r="S48527">
            <v>-117912.88</v>
          </cell>
          <cell r="X48527" t="str">
            <v>Financial income</v>
          </cell>
        </row>
        <row r="48528">
          <cell r="L48528"/>
          <cell r="S48528">
            <v>-87074.71</v>
          </cell>
          <cell r="X48528" t="str">
            <v>Financial income</v>
          </cell>
        </row>
        <row r="48529">
          <cell r="L48529"/>
          <cell r="S48529">
            <v>-7546.11</v>
          </cell>
          <cell r="X48529" t="str">
            <v>Financial income</v>
          </cell>
        </row>
        <row r="48530">
          <cell r="L48530"/>
          <cell r="S48530">
            <v>2311.8000000000002</v>
          </cell>
          <cell r="X48530" t="str">
            <v>Financial income</v>
          </cell>
        </row>
        <row r="48531">
          <cell r="L48531"/>
          <cell r="S48531">
            <v>-58835.85</v>
          </cell>
          <cell r="X48531" t="str">
            <v>Financial income</v>
          </cell>
        </row>
        <row r="48532">
          <cell r="L48532"/>
          <cell r="S48532">
            <v>-13424.32</v>
          </cell>
          <cell r="X48532" t="str">
            <v>Financial income</v>
          </cell>
        </row>
        <row r="48533">
          <cell r="L48533"/>
          <cell r="S48533">
            <v>39489.33</v>
          </cell>
          <cell r="X48533" t="str">
            <v>Financial income</v>
          </cell>
        </row>
        <row r="48534">
          <cell r="L48534"/>
          <cell r="S48534">
            <v>-147328.06</v>
          </cell>
          <cell r="X48534" t="str">
            <v>Financial income</v>
          </cell>
        </row>
        <row r="48535">
          <cell r="L48535"/>
          <cell r="S48535">
            <v>-38735.089999999997</v>
          </cell>
          <cell r="X48535" t="str">
            <v>Financial income</v>
          </cell>
        </row>
        <row r="48536">
          <cell r="L48536"/>
          <cell r="S48536">
            <v>-90732.52</v>
          </cell>
          <cell r="X48536" t="str">
            <v>Financial income</v>
          </cell>
        </row>
        <row r="48537">
          <cell r="L48537"/>
          <cell r="S48537">
            <v>-55641.3</v>
          </cell>
          <cell r="X48537" t="str">
            <v>Financial income</v>
          </cell>
        </row>
        <row r="48538">
          <cell r="S48538">
            <v>-32588.73</v>
          </cell>
          <cell r="X48538" t="str">
            <v>Financial income</v>
          </cell>
        </row>
        <row r="48539">
          <cell r="S48539">
            <v>-70704.539999999994</v>
          </cell>
          <cell r="X48539" t="str">
            <v>Financial income</v>
          </cell>
        </row>
        <row r="48540">
          <cell r="S48540">
            <v>70704.539999999994</v>
          </cell>
          <cell r="X48540" t="str">
            <v>Financial income</v>
          </cell>
        </row>
        <row r="48541">
          <cell r="S48541">
            <v>101105.7</v>
          </cell>
          <cell r="X48541" t="str">
            <v>Financial income</v>
          </cell>
        </row>
        <row r="48542">
          <cell r="S48542">
            <v>-101105.7</v>
          </cell>
          <cell r="X48542" t="str">
            <v>Financial income</v>
          </cell>
        </row>
        <row r="48543">
          <cell r="S48543">
            <v>-137725.74</v>
          </cell>
          <cell r="X48543" t="str">
            <v>Financial income</v>
          </cell>
        </row>
        <row r="48544">
          <cell r="S48544">
            <v>-178096.8</v>
          </cell>
          <cell r="X48544" t="str">
            <v>Financial income</v>
          </cell>
        </row>
        <row r="48545">
          <cell r="S48545">
            <v>-315065.55</v>
          </cell>
          <cell r="X48545" t="str">
            <v>Financial income</v>
          </cell>
        </row>
        <row r="48546">
          <cell r="S48546">
            <v>-128485.44</v>
          </cell>
          <cell r="X48546" t="str">
            <v>Financial income</v>
          </cell>
        </row>
        <row r="48547">
          <cell r="S48547">
            <v>-8007.84</v>
          </cell>
          <cell r="X48547" t="str">
            <v>Financial income</v>
          </cell>
        </row>
        <row r="48548">
          <cell r="S48548">
            <v>-1851.06</v>
          </cell>
          <cell r="X48548" t="str">
            <v>Financial income</v>
          </cell>
        </row>
        <row r="48549">
          <cell r="S48549">
            <v>398073.17</v>
          </cell>
          <cell r="X48549" t="str">
            <v>Financial income</v>
          </cell>
        </row>
        <row r="48550">
          <cell r="S48550">
            <v>-408765.77</v>
          </cell>
          <cell r="X48550" t="str">
            <v>Financial income</v>
          </cell>
        </row>
        <row r="48551">
          <cell r="L48551"/>
          <cell r="S48551">
            <v>-2016.85</v>
          </cell>
          <cell r="X48551" t="str">
            <v>Financial income</v>
          </cell>
        </row>
        <row r="48552">
          <cell r="L48552"/>
          <cell r="S48552">
            <v>4609.37</v>
          </cell>
          <cell r="X48552" t="str">
            <v>Financial income</v>
          </cell>
        </row>
        <row r="48553">
          <cell r="L48553"/>
          <cell r="S48553">
            <v>-262.83999999999997</v>
          </cell>
          <cell r="X48553" t="str">
            <v>Financial income</v>
          </cell>
        </row>
        <row r="48554">
          <cell r="L48554"/>
          <cell r="S48554">
            <v>-5485.3</v>
          </cell>
          <cell r="X48554" t="str">
            <v>Financial income</v>
          </cell>
        </row>
        <row r="48555">
          <cell r="L48555"/>
          <cell r="S48555">
            <v>-280168.51</v>
          </cell>
          <cell r="X48555" t="str">
            <v>Financial income</v>
          </cell>
        </row>
        <row r="48556">
          <cell r="L48556"/>
          <cell r="S48556">
            <v>269728.67</v>
          </cell>
          <cell r="X48556" t="str">
            <v>Financial income</v>
          </cell>
        </row>
        <row r="48557">
          <cell r="L48557"/>
          <cell r="S48557">
            <v>-17730.63</v>
          </cell>
          <cell r="X48557" t="str">
            <v>Financial income</v>
          </cell>
        </row>
        <row r="48558">
          <cell r="L48558"/>
          <cell r="S48558">
            <v>-3072.27</v>
          </cell>
          <cell r="X48558" t="str">
            <v>Financial income</v>
          </cell>
        </row>
        <row r="48559">
          <cell r="L48559"/>
          <cell r="S48559">
            <v>-10915.13</v>
          </cell>
          <cell r="X48559" t="str">
            <v>Financial income</v>
          </cell>
        </row>
        <row r="48560">
          <cell r="L48560"/>
          <cell r="S48560">
            <v>-13485.41</v>
          </cell>
          <cell r="X48560" t="str">
            <v>Financial income</v>
          </cell>
        </row>
        <row r="48561">
          <cell r="L48561"/>
          <cell r="S48561">
            <v>519.55999999999995</v>
          </cell>
          <cell r="X48561" t="str">
            <v>Financial income</v>
          </cell>
        </row>
        <row r="48562">
          <cell r="L48562"/>
          <cell r="S48562">
            <v>33882.449999999997</v>
          </cell>
          <cell r="X48562" t="str">
            <v>Financial income</v>
          </cell>
        </row>
        <row r="48563">
          <cell r="L48563"/>
          <cell r="S48563">
            <v>-51700.11</v>
          </cell>
          <cell r="X48563" t="str">
            <v>Financial income</v>
          </cell>
        </row>
        <row r="48564">
          <cell r="S48564">
            <v>-4643.46</v>
          </cell>
          <cell r="X48564" t="str">
            <v>Financial income</v>
          </cell>
        </row>
        <row r="48565">
          <cell r="S48565">
            <v>-7853.76</v>
          </cell>
          <cell r="X48565" t="str">
            <v>Financial income</v>
          </cell>
        </row>
        <row r="48566">
          <cell r="S48566">
            <v>-3715.43</v>
          </cell>
          <cell r="X48566" t="str">
            <v>Financial income</v>
          </cell>
        </row>
        <row r="48567">
          <cell r="S48567">
            <v>-4755.8900000000003</v>
          </cell>
          <cell r="X48567" t="str">
            <v>Financial income</v>
          </cell>
        </row>
        <row r="48568">
          <cell r="S48568">
            <v>-6020.75</v>
          </cell>
          <cell r="X48568" t="str">
            <v>Financial income</v>
          </cell>
        </row>
        <row r="48569">
          <cell r="S48569">
            <v>-5631.76</v>
          </cell>
          <cell r="X48569" t="str">
            <v>Financial income</v>
          </cell>
        </row>
        <row r="48570">
          <cell r="L48570"/>
          <cell r="S48570">
            <v>-5115.6400000000003</v>
          </cell>
          <cell r="X48570" t="str">
            <v>Financial income</v>
          </cell>
        </row>
        <row r="48571">
          <cell r="L48571"/>
          <cell r="S48571">
            <v>-5399.2</v>
          </cell>
          <cell r="X48571" t="str">
            <v>Financial income</v>
          </cell>
        </row>
        <row r="48572">
          <cell r="L48572"/>
          <cell r="S48572">
            <v>-5494.02</v>
          </cell>
          <cell r="X48572" t="str">
            <v>Financial income</v>
          </cell>
        </row>
        <row r="48573">
          <cell r="L48573"/>
          <cell r="S48573">
            <v>-4836.47</v>
          </cell>
          <cell r="X48573" t="str">
            <v>Financial income</v>
          </cell>
        </row>
        <row r="48574">
          <cell r="L48574"/>
          <cell r="S48574">
            <v>-1893.62</v>
          </cell>
          <cell r="X48574" t="str">
            <v>Financial income</v>
          </cell>
        </row>
        <row r="48575">
          <cell r="L48575"/>
          <cell r="S48575">
            <v>-1757.19</v>
          </cell>
          <cell r="X48575" t="str">
            <v>Financial income</v>
          </cell>
        </row>
        <row r="48576">
          <cell r="S48576">
            <v>-177959.23</v>
          </cell>
          <cell r="X48576" t="str">
            <v>Financial income</v>
          </cell>
        </row>
        <row r="48577">
          <cell r="S48577">
            <v>-69925.320000000007</v>
          </cell>
          <cell r="X48577" t="str">
            <v>Financial income</v>
          </cell>
        </row>
        <row r="48578">
          <cell r="S48578">
            <v>-110048.54</v>
          </cell>
          <cell r="X48578" t="str">
            <v>Financial income</v>
          </cell>
        </row>
        <row r="48579">
          <cell r="S48579">
            <v>-163022.47</v>
          </cell>
          <cell r="X48579" t="str">
            <v>Financial income</v>
          </cell>
        </row>
        <row r="48580">
          <cell r="S48580">
            <v>-43638.02</v>
          </cell>
          <cell r="X48580" t="str">
            <v>Financial income</v>
          </cell>
        </row>
        <row r="48581">
          <cell r="S48581">
            <v>-7068.26</v>
          </cell>
          <cell r="X48581" t="str">
            <v>Financial income</v>
          </cell>
        </row>
        <row r="48582">
          <cell r="S48582">
            <v>-7486.27</v>
          </cell>
          <cell r="X48582" t="str">
            <v>Financial income</v>
          </cell>
        </row>
        <row r="48583">
          <cell r="S48583">
            <v>-274145.5</v>
          </cell>
          <cell r="X48583" t="str">
            <v>Financial income</v>
          </cell>
        </row>
        <row r="48584">
          <cell r="S48584">
            <v>-84999.15</v>
          </cell>
          <cell r="X48584" t="str">
            <v>Financial income</v>
          </cell>
        </row>
        <row r="48585">
          <cell r="S48585">
            <v>-7055.93</v>
          </cell>
          <cell r="X48585" t="str">
            <v>Financial income</v>
          </cell>
        </row>
        <row r="48586">
          <cell r="S48586">
            <v>-6597.61</v>
          </cell>
          <cell r="X48586" t="str">
            <v>Financial income</v>
          </cell>
        </row>
        <row r="48587">
          <cell r="S48587">
            <v>-127575.14</v>
          </cell>
          <cell r="X48587" t="str">
            <v>Financial income</v>
          </cell>
        </row>
        <row r="48588">
          <cell r="L48588"/>
          <cell r="S48588">
            <v>-21659.27</v>
          </cell>
          <cell r="X48588" t="str">
            <v>Financial income</v>
          </cell>
        </row>
        <row r="48589">
          <cell r="L48589"/>
          <cell r="S48589">
            <v>-5929.51</v>
          </cell>
          <cell r="X48589" t="str">
            <v>Financial income</v>
          </cell>
        </row>
        <row r="48590">
          <cell r="L48590"/>
          <cell r="S48590">
            <v>-216.56</v>
          </cell>
          <cell r="X48590" t="str">
            <v>Financial income</v>
          </cell>
        </row>
        <row r="48591">
          <cell r="L48591"/>
          <cell r="S48591">
            <v>-20787.62</v>
          </cell>
          <cell r="X48591" t="str">
            <v>Financial income</v>
          </cell>
        </row>
        <row r="48592">
          <cell r="L48592"/>
          <cell r="S48592">
            <v>-6714.78</v>
          </cell>
          <cell r="X48592" t="str">
            <v>Financial income</v>
          </cell>
        </row>
        <row r="48593">
          <cell r="L48593"/>
          <cell r="S48593">
            <v>0.01</v>
          </cell>
          <cell r="X48593" t="str">
            <v>Financial income</v>
          </cell>
        </row>
        <row r="48594">
          <cell r="L48594"/>
          <cell r="S48594">
            <v>-6415.55</v>
          </cell>
          <cell r="X48594" t="str">
            <v>Financial income</v>
          </cell>
        </row>
        <row r="48595">
          <cell r="S48595">
            <v>4296.88</v>
          </cell>
          <cell r="X48595" t="str">
            <v>Financial income</v>
          </cell>
        </row>
        <row r="48596">
          <cell r="S48596">
            <v>-4801.93</v>
          </cell>
          <cell r="X48596" t="str">
            <v>Financial income</v>
          </cell>
        </row>
        <row r="48597">
          <cell r="S48597">
            <v>-7262.35</v>
          </cell>
          <cell r="X48597" t="str">
            <v>Financial income</v>
          </cell>
        </row>
        <row r="48598">
          <cell r="S48598">
            <v>1799.22</v>
          </cell>
          <cell r="X48598" t="str">
            <v>Financial income</v>
          </cell>
        </row>
        <row r="48599">
          <cell r="L48599"/>
          <cell r="S48599">
            <v>17719.77</v>
          </cell>
          <cell r="X48599" t="str">
            <v>Financial income</v>
          </cell>
        </row>
        <row r="48600">
          <cell r="L48600"/>
          <cell r="S48600">
            <v>9044.85</v>
          </cell>
          <cell r="X48600" t="str">
            <v>Financial income</v>
          </cell>
        </row>
        <row r="48601">
          <cell r="L48601"/>
          <cell r="S48601">
            <v>1712.33</v>
          </cell>
          <cell r="X48601" t="str">
            <v>Financial income</v>
          </cell>
        </row>
        <row r="48602">
          <cell r="L48602"/>
          <cell r="S48602">
            <v>8282.3700000000008</v>
          </cell>
          <cell r="X48602" t="str">
            <v>Financial income</v>
          </cell>
        </row>
        <row r="48603">
          <cell r="L48603"/>
          <cell r="S48603">
            <v>68255.100000000006</v>
          </cell>
          <cell r="X48603" t="str">
            <v>Financial income</v>
          </cell>
        </row>
        <row r="48604">
          <cell r="L48604"/>
          <cell r="S48604">
            <v>-115294.43</v>
          </cell>
          <cell r="X48604" t="str">
            <v>Financial income</v>
          </cell>
        </row>
        <row r="48605">
          <cell r="S48605">
            <v>-0.09</v>
          </cell>
          <cell r="X48605" t="str">
            <v>Financial income</v>
          </cell>
        </row>
        <row r="48606">
          <cell r="S48606">
            <v>-0.03</v>
          </cell>
          <cell r="X48606" t="str">
            <v>Financial income</v>
          </cell>
        </row>
        <row r="48607">
          <cell r="L48607" t="str">
            <v>Non-proportional</v>
          </cell>
          <cell r="S48607">
            <v>0</v>
          </cell>
          <cell r="X48607" t="str">
            <v>Financial income</v>
          </cell>
        </row>
        <row r="48608">
          <cell r="L48608" t="str">
            <v>Non-proportional</v>
          </cell>
          <cell r="S48608">
            <v>-0.01</v>
          </cell>
          <cell r="X48608" t="str">
            <v>Financial income</v>
          </cell>
        </row>
        <row r="48609">
          <cell r="S48609">
            <v>0.01</v>
          </cell>
          <cell r="X48609" t="str">
            <v>Financial income</v>
          </cell>
        </row>
        <row r="48610">
          <cell r="L48610" t="str">
            <v>Non-proportional</v>
          </cell>
          <cell r="S48610">
            <v>-0.01</v>
          </cell>
          <cell r="X48610" t="str">
            <v>Financial income</v>
          </cell>
        </row>
        <row r="48611">
          <cell r="S48611">
            <v>0.04</v>
          </cell>
          <cell r="X48611" t="str">
            <v>Financial income</v>
          </cell>
        </row>
        <row r="48612">
          <cell r="S48612">
            <v>-0.01</v>
          </cell>
          <cell r="X48612" t="str">
            <v>Financial income</v>
          </cell>
        </row>
        <row r="48613">
          <cell r="L48613" t="str">
            <v>Proportional</v>
          </cell>
          <cell r="S48613">
            <v>0.18</v>
          </cell>
          <cell r="X48613" t="str">
            <v>Financial income</v>
          </cell>
        </row>
        <row r="48614">
          <cell r="S48614">
            <v>-0.01</v>
          </cell>
          <cell r="X48614" t="str">
            <v>Financial income</v>
          </cell>
        </row>
        <row r="48615">
          <cell r="S48615">
            <v>0.13</v>
          </cell>
          <cell r="X48615" t="str">
            <v>Financial income</v>
          </cell>
        </row>
        <row r="48616">
          <cell r="S48616">
            <v>0.01</v>
          </cell>
          <cell r="X48616" t="str">
            <v>Financial income</v>
          </cell>
        </row>
        <row r="48617">
          <cell r="L48617" t="str">
            <v>Proportional</v>
          </cell>
          <cell r="S48617">
            <v>0</v>
          </cell>
          <cell r="X48617" t="str">
            <v>Financial income</v>
          </cell>
        </row>
        <row r="48618">
          <cell r="L48618" t="str">
            <v>Non-proportional</v>
          </cell>
          <cell r="S48618">
            <v>-0.02</v>
          </cell>
          <cell r="X48618" t="str">
            <v>Financial income</v>
          </cell>
        </row>
        <row r="48619">
          <cell r="L48619" t="str">
            <v>Non-proportional</v>
          </cell>
          <cell r="S48619">
            <v>-0.03</v>
          </cell>
          <cell r="X48619" t="str">
            <v>Financial income</v>
          </cell>
        </row>
        <row r="48620">
          <cell r="S48620">
            <v>-0.01</v>
          </cell>
          <cell r="X48620" t="str">
            <v>Financial income</v>
          </cell>
        </row>
        <row r="48621">
          <cell r="L48621" t="str">
            <v>Non-proportional</v>
          </cell>
          <cell r="S48621">
            <v>0.05</v>
          </cell>
          <cell r="X48621" t="str">
            <v>Financial income</v>
          </cell>
        </row>
        <row r="48622">
          <cell r="L48622" t="str">
            <v>Non-proportional</v>
          </cell>
          <cell r="S48622">
            <v>-0.1</v>
          </cell>
          <cell r="X48622" t="str">
            <v>Financial income</v>
          </cell>
        </row>
        <row r="48623">
          <cell r="S48623">
            <v>0.08</v>
          </cell>
          <cell r="X48623" t="str">
            <v>Financial income</v>
          </cell>
        </row>
        <row r="48624">
          <cell r="S48624">
            <v>-0.86</v>
          </cell>
          <cell r="X48624" t="str">
            <v>Financial income</v>
          </cell>
        </row>
        <row r="48625">
          <cell r="S48625">
            <v>-0.01</v>
          </cell>
          <cell r="X48625" t="str">
            <v>Financial income</v>
          </cell>
        </row>
        <row r="48626">
          <cell r="L48626" t="str">
            <v>Non-proportional</v>
          </cell>
          <cell r="S48626">
            <v>-0.02</v>
          </cell>
          <cell r="X48626" t="str">
            <v>Financial income</v>
          </cell>
        </row>
        <row r="48627">
          <cell r="L48627" t="str">
            <v>Non-proportional</v>
          </cell>
          <cell r="S48627">
            <v>-0.01</v>
          </cell>
          <cell r="X48627" t="str">
            <v>Financial income</v>
          </cell>
        </row>
        <row r="48628">
          <cell r="S48628">
            <v>0.01</v>
          </cell>
          <cell r="X48628" t="str">
            <v>Financial income</v>
          </cell>
        </row>
        <row r="48629">
          <cell r="L48629" t="str">
            <v>Non-proportional</v>
          </cell>
          <cell r="S48629">
            <v>9.1</v>
          </cell>
          <cell r="X48629" t="str">
            <v>Financial income</v>
          </cell>
        </row>
        <row r="48630">
          <cell r="S48630">
            <v>-0.01</v>
          </cell>
          <cell r="X48630" t="str">
            <v>Financial income</v>
          </cell>
        </row>
        <row r="48631">
          <cell r="L48631" t="str">
            <v>Non-proportional</v>
          </cell>
          <cell r="S48631">
            <v>0</v>
          </cell>
          <cell r="X48631" t="str">
            <v>Financial income</v>
          </cell>
        </row>
        <row r="48632">
          <cell r="L48632" t="str">
            <v>Non-proportional</v>
          </cell>
          <cell r="S48632">
            <v>-0.01</v>
          </cell>
          <cell r="X48632" t="str">
            <v>Financial income</v>
          </cell>
        </row>
        <row r="48633">
          <cell r="L48633" t="str">
            <v>Non-proportional</v>
          </cell>
          <cell r="S48633">
            <v>0.02</v>
          </cell>
          <cell r="X48633" t="str">
            <v>Financial income</v>
          </cell>
        </row>
        <row r="48634">
          <cell r="S48634">
            <v>-0.01</v>
          </cell>
          <cell r="X48634" t="str">
            <v>Financial income</v>
          </cell>
        </row>
        <row r="48635">
          <cell r="S48635">
            <v>-0.05</v>
          </cell>
          <cell r="X48635" t="str">
            <v>Financial income</v>
          </cell>
        </row>
        <row r="48636">
          <cell r="L48636" t="str">
            <v>Non-proportional</v>
          </cell>
          <cell r="S48636">
            <v>0.01</v>
          </cell>
          <cell r="X48636" t="str">
            <v>Financial income</v>
          </cell>
        </row>
        <row r="48637">
          <cell r="L48637" t="str">
            <v>Non-proportional</v>
          </cell>
          <cell r="S48637">
            <v>0</v>
          </cell>
          <cell r="X48637" t="str">
            <v>Financial income</v>
          </cell>
        </row>
        <row r="48638">
          <cell r="L48638" t="str">
            <v>Non-proportional</v>
          </cell>
          <cell r="S48638">
            <v>493.76</v>
          </cell>
          <cell r="X48638" t="str">
            <v>Financial income</v>
          </cell>
        </row>
        <row r="48639">
          <cell r="S48639">
            <v>-0.62</v>
          </cell>
          <cell r="X48639" t="str">
            <v>Financial income</v>
          </cell>
        </row>
        <row r="48640">
          <cell r="S48640">
            <v>0.01</v>
          </cell>
          <cell r="X48640" t="str">
            <v>Financial income</v>
          </cell>
        </row>
        <row r="48641">
          <cell r="L48641" t="str">
            <v>Non-proportional</v>
          </cell>
          <cell r="S48641">
            <v>0</v>
          </cell>
          <cell r="X48641" t="str">
            <v>Financial income</v>
          </cell>
        </row>
        <row r="48642">
          <cell r="S48642">
            <v>-0.01</v>
          </cell>
          <cell r="X48642" t="str">
            <v>Financial income</v>
          </cell>
        </row>
        <row r="48643">
          <cell r="S48643">
            <v>-18.489999999999998</v>
          </cell>
          <cell r="X48643" t="str">
            <v>Financial income</v>
          </cell>
        </row>
        <row r="48644">
          <cell r="L48644" t="str">
            <v>Non-proportional</v>
          </cell>
          <cell r="S48644">
            <v>-0.06</v>
          </cell>
          <cell r="X48644" t="str">
            <v>Financial income</v>
          </cell>
        </row>
        <row r="48645">
          <cell r="S48645">
            <v>-0.04</v>
          </cell>
          <cell r="X48645" t="str">
            <v>Financial income</v>
          </cell>
        </row>
        <row r="48646">
          <cell r="L48646" t="str">
            <v>Non-proportional</v>
          </cell>
          <cell r="S48646">
            <v>0</v>
          </cell>
          <cell r="X48646" t="str">
            <v>Financial income</v>
          </cell>
        </row>
        <row r="48647">
          <cell r="S48647">
            <v>-0.01</v>
          </cell>
          <cell r="X48647" t="str">
            <v>Financial income</v>
          </cell>
        </row>
        <row r="48648">
          <cell r="L48648" t="str">
            <v>Non-proportional</v>
          </cell>
          <cell r="S48648">
            <v>0.03</v>
          </cell>
          <cell r="X48648" t="str">
            <v>Financial income</v>
          </cell>
        </row>
        <row r="48649">
          <cell r="L48649" t="str">
            <v>Non-proportional</v>
          </cell>
          <cell r="S48649">
            <v>0</v>
          </cell>
          <cell r="X48649" t="str">
            <v>Financial income</v>
          </cell>
        </row>
        <row r="48650">
          <cell r="S48650">
            <v>-0.02</v>
          </cell>
          <cell r="X48650" t="str">
            <v>Financial income</v>
          </cell>
        </row>
        <row r="48651">
          <cell r="S48651">
            <v>-0.01</v>
          </cell>
          <cell r="X48651" t="str">
            <v>Financial income</v>
          </cell>
        </row>
        <row r="48652">
          <cell r="S48652">
            <v>-0.01</v>
          </cell>
          <cell r="X48652" t="str">
            <v>Financial income</v>
          </cell>
        </row>
        <row r="48653">
          <cell r="S48653">
            <v>-0.01</v>
          </cell>
          <cell r="X48653" t="str">
            <v>Financial income</v>
          </cell>
        </row>
        <row r="48654">
          <cell r="S48654">
            <v>0.05</v>
          </cell>
          <cell r="X48654" t="str">
            <v>Financial income</v>
          </cell>
        </row>
        <row r="48655">
          <cell r="S48655">
            <v>0.04</v>
          </cell>
          <cell r="X48655" t="str">
            <v>Financial income</v>
          </cell>
        </row>
        <row r="48656">
          <cell r="L48656" t="str">
            <v>Non-proportional</v>
          </cell>
          <cell r="S48656">
            <v>0.01</v>
          </cell>
          <cell r="X48656" t="str">
            <v>Financial income</v>
          </cell>
        </row>
        <row r="48657">
          <cell r="L48657" t="str">
            <v>Non-proportional</v>
          </cell>
          <cell r="S48657">
            <v>0.01</v>
          </cell>
          <cell r="X48657" t="str">
            <v>Financial income</v>
          </cell>
        </row>
        <row r="48658">
          <cell r="S48658">
            <v>-0.01</v>
          </cell>
          <cell r="X48658" t="str">
            <v>Financial income</v>
          </cell>
        </row>
        <row r="48659">
          <cell r="S48659">
            <v>-0.01</v>
          </cell>
          <cell r="X48659" t="str">
            <v>Financial income</v>
          </cell>
        </row>
        <row r="48660">
          <cell r="L48660" t="str">
            <v>Non-proportional</v>
          </cell>
          <cell r="S48660">
            <v>-493.76</v>
          </cell>
          <cell r="X48660" t="str">
            <v>Financial income</v>
          </cell>
        </row>
        <row r="48661">
          <cell r="S48661">
            <v>0.04</v>
          </cell>
          <cell r="X48661" t="str">
            <v>Financial income</v>
          </cell>
        </row>
        <row r="48662">
          <cell r="L48662" t="str">
            <v>Non-proportional</v>
          </cell>
          <cell r="S48662">
            <v>0.03</v>
          </cell>
          <cell r="X48662" t="str">
            <v>Financial income</v>
          </cell>
        </row>
        <row r="48663">
          <cell r="L48663" t="str">
            <v>Non-proportional</v>
          </cell>
          <cell r="S48663">
            <v>-0.01</v>
          </cell>
          <cell r="X48663" t="str">
            <v>Financial income</v>
          </cell>
        </row>
        <row r="48664">
          <cell r="L48664" t="str">
            <v>Non-proportional</v>
          </cell>
          <cell r="S48664">
            <v>-0.02</v>
          </cell>
          <cell r="X48664" t="str">
            <v>Financial income</v>
          </cell>
        </row>
        <row r="48665">
          <cell r="L48665" t="str">
            <v>Non-proportional</v>
          </cell>
          <cell r="S48665">
            <v>0.04</v>
          </cell>
          <cell r="X48665" t="str">
            <v>Financial income</v>
          </cell>
        </row>
        <row r="48666">
          <cell r="S48666">
            <v>0.01</v>
          </cell>
          <cell r="X48666" t="str">
            <v>Financial income</v>
          </cell>
        </row>
        <row r="48667">
          <cell r="S48667">
            <v>0.27</v>
          </cell>
          <cell r="X48667" t="str">
            <v>Financial income</v>
          </cell>
        </row>
        <row r="48668">
          <cell r="S48668">
            <v>-0.01</v>
          </cell>
          <cell r="X48668" t="str">
            <v>Financial income</v>
          </cell>
        </row>
        <row r="48669">
          <cell r="S48669">
            <v>-0.01</v>
          </cell>
          <cell r="X48669" t="str">
            <v>Financial income</v>
          </cell>
        </row>
        <row r="48670">
          <cell r="S48670">
            <v>0.01</v>
          </cell>
          <cell r="X48670" t="str">
            <v>Financial income</v>
          </cell>
        </row>
        <row r="48671">
          <cell r="S48671">
            <v>0.01</v>
          </cell>
          <cell r="X48671" t="str">
            <v>Financial income</v>
          </cell>
        </row>
        <row r="48672">
          <cell r="L48672" t="str">
            <v>Non-proportional</v>
          </cell>
          <cell r="S48672">
            <v>0.01</v>
          </cell>
          <cell r="X48672" t="str">
            <v>Financial income</v>
          </cell>
        </row>
        <row r="48673">
          <cell r="S48673">
            <v>-0.01</v>
          </cell>
          <cell r="X48673" t="str">
            <v>Financial income</v>
          </cell>
        </row>
        <row r="48674">
          <cell r="L48674" t="str">
            <v>Non-proportional</v>
          </cell>
          <cell r="S48674">
            <v>-0.01</v>
          </cell>
          <cell r="X48674" t="str">
            <v>Financial income</v>
          </cell>
        </row>
        <row r="48675">
          <cell r="L48675" t="str">
            <v>Non-proportional</v>
          </cell>
          <cell r="S48675">
            <v>0.06</v>
          </cell>
          <cell r="X48675" t="str">
            <v>Financial income</v>
          </cell>
        </row>
        <row r="48676">
          <cell r="S48676">
            <v>-0.01</v>
          </cell>
          <cell r="X48676" t="str">
            <v>Financial income</v>
          </cell>
        </row>
        <row r="48677">
          <cell r="L48677" t="str">
            <v>Proportional</v>
          </cell>
          <cell r="S48677">
            <v>0.01</v>
          </cell>
          <cell r="X48677" t="str">
            <v>Financial income</v>
          </cell>
        </row>
        <row r="48678">
          <cell r="S48678">
            <v>-0.01</v>
          </cell>
          <cell r="X48678" t="str">
            <v>Financial income</v>
          </cell>
        </row>
        <row r="48679">
          <cell r="L48679" t="str">
            <v>Proportional</v>
          </cell>
          <cell r="S48679">
            <v>-0.02</v>
          </cell>
          <cell r="X48679" t="str">
            <v>Financial income</v>
          </cell>
        </row>
        <row r="48680">
          <cell r="L48680" t="str">
            <v>Non-proportional</v>
          </cell>
          <cell r="S48680">
            <v>0.01</v>
          </cell>
          <cell r="X48680" t="str">
            <v>Financial income</v>
          </cell>
        </row>
        <row r="48681">
          <cell r="L48681" t="str">
            <v>Non-proportional</v>
          </cell>
          <cell r="S48681">
            <v>-0.01</v>
          </cell>
          <cell r="X48681" t="str">
            <v>Financial income</v>
          </cell>
        </row>
        <row r="48682">
          <cell r="S48682">
            <v>0.25</v>
          </cell>
          <cell r="X48682" t="str">
            <v>Financial income</v>
          </cell>
        </row>
        <row r="48683">
          <cell r="S48683">
            <v>-0.03</v>
          </cell>
          <cell r="X48683" t="str">
            <v>Financial income</v>
          </cell>
        </row>
        <row r="48684">
          <cell r="L48684" t="str">
            <v>Non-proportional</v>
          </cell>
          <cell r="S48684">
            <v>0</v>
          </cell>
          <cell r="X48684" t="str">
            <v>Financial income</v>
          </cell>
        </row>
        <row r="48685">
          <cell r="S48685">
            <v>-0.03</v>
          </cell>
          <cell r="X48685" t="str">
            <v>Financial income</v>
          </cell>
        </row>
        <row r="48686">
          <cell r="L48686" t="str">
            <v>Non-proportional</v>
          </cell>
          <cell r="S48686">
            <v>0.02</v>
          </cell>
          <cell r="X48686" t="str">
            <v>Financial income</v>
          </cell>
        </row>
        <row r="48687">
          <cell r="S48687">
            <v>-0.04</v>
          </cell>
          <cell r="X48687" t="str">
            <v>Financial income</v>
          </cell>
        </row>
        <row r="48688">
          <cell r="L48688" t="str">
            <v>Non-proportional</v>
          </cell>
          <cell r="S48688">
            <v>0.01</v>
          </cell>
          <cell r="X48688" t="str">
            <v>Financial income</v>
          </cell>
        </row>
        <row r="48689">
          <cell r="S48689">
            <v>0</v>
          </cell>
          <cell r="X48689" t="str">
            <v>Financial income</v>
          </cell>
        </row>
        <row r="48690">
          <cell r="S48690">
            <v>0.02</v>
          </cell>
          <cell r="X48690" t="str">
            <v>Financial income</v>
          </cell>
        </row>
        <row r="48691">
          <cell r="L48691" t="str">
            <v>Non-proportional</v>
          </cell>
          <cell r="S48691">
            <v>-0.01</v>
          </cell>
          <cell r="X48691" t="str">
            <v>Financial income</v>
          </cell>
        </row>
        <row r="48692">
          <cell r="L48692" t="str">
            <v>Non-proportional</v>
          </cell>
          <cell r="S48692">
            <v>-36.9</v>
          </cell>
          <cell r="X48692" t="str">
            <v>Financial income</v>
          </cell>
        </row>
        <row r="48693">
          <cell r="S48693">
            <v>-0.02</v>
          </cell>
          <cell r="X48693" t="str">
            <v>Financial income</v>
          </cell>
        </row>
        <row r="48694">
          <cell r="L48694" t="str">
            <v>Non-proportional</v>
          </cell>
          <cell r="S48694">
            <v>0</v>
          </cell>
          <cell r="X48694" t="str">
            <v>Financial income</v>
          </cell>
        </row>
        <row r="48695">
          <cell r="L48695" t="str">
            <v>Non-proportional</v>
          </cell>
          <cell r="S48695">
            <v>-0.01</v>
          </cell>
          <cell r="X48695" t="str">
            <v>Financial income</v>
          </cell>
        </row>
        <row r="48696">
          <cell r="L48696" t="str">
            <v>Non-proportional</v>
          </cell>
          <cell r="S48696">
            <v>0.03</v>
          </cell>
          <cell r="X48696" t="str">
            <v>Financial income</v>
          </cell>
        </row>
        <row r="48697">
          <cell r="L48697" t="str">
            <v>Non-proportional</v>
          </cell>
          <cell r="S48697">
            <v>0.01</v>
          </cell>
          <cell r="X48697" t="str">
            <v>Financial income</v>
          </cell>
        </row>
        <row r="48698">
          <cell r="L48698" t="str">
            <v>Non-proportional</v>
          </cell>
          <cell r="S48698">
            <v>0</v>
          </cell>
          <cell r="X48698" t="str">
            <v>Financial income</v>
          </cell>
        </row>
        <row r="48699">
          <cell r="L48699" t="str">
            <v>Non-proportional</v>
          </cell>
          <cell r="S48699">
            <v>-0.01</v>
          </cell>
          <cell r="X48699" t="str">
            <v>Financial income</v>
          </cell>
        </row>
        <row r="48700">
          <cell r="L48700" t="str">
            <v>Non-proportional</v>
          </cell>
          <cell r="S48700">
            <v>0.06</v>
          </cell>
          <cell r="X48700" t="str">
            <v>Financial income</v>
          </cell>
        </row>
        <row r="48701">
          <cell r="L48701" t="str">
            <v>Non-proportional</v>
          </cell>
          <cell r="S48701">
            <v>-0.01</v>
          </cell>
          <cell r="X48701" t="str">
            <v>Financial income</v>
          </cell>
        </row>
        <row r="48702">
          <cell r="L48702" t="str">
            <v>Non-proportional</v>
          </cell>
          <cell r="S48702">
            <v>-0.01</v>
          </cell>
          <cell r="X48702" t="str">
            <v>Financial income</v>
          </cell>
        </row>
        <row r="48703">
          <cell r="L48703" t="str">
            <v>Non-proportional</v>
          </cell>
          <cell r="S48703">
            <v>0.03</v>
          </cell>
          <cell r="X48703" t="str">
            <v>Financial income</v>
          </cell>
        </row>
        <row r="48704">
          <cell r="S48704">
            <v>0.03</v>
          </cell>
          <cell r="X48704" t="str">
            <v>Financial income</v>
          </cell>
        </row>
        <row r="48705">
          <cell r="L48705" t="str">
            <v>Non-proportional</v>
          </cell>
          <cell r="S48705">
            <v>-0.05</v>
          </cell>
          <cell r="X48705" t="str">
            <v>Financial income</v>
          </cell>
        </row>
        <row r="48706">
          <cell r="S48706">
            <v>0.01</v>
          </cell>
          <cell r="X48706" t="str">
            <v>Financial income</v>
          </cell>
        </row>
        <row r="48707">
          <cell r="L48707" t="str">
            <v>Non-proportional</v>
          </cell>
          <cell r="S48707">
            <v>0.05</v>
          </cell>
          <cell r="X48707" t="str">
            <v>Financial income</v>
          </cell>
        </row>
        <row r="48708">
          <cell r="S48708">
            <v>0.04</v>
          </cell>
          <cell r="X48708" t="str">
            <v>Financial income</v>
          </cell>
        </row>
        <row r="48709">
          <cell r="L48709" t="str">
            <v>Non-proportional</v>
          </cell>
          <cell r="S48709">
            <v>-0.01</v>
          </cell>
          <cell r="X48709" t="str">
            <v>Financial income</v>
          </cell>
        </row>
        <row r="48710">
          <cell r="L48710" t="str">
            <v>Non-proportional</v>
          </cell>
          <cell r="S48710">
            <v>-0.04</v>
          </cell>
          <cell r="X48710" t="str">
            <v>Financial income</v>
          </cell>
        </row>
        <row r="48711">
          <cell r="S48711">
            <v>-0.01</v>
          </cell>
          <cell r="X48711" t="str">
            <v>Financial income</v>
          </cell>
        </row>
        <row r="48712">
          <cell r="L48712" t="str">
            <v>Non-proportional</v>
          </cell>
          <cell r="S48712">
            <v>0.03</v>
          </cell>
          <cell r="X48712" t="str">
            <v>Financial income</v>
          </cell>
        </row>
        <row r="48713">
          <cell r="L48713" t="str">
            <v>Non-proportional</v>
          </cell>
          <cell r="S48713">
            <v>0.01</v>
          </cell>
          <cell r="X48713" t="str">
            <v>Financial income</v>
          </cell>
        </row>
        <row r="48714">
          <cell r="L48714" t="str">
            <v>Non-proportional</v>
          </cell>
          <cell r="S48714">
            <v>0.02</v>
          </cell>
          <cell r="X48714" t="str">
            <v>Financial income</v>
          </cell>
        </row>
        <row r="48715">
          <cell r="S48715">
            <v>-0.02</v>
          </cell>
          <cell r="X48715" t="str">
            <v>Financial income</v>
          </cell>
        </row>
        <row r="48716">
          <cell r="L48716" t="str">
            <v>Non-proportional</v>
          </cell>
          <cell r="S48716">
            <v>-0.01</v>
          </cell>
          <cell r="X48716" t="str">
            <v>Financial income</v>
          </cell>
        </row>
        <row r="48717">
          <cell r="S48717">
            <v>0.03</v>
          </cell>
          <cell r="X48717" t="str">
            <v>Financial income</v>
          </cell>
        </row>
        <row r="48718">
          <cell r="L48718" t="str">
            <v>Non-proportional</v>
          </cell>
          <cell r="S48718">
            <v>-0.04</v>
          </cell>
          <cell r="X48718" t="str">
            <v>Financial income</v>
          </cell>
        </row>
        <row r="48719">
          <cell r="L48719" t="str">
            <v>Non-proportional</v>
          </cell>
          <cell r="S48719">
            <v>0.75</v>
          </cell>
          <cell r="X48719" t="str">
            <v>Financial income</v>
          </cell>
        </row>
        <row r="48720">
          <cell r="L48720" t="str">
            <v>Non-proportional</v>
          </cell>
          <cell r="S48720">
            <v>0.04</v>
          </cell>
          <cell r="X48720" t="str">
            <v>Financial income</v>
          </cell>
        </row>
        <row r="48721">
          <cell r="S48721">
            <v>0.02</v>
          </cell>
          <cell r="X48721" t="str">
            <v>Financial income</v>
          </cell>
        </row>
        <row r="48722">
          <cell r="L48722" t="str">
            <v>Non-proportional</v>
          </cell>
          <cell r="S48722">
            <v>-0.01</v>
          </cell>
          <cell r="X48722" t="str">
            <v>Financial income</v>
          </cell>
        </row>
        <row r="48723">
          <cell r="L48723" t="str">
            <v>Non-proportional</v>
          </cell>
          <cell r="S48723">
            <v>-0.03</v>
          </cell>
          <cell r="X48723" t="str">
            <v>Financial income</v>
          </cell>
        </row>
        <row r="48724">
          <cell r="L48724" t="str">
            <v>Non-proportional</v>
          </cell>
          <cell r="S48724">
            <v>0.01</v>
          </cell>
          <cell r="X48724" t="str">
            <v>Financial income</v>
          </cell>
        </row>
        <row r="48725">
          <cell r="L48725" t="str">
            <v>Non-proportional</v>
          </cell>
          <cell r="S48725">
            <v>-2.5099999999999998</v>
          </cell>
          <cell r="X48725" t="str">
            <v>Financial income</v>
          </cell>
        </row>
        <row r="48726">
          <cell r="S48726">
            <v>-0.02</v>
          </cell>
          <cell r="X48726" t="str">
            <v>Financial income</v>
          </cell>
        </row>
        <row r="48727">
          <cell r="L48727" t="str">
            <v>Non-proportional</v>
          </cell>
          <cell r="S48727">
            <v>0.1</v>
          </cell>
          <cell r="X48727" t="str">
            <v>Financial income</v>
          </cell>
        </row>
        <row r="48728">
          <cell r="L48728" t="str">
            <v>Non-proportional</v>
          </cell>
          <cell r="S48728">
            <v>-8</v>
          </cell>
          <cell r="X48728" t="str">
            <v>Financial income</v>
          </cell>
        </row>
        <row r="48729">
          <cell r="L48729" t="str">
            <v>Non-proportional</v>
          </cell>
          <cell r="S48729">
            <v>-0.85</v>
          </cell>
          <cell r="X48729" t="str">
            <v>Financial income</v>
          </cell>
        </row>
        <row r="48730">
          <cell r="S48730">
            <v>0</v>
          </cell>
          <cell r="X48730" t="str">
            <v>Financial income</v>
          </cell>
        </row>
        <row r="48731">
          <cell r="L48731" t="str">
            <v>Non-proportional</v>
          </cell>
          <cell r="S48731">
            <v>-0.04</v>
          </cell>
          <cell r="X48731" t="str">
            <v>Financial income</v>
          </cell>
        </row>
        <row r="48732">
          <cell r="L48732" t="str">
            <v>Non-proportional</v>
          </cell>
          <cell r="S48732">
            <v>0</v>
          </cell>
          <cell r="X48732" t="str">
            <v>Financial income</v>
          </cell>
        </row>
        <row r="48733">
          <cell r="L48733" t="str">
            <v>Non-proportional</v>
          </cell>
          <cell r="S48733">
            <v>0</v>
          </cell>
          <cell r="X48733" t="str">
            <v>Financial income</v>
          </cell>
        </row>
        <row r="48734">
          <cell r="S48734">
            <v>0.01</v>
          </cell>
          <cell r="X48734" t="str">
            <v>Financial income</v>
          </cell>
        </row>
        <row r="48735">
          <cell r="L48735" t="str">
            <v>Non-proportional</v>
          </cell>
          <cell r="S48735">
            <v>0.01</v>
          </cell>
          <cell r="X48735" t="str">
            <v>Financial income</v>
          </cell>
        </row>
        <row r="48736">
          <cell r="S48736">
            <v>0.01</v>
          </cell>
          <cell r="X48736" t="str">
            <v>Financial income</v>
          </cell>
        </row>
        <row r="48737">
          <cell r="S48737">
            <v>0.01</v>
          </cell>
          <cell r="X48737" t="str">
            <v>Financial income</v>
          </cell>
        </row>
        <row r="48738">
          <cell r="S48738">
            <v>0.02</v>
          </cell>
          <cell r="X48738" t="str">
            <v>Financial income</v>
          </cell>
        </row>
        <row r="48739">
          <cell r="L48739" t="str">
            <v>Proportional</v>
          </cell>
          <cell r="S48739">
            <v>0</v>
          </cell>
          <cell r="X48739" t="str">
            <v>Financial income</v>
          </cell>
        </row>
        <row r="48740">
          <cell r="L48740" t="str">
            <v>Non-proportional</v>
          </cell>
          <cell r="S48740">
            <v>-0.06</v>
          </cell>
          <cell r="X48740" t="str">
            <v>Financial income</v>
          </cell>
        </row>
        <row r="48741">
          <cell r="L48741" t="str">
            <v>Non-proportional</v>
          </cell>
          <cell r="S48741">
            <v>-0.03</v>
          </cell>
          <cell r="X48741" t="str">
            <v>Financial income</v>
          </cell>
        </row>
        <row r="48742">
          <cell r="L48742" t="str">
            <v>Non-proportional</v>
          </cell>
          <cell r="S48742">
            <v>-0.02</v>
          </cell>
          <cell r="X48742" t="str">
            <v>Financial income</v>
          </cell>
        </row>
        <row r="48743">
          <cell r="S48743">
            <v>0.02</v>
          </cell>
          <cell r="X48743" t="str">
            <v>Financial income</v>
          </cell>
        </row>
        <row r="48744">
          <cell r="L48744" t="str">
            <v>Non-proportional</v>
          </cell>
          <cell r="S48744">
            <v>0.04</v>
          </cell>
          <cell r="X48744" t="str">
            <v>Financial income</v>
          </cell>
        </row>
        <row r="48745">
          <cell r="S48745">
            <v>-0.01</v>
          </cell>
          <cell r="X48745" t="str">
            <v>Financial income</v>
          </cell>
        </row>
        <row r="48746">
          <cell r="L48746" t="str">
            <v>Non-proportional</v>
          </cell>
          <cell r="S48746">
            <v>0.53</v>
          </cell>
          <cell r="X48746" t="str">
            <v>Financial income</v>
          </cell>
        </row>
        <row r="48747">
          <cell r="L48747" t="str">
            <v>Non-proportional</v>
          </cell>
          <cell r="S48747">
            <v>-0.02</v>
          </cell>
          <cell r="X48747" t="str">
            <v>Financial income</v>
          </cell>
        </row>
        <row r="48748">
          <cell r="S48748">
            <v>-0.05</v>
          </cell>
          <cell r="X48748" t="str">
            <v>Financial income</v>
          </cell>
        </row>
        <row r="48749">
          <cell r="L48749" t="str">
            <v>Non-proportional</v>
          </cell>
          <cell r="S48749">
            <v>-0.03</v>
          </cell>
          <cell r="X48749" t="str">
            <v>Financial income</v>
          </cell>
        </row>
        <row r="48750">
          <cell r="L48750" t="str">
            <v>Non-proportional</v>
          </cell>
          <cell r="S48750">
            <v>0.01</v>
          </cell>
          <cell r="X48750" t="str">
            <v>Financial income</v>
          </cell>
        </row>
        <row r="48751">
          <cell r="L48751" t="str">
            <v>Non-proportional</v>
          </cell>
          <cell r="S48751">
            <v>0</v>
          </cell>
          <cell r="X48751" t="str">
            <v>Financial income</v>
          </cell>
        </row>
        <row r="48752">
          <cell r="L48752" t="str">
            <v>Non-proportional</v>
          </cell>
          <cell r="S48752">
            <v>0.01</v>
          </cell>
          <cell r="X48752" t="str">
            <v>Financial income</v>
          </cell>
        </row>
        <row r="48753">
          <cell r="S48753">
            <v>0.54</v>
          </cell>
          <cell r="X48753" t="str">
            <v>Financial income</v>
          </cell>
        </row>
        <row r="48754">
          <cell r="S48754">
            <v>0.02</v>
          </cell>
          <cell r="X48754" t="str">
            <v>Financial income</v>
          </cell>
        </row>
        <row r="48755">
          <cell r="L48755" t="str">
            <v>Non-proportional</v>
          </cell>
          <cell r="S48755">
            <v>-0.01</v>
          </cell>
          <cell r="X48755" t="str">
            <v>Financial income</v>
          </cell>
        </row>
        <row r="48756">
          <cell r="L48756" t="str">
            <v>Non-proportional</v>
          </cell>
          <cell r="S48756">
            <v>-0.04</v>
          </cell>
          <cell r="X48756" t="str">
            <v>Financial income</v>
          </cell>
        </row>
        <row r="48757">
          <cell r="L48757" t="str">
            <v>Non-proportional</v>
          </cell>
          <cell r="S48757">
            <v>0.5</v>
          </cell>
          <cell r="X48757" t="str">
            <v>Financial income</v>
          </cell>
        </row>
        <row r="48758">
          <cell r="L48758" t="str">
            <v>Non-proportional</v>
          </cell>
          <cell r="S48758">
            <v>0.01</v>
          </cell>
          <cell r="X48758" t="str">
            <v>Financial income</v>
          </cell>
        </row>
        <row r="48759">
          <cell r="L48759" t="str">
            <v>Non-proportional</v>
          </cell>
          <cell r="S48759">
            <v>-0.01</v>
          </cell>
          <cell r="X48759" t="str">
            <v>Financial income</v>
          </cell>
        </row>
        <row r="48760">
          <cell r="S48760">
            <v>-0.01</v>
          </cell>
          <cell r="X48760" t="str">
            <v>Financial income</v>
          </cell>
        </row>
        <row r="48761">
          <cell r="S48761">
            <v>0.01</v>
          </cell>
          <cell r="X48761" t="str">
            <v>Financial income</v>
          </cell>
        </row>
        <row r="48762">
          <cell r="L48762" t="str">
            <v>Non-proportional</v>
          </cell>
          <cell r="S48762">
            <v>-0.02</v>
          </cell>
          <cell r="X48762" t="str">
            <v>Financial income</v>
          </cell>
        </row>
        <row r="48763">
          <cell r="L48763" t="str">
            <v>Non-proportional</v>
          </cell>
          <cell r="S48763">
            <v>-0.01</v>
          </cell>
          <cell r="X48763" t="str">
            <v>Financial income</v>
          </cell>
        </row>
        <row r="48764">
          <cell r="L48764" t="str">
            <v>Non-proportional</v>
          </cell>
          <cell r="S48764">
            <v>-0.02</v>
          </cell>
          <cell r="X48764" t="str">
            <v>Financial income</v>
          </cell>
        </row>
        <row r="48765">
          <cell r="L48765" t="str">
            <v>Non-proportional</v>
          </cell>
          <cell r="S48765">
            <v>-0.06</v>
          </cell>
          <cell r="X48765" t="str">
            <v>Financial income</v>
          </cell>
        </row>
        <row r="48766">
          <cell r="L48766" t="str">
            <v>Non-proportional</v>
          </cell>
          <cell r="S48766">
            <v>0.03</v>
          </cell>
          <cell r="X48766" t="str">
            <v>Financial income</v>
          </cell>
        </row>
        <row r="48767">
          <cell r="S48767">
            <v>-0.02</v>
          </cell>
          <cell r="X48767" t="str">
            <v>Financial income</v>
          </cell>
        </row>
        <row r="48768">
          <cell r="L48768" t="str">
            <v>Non-proportional</v>
          </cell>
          <cell r="S48768">
            <v>0.01</v>
          </cell>
          <cell r="X48768" t="str">
            <v>Financial income</v>
          </cell>
        </row>
        <row r="48769">
          <cell r="L48769" t="str">
            <v>Non-proportional</v>
          </cell>
          <cell r="S48769">
            <v>0.51</v>
          </cell>
          <cell r="X48769" t="str">
            <v>Financial income</v>
          </cell>
        </row>
        <row r="48770">
          <cell r="S48770">
            <v>-0.03</v>
          </cell>
          <cell r="X48770" t="str">
            <v>Financial income</v>
          </cell>
        </row>
        <row r="48771">
          <cell r="L48771" t="str">
            <v>Non-proportional</v>
          </cell>
          <cell r="S48771">
            <v>-0.51</v>
          </cell>
          <cell r="X48771" t="str">
            <v>Financial income</v>
          </cell>
        </row>
        <row r="48772">
          <cell r="L48772" t="str">
            <v>Non-proportional</v>
          </cell>
          <cell r="S48772">
            <v>0.02</v>
          </cell>
          <cell r="X48772" t="str">
            <v>Financial income</v>
          </cell>
        </row>
        <row r="48773">
          <cell r="L48773" t="str">
            <v>Non-proportional</v>
          </cell>
          <cell r="S48773">
            <v>0.01</v>
          </cell>
          <cell r="X48773" t="str">
            <v>Financial income</v>
          </cell>
        </row>
        <row r="48774">
          <cell r="L48774" t="str">
            <v>Non-proportional</v>
          </cell>
          <cell r="S48774">
            <v>0.2</v>
          </cell>
          <cell r="X48774" t="str">
            <v>Financial income</v>
          </cell>
        </row>
        <row r="48775">
          <cell r="L48775" t="str">
            <v>Non-proportional</v>
          </cell>
          <cell r="S48775">
            <v>-0.28999999999999998</v>
          </cell>
          <cell r="X48775" t="str">
            <v>Financial income</v>
          </cell>
        </row>
        <row r="48776">
          <cell r="S48776">
            <v>-0.01</v>
          </cell>
          <cell r="X48776" t="str">
            <v>Financial income</v>
          </cell>
        </row>
        <row r="48777">
          <cell r="L48777" t="str">
            <v>Non-proportional</v>
          </cell>
          <cell r="S48777">
            <v>0</v>
          </cell>
          <cell r="X48777" t="str">
            <v>Financial income</v>
          </cell>
        </row>
        <row r="48778">
          <cell r="S48778">
            <v>0.01</v>
          </cell>
          <cell r="X48778" t="str">
            <v>Financial income</v>
          </cell>
        </row>
        <row r="48779">
          <cell r="L48779" t="str">
            <v>Non-proportional</v>
          </cell>
          <cell r="S48779">
            <v>0.01</v>
          </cell>
          <cell r="X48779" t="str">
            <v>Financial income</v>
          </cell>
        </row>
        <row r="48780">
          <cell r="L48780" t="str">
            <v>Non-proportional</v>
          </cell>
          <cell r="S48780">
            <v>-7.0000000000000007E-2</v>
          </cell>
          <cell r="X48780" t="str">
            <v>Financial income</v>
          </cell>
        </row>
        <row r="48781">
          <cell r="S48781">
            <v>-0.01</v>
          </cell>
          <cell r="X48781" t="str">
            <v>Financial income</v>
          </cell>
        </row>
        <row r="48782">
          <cell r="S48782">
            <v>-0.01</v>
          </cell>
          <cell r="X48782" t="str">
            <v>Financial income</v>
          </cell>
        </row>
        <row r="48783">
          <cell r="S48783">
            <v>-0.03</v>
          </cell>
          <cell r="X48783" t="str">
            <v>Financial income</v>
          </cell>
        </row>
        <row r="48784">
          <cell r="L48784" t="str">
            <v>Non-proportional</v>
          </cell>
          <cell r="S48784">
            <v>-0.02</v>
          </cell>
          <cell r="X48784" t="str">
            <v>Financial income</v>
          </cell>
        </row>
        <row r="48785">
          <cell r="L48785" t="str">
            <v>Non-proportional</v>
          </cell>
          <cell r="S48785">
            <v>-0.02</v>
          </cell>
          <cell r="X48785" t="str">
            <v>Financial income</v>
          </cell>
        </row>
        <row r="48786">
          <cell r="S48786">
            <v>0.01</v>
          </cell>
          <cell r="X48786" t="str">
            <v>Financial income</v>
          </cell>
        </row>
        <row r="48787">
          <cell r="L48787" t="str">
            <v>Non-proportional</v>
          </cell>
          <cell r="S48787">
            <v>0.01</v>
          </cell>
          <cell r="X48787" t="str">
            <v>Financial income</v>
          </cell>
        </row>
        <row r="48788">
          <cell r="S48788">
            <v>-0.01</v>
          </cell>
          <cell r="X48788" t="str">
            <v>Financial income</v>
          </cell>
        </row>
        <row r="48789">
          <cell r="L48789" t="str">
            <v>Non-proportional</v>
          </cell>
          <cell r="S48789">
            <v>0</v>
          </cell>
          <cell r="X48789" t="str">
            <v>Financial income</v>
          </cell>
        </row>
        <row r="48790">
          <cell r="S48790">
            <v>-0.05</v>
          </cell>
          <cell r="X48790" t="str">
            <v>Financial income</v>
          </cell>
        </row>
        <row r="48791">
          <cell r="L48791" t="str">
            <v>Non-proportional</v>
          </cell>
          <cell r="S48791">
            <v>-0.01</v>
          </cell>
          <cell r="X48791" t="str">
            <v>Financial income</v>
          </cell>
        </row>
        <row r="48792">
          <cell r="S48792">
            <v>-0.01</v>
          </cell>
          <cell r="X48792" t="str">
            <v>Financial income</v>
          </cell>
        </row>
        <row r="48793">
          <cell r="S48793">
            <v>-0.01</v>
          </cell>
          <cell r="X48793" t="str">
            <v>Financial income</v>
          </cell>
        </row>
        <row r="48794">
          <cell r="S48794">
            <v>0.04</v>
          </cell>
          <cell r="X48794" t="str">
            <v>Financial income</v>
          </cell>
        </row>
        <row r="48795">
          <cell r="S48795">
            <v>0</v>
          </cell>
          <cell r="X48795" t="str">
            <v>Financial income</v>
          </cell>
        </row>
        <row r="48796">
          <cell r="S48796">
            <v>-0.02</v>
          </cell>
          <cell r="X48796" t="str">
            <v>Financial income</v>
          </cell>
        </row>
        <row r="48797">
          <cell r="S48797">
            <v>0.01</v>
          </cell>
          <cell r="X48797" t="str">
            <v>Financial income</v>
          </cell>
        </row>
        <row r="48798">
          <cell r="S48798">
            <v>-7.0000000000000007E-2</v>
          </cell>
          <cell r="X48798" t="str">
            <v>Financial income</v>
          </cell>
        </row>
        <row r="48799">
          <cell r="L48799" t="str">
            <v>Non-proportional</v>
          </cell>
          <cell r="S48799">
            <v>0</v>
          </cell>
          <cell r="X48799" t="str">
            <v>Financial income</v>
          </cell>
        </row>
        <row r="48800">
          <cell r="L48800" t="str">
            <v>Proportional</v>
          </cell>
          <cell r="S48800">
            <v>-0.02</v>
          </cell>
          <cell r="X48800" t="str">
            <v>Financial income</v>
          </cell>
        </row>
        <row r="48801">
          <cell r="S48801">
            <v>-0.01</v>
          </cell>
          <cell r="X48801" t="str">
            <v>Financial income</v>
          </cell>
        </row>
        <row r="48802">
          <cell r="S48802">
            <v>0.03</v>
          </cell>
          <cell r="X48802" t="str">
            <v>Financial income</v>
          </cell>
        </row>
        <row r="48803">
          <cell r="L48803" t="str">
            <v>Non-proportional</v>
          </cell>
          <cell r="S48803">
            <v>-0.01</v>
          </cell>
          <cell r="X48803" t="str">
            <v>Financial income</v>
          </cell>
        </row>
        <row r="48804">
          <cell r="L48804" t="str">
            <v>Non-proportional</v>
          </cell>
          <cell r="S48804">
            <v>0.51</v>
          </cell>
          <cell r="X48804" t="str">
            <v>Financial income</v>
          </cell>
        </row>
        <row r="48805">
          <cell r="S48805">
            <v>-0.01</v>
          </cell>
          <cell r="X48805" t="str">
            <v>Financial income</v>
          </cell>
        </row>
        <row r="48806">
          <cell r="S48806">
            <v>-0.02</v>
          </cell>
          <cell r="X48806" t="str">
            <v>Financial income</v>
          </cell>
        </row>
        <row r="48807">
          <cell r="S48807">
            <v>-0.05</v>
          </cell>
          <cell r="X48807" t="str">
            <v>Financial income</v>
          </cell>
        </row>
        <row r="48808">
          <cell r="L48808" t="str">
            <v>Non-proportional</v>
          </cell>
          <cell r="S48808">
            <v>-0.06</v>
          </cell>
          <cell r="X48808" t="str">
            <v>Financial income</v>
          </cell>
        </row>
        <row r="48809">
          <cell r="S48809">
            <v>-0.01</v>
          </cell>
          <cell r="X48809" t="str">
            <v>Financial income</v>
          </cell>
        </row>
        <row r="48810">
          <cell r="L48810" t="str">
            <v>Non-proportional</v>
          </cell>
          <cell r="S48810">
            <v>0</v>
          </cell>
          <cell r="X48810" t="str">
            <v>Financial income</v>
          </cell>
        </row>
        <row r="48811">
          <cell r="S48811">
            <v>0.01</v>
          </cell>
          <cell r="X48811" t="str">
            <v>Financial income</v>
          </cell>
        </row>
        <row r="48812">
          <cell r="S48812">
            <v>-0.01</v>
          </cell>
          <cell r="X48812" t="str">
            <v>Financial income</v>
          </cell>
        </row>
        <row r="48813">
          <cell r="S48813">
            <v>0.01</v>
          </cell>
          <cell r="X48813" t="str">
            <v>Financial income</v>
          </cell>
        </row>
        <row r="48814">
          <cell r="S48814">
            <v>-0.06</v>
          </cell>
          <cell r="X48814" t="str">
            <v>Financial income</v>
          </cell>
        </row>
        <row r="48815">
          <cell r="L48815" t="str">
            <v>Non-proportional</v>
          </cell>
          <cell r="S48815">
            <v>0.01</v>
          </cell>
          <cell r="X48815" t="str">
            <v>Financial income</v>
          </cell>
        </row>
        <row r="48816">
          <cell r="S48816">
            <v>-0.01</v>
          </cell>
          <cell r="X48816" t="str">
            <v>Financial income</v>
          </cell>
        </row>
        <row r="48817">
          <cell r="S48817">
            <v>0.01</v>
          </cell>
          <cell r="X48817" t="str">
            <v>Financial income</v>
          </cell>
        </row>
        <row r="48818">
          <cell r="S48818">
            <v>0.02</v>
          </cell>
          <cell r="X48818" t="str">
            <v>Financial income</v>
          </cell>
        </row>
        <row r="48819">
          <cell r="L48819" t="str">
            <v>Non-proportional</v>
          </cell>
          <cell r="S48819">
            <v>0.03</v>
          </cell>
          <cell r="X48819" t="str">
            <v>Financial income</v>
          </cell>
        </row>
        <row r="48820">
          <cell r="L48820" t="str">
            <v>Non-proportional</v>
          </cell>
          <cell r="S48820">
            <v>-0.01</v>
          </cell>
          <cell r="X48820" t="str">
            <v>Financial income</v>
          </cell>
        </row>
        <row r="48821">
          <cell r="L48821" t="str">
            <v>Non-proportional</v>
          </cell>
          <cell r="S48821">
            <v>-0.03</v>
          </cell>
          <cell r="X48821" t="str">
            <v>Financial income</v>
          </cell>
        </row>
        <row r="48822">
          <cell r="L48822"/>
          <cell r="S48822">
            <v>-0.01</v>
          </cell>
          <cell r="X48822" t="str">
            <v>Financial income</v>
          </cell>
        </row>
        <row r="48823">
          <cell r="L48823"/>
          <cell r="S48823">
            <v>0.01</v>
          </cell>
          <cell r="X48823" t="str">
            <v>Financial income</v>
          </cell>
        </row>
        <row r="48824">
          <cell r="L48824" t="str">
            <v>Non-proportional</v>
          </cell>
          <cell r="S48824">
            <v>0.03</v>
          </cell>
          <cell r="X48824" t="str">
            <v>Financial income</v>
          </cell>
        </row>
        <row r="48825">
          <cell r="L48825"/>
          <cell r="S48825">
            <v>0.01</v>
          </cell>
          <cell r="X48825" t="str">
            <v>Financial income</v>
          </cell>
        </row>
        <row r="48826">
          <cell r="L48826"/>
          <cell r="S48826">
            <v>-0.02</v>
          </cell>
          <cell r="X48826" t="str">
            <v>Financial income</v>
          </cell>
        </row>
        <row r="48827">
          <cell r="L48827"/>
          <cell r="S48827">
            <v>0.01</v>
          </cell>
          <cell r="X48827" t="str">
            <v>Financial income</v>
          </cell>
        </row>
        <row r="48828">
          <cell r="L48828"/>
          <cell r="S48828">
            <v>-0.03</v>
          </cell>
          <cell r="X48828" t="str">
            <v>Financial income</v>
          </cell>
        </row>
        <row r="48829">
          <cell r="L48829"/>
          <cell r="S48829">
            <v>0.01</v>
          </cell>
          <cell r="X48829" t="str">
            <v>Financial income</v>
          </cell>
        </row>
        <row r="48830">
          <cell r="L48830"/>
          <cell r="S48830">
            <v>0.01</v>
          </cell>
          <cell r="X48830" t="str">
            <v>Financial income</v>
          </cell>
        </row>
        <row r="48831">
          <cell r="L48831" t="str">
            <v>Non-proportional</v>
          </cell>
          <cell r="S48831">
            <v>-2.2200000000000002</v>
          </cell>
          <cell r="X48831" t="str">
            <v>Financial income</v>
          </cell>
        </row>
        <row r="48832">
          <cell r="L48832"/>
          <cell r="S48832">
            <v>0.05</v>
          </cell>
          <cell r="X48832" t="str">
            <v>Financial income</v>
          </cell>
        </row>
        <row r="48833">
          <cell r="L48833" t="str">
            <v>Non-proportional</v>
          </cell>
          <cell r="S48833">
            <v>-0.05</v>
          </cell>
          <cell r="X48833" t="str">
            <v>Financial income</v>
          </cell>
        </row>
        <row r="48834">
          <cell r="L48834"/>
          <cell r="S48834">
            <v>0.01</v>
          </cell>
          <cell r="X48834" t="str">
            <v>Financial income</v>
          </cell>
        </row>
        <row r="48835">
          <cell r="L48835"/>
          <cell r="S48835">
            <v>0</v>
          </cell>
          <cell r="X48835" t="str">
            <v>Financial income</v>
          </cell>
        </row>
        <row r="48836">
          <cell r="L48836"/>
          <cell r="S48836">
            <v>-0.01</v>
          </cell>
          <cell r="X48836" t="str">
            <v>Financial income</v>
          </cell>
        </row>
        <row r="48837">
          <cell r="L48837" t="str">
            <v>Non-proportional</v>
          </cell>
          <cell r="S48837">
            <v>-0.04</v>
          </cell>
          <cell r="X48837" t="str">
            <v>Financial income</v>
          </cell>
        </row>
        <row r="48838">
          <cell r="L48838"/>
          <cell r="S48838">
            <v>-0.01</v>
          </cell>
          <cell r="X48838" t="str">
            <v>Financial income</v>
          </cell>
        </row>
        <row r="48839">
          <cell r="L48839" t="str">
            <v>Non-proportional</v>
          </cell>
          <cell r="S48839">
            <v>-0.03</v>
          </cell>
          <cell r="X48839" t="str">
            <v>Financial income</v>
          </cell>
        </row>
        <row r="48840">
          <cell r="L48840"/>
          <cell r="S48840">
            <v>-0.01</v>
          </cell>
          <cell r="X48840" t="str">
            <v>Financial income</v>
          </cell>
        </row>
        <row r="48841">
          <cell r="L48841" t="str">
            <v>Proportional</v>
          </cell>
          <cell r="S48841">
            <v>-0.08</v>
          </cell>
          <cell r="X48841" t="str">
            <v>Financial income</v>
          </cell>
        </row>
        <row r="48842">
          <cell r="L48842"/>
          <cell r="S48842">
            <v>-0.01</v>
          </cell>
          <cell r="X48842" t="str">
            <v>Financial income</v>
          </cell>
        </row>
        <row r="48843">
          <cell r="L48843" t="str">
            <v>Non-proportional</v>
          </cell>
          <cell r="S48843">
            <v>-0.01</v>
          </cell>
          <cell r="X48843" t="str">
            <v>Financial income</v>
          </cell>
        </row>
        <row r="48844">
          <cell r="L48844" t="str">
            <v>Non-proportional</v>
          </cell>
          <cell r="S48844">
            <v>9.0399999999999991</v>
          </cell>
          <cell r="X48844" t="str">
            <v>Financial income</v>
          </cell>
        </row>
        <row r="48845">
          <cell r="L48845" t="str">
            <v>Non-proportional</v>
          </cell>
          <cell r="S48845">
            <v>0</v>
          </cell>
          <cell r="X48845" t="str">
            <v>Financial income</v>
          </cell>
        </row>
        <row r="48846">
          <cell r="L48846"/>
          <cell r="S48846">
            <v>0.01</v>
          </cell>
          <cell r="X48846" t="str">
            <v>Financial income</v>
          </cell>
        </row>
        <row r="48847">
          <cell r="L48847"/>
          <cell r="S48847">
            <v>0</v>
          </cell>
          <cell r="X48847" t="str">
            <v>Financial income</v>
          </cell>
        </row>
        <row r="48848">
          <cell r="L48848"/>
          <cell r="S48848">
            <v>-0.01</v>
          </cell>
          <cell r="X48848" t="str">
            <v>Financial income</v>
          </cell>
        </row>
        <row r="48849">
          <cell r="L48849" t="str">
            <v>Non-proportional</v>
          </cell>
          <cell r="S48849">
            <v>0</v>
          </cell>
          <cell r="X48849" t="str">
            <v>Financial income</v>
          </cell>
        </row>
        <row r="48850">
          <cell r="L48850" t="str">
            <v>Non-proportional</v>
          </cell>
          <cell r="S48850">
            <v>0.75</v>
          </cell>
          <cell r="X48850" t="str">
            <v>Financial income</v>
          </cell>
        </row>
        <row r="48851">
          <cell r="L48851" t="str">
            <v>Non-proportional</v>
          </cell>
          <cell r="S48851">
            <v>0.01</v>
          </cell>
          <cell r="X48851" t="str">
            <v>Financial income</v>
          </cell>
        </row>
        <row r="48852">
          <cell r="L48852"/>
          <cell r="S48852">
            <v>-0.01</v>
          </cell>
          <cell r="X48852" t="str">
            <v>Financial income</v>
          </cell>
        </row>
        <row r="48853">
          <cell r="L48853" t="str">
            <v>Non-proportional</v>
          </cell>
          <cell r="S48853">
            <v>0</v>
          </cell>
          <cell r="X48853" t="str">
            <v>Financial income</v>
          </cell>
        </row>
        <row r="48854">
          <cell r="L48854"/>
          <cell r="S48854">
            <v>-0.01</v>
          </cell>
          <cell r="X48854" t="str">
            <v>Financial income</v>
          </cell>
        </row>
        <row r="48855">
          <cell r="L48855"/>
          <cell r="S48855">
            <v>0.03</v>
          </cell>
          <cell r="X48855" t="str">
            <v>Financial income</v>
          </cell>
        </row>
        <row r="48856">
          <cell r="L48856" t="str">
            <v>Proportional</v>
          </cell>
          <cell r="S48856">
            <v>-0.08</v>
          </cell>
          <cell r="X48856" t="str">
            <v>Financial income</v>
          </cell>
        </row>
        <row r="48857">
          <cell r="L48857"/>
          <cell r="S48857">
            <v>0.01</v>
          </cell>
          <cell r="X48857" t="str">
            <v>Financial income</v>
          </cell>
        </row>
        <row r="48858">
          <cell r="L48858"/>
          <cell r="S48858">
            <v>-0.02</v>
          </cell>
          <cell r="X48858" t="str">
            <v>Financial income</v>
          </cell>
        </row>
        <row r="48859">
          <cell r="L48859" t="str">
            <v>Non-proportional</v>
          </cell>
          <cell r="S48859">
            <v>-0.05</v>
          </cell>
          <cell r="X48859" t="str">
            <v>Financial income</v>
          </cell>
        </row>
        <row r="48860">
          <cell r="L48860" t="str">
            <v>Non-proportional</v>
          </cell>
          <cell r="S48860">
            <v>0</v>
          </cell>
          <cell r="X48860" t="str">
            <v>Financial income</v>
          </cell>
        </row>
        <row r="48861">
          <cell r="L48861" t="str">
            <v>Non-proportional</v>
          </cell>
          <cell r="S48861">
            <v>0.02</v>
          </cell>
          <cell r="X48861" t="str">
            <v>Financial income</v>
          </cell>
        </row>
        <row r="48862">
          <cell r="L48862" t="str">
            <v>Proportional</v>
          </cell>
          <cell r="S48862">
            <v>-0.03</v>
          </cell>
          <cell r="X48862" t="str">
            <v>Financial income</v>
          </cell>
        </row>
        <row r="48863">
          <cell r="L48863"/>
          <cell r="S48863">
            <v>0.02</v>
          </cell>
          <cell r="X48863" t="str">
            <v>Financial income</v>
          </cell>
        </row>
        <row r="48864">
          <cell r="L48864" t="str">
            <v>Non-proportional</v>
          </cell>
          <cell r="S48864">
            <v>0.01</v>
          </cell>
          <cell r="X48864" t="str">
            <v>Financial income</v>
          </cell>
        </row>
        <row r="48865">
          <cell r="L48865"/>
          <cell r="S48865">
            <v>-0.01</v>
          </cell>
          <cell r="X48865" t="str">
            <v>Financial income</v>
          </cell>
        </row>
        <row r="48866">
          <cell r="L48866" t="str">
            <v>Non-proportional</v>
          </cell>
          <cell r="S48866">
            <v>-0.01</v>
          </cell>
          <cell r="X48866" t="str">
            <v>Financial income</v>
          </cell>
        </row>
        <row r="48867">
          <cell r="L48867"/>
          <cell r="S48867">
            <v>0.01</v>
          </cell>
          <cell r="X48867" t="str">
            <v>Financial income</v>
          </cell>
        </row>
        <row r="48868">
          <cell r="L48868"/>
          <cell r="S48868">
            <v>0.02</v>
          </cell>
          <cell r="X48868" t="str">
            <v>Financial income</v>
          </cell>
        </row>
        <row r="48869">
          <cell r="L48869"/>
          <cell r="S48869">
            <v>0.01</v>
          </cell>
          <cell r="X48869" t="str">
            <v>Financial income</v>
          </cell>
        </row>
        <row r="48870">
          <cell r="L48870"/>
          <cell r="S48870">
            <v>-0.06</v>
          </cell>
          <cell r="X48870" t="str">
            <v>Financial income</v>
          </cell>
        </row>
        <row r="48871">
          <cell r="L48871" t="str">
            <v>Non-proportional</v>
          </cell>
          <cell r="S48871">
            <v>-0.01</v>
          </cell>
          <cell r="X48871" t="str">
            <v>Financial income</v>
          </cell>
        </row>
        <row r="48872">
          <cell r="L48872"/>
          <cell r="S48872">
            <v>0.01</v>
          </cell>
          <cell r="X48872" t="str">
            <v>Financial income</v>
          </cell>
        </row>
        <row r="48873">
          <cell r="L48873" t="str">
            <v>Non-proportional</v>
          </cell>
          <cell r="S48873">
            <v>0</v>
          </cell>
          <cell r="X48873" t="str">
            <v>Financial income</v>
          </cell>
        </row>
        <row r="48874">
          <cell r="L48874"/>
          <cell r="S48874">
            <v>-0.01</v>
          </cell>
          <cell r="X48874" t="str">
            <v>Financial income</v>
          </cell>
        </row>
        <row r="48875">
          <cell r="L48875" t="str">
            <v>Proportional</v>
          </cell>
          <cell r="S48875">
            <v>-0.16</v>
          </cell>
          <cell r="X48875" t="str">
            <v>Financial income</v>
          </cell>
        </row>
        <row r="48876">
          <cell r="L48876"/>
          <cell r="S48876">
            <v>-0.01</v>
          </cell>
          <cell r="X48876" t="str">
            <v>Financial income</v>
          </cell>
        </row>
        <row r="48877">
          <cell r="L48877" t="str">
            <v>Non-proportional</v>
          </cell>
          <cell r="S48877">
            <v>-0.01</v>
          </cell>
          <cell r="X48877" t="str">
            <v>Financial income</v>
          </cell>
        </row>
        <row r="48878">
          <cell r="L48878" t="str">
            <v>Non-proportional</v>
          </cell>
          <cell r="S48878">
            <v>0</v>
          </cell>
          <cell r="X48878" t="str">
            <v>Financial income</v>
          </cell>
        </row>
        <row r="48879">
          <cell r="L48879" t="str">
            <v>Non-proportional</v>
          </cell>
          <cell r="S48879">
            <v>0.02</v>
          </cell>
          <cell r="X48879" t="str">
            <v>Financial income</v>
          </cell>
        </row>
        <row r="48880">
          <cell r="L48880"/>
          <cell r="S48880">
            <v>-0.01</v>
          </cell>
          <cell r="X48880" t="str">
            <v>Financial income</v>
          </cell>
        </row>
        <row r="48881">
          <cell r="L48881"/>
          <cell r="S48881">
            <v>0.01</v>
          </cell>
          <cell r="X48881" t="str">
            <v>Financial income</v>
          </cell>
        </row>
        <row r="48882">
          <cell r="L48882" t="str">
            <v>Proportional</v>
          </cell>
          <cell r="S48882">
            <v>-0.01</v>
          </cell>
          <cell r="X48882" t="str">
            <v>Financial income</v>
          </cell>
        </row>
        <row r="48883">
          <cell r="L48883" t="str">
            <v>Non-proportional</v>
          </cell>
          <cell r="S48883">
            <v>-0.01</v>
          </cell>
          <cell r="X48883" t="str">
            <v>Financial income</v>
          </cell>
        </row>
        <row r="48884">
          <cell r="L48884" t="str">
            <v>Non-proportional</v>
          </cell>
          <cell r="S48884">
            <v>-0.01</v>
          </cell>
          <cell r="X48884" t="str">
            <v>Financial income</v>
          </cell>
        </row>
        <row r="48885">
          <cell r="L48885" t="str">
            <v>Non-proportional</v>
          </cell>
          <cell r="S48885">
            <v>0</v>
          </cell>
          <cell r="X48885" t="str">
            <v>Financial income</v>
          </cell>
        </row>
        <row r="48886">
          <cell r="L48886"/>
          <cell r="S48886">
            <v>0.03</v>
          </cell>
          <cell r="X48886" t="str">
            <v>Financial income</v>
          </cell>
        </row>
        <row r="48887">
          <cell r="L48887" t="str">
            <v>Non-proportional</v>
          </cell>
          <cell r="S48887">
            <v>-0.03</v>
          </cell>
          <cell r="X48887" t="str">
            <v>Financial income</v>
          </cell>
        </row>
        <row r="48888">
          <cell r="L48888" t="str">
            <v>Non-proportional</v>
          </cell>
          <cell r="S48888">
            <v>-0.01</v>
          </cell>
          <cell r="X48888" t="str">
            <v>Financial income</v>
          </cell>
        </row>
        <row r="48889">
          <cell r="L48889" t="str">
            <v>Non-proportional</v>
          </cell>
          <cell r="S48889">
            <v>0.01</v>
          </cell>
          <cell r="X48889" t="str">
            <v>Financial income</v>
          </cell>
        </row>
        <row r="48890">
          <cell r="L48890"/>
          <cell r="S48890">
            <v>-0.02</v>
          </cell>
          <cell r="X48890" t="str">
            <v>Financial income</v>
          </cell>
        </row>
        <row r="48891">
          <cell r="L48891" t="str">
            <v>Non-proportional</v>
          </cell>
          <cell r="S48891">
            <v>0.01</v>
          </cell>
          <cell r="X48891" t="str">
            <v>Financial income</v>
          </cell>
        </row>
        <row r="48892">
          <cell r="L48892"/>
          <cell r="S48892">
            <v>-0.03</v>
          </cell>
          <cell r="X48892" t="str">
            <v>Financial income</v>
          </cell>
        </row>
        <row r="48893">
          <cell r="L48893" t="str">
            <v>Non-proportional</v>
          </cell>
          <cell r="S48893">
            <v>0</v>
          </cell>
          <cell r="X48893" t="str">
            <v>Financial income</v>
          </cell>
        </row>
        <row r="48894">
          <cell r="L48894" t="str">
            <v>Non-proportional</v>
          </cell>
          <cell r="S48894">
            <v>-0.02</v>
          </cell>
          <cell r="X48894" t="str">
            <v>Financial income</v>
          </cell>
        </row>
        <row r="48895">
          <cell r="L48895" t="str">
            <v>Non-proportional</v>
          </cell>
          <cell r="S48895">
            <v>-0.02</v>
          </cell>
          <cell r="X48895" t="str">
            <v>Financial income</v>
          </cell>
        </row>
        <row r="48896">
          <cell r="L48896"/>
          <cell r="S48896">
            <v>0.05</v>
          </cell>
          <cell r="X48896" t="str">
            <v>Financial income</v>
          </cell>
        </row>
        <row r="48897">
          <cell r="L48897"/>
          <cell r="S48897">
            <v>0.02</v>
          </cell>
          <cell r="X48897" t="str">
            <v>Financial income</v>
          </cell>
        </row>
        <row r="48898">
          <cell r="L48898" t="str">
            <v>Non-proportional</v>
          </cell>
          <cell r="S48898">
            <v>-0.01</v>
          </cell>
          <cell r="X48898" t="str">
            <v>Financial income</v>
          </cell>
        </row>
        <row r="48899">
          <cell r="L48899"/>
          <cell r="S48899">
            <v>0.6</v>
          </cell>
          <cell r="X48899" t="str">
            <v>Financial income</v>
          </cell>
        </row>
        <row r="48900">
          <cell r="L48900" t="str">
            <v>Non-proportional</v>
          </cell>
          <cell r="S48900">
            <v>-0.02</v>
          </cell>
          <cell r="X48900" t="str">
            <v>Financial income</v>
          </cell>
        </row>
        <row r="48901">
          <cell r="L48901"/>
          <cell r="S48901">
            <v>0.02</v>
          </cell>
          <cell r="X48901" t="str">
            <v>Financial income</v>
          </cell>
        </row>
        <row r="48902">
          <cell r="L48902" t="str">
            <v>Non-proportional</v>
          </cell>
          <cell r="S48902">
            <v>0.01</v>
          </cell>
          <cell r="X48902" t="str">
            <v>Financial income</v>
          </cell>
        </row>
        <row r="48903">
          <cell r="L48903" t="str">
            <v>Proportional</v>
          </cell>
          <cell r="S48903">
            <v>0.01</v>
          </cell>
          <cell r="X48903" t="str">
            <v>Financial income</v>
          </cell>
        </row>
        <row r="48904">
          <cell r="L48904"/>
          <cell r="S48904">
            <v>0.03</v>
          </cell>
          <cell r="X48904" t="str">
            <v>Financial income</v>
          </cell>
        </row>
        <row r="48905">
          <cell r="L48905" t="str">
            <v>Non-proportional</v>
          </cell>
          <cell r="S48905">
            <v>-0.01</v>
          </cell>
          <cell r="X48905" t="str">
            <v>Financial income</v>
          </cell>
        </row>
        <row r="48906">
          <cell r="L48906" t="str">
            <v>Non-proportional</v>
          </cell>
          <cell r="S48906">
            <v>0</v>
          </cell>
          <cell r="X48906" t="str">
            <v>Financial income</v>
          </cell>
        </row>
        <row r="48907">
          <cell r="L48907"/>
          <cell r="S48907">
            <v>-0.02</v>
          </cell>
          <cell r="X48907" t="str">
            <v>Financial income</v>
          </cell>
        </row>
        <row r="48908">
          <cell r="L48908"/>
          <cell r="S48908">
            <v>-0.05</v>
          </cell>
          <cell r="X48908" t="str">
            <v>Financial income</v>
          </cell>
        </row>
        <row r="48909">
          <cell r="L48909" t="str">
            <v>Non-proportional</v>
          </cell>
          <cell r="S48909">
            <v>-0.02</v>
          </cell>
          <cell r="X48909" t="str">
            <v>Financial income</v>
          </cell>
        </row>
        <row r="48910">
          <cell r="L48910" t="str">
            <v>Non-proportional</v>
          </cell>
          <cell r="S48910">
            <v>0.01</v>
          </cell>
          <cell r="X48910" t="str">
            <v>Financial income</v>
          </cell>
        </row>
        <row r="48911">
          <cell r="L48911" t="str">
            <v>Non-proportional</v>
          </cell>
          <cell r="S48911">
            <v>-0.12</v>
          </cell>
          <cell r="X48911" t="str">
            <v>Financial income</v>
          </cell>
        </row>
        <row r="48912">
          <cell r="L48912"/>
          <cell r="S48912">
            <v>0.02</v>
          </cell>
          <cell r="X48912" t="str">
            <v>Financial income</v>
          </cell>
        </row>
        <row r="48913">
          <cell r="L48913" t="str">
            <v>Non-proportional</v>
          </cell>
          <cell r="S48913">
            <v>-0.27</v>
          </cell>
          <cell r="X48913" t="str">
            <v>Financial income</v>
          </cell>
        </row>
        <row r="48914">
          <cell r="L48914"/>
          <cell r="S48914">
            <v>-0.03</v>
          </cell>
          <cell r="X48914" t="str">
            <v>Financial income</v>
          </cell>
        </row>
        <row r="48915">
          <cell r="L48915"/>
          <cell r="S48915">
            <v>-0.02</v>
          </cell>
          <cell r="X48915" t="str">
            <v>Financial income</v>
          </cell>
        </row>
        <row r="48916">
          <cell r="L48916"/>
          <cell r="S48916">
            <v>0.32</v>
          </cell>
          <cell r="X48916" t="str">
            <v>Financial income</v>
          </cell>
        </row>
        <row r="48917">
          <cell r="L48917"/>
          <cell r="S48917">
            <v>-0.05</v>
          </cell>
          <cell r="X48917" t="str">
            <v>Financial income</v>
          </cell>
        </row>
        <row r="48918">
          <cell r="L48918"/>
          <cell r="S48918">
            <v>-0.02</v>
          </cell>
          <cell r="X48918" t="str">
            <v>Financial income</v>
          </cell>
        </row>
        <row r="48919">
          <cell r="L48919"/>
          <cell r="S48919">
            <v>-0.03</v>
          </cell>
          <cell r="X48919" t="str">
            <v>Financial income</v>
          </cell>
        </row>
        <row r="48920">
          <cell r="L48920" t="str">
            <v>Non-proportional</v>
          </cell>
          <cell r="S48920">
            <v>-0.06</v>
          </cell>
          <cell r="X48920" t="str">
            <v>Financial income</v>
          </cell>
        </row>
        <row r="48921">
          <cell r="L48921" t="str">
            <v>Non-proportional</v>
          </cell>
          <cell r="S48921">
            <v>0.03</v>
          </cell>
          <cell r="X48921" t="str">
            <v>Financial income</v>
          </cell>
        </row>
        <row r="48922">
          <cell r="L48922" t="str">
            <v>Non-proportional</v>
          </cell>
          <cell r="S48922">
            <v>-0.02</v>
          </cell>
          <cell r="X48922" t="str">
            <v>Financial income</v>
          </cell>
        </row>
        <row r="48923">
          <cell r="L48923"/>
          <cell r="S48923">
            <v>-0.01</v>
          </cell>
          <cell r="X48923" t="str">
            <v>Financial income</v>
          </cell>
        </row>
        <row r="48924">
          <cell r="L48924"/>
          <cell r="S48924">
            <v>-0.02</v>
          </cell>
          <cell r="X48924" t="str">
            <v>Financial income</v>
          </cell>
        </row>
        <row r="48925">
          <cell r="L48925"/>
          <cell r="S48925">
            <v>0.03</v>
          </cell>
          <cell r="X48925" t="str">
            <v>Financial income</v>
          </cell>
        </row>
        <row r="48926">
          <cell r="L48926"/>
          <cell r="S48926">
            <v>0.02</v>
          </cell>
          <cell r="X48926" t="str">
            <v>Financial income</v>
          </cell>
        </row>
        <row r="48927">
          <cell r="L48927"/>
          <cell r="S48927">
            <v>0.03</v>
          </cell>
          <cell r="X48927" t="str">
            <v>Financial income</v>
          </cell>
        </row>
        <row r="48928">
          <cell r="L48928" t="str">
            <v>Non-proportional</v>
          </cell>
          <cell r="S48928">
            <v>0.1</v>
          </cell>
          <cell r="X48928" t="str">
            <v>Financial income</v>
          </cell>
        </row>
        <row r="48929">
          <cell r="L48929"/>
          <cell r="S48929">
            <v>0.01</v>
          </cell>
          <cell r="X48929" t="str">
            <v>Financial income</v>
          </cell>
        </row>
        <row r="48930">
          <cell r="L48930" t="str">
            <v>Non-proportional</v>
          </cell>
          <cell r="S48930">
            <v>0.01</v>
          </cell>
          <cell r="X48930" t="str">
            <v>Financial income</v>
          </cell>
        </row>
        <row r="48931">
          <cell r="L48931"/>
          <cell r="S48931">
            <v>0.01</v>
          </cell>
          <cell r="X48931" t="str">
            <v>Financial income</v>
          </cell>
        </row>
        <row r="48932">
          <cell r="L48932" t="str">
            <v>Proportional</v>
          </cell>
          <cell r="S48932">
            <v>-0.85</v>
          </cell>
          <cell r="X48932" t="str">
            <v>Financial income</v>
          </cell>
        </row>
        <row r="48933">
          <cell r="L48933" t="str">
            <v>Non-proportional</v>
          </cell>
          <cell r="S48933">
            <v>-0.02</v>
          </cell>
          <cell r="X48933" t="str">
            <v>Financial income</v>
          </cell>
        </row>
        <row r="48934">
          <cell r="L48934"/>
          <cell r="S48934">
            <v>-0.01</v>
          </cell>
          <cell r="X48934" t="str">
            <v>Financial income</v>
          </cell>
        </row>
        <row r="48935">
          <cell r="L48935"/>
          <cell r="S48935">
            <v>-0.01</v>
          </cell>
          <cell r="X48935" t="str">
            <v>Financial income</v>
          </cell>
        </row>
        <row r="48936">
          <cell r="L48936" t="str">
            <v>Non-proportional</v>
          </cell>
          <cell r="S48936">
            <v>-0.01</v>
          </cell>
          <cell r="X48936" t="str">
            <v>Financial income</v>
          </cell>
        </row>
        <row r="48937">
          <cell r="L48937" t="str">
            <v>Non-proportional</v>
          </cell>
          <cell r="S48937">
            <v>0.01</v>
          </cell>
          <cell r="X48937" t="str">
            <v>Financial income</v>
          </cell>
        </row>
        <row r="48938">
          <cell r="L48938"/>
          <cell r="S48938">
            <v>-0.02</v>
          </cell>
          <cell r="X48938" t="str">
            <v>Financial income</v>
          </cell>
        </row>
        <row r="48939">
          <cell r="L48939"/>
          <cell r="S48939">
            <v>0.01</v>
          </cell>
          <cell r="X48939" t="str">
            <v>Financial income</v>
          </cell>
        </row>
        <row r="48940">
          <cell r="L48940" t="str">
            <v>Non-proportional</v>
          </cell>
          <cell r="S48940">
            <v>0</v>
          </cell>
          <cell r="X48940" t="str">
            <v>Financial income</v>
          </cell>
        </row>
        <row r="48941">
          <cell r="L48941"/>
          <cell r="S48941">
            <v>-0.01</v>
          </cell>
          <cell r="X48941" t="str">
            <v>Financial income</v>
          </cell>
        </row>
        <row r="48942">
          <cell r="L48942"/>
          <cell r="S48942">
            <v>0.01</v>
          </cell>
          <cell r="X48942" t="str">
            <v>Financial income</v>
          </cell>
        </row>
        <row r="48943">
          <cell r="L48943"/>
          <cell r="S48943">
            <v>-0.01</v>
          </cell>
          <cell r="X48943" t="str">
            <v>Financial income</v>
          </cell>
        </row>
        <row r="48944">
          <cell r="L48944" t="str">
            <v>Non-proportional</v>
          </cell>
          <cell r="S48944">
            <v>0.02</v>
          </cell>
          <cell r="X48944" t="str">
            <v>Financial income</v>
          </cell>
        </row>
        <row r="48945">
          <cell r="L48945" t="str">
            <v>Non-proportional</v>
          </cell>
          <cell r="S48945">
            <v>-0.02</v>
          </cell>
          <cell r="X48945" t="str">
            <v>Financial income</v>
          </cell>
        </row>
        <row r="48946">
          <cell r="L48946"/>
          <cell r="S48946">
            <v>-0.01</v>
          </cell>
          <cell r="X48946" t="str">
            <v>Financial income</v>
          </cell>
        </row>
        <row r="48947">
          <cell r="L48947"/>
          <cell r="S48947">
            <v>-3.46</v>
          </cell>
          <cell r="X48947" t="str">
            <v>Financial income</v>
          </cell>
        </row>
        <row r="48948">
          <cell r="L48948" t="str">
            <v>Non-proportional</v>
          </cell>
          <cell r="S48948">
            <v>-0.01</v>
          </cell>
          <cell r="X48948" t="str">
            <v>Financial income</v>
          </cell>
        </row>
        <row r="48949">
          <cell r="L48949"/>
          <cell r="S48949">
            <v>0.01</v>
          </cell>
          <cell r="X48949" t="str">
            <v>Financial income</v>
          </cell>
        </row>
        <row r="48950">
          <cell r="L48950" t="str">
            <v>Proportional</v>
          </cell>
          <cell r="S48950">
            <v>-0.01</v>
          </cell>
          <cell r="X48950" t="str">
            <v>Financial income</v>
          </cell>
        </row>
        <row r="48951">
          <cell r="L48951" t="str">
            <v>Non-proportional</v>
          </cell>
          <cell r="S48951">
            <v>-0.01</v>
          </cell>
          <cell r="X48951" t="str">
            <v>Financial income</v>
          </cell>
        </row>
        <row r="48952">
          <cell r="L48952"/>
          <cell r="S48952">
            <v>-0.01</v>
          </cell>
          <cell r="X48952" t="str">
            <v>Financial income</v>
          </cell>
        </row>
        <row r="48953">
          <cell r="L48953"/>
          <cell r="S48953">
            <v>-0.01</v>
          </cell>
          <cell r="X48953" t="str">
            <v>Financial income</v>
          </cell>
        </row>
        <row r="48954">
          <cell r="L48954"/>
          <cell r="S48954">
            <v>0.02</v>
          </cell>
          <cell r="X48954" t="str">
            <v>Financial income</v>
          </cell>
        </row>
        <row r="48955">
          <cell r="L48955" t="str">
            <v>Non-proportional</v>
          </cell>
          <cell r="S48955">
            <v>0.01</v>
          </cell>
          <cell r="X48955" t="str">
            <v>Financial income</v>
          </cell>
        </row>
        <row r="48956">
          <cell r="L48956"/>
          <cell r="S48956">
            <v>0.01</v>
          </cell>
          <cell r="X48956" t="str">
            <v>Financial income</v>
          </cell>
        </row>
        <row r="48957">
          <cell r="L48957" t="str">
            <v>Non-proportional</v>
          </cell>
          <cell r="S48957">
            <v>-0.03</v>
          </cell>
          <cell r="X48957" t="str">
            <v>Financial income</v>
          </cell>
        </row>
        <row r="48958">
          <cell r="L48958"/>
          <cell r="S48958">
            <v>0.04</v>
          </cell>
          <cell r="X48958" t="str">
            <v>Financial income</v>
          </cell>
        </row>
        <row r="48959">
          <cell r="L48959" t="str">
            <v>Non-proportional</v>
          </cell>
          <cell r="S48959">
            <v>-0.01</v>
          </cell>
          <cell r="X48959" t="str">
            <v>Financial income</v>
          </cell>
        </row>
        <row r="48960">
          <cell r="L48960"/>
          <cell r="S48960">
            <v>0.01</v>
          </cell>
          <cell r="X48960" t="str">
            <v>Financial income</v>
          </cell>
        </row>
        <row r="48961">
          <cell r="L48961" t="str">
            <v>Non-proportional</v>
          </cell>
          <cell r="S48961">
            <v>-0.01</v>
          </cell>
          <cell r="X48961" t="str">
            <v>Financial income</v>
          </cell>
        </row>
        <row r="48962">
          <cell r="L48962" t="str">
            <v>Non-proportional</v>
          </cell>
          <cell r="S48962">
            <v>-0.01</v>
          </cell>
          <cell r="X48962" t="str">
            <v>Financial income</v>
          </cell>
        </row>
        <row r="48963">
          <cell r="L48963"/>
          <cell r="S48963">
            <v>-0.01</v>
          </cell>
          <cell r="X48963" t="str">
            <v>Financial income</v>
          </cell>
        </row>
        <row r="48964">
          <cell r="L48964"/>
          <cell r="S48964">
            <v>-0.01</v>
          </cell>
          <cell r="X48964" t="str">
            <v>Financial income</v>
          </cell>
        </row>
        <row r="48965">
          <cell r="L48965"/>
          <cell r="S48965">
            <v>-0.01</v>
          </cell>
          <cell r="X48965" t="str">
            <v>Financial income</v>
          </cell>
        </row>
        <row r="48966">
          <cell r="L48966"/>
          <cell r="S48966">
            <v>-0.01</v>
          </cell>
          <cell r="X48966" t="str">
            <v>Financial income</v>
          </cell>
        </row>
        <row r="48967">
          <cell r="L48967"/>
          <cell r="S48967">
            <v>0.01</v>
          </cell>
          <cell r="X48967" t="str">
            <v>Financial income</v>
          </cell>
        </row>
        <row r="48968">
          <cell r="L48968"/>
          <cell r="S48968">
            <v>0.05</v>
          </cell>
          <cell r="X48968" t="str">
            <v>Financial income</v>
          </cell>
        </row>
        <row r="48969">
          <cell r="L48969" t="str">
            <v>Non-proportional</v>
          </cell>
          <cell r="S48969">
            <v>0.02</v>
          </cell>
          <cell r="X48969" t="str">
            <v>Financial income</v>
          </cell>
        </row>
        <row r="48970">
          <cell r="L48970"/>
          <cell r="S48970">
            <v>0</v>
          </cell>
          <cell r="X48970" t="str">
            <v>Financial income</v>
          </cell>
        </row>
        <row r="48971">
          <cell r="L48971" t="str">
            <v>Proportional</v>
          </cell>
          <cell r="S48971">
            <v>0</v>
          </cell>
          <cell r="X48971" t="str">
            <v>Financial income</v>
          </cell>
        </row>
        <row r="48972">
          <cell r="L48972"/>
          <cell r="S48972">
            <v>-0.02</v>
          </cell>
          <cell r="X48972" t="str">
            <v>Financial income</v>
          </cell>
        </row>
        <row r="48973">
          <cell r="L48973" t="str">
            <v>Proportional</v>
          </cell>
          <cell r="S48973">
            <v>0.03</v>
          </cell>
          <cell r="X48973" t="str">
            <v>Financial income</v>
          </cell>
        </row>
        <row r="48974">
          <cell r="L48974" t="str">
            <v>Non-proportional</v>
          </cell>
          <cell r="S48974">
            <v>0</v>
          </cell>
          <cell r="X48974" t="str">
            <v>Financial income</v>
          </cell>
        </row>
        <row r="48975">
          <cell r="L48975" t="str">
            <v>Non-proportional</v>
          </cell>
          <cell r="S48975">
            <v>0.02</v>
          </cell>
          <cell r="X48975" t="str">
            <v>Financial income</v>
          </cell>
        </row>
        <row r="48976">
          <cell r="L48976"/>
          <cell r="S48976">
            <v>0.01</v>
          </cell>
          <cell r="X48976" t="str">
            <v>Financial income</v>
          </cell>
        </row>
        <row r="48977">
          <cell r="L48977" t="str">
            <v>Non-proportional</v>
          </cell>
          <cell r="S48977">
            <v>-0.01</v>
          </cell>
          <cell r="X48977" t="str">
            <v>Financial income</v>
          </cell>
        </row>
        <row r="48978">
          <cell r="L48978" t="str">
            <v>Non-proportional</v>
          </cell>
          <cell r="S48978">
            <v>-0.02</v>
          </cell>
          <cell r="X48978" t="str">
            <v>Financial income</v>
          </cell>
        </row>
        <row r="48979">
          <cell r="L48979" t="str">
            <v>Non-proportional</v>
          </cell>
          <cell r="S48979">
            <v>0.01</v>
          </cell>
          <cell r="X48979" t="str">
            <v>Financial income</v>
          </cell>
        </row>
        <row r="48980">
          <cell r="L48980"/>
          <cell r="S48980">
            <v>0.01</v>
          </cell>
          <cell r="X48980" t="str">
            <v>Financial income</v>
          </cell>
        </row>
        <row r="48981">
          <cell r="L48981" t="str">
            <v>Non-proportional</v>
          </cell>
          <cell r="S48981">
            <v>0</v>
          </cell>
          <cell r="X48981" t="str">
            <v>Financial income</v>
          </cell>
        </row>
        <row r="48982">
          <cell r="L48982" t="str">
            <v>Non-proportional</v>
          </cell>
          <cell r="S48982">
            <v>-0.05</v>
          </cell>
          <cell r="X48982" t="str">
            <v>Financial income</v>
          </cell>
        </row>
        <row r="48983">
          <cell r="L48983"/>
          <cell r="S48983">
            <v>-0.01</v>
          </cell>
          <cell r="X48983" t="str">
            <v>Financial income</v>
          </cell>
        </row>
        <row r="48984">
          <cell r="L48984"/>
          <cell r="S48984">
            <v>-0.03</v>
          </cell>
          <cell r="X48984" t="str">
            <v>Financial income</v>
          </cell>
        </row>
        <row r="48985">
          <cell r="L48985" t="str">
            <v>Non-proportional</v>
          </cell>
          <cell r="S48985">
            <v>0</v>
          </cell>
          <cell r="X48985" t="str">
            <v>Financial income</v>
          </cell>
        </row>
        <row r="48986">
          <cell r="L48986" t="str">
            <v>Non-proportional</v>
          </cell>
          <cell r="S48986">
            <v>0.01</v>
          </cell>
          <cell r="X48986" t="str">
            <v>Financial income</v>
          </cell>
        </row>
        <row r="48987">
          <cell r="L48987" t="str">
            <v>Non-proportional</v>
          </cell>
          <cell r="S48987">
            <v>-0.02</v>
          </cell>
          <cell r="X48987" t="str">
            <v>Financial income</v>
          </cell>
        </row>
        <row r="48988">
          <cell r="L48988" t="str">
            <v>Non-proportional</v>
          </cell>
          <cell r="S48988">
            <v>-0.01</v>
          </cell>
          <cell r="X48988" t="str">
            <v>Financial income</v>
          </cell>
        </row>
        <row r="48989">
          <cell r="L48989" t="str">
            <v>Proportional</v>
          </cell>
          <cell r="S48989">
            <v>-0.02</v>
          </cell>
          <cell r="X48989" t="str">
            <v>Financial income</v>
          </cell>
        </row>
        <row r="48990">
          <cell r="L48990" t="str">
            <v>Non-proportional</v>
          </cell>
          <cell r="S48990">
            <v>-0.14000000000000001</v>
          </cell>
          <cell r="X48990" t="str">
            <v>Financial income</v>
          </cell>
        </row>
        <row r="48991">
          <cell r="L48991" t="str">
            <v>Non-proportional</v>
          </cell>
          <cell r="S48991">
            <v>0</v>
          </cell>
          <cell r="X48991" t="str">
            <v>Financial income</v>
          </cell>
        </row>
        <row r="48992">
          <cell r="L48992"/>
          <cell r="S48992">
            <v>0.01</v>
          </cell>
          <cell r="X48992" t="str">
            <v>Financial income</v>
          </cell>
        </row>
        <row r="48993">
          <cell r="L48993" t="str">
            <v>Non-proportional</v>
          </cell>
          <cell r="S48993">
            <v>-0.01</v>
          </cell>
          <cell r="X48993" t="str">
            <v>Financial income</v>
          </cell>
        </row>
        <row r="48994">
          <cell r="L48994" t="str">
            <v>Non-proportional</v>
          </cell>
          <cell r="S48994">
            <v>0</v>
          </cell>
          <cell r="X48994" t="str">
            <v>Financial income</v>
          </cell>
        </row>
        <row r="48995">
          <cell r="L48995" t="str">
            <v>Non-proportional</v>
          </cell>
          <cell r="S48995">
            <v>-0.01</v>
          </cell>
          <cell r="X48995" t="str">
            <v>Financial income</v>
          </cell>
        </row>
        <row r="48996">
          <cell r="L48996" t="str">
            <v>Proportional</v>
          </cell>
          <cell r="S48996">
            <v>-0.03</v>
          </cell>
          <cell r="X48996" t="str">
            <v>Financial income</v>
          </cell>
        </row>
        <row r="48997">
          <cell r="L48997" t="str">
            <v>Non-proportional</v>
          </cell>
          <cell r="S48997">
            <v>-0.03</v>
          </cell>
          <cell r="X48997" t="str">
            <v>Financial income</v>
          </cell>
        </row>
        <row r="48998">
          <cell r="L48998" t="str">
            <v>Non-proportional</v>
          </cell>
          <cell r="S48998">
            <v>0.01</v>
          </cell>
          <cell r="X48998" t="str">
            <v>Financial income</v>
          </cell>
        </row>
        <row r="48999">
          <cell r="L48999" t="str">
            <v>Non-proportional</v>
          </cell>
          <cell r="S48999">
            <v>-0.02</v>
          </cell>
          <cell r="X48999" t="str">
            <v>Financial income</v>
          </cell>
        </row>
        <row r="49000">
          <cell r="L49000" t="str">
            <v>Non-proportional</v>
          </cell>
          <cell r="S49000">
            <v>-0.02</v>
          </cell>
          <cell r="X49000" t="str">
            <v>Financial income</v>
          </cell>
        </row>
        <row r="49001">
          <cell r="L49001" t="str">
            <v>Non-proportional</v>
          </cell>
          <cell r="S49001">
            <v>0.01</v>
          </cell>
          <cell r="X49001" t="str">
            <v>Financial income</v>
          </cell>
        </row>
        <row r="49002">
          <cell r="L49002"/>
          <cell r="S49002">
            <v>0.01</v>
          </cell>
          <cell r="X49002" t="str">
            <v>Financial income</v>
          </cell>
        </row>
        <row r="49003">
          <cell r="L49003"/>
          <cell r="S49003">
            <v>0.02</v>
          </cell>
          <cell r="X49003" t="str">
            <v>Financial income</v>
          </cell>
        </row>
        <row r="49004">
          <cell r="L49004" t="str">
            <v>Proportional</v>
          </cell>
          <cell r="S49004">
            <v>0.41</v>
          </cell>
          <cell r="X49004" t="str">
            <v>Financial income</v>
          </cell>
        </row>
        <row r="49005">
          <cell r="L49005" t="str">
            <v>Non-proportional</v>
          </cell>
          <cell r="S49005">
            <v>0</v>
          </cell>
          <cell r="X49005" t="str">
            <v>Financial income</v>
          </cell>
        </row>
        <row r="49006">
          <cell r="L49006" t="str">
            <v>Non-proportional</v>
          </cell>
          <cell r="S49006">
            <v>-0.01</v>
          </cell>
          <cell r="X49006" t="str">
            <v>Financial income</v>
          </cell>
        </row>
        <row r="49007">
          <cell r="L49007" t="str">
            <v>Non-proportional</v>
          </cell>
          <cell r="S49007">
            <v>-0.01</v>
          </cell>
          <cell r="X49007" t="str">
            <v>Financial income</v>
          </cell>
        </row>
        <row r="49008">
          <cell r="L49008" t="str">
            <v>Non-proportional</v>
          </cell>
          <cell r="S49008">
            <v>0.02</v>
          </cell>
          <cell r="X49008" t="str">
            <v>Financial income</v>
          </cell>
        </row>
        <row r="49009">
          <cell r="L49009"/>
          <cell r="S49009">
            <v>-0.01</v>
          </cell>
          <cell r="X49009" t="str">
            <v>Financial income</v>
          </cell>
        </row>
        <row r="49010">
          <cell r="L49010" t="str">
            <v>Proportional</v>
          </cell>
          <cell r="S49010">
            <v>0.02</v>
          </cell>
          <cell r="X49010" t="str">
            <v>Financial income</v>
          </cell>
        </row>
        <row r="49011">
          <cell r="L49011"/>
          <cell r="S49011">
            <v>-0.01</v>
          </cell>
          <cell r="X49011" t="str">
            <v>Financial income</v>
          </cell>
        </row>
        <row r="49012">
          <cell r="L49012" t="str">
            <v>Non-proportional</v>
          </cell>
          <cell r="S49012">
            <v>-0.02</v>
          </cell>
          <cell r="X49012" t="str">
            <v>Financial income</v>
          </cell>
        </row>
        <row r="49013">
          <cell r="L49013" t="str">
            <v>Proportional</v>
          </cell>
          <cell r="S49013">
            <v>0.01</v>
          </cell>
          <cell r="X49013" t="str">
            <v>Financial income</v>
          </cell>
        </row>
        <row r="49014">
          <cell r="L49014" t="str">
            <v>Non-proportional</v>
          </cell>
          <cell r="S49014">
            <v>-0.04</v>
          </cell>
          <cell r="X49014" t="str">
            <v>Financial income</v>
          </cell>
        </row>
        <row r="49015">
          <cell r="L49015"/>
          <cell r="S49015">
            <v>-0.86</v>
          </cell>
          <cell r="X49015" t="str">
            <v>Financial income</v>
          </cell>
        </row>
        <row r="49016">
          <cell r="L49016" t="str">
            <v>Proportional</v>
          </cell>
          <cell r="S49016">
            <v>-0.01</v>
          </cell>
          <cell r="X49016" t="str">
            <v>Financial income</v>
          </cell>
        </row>
        <row r="49017">
          <cell r="L49017" t="str">
            <v>Non-proportional</v>
          </cell>
          <cell r="S49017">
            <v>0.02</v>
          </cell>
          <cell r="X49017" t="str">
            <v>Financial income</v>
          </cell>
        </row>
        <row r="49018">
          <cell r="L49018" t="str">
            <v>Non-proportional</v>
          </cell>
          <cell r="S49018">
            <v>-0.02</v>
          </cell>
          <cell r="X49018" t="str">
            <v>Financial income</v>
          </cell>
        </row>
        <row r="49019">
          <cell r="L49019"/>
          <cell r="S49019">
            <v>0.01</v>
          </cell>
          <cell r="X49019" t="str">
            <v>Financial income</v>
          </cell>
        </row>
        <row r="49020">
          <cell r="L49020" t="str">
            <v>Non-proportional</v>
          </cell>
          <cell r="S49020">
            <v>-0.01</v>
          </cell>
          <cell r="X49020" t="str">
            <v>Financial income</v>
          </cell>
        </row>
        <row r="49021">
          <cell r="L49021" t="str">
            <v>Proportional</v>
          </cell>
          <cell r="S49021">
            <v>-0.01</v>
          </cell>
          <cell r="X49021" t="str">
            <v>Financial income</v>
          </cell>
        </row>
        <row r="49022">
          <cell r="L49022" t="str">
            <v>Non-proportional</v>
          </cell>
          <cell r="S49022">
            <v>0.01</v>
          </cell>
          <cell r="X49022" t="str">
            <v>Financial income</v>
          </cell>
        </row>
        <row r="49023">
          <cell r="L49023"/>
          <cell r="S49023">
            <v>-0.12</v>
          </cell>
          <cell r="X49023" t="str">
            <v>Financial income</v>
          </cell>
        </row>
        <row r="49024">
          <cell r="L49024" t="str">
            <v>Non-proportional</v>
          </cell>
          <cell r="S49024">
            <v>-0.01</v>
          </cell>
          <cell r="X49024" t="str">
            <v>Financial income</v>
          </cell>
        </row>
        <row r="49025">
          <cell r="L49025" t="str">
            <v>Non-proportional</v>
          </cell>
          <cell r="S49025">
            <v>0</v>
          </cell>
          <cell r="X49025" t="str">
            <v>Financial income</v>
          </cell>
        </row>
        <row r="49026">
          <cell r="L49026" t="str">
            <v>Non-proportional</v>
          </cell>
          <cell r="S49026">
            <v>0</v>
          </cell>
          <cell r="X49026" t="str">
            <v>Financial income</v>
          </cell>
        </row>
        <row r="49027">
          <cell r="L49027" t="str">
            <v>Non-proportional</v>
          </cell>
          <cell r="S49027">
            <v>-0.01</v>
          </cell>
          <cell r="X49027" t="str">
            <v>Financial income</v>
          </cell>
        </row>
        <row r="49028">
          <cell r="L49028" t="str">
            <v>Non-proportional</v>
          </cell>
          <cell r="S49028">
            <v>0.6</v>
          </cell>
          <cell r="X49028" t="str">
            <v>Financial income</v>
          </cell>
        </row>
        <row r="49029">
          <cell r="L49029" t="str">
            <v>Non-proportional</v>
          </cell>
          <cell r="S49029">
            <v>0.01</v>
          </cell>
          <cell r="X49029" t="str">
            <v>Financial income</v>
          </cell>
        </row>
        <row r="49030">
          <cell r="L49030" t="str">
            <v>Proportional</v>
          </cell>
          <cell r="S49030">
            <v>-0.02</v>
          </cell>
          <cell r="X49030" t="str">
            <v>Financial income</v>
          </cell>
        </row>
        <row r="49031">
          <cell r="L49031" t="str">
            <v>Non-proportional</v>
          </cell>
          <cell r="S49031">
            <v>0.02</v>
          </cell>
          <cell r="X49031" t="str">
            <v>Financial income</v>
          </cell>
        </row>
        <row r="49032">
          <cell r="L49032" t="str">
            <v>Proportional</v>
          </cell>
          <cell r="S49032">
            <v>-0.01</v>
          </cell>
          <cell r="X49032" t="str">
            <v>Financial income</v>
          </cell>
        </row>
        <row r="49033">
          <cell r="L49033" t="str">
            <v>Non-proportional</v>
          </cell>
          <cell r="S49033">
            <v>-0.02</v>
          </cell>
          <cell r="X49033" t="str">
            <v>Financial income</v>
          </cell>
        </row>
        <row r="49034">
          <cell r="L49034" t="str">
            <v>Non-proportional</v>
          </cell>
          <cell r="S49034">
            <v>-0.01</v>
          </cell>
          <cell r="X49034" t="str">
            <v>Financial income</v>
          </cell>
        </row>
        <row r="49035">
          <cell r="L49035" t="str">
            <v>Non-proportional</v>
          </cell>
          <cell r="S49035">
            <v>-0.01</v>
          </cell>
          <cell r="X49035" t="str">
            <v>Financial income</v>
          </cell>
        </row>
        <row r="49036">
          <cell r="L49036" t="str">
            <v>Non-proportional</v>
          </cell>
          <cell r="S49036">
            <v>0</v>
          </cell>
          <cell r="X49036" t="str">
            <v>Financial income</v>
          </cell>
        </row>
        <row r="49037">
          <cell r="L49037" t="str">
            <v>Proportional</v>
          </cell>
          <cell r="S49037">
            <v>0.03</v>
          </cell>
          <cell r="X49037" t="str">
            <v>Financial income</v>
          </cell>
        </row>
        <row r="49038">
          <cell r="L49038" t="str">
            <v>Non-proportional</v>
          </cell>
          <cell r="S49038">
            <v>0</v>
          </cell>
          <cell r="X49038" t="str">
            <v>Financial income</v>
          </cell>
        </row>
        <row r="49039">
          <cell r="L49039" t="str">
            <v>Non-proportional</v>
          </cell>
          <cell r="S49039">
            <v>0</v>
          </cell>
          <cell r="X49039" t="str">
            <v>Financial income</v>
          </cell>
        </row>
        <row r="49040">
          <cell r="L49040" t="str">
            <v>Non-proportional</v>
          </cell>
          <cell r="S49040">
            <v>-0.01</v>
          </cell>
          <cell r="X49040" t="str">
            <v>Financial income</v>
          </cell>
        </row>
        <row r="49041">
          <cell r="L49041"/>
          <cell r="S49041">
            <v>0.05</v>
          </cell>
          <cell r="X49041" t="str">
            <v>Financial income</v>
          </cell>
        </row>
        <row r="49042">
          <cell r="L49042" t="str">
            <v>Non-proportional</v>
          </cell>
          <cell r="S49042">
            <v>-0.01</v>
          </cell>
          <cell r="X49042" t="str">
            <v>Financial income</v>
          </cell>
        </row>
        <row r="49043">
          <cell r="L49043"/>
          <cell r="S49043">
            <v>-0.04</v>
          </cell>
          <cell r="X49043" t="str">
            <v>Financial income</v>
          </cell>
        </row>
        <row r="49044">
          <cell r="L49044" t="str">
            <v>Non-proportional</v>
          </cell>
          <cell r="S49044">
            <v>-0.03</v>
          </cell>
          <cell r="X49044" t="str">
            <v>Financial income</v>
          </cell>
        </row>
        <row r="49045">
          <cell r="L49045" t="str">
            <v>Non-proportional</v>
          </cell>
          <cell r="S49045">
            <v>0.38</v>
          </cell>
          <cell r="X49045" t="str">
            <v>Financial income</v>
          </cell>
        </row>
        <row r="49046">
          <cell r="L49046" t="str">
            <v>Non-proportional</v>
          </cell>
          <cell r="S49046">
            <v>-0.01</v>
          </cell>
          <cell r="X49046" t="str">
            <v>Financial income</v>
          </cell>
        </row>
        <row r="49047">
          <cell r="L49047" t="str">
            <v>Non-proportional</v>
          </cell>
          <cell r="S49047">
            <v>0</v>
          </cell>
          <cell r="X49047" t="str">
            <v>Financial income</v>
          </cell>
        </row>
        <row r="49048">
          <cell r="L49048" t="str">
            <v>Non-proportional</v>
          </cell>
          <cell r="S49048">
            <v>0</v>
          </cell>
          <cell r="X49048" t="str">
            <v>Financial income</v>
          </cell>
        </row>
        <row r="49049">
          <cell r="L49049" t="str">
            <v>Non-proportional</v>
          </cell>
          <cell r="S49049">
            <v>-0.01</v>
          </cell>
          <cell r="X49049" t="str">
            <v>Financial income</v>
          </cell>
        </row>
        <row r="49050">
          <cell r="L49050" t="str">
            <v>Proportional</v>
          </cell>
          <cell r="S49050">
            <v>0</v>
          </cell>
          <cell r="X49050" t="str">
            <v>Financial income</v>
          </cell>
        </row>
        <row r="49051">
          <cell r="L49051" t="str">
            <v>Non-proportional</v>
          </cell>
          <cell r="S49051">
            <v>0.01</v>
          </cell>
          <cell r="X49051" t="str">
            <v>Financial income</v>
          </cell>
        </row>
        <row r="49052">
          <cell r="L49052" t="str">
            <v>Proportional</v>
          </cell>
          <cell r="S49052">
            <v>0</v>
          </cell>
          <cell r="X49052" t="str">
            <v>Financial income</v>
          </cell>
        </row>
        <row r="49053">
          <cell r="L49053" t="str">
            <v>Non-proportional</v>
          </cell>
          <cell r="S49053">
            <v>0</v>
          </cell>
          <cell r="X49053" t="str">
            <v>Financial income</v>
          </cell>
        </row>
        <row r="49054">
          <cell r="L49054" t="str">
            <v>Non-proportional</v>
          </cell>
          <cell r="S49054">
            <v>0</v>
          </cell>
          <cell r="X49054" t="str">
            <v>Financial income</v>
          </cell>
        </row>
        <row r="49055">
          <cell r="L49055" t="str">
            <v>Non-proportional</v>
          </cell>
          <cell r="S49055">
            <v>0.19</v>
          </cell>
          <cell r="X49055" t="str">
            <v>Financial income</v>
          </cell>
        </row>
        <row r="49056">
          <cell r="L49056" t="str">
            <v>Non-proportional</v>
          </cell>
          <cell r="S49056">
            <v>0</v>
          </cell>
          <cell r="X49056" t="str">
            <v>Financial income</v>
          </cell>
        </row>
        <row r="49057">
          <cell r="S49057">
            <v>2331.27</v>
          </cell>
          <cell r="X49057" t="str">
            <v>Financial income</v>
          </cell>
        </row>
        <row r="49058">
          <cell r="L49058"/>
          <cell r="S49058">
            <v>-4576.7700000000004</v>
          </cell>
          <cell r="X49058" t="str">
            <v>Financial income</v>
          </cell>
        </row>
        <row r="49059">
          <cell r="S49059">
            <v>14044695.470000001</v>
          </cell>
          <cell r="X49059" t="str">
            <v>Financial income</v>
          </cell>
        </row>
        <row r="49060">
          <cell r="S49060">
            <v>7449.04</v>
          </cell>
          <cell r="X49060" t="str">
            <v>Financial income</v>
          </cell>
        </row>
        <row r="49061">
          <cell r="S49061">
            <v>1840.65</v>
          </cell>
          <cell r="X49061" t="str">
            <v>Financial income</v>
          </cell>
        </row>
        <row r="49062">
          <cell r="S49062">
            <v>-112117.04</v>
          </cell>
          <cell r="X49062" t="str">
            <v>Financial income</v>
          </cell>
        </row>
        <row r="49063">
          <cell r="S49063">
            <v>112117.04</v>
          </cell>
          <cell r="X49063" t="str">
            <v>Financial income</v>
          </cell>
        </row>
        <row r="49064">
          <cell r="S49064">
            <v>-819399.88</v>
          </cell>
          <cell r="X49064" t="str">
            <v>Financial income</v>
          </cell>
        </row>
        <row r="49065">
          <cell r="S49065">
            <v>-13135859.279999999</v>
          </cell>
          <cell r="X49065" t="str">
            <v>Financial income</v>
          </cell>
        </row>
        <row r="49066">
          <cell r="S49066">
            <v>13135859.279999999</v>
          </cell>
          <cell r="X49066" t="str">
            <v>Financial income</v>
          </cell>
        </row>
        <row r="49067">
          <cell r="S49067">
            <v>819399.88</v>
          </cell>
          <cell r="X49067" t="str">
            <v>Financial income</v>
          </cell>
        </row>
        <row r="49068">
          <cell r="S49068">
            <v>-1058556.97</v>
          </cell>
          <cell r="X49068" t="str">
            <v>Financial income</v>
          </cell>
        </row>
        <row r="49069">
          <cell r="S49069">
            <v>1058556.97</v>
          </cell>
          <cell r="X49069" t="str">
            <v>Financial income</v>
          </cell>
        </row>
        <row r="49070">
          <cell r="S49070">
            <v>-19407264.109999999</v>
          </cell>
          <cell r="X49070" t="str">
            <v>Financial income</v>
          </cell>
        </row>
        <row r="49071">
          <cell r="S49071">
            <v>19407264.109999999</v>
          </cell>
          <cell r="X49071" t="str">
            <v>Financial income</v>
          </cell>
        </row>
        <row r="49072">
          <cell r="S49072">
            <v>-921820.53</v>
          </cell>
          <cell r="X49072" t="str">
            <v>Financial income</v>
          </cell>
        </row>
        <row r="49073">
          <cell r="S49073">
            <v>13729750.58</v>
          </cell>
          <cell r="X49073" t="str">
            <v>Financial income</v>
          </cell>
        </row>
        <row r="49074">
          <cell r="S49074">
            <v>23847.9</v>
          </cell>
          <cell r="X49074" t="str">
            <v>Financial income</v>
          </cell>
        </row>
        <row r="49075">
          <cell r="S49075">
            <v>-629717.63</v>
          </cell>
          <cell r="X49075" t="str">
            <v>Financial income</v>
          </cell>
        </row>
        <row r="49076">
          <cell r="S49076">
            <v>-20324389.899999999</v>
          </cell>
          <cell r="X49076" t="str">
            <v>Financial income</v>
          </cell>
        </row>
        <row r="49077">
          <cell r="L49077"/>
          <cell r="S49077">
            <v>-23847.9</v>
          </cell>
          <cell r="X49077" t="str">
            <v>Financial income</v>
          </cell>
        </row>
        <row r="49078">
          <cell r="L49078"/>
          <cell r="S49078">
            <v>20324389.899999999</v>
          </cell>
          <cell r="X49078" t="str">
            <v>Financial income</v>
          </cell>
        </row>
        <row r="49079">
          <cell r="L49079"/>
          <cell r="S49079">
            <v>-13729750.58</v>
          </cell>
          <cell r="X49079" t="str">
            <v>Financial income</v>
          </cell>
        </row>
        <row r="49080">
          <cell r="L49080"/>
          <cell r="S49080">
            <v>629717.63</v>
          </cell>
          <cell r="X49080" t="str">
            <v>Financial income</v>
          </cell>
        </row>
        <row r="49081">
          <cell r="L49081"/>
          <cell r="S49081">
            <v>921820.53</v>
          </cell>
          <cell r="X49081" t="str">
            <v>Financial income</v>
          </cell>
        </row>
        <row r="49082">
          <cell r="L49082"/>
          <cell r="S49082">
            <v>-712248.97</v>
          </cell>
          <cell r="X49082" t="str">
            <v>Financial income</v>
          </cell>
        </row>
        <row r="49083">
          <cell r="L49083"/>
          <cell r="S49083">
            <v>712248.97</v>
          </cell>
          <cell r="X49083" t="str">
            <v>Financial income</v>
          </cell>
        </row>
        <row r="49084">
          <cell r="L49084"/>
          <cell r="S49084">
            <v>14226155.609999999</v>
          </cell>
          <cell r="X49084" t="str">
            <v>Financial income</v>
          </cell>
        </row>
        <row r="49085">
          <cell r="L49085"/>
          <cell r="S49085">
            <v>-21576966.539999999</v>
          </cell>
          <cell r="X49085" t="str">
            <v>Financial income</v>
          </cell>
        </row>
        <row r="49086">
          <cell r="L49086"/>
          <cell r="S49086">
            <v>21576966.539999999</v>
          </cell>
          <cell r="X49086" t="str">
            <v>Financial income</v>
          </cell>
        </row>
        <row r="49087">
          <cell r="L49087"/>
          <cell r="S49087">
            <v>-14226155.609999999</v>
          </cell>
          <cell r="X49087" t="str">
            <v>Financial income</v>
          </cell>
        </row>
        <row r="49088">
          <cell r="L49088"/>
          <cell r="S49088">
            <v>-1874.75</v>
          </cell>
          <cell r="X49088" t="str">
            <v>Financial income</v>
          </cell>
        </row>
        <row r="49089">
          <cell r="L49089"/>
          <cell r="S49089">
            <v>-403554.4</v>
          </cell>
          <cell r="X49089" t="str">
            <v>Financial income</v>
          </cell>
        </row>
        <row r="49090">
          <cell r="L49090"/>
          <cell r="S49090">
            <v>-22151029.100000001</v>
          </cell>
          <cell r="X49090" t="str">
            <v>Financial income</v>
          </cell>
        </row>
        <row r="49091">
          <cell r="L49091"/>
          <cell r="S49091">
            <v>-440249.16</v>
          </cell>
          <cell r="X49091" t="str">
            <v>Financial income</v>
          </cell>
        </row>
        <row r="49092">
          <cell r="L49092"/>
          <cell r="S49092">
            <v>16272488.289999999</v>
          </cell>
          <cell r="X49092" t="str">
            <v>Financial income</v>
          </cell>
        </row>
        <row r="49093">
          <cell r="L49093"/>
          <cell r="S49093">
            <v>1874.75</v>
          </cell>
          <cell r="X49093" t="str">
            <v>Financial income</v>
          </cell>
        </row>
        <row r="49094">
          <cell r="L49094"/>
          <cell r="S49094">
            <v>-16272488.289999999</v>
          </cell>
          <cell r="X49094" t="str">
            <v>Financial income</v>
          </cell>
        </row>
        <row r="49095">
          <cell r="L49095"/>
          <cell r="S49095">
            <v>403554.4</v>
          </cell>
          <cell r="X49095" t="str">
            <v>Financial income</v>
          </cell>
        </row>
        <row r="49096">
          <cell r="L49096"/>
          <cell r="S49096">
            <v>22151029.100000001</v>
          </cell>
          <cell r="X49096" t="str">
            <v>Financial income</v>
          </cell>
        </row>
        <row r="49097">
          <cell r="L49097"/>
          <cell r="S49097">
            <v>440249.16</v>
          </cell>
          <cell r="X49097" t="str">
            <v>Financial income</v>
          </cell>
        </row>
        <row r="49098">
          <cell r="L49098"/>
          <cell r="S49098">
            <v>-22290.39</v>
          </cell>
          <cell r="X49098" t="str">
            <v>Financial income</v>
          </cell>
        </row>
        <row r="49099">
          <cell r="L49099"/>
          <cell r="S49099">
            <v>-22206021.5</v>
          </cell>
          <cell r="X49099" t="str">
            <v>Financial income</v>
          </cell>
        </row>
        <row r="49100">
          <cell r="L49100"/>
          <cell r="S49100">
            <v>22206021.5</v>
          </cell>
          <cell r="X49100" t="str">
            <v>Financial income</v>
          </cell>
        </row>
        <row r="49101">
          <cell r="L49101"/>
          <cell r="S49101">
            <v>22290.39</v>
          </cell>
          <cell r="X49101" t="str">
            <v>Financial income</v>
          </cell>
        </row>
        <row r="49102">
          <cell r="L49102"/>
          <cell r="S49102">
            <v>-21260640.510000002</v>
          </cell>
          <cell r="X49102" t="str">
            <v>Financial income</v>
          </cell>
        </row>
        <row r="49103">
          <cell r="L49103"/>
          <cell r="S49103">
            <v>21260640.510000002</v>
          </cell>
          <cell r="X49103" t="str">
            <v>Financial income</v>
          </cell>
        </row>
        <row r="49104">
          <cell r="L49104"/>
          <cell r="S49104">
            <v>-617649.32999999996</v>
          </cell>
          <cell r="X49104" t="str">
            <v>Financial income</v>
          </cell>
        </row>
        <row r="49105">
          <cell r="L49105"/>
          <cell r="S49105">
            <v>-21625405.539999999</v>
          </cell>
          <cell r="X49105" t="str">
            <v>Financial income</v>
          </cell>
        </row>
        <row r="49106">
          <cell r="L49106"/>
          <cell r="S49106">
            <v>-390560.2</v>
          </cell>
          <cell r="X49106" t="str">
            <v>Financial income</v>
          </cell>
        </row>
        <row r="49107">
          <cell r="L49107"/>
          <cell r="S49107">
            <v>14914135.039999999</v>
          </cell>
          <cell r="X49107" t="str">
            <v>Financial income</v>
          </cell>
        </row>
        <row r="49108">
          <cell r="S49108">
            <v>-158406.17000000001</v>
          </cell>
          <cell r="X49108" t="str">
            <v>Other Income</v>
          </cell>
        </row>
        <row r="49109">
          <cell r="L49109" t="str">
            <v>Proportional</v>
          </cell>
          <cell r="S49109">
            <v>-254.49</v>
          </cell>
          <cell r="X49109" t="str">
            <v>Other Income</v>
          </cell>
        </row>
        <row r="49110">
          <cell r="L49110" t="str">
            <v>Proportional</v>
          </cell>
          <cell r="S49110">
            <v>-3.81</v>
          </cell>
          <cell r="X49110" t="str">
            <v>Other Income</v>
          </cell>
        </row>
        <row r="49111">
          <cell r="L49111" t="str">
            <v>Non-proportional</v>
          </cell>
          <cell r="S49111">
            <v>-10501.79</v>
          </cell>
          <cell r="X49111" t="str">
            <v>Other Income</v>
          </cell>
        </row>
        <row r="49112">
          <cell r="L49112" t="str">
            <v>Non-proportional</v>
          </cell>
          <cell r="S49112">
            <v>10501.79</v>
          </cell>
          <cell r="X49112" t="str">
            <v>Other Income</v>
          </cell>
        </row>
        <row r="49113">
          <cell r="L49113" t="str">
            <v>Non-proportional</v>
          </cell>
          <cell r="S49113">
            <v>-747.66</v>
          </cell>
          <cell r="X49113" t="str">
            <v>Other Income</v>
          </cell>
        </row>
        <row r="49114">
          <cell r="L49114" t="str">
            <v>Non-proportional</v>
          </cell>
          <cell r="S49114">
            <v>10501.79</v>
          </cell>
          <cell r="X49114" t="str">
            <v>Other Income</v>
          </cell>
        </row>
        <row r="49115">
          <cell r="L49115" t="str">
            <v>Non-proportional</v>
          </cell>
          <cell r="S49115">
            <v>-10501.79</v>
          </cell>
          <cell r="X49115" t="str">
            <v>Other Income</v>
          </cell>
        </row>
        <row r="49116">
          <cell r="L49116" t="str">
            <v>Non-proportional</v>
          </cell>
          <cell r="S49116">
            <v>-10501.79</v>
          </cell>
          <cell r="X49116" t="str">
            <v>Other Income</v>
          </cell>
        </row>
        <row r="49117">
          <cell r="L49117" t="str">
            <v>Non-proportional</v>
          </cell>
          <cell r="S49117">
            <v>21917.5</v>
          </cell>
          <cell r="X49117" t="str">
            <v>Other Income</v>
          </cell>
        </row>
        <row r="49118">
          <cell r="L49118" t="str">
            <v>Proportional</v>
          </cell>
          <cell r="S49118">
            <v>-30.15</v>
          </cell>
          <cell r="X49118" t="str">
            <v>Other Income</v>
          </cell>
        </row>
        <row r="49119">
          <cell r="L49119" t="str">
            <v>Proportional</v>
          </cell>
          <cell r="S49119">
            <v>-109.53</v>
          </cell>
          <cell r="X49119" t="str">
            <v>Other Income</v>
          </cell>
        </row>
        <row r="49120">
          <cell r="L49120" t="str">
            <v>Proportional</v>
          </cell>
          <cell r="S49120">
            <v>4.25</v>
          </cell>
          <cell r="X49120" t="str">
            <v>Other Income</v>
          </cell>
        </row>
        <row r="49121">
          <cell r="L49121" t="str">
            <v>Proportional</v>
          </cell>
          <cell r="S49121">
            <v>-35.229999999999997</v>
          </cell>
          <cell r="X49121" t="str">
            <v>Other Income</v>
          </cell>
        </row>
        <row r="49122">
          <cell r="L49122" t="str">
            <v>Non-proportional</v>
          </cell>
          <cell r="S49122">
            <v>-5269.45</v>
          </cell>
          <cell r="X49122" t="str">
            <v>Other Income</v>
          </cell>
        </row>
        <row r="49123">
          <cell r="L49123" t="str">
            <v>Non-proportional</v>
          </cell>
          <cell r="S49123">
            <v>-7627.34</v>
          </cell>
          <cell r="X49123" t="str">
            <v>Other Income</v>
          </cell>
        </row>
        <row r="49124">
          <cell r="L49124" t="str">
            <v>Non-proportional</v>
          </cell>
          <cell r="S49124">
            <v>-21917.5</v>
          </cell>
          <cell r="X49124" t="str">
            <v>Other Income</v>
          </cell>
        </row>
        <row r="49125">
          <cell r="L49125" t="str">
            <v>Non-proportional</v>
          </cell>
          <cell r="S49125">
            <v>-21917.5</v>
          </cell>
          <cell r="X49125" t="str">
            <v>Other Income</v>
          </cell>
        </row>
        <row r="49126">
          <cell r="L49126" t="str">
            <v>Proportional</v>
          </cell>
          <cell r="S49126">
            <v>-0.26</v>
          </cell>
          <cell r="X49126" t="str">
            <v>Other Income</v>
          </cell>
        </row>
        <row r="49127">
          <cell r="L49127" t="str">
            <v>Proportional</v>
          </cell>
          <cell r="S49127">
            <v>-34.07</v>
          </cell>
          <cell r="X49127" t="str">
            <v>Other Income</v>
          </cell>
        </row>
        <row r="49128">
          <cell r="L49128" t="str">
            <v>Proportional</v>
          </cell>
          <cell r="S49128">
            <v>3.48</v>
          </cell>
          <cell r="X49128" t="str">
            <v>Other Income</v>
          </cell>
        </row>
      </sheetData>
      <sheetData sheetId="1">
        <row r="1">
          <cell r="L1" t="str">
            <v>Prop - NonProp</v>
          </cell>
          <cell r="S1" t="str">
            <v>Eur amount</v>
          </cell>
          <cell r="X1" t="str">
            <v>Item</v>
          </cell>
          <cell r="Y1" t="str">
            <v>Country</v>
          </cell>
        </row>
        <row r="2">
          <cell r="L2" t="str">
            <v>Non-proportional</v>
          </cell>
          <cell r="S2">
            <v>286151.82</v>
          </cell>
          <cell r="X2" t="str">
            <v>Claims - gross</v>
          </cell>
          <cell r="Y2" t="str">
            <v>SWITZERLAND</v>
          </cell>
        </row>
        <row r="3">
          <cell r="L3" t="str">
            <v>Proportional</v>
          </cell>
          <cell r="S3">
            <v>395275.19</v>
          </cell>
          <cell r="X3" t="str">
            <v>Claims - gross</v>
          </cell>
          <cell r="Y3" t="str">
            <v>AUSTRIA</v>
          </cell>
        </row>
        <row r="4">
          <cell r="L4" t="str">
            <v>Non-proportional</v>
          </cell>
          <cell r="S4">
            <v>-287324.92</v>
          </cell>
          <cell r="X4" t="str">
            <v>Claims - gross</v>
          </cell>
          <cell r="Y4" t="str">
            <v>SWITZERLAND</v>
          </cell>
        </row>
        <row r="5">
          <cell r="L5" t="str">
            <v>Non-proportional</v>
          </cell>
          <cell r="S5">
            <v>287324.92</v>
          </cell>
          <cell r="X5" t="str">
            <v>Claims - gross</v>
          </cell>
          <cell r="Y5" t="str">
            <v>SWITZERLAND</v>
          </cell>
        </row>
        <row r="6">
          <cell r="L6" t="str">
            <v>Proportional</v>
          </cell>
          <cell r="S6">
            <v>1025920.79</v>
          </cell>
          <cell r="X6" t="str">
            <v>Claims - gross</v>
          </cell>
          <cell r="Y6" t="str">
            <v>AUSTRIA</v>
          </cell>
        </row>
        <row r="7">
          <cell r="L7" t="str">
            <v>Proportional</v>
          </cell>
          <cell r="S7">
            <v>-1025920.79</v>
          </cell>
          <cell r="X7" t="str">
            <v>Claims - gross</v>
          </cell>
          <cell r="Y7" t="str">
            <v>AUSTRIA</v>
          </cell>
        </row>
        <row r="8">
          <cell r="L8" t="str">
            <v>Proportional</v>
          </cell>
          <cell r="S8">
            <v>30000</v>
          </cell>
          <cell r="X8" t="str">
            <v>Claims - gross</v>
          </cell>
          <cell r="Y8" t="str">
            <v>AUSTRIA</v>
          </cell>
        </row>
        <row r="9">
          <cell r="L9" t="str">
            <v>Non-proportional</v>
          </cell>
          <cell r="S9">
            <v>-565624.93999999994</v>
          </cell>
          <cell r="X9" t="str">
            <v>Claims - gross</v>
          </cell>
          <cell r="Y9" t="str">
            <v>SWEDEN</v>
          </cell>
        </row>
        <row r="10">
          <cell r="L10" t="str">
            <v>Non-proportional</v>
          </cell>
          <cell r="S10">
            <v>90440.84</v>
          </cell>
          <cell r="X10" t="str">
            <v>Claims - gross</v>
          </cell>
          <cell r="Y10" t="str">
            <v>NORWAY</v>
          </cell>
        </row>
        <row r="11">
          <cell r="L11" t="str">
            <v>Non-proportional</v>
          </cell>
          <cell r="S11">
            <v>565624.93999999994</v>
          </cell>
          <cell r="X11" t="str">
            <v>Claims - gross</v>
          </cell>
          <cell r="Y11" t="str">
            <v>SWEDEN</v>
          </cell>
        </row>
        <row r="12">
          <cell r="L12" t="str">
            <v>Non-proportional</v>
          </cell>
          <cell r="S12">
            <v>-254166.3</v>
          </cell>
          <cell r="X12" t="str">
            <v>Claims - gross</v>
          </cell>
          <cell r="Y12" t="str">
            <v>EUROPE</v>
          </cell>
        </row>
        <row r="13">
          <cell r="L13" t="str">
            <v>Non-proportional</v>
          </cell>
          <cell r="S13">
            <v>254166.3</v>
          </cell>
          <cell r="X13" t="str">
            <v>Claims - gross</v>
          </cell>
          <cell r="Y13" t="str">
            <v>EUROPE</v>
          </cell>
        </row>
        <row r="14">
          <cell r="L14" t="str">
            <v>Non-proportional</v>
          </cell>
          <cell r="S14">
            <v>40000</v>
          </cell>
          <cell r="X14" t="str">
            <v>Claims - gross</v>
          </cell>
          <cell r="Y14" t="str">
            <v>AUSTRIA</v>
          </cell>
        </row>
        <row r="15">
          <cell r="L15" t="str">
            <v>Non-proportional</v>
          </cell>
          <cell r="S15">
            <v>565624.93999999994</v>
          </cell>
          <cell r="X15" t="str">
            <v>Claims - gross</v>
          </cell>
          <cell r="Y15" t="str">
            <v>SWEDEN</v>
          </cell>
        </row>
        <row r="16">
          <cell r="L16" t="str">
            <v>Non-proportional</v>
          </cell>
          <cell r="S16">
            <v>172588.91</v>
          </cell>
          <cell r="X16" t="str">
            <v>Claims - gross</v>
          </cell>
          <cell r="Y16" t="str">
            <v>UNITED KINGDOM</v>
          </cell>
        </row>
        <row r="17">
          <cell r="L17" t="str">
            <v>Non-proportional</v>
          </cell>
          <cell r="S17">
            <v>273705.59999999998</v>
          </cell>
          <cell r="X17" t="str">
            <v>Claims - gross</v>
          </cell>
          <cell r="Y17" t="str">
            <v>SWEDEN</v>
          </cell>
        </row>
        <row r="18">
          <cell r="L18" t="str">
            <v>Non-proportional</v>
          </cell>
          <cell r="S18">
            <v>1500</v>
          </cell>
          <cell r="X18" t="str">
            <v>Claims - gross</v>
          </cell>
          <cell r="Y18" t="str">
            <v>ITALY</v>
          </cell>
        </row>
        <row r="19">
          <cell r="L19" t="str">
            <v>Non-proportional</v>
          </cell>
          <cell r="S19">
            <v>15000</v>
          </cell>
          <cell r="X19" t="str">
            <v>Claims - gross</v>
          </cell>
          <cell r="Y19" t="str">
            <v>GERMANY</v>
          </cell>
        </row>
        <row r="20">
          <cell r="L20" t="str">
            <v>Non-proportional</v>
          </cell>
          <cell r="S20">
            <v>25000</v>
          </cell>
          <cell r="X20" t="str">
            <v>Claims - gross</v>
          </cell>
          <cell r="Y20" t="str">
            <v>GERMANY</v>
          </cell>
        </row>
        <row r="21">
          <cell r="L21" t="str">
            <v>Non-proportional</v>
          </cell>
          <cell r="S21">
            <v>90691.8</v>
          </cell>
          <cell r="X21" t="str">
            <v>Claims - gross</v>
          </cell>
          <cell r="Y21" t="str">
            <v>EUROPE</v>
          </cell>
        </row>
        <row r="22">
          <cell r="L22" t="str">
            <v>Non-proportional</v>
          </cell>
          <cell r="S22">
            <v>-4562.6000000000004</v>
          </cell>
          <cell r="X22" t="str">
            <v>Claims - gross</v>
          </cell>
          <cell r="Y22" t="str">
            <v>SWEDEN</v>
          </cell>
        </row>
        <row r="23">
          <cell r="L23" t="str">
            <v>Proportional</v>
          </cell>
          <cell r="S23">
            <v>-30000</v>
          </cell>
          <cell r="X23" t="str">
            <v>Claims - gross</v>
          </cell>
          <cell r="Y23" t="str">
            <v>AUSTRIA</v>
          </cell>
        </row>
        <row r="24">
          <cell r="L24" t="str">
            <v>Non-proportional</v>
          </cell>
          <cell r="S24">
            <v>375000</v>
          </cell>
          <cell r="X24" t="str">
            <v>Claims - gross</v>
          </cell>
          <cell r="Y24" t="str">
            <v>GERMANY</v>
          </cell>
        </row>
        <row r="25">
          <cell r="L25" t="str">
            <v>Non-proportional</v>
          </cell>
          <cell r="S25">
            <v>3000</v>
          </cell>
          <cell r="X25" t="str">
            <v>Claims - gross</v>
          </cell>
          <cell r="Y25" t="str">
            <v>GERMANY</v>
          </cell>
        </row>
        <row r="26">
          <cell r="L26" t="str">
            <v>Non-proportional</v>
          </cell>
          <cell r="S26">
            <v>118750</v>
          </cell>
          <cell r="X26" t="str">
            <v>Claims - gross</v>
          </cell>
          <cell r="Y26" t="str">
            <v>GERMANY</v>
          </cell>
        </row>
        <row r="27">
          <cell r="L27" t="str">
            <v>Non-proportional</v>
          </cell>
          <cell r="S27">
            <v>-100000</v>
          </cell>
          <cell r="X27" t="str">
            <v>Claims - gross</v>
          </cell>
          <cell r="Y27" t="str">
            <v>GERMANY</v>
          </cell>
        </row>
        <row r="28">
          <cell r="L28" t="str">
            <v>Non-proportional</v>
          </cell>
          <cell r="S28">
            <v>11897.8</v>
          </cell>
          <cell r="X28" t="str">
            <v>Claims - gross</v>
          </cell>
          <cell r="Y28" t="str">
            <v>FRANCE</v>
          </cell>
        </row>
        <row r="29">
          <cell r="L29" t="str">
            <v>Non-proportional</v>
          </cell>
          <cell r="S29">
            <v>138744.35999999999</v>
          </cell>
          <cell r="X29" t="str">
            <v>Claims - gross</v>
          </cell>
          <cell r="Y29" t="str">
            <v>UNITED KINGDOM</v>
          </cell>
        </row>
        <row r="30">
          <cell r="L30" t="str">
            <v>Non-proportional</v>
          </cell>
          <cell r="S30">
            <v>30765.71</v>
          </cell>
          <cell r="X30" t="str">
            <v>Claims - gross</v>
          </cell>
          <cell r="Y30" t="str">
            <v>EUROPE</v>
          </cell>
        </row>
        <row r="31">
          <cell r="L31" t="str">
            <v>Non-proportional</v>
          </cell>
          <cell r="S31">
            <v>236635.47</v>
          </cell>
          <cell r="X31" t="str">
            <v>Claims - gross</v>
          </cell>
          <cell r="Y31" t="str">
            <v>SWITZERLAND</v>
          </cell>
        </row>
        <row r="32">
          <cell r="L32" t="str">
            <v>Non-proportional</v>
          </cell>
          <cell r="S32">
            <v>58750</v>
          </cell>
          <cell r="X32" t="str">
            <v>Claims - gross</v>
          </cell>
          <cell r="Y32" t="str">
            <v>GERMANY</v>
          </cell>
        </row>
        <row r="33">
          <cell r="L33" t="str">
            <v>Non-proportional</v>
          </cell>
          <cell r="S33">
            <v>1540.66</v>
          </cell>
          <cell r="X33" t="str">
            <v>Claims - gross</v>
          </cell>
          <cell r="Y33" t="str">
            <v>UNITED KINGDOM</v>
          </cell>
        </row>
        <row r="34">
          <cell r="L34" t="str">
            <v>Proportional</v>
          </cell>
          <cell r="S34">
            <v>1176582.18</v>
          </cell>
          <cell r="X34" t="str">
            <v>Claims - gross</v>
          </cell>
          <cell r="Y34" t="str">
            <v>AUSTRIA</v>
          </cell>
        </row>
        <row r="35">
          <cell r="L35" t="str">
            <v>Non-proportional</v>
          </cell>
          <cell r="S35">
            <v>65903.570000000007</v>
          </cell>
          <cell r="X35" t="str">
            <v>Claims - gross</v>
          </cell>
          <cell r="Y35" t="str">
            <v>UNITED KINGDOM</v>
          </cell>
        </row>
        <row r="36">
          <cell r="L36" t="str">
            <v>Non-proportional</v>
          </cell>
          <cell r="S36">
            <v>3138.79</v>
          </cell>
          <cell r="X36" t="str">
            <v>Claims - gross</v>
          </cell>
          <cell r="Y36" t="str">
            <v>ITALY</v>
          </cell>
        </row>
        <row r="37">
          <cell r="L37" t="str">
            <v>Non-proportional</v>
          </cell>
          <cell r="S37">
            <v>208116.55</v>
          </cell>
          <cell r="X37" t="str">
            <v>Claims - gross</v>
          </cell>
          <cell r="Y37" t="str">
            <v>UNITED KINGDOM</v>
          </cell>
        </row>
        <row r="38">
          <cell r="L38" t="str">
            <v>Non-proportional</v>
          </cell>
          <cell r="S38">
            <v>168750</v>
          </cell>
          <cell r="X38" t="str">
            <v>Claims - gross</v>
          </cell>
          <cell r="Y38" t="str">
            <v>GERMANY</v>
          </cell>
        </row>
        <row r="39">
          <cell r="L39" t="str">
            <v>Non-proportional</v>
          </cell>
          <cell r="S39">
            <v>94240</v>
          </cell>
          <cell r="X39" t="str">
            <v>Claims - gross</v>
          </cell>
          <cell r="Y39" t="str">
            <v>GERMANY</v>
          </cell>
        </row>
        <row r="40">
          <cell r="L40" t="str">
            <v>Non-proportional</v>
          </cell>
          <cell r="S40">
            <v>-115267</v>
          </cell>
          <cell r="X40" t="str">
            <v>Claims - gross</v>
          </cell>
          <cell r="Y40" t="str">
            <v>SWITZERLAND</v>
          </cell>
        </row>
        <row r="41">
          <cell r="L41" t="str">
            <v>Non-proportional</v>
          </cell>
          <cell r="S41">
            <v>-33489.25</v>
          </cell>
          <cell r="X41" t="str">
            <v>Claims - gross</v>
          </cell>
          <cell r="Y41" t="str">
            <v>FAROE ISLANDS</v>
          </cell>
        </row>
        <row r="42">
          <cell r="L42" t="str">
            <v>Non-proportional</v>
          </cell>
          <cell r="S42">
            <v>134223.65</v>
          </cell>
          <cell r="X42" t="str">
            <v>Claims - gross</v>
          </cell>
          <cell r="Y42" t="str">
            <v>UNITED KINGDOM</v>
          </cell>
        </row>
        <row r="43">
          <cell r="L43" t="str">
            <v>Non-proportional</v>
          </cell>
          <cell r="S43">
            <v>33489.25</v>
          </cell>
          <cell r="X43" t="str">
            <v>Claims - gross</v>
          </cell>
          <cell r="Y43" t="str">
            <v>FAROE ISLANDS</v>
          </cell>
        </row>
        <row r="44">
          <cell r="L44" t="str">
            <v>Non-proportional</v>
          </cell>
          <cell r="S44">
            <v>5200.88</v>
          </cell>
          <cell r="X44" t="str">
            <v>Claims - gross</v>
          </cell>
          <cell r="Y44" t="str">
            <v>UNITED KINGDOM</v>
          </cell>
        </row>
        <row r="45">
          <cell r="L45" t="str">
            <v>Non-proportional</v>
          </cell>
          <cell r="S45">
            <v>3073792.5</v>
          </cell>
          <cell r="X45" t="str">
            <v>Claims - gross</v>
          </cell>
          <cell r="Y45" t="str">
            <v>FRANCE</v>
          </cell>
        </row>
        <row r="46">
          <cell r="L46" t="str">
            <v>Non-proportional</v>
          </cell>
          <cell r="S46">
            <v>75800</v>
          </cell>
          <cell r="X46" t="str">
            <v>Claims - gross</v>
          </cell>
          <cell r="Y46" t="str">
            <v>GERMANY</v>
          </cell>
        </row>
        <row r="47">
          <cell r="L47"/>
          <cell r="S47">
            <v>-19214.77</v>
          </cell>
          <cell r="X47" t="str">
            <v>Claims - gross</v>
          </cell>
          <cell r="Y47" t="str">
            <v>UNITED KINGDOM</v>
          </cell>
        </row>
        <row r="48">
          <cell r="L48" t="str">
            <v>Non-proportional</v>
          </cell>
          <cell r="S48">
            <v>144443</v>
          </cell>
          <cell r="X48" t="str">
            <v>Claims - gross</v>
          </cell>
          <cell r="Y48" t="str">
            <v>UNITED KINGDOM</v>
          </cell>
        </row>
        <row r="49">
          <cell r="L49"/>
          <cell r="S49">
            <v>19214.77</v>
          </cell>
          <cell r="X49" t="str">
            <v>Claims - gross</v>
          </cell>
          <cell r="Y49" t="str">
            <v>UNITED KINGDOM</v>
          </cell>
        </row>
        <row r="50">
          <cell r="L50" t="str">
            <v>Non-proportional</v>
          </cell>
          <cell r="S50">
            <v>138634.29999999999</v>
          </cell>
          <cell r="X50" t="str">
            <v>Claims - gross</v>
          </cell>
          <cell r="Y50" t="str">
            <v>UNITED KINGDOM</v>
          </cell>
        </row>
        <row r="51">
          <cell r="L51" t="str">
            <v>Non-proportional</v>
          </cell>
          <cell r="S51">
            <v>536221.26</v>
          </cell>
          <cell r="X51" t="str">
            <v>Claims - gross</v>
          </cell>
          <cell r="Y51" t="str">
            <v>SWITZERLAND</v>
          </cell>
        </row>
        <row r="52">
          <cell r="L52"/>
          <cell r="S52">
            <v>-14849.27</v>
          </cell>
          <cell r="X52" t="str">
            <v>Claims - gross</v>
          </cell>
          <cell r="Y52" t="str">
            <v>UNITED KINGDOM</v>
          </cell>
        </row>
        <row r="53">
          <cell r="L53" t="str">
            <v>Non-proportional</v>
          </cell>
          <cell r="S53">
            <v>54525.68</v>
          </cell>
          <cell r="X53" t="str">
            <v>Claims - gross</v>
          </cell>
          <cell r="Y53" t="str">
            <v>UNITED KINGDOM</v>
          </cell>
        </row>
        <row r="54">
          <cell r="L54" t="str">
            <v>Non-proportional</v>
          </cell>
          <cell r="S54">
            <v>2287.42</v>
          </cell>
          <cell r="X54" t="str">
            <v>Claims - gross</v>
          </cell>
          <cell r="Y54" t="str">
            <v>GERMANY</v>
          </cell>
        </row>
        <row r="55">
          <cell r="L55" t="str">
            <v>Non-proportional</v>
          </cell>
          <cell r="S55">
            <v>169321.1</v>
          </cell>
          <cell r="X55" t="str">
            <v>Claims - gross</v>
          </cell>
          <cell r="Y55" t="str">
            <v>FRANCE</v>
          </cell>
        </row>
        <row r="56">
          <cell r="L56" t="str">
            <v>Non-proportional</v>
          </cell>
          <cell r="S56">
            <v>6807.79</v>
          </cell>
          <cell r="X56" t="str">
            <v>Claims - gross</v>
          </cell>
          <cell r="Y56" t="str">
            <v>GERMANY</v>
          </cell>
        </row>
        <row r="57">
          <cell r="L57" t="str">
            <v>Non-proportional</v>
          </cell>
          <cell r="S57">
            <v>2082.62</v>
          </cell>
          <cell r="X57" t="str">
            <v>Claims - gross</v>
          </cell>
          <cell r="Y57" t="str">
            <v>GERMANY</v>
          </cell>
        </row>
        <row r="58">
          <cell r="L58" t="str">
            <v>Non-proportional</v>
          </cell>
          <cell r="S58">
            <v>-244393.59</v>
          </cell>
          <cell r="X58" t="str">
            <v>Claims - gross</v>
          </cell>
          <cell r="Y58" t="str">
            <v>SWEDEN</v>
          </cell>
        </row>
        <row r="59">
          <cell r="L59" t="str">
            <v>Non-proportional</v>
          </cell>
          <cell r="S59">
            <v>6807.79</v>
          </cell>
          <cell r="X59" t="str">
            <v>Claims - gross</v>
          </cell>
          <cell r="Y59" t="str">
            <v>GERMANY</v>
          </cell>
        </row>
        <row r="60">
          <cell r="L60" t="str">
            <v>Non-proportional</v>
          </cell>
          <cell r="S60">
            <v>40000</v>
          </cell>
          <cell r="X60" t="str">
            <v>Claims - gross</v>
          </cell>
          <cell r="Y60" t="str">
            <v>AUSTRIA</v>
          </cell>
        </row>
        <row r="61">
          <cell r="L61" t="str">
            <v>Non-proportional</v>
          </cell>
          <cell r="S61">
            <v>12254.02</v>
          </cell>
          <cell r="X61" t="str">
            <v>Claims - gross</v>
          </cell>
          <cell r="Y61" t="str">
            <v>GERMANY</v>
          </cell>
        </row>
        <row r="62">
          <cell r="L62"/>
          <cell r="S62">
            <v>14849.27</v>
          </cell>
          <cell r="X62" t="str">
            <v>Claims - gross</v>
          </cell>
          <cell r="Y62" t="str">
            <v>UNITED KINGDOM</v>
          </cell>
        </row>
        <row r="63">
          <cell r="L63" t="str">
            <v>Non-proportional</v>
          </cell>
          <cell r="S63">
            <v>370878.16</v>
          </cell>
          <cell r="X63" t="str">
            <v>Claims - gross</v>
          </cell>
          <cell r="Y63" t="str">
            <v>NORWAY</v>
          </cell>
        </row>
        <row r="64">
          <cell r="L64" t="str">
            <v>Non-proportional</v>
          </cell>
          <cell r="S64">
            <v>-115739.55</v>
          </cell>
          <cell r="X64" t="str">
            <v>Claims - gross</v>
          </cell>
          <cell r="Y64" t="str">
            <v>SWITZERLAND</v>
          </cell>
        </row>
        <row r="65">
          <cell r="L65" t="str">
            <v>Non-proportional</v>
          </cell>
          <cell r="S65">
            <v>345705.16</v>
          </cell>
          <cell r="X65" t="str">
            <v>Claims - gross</v>
          </cell>
          <cell r="Y65" t="str">
            <v>SWITZERLAND</v>
          </cell>
        </row>
        <row r="66">
          <cell r="L66" t="str">
            <v>Non-proportional</v>
          </cell>
          <cell r="S66">
            <v>-370878.16</v>
          </cell>
          <cell r="X66" t="str">
            <v>Claims - gross</v>
          </cell>
          <cell r="Y66" t="str">
            <v>NORWAY</v>
          </cell>
        </row>
        <row r="67">
          <cell r="L67" t="str">
            <v>Non-proportional</v>
          </cell>
          <cell r="S67">
            <v>370878.16</v>
          </cell>
          <cell r="X67" t="str">
            <v>Claims - gross</v>
          </cell>
          <cell r="Y67" t="str">
            <v>NORWAY</v>
          </cell>
        </row>
        <row r="68">
          <cell r="L68" t="str">
            <v>Non-proportional</v>
          </cell>
          <cell r="S68">
            <v>236102.17</v>
          </cell>
          <cell r="X68" t="str">
            <v>Claims - gross</v>
          </cell>
          <cell r="Y68" t="str">
            <v>SWITZERLAND</v>
          </cell>
        </row>
        <row r="69">
          <cell r="L69" t="str">
            <v>Non-proportional</v>
          </cell>
          <cell r="S69">
            <v>121330.75</v>
          </cell>
          <cell r="X69" t="str">
            <v>Claims - gross</v>
          </cell>
          <cell r="Y69" t="str">
            <v>UNITED KINGDOM</v>
          </cell>
        </row>
        <row r="70">
          <cell r="L70" t="str">
            <v>Non-proportional</v>
          </cell>
          <cell r="S70">
            <v>94264.17</v>
          </cell>
          <cell r="X70" t="str">
            <v>Claims - gross</v>
          </cell>
          <cell r="Y70" t="str">
            <v>UNITED KINGDOM</v>
          </cell>
        </row>
        <row r="71">
          <cell r="L71" t="str">
            <v>Non-proportional</v>
          </cell>
          <cell r="S71">
            <v>-654799.92000000004</v>
          </cell>
          <cell r="X71" t="str">
            <v>Claims - gross</v>
          </cell>
          <cell r="Y71" t="str">
            <v>SWITZERLAND</v>
          </cell>
        </row>
        <row r="72">
          <cell r="L72" t="str">
            <v>Non-proportional</v>
          </cell>
          <cell r="S72">
            <v>-102189.08</v>
          </cell>
          <cell r="X72" t="str">
            <v>Claims - gross</v>
          </cell>
          <cell r="Y72" t="str">
            <v>EUROPE</v>
          </cell>
        </row>
        <row r="73">
          <cell r="L73"/>
          <cell r="S73">
            <v>-13893.56</v>
          </cell>
          <cell r="X73" t="str">
            <v>Claims - gross</v>
          </cell>
          <cell r="Y73" t="str">
            <v>UNITED KINGDOM</v>
          </cell>
        </row>
        <row r="74">
          <cell r="L74" t="str">
            <v>Non-proportional</v>
          </cell>
          <cell r="S74">
            <v>88289.71</v>
          </cell>
          <cell r="X74" t="str">
            <v>Claims - gross</v>
          </cell>
          <cell r="Y74" t="str">
            <v>UNITED KINGDOM</v>
          </cell>
        </row>
        <row r="75">
          <cell r="L75" t="str">
            <v>Non-proportional</v>
          </cell>
          <cell r="S75">
            <v>29780.2</v>
          </cell>
          <cell r="X75" t="str">
            <v>Claims - gross</v>
          </cell>
          <cell r="Y75" t="str">
            <v>EUROPE</v>
          </cell>
        </row>
        <row r="76">
          <cell r="L76" t="str">
            <v>Non-proportional</v>
          </cell>
          <cell r="S76">
            <v>122032.63</v>
          </cell>
          <cell r="X76" t="str">
            <v>Claims - gross</v>
          </cell>
          <cell r="Y76" t="str">
            <v>EUROPE</v>
          </cell>
        </row>
        <row r="77">
          <cell r="L77" t="str">
            <v>Non-proportional</v>
          </cell>
          <cell r="S77">
            <v>534437.30000000005</v>
          </cell>
          <cell r="X77" t="str">
            <v>Claims - gross</v>
          </cell>
          <cell r="Y77" t="str">
            <v>SWITZERLAND</v>
          </cell>
        </row>
        <row r="78">
          <cell r="L78" t="str">
            <v>Non-proportional</v>
          </cell>
          <cell r="S78">
            <v>363389.61</v>
          </cell>
          <cell r="X78" t="str">
            <v>Claims - gross</v>
          </cell>
          <cell r="Y78" t="str">
            <v>UNITED KINGDOM</v>
          </cell>
        </row>
        <row r="79">
          <cell r="L79" t="str">
            <v>Non-proportional</v>
          </cell>
          <cell r="S79">
            <v>122032.63</v>
          </cell>
          <cell r="X79" t="str">
            <v>Claims - gross</v>
          </cell>
          <cell r="Y79" t="str">
            <v>EUROPE</v>
          </cell>
        </row>
        <row r="80">
          <cell r="L80"/>
          <cell r="S80">
            <v>13893.56</v>
          </cell>
          <cell r="X80" t="str">
            <v>Claims - gross</v>
          </cell>
          <cell r="Y80" t="str">
            <v>UNITED KINGDOM</v>
          </cell>
        </row>
        <row r="81">
          <cell r="L81" t="str">
            <v>Non-proportional</v>
          </cell>
          <cell r="S81">
            <v>429750.17</v>
          </cell>
          <cell r="X81" t="str">
            <v>Claims - gross</v>
          </cell>
          <cell r="Y81" t="str">
            <v>UNITED KINGDOM</v>
          </cell>
        </row>
        <row r="82">
          <cell r="L82" t="str">
            <v>Non-proportional</v>
          </cell>
          <cell r="S82">
            <v>0.03</v>
          </cell>
          <cell r="X82" t="str">
            <v>Claims - gross</v>
          </cell>
          <cell r="Y82" t="str">
            <v>UNITED KINGDOM</v>
          </cell>
        </row>
        <row r="83">
          <cell r="L83" t="str">
            <v>Non-proportional</v>
          </cell>
          <cell r="S83">
            <v>15000</v>
          </cell>
          <cell r="X83" t="str">
            <v>Claims - gross</v>
          </cell>
          <cell r="Y83" t="str">
            <v>ITALY</v>
          </cell>
        </row>
        <row r="84">
          <cell r="L84" t="str">
            <v>Non-proportional</v>
          </cell>
          <cell r="S84">
            <v>648926.54</v>
          </cell>
          <cell r="X84" t="str">
            <v>Claims - gross</v>
          </cell>
          <cell r="Y84" t="str">
            <v>UNITED KINGDOM</v>
          </cell>
        </row>
        <row r="85">
          <cell r="L85" t="str">
            <v>Non-proportional</v>
          </cell>
          <cell r="S85">
            <v>429750.17</v>
          </cell>
          <cell r="X85" t="str">
            <v>Claims - gross</v>
          </cell>
          <cell r="Y85" t="str">
            <v>UNITED KINGDOM</v>
          </cell>
        </row>
        <row r="86">
          <cell r="L86" t="str">
            <v>Non-proportional</v>
          </cell>
          <cell r="S86">
            <v>50144.67</v>
          </cell>
          <cell r="X86" t="str">
            <v>Claims - gross</v>
          </cell>
          <cell r="Y86" t="str">
            <v>NORWAY</v>
          </cell>
        </row>
        <row r="87">
          <cell r="L87" t="str">
            <v>Non-proportional</v>
          </cell>
          <cell r="S87">
            <v>243768.07</v>
          </cell>
          <cell r="X87" t="str">
            <v>Claims - gross</v>
          </cell>
          <cell r="Y87" t="str">
            <v>UNITED KINGDOM</v>
          </cell>
        </row>
        <row r="88">
          <cell r="L88" t="str">
            <v>Non-proportional</v>
          </cell>
          <cell r="S88">
            <v>10680</v>
          </cell>
          <cell r="X88" t="str">
            <v>Claims - gross</v>
          </cell>
          <cell r="Y88" t="str">
            <v>ITALY</v>
          </cell>
        </row>
        <row r="89">
          <cell r="L89" t="str">
            <v>Non-proportional</v>
          </cell>
          <cell r="S89">
            <v>845889.69</v>
          </cell>
          <cell r="X89" t="str">
            <v>Claims - gross</v>
          </cell>
          <cell r="Y89" t="str">
            <v>UNITED KINGDOM</v>
          </cell>
        </row>
        <row r="90">
          <cell r="L90"/>
          <cell r="S90">
            <v>-5251.64</v>
          </cell>
          <cell r="X90" t="str">
            <v>Claims - gross</v>
          </cell>
          <cell r="Y90" t="str">
            <v>UNITED KINGDOM</v>
          </cell>
        </row>
        <row r="91">
          <cell r="L91" t="str">
            <v>Non-proportional</v>
          </cell>
          <cell r="S91">
            <v>208181.3</v>
          </cell>
          <cell r="X91" t="str">
            <v>Claims - gross</v>
          </cell>
          <cell r="Y91" t="str">
            <v>SWITZERLAND</v>
          </cell>
        </row>
        <row r="92">
          <cell r="L92" t="str">
            <v>Non-proportional</v>
          </cell>
          <cell r="S92">
            <v>578642.57999999996</v>
          </cell>
          <cell r="X92" t="str">
            <v>Claims - gross</v>
          </cell>
          <cell r="Y92" t="str">
            <v>NORWAY</v>
          </cell>
        </row>
        <row r="93">
          <cell r="L93" t="str">
            <v>Non-proportional</v>
          </cell>
          <cell r="S93">
            <v>163919.38</v>
          </cell>
          <cell r="X93" t="str">
            <v>Claims - gross</v>
          </cell>
          <cell r="Y93" t="str">
            <v>SWEDEN</v>
          </cell>
        </row>
        <row r="94">
          <cell r="L94" t="str">
            <v>Proportional</v>
          </cell>
          <cell r="S94">
            <v>-598820.75</v>
          </cell>
          <cell r="X94" t="str">
            <v>Commissions - gross</v>
          </cell>
          <cell r="Y94" t="str">
            <v>AUSTRIA</v>
          </cell>
        </row>
        <row r="95">
          <cell r="L95" t="str">
            <v>Proportional</v>
          </cell>
          <cell r="S95">
            <v>-54438.25</v>
          </cell>
          <cell r="X95" t="str">
            <v>Commissions - gross</v>
          </cell>
          <cell r="Y95" t="str">
            <v>SWITZERLAND</v>
          </cell>
        </row>
        <row r="96">
          <cell r="L96" t="str">
            <v>Proportional</v>
          </cell>
          <cell r="S96">
            <v>54438.25</v>
          </cell>
          <cell r="X96" t="str">
            <v>Commissions - gross</v>
          </cell>
          <cell r="Y96" t="str">
            <v>AUSTRIA</v>
          </cell>
        </row>
        <row r="97">
          <cell r="L97" t="str">
            <v>Proportional</v>
          </cell>
          <cell r="S97">
            <v>54438.25</v>
          </cell>
          <cell r="X97" t="str">
            <v>Commissions - gross</v>
          </cell>
          <cell r="Y97" t="str">
            <v>SWITZERLAND</v>
          </cell>
        </row>
        <row r="98">
          <cell r="L98" t="str">
            <v>Proportional</v>
          </cell>
          <cell r="S98">
            <v>54438.25</v>
          </cell>
          <cell r="X98" t="str">
            <v>Commissions - gross</v>
          </cell>
          <cell r="Y98" t="str">
            <v>AUSTRIA</v>
          </cell>
        </row>
        <row r="99">
          <cell r="L99" t="str">
            <v>Proportional</v>
          </cell>
          <cell r="S99">
            <v>-54438.25</v>
          </cell>
          <cell r="X99" t="str">
            <v>Commissions - gross</v>
          </cell>
          <cell r="Y99" t="str">
            <v>AUSTRIA</v>
          </cell>
        </row>
        <row r="100">
          <cell r="L100" t="str">
            <v>Proportional</v>
          </cell>
          <cell r="S100">
            <v>54438.25</v>
          </cell>
          <cell r="X100" t="str">
            <v>Commissions - gross</v>
          </cell>
          <cell r="Y100" t="str">
            <v>AUSTRIA</v>
          </cell>
        </row>
        <row r="101">
          <cell r="L101" t="str">
            <v>Proportional</v>
          </cell>
          <cell r="S101">
            <v>54438.25</v>
          </cell>
          <cell r="X101" t="str">
            <v>Commissions - gross</v>
          </cell>
          <cell r="Y101" t="str">
            <v>AUSTRIA</v>
          </cell>
        </row>
        <row r="102">
          <cell r="L102" t="str">
            <v>Proportional</v>
          </cell>
          <cell r="S102">
            <v>54438.25</v>
          </cell>
          <cell r="X102" t="str">
            <v>Commissions - gross</v>
          </cell>
          <cell r="Y102" t="str">
            <v>AUSTRIA</v>
          </cell>
        </row>
        <row r="103">
          <cell r="L103" t="str">
            <v>Proportional</v>
          </cell>
          <cell r="S103">
            <v>-535661.26</v>
          </cell>
          <cell r="X103" t="str">
            <v>Commissions - gross</v>
          </cell>
          <cell r="Y103" t="str">
            <v>SWITZERLAND</v>
          </cell>
        </row>
        <row r="104">
          <cell r="L104" t="str">
            <v>Proportional</v>
          </cell>
          <cell r="S104">
            <v>54438.25</v>
          </cell>
          <cell r="X104" t="str">
            <v>Commissions - gross</v>
          </cell>
          <cell r="Y104" t="str">
            <v>AUSTRIA</v>
          </cell>
        </row>
        <row r="105">
          <cell r="L105" t="str">
            <v>Proportional</v>
          </cell>
          <cell r="S105">
            <v>-585797.89</v>
          </cell>
          <cell r="X105" t="str">
            <v>Commissions - gross</v>
          </cell>
          <cell r="Y105" t="str">
            <v>UNITED STATES</v>
          </cell>
        </row>
        <row r="106">
          <cell r="L106" t="str">
            <v>Proportional</v>
          </cell>
          <cell r="S106">
            <v>-127552</v>
          </cell>
          <cell r="X106" t="str">
            <v>Commissions - gross</v>
          </cell>
          <cell r="Y106" t="str">
            <v>EUROPE</v>
          </cell>
        </row>
        <row r="107">
          <cell r="L107" t="str">
            <v>Proportional</v>
          </cell>
          <cell r="S107">
            <v>-76178.36</v>
          </cell>
          <cell r="X107" t="str">
            <v>Commissions - gross</v>
          </cell>
          <cell r="Y107" t="str">
            <v>UNITED STATES</v>
          </cell>
        </row>
        <row r="108">
          <cell r="L108" t="str">
            <v>Proportional</v>
          </cell>
          <cell r="S108">
            <v>5724.27</v>
          </cell>
          <cell r="X108" t="str">
            <v>Commissions - gross</v>
          </cell>
          <cell r="Y108" t="str">
            <v>SWITZERLAND</v>
          </cell>
        </row>
        <row r="109">
          <cell r="L109" t="str">
            <v>Proportional</v>
          </cell>
          <cell r="S109">
            <v>54438.25</v>
          </cell>
          <cell r="X109" t="str">
            <v>Commissions - gross</v>
          </cell>
          <cell r="Y109" t="str">
            <v>AUSTRIA</v>
          </cell>
        </row>
        <row r="110">
          <cell r="L110" t="str">
            <v>Proportional</v>
          </cell>
          <cell r="S110">
            <v>-47106.96</v>
          </cell>
          <cell r="X110" t="str">
            <v>Commissions - gross</v>
          </cell>
          <cell r="Y110" t="str">
            <v>UNITED STATES</v>
          </cell>
        </row>
        <row r="111">
          <cell r="L111" t="str">
            <v>Proportional</v>
          </cell>
          <cell r="S111">
            <v>5988.22</v>
          </cell>
          <cell r="X111" t="str">
            <v>Commissions - gross</v>
          </cell>
          <cell r="Y111" t="str">
            <v>UNITED STATES</v>
          </cell>
        </row>
        <row r="112">
          <cell r="L112" t="str">
            <v>Proportional</v>
          </cell>
          <cell r="S112">
            <v>1331.2</v>
          </cell>
          <cell r="X112" t="str">
            <v>Commissions - gross</v>
          </cell>
          <cell r="Y112" t="str">
            <v>EUROPE</v>
          </cell>
        </row>
        <row r="113">
          <cell r="L113" t="str">
            <v>Proportional</v>
          </cell>
          <cell r="S113">
            <v>9326.67</v>
          </cell>
          <cell r="X113" t="str">
            <v>Commissions - gross</v>
          </cell>
          <cell r="Y113" t="str">
            <v>SWITZERLAND</v>
          </cell>
        </row>
        <row r="114">
          <cell r="L114" t="str">
            <v>Proportional</v>
          </cell>
          <cell r="S114">
            <v>54438.25</v>
          </cell>
          <cell r="X114" t="str">
            <v>Commissions - gross</v>
          </cell>
          <cell r="Y114" t="str">
            <v>AUSTRIA</v>
          </cell>
        </row>
        <row r="115">
          <cell r="L115" t="str">
            <v>Proportional</v>
          </cell>
          <cell r="S115">
            <v>481.54</v>
          </cell>
          <cell r="X115" t="str">
            <v>Commissions - gross</v>
          </cell>
          <cell r="Y115" t="str">
            <v>UNITED STATES</v>
          </cell>
        </row>
        <row r="116">
          <cell r="L116" t="str">
            <v>Proportional</v>
          </cell>
          <cell r="S116">
            <v>778.72</v>
          </cell>
          <cell r="X116" t="str">
            <v>Commissions - gross</v>
          </cell>
          <cell r="Y116" t="str">
            <v>UNITED STATES</v>
          </cell>
        </row>
        <row r="117">
          <cell r="L117" t="str">
            <v>Proportional</v>
          </cell>
          <cell r="S117">
            <v>797.27</v>
          </cell>
          <cell r="X117" t="str">
            <v>Commissions - gross</v>
          </cell>
          <cell r="Y117" t="str">
            <v>UNITED STATES</v>
          </cell>
        </row>
        <row r="118">
          <cell r="L118" t="str">
            <v>Proportional</v>
          </cell>
          <cell r="S118">
            <v>1289.29</v>
          </cell>
          <cell r="X118" t="str">
            <v>Commissions - gross</v>
          </cell>
          <cell r="Y118" t="str">
            <v>UNITED STATES</v>
          </cell>
        </row>
        <row r="119">
          <cell r="L119" t="str">
            <v>Proportional</v>
          </cell>
          <cell r="S119">
            <v>9914.3799999999992</v>
          </cell>
          <cell r="X119" t="str">
            <v>Commissions - gross</v>
          </cell>
          <cell r="Y119" t="str">
            <v>UNITED STATES</v>
          </cell>
        </row>
        <row r="120">
          <cell r="L120" t="str">
            <v>Proportional</v>
          </cell>
          <cell r="S120">
            <v>2214.4</v>
          </cell>
          <cell r="X120" t="str">
            <v>Commissions - gross</v>
          </cell>
          <cell r="Y120" t="str">
            <v>EUROPE</v>
          </cell>
        </row>
        <row r="121">
          <cell r="L121" t="str">
            <v>Proportional</v>
          </cell>
          <cell r="S121">
            <v>-261770.46</v>
          </cell>
          <cell r="X121" t="str">
            <v>Commissions - gross</v>
          </cell>
          <cell r="Y121" t="str">
            <v>UNITED KINGDOM</v>
          </cell>
        </row>
        <row r="122">
          <cell r="L122" t="str">
            <v>Proportional</v>
          </cell>
          <cell r="S122">
            <v>13092.58</v>
          </cell>
          <cell r="X122" t="str">
            <v>Commissions - gross</v>
          </cell>
          <cell r="Y122" t="str">
            <v>SWITZERLAND</v>
          </cell>
        </row>
        <row r="123">
          <cell r="L123" t="str">
            <v>Proportional</v>
          </cell>
          <cell r="S123">
            <v>54438.25</v>
          </cell>
          <cell r="X123" t="str">
            <v>Commissions - gross</v>
          </cell>
          <cell r="Y123" t="str">
            <v>AUSTRIA</v>
          </cell>
        </row>
        <row r="124">
          <cell r="L124" t="str">
            <v>Proportional</v>
          </cell>
          <cell r="S124">
            <v>3123.2</v>
          </cell>
          <cell r="X124" t="str">
            <v>Commissions - gross</v>
          </cell>
          <cell r="Y124" t="str">
            <v>EUROPE</v>
          </cell>
        </row>
        <row r="125">
          <cell r="L125" t="str">
            <v>Proportional</v>
          </cell>
          <cell r="S125">
            <v>1142.67</v>
          </cell>
          <cell r="X125" t="str">
            <v>Commissions - gross</v>
          </cell>
          <cell r="Y125" t="str">
            <v>UNITED STATES</v>
          </cell>
        </row>
        <row r="126">
          <cell r="L126" t="str">
            <v>Proportional</v>
          </cell>
          <cell r="S126">
            <v>6592.9</v>
          </cell>
          <cell r="X126" t="str">
            <v>Commissions - gross</v>
          </cell>
          <cell r="Y126" t="str">
            <v>UNITED KINGDOM</v>
          </cell>
        </row>
        <row r="127">
          <cell r="L127" t="str">
            <v>Proportional</v>
          </cell>
          <cell r="S127">
            <v>-2587415.63</v>
          </cell>
          <cell r="X127" t="str">
            <v>Commissions - gross</v>
          </cell>
          <cell r="Y127" t="str">
            <v>UNITED STATES</v>
          </cell>
        </row>
        <row r="128">
          <cell r="L128" t="str">
            <v>Proportional</v>
          </cell>
          <cell r="S128">
            <v>17012.29</v>
          </cell>
          <cell r="X128" t="str">
            <v>Commissions - gross</v>
          </cell>
          <cell r="Y128" t="str">
            <v>SWITZERLAND</v>
          </cell>
        </row>
        <row r="129">
          <cell r="L129" t="str">
            <v>Proportional</v>
          </cell>
          <cell r="S129">
            <v>54438.25</v>
          </cell>
          <cell r="X129" t="str">
            <v>Commissions - gross</v>
          </cell>
          <cell r="Y129" t="str">
            <v>AUSTRIA</v>
          </cell>
        </row>
        <row r="130">
          <cell r="L130" t="str">
            <v>Proportional</v>
          </cell>
          <cell r="S130">
            <v>14209.6</v>
          </cell>
          <cell r="X130" t="str">
            <v>Commissions - gross</v>
          </cell>
          <cell r="Y130" t="str">
            <v>UNITED STATES</v>
          </cell>
        </row>
        <row r="131">
          <cell r="L131" t="str">
            <v>Proportional</v>
          </cell>
          <cell r="S131">
            <v>1847.84</v>
          </cell>
          <cell r="X131" t="str">
            <v>Commissions - gross</v>
          </cell>
          <cell r="Y131" t="str">
            <v>UNITED STATES</v>
          </cell>
        </row>
        <row r="132">
          <cell r="L132" t="str">
            <v>Proportional</v>
          </cell>
          <cell r="S132">
            <v>8430.26</v>
          </cell>
          <cell r="X132" t="str">
            <v>Commissions - gross</v>
          </cell>
          <cell r="Y132" t="str">
            <v>UNITED KINGDOM</v>
          </cell>
        </row>
        <row r="133">
          <cell r="L133" t="str">
            <v>Proportional</v>
          </cell>
          <cell r="S133">
            <v>3993.6</v>
          </cell>
          <cell r="X133" t="str">
            <v>Commissions - gross</v>
          </cell>
          <cell r="Y133" t="str">
            <v>EUROPE</v>
          </cell>
        </row>
        <row r="134">
          <cell r="L134" t="str">
            <v>Proportional</v>
          </cell>
          <cell r="S134">
            <v>2360.37</v>
          </cell>
          <cell r="X134" t="str">
            <v>Commissions - gross</v>
          </cell>
          <cell r="Y134" t="str">
            <v>UNITED STATES</v>
          </cell>
        </row>
        <row r="135">
          <cell r="L135" t="str">
            <v>Proportional</v>
          </cell>
          <cell r="S135">
            <v>1459.6</v>
          </cell>
          <cell r="X135" t="str">
            <v>Commissions - gross</v>
          </cell>
          <cell r="Y135" t="str">
            <v>UNITED STATES</v>
          </cell>
        </row>
        <row r="136">
          <cell r="L136" t="str">
            <v>Proportional</v>
          </cell>
          <cell r="S136">
            <v>54438.25</v>
          </cell>
          <cell r="X136" t="str">
            <v>Commissions - gross</v>
          </cell>
          <cell r="Y136" t="str">
            <v>AUSTRIA</v>
          </cell>
        </row>
        <row r="137">
          <cell r="L137" t="str">
            <v>Proportional</v>
          </cell>
          <cell r="S137">
            <v>26975.62</v>
          </cell>
          <cell r="X137" t="str">
            <v>Commissions - gross</v>
          </cell>
          <cell r="Y137" t="str">
            <v>UNITED STATES</v>
          </cell>
        </row>
        <row r="138">
          <cell r="L138" t="str">
            <v>Proportional</v>
          </cell>
          <cell r="S138">
            <v>18150.8</v>
          </cell>
          <cell r="X138" t="str">
            <v>Commissions - gross</v>
          </cell>
          <cell r="Y138" t="str">
            <v>UNITED STATES</v>
          </cell>
        </row>
        <row r="139">
          <cell r="L139" t="str">
            <v>Proportional</v>
          </cell>
          <cell r="S139">
            <v>20807.54</v>
          </cell>
          <cell r="X139" t="str">
            <v>Commissions - gross</v>
          </cell>
          <cell r="Y139" t="str">
            <v>SWITZERLAND</v>
          </cell>
        </row>
        <row r="140">
          <cell r="L140" t="str">
            <v>Proportional</v>
          </cell>
          <cell r="S140">
            <v>4889.6000000000004</v>
          </cell>
          <cell r="X140" t="str">
            <v>Commissions - gross</v>
          </cell>
          <cell r="Y140" t="str">
            <v>EUROPE</v>
          </cell>
        </row>
        <row r="141">
          <cell r="L141" t="str">
            <v>Proportional</v>
          </cell>
          <cell r="S141">
            <v>24181.279999999999</v>
          </cell>
          <cell r="X141" t="str">
            <v>Commissions - gross</v>
          </cell>
          <cell r="Y141" t="str">
            <v>SWITZERLAND</v>
          </cell>
        </row>
        <row r="142">
          <cell r="L142" t="str">
            <v>Proportional</v>
          </cell>
          <cell r="S142">
            <v>21875.08</v>
          </cell>
          <cell r="X142" t="str">
            <v>Commissions - gross</v>
          </cell>
          <cell r="Y142" t="str">
            <v>UNITED STATES</v>
          </cell>
        </row>
        <row r="143">
          <cell r="L143" t="str">
            <v>Proportional</v>
          </cell>
          <cell r="S143">
            <v>54438.25</v>
          </cell>
          <cell r="X143" t="str">
            <v>Commissions - gross</v>
          </cell>
          <cell r="Y143" t="str">
            <v>AUSTRIA</v>
          </cell>
        </row>
        <row r="144">
          <cell r="L144" t="str">
            <v>Proportional</v>
          </cell>
          <cell r="S144">
            <v>10321.67</v>
          </cell>
          <cell r="X144" t="str">
            <v>Commissions - gross</v>
          </cell>
          <cell r="Y144" t="str">
            <v>UNITED KINGDOM</v>
          </cell>
        </row>
        <row r="145">
          <cell r="L145" t="str">
            <v>Proportional</v>
          </cell>
          <cell r="S145">
            <v>1759.09</v>
          </cell>
          <cell r="X145" t="str">
            <v>Commissions - gross</v>
          </cell>
          <cell r="Y145" t="str">
            <v>UNITED STATES</v>
          </cell>
        </row>
        <row r="146">
          <cell r="L146" t="str">
            <v>Proportional</v>
          </cell>
          <cell r="S146">
            <v>44170.21</v>
          </cell>
          <cell r="X146" t="str">
            <v>Commissions - gross</v>
          </cell>
          <cell r="Y146" t="str">
            <v>UNITED STATES</v>
          </cell>
        </row>
        <row r="147">
          <cell r="L147" t="str">
            <v>Proportional</v>
          </cell>
          <cell r="S147">
            <v>2844.68</v>
          </cell>
          <cell r="X147" t="str">
            <v>Commissions - gross</v>
          </cell>
          <cell r="Y147" t="str">
            <v>UNITED STATES</v>
          </cell>
        </row>
        <row r="148">
          <cell r="L148" t="str">
            <v>Non-proportional</v>
          </cell>
          <cell r="S148">
            <v>-6032.53</v>
          </cell>
          <cell r="X148" t="str">
            <v>Commissions - gross</v>
          </cell>
          <cell r="Y148" t="str">
            <v>EUROPE</v>
          </cell>
        </row>
        <row r="149">
          <cell r="L149" t="str">
            <v>Non-proportional</v>
          </cell>
          <cell r="S149">
            <v>-5030.45</v>
          </cell>
          <cell r="X149" t="str">
            <v>Commissions - gross</v>
          </cell>
          <cell r="Y149" t="str">
            <v>EUROPE</v>
          </cell>
        </row>
        <row r="150">
          <cell r="L150" t="str">
            <v>Non-proportional</v>
          </cell>
          <cell r="S150">
            <v>-7559.09</v>
          </cell>
          <cell r="X150" t="str">
            <v>Commissions - gross</v>
          </cell>
          <cell r="Y150" t="str">
            <v>GERMANY</v>
          </cell>
        </row>
        <row r="151">
          <cell r="L151" t="str">
            <v>Non-proportional</v>
          </cell>
          <cell r="S151">
            <v>-68242.17</v>
          </cell>
          <cell r="X151" t="str">
            <v>Commissions - gross</v>
          </cell>
          <cell r="Y151" t="str">
            <v>UNITED KINGDOM</v>
          </cell>
        </row>
        <row r="152">
          <cell r="L152" t="str">
            <v>Non-proportional</v>
          </cell>
          <cell r="S152">
            <v>-15464.14</v>
          </cell>
          <cell r="X152" t="str">
            <v>Commissions - gross</v>
          </cell>
          <cell r="Y152" t="str">
            <v>EIRE</v>
          </cell>
        </row>
        <row r="153">
          <cell r="L153" t="str">
            <v>Non-proportional</v>
          </cell>
          <cell r="S153">
            <v>-9155.1</v>
          </cell>
          <cell r="X153" t="str">
            <v>Commissions - gross</v>
          </cell>
          <cell r="Y153" t="str">
            <v>GERMANY</v>
          </cell>
        </row>
        <row r="154">
          <cell r="L154" t="str">
            <v>Non-proportional</v>
          </cell>
          <cell r="S154">
            <v>-16095.2</v>
          </cell>
          <cell r="X154" t="str">
            <v>Commissions - gross</v>
          </cell>
          <cell r="Y154" t="str">
            <v>GERMANY</v>
          </cell>
        </row>
        <row r="155">
          <cell r="L155" t="str">
            <v>Non-proportional</v>
          </cell>
          <cell r="S155">
            <v>-6289.41</v>
          </cell>
          <cell r="X155" t="str">
            <v>Commissions - gross</v>
          </cell>
          <cell r="Y155" t="str">
            <v>GERMANY</v>
          </cell>
        </row>
        <row r="156">
          <cell r="L156" t="str">
            <v>Non-proportional</v>
          </cell>
          <cell r="S156">
            <v>-48328.800000000003</v>
          </cell>
          <cell r="X156" t="str">
            <v>Commissions - gross</v>
          </cell>
          <cell r="Y156" t="str">
            <v>UNITED KINGDOM</v>
          </cell>
        </row>
        <row r="157">
          <cell r="L157" t="str">
            <v>Non-proportional</v>
          </cell>
          <cell r="S157">
            <v>-25967.19</v>
          </cell>
          <cell r="X157" t="str">
            <v>Commissions - gross</v>
          </cell>
          <cell r="Y157" t="str">
            <v>UNITED KINGDOM</v>
          </cell>
        </row>
        <row r="158">
          <cell r="L158" t="str">
            <v>Non-proportional</v>
          </cell>
          <cell r="S158">
            <v>-6875.57</v>
          </cell>
          <cell r="X158" t="str">
            <v>Commissions - gross</v>
          </cell>
          <cell r="Y158" t="str">
            <v>GERMANY</v>
          </cell>
        </row>
        <row r="159">
          <cell r="L159" t="str">
            <v>Non-proportional</v>
          </cell>
          <cell r="S159">
            <v>-6590.44</v>
          </cell>
          <cell r="X159" t="str">
            <v>Commissions - gross</v>
          </cell>
          <cell r="Y159" t="str">
            <v>SWEDEN</v>
          </cell>
        </row>
        <row r="160">
          <cell r="L160" t="str">
            <v>Non-proportional</v>
          </cell>
          <cell r="S160">
            <v>-44220.65</v>
          </cell>
          <cell r="X160" t="str">
            <v>Commissions - gross</v>
          </cell>
          <cell r="Y160" t="str">
            <v>SWITZERLAND</v>
          </cell>
        </row>
        <row r="161">
          <cell r="L161" t="str">
            <v>Non-proportional</v>
          </cell>
          <cell r="S161">
            <v>-18239.66</v>
          </cell>
          <cell r="X161" t="str">
            <v>Commissions - gross</v>
          </cell>
          <cell r="Y161" t="str">
            <v>UNITED KINGDOM</v>
          </cell>
        </row>
        <row r="162">
          <cell r="L162" t="str">
            <v>Non-proportional</v>
          </cell>
          <cell r="S162">
            <v>-28853.7</v>
          </cell>
          <cell r="X162" t="str">
            <v>Commissions - gross</v>
          </cell>
          <cell r="Y162" t="str">
            <v>UNITED KINGDOM</v>
          </cell>
        </row>
        <row r="163">
          <cell r="L163" t="str">
            <v>Non-proportional</v>
          </cell>
          <cell r="S163">
            <v>-656978.04</v>
          </cell>
          <cell r="X163" t="str">
            <v>Commissions - gross</v>
          </cell>
          <cell r="Y163" t="str">
            <v>UNITED KINGDOM</v>
          </cell>
        </row>
        <row r="164">
          <cell r="L164" t="str">
            <v>Non-proportional</v>
          </cell>
          <cell r="S164">
            <v>-6968.65</v>
          </cell>
          <cell r="X164" t="str">
            <v>Commissions - gross</v>
          </cell>
          <cell r="Y164" t="str">
            <v>GERMANY</v>
          </cell>
        </row>
        <row r="165">
          <cell r="L165" t="str">
            <v>Non-proportional</v>
          </cell>
          <cell r="S165">
            <v>-26239.58</v>
          </cell>
          <cell r="X165" t="str">
            <v>Commissions - gross</v>
          </cell>
          <cell r="Y165" t="str">
            <v>AUSTRIA</v>
          </cell>
        </row>
        <row r="166">
          <cell r="L166" t="str">
            <v>Non-proportional</v>
          </cell>
          <cell r="S166">
            <v>-9206.5300000000007</v>
          </cell>
          <cell r="X166" t="str">
            <v>Commissions - gross</v>
          </cell>
          <cell r="Y166" t="str">
            <v>GERMANY</v>
          </cell>
        </row>
        <row r="167">
          <cell r="L167" t="str">
            <v>Non-proportional</v>
          </cell>
          <cell r="S167">
            <v>-3759.31</v>
          </cell>
          <cell r="X167" t="str">
            <v>Commissions - gross</v>
          </cell>
          <cell r="Y167" t="str">
            <v>ICELAND</v>
          </cell>
        </row>
        <row r="168">
          <cell r="L168" t="str">
            <v>Non-proportional</v>
          </cell>
          <cell r="S168">
            <v>-94111.12</v>
          </cell>
          <cell r="X168" t="str">
            <v>Commissions - gross</v>
          </cell>
          <cell r="Y168" t="str">
            <v>UNITED KINGDOM</v>
          </cell>
        </row>
        <row r="169">
          <cell r="L169" t="str">
            <v>Non-proportional</v>
          </cell>
          <cell r="S169">
            <v>-2593.25</v>
          </cell>
          <cell r="X169" t="str">
            <v>Commissions - gross</v>
          </cell>
          <cell r="Y169" t="str">
            <v>GERMANY</v>
          </cell>
        </row>
        <row r="170">
          <cell r="L170" t="str">
            <v>Non-proportional</v>
          </cell>
          <cell r="S170">
            <v>-37952.22</v>
          </cell>
          <cell r="X170" t="str">
            <v>Commissions - gross</v>
          </cell>
          <cell r="Y170" t="str">
            <v>CZECH REPUBLIC</v>
          </cell>
        </row>
        <row r="171">
          <cell r="L171" t="str">
            <v>Non-proportional</v>
          </cell>
          <cell r="S171">
            <v>-8465.83</v>
          </cell>
          <cell r="X171" t="str">
            <v>Commissions - gross</v>
          </cell>
          <cell r="Y171" t="str">
            <v>SWITZERLAND</v>
          </cell>
        </row>
        <row r="172">
          <cell r="L172" t="str">
            <v>Non-proportional</v>
          </cell>
          <cell r="S172">
            <v>-13008.05</v>
          </cell>
          <cell r="X172" t="str">
            <v>Commissions - gross</v>
          </cell>
          <cell r="Y172" t="str">
            <v>AUSTRIA</v>
          </cell>
        </row>
        <row r="173">
          <cell r="L173" t="str">
            <v>Non-proportional</v>
          </cell>
          <cell r="S173">
            <v>-8037.63</v>
          </cell>
          <cell r="X173" t="str">
            <v>Commissions - gross</v>
          </cell>
          <cell r="Y173" t="str">
            <v>FAROE ISLANDS</v>
          </cell>
        </row>
        <row r="174">
          <cell r="L174" t="str">
            <v>Non-proportional</v>
          </cell>
          <cell r="S174">
            <v>-2278.25</v>
          </cell>
          <cell r="X174" t="str">
            <v>Commissions - gross</v>
          </cell>
          <cell r="Y174" t="str">
            <v>DENMARK</v>
          </cell>
        </row>
        <row r="175">
          <cell r="L175" t="str">
            <v>Non-proportional</v>
          </cell>
          <cell r="S175">
            <v>-61819.37</v>
          </cell>
          <cell r="X175" t="str">
            <v>Commissions - gross</v>
          </cell>
          <cell r="Y175" t="str">
            <v>UNITED KINGDOM</v>
          </cell>
        </row>
        <row r="176">
          <cell r="L176" t="str">
            <v>Non-proportional</v>
          </cell>
          <cell r="S176">
            <v>-6385.52</v>
          </cell>
          <cell r="X176" t="str">
            <v>Commissions - gross</v>
          </cell>
          <cell r="Y176" t="str">
            <v>DENMARK</v>
          </cell>
        </row>
        <row r="177">
          <cell r="L177" t="str">
            <v>Non-proportional</v>
          </cell>
          <cell r="S177">
            <v>-10999.63</v>
          </cell>
          <cell r="X177" t="str">
            <v>Commissions - gross</v>
          </cell>
          <cell r="Y177" t="str">
            <v>GERMANY</v>
          </cell>
        </row>
        <row r="178">
          <cell r="L178" t="str">
            <v>Non-proportional</v>
          </cell>
          <cell r="S178">
            <v>-3418.07</v>
          </cell>
          <cell r="X178" t="str">
            <v>Commissions - gross</v>
          </cell>
          <cell r="Y178" t="str">
            <v>GERMANY</v>
          </cell>
        </row>
        <row r="179">
          <cell r="L179" t="str">
            <v>Non-proportional</v>
          </cell>
          <cell r="S179">
            <v>-344.88</v>
          </cell>
          <cell r="X179" t="str">
            <v>Commissions - gross</v>
          </cell>
          <cell r="Y179" t="str">
            <v>DENMARK</v>
          </cell>
        </row>
        <row r="180">
          <cell r="L180" t="str">
            <v>Non-proportional</v>
          </cell>
          <cell r="S180">
            <v>-8251.7199999999993</v>
          </cell>
          <cell r="X180" t="str">
            <v>Commissions - gross</v>
          </cell>
          <cell r="Y180" t="str">
            <v>GERMANY</v>
          </cell>
        </row>
        <row r="181">
          <cell r="L181" t="str">
            <v>Non-proportional</v>
          </cell>
          <cell r="S181">
            <v>-825</v>
          </cell>
          <cell r="X181" t="str">
            <v>Commissions - gross</v>
          </cell>
          <cell r="Y181" t="str">
            <v>GERMANY</v>
          </cell>
        </row>
        <row r="182">
          <cell r="L182" t="str">
            <v>Non-proportional</v>
          </cell>
          <cell r="S182">
            <v>-21912.27</v>
          </cell>
          <cell r="X182" t="str">
            <v>Commissions - gross</v>
          </cell>
          <cell r="Y182" t="str">
            <v>FRANCE</v>
          </cell>
        </row>
        <row r="183">
          <cell r="L183" t="str">
            <v>Non-proportional</v>
          </cell>
          <cell r="S183">
            <v>-8349</v>
          </cell>
          <cell r="X183" t="str">
            <v>Commissions - gross</v>
          </cell>
          <cell r="Y183" t="str">
            <v>GERMANY</v>
          </cell>
        </row>
        <row r="184">
          <cell r="L184" t="str">
            <v>Non-proportional</v>
          </cell>
          <cell r="S184">
            <v>-48125</v>
          </cell>
          <cell r="X184" t="str">
            <v>Commissions - gross</v>
          </cell>
          <cell r="Y184" t="str">
            <v>GERMANY</v>
          </cell>
        </row>
        <row r="185">
          <cell r="L185" t="str">
            <v>Non-proportional</v>
          </cell>
          <cell r="S185">
            <v>-2567.56</v>
          </cell>
          <cell r="X185" t="str">
            <v>Commissions - gross</v>
          </cell>
          <cell r="Y185" t="str">
            <v>SWEDEN</v>
          </cell>
        </row>
        <row r="186">
          <cell r="L186" t="str">
            <v>Non-proportional</v>
          </cell>
          <cell r="S186">
            <v>-4235</v>
          </cell>
          <cell r="X186" t="str">
            <v>Commissions - gross</v>
          </cell>
          <cell r="Y186" t="str">
            <v>GERMANY</v>
          </cell>
        </row>
        <row r="187">
          <cell r="L187" t="str">
            <v>Non-proportional</v>
          </cell>
          <cell r="S187">
            <v>-1216.3599999999999</v>
          </cell>
          <cell r="X187" t="str">
            <v>Commissions - gross</v>
          </cell>
          <cell r="Y187" t="str">
            <v>NORWAY</v>
          </cell>
        </row>
        <row r="188">
          <cell r="L188" t="str">
            <v>Non-proportional</v>
          </cell>
          <cell r="S188">
            <v>-10909.72</v>
          </cell>
          <cell r="X188" t="str">
            <v>Commissions - gross</v>
          </cell>
          <cell r="Y188" t="str">
            <v>CZECH REPUBLIC</v>
          </cell>
        </row>
        <row r="189">
          <cell r="L189" t="str">
            <v>Non-proportional</v>
          </cell>
          <cell r="S189">
            <v>-11230.31</v>
          </cell>
          <cell r="X189" t="str">
            <v>Commissions - gross</v>
          </cell>
          <cell r="Y189" t="str">
            <v>GERMANY</v>
          </cell>
        </row>
        <row r="190">
          <cell r="L190" t="str">
            <v>Non-proportional</v>
          </cell>
          <cell r="S190">
            <v>-7987.06</v>
          </cell>
          <cell r="X190" t="str">
            <v>Commissions - gross</v>
          </cell>
          <cell r="Y190" t="str">
            <v>NORWAY</v>
          </cell>
        </row>
        <row r="191">
          <cell r="L191" t="str">
            <v>Non-proportional</v>
          </cell>
          <cell r="S191">
            <v>-14739.7</v>
          </cell>
          <cell r="X191" t="str">
            <v>Commissions - gross</v>
          </cell>
          <cell r="Y191" t="str">
            <v>GERMANY</v>
          </cell>
        </row>
        <row r="192">
          <cell r="L192" t="str">
            <v>Non-proportional</v>
          </cell>
          <cell r="S192">
            <v>-14740.94</v>
          </cell>
          <cell r="X192" t="str">
            <v>Commissions - gross</v>
          </cell>
          <cell r="Y192" t="str">
            <v>DENMARK</v>
          </cell>
        </row>
        <row r="193">
          <cell r="L193" t="str">
            <v>Non-proportional</v>
          </cell>
          <cell r="S193">
            <v>-4962.55</v>
          </cell>
          <cell r="X193" t="str">
            <v>Commissions - gross</v>
          </cell>
          <cell r="Y193" t="str">
            <v>AUSTRIA</v>
          </cell>
        </row>
        <row r="194">
          <cell r="L194" t="str">
            <v>Non-proportional</v>
          </cell>
          <cell r="S194">
            <v>-20871.13</v>
          </cell>
          <cell r="X194" t="str">
            <v>Commissions - gross</v>
          </cell>
          <cell r="Y194" t="str">
            <v>AUSTRIA</v>
          </cell>
        </row>
        <row r="195">
          <cell r="L195" t="str">
            <v>Non-proportional</v>
          </cell>
          <cell r="S195">
            <v>-22458.33</v>
          </cell>
          <cell r="X195" t="str">
            <v>Commissions - gross</v>
          </cell>
          <cell r="Y195" t="str">
            <v>GERMANY</v>
          </cell>
        </row>
        <row r="196">
          <cell r="L196" t="str">
            <v>Non-proportional</v>
          </cell>
          <cell r="S196">
            <v>-119017.75</v>
          </cell>
          <cell r="X196" t="str">
            <v>Commissions - gross</v>
          </cell>
          <cell r="Y196" t="str">
            <v>UNITED KINGDOM</v>
          </cell>
        </row>
        <row r="197">
          <cell r="L197" t="str">
            <v>Non-proportional</v>
          </cell>
          <cell r="S197">
            <v>-9567.43</v>
          </cell>
          <cell r="X197" t="str">
            <v>Commissions - gross</v>
          </cell>
          <cell r="Y197" t="str">
            <v>GERMANY</v>
          </cell>
        </row>
        <row r="198">
          <cell r="L198" t="str">
            <v>Non-proportional</v>
          </cell>
          <cell r="S198">
            <v>-6483.33</v>
          </cell>
          <cell r="X198" t="str">
            <v>Commissions - gross</v>
          </cell>
          <cell r="Y198" t="str">
            <v>AUSTRIA</v>
          </cell>
        </row>
        <row r="199">
          <cell r="L199" t="str">
            <v>Non-proportional</v>
          </cell>
          <cell r="S199">
            <v>-747823.51</v>
          </cell>
          <cell r="X199" t="str">
            <v>Commissions - gross</v>
          </cell>
          <cell r="Y199" t="str">
            <v>UNITED KINGDOM</v>
          </cell>
        </row>
        <row r="200">
          <cell r="L200" t="str">
            <v>Non-proportional</v>
          </cell>
          <cell r="S200">
            <v>-5898.75</v>
          </cell>
          <cell r="X200" t="str">
            <v>Commissions - gross</v>
          </cell>
          <cell r="Y200" t="str">
            <v>GERMANY</v>
          </cell>
        </row>
        <row r="201">
          <cell r="L201" t="str">
            <v>Non-proportional</v>
          </cell>
          <cell r="S201">
            <v>-16326.96</v>
          </cell>
          <cell r="X201" t="str">
            <v>Commissions - gross</v>
          </cell>
          <cell r="Y201" t="str">
            <v>SWITZERLAND</v>
          </cell>
        </row>
        <row r="202">
          <cell r="L202" t="str">
            <v>Non-proportional</v>
          </cell>
          <cell r="S202">
            <v>-847.86</v>
          </cell>
          <cell r="X202" t="str">
            <v>Commissions - gross</v>
          </cell>
          <cell r="Y202" t="str">
            <v>JAPAN</v>
          </cell>
        </row>
        <row r="203">
          <cell r="L203" t="str">
            <v>Non-proportional</v>
          </cell>
          <cell r="S203">
            <v>-12886.75</v>
          </cell>
          <cell r="X203" t="str">
            <v>Commissions - gross</v>
          </cell>
          <cell r="Y203" t="str">
            <v>UNITED KINGDOM</v>
          </cell>
        </row>
        <row r="204">
          <cell r="L204" t="str">
            <v>Non-proportional</v>
          </cell>
          <cell r="S204">
            <v>-173690.85</v>
          </cell>
          <cell r="X204" t="str">
            <v>Commissions - gross</v>
          </cell>
          <cell r="Y204" t="str">
            <v>UNITED KINGDOM</v>
          </cell>
        </row>
        <row r="205">
          <cell r="L205" t="str">
            <v>Non-proportional</v>
          </cell>
          <cell r="S205">
            <v>-63490.78</v>
          </cell>
          <cell r="X205" t="str">
            <v>Commissions - gross</v>
          </cell>
          <cell r="Y205" t="str">
            <v>UNITED KINGDOM</v>
          </cell>
        </row>
        <row r="206">
          <cell r="L206" t="str">
            <v>Non-proportional</v>
          </cell>
          <cell r="S206">
            <v>-7792.33</v>
          </cell>
          <cell r="X206" t="str">
            <v>Commissions - gross</v>
          </cell>
          <cell r="Y206" t="str">
            <v>NORWAY</v>
          </cell>
        </row>
        <row r="207">
          <cell r="L207" t="str">
            <v>Non-proportional</v>
          </cell>
          <cell r="S207">
            <v>-12997.54</v>
          </cell>
          <cell r="X207" t="str">
            <v>Commissions - gross</v>
          </cell>
          <cell r="Y207" t="str">
            <v>GERMANY</v>
          </cell>
        </row>
        <row r="208">
          <cell r="L208" t="str">
            <v>Non-proportional</v>
          </cell>
          <cell r="S208">
            <v>-1328.92</v>
          </cell>
          <cell r="X208" t="str">
            <v>Commissions - gross</v>
          </cell>
          <cell r="Y208" t="str">
            <v>DENMARK</v>
          </cell>
        </row>
        <row r="209">
          <cell r="L209" t="str">
            <v>Non-proportional</v>
          </cell>
          <cell r="S209">
            <v>-13666.72</v>
          </cell>
          <cell r="X209" t="str">
            <v>Commissions - gross</v>
          </cell>
          <cell r="Y209" t="str">
            <v>EUROPE</v>
          </cell>
        </row>
        <row r="210">
          <cell r="L210" t="str">
            <v>Non-proportional</v>
          </cell>
          <cell r="S210">
            <v>-15532</v>
          </cell>
          <cell r="X210" t="str">
            <v>Commissions - gross</v>
          </cell>
          <cell r="Y210" t="str">
            <v>AUSTRIA</v>
          </cell>
        </row>
        <row r="211">
          <cell r="L211" t="str">
            <v>Non-proportional</v>
          </cell>
          <cell r="S211">
            <v>-12396.39</v>
          </cell>
          <cell r="X211" t="str">
            <v>Commissions - gross</v>
          </cell>
          <cell r="Y211" t="str">
            <v>SWITZERLAND</v>
          </cell>
        </row>
        <row r="212">
          <cell r="L212" t="str">
            <v>Non-proportional</v>
          </cell>
          <cell r="S212">
            <v>-49776.639999999999</v>
          </cell>
          <cell r="X212" t="str">
            <v>Commissions - gross</v>
          </cell>
          <cell r="Y212" t="str">
            <v>UNITED KINGDOM</v>
          </cell>
        </row>
        <row r="213">
          <cell r="L213" t="str">
            <v>Non-proportional</v>
          </cell>
          <cell r="S213">
            <v>-7556.92</v>
          </cell>
          <cell r="X213" t="str">
            <v>Commissions - gross</v>
          </cell>
          <cell r="Y213" t="str">
            <v>UNITED KINGDOM</v>
          </cell>
        </row>
        <row r="214">
          <cell r="L214" t="str">
            <v>Non-proportional</v>
          </cell>
          <cell r="S214">
            <v>-3644.46</v>
          </cell>
          <cell r="X214" t="str">
            <v>Commissions - gross</v>
          </cell>
          <cell r="Y214" t="str">
            <v>EUROPE</v>
          </cell>
        </row>
        <row r="215">
          <cell r="L215" t="str">
            <v>Non-proportional</v>
          </cell>
          <cell r="S215">
            <v>-3885</v>
          </cell>
          <cell r="X215" t="str">
            <v>Commissions - gross</v>
          </cell>
          <cell r="Y215" t="str">
            <v>FAROE ISLANDS</v>
          </cell>
        </row>
        <row r="216">
          <cell r="L216" t="str">
            <v>Non-proportional</v>
          </cell>
          <cell r="S216">
            <v>-6943.84</v>
          </cell>
          <cell r="X216" t="str">
            <v>Commissions - gross</v>
          </cell>
          <cell r="Y216" t="str">
            <v>GERMANY</v>
          </cell>
        </row>
        <row r="217">
          <cell r="L217" t="str">
            <v>Non-proportional</v>
          </cell>
          <cell r="S217">
            <v>-27932.959999999999</v>
          </cell>
          <cell r="X217" t="str">
            <v>Commissions - gross</v>
          </cell>
          <cell r="Y217" t="str">
            <v>GERMANY</v>
          </cell>
        </row>
        <row r="218">
          <cell r="L218" t="str">
            <v>Non-proportional</v>
          </cell>
          <cell r="S218">
            <v>-3712.5</v>
          </cell>
          <cell r="X218" t="str">
            <v>Commissions - gross</v>
          </cell>
          <cell r="Y218" t="str">
            <v>GERMANY</v>
          </cell>
        </row>
        <row r="219">
          <cell r="L219" t="str">
            <v>Non-proportional</v>
          </cell>
          <cell r="S219">
            <v>-10123.43</v>
          </cell>
          <cell r="X219" t="str">
            <v>Commissions - gross</v>
          </cell>
          <cell r="Y219" t="str">
            <v>GERMANY</v>
          </cell>
        </row>
        <row r="220">
          <cell r="L220" t="str">
            <v>Non-proportional</v>
          </cell>
          <cell r="S220">
            <v>-3905.28</v>
          </cell>
          <cell r="X220" t="str">
            <v>Commissions - gross</v>
          </cell>
          <cell r="Y220" t="str">
            <v>JAPAN</v>
          </cell>
        </row>
        <row r="221">
          <cell r="L221" t="str">
            <v>Non-proportional</v>
          </cell>
          <cell r="S221">
            <v>-13179.75</v>
          </cell>
          <cell r="X221" t="str">
            <v>Commissions - gross</v>
          </cell>
          <cell r="Y221" t="str">
            <v>SWEDEN</v>
          </cell>
        </row>
        <row r="222">
          <cell r="L222" t="str">
            <v>Non-proportional</v>
          </cell>
          <cell r="S222">
            <v>-632.5</v>
          </cell>
          <cell r="X222" t="str">
            <v>Commissions - gross</v>
          </cell>
          <cell r="Y222" t="str">
            <v>ITALY</v>
          </cell>
        </row>
        <row r="223">
          <cell r="L223" t="str">
            <v>Non-proportional</v>
          </cell>
          <cell r="S223">
            <v>-10041.86</v>
          </cell>
          <cell r="X223" t="str">
            <v>Commissions - gross</v>
          </cell>
          <cell r="Y223" t="str">
            <v>GERMANY</v>
          </cell>
        </row>
        <row r="224">
          <cell r="L224" t="str">
            <v>Non-proportional</v>
          </cell>
          <cell r="S224">
            <v>-2176.9299999999998</v>
          </cell>
          <cell r="X224" t="str">
            <v>Commissions - gross</v>
          </cell>
          <cell r="Y224" t="str">
            <v>SWITZERLAND</v>
          </cell>
        </row>
        <row r="225">
          <cell r="L225" t="str">
            <v>Non-proportional</v>
          </cell>
          <cell r="S225">
            <v>-123764.35</v>
          </cell>
          <cell r="X225" t="str">
            <v>Commissions - gross</v>
          </cell>
          <cell r="Y225" t="str">
            <v>UNITED KINGDOM</v>
          </cell>
        </row>
        <row r="226">
          <cell r="L226" t="str">
            <v>Non-proportional</v>
          </cell>
          <cell r="S226">
            <v>-9899.8700000000008</v>
          </cell>
          <cell r="X226" t="str">
            <v>Commissions - gross</v>
          </cell>
          <cell r="Y226" t="str">
            <v>GERMANY</v>
          </cell>
        </row>
        <row r="227">
          <cell r="L227" t="str">
            <v>Non-proportional</v>
          </cell>
          <cell r="S227">
            <v>-330.92</v>
          </cell>
          <cell r="X227" t="str">
            <v>Commissions - gross</v>
          </cell>
          <cell r="Y227" t="str">
            <v>ITALY</v>
          </cell>
        </row>
        <row r="228">
          <cell r="L228" t="str">
            <v>Non-proportional</v>
          </cell>
          <cell r="S228">
            <v>-4523.3599999999997</v>
          </cell>
          <cell r="X228" t="str">
            <v>Commissions - gross</v>
          </cell>
          <cell r="Y228" t="str">
            <v>AUSTRIA</v>
          </cell>
        </row>
        <row r="229">
          <cell r="L229" t="str">
            <v>Non-proportional</v>
          </cell>
          <cell r="S229">
            <v>-27267.200000000001</v>
          </cell>
          <cell r="X229" t="str">
            <v>Commissions - gross</v>
          </cell>
          <cell r="Y229" t="str">
            <v>UNITED KINGDOM</v>
          </cell>
        </row>
        <row r="230">
          <cell r="L230" t="str">
            <v>Non-proportional</v>
          </cell>
          <cell r="S230">
            <v>-83095</v>
          </cell>
          <cell r="X230" t="str">
            <v>Commissions - gross</v>
          </cell>
          <cell r="Y230" t="str">
            <v>UNITED KINGDOM</v>
          </cell>
        </row>
        <row r="231">
          <cell r="L231" t="str">
            <v>Non-proportional</v>
          </cell>
          <cell r="S231">
            <v>-2984.03</v>
          </cell>
          <cell r="X231" t="str">
            <v>Commissions - gross</v>
          </cell>
          <cell r="Y231" t="str">
            <v>GERMANY</v>
          </cell>
        </row>
        <row r="232">
          <cell r="L232" t="str">
            <v>Non-proportional</v>
          </cell>
          <cell r="S232">
            <v>-28474.97</v>
          </cell>
          <cell r="X232" t="str">
            <v>Commissions - gross</v>
          </cell>
          <cell r="Y232" t="str">
            <v>CZECH REPUBLIC</v>
          </cell>
        </row>
        <row r="233">
          <cell r="L233" t="str">
            <v>Non-proportional</v>
          </cell>
          <cell r="S233">
            <v>-9721.48</v>
          </cell>
          <cell r="X233" t="str">
            <v>Commissions - gross</v>
          </cell>
          <cell r="Y233" t="str">
            <v>GERMANY</v>
          </cell>
        </row>
        <row r="234">
          <cell r="L234" t="str">
            <v>Non-proportional</v>
          </cell>
          <cell r="S234">
            <v>-20129.46</v>
          </cell>
          <cell r="X234" t="str">
            <v>Commissions - gross</v>
          </cell>
          <cell r="Y234" t="str">
            <v>SWEDEN</v>
          </cell>
        </row>
        <row r="235">
          <cell r="L235" t="str">
            <v>Non-proportional</v>
          </cell>
          <cell r="S235">
            <v>-123257.29</v>
          </cell>
          <cell r="X235" t="str">
            <v>Commissions - gross</v>
          </cell>
          <cell r="Y235" t="str">
            <v>FRANCE</v>
          </cell>
        </row>
        <row r="236">
          <cell r="L236" t="str">
            <v>Non-proportional</v>
          </cell>
          <cell r="S236">
            <v>-192.69</v>
          </cell>
          <cell r="X236" t="str">
            <v>Commissions - gross</v>
          </cell>
          <cell r="Y236" t="str">
            <v>ITALY</v>
          </cell>
        </row>
        <row r="237">
          <cell r="L237" t="str">
            <v>Non-proportional</v>
          </cell>
          <cell r="S237">
            <v>-8077.6</v>
          </cell>
          <cell r="X237" t="str">
            <v>Commissions - gross</v>
          </cell>
          <cell r="Y237" t="str">
            <v>SPAIN</v>
          </cell>
        </row>
        <row r="238">
          <cell r="L238" t="str">
            <v>Non-proportional</v>
          </cell>
          <cell r="S238">
            <v>-902.6</v>
          </cell>
          <cell r="X238" t="str">
            <v>Commissions - gross</v>
          </cell>
          <cell r="Y238" t="str">
            <v>GERMANY</v>
          </cell>
        </row>
        <row r="239">
          <cell r="L239" t="str">
            <v>Non-proportional</v>
          </cell>
          <cell r="S239">
            <v>-10347.700000000001</v>
          </cell>
          <cell r="X239" t="str">
            <v>Commissions - gross</v>
          </cell>
          <cell r="Y239" t="str">
            <v>GERMANY</v>
          </cell>
        </row>
        <row r="240">
          <cell r="L240" t="str">
            <v>Non-proportional</v>
          </cell>
          <cell r="S240">
            <v>-8522.16</v>
          </cell>
          <cell r="X240" t="str">
            <v>Commissions - gross</v>
          </cell>
          <cell r="Y240" t="str">
            <v>GERMANY</v>
          </cell>
        </row>
        <row r="241">
          <cell r="L241" t="str">
            <v>Non-proportional</v>
          </cell>
          <cell r="S241">
            <v>-30995.46</v>
          </cell>
          <cell r="X241" t="str">
            <v>Commissions - gross</v>
          </cell>
          <cell r="Y241" t="str">
            <v>UNITED KINGDOM</v>
          </cell>
        </row>
        <row r="242">
          <cell r="L242" t="str">
            <v>Non-proportional</v>
          </cell>
          <cell r="S242">
            <v>-99251.91</v>
          </cell>
          <cell r="X242" t="str">
            <v>Commissions - gross</v>
          </cell>
          <cell r="Y242" t="str">
            <v>UNITED KINGDOM</v>
          </cell>
        </row>
        <row r="243">
          <cell r="L243" t="str">
            <v>Non-proportional</v>
          </cell>
          <cell r="S243">
            <v>-297.73</v>
          </cell>
          <cell r="X243" t="str">
            <v>Commissions - gross</v>
          </cell>
          <cell r="Y243" t="str">
            <v>ITALY</v>
          </cell>
        </row>
        <row r="244">
          <cell r="L244" t="str">
            <v>Non-proportional</v>
          </cell>
          <cell r="S244">
            <v>-3870.1</v>
          </cell>
          <cell r="X244" t="str">
            <v>Commissions - gross</v>
          </cell>
          <cell r="Y244" t="str">
            <v>SWITZERLAND</v>
          </cell>
        </row>
        <row r="245">
          <cell r="L245" t="str">
            <v>Non-proportional</v>
          </cell>
          <cell r="S245">
            <v>-13436.55</v>
          </cell>
          <cell r="X245" t="str">
            <v>Commissions - gross</v>
          </cell>
          <cell r="Y245" t="str">
            <v>REPUBLIC OF IRELAND</v>
          </cell>
        </row>
        <row r="246">
          <cell r="L246" t="str">
            <v>Non-proportional</v>
          </cell>
          <cell r="S246">
            <v>-1541.82</v>
          </cell>
          <cell r="X246" t="str">
            <v>Commissions - gross</v>
          </cell>
          <cell r="Y246" t="str">
            <v>GERMANY</v>
          </cell>
        </row>
        <row r="247">
          <cell r="L247" t="str">
            <v>Non-proportional</v>
          </cell>
          <cell r="S247">
            <v>-29023.02</v>
          </cell>
          <cell r="X247" t="str">
            <v>Commissions - gross</v>
          </cell>
          <cell r="Y247" t="str">
            <v>UNITED KINGDOM</v>
          </cell>
        </row>
        <row r="248">
          <cell r="L248" t="str">
            <v>Non-proportional</v>
          </cell>
          <cell r="S248">
            <v>-6679.65</v>
          </cell>
          <cell r="X248" t="str">
            <v>Commissions - gross</v>
          </cell>
          <cell r="Y248" t="str">
            <v>DENMARK</v>
          </cell>
        </row>
        <row r="249">
          <cell r="L249" t="str">
            <v>Non-proportional</v>
          </cell>
          <cell r="S249">
            <v>-20576.78</v>
          </cell>
          <cell r="X249" t="str">
            <v>Commissions - gross</v>
          </cell>
          <cell r="Y249" t="str">
            <v>GERMANY</v>
          </cell>
        </row>
        <row r="250">
          <cell r="L250" t="str">
            <v>Non-proportional</v>
          </cell>
          <cell r="S250">
            <v>-64391.83</v>
          </cell>
          <cell r="X250" t="str">
            <v>Commissions - gross</v>
          </cell>
          <cell r="Y250" t="str">
            <v>UNITED KINGDOM</v>
          </cell>
        </row>
        <row r="251">
          <cell r="L251" t="str">
            <v>Non-proportional</v>
          </cell>
          <cell r="S251">
            <v>-7791.91</v>
          </cell>
          <cell r="X251" t="str">
            <v>Commissions - gross</v>
          </cell>
          <cell r="Y251" t="str">
            <v>UNITED KINGDOM</v>
          </cell>
        </row>
        <row r="252">
          <cell r="L252" t="str">
            <v>Non-proportional</v>
          </cell>
          <cell r="S252">
            <v>-23075.43</v>
          </cell>
          <cell r="X252" t="str">
            <v>Commissions - gross</v>
          </cell>
          <cell r="Y252" t="str">
            <v>SWITZERLAND</v>
          </cell>
        </row>
        <row r="253">
          <cell r="L253" t="str">
            <v>Non-proportional</v>
          </cell>
          <cell r="S253">
            <v>-1423.91</v>
          </cell>
          <cell r="X253" t="str">
            <v>Commissions - gross</v>
          </cell>
          <cell r="Y253" t="str">
            <v>DENMARK</v>
          </cell>
        </row>
        <row r="254">
          <cell r="L254" t="str">
            <v>Non-proportional</v>
          </cell>
          <cell r="S254">
            <v>-14895.83</v>
          </cell>
          <cell r="X254" t="str">
            <v>Commissions - gross</v>
          </cell>
          <cell r="Y254" t="str">
            <v>GERMANY</v>
          </cell>
        </row>
        <row r="255">
          <cell r="L255" t="str">
            <v>Non-proportional</v>
          </cell>
          <cell r="S255">
            <v>-5801.01</v>
          </cell>
          <cell r="X255" t="str">
            <v>Commissions - gross</v>
          </cell>
          <cell r="Y255" t="str">
            <v>NORWAY</v>
          </cell>
        </row>
        <row r="256">
          <cell r="L256" t="str">
            <v>Non-proportional</v>
          </cell>
          <cell r="S256">
            <v>-3780.66</v>
          </cell>
          <cell r="X256" t="str">
            <v>Commissions - gross</v>
          </cell>
          <cell r="Y256" t="str">
            <v>EUROPE</v>
          </cell>
        </row>
        <row r="257">
          <cell r="L257" t="str">
            <v>Non-proportional</v>
          </cell>
          <cell r="S257">
            <v>-2900.99</v>
          </cell>
          <cell r="X257" t="str">
            <v>Commissions - gross</v>
          </cell>
          <cell r="Y257" t="str">
            <v>GERMANY</v>
          </cell>
        </row>
        <row r="258">
          <cell r="L258" t="str">
            <v>Non-proportional</v>
          </cell>
          <cell r="S258">
            <v>-32358.33</v>
          </cell>
          <cell r="X258" t="str">
            <v>Commissions - gross</v>
          </cell>
          <cell r="Y258" t="str">
            <v>EUROPE</v>
          </cell>
        </row>
        <row r="259">
          <cell r="L259" t="str">
            <v>Non-proportional</v>
          </cell>
          <cell r="S259">
            <v>-15409.51</v>
          </cell>
          <cell r="X259" t="str">
            <v>Commissions - gross</v>
          </cell>
          <cell r="Y259" t="str">
            <v>GERMANY</v>
          </cell>
        </row>
        <row r="260">
          <cell r="L260" t="str">
            <v>Non-proportional</v>
          </cell>
          <cell r="S260">
            <v>-6079.76</v>
          </cell>
          <cell r="X260" t="str">
            <v>Commissions - gross</v>
          </cell>
          <cell r="Y260" t="str">
            <v>GERMANY</v>
          </cell>
        </row>
        <row r="261">
          <cell r="L261" t="str">
            <v>Non-proportional</v>
          </cell>
          <cell r="S261">
            <v>-18308.009999999998</v>
          </cell>
          <cell r="X261" t="str">
            <v>Commissions - gross</v>
          </cell>
          <cell r="Y261" t="str">
            <v>FRANCE</v>
          </cell>
        </row>
        <row r="262">
          <cell r="L262" t="str">
            <v>Non-proportional</v>
          </cell>
          <cell r="S262">
            <v>-22777.86</v>
          </cell>
          <cell r="X262" t="str">
            <v>Commissions - gross</v>
          </cell>
          <cell r="Y262" t="str">
            <v>EUROPE</v>
          </cell>
        </row>
        <row r="263">
          <cell r="L263" t="str">
            <v>Non-proportional</v>
          </cell>
          <cell r="S263">
            <v>-2942.69</v>
          </cell>
          <cell r="X263" t="str">
            <v>Commissions - gross</v>
          </cell>
          <cell r="Y263" t="str">
            <v>FRANCE</v>
          </cell>
        </row>
        <row r="264">
          <cell r="L264" t="str">
            <v>Non-proportional</v>
          </cell>
          <cell r="S264">
            <v>-22847.7</v>
          </cell>
          <cell r="X264" t="str">
            <v>Commissions - gross</v>
          </cell>
          <cell r="Y264" t="str">
            <v>FRANCE</v>
          </cell>
        </row>
        <row r="265">
          <cell r="L265" t="str">
            <v>Non-proportional</v>
          </cell>
          <cell r="S265">
            <v>-9566.56</v>
          </cell>
          <cell r="X265" t="str">
            <v>Commissions - gross</v>
          </cell>
          <cell r="Y265" t="str">
            <v>GERMANY</v>
          </cell>
        </row>
        <row r="266">
          <cell r="L266" t="str">
            <v>Non-proportional</v>
          </cell>
          <cell r="S266">
            <v>-25364.86</v>
          </cell>
          <cell r="X266" t="str">
            <v>Commissions - gross</v>
          </cell>
          <cell r="Y266" t="str">
            <v>FRANCE</v>
          </cell>
        </row>
        <row r="267">
          <cell r="L267" t="str">
            <v>Non-proportional</v>
          </cell>
          <cell r="S267">
            <v>-13266.73</v>
          </cell>
          <cell r="X267" t="str">
            <v>Commissions - gross</v>
          </cell>
          <cell r="Y267" t="str">
            <v>UNITED KINGDOM</v>
          </cell>
        </row>
        <row r="268">
          <cell r="L268" t="str">
            <v>Non-proportional</v>
          </cell>
          <cell r="S268">
            <v>-7367.9</v>
          </cell>
          <cell r="X268" t="str">
            <v>Commissions - gross</v>
          </cell>
          <cell r="Y268" t="str">
            <v>DENMARK</v>
          </cell>
        </row>
        <row r="269">
          <cell r="L269" t="str">
            <v>Non-proportional</v>
          </cell>
          <cell r="S269">
            <v>-17415.669999999998</v>
          </cell>
          <cell r="X269" t="str">
            <v>Commissions - gross</v>
          </cell>
          <cell r="Y269" t="str">
            <v>GERMANY</v>
          </cell>
        </row>
        <row r="270">
          <cell r="L270" t="str">
            <v>Non-proportional</v>
          </cell>
          <cell r="S270">
            <v>-22390.5</v>
          </cell>
          <cell r="X270" t="str">
            <v>Commissions - gross</v>
          </cell>
          <cell r="Y270" t="str">
            <v>GERMANY</v>
          </cell>
        </row>
        <row r="271">
          <cell r="L271" t="str">
            <v>Non-proportional</v>
          </cell>
          <cell r="S271">
            <v>-4056.25</v>
          </cell>
          <cell r="X271" t="str">
            <v>Commissions - gross</v>
          </cell>
          <cell r="Y271" t="str">
            <v>GERMANY</v>
          </cell>
        </row>
        <row r="272">
          <cell r="L272" t="str">
            <v>Non-proportional</v>
          </cell>
          <cell r="S272">
            <v>-22002.720000000001</v>
          </cell>
          <cell r="X272" t="str">
            <v>Commissions - gross</v>
          </cell>
          <cell r="Y272" t="str">
            <v>CZECH REPUBLIC</v>
          </cell>
        </row>
        <row r="273">
          <cell r="L273" t="str">
            <v>Proportional</v>
          </cell>
          <cell r="S273">
            <v>-2490.08</v>
          </cell>
          <cell r="X273" t="str">
            <v>Commissions - gross</v>
          </cell>
          <cell r="Y273" t="str">
            <v>SWITZERLAND</v>
          </cell>
        </row>
        <row r="274">
          <cell r="L274" t="str">
            <v>Non-proportional</v>
          </cell>
          <cell r="S274">
            <v>-133298.23000000001</v>
          </cell>
          <cell r="X274" t="str">
            <v>Commissions - gross</v>
          </cell>
          <cell r="Y274" t="str">
            <v>UNITED KINGDOM</v>
          </cell>
        </row>
        <row r="275">
          <cell r="L275" t="str">
            <v>Non-proportional</v>
          </cell>
          <cell r="S275">
            <v>-13282.37</v>
          </cell>
          <cell r="X275" t="str">
            <v>Commissions - gross</v>
          </cell>
          <cell r="Y275" t="str">
            <v>FRANCE</v>
          </cell>
        </row>
        <row r="276">
          <cell r="L276" t="str">
            <v>Non-proportional</v>
          </cell>
          <cell r="S276">
            <v>-8364.6299999999992</v>
          </cell>
          <cell r="X276" t="str">
            <v>Commissions - gross</v>
          </cell>
          <cell r="Y276" t="str">
            <v>GERMANY</v>
          </cell>
        </row>
        <row r="277">
          <cell r="L277" t="str">
            <v>Non-proportional</v>
          </cell>
          <cell r="S277">
            <v>-257367.83</v>
          </cell>
          <cell r="X277" t="str">
            <v>Commissions - gross</v>
          </cell>
          <cell r="Y277" t="str">
            <v>UNITED KINGDOM</v>
          </cell>
        </row>
        <row r="278">
          <cell r="L278" t="str">
            <v>Non-proportional</v>
          </cell>
          <cell r="S278">
            <v>-2271.81</v>
          </cell>
          <cell r="X278" t="str">
            <v>Commissions - gross</v>
          </cell>
          <cell r="Y278" t="str">
            <v>EUROPE</v>
          </cell>
        </row>
        <row r="279">
          <cell r="L279" t="str">
            <v>Non-proportional</v>
          </cell>
          <cell r="S279">
            <v>-12634.32</v>
          </cell>
          <cell r="X279" t="str">
            <v>Commissions - gross</v>
          </cell>
          <cell r="Y279" t="str">
            <v>FRANCE</v>
          </cell>
        </row>
        <row r="280">
          <cell r="L280" t="str">
            <v>Non-proportional</v>
          </cell>
          <cell r="S280">
            <v>-8761.5</v>
          </cell>
          <cell r="X280" t="str">
            <v>Commissions - gross</v>
          </cell>
          <cell r="Y280" t="str">
            <v>GERMANY</v>
          </cell>
        </row>
        <row r="281">
          <cell r="L281" t="str">
            <v>Non-proportional</v>
          </cell>
          <cell r="S281">
            <v>-960.71</v>
          </cell>
          <cell r="X281" t="str">
            <v>Commissions - gross</v>
          </cell>
          <cell r="Y281" t="str">
            <v>GERMANY</v>
          </cell>
        </row>
        <row r="282">
          <cell r="L282" t="str">
            <v>Non-proportional</v>
          </cell>
          <cell r="S282">
            <v>-13070.48</v>
          </cell>
          <cell r="X282" t="str">
            <v>Commissions - gross</v>
          </cell>
          <cell r="Y282" t="str">
            <v>EUROPE</v>
          </cell>
        </row>
        <row r="283">
          <cell r="L283" t="str">
            <v>Non-proportional</v>
          </cell>
          <cell r="S283">
            <v>-3588.75</v>
          </cell>
          <cell r="X283" t="str">
            <v>Commissions - gross</v>
          </cell>
          <cell r="Y283" t="str">
            <v>ROMANIA</v>
          </cell>
        </row>
        <row r="284">
          <cell r="L284" t="str">
            <v>Non-proportional</v>
          </cell>
          <cell r="S284">
            <v>-12626.18</v>
          </cell>
          <cell r="X284" t="str">
            <v>Commissions - gross</v>
          </cell>
          <cell r="Y284" t="str">
            <v>SWITZERLAND</v>
          </cell>
        </row>
        <row r="285">
          <cell r="L285" t="str">
            <v>Non-proportional</v>
          </cell>
          <cell r="S285">
            <v>-7697.8</v>
          </cell>
          <cell r="X285" t="str">
            <v>Commissions - gross</v>
          </cell>
          <cell r="Y285" t="str">
            <v>AUSTRIA</v>
          </cell>
        </row>
        <row r="286">
          <cell r="L286" t="str">
            <v>Non-proportional</v>
          </cell>
          <cell r="S286">
            <v>-4703.0600000000004</v>
          </cell>
          <cell r="X286" t="str">
            <v>Commissions - gross</v>
          </cell>
          <cell r="Y286" t="str">
            <v>GERMANY</v>
          </cell>
        </row>
        <row r="287">
          <cell r="L287" t="str">
            <v>Non-proportional</v>
          </cell>
          <cell r="S287">
            <v>-3666.76</v>
          </cell>
          <cell r="X287" t="str">
            <v>Commissions - gross</v>
          </cell>
          <cell r="Y287" t="str">
            <v>ITALY</v>
          </cell>
        </row>
        <row r="288">
          <cell r="L288" t="str">
            <v>Non-proportional</v>
          </cell>
          <cell r="S288">
            <v>-2593.25</v>
          </cell>
          <cell r="X288" t="str">
            <v>Commissions - gross</v>
          </cell>
          <cell r="Y288" t="str">
            <v>GERMANY</v>
          </cell>
        </row>
        <row r="289">
          <cell r="L289" t="str">
            <v>Non-proportional</v>
          </cell>
          <cell r="S289">
            <v>-8937.5</v>
          </cell>
          <cell r="X289" t="str">
            <v>Commissions - gross</v>
          </cell>
          <cell r="Y289" t="str">
            <v>CZECH REPUBLIC</v>
          </cell>
        </row>
        <row r="290">
          <cell r="L290" t="str">
            <v>Non-proportional</v>
          </cell>
          <cell r="S290">
            <v>-24744.94</v>
          </cell>
          <cell r="X290" t="str">
            <v>Commissions - gross</v>
          </cell>
          <cell r="Y290" t="str">
            <v>CZECH REPUBLIC</v>
          </cell>
        </row>
        <row r="291">
          <cell r="L291" t="str">
            <v>Non-proportional</v>
          </cell>
          <cell r="S291">
            <v>-12845.58</v>
          </cell>
          <cell r="X291" t="str">
            <v>Commissions - gross</v>
          </cell>
          <cell r="Y291" t="str">
            <v>UNITED KINGDOM</v>
          </cell>
        </row>
        <row r="292">
          <cell r="L292" t="str">
            <v>Non-proportional</v>
          </cell>
          <cell r="S292">
            <v>-6013.84</v>
          </cell>
          <cell r="X292" t="str">
            <v>Commissions - gross</v>
          </cell>
          <cell r="Y292" t="str">
            <v>EIRE</v>
          </cell>
        </row>
        <row r="293">
          <cell r="L293" t="str">
            <v>Non-proportional</v>
          </cell>
          <cell r="S293">
            <v>-2750.63</v>
          </cell>
          <cell r="X293" t="str">
            <v>Commissions - gross</v>
          </cell>
          <cell r="Y293" t="str">
            <v>GERMANY</v>
          </cell>
        </row>
        <row r="294">
          <cell r="L294" t="str">
            <v>Non-proportional</v>
          </cell>
          <cell r="S294">
            <v>-6428.67</v>
          </cell>
          <cell r="X294" t="str">
            <v>Commissions - gross</v>
          </cell>
          <cell r="Y294" t="str">
            <v>NORWAY</v>
          </cell>
        </row>
        <row r="295">
          <cell r="L295" t="str">
            <v>Non-proportional</v>
          </cell>
          <cell r="S295">
            <v>-37099.03</v>
          </cell>
          <cell r="X295" t="str">
            <v>Commissions - gross</v>
          </cell>
          <cell r="Y295" t="str">
            <v>FRANCE</v>
          </cell>
        </row>
        <row r="296">
          <cell r="L296" t="str">
            <v>Non-proportional</v>
          </cell>
          <cell r="S296">
            <v>-8458.4500000000007</v>
          </cell>
          <cell r="X296" t="str">
            <v>Commissions - gross</v>
          </cell>
          <cell r="Y296" t="str">
            <v>ICELAND</v>
          </cell>
        </row>
        <row r="297">
          <cell r="L297" t="str">
            <v>Non-proportional</v>
          </cell>
          <cell r="S297">
            <v>-9867.68</v>
          </cell>
          <cell r="X297" t="str">
            <v>Commissions - gross</v>
          </cell>
          <cell r="Y297" t="str">
            <v>GERMANY</v>
          </cell>
        </row>
        <row r="298">
          <cell r="L298" t="str">
            <v>Non-proportional</v>
          </cell>
          <cell r="S298">
            <v>-6110.61</v>
          </cell>
          <cell r="X298" t="str">
            <v>Commissions - gross</v>
          </cell>
          <cell r="Y298" t="str">
            <v>SWEDEN</v>
          </cell>
        </row>
        <row r="299">
          <cell r="L299" t="str">
            <v>Non-proportional</v>
          </cell>
          <cell r="S299">
            <v>-12163.51</v>
          </cell>
          <cell r="X299" t="str">
            <v>Commissions - gross</v>
          </cell>
          <cell r="Y299" t="str">
            <v>DENMARK</v>
          </cell>
        </row>
        <row r="300">
          <cell r="L300" t="str">
            <v>Non-proportional</v>
          </cell>
          <cell r="S300">
            <v>-7302.26</v>
          </cell>
          <cell r="X300" t="str">
            <v>Commissions - gross</v>
          </cell>
          <cell r="Y300" t="str">
            <v>EUROPE</v>
          </cell>
        </row>
        <row r="301">
          <cell r="L301" t="str">
            <v>Non-proportional</v>
          </cell>
          <cell r="S301">
            <v>-20688</v>
          </cell>
          <cell r="X301" t="str">
            <v>Commissions - gross</v>
          </cell>
          <cell r="Y301" t="str">
            <v>REPUBLIC OF IRELAND</v>
          </cell>
        </row>
        <row r="302">
          <cell r="L302" t="str">
            <v>Non-proportional</v>
          </cell>
          <cell r="S302">
            <v>-3457.67</v>
          </cell>
          <cell r="X302" t="str">
            <v>Commissions - gross</v>
          </cell>
          <cell r="Y302" t="str">
            <v>GERMANY</v>
          </cell>
        </row>
        <row r="303">
          <cell r="L303" t="str">
            <v>Non-proportional</v>
          </cell>
          <cell r="S303">
            <v>-9265.67</v>
          </cell>
          <cell r="X303" t="str">
            <v>Commissions - gross</v>
          </cell>
          <cell r="Y303" t="str">
            <v>ITALY</v>
          </cell>
        </row>
        <row r="304">
          <cell r="L304" t="str">
            <v>Non-proportional</v>
          </cell>
          <cell r="S304">
            <v>-3962.7</v>
          </cell>
          <cell r="X304" t="str">
            <v>Commissions - gross</v>
          </cell>
          <cell r="Y304" t="str">
            <v>FAROE ISLANDS</v>
          </cell>
        </row>
        <row r="305">
          <cell r="L305" t="str">
            <v>Non-proportional</v>
          </cell>
          <cell r="S305">
            <v>-11011.97</v>
          </cell>
          <cell r="X305" t="str">
            <v>Commissions - gross</v>
          </cell>
          <cell r="Y305" t="str">
            <v>GERMANY</v>
          </cell>
        </row>
        <row r="306">
          <cell r="L306" t="str">
            <v>Non-proportional</v>
          </cell>
          <cell r="S306">
            <v>-6477.24</v>
          </cell>
          <cell r="X306" t="str">
            <v>Commissions - gross</v>
          </cell>
          <cell r="Y306" t="str">
            <v>FRANCE</v>
          </cell>
        </row>
        <row r="307">
          <cell r="L307" t="str">
            <v>Non-proportional</v>
          </cell>
          <cell r="S307">
            <v>-8880.1200000000008</v>
          </cell>
          <cell r="X307" t="str">
            <v>Commissions - gross</v>
          </cell>
          <cell r="Y307" t="str">
            <v>GERMANY</v>
          </cell>
        </row>
        <row r="308">
          <cell r="L308" t="str">
            <v>Non-proportional</v>
          </cell>
          <cell r="S308">
            <v>-4411.91</v>
          </cell>
          <cell r="X308" t="str">
            <v>Commissions - gross</v>
          </cell>
          <cell r="Y308" t="str">
            <v>SWITZERLAND</v>
          </cell>
        </row>
        <row r="309">
          <cell r="L309" t="str">
            <v>Non-proportional</v>
          </cell>
          <cell r="S309">
            <v>-270.92</v>
          </cell>
          <cell r="X309" t="str">
            <v>Commissions - gross</v>
          </cell>
          <cell r="Y309" t="str">
            <v>FRANCE</v>
          </cell>
        </row>
        <row r="310">
          <cell r="L310" t="str">
            <v>Non-proportional</v>
          </cell>
          <cell r="S310">
            <v>-790.29</v>
          </cell>
          <cell r="X310" t="str">
            <v>Commissions - gross</v>
          </cell>
          <cell r="Y310" t="str">
            <v>ITALY</v>
          </cell>
        </row>
        <row r="311">
          <cell r="L311" t="str">
            <v>Non-proportional</v>
          </cell>
          <cell r="S311">
            <v>-301237.77</v>
          </cell>
          <cell r="X311" t="str">
            <v>Commissions - gross</v>
          </cell>
          <cell r="Y311" t="str">
            <v>UNITED KINGDOM</v>
          </cell>
        </row>
        <row r="312">
          <cell r="L312" t="str">
            <v>Non-proportional</v>
          </cell>
          <cell r="S312">
            <v>-8708.4500000000007</v>
          </cell>
          <cell r="X312" t="str">
            <v>Commissions - gross</v>
          </cell>
          <cell r="Y312" t="str">
            <v>GERMANY</v>
          </cell>
        </row>
        <row r="313">
          <cell r="L313" t="str">
            <v>Non-proportional</v>
          </cell>
          <cell r="S313">
            <v>-8295.4500000000007</v>
          </cell>
          <cell r="X313" t="str">
            <v>Commissions - gross</v>
          </cell>
          <cell r="Y313" t="str">
            <v>NORWAY</v>
          </cell>
        </row>
        <row r="314">
          <cell r="L314" t="str">
            <v>Non-proportional</v>
          </cell>
          <cell r="S314">
            <v>-137292.25</v>
          </cell>
          <cell r="X314" t="str">
            <v>Commissions - gross</v>
          </cell>
          <cell r="Y314" t="str">
            <v>UNITED KINGDOM</v>
          </cell>
        </row>
        <row r="315">
          <cell r="L315" t="str">
            <v>Non-proportional</v>
          </cell>
          <cell r="S315">
            <v>-9350.76</v>
          </cell>
          <cell r="X315" t="str">
            <v>Commissions - gross</v>
          </cell>
          <cell r="Y315" t="str">
            <v>EUROPE</v>
          </cell>
        </row>
        <row r="316">
          <cell r="L316" t="str">
            <v>Non-proportional</v>
          </cell>
          <cell r="S316">
            <v>-28177.69</v>
          </cell>
          <cell r="X316" t="str">
            <v>Commissions - gross</v>
          </cell>
          <cell r="Y316" t="str">
            <v>UNITED KINGDOM</v>
          </cell>
        </row>
        <row r="317">
          <cell r="L317" t="str">
            <v>Non-proportional</v>
          </cell>
          <cell r="S317">
            <v>-31016.22</v>
          </cell>
          <cell r="X317" t="str">
            <v>Commissions - gross</v>
          </cell>
          <cell r="Y317" t="str">
            <v>UNITED KINGDOM</v>
          </cell>
        </row>
        <row r="318">
          <cell r="L318" t="str">
            <v>Non-proportional</v>
          </cell>
          <cell r="S318">
            <v>-2158.56</v>
          </cell>
          <cell r="X318" t="str">
            <v>Commissions - gross</v>
          </cell>
          <cell r="Y318" t="str">
            <v>GERMANY</v>
          </cell>
        </row>
        <row r="319">
          <cell r="L319" t="str">
            <v>Non-proportional</v>
          </cell>
          <cell r="S319">
            <v>-21038.14</v>
          </cell>
          <cell r="X319" t="str">
            <v>Commissions - gross</v>
          </cell>
          <cell r="Y319" t="str">
            <v>UNITED KINGDOM</v>
          </cell>
        </row>
        <row r="320">
          <cell r="L320" t="str">
            <v>Non-proportional</v>
          </cell>
          <cell r="S320">
            <v>-18576.45</v>
          </cell>
          <cell r="X320" t="str">
            <v>Commissions - gross</v>
          </cell>
          <cell r="Y320" t="str">
            <v>SWITZERLAND</v>
          </cell>
        </row>
        <row r="321">
          <cell r="L321" t="str">
            <v>Non-proportional</v>
          </cell>
          <cell r="S321">
            <v>-126.12</v>
          </cell>
          <cell r="X321" t="str">
            <v>Commissions - gross</v>
          </cell>
          <cell r="Y321" t="str">
            <v>FRANCE</v>
          </cell>
        </row>
        <row r="322">
          <cell r="L322" t="str">
            <v>Non-proportional</v>
          </cell>
          <cell r="S322">
            <v>-7058.33</v>
          </cell>
          <cell r="X322" t="str">
            <v>Commissions - gross</v>
          </cell>
          <cell r="Y322" t="str">
            <v>GERMANY</v>
          </cell>
        </row>
        <row r="323">
          <cell r="L323" t="str">
            <v>Non-proportional</v>
          </cell>
          <cell r="S323">
            <v>-9487.5</v>
          </cell>
          <cell r="X323" t="str">
            <v>Commissions - gross</v>
          </cell>
          <cell r="Y323" t="str">
            <v>GERMANY</v>
          </cell>
        </row>
        <row r="324">
          <cell r="L324" t="str">
            <v>Non-proportional</v>
          </cell>
          <cell r="S324">
            <v>-8679.2099999999991</v>
          </cell>
          <cell r="X324" t="str">
            <v>Commissions - gross</v>
          </cell>
          <cell r="Y324" t="str">
            <v>DENMARK</v>
          </cell>
        </row>
        <row r="325">
          <cell r="L325" t="str">
            <v>Non-proportional</v>
          </cell>
          <cell r="S325">
            <v>-11468.36</v>
          </cell>
          <cell r="X325" t="str">
            <v>Commissions - gross</v>
          </cell>
          <cell r="Y325" t="str">
            <v>FRANCE</v>
          </cell>
        </row>
        <row r="326">
          <cell r="L326" t="str">
            <v>Non-proportional</v>
          </cell>
          <cell r="S326">
            <v>-2291.67</v>
          </cell>
          <cell r="X326" t="str">
            <v>Commissions - gross</v>
          </cell>
          <cell r="Y326" t="str">
            <v>GERMANY</v>
          </cell>
        </row>
        <row r="327">
          <cell r="L327" t="str">
            <v>Non-proportional</v>
          </cell>
          <cell r="S327">
            <v>-41080.61</v>
          </cell>
          <cell r="X327" t="str">
            <v>Commissions - gross</v>
          </cell>
          <cell r="Y327" t="str">
            <v>FRANCE</v>
          </cell>
        </row>
        <row r="328">
          <cell r="L328" t="str">
            <v>Non-proportional</v>
          </cell>
          <cell r="S328">
            <v>-6966.17</v>
          </cell>
          <cell r="X328" t="str">
            <v>Commissions - gross</v>
          </cell>
          <cell r="Y328" t="str">
            <v>SWITZERLAND</v>
          </cell>
        </row>
        <row r="329">
          <cell r="L329" t="str">
            <v>Non-proportional</v>
          </cell>
          <cell r="S329">
            <v>-12072.32</v>
          </cell>
          <cell r="X329" t="str">
            <v>Commissions - gross</v>
          </cell>
          <cell r="Y329" t="str">
            <v>GERMANY</v>
          </cell>
        </row>
        <row r="330">
          <cell r="L330" t="str">
            <v>Non-proportional</v>
          </cell>
          <cell r="S330">
            <v>-3383.38</v>
          </cell>
          <cell r="X330" t="str">
            <v>Commissions - gross</v>
          </cell>
          <cell r="Y330" t="str">
            <v>ICELAND</v>
          </cell>
        </row>
        <row r="331">
          <cell r="L331" t="str">
            <v>Non-proportional</v>
          </cell>
          <cell r="S331">
            <v>-37644.65</v>
          </cell>
          <cell r="X331" t="str">
            <v>Commissions - gross</v>
          </cell>
          <cell r="Y331" t="str">
            <v>UNITED KINGDOM</v>
          </cell>
        </row>
        <row r="332">
          <cell r="L332" t="str">
            <v>Non-proportional</v>
          </cell>
          <cell r="S332">
            <v>-25810.69</v>
          </cell>
          <cell r="X332" t="str">
            <v>Commissions - gross</v>
          </cell>
          <cell r="Y332" t="str">
            <v>UNITED KINGDOM</v>
          </cell>
        </row>
        <row r="333">
          <cell r="L333" t="str">
            <v>Non-proportional</v>
          </cell>
          <cell r="S333">
            <v>-44993.85</v>
          </cell>
          <cell r="X333" t="str">
            <v>Commissions - gross</v>
          </cell>
          <cell r="Y333" t="str">
            <v>GERMANY</v>
          </cell>
        </row>
        <row r="334">
          <cell r="L334" t="str">
            <v>Non-proportional</v>
          </cell>
          <cell r="S334">
            <v>-1851.08</v>
          </cell>
          <cell r="X334" t="str">
            <v>Commissions - gross</v>
          </cell>
          <cell r="Y334" t="str">
            <v>DENMARK</v>
          </cell>
        </row>
        <row r="335">
          <cell r="L335" t="str">
            <v>Non-proportional</v>
          </cell>
          <cell r="S335">
            <v>-3391.73</v>
          </cell>
          <cell r="X335" t="str">
            <v>Commissions - gross</v>
          </cell>
          <cell r="Y335" t="str">
            <v>EUROPE</v>
          </cell>
        </row>
        <row r="336">
          <cell r="L336" t="str">
            <v>Non-proportional</v>
          </cell>
          <cell r="S336">
            <v>-5506.38</v>
          </cell>
          <cell r="X336" t="str">
            <v>Commissions - gross</v>
          </cell>
          <cell r="Y336" t="str">
            <v>FRANCE</v>
          </cell>
        </row>
        <row r="337">
          <cell r="L337" t="str">
            <v>Non-proportional</v>
          </cell>
          <cell r="S337">
            <v>-496.38</v>
          </cell>
          <cell r="X337" t="str">
            <v>Commissions - gross</v>
          </cell>
          <cell r="Y337" t="str">
            <v>ITALY</v>
          </cell>
        </row>
        <row r="338">
          <cell r="L338" t="str">
            <v>Non-proportional</v>
          </cell>
          <cell r="S338">
            <v>-4902.99</v>
          </cell>
          <cell r="X338" t="str">
            <v>Commissions - gross</v>
          </cell>
          <cell r="Y338" t="str">
            <v>DENMARK</v>
          </cell>
        </row>
        <row r="339">
          <cell r="L339" t="str">
            <v>Non-proportional</v>
          </cell>
          <cell r="S339">
            <v>-17838.71</v>
          </cell>
          <cell r="X339" t="str">
            <v>Commissions - gross</v>
          </cell>
          <cell r="Y339" t="str">
            <v>SWITZERLAND</v>
          </cell>
        </row>
        <row r="340">
          <cell r="L340" t="str">
            <v>Non-proportional</v>
          </cell>
          <cell r="S340">
            <v>-7594.59</v>
          </cell>
          <cell r="X340" t="str">
            <v>Commissions - gross</v>
          </cell>
          <cell r="Y340" t="str">
            <v>FRANCE</v>
          </cell>
        </row>
        <row r="341">
          <cell r="L341" t="str">
            <v>Non-proportional</v>
          </cell>
          <cell r="S341">
            <v>-11016.58</v>
          </cell>
          <cell r="X341" t="str">
            <v>Commissions - gross</v>
          </cell>
          <cell r="Y341" t="str">
            <v>AUSTRIA</v>
          </cell>
        </row>
        <row r="342">
          <cell r="L342" t="str">
            <v>Non-proportional</v>
          </cell>
          <cell r="S342">
            <v>-7104.17</v>
          </cell>
          <cell r="X342" t="str">
            <v>Commissions - gross</v>
          </cell>
          <cell r="Y342" t="str">
            <v>AUSTRIA</v>
          </cell>
        </row>
        <row r="343">
          <cell r="L343" t="str">
            <v>Non-proportional</v>
          </cell>
          <cell r="S343">
            <v>-23017.35</v>
          </cell>
          <cell r="X343" t="str">
            <v>Commissions - gross</v>
          </cell>
          <cell r="Y343" t="str">
            <v>FRANCE</v>
          </cell>
        </row>
        <row r="344">
          <cell r="L344" t="str">
            <v>Non-proportional</v>
          </cell>
          <cell r="S344">
            <v>-960.71</v>
          </cell>
          <cell r="X344" t="str">
            <v>Commissions - gross</v>
          </cell>
          <cell r="Y344" t="str">
            <v>GERMANY</v>
          </cell>
        </row>
        <row r="345">
          <cell r="L345" t="str">
            <v>Non-proportional</v>
          </cell>
          <cell r="S345">
            <v>-2132.7800000000002</v>
          </cell>
          <cell r="X345" t="str">
            <v>Commissions - gross</v>
          </cell>
          <cell r="Y345" t="str">
            <v>REPUBLIC OF IRELAND</v>
          </cell>
        </row>
        <row r="346">
          <cell r="L346" t="str">
            <v>Non-proportional</v>
          </cell>
          <cell r="S346">
            <v>-16862.11</v>
          </cell>
          <cell r="X346" t="str">
            <v>Commissions - gross</v>
          </cell>
          <cell r="Y346" t="str">
            <v>ITALY</v>
          </cell>
        </row>
        <row r="347">
          <cell r="L347" t="str">
            <v>Non-proportional</v>
          </cell>
          <cell r="S347">
            <v>-1234.53</v>
          </cell>
          <cell r="X347" t="str">
            <v>Commissions - gross</v>
          </cell>
          <cell r="Y347" t="str">
            <v>ITALY</v>
          </cell>
        </row>
        <row r="348">
          <cell r="L348" t="str">
            <v>Non-proportional</v>
          </cell>
          <cell r="S348">
            <v>-6144.96</v>
          </cell>
          <cell r="X348" t="str">
            <v>Commissions - gross</v>
          </cell>
          <cell r="Y348" t="str">
            <v>GERMANY</v>
          </cell>
        </row>
        <row r="349">
          <cell r="L349" t="str">
            <v>Non-proportional</v>
          </cell>
          <cell r="S349">
            <v>-43208.51</v>
          </cell>
          <cell r="X349" t="str">
            <v>Commissions - gross</v>
          </cell>
          <cell r="Y349" t="str">
            <v>UNITED KINGDOM</v>
          </cell>
        </row>
        <row r="350">
          <cell r="L350" t="str">
            <v>Non-proportional</v>
          </cell>
          <cell r="S350">
            <v>-11742.86</v>
          </cell>
          <cell r="X350" t="str">
            <v>Commissions - gross</v>
          </cell>
          <cell r="Y350" t="str">
            <v>SWEDEN</v>
          </cell>
        </row>
        <row r="351">
          <cell r="L351" t="str">
            <v>Non-proportional</v>
          </cell>
          <cell r="S351">
            <v>-21566.66</v>
          </cell>
          <cell r="X351" t="str">
            <v>Commissions - gross</v>
          </cell>
          <cell r="Y351" t="str">
            <v>FRANCE</v>
          </cell>
        </row>
        <row r="352">
          <cell r="L352" t="str">
            <v>Non-proportional</v>
          </cell>
          <cell r="S352">
            <v>-8349</v>
          </cell>
          <cell r="X352" t="str">
            <v>Commissions - gross</v>
          </cell>
          <cell r="Y352" t="str">
            <v>GERMANY</v>
          </cell>
        </row>
        <row r="353">
          <cell r="L353" t="str">
            <v>Non-proportional</v>
          </cell>
          <cell r="S353">
            <v>-2956.25</v>
          </cell>
          <cell r="X353" t="str">
            <v>Commissions - gross</v>
          </cell>
          <cell r="Y353" t="str">
            <v>GERMANY</v>
          </cell>
        </row>
        <row r="354">
          <cell r="L354" t="str">
            <v>Non-proportional</v>
          </cell>
          <cell r="S354">
            <v>-92708.479999999996</v>
          </cell>
          <cell r="X354" t="str">
            <v>Commissions - gross</v>
          </cell>
          <cell r="Y354" t="str">
            <v>UNITED KINGDOM</v>
          </cell>
        </row>
        <row r="355">
          <cell r="L355" t="str">
            <v>Non-proportional</v>
          </cell>
          <cell r="S355">
            <v>-98161.919999999998</v>
          </cell>
          <cell r="X355" t="str">
            <v>Commissions - gross</v>
          </cell>
          <cell r="Y355" t="str">
            <v>UNITED KINGDOM</v>
          </cell>
        </row>
        <row r="356">
          <cell r="L356" t="str">
            <v>Non-proportional</v>
          </cell>
          <cell r="S356">
            <v>-8977.8799999999992</v>
          </cell>
          <cell r="X356" t="str">
            <v>Commissions - gross</v>
          </cell>
          <cell r="Y356" t="str">
            <v>NORWAY</v>
          </cell>
        </row>
        <row r="357">
          <cell r="L357" t="str">
            <v>Non-proportional</v>
          </cell>
          <cell r="S357">
            <v>-952.14</v>
          </cell>
          <cell r="X357" t="str">
            <v>Commissions - gross</v>
          </cell>
          <cell r="Y357" t="str">
            <v>ITALY</v>
          </cell>
        </row>
        <row r="358">
          <cell r="L358" t="str">
            <v>Non-proportional</v>
          </cell>
          <cell r="S358">
            <v>-4472.8599999999997</v>
          </cell>
          <cell r="X358" t="str">
            <v>Commissions - gross</v>
          </cell>
          <cell r="Y358" t="str">
            <v>SWITZERLAND</v>
          </cell>
        </row>
        <row r="359">
          <cell r="L359" t="str">
            <v>Non-proportional</v>
          </cell>
          <cell r="S359">
            <v>-48514.82</v>
          </cell>
          <cell r="X359" t="str">
            <v>Commissions - gross</v>
          </cell>
          <cell r="Y359" t="str">
            <v>UNITED KINGDOM</v>
          </cell>
        </row>
        <row r="360">
          <cell r="L360" t="str">
            <v>Non-proportional</v>
          </cell>
          <cell r="S360">
            <v>-10523.7</v>
          </cell>
          <cell r="X360" t="str">
            <v>Commissions - gross</v>
          </cell>
          <cell r="Y360" t="str">
            <v>SLOVENIA</v>
          </cell>
        </row>
        <row r="361">
          <cell r="L361" t="str">
            <v>Non-proportional</v>
          </cell>
          <cell r="S361">
            <v>-31271.58</v>
          </cell>
          <cell r="X361" t="str">
            <v>Commissions - gross</v>
          </cell>
          <cell r="Y361" t="str">
            <v>UNITED KINGDOM</v>
          </cell>
        </row>
        <row r="362">
          <cell r="L362" t="str">
            <v>Non-proportional</v>
          </cell>
          <cell r="S362">
            <v>-3731.75</v>
          </cell>
          <cell r="X362" t="str">
            <v>Commissions - gross</v>
          </cell>
          <cell r="Y362" t="str">
            <v>ITALY</v>
          </cell>
        </row>
        <row r="363">
          <cell r="L363" t="str">
            <v>Non-proportional</v>
          </cell>
          <cell r="S363">
            <v>-3354.64</v>
          </cell>
          <cell r="X363" t="str">
            <v>Commissions - gross</v>
          </cell>
          <cell r="Y363" t="str">
            <v>SWITZERLAND</v>
          </cell>
        </row>
        <row r="364">
          <cell r="L364" t="str">
            <v>Non-proportional</v>
          </cell>
          <cell r="S364">
            <v>-9740.5</v>
          </cell>
          <cell r="X364" t="str">
            <v>Commissions - gross</v>
          </cell>
          <cell r="Y364" t="str">
            <v>GERMANY</v>
          </cell>
        </row>
        <row r="365">
          <cell r="L365" t="str">
            <v>Non-proportional</v>
          </cell>
          <cell r="S365">
            <v>-5907.95</v>
          </cell>
          <cell r="X365" t="str">
            <v>Commissions - gross</v>
          </cell>
          <cell r="Y365" t="str">
            <v>DENMARK</v>
          </cell>
        </row>
        <row r="366">
          <cell r="L366" t="str">
            <v>Non-proportional</v>
          </cell>
          <cell r="S366">
            <v>-5340.73</v>
          </cell>
          <cell r="X366" t="str">
            <v>Commissions - gross</v>
          </cell>
          <cell r="Y366" t="str">
            <v>SWITZERLAND</v>
          </cell>
        </row>
        <row r="367">
          <cell r="L367" t="str">
            <v>Non-proportional</v>
          </cell>
          <cell r="S367">
            <v>-24188.09</v>
          </cell>
          <cell r="X367" t="str">
            <v>Commissions - gross</v>
          </cell>
          <cell r="Y367" t="str">
            <v>SWITZERLAND</v>
          </cell>
        </row>
        <row r="368">
          <cell r="L368" t="str">
            <v>Non-proportional</v>
          </cell>
          <cell r="S368">
            <v>-17872.95</v>
          </cell>
          <cell r="X368" t="str">
            <v>Commissions - gross</v>
          </cell>
          <cell r="Y368" t="str">
            <v>FRANCE</v>
          </cell>
        </row>
        <row r="369">
          <cell r="L369" t="str">
            <v>Non-proportional</v>
          </cell>
          <cell r="S369">
            <v>-47881.1</v>
          </cell>
          <cell r="X369" t="str">
            <v>Commissions - gross</v>
          </cell>
          <cell r="Y369" t="str">
            <v>UNITED KINGDOM</v>
          </cell>
        </row>
        <row r="370">
          <cell r="L370" t="str">
            <v>Non-proportional</v>
          </cell>
          <cell r="S370">
            <v>-188223.24</v>
          </cell>
          <cell r="X370" t="str">
            <v>Commissions - gross</v>
          </cell>
          <cell r="Y370" t="str">
            <v>UNITED KINGDOM</v>
          </cell>
        </row>
        <row r="371">
          <cell r="L371" t="str">
            <v>Non-proportional</v>
          </cell>
          <cell r="S371">
            <v>-1518.79</v>
          </cell>
          <cell r="X371" t="str">
            <v>Commissions - gross</v>
          </cell>
          <cell r="Y371" t="str">
            <v>DENMARK</v>
          </cell>
        </row>
        <row r="372">
          <cell r="L372" t="str">
            <v>Non-proportional</v>
          </cell>
          <cell r="S372">
            <v>-115793.89</v>
          </cell>
          <cell r="X372" t="str">
            <v>Commissions - gross</v>
          </cell>
          <cell r="Y372" t="str">
            <v>UNITED KINGDOM</v>
          </cell>
        </row>
        <row r="373">
          <cell r="L373" t="str">
            <v>Non-proportional</v>
          </cell>
          <cell r="S373">
            <v>-25741.98</v>
          </cell>
          <cell r="X373" t="str">
            <v>Commissions - gross</v>
          </cell>
          <cell r="Y373" t="str">
            <v>GERMANY</v>
          </cell>
        </row>
        <row r="374">
          <cell r="L374" t="str">
            <v>Non-proportional</v>
          </cell>
          <cell r="S374">
            <v>-6641.25</v>
          </cell>
          <cell r="X374" t="str">
            <v>Commissions - gross</v>
          </cell>
          <cell r="Y374" t="str">
            <v>GERMANY</v>
          </cell>
        </row>
        <row r="375">
          <cell r="L375" t="str">
            <v>Non-proportional</v>
          </cell>
          <cell r="S375">
            <v>-16062.75</v>
          </cell>
          <cell r="X375" t="str">
            <v>Commissions - gross</v>
          </cell>
          <cell r="Y375" t="str">
            <v>GERMANY</v>
          </cell>
        </row>
        <row r="376">
          <cell r="L376" t="str">
            <v>Non-proportional</v>
          </cell>
          <cell r="S376">
            <v>-386.82</v>
          </cell>
          <cell r="X376" t="str">
            <v>Commissions - gross</v>
          </cell>
          <cell r="Y376" t="str">
            <v>GERMANY</v>
          </cell>
        </row>
        <row r="377">
          <cell r="L377" t="str">
            <v>Non-proportional</v>
          </cell>
          <cell r="S377">
            <v>-13512.98</v>
          </cell>
          <cell r="X377" t="str">
            <v>Commissions - gross</v>
          </cell>
          <cell r="Y377" t="str">
            <v>DENMARK</v>
          </cell>
        </row>
        <row r="378">
          <cell r="L378" t="str">
            <v>Non-proportional</v>
          </cell>
          <cell r="S378">
            <v>-9343.93</v>
          </cell>
          <cell r="X378" t="str">
            <v>Commissions - gross</v>
          </cell>
          <cell r="Y378" t="str">
            <v>GERMANY</v>
          </cell>
        </row>
        <row r="379">
          <cell r="L379" t="str">
            <v>Non-proportional</v>
          </cell>
          <cell r="S379">
            <v>-2235.2600000000002</v>
          </cell>
          <cell r="X379" t="str">
            <v>Commissions - gross</v>
          </cell>
          <cell r="Y379" t="str">
            <v>JAPAN</v>
          </cell>
        </row>
        <row r="380">
          <cell r="L380" t="str">
            <v>Non-proportional</v>
          </cell>
          <cell r="S380">
            <v>-8320.16</v>
          </cell>
          <cell r="X380" t="str">
            <v>Commissions - gross</v>
          </cell>
          <cell r="Y380" t="str">
            <v>FRANCE</v>
          </cell>
        </row>
        <row r="381">
          <cell r="L381" t="str">
            <v>Non-proportional</v>
          </cell>
          <cell r="S381">
            <v>-16510.73</v>
          </cell>
          <cell r="X381" t="str">
            <v>Commissions - gross</v>
          </cell>
          <cell r="Y381" t="str">
            <v>UNITED KINGDOM</v>
          </cell>
        </row>
        <row r="382">
          <cell r="L382" t="str">
            <v>Non-proportional</v>
          </cell>
          <cell r="S382">
            <v>-398312.75</v>
          </cell>
          <cell r="X382" t="str">
            <v>Commissions - gross</v>
          </cell>
          <cell r="Y382" t="str">
            <v>UNITED KINGDOM</v>
          </cell>
        </row>
        <row r="383">
          <cell r="L383" t="str">
            <v>Non-proportional</v>
          </cell>
          <cell r="S383">
            <v>-310578.48</v>
          </cell>
          <cell r="X383" t="str">
            <v>Commissions - gross</v>
          </cell>
          <cell r="Y383" t="str">
            <v>UNITED KINGDOM</v>
          </cell>
        </row>
        <row r="384">
          <cell r="L384" t="str">
            <v>Non-proportional</v>
          </cell>
          <cell r="S384">
            <v>-8200.0300000000007</v>
          </cell>
          <cell r="X384" t="str">
            <v>Commissions - gross</v>
          </cell>
          <cell r="Y384" t="str">
            <v>EUROPE</v>
          </cell>
        </row>
        <row r="385">
          <cell r="L385" t="str">
            <v>Non-proportional</v>
          </cell>
          <cell r="S385">
            <v>-71448.259999999995</v>
          </cell>
          <cell r="X385" t="str">
            <v>Commissions - gross</v>
          </cell>
          <cell r="Y385" t="str">
            <v>REPUBLIC OF IRELAND</v>
          </cell>
        </row>
        <row r="386">
          <cell r="L386" t="str">
            <v>Non-proportional</v>
          </cell>
          <cell r="S386">
            <v>-13947.96</v>
          </cell>
          <cell r="X386" t="str">
            <v>Commissions - gross</v>
          </cell>
          <cell r="Y386" t="str">
            <v>UNITED KINGDOM</v>
          </cell>
        </row>
        <row r="387">
          <cell r="L387" t="str">
            <v>Non-proportional</v>
          </cell>
          <cell r="S387">
            <v>-20790</v>
          </cell>
          <cell r="X387" t="str">
            <v>Commissions - gross</v>
          </cell>
          <cell r="Y387" t="str">
            <v>ROMANIA</v>
          </cell>
        </row>
        <row r="388">
          <cell r="L388" t="str">
            <v>Non-proportional</v>
          </cell>
          <cell r="S388">
            <v>-18150</v>
          </cell>
          <cell r="X388" t="str">
            <v>Commissions - gross</v>
          </cell>
          <cell r="Y388" t="str">
            <v>GERMANY</v>
          </cell>
        </row>
        <row r="389">
          <cell r="L389" t="str">
            <v>Non-proportional</v>
          </cell>
          <cell r="S389">
            <v>-1218.82</v>
          </cell>
          <cell r="X389" t="str">
            <v>Commissions - gross</v>
          </cell>
          <cell r="Y389" t="str">
            <v>AUSTRIA</v>
          </cell>
        </row>
        <row r="390">
          <cell r="L390" t="str">
            <v>Non-proportional</v>
          </cell>
          <cell r="S390">
            <v>-379.5</v>
          </cell>
          <cell r="X390" t="str">
            <v>Commissions - gross</v>
          </cell>
          <cell r="Y390" t="str">
            <v>ITALY</v>
          </cell>
        </row>
        <row r="391">
          <cell r="L391" t="str">
            <v>Non-proportional</v>
          </cell>
          <cell r="S391">
            <v>-9729.39</v>
          </cell>
          <cell r="X391" t="str">
            <v>Commissions - gross</v>
          </cell>
          <cell r="Y391" t="str">
            <v>GERMANY</v>
          </cell>
        </row>
        <row r="392">
          <cell r="L392" t="str">
            <v>Non-proportional</v>
          </cell>
          <cell r="S392">
            <v>-21537.22</v>
          </cell>
          <cell r="X392" t="str">
            <v>Commissions - gross</v>
          </cell>
          <cell r="Y392" t="str">
            <v>UNITED KINGDOM</v>
          </cell>
        </row>
        <row r="393">
          <cell r="L393" t="str">
            <v>Non-proportional</v>
          </cell>
          <cell r="S393">
            <v>-26835.599999999999</v>
          </cell>
          <cell r="X393" t="str">
            <v>Commissions - gross</v>
          </cell>
          <cell r="Y393" t="str">
            <v>GERMANY</v>
          </cell>
        </row>
        <row r="394">
          <cell r="L394" t="str">
            <v>Non-proportional</v>
          </cell>
          <cell r="S394">
            <v>-39127.360000000001</v>
          </cell>
          <cell r="X394" t="str">
            <v>Commissions - gross</v>
          </cell>
          <cell r="Y394" t="str">
            <v>FRANCE</v>
          </cell>
        </row>
        <row r="395">
          <cell r="L395" t="str">
            <v>Non-proportional</v>
          </cell>
          <cell r="S395">
            <v>-22834.48</v>
          </cell>
          <cell r="X395" t="str">
            <v>Commissions - gross</v>
          </cell>
          <cell r="Y395" t="str">
            <v>EIRE</v>
          </cell>
        </row>
        <row r="396">
          <cell r="L396" t="str">
            <v>Non-proportional</v>
          </cell>
          <cell r="S396">
            <v>-34479.199999999997</v>
          </cell>
          <cell r="X396" t="str">
            <v>Commissions - gross</v>
          </cell>
          <cell r="Y396" t="str">
            <v>UNITED KINGDOM</v>
          </cell>
        </row>
        <row r="397">
          <cell r="L397" t="str">
            <v>Non-proportional</v>
          </cell>
          <cell r="S397">
            <v>-1237.5</v>
          </cell>
          <cell r="X397" t="str">
            <v>Commissions - gross</v>
          </cell>
          <cell r="Y397" t="str">
            <v>GERMANY</v>
          </cell>
        </row>
        <row r="398">
          <cell r="L398" t="str">
            <v>Non-proportional</v>
          </cell>
          <cell r="S398">
            <v>-17966.490000000002</v>
          </cell>
          <cell r="X398" t="str">
            <v>Commissions - gross</v>
          </cell>
          <cell r="Y398" t="str">
            <v>DENMARK</v>
          </cell>
        </row>
        <row r="399">
          <cell r="L399" t="str">
            <v>Non-proportional</v>
          </cell>
          <cell r="S399">
            <v>-17724.13</v>
          </cell>
          <cell r="X399" t="str">
            <v>Commissions - gross</v>
          </cell>
          <cell r="Y399" t="str">
            <v>EUROPE</v>
          </cell>
        </row>
        <row r="400">
          <cell r="L400" t="str">
            <v>Non-proportional</v>
          </cell>
          <cell r="S400">
            <v>-20867.41</v>
          </cell>
          <cell r="X400" t="str">
            <v>Commissions - gross</v>
          </cell>
          <cell r="Y400" t="str">
            <v>UNITED KINGDOM</v>
          </cell>
        </row>
        <row r="401">
          <cell r="L401" t="str">
            <v>Non-proportional</v>
          </cell>
          <cell r="S401">
            <v>-19369.939999999999</v>
          </cell>
          <cell r="X401" t="str">
            <v>Commissions - gross</v>
          </cell>
          <cell r="Y401" t="str">
            <v>AUSTRIA</v>
          </cell>
        </row>
        <row r="402">
          <cell r="L402" t="str">
            <v>Non-proportional</v>
          </cell>
          <cell r="S402">
            <v>-353.6</v>
          </cell>
          <cell r="X402" t="str">
            <v>Commissions - gross</v>
          </cell>
          <cell r="Y402" t="str">
            <v>FRANCE</v>
          </cell>
        </row>
        <row r="403">
          <cell r="L403" t="str">
            <v>Non-proportional</v>
          </cell>
          <cell r="S403">
            <v>-5483.2</v>
          </cell>
          <cell r="X403" t="str">
            <v>Commissions - gross</v>
          </cell>
          <cell r="Y403" t="str">
            <v>GERMANY</v>
          </cell>
        </row>
        <row r="404">
          <cell r="L404" t="str">
            <v>Non-proportional</v>
          </cell>
          <cell r="S404">
            <v>-191.51</v>
          </cell>
          <cell r="X404" t="str">
            <v>Commissions - gross</v>
          </cell>
          <cell r="Y404" t="str">
            <v>FRANCE</v>
          </cell>
        </row>
        <row r="405">
          <cell r="L405" t="str">
            <v>Non-proportional</v>
          </cell>
          <cell r="S405">
            <v>-7917.87</v>
          </cell>
          <cell r="X405" t="str">
            <v>Commissions - gross</v>
          </cell>
          <cell r="Y405" t="str">
            <v>DENMARK</v>
          </cell>
        </row>
        <row r="406">
          <cell r="L406" t="str">
            <v>Non-proportional</v>
          </cell>
          <cell r="S406">
            <v>1870.62</v>
          </cell>
          <cell r="X406" t="str">
            <v>Commissions - gross</v>
          </cell>
          <cell r="Y406" t="str">
            <v>GERMANY</v>
          </cell>
        </row>
        <row r="407">
          <cell r="L407" t="str">
            <v>Non-proportional</v>
          </cell>
          <cell r="S407">
            <v>759</v>
          </cell>
          <cell r="X407" t="str">
            <v>Commissions - gross</v>
          </cell>
          <cell r="Y407" t="str">
            <v>GERMANY</v>
          </cell>
        </row>
        <row r="408">
          <cell r="L408" t="str">
            <v>Non-proportional</v>
          </cell>
          <cell r="S408">
            <v>587.75</v>
          </cell>
          <cell r="X408" t="str">
            <v>Commissions - gross</v>
          </cell>
          <cell r="Y408" t="str">
            <v>NORWAY</v>
          </cell>
        </row>
        <row r="409">
          <cell r="L409" t="str">
            <v>Non-proportional</v>
          </cell>
          <cell r="S409">
            <v>235.75</v>
          </cell>
          <cell r="X409" t="str">
            <v>Commissions - gross</v>
          </cell>
          <cell r="Y409" t="str">
            <v>GERMANY</v>
          </cell>
        </row>
        <row r="410">
          <cell r="L410" t="str">
            <v>Non-proportional</v>
          </cell>
          <cell r="S410">
            <v>333.34</v>
          </cell>
          <cell r="X410" t="str">
            <v>Commissions - gross</v>
          </cell>
          <cell r="Y410" t="str">
            <v>ITALY</v>
          </cell>
        </row>
        <row r="411">
          <cell r="L411" t="str">
            <v>Non-proportional</v>
          </cell>
          <cell r="S411">
            <v>1940.56</v>
          </cell>
          <cell r="X411" t="str">
            <v>Commissions - gross</v>
          </cell>
          <cell r="Y411" t="str">
            <v>UNITED KINGDOM</v>
          </cell>
        </row>
        <row r="412">
          <cell r="L412" t="str">
            <v>Non-proportional</v>
          </cell>
          <cell r="S412">
            <v>2727.15</v>
          </cell>
          <cell r="X412" t="str">
            <v>Commissions - gross</v>
          </cell>
          <cell r="Y412" t="str">
            <v>UNITED KINGDOM</v>
          </cell>
        </row>
        <row r="413">
          <cell r="L413" t="str">
            <v>Non-proportional</v>
          </cell>
          <cell r="S413">
            <v>1188.67</v>
          </cell>
          <cell r="X413" t="str">
            <v>Commissions - gross</v>
          </cell>
          <cell r="Y413" t="str">
            <v>UNITED KINGDOM</v>
          </cell>
        </row>
        <row r="414">
          <cell r="L414" t="str">
            <v>Non-proportional</v>
          </cell>
          <cell r="S414">
            <v>351.2</v>
          </cell>
          <cell r="X414" t="str">
            <v>Commissions - gross</v>
          </cell>
          <cell r="Y414" t="str">
            <v>SPAIN</v>
          </cell>
        </row>
        <row r="415">
          <cell r="L415" t="str">
            <v>Non-proportional</v>
          </cell>
          <cell r="S415">
            <v>491.01</v>
          </cell>
          <cell r="X415" t="str">
            <v>Commissions - gross</v>
          </cell>
          <cell r="Y415" t="str">
            <v>SWITZERLAND</v>
          </cell>
        </row>
        <row r="416">
          <cell r="L416" t="str">
            <v>Non-proportional</v>
          </cell>
          <cell r="S416">
            <v>75</v>
          </cell>
          <cell r="X416" t="str">
            <v>Commissions - gross</v>
          </cell>
          <cell r="Y416" t="str">
            <v>GERMANY</v>
          </cell>
        </row>
        <row r="417">
          <cell r="L417" t="str">
            <v>Non-proportional</v>
          </cell>
          <cell r="S417">
            <v>-0.3</v>
          </cell>
          <cell r="X417" t="str">
            <v>Commissions - gross</v>
          </cell>
          <cell r="Y417" t="str">
            <v>DENMARK</v>
          </cell>
        </row>
        <row r="418">
          <cell r="L418" t="str">
            <v>Non-proportional</v>
          </cell>
          <cell r="S418">
            <v>127.94</v>
          </cell>
          <cell r="X418" t="str">
            <v>Commissions - gross</v>
          </cell>
          <cell r="Y418" t="str">
            <v>FRANCE</v>
          </cell>
        </row>
        <row r="419">
          <cell r="L419" t="str">
            <v>Non-proportional</v>
          </cell>
          <cell r="S419">
            <v>3557.03</v>
          </cell>
          <cell r="X419" t="str">
            <v>Commissions - gross</v>
          </cell>
          <cell r="Y419" t="str">
            <v>FRANCE</v>
          </cell>
        </row>
        <row r="420">
          <cell r="L420" t="str">
            <v>Non-proportional</v>
          </cell>
          <cell r="S420">
            <v>2035.5</v>
          </cell>
          <cell r="X420" t="str">
            <v>Commissions - gross</v>
          </cell>
          <cell r="Y420" t="str">
            <v>GERMANY</v>
          </cell>
        </row>
        <row r="421">
          <cell r="L421" t="str">
            <v>Non-proportional</v>
          </cell>
          <cell r="S421">
            <v>235.75</v>
          </cell>
          <cell r="X421" t="str">
            <v>Commissions - gross</v>
          </cell>
          <cell r="Y421" t="str">
            <v>GERMANY</v>
          </cell>
        </row>
        <row r="422">
          <cell r="L422" t="str">
            <v>Non-proportional</v>
          </cell>
          <cell r="S422">
            <v>392.56</v>
          </cell>
          <cell r="X422" t="str">
            <v>Commissions - gross</v>
          </cell>
          <cell r="Y422" t="str">
            <v>NORWAY</v>
          </cell>
        </row>
        <row r="423">
          <cell r="L423" t="str">
            <v>Non-proportional</v>
          </cell>
          <cell r="S423">
            <v>1880.73</v>
          </cell>
          <cell r="X423" t="str">
            <v>Commissions - gross</v>
          </cell>
          <cell r="Y423" t="str">
            <v>REPUBLIC OF IRELAND</v>
          </cell>
        </row>
        <row r="424">
          <cell r="L424" t="str">
            <v>Non-proportional</v>
          </cell>
          <cell r="S424">
            <v>30.08</v>
          </cell>
          <cell r="X424" t="str">
            <v>Commissions - gross</v>
          </cell>
          <cell r="Y424" t="str">
            <v>ITALY</v>
          </cell>
        </row>
        <row r="425">
          <cell r="L425" t="str">
            <v>Non-proportional</v>
          </cell>
          <cell r="S425">
            <v>796.5</v>
          </cell>
          <cell r="X425" t="str">
            <v>Commissions - gross</v>
          </cell>
          <cell r="Y425" t="str">
            <v>GERMANY</v>
          </cell>
        </row>
        <row r="426">
          <cell r="L426" t="str">
            <v>Non-proportional</v>
          </cell>
          <cell r="S426">
            <v>1001.51</v>
          </cell>
          <cell r="X426" t="str">
            <v>Commissions - gross</v>
          </cell>
          <cell r="Y426" t="str">
            <v>AUSTRIA</v>
          </cell>
        </row>
        <row r="427">
          <cell r="L427" t="str">
            <v>Non-proportional</v>
          </cell>
          <cell r="S427">
            <v>1280.3399999999999</v>
          </cell>
          <cell r="X427" t="str">
            <v>Commissions - gross</v>
          </cell>
          <cell r="Y427" t="str">
            <v>UNITED KINGDOM</v>
          </cell>
        </row>
        <row r="428">
          <cell r="L428" t="str">
            <v>Non-proportional</v>
          </cell>
          <cell r="S428">
            <v>1243.05</v>
          </cell>
          <cell r="X428" t="str">
            <v>Commissions - gross</v>
          </cell>
          <cell r="Y428" t="str">
            <v>UNITED KINGDOM</v>
          </cell>
        </row>
        <row r="429">
          <cell r="L429" t="str">
            <v>Non-proportional</v>
          </cell>
          <cell r="S429">
            <v>750.16</v>
          </cell>
          <cell r="X429" t="str">
            <v>Commissions - gross</v>
          </cell>
          <cell r="Y429" t="str">
            <v>GERMANY</v>
          </cell>
        </row>
        <row r="430">
          <cell r="L430" t="str">
            <v>Non-proportional</v>
          </cell>
          <cell r="S430">
            <v>1897.38</v>
          </cell>
          <cell r="X430" t="str">
            <v>Commissions - gross</v>
          </cell>
          <cell r="Y430" t="str">
            <v>AUSTRIA</v>
          </cell>
        </row>
        <row r="431">
          <cell r="L431" t="str">
            <v>Non-proportional</v>
          </cell>
          <cell r="S431">
            <v>13701.08</v>
          </cell>
          <cell r="X431" t="str">
            <v>Commissions - gross</v>
          </cell>
          <cell r="Y431" t="str">
            <v>UNITED KINGDOM</v>
          </cell>
        </row>
        <row r="432">
          <cell r="L432" t="str">
            <v>Non-proportional</v>
          </cell>
          <cell r="S432">
            <v>59.4</v>
          </cell>
          <cell r="X432" t="str">
            <v>Commissions - gross</v>
          </cell>
          <cell r="Y432" t="str">
            <v>JAPAN</v>
          </cell>
        </row>
        <row r="433">
          <cell r="L433" t="str">
            <v>Non-proportional</v>
          </cell>
          <cell r="S433">
            <v>920.57</v>
          </cell>
          <cell r="X433" t="str">
            <v>Commissions - gross</v>
          </cell>
          <cell r="Y433" t="str">
            <v>UNITED KINGDOM</v>
          </cell>
        </row>
        <row r="434">
          <cell r="L434" t="str">
            <v>Non-proportional</v>
          </cell>
          <cell r="S434">
            <v>331.31</v>
          </cell>
          <cell r="X434" t="str">
            <v>Commissions - gross</v>
          </cell>
          <cell r="Y434" t="str">
            <v>EUROPE</v>
          </cell>
        </row>
        <row r="435">
          <cell r="L435" t="str">
            <v>Non-proportional</v>
          </cell>
          <cell r="S435">
            <v>308.33999999999997</v>
          </cell>
          <cell r="X435" t="str">
            <v>Commissions - gross</v>
          </cell>
          <cell r="Y435" t="str">
            <v>EUROPE</v>
          </cell>
        </row>
        <row r="436">
          <cell r="L436" t="str">
            <v>Non-proportional</v>
          </cell>
          <cell r="S436">
            <v>1400.86</v>
          </cell>
          <cell r="X436" t="str">
            <v>Commissions - gross</v>
          </cell>
          <cell r="Y436" t="str">
            <v>GERMANY</v>
          </cell>
        </row>
        <row r="437">
          <cell r="L437" t="str">
            <v>Non-proportional</v>
          </cell>
          <cell r="S437">
            <v>-0.4</v>
          </cell>
          <cell r="X437" t="str">
            <v>Commissions - gross</v>
          </cell>
          <cell r="Y437" t="str">
            <v>DENMARK</v>
          </cell>
        </row>
        <row r="438">
          <cell r="L438" t="str">
            <v>Non-proportional</v>
          </cell>
          <cell r="S438">
            <v>427.55</v>
          </cell>
          <cell r="X438" t="str">
            <v>Commissions - gross</v>
          </cell>
          <cell r="Y438" t="str">
            <v>GERMANY</v>
          </cell>
        </row>
        <row r="439">
          <cell r="L439" t="str">
            <v>Non-proportional</v>
          </cell>
          <cell r="S439">
            <v>31.38</v>
          </cell>
          <cell r="X439" t="str">
            <v>Commissions - gross</v>
          </cell>
          <cell r="Y439" t="str">
            <v>DENMARK</v>
          </cell>
        </row>
        <row r="440">
          <cell r="L440" t="str">
            <v>Non-proportional</v>
          </cell>
          <cell r="S440">
            <v>200.14</v>
          </cell>
          <cell r="X440" t="str">
            <v>Commissions - gross</v>
          </cell>
          <cell r="Y440" t="str">
            <v>SWITZERLAND</v>
          </cell>
        </row>
        <row r="441">
          <cell r="L441" t="str">
            <v>Non-proportional</v>
          </cell>
          <cell r="S441">
            <v>641.66999999999996</v>
          </cell>
          <cell r="X441" t="str">
            <v>Commissions - gross</v>
          </cell>
          <cell r="Y441" t="str">
            <v>GERMANY</v>
          </cell>
        </row>
        <row r="442">
          <cell r="L442" t="str">
            <v>Non-proportional</v>
          </cell>
          <cell r="S442">
            <v>720.53</v>
          </cell>
          <cell r="X442" t="str">
            <v>Commissions - gross</v>
          </cell>
          <cell r="Y442" t="str">
            <v>DENMARK</v>
          </cell>
        </row>
        <row r="443">
          <cell r="L443" t="str">
            <v>Non-proportional</v>
          </cell>
          <cell r="S443">
            <v>1463.2</v>
          </cell>
          <cell r="X443" t="str">
            <v>Commissions - gross</v>
          </cell>
          <cell r="Y443" t="str">
            <v>GERMANY</v>
          </cell>
        </row>
        <row r="444">
          <cell r="L444" t="str">
            <v>Non-proportional</v>
          </cell>
          <cell r="S444">
            <v>353.35</v>
          </cell>
          <cell r="X444" t="str">
            <v>Commissions - gross</v>
          </cell>
          <cell r="Y444" t="str">
            <v>FAROE ISLANDS</v>
          </cell>
        </row>
        <row r="445">
          <cell r="L445" t="str">
            <v>Non-proportional</v>
          </cell>
          <cell r="S445">
            <v>78.16</v>
          </cell>
          <cell r="X445" t="str">
            <v>Commissions - gross</v>
          </cell>
          <cell r="Y445" t="str">
            <v>JAPAN</v>
          </cell>
        </row>
        <row r="446">
          <cell r="L446" t="str">
            <v>Non-proportional</v>
          </cell>
          <cell r="S446">
            <v>4330.3900000000003</v>
          </cell>
          <cell r="X446" t="str">
            <v>Commissions - gross</v>
          </cell>
          <cell r="Y446" t="str">
            <v>UNITED KINGDOM</v>
          </cell>
        </row>
        <row r="447">
          <cell r="L447" t="str">
            <v>Non-proportional</v>
          </cell>
          <cell r="S447">
            <v>615.30999999999995</v>
          </cell>
          <cell r="X447" t="str">
            <v>Commissions - gross</v>
          </cell>
          <cell r="Y447" t="str">
            <v>UNITED KINGDOM</v>
          </cell>
        </row>
        <row r="448">
          <cell r="L448" t="str">
            <v>Non-proportional</v>
          </cell>
          <cell r="S448">
            <v>5880.42</v>
          </cell>
          <cell r="X448" t="str">
            <v>Commissions - gross</v>
          </cell>
          <cell r="Y448" t="str">
            <v>UNITED KINGDOM</v>
          </cell>
        </row>
        <row r="449">
          <cell r="L449" t="str">
            <v>Non-proportional</v>
          </cell>
          <cell r="S449">
            <v>956.7</v>
          </cell>
          <cell r="X449" t="str">
            <v>Commissions - gross</v>
          </cell>
          <cell r="Y449" t="str">
            <v>SLOVENIA</v>
          </cell>
        </row>
        <row r="450">
          <cell r="L450" t="str">
            <v>Non-proportional</v>
          </cell>
          <cell r="S450">
            <v>1339.97</v>
          </cell>
          <cell r="X450" t="str">
            <v>Commissions - gross</v>
          </cell>
          <cell r="Y450" t="str">
            <v>GERMANY</v>
          </cell>
        </row>
        <row r="451">
          <cell r="L451" t="str">
            <v>Non-proportional</v>
          </cell>
          <cell r="S451">
            <v>920.31</v>
          </cell>
          <cell r="X451" t="str">
            <v>Commissions - gross</v>
          </cell>
          <cell r="Y451" t="str">
            <v>GERMANY</v>
          </cell>
        </row>
        <row r="452">
          <cell r="L452" t="str">
            <v>Non-proportional</v>
          </cell>
          <cell r="S452">
            <v>333.37</v>
          </cell>
          <cell r="X452" t="str">
            <v>Commissions - gross</v>
          </cell>
          <cell r="Y452" t="str">
            <v>UNITED KINGDOM</v>
          </cell>
        </row>
        <row r="453">
          <cell r="L453" t="str">
            <v>Non-proportional</v>
          </cell>
          <cell r="S453">
            <v>869.69</v>
          </cell>
          <cell r="X453" t="str">
            <v>Commissions - gross</v>
          </cell>
          <cell r="Y453" t="str">
            <v>GERMANY</v>
          </cell>
        </row>
        <row r="454">
          <cell r="L454" t="str">
            <v>Non-proportional</v>
          </cell>
          <cell r="S454">
            <v>411.21</v>
          </cell>
          <cell r="X454" t="str">
            <v>Commissions - gross</v>
          </cell>
          <cell r="Y454" t="str">
            <v>AUSTRIA</v>
          </cell>
        </row>
        <row r="455">
          <cell r="L455" t="str">
            <v>Non-proportional</v>
          </cell>
          <cell r="S455">
            <v>546.71</v>
          </cell>
          <cell r="X455" t="str">
            <v>Commissions - gross</v>
          </cell>
          <cell r="Y455" t="str">
            <v>EIRE</v>
          </cell>
        </row>
        <row r="456">
          <cell r="L456" t="str">
            <v>Non-proportional</v>
          </cell>
          <cell r="S456">
            <v>11353.71</v>
          </cell>
          <cell r="X456" t="str">
            <v>Commissions - gross</v>
          </cell>
          <cell r="Y456" t="str">
            <v>UNITED KINGDOM</v>
          </cell>
        </row>
        <row r="457">
          <cell r="L457" t="str">
            <v>Non-proportional</v>
          </cell>
          <cell r="S457">
            <v>2041.67</v>
          </cell>
          <cell r="X457" t="str">
            <v>Commissions - gross</v>
          </cell>
          <cell r="Y457" t="str">
            <v>GERMANY</v>
          </cell>
        </row>
        <row r="458">
          <cell r="L458" t="str">
            <v>Non-proportional</v>
          </cell>
          <cell r="S458">
            <v>314.33</v>
          </cell>
          <cell r="X458" t="str">
            <v>Commissions - gross</v>
          </cell>
          <cell r="Y458" t="str">
            <v>GERMANY</v>
          </cell>
        </row>
        <row r="459">
          <cell r="L459" t="str">
            <v>Non-proportional</v>
          </cell>
          <cell r="S459">
            <v>2439.6</v>
          </cell>
          <cell r="X459" t="str">
            <v>Commissions - gross</v>
          </cell>
          <cell r="Y459" t="str">
            <v>GERMANY</v>
          </cell>
        </row>
        <row r="460">
          <cell r="L460" t="str">
            <v>Non-proportional</v>
          </cell>
          <cell r="S460">
            <v>4378.46</v>
          </cell>
          <cell r="X460" t="str">
            <v>Commissions - gross</v>
          </cell>
          <cell r="Y460" t="str">
            <v>UNITED KINGDOM</v>
          </cell>
        </row>
        <row r="461">
          <cell r="L461" t="str">
            <v>Non-proportional</v>
          </cell>
          <cell r="S461">
            <v>2121.5</v>
          </cell>
          <cell r="X461" t="str">
            <v>Commissions - gross</v>
          </cell>
          <cell r="Y461" t="str">
            <v>SWITZERLAND</v>
          </cell>
        </row>
        <row r="462">
          <cell r="L462" t="str">
            <v>Non-proportional</v>
          </cell>
          <cell r="S462">
            <v>1202.8900000000001</v>
          </cell>
          <cell r="X462" t="str">
            <v>Commissions - gross</v>
          </cell>
          <cell r="Y462" t="str">
            <v>UNITED KINGDOM</v>
          </cell>
        </row>
        <row r="463">
          <cell r="L463" t="str">
            <v>Non-proportional</v>
          </cell>
          <cell r="S463">
            <v>4457.84</v>
          </cell>
          <cell r="X463" t="str">
            <v>Commissions - gross</v>
          </cell>
          <cell r="Y463" t="str">
            <v>UNITED KINGDOM</v>
          </cell>
        </row>
        <row r="464">
          <cell r="L464" t="str">
            <v>Non-proportional</v>
          </cell>
          <cell r="S464">
            <v>3665.72</v>
          </cell>
          <cell r="X464" t="str">
            <v>Commissions - gross</v>
          </cell>
          <cell r="Y464" t="str">
            <v>UNITED KINGDOM</v>
          </cell>
        </row>
        <row r="465">
          <cell r="L465" t="str">
            <v>Non-proportional</v>
          </cell>
          <cell r="S465">
            <v>853.12</v>
          </cell>
          <cell r="X465" t="str">
            <v>Commissions - gross</v>
          </cell>
          <cell r="Y465" t="str">
            <v>EUROPE</v>
          </cell>
        </row>
        <row r="466">
          <cell r="L466" t="str">
            <v>Non-proportional</v>
          </cell>
          <cell r="S466">
            <v>999.97</v>
          </cell>
          <cell r="X466" t="str">
            <v>Commissions - gross</v>
          </cell>
          <cell r="Y466" t="str">
            <v>GERMANY</v>
          </cell>
        </row>
        <row r="467">
          <cell r="L467" t="str">
            <v>Non-proportional</v>
          </cell>
          <cell r="S467">
            <v>1020.94</v>
          </cell>
          <cell r="X467" t="str">
            <v>Commissions - gross</v>
          </cell>
          <cell r="Y467" t="str">
            <v>GERMANY</v>
          </cell>
        </row>
        <row r="468">
          <cell r="L468" t="str">
            <v>Non-proportional</v>
          </cell>
          <cell r="S468">
            <v>308.42</v>
          </cell>
          <cell r="X468" t="str">
            <v>Commissions - gross</v>
          </cell>
          <cell r="Y468" t="str">
            <v>SWITZERLAND</v>
          </cell>
        </row>
        <row r="469">
          <cell r="L469" t="str">
            <v>Non-proportional</v>
          </cell>
          <cell r="S469">
            <v>1.18</v>
          </cell>
          <cell r="X469" t="str">
            <v>Commissions - gross</v>
          </cell>
          <cell r="Y469" t="str">
            <v>JAPAN</v>
          </cell>
        </row>
        <row r="470">
          <cell r="L470" t="str">
            <v>Non-proportional</v>
          </cell>
          <cell r="S470">
            <v>731.04</v>
          </cell>
          <cell r="X470" t="str">
            <v>Commissions - gross</v>
          </cell>
          <cell r="Y470" t="str">
            <v>FAROE ISLANDS</v>
          </cell>
        </row>
        <row r="471">
          <cell r="L471" t="str">
            <v>Non-proportional</v>
          </cell>
          <cell r="S471">
            <v>6056.61</v>
          </cell>
          <cell r="X471" t="str">
            <v>Commissions - gross</v>
          </cell>
          <cell r="Y471" t="str">
            <v>UNITED KINGDOM</v>
          </cell>
        </row>
        <row r="472">
          <cell r="L472" t="str">
            <v>Non-proportional</v>
          </cell>
          <cell r="S472">
            <v>566.67999999999995</v>
          </cell>
          <cell r="X472" t="str">
            <v>Commissions - gross</v>
          </cell>
          <cell r="Y472" t="str">
            <v>UNITED KINGDOM</v>
          </cell>
        </row>
        <row r="473">
          <cell r="L473" t="str">
            <v>Non-proportional</v>
          </cell>
          <cell r="S473">
            <v>1501.06</v>
          </cell>
          <cell r="X473" t="str">
            <v>Commissions - gross</v>
          </cell>
          <cell r="Y473" t="str">
            <v>SWITZERLAND</v>
          </cell>
        </row>
        <row r="474">
          <cell r="L474" t="str">
            <v>Non-proportional</v>
          </cell>
          <cell r="S474">
            <v>366.72</v>
          </cell>
          <cell r="X474" t="str">
            <v>Commissions - gross</v>
          </cell>
          <cell r="Y474" t="str">
            <v>ICELAND</v>
          </cell>
        </row>
        <row r="475">
          <cell r="L475" t="str">
            <v>Non-proportional</v>
          </cell>
          <cell r="S475">
            <v>2070.71</v>
          </cell>
          <cell r="X475" t="str">
            <v>Commissions - gross</v>
          </cell>
          <cell r="Y475" t="str">
            <v>EUROPE</v>
          </cell>
        </row>
        <row r="476">
          <cell r="L476" t="str">
            <v>Non-proportional</v>
          </cell>
          <cell r="S476">
            <v>175.12</v>
          </cell>
          <cell r="X476" t="str">
            <v>Commissions - gross</v>
          </cell>
          <cell r="Y476" t="str">
            <v>JAPAN</v>
          </cell>
        </row>
        <row r="477">
          <cell r="L477" t="str">
            <v>Non-proportional</v>
          </cell>
          <cell r="S477">
            <v>1640.05</v>
          </cell>
          <cell r="X477" t="str">
            <v>Commissions - gross</v>
          </cell>
          <cell r="Y477" t="str">
            <v>SWITZERLAND</v>
          </cell>
        </row>
        <row r="478">
          <cell r="L478" t="str">
            <v>Non-proportional</v>
          </cell>
          <cell r="S478">
            <v>615.54</v>
          </cell>
          <cell r="X478" t="str">
            <v>Commissions - gross</v>
          </cell>
          <cell r="Y478" t="str">
            <v>SWEDEN</v>
          </cell>
        </row>
        <row r="479">
          <cell r="L479" t="str">
            <v>Non-proportional</v>
          </cell>
          <cell r="S479">
            <v>-0.35</v>
          </cell>
          <cell r="X479" t="str">
            <v>Commissions - gross</v>
          </cell>
          <cell r="Y479" t="str">
            <v>DENMARK</v>
          </cell>
        </row>
        <row r="480">
          <cell r="L480" t="str">
            <v>Non-proportional</v>
          </cell>
          <cell r="S480">
            <v>5.48</v>
          </cell>
          <cell r="X480" t="str">
            <v>Commissions - gross</v>
          </cell>
          <cell r="Y480" t="str">
            <v>FRANCE</v>
          </cell>
        </row>
        <row r="481">
          <cell r="L481" t="str">
            <v>Non-proportional</v>
          </cell>
          <cell r="S481">
            <v>884.49</v>
          </cell>
          <cell r="X481" t="str">
            <v>Commissions - gross</v>
          </cell>
          <cell r="Y481" t="str">
            <v>GERMANY</v>
          </cell>
        </row>
        <row r="482">
          <cell r="L482" t="str">
            <v>Non-proportional</v>
          </cell>
          <cell r="S482">
            <v>690.42</v>
          </cell>
          <cell r="X482" t="str">
            <v>Commissions - gross</v>
          </cell>
          <cell r="Y482" t="str">
            <v>FRANCE</v>
          </cell>
        </row>
        <row r="483">
          <cell r="L483" t="str">
            <v>Non-proportional</v>
          </cell>
          <cell r="S483">
            <v>549.32000000000005</v>
          </cell>
          <cell r="X483" t="str">
            <v>Commissions - gross</v>
          </cell>
          <cell r="Y483" t="str">
            <v>FRANCE</v>
          </cell>
        </row>
        <row r="484">
          <cell r="L484" t="str">
            <v>Non-proportional</v>
          </cell>
          <cell r="S484">
            <v>208.33</v>
          </cell>
          <cell r="X484" t="str">
            <v>Commissions - gross</v>
          </cell>
          <cell r="Y484" t="str">
            <v>GERMANY</v>
          </cell>
        </row>
        <row r="485">
          <cell r="L485" t="str">
            <v>Non-proportional</v>
          </cell>
          <cell r="S485">
            <v>-0.51</v>
          </cell>
          <cell r="X485" t="str">
            <v>Commissions - gross</v>
          </cell>
          <cell r="Y485" t="str">
            <v>SWEDEN</v>
          </cell>
        </row>
        <row r="486">
          <cell r="L486" t="str">
            <v>Non-proportional</v>
          </cell>
          <cell r="S486">
            <v>774.74</v>
          </cell>
          <cell r="X486" t="str">
            <v>Commissions - gross</v>
          </cell>
          <cell r="Y486" t="str">
            <v>GERMANY</v>
          </cell>
        </row>
        <row r="487">
          <cell r="L487" t="str">
            <v>Non-proportional</v>
          </cell>
          <cell r="S487">
            <v>-0.37</v>
          </cell>
          <cell r="X487" t="str">
            <v>Commissions - gross</v>
          </cell>
          <cell r="Y487" t="str">
            <v>DENMARK</v>
          </cell>
        </row>
        <row r="488">
          <cell r="L488" t="str">
            <v>Non-proportional</v>
          </cell>
          <cell r="S488">
            <v>339.25</v>
          </cell>
          <cell r="X488" t="str">
            <v>Commissions - gross</v>
          </cell>
          <cell r="Y488" t="str">
            <v>ITALY</v>
          </cell>
        </row>
        <row r="489">
          <cell r="L489" t="str">
            <v>Non-proportional</v>
          </cell>
          <cell r="S489">
            <v>2340.1799999999998</v>
          </cell>
          <cell r="X489" t="str">
            <v>Commissions - gross</v>
          </cell>
          <cell r="Y489" t="str">
            <v>GERMANY</v>
          </cell>
        </row>
        <row r="490">
          <cell r="L490" t="str">
            <v>Non-proportional</v>
          </cell>
          <cell r="S490">
            <v>1139.7</v>
          </cell>
          <cell r="X490" t="str">
            <v>Commissions - gross</v>
          </cell>
          <cell r="Y490" t="str">
            <v>SWITZERLAND</v>
          </cell>
        </row>
        <row r="491">
          <cell r="L491" t="str">
            <v>Non-proportional</v>
          </cell>
          <cell r="S491">
            <v>712.42</v>
          </cell>
          <cell r="X491" t="str">
            <v>Commissions - gross</v>
          </cell>
          <cell r="Y491" t="str">
            <v>NORWAY</v>
          </cell>
        </row>
        <row r="492">
          <cell r="L492" t="str">
            <v>Non-proportional</v>
          </cell>
          <cell r="S492">
            <v>34.5</v>
          </cell>
          <cell r="X492" t="str">
            <v>Commissions - gross</v>
          </cell>
          <cell r="Y492" t="str">
            <v>ITALY</v>
          </cell>
        </row>
        <row r="493">
          <cell r="L493" t="str">
            <v>Non-proportional</v>
          </cell>
          <cell r="S493">
            <v>-2082.36</v>
          </cell>
          <cell r="X493" t="str">
            <v>Commissions - gross</v>
          </cell>
          <cell r="Y493" t="str">
            <v>GERMANY</v>
          </cell>
        </row>
        <row r="494">
          <cell r="L494" t="str">
            <v>Non-proportional</v>
          </cell>
          <cell r="S494">
            <v>3734.6</v>
          </cell>
          <cell r="X494" t="str">
            <v>Commissions - gross</v>
          </cell>
          <cell r="Y494" t="str">
            <v>FRANCE</v>
          </cell>
        </row>
        <row r="495">
          <cell r="L495" t="str">
            <v>Non-proportional</v>
          </cell>
          <cell r="S495">
            <v>663.84</v>
          </cell>
          <cell r="X495" t="str">
            <v>Commissions - gross</v>
          </cell>
          <cell r="Y495" t="str">
            <v>EUROPE</v>
          </cell>
        </row>
        <row r="496">
          <cell r="L496" t="str">
            <v>Non-proportional</v>
          </cell>
          <cell r="S496">
            <v>2195.89</v>
          </cell>
          <cell r="X496" t="str">
            <v>Commissions - gross</v>
          </cell>
          <cell r="Y496" t="str">
            <v>UNITED KINGDOM</v>
          </cell>
        </row>
        <row r="497">
          <cell r="L497" t="str">
            <v>Non-proportional</v>
          </cell>
          <cell r="S497">
            <v>451.14</v>
          </cell>
          <cell r="X497" t="str">
            <v>Commissions - gross</v>
          </cell>
          <cell r="Y497" t="str">
            <v>AUSTRIA</v>
          </cell>
        </row>
        <row r="498">
          <cell r="L498" t="str">
            <v>Non-proportional</v>
          </cell>
          <cell r="S498">
            <v>812.5</v>
          </cell>
          <cell r="X498" t="str">
            <v>Commissions - gross</v>
          </cell>
          <cell r="Y498" t="str">
            <v>CZECH REPUBLIC</v>
          </cell>
        </row>
        <row r="499">
          <cell r="L499" t="str">
            <v>Non-proportional</v>
          </cell>
          <cell r="S499">
            <v>4090.35</v>
          </cell>
          <cell r="X499" t="str">
            <v>Commissions - gross</v>
          </cell>
          <cell r="Y499" t="str">
            <v>GERMANY</v>
          </cell>
        </row>
        <row r="500">
          <cell r="L500" t="str">
            <v>Non-proportional</v>
          </cell>
          <cell r="S500">
            <v>1042.58</v>
          </cell>
          <cell r="X500" t="str">
            <v>Commissions - gross</v>
          </cell>
          <cell r="Y500" t="str">
            <v>FRANCE</v>
          </cell>
        </row>
        <row r="501">
          <cell r="L501" t="str">
            <v>Non-proportional</v>
          </cell>
          <cell r="S501">
            <v>17.52</v>
          </cell>
          <cell r="X501" t="str">
            <v>Commissions - gross</v>
          </cell>
          <cell r="Y501" t="str">
            <v>ITALY</v>
          </cell>
        </row>
        <row r="502">
          <cell r="L502" t="str">
            <v>Non-proportional</v>
          </cell>
          <cell r="S502">
            <v>1583.24</v>
          </cell>
          <cell r="X502" t="str">
            <v>Commissions - gross</v>
          </cell>
          <cell r="Y502" t="str">
            <v>GERMANY</v>
          </cell>
        </row>
        <row r="503">
          <cell r="L503" t="str">
            <v>Non-proportional</v>
          </cell>
          <cell r="S503">
            <v>849.45</v>
          </cell>
          <cell r="X503" t="str">
            <v>Commissions - gross</v>
          </cell>
          <cell r="Y503" t="str">
            <v>GERMANY</v>
          </cell>
        </row>
        <row r="504">
          <cell r="L504" t="str">
            <v>Non-proportional</v>
          </cell>
          <cell r="S504">
            <v>603.75</v>
          </cell>
          <cell r="X504" t="str">
            <v>Commissions - gross</v>
          </cell>
          <cell r="Y504" t="str">
            <v>GERMANY</v>
          </cell>
        </row>
        <row r="505">
          <cell r="L505" t="str">
            <v>Non-proportional</v>
          </cell>
          <cell r="S505">
            <v>536.25</v>
          </cell>
          <cell r="X505" t="str">
            <v>Commissions - gross</v>
          </cell>
          <cell r="Y505" t="str">
            <v>GERMANY</v>
          </cell>
        </row>
        <row r="506">
          <cell r="L506" t="str">
            <v>Non-proportional</v>
          </cell>
          <cell r="S506">
            <v>789.81</v>
          </cell>
          <cell r="X506" t="str">
            <v>Commissions - gross</v>
          </cell>
          <cell r="Y506" t="str">
            <v>DENMARK</v>
          </cell>
        </row>
        <row r="507">
          <cell r="L507" t="str">
            <v>Non-proportional</v>
          </cell>
          <cell r="S507">
            <v>1229.04</v>
          </cell>
          <cell r="X507" t="str">
            <v>Commissions - gross</v>
          </cell>
          <cell r="Y507" t="str">
            <v>DENMARK</v>
          </cell>
        </row>
        <row r="508">
          <cell r="L508" t="str">
            <v>Non-proportional</v>
          </cell>
          <cell r="S508">
            <v>13289.02</v>
          </cell>
          <cell r="X508" t="str">
            <v>Commissions - gross</v>
          </cell>
          <cell r="Y508" t="str">
            <v>UNITED KINGDOM</v>
          </cell>
        </row>
        <row r="509">
          <cell r="L509" t="str">
            <v>Non-proportional</v>
          </cell>
          <cell r="S509">
            <v>581.08000000000004</v>
          </cell>
          <cell r="X509" t="str">
            <v>Commissions - gross</v>
          </cell>
          <cell r="Y509" t="str">
            <v>DENMARK</v>
          </cell>
        </row>
        <row r="510">
          <cell r="L510" t="str">
            <v>Non-proportional</v>
          </cell>
          <cell r="S510">
            <v>108.94</v>
          </cell>
          <cell r="X510" t="str">
            <v>Commissions - gross</v>
          </cell>
          <cell r="Y510" t="str">
            <v>DENMARK</v>
          </cell>
        </row>
        <row r="511">
          <cell r="L511" t="str">
            <v>Non-proportional</v>
          </cell>
          <cell r="S511">
            <v>281.62</v>
          </cell>
          <cell r="X511" t="str">
            <v>Commissions - gross</v>
          </cell>
          <cell r="Y511" t="str">
            <v>FRANCE</v>
          </cell>
        </row>
        <row r="512">
          <cell r="L512" t="str">
            <v>Non-proportional</v>
          </cell>
          <cell r="S512">
            <v>1230.98</v>
          </cell>
          <cell r="X512" t="str">
            <v>Commissions - gross</v>
          </cell>
          <cell r="Y512" t="str">
            <v>SWEDEN</v>
          </cell>
        </row>
        <row r="513">
          <cell r="L513" t="str">
            <v>Non-proportional</v>
          </cell>
          <cell r="S513">
            <v>3372.64</v>
          </cell>
          <cell r="X513" t="str">
            <v>Commissions - gross</v>
          </cell>
          <cell r="Y513" t="str">
            <v>FRANCE</v>
          </cell>
        </row>
        <row r="514">
          <cell r="L514" t="str">
            <v>Non-proportional</v>
          </cell>
          <cell r="S514">
            <v>361.75</v>
          </cell>
          <cell r="X514" t="str">
            <v>Commissions - gross</v>
          </cell>
          <cell r="Y514" t="str">
            <v>FRANCE</v>
          </cell>
        </row>
        <row r="515">
          <cell r="L515" t="str">
            <v>Non-proportional</v>
          </cell>
          <cell r="S515">
            <v>1242.43</v>
          </cell>
          <cell r="X515" t="str">
            <v>Commissions - gross</v>
          </cell>
          <cell r="Y515" t="str">
            <v>EUROPE</v>
          </cell>
        </row>
        <row r="516">
          <cell r="L516" t="str">
            <v>Non-proportional</v>
          </cell>
          <cell r="S516">
            <v>5459.84</v>
          </cell>
          <cell r="X516" t="str">
            <v>Commissions - gross</v>
          </cell>
          <cell r="Y516" t="str">
            <v>UNITED KINGDOM</v>
          </cell>
        </row>
        <row r="517">
          <cell r="L517" t="str">
            <v>Non-proportional</v>
          </cell>
          <cell r="S517">
            <v>950.11</v>
          </cell>
          <cell r="X517" t="str">
            <v>Commissions - gross</v>
          </cell>
          <cell r="Y517" t="str">
            <v>UNITED KINGDOM</v>
          </cell>
        </row>
        <row r="518">
          <cell r="L518" t="str">
            <v>Non-proportional</v>
          </cell>
          <cell r="S518">
            <v>405.62</v>
          </cell>
          <cell r="X518" t="str">
            <v>Commissions - gross</v>
          </cell>
          <cell r="Y518" t="str">
            <v>SWITZERLAND</v>
          </cell>
        </row>
        <row r="519">
          <cell r="L519" t="str">
            <v>Non-proportional</v>
          </cell>
          <cell r="S519">
            <v>-0.91</v>
          </cell>
          <cell r="X519" t="str">
            <v>Commissions - gross</v>
          </cell>
          <cell r="Y519" t="str">
            <v>SWEDEN</v>
          </cell>
        </row>
        <row r="520">
          <cell r="L520" t="str">
            <v>Non-proportional</v>
          </cell>
          <cell r="S520">
            <v>-1.02</v>
          </cell>
          <cell r="X520" t="str">
            <v>Commissions - gross</v>
          </cell>
          <cell r="Y520" t="str">
            <v>SWEDEN</v>
          </cell>
        </row>
        <row r="521">
          <cell r="L521" t="str">
            <v>Non-proportional</v>
          </cell>
          <cell r="S521">
            <v>34</v>
          </cell>
          <cell r="X521" t="str">
            <v>Commissions - gross</v>
          </cell>
          <cell r="Y521" t="str">
            <v>JAPAN</v>
          </cell>
        </row>
        <row r="522">
          <cell r="L522" t="str">
            <v>Non-proportional</v>
          </cell>
          <cell r="S522">
            <v>263.73</v>
          </cell>
          <cell r="X522" t="str">
            <v>Commissions - gross</v>
          </cell>
          <cell r="Y522" t="str">
            <v>GERMANY</v>
          </cell>
        </row>
        <row r="523">
          <cell r="L523" t="str">
            <v>Non-proportional</v>
          </cell>
          <cell r="S523">
            <v>86.56</v>
          </cell>
          <cell r="X523" t="str">
            <v>Commissions - gross</v>
          </cell>
          <cell r="Y523" t="str">
            <v>ITALY</v>
          </cell>
        </row>
        <row r="524">
          <cell r="L524" t="str">
            <v>Non-proportional</v>
          </cell>
          <cell r="S524">
            <v>337.5</v>
          </cell>
          <cell r="X524" t="str">
            <v>Commissions - gross</v>
          </cell>
          <cell r="Y524" t="str">
            <v>GERMANY</v>
          </cell>
        </row>
        <row r="525">
          <cell r="L525" t="str">
            <v>Non-proportional</v>
          </cell>
          <cell r="S525">
            <v>3180.35</v>
          </cell>
          <cell r="X525" t="str">
            <v>Commissions - gross</v>
          </cell>
          <cell r="Y525" t="str">
            <v>UNITED KINGDOM</v>
          </cell>
        </row>
        <row r="526">
          <cell r="L526" t="str">
            <v>Non-proportional</v>
          </cell>
          <cell r="S526">
            <v>883.77</v>
          </cell>
          <cell r="X526" t="str">
            <v>Commissions - gross</v>
          </cell>
          <cell r="Y526" t="str">
            <v>GERMANY</v>
          </cell>
        </row>
        <row r="527">
          <cell r="L527" t="str">
            <v>Non-proportional</v>
          </cell>
          <cell r="S527">
            <v>57.5</v>
          </cell>
          <cell r="X527" t="str">
            <v>Commissions - gross</v>
          </cell>
          <cell r="Y527" t="str">
            <v>ITALY</v>
          </cell>
        </row>
        <row r="528">
          <cell r="L528" t="str">
            <v>Non-proportional</v>
          </cell>
          <cell r="S528">
            <v>87.34</v>
          </cell>
          <cell r="X528" t="str">
            <v>Commissions - gross</v>
          </cell>
          <cell r="Y528" t="str">
            <v>GERMANY</v>
          </cell>
        </row>
        <row r="529">
          <cell r="L529" t="str">
            <v>Non-proportional</v>
          </cell>
          <cell r="S529">
            <v>1660.69</v>
          </cell>
          <cell r="X529" t="str">
            <v>Commissions - gross</v>
          </cell>
          <cell r="Y529" t="str">
            <v>UNITED KINGDOM</v>
          </cell>
        </row>
        <row r="530">
          <cell r="L530" t="str">
            <v>Non-proportional</v>
          </cell>
          <cell r="S530">
            <v>3450.2</v>
          </cell>
          <cell r="X530" t="str">
            <v>Commissions - gross</v>
          </cell>
          <cell r="Y530" t="str">
            <v>CZECH REPUBLIC</v>
          </cell>
        </row>
        <row r="531">
          <cell r="L531" t="str">
            <v>Non-proportional</v>
          </cell>
          <cell r="S531">
            <v>1460.25</v>
          </cell>
          <cell r="X531" t="str">
            <v>Commissions - gross</v>
          </cell>
          <cell r="Y531" t="str">
            <v>GERMANY</v>
          </cell>
        </row>
        <row r="532">
          <cell r="L532" t="str">
            <v>Non-proportional</v>
          </cell>
          <cell r="S532">
            <v>1.79</v>
          </cell>
          <cell r="X532" t="str">
            <v>Commissions - gross</v>
          </cell>
          <cell r="Y532" t="str">
            <v>EUROPE</v>
          </cell>
        </row>
        <row r="533">
          <cell r="L533" t="str">
            <v>Non-proportional</v>
          </cell>
          <cell r="S533">
            <v>-0.2</v>
          </cell>
          <cell r="X533" t="str">
            <v>Commissions - gross</v>
          </cell>
          <cell r="Y533" t="str">
            <v>SWEDEN</v>
          </cell>
        </row>
        <row r="534">
          <cell r="L534" t="str">
            <v>Non-proportional</v>
          </cell>
          <cell r="S534">
            <v>35.17</v>
          </cell>
          <cell r="X534" t="str">
            <v>Commissions - gross</v>
          </cell>
          <cell r="Y534" t="str">
            <v>GERMANY</v>
          </cell>
        </row>
        <row r="535">
          <cell r="L535" t="str">
            <v>Non-proportional</v>
          </cell>
          <cell r="S535">
            <v>537.62</v>
          </cell>
          <cell r="X535" t="str">
            <v>Commissions - gross</v>
          </cell>
          <cell r="Y535" t="str">
            <v>DENMARK</v>
          </cell>
        </row>
        <row r="536">
          <cell r="L536" t="str">
            <v>Non-proportional</v>
          </cell>
          <cell r="S536">
            <v>2223.79</v>
          </cell>
          <cell r="X536" t="str">
            <v>Commissions - gross</v>
          </cell>
          <cell r="Y536" t="str">
            <v>SWITZERLAND</v>
          </cell>
        </row>
        <row r="537">
          <cell r="L537" t="str">
            <v>Non-proportional</v>
          </cell>
          <cell r="S537">
            <v>1760.9</v>
          </cell>
          <cell r="X537" t="str">
            <v>Commissions - gross</v>
          </cell>
          <cell r="Y537" t="str">
            <v>AUSTRIA</v>
          </cell>
        </row>
        <row r="538">
          <cell r="L538" t="str">
            <v>Non-proportional</v>
          </cell>
          <cell r="S538">
            <v>407.47</v>
          </cell>
          <cell r="X538" t="str">
            <v>Commissions - gross</v>
          </cell>
          <cell r="Y538" t="str">
            <v>ICELAND</v>
          </cell>
        </row>
        <row r="539">
          <cell r="L539" t="str">
            <v>Non-proportional</v>
          </cell>
          <cell r="S539">
            <v>82.05</v>
          </cell>
          <cell r="X539" t="str">
            <v>Commissions - gross</v>
          </cell>
          <cell r="Y539" t="str">
            <v>GERMANY</v>
          </cell>
        </row>
        <row r="540">
          <cell r="L540" t="str">
            <v>Non-proportional</v>
          </cell>
          <cell r="S540">
            <v>693.84</v>
          </cell>
          <cell r="X540" t="str">
            <v>Commissions - gross</v>
          </cell>
          <cell r="Y540" t="str">
            <v>GERMANY</v>
          </cell>
        </row>
        <row r="541">
          <cell r="L541" t="str">
            <v>Non-proportional</v>
          </cell>
          <cell r="S541">
            <v>326.25</v>
          </cell>
          <cell r="X541" t="str">
            <v>Commissions - gross</v>
          </cell>
          <cell r="Y541" t="str">
            <v>ROMANIA</v>
          </cell>
        </row>
        <row r="542">
          <cell r="L542" t="str">
            <v>Non-proportional</v>
          </cell>
          <cell r="S542">
            <v>1880.07</v>
          </cell>
          <cell r="X542" t="str">
            <v>Commissions - gross</v>
          </cell>
          <cell r="Y542" t="str">
            <v>SWEDEN</v>
          </cell>
        </row>
        <row r="543">
          <cell r="L543" t="str">
            <v>Non-proportional</v>
          </cell>
          <cell r="S543">
            <v>571.76</v>
          </cell>
          <cell r="X543" t="str">
            <v>Commissions - gross</v>
          </cell>
          <cell r="Y543" t="str">
            <v>GERMANY</v>
          </cell>
        </row>
        <row r="544">
          <cell r="L544" t="str">
            <v>Non-proportional</v>
          </cell>
          <cell r="S544">
            <v>1532.92</v>
          </cell>
          <cell r="X544" t="str">
            <v>Commissions - gross</v>
          </cell>
          <cell r="Y544" t="str">
            <v>ITALY</v>
          </cell>
        </row>
        <row r="545">
          <cell r="L545" t="str">
            <v>Non-proportional</v>
          </cell>
          <cell r="S545">
            <v>45.13</v>
          </cell>
          <cell r="X545" t="str">
            <v>Commissions - gross</v>
          </cell>
          <cell r="Y545" t="str">
            <v>ITALY</v>
          </cell>
        </row>
        <row r="546">
          <cell r="L546" t="str">
            <v>Non-proportional</v>
          </cell>
          <cell r="S546">
            <v>687.19</v>
          </cell>
          <cell r="X546" t="str">
            <v>Commissions - gross</v>
          </cell>
          <cell r="Y546" t="str">
            <v>GERMANY</v>
          </cell>
        </row>
        <row r="547">
          <cell r="L547" t="str">
            <v>Non-proportional</v>
          </cell>
          <cell r="S547">
            <v>1367.36</v>
          </cell>
          <cell r="X547" t="str">
            <v>Commissions - gross</v>
          </cell>
          <cell r="Y547" t="str">
            <v>UNITED KINGDOM</v>
          </cell>
        </row>
        <row r="548">
          <cell r="L548" t="str">
            <v>Non-proportional</v>
          </cell>
          <cell r="S548">
            <v>8303.42</v>
          </cell>
          <cell r="X548" t="str">
            <v>Commissions - gross</v>
          </cell>
          <cell r="Y548" t="str">
            <v>UNITED KINGDOM</v>
          </cell>
        </row>
        <row r="549">
          <cell r="L549" t="str">
            <v>Non-proportional</v>
          </cell>
          <cell r="S549">
            <v>2305.9</v>
          </cell>
          <cell r="X549" t="str">
            <v>Commissions - gross</v>
          </cell>
          <cell r="Y549" t="str">
            <v>FRANCE</v>
          </cell>
        </row>
        <row r="550">
          <cell r="L550" t="str">
            <v>Non-proportional</v>
          </cell>
          <cell r="S550">
            <v>2840.63</v>
          </cell>
          <cell r="X550" t="str">
            <v>Commissions - gross</v>
          </cell>
          <cell r="Y550" t="str">
            <v>UNITED KINGDOM</v>
          </cell>
        </row>
        <row r="551">
          <cell r="L551" t="str">
            <v>Non-proportional</v>
          </cell>
          <cell r="S551">
            <v>718.72</v>
          </cell>
          <cell r="X551" t="str">
            <v>Commissions - gross</v>
          </cell>
          <cell r="Y551" t="str">
            <v>UNITED KINGDOM</v>
          </cell>
        </row>
        <row r="552">
          <cell r="L552" t="str">
            <v>Non-proportional</v>
          </cell>
          <cell r="S552">
            <v>250.06</v>
          </cell>
          <cell r="X552" t="str">
            <v>Commissions - gross</v>
          </cell>
          <cell r="Y552" t="str">
            <v>GERMANY</v>
          </cell>
        </row>
        <row r="553">
          <cell r="L553" t="str">
            <v>Non-proportional</v>
          </cell>
          <cell r="S553">
            <v>589.39</v>
          </cell>
          <cell r="X553" t="str">
            <v>Commissions - gross</v>
          </cell>
          <cell r="Y553" t="str">
            <v>AUSTRIA</v>
          </cell>
        </row>
        <row r="554">
          <cell r="L554" t="str">
            <v>Non-proportional</v>
          </cell>
          <cell r="S554">
            <v>807.28</v>
          </cell>
          <cell r="X554" t="str">
            <v>Commissions - gross</v>
          </cell>
          <cell r="Y554" t="str">
            <v>GERMANY</v>
          </cell>
        </row>
        <row r="555">
          <cell r="L555" t="str">
            <v>Non-proportional</v>
          </cell>
          <cell r="S555">
            <v>548.41</v>
          </cell>
          <cell r="X555" t="str">
            <v>Commissions - gross</v>
          </cell>
          <cell r="Y555" t="str">
            <v>EUROPE</v>
          </cell>
        </row>
        <row r="556">
          <cell r="L556" t="str">
            <v>Non-proportional</v>
          </cell>
          <cell r="S556">
            <v>206.53</v>
          </cell>
          <cell r="X556" t="str">
            <v>Commissions - gross</v>
          </cell>
          <cell r="Y556" t="str">
            <v>EUROPE</v>
          </cell>
        </row>
        <row r="557">
          <cell r="L557" t="str">
            <v>Non-proportional</v>
          </cell>
          <cell r="S557">
            <v>1664.36</v>
          </cell>
          <cell r="X557" t="str">
            <v>Commissions - gross</v>
          </cell>
          <cell r="Y557" t="str">
            <v>FRANCE</v>
          </cell>
        </row>
        <row r="558">
          <cell r="L558" t="str">
            <v>Non-proportional</v>
          </cell>
          <cell r="S558">
            <v>2380.77</v>
          </cell>
          <cell r="X558" t="str">
            <v>Commissions - gross</v>
          </cell>
          <cell r="Y558" t="str">
            <v>UNITED KINGDOM</v>
          </cell>
        </row>
        <row r="559">
          <cell r="L559" t="str">
            <v>Non-proportional</v>
          </cell>
          <cell r="S559">
            <v>1611.28</v>
          </cell>
          <cell r="X559" t="str">
            <v>Commissions - gross</v>
          </cell>
          <cell r="Y559" t="str">
            <v>EUROPE</v>
          </cell>
        </row>
        <row r="560">
          <cell r="L560" t="str">
            <v>Non-proportional</v>
          </cell>
          <cell r="S560">
            <v>4065.54</v>
          </cell>
          <cell r="X560" t="str">
            <v>Commissions - gross</v>
          </cell>
          <cell r="Y560" t="str">
            <v>SWITZERLAND</v>
          </cell>
        </row>
        <row r="561">
          <cell r="L561" t="str">
            <v>Non-proportional</v>
          </cell>
          <cell r="S561">
            <v>1221.5</v>
          </cell>
          <cell r="X561" t="str">
            <v>Commissions - gross</v>
          </cell>
          <cell r="Y561" t="str">
            <v>REPUBLIC OF IRELAND</v>
          </cell>
        </row>
        <row r="562">
          <cell r="L562" t="str">
            <v>Non-proportional</v>
          </cell>
          <cell r="S562">
            <v>1412</v>
          </cell>
          <cell r="X562" t="str">
            <v>Commissions - gross</v>
          </cell>
          <cell r="Y562" t="str">
            <v>AUSTRIA</v>
          </cell>
        </row>
        <row r="563">
          <cell r="L563" t="str">
            <v>Non-proportional</v>
          </cell>
          <cell r="S563">
            <v>1890</v>
          </cell>
          <cell r="X563" t="str">
            <v>Commissions - gross</v>
          </cell>
          <cell r="Y563" t="str">
            <v>ROMANIA</v>
          </cell>
        </row>
        <row r="564">
          <cell r="L564" t="str">
            <v>Non-proportional</v>
          </cell>
          <cell r="S564">
            <v>71.84</v>
          </cell>
          <cell r="X564" t="str">
            <v>Commissions - gross</v>
          </cell>
          <cell r="Y564" t="str">
            <v>ITALY</v>
          </cell>
        </row>
        <row r="565">
          <cell r="L565" t="str">
            <v>Non-proportional</v>
          </cell>
          <cell r="S565">
            <v>500.58</v>
          </cell>
          <cell r="X565" t="str">
            <v>Commissions - gross</v>
          </cell>
          <cell r="Y565" t="str">
            <v>FRANCE</v>
          </cell>
        </row>
        <row r="566">
          <cell r="L566" t="str">
            <v>Non-proportional</v>
          </cell>
          <cell r="S566">
            <v>83.8</v>
          </cell>
          <cell r="X566" t="str">
            <v>Commissions - gross</v>
          </cell>
          <cell r="Y566" t="str">
            <v>DENMARK</v>
          </cell>
        </row>
        <row r="567">
          <cell r="L567" t="str">
            <v>Non-proportional</v>
          </cell>
          <cell r="S567">
            <v>1354.17</v>
          </cell>
          <cell r="X567" t="str">
            <v>Commissions - gross</v>
          </cell>
          <cell r="Y567" t="str">
            <v>GERMANY</v>
          </cell>
        </row>
        <row r="568">
          <cell r="L568" t="str">
            <v>Non-proportional</v>
          </cell>
          <cell r="S568">
            <v>570.73</v>
          </cell>
          <cell r="X568" t="str">
            <v>Commissions - gross</v>
          </cell>
          <cell r="Y568" t="str">
            <v>SWEDEN</v>
          </cell>
        </row>
        <row r="569">
          <cell r="L569" t="str">
            <v>Non-proportional</v>
          </cell>
          <cell r="S569">
            <v>777.09</v>
          </cell>
          <cell r="X569" t="str">
            <v>Commissions - gross</v>
          </cell>
          <cell r="Y569" t="str">
            <v>FRANCE</v>
          </cell>
        </row>
        <row r="570">
          <cell r="L570" t="str">
            <v>Non-proportional</v>
          </cell>
          <cell r="S570">
            <v>1405.83</v>
          </cell>
          <cell r="X570" t="str">
            <v>Commissions - gross</v>
          </cell>
          <cell r="Y570" t="str">
            <v>EIRE</v>
          </cell>
        </row>
        <row r="571">
          <cell r="L571" t="str">
            <v>Non-proportional</v>
          </cell>
          <cell r="S571">
            <v>140.16999999999999</v>
          </cell>
          <cell r="X571" t="str">
            <v>Commissions - gross</v>
          </cell>
          <cell r="Y571" t="str">
            <v>GERMANY</v>
          </cell>
        </row>
        <row r="572">
          <cell r="L572" t="str">
            <v>Non-proportional</v>
          </cell>
          <cell r="S572">
            <v>3985.55</v>
          </cell>
          <cell r="X572" t="str">
            <v>Commissions - gross</v>
          </cell>
          <cell r="Y572" t="str">
            <v>UNITED KINGDOM</v>
          </cell>
        </row>
        <row r="573">
          <cell r="L573" t="str">
            <v>Non-proportional</v>
          </cell>
          <cell r="S573">
            <v>310.73</v>
          </cell>
          <cell r="X573" t="str">
            <v>Commissions - gross</v>
          </cell>
          <cell r="Y573" t="str">
            <v>GERMANY</v>
          </cell>
        </row>
        <row r="574">
          <cell r="L574" t="str">
            <v>Non-proportional</v>
          </cell>
          <cell r="S574">
            <v>-142.55000000000001</v>
          </cell>
          <cell r="X574" t="str">
            <v>Commissions - gross</v>
          </cell>
          <cell r="Y574" t="str">
            <v>ICELAND</v>
          </cell>
        </row>
        <row r="575">
          <cell r="L575" t="str">
            <v>Non-proportional</v>
          </cell>
          <cell r="S575">
            <v>2588.63</v>
          </cell>
          <cell r="X575" t="str">
            <v>Commissions - gross</v>
          </cell>
          <cell r="Y575" t="str">
            <v>CZECH REPUBLIC</v>
          </cell>
        </row>
        <row r="576">
          <cell r="L576" t="str">
            <v>Non-proportional</v>
          </cell>
          <cell r="S576">
            <v>343.7</v>
          </cell>
          <cell r="X576" t="str">
            <v>Commissions - gross</v>
          </cell>
          <cell r="Y576" t="str">
            <v>EUROPE</v>
          </cell>
        </row>
        <row r="577">
          <cell r="L577" t="str">
            <v>Non-proportional</v>
          </cell>
          <cell r="S577">
            <v>112.23</v>
          </cell>
          <cell r="X577" t="str">
            <v>Commissions - gross</v>
          </cell>
          <cell r="Y577" t="str">
            <v>ITALY</v>
          </cell>
        </row>
        <row r="578">
          <cell r="L578" t="str">
            <v>Non-proportional</v>
          </cell>
          <cell r="S578">
            <v>268.75</v>
          </cell>
          <cell r="X578" t="str">
            <v>Commissions - gross</v>
          </cell>
          <cell r="Y578" t="str">
            <v>GERMANY</v>
          </cell>
        </row>
        <row r="579">
          <cell r="L579" t="str">
            <v>Non-proportional</v>
          </cell>
          <cell r="S579">
            <v>2539.36</v>
          </cell>
          <cell r="X579" t="str">
            <v>Commissions - gross</v>
          </cell>
          <cell r="Y579" t="str">
            <v>GERMANY</v>
          </cell>
        </row>
        <row r="580">
          <cell r="L580" t="str">
            <v>Non-proportional</v>
          </cell>
          <cell r="S580">
            <v>1634.1</v>
          </cell>
          <cell r="X580" t="str">
            <v>Commissions - gross</v>
          </cell>
          <cell r="Y580" t="str">
            <v>DENMARK</v>
          </cell>
        </row>
        <row r="581">
          <cell r="L581" t="str">
            <v>Non-proportional</v>
          </cell>
          <cell r="S581">
            <v>2077.06</v>
          </cell>
          <cell r="X581" t="str">
            <v>Commissions - gross</v>
          </cell>
          <cell r="Y581" t="str">
            <v>FRANCE</v>
          </cell>
        </row>
        <row r="582">
          <cell r="L582" t="str">
            <v>Non-proportional</v>
          </cell>
          <cell r="S582">
            <v>2249.54</v>
          </cell>
          <cell r="X582" t="str">
            <v>Commissions - gross</v>
          </cell>
          <cell r="Y582" t="str">
            <v>CZECH REPUBLIC</v>
          </cell>
        </row>
        <row r="583">
          <cell r="L583" t="str">
            <v>Non-proportional</v>
          </cell>
          <cell r="S583">
            <v>1097.48</v>
          </cell>
          <cell r="X583" t="str">
            <v>Commissions - gross</v>
          </cell>
          <cell r="Y583" t="str">
            <v>GERMANY</v>
          </cell>
        </row>
        <row r="584">
          <cell r="L584" t="str">
            <v>Non-proportional</v>
          </cell>
          <cell r="S584">
            <v>1650</v>
          </cell>
          <cell r="X584" t="str">
            <v>Commissions - gross</v>
          </cell>
          <cell r="Y584" t="str">
            <v>GERMANY</v>
          </cell>
        </row>
        <row r="585">
          <cell r="L585" t="str">
            <v>Non-proportional</v>
          </cell>
          <cell r="S585">
            <v>5108.22</v>
          </cell>
          <cell r="X585" t="str">
            <v>Commissions - gross</v>
          </cell>
          <cell r="Y585" t="str">
            <v>UNITED KINGDOM</v>
          </cell>
        </row>
        <row r="586">
          <cell r="L586" t="str">
            <v>Non-proportional</v>
          </cell>
          <cell r="S586">
            <v>27.07</v>
          </cell>
          <cell r="X586" t="str">
            <v>Commissions - gross</v>
          </cell>
          <cell r="Y586" t="str">
            <v>ITALY</v>
          </cell>
        </row>
        <row r="587">
          <cell r="L587" t="str">
            <v>Non-proportional</v>
          </cell>
          <cell r="S587">
            <v>730.23</v>
          </cell>
          <cell r="X587" t="str">
            <v>Commissions - gross</v>
          </cell>
          <cell r="Y587" t="str">
            <v>NORWAY</v>
          </cell>
        </row>
        <row r="588">
          <cell r="L588" t="str">
            <v>Non-proportional</v>
          </cell>
          <cell r="S588">
            <v>885.5</v>
          </cell>
          <cell r="X588" t="str">
            <v>Commissions - gross</v>
          </cell>
          <cell r="Y588" t="str">
            <v>GERMANY</v>
          </cell>
        </row>
        <row r="589">
          <cell r="L589" t="str">
            <v>Non-proportional</v>
          </cell>
          <cell r="S589">
            <v>-4237.9799999999996</v>
          </cell>
          <cell r="X589" t="str">
            <v>Commissions - gross</v>
          </cell>
          <cell r="Y589" t="str">
            <v>GERMANY</v>
          </cell>
        </row>
        <row r="590">
          <cell r="L590" t="str">
            <v>Non-proportional</v>
          </cell>
          <cell r="S590">
            <v>778.33</v>
          </cell>
          <cell r="X590" t="str">
            <v>Commissions - gross</v>
          </cell>
          <cell r="Y590" t="str">
            <v>SWITZERLAND</v>
          </cell>
        </row>
        <row r="591">
          <cell r="L591" t="str">
            <v>Non-proportional</v>
          </cell>
          <cell r="S591">
            <v>-1.55</v>
          </cell>
          <cell r="X591" t="str">
            <v>Commissions - gross</v>
          </cell>
          <cell r="Y591" t="str">
            <v>SWEDEN</v>
          </cell>
        </row>
        <row r="592">
          <cell r="L592" t="str">
            <v>Non-proportional</v>
          </cell>
          <cell r="S592">
            <v>940.7</v>
          </cell>
          <cell r="X592" t="str">
            <v>Commissions - gross</v>
          </cell>
          <cell r="Y592" t="str">
            <v>GERMANY</v>
          </cell>
        </row>
        <row r="593">
          <cell r="L593" t="str">
            <v>Non-proportional</v>
          </cell>
          <cell r="S593">
            <v>645.83000000000004</v>
          </cell>
          <cell r="X593" t="str">
            <v>Commissions - gross</v>
          </cell>
          <cell r="Y593" t="str">
            <v>AUSTRIA</v>
          </cell>
        </row>
        <row r="594">
          <cell r="L594" t="str">
            <v>Non-proportional</v>
          </cell>
          <cell r="S594">
            <v>1188.23</v>
          </cell>
          <cell r="X594" t="str">
            <v>Commissions - gross</v>
          </cell>
          <cell r="Y594" t="str">
            <v>EUROPE</v>
          </cell>
        </row>
        <row r="595">
          <cell r="L595" t="str">
            <v>Non-proportional</v>
          </cell>
          <cell r="S595">
            <v>804.64</v>
          </cell>
          <cell r="X595" t="str">
            <v>Commissions - gross</v>
          </cell>
          <cell r="Y595" t="str">
            <v>UNITED KINGDOM</v>
          </cell>
        </row>
        <row r="596">
          <cell r="L596" t="str">
            <v>Non-proportional</v>
          </cell>
          <cell r="S596">
            <v>842.33</v>
          </cell>
          <cell r="X596" t="str">
            <v>Commissions - gross</v>
          </cell>
          <cell r="Y596" t="str">
            <v>ITALY</v>
          </cell>
        </row>
        <row r="597">
          <cell r="L597" t="str">
            <v>Non-proportional</v>
          </cell>
          <cell r="S597">
            <v>355.8</v>
          </cell>
          <cell r="X597" t="str">
            <v>Commissions - gross</v>
          </cell>
          <cell r="Y597" t="str">
            <v>SWITZERLAND</v>
          </cell>
        </row>
        <row r="598">
          <cell r="L598" t="str">
            <v>Non-proportional</v>
          </cell>
          <cell r="S598">
            <v>11.79</v>
          </cell>
          <cell r="X598" t="str">
            <v>Commissions - gross</v>
          </cell>
          <cell r="Y598" t="str">
            <v>FRANCE</v>
          </cell>
        </row>
        <row r="599">
          <cell r="L599" t="str">
            <v>Non-proportional</v>
          </cell>
          <cell r="S599">
            <v>1096.77</v>
          </cell>
          <cell r="X599" t="str">
            <v>Commissions - gross</v>
          </cell>
          <cell r="Y599" t="str">
            <v>SWEDEN</v>
          </cell>
        </row>
        <row r="600">
          <cell r="L600" t="str">
            <v>Non-proportional</v>
          </cell>
          <cell r="S600">
            <v>360.42</v>
          </cell>
          <cell r="X600" t="str">
            <v>Commissions - gross</v>
          </cell>
          <cell r="Y600" t="str">
            <v>FAROE ISLANDS</v>
          </cell>
        </row>
        <row r="601">
          <cell r="L601" t="str">
            <v>Non-proportional</v>
          </cell>
          <cell r="S601">
            <v>2884.49</v>
          </cell>
          <cell r="X601" t="str">
            <v>Commissions - gross</v>
          </cell>
          <cell r="Y601" t="str">
            <v>UNITED KINGDOM</v>
          </cell>
        </row>
        <row r="602">
          <cell r="L602" t="str">
            <v>Non-proportional</v>
          </cell>
          <cell r="S602">
            <v>899.99</v>
          </cell>
          <cell r="X602" t="str">
            <v>Commissions - gross</v>
          </cell>
          <cell r="Y602" t="str">
            <v>GERMANY</v>
          </cell>
        </row>
        <row r="603">
          <cell r="L603" t="str">
            <v>Non-proportional</v>
          </cell>
          <cell r="S603">
            <v>4475</v>
          </cell>
          <cell r="X603" t="str">
            <v>Commissions - gross</v>
          </cell>
          <cell r="Y603" t="str">
            <v>UNITED KINGDOM</v>
          </cell>
        </row>
        <row r="604">
          <cell r="L604" t="str">
            <v>Non-proportional</v>
          </cell>
          <cell r="S604">
            <v>32.15</v>
          </cell>
          <cell r="X604" t="str">
            <v>Commissions - gross</v>
          </cell>
          <cell r="Y604" t="str">
            <v>FRANCE</v>
          </cell>
        </row>
        <row r="605">
          <cell r="L605" t="str">
            <v>Non-proportional</v>
          </cell>
          <cell r="S605">
            <v>28982.41</v>
          </cell>
          <cell r="X605" t="str">
            <v>Commissions - gross</v>
          </cell>
          <cell r="Y605" t="str">
            <v>UNITED KINGDOM</v>
          </cell>
        </row>
        <row r="606">
          <cell r="L606" t="str">
            <v>Non-proportional</v>
          </cell>
          <cell r="S606">
            <v>2075.86</v>
          </cell>
          <cell r="X606" t="str">
            <v>Commissions - gross</v>
          </cell>
          <cell r="Y606" t="str">
            <v>EIRE</v>
          </cell>
        </row>
        <row r="607">
          <cell r="L607" t="str">
            <v>Non-proportional</v>
          </cell>
          <cell r="S607">
            <v>2385.42</v>
          </cell>
          <cell r="X607" t="str">
            <v>Commissions - gross</v>
          </cell>
          <cell r="Y607" t="str">
            <v>AUSTRIA</v>
          </cell>
        </row>
        <row r="608">
          <cell r="L608" t="str">
            <v>Non-proportional</v>
          </cell>
          <cell r="S608">
            <v>791.68</v>
          </cell>
          <cell r="X608" t="str">
            <v>Commissions - gross</v>
          </cell>
          <cell r="Y608" t="str">
            <v>GERMANY</v>
          </cell>
        </row>
        <row r="609">
          <cell r="L609" t="str">
            <v>Non-proportional</v>
          </cell>
          <cell r="S609">
            <v>916.82</v>
          </cell>
          <cell r="X609" t="str">
            <v>Commissions - gross</v>
          </cell>
          <cell r="Y609" t="str">
            <v>ICELAND</v>
          </cell>
        </row>
        <row r="610">
          <cell r="L610" t="str">
            <v>Non-proportional</v>
          </cell>
          <cell r="S610">
            <v>-0.47</v>
          </cell>
          <cell r="X610" t="str">
            <v>Commissions - gross</v>
          </cell>
          <cell r="Y610" t="str">
            <v>SWEDEN</v>
          </cell>
        </row>
        <row r="611">
          <cell r="L611" t="str">
            <v>Non-proportional</v>
          </cell>
          <cell r="S611">
            <v>5250.43</v>
          </cell>
          <cell r="X611" t="str">
            <v>Commissions - gross</v>
          </cell>
          <cell r="Y611" t="str">
            <v>UNITED KINGDOM</v>
          </cell>
        </row>
        <row r="612">
          <cell r="L612" t="str">
            <v>Non-proportional</v>
          </cell>
          <cell r="S612">
            <v>625.04999999999995</v>
          </cell>
          <cell r="X612" t="str">
            <v>Commissions - gross</v>
          </cell>
          <cell r="Y612" t="str">
            <v>GERMANY</v>
          </cell>
        </row>
        <row r="613">
          <cell r="L613" t="str">
            <v>Non-proportional</v>
          </cell>
          <cell r="S613">
            <v>-57.02</v>
          </cell>
          <cell r="X613" t="str">
            <v>Commissions - gross</v>
          </cell>
          <cell r="Y613" t="str">
            <v>ICELAND</v>
          </cell>
        </row>
        <row r="614">
          <cell r="L614" t="str">
            <v>Non-proportional</v>
          </cell>
          <cell r="S614">
            <v>529.26</v>
          </cell>
          <cell r="X614" t="str">
            <v>Commissions - gross</v>
          </cell>
          <cell r="Y614" t="str">
            <v>NORWAY</v>
          </cell>
        </row>
        <row r="615">
          <cell r="L615" t="str">
            <v>Non-proportional</v>
          </cell>
          <cell r="S615">
            <v>1207.49</v>
          </cell>
          <cell r="X615" t="str">
            <v>Commissions - gross</v>
          </cell>
          <cell r="Y615" t="str">
            <v>FRANCE</v>
          </cell>
        </row>
        <row r="616">
          <cell r="L616" t="str">
            <v>Non-proportional</v>
          </cell>
          <cell r="S616">
            <v>728.36</v>
          </cell>
          <cell r="X616" t="str">
            <v>Commissions - gross</v>
          </cell>
          <cell r="Y616" t="str">
            <v>UNITED KINGDOM</v>
          </cell>
        </row>
        <row r="617">
          <cell r="L617" t="str">
            <v>Non-proportional</v>
          </cell>
          <cell r="S617">
            <v>6495.3</v>
          </cell>
          <cell r="X617" t="str">
            <v>Commissions - gross</v>
          </cell>
          <cell r="Y617" t="str">
            <v>REPUBLIC OF IRELAND</v>
          </cell>
        </row>
        <row r="618">
          <cell r="L618" t="str">
            <v>Non-proportional</v>
          </cell>
          <cell r="S618">
            <v>4375</v>
          </cell>
          <cell r="X618" t="str">
            <v>Commissions - gross</v>
          </cell>
          <cell r="Y618" t="str">
            <v>GERMANY</v>
          </cell>
        </row>
        <row r="619">
          <cell r="L619" t="str">
            <v>Non-proportional</v>
          </cell>
          <cell r="S619">
            <v>271.27</v>
          </cell>
          <cell r="X619" t="str">
            <v>Commissions - gross</v>
          </cell>
          <cell r="Y619" t="str">
            <v>GERMANY</v>
          </cell>
        </row>
        <row r="620">
          <cell r="L620" t="str">
            <v>Non-proportional</v>
          </cell>
          <cell r="S620">
            <v>558.63</v>
          </cell>
          <cell r="X620" t="str">
            <v>Commissions - gross</v>
          </cell>
          <cell r="Y620" t="str">
            <v>GERMANY</v>
          </cell>
        </row>
        <row r="621">
          <cell r="L621" t="str">
            <v>Non-proportional</v>
          </cell>
          <cell r="S621">
            <v>-0.23</v>
          </cell>
          <cell r="X621" t="str">
            <v>Commissions - gross</v>
          </cell>
          <cell r="Y621" t="str">
            <v>DENMARK</v>
          </cell>
        </row>
        <row r="622">
          <cell r="L622" t="str">
            <v>Non-proportional</v>
          </cell>
          <cell r="S622">
            <v>4151.6899999999996</v>
          </cell>
          <cell r="X622" t="str">
            <v>Commissions - gross</v>
          </cell>
          <cell r="Y622" t="str">
            <v>UNITED KINGDOM</v>
          </cell>
        </row>
        <row r="623">
          <cell r="L623" t="str">
            <v>Non-proportional</v>
          </cell>
          <cell r="S623">
            <v>5856.38</v>
          </cell>
          <cell r="X623" t="str">
            <v>Commissions - gross</v>
          </cell>
          <cell r="Y623" t="str">
            <v>UNITED KINGDOM</v>
          </cell>
        </row>
        <row r="624">
          <cell r="L624" t="str">
            <v>Non-proportional</v>
          </cell>
          <cell r="S624">
            <v>1001.09</v>
          </cell>
          <cell r="X624" t="str">
            <v>Commissions - gross</v>
          </cell>
          <cell r="Y624" t="str">
            <v>GERMANY</v>
          </cell>
        </row>
        <row r="625">
          <cell r="L625" t="str">
            <v>Non-proportional</v>
          </cell>
          <cell r="S625">
            <v>368.75</v>
          </cell>
          <cell r="X625" t="str">
            <v>Commissions - gross</v>
          </cell>
          <cell r="Y625" t="str">
            <v>GERMANY</v>
          </cell>
        </row>
        <row r="626">
          <cell r="L626" t="str">
            <v>Non-proportional</v>
          </cell>
          <cell r="S626">
            <v>760.42</v>
          </cell>
          <cell r="X626" t="str">
            <v>Commissions - gross</v>
          </cell>
          <cell r="Y626" t="str">
            <v>GERMANY</v>
          </cell>
        </row>
        <row r="627">
          <cell r="L627" t="str">
            <v>Non-proportional</v>
          </cell>
          <cell r="S627">
            <v>640.45000000000005</v>
          </cell>
          <cell r="X627" t="str">
            <v>Commissions - gross</v>
          </cell>
          <cell r="Y627" t="str">
            <v>SWITZERLAND</v>
          </cell>
        </row>
        <row r="628">
          <cell r="L628" t="str">
            <v>Non-proportional</v>
          </cell>
          <cell r="S628">
            <v>699.8</v>
          </cell>
          <cell r="X628" t="str">
            <v>Commissions - gross</v>
          </cell>
          <cell r="Y628" t="str">
            <v>AUSTRIA</v>
          </cell>
        </row>
        <row r="629">
          <cell r="L629" t="str">
            <v>Non-proportional</v>
          </cell>
          <cell r="S629">
            <v>7662.32</v>
          </cell>
          <cell r="X629" t="str">
            <v>Commissions - gross</v>
          </cell>
          <cell r="Y629" t="str">
            <v>UNITED KINGDOM</v>
          </cell>
        </row>
        <row r="630">
          <cell r="L630" t="str">
            <v>Non-proportional</v>
          </cell>
          <cell r="S630">
            <v>1181.5899999999999</v>
          </cell>
          <cell r="X630" t="str">
            <v>Commissions - gross</v>
          </cell>
          <cell r="Y630" t="str">
            <v>GERMANY</v>
          </cell>
        </row>
        <row r="631">
          <cell r="L631" t="str">
            <v>Non-proportional</v>
          </cell>
          <cell r="S631">
            <v>1.1100000000000001</v>
          </cell>
          <cell r="X631" t="str">
            <v>Commissions - gross</v>
          </cell>
          <cell r="Y631" t="str">
            <v>NORWAY</v>
          </cell>
        </row>
        <row r="632">
          <cell r="L632" t="str">
            <v>Non-proportional</v>
          </cell>
          <cell r="S632">
            <v>8.34</v>
          </cell>
          <cell r="X632" t="str">
            <v>Commissions - gross</v>
          </cell>
          <cell r="Y632" t="str">
            <v>FRANCE</v>
          </cell>
        </row>
        <row r="633">
          <cell r="L633" t="str">
            <v>Non-proportional</v>
          </cell>
          <cell r="S633">
            <v>110.8</v>
          </cell>
          <cell r="X633" t="str">
            <v>Commissions - gross</v>
          </cell>
          <cell r="Y633" t="str">
            <v>AUSTRIA</v>
          </cell>
        </row>
        <row r="634">
          <cell r="L634" t="str">
            <v>Non-proportional</v>
          </cell>
          <cell r="S634">
            <v>836.96</v>
          </cell>
          <cell r="X634" t="str">
            <v>Commissions - gross</v>
          </cell>
          <cell r="Y634" t="str">
            <v>GERMANY</v>
          </cell>
        </row>
        <row r="635">
          <cell r="L635" t="str">
            <v>Non-proportional</v>
          </cell>
          <cell r="S635">
            <v>2145.25</v>
          </cell>
          <cell r="X635" t="str">
            <v>Commissions - gross</v>
          </cell>
          <cell r="Y635" t="str">
            <v>DENMARK</v>
          </cell>
        </row>
        <row r="636">
          <cell r="L636" t="str">
            <v>Non-proportional</v>
          </cell>
          <cell r="S636">
            <v>306</v>
          </cell>
          <cell r="X636" t="str">
            <v>Commissions - gross</v>
          </cell>
          <cell r="Y636" t="str">
            <v>JAPAN</v>
          </cell>
        </row>
        <row r="637">
          <cell r="L637" t="str">
            <v>Non-proportional</v>
          </cell>
          <cell r="S637">
            <v>193.89</v>
          </cell>
          <cell r="X637" t="str">
            <v>Commissions - gross</v>
          </cell>
          <cell r="Y637" t="str">
            <v>REPUBLIC OF IRELAND</v>
          </cell>
        </row>
        <row r="638">
          <cell r="L638" t="str">
            <v>Non-proportional</v>
          </cell>
          <cell r="S638">
            <v>1145.54</v>
          </cell>
          <cell r="X638" t="str">
            <v>Commissions - gross</v>
          </cell>
          <cell r="Y638" t="str">
            <v>UNITED KINGDOM</v>
          </cell>
        </row>
        <row r="639">
          <cell r="L639" t="str">
            <v>Non-proportional</v>
          </cell>
          <cell r="S639">
            <v>1.59</v>
          </cell>
          <cell r="X639" t="str">
            <v>Commissions - gross</v>
          </cell>
          <cell r="Y639" t="str">
            <v>NORWAY</v>
          </cell>
        </row>
        <row r="640">
          <cell r="L640" t="str">
            <v>Non-proportional</v>
          </cell>
          <cell r="S640">
            <v>-10594.94</v>
          </cell>
          <cell r="X640" t="str">
            <v>Commissions - gross</v>
          </cell>
          <cell r="Y640" t="str">
            <v>GERMANY</v>
          </cell>
        </row>
        <row r="641">
          <cell r="L641" t="str">
            <v>Non-proportional</v>
          </cell>
          <cell r="S641">
            <v>1182.55</v>
          </cell>
          <cell r="X641" t="str">
            <v>Commissions - gross</v>
          </cell>
          <cell r="Y641" t="str">
            <v>AUSTRIA</v>
          </cell>
        </row>
        <row r="642">
          <cell r="L642" t="str">
            <v>Non-proportional</v>
          </cell>
          <cell r="S642">
            <v>457.31</v>
          </cell>
          <cell r="X642" t="str">
            <v>Commissions - gross</v>
          </cell>
          <cell r="Y642" t="str">
            <v>EUROPE</v>
          </cell>
        </row>
        <row r="643">
          <cell r="L643" t="str">
            <v>Non-proportional</v>
          </cell>
          <cell r="S643">
            <v>2000.25</v>
          </cell>
          <cell r="X643" t="str">
            <v>Commissions - gross</v>
          </cell>
          <cell r="Y643" t="str">
            <v>CZECH REPUBLIC</v>
          </cell>
        </row>
        <row r="644">
          <cell r="L644" t="str">
            <v>Non-proportional</v>
          </cell>
          <cell r="S644">
            <v>759</v>
          </cell>
          <cell r="X644" t="str">
            <v>Commissions - gross</v>
          </cell>
          <cell r="Y644" t="str">
            <v>GERMANY</v>
          </cell>
        </row>
        <row r="645">
          <cell r="L645" t="str">
            <v>Non-proportional</v>
          </cell>
          <cell r="S645">
            <v>1707.87</v>
          </cell>
          <cell r="X645" t="str">
            <v>Commissions - gross</v>
          </cell>
          <cell r="Y645" t="str">
            <v>SWITZERLAND</v>
          </cell>
        </row>
        <row r="646">
          <cell r="L646" t="str">
            <v>Non-proportional</v>
          </cell>
          <cell r="S646">
            <v>385</v>
          </cell>
          <cell r="X646" t="str">
            <v>Commissions - gross</v>
          </cell>
          <cell r="Y646" t="str">
            <v>GERMANY</v>
          </cell>
        </row>
        <row r="647">
          <cell r="L647" t="str">
            <v>Non-proportional</v>
          </cell>
          <cell r="S647">
            <v>912.9</v>
          </cell>
          <cell r="X647" t="str">
            <v>Commissions - gross</v>
          </cell>
          <cell r="Y647" t="str">
            <v>GERMANY</v>
          </cell>
        </row>
        <row r="648">
          <cell r="L648" t="str">
            <v>Non-proportional</v>
          </cell>
          <cell r="S648">
            <v>1340.72</v>
          </cell>
          <cell r="X648" t="str">
            <v>Commissions - gross</v>
          </cell>
          <cell r="Y648" t="str">
            <v>DENMARK</v>
          </cell>
        </row>
        <row r="649">
          <cell r="L649" t="str">
            <v>Non-proportional</v>
          </cell>
          <cell r="S649">
            <v>991.79</v>
          </cell>
          <cell r="X649" t="str">
            <v>Commissions - gross</v>
          </cell>
          <cell r="Y649" t="str">
            <v>CZECH REPUBLIC</v>
          </cell>
        </row>
        <row r="650">
          <cell r="L650" t="str">
            <v>Non-proportional</v>
          </cell>
          <cell r="S650">
            <v>1992.02</v>
          </cell>
          <cell r="X650" t="str">
            <v>Commissions - gross</v>
          </cell>
          <cell r="Y650" t="str">
            <v>FRANCE</v>
          </cell>
        </row>
        <row r="651">
          <cell r="L651" t="str">
            <v>Non-proportional</v>
          </cell>
          <cell r="S651">
            <v>78.209999999999994</v>
          </cell>
          <cell r="X651" t="str">
            <v>Commissions - gross</v>
          </cell>
          <cell r="Y651" t="str">
            <v>DENMARK</v>
          </cell>
        </row>
        <row r="652">
          <cell r="L652" t="str">
            <v>Non-proportional</v>
          </cell>
          <cell r="S652">
            <v>869.77</v>
          </cell>
          <cell r="X652" t="str">
            <v>Commissions - gross</v>
          </cell>
          <cell r="Y652" t="str">
            <v>GERMANY</v>
          </cell>
        </row>
        <row r="653">
          <cell r="L653" t="str">
            <v>Non-proportional</v>
          </cell>
          <cell r="S653">
            <v>411.22</v>
          </cell>
          <cell r="X653" t="str">
            <v>Commissions - gross</v>
          </cell>
          <cell r="Y653" t="str">
            <v>SWITZERLAND</v>
          </cell>
        </row>
        <row r="654">
          <cell r="L654" t="str">
            <v>Non-proportional</v>
          </cell>
          <cell r="S654">
            <v>552.71</v>
          </cell>
          <cell r="X654" t="str">
            <v>Commissions - gross</v>
          </cell>
          <cell r="Y654" t="str">
            <v>GERMANY</v>
          </cell>
        </row>
        <row r="655">
          <cell r="L655" t="str">
            <v>Non-proportional</v>
          </cell>
          <cell r="S655">
            <v>-3329.84</v>
          </cell>
          <cell r="X655" t="str">
            <v>Commissions - gross</v>
          </cell>
          <cell r="Y655" t="str">
            <v>GERMANY</v>
          </cell>
        </row>
        <row r="656">
          <cell r="L656" t="str">
            <v>Non-proportional</v>
          </cell>
          <cell r="S656">
            <v>-4439.78</v>
          </cell>
          <cell r="X656" t="str">
            <v>Commissions - gross</v>
          </cell>
          <cell r="Y656" t="str">
            <v>GERMANY</v>
          </cell>
        </row>
        <row r="657">
          <cell r="L657" t="str">
            <v>Non-proportional</v>
          </cell>
          <cell r="S657">
            <v>897.06</v>
          </cell>
          <cell r="X657" t="str">
            <v>Commissions - gross</v>
          </cell>
          <cell r="Y657" t="str">
            <v>GERMANY</v>
          </cell>
        </row>
        <row r="658">
          <cell r="L658" t="str">
            <v>Non-proportional</v>
          </cell>
          <cell r="S658">
            <v>32990.03</v>
          </cell>
          <cell r="X658" t="str">
            <v>Commissions - gross</v>
          </cell>
          <cell r="Y658" t="str">
            <v>UNITED KINGDOM</v>
          </cell>
        </row>
        <row r="659">
          <cell r="L659" t="str">
            <v>Non-proportional</v>
          </cell>
          <cell r="S659">
            <v>-1582.04</v>
          </cell>
          <cell r="X659" t="str">
            <v>Commissions - gross</v>
          </cell>
          <cell r="Y659" t="str">
            <v>DENMARK</v>
          </cell>
        </row>
        <row r="660">
          <cell r="L660" t="str">
            <v>Non-proportional</v>
          </cell>
          <cell r="S660">
            <v>633.51</v>
          </cell>
          <cell r="X660" t="str">
            <v>Commissions - gross</v>
          </cell>
          <cell r="Y660" t="str">
            <v>GERMANY</v>
          </cell>
        </row>
        <row r="661">
          <cell r="L661" t="str">
            <v>Non-proportional</v>
          </cell>
          <cell r="S661">
            <v>-0.28000000000000003</v>
          </cell>
          <cell r="X661" t="str">
            <v>Commissions - gross</v>
          </cell>
          <cell r="Y661" t="str">
            <v>DENMARK</v>
          </cell>
        </row>
        <row r="662">
          <cell r="L662" t="str">
            <v>Non-proportional</v>
          </cell>
          <cell r="S662">
            <v>53.19</v>
          </cell>
          <cell r="X662" t="str">
            <v>Commissions - gross</v>
          </cell>
          <cell r="Y662" t="str">
            <v>NORWAY</v>
          </cell>
        </row>
        <row r="663">
          <cell r="L663" t="str">
            <v>Non-proportional</v>
          </cell>
          <cell r="S663">
            <v>1368.28</v>
          </cell>
          <cell r="X663" t="str">
            <v>Commissions - gross</v>
          </cell>
          <cell r="Y663" t="str">
            <v>UNITED KINGDOM</v>
          </cell>
        </row>
        <row r="664">
          <cell r="L664" t="str">
            <v>Non-proportional</v>
          </cell>
          <cell r="S664">
            <v>756.84</v>
          </cell>
          <cell r="X664" t="str">
            <v>Commissions - gross</v>
          </cell>
          <cell r="Y664" t="str">
            <v>NORWAY</v>
          </cell>
        </row>
        <row r="665">
          <cell r="L665" t="str">
            <v>Non-proportional</v>
          </cell>
          <cell r="S665">
            <v>2112.27</v>
          </cell>
          <cell r="X665" t="str">
            <v>Commissions - gross</v>
          </cell>
          <cell r="Y665" t="str">
            <v>UNITED KINGDOM</v>
          </cell>
        </row>
        <row r="666">
          <cell r="L666" t="str">
            <v>Non-proportional</v>
          </cell>
          <cell r="S666">
            <v>745.46</v>
          </cell>
          <cell r="X666" t="str">
            <v>Commissions - gross</v>
          </cell>
          <cell r="Y666" t="str">
            <v>EUROPE</v>
          </cell>
        </row>
        <row r="667">
          <cell r="L667" t="str">
            <v>Non-proportional</v>
          </cell>
          <cell r="S667">
            <v>446.17</v>
          </cell>
          <cell r="X667" t="str">
            <v>Commissions - gross</v>
          </cell>
          <cell r="Y667" t="str">
            <v>DENMARK</v>
          </cell>
        </row>
        <row r="668">
          <cell r="L668" t="str">
            <v>Non-proportional</v>
          </cell>
          <cell r="S668">
            <v>-63.36</v>
          </cell>
          <cell r="X668" t="str">
            <v>Commissions - gross</v>
          </cell>
          <cell r="Y668" t="str">
            <v>ICELAND</v>
          </cell>
        </row>
        <row r="669">
          <cell r="L669" t="str">
            <v>Non-proportional</v>
          </cell>
          <cell r="S669">
            <v>196.23</v>
          </cell>
          <cell r="X669" t="str">
            <v>Commissions - gross</v>
          </cell>
          <cell r="Y669" t="str">
            <v>GERMANY</v>
          </cell>
        </row>
        <row r="670">
          <cell r="L670" t="str">
            <v>Non-proportional</v>
          </cell>
          <cell r="S670">
            <v>1160.82</v>
          </cell>
          <cell r="X670" t="str">
            <v>Commissions - gross</v>
          </cell>
          <cell r="Y670" t="str">
            <v>SWITZERLAND</v>
          </cell>
        </row>
        <row r="671">
          <cell r="L671" t="str">
            <v>Non-proportional</v>
          </cell>
          <cell r="S671">
            <v>239.81</v>
          </cell>
          <cell r="X671" t="str">
            <v>Commissions - gross</v>
          </cell>
          <cell r="Y671" t="str">
            <v>SWEDEN</v>
          </cell>
        </row>
        <row r="672">
          <cell r="L672" t="str">
            <v>Non-proportional</v>
          </cell>
          <cell r="S672">
            <v>1272.8699999999999</v>
          </cell>
          <cell r="X672" t="str">
            <v>Commissions - gross</v>
          </cell>
          <cell r="Y672" t="str">
            <v>UNITED KINGDOM</v>
          </cell>
        </row>
        <row r="673">
          <cell r="L673" t="str">
            <v>Non-proportional</v>
          </cell>
          <cell r="S673">
            <v>2092.4899999999998</v>
          </cell>
          <cell r="X673" t="str">
            <v>Commissions - gross</v>
          </cell>
          <cell r="Y673" t="str">
            <v>FRANCE</v>
          </cell>
        </row>
        <row r="674">
          <cell r="L674" t="str">
            <v>Non-proportional</v>
          </cell>
          <cell r="S674">
            <v>670.48</v>
          </cell>
          <cell r="X674" t="str">
            <v>Commissions - gross</v>
          </cell>
          <cell r="Y674" t="str">
            <v>DENMARK</v>
          </cell>
        </row>
        <row r="675">
          <cell r="L675" t="str">
            <v>Proportional</v>
          </cell>
          <cell r="S675">
            <v>2490.08</v>
          </cell>
          <cell r="X675" t="str">
            <v>Commissions - gross</v>
          </cell>
          <cell r="Y675" t="str">
            <v>SWITZERLAND</v>
          </cell>
        </row>
        <row r="676">
          <cell r="L676" t="str">
            <v>Non-proportional</v>
          </cell>
          <cell r="S676">
            <v>-548.37</v>
          </cell>
          <cell r="X676" t="str">
            <v>Commissions - gross</v>
          </cell>
          <cell r="Y676" t="str">
            <v>GERMANY</v>
          </cell>
        </row>
        <row r="677">
          <cell r="L677" t="str">
            <v>Non-proportional</v>
          </cell>
          <cell r="S677">
            <v>832.28</v>
          </cell>
          <cell r="X677" t="str">
            <v>Commissions - gross</v>
          </cell>
          <cell r="Y677" t="str">
            <v>GERMANY</v>
          </cell>
        </row>
        <row r="678">
          <cell r="L678" t="str">
            <v>Non-proportional</v>
          </cell>
          <cell r="S678">
            <v>2941.67</v>
          </cell>
          <cell r="X678" t="str">
            <v>Commissions - gross</v>
          </cell>
          <cell r="Y678" t="str">
            <v>EUROPE</v>
          </cell>
        </row>
        <row r="679">
          <cell r="L679" t="str">
            <v>Non-proportional</v>
          </cell>
          <cell r="S679">
            <v>17571.45</v>
          </cell>
          <cell r="X679" t="str">
            <v>Commissions - gross</v>
          </cell>
          <cell r="Y679" t="str">
            <v>UNITED KINGDOM</v>
          </cell>
        </row>
        <row r="680">
          <cell r="L680" t="str">
            <v>Non-proportional</v>
          </cell>
          <cell r="S680">
            <v>4089.81</v>
          </cell>
          <cell r="X680" t="str">
            <v>Commissions - gross</v>
          </cell>
          <cell r="Y680" t="str">
            <v>UNITED KINGDOM</v>
          </cell>
        </row>
        <row r="681">
          <cell r="L681" t="str">
            <v>Non-proportional</v>
          </cell>
          <cell r="S681">
            <v>1223.73</v>
          </cell>
          <cell r="X681" t="str">
            <v>Commissions - gross</v>
          </cell>
          <cell r="Y681" t="str">
            <v>UNITED KINGDOM</v>
          </cell>
        </row>
        <row r="682">
          <cell r="L682" t="str">
            <v>Non-proportional</v>
          </cell>
          <cell r="S682">
            <v>3010.49</v>
          </cell>
          <cell r="X682" t="str">
            <v>Commissions - gross</v>
          </cell>
          <cell r="Y682" t="str">
            <v>UNITED KINGDOM</v>
          </cell>
        </row>
        <row r="683">
          <cell r="L683" t="str">
            <v>Non-proportional</v>
          </cell>
          <cell r="S683">
            <v>498.47</v>
          </cell>
          <cell r="X683" t="str">
            <v>Commissions - gross</v>
          </cell>
          <cell r="Y683" t="str">
            <v>GERMANY</v>
          </cell>
        </row>
        <row r="684">
          <cell r="L684" t="str">
            <v>Non-proportional</v>
          </cell>
          <cell r="S684">
            <v>1106.8800000000001</v>
          </cell>
          <cell r="X684" t="str">
            <v>Commissions - gross</v>
          </cell>
          <cell r="Y684" t="str">
            <v>DENMARK</v>
          </cell>
        </row>
        <row r="685">
          <cell r="L685" t="str">
            <v>Non-proportional</v>
          </cell>
          <cell r="S685">
            <v>862.5</v>
          </cell>
          <cell r="X685" t="str">
            <v>Commissions - gross</v>
          </cell>
          <cell r="Y685" t="str">
            <v>GERMANY</v>
          </cell>
        </row>
        <row r="686">
          <cell r="L686" t="str">
            <v>Non-proportional</v>
          </cell>
          <cell r="S686">
            <v>-0.56999999999999995</v>
          </cell>
          <cell r="X686" t="str">
            <v>Commissions - gross</v>
          </cell>
          <cell r="Y686" t="str">
            <v>DENMARK</v>
          </cell>
        </row>
        <row r="687">
          <cell r="L687" t="str">
            <v>Non-proportional</v>
          </cell>
          <cell r="S687">
            <v>1960.61</v>
          </cell>
          <cell r="X687" t="str">
            <v>Commissions - gross</v>
          </cell>
          <cell r="Y687" t="str">
            <v>FRANCE</v>
          </cell>
        </row>
        <row r="688">
          <cell r="L688" t="str">
            <v>Non-proportional</v>
          </cell>
          <cell r="S688">
            <v>89.43</v>
          </cell>
          <cell r="X688" t="str">
            <v>Commissions - gross</v>
          </cell>
          <cell r="Y688" t="str">
            <v>DENMARK</v>
          </cell>
        </row>
        <row r="689">
          <cell r="L689" t="str">
            <v>Non-proportional</v>
          </cell>
          <cell r="S689">
            <v>112.5</v>
          </cell>
          <cell r="X689" t="str">
            <v>Commissions - gross</v>
          </cell>
          <cell r="Y689" t="str">
            <v>GERMANY</v>
          </cell>
        </row>
        <row r="690">
          <cell r="L690" t="str">
            <v>Non-proportional</v>
          </cell>
          <cell r="S690">
            <v>607.53</v>
          </cell>
          <cell r="X690" t="str">
            <v>Commissions - gross</v>
          </cell>
          <cell r="Y690" t="str">
            <v>DENMARK</v>
          </cell>
        </row>
        <row r="691">
          <cell r="L691" t="str">
            <v>Non-proportional</v>
          </cell>
          <cell r="S691">
            <v>11205.21</v>
          </cell>
          <cell r="X691" t="str">
            <v>Commissions - gross</v>
          </cell>
          <cell r="Y691" t="str">
            <v>FRANCE</v>
          </cell>
        </row>
        <row r="692">
          <cell r="L692" t="str">
            <v>Non-proportional</v>
          </cell>
          <cell r="S692">
            <v>75.63</v>
          </cell>
          <cell r="X692" t="str">
            <v>Commissions - gross</v>
          </cell>
          <cell r="Y692" t="str">
            <v>JAPAN</v>
          </cell>
        </row>
        <row r="693">
          <cell r="L693" t="str">
            <v>Non-proportional</v>
          </cell>
          <cell r="S693">
            <v>349.73</v>
          </cell>
          <cell r="X693" t="str">
            <v>Commissions - gross</v>
          </cell>
          <cell r="Y693" t="str">
            <v>SWITZERLAND</v>
          </cell>
        </row>
        <row r="694">
          <cell r="L694" t="str">
            <v>Non-proportional</v>
          </cell>
          <cell r="S694">
            <v>446</v>
          </cell>
          <cell r="X694" t="str">
            <v>Commissions - gross</v>
          </cell>
          <cell r="Y694" t="str">
            <v>DENMARK</v>
          </cell>
        </row>
        <row r="695">
          <cell r="L695" t="str">
            <v>Non-proportional</v>
          </cell>
          <cell r="S695">
            <v>127.94</v>
          </cell>
          <cell r="X695" t="str">
            <v>Commissions - gross</v>
          </cell>
          <cell r="Y695" t="str">
            <v>FRANCE</v>
          </cell>
        </row>
        <row r="696">
          <cell r="L696" t="str">
            <v>Non-proportional</v>
          </cell>
          <cell r="S696">
            <v>3734.6</v>
          </cell>
          <cell r="X696" t="str">
            <v>Commissions - gross</v>
          </cell>
          <cell r="Y696" t="str">
            <v>FRANCE</v>
          </cell>
        </row>
        <row r="697">
          <cell r="L697" t="str">
            <v>Non-proportional</v>
          </cell>
          <cell r="S697">
            <v>-0.31</v>
          </cell>
          <cell r="X697" t="str">
            <v>Commissions - gross</v>
          </cell>
          <cell r="Y697" t="str">
            <v>DENMARK</v>
          </cell>
        </row>
        <row r="698">
          <cell r="L698" t="str">
            <v>Non-proportional</v>
          </cell>
          <cell r="S698">
            <v>332.98</v>
          </cell>
          <cell r="X698" t="str">
            <v>Commissions - gross</v>
          </cell>
          <cell r="Y698" t="str">
            <v>GERMANY</v>
          </cell>
        </row>
        <row r="699">
          <cell r="L699" t="str">
            <v>Non-proportional</v>
          </cell>
          <cell r="S699">
            <v>2340.1799999999998</v>
          </cell>
          <cell r="X699" t="str">
            <v>Commissions - gross</v>
          </cell>
          <cell r="Y699" t="str">
            <v>GERMANY</v>
          </cell>
        </row>
        <row r="700">
          <cell r="L700" t="str">
            <v>Non-proportional</v>
          </cell>
          <cell r="S700">
            <v>589.39</v>
          </cell>
          <cell r="X700" t="str">
            <v>Commissions - gross</v>
          </cell>
          <cell r="Y700" t="str">
            <v>AUSTRIA</v>
          </cell>
        </row>
        <row r="701">
          <cell r="L701" t="str">
            <v>Non-proportional</v>
          </cell>
          <cell r="S701">
            <v>208.24</v>
          </cell>
          <cell r="X701" t="str">
            <v>Commissions - gross</v>
          </cell>
          <cell r="Y701" t="str">
            <v>GERMANY</v>
          </cell>
        </row>
        <row r="702">
          <cell r="L702" t="str">
            <v>Non-proportional</v>
          </cell>
          <cell r="S702">
            <v>548.41</v>
          </cell>
          <cell r="X702" t="str">
            <v>Commissions - gross</v>
          </cell>
          <cell r="Y702" t="str">
            <v>EUROPE</v>
          </cell>
        </row>
        <row r="703">
          <cell r="L703" t="str">
            <v>Non-proportional</v>
          </cell>
          <cell r="S703">
            <v>2035.5</v>
          </cell>
          <cell r="X703" t="str">
            <v>Commissions - gross</v>
          </cell>
          <cell r="Y703" t="str">
            <v>GERMANY</v>
          </cell>
        </row>
        <row r="704">
          <cell r="L704" t="str">
            <v>Non-proportional</v>
          </cell>
          <cell r="S704">
            <v>899.99</v>
          </cell>
          <cell r="X704" t="str">
            <v>Commissions - gross</v>
          </cell>
          <cell r="Y704" t="str">
            <v>GERMANY</v>
          </cell>
        </row>
        <row r="705">
          <cell r="L705" t="str">
            <v>Non-proportional</v>
          </cell>
          <cell r="S705">
            <v>360.28</v>
          </cell>
          <cell r="X705" t="str">
            <v>Commissions - gross</v>
          </cell>
          <cell r="Y705" t="str">
            <v>FAROE ISLANDS</v>
          </cell>
        </row>
        <row r="706">
          <cell r="L706" t="str">
            <v>Non-proportional</v>
          </cell>
          <cell r="S706">
            <v>1.1299999999999999</v>
          </cell>
          <cell r="X706" t="str">
            <v>Commissions - gross</v>
          </cell>
          <cell r="Y706" t="str">
            <v>NORWAY</v>
          </cell>
        </row>
        <row r="707">
          <cell r="L707" t="str">
            <v>Non-proportional</v>
          </cell>
          <cell r="S707">
            <v>310.73</v>
          </cell>
          <cell r="X707" t="str">
            <v>Commissions - gross</v>
          </cell>
          <cell r="Y707" t="str">
            <v>GERMANY</v>
          </cell>
        </row>
        <row r="708">
          <cell r="L708" t="str">
            <v>Non-proportional</v>
          </cell>
          <cell r="S708">
            <v>71.84</v>
          </cell>
          <cell r="X708" t="str">
            <v>Commissions - gross</v>
          </cell>
          <cell r="Y708" t="str">
            <v>ITALY</v>
          </cell>
        </row>
        <row r="709">
          <cell r="L709" t="str">
            <v>Non-proportional</v>
          </cell>
          <cell r="S709">
            <v>862.5</v>
          </cell>
          <cell r="X709" t="str">
            <v>Commissions - gross</v>
          </cell>
          <cell r="Y709" t="str">
            <v>GERMANY</v>
          </cell>
        </row>
        <row r="710">
          <cell r="L710" t="str">
            <v>Non-proportional</v>
          </cell>
          <cell r="S710">
            <v>849.45</v>
          </cell>
          <cell r="X710" t="str">
            <v>Commissions - gross</v>
          </cell>
          <cell r="Y710" t="str">
            <v>GERMANY</v>
          </cell>
        </row>
        <row r="711">
          <cell r="L711" t="str">
            <v>Non-proportional</v>
          </cell>
          <cell r="S711">
            <v>353.21</v>
          </cell>
          <cell r="X711" t="str">
            <v>Commissions - gross</v>
          </cell>
          <cell r="Y711" t="str">
            <v>FAROE ISLANDS</v>
          </cell>
        </row>
        <row r="712">
          <cell r="L712" t="str">
            <v>Non-proportional</v>
          </cell>
          <cell r="S712">
            <v>86.56</v>
          </cell>
          <cell r="X712" t="str">
            <v>Commissions - gross</v>
          </cell>
          <cell r="Y712" t="str">
            <v>ITALY</v>
          </cell>
        </row>
        <row r="713">
          <cell r="L713" t="str">
            <v>Non-proportional</v>
          </cell>
          <cell r="S713">
            <v>2305.9</v>
          </cell>
          <cell r="X713" t="str">
            <v>Commissions - gross</v>
          </cell>
          <cell r="Y713" t="str">
            <v>FRANCE</v>
          </cell>
        </row>
        <row r="714">
          <cell r="L714" t="str">
            <v>Non-proportional</v>
          </cell>
          <cell r="S714">
            <v>1141.01</v>
          </cell>
          <cell r="X714" t="str">
            <v>Commissions - gross</v>
          </cell>
          <cell r="Y714" t="str">
            <v>SWITZERLAND</v>
          </cell>
        </row>
        <row r="715">
          <cell r="L715" t="str">
            <v>Non-proportional</v>
          </cell>
          <cell r="S715">
            <v>263.73</v>
          </cell>
          <cell r="X715" t="str">
            <v>Commissions - gross</v>
          </cell>
          <cell r="Y715" t="str">
            <v>GERMANY</v>
          </cell>
        </row>
        <row r="716">
          <cell r="L716" t="str">
            <v>Non-proportional</v>
          </cell>
          <cell r="S716">
            <v>3450.2</v>
          </cell>
          <cell r="X716" t="str">
            <v>Commissions - gross</v>
          </cell>
          <cell r="Y716" t="str">
            <v>CZECH REPUBLIC</v>
          </cell>
        </row>
        <row r="717">
          <cell r="L717" t="str">
            <v>Non-proportional</v>
          </cell>
          <cell r="S717">
            <v>2972.81</v>
          </cell>
          <cell r="X717" t="str">
            <v>Commissions - gross</v>
          </cell>
          <cell r="Y717" t="str">
            <v>UNITED KINGDOM</v>
          </cell>
        </row>
        <row r="718">
          <cell r="L718" t="str">
            <v>Non-proportional</v>
          </cell>
          <cell r="S718">
            <v>4323.67</v>
          </cell>
          <cell r="X718" t="str">
            <v>Commissions - gross</v>
          </cell>
          <cell r="Y718" t="str">
            <v>UNITED KINGDOM</v>
          </cell>
        </row>
        <row r="719">
          <cell r="L719" t="str">
            <v>Non-proportional</v>
          </cell>
          <cell r="S719">
            <v>1412</v>
          </cell>
          <cell r="X719" t="str">
            <v>Commissions - gross</v>
          </cell>
          <cell r="Y719" t="str">
            <v>AUSTRIA</v>
          </cell>
        </row>
        <row r="720">
          <cell r="L720" t="str">
            <v>Non-proportional</v>
          </cell>
          <cell r="S720">
            <v>1475.45</v>
          </cell>
          <cell r="X720" t="str">
            <v>Commissions - gross</v>
          </cell>
          <cell r="Y720" t="str">
            <v>SWITZERLAND</v>
          </cell>
        </row>
        <row r="721">
          <cell r="L721" t="str">
            <v>Non-proportional</v>
          </cell>
          <cell r="S721">
            <v>27.07</v>
          </cell>
          <cell r="X721" t="str">
            <v>Commissions - gross</v>
          </cell>
          <cell r="Y721" t="str">
            <v>ITALY</v>
          </cell>
        </row>
        <row r="722">
          <cell r="L722" t="str">
            <v>Non-proportional</v>
          </cell>
          <cell r="S722">
            <v>404.21</v>
          </cell>
          <cell r="X722" t="str">
            <v>Commissions - gross</v>
          </cell>
          <cell r="Y722" t="str">
            <v>SWITZERLAND</v>
          </cell>
        </row>
        <row r="723">
          <cell r="L723" t="str">
            <v>Non-proportional</v>
          </cell>
          <cell r="S723">
            <v>603.75</v>
          </cell>
          <cell r="X723" t="str">
            <v>Commissions - gross</v>
          </cell>
          <cell r="Y723" t="str">
            <v>GERMANY</v>
          </cell>
        </row>
        <row r="724">
          <cell r="L724" t="str">
            <v>Non-proportional</v>
          </cell>
          <cell r="S724">
            <v>869.77</v>
          </cell>
          <cell r="X724" t="str">
            <v>Commissions - gross</v>
          </cell>
          <cell r="Y724" t="str">
            <v>GERMANY</v>
          </cell>
        </row>
        <row r="725">
          <cell r="L725" t="str">
            <v>Non-proportional</v>
          </cell>
          <cell r="S725">
            <v>999.97</v>
          </cell>
          <cell r="X725" t="str">
            <v>Commissions - gross</v>
          </cell>
          <cell r="Y725" t="str">
            <v>GERMANY</v>
          </cell>
        </row>
        <row r="726">
          <cell r="L726" t="str">
            <v>Non-proportional</v>
          </cell>
          <cell r="S726">
            <v>206.53</v>
          </cell>
          <cell r="X726" t="str">
            <v>Commissions - gross</v>
          </cell>
          <cell r="Y726" t="str">
            <v>EUROPE</v>
          </cell>
        </row>
        <row r="727">
          <cell r="L727" t="str">
            <v>Non-proportional</v>
          </cell>
          <cell r="S727">
            <v>1221.5</v>
          </cell>
          <cell r="X727" t="str">
            <v>Commissions - gross</v>
          </cell>
          <cell r="Y727" t="str">
            <v>REPUBLIC OF IRELAND</v>
          </cell>
        </row>
        <row r="728">
          <cell r="L728" t="str">
            <v>Non-proportional</v>
          </cell>
          <cell r="S728">
            <v>1340.2</v>
          </cell>
          <cell r="X728" t="str">
            <v>Commissions - gross</v>
          </cell>
          <cell r="Y728" t="str">
            <v>DENMARK</v>
          </cell>
        </row>
        <row r="729">
          <cell r="L729" t="str">
            <v>Non-proportional</v>
          </cell>
          <cell r="S729">
            <v>580.86</v>
          </cell>
          <cell r="X729" t="str">
            <v>Commissions - gross</v>
          </cell>
          <cell r="Y729" t="str">
            <v>DENMARK</v>
          </cell>
        </row>
        <row r="730">
          <cell r="L730" t="str">
            <v>Non-proportional</v>
          </cell>
          <cell r="S730">
            <v>2539.36</v>
          </cell>
          <cell r="X730" t="str">
            <v>Commissions - gross</v>
          </cell>
          <cell r="Y730" t="str">
            <v>GERMANY</v>
          </cell>
        </row>
        <row r="731">
          <cell r="L731" t="str">
            <v>Non-proportional</v>
          </cell>
          <cell r="S731">
            <v>542.42999999999995</v>
          </cell>
          <cell r="X731" t="str">
            <v>Commissions - gross</v>
          </cell>
          <cell r="Y731" t="str">
            <v>NORWAY</v>
          </cell>
        </row>
        <row r="732">
          <cell r="L732" t="str">
            <v>Non-proportional</v>
          </cell>
          <cell r="S732">
            <v>150.91</v>
          </cell>
          <cell r="X732" t="str">
            <v>Commissions - gross</v>
          </cell>
          <cell r="Y732" t="str">
            <v>GERMANY</v>
          </cell>
        </row>
        <row r="733">
          <cell r="L733" t="str">
            <v>Non-proportional</v>
          </cell>
          <cell r="S733">
            <v>5783.09</v>
          </cell>
          <cell r="X733" t="str">
            <v>Commissions - gross</v>
          </cell>
          <cell r="Y733" t="str">
            <v>UNITED KINGDOM</v>
          </cell>
        </row>
        <row r="734">
          <cell r="L734" t="str">
            <v>Non-proportional</v>
          </cell>
          <cell r="S734">
            <v>1633.46</v>
          </cell>
          <cell r="X734" t="str">
            <v>Commissions - gross</v>
          </cell>
          <cell r="Y734" t="str">
            <v>DENMARK</v>
          </cell>
        </row>
        <row r="735">
          <cell r="L735" t="str">
            <v>Non-proportional</v>
          </cell>
          <cell r="S735">
            <v>2075.86</v>
          </cell>
          <cell r="X735" t="str">
            <v>Commissions - gross</v>
          </cell>
          <cell r="Y735" t="str">
            <v>EIRE</v>
          </cell>
        </row>
        <row r="736">
          <cell r="L736" t="str">
            <v>Non-proportional</v>
          </cell>
          <cell r="S736">
            <v>89.39</v>
          </cell>
          <cell r="X736" t="str">
            <v>Commissions - gross</v>
          </cell>
          <cell r="Y736" t="str">
            <v>DENMARK</v>
          </cell>
        </row>
        <row r="737">
          <cell r="L737" t="str">
            <v>Non-proportional</v>
          </cell>
          <cell r="S737">
            <v>1182.55</v>
          </cell>
          <cell r="X737" t="str">
            <v>Commissions - gross</v>
          </cell>
          <cell r="Y737" t="str">
            <v>AUSTRIA</v>
          </cell>
        </row>
        <row r="738">
          <cell r="L738" t="str">
            <v>Non-proportional</v>
          </cell>
          <cell r="S738">
            <v>1188.23</v>
          </cell>
          <cell r="X738" t="str">
            <v>Commissions - gross</v>
          </cell>
          <cell r="Y738" t="str">
            <v>EUROPE</v>
          </cell>
        </row>
        <row r="739">
          <cell r="L739" t="str">
            <v>Non-proportional</v>
          </cell>
          <cell r="S739">
            <v>842.33</v>
          </cell>
          <cell r="X739" t="str">
            <v>Commissions - gross</v>
          </cell>
          <cell r="Y739" t="str">
            <v>ITALY</v>
          </cell>
        </row>
        <row r="740">
          <cell r="L740" t="str">
            <v>Non-proportional</v>
          </cell>
          <cell r="S740">
            <v>-0.42</v>
          </cell>
          <cell r="X740" t="str">
            <v>Commissions - gross</v>
          </cell>
          <cell r="Y740" t="str">
            <v>DENMARK</v>
          </cell>
        </row>
        <row r="741">
          <cell r="L741" t="str">
            <v>Non-proportional</v>
          </cell>
          <cell r="S741">
            <v>1678.73</v>
          </cell>
          <cell r="X741" t="str">
            <v>Commissions - gross</v>
          </cell>
          <cell r="Y741" t="str">
            <v>SWITZERLAND</v>
          </cell>
        </row>
        <row r="742">
          <cell r="L742" t="str">
            <v>Non-proportional</v>
          </cell>
          <cell r="S742">
            <v>339.25</v>
          </cell>
          <cell r="X742" t="str">
            <v>Commissions - gross</v>
          </cell>
          <cell r="Y742" t="str">
            <v>ITALY</v>
          </cell>
        </row>
        <row r="743">
          <cell r="L743" t="str">
            <v>Non-proportional</v>
          </cell>
          <cell r="S743">
            <v>1937.31</v>
          </cell>
          <cell r="X743" t="str">
            <v>Commissions - gross</v>
          </cell>
          <cell r="Y743" t="str">
            <v>SWEDEN</v>
          </cell>
        </row>
        <row r="744">
          <cell r="L744" t="str">
            <v>Non-proportional</v>
          </cell>
          <cell r="S744">
            <v>3996.17</v>
          </cell>
          <cell r="X744" t="str">
            <v>Commissions - gross</v>
          </cell>
          <cell r="Y744" t="str">
            <v>SWITZERLAND</v>
          </cell>
        </row>
        <row r="745">
          <cell r="L745" t="str">
            <v>Non-proportional</v>
          </cell>
          <cell r="S745">
            <v>451.14</v>
          </cell>
          <cell r="X745" t="str">
            <v>Commissions - gross</v>
          </cell>
          <cell r="Y745" t="str">
            <v>AUSTRIA</v>
          </cell>
        </row>
        <row r="746">
          <cell r="L746" t="str">
            <v>Non-proportional</v>
          </cell>
          <cell r="S746">
            <v>82.05</v>
          </cell>
          <cell r="X746" t="str">
            <v>Commissions - gross</v>
          </cell>
          <cell r="Y746" t="str">
            <v>GERMANY</v>
          </cell>
        </row>
        <row r="747">
          <cell r="L747" t="str">
            <v>Non-proportional</v>
          </cell>
          <cell r="S747">
            <v>235.75</v>
          </cell>
          <cell r="X747" t="str">
            <v>Commissions - gross</v>
          </cell>
          <cell r="Y747" t="str">
            <v>GERMANY</v>
          </cell>
        </row>
        <row r="748">
          <cell r="L748" t="str">
            <v>Non-proportional</v>
          </cell>
          <cell r="S748">
            <v>482.64</v>
          </cell>
          <cell r="X748" t="str">
            <v>Commissions - gross</v>
          </cell>
          <cell r="Y748" t="str">
            <v>SWITZERLAND</v>
          </cell>
        </row>
        <row r="749">
          <cell r="L749" t="str">
            <v>Non-proportional</v>
          </cell>
          <cell r="S749">
            <v>368.75</v>
          </cell>
          <cell r="X749" t="str">
            <v>Commissions - gross</v>
          </cell>
          <cell r="Y749" t="str">
            <v>GERMANY</v>
          </cell>
        </row>
        <row r="750">
          <cell r="L750" t="str">
            <v>Non-proportional</v>
          </cell>
          <cell r="S750">
            <v>0.15</v>
          </cell>
          <cell r="X750" t="str">
            <v>Commissions - gross</v>
          </cell>
          <cell r="Y750" t="str">
            <v>DENMARK</v>
          </cell>
        </row>
        <row r="751">
          <cell r="L751" t="str">
            <v>Non-proportional</v>
          </cell>
          <cell r="S751">
            <v>884.49</v>
          </cell>
          <cell r="X751" t="str">
            <v>Commissions - gross</v>
          </cell>
          <cell r="Y751" t="str">
            <v>GERMANY</v>
          </cell>
        </row>
        <row r="752">
          <cell r="L752" t="str">
            <v>Non-proportional</v>
          </cell>
          <cell r="S752">
            <v>361.75</v>
          </cell>
          <cell r="X752" t="str">
            <v>Commissions - gross</v>
          </cell>
          <cell r="Y752" t="str">
            <v>FRANCE</v>
          </cell>
        </row>
        <row r="753">
          <cell r="L753" t="str">
            <v>Non-proportional</v>
          </cell>
          <cell r="S753">
            <v>196.23</v>
          </cell>
          <cell r="X753" t="str">
            <v>Commissions - gross</v>
          </cell>
          <cell r="Y753" t="str">
            <v>GERMANY</v>
          </cell>
        </row>
        <row r="754">
          <cell r="L754" t="str">
            <v>Non-proportional</v>
          </cell>
          <cell r="S754">
            <v>11211.62</v>
          </cell>
          <cell r="X754" t="str">
            <v>Commissions - gross</v>
          </cell>
          <cell r="Y754" t="str">
            <v>UNITED KINGDOM</v>
          </cell>
        </row>
        <row r="755">
          <cell r="L755" t="str">
            <v>Non-proportional</v>
          </cell>
          <cell r="S755">
            <v>350.39</v>
          </cell>
          <cell r="X755" t="str">
            <v>Commissions - gross</v>
          </cell>
          <cell r="Y755" t="str">
            <v>ICELAND</v>
          </cell>
        </row>
        <row r="756">
          <cell r="L756" t="str">
            <v>Non-proportional</v>
          </cell>
          <cell r="S756">
            <v>235.75</v>
          </cell>
          <cell r="X756" t="str">
            <v>Commissions - gross</v>
          </cell>
          <cell r="Y756" t="str">
            <v>GERMANY</v>
          </cell>
        </row>
        <row r="757">
          <cell r="L757" t="str">
            <v>Non-proportional</v>
          </cell>
          <cell r="S757">
            <v>956.7</v>
          </cell>
          <cell r="X757" t="str">
            <v>Commissions - gross</v>
          </cell>
          <cell r="Y757" t="str">
            <v>SLOVENIA</v>
          </cell>
        </row>
        <row r="758">
          <cell r="L758" t="str">
            <v>Non-proportional</v>
          </cell>
          <cell r="S758">
            <v>30.08</v>
          </cell>
          <cell r="X758" t="str">
            <v>Commissions - gross</v>
          </cell>
          <cell r="Y758" t="str">
            <v>ITALY</v>
          </cell>
        </row>
        <row r="759">
          <cell r="L759" t="str">
            <v>Non-proportional</v>
          </cell>
          <cell r="S759">
            <v>709.73</v>
          </cell>
          <cell r="X759" t="str">
            <v>Commissions - gross</v>
          </cell>
          <cell r="Y759" t="str">
            <v>UNITED KINGDOM</v>
          </cell>
        </row>
        <row r="760">
          <cell r="L760" t="str">
            <v>Non-proportional</v>
          </cell>
          <cell r="S760">
            <v>1181.6199999999999</v>
          </cell>
          <cell r="X760" t="str">
            <v>Commissions - gross</v>
          </cell>
          <cell r="Y760" t="str">
            <v>GERMANY</v>
          </cell>
        </row>
        <row r="761">
          <cell r="L761" t="str">
            <v>Non-proportional</v>
          </cell>
          <cell r="S761">
            <v>2000.25</v>
          </cell>
          <cell r="X761" t="str">
            <v>Commissions - gross</v>
          </cell>
          <cell r="Y761" t="str">
            <v>CZECH REPUBLIC</v>
          </cell>
        </row>
        <row r="762">
          <cell r="L762" t="str">
            <v>Non-proportional</v>
          </cell>
          <cell r="S762">
            <v>2350.9699999999998</v>
          </cell>
          <cell r="X762" t="str">
            <v>Commissions - gross</v>
          </cell>
          <cell r="Y762" t="str">
            <v>UNITED KINGDOM</v>
          </cell>
        </row>
        <row r="763">
          <cell r="L763" t="str">
            <v>Non-proportional</v>
          </cell>
          <cell r="S763">
            <v>17.52</v>
          </cell>
          <cell r="X763" t="str">
            <v>Commissions - gross</v>
          </cell>
          <cell r="Y763" t="str">
            <v>ITALY</v>
          </cell>
        </row>
        <row r="764">
          <cell r="L764" t="str">
            <v>Non-proportional</v>
          </cell>
          <cell r="S764">
            <v>1242.43</v>
          </cell>
          <cell r="X764" t="str">
            <v>Commissions - gross</v>
          </cell>
          <cell r="Y764" t="str">
            <v>EUROPE</v>
          </cell>
        </row>
        <row r="765">
          <cell r="L765" t="str">
            <v>Non-proportional</v>
          </cell>
          <cell r="S765">
            <v>1268.45</v>
          </cell>
          <cell r="X765" t="str">
            <v>Commissions - gross</v>
          </cell>
          <cell r="Y765" t="str">
            <v>SWEDEN</v>
          </cell>
        </row>
        <row r="766">
          <cell r="L766" t="str">
            <v>Non-proportional</v>
          </cell>
          <cell r="S766">
            <v>719.25</v>
          </cell>
          <cell r="X766" t="str">
            <v>Commissions - gross</v>
          </cell>
          <cell r="Y766" t="str">
            <v>UNITED KINGDOM</v>
          </cell>
        </row>
        <row r="767">
          <cell r="L767" t="str">
            <v>Non-proportional</v>
          </cell>
          <cell r="S767">
            <v>1650</v>
          </cell>
          <cell r="X767" t="str">
            <v>Commissions - gross</v>
          </cell>
          <cell r="Y767" t="str">
            <v>GERMANY</v>
          </cell>
        </row>
        <row r="768">
          <cell r="L768" t="str">
            <v>Non-proportional</v>
          </cell>
          <cell r="S768">
            <v>748.41</v>
          </cell>
          <cell r="X768" t="str">
            <v>Commissions - gross</v>
          </cell>
          <cell r="Y768" t="str">
            <v>NORWAY</v>
          </cell>
        </row>
        <row r="769">
          <cell r="L769" t="str">
            <v>Non-proportional</v>
          </cell>
          <cell r="S769">
            <v>28619.7</v>
          </cell>
          <cell r="X769" t="str">
            <v>Commissions - gross</v>
          </cell>
          <cell r="Y769" t="str">
            <v>UNITED KINGDOM</v>
          </cell>
        </row>
        <row r="770">
          <cell r="L770" t="str">
            <v>Non-proportional</v>
          </cell>
          <cell r="S770">
            <v>193.89</v>
          </cell>
          <cell r="X770" t="str">
            <v>Commissions - gross</v>
          </cell>
          <cell r="Y770" t="str">
            <v>REPUBLIC OF IRELAND</v>
          </cell>
        </row>
        <row r="771">
          <cell r="L771" t="str">
            <v>Non-proportional</v>
          </cell>
          <cell r="S771">
            <v>1350.24</v>
          </cell>
          <cell r="X771" t="str">
            <v>Commissions - gross</v>
          </cell>
          <cell r="Y771" t="str">
            <v>UNITED KINGDOM</v>
          </cell>
        </row>
        <row r="772">
          <cell r="L772" t="str">
            <v>Non-proportional</v>
          </cell>
          <cell r="S772">
            <v>1042.58</v>
          </cell>
          <cell r="X772" t="str">
            <v>Commissions - gross</v>
          </cell>
          <cell r="Y772" t="str">
            <v>FRANCE</v>
          </cell>
        </row>
        <row r="773">
          <cell r="L773" t="str">
            <v>Non-proportional</v>
          </cell>
          <cell r="S773">
            <v>2805.08</v>
          </cell>
          <cell r="X773" t="str">
            <v>Commissions - gross</v>
          </cell>
          <cell r="Y773" t="str">
            <v>UNITED KINGDOM</v>
          </cell>
        </row>
        <row r="774">
          <cell r="L774" t="str">
            <v>Non-proportional</v>
          </cell>
          <cell r="S774">
            <v>883.77</v>
          </cell>
          <cell r="X774" t="str">
            <v>Commissions - gross</v>
          </cell>
          <cell r="Y774" t="str">
            <v>GERMANY</v>
          </cell>
        </row>
        <row r="775">
          <cell r="L775" t="str">
            <v>Non-proportional</v>
          </cell>
          <cell r="S775">
            <v>791.68</v>
          </cell>
          <cell r="X775" t="str">
            <v>Commissions - gross</v>
          </cell>
          <cell r="Y775" t="str">
            <v>GERMANY</v>
          </cell>
        </row>
        <row r="776">
          <cell r="L776" t="str">
            <v>Non-proportional</v>
          </cell>
          <cell r="S776">
            <v>3935.67</v>
          </cell>
          <cell r="X776" t="str">
            <v>Commissions - gross</v>
          </cell>
          <cell r="Y776" t="str">
            <v>UNITED KINGDOM</v>
          </cell>
        </row>
        <row r="777">
          <cell r="L777" t="str">
            <v>Non-proportional</v>
          </cell>
          <cell r="S777">
            <v>789.5</v>
          </cell>
          <cell r="X777" t="str">
            <v>Commissions - gross</v>
          </cell>
          <cell r="Y777" t="str">
            <v>DENMARK</v>
          </cell>
        </row>
        <row r="778">
          <cell r="L778" t="str">
            <v>Non-proportional</v>
          </cell>
          <cell r="S778">
            <v>788.37</v>
          </cell>
          <cell r="X778" t="str">
            <v>Commissions - gross</v>
          </cell>
          <cell r="Y778" t="str">
            <v>ICELAND</v>
          </cell>
        </row>
        <row r="779">
          <cell r="L779" t="str">
            <v>Non-proportional</v>
          </cell>
          <cell r="S779">
            <v>281.62</v>
          </cell>
          <cell r="X779" t="str">
            <v>Commissions - gross</v>
          </cell>
          <cell r="Y779" t="str">
            <v>FRANCE</v>
          </cell>
        </row>
        <row r="780">
          <cell r="L780" t="str">
            <v>Non-proportional</v>
          </cell>
          <cell r="S780">
            <v>571.76</v>
          </cell>
          <cell r="X780" t="str">
            <v>Commissions - gross</v>
          </cell>
          <cell r="Y780" t="str">
            <v>GERMANY</v>
          </cell>
        </row>
        <row r="781">
          <cell r="L781" t="str">
            <v>Non-proportional</v>
          </cell>
          <cell r="S781">
            <v>337.5</v>
          </cell>
          <cell r="X781" t="str">
            <v>Commissions - gross</v>
          </cell>
          <cell r="Y781" t="str">
            <v>GERMANY</v>
          </cell>
        </row>
        <row r="782">
          <cell r="L782" t="str">
            <v>Non-proportional</v>
          </cell>
          <cell r="S782">
            <v>87.34</v>
          </cell>
          <cell r="X782" t="str">
            <v>Commissions - gross</v>
          </cell>
          <cell r="Y782" t="str">
            <v>GERMANY</v>
          </cell>
        </row>
        <row r="783">
          <cell r="L783" t="str">
            <v>Non-proportional</v>
          </cell>
          <cell r="S783">
            <v>2249.54</v>
          </cell>
          <cell r="X783" t="str">
            <v>Commissions - gross</v>
          </cell>
          <cell r="Y783" t="str">
            <v>CZECH REPUBLIC</v>
          </cell>
        </row>
        <row r="784">
          <cell r="L784" t="str">
            <v>Non-proportional</v>
          </cell>
          <cell r="S784">
            <v>-0.49</v>
          </cell>
          <cell r="X784" t="str">
            <v>Commissions - gross</v>
          </cell>
          <cell r="Y784" t="str">
            <v>SWEDEN</v>
          </cell>
        </row>
        <row r="785">
          <cell r="L785" t="str">
            <v>Non-proportional</v>
          </cell>
          <cell r="S785">
            <v>745.46</v>
          </cell>
          <cell r="X785" t="str">
            <v>Commissions - gross</v>
          </cell>
          <cell r="Y785" t="str">
            <v>EUROPE</v>
          </cell>
        </row>
        <row r="786">
          <cell r="L786" t="str">
            <v>Non-proportional</v>
          </cell>
          <cell r="S786">
            <v>-0.57999999999999996</v>
          </cell>
          <cell r="X786" t="str">
            <v>Commissions - gross</v>
          </cell>
          <cell r="Y786" t="str">
            <v>DENMARK</v>
          </cell>
        </row>
        <row r="787">
          <cell r="L787" t="str">
            <v>Non-proportional</v>
          </cell>
          <cell r="S787">
            <v>500.58</v>
          </cell>
          <cell r="X787" t="str">
            <v>Commissions - gross</v>
          </cell>
          <cell r="Y787" t="str">
            <v>FRANCE</v>
          </cell>
        </row>
        <row r="788">
          <cell r="L788" t="str">
            <v>Non-proportional</v>
          </cell>
          <cell r="S788">
            <v>885.5</v>
          </cell>
          <cell r="X788" t="str">
            <v>Commissions - gross</v>
          </cell>
          <cell r="Y788" t="str">
            <v>GERMANY</v>
          </cell>
        </row>
        <row r="789">
          <cell r="L789" t="str">
            <v>Non-proportional</v>
          </cell>
          <cell r="S789">
            <v>247.11</v>
          </cell>
          <cell r="X789" t="str">
            <v>Commissions - gross</v>
          </cell>
          <cell r="Y789" t="str">
            <v>SWEDEN</v>
          </cell>
        </row>
        <row r="790">
          <cell r="L790" t="str">
            <v>Non-proportional</v>
          </cell>
          <cell r="S790">
            <v>912.9</v>
          </cell>
          <cell r="X790" t="str">
            <v>Commissions - gross</v>
          </cell>
          <cell r="Y790" t="str">
            <v>GERMANY</v>
          </cell>
        </row>
        <row r="791">
          <cell r="L791" t="str">
            <v>Non-proportional</v>
          </cell>
          <cell r="S791">
            <v>268.75</v>
          </cell>
          <cell r="X791" t="str">
            <v>Commissions - gross</v>
          </cell>
          <cell r="Y791" t="str">
            <v>GERMANY</v>
          </cell>
        </row>
        <row r="792">
          <cell r="L792" t="str">
            <v>Non-proportional</v>
          </cell>
          <cell r="S792">
            <v>45.13</v>
          </cell>
          <cell r="X792" t="str">
            <v>Commissions - gross</v>
          </cell>
          <cell r="Y792" t="str">
            <v>ITALY</v>
          </cell>
        </row>
        <row r="793">
          <cell r="L793" t="str">
            <v>Non-proportional</v>
          </cell>
          <cell r="S793">
            <v>-1.62</v>
          </cell>
          <cell r="X793" t="str">
            <v>Commissions - gross</v>
          </cell>
          <cell r="Y793" t="str">
            <v>SWEDEN</v>
          </cell>
        </row>
        <row r="794">
          <cell r="L794" t="str">
            <v>Non-proportional</v>
          </cell>
          <cell r="S794">
            <v>3140.55</v>
          </cell>
          <cell r="X794" t="str">
            <v>Commissions - gross</v>
          </cell>
          <cell r="Y794" t="str">
            <v>UNITED KINGDOM</v>
          </cell>
        </row>
        <row r="795">
          <cell r="L795" t="str">
            <v>Non-proportional</v>
          </cell>
          <cell r="S795">
            <v>3557.03</v>
          </cell>
          <cell r="X795" t="str">
            <v>Commissions - gross</v>
          </cell>
          <cell r="Y795" t="str">
            <v>FRANCE</v>
          </cell>
        </row>
        <row r="796">
          <cell r="L796" t="str">
            <v>Non-proportional</v>
          </cell>
          <cell r="S796">
            <v>17351.55</v>
          </cell>
          <cell r="X796" t="str">
            <v>Commissions - gross</v>
          </cell>
          <cell r="Y796" t="str">
            <v>UNITED KINGDOM</v>
          </cell>
        </row>
        <row r="797">
          <cell r="L797" t="str">
            <v>Non-proportional</v>
          </cell>
          <cell r="S797">
            <v>1532.92</v>
          </cell>
          <cell r="X797" t="str">
            <v>Commissions - gross</v>
          </cell>
          <cell r="Y797" t="str">
            <v>ITALY</v>
          </cell>
        </row>
        <row r="798">
          <cell r="L798" t="str">
            <v>Non-proportional</v>
          </cell>
          <cell r="S798">
            <v>112.23</v>
          </cell>
          <cell r="X798" t="str">
            <v>Commissions - gross</v>
          </cell>
          <cell r="Y798" t="str">
            <v>ITALY</v>
          </cell>
        </row>
        <row r="799">
          <cell r="L799" t="str">
            <v>Non-proportional</v>
          </cell>
          <cell r="S799">
            <v>1760.9</v>
          </cell>
          <cell r="X799" t="str">
            <v>Commissions - gross</v>
          </cell>
          <cell r="Y799" t="str">
            <v>AUSTRIA</v>
          </cell>
        </row>
        <row r="800">
          <cell r="L800" t="str">
            <v>Non-proportional</v>
          </cell>
          <cell r="S800">
            <v>625.04999999999995</v>
          </cell>
          <cell r="X800" t="str">
            <v>Commissions - gross</v>
          </cell>
          <cell r="Y800" t="str">
            <v>GERMANY</v>
          </cell>
        </row>
        <row r="801">
          <cell r="L801" t="str">
            <v>Non-proportional</v>
          </cell>
          <cell r="S801">
            <v>2168.41</v>
          </cell>
          <cell r="X801" t="str">
            <v>Commissions - gross</v>
          </cell>
          <cell r="Y801" t="str">
            <v>UNITED KINGDOM</v>
          </cell>
        </row>
        <row r="802">
          <cell r="L802" t="str">
            <v>Non-proportional</v>
          </cell>
          <cell r="S802">
            <v>1992.02</v>
          </cell>
          <cell r="X802" t="str">
            <v>Commissions - gross</v>
          </cell>
          <cell r="Y802" t="str">
            <v>FRANCE</v>
          </cell>
        </row>
        <row r="803">
          <cell r="L803" t="str">
            <v>Non-proportional</v>
          </cell>
          <cell r="S803">
            <v>1256.94</v>
          </cell>
          <cell r="X803" t="str">
            <v>Commissions - gross</v>
          </cell>
          <cell r="Y803" t="str">
            <v>UNITED KINGDOM</v>
          </cell>
        </row>
        <row r="804">
          <cell r="L804" t="str">
            <v>Non-proportional</v>
          </cell>
          <cell r="S804">
            <v>4099.7299999999996</v>
          </cell>
          <cell r="X804" t="str">
            <v>Commissions - gross</v>
          </cell>
          <cell r="Y804" t="str">
            <v>UNITED KINGDOM</v>
          </cell>
        </row>
        <row r="805">
          <cell r="L805" t="str">
            <v>Non-proportional</v>
          </cell>
          <cell r="S805">
            <v>552.71</v>
          </cell>
          <cell r="X805" t="str">
            <v>Commissions - gross</v>
          </cell>
          <cell r="Y805" t="str">
            <v>GERMANY</v>
          </cell>
        </row>
        <row r="806">
          <cell r="L806" t="str">
            <v>Non-proportional</v>
          </cell>
          <cell r="S806">
            <v>1.1299999999999999</v>
          </cell>
          <cell r="X806" t="str">
            <v>Commissions - gross</v>
          </cell>
          <cell r="Y806" t="str">
            <v>JAPAN</v>
          </cell>
        </row>
        <row r="807">
          <cell r="L807" t="str">
            <v>Non-proportional</v>
          </cell>
          <cell r="S807">
            <v>75</v>
          </cell>
          <cell r="X807" t="str">
            <v>Commissions - gross</v>
          </cell>
          <cell r="Y807" t="str">
            <v>GERMANY</v>
          </cell>
        </row>
        <row r="808">
          <cell r="L808" t="str">
            <v>Non-proportional</v>
          </cell>
          <cell r="S808">
            <v>-0.38</v>
          </cell>
          <cell r="X808" t="str">
            <v>Commissions - gross</v>
          </cell>
          <cell r="Y808" t="str">
            <v>DENMARK</v>
          </cell>
        </row>
        <row r="809">
          <cell r="L809" t="str">
            <v>Non-proportional</v>
          </cell>
          <cell r="S809">
            <v>13122.71</v>
          </cell>
          <cell r="X809" t="str">
            <v>Commissions - gross</v>
          </cell>
          <cell r="Y809" t="str">
            <v>UNITED KINGDOM</v>
          </cell>
        </row>
        <row r="810">
          <cell r="L810" t="str">
            <v>Non-proportional</v>
          </cell>
          <cell r="S810">
            <v>1059.49</v>
          </cell>
          <cell r="X810" t="str">
            <v>Commissions - gross</v>
          </cell>
          <cell r="Y810" t="str">
            <v>GERMANY</v>
          </cell>
        </row>
        <row r="811">
          <cell r="L811" t="str">
            <v>Non-proportional</v>
          </cell>
          <cell r="S811">
            <v>308.33999999999997</v>
          </cell>
          <cell r="X811" t="str">
            <v>Commissions - gross</v>
          </cell>
          <cell r="Y811" t="str">
            <v>EUROPE</v>
          </cell>
        </row>
        <row r="812">
          <cell r="L812" t="str">
            <v>Non-proportional</v>
          </cell>
          <cell r="S812">
            <v>774.74</v>
          </cell>
          <cell r="X812" t="str">
            <v>Commissions - gross</v>
          </cell>
          <cell r="Y812" t="str">
            <v>GERMANY</v>
          </cell>
        </row>
        <row r="813">
          <cell r="L813" t="str">
            <v>Non-proportional</v>
          </cell>
          <cell r="S813">
            <v>537.41</v>
          </cell>
          <cell r="X813" t="str">
            <v>Commissions - gross</v>
          </cell>
          <cell r="Y813" t="str">
            <v>DENMARK</v>
          </cell>
        </row>
        <row r="814">
          <cell r="L814" t="str">
            <v>Non-proportional</v>
          </cell>
          <cell r="S814">
            <v>498.47</v>
          </cell>
          <cell r="X814" t="str">
            <v>Commissions - gross</v>
          </cell>
          <cell r="Y814" t="str">
            <v>GERMANY</v>
          </cell>
        </row>
        <row r="815">
          <cell r="L815" t="str">
            <v>Non-proportional</v>
          </cell>
          <cell r="S815">
            <v>1460.25</v>
          </cell>
          <cell r="X815" t="str">
            <v>Commissions - gross</v>
          </cell>
          <cell r="Y815" t="str">
            <v>GERMANY</v>
          </cell>
        </row>
        <row r="816">
          <cell r="L816" t="str">
            <v>Non-proportional</v>
          </cell>
          <cell r="S816">
            <v>836.96</v>
          </cell>
          <cell r="X816" t="str">
            <v>Commissions - gross</v>
          </cell>
          <cell r="Y816" t="str">
            <v>GERMANY</v>
          </cell>
        </row>
        <row r="817">
          <cell r="L817" t="str">
            <v>Non-proportional</v>
          </cell>
          <cell r="S817">
            <v>1916.28</v>
          </cell>
          <cell r="X817" t="str">
            <v>Commissions - gross</v>
          </cell>
          <cell r="Y817" t="str">
            <v>UNITED KINGDOM</v>
          </cell>
        </row>
        <row r="818">
          <cell r="L818" t="str">
            <v>Non-proportional</v>
          </cell>
          <cell r="S818">
            <v>2848.39</v>
          </cell>
          <cell r="X818" t="str">
            <v>Commissions - gross</v>
          </cell>
          <cell r="Y818" t="str">
            <v>UNITED KINGDOM</v>
          </cell>
        </row>
        <row r="819">
          <cell r="L819" t="str">
            <v>Non-proportional</v>
          </cell>
          <cell r="S819">
            <v>11205.21</v>
          </cell>
          <cell r="X819" t="str">
            <v>Commissions - gross</v>
          </cell>
          <cell r="Y819" t="str">
            <v>FRANCE</v>
          </cell>
        </row>
        <row r="820">
          <cell r="L820" t="str">
            <v>Non-proportional</v>
          </cell>
          <cell r="S820">
            <v>720.25</v>
          </cell>
          <cell r="X820" t="str">
            <v>Commissions - gross</v>
          </cell>
          <cell r="Y820" t="str">
            <v>DENMARK</v>
          </cell>
        </row>
        <row r="821">
          <cell r="L821" t="str">
            <v>Non-proportional</v>
          </cell>
          <cell r="S821">
            <v>315.35000000000002</v>
          </cell>
          <cell r="X821" t="str">
            <v>Commissions - gross</v>
          </cell>
          <cell r="Y821" t="str">
            <v>ICELAND</v>
          </cell>
        </row>
        <row r="822">
          <cell r="L822" t="str">
            <v>Non-proportional</v>
          </cell>
          <cell r="S822">
            <v>796.5</v>
          </cell>
          <cell r="X822" t="str">
            <v>Commissions - gross</v>
          </cell>
          <cell r="Y822" t="str">
            <v>GERMANY</v>
          </cell>
        </row>
        <row r="823">
          <cell r="L823" t="str">
            <v>Non-proportional</v>
          </cell>
          <cell r="S823">
            <v>730.16</v>
          </cell>
          <cell r="X823" t="str">
            <v>Commissions - gross</v>
          </cell>
          <cell r="Y823" t="str">
            <v>NORWAY</v>
          </cell>
        </row>
        <row r="824">
          <cell r="L824" t="str">
            <v>Non-proportional</v>
          </cell>
          <cell r="S824">
            <v>874.36</v>
          </cell>
          <cell r="X824" t="str">
            <v>Commissions - gross</v>
          </cell>
          <cell r="Y824" t="str">
            <v>EUROPE</v>
          </cell>
        </row>
        <row r="825">
          <cell r="L825" t="str">
            <v>Non-proportional</v>
          </cell>
          <cell r="S825">
            <v>303.16000000000003</v>
          </cell>
          <cell r="X825" t="str">
            <v>Commissions - gross</v>
          </cell>
          <cell r="Y825" t="str">
            <v>SWITZERLAND</v>
          </cell>
        </row>
        <row r="826">
          <cell r="L826" t="str">
            <v>Non-proportional</v>
          </cell>
          <cell r="S826">
            <v>5.48</v>
          </cell>
          <cell r="X826" t="str">
            <v>Commissions - gross</v>
          </cell>
          <cell r="Y826" t="str">
            <v>FRANCE</v>
          </cell>
        </row>
        <row r="827">
          <cell r="L827" t="str">
            <v>Non-proportional</v>
          </cell>
          <cell r="S827">
            <v>920.31</v>
          </cell>
          <cell r="X827" t="str">
            <v>Commissions - gross</v>
          </cell>
          <cell r="Y827" t="str">
            <v>GERMANY</v>
          </cell>
        </row>
        <row r="828">
          <cell r="L828" t="str">
            <v>Non-proportional</v>
          </cell>
          <cell r="S828">
            <v>57.5</v>
          </cell>
          <cell r="X828" t="str">
            <v>Commissions - gross</v>
          </cell>
          <cell r="Y828" t="str">
            <v>ITALY</v>
          </cell>
        </row>
        <row r="829">
          <cell r="L829" t="str">
            <v>Non-proportional</v>
          </cell>
          <cell r="S829">
            <v>6495.3</v>
          </cell>
          <cell r="X829" t="str">
            <v>Commissions - gross</v>
          </cell>
          <cell r="Y829" t="str">
            <v>REPUBLIC OF IRELAND</v>
          </cell>
        </row>
        <row r="830">
          <cell r="L830" t="str">
            <v>Non-proportional</v>
          </cell>
          <cell r="S830">
            <v>1405.83</v>
          </cell>
          <cell r="X830" t="str">
            <v>Commissions - gross</v>
          </cell>
          <cell r="Y830" t="str">
            <v>EIRE</v>
          </cell>
        </row>
        <row r="831">
          <cell r="L831" t="str">
            <v>Non-proportional</v>
          </cell>
          <cell r="S831">
            <v>1120.25</v>
          </cell>
          <cell r="X831" t="str">
            <v>Commissions - gross</v>
          </cell>
          <cell r="Y831" t="str">
            <v>SWITZERLAND</v>
          </cell>
        </row>
        <row r="832">
          <cell r="L832" t="str">
            <v>Non-proportional</v>
          </cell>
          <cell r="S832">
            <v>1612.07</v>
          </cell>
          <cell r="X832" t="str">
            <v>Commissions - gross</v>
          </cell>
          <cell r="Y832" t="str">
            <v>SWITZERLAND</v>
          </cell>
        </row>
        <row r="833">
          <cell r="L833" t="str">
            <v>Non-proportional</v>
          </cell>
          <cell r="S833">
            <v>2041.67</v>
          </cell>
          <cell r="X833" t="str">
            <v>Commissions - gross</v>
          </cell>
          <cell r="Y833" t="str">
            <v>GERMANY</v>
          </cell>
        </row>
        <row r="834">
          <cell r="L834" t="str">
            <v>Non-proportional</v>
          </cell>
          <cell r="S834">
            <v>897.09</v>
          </cell>
          <cell r="X834" t="str">
            <v>Commissions - gross</v>
          </cell>
          <cell r="Y834" t="str">
            <v>GERMANY</v>
          </cell>
        </row>
        <row r="835">
          <cell r="L835" t="str">
            <v>Non-proportional</v>
          </cell>
          <cell r="S835">
            <v>385</v>
          </cell>
          <cell r="X835" t="str">
            <v>Commissions - gross</v>
          </cell>
          <cell r="Y835" t="str">
            <v>GERMANY</v>
          </cell>
        </row>
        <row r="836">
          <cell r="L836" t="str">
            <v>Non-proportional</v>
          </cell>
          <cell r="S836">
            <v>1207.49</v>
          </cell>
          <cell r="X836" t="str">
            <v>Commissions - gross</v>
          </cell>
          <cell r="Y836" t="str">
            <v>FRANCE</v>
          </cell>
        </row>
        <row r="837">
          <cell r="L837" t="str">
            <v>Non-proportional</v>
          </cell>
          <cell r="S837">
            <v>869.69</v>
          </cell>
          <cell r="X837" t="str">
            <v>Commissions - gross</v>
          </cell>
          <cell r="Y837" t="str">
            <v>GERMANY</v>
          </cell>
        </row>
        <row r="838">
          <cell r="L838" t="str">
            <v>Non-proportional</v>
          </cell>
          <cell r="S838">
            <v>-0.28000000000000003</v>
          </cell>
          <cell r="X838" t="str">
            <v>Commissions - gross</v>
          </cell>
          <cell r="Y838" t="str">
            <v>DENMARK</v>
          </cell>
        </row>
        <row r="839">
          <cell r="L839" t="str">
            <v>Non-proportional</v>
          </cell>
          <cell r="S839">
            <v>1870.62</v>
          </cell>
          <cell r="X839" t="str">
            <v>Commissions - gross</v>
          </cell>
          <cell r="Y839" t="str">
            <v>GERMANY</v>
          </cell>
        </row>
        <row r="840">
          <cell r="L840" t="str">
            <v>Non-proportional</v>
          </cell>
          <cell r="S840">
            <v>588.1</v>
          </cell>
          <cell r="X840" t="str">
            <v>Commissions - gross</v>
          </cell>
          <cell r="Y840" t="str">
            <v>SWEDEN</v>
          </cell>
        </row>
        <row r="841">
          <cell r="L841" t="str">
            <v>Non-proportional</v>
          </cell>
          <cell r="S841">
            <v>333.34</v>
          </cell>
          <cell r="X841" t="str">
            <v>Commissions - gross</v>
          </cell>
          <cell r="Y841" t="str">
            <v>ITALY</v>
          </cell>
        </row>
        <row r="842">
          <cell r="L842" t="str">
            <v>Non-proportional</v>
          </cell>
          <cell r="S842">
            <v>1001.51</v>
          </cell>
          <cell r="X842" t="str">
            <v>Commissions - gross</v>
          </cell>
          <cell r="Y842" t="str">
            <v>AUSTRIA</v>
          </cell>
        </row>
        <row r="843">
          <cell r="L843" t="str">
            <v>Non-proportional</v>
          </cell>
          <cell r="S843">
            <v>807.28</v>
          </cell>
          <cell r="X843" t="str">
            <v>Commissions - gross</v>
          </cell>
          <cell r="Y843" t="str">
            <v>GERMANY</v>
          </cell>
        </row>
        <row r="844">
          <cell r="L844" t="str">
            <v>Non-proportional</v>
          </cell>
          <cell r="S844">
            <v>423.8</v>
          </cell>
          <cell r="X844" t="str">
            <v>Commissions - gross</v>
          </cell>
          <cell r="Y844" t="str">
            <v>GERMANY</v>
          </cell>
        </row>
        <row r="845">
          <cell r="L845" t="str">
            <v>Non-proportional</v>
          </cell>
          <cell r="S845">
            <v>326.25</v>
          </cell>
          <cell r="X845" t="str">
            <v>Commissions - gross</v>
          </cell>
          <cell r="Y845" t="str">
            <v>ROMANIA</v>
          </cell>
        </row>
        <row r="846">
          <cell r="L846" t="str">
            <v>Non-proportional</v>
          </cell>
          <cell r="S846">
            <v>1960.61</v>
          </cell>
          <cell r="X846" t="str">
            <v>Commissions - gross</v>
          </cell>
          <cell r="Y846" t="str">
            <v>FRANCE</v>
          </cell>
        </row>
        <row r="847">
          <cell r="L847" t="str">
            <v>Non-proportional</v>
          </cell>
          <cell r="S847">
            <v>314.33</v>
          </cell>
          <cell r="X847" t="str">
            <v>Commissions - gross</v>
          </cell>
          <cell r="Y847" t="str">
            <v>GERMANY</v>
          </cell>
        </row>
        <row r="848">
          <cell r="L848" t="str">
            <v>Non-proportional</v>
          </cell>
          <cell r="S848">
            <v>2385.42</v>
          </cell>
          <cell r="X848" t="str">
            <v>Commissions - gross</v>
          </cell>
          <cell r="Y848" t="str">
            <v>AUSTRIA</v>
          </cell>
        </row>
        <row r="849">
          <cell r="L849" t="str">
            <v>Non-proportional</v>
          </cell>
          <cell r="S849">
            <v>663.84</v>
          </cell>
          <cell r="X849" t="str">
            <v>Commissions - gross</v>
          </cell>
          <cell r="Y849" t="str">
            <v>EUROPE</v>
          </cell>
        </row>
        <row r="850">
          <cell r="L850" t="str">
            <v>Non-proportional</v>
          </cell>
          <cell r="S850">
            <v>-0.94</v>
          </cell>
          <cell r="X850" t="str">
            <v>Commissions - gross</v>
          </cell>
          <cell r="Y850" t="str">
            <v>SWEDEN</v>
          </cell>
        </row>
        <row r="851">
          <cell r="L851" t="str">
            <v>Non-proportional</v>
          </cell>
          <cell r="S851">
            <v>607.61</v>
          </cell>
          <cell r="X851" t="str">
            <v>Commissions - gross</v>
          </cell>
          <cell r="Y851" t="str">
            <v>UNITED KINGDOM</v>
          </cell>
        </row>
        <row r="852">
          <cell r="L852" t="str">
            <v>Non-proportional</v>
          </cell>
          <cell r="S852">
            <v>1131.2</v>
          </cell>
          <cell r="X852" t="str">
            <v>Commissions - gross</v>
          </cell>
          <cell r="Y852" t="str">
            <v>UNITED KINGDOM</v>
          </cell>
        </row>
        <row r="853">
          <cell r="L853" t="str">
            <v>Non-proportional</v>
          </cell>
          <cell r="S853">
            <v>2077.06</v>
          </cell>
          <cell r="X853" t="str">
            <v>Commissions - gross</v>
          </cell>
          <cell r="Y853" t="str">
            <v>FRANCE</v>
          </cell>
        </row>
        <row r="854">
          <cell r="L854" t="str">
            <v>Non-proportional</v>
          </cell>
          <cell r="S854">
            <v>699.8</v>
          </cell>
          <cell r="X854" t="str">
            <v>Commissions - gross</v>
          </cell>
          <cell r="Y854" t="str">
            <v>AUSTRIA</v>
          </cell>
        </row>
        <row r="855">
          <cell r="L855" t="str">
            <v>Non-proportional</v>
          </cell>
          <cell r="S855">
            <v>1583.24</v>
          </cell>
          <cell r="X855" t="str">
            <v>Commissions - gross</v>
          </cell>
          <cell r="Y855" t="str">
            <v>GERMANY</v>
          </cell>
        </row>
        <row r="856">
          <cell r="L856" t="str">
            <v>Non-proportional</v>
          </cell>
          <cell r="S856">
            <v>730.76</v>
          </cell>
          <cell r="X856" t="str">
            <v>Commissions - gross</v>
          </cell>
          <cell r="Y856" t="str">
            <v>FAROE ISLANDS</v>
          </cell>
        </row>
        <row r="857">
          <cell r="L857" t="str">
            <v>Non-proportional</v>
          </cell>
          <cell r="S857">
            <v>329.2</v>
          </cell>
          <cell r="X857" t="str">
            <v>Commissions - gross</v>
          </cell>
          <cell r="Y857" t="str">
            <v>UNITED KINGDOM</v>
          </cell>
        </row>
        <row r="858">
          <cell r="L858" t="str">
            <v>Non-proportional</v>
          </cell>
          <cell r="S858">
            <v>2185.85</v>
          </cell>
          <cell r="X858" t="str">
            <v>Commissions - gross</v>
          </cell>
          <cell r="Y858" t="str">
            <v>SWITZERLAND</v>
          </cell>
        </row>
        <row r="859">
          <cell r="L859" t="str">
            <v>Non-proportional</v>
          </cell>
          <cell r="S859">
            <v>443.98</v>
          </cell>
          <cell r="X859" t="str">
            <v>Commissions - gross</v>
          </cell>
          <cell r="Y859" t="str">
            <v>GERMANY</v>
          </cell>
        </row>
        <row r="860">
          <cell r="L860" t="str">
            <v>Non-proportional</v>
          </cell>
          <cell r="S860">
            <v>1001.09</v>
          </cell>
          <cell r="X860" t="str">
            <v>Commissions - gross</v>
          </cell>
          <cell r="Y860" t="str">
            <v>GERMANY</v>
          </cell>
        </row>
        <row r="861">
          <cell r="L861" t="str">
            <v>Non-proportional</v>
          </cell>
          <cell r="S861">
            <v>457.31</v>
          </cell>
          <cell r="X861" t="str">
            <v>Commissions - gross</v>
          </cell>
          <cell r="Y861" t="str">
            <v>EUROPE</v>
          </cell>
        </row>
        <row r="862">
          <cell r="L862" t="str">
            <v>Non-proportional</v>
          </cell>
          <cell r="S862">
            <v>832.28</v>
          </cell>
          <cell r="X862" t="str">
            <v>Commissions - gross</v>
          </cell>
          <cell r="Y862" t="str">
            <v>GERMANY</v>
          </cell>
        </row>
        <row r="863">
          <cell r="L863" t="str">
            <v>Non-proportional</v>
          </cell>
          <cell r="S863">
            <v>353.58</v>
          </cell>
          <cell r="X863" t="str">
            <v>Commissions - gross</v>
          </cell>
          <cell r="Y863" t="str">
            <v>JAPAN</v>
          </cell>
        </row>
        <row r="864">
          <cell r="L864" t="str">
            <v>Non-proportional</v>
          </cell>
          <cell r="S864">
            <v>690.42</v>
          </cell>
          <cell r="X864" t="str">
            <v>Commissions - gross</v>
          </cell>
          <cell r="Y864" t="str">
            <v>FRANCE</v>
          </cell>
        </row>
        <row r="865">
          <cell r="L865" t="str">
            <v>Non-proportional</v>
          </cell>
          <cell r="S865">
            <v>607.29</v>
          </cell>
          <cell r="X865" t="str">
            <v>Commissions - gross</v>
          </cell>
          <cell r="Y865" t="str">
            <v>DENMARK</v>
          </cell>
        </row>
        <row r="866">
          <cell r="L866" t="str">
            <v>Non-proportional</v>
          </cell>
          <cell r="S866">
            <v>1463.2</v>
          </cell>
          <cell r="X866" t="str">
            <v>Commissions - gross</v>
          </cell>
          <cell r="Y866" t="str">
            <v>GERMANY</v>
          </cell>
        </row>
        <row r="867">
          <cell r="L867" t="str">
            <v>Non-proportional</v>
          </cell>
          <cell r="S867">
            <v>3372.64</v>
          </cell>
          <cell r="X867" t="str">
            <v>Commissions - gross</v>
          </cell>
          <cell r="Y867" t="str">
            <v>FRANCE</v>
          </cell>
        </row>
        <row r="868">
          <cell r="L868" t="str">
            <v>Non-proportional</v>
          </cell>
          <cell r="S868">
            <v>11.78</v>
          </cell>
          <cell r="X868" t="str">
            <v>Commissions - gross</v>
          </cell>
          <cell r="Y868" t="str">
            <v>FRANCE</v>
          </cell>
        </row>
        <row r="869">
          <cell r="L869" t="str">
            <v>Non-proportional</v>
          </cell>
          <cell r="S869">
            <v>5980.81</v>
          </cell>
          <cell r="X869" t="str">
            <v>Commissions - gross</v>
          </cell>
          <cell r="Y869" t="str">
            <v>UNITED KINGDOM</v>
          </cell>
        </row>
        <row r="870">
          <cell r="L870" t="str">
            <v>Non-proportional</v>
          </cell>
          <cell r="S870">
            <v>1187.8399999999999</v>
          </cell>
          <cell r="X870" t="str">
            <v>Commissions - gross</v>
          </cell>
          <cell r="Y870" t="str">
            <v>UNITED KINGDOM</v>
          </cell>
        </row>
        <row r="871">
          <cell r="L871" t="str">
            <v>Non-proportional</v>
          </cell>
          <cell r="S871">
            <v>2693.02</v>
          </cell>
          <cell r="X871" t="str">
            <v>Commissions - gross</v>
          </cell>
          <cell r="Y871" t="str">
            <v>UNITED KINGDOM</v>
          </cell>
        </row>
        <row r="872">
          <cell r="L872" t="str">
            <v>Non-proportional</v>
          </cell>
          <cell r="S872">
            <v>670.22</v>
          </cell>
          <cell r="X872" t="str">
            <v>Commissions - gross</v>
          </cell>
          <cell r="Y872" t="str">
            <v>DENMARK</v>
          </cell>
        </row>
        <row r="873">
          <cell r="L873" t="str">
            <v>Non-proportional</v>
          </cell>
          <cell r="S873">
            <v>546.71</v>
          </cell>
          <cell r="X873" t="str">
            <v>Commissions - gross</v>
          </cell>
          <cell r="Y873" t="str">
            <v>EIRE</v>
          </cell>
        </row>
        <row r="874">
          <cell r="L874" t="str">
            <v>Non-proportional</v>
          </cell>
          <cell r="S874">
            <v>35.17</v>
          </cell>
          <cell r="X874" t="str">
            <v>Commissions - gross</v>
          </cell>
          <cell r="Y874" t="str">
            <v>GERMANY</v>
          </cell>
        </row>
        <row r="875">
          <cell r="L875" t="str">
            <v>Non-proportional</v>
          </cell>
          <cell r="S875">
            <v>-295.08999999999997</v>
          </cell>
          <cell r="X875" t="str">
            <v>Commissions - gross</v>
          </cell>
          <cell r="Y875" t="str">
            <v>DENMARK</v>
          </cell>
        </row>
        <row r="876">
          <cell r="L876" t="str">
            <v>Non-proportional</v>
          </cell>
          <cell r="S876">
            <v>32577.16</v>
          </cell>
          <cell r="X876" t="str">
            <v>Commissions - gross</v>
          </cell>
          <cell r="Y876" t="str">
            <v>UNITED KINGDOM</v>
          </cell>
        </row>
        <row r="877">
          <cell r="L877" t="str">
            <v>Non-proportional</v>
          </cell>
          <cell r="S877">
            <v>794.57</v>
          </cell>
          <cell r="X877" t="str">
            <v>Commissions - gross</v>
          </cell>
          <cell r="Y877" t="str">
            <v>UNITED KINGDOM</v>
          </cell>
        </row>
        <row r="878">
          <cell r="L878" t="str">
            <v>Non-proportional</v>
          </cell>
          <cell r="S878">
            <v>202.38</v>
          </cell>
          <cell r="X878" t="str">
            <v>Commissions - gross</v>
          </cell>
          <cell r="Y878" t="str">
            <v>JAPAN</v>
          </cell>
        </row>
        <row r="879">
          <cell r="L879" t="str">
            <v>Non-proportional</v>
          </cell>
          <cell r="S879">
            <v>2588.63</v>
          </cell>
          <cell r="X879" t="str">
            <v>Commissions - gross</v>
          </cell>
          <cell r="Y879" t="str">
            <v>CZECH REPUBLIC</v>
          </cell>
        </row>
        <row r="880">
          <cell r="L880" t="str">
            <v>Non-proportional</v>
          </cell>
          <cell r="S880">
            <v>110.8</v>
          </cell>
          <cell r="X880" t="str">
            <v>Commissions - gross</v>
          </cell>
          <cell r="Y880" t="str">
            <v>AUSTRIA</v>
          </cell>
        </row>
        <row r="881">
          <cell r="L881" t="str">
            <v>Non-proportional</v>
          </cell>
          <cell r="S881">
            <v>4090.35</v>
          </cell>
          <cell r="X881" t="str">
            <v>Commissions - gross</v>
          </cell>
          <cell r="Y881" t="str">
            <v>GERMANY</v>
          </cell>
        </row>
        <row r="882">
          <cell r="L882" t="str">
            <v>Non-proportional</v>
          </cell>
          <cell r="S882">
            <v>83.77</v>
          </cell>
          <cell r="X882" t="str">
            <v>Commissions - gross</v>
          </cell>
          <cell r="Y882" t="str">
            <v>DENMARK</v>
          </cell>
        </row>
        <row r="883">
          <cell r="L883" t="str">
            <v>Non-proportional</v>
          </cell>
          <cell r="S883">
            <v>271.27</v>
          </cell>
          <cell r="X883" t="str">
            <v>Commissions - gross</v>
          </cell>
          <cell r="Y883" t="str">
            <v>GERMANY</v>
          </cell>
        </row>
        <row r="884">
          <cell r="L884" t="str">
            <v>Non-proportional</v>
          </cell>
          <cell r="S884">
            <v>1639.9</v>
          </cell>
          <cell r="X884" t="str">
            <v>Commissions - gross</v>
          </cell>
          <cell r="Y884" t="str">
            <v>UNITED KINGDOM</v>
          </cell>
        </row>
        <row r="885">
          <cell r="L885" t="str">
            <v>Non-proportional</v>
          </cell>
          <cell r="S885">
            <v>-1.06</v>
          </cell>
          <cell r="X885" t="str">
            <v>Commissions - gross</v>
          </cell>
          <cell r="Y885" t="str">
            <v>SWEDEN</v>
          </cell>
        </row>
        <row r="886">
          <cell r="L886" t="str">
            <v>Non-proportional</v>
          </cell>
          <cell r="S886">
            <v>1106.45</v>
          </cell>
          <cell r="X886" t="str">
            <v>Commissions - gross</v>
          </cell>
          <cell r="Y886" t="str">
            <v>DENMARK</v>
          </cell>
        </row>
        <row r="887">
          <cell r="L887" t="str">
            <v>Non-proportional</v>
          </cell>
          <cell r="S887">
            <v>602.38</v>
          </cell>
          <cell r="X887" t="str">
            <v>Commissions - gross</v>
          </cell>
          <cell r="Y887" t="str">
            <v>NORWAY</v>
          </cell>
        </row>
        <row r="888">
          <cell r="L888" t="str">
            <v>Non-proportional</v>
          </cell>
          <cell r="S888">
            <v>-0.53</v>
          </cell>
          <cell r="X888" t="str">
            <v>Commissions - gross</v>
          </cell>
          <cell r="Y888" t="str">
            <v>SWEDEN</v>
          </cell>
        </row>
        <row r="889">
          <cell r="L889" t="str">
            <v>Non-proportional</v>
          </cell>
          <cell r="S889">
            <v>4038.63</v>
          </cell>
          <cell r="X889" t="str">
            <v>Commissions - gross</v>
          </cell>
          <cell r="Y889" t="str">
            <v>UNITED KINGDOM</v>
          </cell>
        </row>
        <row r="890">
          <cell r="L890" t="str">
            <v>Non-proportional</v>
          </cell>
          <cell r="S890">
            <v>3619.84</v>
          </cell>
          <cell r="X890" t="str">
            <v>Commissions - gross</v>
          </cell>
          <cell r="Y890" t="str">
            <v>UNITED KINGDOM</v>
          </cell>
        </row>
        <row r="891">
          <cell r="L891" t="str">
            <v>Non-proportional</v>
          </cell>
          <cell r="S891">
            <v>765.05</v>
          </cell>
          <cell r="X891" t="str">
            <v>Commissions - gross</v>
          </cell>
          <cell r="Y891" t="str">
            <v>SWITZERLAND</v>
          </cell>
        </row>
        <row r="892">
          <cell r="L892" t="str">
            <v>Non-proportional</v>
          </cell>
          <cell r="S892">
            <v>629.52</v>
          </cell>
          <cell r="X892" t="str">
            <v>Commissions - gross</v>
          </cell>
          <cell r="Y892" t="str">
            <v>SWITZERLAND</v>
          </cell>
        </row>
        <row r="893">
          <cell r="L893" t="str">
            <v>Non-proportional</v>
          </cell>
          <cell r="S893">
            <v>634.28</v>
          </cell>
          <cell r="X893" t="str">
            <v>Commissions - gross</v>
          </cell>
          <cell r="Y893" t="str">
            <v>SWEDEN</v>
          </cell>
        </row>
        <row r="894">
          <cell r="L894" t="str">
            <v>Non-proportional</v>
          </cell>
          <cell r="S894">
            <v>1264.32</v>
          </cell>
          <cell r="X894" t="str">
            <v>Commissions - gross</v>
          </cell>
          <cell r="Y894" t="str">
            <v>UNITED KINGDOM</v>
          </cell>
        </row>
        <row r="895">
          <cell r="L895" t="str">
            <v>Non-proportional</v>
          </cell>
          <cell r="S895">
            <v>1351.15</v>
          </cell>
          <cell r="X895" t="str">
            <v>Commissions - gross</v>
          </cell>
          <cell r="Y895" t="str">
            <v>UNITED KINGDOM</v>
          </cell>
        </row>
        <row r="896">
          <cell r="L896" t="str">
            <v>Non-proportional</v>
          </cell>
          <cell r="S896">
            <v>1020.94</v>
          </cell>
          <cell r="X896" t="str">
            <v>Commissions - gross</v>
          </cell>
          <cell r="Y896" t="str">
            <v>GERMANY</v>
          </cell>
        </row>
        <row r="897">
          <cell r="L897" t="str">
            <v>Non-proportional</v>
          </cell>
          <cell r="S897">
            <v>777.08</v>
          </cell>
          <cell r="X897" t="str">
            <v>Commissions - gross</v>
          </cell>
          <cell r="Y897" t="str">
            <v>FRANCE</v>
          </cell>
        </row>
        <row r="898">
          <cell r="L898" t="str">
            <v>Non-proportional</v>
          </cell>
          <cell r="S898">
            <v>2941.67</v>
          </cell>
          <cell r="X898" t="str">
            <v>Commissions - gross</v>
          </cell>
          <cell r="Y898" t="str">
            <v>EUROPE</v>
          </cell>
        </row>
        <row r="899">
          <cell r="L899" t="str">
            <v>Non-proportional</v>
          </cell>
          <cell r="S899">
            <v>759</v>
          </cell>
          <cell r="X899" t="str">
            <v>Commissions - gross</v>
          </cell>
          <cell r="Y899" t="str">
            <v>GERMANY</v>
          </cell>
        </row>
        <row r="900">
          <cell r="L900" t="str">
            <v>Non-proportional</v>
          </cell>
          <cell r="S900">
            <v>1.83</v>
          </cell>
          <cell r="X900" t="str">
            <v>Commissions - gross</v>
          </cell>
          <cell r="Y900" t="str">
            <v>EUROPE</v>
          </cell>
        </row>
        <row r="901">
          <cell r="L901" t="str">
            <v>Non-proportional</v>
          </cell>
          <cell r="S901">
            <v>1227.49</v>
          </cell>
          <cell r="X901" t="str">
            <v>Commissions - gross</v>
          </cell>
          <cell r="Y901" t="str">
            <v>UNITED KINGDOM</v>
          </cell>
        </row>
        <row r="902">
          <cell r="L902" t="str">
            <v>Non-proportional</v>
          </cell>
          <cell r="S902">
            <v>1354.17</v>
          </cell>
          <cell r="X902" t="str">
            <v>Commissions - gross</v>
          </cell>
          <cell r="Y902" t="str">
            <v>GERMANY</v>
          </cell>
        </row>
        <row r="903">
          <cell r="L903" t="str">
            <v>Non-proportional</v>
          </cell>
          <cell r="S903">
            <v>1130.1600000000001</v>
          </cell>
          <cell r="X903" t="str">
            <v>Commissions - gross</v>
          </cell>
          <cell r="Y903" t="str">
            <v>SWEDEN</v>
          </cell>
        </row>
        <row r="904">
          <cell r="L904" t="str">
            <v>Non-proportional</v>
          </cell>
          <cell r="S904">
            <v>398.7</v>
          </cell>
          <cell r="X904" t="str">
            <v>Commissions - gross</v>
          </cell>
          <cell r="Y904" t="str">
            <v>SWITZERLAND</v>
          </cell>
        </row>
        <row r="905">
          <cell r="L905" t="str">
            <v>Non-proportional</v>
          </cell>
          <cell r="S905">
            <v>112.5</v>
          </cell>
          <cell r="X905" t="str">
            <v>Commissions - gross</v>
          </cell>
          <cell r="Y905" t="str">
            <v>GERMANY</v>
          </cell>
        </row>
        <row r="906">
          <cell r="L906" t="str">
            <v>Non-proportional</v>
          </cell>
          <cell r="S906">
            <v>1339.97</v>
          </cell>
          <cell r="X906" t="str">
            <v>Commissions - gross</v>
          </cell>
          <cell r="Y906" t="str">
            <v>GERMANY</v>
          </cell>
        </row>
        <row r="907">
          <cell r="L907" t="str">
            <v>Non-proportional</v>
          </cell>
          <cell r="S907">
            <v>625</v>
          </cell>
          <cell r="X907" t="str">
            <v>Commissions - gross</v>
          </cell>
          <cell r="Y907" t="str">
            <v>GERMANY</v>
          </cell>
        </row>
        <row r="908">
          <cell r="L908" t="str">
            <v>Non-proportional</v>
          </cell>
          <cell r="S908">
            <v>31.37</v>
          </cell>
          <cell r="X908" t="str">
            <v>Commissions - gross</v>
          </cell>
          <cell r="Y908" t="str">
            <v>DENMARK</v>
          </cell>
        </row>
        <row r="909">
          <cell r="L909" t="str">
            <v>Non-proportional</v>
          </cell>
          <cell r="S909">
            <v>1400.86</v>
          </cell>
          <cell r="X909" t="str">
            <v>Commissions - gross</v>
          </cell>
          <cell r="Y909" t="str">
            <v>GERMANY</v>
          </cell>
        </row>
        <row r="910">
          <cell r="L910" t="str">
            <v>Non-proportional</v>
          </cell>
          <cell r="S910">
            <v>-0.21</v>
          </cell>
          <cell r="X910" t="str">
            <v>Commissions - gross</v>
          </cell>
          <cell r="Y910" t="str">
            <v>SWEDEN</v>
          </cell>
        </row>
        <row r="911">
          <cell r="L911" t="str">
            <v>Non-proportional</v>
          </cell>
          <cell r="S911">
            <v>1208.4100000000001</v>
          </cell>
          <cell r="X911" t="str">
            <v>Commissions - gross</v>
          </cell>
          <cell r="Y911" t="str">
            <v>UNITED KINGDOM</v>
          </cell>
        </row>
        <row r="912">
          <cell r="L912" t="str">
            <v>Non-proportional</v>
          </cell>
          <cell r="S912">
            <v>1611.28</v>
          </cell>
          <cell r="X912" t="str">
            <v>Commissions - gross</v>
          </cell>
          <cell r="Y912" t="str">
            <v>EUROPE</v>
          </cell>
        </row>
        <row r="913">
          <cell r="L913" t="str">
            <v>Non-proportional</v>
          </cell>
          <cell r="S913">
            <v>909.05</v>
          </cell>
          <cell r="X913" t="str">
            <v>Commissions - gross</v>
          </cell>
          <cell r="Y913" t="str">
            <v>UNITED KINGDOM</v>
          </cell>
        </row>
        <row r="914">
          <cell r="L914" t="str">
            <v>Non-proportional</v>
          </cell>
          <cell r="S914">
            <v>1097.48</v>
          </cell>
          <cell r="X914" t="str">
            <v>Commissions - gross</v>
          </cell>
          <cell r="Y914" t="str">
            <v>GERMANY</v>
          </cell>
        </row>
        <row r="915">
          <cell r="L915" t="str">
            <v>Non-proportional</v>
          </cell>
          <cell r="S915">
            <v>5184.72</v>
          </cell>
          <cell r="X915" t="str">
            <v>Commissions - gross</v>
          </cell>
          <cell r="Y915" t="str">
            <v>UNITED KINGDOM</v>
          </cell>
        </row>
        <row r="916">
          <cell r="L916" t="str">
            <v>Non-proportional</v>
          </cell>
          <cell r="S916">
            <v>687.19</v>
          </cell>
          <cell r="X916" t="str">
            <v>Commissions - gross</v>
          </cell>
          <cell r="Y916" t="str">
            <v>GERMANY</v>
          </cell>
        </row>
        <row r="917">
          <cell r="L917" t="str">
            <v>Non-proportional</v>
          </cell>
          <cell r="S917">
            <v>196.73</v>
          </cell>
          <cell r="X917" t="str">
            <v>Commissions - gross</v>
          </cell>
          <cell r="Y917" t="str">
            <v>SWITZERLAND</v>
          </cell>
        </row>
        <row r="918">
          <cell r="L918" t="str">
            <v>Non-proportional</v>
          </cell>
          <cell r="S918">
            <v>812.5</v>
          </cell>
          <cell r="X918" t="str">
            <v>Commissions - gross</v>
          </cell>
          <cell r="Y918" t="str">
            <v>CZECH REPUBLIC</v>
          </cell>
        </row>
        <row r="919">
          <cell r="L919" t="str">
            <v>Non-proportional</v>
          </cell>
          <cell r="S919">
            <v>4375</v>
          </cell>
          <cell r="X919" t="str">
            <v>Commissions - gross</v>
          </cell>
          <cell r="Y919" t="str">
            <v>GERMANY</v>
          </cell>
        </row>
        <row r="920">
          <cell r="L920" t="str">
            <v>Non-proportional</v>
          </cell>
          <cell r="S920">
            <v>8199.51</v>
          </cell>
          <cell r="X920" t="str">
            <v>Commissions - gross</v>
          </cell>
          <cell r="Y920" t="str">
            <v>UNITED KINGDOM</v>
          </cell>
        </row>
        <row r="921">
          <cell r="L921" t="str">
            <v>Non-proportional</v>
          </cell>
          <cell r="S921">
            <v>-0.23</v>
          </cell>
          <cell r="X921" t="str">
            <v>Commissions - gross</v>
          </cell>
          <cell r="Y921" t="str">
            <v>DENMARK</v>
          </cell>
        </row>
        <row r="922">
          <cell r="L922" t="str">
            <v>Non-proportional</v>
          </cell>
          <cell r="S922">
            <v>1897.38</v>
          </cell>
          <cell r="X922" t="str">
            <v>Commissions - gross</v>
          </cell>
          <cell r="Y922" t="str">
            <v>AUSTRIA</v>
          </cell>
        </row>
        <row r="923">
          <cell r="L923" t="str">
            <v>Non-proportional</v>
          </cell>
          <cell r="S923">
            <v>558.63</v>
          </cell>
          <cell r="X923" t="str">
            <v>Commissions - gross</v>
          </cell>
          <cell r="Y923" t="str">
            <v>GERMANY</v>
          </cell>
        </row>
        <row r="924">
          <cell r="L924" t="str">
            <v>Non-proportional</v>
          </cell>
          <cell r="S924">
            <v>536.25</v>
          </cell>
          <cell r="X924" t="str">
            <v>Commissions - gross</v>
          </cell>
          <cell r="Y924" t="str">
            <v>GERMANY</v>
          </cell>
        </row>
        <row r="925">
          <cell r="L925" t="str">
            <v>Non-proportional</v>
          </cell>
          <cell r="S925">
            <v>108.9</v>
          </cell>
          <cell r="X925" t="str">
            <v>Commissions - gross</v>
          </cell>
          <cell r="Y925" t="str">
            <v>DENMARK</v>
          </cell>
        </row>
        <row r="926">
          <cell r="L926" t="str">
            <v>Non-proportional</v>
          </cell>
          <cell r="S926">
            <v>1173.79</v>
          </cell>
          <cell r="X926" t="str">
            <v>Commissions - gross</v>
          </cell>
          <cell r="Y926" t="str">
            <v>UNITED KINGDOM</v>
          </cell>
        </row>
        <row r="927">
          <cell r="L927" t="str">
            <v>Non-proportional</v>
          </cell>
          <cell r="S927">
            <v>331.31</v>
          </cell>
          <cell r="X927" t="str">
            <v>Commissions - gross</v>
          </cell>
          <cell r="Y927" t="str">
            <v>EUROPE</v>
          </cell>
        </row>
        <row r="928">
          <cell r="L928" t="str">
            <v>Non-proportional</v>
          </cell>
          <cell r="S928">
            <v>4402.05</v>
          </cell>
          <cell r="X928" t="str">
            <v>Commissions - gross</v>
          </cell>
          <cell r="Y928" t="str">
            <v>UNITED KINGDOM</v>
          </cell>
        </row>
        <row r="929">
          <cell r="L929" t="str">
            <v>Non-proportional</v>
          </cell>
          <cell r="S929">
            <v>633.51</v>
          </cell>
          <cell r="X929" t="str">
            <v>Commissions - gross</v>
          </cell>
          <cell r="Y929" t="str">
            <v>GERMANY</v>
          </cell>
        </row>
        <row r="930">
          <cell r="L930" t="str">
            <v>Non-proportional</v>
          </cell>
          <cell r="S930">
            <v>7566.43</v>
          </cell>
          <cell r="X930" t="str">
            <v>Commissions - gross</v>
          </cell>
          <cell r="Y930" t="str">
            <v>UNITED KINGDOM</v>
          </cell>
        </row>
        <row r="931">
          <cell r="L931" t="str">
            <v>Non-proportional</v>
          </cell>
          <cell r="S931">
            <v>991.79</v>
          </cell>
          <cell r="X931" t="str">
            <v>Commissions - gross</v>
          </cell>
          <cell r="Y931" t="str">
            <v>CZECH REPUBLIC</v>
          </cell>
        </row>
        <row r="932">
          <cell r="L932" t="str">
            <v>Non-proportional</v>
          </cell>
          <cell r="S932">
            <v>34.5</v>
          </cell>
          <cell r="X932" t="str">
            <v>Commissions - gross</v>
          </cell>
          <cell r="Y932" t="str">
            <v>ITALY</v>
          </cell>
        </row>
        <row r="933">
          <cell r="L933" t="str">
            <v>Non-proportional</v>
          </cell>
          <cell r="S933">
            <v>645.83000000000004</v>
          </cell>
          <cell r="X933" t="str">
            <v>Commissions - gross</v>
          </cell>
          <cell r="Y933" t="str">
            <v>AUSTRIA</v>
          </cell>
        </row>
        <row r="934">
          <cell r="L934" t="str">
            <v>Non-proportional</v>
          </cell>
          <cell r="S934">
            <v>2439.6</v>
          </cell>
          <cell r="X934" t="str">
            <v>Commissions - gross</v>
          </cell>
          <cell r="Y934" t="str">
            <v>GERMANY</v>
          </cell>
        </row>
        <row r="935">
          <cell r="L935" t="str">
            <v>Non-proportional</v>
          </cell>
          <cell r="S935">
            <v>549.32000000000005</v>
          </cell>
          <cell r="X935" t="str">
            <v>Commissions - gross</v>
          </cell>
          <cell r="Y935" t="str">
            <v>FRANCE</v>
          </cell>
        </row>
        <row r="936">
          <cell r="L936" t="str">
            <v>Non-proportional</v>
          </cell>
          <cell r="S936">
            <v>208.33</v>
          </cell>
          <cell r="X936" t="str">
            <v>Commissions - gross</v>
          </cell>
          <cell r="Y936" t="str">
            <v>GERMANY</v>
          </cell>
        </row>
        <row r="937">
          <cell r="L937" t="str">
            <v>Non-proportional</v>
          </cell>
          <cell r="S937">
            <v>140.16999999999999</v>
          </cell>
          <cell r="X937" t="str">
            <v>Commissions - gross</v>
          </cell>
          <cell r="Y937" t="str">
            <v>GERMANY</v>
          </cell>
        </row>
        <row r="938">
          <cell r="L938" t="str">
            <v>Non-proportional</v>
          </cell>
          <cell r="S938">
            <v>8.33</v>
          </cell>
          <cell r="X938" t="str">
            <v>Commissions - gross</v>
          </cell>
          <cell r="Y938" t="str">
            <v>FRANCE</v>
          </cell>
        </row>
        <row r="939">
          <cell r="L939" t="str">
            <v>Non-proportional</v>
          </cell>
          <cell r="S939">
            <v>351.2</v>
          </cell>
          <cell r="X939" t="str">
            <v>Commissions - gross</v>
          </cell>
          <cell r="Y939" t="str">
            <v>SPAIN</v>
          </cell>
        </row>
        <row r="940">
          <cell r="L940" t="str">
            <v>Non-proportional</v>
          </cell>
          <cell r="S940">
            <v>2085.83</v>
          </cell>
          <cell r="X940" t="str">
            <v>Commissions - gross</v>
          </cell>
          <cell r="Y940" t="str">
            <v>UNITED KINGDOM</v>
          </cell>
        </row>
        <row r="941">
          <cell r="L941" t="str">
            <v>Non-proportional</v>
          </cell>
          <cell r="S941">
            <v>4418.99</v>
          </cell>
          <cell r="X941" t="str">
            <v>Commissions - gross</v>
          </cell>
          <cell r="Y941" t="str">
            <v>UNITED KINGDOM</v>
          </cell>
        </row>
        <row r="942">
          <cell r="L942" t="str">
            <v>Non-proportional</v>
          </cell>
          <cell r="S942">
            <v>1890</v>
          </cell>
          <cell r="X942" t="str">
            <v>Commissions - gross</v>
          </cell>
          <cell r="Y942" t="str">
            <v>ROMANIA</v>
          </cell>
        </row>
        <row r="943">
          <cell r="L943" t="str">
            <v>Non-proportional</v>
          </cell>
          <cell r="S943">
            <v>641.66999999999996</v>
          </cell>
          <cell r="X943" t="str">
            <v>Commissions - gross</v>
          </cell>
          <cell r="Y943" t="str">
            <v>GERMANY</v>
          </cell>
        </row>
        <row r="944">
          <cell r="L944" t="str">
            <v>Non-proportional</v>
          </cell>
          <cell r="S944">
            <v>1880.73</v>
          </cell>
          <cell r="X944" t="str">
            <v>Commissions - gross</v>
          </cell>
          <cell r="Y944" t="str">
            <v>REPUBLIC OF IRELAND</v>
          </cell>
        </row>
        <row r="945">
          <cell r="L945" t="str">
            <v>Non-proportional</v>
          </cell>
          <cell r="S945">
            <v>559.59</v>
          </cell>
          <cell r="X945" t="str">
            <v>Commissions - gross</v>
          </cell>
          <cell r="Y945" t="str">
            <v>UNITED KINGDOM</v>
          </cell>
        </row>
        <row r="946">
          <cell r="L946" t="str">
            <v>Non-proportional</v>
          </cell>
          <cell r="S946">
            <v>5806.83</v>
          </cell>
          <cell r="X946" t="str">
            <v>Commissions - gross</v>
          </cell>
          <cell r="Y946" t="str">
            <v>UNITED KINGDOM</v>
          </cell>
        </row>
        <row r="947">
          <cell r="L947" t="str">
            <v>Non-proportional</v>
          </cell>
          <cell r="S947">
            <v>5044.29</v>
          </cell>
          <cell r="X947" t="str">
            <v>Commissions - gross</v>
          </cell>
          <cell r="Y947" t="str">
            <v>UNITED KINGDOM</v>
          </cell>
        </row>
        <row r="948">
          <cell r="L948" t="str">
            <v>Non-proportional</v>
          </cell>
          <cell r="S948">
            <v>775.68</v>
          </cell>
          <cell r="X948" t="str">
            <v>Commissions - gross</v>
          </cell>
          <cell r="Y948" t="str">
            <v>NORWAY</v>
          </cell>
        </row>
        <row r="949">
          <cell r="L949" t="str">
            <v>Non-proportional</v>
          </cell>
          <cell r="S949">
            <v>2092.4899999999998</v>
          </cell>
          <cell r="X949" t="str">
            <v>Commissions - gross</v>
          </cell>
          <cell r="Y949" t="str">
            <v>FRANCE</v>
          </cell>
        </row>
        <row r="950">
          <cell r="L950" t="str">
            <v>Non-proportional</v>
          </cell>
          <cell r="S950">
            <v>759</v>
          </cell>
          <cell r="X950" t="str">
            <v>Commissions - gross</v>
          </cell>
          <cell r="Y950" t="str">
            <v>GERMANY</v>
          </cell>
        </row>
        <row r="951">
          <cell r="L951" t="str">
            <v>Non-proportional</v>
          </cell>
          <cell r="S951">
            <v>343.7</v>
          </cell>
          <cell r="X951" t="str">
            <v>Commissions - gross</v>
          </cell>
          <cell r="Y951" t="str">
            <v>EUROPE</v>
          </cell>
        </row>
        <row r="952">
          <cell r="L952" t="str">
            <v>Non-proportional</v>
          </cell>
          <cell r="S952">
            <v>402.34</v>
          </cell>
          <cell r="X952" t="str">
            <v>Commissions - gross</v>
          </cell>
          <cell r="Y952" t="str">
            <v>NORWAY</v>
          </cell>
        </row>
        <row r="953">
          <cell r="L953" t="str">
            <v>Non-proportional</v>
          </cell>
          <cell r="S953">
            <v>2070.71</v>
          </cell>
          <cell r="X953" t="str">
            <v>Commissions - gross</v>
          </cell>
          <cell r="Y953" t="str">
            <v>EUROPE</v>
          </cell>
        </row>
        <row r="954">
          <cell r="L954" t="str">
            <v>Non-proportional</v>
          </cell>
          <cell r="S954">
            <v>4276.1899999999996</v>
          </cell>
          <cell r="X954" t="str">
            <v>Commissions - gross</v>
          </cell>
          <cell r="Y954" t="str">
            <v>UNITED KINGDOM</v>
          </cell>
        </row>
        <row r="955">
          <cell r="L955" t="str">
            <v>Non-proportional</v>
          </cell>
          <cell r="S955">
            <v>-0.35</v>
          </cell>
          <cell r="X955" t="str">
            <v>Commissions - gross</v>
          </cell>
          <cell r="Y955" t="str">
            <v>DENMARK</v>
          </cell>
        </row>
        <row r="956">
          <cell r="L956" t="str">
            <v>Non-proportional</v>
          </cell>
          <cell r="S956">
            <v>938.22</v>
          </cell>
          <cell r="X956" t="str">
            <v>Commissions - gross</v>
          </cell>
          <cell r="Y956" t="str">
            <v>UNITED KINGDOM</v>
          </cell>
        </row>
        <row r="957">
          <cell r="L957" t="str">
            <v>Non-proportional</v>
          </cell>
          <cell r="S957">
            <v>411.21</v>
          </cell>
          <cell r="X957" t="str">
            <v>Commissions - gross</v>
          </cell>
          <cell r="Y957" t="str">
            <v>AUSTRIA</v>
          </cell>
        </row>
        <row r="958">
          <cell r="L958" t="str">
            <v>Non-proportional</v>
          </cell>
          <cell r="S958">
            <v>2085.3000000000002</v>
          </cell>
          <cell r="X958" t="str">
            <v>Commissions - gross</v>
          </cell>
          <cell r="Y958" t="str">
            <v>SWITZERLAND</v>
          </cell>
        </row>
        <row r="959">
          <cell r="L959" t="str">
            <v>Non-proportional</v>
          </cell>
          <cell r="S959">
            <v>13529.62</v>
          </cell>
          <cell r="X959" t="str">
            <v>Commissions - gross</v>
          </cell>
          <cell r="Y959" t="str">
            <v>UNITED KINGDOM</v>
          </cell>
        </row>
        <row r="960">
          <cell r="L960" t="str">
            <v>Non-proportional</v>
          </cell>
          <cell r="S960">
            <v>54.51</v>
          </cell>
          <cell r="X960" t="str">
            <v>Commissions - gross</v>
          </cell>
          <cell r="Y960" t="str">
            <v>NORWAY</v>
          </cell>
        </row>
        <row r="961">
          <cell r="L961" t="str">
            <v>Non-proportional</v>
          </cell>
          <cell r="S961">
            <v>78.180000000000007</v>
          </cell>
          <cell r="X961" t="str">
            <v>Commissions - gross</v>
          </cell>
          <cell r="Y961" t="str">
            <v>DENMARK</v>
          </cell>
        </row>
        <row r="962">
          <cell r="L962" t="str">
            <v>Non-proportional</v>
          </cell>
          <cell r="S962">
            <v>250.06</v>
          </cell>
          <cell r="X962" t="str">
            <v>Commissions - gross</v>
          </cell>
          <cell r="Y962" t="str">
            <v>GERMANY</v>
          </cell>
        </row>
        <row r="963">
          <cell r="L963" t="str">
            <v>Non-proportional</v>
          </cell>
          <cell r="S963">
            <v>32.15</v>
          </cell>
          <cell r="X963" t="str">
            <v>Commissions - gross</v>
          </cell>
          <cell r="Y963" t="str">
            <v>FRANCE</v>
          </cell>
        </row>
        <row r="964">
          <cell r="L964" t="str">
            <v>Non-proportional</v>
          </cell>
          <cell r="S964">
            <v>1.62</v>
          </cell>
          <cell r="X964" t="str">
            <v>Commissions - gross</v>
          </cell>
          <cell r="Y964" t="str">
            <v>NORWAY</v>
          </cell>
        </row>
        <row r="965">
          <cell r="L965" t="str">
            <v>Non-proportional</v>
          </cell>
          <cell r="S965">
            <v>1228.56</v>
          </cell>
          <cell r="X965" t="str">
            <v>Commissions - gross</v>
          </cell>
          <cell r="Y965" t="str">
            <v>DENMARK</v>
          </cell>
        </row>
        <row r="966">
          <cell r="L966" t="str">
            <v>Non-proportional</v>
          </cell>
          <cell r="S966">
            <v>760.42</v>
          </cell>
          <cell r="X966" t="str">
            <v>Commissions - gross</v>
          </cell>
          <cell r="Y966" t="str">
            <v>GERMANY</v>
          </cell>
        </row>
        <row r="967">
          <cell r="L967" t="str">
            <v>Non-proportional</v>
          </cell>
          <cell r="S967">
            <v>940.7</v>
          </cell>
          <cell r="X967" t="str">
            <v>Commissions - gross</v>
          </cell>
          <cell r="Y967" t="str">
            <v>GERMANY</v>
          </cell>
        </row>
        <row r="968">
          <cell r="L968" t="str">
            <v>Non-proportional</v>
          </cell>
          <cell r="S968">
            <v>750.16</v>
          </cell>
          <cell r="X968" t="str">
            <v>Commissions - gross</v>
          </cell>
          <cell r="Y968" t="str">
            <v>GERMANY</v>
          </cell>
        </row>
        <row r="969">
          <cell r="L969" t="str">
            <v>Non-proportional</v>
          </cell>
          <cell r="S969">
            <v>5391.51</v>
          </cell>
          <cell r="X969" t="str">
            <v>Commissions - gross</v>
          </cell>
          <cell r="Y969" t="str">
            <v>UNITED KINGDOM</v>
          </cell>
        </row>
        <row r="970">
          <cell r="L970" t="str">
            <v>Non-proportional</v>
          </cell>
          <cell r="S970">
            <v>1664.36</v>
          </cell>
          <cell r="X970" t="str">
            <v>Commissions - gross</v>
          </cell>
          <cell r="Y970" t="str">
            <v>FRANCE</v>
          </cell>
        </row>
        <row r="971">
          <cell r="L971" t="str">
            <v>Non-proportional</v>
          </cell>
          <cell r="S971">
            <v>427.69</v>
          </cell>
          <cell r="X971" t="str">
            <v>Commissions - gross</v>
          </cell>
          <cell r="Y971" t="str">
            <v>GERMANY</v>
          </cell>
        </row>
        <row r="972">
          <cell r="L972" t="str">
            <v>Non-proportional</v>
          </cell>
          <cell r="S972">
            <v>2041.67</v>
          </cell>
          <cell r="X972" t="str">
            <v>Commissions - gross</v>
          </cell>
          <cell r="Y972" t="str">
            <v>GERMANY</v>
          </cell>
        </row>
        <row r="973">
          <cell r="L973" t="str">
            <v>Non-proportional</v>
          </cell>
          <cell r="S973">
            <v>-6589.89</v>
          </cell>
          <cell r="X973" t="str">
            <v>Commissions - gross</v>
          </cell>
          <cell r="Y973" t="str">
            <v>UNITED KINGDOM</v>
          </cell>
        </row>
        <row r="974">
          <cell r="L974" t="str">
            <v>Non-proportional</v>
          </cell>
          <cell r="S974">
            <v>1992.02</v>
          </cell>
          <cell r="X974" t="str">
            <v>Commissions - gross</v>
          </cell>
          <cell r="Y974" t="str">
            <v>FRANCE</v>
          </cell>
        </row>
        <row r="975">
          <cell r="L975" t="str">
            <v>Non-proportional</v>
          </cell>
          <cell r="S975">
            <v>-0.52</v>
          </cell>
          <cell r="X975" t="str">
            <v>Commissions - gross</v>
          </cell>
          <cell r="Y975" t="str">
            <v>SWEDEN</v>
          </cell>
        </row>
        <row r="976">
          <cell r="L976" t="str">
            <v>Non-proportional</v>
          </cell>
          <cell r="S976">
            <v>1001.51</v>
          </cell>
          <cell r="X976" t="str">
            <v>Commissions - gross</v>
          </cell>
          <cell r="Y976" t="str">
            <v>AUSTRIA</v>
          </cell>
        </row>
        <row r="977">
          <cell r="L977" t="str">
            <v>Non-proportional</v>
          </cell>
          <cell r="S977">
            <v>1532.92</v>
          </cell>
          <cell r="X977" t="str">
            <v>Commissions - gross</v>
          </cell>
          <cell r="Y977" t="str">
            <v>ITALY</v>
          </cell>
        </row>
        <row r="978">
          <cell r="L978" t="str">
            <v>Non-proportional</v>
          </cell>
          <cell r="S978">
            <v>1020.94</v>
          </cell>
          <cell r="X978" t="str">
            <v>Commissions - gross</v>
          </cell>
          <cell r="Y978" t="str">
            <v>GERMANY</v>
          </cell>
        </row>
        <row r="979">
          <cell r="L979" t="str">
            <v>Non-proportional</v>
          </cell>
          <cell r="S979">
            <v>11.78</v>
          </cell>
          <cell r="X979" t="str">
            <v>Commissions - gross</v>
          </cell>
          <cell r="Y979" t="str">
            <v>FRANCE</v>
          </cell>
        </row>
        <row r="980">
          <cell r="L980" t="str">
            <v>Non-proportional</v>
          </cell>
          <cell r="S980">
            <v>885.5</v>
          </cell>
          <cell r="X980" t="str">
            <v>Commissions - gross</v>
          </cell>
          <cell r="Y980" t="str">
            <v>GERMANY</v>
          </cell>
        </row>
        <row r="981">
          <cell r="L981" t="str">
            <v>Non-proportional</v>
          </cell>
          <cell r="S981">
            <v>2092.4899999999998</v>
          </cell>
          <cell r="X981" t="str">
            <v>Commissions - gross</v>
          </cell>
          <cell r="Y981" t="str">
            <v>FRANCE</v>
          </cell>
        </row>
        <row r="982">
          <cell r="L982" t="str">
            <v>Non-proportional</v>
          </cell>
          <cell r="S982">
            <v>8064.72</v>
          </cell>
          <cell r="X982" t="str">
            <v>Commissions - gross</v>
          </cell>
          <cell r="Y982" t="str">
            <v>UNITED KINGDOM</v>
          </cell>
        </row>
        <row r="983">
          <cell r="L983" t="str">
            <v>Non-proportional</v>
          </cell>
          <cell r="S983">
            <v>32.15</v>
          </cell>
          <cell r="X983" t="str">
            <v>Commissions - gross</v>
          </cell>
          <cell r="Y983" t="str">
            <v>FRANCE</v>
          </cell>
        </row>
        <row r="984">
          <cell r="L984" t="str">
            <v>Non-proportional</v>
          </cell>
          <cell r="S984">
            <v>641.66999999999996</v>
          </cell>
          <cell r="X984" t="str">
            <v>Commissions - gross</v>
          </cell>
          <cell r="Y984" t="str">
            <v>GERMANY</v>
          </cell>
        </row>
        <row r="985">
          <cell r="L985" t="str">
            <v>Non-proportional</v>
          </cell>
          <cell r="S985">
            <v>17010</v>
          </cell>
          <cell r="X985" t="str">
            <v>Commissions - gross</v>
          </cell>
          <cell r="Y985" t="str">
            <v>ROMANIA</v>
          </cell>
        </row>
        <row r="986">
          <cell r="L986" t="str">
            <v>Non-proportional</v>
          </cell>
          <cell r="S986">
            <v>235.75</v>
          </cell>
          <cell r="X986" t="str">
            <v>Commissions - gross</v>
          </cell>
          <cell r="Y986" t="str">
            <v>GERMANY</v>
          </cell>
        </row>
        <row r="987">
          <cell r="L987" t="str">
            <v>Non-proportional</v>
          </cell>
          <cell r="S987">
            <v>1112.6099999999999</v>
          </cell>
          <cell r="X987" t="str">
            <v>Commissions - gross</v>
          </cell>
          <cell r="Y987" t="str">
            <v>UNITED KINGDOM</v>
          </cell>
        </row>
        <row r="988">
          <cell r="L988" t="str">
            <v>Non-proportional</v>
          </cell>
          <cell r="S988">
            <v>759</v>
          </cell>
          <cell r="X988" t="str">
            <v>Commissions - gross</v>
          </cell>
          <cell r="Y988" t="str">
            <v>GERMANY</v>
          </cell>
        </row>
        <row r="989">
          <cell r="L989" t="str">
            <v>Non-proportional</v>
          </cell>
          <cell r="S989">
            <v>1463.2</v>
          </cell>
          <cell r="X989" t="str">
            <v>Commissions - gross</v>
          </cell>
          <cell r="Y989" t="str">
            <v>GERMANY</v>
          </cell>
        </row>
        <row r="990">
          <cell r="L990" t="str">
            <v>Non-proportional</v>
          </cell>
          <cell r="S990">
            <v>-2610</v>
          </cell>
          <cell r="X990" t="str">
            <v>Commissions - gross</v>
          </cell>
          <cell r="Y990" t="str">
            <v>ROMANIA</v>
          </cell>
        </row>
        <row r="991">
          <cell r="L991" t="str">
            <v>Non-proportional</v>
          </cell>
          <cell r="S991">
            <v>71.84</v>
          </cell>
          <cell r="X991" t="str">
            <v>Commissions - gross</v>
          </cell>
          <cell r="Y991" t="str">
            <v>ITALY</v>
          </cell>
        </row>
        <row r="992">
          <cell r="L992" t="str">
            <v>Non-proportional</v>
          </cell>
          <cell r="S992">
            <v>32041.64</v>
          </cell>
          <cell r="X992" t="str">
            <v>Commissions - gross</v>
          </cell>
          <cell r="Y992" t="str">
            <v>UNITED KINGDOM</v>
          </cell>
        </row>
        <row r="993">
          <cell r="L993" t="str">
            <v>Non-proportional</v>
          </cell>
          <cell r="S993">
            <v>548.41</v>
          </cell>
          <cell r="X993" t="str">
            <v>Commissions - gross</v>
          </cell>
          <cell r="Y993" t="str">
            <v>EUROPE</v>
          </cell>
        </row>
        <row r="994">
          <cell r="L994" t="str">
            <v>Non-proportional</v>
          </cell>
          <cell r="S994">
            <v>552.71</v>
          </cell>
          <cell r="X994" t="str">
            <v>Commissions - gross</v>
          </cell>
          <cell r="Y994" t="str">
            <v>GERMANY</v>
          </cell>
        </row>
        <row r="995">
          <cell r="L995" t="str">
            <v>Non-proportional</v>
          </cell>
          <cell r="S995">
            <v>11205.21</v>
          </cell>
          <cell r="X995" t="str">
            <v>Commissions - gross</v>
          </cell>
          <cell r="Y995" t="str">
            <v>FRANCE</v>
          </cell>
        </row>
        <row r="996">
          <cell r="L996" t="str">
            <v>Non-proportional</v>
          </cell>
          <cell r="S996">
            <v>1880.73</v>
          </cell>
          <cell r="X996" t="str">
            <v>Commissions - gross</v>
          </cell>
          <cell r="Y996" t="str">
            <v>REPUBLIC OF IRELAND</v>
          </cell>
        </row>
        <row r="997">
          <cell r="L997" t="str">
            <v>Non-proportional</v>
          </cell>
          <cell r="S997">
            <v>546.71</v>
          </cell>
          <cell r="X997" t="str">
            <v>Commissions - gross</v>
          </cell>
          <cell r="Y997" t="str">
            <v>EIRE</v>
          </cell>
        </row>
        <row r="998">
          <cell r="L998" t="str">
            <v>Non-proportional</v>
          </cell>
          <cell r="S998">
            <v>2305.9</v>
          </cell>
          <cell r="X998" t="str">
            <v>Commissions - gross</v>
          </cell>
          <cell r="Y998" t="str">
            <v>FRANCE</v>
          </cell>
        </row>
        <row r="999">
          <cell r="L999" t="str">
            <v>Non-proportional</v>
          </cell>
          <cell r="S999">
            <v>57.5</v>
          </cell>
          <cell r="X999" t="str">
            <v>Commissions - gross</v>
          </cell>
          <cell r="Y999" t="str">
            <v>ITALY</v>
          </cell>
        </row>
        <row r="1000">
          <cell r="L1000" t="str">
            <v>Non-proportional</v>
          </cell>
          <cell r="S1000">
            <v>-0.23</v>
          </cell>
          <cell r="X1000" t="str">
            <v>Commissions - gross</v>
          </cell>
          <cell r="Y1000" t="str">
            <v>DENMARK</v>
          </cell>
        </row>
        <row r="1001">
          <cell r="L1001" t="str">
            <v>Non-proportional</v>
          </cell>
          <cell r="S1001">
            <v>7442.04</v>
          </cell>
          <cell r="X1001" t="str">
            <v>Commissions - gross</v>
          </cell>
          <cell r="Y1001" t="str">
            <v>UNITED KINGDOM</v>
          </cell>
        </row>
        <row r="1002">
          <cell r="L1002" t="str">
            <v>Non-proportional</v>
          </cell>
          <cell r="S1002">
            <v>625.04999999999995</v>
          </cell>
          <cell r="X1002" t="str">
            <v>Commissions - gross</v>
          </cell>
          <cell r="Y1002" t="str">
            <v>GERMANY</v>
          </cell>
        </row>
        <row r="1003">
          <cell r="L1003" t="str">
            <v>Non-proportional</v>
          </cell>
          <cell r="S1003">
            <v>5688.02</v>
          </cell>
          <cell r="X1003" t="str">
            <v>Commissions - gross</v>
          </cell>
          <cell r="Y1003" t="str">
            <v>UNITED KINGDOM</v>
          </cell>
        </row>
        <row r="1004">
          <cell r="L1004" t="str">
            <v>Non-proportional</v>
          </cell>
          <cell r="S1004">
            <v>206.53</v>
          </cell>
          <cell r="X1004" t="str">
            <v>Commissions - gross</v>
          </cell>
          <cell r="Y1004" t="str">
            <v>EUROPE</v>
          </cell>
        </row>
        <row r="1005">
          <cell r="L1005" t="str">
            <v>Non-proportional</v>
          </cell>
          <cell r="S1005">
            <v>639.54999999999995</v>
          </cell>
          <cell r="X1005" t="str">
            <v>Commissions - gross</v>
          </cell>
          <cell r="Y1005" t="str">
            <v>SWITZERLAND</v>
          </cell>
        </row>
        <row r="1006">
          <cell r="L1006" t="str">
            <v>Non-proportional</v>
          </cell>
          <cell r="S1006">
            <v>310.73</v>
          </cell>
          <cell r="X1006" t="str">
            <v>Commissions - gross</v>
          </cell>
          <cell r="Y1006" t="str">
            <v>GERMANY</v>
          </cell>
        </row>
        <row r="1007">
          <cell r="L1007" t="str">
            <v>Non-proportional</v>
          </cell>
          <cell r="S1007">
            <v>268.75</v>
          </cell>
          <cell r="X1007" t="str">
            <v>Commissions - gross</v>
          </cell>
          <cell r="Y1007" t="str">
            <v>GERMANY</v>
          </cell>
        </row>
        <row r="1008">
          <cell r="L1008" t="str">
            <v>Non-proportional</v>
          </cell>
          <cell r="S1008">
            <v>-8824.84</v>
          </cell>
          <cell r="X1008" t="str">
            <v>Commissions - gross</v>
          </cell>
          <cell r="Y1008" t="str">
            <v>UNITED KINGDOM</v>
          </cell>
        </row>
        <row r="1009">
          <cell r="L1009" t="str">
            <v>Non-proportional</v>
          </cell>
          <cell r="S1009">
            <v>625</v>
          </cell>
          <cell r="X1009" t="str">
            <v>Commissions - gross</v>
          </cell>
          <cell r="Y1009" t="str">
            <v>GERMANY</v>
          </cell>
        </row>
        <row r="1010">
          <cell r="L1010" t="str">
            <v>Non-proportional</v>
          </cell>
          <cell r="S1010">
            <v>2340.1799999999998</v>
          </cell>
          <cell r="X1010" t="str">
            <v>Commissions - gross</v>
          </cell>
          <cell r="Y1010" t="str">
            <v>GERMANY</v>
          </cell>
        </row>
        <row r="1011">
          <cell r="L1011" t="str">
            <v>Non-proportional</v>
          </cell>
          <cell r="S1011">
            <v>524.5</v>
          </cell>
          <cell r="X1011" t="str">
            <v>Commissions - gross</v>
          </cell>
          <cell r="Y1011" t="str">
            <v>NORWAY</v>
          </cell>
        </row>
        <row r="1012">
          <cell r="L1012" t="str">
            <v>Non-proportional</v>
          </cell>
          <cell r="S1012">
            <v>263.73</v>
          </cell>
          <cell r="X1012" t="str">
            <v>Commissions - gross</v>
          </cell>
          <cell r="Y1012" t="str">
            <v>GERMANY</v>
          </cell>
        </row>
        <row r="1013">
          <cell r="L1013" t="str">
            <v>Non-proportional</v>
          </cell>
          <cell r="S1013">
            <v>-0.41</v>
          </cell>
          <cell r="X1013" t="str">
            <v>Commissions - gross</v>
          </cell>
          <cell r="Y1013" t="str">
            <v>DENMARK</v>
          </cell>
        </row>
        <row r="1014">
          <cell r="L1014" t="str">
            <v>Non-proportional</v>
          </cell>
          <cell r="S1014">
            <v>108.86</v>
          </cell>
          <cell r="X1014" t="str">
            <v>Commissions - gross</v>
          </cell>
          <cell r="Y1014" t="str">
            <v>DENMARK</v>
          </cell>
        </row>
        <row r="1015">
          <cell r="L1015" t="str">
            <v>Non-proportional</v>
          </cell>
          <cell r="S1015">
            <v>2941.67</v>
          </cell>
          <cell r="X1015" t="str">
            <v>Commissions - gross</v>
          </cell>
          <cell r="Y1015" t="str">
            <v>EUROPE</v>
          </cell>
        </row>
        <row r="1016">
          <cell r="L1016" t="str">
            <v>Non-proportional</v>
          </cell>
          <cell r="S1016">
            <v>597.62</v>
          </cell>
          <cell r="X1016" t="str">
            <v>Commissions - gross</v>
          </cell>
          <cell r="Y1016" t="str">
            <v>UNITED KINGDOM</v>
          </cell>
        </row>
        <row r="1017">
          <cell r="L1017" t="str">
            <v>Non-proportional</v>
          </cell>
          <cell r="S1017">
            <v>1.78</v>
          </cell>
          <cell r="X1017" t="str">
            <v>Commissions - gross</v>
          </cell>
          <cell r="Y1017" t="str">
            <v>EUROPE</v>
          </cell>
        </row>
        <row r="1018">
          <cell r="L1018" t="str">
            <v>Non-proportional</v>
          </cell>
          <cell r="S1018">
            <v>1255.53</v>
          </cell>
          <cell r="X1018" t="str">
            <v>Commissions - gross</v>
          </cell>
          <cell r="Y1018" t="str">
            <v>SWEDEN</v>
          </cell>
        </row>
        <row r="1019">
          <cell r="L1019" t="str">
            <v>Non-proportional</v>
          </cell>
          <cell r="S1019">
            <v>1612.95</v>
          </cell>
          <cell r="X1019" t="str">
            <v>Commissions - gross</v>
          </cell>
          <cell r="Y1019" t="str">
            <v>UNITED KINGDOM</v>
          </cell>
        </row>
        <row r="1020">
          <cell r="L1020" t="str">
            <v>Non-proportional</v>
          </cell>
          <cell r="S1020">
            <v>698.06</v>
          </cell>
          <cell r="X1020" t="str">
            <v>Commissions - gross</v>
          </cell>
          <cell r="Y1020" t="str">
            <v>UNITED KINGDOM</v>
          </cell>
        </row>
        <row r="1021">
          <cell r="L1021" t="str">
            <v>Non-proportional</v>
          </cell>
          <cell r="S1021">
            <v>333.34</v>
          </cell>
          <cell r="X1021" t="str">
            <v>Commissions - gross</v>
          </cell>
          <cell r="Y1021" t="str">
            <v>ITALY</v>
          </cell>
        </row>
        <row r="1022">
          <cell r="L1022" t="str">
            <v>Non-proportional</v>
          </cell>
          <cell r="S1022">
            <v>550.39</v>
          </cell>
          <cell r="X1022" t="str">
            <v>Commissions - gross</v>
          </cell>
          <cell r="Y1022" t="str">
            <v>UNITED KINGDOM</v>
          </cell>
        </row>
        <row r="1023">
          <cell r="L1023" t="str">
            <v>Non-proportional</v>
          </cell>
          <cell r="S1023">
            <v>8.33</v>
          </cell>
          <cell r="X1023" t="str">
            <v>Commissions - gross</v>
          </cell>
          <cell r="Y1023" t="str">
            <v>FRANCE</v>
          </cell>
        </row>
        <row r="1024">
          <cell r="L1024" t="str">
            <v>Non-proportional</v>
          </cell>
          <cell r="S1024">
            <v>208.24</v>
          </cell>
          <cell r="X1024" t="str">
            <v>Commissions - gross</v>
          </cell>
          <cell r="Y1024" t="str">
            <v>GERMANY</v>
          </cell>
        </row>
        <row r="1025">
          <cell r="L1025" t="str">
            <v>Non-proportional</v>
          </cell>
          <cell r="S1025">
            <v>796.5</v>
          </cell>
          <cell r="X1025" t="str">
            <v>Commissions - gross</v>
          </cell>
          <cell r="Y1025" t="str">
            <v>GERMANY</v>
          </cell>
        </row>
        <row r="1026">
          <cell r="L1026" t="str">
            <v>Non-proportional</v>
          </cell>
          <cell r="S1026">
            <v>1181.5899999999999</v>
          </cell>
          <cell r="X1026" t="str">
            <v>Commissions - gross</v>
          </cell>
          <cell r="Y1026" t="str">
            <v>GERMANY</v>
          </cell>
        </row>
        <row r="1027">
          <cell r="L1027" t="str">
            <v>Non-proportional</v>
          </cell>
          <cell r="S1027">
            <v>1138.0899999999999</v>
          </cell>
          <cell r="X1027" t="str">
            <v>Commissions - gross</v>
          </cell>
          <cell r="Y1027" t="str">
            <v>SWITZERLAND</v>
          </cell>
        </row>
        <row r="1028">
          <cell r="L1028" t="str">
            <v>Non-proportional</v>
          </cell>
          <cell r="S1028">
            <v>580.66999999999996</v>
          </cell>
          <cell r="X1028" t="str">
            <v>Commissions - gross</v>
          </cell>
          <cell r="Y1028" t="str">
            <v>DENMARK</v>
          </cell>
        </row>
        <row r="1029">
          <cell r="L1029" t="str">
            <v>Non-proportional</v>
          </cell>
          <cell r="S1029">
            <v>-15120</v>
          </cell>
          <cell r="X1029" t="str">
            <v>Commissions - gross</v>
          </cell>
          <cell r="Y1029" t="str">
            <v>ROMANIA</v>
          </cell>
        </row>
        <row r="1030">
          <cell r="L1030" t="str">
            <v>Non-proportional</v>
          </cell>
          <cell r="S1030">
            <v>781.51</v>
          </cell>
          <cell r="X1030" t="str">
            <v>Commissions - gross</v>
          </cell>
          <cell r="Y1030" t="str">
            <v>UNITED KINGDOM</v>
          </cell>
        </row>
        <row r="1031">
          <cell r="L1031" t="str">
            <v>Non-proportional</v>
          </cell>
          <cell r="S1031">
            <v>-6667.43</v>
          </cell>
          <cell r="X1031" t="str">
            <v>Commissions - gross</v>
          </cell>
          <cell r="Y1031" t="str">
            <v>UNITED KINGDOM</v>
          </cell>
        </row>
        <row r="1032">
          <cell r="L1032" t="str">
            <v>Non-proportional</v>
          </cell>
          <cell r="S1032">
            <v>-1.58</v>
          </cell>
          <cell r="X1032" t="str">
            <v>Commissions - gross</v>
          </cell>
          <cell r="Y1032" t="str">
            <v>SWEDEN</v>
          </cell>
        </row>
        <row r="1033">
          <cell r="L1033" t="str">
            <v>Non-proportional</v>
          </cell>
          <cell r="S1033">
            <v>897.06</v>
          </cell>
          <cell r="X1033" t="str">
            <v>Commissions - gross</v>
          </cell>
          <cell r="Y1033" t="str">
            <v>GERMANY</v>
          </cell>
        </row>
        <row r="1034">
          <cell r="L1034" t="str">
            <v>Non-proportional</v>
          </cell>
          <cell r="S1034">
            <v>720.01</v>
          </cell>
          <cell r="X1034" t="str">
            <v>Commissions - gross</v>
          </cell>
          <cell r="Y1034" t="str">
            <v>DENMARK</v>
          </cell>
        </row>
        <row r="1035">
          <cell r="L1035" t="str">
            <v>Non-proportional</v>
          </cell>
          <cell r="S1035">
            <v>1498.95</v>
          </cell>
          <cell r="X1035" t="str">
            <v>Commissions - gross</v>
          </cell>
          <cell r="Y1035" t="str">
            <v>SWITZERLAND</v>
          </cell>
        </row>
        <row r="1036">
          <cell r="L1036" t="str">
            <v>Non-proportional</v>
          </cell>
          <cell r="S1036">
            <v>940.7</v>
          </cell>
          <cell r="X1036" t="str">
            <v>Commissions - gross</v>
          </cell>
          <cell r="Y1036" t="str">
            <v>GERMANY</v>
          </cell>
        </row>
        <row r="1037">
          <cell r="L1037" t="str">
            <v>Non-proportional</v>
          </cell>
          <cell r="S1037">
            <v>5302.88</v>
          </cell>
          <cell r="X1037" t="str">
            <v>Commissions - gross</v>
          </cell>
          <cell r="Y1037" t="str">
            <v>UNITED KINGDOM</v>
          </cell>
        </row>
        <row r="1038">
          <cell r="L1038" t="str">
            <v>Non-proportional</v>
          </cell>
          <cell r="S1038">
            <v>750.03</v>
          </cell>
          <cell r="X1038" t="str">
            <v>Commissions - gross</v>
          </cell>
          <cell r="Y1038" t="str">
            <v>NORWAY</v>
          </cell>
        </row>
        <row r="1039">
          <cell r="L1039" t="str">
            <v>Non-proportional</v>
          </cell>
          <cell r="S1039">
            <v>4961.37</v>
          </cell>
          <cell r="X1039" t="str">
            <v>Commissions - gross</v>
          </cell>
          <cell r="Y1039" t="str">
            <v>UNITED KINGDOM</v>
          </cell>
        </row>
        <row r="1040">
          <cell r="L1040" t="str">
            <v>Non-proportional</v>
          </cell>
          <cell r="S1040">
            <v>-2932.3</v>
          </cell>
          <cell r="X1040" t="str">
            <v>Commissions - gross</v>
          </cell>
          <cell r="Y1040" t="str">
            <v>UNITED KINGDOM</v>
          </cell>
        </row>
        <row r="1041">
          <cell r="L1041" t="str">
            <v>Non-proportional</v>
          </cell>
          <cell r="S1041">
            <v>1182.55</v>
          </cell>
          <cell r="X1041" t="str">
            <v>Commissions - gross</v>
          </cell>
          <cell r="Y1041" t="str">
            <v>AUSTRIA</v>
          </cell>
        </row>
        <row r="1042">
          <cell r="L1042" t="str">
            <v>Non-proportional</v>
          </cell>
          <cell r="S1042">
            <v>1664.36</v>
          </cell>
          <cell r="X1042" t="str">
            <v>Commissions - gross</v>
          </cell>
          <cell r="Y1042" t="str">
            <v>FRANCE</v>
          </cell>
        </row>
        <row r="1043">
          <cell r="L1043" t="str">
            <v>Non-proportional</v>
          </cell>
          <cell r="S1043">
            <v>332.98</v>
          </cell>
          <cell r="X1043" t="str">
            <v>Commissions - gross</v>
          </cell>
          <cell r="Y1043" t="str">
            <v>GERMANY</v>
          </cell>
        </row>
        <row r="1044">
          <cell r="L1044" t="str">
            <v>Non-proportional</v>
          </cell>
          <cell r="S1044">
            <v>1118.6500000000001</v>
          </cell>
          <cell r="X1044" t="str">
            <v>Commissions - gross</v>
          </cell>
          <cell r="Y1044" t="str">
            <v>SWEDEN</v>
          </cell>
        </row>
        <row r="1045">
          <cell r="L1045" t="str">
            <v>Non-proportional</v>
          </cell>
          <cell r="S1045">
            <v>-2358.42</v>
          </cell>
          <cell r="X1045" t="str">
            <v>Commissions - gross</v>
          </cell>
          <cell r="Y1045" t="str">
            <v>JAPAN</v>
          </cell>
        </row>
        <row r="1046">
          <cell r="L1046" t="str">
            <v>Non-proportional</v>
          </cell>
          <cell r="S1046">
            <v>1328.05</v>
          </cell>
          <cell r="X1046" t="str">
            <v>Commissions - gross</v>
          </cell>
          <cell r="Y1046" t="str">
            <v>UNITED KINGDOM</v>
          </cell>
        </row>
        <row r="1047">
          <cell r="L1047" t="str">
            <v>Non-proportional</v>
          </cell>
          <cell r="S1047">
            <v>498.47</v>
          </cell>
          <cell r="X1047" t="str">
            <v>Commissions - gross</v>
          </cell>
          <cell r="Y1047" t="str">
            <v>GERMANY</v>
          </cell>
        </row>
        <row r="1048">
          <cell r="L1048" t="str">
            <v>Non-proportional</v>
          </cell>
          <cell r="S1048">
            <v>4252.59</v>
          </cell>
          <cell r="X1048" t="str">
            <v>Commissions - gross</v>
          </cell>
          <cell r="Y1048" t="str">
            <v>UNITED KINGDOM</v>
          </cell>
        </row>
        <row r="1049">
          <cell r="L1049" t="str">
            <v>Non-proportional</v>
          </cell>
          <cell r="S1049">
            <v>308.33999999999997</v>
          </cell>
          <cell r="X1049" t="str">
            <v>Commissions - gross</v>
          </cell>
          <cell r="Y1049" t="str">
            <v>EUROPE</v>
          </cell>
        </row>
        <row r="1050">
          <cell r="L1050" t="str">
            <v>Non-proportional</v>
          </cell>
          <cell r="S1050">
            <v>75</v>
          </cell>
          <cell r="X1050" t="str">
            <v>Commissions - gross</v>
          </cell>
          <cell r="Y1050" t="str">
            <v>GERMANY</v>
          </cell>
        </row>
        <row r="1051">
          <cell r="L1051" t="str">
            <v>Non-proportional</v>
          </cell>
          <cell r="S1051">
            <v>110.8</v>
          </cell>
          <cell r="X1051" t="str">
            <v>Commissions - gross</v>
          </cell>
          <cell r="Y1051" t="str">
            <v>AUSTRIA</v>
          </cell>
        </row>
        <row r="1052">
          <cell r="L1052" t="str">
            <v>Non-proportional</v>
          </cell>
          <cell r="S1052">
            <v>842.33</v>
          </cell>
          <cell r="X1052" t="str">
            <v>Commissions - gross</v>
          </cell>
          <cell r="Y1052" t="str">
            <v>ITALY</v>
          </cell>
        </row>
        <row r="1053">
          <cell r="L1053" t="str">
            <v>Non-proportional</v>
          </cell>
          <cell r="S1053">
            <v>2801.56</v>
          </cell>
          <cell r="X1053" t="str">
            <v>Commissions - gross</v>
          </cell>
          <cell r="Y1053" t="str">
            <v>UNITED KINGDOM</v>
          </cell>
        </row>
        <row r="1054">
          <cell r="L1054" t="str">
            <v>Non-proportional</v>
          </cell>
          <cell r="S1054">
            <v>812.5</v>
          </cell>
          <cell r="X1054" t="str">
            <v>Commissions - gross</v>
          </cell>
          <cell r="Y1054" t="str">
            <v>CZECH REPUBLIC</v>
          </cell>
        </row>
        <row r="1055">
          <cell r="L1055" t="str">
            <v>Non-proportional</v>
          </cell>
          <cell r="S1055">
            <v>3557.03</v>
          </cell>
          <cell r="X1055" t="str">
            <v>Commissions - gross</v>
          </cell>
          <cell r="Y1055" t="str">
            <v>FRANCE</v>
          </cell>
        </row>
        <row r="1056">
          <cell r="L1056" t="str">
            <v>Non-proportional</v>
          </cell>
          <cell r="S1056">
            <v>2000.25</v>
          </cell>
          <cell r="X1056" t="str">
            <v>Commissions - gross</v>
          </cell>
          <cell r="Y1056" t="str">
            <v>CZECH REPUBLIC</v>
          </cell>
        </row>
        <row r="1057">
          <cell r="L1057" t="str">
            <v>Non-proportional</v>
          </cell>
          <cell r="S1057">
            <v>-9173.92</v>
          </cell>
          <cell r="X1057" t="str">
            <v>Commissions - gross</v>
          </cell>
          <cell r="Y1057" t="str">
            <v>UNITED KINGDOM</v>
          </cell>
        </row>
        <row r="1058">
          <cell r="L1058" t="str">
            <v>Non-proportional</v>
          </cell>
          <cell r="S1058">
            <v>1242.43</v>
          </cell>
          <cell r="X1058" t="str">
            <v>Commissions - gross</v>
          </cell>
          <cell r="Y1058" t="str">
            <v>EUROPE</v>
          </cell>
        </row>
        <row r="1059">
          <cell r="L1059" t="str">
            <v>Non-proportional</v>
          </cell>
          <cell r="S1059">
            <v>11027.32</v>
          </cell>
          <cell r="X1059" t="str">
            <v>Commissions - gross</v>
          </cell>
          <cell r="Y1059" t="str">
            <v>UNITED KINGDOM</v>
          </cell>
        </row>
        <row r="1060">
          <cell r="L1060" t="str">
            <v>Non-proportional</v>
          </cell>
          <cell r="S1060">
            <v>457.31</v>
          </cell>
          <cell r="X1060" t="str">
            <v>Commissions - gross</v>
          </cell>
          <cell r="Y1060" t="str">
            <v>EUROPE</v>
          </cell>
        </row>
        <row r="1061">
          <cell r="L1061" t="str">
            <v>Non-proportional</v>
          </cell>
          <cell r="S1061">
            <v>423.8</v>
          </cell>
          <cell r="X1061" t="str">
            <v>Commissions - gross</v>
          </cell>
          <cell r="Y1061" t="str">
            <v>GERMANY</v>
          </cell>
        </row>
        <row r="1062">
          <cell r="L1062" t="str">
            <v>Non-proportional</v>
          </cell>
          <cell r="S1062">
            <v>5711.37</v>
          </cell>
          <cell r="X1062" t="str">
            <v>Commissions - gross</v>
          </cell>
          <cell r="Y1062" t="str">
            <v>UNITED KINGDOM</v>
          </cell>
        </row>
        <row r="1063">
          <cell r="L1063" t="str">
            <v>Non-proportional</v>
          </cell>
          <cell r="S1063">
            <v>549.32000000000005</v>
          </cell>
          <cell r="X1063" t="str">
            <v>Commissions - gross</v>
          </cell>
          <cell r="Y1063" t="str">
            <v>FRANCE</v>
          </cell>
        </row>
        <row r="1064">
          <cell r="L1064" t="str">
            <v>Non-proportional</v>
          </cell>
          <cell r="S1064">
            <v>331.31</v>
          </cell>
          <cell r="X1064" t="str">
            <v>Commissions - gross</v>
          </cell>
          <cell r="Y1064" t="str">
            <v>EUROPE</v>
          </cell>
        </row>
        <row r="1065">
          <cell r="L1065" t="str">
            <v>Non-proportional</v>
          </cell>
          <cell r="S1065">
            <v>34.5</v>
          </cell>
          <cell r="X1065" t="str">
            <v>Commissions - gross</v>
          </cell>
          <cell r="Y1065" t="str">
            <v>ITALY</v>
          </cell>
        </row>
        <row r="1066">
          <cell r="L1066" t="str">
            <v>Non-proportional</v>
          </cell>
          <cell r="S1066">
            <v>3560.33</v>
          </cell>
          <cell r="X1066" t="str">
            <v>Commissions - gross</v>
          </cell>
          <cell r="Y1066" t="str">
            <v>UNITED KINGDOM</v>
          </cell>
        </row>
        <row r="1067">
          <cell r="L1067" t="str">
            <v>Non-proportional</v>
          </cell>
          <cell r="S1067">
            <v>112.5</v>
          </cell>
          <cell r="X1067" t="str">
            <v>Commissions - gross</v>
          </cell>
          <cell r="Y1067" t="str">
            <v>GERMANY</v>
          </cell>
        </row>
        <row r="1068">
          <cell r="L1068" t="str">
            <v>Non-proportional</v>
          </cell>
          <cell r="S1068">
            <v>770.01</v>
          </cell>
          <cell r="X1068" t="str">
            <v>Commissions - gross</v>
          </cell>
          <cell r="Y1068" t="str">
            <v>ICELAND</v>
          </cell>
        </row>
        <row r="1069">
          <cell r="L1069" t="str">
            <v>Non-proportional</v>
          </cell>
          <cell r="S1069">
            <v>1221.5</v>
          </cell>
          <cell r="X1069" t="str">
            <v>Commissions - gross</v>
          </cell>
          <cell r="Y1069" t="str">
            <v>REPUBLIC OF IRELAND</v>
          </cell>
        </row>
        <row r="1070">
          <cell r="L1070" t="str">
            <v>Non-proportional</v>
          </cell>
          <cell r="S1070">
            <v>13307.21</v>
          </cell>
          <cell r="X1070" t="str">
            <v>Commissions - gross</v>
          </cell>
          <cell r="Y1070" t="str">
            <v>UNITED KINGDOM</v>
          </cell>
        </row>
        <row r="1071">
          <cell r="L1071" t="str">
            <v>Non-proportional</v>
          </cell>
          <cell r="S1071">
            <v>2936.25</v>
          </cell>
          <cell r="X1071" t="str">
            <v>Commissions - gross</v>
          </cell>
          <cell r="Y1071" t="str">
            <v>ROMANIA</v>
          </cell>
        </row>
        <row r="1072">
          <cell r="L1072" t="str">
            <v>Non-proportional</v>
          </cell>
          <cell r="S1072">
            <v>443.98</v>
          </cell>
          <cell r="X1072" t="str">
            <v>Commissions - gross</v>
          </cell>
          <cell r="Y1072" t="str">
            <v>GERMANY</v>
          </cell>
        </row>
        <row r="1073">
          <cell r="L1073" t="str">
            <v>Non-proportional</v>
          </cell>
          <cell r="S1073">
            <v>-0.34</v>
          </cell>
          <cell r="X1073" t="str">
            <v>Commissions - gross</v>
          </cell>
          <cell r="Y1073" t="str">
            <v>DENMARK</v>
          </cell>
        </row>
        <row r="1074">
          <cell r="L1074" t="str">
            <v>Non-proportional</v>
          </cell>
          <cell r="S1074">
            <v>1.58</v>
          </cell>
          <cell r="X1074" t="str">
            <v>Commissions - gross</v>
          </cell>
          <cell r="Y1074" t="str">
            <v>NORWAY</v>
          </cell>
        </row>
        <row r="1075">
          <cell r="L1075" t="str">
            <v>Non-proportional</v>
          </cell>
          <cell r="S1075">
            <v>1.1299999999999999</v>
          </cell>
          <cell r="X1075" t="str">
            <v>Commissions - gross</v>
          </cell>
          <cell r="Y1075" t="str">
            <v>JAPAN</v>
          </cell>
        </row>
        <row r="1076">
          <cell r="L1076" t="str">
            <v>Non-proportional</v>
          </cell>
          <cell r="S1076">
            <v>2132.7600000000002</v>
          </cell>
          <cell r="X1076" t="str">
            <v>Commissions - gross</v>
          </cell>
          <cell r="Y1076" t="str">
            <v>UNITED KINGDOM</v>
          </cell>
        </row>
        <row r="1077">
          <cell r="L1077" t="str">
            <v>Non-proportional</v>
          </cell>
          <cell r="S1077">
            <v>82.05</v>
          </cell>
          <cell r="X1077" t="str">
            <v>Commissions - gross</v>
          </cell>
          <cell r="Y1077" t="str">
            <v>GERMANY</v>
          </cell>
        </row>
        <row r="1078">
          <cell r="L1078" t="str">
            <v>Non-proportional</v>
          </cell>
          <cell r="S1078">
            <v>1650</v>
          </cell>
          <cell r="X1078" t="str">
            <v>Commissions - gross</v>
          </cell>
          <cell r="Y1078" t="str">
            <v>GERMANY</v>
          </cell>
        </row>
        <row r="1079">
          <cell r="L1079" t="str">
            <v>Non-proportional</v>
          </cell>
          <cell r="S1079">
            <v>558.63</v>
          </cell>
          <cell r="X1079" t="str">
            <v>Commissions - gross</v>
          </cell>
          <cell r="Y1079" t="str">
            <v>GERMANY</v>
          </cell>
        </row>
        <row r="1080">
          <cell r="L1080" t="str">
            <v>Non-proportional</v>
          </cell>
          <cell r="S1080">
            <v>52.71</v>
          </cell>
          <cell r="X1080" t="str">
            <v>Commissions - gross</v>
          </cell>
          <cell r="Y1080" t="str">
            <v>NORWAY</v>
          </cell>
        </row>
        <row r="1081">
          <cell r="L1081" t="str">
            <v>Non-proportional</v>
          </cell>
          <cell r="S1081">
            <v>201.96</v>
          </cell>
          <cell r="X1081" t="str">
            <v>Commissions - gross</v>
          </cell>
          <cell r="Y1081" t="str">
            <v>JAPAN</v>
          </cell>
        </row>
        <row r="1082">
          <cell r="L1082" t="str">
            <v>Non-proportional</v>
          </cell>
          <cell r="S1082">
            <v>361.75</v>
          </cell>
          <cell r="X1082" t="str">
            <v>Commissions - gross</v>
          </cell>
          <cell r="Y1082" t="str">
            <v>FRANCE</v>
          </cell>
        </row>
        <row r="1083">
          <cell r="L1083" t="str">
            <v>Non-proportional</v>
          </cell>
          <cell r="S1083">
            <v>1168.31</v>
          </cell>
          <cell r="X1083" t="str">
            <v>Commissions - gross</v>
          </cell>
          <cell r="Y1083" t="str">
            <v>UNITED KINGDOM</v>
          </cell>
        </row>
        <row r="1084">
          <cell r="L1084" t="str">
            <v>Non-proportional</v>
          </cell>
          <cell r="S1084">
            <v>6495.3</v>
          </cell>
          <cell r="X1084" t="str">
            <v>Commissions - gross</v>
          </cell>
          <cell r="Y1084" t="str">
            <v>REPUBLIC OF IRELAND</v>
          </cell>
        </row>
        <row r="1085">
          <cell r="L1085" t="str">
            <v>Non-proportional</v>
          </cell>
          <cell r="S1085">
            <v>343.7</v>
          </cell>
          <cell r="X1085" t="str">
            <v>Commissions - gross</v>
          </cell>
          <cell r="Y1085" t="str">
            <v>EUROPE</v>
          </cell>
        </row>
        <row r="1086">
          <cell r="L1086" t="str">
            <v>Non-proportional</v>
          </cell>
          <cell r="S1086">
            <v>603.75</v>
          </cell>
          <cell r="X1086" t="str">
            <v>Commissions - gross</v>
          </cell>
          <cell r="Y1086" t="str">
            <v>GERMANY</v>
          </cell>
        </row>
        <row r="1087">
          <cell r="L1087" t="str">
            <v>Non-proportional</v>
          </cell>
          <cell r="S1087">
            <v>706.02</v>
          </cell>
          <cell r="X1087" t="str">
            <v>Commissions - gross</v>
          </cell>
          <cell r="Y1087" t="str">
            <v>NORWAY</v>
          </cell>
        </row>
        <row r="1088">
          <cell r="L1088" t="str">
            <v>Non-proportional</v>
          </cell>
          <cell r="S1088">
            <v>500.58</v>
          </cell>
          <cell r="X1088" t="str">
            <v>Commissions - gross</v>
          </cell>
          <cell r="Y1088" t="str">
            <v>FRANCE</v>
          </cell>
        </row>
        <row r="1089">
          <cell r="L1089" t="str">
            <v>Non-proportional</v>
          </cell>
          <cell r="S1089">
            <v>307.99</v>
          </cell>
          <cell r="X1089" t="str">
            <v>Commissions - gross</v>
          </cell>
          <cell r="Y1089" t="str">
            <v>SWITZERLAND</v>
          </cell>
        </row>
        <row r="1090">
          <cell r="L1090" t="str">
            <v>Non-proportional</v>
          </cell>
          <cell r="S1090">
            <v>490.32</v>
          </cell>
          <cell r="X1090" t="str">
            <v>Commissions - gross</v>
          </cell>
          <cell r="Y1090" t="str">
            <v>SWITZERLAND</v>
          </cell>
        </row>
        <row r="1091">
          <cell r="L1091" t="str">
            <v>Non-proportional</v>
          </cell>
          <cell r="S1091">
            <v>1042.58</v>
          </cell>
          <cell r="X1091" t="str">
            <v>Commissions - gross</v>
          </cell>
          <cell r="Y1091" t="str">
            <v>FRANCE</v>
          </cell>
        </row>
        <row r="1092">
          <cell r="L1092" t="str">
            <v>Non-proportional</v>
          </cell>
          <cell r="S1092">
            <v>445.85</v>
          </cell>
          <cell r="X1092" t="str">
            <v>Commissions - gross</v>
          </cell>
          <cell r="Y1092" t="str">
            <v>DENMARK</v>
          </cell>
        </row>
        <row r="1093">
          <cell r="L1093" t="str">
            <v>Non-proportional</v>
          </cell>
          <cell r="S1093">
            <v>1228.21</v>
          </cell>
          <cell r="X1093" t="str">
            <v>Commissions - gross</v>
          </cell>
          <cell r="Y1093" t="str">
            <v>DENMARK</v>
          </cell>
        </row>
        <row r="1094">
          <cell r="L1094" t="str">
            <v>Non-proportional</v>
          </cell>
          <cell r="S1094">
            <v>196.23</v>
          </cell>
          <cell r="X1094" t="str">
            <v>Commissions - gross</v>
          </cell>
          <cell r="Y1094" t="str">
            <v>GERMANY</v>
          </cell>
        </row>
        <row r="1095">
          <cell r="L1095" t="str">
            <v>Non-proportional</v>
          </cell>
          <cell r="S1095">
            <v>883.77</v>
          </cell>
          <cell r="X1095" t="str">
            <v>Commissions - gross</v>
          </cell>
          <cell r="Y1095" t="str">
            <v>GERMANY</v>
          </cell>
        </row>
        <row r="1096">
          <cell r="L1096" t="str">
            <v>Non-proportional</v>
          </cell>
          <cell r="S1096">
            <v>87.34</v>
          </cell>
          <cell r="X1096" t="str">
            <v>Commissions - gross</v>
          </cell>
          <cell r="Y1096" t="str">
            <v>GERMANY</v>
          </cell>
        </row>
        <row r="1097">
          <cell r="L1097" t="str">
            <v>Non-proportional</v>
          </cell>
          <cell r="S1097">
            <v>537.24</v>
          </cell>
          <cell r="X1097" t="str">
            <v>Commissions - gross</v>
          </cell>
          <cell r="Y1097" t="str">
            <v>DENMARK</v>
          </cell>
        </row>
        <row r="1098">
          <cell r="L1098" t="str">
            <v>Non-proportional</v>
          </cell>
          <cell r="S1098">
            <v>730.52</v>
          </cell>
          <cell r="X1098" t="str">
            <v>Commissions - gross</v>
          </cell>
          <cell r="Y1098" t="str">
            <v>FAROE ISLANDS</v>
          </cell>
        </row>
        <row r="1099">
          <cell r="L1099" t="str">
            <v>Non-proportional</v>
          </cell>
          <cell r="S1099">
            <v>2758.97</v>
          </cell>
          <cell r="X1099" t="str">
            <v>Commissions - gross</v>
          </cell>
          <cell r="Y1099" t="str">
            <v>UNITED KINGDOM</v>
          </cell>
        </row>
        <row r="1100">
          <cell r="L1100" t="str">
            <v>Non-proportional</v>
          </cell>
          <cell r="S1100">
            <v>45.13</v>
          </cell>
          <cell r="X1100" t="str">
            <v>Commissions - gross</v>
          </cell>
          <cell r="Y1100" t="str">
            <v>ITALY</v>
          </cell>
        </row>
        <row r="1101">
          <cell r="L1101" t="str">
            <v>Non-proportional</v>
          </cell>
          <cell r="S1101">
            <v>1760.9</v>
          </cell>
          <cell r="X1101" t="str">
            <v>Commissions - gross</v>
          </cell>
          <cell r="Y1101" t="str">
            <v>AUSTRIA</v>
          </cell>
        </row>
        <row r="1102">
          <cell r="L1102" t="str">
            <v>Non-proportional</v>
          </cell>
          <cell r="S1102">
            <v>1328.94</v>
          </cell>
          <cell r="X1102" t="str">
            <v>Commissions - gross</v>
          </cell>
          <cell r="Y1102" t="str">
            <v>UNITED KINGDOM</v>
          </cell>
        </row>
        <row r="1103">
          <cell r="L1103" t="str">
            <v>Non-proportional</v>
          </cell>
          <cell r="S1103">
            <v>2385.42</v>
          </cell>
          <cell r="X1103" t="str">
            <v>Commissions - gross</v>
          </cell>
          <cell r="Y1103" t="str">
            <v>AUSTRIA</v>
          </cell>
        </row>
        <row r="1104">
          <cell r="L1104" t="str">
            <v>Non-proportional</v>
          </cell>
          <cell r="S1104">
            <v>244.59</v>
          </cell>
          <cell r="X1104" t="str">
            <v>Commissions - gross</v>
          </cell>
          <cell r="Y1104" t="str">
            <v>SWEDEN</v>
          </cell>
        </row>
        <row r="1105">
          <cell r="L1105" t="str">
            <v>Non-proportional</v>
          </cell>
          <cell r="S1105">
            <v>4059.82</v>
          </cell>
          <cell r="X1105" t="str">
            <v>Commissions - gross</v>
          </cell>
          <cell r="Y1105" t="str">
            <v>SWITZERLAND</v>
          </cell>
        </row>
        <row r="1106">
          <cell r="L1106" t="str">
            <v>Non-proportional</v>
          </cell>
          <cell r="S1106">
            <v>5099.49</v>
          </cell>
          <cell r="X1106" t="str">
            <v>Commissions - gross</v>
          </cell>
          <cell r="Y1106" t="str">
            <v>UNITED KINGDOM</v>
          </cell>
        </row>
        <row r="1107">
          <cell r="L1107" t="str">
            <v>Non-proportional</v>
          </cell>
          <cell r="S1107">
            <v>-0.92</v>
          </cell>
          <cell r="X1107" t="str">
            <v>Commissions - gross</v>
          </cell>
          <cell r="Y1107" t="str">
            <v>SWEDEN</v>
          </cell>
        </row>
        <row r="1108">
          <cell r="L1108" t="str">
            <v>Non-proportional</v>
          </cell>
          <cell r="S1108">
            <v>760.42</v>
          </cell>
          <cell r="X1108" t="str">
            <v>Commissions - gross</v>
          </cell>
          <cell r="Y1108" t="str">
            <v>GERMANY</v>
          </cell>
        </row>
        <row r="1109">
          <cell r="L1109" t="str">
            <v>Non-proportional</v>
          </cell>
          <cell r="S1109">
            <v>12906.99</v>
          </cell>
          <cell r="X1109" t="str">
            <v>Commissions - gross</v>
          </cell>
          <cell r="Y1109" t="str">
            <v>UNITED KINGDOM</v>
          </cell>
        </row>
        <row r="1110">
          <cell r="L1110" t="str">
            <v>Non-proportional</v>
          </cell>
          <cell r="S1110">
            <v>351.2</v>
          </cell>
          <cell r="X1110" t="str">
            <v>Commissions - gross</v>
          </cell>
          <cell r="Y1110" t="str">
            <v>SPAIN</v>
          </cell>
        </row>
        <row r="1111">
          <cell r="L1111" t="str">
            <v>Non-proportional</v>
          </cell>
          <cell r="S1111">
            <v>451.14</v>
          </cell>
          <cell r="X1111" t="str">
            <v>Commissions - gross</v>
          </cell>
          <cell r="Y1111" t="str">
            <v>AUSTRIA</v>
          </cell>
        </row>
        <row r="1112">
          <cell r="L1112" t="str">
            <v>Non-proportional</v>
          </cell>
          <cell r="S1112">
            <v>342.23</v>
          </cell>
          <cell r="X1112" t="str">
            <v>Commissions - gross</v>
          </cell>
          <cell r="Y1112" t="str">
            <v>ICELAND</v>
          </cell>
        </row>
        <row r="1113">
          <cell r="L1113" t="str">
            <v>Non-proportional</v>
          </cell>
          <cell r="S1113">
            <v>355.3</v>
          </cell>
          <cell r="X1113" t="str">
            <v>Commissions - gross</v>
          </cell>
          <cell r="Y1113" t="str">
            <v>SWITZERLAND</v>
          </cell>
        </row>
        <row r="1114">
          <cell r="L1114" t="str">
            <v>Non-proportional</v>
          </cell>
          <cell r="S1114">
            <v>1207.49</v>
          </cell>
          <cell r="X1114" t="str">
            <v>Commissions - gross</v>
          </cell>
          <cell r="Y1114" t="str">
            <v>FRANCE</v>
          </cell>
        </row>
        <row r="1115">
          <cell r="L1115" t="str">
            <v>Non-proportional</v>
          </cell>
          <cell r="S1115">
            <v>956.7</v>
          </cell>
          <cell r="X1115" t="str">
            <v>Commissions - gross</v>
          </cell>
          <cell r="Y1115" t="str">
            <v>SLOVENIA</v>
          </cell>
        </row>
        <row r="1116">
          <cell r="L1116" t="str">
            <v>Non-proportional</v>
          </cell>
          <cell r="S1116">
            <v>-2647.45</v>
          </cell>
          <cell r="X1116" t="str">
            <v>Commissions - gross</v>
          </cell>
          <cell r="Y1116" t="str">
            <v>UNITED KINGDOM</v>
          </cell>
        </row>
        <row r="1117">
          <cell r="L1117" t="str">
            <v>Non-proportional</v>
          </cell>
          <cell r="S1117">
            <v>922.8</v>
          </cell>
          <cell r="X1117" t="str">
            <v>Commissions - gross</v>
          </cell>
          <cell r="Y1117" t="str">
            <v>UNITED KINGDOM</v>
          </cell>
        </row>
        <row r="1118">
          <cell r="L1118" t="str">
            <v>Non-proportional</v>
          </cell>
          <cell r="S1118">
            <v>1884.77</v>
          </cell>
          <cell r="X1118" t="str">
            <v>Commissions - gross</v>
          </cell>
          <cell r="Y1118" t="str">
            <v>UNITED KINGDOM</v>
          </cell>
        </row>
        <row r="1119">
          <cell r="L1119" t="str">
            <v>Non-proportional</v>
          </cell>
          <cell r="S1119">
            <v>-0.37</v>
          </cell>
          <cell r="X1119" t="str">
            <v>Commissions - gross</v>
          </cell>
          <cell r="Y1119" t="str">
            <v>DENMARK</v>
          </cell>
        </row>
        <row r="1120">
          <cell r="L1120" t="str">
            <v>Non-proportional</v>
          </cell>
          <cell r="S1120">
            <v>-0.56999999999999995</v>
          </cell>
          <cell r="X1120" t="str">
            <v>Commissions - gross</v>
          </cell>
          <cell r="Y1120" t="str">
            <v>DENMARK</v>
          </cell>
        </row>
        <row r="1121">
          <cell r="L1121" t="str">
            <v>Non-proportional</v>
          </cell>
          <cell r="S1121">
            <v>723.66</v>
          </cell>
          <cell r="X1121" t="str">
            <v>Commissions - gross</v>
          </cell>
          <cell r="Y1121" t="str">
            <v>NORWAY</v>
          </cell>
        </row>
        <row r="1122">
          <cell r="L1122" t="str">
            <v>Non-proportional</v>
          </cell>
          <cell r="S1122">
            <v>140.16999999999999</v>
          </cell>
          <cell r="X1122" t="str">
            <v>Commissions - gross</v>
          </cell>
          <cell r="Y1122" t="str">
            <v>GERMANY</v>
          </cell>
        </row>
        <row r="1123">
          <cell r="L1123" t="str">
            <v>Non-proportional</v>
          </cell>
          <cell r="S1123">
            <v>250.06</v>
          </cell>
          <cell r="X1123" t="str">
            <v>Commissions - gross</v>
          </cell>
          <cell r="Y1123" t="str">
            <v>GERMANY</v>
          </cell>
        </row>
        <row r="1124">
          <cell r="L1124" t="str">
            <v>Non-proportional</v>
          </cell>
          <cell r="S1124">
            <v>571.76</v>
          </cell>
          <cell r="X1124" t="str">
            <v>Commissions - gross</v>
          </cell>
          <cell r="Y1124" t="str">
            <v>GERMANY</v>
          </cell>
        </row>
        <row r="1125">
          <cell r="L1125" t="str">
            <v>Non-proportional</v>
          </cell>
          <cell r="S1125">
            <v>2439.6</v>
          </cell>
          <cell r="X1125" t="str">
            <v>Commissions - gross</v>
          </cell>
          <cell r="Y1125" t="str">
            <v>GERMANY</v>
          </cell>
        </row>
        <row r="1126">
          <cell r="L1126" t="str">
            <v>Non-proportional</v>
          </cell>
          <cell r="S1126">
            <v>2070.71</v>
          </cell>
          <cell r="X1126" t="str">
            <v>Commissions - gross</v>
          </cell>
          <cell r="Y1126" t="str">
            <v>EUROPE</v>
          </cell>
        </row>
        <row r="1127">
          <cell r="L1127" t="str">
            <v>Non-proportional</v>
          </cell>
          <cell r="S1127">
            <v>5.48</v>
          </cell>
          <cell r="X1127" t="str">
            <v>Commissions - gross</v>
          </cell>
          <cell r="Y1127" t="str">
            <v>FRANCE</v>
          </cell>
        </row>
        <row r="1128">
          <cell r="L1128" t="str">
            <v>Non-proportional</v>
          </cell>
          <cell r="S1128">
            <v>1001.09</v>
          </cell>
          <cell r="X1128" t="str">
            <v>Commissions - gross</v>
          </cell>
          <cell r="Y1128" t="str">
            <v>GERMANY</v>
          </cell>
        </row>
        <row r="1129">
          <cell r="L1129" t="str">
            <v>Non-proportional</v>
          </cell>
          <cell r="S1129">
            <v>670</v>
          </cell>
          <cell r="X1129" t="str">
            <v>Commissions - gross</v>
          </cell>
          <cell r="Y1129" t="str">
            <v>DENMARK</v>
          </cell>
        </row>
        <row r="1130">
          <cell r="L1130" t="str">
            <v>Non-proportional</v>
          </cell>
          <cell r="S1130">
            <v>1059.49</v>
          </cell>
          <cell r="X1130" t="str">
            <v>Commissions - gross</v>
          </cell>
          <cell r="Y1130" t="str">
            <v>GERMANY</v>
          </cell>
        </row>
        <row r="1131">
          <cell r="L1131" t="str">
            <v>Non-proportional</v>
          </cell>
          <cell r="S1131">
            <v>2923.94</v>
          </cell>
          <cell r="X1131" t="str">
            <v>Commissions - gross</v>
          </cell>
          <cell r="Y1131" t="str">
            <v>UNITED KINGDOM</v>
          </cell>
        </row>
        <row r="1132">
          <cell r="L1132" t="str">
            <v>Non-proportional</v>
          </cell>
          <cell r="S1132">
            <v>1339.76</v>
          </cell>
          <cell r="X1132" t="str">
            <v>Commissions - gross</v>
          </cell>
          <cell r="Y1132" t="str">
            <v>DENMARK</v>
          </cell>
        </row>
        <row r="1133">
          <cell r="L1133" t="str">
            <v>Non-proportional</v>
          </cell>
          <cell r="S1133">
            <v>-1839.69</v>
          </cell>
          <cell r="X1133" t="str">
            <v>Commissions - gross</v>
          </cell>
          <cell r="Y1133" t="str">
            <v>JAPAN</v>
          </cell>
        </row>
        <row r="1134">
          <cell r="L1134" t="str">
            <v>Non-proportional</v>
          </cell>
          <cell r="S1134">
            <v>845.45</v>
          </cell>
          <cell r="X1134" t="str">
            <v>Commissions - gross</v>
          </cell>
          <cell r="Y1134" t="str">
            <v>EUROPE</v>
          </cell>
        </row>
        <row r="1135">
          <cell r="L1135" t="str">
            <v>Non-proportional</v>
          </cell>
          <cell r="S1135">
            <v>193.89</v>
          </cell>
          <cell r="X1135" t="str">
            <v>Commissions - gross</v>
          </cell>
          <cell r="Y1135" t="str">
            <v>REPUBLIC OF IRELAND</v>
          </cell>
        </row>
        <row r="1136">
          <cell r="L1136" t="str">
            <v>Non-proportional</v>
          </cell>
          <cell r="S1136">
            <v>633.51</v>
          </cell>
          <cell r="X1136" t="str">
            <v>Commissions - gross</v>
          </cell>
          <cell r="Y1136" t="str">
            <v>GERMANY</v>
          </cell>
        </row>
        <row r="1137">
          <cell r="L1137" t="str">
            <v>Non-proportional</v>
          </cell>
          <cell r="S1137">
            <v>1106.0899999999999</v>
          </cell>
          <cell r="X1137" t="str">
            <v>Commissions - gross</v>
          </cell>
          <cell r="Y1137" t="str">
            <v>DENMARK</v>
          </cell>
        </row>
        <row r="1138">
          <cell r="L1138" t="str">
            <v>Non-proportional</v>
          </cell>
          <cell r="S1138">
            <v>411.21</v>
          </cell>
          <cell r="X1138" t="str">
            <v>Commissions - gross</v>
          </cell>
          <cell r="Y1138" t="str">
            <v>AUSTRIA</v>
          </cell>
        </row>
        <row r="1139">
          <cell r="L1139" t="str">
            <v>Non-proportional</v>
          </cell>
          <cell r="S1139">
            <v>789.24</v>
          </cell>
          <cell r="X1139" t="str">
            <v>Commissions - gross</v>
          </cell>
          <cell r="Y1139" t="str">
            <v>DENMARK</v>
          </cell>
        </row>
        <row r="1140">
          <cell r="L1140" t="str">
            <v>Non-proportional</v>
          </cell>
          <cell r="S1140">
            <v>1583.24</v>
          </cell>
          <cell r="X1140" t="str">
            <v>Commissions - gross</v>
          </cell>
          <cell r="Y1140" t="str">
            <v>GERMANY</v>
          </cell>
        </row>
        <row r="1141">
          <cell r="L1141" t="str">
            <v>Non-proportional</v>
          </cell>
          <cell r="S1141">
            <v>17.52</v>
          </cell>
          <cell r="X1141" t="str">
            <v>Commissions - gross</v>
          </cell>
          <cell r="Y1141" t="str">
            <v>ITALY</v>
          </cell>
        </row>
        <row r="1142">
          <cell r="L1142" t="str">
            <v>Non-proportional</v>
          </cell>
          <cell r="S1142">
            <v>645.83000000000004</v>
          </cell>
          <cell r="X1142" t="str">
            <v>Commissions - gross</v>
          </cell>
          <cell r="Y1142" t="str">
            <v>AUSTRIA</v>
          </cell>
        </row>
        <row r="1143">
          <cell r="L1143" t="str">
            <v>Non-proportional</v>
          </cell>
          <cell r="S1143">
            <v>199.86</v>
          </cell>
          <cell r="X1143" t="str">
            <v>Commissions - gross</v>
          </cell>
          <cell r="Y1143" t="str">
            <v>SWITZERLAND</v>
          </cell>
        </row>
        <row r="1144">
          <cell r="L1144" t="str">
            <v>Non-proportional</v>
          </cell>
          <cell r="S1144">
            <v>-0.2</v>
          </cell>
          <cell r="X1144" t="str">
            <v>Commissions - gross</v>
          </cell>
          <cell r="Y1144" t="str">
            <v>SWEDEN</v>
          </cell>
        </row>
        <row r="1145">
          <cell r="L1145" t="str">
            <v>Non-proportional</v>
          </cell>
          <cell r="S1145">
            <v>536.25</v>
          </cell>
          <cell r="X1145" t="str">
            <v>Commissions - gross</v>
          </cell>
          <cell r="Y1145" t="str">
            <v>GERMANY</v>
          </cell>
        </row>
        <row r="1146">
          <cell r="L1146" t="str">
            <v>Non-proportional</v>
          </cell>
          <cell r="S1146">
            <v>352.84</v>
          </cell>
          <cell r="X1146" t="str">
            <v>Commissions - gross</v>
          </cell>
          <cell r="Y1146" t="str">
            <v>JAPAN</v>
          </cell>
        </row>
        <row r="1147">
          <cell r="L1147" t="str">
            <v>Non-proportional</v>
          </cell>
          <cell r="S1147">
            <v>1611.28</v>
          </cell>
          <cell r="X1147" t="str">
            <v>Commissions - gross</v>
          </cell>
          <cell r="Y1147" t="str">
            <v>EUROPE</v>
          </cell>
        </row>
        <row r="1148">
          <cell r="L1148" t="str">
            <v>Non-proportional</v>
          </cell>
          <cell r="S1148">
            <v>2249.54</v>
          </cell>
          <cell r="X1148" t="str">
            <v>Commissions - gross</v>
          </cell>
          <cell r="Y1148" t="str">
            <v>CZECH REPUBLIC</v>
          </cell>
        </row>
        <row r="1149">
          <cell r="L1149" t="str">
            <v>Non-proportional</v>
          </cell>
          <cell r="S1149">
            <v>2051.54</v>
          </cell>
          <cell r="X1149" t="str">
            <v>Commissions - gross</v>
          </cell>
          <cell r="Y1149" t="str">
            <v>UNITED KINGDOM</v>
          </cell>
        </row>
        <row r="1150">
          <cell r="L1150" t="str">
            <v>Non-proportional</v>
          </cell>
          <cell r="S1150">
            <v>2220.66</v>
          </cell>
          <cell r="X1150" t="str">
            <v>Commissions - gross</v>
          </cell>
          <cell r="Y1150" t="str">
            <v>SWITZERLAND</v>
          </cell>
        </row>
        <row r="1151">
          <cell r="L1151" t="str">
            <v>Non-proportional</v>
          </cell>
          <cell r="S1151">
            <v>-10589.8</v>
          </cell>
          <cell r="X1151" t="str">
            <v>Commissions - gross</v>
          </cell>
          <cell r="Y1151" t="str">
            <v>UNITED KINGDOM</v>
          </cell>
        </row>
        <row r="1152">
          <cell r="L1152" t="str">
            <v>Non-proportional</v>
          </cell>
          <cell r="S1152">
            <v>3870.97</v>
          </cell>
          <cell r="X1152" t="str">
            <v>Commissions - gross</v>
          </cell>
          <cell r="Y1152" t="str">
            <v>UNITED KINGDOM</v>
          </cell>
        </row>
        <row r="1153">
          <cell r="L1153" t="str">
            <v>Non-proportional</v>
          </cell>
          <cell r="S1153">
            <v>777.08</v>
          </cell>
          <cell r="X1153" t="str">
            <v>Commissions - gross</v>
          </cell>
          <cell r="Y1153" t="str">
            <v>FRANCE</v>
          </cell>
        </row>
        <row r="1154">
          <cell r="L1154" t="str">
            <v>Non-proportional</v>
          </cell>
          <cell r="S1154">
            <v>862.5</v>
          </cell>
          <cell r="X1154" t="str">
            <v>Commissions - gross</v>
          </cell>
          <cell r="Y1154" t="str">
            <v>GERMANY</v>
          </cell>
        </row>
        <row r="1155">
          <cell r="L1155" t="str">
            <v>Non-proportional</v>
          </cell>
          <cell r="S1155">
            <v>78.150000000000006</v>
          </cell>
          <cell r="X1155" t="str">
            <v>Commissions - gross</v>
          </cell>
          <cell r="Y1155" t="str">
            <v>DENMARK</v>
          </cell>
        </row>
        <row r="1156">
          <cell r="L1156" t="str">
            <v>Non-proportional</v>
          </cell>
          <cell r="S1156">
            <v>1870.62</v>
          </cell>
          <cell r="X1156" t="str">
            <v>Commissions - gross</v>
          </cell>
          <cell r="Y1156" t="str">
            <v>GERMANY</v>
          </cell>
        </row>
        <row r="1157">
          <cell r="L1157" t="str">
            <v>Non-proportional</v>
          </cell>
          <cell r="S1157">
            <v>133.94</v>
          </cell>
          <cell r="X1157" t="str">
            <v>Commissions - gross</v>
          </cell>
          <cell r="Y1157" t="str">
            <v>DENMARK</v>
          </cell>
        </row>
        <row r="1158">
          <cell r="L1158" t="str">
            <v>Non-proportional</v>
          </cell>
          <cell r="S1158">
            <v>750.16</v>
          </cell>
          <cell r="X1158" t="str">
            <v>Commissions - gross</v>
          </cell>
          <cell r="Y1158" t="str">
            <v>GERMANY</v>
          </cell>
        </row>
        <row r="1159">
          <cell r="L1159" t="str">
            <v>Non-proportional</v>
          </cell>
          <cell r="S1159">
            <v>4032.33</v>
          </cell>
          <cell r="X1159" t="str">
            <v>Commissions - gross</v>
          </cell>
          <cell r="Y1159" t="str">
            <v>UNITED KINGDOM</v>
          </cell>
        </row>
        <row r="1160">
          <cell r="L1160" t="str">
            <v>Non-proportional</v>
          </cell>
          <cell r="S1160">
            <v>3734.6</v>
          </cell>
          <cell r="X1160" t="str">
            <v>Commissions - gross</v>
          </cell>
          <cell r="Y1160" t="str">
            <v>FRANCE</v>
          </cell>
        </row>
        <row r="1161">
          <cell r="L1161" t="str">
            <v>Non-proportional</v>
          </cell>
          <cell r="S1161">
            <v>894.1</v>
          </cell>
          <cell r="X1161" t="str">
            <v>Commissions - gross</v>
          </cell>
          <cell r="Y1161" t="str">
            <v>UNITED KINGDOM</v>
          </cell>
        </row>
        <row r="1162">
          <cell r="L1162" t="str">
            <v>Non-proportional</v>
          </cell>
          <cell r="S1162">
            <v>3972.24</v>
          </cell>
          <cell r="X1162" t="str">
            <v>Commissions - gross</v>
          </cell>
          <cell r="Y1162" t="str">
            <v>UNITED KINGDOM</v>
          </cell>
        </row>
        <row r="1163">
          <cell r="L1163" t="str">
            <v>Non-proportional</v>
          </cell>
          <cell r="S1163">
            <v>4205.8999999999996</v>
          </cell>
          <cell r="X1163" t="str">
            <v>Commissions - gross</v>
          </cell>
          <cell r="Y1163" t="str">
            <v>UNITED KINGDOM</v>
          </cell>
        </row>
        <row r="1164">
          <cell r="L1164" t="str">
            <v>Non-proportional</v>
          </cell>
          <cell r="S1164">
            <v>774.74</v>
          </cell>
          <cell r="X1164" t="str">
            <v>Commissions - gross</v>
          </cell>
          <cell r="Y1164" t="str">
            <v>GERMANY</v>
          </cell>
        </row>
        <row r="1165">
          <cell r="L1165" t="str">
            <v>Non-proportional</v>
          </cell>
          <cell r="S1165">
            <v>912.9</v>
          </cell>
          <cell r="X1165" t="str">
            <v>Commissions - gross</v>
          </cell>
          <cell r="Y1165" t="str">
            <v>GERMANY</v>
          </cell>
        </row>
        <row r="1166">
          <cell r="L1166" t="str">
            <v>Non-proportional</v>
          </cell>
          <cell r="S1166">
            <v>582.46</v>
          </cell>
          <cell r="X1166" t="str">
            <v>Commissions - gross</v>
          </cell>
          <cell r="Y1166" t="str">
            <v>NORWAY</v>
          </cell>
        </row>
        <row r="1167">
          <cell r="L1167" t="str">
            <v>Non-proportional</v>
          </cell>
          <cell r="S1167">
            <v>1159.19</v>
          </cell>
          <cell r="X1167" t="str">
            <v>Commissions - gross</v>
          </cell>
          <cell r="Y1167" t="str">
            <v>SWITZERLAND</v>
          </cell>
        </row>
        <row r="1168">
          <cell r="L1168" t="str">
            <v>Non-proportional</v>
          </cell>
          <cell r="S1168">
            <v>991.79</v>
          </cell>
          <cell r="X1168" t="str">
            <v>Commissions - gross</v>
          </cell>
          <cell r="Y1168" t="str">
            <v>CZECH REPUBLIC</v>
          </cell>
        </row>
        <row r="1169">
          <cell r="L1169" t="str">
            <v>Non-proportional</v>
          </cell>
          <cell r="S1169">
            <v>1243.53</v>
          </cell>
          <cell r="X1169" t="str">
            <v>Commissions - gross</v>
          </cell>
          <cell r="Y1169" t="str">
            <v>UNITED KINGDOM</v>
          </cell>
        </row>
        <row r="1170">
          <cell r="L1170" t="str">
            <v>Non-proportional</v>
          </cell>
          <cell r="S1170">
            <v>150.91</v>
          </cell>
          <cell r="X1170" t="str">
            <v>Commissions - gross</v>
          </cell>
          <cell r="Y1170" t="str">
            <v>GERMANY</v>
          </cell>
        </row>
        <row r="1171">
          <cell r="L1171" t="str">
            <v>Non-proportional</v>
          </cell>
          <cell r="S1171">
            <v>-0.14000000000000001</v>
          </cell>
          <cell r="X1171" t="str">
            <v>Commissions - gross</v>
          </cell>
          <cell r="Y1171" t="str">
            <v>DENMARK</v>
          </cell>
        </row>
        <row r="1172">
          <cell r="L1172" t="str">
            <v>Non-proportional</v>
          </cell>
          <cell r="S1172">
            <v>427.54</v>
          </cell>
          <cell r="X1172" t="str">
            <v>Commissions - gross</v>
          </cell>
          <cell r="Y1172" t="str">
            <v>GERMANY</v>
          </cell>
        </row>
        <row r="1173">
          <cell r="L1173" t="str">
            <v>Non-proportional</v>
          </cell>
          <cell r="S1173">
            <v>-6748.49</v>
          </cell>
          <cell r="X1173" t="str">
            <v>Commissions - gross</v>
          </cell>
          <cell r="Y1173" t="str">
            <v>UNITED KINGDOM</v>
          </cell>
        </row>
        <row r="1174">
          <cell r="L1174" t="str">
            <v>Non-proportional</v>
          </cell>
          <cell r="S1174">
            <v>86.56</v>
          </cell>
          <cell r="X1174" t="str">
            <v>Commissions - gross</v>
          </cell>
          <cell r="Y1174" t="str">
            <v>ITALY</v>
          </cell>
        </row>
        <row r="1175">
          <cell r="L1175" t="str">
            <v>Non-proportional</v>
          </cell>
          <cell r="S1175">
            <v>2035.5</v>
          </cell>
          <cell r="X1175" t="str">
            <v>Commissions - gross</v>
          </cell>
          <cell r="Y1175" t="str">
            <v>GERMANY</v>
          </cell>
        </row>
        <row r="1176">
          <cell r="L1176" t="str">
            <v>Non-proportional</v>
          </cell>
          <cell r="S1176">
            <v>308.01</v>
          </cell>
          <cell r="X1176" t="str">
            <v>Commissions - gross</v>
          </cell>
          <cell r="Y1176" t="str">
            <v>ICELAND</v>
          </cell>
        </row>
        <row r="1177">
          <cell r="L1177" t="str">
            <v>Non-proportional</v>
          </cell>
          <cell r="S1177">
            <v>2588.63</v>
          </cell>
          <cell r="X1177" t="str">
            <v>Commissions - gross</v>
          </cell>
          <cell r="Y1177" t="str">
            <v>CZECH REPUBLIC</v>
          </cell>
        </row>
        <row r="1178">
          <cell r="L1178" t="str">
            <v>Non-proportional</v>
          </cell>
          <cell r="S1178">
            <v>745.46</v>
          </cell>
          <cell r="X1178" t="str">
            <v>Commissions - gross</v>
          </cell>
          <cell r="Y1178" t="str">
            <v>EUROPE</v>
          </cell>
        </row>
        <row r="1179">
          <cell r="L1179" t="str">
            <v>Non-proportional</v>
          </cell>
          <cell r="S1179">
            <v>3088.92</v>
          </cell>
          <cell r="X1179" t="str">
            <v>Commissions - gross</v>
          </cell>
          <cell r="Y1179" t="str">
            <v>UNITED KINGDOM</v>
          </cell>
        </row>
        <row r="1180">
          <cell r="L1180" t="str">
            <v>Non-proportional</v>
          </cell>
          <cell r="S1180">
            <v>112.23</v>
          </cell>
          <cell r="X1180" t="str">
            <v>Commissions - gross</v>
          </cell>
          <cell r="Y1180" t="str">
            <v>ITALY</v>
          </cell>
        </row>
        <row r="1181">
          <cell r="L1181" t="str">
            <v>Non-proportional</v>
          </cell>
          <cell r="S1181">
            <v>1207.32</v>
          </cell>
          <cell r="X1181" t="str">
            <v>Commissions - gross</v>
          </cell>
          <cell r="Y1181" t="str">
            <v>UNITED KINGDOM</v>
          </cell>
        </row>
        <row r="1182">
          <cell r="L1182" t="str">
            <v>Non-proportional</v>
          </cell>
          <cell r="S1182">
            <v>389.03</v>
          </cell>
          <cell r="X1182" t="str">
            <v>Commissions - gross</v>
          </cell>
          <cell r="Y1182" t="str">
            <v>NORWAY</v>
          </cell>
        </row>
        <row r="1183">
          <cell r="L1183" t="str">
            <v>Non-proportional</v>
          </cell>
          <cell r="S1183">
            <v>663.84</v>
          </cell>
          <cell r="X1183" t="str">
            <v>Commissions - gross</v>
          </cell>
          <cell r="Y1183" t="str">
            <v>EUROPE</v>
          </cell>
        </row>
        <row r="1184">
          <cell r="L1184" t="str">
            <v>Non-proportional</v>
          </cell>
          <cell r="S1184">
            <v>281.62</v>
          </cell>
          <cell r="X1184" t="str">
            <v>Commissions - gross</v>
          </cell>
          <cell r="Y1184" t="str">
            <v>FRANCE</v>
          </cell>
        </row>
        <row r="1185">
          <cell r="L1185" t="str">
            <v>Non-proportional</v>
          </cell>
          <cell r="S1185">
            <v>127.94</v>
          </cell>
          <cell r="X1185" t="str">
            <v>Commissions - gross</v>
          </cell>
          <cell r="Y1185" t="str">
            <v>FRANCE</v>
          </cell>
        </row>
        <row r="1186">
          <cell r="L1186" t="str">
            <v>Non-proportional</v>
          </cell>
          <cell r="S1186">
            <v>1.1000000000000001</v>
          </cell>
          <cell r="X1186" t="str">
            <v>Commissions - gross</v>
          </cell>
          <cell r="Y1186" t="str">
            <v>NORWAY</v>
          </cell>
        </row>
        <row r="1187">
          <cell r="L1187" t="str">
            <v>Non-proportional</v>
          </cell>
          <cell r="S1187">
            <v>83.74</v>
          </cell>
          <cell r="X1187" t="str">
            <v>Commissions - gross</v>
          </cell>
          <cell r="Y1187" t="str">
            <v>DENMARK</v>
          </cell>
        </row>
        <row r="1188">
          <cell r="L1188" t="str">
            <v>Non-proportional</v>
          </cell>
          <cell r="S1188">
            <v>607.1</v>
          </cell>
          <cell r="X1188" t="str">
            <v>Commissions - gross</v>
          </cell>
          <cell r="Y1188" t="str">
            <v>DENMARK</v>
          </cell>
        </row>
        <row r="1189">
          <cell r="L1189" t="str">
            <v>Non-proportional</v>
          </cell>
          <cell r="S1189">
            <v>1154.5</v>
          </cell>
          <cell r="X1189" t="str">
            <v>Commissions - gross</v>
          </cell>
          <cell r="Y1189" t="str">
            <v>UNITED KINGDOM</v>
          </cell>
        </row>
        <row r="1190">
          <cell r="L1190" t="str">
            <v>Non-proportional</v>
          </cell>
          <cell r="S1190">
            <v>-0.3</v>
          </cell>
          <cell r="X1190" t="str">
            <v>Commissions - gross</v>
          </cell>
          <cell r="Y1190" t="str">
            <v>DENMARK</v>
          </cell>
        </row>
        <row r="1191">
          <cell r="L1191" t="str">
            <v>Non-proportional</v>
          </cell>
          <cell r="S1191">
            <v>2539.36</v>
          </cell>
          <cell r="X1191" t="str">
            <v>Commissions - gross</v>
          </cell>
          <cell r="Y1191" t="str">
            <v>GERMANY</v>
          </cell>
        </row>
        <row r="1192">
          <cell r="L1192" t="str">
            <v>Non-proportional</v>
          </cell>
          <cell r="S1192">
            <v>1960.61</v>
          </cell>
          <cell r="X1192" t="str">
            <v>Commissions - gross</v>
          </cell>
          <cell r="Y1192" t="str">
            <v>FRANCE</v>
          </cell>
        </row>
        <row r="1193">
          <cell r="L1193" t="str">
            <v>Non-proportional</v>
          </cell>
          <cell r="S1193">
            <v>1637.74</v>
          </cell>
          <cell r="X1193" t="str">
            <v>Commissions - gross</v>
          </cell>
          <cell r="Y1193" t="str">
            <v>SWITZERLAND</v>
          </cell>
        </row>
        <row r="1194">
          <cell r="L1194" t="str">
            <v>Non-proportional</v>
          </cell>
          <cell r="S1194">
            <v>2075.86</v>
          </cell>
          <cell r="X1194" t="str">
            <v>Commissions - gross</v>
          </cell>
          <cell r="Y1194" t="str">
            <v>EIRE</v>
          </cell>
        </row>
        <row r="1195">
          <cell r="L1195" t="str">
            <v>Non-proportional</v>
          </cell>
          <cell r="S1195">
            <v>-3014.24</v>
          </cell>
          <cell r="X1195" t="str">
            <v>Commissions - gross</v>
          </cell>
          <cell r="Y1195" t="str">
            <v>JAPAN</v>
          </cell>
        </row>
        <row r="1196">
          <cell r="L1196" t="str">
            <v>Non-proportional</v>
          </cell>
          <cell r="S1196">
            <v>759</v>
          </cell>
          <cell r="X1196" t="str">
            <v>Commissions - gross</v>
          </cell>
          <cell r="Y1196" t="str">
            <v>GERMANY</v>
          </cell>
        </row>
        <row r="1197">
          <cell r="L1197" t="str">
            <v>Non-proportional</v>
          </cell>
          <cell r="S1197">
            <v>-9500.66</v>
          </cell>
          <cell r="X1197" t="str">
            <v>Commissions - gross</v>
          </cell>
          <cell r="Y1197" t="str">
            <v>UNITED KINGDOM</v>
          </cell>
        </row>
        <row r="1198">
          <cell r="L1198" t="str">
            <v>Non-proportional</v>
          </cell>
          <cell r="S1198">
            <v>339.25</v>
          </cell>
          <cell r="X1198" t="str">
            <v>Commissions - gross</v>
          </cell>
          <cell r="Y1198" t="str">
            <v>ITALY</v>
          </cell>
        </row>
        <row r="1199">
          <cell r="L1199" t="str">
            <v>Non-proportional</v>
          </cell>
          <cell r="S1199">
            <v>589.39</v>
          </cell>
          <cell r="X1199" t="str">
            <v>Commissions - gross</v>
          </cell>
          <cell r="Y1199" t="str">
            <v>AUSTRIA</v>
          </cell>
        </row>
        <row r="1200">
          <cell r="L1200" t="str">
            <v>Non-proportional</v>
          </cell>
          <cell r="S1200">
            <v>1188.55</v>
          </cell>
          <cell r="X1200" t="str">
            <v>Commissions - gross</v>
          </cell>
          <cell r="Y1200" t="str">
            <v>UNITED KINGDOM</v>
          </cell>
        </row>
        <row r="1201">
          <cell r="L1201" t="str">
            <v>Non-proportional</v>
          </cell>
          <cell r="S1201">
            <v>208.33</v>
          </cell>
          <cell r="X1201" t="str">
            <v>Commissions - gross</v>
          </cell>
          <cell r="Y1201" t="str">
            <v>GERMANY</v>
          </cell>
        </row>
        <row r="1202">
          <cell r="L1202" t="str">
            <v>Non-proportional</v>
          </cell>
          <cell r="S1202">
            <v>27.07</v>
          </cell>
          <cell r="X1202" t="str">
            <v>Commissions - gross</v>
          </cell>
          <cell r="Y1202" t="str">
            <v>ITALY</v>
          </cell>
        </row>
        <row r="1203">
          <cell r="L1203" t="str">
            <v>Non-proportional</v>
          </cell>
          <cell r="S1203">
            <v>314.33</v>
          </cell>
          <cell r="X1203" t="str">
            <v>Commissions - gross</v>
          </cell>
          <cell r="Y1203" t="str">
            <v>GERMANY</v>
          </cell>
        </row>
        <row r="1204">
          <cell r="L1204" t="str">
            <v>Non-proportional</v>
          </cell>
          <cell r="S1204">
            <v>360.16</v>
          </cell>
          <cell r="X1204" t="str">
            <v>Commissions - gross</v>
          </cell>
          <cell r="Y1204" t="str">
            <v>FAROE ISLANDS</v>
          </cell>
        </row>
        <row r="1205">
          <cell r="L1205" t="str">
            <v>Non-proportional</v>
          </cell>
          <cell r="S1205">
            <v>75.47</v>
          </cell>
          <cell r="X1205" t="str">
            <v>Commissions - gross</v>
          </cell>
          <cell r="Y1205" t="str">
            <v>JAPAN</v>
          </cell>
        </row>
        <row r="1206">
          <cell r="L1206" t="str">
            <v>Non-proportional</v>
          </cell>
          <cell r="S1206">
            <v>30.08</v>
          </cell>
          <cell r="X1206" t="str">
            <v>Commissions - gross</v>
          </cell>
          <cell r="Y1206" t="str">
            <v>ITALY</v>
          </cell>
        </row>
        <row r="1207">
          <cell r="L1207" t="str">
            <v>Non-proportional</v>
          </cell>
          <cell r="S1207">
            <v>1705.47</v>
          </cell>
          <cell r="X1207" t="str">
            <v>Commissions - gross</v>
          </cell>
          <cell r="Y1207" t="str">
            <v>SWITZERLAND</v>
          </cell>
        </row>
        <row r="1208">
          <cell r="L1208" t="str">
            <v>Non-proportional</v>
          </cell>
          <cell r="S1208">
            <v>353.1</v>
          </cell>
          <cell r="X1208" t="str">
            <v>Commissions - gross</v>
          </cell>
          <cell r="Y1208" t="str">
            <v>FAROE ISLANDS</v>
          </cell>
        </row>
        <row r="1209">
          <cell r="L1209" t="str">
            <v>Non-proportional</v>
          </cell>
          <cell r="S1209">
            <v>707.42</v>
          </cell>
          <cell r="X1209" t="str">
            <v>Commissions - gross</v>
          </cell>
          <cell r="Y1209" t="str">
            <v>UNITED KINGDOM</v>
          </cell>
        </row>
        <row r="1210">
          <cell r="L1210" t="str">
            <v>Non-proportional</v>
          </cell>
          <cell r="S1210">
            <v>1897.38</v>
          </cell>
          <cell r="X1210" t="str">
            <v>Commissions - gross</v>
          </cell>
          <cell r="Y1210" t="str">
            <v>AUSTRIA</v>
          </cell>
        </row>
        <row r="1211">
          <cell r="L1211" t="str">
            <v>Non-proportional</v>
          </cell>
          <cell r="S1211">
            <v>1405.83</v>
          </cell>
          <cell r="X1211" t="str">
            <v>Commissions - gross</v>
          </cell>
          <cell r="Y1211" t="str">
            <v>EIRE</v>
          </cell>
        </row>
        <row r="1212">
          <cell r="L1212" t="str">
            <v>Non-proportional</v>
          </cell>
          <cell r="S1212">
            <v>-0.48</v>
          </cell>
          <cell r="X1212" t="str">
            <v>Commissions - gross</v>
          </cell>
          <cell r="Y1212" t="str">
            <v>SWEDEN</v>
          </cell>
        </row>
        <row r="1213">
          <cell r="L1213" t="str">
            <v>Non-proportional</v>
          </cell>
          <cell r="S1213">
            <v>31.36</v>
          </cell>
          <cell r="X1213" t="str">
            <v>Commissions - gross</v>
          </cell>
          <cell r="Y1213" t="str">
            <v>DENMARK</v>
          </cell>
        </row>
        <row r="1214">
          <cell r="L1214" t="str">
            <v>Non-proportional</v>
          </cell>
          <cell r="S1214">
            <v>999.97</v>
          </cell>
          <cell r="X1214" t="str">
            <v>Commissions - gross</v>
          </cell>
          <cell r="Y1214" t="str">
            <v>GERMANY</v>
          </cell>
        </row>
        <row r="1215">
          <cell r="L1215" t="str">
            <v>Non-proportional</v>
          </cell>
          <cell r="S1215">
            <v>1400.86</v>
          </cell>
          <cell r="X1215" t="str">
            <v>Commissions - gross</v>
          </cell>
          <cell r="Y1215" t="str">
            <v>GERMANY</v>
          </cell>
        </row>
        <row r="1216">
          <cell r="L1216" t="str">
            <v>Non-proportional</v>
          </cell>
          <cell r="S1216">
            <v>1412</v>
          </cell>
          <cell r="X1216" t="str">
            <v>Commissions - gross</v>
          </cell>
          <cell r="Y1216" t="str">
            <v>AUSTRIA</v>
          </cell>
        </row>
        <row r="1217">
          <cell r="L1217" t="str">
            <v>Non-proportional</v>
          </cell>
          <cell r="S1217">
            <v>17066.310000000001</v>
          </cell>
          <cell r="X1217" t="str">
            <v>Commissions - gross</v>
          </cell>
          <cell r="Y1217" t="str">
            <v>UNITED KINGDOM</v>
          </cell>
        </row>
        <row r="1218">
          <cell r="L1218" t="str">
            <v>Non-proportional</v>
          </cell>
          <cell r="S1218">
            <v>28149.22</v>
          </cell>
          <cell r="X1218" t="str">
            <v>Commissions - gross</v>
          </cell>
          <cell r="Y1218" t="str">
            <v>UNITED KINGDOM</v>
          </cell>
        </row>
        <row r="1219">
          <cell r="L1219" t="str">
            <v>Non-proportional</v>
          </cell>
          <cell r="S1219">
            <v>4329.6899999999996</v>
          </cell>
          <cell r="X1219" t="str">
            <v>Commissions - gross</v>
          </cell>
          <cell r="Y1219" t="str">
            <v>UNITED KINGDOM</v>
          </cell>
        </row>
        <row r="1220">
          <cell r="L1220" t="str">
            <v>Non-proportional</v>
          </cell>
          <cell r="S1220">
            <v>869.69</v>
          </cell>
          <cell r="X1220" t="str">
            <v>Commissions - gross</v>
          </cell>
          <cell r="Y1220" t="str">
            <v>GERMANY</v>
          </cell>
        </row>
        <row r="1221">
          <cell r="L1221" t="str">
            <v>Non-proportional</v>
          </cell>
          <cell r="S1221">
            <v>271.27</v>
          </cell>
          <cell r="X1221" t="str">
            <v>Commissions - gross</v>
          </cell>
          <cell r="Y1221" t="str">
            <v>GERMANY</v>
          </cell>
        </row>
        <row r="1222">
          <cell r="L1222" t="str">
            <v>Non-proportional</v>
          </cell>
          <cell r="S1222">
            <v>35.17</v>
          </cell>
          <cell r="X1222" t="str">
            <v>Commissions - gross</v>
          </cell>
          <cell r="Y1222" t="str">
            <v>GERMANY</v>
          </cell>
        </row>
        <row r="1223">
          <cell r="L1223" t="str">
            <v>Non-proportional</v>
          </cell>
          <cell r="S1223">
            <v>690.42</v>
          </cell>
          <cell r="X1223" t="str">
            <v>Commissions - gross</v>
          </cell>
          <cell r="Y1223" t="str">
            <v>FRANCE</v>
          </cell>
        </row>
        <row r="1224">
          <cell r="L1224" t="str">
            <v>Non-proportional</v>
          </cell>
          <cell r="S1224">
            <v>89.37</v>
          </cell>
          <cell r="X1224" t="str">
            <v>Commissions - gross</v>
          </cell>
          <cell r="Y1224" t="str">
            <v>DENMARK</v>
          </cell>
        </row>
        <row r="1225">
          <cell r="L1225" t="str">
            <v>Non-proportional</v>
          </cell>
          <cell r="S1225">
            <v>1339.97</v>
          </cell>
          <cell r="X1225" t="str">
            <v>Commissions - gross</v>
          </cell>
          <cell r="Y1225" t="str">
            <v>GERMANY</v>
          </cell>
        </row>
        <row r="1226">
          <cell r="L1226" t="str">
            <v>Non-proportional</v>
          </cell>
          <cell r="S1226">
            <v>323.79000000000002</v>
          </cell>
          <cell r="X1226" t="str">
            <v>Commissions - gross</v>
          </cell>
          <cell r="Y1226" t="str">
            <v>UNITED KINGDOM</v>
          </cell>
        </row>
        <row r="1227">
          <cell r="L1227" t="str">
            <v>Non-proportional</v>
          </cell>
          <cell r="S1227">
            <v>807.28</v>
          </cell>
          <cell r="X1227" t="str">
            <v>Commissions - gross</v>
          </cell>
          <cell r="Y1227" t="str">
            <v>GERMANY</v>
          </cell>
        </row>
        <row r="1228">
          <cell r="L1228" t="str">
            <v>Non-proportional</v>
          </cell>
          <cell r="S1228">
            <v>3372.64</v>
          </cell>
          <cell r="X1228" t="str">
            <v>Commissions - gross</v>
          </cell>
          <cell r="Y1228" t="str">
            <v>FRANCE</v>
          </cell>
        </row>
        <row r="1229">
          <cell r="L1229" t="str">
            <v>Non-proportional</v>
          </cell>
          <cell r="S1229">
            <v>2648.75</v>
          </cell>
          <cell r="X1229" t="str">
            <v>Commissions - gross</v>
          </cell>
          <cell r="Y1229" t="str">
            <v>UNITED KINGDOM</v>
          </cell>
        </row>
        <row r="1230">
          <cell r="L1230" t="str">
            <v>Non-proportional</v>
          </cell>
          <cell r="S1230">
            <v>385</v>
          </cell>
          <cell r="X1230" t="str">
            <v>Commissions - gross</v>
          </cell>
          <cell r="Y1230" t="str">
            <v>GERMANY</v>
          </cell>
        </row>
        <row r="1231">
          <cell r="L1231" t="str">
            <v>Non-proportional</v>
          </cell>
          <cell r="S1231">
            <v>-0.28000000000000003</v>
          </cell>
          <cell r="X1231" t="str">
            <v>Commissions - gross</v>
          </cell>
          <cell r="Y1231" t="str">
            <v>DENMARK</v>
          </cell>
        </row>
        <row r="1232">
          <cell r="L1232" t="str">
            <v>Non-proportional</v>
          </cell>
          <cell r="S1232">
            <v>-7942.35</v>
          </cell>
          <cell r="X1232" t="str">
            <v>Commissions - gross</v>
          </cell>
          <cell r="Y1232" t="str">
            <v>UNITED KINGDOM</v>
          </cell>
        </row>
        <row r="1233">
          <cell r="L1233" t="str">
            <v>Non-proportional</v>
          </cell>
          <cell r="S1233">
            <v>832.28</v>
          </cell>
          <cell r="X1233" t="str">
            <v>Commissions - gross</v>
          </cell>
          <cell r="Y1233" t="str">
            <v>GERMANY</v>
          </cell>
        </row>
        <row r="1234">
          <cell r="L1234" t="str">
            <v>Non-proportional</v>
          </cell>
          <cell r="S1234">
            <v>4090.35</v>
          </cell>
          <cell r="X1234" t="str">
            <v>Commissions - gross</v>
          </cell>
          <cell r="Y1234" t="str">
            <v>GERMANY</v>
          </cell>
        </row>
        <row r="1235">
          <cell r="L1235" t="str">
            <v>Non-proportional</v>
          </cell>
          <cell r="S1235">
            <v>1917.57</v>
          </cell>
          <cell r="X1235" t="str">
            <v>Commissions - gross</v>
          </cell>
          <cell r="Y1235" t="str">
            <v>SWEDEN</v>
          </cell>
        </row>
        <row r="1236">
          <cell r="L1236" t="str">
            <v>Non-proportional</v>
          </cell>
          <cell r="S1236">
            <v>3450.2</v>
          </cell>
          <cell r="X1236" t="str">
            <v>Commissions - gross</v>
          </cell>
          <cell r="Y1236" t="str">
            <v>CZECH REPUBLIC</v>
          </cell>
        </row>
        <row r="1237">
          <cell r="L1237" t="str">
            <v>Non-proportional</v>
          </cell>
          <cell r="S1237">
            <v>884.49</v>
          </cell>
          <cell r="X1237" t="str">
            <v>Commissions - gross</v>
          </cell>
          <cell r="Y1237" t="str">
            <v>GERMANY</v>
          </cell>
        </row>
        <row r="1238">
          <cell r="L1238" t="str">
            <v>Non-proportional</v>
          </cell>
          <cell r="S1238">
            <v>4346.3500000000004</v>
          </cell>
          <cell r="X1238" t="str">
            <v>Commissions - gross</v>
          </cell>
          <cell r="Y1238" t="str">
            <v>UNITED KINGDOM</v>
          </cell>
        </row>
        <row r="1239">
          <cell r="L1239" t="str">
            <v>Non-proportional</v>
          </cell>
          <cell r="S1239">
            <v>2312.33</v>
          </cell>
          <cell r="X1239" t="str">
            <v>Commissions - gross</v>
          </cell>
          <cell r="Y1239" t="str">
            <v>UNITED KINGDOM</v>
          </cell>
        </row>
        <row r="1240">
          <cell r="L1240" t="str">
            <v>Non-proportional</v>
          </cell>
          <cell r="S1240">
            <v>1188.23</v>
          </cell>
          <cell r="X1240" t="str">
            <v>Commissions - gross</v>
          </cell>
          <cell r="Y1240" t="str">
            <v>EUROPE</v>
          </cell>
        </row>
        <row r="1241">
          <cell r="L1241" t="str">
            <v>Non-proportional</v>
          </cell>
          <cell r="S1241">
            <v>869.77</v>
          </cell>
          <cell r="X1241" t="str">
            <v>Commissions - gross</v>
          </cell>
          <cell r="Y1241" t="str">
            <v>GERMANY</v>
          </cell>
        </row>
        <row r="1242">
          <cell r="L1242" t="str">
            <v>Non-proportional</v>
          </cell>
          <cell r="S1242">
            <v>791.68</v>
          </cell>
          <cell r="X1242" t="str">
            <v>Commissions - gross</v>
          </cell>
          <cell r="Y1242" t="str">
            <v>GERMANY</v>
          </cell>
        </row>
        <row r="1243">
          <cell r="L1243" t="str">
            <v>Non-proportional</v>
          </cell>
          <cell r="S1243">
            <v>337.5</v>
          </cell>
          <cell r="X1243" t="str">
            <v>Commissions - gross</v>
          </cell>
          <cell r="Y1243" t="str">
            <v>GERMANY</v>
          </cell>
        </row>
        <row r="1244">
          <cell r="L1244" t="str">
            <v>Non-proportional</v>
          </cell>
          <cell r="S1244">
            <v>1354.17</v>
          </cell>
          <cell r="X1244" t="str">
            <v>Commissions - gross</v>
          </cell>
          <cell r="Y1244" t="str">
            <v>GERMANY</v>
          </cell>
        </row>
        <row r="1245">
          <cell r="L1245" t="str">
            <v>Non-proportional</v>
          </cell>
          <cell r="S1245">
            <v>2077.06</v>
          </cell>
          <cell r="X1245" t="str">
            <v>Commissions - gross</v>
          </cell>
          <cell r="Y1245" t="str">
            <v>FRANCE</v>
          </cell>
        </row>
        <row r="1246">
          <cell r="L1246" t="str">
            <v>Non-proportional</v>
          </cell>
          <cell r="S1246">
            <v>627.82000000000005</v>
          </cell>
          <cell r="X1246" t="str">
            <v>Commissions - gross</v>
          </cell>
          <cell r="Y1246" t="str">
            <v>SWEDEN</v>
          </cell>
        </row>
        <row r="1247">
          <cell r="L1247" t="str">
            <v>Non-proportional</v>
          </cell>
          <cell r="S1247">
            <v>4375</v>
          </cell>
          <cell r="X1247" t="str">
            <v>Commissions - gross</v>
          </cell>
          <cell r="Y1247" t="str">
            <v>GERMANY</v>
          </cell>
        </row>
        <row r="1248">
          <cell r="L1248" t="str">
            <v>Non-proportional</v>
          </cell>
          <cell r="S1248">
            <v>899.99</v>
          </cell>
          <cell r="X1248" t="str">
            <v>Commissions - gross</v>
          </cell>
          <cell r="Y1248" t="str">
            <v>GERMANY</v>
          </cell>
        </row>
        <row r="1249">
          <cell r="L1249" t="str">
            <v>Non-proportional</v>
          </cell>
          <cell r="S1249">
            <v>582.11</v>
          </cell>
          <cell r="X1249" t="str">
            <v>Commissions - gross</v>
          </cell>
          <cell r="Y1249" t="str">
            <v>SWEDEN</v>
          </cell>
        </row>
        <row r="1250">
          <cell r="L1250" t="str">
            <v>Non-proportional</v>
          </cell>
          <cell r="S1250">
            <v>836.96</v>
          </cell>
          <cell r="X1250" t="str">
            <v>Commissions - gross</v>
          </cell>
          <cell r="Y1250" t="str">
            <v>GERMANY</v>
          </cell>
        </row>
        <row r="1251">
          <cell r="L1251" t="str">
            <v>Non-proportional</v>
          </cell>
          <cell r="S1251">
            <v>920.31</v>
          </cell>
          <cell r="X1251" t="str">
            <v>Commissions - gross</v>
          </cell>
          <cell r="Y1251" t="str">
            <v>GERMANY</v>
          </cell>
        </row>
        <row r="1252">
          <cell r="L1252" t="str">
            <v>Non-proportional</v>
          </cell>
          <cell r="S1252">
            <v>-1.03</v>
          </cell>
          <cell r="X1252" t="str">
            <v>Commissions - gross</v>
          </cell>
          <cell r="Y1252" t="str">
            <v>SWEDEN</v>
          </cell>
        </row>
        <row r="1253">
          <cell r="L1253" t="str">
            <v>Non-proportional</v>
          </cell>
          <cell r="S1253">
            <v>699.8</v>
          </cell>
          <cell r="X1253" t="str">
            <v>Commissions - gross</v>
          </cell>
          <cell r="Y1253" t="str">
            <v>AUSTRIA</v>
          </cell>
        </row>
        <row r="1254">
          <cell r="L1254" t="str">
            <v>Non-proportional</v>
          </cell>
          <cell r="S1254">
            <v>2118.52</v>
          </cell>
          <cell r="X1254" t="str">
            <v>Commissions - gross</v>
          </cell>
          <cell r="Y1254" t="str">
            <v>SWITZERLAND</v>
          </cell>
        </row>
        <row r="1255">
          <cell r="L1255" t="str">
            <v>Non-proportional</v>
          </cell>
          <cell r="S1255">
            <v>5882.49</v>
          </cell>
          <cell r="X1255" t="str">
            <v>Commissions - gross</v>
          </cell>
          <cell r="Y1255" t="str">
            <v>UNITED KINGDOM</v>
          </cell>
        </row>
        <row r="1256">
          <cell r="L1256" t="str">
            <v>Non-proportional</v>
          </cell>
          <cell r="S1256">
            <v>-990.37</v>
          </cell>
          <cell r="X1256" t="str">
            <v>Commissions - gross</v>
          </cell>
          <cell r="Y1256" t="str">
            <v>JAPAN</v>
          </cell>
        </row>
        <row r="1257">
          <cell r="L1257" t="str">
            <v>Non-proportional</v>
          </cell>
          <cell r="S1257">
            <v>1236.28</v>
          </cell>
          <cell r="X1257" t="str">
            <v>Commissions - gross</v>
          </cell>
          <cell r="Y1257" t="str">
            <v>UNITED KINGDOM</v>
          </cell>
        </row>
        <row r="1258">
          <cell r="L1258" t="str">
            <v>Non-proportional</v>
          </cell>
          <cell r="S1258">
            <v>410.65</v>
          </cell>
          <cell r="X1258" t="str">
            <v>Commissions - gross</v>
          </cell>
          <cell r="Y1258" t="str">
            <v>SWITZERLAND</v>
          </cell>
        </row>
        <row r="1259">
          <cell r="L1259" t="str">
            <v>Non-proportional</v>
          </cell>
          <cell r="S1259">
            <v>235.75</v>
          </cell>
          <cell r="X1259" t="str">
            <v>Commissions - gross</v>
          </cell>
          <cell r="Y1259" t="str">
            <v>GERMANY</v>
          </cell>
        </row>
        <row r="1260">
          <cell r="L1260" t="str">
            <v>Non-proportional</v>
          </cell>
          <cell r="S1260">
            <v>1460.25</v>
          </cell>
          <cell r="X1260" t="str">
            <v>Commissions - gross</v>
          </cell>
          <cell r="Y1260" t="str">
            <v>GERMANY</v>
          </cell>
        </row>
        <row r="1261">
          <cell r="L1261" t="str">
            <v>Non-proportional</v>
          </cell>
          <cell r="S1261">
            <v>687.19</v>
          </cell>
          <cell r="X1261" t="str">
            <v>Commissions - gross</v>
          </cell>
          <cell r="Y1261" t="str">
            <v>GERMANY</v>
          </cell>
        </row>
        <row r="1262">
          <cell r="L1262" t="str">
            <v>Non-proportional</v>
          </cell>
          <cell r="S1262">
            <v>849.45</v>
          </cell>
          <cell r="X1262" t="str">
            <v>Commissions - gross</v>
          </cell>
          <cell r="Y1262" t="str">
            <v>GERMANY</v>
          </cell>
        </row>
        <row r="1263">
          <cell r="L1263" t="str">
            <v>Non-proportional</v>
          </cell>
          <cell r="S1263">
            <v>1097.48</v>
          </cell>
          <cell r="X1263" t="str">
            <v>Commissions - gross</v>
          </cell>
          <cell r="Y1263" t="str">
            <v>GERMANY</v>
          </cell>
        </row>
        <row r="1264">
          <cell r="L1264" t="str">
            <v>Non-proportional</v>
          </cell>
          <cell r="S1264">
            <v>405.05</v>
          </cell>
          <cell r="X1264" t="str">
            <v>Commissions - gross</v>
          </cell>
          <cell r="Y1264" t="str">
            <v>SWITZERLAND</v>
          </cell>
        </row>
        <row r="1265">
          <cell r="L1265" t="str">
            <v>Non-proportional</v>
          </cell>
          <cell r="S1265">
            <v>368.75</v>
          </cell>
          <cell r="X1265" t="str">
            <v>Commissions - gross</v>
          </cell>
          <cell r="Y1265" t="str">
            <v>GERMANY</v>
          </cell>
        </row>
        <row r="1266">
          <cell r="L1266" t="str">
            <v>Non-proportional</v>
          </cell>
          <cell r="S1266">
            <v>777.24</v>
          </cell>
          <cell r="X1266" t="str">
            <v>Commissions - gross</v>
          </cell>
          <cell r="Y1266" t="str">
            <v>SWITZERLAND</v>
          </cell>
        </row>
        <row r="1267">
          <cell r="L1267" t="str">
            <v>Non-proportional</v>
          </cell>
          <cell r="S1267">
            <v>1632.93</v>
          </cell>
          <cell r="X1267" t="str">
            <v>Commissions - gross</v>
          </cell>
          <cell r="Y1267" t="str">
            <v>DENMARK</v>
          </cell>
        </row>
        <row r="1268">
          <cell r="L1268" t="str">
            <v>Non-proportional</v>
          </cell>
          <cell r="S1268">
            <v>645.83000000000004</v>
          </cell>
          <cell r="X1268" t="str">
            <v>Commissions - gross</v>
          </cell>
          <cell r="Y1268" t="str">
            <v>AUSTRIA</v>
          </cell>
        </row>
        <row r="1269">
          <cell r="L1269" t="str">
            <v>Non-proportional</v>
          </cell>
          <cell r="S1269">
            <v>2514.67</v>
          </cell>
          <cell r="X1269" t="str">
            <v>Commissions - gross</v>
          </cell>
          <cell r="Y1269" t="str">
            <v>GERMANY</v>
          </cell>
        </row>
        <row r="1270">
          <cell r="L1270" t="str">
            <v>Non-proportional</v>
          </cell>
          <cell r="S1270">
            <v>-0.23</v>
          </cell>
          <cell r="X1270" t="str">
            <v>Commissions - gross</v>
          </cell>
          <cell r="Y1270" t="str">
            <v>DENMARK</v>
          </cell>
        </row>
        <row r="1271">
          <cell r="L1271" t="str">
            <v>Non-proportional</v>
          </cell>
          <cell r="S1271">
            <v>763.71</v>
          </cell>
          <cell r="X1271" t="str">
            <v>Commissions - gross</v>
          </cell>
          <cell r="Y1271" t="str">
            <v>NORWAY</v>
          </cell>
        </row>
        <row r="1272">
          <cell r="L1272" t="str">
            <v>Non-proportional</v>
          </cell>
          <cell r="S1272">
            <v>212.44</v>
          </cell>
          <cell r="X1272" t="str">
            <v>Commissions - gross</v>
          </cell>
          <cell r="Y1272" t="str">
            <v>JAPAN</v>
          </cell>
        </row>
        <row r="1273">
          <cell r="L1273" t="str">
            <v>Non-proportional</v>
          </cell>
          <cell r="S1273">
            <v>385</v>
          </cell>
          <cell r="X1273" t="str">
            <v>Commissions - gross</v>
          </cell>
          <cell r="Y1273" t="str">
            <v>GERMANY</v>
          </cell>
        </row>
        <row r="1274">
          <cell r="L1274" t="str">
            <v>Non-proportional</v>
          </cell>
          <cell r="S1274">
            <v>633.51</v>
          </cell>
          <cell r="X1274" t="str">
            <v>Commissions - gross</v>
          </cell>
          <cell r="Y1274" t="str">
            <v>GERMANY</v>
          </cell>
        </row>
        <row r="1275">
          <cell r="L1275" t="str">
            <v>Non-proportional</v>
          </cell>
          <cell r="S1275">
            <v>1127.08</v>
          </cell>
          <cell r="X1275" t="str">
            <v>Commissions - gross</v>
          </cell>
          <cell r="Y1275" t="str">
            <v>SWEDEN</v>
          </cell>
        </row>
        <row r="1276">
          <cell r="L1276" t="str">
            <v>Non-proportional</v>
          </cell>
          <cell r="S1276">
            <v>4377.0600000000004</v>
          </cell>
          <cell r="X1276" t="str">
            <v>Commissions - gross</v>
          </cell>
          <cell r="Y1276" t="str">
            <v>UNITED KINGDOM</v>
          </cell>
        </row>
        <row r="1277">
          <cell r="L1277" t="str">
            <v>Non-proportional</v>
          </cell>
          <cell r="S1277">
            <v>310.73</v>
          </cell>
          <cell r="X1277" t="str">
            <v>Commissions - gross</v>
          </cell>
          <cell r="Y1277" t="str">
            <v>GERMANY</v>
          </cell>
        </row>
        <row r="1278">
          <cell r="L1278" t="str">
            <v>Non-proportional</v>
          </cell>
          <cell r="S1278">
            <v>115.92</v>
          </cell>
          <cell r="X1278" t="str">
            <v>Commissions - gross</v>
          </cell>
          <cell r="Y1278" t="str">
            <v>UNITED KINGDOM</v>
          </cell>
        </row>
        <row r="1279">
          <cell r="L1279" t="str">
            <v>Non-proportional</v>
          </cell>
          <cell r="S1279">
            <v>580.98</v>
          </cell>
          <cell r="X1279" t="str">
            <v>Commissions - gross</v>
          </cell>
          <cell r="Y1279" t="str">
            <v>DENMARK</v>
          </cell>
        </row>
        <row r="1280">
          <cell r="L1280" t="str">
            <v>Non-proportional</v>
          </cell>
          <cell r="S1280">
            <v>11105.24</v>
          </cell>
          <cell r="X1280" t="str">
            <v>Commissions - gross</v>
          </cell>
          <cell r="Y1280" t="str">
            <v>UNITED KINGDOM</v>
          </cell>
        </row>
        <row r="1281">
          <cell r="L1281" t="str">
            <v>Non-proportional</v>
          </cell>
          <cell r="S1281">
            <v>89.21</v>
          </cell>
          <cell r="X1281" t="str">
            <v>Commissions - gross</v>
          </cell>
          <cell r="Y1281" t="str">
            <v>JAPAN</v>
          </cell>
        </row>
        <row r="1282">
          <cell r="L1282" t="str">
            <v>Non-proportional</v>
          </cell>
          <cell r="S1282">
            <v>869.69</v>
          </cell>
          <cell r="X1282" t="str">
            <v>Commissions - gross</v>
          </cell>
          <cell r="Y1282" t="str">
            <v>GERMANY</v>
          </cell>
        </row>
        <row r="1283">
          <cell r="L1283" t="str">
            <v>Non-proportional</v>
          </cell>
          <cell r="S1283">
            <v>406.81</v>
          </cell>
          <cell r="X1283" t="str">
            <v>Commissions - gross</v>
          </cell>
          <cell r="Y1283" t="str">
            <v>SWITZERLAND</v>
          </cell>
        </row>
        <row r="1284">
          <cell r="L1284" t="str">
            <v>Non-proportional</v>
          </cell>
          <cell r="S1284">
            <v>774.74</v>
          </cell>
          <cell r="X1284" t="str">
            <v>Commissions - gross</v>
          </cell>
          <cell r="Y1284" t="str">
            <v>GERMANY</v>
          </cell>
        </row>
        <row r="1285">
          <cell r="L1285" t="str">
            <v>Non-proportional</v>
          </cell>
          <cell r="S1285">
            <v>87.34</v>
          </cell>
          <cell r="X1285" t="str">
            <v>Commissions - gross</v>
          </cell>
          <cell r="Y1285" t="str">
            <v>GERMANY</v>
          </cell>
        </row>
        <row r="1286">
          <cell r="L1286" t="str">
            <v>Non-proportional</v>
          </cell>
          <cell r="S1286">
            <v>1164.22</v>
          </cell>
          <cell r="X1286" t="str">
            <v>Commissions - gross</v>
          </cell>
          <cell r="Y1286" t="str">
            <v>SWITZERLAND</v>
          </cell>
        </row>
        <row r="1287">
          <cell r="L1287" t="str">
            <v>Non-proportional</v>
          </cell>
          <cell r="S1287">
            <v>1890</v>
          </cell>
          <cell r="X1287" t="str">
            <v>Commissions - gross</v>
          </cell>
          <cell r="Y1287" t="str">
            <v>ROMANIA</v>
          </cell>
        </row>
        <row r="1288">
          <cell r="L1288" t="str">
            <v>Non-proportional</v>
          </cell>
          <cell r="S1288">
            <v>-0.42</v>
          </cell>
          <cell r="X1288" t="str">
            <v>Commissions - gross</v>
          </cell>
          <cell r="Y1288" t="str">
            <v>DENMARK</v>
          </cell>
        </row>
        <row r="1289">
          <cell r="L1289" t="str">
            <v>Non-proportional</v>
          </cell>
          <cell r="S1289">
            <v>4090.35</v>
          </cell>
          <cell r="X1289" t="str">
            <v>Commissions - gross</v>
          </cell>
          <cell r="Y1289" t="str">
            <v>GERMANY</v>
          </cell>
        </row>
        <row r="1290">
          <cell r="L1290" t="str">
            <v>Non-proportional</v>
          </cell>
          <cell r="S1290">
            <v>349.61</v>
          </cell>
          <cell r="X1290" t="str">
            <v>Commissions - gross</v>
          </cell>
          <cell r="Y1290" t="str">
            <v>JAPAN</v>
          </cell>
        </row>
        <row r="1291">
          <cell r="L1291" t="str">
            <v>Non-proportional</v>
          </cell>
          <cell r="S1291">
            <v>347.76</v>
          </cell>
          <cell r="X1291" t="str">
            <v>Commissions - gross</v>
          </cell>
          <cell r="Y1291" t="str">
            <v>UNITED KINGDOM</v>
          </cell>
        </row>
        <row r="1292">
          <cell r="L1292" t="str">
            <v>Non-proportional</v>
          </cell>
          <cell r="S1292">
            <v>5924.06</v>
          </cell>
          <cell r="X1292" t="str">
            <v>Commissions - gross</v>
          </cell>
          <cell r="Y1292" t="str">
            <v>UNITED KINGDOM</v>
          </cell>
        </row>
        <row r="1293">
          <cell r="L1293" t="str">
            <v>Non-proportional</v>
          </cell>
          <cell r="S1293">
            <v>1870.62</v>
          </cell>
          <cell r="X1293" t="str">
            <v>Commissions - gross</v>
          </cell>
          <cell r="Y1293" t="str">
            <v>GERMANY</v>
          </cell>
        </row>
        <row r="1294">
          <cell r="L1294" t="str">
            <v>Non-proportional</v>
          </cell>
          <cell r="S1294">
            <v>869.77</v>
          </cell>
          <cell r="X1294" t="str">
            <v>Commissions - gross</v>
          </cell>
          <cell r="Y1294" t="str">
            <v>GERMANY</v>
          </cell>
        </row>
        <row r="1295">
          <cell r="L1295" t="str">
            <v>Non-proportional</v>
          </cell>
          <cell r="S1295">
            <v>108.92</v>
          </cell>
          <cell r="X1295" t="str">
            <v>Commissions - gross</v>
          </cell>
          <cell r="Y1295" t="str">
            <v>DENMARK</v>
          </cell>
        </row>
        <row r="1296">
          <cell r="L1296" t="str">
            <v>Non-proportional</v>
          </cell>
          <cell r="S1296">
            <v>165.71</v>
          </cell>
          <cell r="X1296" t="str">
            <v>Commissions - gross</v>
          </cell>
          <cell r="Y1296" t="str">
            <v>JAPAN</v>
          </cell>
        </row>
        <row r="1297">
          <cell r="L1297" t="str">
            <v>Non-proportional</v>
          </cell>
          <cell r="S1297">
            <v>663.84</v>
          </cell>
          <cell r="X1297" t="str">
            <v>Commissions - gross</v>
          </cell>
          <cell r="Y1297" t="str">
            <v>EUROPE</v>
          </cell>
        </row>
        <row r="1298">
          <cell r="L1298" t="str">
            <v>Non-proportional</v>
          </cell>
          <cell r="S1298">
            <v>1960.61</v>
          </cell>
          <cell r="X1298" t="str">
            <v>Commissions - gross</v>
          </cell>
          <cell r="Y1298" t="str">
            <v>FRANCE</v>
          </cell>
        </row>
        <row r="1299">
          <cell r="L1299" t="str">
            <v>Non-proportional</v>
          </cell>
          <cell r="S1299">
            <v>11205.21</v>
          </cell>
          <cell r="X1299" t="str">
            <v>Commissions - gross</v>
          </cell>
          <cell r="Y1299" t="str">
            <v>FRANCE</v>
          </cell>
        </row>
        <row r="1300">
          <cell r="L1300" t="str">
            <v>Non-proportional</v>
          </cell>
          <cell r="S1300">
            <v>812.5</v>
          </cell>
          <cell r="X1300" t="str">
            <v>Commissions - gross</v>
          </cell>
          <cell r="Y1300" t="str">
            <v>CZECH REPUBLIC</v>
          </cell>
        </row>
        <row r="1301">
          <cell r="L1301" t="str">
            <v>Non-proportional</v>
          </cell>
          <cell r="S1301">
            <v>836.96</v>
          </cell>
          <cell r="X1301" t="str">
            <v>Commissions - gross</v>
          </cell>
          <cell r="Y1301" t="str">
            <v>GERMANY</v>
          </cell>
        </row>
        <row r="1302">
          <cell r="L1302" t="str">
            <v>Non-proportional</v>
          </cell>
          <cell r="S1302">
            <v>2230.31</v>
          </cell>
          <cell r="X1302" t="str">
            <v>Commissions - gross</v>
          </cell>
          <cell r="Y1302" t="str">
            <v>SWITZERLAND</v>
          </cell>
        </row>
        <row r="1303">
          <cell r="L1303" t="str">
            <v>Non-proportional</v>
          </cell>
          <cell r="S1303">
            <v>1624.34</v>
          </cell>
          <cell r="X1303" t="str">
            <v>Commissions - gross</v>
          </cell>
          <cell r="Y1303" t="str">
            <v>UNITED KINGDOM</v>
          </cell>
        </row>
        <row r="1304">
          <cell r="L1304" t="str">
            <v>Non-proportional</v>
          </cell>
          <cell r="S1304">
            <v>607.41999999999996</v>
          </cell>
          <cell r="X1304" t="str">
            <v>Commissions - gross</v>
          </cell>
          <cell r="Y1304" t="str">
            <v>DENMARK</v>
          </cell>
        </row>
        <row r="1305">
          <cell r="L1305" t="str">
            <v>Non-proportional</v>
          </cell>
          <cell r="S1305">
            <v>536.25</v>
          </cell>
          <cell r="X1305" t="str">
            <v>Commissions - gross</v>
          </cell>
          <cell r="Y1305" t="str">
            <v>GERMANY</v>
          </cell>
        </row>
        <row r="1306">
          <cell r="L1306" t="str">
            <v>Non-proportional</v>
          </cell>
          <cell r="S1306">
            <v>5135.53</v>
          </cell>
          <cell r="X1306" t="str">
            <v>Commissions - gross</v>
          </cell>
          <cell r="Y1306" t="str">
            <v>UNITED KINGDOM</v>
          </cell>
        </row>
        <row r="1307">
          <cell r="L1307" t="str">
            <v>Non-proportional</v>
          </cell>
          <cell r="S1307">
            <v>13401.24</v>
          </cell>
          <cell r="X1307" t="str">
            <v>Commissions - gross</v>
          </cell>
          <cell r="Y1307" t="str">
            <v>UNITED KINGDOM</v>
          </cell>
        </row>
        <row r="1308">
          <cell r="L1308" t="str">
            <v>Non-proportional</v>
          </cell>
          <cell r="S1308">
            <v>193.89</v>
          </cell>
          <cell r="X1308" t="str">
            <v>Commissions - gross</v>
          </cell>
          <cell r="Y1308" t="str">
            <v>REPUBLIC OF IRELAND</v>
          </cell>
        </row>
        <row r="1309">
          <cell r="L1309" t="str">
            <v>Non-proportional</v>
          </cell>
          <cell r="S1309">
            <v>2667.47</v>
          </cell>
          <cell r="X1309" t="str">
            <v>Commissions - gross</v>
          </cell>
          <cell r="Y1309" t="str">
            <v>UNITED KINGDOM</v>
          </cell>
        </row>
        <row r="1310">
          <cell r="L1310" t="str">
            <v>Non-proportional</v>
          </cell>
          <cell r="S1310">
            <v>83.78</v>
          </cell>
          <cell r="X1310" t="str">
            <v>Commissions - gross</v>
          </cell>
          <cell r="Y1310" t="str">
            <v>DENMARK</v>
          </cell>
        </row>
        <row r="1311">
          <cell r="L1311" t="str">
            <v>Non-proportional</v>
          </cell>
          <cell r="S1311">
            <v>31.38</v>
          </cell>
          <cell r="X1311" t="str">
            <v>Commissions - gross</v>
          </cell>
          <cell r="Y1311" t="str">
            <v>DENMARK</v>
          </cell>
        </row>
        <row r="1312">
          <cell r="L1312" t="str">
            <v>Non-proportional</v>
          </cell>
          <cell r="S1312">
            <v>268.75</v>
          </cell>
          <cell r="X1312" t="str">
            <v>Commissions - gross</v>
          </cell>
          <cell r="Y1312" t="str">
            <v>GERMANY</v>
          </cell>
        </row>
        <row r="1313">
          <cell r="L1313" t="str">
            <v>Non-proportional</v>
          </cell>
          <cell r="S1313">
            <v>2000.25</v>
          </cell>
          <cell r="X1313" t="str">
            <v>Commissions - gross</v>
          </cell>
          <cell r="Y1313" t="str">
            <v>CZECH REPUBLIC</v>
          </cell>
        </row>
        <row r="1314">
          <cell r="L1314" t="str">
            <v>Non-proportional</v>
          </cell>
          <cell r="S1314">
            <v>32.15</v>
          </cell>
          <cell r="X1314" t="str">
            <v>Commissions - gross</v>
          </cell>
          <cell r="Y1314" t="str">
            <v>FRANCE</v>
          </cell>
        </row>
        <row r="1315">
          <cell r="L1315" t="str">
            <v>Non-proportional</v>
          </cell>
          <cell r="S1315">
            <v>554.28</v>
          </cell>
          <cell r="X1315" t="str">
            <v>Commissions - gross</v>
          </cell>
          <cell r="Y1315" t="str">
            <v>UNITED KINGDOM</v>
          </cell>
        </row>
        <row r="1316">
          <cell r="L1316" t="str">
            <v>Non-proportional</v>
          </cell>
          <cell r="S1316">
            <v>862.5</v>
          </cell>
          <cell r="X1316" t="str">
            <v>Commissions - gross</v>
          </cell>
          <cell r="Y1316" t="str">
            <v>GERMANY</v>
          </cell>
        </row>
        <row r="1317">
          <cell r="L1317" t="str">
            <v>Non-proportional</v>
          </cell>
          <cell r="S1317">
            <v>899.99</v>
          </cell>
          <cell r="X1317" t="str">
            <v>Commissions - gross</v>
          </cell>
          <cell r="Y1317" t="str">
            <v>GERMANY</v>
          </cell>
        </row>
        <row r="1318">
          <cell r="L1318" t="str">
            <v>Non-proportional</v>
          </cell>
          <cell r="S1318">
            <v>1264.99</v>
          </cell>
          <cell r="X1318" t="str">
            <v>Commissions - gross</v>
          </cell>
          <cell r="Y1318" t="str">
            <v>SWEDEN</v>
          </cell>
        </row>
        <row r="1319">
          <cell r="L1319" t="str">
            <v>Non-proportional</v>
          </cell>
          <cell r="S1319">
            <v>1106.68</v>
          </cell>
          <cell r="X1319" t="str">
            <v>Commissions - gross</v>
          </cell>
          <cell r="Y1319" t="str">
            <v>DENMARK</v>
          </cell>
        </row>
        <row r="1320">
          <cell r="L1320" t="str">
            <v>Non-proportional</v>
          </cell>
          <cell r="S1320">
            <v>6495.3</v>
          </cell>
          <cell r="X1320" t="str">
            <v>Commissions - gross</v>
          </cell>
          <cell r="Y1320" t="str">
            <v>REPUBLIC OF IRELAND</v>
          </cell>
        </row>
        <row r="1321">
          <cell r="L1321" t="str">
            <v>Non-proportional</v>
          </cell>
          <cell r="S1321">
            <v>1338.33</v>
          </cell>
          <cell r="X1321" t="str">
            <v>Commissions - gross</v>
          </cell>
          <cell r="Y1321" t="str">
            <v>UNITED KINGDOM</v>
          </cell>
        </row>
        <row r="1322">
          <cell r="L1322" t="str">
            <v>Non-proportional</v>
          </cell>
          <cell r="S1322">
            <v>1992.02</v>
          </cell>
          <cell r="X1322" t="str">
            <v>Commissions - gross</v>
          </cell>
          <cell r="Y1322" t="str">
            <v>FRANCE</v>
          </cell>
        </row>
        <row r="1323">
          <cell r="L1323" t="str">
            <v>Non-proportional</v>
          </cell>
          <cell r="S1323">
            <v>642.33000000000004</v>
          </cell>
          <cell r="X1323" t="str">
            <v>Commissions - gross</v>
          </cell>
          <cell r="Y1323" t="str">
            <v>SWITZERLAND</v>
          </cell>
        </row>
        <row r="1324">
          <cell r="L1324" t="str">
            <v>Non-proportional</v>
          </cell>
          <cell r="S1324">
            <v>71.84</v>
          </cell>
          <cell r="X1324" t="str">
            <v>Commissions - gross</v>
          </cell>
          <cell r="Y1324" t="str">
            <v>ITALY</v>
          </cell>
        </row>
        <row r="1325">
          <cell r="L1325" t="str">
            <v>Non-proportional</v>
          </cell>
          <cell r="S1325">
            <v>1.8</v>
          </cell>
          <cell r="X1325" t="str">
            <v>Commissions - gross</v>
          </cell>
          <cell r="Y1325" t="str">
            <v>EUROPE</v>
          </cell>
        </row>
        <row r="1326">
          <cell r="L1326" t="str">
            <v>Non-proportional</v>
          </cell>
          <cell r="S1326">
            <v>759</v>
          </cell>
          <cell r="X1326" t="str">
            <v>Commissions - gross</v>
          </cell>
          <cell r="Y1326" t="str">
            <v>GERMANY</v>
          </cell>
        </row>
        <row r="1327">
          <cell r="L1327" t="str">
            <v>Non-proportional</v>
          </cell>
          <cell r="S1327">
            <v>3557.03</v>
          </cell>
          <cell r="X1327" t="str">
            <v>Commissions - gross</v>
          </cell>
          <cell r="Y1327" t="str">
            <v>FRANCE</v>
          </cell>
        </row>
        <row r="1328">
          <cell r="L1328" t="str">
            <v>Non-proportional</v>
          </cell>
          <cell r="S1328">
            <v>956.7</v>
          </cell>
          <cell r="X1328" t="str">
            <v>Commissions - gross</v>
          </cell>
          <cell r="Y1328" t="str">
            <v>SLOVENIA</v>
          </cell>
        </row>
        <row r="1329">
          <cell r="L1329" t="str">
            <v>Non-proportional</v>
          </cell>
          <cell r="S1329">
            <v>2778.46</v>
          </cell>
          <cell r="X1329" t="str">
            <v>Commissions - gross</v>
          </cell>
          <cell r="Y1329" t="str">
            <v>UNITED KINGDOM</v>
          </cell>
        </row>
        <row r="1330">
          <cell r="L1330" t="str">
            <v>Non-proportional</v>
          </cell>
          <cell r="S1330">
            <v>427.54</v>
          </cell>
          <cell r="X1330" t="str">
            <v>Commissions - gross</v>
          </cell>
          <cell r="Y1330" t="str">
            <v>GERMANY</v>
          </cell>
        </row>
        <row r="1331">
          <cell r="L1331" t="str">
            <v>Non-proportional</v>
          </cell>
          <cell r="S1331">
            <v>112.23</v>
          </cell>
          <cell r="X1331" t="str">
            <v>Commissions - gross</v>
          </cell>
          <cell r="Y1331" t="str">
            <v>ITALY</v>
          </cell>
        </row>
        <row r="1332">
          <cell r="L1332" t="str">
            <v>Non-proportional</v>
          </cell>
          <cell r="S1332">
            <v>3450.2</v>
          </cell>
          <cell r="X1332" t="str">
            <v>Commissions - gross</v>
          </cell>
          <cell r="Y1332" t="str">
            <v>CZECH REPUBLIC</v>
          </cell>
        </row>
        <row r="1333">
          <cell r="L1333" t="str">
            <v>Non-proportional</v>
          </cell>
          <cell r="S1333">
            <v>1.1200000000000001</v>
          </cell>
          <cell r="X1333" t="str">
            <v>Commissions - gross</v>
          </cell>
          <cell r="Y1333" t="str">
            <v>JAPAN</v>
          </cell>
        </row>
        <row r="1334">
          <cell r="L1334" t="str">
            <v>Non-proportional</v>
          </cell>
          <cell r="S1334">
            <v>351.2</v>
          </cell>
          <cell r="X1334" t="str">
            <v>Commissions - gross</v>
          </cell>
          <cell r="Y1334" t="str">
            <v>SPAIN</v>
          </cell>
        </row>
        <row r="1335">
          <cell r="L1335" t="str">
            <v>Non-proportional</v>
          </cell>
          <cell r="S1335">
            <v>110.8</v>
          </cell>
          <cell r="X1335" t="str">
            <v>Commissions - gross</v>
          </cell>
          <cell r="Y1335" t="str">
            <v>AUSTRIA</v>
          </cell>
        </row>
        <row r="1336">
          <cell r="L1336" t="str">
            <v>Non-proportional</v>
          </cell>
          <cell r="S1336">
            <v>411.21</v>
          </cell>
          <cell r="X1336" t="str">
            <v>Commissions - gross</v>
          </cell>
          <cell r="Y1336" t="str">
            <v>AUSTRIA</v>
          </cell>
        </row>
        <row r="1337">
          <cell r="L1337" t="str">
            <v>Non-proportional</v>
          </cell>
          <cell r="S1337">
            <v>5340.35</v>
          </cell>
          <cell r="X1337" t="str">
            <v>Commissions - gross</v>
          </cell>
          <cell r="Y1337" t="str">
            <v>UNITED KINGDOM</v>
          </cell>
        </row>
        <row r="1338">
          <cell r="L1338" t="str">
            <v>Non-proportional</v>
          </cell>
          <cell r="S1338">
            <v>1664.36</v>
          </cell>
          <cell r="X1338" t="str">
            <v>Commissions - gross</v>
          </cell>
          <cell r="Y1338" t="str">
            <v>FRANCE</v>
          </cell>
        </row>
        <row r="1339">
          <cell r="L1339" t="str">
            <v>Non-proportional</v>
          </cell>
          <cell r="S1339">
            <v>412.43</v>
          </cell>
          <cell r="X1339" t="str">
            <v>Commissions - gross</v>
          </cell>
          <cell r="Y1339" t="str">
            <v>SWITZERLAND</v>
          </cell>
        </row>
        <row r="1340">
          <cell r="L1340" t="str">
            <v>Non-proportional</v>
          </cell>
          <cell r="S1340">
            <v>7084</v>
          </cell>
          <cell r="X1340" t="str">
            <v>Commissions - gross</v>
          </cell>
          <cell r="Y1340" t="str">
            <v>GERMANY</v>
          </cell>
        </row>
        <row r="1341">
          <cell r="L1341" t="str">
            <v>Non-proportional</v>
          </cell>
          <cell r="S1341">
            <v>326.25</v>
          </cell>
          <cell r="X1341" t="str">
            <v>Commissions - gross</v>
          </cell>
          <cell r="Y1341" t="str">
            <v>ROMANIA</v>
          </cell>
        </row>
        <row r="1342">
          <cell r="L1342" t="str">
            <v>Non-proportional</v>
          </cell>
          <cell r="S1342">
            <v>1650</v>
          </cell>
          <cell r="X1342" t="str">
            <v>Commissions - gross</v>
          </cell>
          <cell r="Y1342" t="str">
            <v>GERMANY</v>
          </cell>
        </row>
        <row r="1343">
          <cell r="L1343" t="str">
            <v>Non-proportional</v>
          </cell>
          <cell r="S1343">
            <v>1.6</v>
          </cell>
          <cell r="X1343" t="str">
            <v>Commissions - gross</v>
          </cell>
          <cell r="Y1343" t="str">
            <v>NORWAY</v>
          </cell>
        </row>
        <row r="1344">
          <cell r="L1344" t="str">
            <v>Non-proportional</v>
          </cell>
          <cell r="S1344">
            <v>498.47</v>
          </cell>
          <cell r="X1344" t="str">
            <v>Commissions - gross</v>
          </cell>
          <cell r="Y1344" t="str">
            <v>GERMANY</v>
          </cell>
        </row>
        <row r="1345">
          <cell r="L1345" t="str">
            <v>Non-proportional</v>
          </cell>
          <cell r="S1345">
            <v>1188.23</v>
          </cell>
          <cell r="X1345" t="str">
            <v>Commissions - gross</v>
          </cell>
          <cell r="Y1345" t="str">
            <v>EUROPE</v>
          </cell>
        </row>
        <row r="1346">
          <cell r="L1346" t="str">
            <v>Non-proportional</v>
          </cell>
          <cell r="S1346">
            <v>-0.49</v>
          </cell>
          <cell r="X1346" t="str">
            <v>Commissions - gross</v>
          </cell>
          <cell r="Y1346" t="str">
            <v>SWEDEN</v>
          </cell>
        </row>
        <row r="1347">
          <cell r="L1347" t="str">
            <v>Non-proportional</v>
          </cell>
          <cell r="S1347">
            <v>712.42</v>
          </cell>
          <cell r="X1347" t="str">
            <v>Commissions - gross</v>
          </cell>
          <cell r="Y1347" t="str">
            <v>UNITED KINGDOM</v>
          </cell>
        </row>
        <row r="1348">
          <cell r="L1348" t="str">
            <v>Non-proportional</v>
          </cell>
          <cell r="S1348">
            <v>1182.55</v>
          </cell>
          <cell r="X1348" t="str">
            <v>Commissions - gross</v>
          </cell>
          <cell r="Y1348" t="str">
            <v>AUSTRIA</v>
          </cell>
        </row>
        <row r="1349">
          <cell r="L1349" t="str">
            <v>Non-proportional</v>
          </cell>
          <cell r="S1349">
            <v>4235.62</v>
          </cell>
          <cell r="X1349" t="str">
            <v>Commissions - gross</v>
          </cell>
          <cell r="Y1349" t="str">
            <v>UNITED KINGDOM</v>
          </cell>
        </row>
        <row r="1350">
          <cell r="L1350" t="str">
            <v>Non-proportional</v>
          </cell>
          <cell r="S1350">
            <v>1120.47</v>
          </cell>
          <cell r="X1350" t="str">
            <v>Commissions - gross</v>
          </cell>
          <cell r="Y1350" t="str">
            <v>UNITED KINGDOM</v>
          </cell>
        </row>
        <row r="1351">
          <cell r="L1351" t="str">
            <v>Non-proportional</v>
          </cell>
          <cell r="S1351">
            <v>250.06</v>
          </cell>
          <cell r="X1351" t="str">
            <v>Commissions - gross</v>
          </cell>
          <cell r="Y1351" t="str">
            <v>GERMANY</v>
          </cell>
        </row>
        <row r="1352">
          <cell r="L1352" t="str">
            <v>Non-proportional</v>
          </cell>
          <cell r="S1352">
            <v>8779.8700000000008</v>
          </cell>
          <cell r="X1352" t="str">
            <v>Commissions - gross</v>
          </cell>
          <cell r="Y1352" t="str">
            <v>GERMANY</v>
          </cell>
        </row>
        <row r="1353">
          <cell r="L1353" t="str">
            <v>Non-proportional</v>
          </cell>
          <cell r="S1353">
            <v>929.32</v>
          </cell>
          <cell r="X1353" t="str">
            <v>Commissions - gross</v>
          </cell>
          <cell r="Y1353" t="str">
            <v>UNITED KINGDOM</v>
          </cell>
        </row>
        <row r="1354">
          <cell r="L1354" t="str">
            <v>Non-proportional</v>
          </cell>
          <cell r="S1354">
            <v>900.42</v>
          </cell>
          <cell r="X1354" t="str">
            <v>Commissions - gross</v>
          </cell>
          <cell r="Y1354" t="str">
            <v>UNITED KINGDOM</v>
          </cell>
        </row>
        <row r="1355">
          <cell r="L1355" t="str">
            <v>Non-proportional</v>
          </cell>
          <cell r="S1355">
            <v>571.76</v>
          </cell>
          <cell r="X1355" t="str">
            <v>Commissions - gross</v>
          </cell>
          <cell r="Y1355" t="str">
            <v>GERMANY</v>
          </cell>
        </row>
        <row r="1356">
          <cell r="L1356" t="str">
            <v>Non-proportional</v>
          </cell>
          <cell r="S1356">
            <v>625.04999999999995</v>
          </cell>
          <cell r="X1356" t="str">
            <v>Commissions - gross</v>
          </cell>
          <cell r="Y1356" t="str">
            <v>GERMANY</v>
          </cell>
        </row>
        <row r="1357">
          <cell r="L1357" t="str">
            <v>Non-proportional</v>
          </cell>
          <cell r="S1357">
            <v>625</v>
          </cell>
          <cell r="X1357" t="str">
            <v>Commissions - gross</v>
          </cell>
          <cell r="Y1357" t="str">
            <v>GERMANY</v>
          </cell>
        </row>
        <row r="1358">
          <cell r="L1358" t="str">
            <v>Non-proportional</v>
          </cell>
          <cell r="S1358">
            <v>2075.86</v>
          </cell>
          <cell r="X1358" t="str">
            <v>Commissions - gross</v>
          </cell>
          <cell r="Y1358" t="str">
            <v>EIRE</v>
          </cell>
        </row>
        <row r="1359">
          <cell r="L1359" t="str">
            <v>Non-proportional</v>
          </cell>
          <cell r="S1359">
            <v>401.69</v>
          </cell>
          <cell r="X1359" t="str">
            <v>Commissions - gross</v>
          </cell>
          <cell r="Y1359" t="str">
            <v>UNITED KINGDOM</v>
          </cell>
        </row>
        <row r="1360">
          <cell r="L1360" t="str">
            <v>Non-proportional</v>
          </cell>
          <cell r="S1360">
            <v>295.48</v>
          </cell>
          <cell r="X1360" t="str">
            <v>Commissions - gross</v>
          </cell>
          <cell r="Y1360" t="str">
            <v>UNITED KINGDOM</v>
          </cell>
        </row>
        <row r="1361">
          <cell r="L1361" t="str">
            <v>Non-proportional</v>
          </cell>
          <cell r="S1361">
            <v>4000.31</v>
          </cell>
          <cell r="X1361" t="str">
            <v>Commissions - gross</v>
          </cell>
          <cell r="Y1361" t="str">
            <v>UNITED KINGDOM</v>
          </cell>
        </row>
        <row r="1362">
          <cell r="L1362" t="str">
            <v>Non-proportional</v>
          </cell>
          <cell r="S1362">
            <v>235.75</v>
          </cell>
          <cell r="X1362" t="str">
            <v>Commissions - gross</v>
          </cell>
          <cell r="Y1362" t="str">
            <v>GERMANY</v>
          </cell>
        </row>
        <row r="1363">
          <cell r="L1363" t="str">
            <v>Non-proportional</v>
          </cell>
          <cell r="S1363">
            <v>860.87</v>
          </cell>
          <cell r="X1363" t="str">
            <v>Commissions - gross</v>
          </cell>
          <cell r="Y1363" t="str">
            <v>EUROPE</v>
          </cell>
        </row>
        <row r="1364">
          <cell r="L1364" t="str">
            <v>Non-proportional</v>
          </cell>
          <cell r="S1364">
            <v>-0.2</v>
          </cell>
          <cell r="X1364" t="str">
            <v>Commissions - gross</v>
          </cell>
          <cell r="Y1364" t="str">
            <v>SWEDEN</v>
          </cell>
        </row>
        <row r="1365">
          <cell r="L1365" t="str">
            <v>Non-proportional</v>
          </cell>
          <cell r="S1365">
            <v>27.07</v>
          </cell>
          <cell r="X1365" t="str">
            <v>Commissions - gross</v>
          </cell>
          <cell r="Y1365" t="str">
            <v>ITALY</v>
          </cell>
        </row>
        <row r="1366">
          <cell r="L1366" t="str">
            <v>Non-proportional</v>
          </cell>
          <cell r="S1366">
            <v>1207.49</v>
          </cell>
          <cell r="X1366" t="str">
            <v>Commissions - gross</v>
          </cell>
          <cell r="Y1366" t="str">
            <v>FRANCE</v>
          </cell>
        </row>
        <row r="1367">
          <cell r="L1367" t="str">
            <v>Non-proportional</v>
          </cell>
          <cell r="S1367">
            <v>7494.63</v>
          </cell>
          <cell r="X1367" t="str">
            <v>Commissions - gross</v>
          </cell>
          <cell r="Y1367" t="str">
            <v>UNITED KINGDOM</v>
          </cell>
        </row>
        <row r="1368">
          <cell r="L1368" t="str">
            <v>Non-proportional</v>
          </cell>
          <cell r="S1368">
            <v>777.08</v>
          </cell>
          <cell r="X1368" t="str">
            <v>Commissions - gross</v>
          </cell>
          <cell r="Y1368" t="str">
            <v>FRANCE</v>
          </cell>
        </row>
        <row r="1369">
          <cell r="L1369" t="str">
            <v>Non-proportional</v>
          </cell>
          <cell r="S1369">
            <v>346.29</v>
          </cell>
          <cell r="X1369" t="str">
            <v>Commissions - gross</v>
          </cell>
          <cell r="Y1369" t="str">
            <v>ICELAND</v>
          </cell>
        </row>
        <row r="1370">
          <cell r="L1370" t="str">
            <v>Non-proportional</v>
          </cell>
          <cell r="S1370">
            <v>343.7</v>
          </cell>
          <cell r="X1370" t="str">
            <v>Commissions - gross</v>
          </cell>
          <cell r="Y1370" t="str">
            <v>EUROPE</v>
          </cell>
        </row>
        <row r="1371">
          <cell r="L1371" t="str">
            <v>Non-proportional</v>
          </cell>
          <cell r="S1371">
            <v>150.91</v>
          </cell>
          <cell r="X1371" t="str">
            <v>Commissions - gross</v>
          </cell>
          <cell r="Y1371" t="str">
            <v>GERMANY</v>
          </cell>
        </row>
        <row r="1372">
          <cell r="L1372" t="str">
            <v>Non-proportional</v>
          </cell>
          <cell r="S1372">
            <v>2821.36</v>
          </cell>
          <cell r="X1372" t="str">
            <v>Commissions - gross</v>
          </cell>
          <cell r="Y1372" t="str">
            <v>UNITED KINGDOM</v>
          </cell>
        </row>
        <row r="1373">
          <cell r="L1373" t="str">
            <v>Non-proportional</v>
          </cell>
          <cell r="S1373">
            <v>6072</v>
          </cell>
          <cell r="X1373" t="str">
            <v>Commissions - gross</v>
          </cell>
          <cell r="Y1373" t="str">
            <v>GERMANY</v>
          </cell>
        </row>
        <row r="1374">
          <cell r="L1374" t="str">
            <v>Non-proportional</v>
          </cell>
          <cell r="S1374">
            <v>549.32000000000005</v>
          </cell>
          <cell r="X1374" t="str">
            <v>Commissions - gross</v>
          </cell>
          <cell r="Y1374" t="str">
            <v>FRANCE</v>
          </cell>
        </row>
        <row r="1375">
          <cell r="L1375" t="str">
            <v>Non-proportional</v>
          </cell>
          <cell r="S1375">
            <v>-1.06</v>
          </cell>
          <cell r="X1375" t="str">
            <v>Commissions - gross</v>
          </cell>
          <cell r="Y1375" t="str">
            <v>SWEDEN</v>
          </cell>
        </row>
        <row r="1376">
          <cell r="L1376" t="str">
            <v>Non-proportional</v>
          </cell>
          <cell r="S1376">
            <v>17.52</v>
          </cell>
          <cell r="X1376" t="str">
            <v>Commissions - gross</v>
          </cell>
          <cell r="Y1376" t="str">
            <v>ITALY</v>
          </cell>
        </row>
        <row r="1377">
          <cell r="L1377" t="str">
            <v>Non-proportional</v>
          </cell>
          <cell r="S1377">
            <v>1463.2</v>
          </cell>
          <cell r="X1377" t="str">
            <v>Commissions - gross</v>
          </cell>
          <cell r="Y1377" t="str">
            <v>GERMANY</v>
          </cell>
        </row>
        <row r="1378">
          <cell r="L1378" t="str">
            <v>Non-proportional</v>
          </cell>
          <cell r="S1378">
            <v>5751.73</v>
          </cell>
          <cell r="X1378" t="str">
            <v>Commissions - gross</v>
          </cell>
          <cell r="Y1378" t="str">
            <v>UNITED KINGDOM</v>
          </cell>
        </row>
        <row r="1379">
          <cell r="L1379" t="str">
            <v>Non-proportional</v>
          </cell>
          <cell r="S1379">
            <v>1181.5899999999999</v>
          </cell>
          <cell r="X1379" t="str">
            <v>Commissions - gross</v>
          </cell>
          <cell r="Y1379" t="str">
            <v>GERMANY</v>
          </cell>
        </row>
        <row r="1380">
          <cell r="L1380" t="str">
            <v>Non-proportional</v>
          </cell>
          <cell r="S1380">
            <v>208.33</v>
          </cell>
          <cell r="X1380" t="str">
            <v>Commissions - gross</v>
          </cell>
          <cell r="Y1380" t="str">
            <v>GERMANY</v>
          </cell>
        </row>
        <row r="1381">
          <cell r="L1381" t="str">
            <v>Non-proportional</v>
          </cell>
          <cell r="S1381">
            <v>1228.8699999999999</v>
          </cell>
          <cell r="X1381" t="str">
            <v>Commissions - gross</v>
          </cell>
          <cell r="Y1381" t="str">
            <v>DENMARK</v>
          </cell>
        </row>
        <row r="1382">
          <cell r="L1382" t="str">
            <v>Non-proportional</v>
          </cell>
          <cell r="S1382">
            <v>309.32</v>
          </cell>
          <cell r="X1382" t="str">
            <v>Commissions - gross</v>
          </cell>
          <cell r="Y1382" t="str">
            <v>SWITZERLAND</v>
          </cell>
        </row>
        <row r="1383">
          <cell r="L1383" t="str">
            <v>Non-proportional</v>
          </cell>
          <cell r="S1383">
            <v>787.03</v>
          </cell>
          <cell r="X1383" t="str">
            <v>Commissions - gross</v>
          </cell>
          <cell r="Y1383" t="str">
            <v>UNITED KINGDOM</v>
          </cell>
        </row>
        <row r="1384">
          <cell r="L1384" t="str">
            <v>Non-proportional</v>
          </cell>
          <cell r="S1384">
            <v>2305.9</v>
          </cell>
          <cell r="X1384" t="str">
            <v>Commissions - gross</v>
          </cell>
          <cell r="Y1384" t="str">
            <v>FRANCE</v>
          </cell>
        </row>
        <row r="1385">
          <cell r="L1385" t="str">
            <v>Non-proportional</v>
          </cell>
          <cell r="S1385">
            <v>780.61</v>
          </cell>
          <cell r="X1385" t="str">
            <v>Commissions - gross</v>
          </cell>
          <cell r="Y1385" t="str">
            <v>SWITZERLAND</v>
          </cell>
        </row>
        <row r="1386">
          <cell r="L1386" t="str">
            <v>Non-proportional</v>
          </cell>
          <cell r="S1386">
            <v>1242.43</v>
          </cell>
          <cell r="X1386" t="str">
            <v>Commissions - gross</v>
          </cell>
          <cell r="Y1386" t="str">
            <v>EUROPE</v>
          </cell>
        </row>
        <row r="1387">
          <cell r="L1387" t="str">
            <v>Non-proportional</v>
          </cell>
          <cell r="S1387">
            <v>45.13</v>
          </cell>
          <cell r="X1387" t="str">
            <v>Commissions - gross</v>
          </cell>
          <cell r="Y1387" t="str">
            <v>ITALY</v>
          </cell>
        </row>
        <row r="1388">
          <cell r="L1388" t="str">
            <v>Non-proportional</v>
          </cell>
          <cell r="S1388">
            <v>2328.67</v>
          </cell>
          <cell r="X1388" t="str">
            <v>Commissions - gross</v>
          </cell>
          <cell r="Y1388" t="str">
            <v>UNITED KINGDOM</v>
          </cell>
        </row>
        <row r="1389">
          <cell r="L1389" t="str">
            <v>Non-proportional</v>
          </cell>
          <cell r="S1389">
            <v>3110.75</v>
          </cell>
          <cell r="X1389" t="str">
            <v>Commissions - gross</v>
          </cell>
          <cell r="Y1389" t="str">
            <v>UNITED KINGDOM</v>
          </cell>
        </row>
        <row r="1390">
          <cell r="L1390" t="str">
            <v>Non-proportional</v>
          </cell>
          <cell r="S1390">
            <v>1532.92</v>
          </cell>
          <cell r="X1390" t="str">
            <v>Commissions - gross</v>
          </cell>
          <cell r="Y1390" t="str">
            <v>ITALY</v>
          </cell>
        </row>
        <row r="1391">
          <cell r="L1391" t="str">
            <v>Non-proportional</v>
          </cell>
          <cell r="S1391">
            <v>897.06</v>
          </cell>
          <cell r="X1391" t="str">
            <v>Commissions - gross</v>
          </cell>
          <cell r="Y1391" t="str">
            <v>GERMANY</v>
          </cell>
        </row>
        <row r="1392">
          <cell r="L1392" t="str">
            <v>Non-proportional</v>
          </cell>
          <cell r="S1392">
            <v>1252.32</v>
          </cell>
          <cell r="X1392" t="str">
            <v>Commissions - gross</v>
          </cell>
          <cell r="Y1392" t="str">
            <v>UNITED KINGDOM</v>
          </cell>
        </row>
        <row r="1393">
          <cell r="L1393" t="str">
            <v>Non-proportional</v>
          </cell>
          <cell r="S1393">
            <v>308.33999999999997</v>
          </cell>
          <cell r="X1393" t="str">
            <v>Commissions - gross</v>
          </cell>
          <cell r="Y1393" t="str">
            <v>EUROPE</v>
          </cell>
        </row>
        <row r="1394">
          <cell r="L1394" t="str">
            <v>Non-proportional</v>
          </cell>
          <cell r="S1394">
            <v>999.97</v>
          </cell>
          <cell r="X1394" t="str">
            <v>Commissions - gross</v>
          </cell>
          <cell r="Y1394" t="str">
            <v>GERMANY</v>
          </cell>
        </row>
        <row r="1395">
          <cell r="L1395" t="str">
            <v>Non-proportional</v>
          </cell>
          <cell r="S1395">
            <v>35.17</v>
          </cell>
          <cell r="X1395" t="str">
            <v>Commissions - gross</v>
          </cell>
          <cell r="Y1395" t="str">
            <v>GERMANY</v>
          </cell>
        </row>
        <row r="1396">
          <cell r="L1396" t="str">
            <v>Non-proportional</v>
          </cell>
          <cell r="S1396">
            <v>720.4</v>
          </cell>
          <cell r="X1396" t="str">
            <v>Commissions - gross</v>
          </cell>
          <cell r="Y1396" t="str">
            <v>DENMARK</v>
          </cell>
        </row>
        <row r="1397">
          <cell r="L1397" t="str">
            <v>Non-proportional</v>
          </cell>
          <cell r="S1397">
            <v>687.19</v>
          </cell>
          <cell r="X1397" t="str">
            <v>Commissions - gross</v>
          </cell>
          <cell r="Y1397" t="str">
            <v>GERMANY</v>
          </cell>
        </row>
        <row r="1398">
          <cell r="L1398" t="str">
            <v>Non-proportional</v>
          </cell>
          <cell r="S1398">
            <v>2439.6</v>
          </cell>
          <cell r="X1398" t="str">
            <v>Commissions - gross</v>
          </cell>
          <cell r="Y1398" t="str">
            <v>GERMANY</v>
          </cell>
        </row>
        <row r="1399">
          <cell r="L1399" t="str">
            <v>Non-proportional</v>
          </cell>
          <cell r="S1399">
            <v>1400.86</v>
          </cell>
          <cell r="X1399" t="str">
            <v>Commissions - gross</v>
          </cell>
          <cell r="Y1399" t="str">
            <v>GERMANY</v>
          </cell>
        </row>
        <row r="1400">
          <cell r="L1400" t="str">
            <v>Non-proportional</v>
          </cell>
          <cell r="S1400">
            <v>451.14</v>
          </cell>
          <cell r="X1400" t="str">
            <v>Commissions - gross</v>
          </cell>
          <cell r="Y1400" t="str">
            <v>AUSTRIA</v>
          </cell>
        </row>
        <row r="1401">
          <cell r="L1401" t="str">
            <v>Non-proportional</v>
          </cell>
          <cell r="S1401">
            <v>2035.5</v>
          </cell>
          <cell r="X1401" t="str">
            <v>Commissions - gross</v>
          </cell>
          <cell r="Y1401" t="str">
            <v>GERMANY</v>
          </cell>
        </row>
        <row r="1402">
          <cell r="L1402" t="str">
            <v>Non-proportional</v>
          </cell>
          <cell r="S1402">
            <v>1162.6600000000001</v>
          </cell>
          <cell r="X1402" t="str">
            <v>Commissions - gross</v>
          </cell>
          <cell r="Y1402" t="str">
            <v>UNITED KINGDOM</v>
          </cell>
        </row>
        <row r="1403">
          <cell r="L1403" t="str">
            <v>Non-proportional</v>
          </cell>
          <cell r="S1403">
            <v>1.1200000000000001</v>
          </cell>
          <cell r="X1403" t="str">
            <v>Commissions - gross</v>
          </cell>
          <cell r="Y1403" t="str">
            <v>NORWAY</v>
          </cell>
        </row>
        <row r="1404">
          <cell r="L1404" t="str">
            <v>Non-proportional</v>
          </cell>
          <cell r="S1404">
            <v>368.75</v>
          </cell>
          <cell r="X1404" t="str">
            <v>Commissions - gross</v>
          </cell>
          <cell r="Y1404" t="str">
            <v>GERMANY</v>
          </cell>
        </row>
        <row r="1405">
          <cell r="L1405" t="str">
            <v>Non-proportional</v>
          </cell>
          <cell r="S1405">
            <v>-0.94</v>
          </cell>
          <cell r="X1405" t="str">
            <v>Commissions - gross</v>
          </cell>
          <cell r="Y1405" t="str">
            <v>SWEDEN</v>
          </cell>
        </row>
        <row r="1406">
          <cell r="L1406" t="str">
            <v>Non-proportional</v>
          </cell>
          <cell r="S1406">
            <v>4077.46</v>
          </cell>
          <cell r="X1406" t="str">
            <v>Commissions - gross</v>
          </cell>
          <cell r="Y1406" t="str">
            <v>SWITZERLAND</v>
          </cell>
        </row>
        <row r="1407">
          <cell r="L1407" t="str">
            <v>Non-proportional</v>
          </cell>
          <cell r="S1407">
            <v>75</v>
          </cell>
          <cell r="X1407" t="str">
            <v>Commissions - gross</v>
          </cell>
          <cell r="Y1407" t="str">
            <v>GERMANY</v>
          </cell>
        </row>
        <row r="1408">
          <cell r="L1408" t="str">
            <v>Non-proportional</v>
          </cell>
          <cell r="S1408">
            <v>443.98</v>
          </cell>
          <cell r="X1408" t="str">
            <v>Commissions - gross</v>
          </cell>
          <cell r="Y1408" t="str">
            <v>GERMANY</v>
          </cell>
        </row>
        <row r="1409">
          <cell r="L1409" t="str">
            <v>Non-proportional</v>
          </cell>
          <cell r="S1409">
            <v>500.58</v>
          </cell>
          <cell r="X1409" t="str">
            <v>Commissions - gross</v>
          </cell>
          <cell r="Y1409" t="str">
            <v>FRANCE</v>
          </cell>
        </row>
        <row r="1410">
          <cell r="L1410" t="str">
            <v>Non-proportional</v>
          </cell>
          <cell r="S1410">
            <v>360.35</v>
          </cell>
          <cell r="X1410" t="str">
            <v>Commissions - gross</v>
          </cell>
          <cell r="Y1410" t="str">
            <v>FAROE ISLANDS</v>
          </cell>
        </row>
        <row r="1411">
          <cell r="L1411" t="str">
            <v>Non-proportional</v>
          </cell>
          <cell r="S1411">
            <v>2077.06</v>
          </cell>
          <cell r="X1411" t="str">
            <v>Commissions - gross</v>
          </cell>
          <cell r="Y1411" t="str">
            <v>FRANCE</v>
          </cell>
        </row>
        <row r="1412">
          <cell r="L1412" t="str">
            <v>Non-proportional</v>
          </cell>
          <cell r="S1412">
            <v>1020.94</v>
          </cell>
          <cell r="X1412" t="str">
            <v>Commissions - gross</v>
          </cell>
          <cell r="Y1412" t="str">
            <v>GERMANY</v>
          </cell>
        </row>
        <row r="1413">
          <cell r="L1413" t="str">
            <v>Non-proportional</v>
          </cell>
          <cell r="S1413">
            <v>-0.31</v>
          </cell>
          <cell r="X1413" t="str">
            <v>Commissions - gross</v>
          </cell>
          <cell r="Y1413" t="str">
            <v>DENMARK</v>
          </cell>
        </row>
        <row r="1414">
          <cell r="L1414" t="str">
            <v>Non-proportional</v>
          </cell>
          <cell r="S1414">
            <v>1001.09</v>
          </cell>
          <cell r="X1414" t="str">
            <v>Commissions - gross</v>
          </cell>
          <cell r="Y1414" t="str">
            <v>GERMANY</v>
          </cell>
        </row>
        <row r="1415">
          <cell r="L1415" t="str">
            <v>Non-proportional</v>
          </cell>
          <cell r="S1415">
            <v>1001.51</v>
          </cell>
          <cell r="X1415" t="str">
            <v>Commissions - gross</v>
          </cell>
          <cell r="Y1415" t="str">
            <v>AUSTRIA</v>
          </cell>
        </row>
        <row r="1416">
          <cell r="L1416" t="str">
            <v>Non-proportional</v>
          </cell>
          <cell r="S1416">
            <v>30.08</v>
          </cell>
          <cell r="X1416" t="str">
            <v>Commissions - gross</v>
          </cell>
          <cell r="Y1416" t="str">
            <v>ITALY</v>
          </cell>
        </row>
        <row r="1417">
          <cell r="L1417" t="str">
            <v>Non-proportional</v>
          </cell>
          <cell r="S1417">
            <v>1215.8499999999999</v>
          </cell>
          <cell r="X1417" t="str">
            <v>Commissions - gross</v>
          </cell>
          <cell r="Y1417" t="str">
            <v>UNITED KINGDOM</v>
          </cell>
        </row>
        <row r="1418">
          <cell r="L1418" t="str">
            <v>Non-proportional</v>
          </cell>
          <cell r="S1418">
            <v>546.71</v>
          </cell>
          <cell r="X1418" t="str">
            <v>Commissions - gross</v>
          </cell>
          <cell r="Y1418" t="str">
            <v>EIRE</v>
          </cell>
        </row>
        <row r="1419">
          <cell r="L1419" t="str">
            <v>Non-proportional</v>
          </cell>
          <cell r="S1419">
            <v>807.28</v>
          </cell>
          <cell r="X1419" t="str">
            <v>Commissions - gross</v>
          </cell>
          <cell r="Y1419" t="str">
            <v>GERMANY</v>
          </cell>
        </row>
        <row r="1420">
          <cell r="L1420" t="str">
            <v>Non-proportional</v>
          </cell>
          <cell r="S1420">
            <v>86.56</v>
          </cell>
          <cell r="X1420" t="str">
            <v>Commissions - gross</v>
          </cell>
          <cell r="Y1420" t="str">
            <v>ITALY</v>
          </cell>
        </row>
        <row r="1421">
          <cell r="L1421" t="str">
            <v>Non-proportional</v>
          </cell>
          <cell r="S1421">
            <v>361.75</v>
          </cell>
          <cell r="X1421" t="str">
            <v>Commissions - gross</v>
          </cell>
          <cell r="Y1421" t="str">
            <v>FRANCE</v>
          </cell>
        </row>
        <row r="1422">
          <cell r="L1422" t="str">
            <v>Non-proportional</v>
          </cell>
          <cell r="S1422">
            <v>750.16</v>
          </cell>
          <cell r="X1422" t="str">
            <v>Commissions - gross</v>
          </cell>
          <cell r="Y1422" t="str">
            <v>GERMANY</v>
          </cell>
        </row>
        <row r="1423">
          <cell r="L1423" t="str">
            <v>Non-proportional</v>
          </cell>
          <cell r="S1423">
            <v>1412</v>
          </cell>
          <cell r="X1423" t="str">
            <v>Commissions - gross</v>
          </cell>
          <cell r="Y1423" t="str">
            <v>AUSTRIA</v>
          </cell>
        </row>
        <row r="1424">
          <cell r="L1424" t="str">
            <v>Non-proportional</v>
          </cell>
          <cell r="S1424">
            <v>883.77</v>
          </cell>
          <cell r="X1424" t="str">
            <v>Commissions - gross</v>
          </cell>
          <cell r="Y1424" t="str">
            <v>GERMANY</v>
          </cell>
        </row>
        <row r="1425">
          <cell r="L1425" t="str">
            <v>Non-proportional</v>
          </cell>
          <cell r="S1425">
            <v>4996.43</v>
          </cell>
          <cell r="X1425" t="str">
            <v>Commissions - gross</v>
          </cell>
          <cell r="Y1425" t="str">
            <v>UNITED KINGDOM</v>
          </cell>
        </row>
        <row r="1426">
          <cell r="L1426" t="str">
            <v>Non-proportional</v>
          </cell>
          <cell r="S1426">
            <v>603.75</v>
          </cell>
          <cell r="X1426" t="str">
            <v>Commissions - gross</v>
          </cell>
          <cell r="Y1426" t="str">
            <v>GERMANY</v>
          </cell>
        </row>
        <row r="1427">
          <cell r="L1427" t="str">
            <v>Non-proportional</v>
          </cell>
          <cell r="S1427">
            <v>1460.25</v>
          </cell>
          <cell r="X1427" t="str">
            <v>Commissions - gross</v>
          </cell>
          <cell r="Y1427" t="str">
            <v>GERMANY</v>
          </cell>
        </row>
        <row r="1428">
          <cell r="L1428" t="str">
            <v>Non-proportional</v>
          </cell>
          <cell r="S1428">
            <v>11.78</v>
          </cell>
          <cell r="X1428" t="str">
            <v>Commissions - gross</v>
          </cell>
          <cell r="Y1428" t="str">
            <v>FRANCE</v>
          </cell>
        </row>
        <row r="1429">
          <cell r="L1429" t="str">
            <v>Non-proportional</v>
          </cell>
          <cell r="S1429">
            <v>5.48</v>
          </cell>
          <cell r="X1429" t="str">
            <v>Commissions - gross</v>
          </cell>
          <cell r="Y1429" t="str">
            <v>FRANCE</v>
          </cell>
        </row>
        <row r="1430">
          <cell r="L1430" t="str">
            <v>Non-proportional</v>
          </cell>
          <cell r="S1430">
            <v>586.5</v>
          </cell>
          <cell r="X1430" t="str">
            <v>Commissions - gross</v>
          </cell>
          <cell r="Y1430" t="str">
            <v>SWEDEN</v>
          </cell>
        </row>
        <row r="1431">
          <cell r="L1431" t="str">
            <v>Non-proportional</v>
          </cell>
          <cell r="S1431">
            <v>-0.53</v>
          </cell>
          <cell r="X1431" t="str">
            <v>Commissions - gross</v>
          </cell>
          <cell r="Y1431" t="str">
            <v>SWEDEN</v>
          </cell>
        </row>
        <row r="1432">
          <cell r="L1432" t="str">
            <v>Non-proportional</v>
          </cell>
          <cell r="S1432">
            <v>1898.09</v>
          </cell>
          <cell r="X1432" t="str">
            <v>Commissions - gross</v>
          </cell>
          <cell r="Y1432" t="str">
            <v>UNITED KINGDOM</v>
          </cell>
        </row>
        <row r="1433">
          <cell r="L1433" t="str">
            <v>Non-proportional</v>
          </cell>
          <cell r="S1433">
            <v>1176.56</v>
          </cell>
          <cell r="X1433" t="str">
            <v>Commissions - gross</v>
          </cell>
          <cell r="Y1433" t="str">
            <v>UNITED KINGDOM</v>
          </cell>
        </row>
        <row r="1434">
          <cell r="L1434" t="str">
            <v>Non-proportional</v>
          </cell>
          <cell r="S1434">
            <v>2249.54</v>
          </cell>
          <cell r="X1434" t="str">
            <v>Commissions - gross</v>
          </cell>
          <cell r="Y1434" t="str">
            <v>CZECH REPUBLIC</v>
          </cell>
        </row>
        <row r="1435">
          <cell r="L1435" t="str">
            <v>Non-proportional</v>
          </cell>
          <cell r="S1435">
            <v>1354.17</v>
          </cell>
          <cell r="X1435" t="str">
            <v>Commissions - gross</v>
          </cell>
          <cell r="Y1435" t="str">
            <v>GERMANY</v>
          </cell>
        </row>
        <row r="1436">
          <cell r="L1436" t="str">
            <v>Non-proportional</v>
          </cell>
          <cell r="S1436">
            <v>492.45</v>
          </cell>
          <cell r="X1436" t="str">
            <v>Commissions - gross</v>
          </cell>
          <cell r="Y1436" t="str">
            <v>SWITZERLAND</v>
          </cell>
        </row>
        <row r="1437">
          <cell r="L1437" t="str">
            <v>Non-proportional</v>
          </cell>
          <cell r="S1437">
            <v>53.67</v>
          </cell>
          <cell r="X1437" t="str">
            <v>Commissions - gross</v>
          </cell>
          <cell r="Y1437" t="str">
            <v>NORWAY</v>
          </cell>
        </row>
        <row r="1438">
          <cell r="L1438" t="str">
            <v>Non-proportional</v>
          </cell>
          <cell r="S1438">
            <v>1712.88</v>
          </cell>
          <cell r="X1438" t="str">
            <v>Commissions - gross</v>
          </cell>
          <cell r="Y1438" t="str">
            <v>SWITZERLAND</v>
          </cell>
        </row>
        <row r="1439">
          <cell r="L1439" t="str">
            <v>Non-proportional</v>
          </cell>
          <cell r="S1439">
            <v>2385.42</v>
          </cell>
          <cell r="X1439" t="str">
            <v>Commissions - gross</v>
          </cell>
          <cell r="Y1439" t="str">
            <v>AUSTRIA</v>
          </cell>
        </row>
        <row r="1440">
          <cell r="L1440" t="str">
            <v>Non-proportional</v>
          </cell>
          <cell r="S1440">
            <v>17186.91</v>
          </cell>
          <cell r="X1440" t="str">
            <v>Commissions - gross</v>
          </cell>
          <cell r="Y1440" t="str">
            <v>UNITED KINGDOM</v>
          </cell>
        </row>
        <row r="1441">
          <cell r="L1441" t="str">
            <v>Non-proportional</v>
          </cell>
          <cell r="S1441">
            <v>-0.57999999999999996</v>
          </cell>
          <cell r="X1441" t="str">
            <v>Commissions - gross</v>
          </cell>
          <cell r="Y1441" t="str">
            <v>DENMARK</v>
          </cell>
        </row>
        <row r="1442">
          <cell r="L1442" t="str">
            <v>Non-proportional</v>
          </cell>
          <cell r="S1442">
            <v>2041.67</v>
          </cell>
          <cell r="X1442" t="str">
            <v>Commissions - gross</v>
          </cell>
          <cell r="Y1442" t="str">
            <v>GERMANY</v>
          </cell>
        </row>
        <row r="1443">
          <cell r="L1443" t="str">
            <v>Non-proportional</v>
          </cell>
          <cell r="S1443">
            <v>-1.61</v>
          </cell>
          <cell r="X1443" t="str">
            <v>Commissions - gross</v>
          </cell>
          <cell r="Y1443" t="str">
            <v>SWEDEN</v>
          </cell>
        </row>
        <row r="1444">
          <cell r="L1444" t="str">
            <v>Non-proportional</v>
          </cell>
          <cell r="S1444">
            <v>396.13</v>
          </cell>
          <cell r="X1444" t="str">
            <v>Commissions - gross</v>
          </cell>
          <cell r="Y1444" t="str">
            <v>NORWAY</v>
          </cell>
        </row>
        <row r="1445">
          <cell r="L1445" t="str">
            <v>Non-proportional</v>
          </cell>
          <cell r="S1445">
            <v>1245.02</v>
          </cell>
          <cell r="X1445" t="str">
            <v>Commissions - gross</v>
          </cell>
          <cell r="Y1445" t="str">
            <v>UNITED KINGDOM</v>
          </cell>
        </row>
        <row r="1446">
          <cell r="L1446" t="str">
            <v>Non-proportional</v>
          </cell>
          <cell r="S1446">
            <v>589.39</v>
          </cell>
          <cell r="X1446" t="str">
            <v>Commissions - gross</v>
          </cell>
          <cell r="Y1446" t="str">
            <v>AUSTRIA</v>
          </cell>
        </row>
        <row r="1447">
          <cell r="L1447" t="str">
            <v>Non-proportional</v>
          </cell>
          <cell r="S1447">
            <v>34.5</v>
          </cell>
          <cell r="X1447" t="str">
            <v>Commissions - gross</v>
          </cell>
          <cell r="Y1447" t="str">
            <v>ITALY</v>
          </cell>
        </row>
        <row r="1448">
          <cell r="L1448" t="str">
            <v>Non-proportional</v>
          </cell>
          <cell r="S1448">
            <v>423.8</v>
          </cell>
          <cell r="X1448" t="str">
            <v>Commissions - gross</v>
          </cell>
          <cell r="Y1448" t="str">
            <v>GERMANY</v>
          </cell>
        </row>
        <row r="1449">
          <cell r="L1449" t="str">
            <v>Non-proportional</v>
          </cell>
          <cell r="S1449">
            <v>12998.2</v>
          </cell>
          <cell r="X1449" t="str">
            <v>Commissions - gross</v>
          </cell>
          <cell r="Y1449" t="str">
            <v>UNITED KINGDOM</v>
          </cell>
        </row>
        <row r="1450">
          <cell r="L1450" t="str">
            <v>Non-proportional</v>
          </cell>
          <cell r="S1450">
            <v>326.08</v>
          </cell>
          <cell r="X1450" t="str">
            <v>Commissions - gross</v>
          </cell>
          <cell r="Y1450" t="str">
            <v>UNITED KINGDOM</v>
          </cell>
        </row>
        <row r="1451">
          <cell r="L1451" t="str">
            <v>Non-proportional</v>
          </cell>
          <cell r="S1451">
            <v>2539.36</v>
          </cell>
          <cell r="X1451" t="str">
            <v>Commissions - gross</v>
          </cell>
          <cell r="Y1451" t="str">
            <v>GERMANY</v>
          </cell>
        </row>
        <row r="1452">
          <cell r="L1452" t="str">
            <v>Non-proportional</v>
          </cell>
          <cell r="S1452">
            <v>2340.1799999999998</v>
          </cell>
          <cell r="X1452" t="str">
            <v>Commissions - gross</v>
          </cell>
          <cell r="Y1452" t="str">
            <v>GERMANY</v>
          </cell>
        </row>
        <row r="1453">
          <cell r="L1453" t="str">
            <v>Non-proportional</v>
          </cell>
          <cell r="S1453">
            <v>3585.49</v>
          </cell>
          <cell r="X1453" t="str">
            <v>Commissions - gross</v>
          </cell>
          <cell r="Y1453" t="str">
            <v>UNITED KINGDOM</v>
          </cell>
        </row>
        <row r="1454">
          <cell r="L1454" t="str">
            <v>Non-proportional</v>
          </cell>
          <cell r="S1454">
            <v>548.41</v>
          </cell>
          <cell r="X1454" t="str">
            <v>Commissions - gross</v>
          </cell>
          <cell r="Y1454" t="str">
            <v>EUROPE</v>
          </cell>
        </row>
        <row r="1455">
          <cell r="L1455" t="str">
            <v>Non-proportional</v>
          </cell>
          <cell r="S1455">
            <v>699.8</v>
          </cell>
          <cell r="X1455" t="str">
            <v>Commissions - gross</v>
          </cell>
          <cell r="Y1455" t="str">
            <v>AUSTRIA</v>
          </cell>
        </row>
        <row r="1456">
          <cell r="L1456" t="str">
            <v>Non-proportional</v>
          </cell>
          <cell r="S1456">
            <v>463.68</v>
          </cell>
          <cell r="X1456" t="str">
            <v>Commissions - gross</v>
          </cell>
          <cell r="Y1456" t="str">
            <v>UNITED KINGDOM</v>
          </cell>
        </row>
        <row r="1457">
          <cell r="L1457" t="str">
            <v>Non-proportional</v>
          </cell>
          <cell r="S1457">
            <v>884.49</v>
          </cell>
          <cell r="X1457" t="str">
            <v>Commissions - gross</v>
          </cell>
          <cell r="Y1457" t="str">
            <v>GERMANY</v>
          </cell>
        </row>
        <row r="1458">
          <cell r="L1458" t="str">
            <v>Non-proportional</v>
          </cell>
          <cell r="S1458">
            <v>-0.35</v>
          </cell>
          <cell r="X1458" t="str">
            <v>Commissions - gross</v>
          </cell>
          <cell r="Y1458" t="str">
            <v>DENMARK</v>
          </cell>
        </row>
        <row r="1459">
          <cell r="L1459" t="str">
            <v>Non-proportional</v>
          </cell>
          <cell r="S1459">
            <v>736.86</v>
          </cell>
          <cell r="X1459" t="str">
            <v>Commissions - gross</v>
          </cell>
          <cell r="Y1459" t="str">
            <v>NORWAY</v>
          </cell>
        </row>
        <row r="1460">
          <cell r="L1460" t="str">
            <v>Non-proportional</v>
          </cell>
          <cell r="S1460">
            <v>200.11</v>
          </cell>
          <cell r="X1460" t="str">
            <v>Commissions - gross</v>
          </cell>
          <cell r="Y1460" t="str">
            <v>JAPAN</v>
          </cell>
        </row>
        <row r="1461">
          <cell r="L1461" t="str">
            <v>Non-proportional</v>
          </cell>
          <cell r="S1461">
            <v>745.46</v>
          </cell>
          <cell r="X1461" t="str">
            <v>Commissions - gross</v>
          </cell>
          <cell r="Y1461" t="str">
            <v>EUROPE</v>
          </cell>
        </row>
        <row r="1462">
          <cell r="L1462" t="str">
            <v>Non-proportional</v>
          </cell>
          <cell r="S1462">
            <v>7525.6</v>
          </cell>
          <cell r="X1462" t="str">
            <v>Commissions - gross</v>
          </cell>
          <cell r="Y1462" t="str">
            <v>GERMANY</v>
          </cell>
        </row>
        <row r="1463">
          <cell r="L1463" t="str">
            <v>Non-proportional</v>
          </cell>
          <cell r="S1463">
            <v>311.66000000000003</v>
          </cell>
          <cell r="X1463" t="str">
            <v>Commissions - gross</v>
          </cell>
          <cell r="Y1463" t="str">
            <v>ICELAND</v>
          </cell>
        </row>
        <row r="1464">
          <cell r="L1464" t="str">
            <v>Non-proportional</v>
          </cell>
          <cell r="S1464">
            <v>718.9</v>
          </cell>
          <cell r="X1464" t="str">
            <v>Commissions - gross</v>
          </cell>
          <cell r="Y1464" t="str">
            <v>NORWAY</v>
          </cell>
        </row>
        <row r="1465">
          <cell r="L1465" t="str">
            <v>Non-proportional</v>
          </cell>
          <cell r="S1465">
            <v>281.62</v>
          </cell>
          <cell r="X1465" t="str">
            <v>Commissions - gross</v>
          </cell>
          <cell r="Y1465" t="str">
            <v>FRANCE</v>
          </cell>
        </row>
        <row r="1466">
          <cell r="L1466" t="str">
            <v>Non-proportional</v>
          </cell>
          <cell r="S1466">
            <v>57.5</v>
          </cell>
          <cell r="X1466" t="str">
            <v>Commissions - gross</v>
          </cell>
          <cell r="Y1466" t="str">
            <v>ITALY</v>
          </cell>
        </row>
        <row r="1467">
          <cell r="L1467" t="str">
            <v>Non-proportional</v>
          </cell>
          <cell r="S1467">
            <v>332.98</v>
          </cell>
          <cell r="X1467" t="str">
            <v>Commissions - gross</v>
          </cell>
          <cell r="Y1467" t="str">
            <v>GERMANY</v>
          </cell>
        </row>
        <row r="1468">
          <cell r="L1468" t="str">
            <v>Non-proportional</v>
          </cell>
          <cell r="S1468">
            <v>534.05999999999995</v>
          </cell>
          <cell r="X1468" t="str">
            <v>Commissions - gross</v>
          </cell>
          <cell r="Y1468" t="str">
            <v>NORWAY</v>
          </cell>
        </row>
        <row r="1469">
          <cell r="L1469" t="str">
            <v>Non-proportional</v>
          </cell>
          <cell r="S1469">
            <v>333.34</v>
          </cell>
          <cell r="X1469" t="str">
            <v>Commissions - gross</v>
          </cell>
          <cell r="Y1469" t="str">
            <v>ITALY</v>
          </cell>
        </row>
        <row r="1470">
          <cell r="L1470" t="str">
            <v>Non-proportional</v>
          </cell>
          <cell r="S1470">
            <v>4060.83</v>
          </cell>
          <cell r="X1470" t="str">
            <v>Commissions - gross</v>
          </cell>
          <cell r="Y1470" t="str">
            <v>UNITED KINGDOM</v>
          </cell>
        </row>
        <row r="1471">
          <cell r="L1471" t="str">
            <v>Non-proportional</v>
          </cell>
          <cell r="S1471">
            <v>1196.95</v>
          </cell>
          <cell r="X1471" t="str">
            <v>Commissions - gross</v>
          </cell>
          <cell r="Y1471" t="str">
            <v>UNITED KINGDOM</v>
          </cell>
        </row>
        <row r="1472">
          <cell r="L1472" t="str">
            <v>Non-proportional</v>
          </cell>
          <cell r="S1472">
            <v>4282.6400000000003</v>
          </cell>
          <cell r="X1472" t="str">
            <v>Commissions - gross</v>
          </cell>
          <cell r="Y1472" t="str">
            <v>UNITED KINGDOM</v>
          </cell>
        </row>
        <row r="1473">
          <cell r="L1473" t="str">
            <v>Non-proportional</v>
          </cell>
          <cell r="S1473">
            <v>356.85</v>
          </cell>
          <cell r="X1473" t="str">
            <v>Commissions - gross</v>
          </cell>
          <cell r="Y1473" t="str">
            <v>SWITZERLAND</v>
          </cell>
        </row>
        <row r="1474">
          <cell r="L1474" t="str">
            <v>Non-proportional</v>
          </cell>
          <cell r="S1474">
            <v>603.30999999999995</v>
          </cell>
          <cell r="X1474" t="str">
            <v>Commissions - gross</v>
          </cell>
          <cell r="Y1474" t="str">
            <v>UNITED KINGDOM</v>
          </cell>
        </row>
        <row r="1475">
          <cell r="L1475" t="str">
            <v>Non-proportional</v>
          </cell>
          <cell r="S1475">
            <v>1633.81</v>
          </cell>
          <cell r="X1475" t="str">
            <v>Commissions - gross</v>
          </cell>
          <cell r="Y1475" t="str">
            <v>DENMARK</v>
          </cell>
        </row>
        <row r="1476">
          <cell r="L1476" t="str">
            <v>Non-proportional</v>
          </cell>
          <cell r="S1476">
            <v>112.5</v>
          </cell>
          <cell r="X1476" t="str">
            <v>Commissions - gross</v>
          </cell>
          <cell r="Y1476" t="str">
            <v>GERMANY</v>
          </cell>
        </row>
        <row r="1477">
          <cell r="L1477" t="str">
            <v>Non-proportional</v>
          </cell>
          <cell r="S1477">
            <v>2941.67</v>
          </cell>
          <cell r="X1477" t="str">
            <v>Commissions - gross</v>
          </cell>
          <cell r="Y1477" t="str">
            <v>EUROPE</v>
          </cell>
        </row>
        <row r="1478">
          <cell r="L1478" t="str">
            <v>Non-proportional</v>
          </cell>
          <cell r="S1478">
            <v>457.31</v>
          </cell>
          <cell r="X1478" t="str">
            <v>Commissions - gross</v>
          </cell>
          <cell r="Y1478" t="str">
            <v>EUROPE</v>
          </cell>
        </row>
        <row r="1479">
          <cell r="L1479" t="str">
            <v>Non-proportional</v>
          </cell>
          <cell r="S1479">
            <v>246.43</v>
          </cell>
          <cell r="X1479" t="str">
            <v>Commissions - gross</v>
          </cell>
          <cell r="Y1479" t="str">
            <v>SWEDEN</v>
          </cell>
        </row>
        <row r="1480">
          <cell r="L1480" t="str">
            <v>Non-proportional</v>
          </cell>
          <cell r="S1480">
            <v>1897.38</v>
          </cell>
          <cell r="X1480" t="str">
            <v>Commissions - gross</v>
          </cell>
          <cell r="Y1480" t="str">
            <v>AUSTRIA</v>
          </cell>
        </row>
        <row r="1481">
          <cell r="L1481" t="str">
            <v>Non-proportional</v>
          </cell>
          <cell r="S1481">
            <v>32268.05</v>
          </cell>
          <cell r="X1481" t="str">
            <v>Commissions - gross</v>
          </cell>
          <cell r="Y1481" t="str">
            <v>UNITED KINGDOM</v>
          </cell>
        </row>
        <row r="1482">
          <cell r="L1482" t="str">
            <v>Non-proportional</v>
          </cell>
          <cell r="S1482">
            <v>779.16</v>
          </cell>
          <cell r="X1482" t="str">
            <v>Commissions - gross</v>
          </cell>
          <cell r="Y1482" t="str">
            <v>ICELAND</v>
          </cell>
        </row>
        <row r="1483">
          <cell r="L1483" t="str">
            <v>Non-proportional</v>
          </cell>
          <cell r="S1483">
            <v>1059.49</v>
          </cell>
          <cell r="X1483" t="str">
            <v>Commissions - gross</v>
          </cell>
          <cell r="Y1483" t="str">
            <v>GERMANY</v>
          </cell>
        </row>
        <row r="1484">
          <cell r="L1484" t="str">
            <v>Non-proportional</v>
          </cell>
          <cell r="S1484">
            <v>2127.7199999999998</v>
          </cell>
          <cell r="X1484" t="str">
            <v>Commissions - gross</v>
          </cell>
          <cell r="Y1484" t="str">
            <v>SWITZERLAND</v>
          </cell>
        </row>
        <row r="1485">
          <cell r="L1485" t="str">
            <v>Non-proportional</v>
          </cell>
          <cell r="S1485">
            <v>1143.04</v>
          </cell>
          <cell r="X1485" t="str">
            <v>Commissions - gross</v>
          </cell>
          <cell r="Y1485" t="str">
            <v>SWITZERLAND</v>
          </cell>
        </row>
        <row r="1486">
          <cell r="L1486" t="str">
            <v>Non-proportional</v>
          </cell>
          <cell r="S1486">
            <v>4360.28</v>
          </cell>
          <cell r="X1486" t="str">
            <v>Commissions - gross</v>
          </cell>
          <cell r="Y1486" t="str">
            <v>UNITED KINGDOM</v>
          </cell>
        </row>
        <row r="1487">
          <cell r="L1487" t="str">
            <v>Non-proportional</v>
          </cell>
          <cell r="S1487">
            <v>2147.83</v>
          </cell>
          <cell r="X1487" t="str">
            <v>Commissions - gross</v>
          </cell>
          <cell r="Y1487" t="str">
            <v>UNITED KINGDOM</v>
          </cell>
        </row>
        <row r="1488">
          <cell r="L1488" t="str">
            <v>Non-proportional</v>
          </cell>
          <cell r="S1488">
            <v>196.23</v>
          </cell>
          <cell r="X1488" t="str">
            <v>Commissions - gross</v>
          </cell>
          <cell r="Y1488" t="str">
            <v>GERMANY</v>
          </cell>
        </row>
        <row r="1489">
          <cell r="L1489" t="str">
            <v>Non-proportional</v>
          </cell>
          <cell r="S1489">
            <v>140.16999999999999</v>
          </cell>
          <cell r="X1489" t="str">
            <v>Commissions - gross</v>
          </cell>
          <cell r="Y1489" t="str">
            <v>GERMANY</v>
          </cell>
        </row>
        <row r="1490">
          <cell r="L1490" t="str">
            <v>Non-proportional</v>
          </cell>
          <cell r="S1490">
            <v>415.99</v>
          </cell>
          <cell r="X1490" t="str">
            <v>Commissions - gross</v>
          </cell>
          <cell r="Y1490" t="str">
            <v>UNITED KINGDOM</v>
          </cell>
        </row>
        <row r="1491">
          <cell r="L1491" t="str">
            <v>Non-proportional</v>
          </cell>
          <cell r="S1491">
            <v>1221.5</v>
          </cell>
          <cell r="X1491" t="str">
            <v>Commissions - gross</v>
          </cell>
          <cell r="Y1491" t="str">
            <v>REPUBLIC OF IRELAND</v>
          </cell>
        </row>
        <row r="1492">
          <cell r="L1492" t="str">
            <v>Non-proportional</v>
          </cell>
          <cell r="S1492">
            <v>991.79</v>
          </cell>
          <cell r="X1492" t="str">
            <v>Commissions - gross</v>
          </cell>
          <cell r="Y1492" t="str">
            <v>CZECH REPUBLIC</v>
          </cell>
        </row>
        <row r="1493">
          <cell r="L1493" t="str">
            <v>Non-proportional</v>
          </cell>
          <cell r="S1493">
            <v>2944.61</v>
          </cell>
          <cell r="X1493" t="str">
            <v>Commissions - gross</v>
          </cell>
          <cell r="Y1493" t="str">
            <v>UNITED KINGDOM</v>
          </cell>
        </row>
        <row r="1494">
          <cell r="L1494" t="str">
            <v>Non-proportional</v>
          </cell>
          <cell r="S1494">
            <v>1611.28</v>
          </cell>
          <cell r="X1494" t="str">
            <v>Commissions - gross</v>
          </cell>
          <cell r="Y1494" t="str">
            <v>EUROPE</v>
          </cell>
        </row>
        <row r="1495">
          <cell r="L1495" t="str">
            <v>Non-proportional</v>
          </cell>
          <cell r="S1495">
            <v>200.73</v>
          </cell>
          <cell r="X1495" t="str">
            <v>Commissions - gross</v>
          </cell>
          <cell r="Y1495" t="str">
            <v>SWITZERLAND</v>
          </cell>
        </row>
        <row r="1496">
          <cell r="L1496" t="str">
            <v>Non-proportional</v>
          </cell>
          <cell r="S1496">
            <v>134.01</v>
          </cell>
          <cell r="X1496" t="str">
            <v>Commissions - gross</v>
          </cell>
          <cell r="Y1496" t="str">
            <v>DENMARK</v>
          </cell>
        </row>
        <row r="1497">
          <cell r="L1497" t="str">
            <v>Non-proportional</v>
          </cell>
          <cell r="S1497">
            <v>4375</v>
          </cell>
          <cell r="X1497" t="str">
            <v>Commissions - gross</v>
          </cell>
          <cell r="Y1497" t="str">
            <v>GERMANY</v>
          </cell>
        </row>
        <row r="1498">
          <cell r="L1498" t="str">
            <v>Non-proportional</v>
          </cell>
          <cell r="S1498">
            <v>127.94</v>
          </cell>
          <cell r="X1498" t="str">
            <v>Commissions - gross</v>
          </cell>
          <cell r="Y1498" t="str">
            <v>FRANCE</v>
          </cell>
        </row>
        <row r="1499">
          <cell r="L1499" t="str">
            <v>Non-proportional</v>
          </cell>
          <cell r="S1499">
            <v>3372.64</v>
          </cell>
          <cell r="X1499" t="str">
            <v>Commissions - gross</v>
          </cell>
          <cell r="Y1499" t="str">
            <v>FRANCE</v>
          </cell>
        </row>
        <row r="1500">
          <cell r="L1500" t="str">
            <v>Non-proportional</v>
          </cell>
          <cell r="S1500">
            <v>1644.86</v>
          </cell>
          <cell r="X1500" t="str">
            <v>Commissions - gross</v>
          </cell>
          <cell r="Y1500" t="str">
            <v>SWITZERLAND</v>
          </cell>
        </row>
        <row r="1501">
          <cell r="L1501" t="str">
            <v>Non-proportional</v>
          </cell>
          <cell r="S1501">
            <v>796.5</v>
          </cell>
          <cell r="X1501" t="str">
            <v>Commissions - gross</v>
          </cell>
          <cell r="Y1501" t="str">
            <v>GERMANY</v>
          </cell>
        </row>
        <row r="1502">
          <cell r="L1502" t="str">
            <v>Non-proportional</v>
          </cell>
          <cell r="S1502">
            <v>263.73</v>
          </cell>
          <cell r="X1502" t="str">
            <v>Commissions - gross</v>
          </cell>
          <cell r="Y1502" t="str">
            <v>GERMANY</v>
          </cell>
        </row>
        <row r="1503">
          <cell r="L1503" t="str">
            <v>Non-proportional</v>
          </cell>
          <cell r="S1503">
            <v>446.09</v>
          </cell>
          <cell r="X1503" t="str">
            <v>Commissions - gross</v>
          </cell>
          <cell r="Y1503" t="str">
            <v>DENMARK</v>
          </cell>
        </row>
        <row r="1504">
          <cell r="L1504" t="str">
            <v>Non-proportional</v>
          </cell>
          <cell r="S1504">
            <v>2066.04</v>
          </cell>
          <cell r="X1504" t="str">
            <v>Commissions - gross</v>
          </cell>
          <cell r="Y1504" t="str">
            <v>UNITED KINGDOM</v>
          </cell>
        </row>
        <row r="1505">
          <cell r="L1505" t="str">
            <v>Non-proportional</v>
          </cell>
          <cell r="S1505">
            <v>1042.58</v>
          </cell>
          <cell r="X1505" t="str">
            <v>Commissions - gross</v>
          </cell>
          <cell r="Y1505" t="str">
            <v>FRANCE</v>
          </cell>
        </row>
        <row r="1506">
          <cell r="L1506" t="str">
            <v>Non-proportional</v>
          </cell>
          <cell r="S1506">
            <v>271.27</v>
          </cell>
          <cell r="X1506" t="str">
            <v>Commissions - gross</v>
          </cell>
          <cell r="Y1506" t="str">
            <v>GERMANY</v>
          </cell>
        </row>
        <row r="1507">
          <cell r="L1507" t="str">
            <v>Non-proportional</v>
          </cell>
          <cell r="S1507">
            <v>271.51</v>
          </cell>
          <cell r="X1507" t="str">
            <v>Commissions - gross</v>
          </cell>
          <cell r="Y1507" t="str">
            <v>JAPAN</v>
          </cell>
        </row>
        <row r="1508">
          <cell r="L1508" t="str">
            <v>Non-proportional</v>
          </cell>
          <cell r="S1508">
            <v>-0.38</v>
          </cell>
          <cell r="X1508" t="str">
            <v>Commissions - gross</v>
          </cell>
          <cell r="Y1508" t="str">
            <v>DENMARK</v>
          </cell>
        </row>
        <row r="1509">
          <cell r="L1509" t="str">
            <v>Non-proportional</v>
          </cell>
          <cell r="S1509">
            <v>842.33</v>
          </cell>
          <cell r="X1509" t="str">
            <v>Commissions - gross</v>
          </cell>
          <cell r="Y1509" t="str">
            <v>ITALY</v>
          </cell>
        </row>
        <row r="1510">
          <cell r="L1510" t="str">
            <v>Non-proportional</v>
          </cell>
          <cell r="S1510">
            <v>1760.9</v>
          </cell>
          <cell r="X1510" t="str">
            <v>Commissions - gross</v>
          </cell>
          <cell r="Y1510" t="str">
            <v>AUSTRIA</v>
          </cell>
        </row>
        <row r="1511">
          <cell r="L1511" t="str">
            <v>Non-proportional</v>
          </cell>
          <cell r="S1511">
            <v>1886</v>
          </cell>
          <cell r="X1511" t="str">
            <v>Commissions - gross</v>
          </cell>
          <cell r="Y1511" t="str">
            <v>GERMANY</v>
          </cell>
        </row>
        <row r="1512">
          <cell r="L1512" t="str">
            <v>Non-proportional</v>
          </cell>
          <cell r="S1512">
            <v>353.29</v>
          </cell>
          <cell r="X1512" t="str">
            <v>Commissions - gross</v>
          </cell>
          <cell r="Y1512" t="str">
            <v>FAROE ISLANDS</v>
          </cell>
        </row>
        <row r="1513">
          <cell r="L1513" t="str">
            <v>Non-proportional</v>
          </cell>
          <cell r="S1513">
            <v>670.36</v>
          </cell>
          <cell r="X1513" t="str">
            <v>Commissions - gross</v>
          </cell>
          <cell r="Y1513" t="str">
            <v>DENMARK</v>
          </cell>
        </row>
        <row r="1514">
          <cell r="L1514" t="str">
            <v>Non-proportional</v>
          </cell>
          <cell r="S1514">
            <v>2070.71</v>
          </cell>
          <cell r="X1514" t="str">
            <v>Commissions - gross</v>
          </cell>
          <cell r="Y1514" t="str">
            <v>EUROPE</v>
          </cell>
        </row>
        <row r="1515">
          <cell r="L1515" t="str">
            <v>Non-proportional</v>
          </cell>
          <cell r="S1515">
            <v>5728.21</v>
          </cell>
          <cell r="X1515" t="str">
            <v>Commissions - gross</v>
          </cell>
          <cell r="Y1515" t="str">
            <v>UNITED KINGDOM</v>
          </cell>
        </row>
        <row r="1516">
          <cell r="L1516" t="str">
            <v>Non-proportional</v>
          </cell>
          <cell r="S1516">
            <v>849.45</v>
          </cell>
          <cell r="X1516" t="str">
            <v>Commissions - gross</v>
          </cell>
          <cell r="Y1516" t="str">
            <v>GERMANY</v>
          </cell>
        </row>
        <row r="1517">
          <cell r="L1517" t="str">
            <v>Non-proportional</v>
          </cell>
          <cell r="S1517">
            <v>1505.46</v>
          </cell>
          <cell r="X1517" t="str">
            <v>Commissions - gross</v>
          </cell>
          <cell r="Y1517" t="str">
            <v>SWITZERLAND</v>
          </cell>
        </row>
        <row r="1518">
          <cell r="L1518" t="str">
            <v>Non-proportional</v>
          </cell>
          <cell r="S1518">
            <v>601.84</v>
          </cell>
          <cell r="X1518" t="str">
            <v>Commissions - gross</v>
          </cell>
          <cell r="Y1518" t="str">
            <v>UNITED KINGDOM</v>
          </cell>
        </row>
        <row r="1519">
          <cell r="L1519" t="str">
            <v>Non-proportional</v>
          </cell>
          <cell r="S1519">
            <v>1583.24</v>
          </cell>
          <cell r="X1519" t="str">
            <v>Commissions - gross</v>
          </cell>
          <cell r="Y1519" t="str">
            <v>GERMANY</v>
          </cell>
        </row>
        <row r="1520">
          <cell r="L1520" t="str">
            <v>Non-proportional</v>
          </cell>
          <cell r="S1520">
            <v>632.54999999999995</v>
          </cell>
          <cell r="X1520" t="str">
            <v>Commissions - gross</v>
          </cell>
          <cell r="Y1520" t="str">
            <v>SWEDEN</v>
          </cell>
        </row>
        <row r="1521">
          <cell r="L1521" t="str">
            <v>Non-proportional</v>
          </cell>
          <cell r="S1521">
            <v>208.24</v>
          </cell>
          <cell r="X1521" t="str">
            <v>Commissions - gross</v>
          </cell>
          <cell r="Y1521" t="str">
            <v>GERMANY</v>
          </cell>
        </row>
        <row r="1522">
          <cell r="L1522" t="str">
            <v>Non-proportional</v>
          </cell>
          <cell r="S1522">
            <v>1405.83</v>
          </cell>
          <cell r="X1522" t="str">
            <v>Commissions - gross</v>
          </cell>
          <cell r="Y1522" t="str">
            <v>EIRE</v>
          </cell>
        </row>
        <row r="1523">
          <cell r="L1523" t="str">
            <v>Non-proportional</v>
          </cell>
          <cell r="S1523">
            <v>337.5</v>
          </cell>
          <cell r="X1523" t="str">
            <v>Commissions - gross</v>
          </cell>
          <cell r="Y1523" t="str">
            <v>GERMANY</v>
          </cell>
        </row>
        <row r="1524">
          <cell r="L1524" t="str">
            <v>Non-proportional</v>
          </cell>
          <cell r="S1524">
            <v>641.66999999999996</v>
          </cell>
          <cell r="X1524" t="str">
            <v>Commissions - gross</v>
          </cell>
          <cell r="Y1524" t="str">
            <v>GERMANY</v>
          </cell>
        </row>
        <row r="1525">
          <cell r="L1525" t="str">
            <v>Non-proportional</v>
          </cell>
          <cell r="S1525">
            <v>537.53</v>
          </cell>
          <cell r="X1525" t="str">
            <v>Commissions - gross</v>
          </cell>
          <cell r="Y1525" t="str">
            <v>DENMARK</v>
          </cell>
        </row>
        <row r="1526">
          <cell r="L1526" t="str">
            <v>Non-proportional</v>
          </cell>
          <cell r="S1526">
            <v>74.78</v>
          </cell>
          <cell r="X1526" t="str">
            <v>Commissions - gross</v>
          </cell>
          <cell r="Y1526" t="str">
            <v>JAPAN</v>
          </cell>
        </row>
        <row r="1527">
          <cell r="L1527" t="str">
            <v>Non-proportional</v>
          </cell>
          <cell r="S1527">
            <v>3734.6</v>
          </cell>
          <cell r="X1527" t="str">
            <v>Commissions - gross</v>
          </cell>
          <cell r="Y1527" t="str">
            <v>FRANCE</v>
          </cell>
        </row>
        <row r="1528">
          <cell r="L1528" t="str">
            <v>Non-proportional</v>
          </cell>
          <cell r="S1528">
            <v>3898.32</v>
          </cell>
          <cell r="X1528" t="str">
            <v>Commissions - gross</v>
          </cell>
          <cell r="Y1528" t="str">
            <v>UNITED KINGDOM</v>
          </cell>
        </row>
        <row r="1529">
          <cell r="L1529" t="str">
            <v>Non-proportional</v>
          </cell>
          <cell r="S1529">
            <v>-0.28000000000000003</v>
          </cell>
          <cell r="X1529" t="str">
            <v>Commissions - gross</v>
          </cell>
          <cell r="Y1529" t="str">
            <v>DENMARK</v>
          </cell>
        </row>
        <row r="1530">
          <cell r="L1530" t="str">
            <v>Non-proportional</v>
          </cell>
          <cell r="S1530">
            <v>1340.48</v>
          </cell>
          <cell r="X1530" t="str">
            <v>Commissions - gross</v>
          </cell>
          <cell r="Y1530" t="str">
            <v>DENMARK</v>
          </cell>
        </row>
        <row r="1531">
          <cell r="L1531" t="str">
            <v>Non-proportional</v>
          </cell>
          <cell r="S1531">
            <v>-9879.92</v>
          </cell>
          <cell r="X1531" t="str">
            <v>Commissions - gross</v>
          </cell>
          <cell r="Y1531" t="str">
            <v>POLAND</v>
          </cell>
        </row>
        <row r="1532">
          <cell r="L1532" t="str">
            <v>Non-proportional</v>
          </cell>
          <cell r="S1532">
            <v>82.05</v>
          </cell>
          <cell r="X1532" t="str">
            <v>Commissions - gross</v>
          </cell>
          <cell r="Y1532" t="str">
            <v>GERMANY</v>
          </cell>
        </row>
        <row r="1533">
          <cell r="L1533" t="str">
            <v>Non-proportional</v>
          </cell>
          <cell r="S1533">
            <v>593.09</v>
          </cell>
          <cell r="X1533" t="str">
            <v>Commissions - gross</v>
          </cell>
          <cell r="Y1533" t="str">
            <v>NORWAY</v>
          </cell>
        </row>
        <row r="1534">
          <cell r="L1534" t="str">
            <v>Non-proportional</v>
          </cell>
          <cell r="S1534">
            <v>552.71</v>
          </cell>
          <cell r="X1534" t="str">
            <v>Commissions - gross</v>
          </cell>
          <cell r="Y1534" t="str">
            <v>GERMANY</v>
          </cell>
        </row>
        <row r="1535">
          <cell r="L1535" t="str">
            <v>Non-proportional</v>
          </cell>
          <cell r="S1535">
            <v>2092.4899999999998</v>
          </cell>
          <cell r="X1535" t="str">
            <v>Commissions - gross</v>
          </cell>
          <cell r="Y1535" t="str">
            <v>FRANCE</v>
          </cell>
        </row>
        <row r="1536">
          <cell r="L1536" t="str">
            <v>Non-proportional</v>
          </cell>
          <cell r="S1536">
            <v>703</v>
          </cell>
          <cell r="X1536" t="str">
            <v>Commissions - gross</v>
          </cell>
          <cell r="Y1536" t="str">
            <v>UNITED KINGDOM</v>
          </cell>
        </row>
        <row r="1537">
          <cell r="L1537" t="str">
            <v>Non-proportional</v>
          </cell>
          <cell r="S1537">
            <v>791.68</v>
          </cell>
          <cell r="X1537" t="str">
            <v>Commissions - gross</v>
          </cell>
          <cell r="Y1537" t="str">
            <v>GERMANY</v>
          </cell>
        </row>
        <row r="1538">
          <cell r="L1538" t="str">
            <v>Non-proportional</v>
          </cell>
          <cell r="S1538">
            <v>610.41</v>
          </cell>
          <cell r="X1538" t="str">
            <v>Commissions - gross</v>
          </cell>
          <cell r="Y1538" t="str">
            <v>UNITED KINGDOM</v>
          </cell>
        </row>
        <row r="1539">
          <cell r="L1539" t="str">
            <v>Non-proportional</v>
          </cell>
          <cell r="S1539">
            <v>339.25</v>
          </cell>
          <cell r="X1539" t="str">
            <v>Commissions - gross</v>
          </cell>
          <cell r="Y1539" t="str">
            <v>ITALY</v>
          </cell>
        </row>
        <row r="1540">
          <cell r="L1540" t="str">
            <v>Non-proportional</v>
          </cell>
          <cell r="S1540">
            <v>789.67</v>
          </cell>
          <cell r="X1540" t="str">
            <v>Commissions - gross</v>
          </cell>
          <cell r="Y1540" t="str">
            <v>DENMARK</v>
          </cell>
        </row>
        <row r="1541">
          <cell r="L1541" t="str">
            <v>Non-proportional</v>
          </cell>
          <cell r="S1541">
            <v>730.91</v>
          </cell>
          <cell r="X1541" t="str">
            <v>Commissions - gross</v>
          </cell>
          <cell r="Y1541" t="str">
            <v>FAROE ISLANDS</v>
          </cell>
        </row>
        <row r="1542">
          <cell r="L1542" t="str">
            <v>Non-proportional</v>
          </cell>
          <cell r="S1542">
            <v>386.41</v>
          </cell>
          <cell r="X1542" t="str">
            <v>Commissions - gross</v>
          </cell>
          <cell r="Y1542" t="str">
            <v>UNITED KINGDOM</v>
          </cell>
        </row>
        <row r="1543">
          <cell r="L1543" t="str">
            <v>Non-proportional</v>
          </cell>
          <cell r="S1543">
            <v>128.38999999999999</v>
          </cell>
          <cell r="X1543" t="str">
            <v>Commissions - gross</v>
          </cell>
          <cell r="Y1543" t="str">
            <v>UNITED KINGDOM</v>
          </cell>
        </row>
        <row r="1544">
          <cell r="L1544" t="str">
            <v>Non-proportional</v>
          </cell>
          <cell r="S1544">
            <v>8121.71</v>
          </cell>
          <cell r="X1544" t="str">
            <v>Commissions - gross</v>
          </cell>
          <cell r="Y1544" t="str">
            <v>UNITED KINGDOM</v>
          </cell>
        </row>
        <row r="1545">
          <cell r="L1545" t="str">
            <v>Non-proportional</v>
          </cell>
          <cell r="S1545">
            <v>760.42</v>
          </cell>
          <cell r="X1545" t="str">
            <v>Commissions - gross</v>
          </cell>
          <cell r="Y1545" t="str">
            <v>GERMANY</v>
          </cell>
        </row>
        <row r="1546">
          <cell r="L1546" t="str">
            <v>Non-proportional</v>
          </cell>
          <cell r="S1546">
            <v>920.31</v>
          </cell>
          <cell r="X1546" t="str">
            <v>Commissions - gross</v>
          </cell>
          <cell r="Y1546" t="str">
            <v>GERMANY</v>
          </cell>
        </row>
        <row r="1547">
          <cell r="L1547" t="str">
            <v>Non-proportional</v>
          </cell>
          <cell r="S1547">
            <v>1337.43</v>
          </cell>
          <cell r="X1547" t="str">
            <v>Commissions - gross</v>
          </cell>
          <cell r="Y1547" t="str">
            <v>UNITED KINGDOM</v>
          </cell>
        </row>
        <row r="1548">
          <cell r="L1548" t="str">
            <v>Non-proportional</v>
          </cell>
          <cell r="S1548">
            <v>89.41</v>
          </cell>
          <cell r="X1548" t="str">
            <v>Commissions - gross</v>
          </cell>
          <cell r="Y1548" t="str">
            <v>DENMARK</v>
          </cell>
        </row>
        <row r="1549">
          <cell r="L1549" t="str">
            <v>Non-proportional</v>
          </cell>
          <cell r="S1549">
            <v>8.33</v>
          </cell>
          <cell r="X1549" t="str">
            <v>Commissions - gross</v>
          </cell>
          <cell r="Y1549" t="str">
            <v>FRANCE</v>
          </cell>
        </row>
        <row r="1550">
          <cell r="L1550" t="str">
            <v>Non-proportional</v>
          </cell>
          <cell r="S1550">
            <v>28348.14</v>
          </cell>
          <cell r="X1550" t="str">
            <v>Commissions - gross</v>
          </cell>
          <cell r="Y1550" t="str">
            <v>UNITED KINGDOM</v>
          </cell>
        </row>
        <row r="1551">
          <cell r="L1551" t="str">
            <v>Non-proportional</v>
          </cell>
          <cell r="S1551">
            <v>331.31</v>
          </cell>
          <cell r="X1551" t="str">
            <v>Commissions - gross</v>
          </cell>
          <cell r="Y1551" t="str">
            <v>EUROPE</v>
          </cell>
        </row>
        <row r="1552">
          <cell r="L1552" t="str">
            <v>Non-proportional</v>
          </cell>
          <cell r="S1552">
            <v>690.42</v>
          </cell>
          <cell r="X1552" t="str">
            <v>Commissions - gross</v>
          </cell>
          <cell r="Y1552" t="str">
            <v>FRANCE</v>
          </cell>
        </row>
        <row r="1553">
          <cell r="L1553" t="str">
            <v>Non-proportional</v>
          </cell>
          <cell r="S1553">
            <v>558.63</v>
          </cell>
          <cell r="X1553" t="str">
            <v>Commissions - gross</v>
          </cell>
          <cell r="Y1553" t="str">
            <v>GERMANY</v>
          </cell>
        </row>
        <row r="1554">
          <cell r="L1554" t="str">
            <v>Non-proportional</v>
          </cell>
          <cell r="S1554">
            <v>912.9</v>
          </cell>
          <cell r="X1554" t="str">
            <v>Commissions - gross</v>
          </cell>
          <cell r="Y1554" t="str">
            <v>GERMANY</v>
          </cell>
        </row>
        <row r="1555">
          <cell r="L1555" t="str">
            <v>Non-proportional</v>
          </cell>
          <cell r="S1555">
            <v>78.2</v>
          </cell>
          <cell r="X1555" t="str">
            <v>Commissions - gross</v>
          </cell>
          <cell r="Y1555" t="str">
            <v>DENMARK</v>
          </cell>
        </row>
        <row r="1556">
          <cell r="L1556" t="str">
            <v>Non-proportional</v>
          </cell>
          <cell r="S1556">
            <v>206.53</v>
          </cell>
          <cell r="X1556" t="str">
            <v>Commissions - gross</v>
          </cell>
          <cell r="Y1556" t="str">
            <v>EUROPE</v>
          </cell>
        </row>
        <row r="1557">
          <cell r="L1557" t="str">
            <v>Non-proportional</v>
          </cell>
          <cell r="S1557">
            <v>1932.03</v>
          </cell>
          <cell r="X1557" t="str">
            <v>Commissions - gross</v>
          </cell>
          <cell r="Y1557" t="str">
            <v>SWEDEN</v>
          </cell>
        </row>
        <row r="1558">
          <cell r="L1558" t="str">
            <v>Non-proportional</v>
          </cell>
          <cell r="S1558">
            <v>1339.97</v>
          </cell>
          <cell r="X1558" t="str">
            <v>Commissions - gross</v>
          </cell>
          <cell r="Y1558" t="str">
            <v>GERMANY</v>
          </cell>
        </row>
        <row r="1559">
          <cell r="L1559" t="str">
            <v>Non-proportional</v>
          </cell>
          <cell r="S1559">
            <v>832.28</v>
          </cell>
          <cell r="X1559" t="str">
            <v>Commissions - gross</v>
          </cell>
          <cell r="Y1559" t="str">
            <v>GERMANY</v>
          </cell>
        </row>
        <row r="1560">
          <cell r="L1560" t="str">
            <v>Non-proportional</v>
          </cell>
          <cell r="S1560">
            <v>1880.73</v>
          </cell>
          <cell r="X1560" t="str">
            <v>Commissions - gross</v>
          </cell>
          <cell r="Y1560" t="str">
            <v>REPUBLIC OF IRELAND</v>
          </cell>
        </row>
        <row r="1561">
          <cell r="L1561" t="str">
            <v>Non-proportional</v>
          </cell>
          <cell r="S1561">
            <v>2588.63</v>
          </cell>
          <cell r="X1561" t="str">
            <v>Commissions - gross</v>
          </cell>
          <cell r="Y1561" t="str">
            <v>CZECH REPUBLIC</v>
          </cell>
        </row>
        <row r="1562">
          <cell r="L1562" t="str">
            <v>Non-proportional</v>
          </cell>
          <cell r="S1562">
            <v>720.28</v>
          </cell>
          <cell r="X1562" t="str">
            <v>Commissions - gross</v>
          </cell>
          <cell r="Y1562" t="str">
            <v>DENMARK</v>
          </cell>
        </row>
        <row r="1563">
          <cell r="L1563" t="str">
            <v>Non-proportional</v>
          </cell>
          <cell r="S1563">
            <v>4925.54</v>
          </cell>
          <cell r="X1563" t="str">
            <v>Commissions - gross</v>
          </cell>
          <cell r="Y1563" t="str">
            <v>UNITED KINGDOM</v>
          </cell>
        </row>
        <row r="1564">
          <cell r="L1564" t="str">
            <v>Non-proportional</v>
          </cell>
          <cell r="S1564">
            <v>1960.61</v>
          </cell>
          <cell r="X1564" t="str">
            <v>Commissions - gross</v>
          </cell>
          <cell r="Y1564" t="str">
            <v>FRANCE</v>
          </cell>
        </row>
        <row r="1565">
          <cell r="L1565" t="str">
            <v>Non-proportional</v>
          </cell>
          <cell r="S1565">
            <v>208.33</v>
          </cell>
          <cell r="X1565" t="str">
            <v>Commissions - gross</v>
          </cell>
          <cell r="Y1565" t="str">
            <v>GERMANY</v>
          </cell>
        </row>
        <row r="1566">
          <cell r="L1566" t="str">
            <v>Non-proportional</v>
          </cell>
          <cell r="S1566">
            <v>-0.48</v>
          </cell>
          <cell r="X1566" t="str">
            <v>Commissions - gross</v>
          </cell>
          <cell r="Y1566" t="str">
            <v>SWEDEN</v>
          </cell>
        </row>
        <row r="1567">
          <cell r="L1567" t="str">
            <v>Non-proportional</v>
          </cell>
          <cell r="S1567">
            <v>1.0900000000000001</v>
          </cell>
          <cell r="X1567" t="str">
            <v>Commissions - gross</v>
          </cell>
          <cell r="Y1567" t="str">
            <v>NORWAY</v>
          </cell>
        </row>
        <row r="1568">
          <cell r="L1568" t="str">
            <v>Non-proportional</v>
          </cell>
          <cell r="S1568">
            <v>3534.62</v>
          </cell>
          <cell r="X1568" t="str">
            <v>Commissions - gross</v>
          </cell>
          <cell r="Y1568" t="str">
            <v>UNITED KINGDOM</v>
          </cell>
        </row>
        <row r="1569">
          <cell r="L1569" t="str">
            <v>Non-proportional</v>
          </cell>
          <cell r="S1569">
            <v>193.33</v>
          </cell>
          <cell r="X1569" t="str">
            <v>Commissions - gross</v>
          </cell>
          <cell r="Y1569" t="str">
            <v>JAPAN</v>
          </cell>
        </row>
        <row r="1570">
          <cell r="L1570" t="str">
            <v>Non-proportional</v>
          </cell>
          <cell r="S1570">
            <v>536.25</v>
          </cell>
          <cell r="X1570" t="str">
            <v>Commissions - gross</v>
          </cell>
          <cell r="Y1570" t="str">
            <v>GERMANY</v>
          </cell>
        </row>
        <row r="1571">
          <cell r="L1571" t="str">
            <v>Non-proportional</v>
          </cell>
          <cell r="S1571">
            <v>82.05</v>
          </cell>
          <cell r="X1571" t="str">
            <v>Commissions - gross</v>
          </cell>
          <cell r="Y1571" t="str">
            <v>GERMANY</v>
          </cell>
        </row>
        <row r="1572">
          <cell r="L1572" t="str">
            <v>Non-proportional</v>
          </cell>
          <cell r="S1572">
            <v>193.89</v>
          </cell>
          <cell r="X1572" t="str">
            <v>Commissions - gross</v>
          </cell>
          <cell r="Y1572" t="str">
            <v>REPUBLIC OF IRELAND</v>
          </cell>
        </row>
        <row r="1573">
          <cell r="L1573" t="str">
            <v>Non-proportional</v>
          </cell>
          <cell r="S1573">
            <v>593.29999999999995</v>
          </cell>
          <cell r="X1573" t="str">
            <v>Commissions - gross</v>
          </cell>
          <cell r="Y1573" t="str">
            <v>UNITED KINGDOM</v>
          </cell>
        </row>
        <row r="1574">
          <cell r="L1574" t="str">
            <v>Non-proportional</v>
          </cell>
          <cell r="S1574">
            <v>812.5</v>
          </cell>
          <cell r="X1574" t="str">
            <v>Commissions - gross</v>
          </cell>
          <cell r="Y1574" t="str">
            <v>CZECH REPUBLIC</v>
          </cell>
        </row>
        <row r="1575">
          <cell r="L1575" t="str">
            <v>Non-proportional</v>
          </cell>
          <cell r="S1575">
            <v>3372.64</v>
          </cell>
          <cell r="X1575" t="str">
            <v>Commissions - gross</v>
          </cell>
          <cell r="Y1575" t="str">
            <v>FRANCE</v>
          </cell>
        </row>
        <row r="1576">
          <cell r="L1576" t="str">
            <v>Non-proportional</v>
          </cell>
          <cell r="S1576">
            <v>5264.58</v>
          </cell>
          <cell r="X1576" t="str">
            <v>Commissions - gross</v>
          </cell>
          <cell r="Y1576" t="str">
            <v>UNITED KINGDOM</v>
          </cell>
        </row>
        <row r="1577">
          <cell r="L1577" t="str">
            <v>Non-proportional</v>
          </cell>
          <cell r="S1577">
            <v>825</v>
          </cell>
          <cell r="X1577" t="str">
            <v>Commissions - gross</v>
          </cell>
          <cell r="Y1577" t="str">
            <v>POLAND</v>
          </cell>
        </row>
        <row r="1578">
          <cell r="L1578" t="str">
            <v>Non-proportional</v>
          </cell>
          <cell r="S1578">
            <v>268.75</v>
          </cell>
          <cell r="X1578" t="str">
            <v>Commissions - gross</v>
          </cell>
          <cell r="Y1578" t="str">
            <v>GERMANY</v>
          </cell>
        </row>
        <row r="1579">
          <cell r="L1579" t="str">
            <v>Non-proportional</v>
          </cell>
          <cell r="S1579">
            <v>-5556.78</v>
          </cell>
          <cell r="X1579" t="str">
            <v>Commissions - gross</v>
          </cell>
          <cell r="Y1579" t="str">
            <v>SWITZERLAND</v>
          </cell>
        </row>
        <row r="1580">
          <cell r="L1580" t="str">
            <v>Non-proportional</v>
          </cell>
          <cell r="S1580">
            <v>1664.36</v>
          </cell>
          <cell r="X1580" t="str">
            <v>Commissions - gross</v>
          </cell>
          <cell r="Y1580" t="str">
            <v>FRANCE</v>
          </cell>
        </row>
        <row r="1581">
          <cell r="L1581" t="str">
            <v>Non-proportional</v>
          </cell>
          <cell r="S1581">
            <v>2000.25</v>
          </cell>
          <cell r="X1581" t="str">
            <v>Commissions - gross</v>
          </cell>
          <cell r="Y1581" t="str">
            <v>CZECH REPUBLIC</v>
          </cell>
        </row>
        <row r="1582">
          <cell r="L1582" t="str">
            <v>Non-proportional</v>
          </cell>
          <cell r="S1582">
            <v>206.53</v>
          </cell>
          <cell r="X1582" t="str">
            <v>Commissions - gross</v>
          </cell>
          <cell r="Y1582" t="str">
            <v>EUROPE</v>
          </cell>
        </row>
        <row r="1583">
          <cell r="L1583" t="str">
            <v>Non-proportional</v>
          </cell>
          <cell r="S1583">
            <v>4298.42</v>
          </cell>
          <cell r="X1583" t="str">
            <v>Commissions - gross</v>
          </cell>
          <cell r="Y1583" t="str">
            <v>UNITED KINGDOM</v>
          </cell>
        </row>
        <row r="1584">
          <cell r="L1584" t="str">
            <v>Non-proportional</v>
          </cell>
          <cell r="S1584">
            <v>5646.94</v>
          </cell>
          <cell r="X1584" t="str">
            <v>Commissions - gross</v>
          </cell>
          <cell r="Y1584" t="str">
            <v>UNITED KINGDOM</v>
          </cell>
        </row>
        <row r="1585">
          <cell r="L1585" t="str">
            <v>Non-proportional</v>
          </cell>
          <cell r="S1585">
            <v>546.41999999999996</v>
          </cell>
          <cell r="X1585" t="str">
            <v>Commissions - gross</v>
          </cell>
          <cell r="Y1585" t="str">
            <v>UNITED KINGDOM</v>
          </cell>
        </row>
        <row r="1586">
          <cell r="L1586" t="str">
            <v>Non-proportional</v>
          </cell>
          <cell r="S1586">
            <v>342.83</v>
          </cell>
          <cell r="X1586" t="str">
            <v>Commissions - gross</v>
          </cell>
          <cell r="Y1586" t="str">
            <v>UNITED KINGDOM</v>
          </cell>
        </row>
        <row r="1587">
          <cell r="L1587" t="str">
            <v>Non-proportional</v>
          </cell>
          <cell r="S1587">
            <v>31.37</v>
          </cell>
          <cell r="X1587" t="str">
            <v>Commissions - gross</v>
          </cell>
          <cell r="Y1587" t="str">
            <v>DENMARK</v>
          </cell>
        </row>
        <row r="1588">
          <cell r="L1588" t="str">
            <v>Non-proportional</v>
          </cell>
          <cell r="S1588">
            <v>-0.57999999999999996</v>
          </cell>
          <cell r="X1588" t="str">
            <v>Commissions - gross</v>
          </cell>
          <cell r="Y1588" t="str">
            <v>DENMARK</v>
          </cell>
        </row>
        <row r="1589">
          <cell r="L1589" t="str">
            <v>Non-proportional</v>
          </cell>
          <cell r="S1589">
            <v>1020.94</v>
          </cell>
          <cell r="X1589" t="str">
            <v>Commissions - gross</v>
          </cell>
          <cell r="Y1589" t="str">
            <v>GERMANY</v>
          </cell>
        </row>
        <row r="1590">
          <cell r="L1590" t="str">
            <v>Non-proportional</v>
          </cell>
          <cell r="S1590">
            <v>1463.2</v>
          </cell>
          <cell r="X1590" t="str">
            <v>Commissions - gross</v>
          </cell>
          <cell r="Y1590" t="str">
            <v>GERMANY</v>
          </cell>
        </row>
        <row r="1591">
          <cell r="L1591" t="str">
            <v>Non-proportional</v>
          </cell>
          <cell r="S1591">
            <v>594.75</v>
          </cell>
          <cell r="X1591" t="str">
            <v>Commissions - gross</v>
          </cell>
          <cell r="Y1591" t="str">
            <v>UNITED KINGDOM</v>
          </cell>
        </row>
        <row r="1592">
          <cell r="L1592" t="str">
            <v>Non-proportional</v>
          </cell>
          <cell r="S1592">
            <v>4090.35</v>
          </cell>
          <cell r="X1592" t="str">
            <v>Commissions - gross</v>
          </cell>
          <cell r="Y1592" t="str">
            <v>GERMANY</v>
          </cell>
        </row>
        <row r="1593">
          <cell r="L1593" t="str">
            <v>Non-proportional</v>
          </cell>
          <cell r="S1593">
            <v>3943.55</v>
          </cell>
          <cell r="X1593" t="str">
            <v>Commissions - gross</v>
          </cell>
          <cell r="Y1593" t="str">
            <v>UNITED KINGDOM</v>
          </cell>
        </row>
        <row r="1594">
          <cell r="L1594" t="str">
            <v>Non-proportional</v>
          </cell>
          <cell r="S1594">
            <v>2092.4899999999998</v>
          </cell>
          <cell r="X1594" t="str">
            <v>Commissions - gross</v>
          </cell>
          <cell r="Y1594" t="str">
            <v>FRANCE</v>
          </cell>
        </row>
        <row r="1595">
          <cell r="L1595" t="str">
            <v>Non-proportional</v>
          </cell>
          <cell r="S1595">
            <v>114.27</v>
          </cell>
          <cell r="X1595" t="str">
            <v>Commissions - gross</v>
          </cell>
          <cell r="Y1595" t="str">
            <v>UNITED KINGDOM</v>
          </cell>
        </row>
        <row r="1596">
          <cell r="L1596" t="str">
            <v>Non-proportional</v>
          </cell>
          <cell r="S1596">
            <v>395.99</v>
          </cell>
          <cell r="X1596" t="str">
            <v>Commissions - gross</v>
          </cell>
          <cell r="Y1596" t="str">
            <v>UNITED KINGDOM</v>
          </cell>
        </row>
        <row r="1597">
          <cell r="L1597" t="str">
            <v>Non-proportional</v>
          </cell>
          <cell r="S1597">
            <v>6495.3</v>
          </cell>
          <cell r="X1597" t="str">
            <v>Commissions - gross</v>
          </cell>
          <cell r="Y1597" t="str">
            <v>REPUBLIC OF IRELAND</v>
          </cell>
        </row>
        <row r="1598">
          <cell r="L1598" t="str">
            <v>Non-proportional</v>
          </cell>
          <cell r="S1598">
            <v>2305.9</v>
          </cell>
          <cell r="X1598" t="str">
            <v>Commissions - gross</v>
          </cell>
          <cell r="Y1598" t="str">
            <v>FRANCE</v>
          </cell>
        </row>
        <row r="1599">
          <cell r="L1599" t="str">
            <v>Non-proportional</v>
          </cell>
          <cell r="S1599">
            <v>645.83000000000004</v>
          </cell>
          <cell r="X1599" t="str">
            <v>Commissions - gross</v>
          </cell>
          <cell r="Y1599" t="str">
            <v>AUSTRIA</v>
          </cell>
        </row>
        <row r="1600">
          <cell r="L1600" t="str">
            <v>Non-proportional</v>
          </cell>
          <cell r="S1600">
            <v>842.33</v>
          </cell>
          <cell r="X1600" t="str">
            <v>Commissions - gross</v>
          </cell>
          <cell r="Y1600" t="str">
            <v>ITALY</v>
          </cell>
        </row>
        <row r="1601">
          <cell r="L1601" t="str">
            <v>Non-proportional</v>
          </cell>
          <cell r="S1601">
            <v>1611.28</v>
          </cell>
          <cell r="X1601" t="str">
            <v>Commissions - gross</v>
          </cell>
          <cell r="Y1601" t="str">
            <v>EUROPE</v>
          </cell>
        </row>
        <row r="1602">
          <cell r="L1602" t="str">
            <v>Non-proportional</v>
          </cell>
          <cell r="S1602">
            <v>2228.88</v>
          </cell>
          <cell r="X1602" t="str">
            <v>Commissions - gross</v>
          </cell>
          <cell r="Y1602" t="str">
            <v>SWITZERLAND</v>
          </cell>
        </row>
        <row r="1603">
          <cell r="L1603" t="str">
            <v>Non-proportional</v>
          </cell>
          <cell r="S1603">
            <v>843.22</v>
          </cell>
          <cell r="X1603" t="str">
            <v>Commissions - gross</v>
          </cell>
          <cell r="Y1603" t="str">
            <v>EUROPE</v>
          </cell>
        </row>
        <row r="1604">
          <cell r="L1604" t="str">
            <v>Non-proportional</v>
          </cell>
          <cell r="S1604">
            <v>78.180000000000007</v>
          </cell>
          <cell r="X1604" t="str">
            <v>Commissions - gross</v>
          </cell>
          <cell r="Y1604" t="str">
            <v>DENMARK</v>
          </cell>
        </row>
        <row r="1605">
          <cell r="L1605" t="str">
            <v>Non-proportional</v>
          </cell>
          <cell r="S1605">
            <v>-1.03</v>
          </cell>
          <cell r="X1605" t="str">
            <v>Commissions - gross</v>
          </cell>
          <cell r="Y1605" t="str">
            <v>SWEDEN</v>
          </cell>
        </row>
        <row r="1606">
          <cell r="L1606" t="str">
            <v>Non-proportional</v>
          </cell>
          <cell r="S1606">
            <v>281.62</v>
          </cell>
          <cell r="X1606" t="str">
            <v>Commissions - gross</v>
          </cell>
          <cell r="Y1606" t="str">
            <v>FRANCE</v>
          </cell>
        </row>
        <row r="1607">
          <cell r="L1607" t="str">
            <v>Non-proportional</v>
          </cell>
          <cell r="S1607">
            <v>1871.16</v>
          </cell>
          <cell r="X1607" t="str">
            <v>Commissions - gross</v>
          </cell>
          <cell r="Y1607" t="str">
            <v>UNITED KINGDOM</v>
          </cell>
        </row>
        <row r="1608">
          <cell r="L1608" t="str">
            <v>Non-proportional</v>
          </cell>
          <cell r="S1608">
            <v>775.86</v>
          </cell>
          <cell r="X1608" t="str">
            <v>Commissions - gross</v>
          </cell>
          <cell r="Y1608" t="str">
            <v>UNITED KINGDOM</v>
          </cell>
        </row>
        <row r="1609">
          <cell r="L1609" t="str">
            <v>Non-proportional</v>
          </cell>
          <cell r="S1609">
            <v>1354.17</v>
          </cell>
          <cell r="X1609" t="str">
            <v>Commissions - gross</v>
          </cell>
          <cell r="Y1609" t="str">
            <v>GERMANY</v>
          </cell>
        </row>
        <row r="1610">
          <cell r="L1610" t="str">
            <v>Non-proportional</v>
          </cell>
          <cell r="S1610">
            <v>589.39</v>
          </cell>
          <cell r="X1610" t="str">
            <v>Commissions - gross</v>
          </cell>
          <cell r="Y1610" t="str">
            <v>AUSTRIA</v>
          </cell>
        </row>
        <row r="1611">
          <cell r="L1611" t="str">
            <v>Non-proportional</v>
          </cell>
          <cell r="S1611">
            <v>2117.36</v>
          </cell>
          <cell r="X1611" t="str">
            <v>Commissions - gross</v>
          </cell>
          <cell r="Y1611" t="str">
            <v>UNITED KINGDOM</v>
          </cell>
        </row>
        <row r="1612">
          <cell r="L1612" t="str">
            <v>Non-proportional</v>
          </cell>
          <cell r="S1612">
            <v>4221.88</v>
          </cell>
          <cell r="X1612" t="str">
            <v>Commissions - gross</v>
          </cell>
          <cell r="Y1612" t="str">
            <v>UNITED KINGDOM</v>
          </cell>
        </row>
        <row r="1613">
          <cell r="L1613" t="str">
            <v>Non-proportional</v>
          </cell>
          <cell r="S1613">
            <v>72.25</v>
          </cell>
          <cell r="X1613" t="str">
            <v>Commissions - gross</v>
          </cell>
          <cell r="Y1613" t="str">
            <v>JAPAN</v>
          </cell>
        </row>
        <row r="1614">
          <cell r="L1614" t="str">
            <v>Non-proportional</v>
          </cell>
          <cell r="S1614">
            <v>35.17</v>
          </cell>
          <cell r="X1614" t="str">
            <v>Commissions - gross</v>
          </cell>
          <cell r="Y1614" t="str">
            <v>GERMANY</v>
          </cell>
        </row>
        <row r="1615">
          <cell r="L1615" t="str">
            <v>Non-proportional</v>
          </cell>
          <cell r="S1615">
            <v>760.42</v>
          </cell>
          <cell r="X1615" t="str">
            <v>Commissions - gross</v>
          </cell>
          <cell r="Y1615" t="str">
            <v>GERMANY</v>
          </cell>
        </row>
        <row r="1616">
          <cell r="L1616" t="str">
            <v>Non-proportional</v>
          </cell>
          <cell r="S1616">
            <v>693.02</v>
          </cell>
          <cell r="X1616" t="str">
            <v>Commissions - gross</v>
          </cell>
          <cell r="Y1616" t="str">
            <v>UNITED KINGDOM</v>
          </cell>
        </row>
        <row r="1617">
          <cell r="L1617" t="str">
            <v>Non-proportional</v>
          </cell>
          <cell r="S1617">
            <v>-0.28000000000000003</v>
          </cell>
          <cell r="X1617" t="str">
            <v>Commissions - gross</v>
          </cell>
          <cell r="Y1617" t="str">
            <v>DENMARK</v>
          </cell>
        </row>
        <row r="1618">
          <cell r="L1618" t="str">
            <v>Non-proportional</v>
          </cell>
          <cell r="S1618">
            <v>127.94</v>
          </cell>
          <cell r="X1618" t="str">
            <v>Commissions - gross</v>
          </cell>
          <cell r="Y1618" t="str">
            <v>FRANCE</v>
          </cell>
        </row>
        <row r="1619">
          <cell r="L1619" t="str">
            <v>Non-proportional</v>
          </cell>
          <cell r="S1619">
            <v>108.9</v>
          </cell>
          <cell r="X1619" t="str">
            <v>Commissions - gross</v>
          </cell>
          <cell r="Y1619" t="str">
            <v>DENMARK</v>
          </cell>
        </row>
        <row r="1620">
          <cell r="L1620" t="str">
            <v>Non-proportional</v>
          </cell>
          <cell r="S1620">
            <v>356.62</v>
          </cell>
          <cell r="X1620" t="str">
            <v>Commissions - gross</v>
          </cell>
          <cell r="Y1620" t="str">
            <v>SWITZERLAND</v>
          </cell>
        </row>
        <row r="1621">
          <cell r="L1621" t="str">
            <v>Non-proportional</v>
          </cell>
          <cell r="S1621">
            <v>580.92999999999995</v>
          </cell>
          <cell r="X1621" t="str">
            <v>Commissions - gross</v>
          </cell>
          <cell r="Y1621" t="str">
            <v>NORWAY</v>
          </cell>
        </row>
        <row r="1622">
          <cell r="L1622" t="str">
            <v>Non-proportional</v>
          </cell>
          <cell r="S1622">
            <v>1042.58</v>
          </cell>
          <cell r="X1622" t="str">
            <v>Commissions - gross</v>
          </cell>
          <cell r="Y1622" t="str">
            <v>FRANCE</v>
          </cell>
        </row>
        <row r="1623">
          <cell r="L1623" t="str">
            <v>Non-proportional</v>
          </cell>
          <cell r="S1623">
            <v>687.19</v>
          </cell>
          <cell r="X1623" t="str">
            <v>Commissions - gross</v>
          </cell>
          <cell r="Y1623" t="str">
            <v>GERMANY</v>
          </cell>
        </row>
        <row r="1624">
          <cell r="L1624" t="str">
            <v>Non-proportional</v>
          </cell>
          <cell r="S1624">
            <v>1142.3</v>
          </cell>
          <cell r="X1624" t="str">
            <v>Commissions - gross</v>
          </cell>
          <cell r="Y1624" t="str">
            <v>SWITZERLAND</v>
          </cell>
        </row>
        <row r="1625">
          <cell r="L1625" t="str">
            <v>Non-proportional</v>
          </cell>
          <cell r="S1625">
            <v>1319.35</v>
          </cell>
          <cell r="X1625" t="str">
            <v>Commissions - gross</v>
          </cell>
          <cell r="Y1625" t="str">
            <v>UNITED KINGDOM</v>
          </cell>
        </row>
        <row r="1626">
          <cell r="L1626" t="str">
            <v>Non-proportional</v>
          </cell>
          <cell r="S1626">
            <v>7388.3</v>
          </cell>
          <cell r="X1626" t="str">
            <v>Commissions - gross</v>
          </cell>
          <cell r="Y1626" t="str">
            <v>UNITED KINGDOM</v>
          </cell>
        </row>
        <row r="1627">
          <cell r="L1627" t="str">
            <v>Non-proportional</v>
          </cell>
          <cell r="S1627">
            <v>0.14000000000000001</v>
          </cell>
          <cell r="X1627" t="str">
            <v>Commissions - gross</v>
          </cell>
          <cell r="Y1627" t="str">
            <v>DENMARK</v>
          </cell>
        </row>
        <row r="1628">
          <cell r="L1628" t="str">
            <v>Non-proportional</v>
          </cell>
          <cell r="S1628">
            <v>1227.3499999999999</v>
          </cell>
          <cell r="X1628" t="str">
            <v>Commissions - gross</v>
          </cell>
          <cell r="Y1628" t="str">
            <v>UNITED KINGDOM</v>
          </cell>
        </row>
        <row r="1629">
          <cell r="L1629" t="str">
            <v>Non-proportional</v>
          </cell>
          <cell r="S1629">
            <v>1146.1600000000001</v>
          </cell>
          <cell r="X1629" t="str">
            <v>Commissions - gross</v>
          </cell>
          <cell r="Y1629" t="str">
            <v>UNITED KINGDOM</v>
          </cell>
        </row>
        <row r="1630">
          <cell r="L1630" t="str">
            <v>Non-proportional</v>
          </cell>
          <cell r="S1630">
            <v>5840.01</v>
          </cell>
          <cell r="X1630" t="str">
            <v>Commissions - gross</v>
          </cell>
          <cell r="Y1630" t="str">
            <v>UNITED KINGDOM</v>
          </cell>
        </row>
        <row r="1631">
          <cell r="L1631" t="str">
            <v>Non-proportional</v>
          </cell>
          <cell r="S1631">
            <v>884.49</v>
          </cell>
          <cell r="X1631" t="str">
            <v>Commissions - gross</v>
          </cell>
          <cell r="Y1631" t="str">
            <v>GERMANY</v>
          </cell>
        </row>
        <row r="1632">
          <cell r="L1632" t="str">
            <v>Non-proportional</v>
          </cell>
          <cell r="S1632">
            <v>849.45</v>
          </cell>
          <cell r="X1632" t="str">
            <v>Commissions - gross</v>
          </cell>
          <cell r="Y1632" t="str">
            <v>GERMANY</v>
          </cell>
        </row>
        <row r="1633">
          <cell r="L1633" t="str">
            <v>Non-proportional</v>
          </cell>
          <cell r="S1633">
            <v>-0.35</v>
          </cell>
          <cell r="X1633" t="str">
            <v>Commissions - gross</v>
          </cell>
          <cell r="Y1633" t="str">
            <v>DENMARK</v>
          </cell>
        </row>
        <row r="1634">
          <cell r="L1634" t="str">
            <v>Non-proportional</v>
          </cell>
          <cell r="S1634">
            <v>1885.6</v>
          </cell>
          <cell r="X1634" t="str">
            <v>Commissions - gross</v>
          </cell>
          <cell r="Y1634" t="str">
            <v>SWEDEN</v>
          </cell>
        </row>
        <row r="1635">
          <cell r="L1635" t="str">
            <v>Non-proportional</v>
          </cell>
          <cell r="S1635">
            <v>208.24</v>
          </cell>
          <cell r="X1635" t="str">
            <v>Commissions - gross</v>
          </cell>
          <cell r="Y1635" t="str">
            <v>GERMANY</v>
          </cell>
        </row>
        <row r="1636">
          <cell r="L1636" t="str">
            <v>Non-proportional</v>
          </cell>
          <cell r="S1636">
            <v>385</v>
          </cell>
          <cell r="X1636" t="str">
            <v>Commissions - gross</v>
          </cell>
          <cell r="Y1636" t="str">
            <v>GERMANY</v>
          </cell>
        </row>
        <row r="1637">
          <cell r="L1637" t="str">
            <v>Non-proportional</v>
          </cell>
          <cell r="S1637">
            <v>86.19</v>
          </cell>
          <cell r="X1637" t="str">
            <v>Commissions - gross</v>
          </cell>
          <cell r="Y1637" t="str">
            <v>JAPAN</v>
          </cell>
        </row>
        <row r="1638">
          <cell r="L1638" t="str">
            <v>Non-proportional</v>
          </cell>
          <cell r="S1638">
            <v>2781.33</v>
          </cell>
          <cell r="X1638" t="str">
            <v>Commissions - gross</v>
          </cell>
          <cell r="Y1638" t="str">
            <v>UNITED KINGDOM</v>
          </cell>
        </row>
        <row r="1639">
          <cell r="L1639" t="str">
            <v>Non-proportional</v>
          </cell>
          <cell r="S1639">
            <v>1182.55</v>
          </cell>
          <cell r="X1639" t="str">
            <v>Commissions - gross</v>
          </cell>
          <cell r="Y1639" t="str">
            <v>AUSTRIA</v>
          </cell>
        </row>
        <row r="1640">
          <cell r="L1640" t="str">
            <v>Non-proportional</v>
          </cell>
          <cell r="S1640">
            <v>4074.84</v>
          </cell>
          <cell r="X1640" t="str">
            <v>Commissions - gross</v>
          </cell>
          <cell r="Y1640" t="str">
            <v>SWITZERLAND</v>
          </cell>
        </row>
        <row r="1641">
          <cell r="L1641" t="str">
            <v>Non-proportional</v>
          </cell>
          <cell r="S1641">
            <v>748.05</v>
          </cell>
          <cell r="X1641" t="str">
            <v>Commissions - gross</v>
          </cell>
          <cell r="Y1641" t="str">
            <v>NORWAY</v>
          </cell>
        </row>
        <row r="1642">
          <cell r="L1642" t="str">
            <v>Non-proportional</v>
          </cell>
          <cell r="S1642">
            <v>250.06</v>
          </cell>
          <cell r="X1642" t="str">
            <v>Commissions - gross</v>
          </cell>
          <cell r="Y1642" t="str">
            <v>GERMANY</v>
          </cell>
        </row>
        <row r="1643">
          <cell r="L1643" t="str">
            <v>Non-proportional</v>
          </cell>
          <cell r="S1643">
            <v>862.5</v>
          </cell>
          <cell r="X1643" t="str">
            <v>Commissions - gross</v>
          </cell>
          <cell r="Y1643" t="str">
            <v>GERMANY</v>
          </cell>
        </row>
        <row r="1644">
          <cell r="L1644" t="str">
            <v>Non-proportional</v>
          </cell>
          <cell r="S1644">
            <v>160.09</v>
          </cell>
          <cell r="X1644" t="str">
            <v>Commissions - gross</v>
          </cell>
          <cell r="Y1644" t="str">
            <v>JAPAN</v>
          </cell>
        </row>
        <row r="1645">
          <cell r="L1645" t="str">
            <v>Non-proportional</v>
          </cell>
          <cell r="S1645">
            <v>1412</v>
          </cell>
          <cell r="X1645" t="str">
            <v>Commissions - gross</v>
          </cell>
          <cell r="Y1645" t="str">
            <v>AUSTRIA</v>
          </cell>
        </row>
        <row r="1646">
          <cell r="L1646" t="str">
            <v>Non-proportional</v>
          </cell>
          <cell r="S1646">
            <v>1633.55</v>
          </cell>
          <cell r="X1646" t="str">
            <v>Commissions - gross</v>
          </cell>
          <cell r="Y1646" t="str">
            <v>DENMARK</v>
          </cell>
        </row>
        <row r="1647">
          <cell r="L1647" t="str">
            <v>Non-proportional</v>
          </cell>
          <cell r="S1647">
            <v>2941.67</v>
          </cell>
          <cell r="X1647" t="str">
            <v>Commissions - gross</v>
          </cell>
          <cell r="Y1647" t="str">
            <v>EUROPE</v>
          </cell>
        </row>
        <row r="1648">
          <cell r="L1648" t="str">
            <v>Non-proportional</v>
          </cell>
          <cell r="S1648">
            <v>27945.94</v>
          </cell>
          <cell r="X1648" t="str">
            <v>Commissions - gross</v>
          </cell>
          <cell r="Y1648" t="str">
            <v>UNITED KINGDOM</v>
          </cell>
        </row>
        <row r="1649">
          <cell r="L1649" t="str">
            <v>Non-proportional</v>
          </cell>
          <cell r="S1649">
            <v>-0.31</v>
          </cell>
          <cell r="X1649" t="str">
            <v>Commissions - gross</v>
          </cell>
          <cell r="Y1649" t="str">
            <v>DENMARK</v>
          </cell>
        </row>
        <row r="1650">
          <cell r="L1650" t="str">
            <v>Non-proportional</v>
          </cell>
          <cell r="S1650">
            <v>869.69</v>
          </cell>
          <cell r="X1650" t="str">
            <v>Commissions - gross</v>
          </cell>
          <cell r="Y1650" t="str">
            <v>GERMANY</v>
          </cell>
        </row>
        <row r="1651">
          <cell r="L1651" t="str">
            <v>Non-proportional</v>
          </cell>
          <cell r="S1651">
            <v>2539.36</v>
          </cell>
          <cell r="X1651" t="str">
            <v>Commissions - gross</v>
          </cell>
          <cell r="Y1651" t="str">
            <v>GERMANY</v>
          </cell>
        </row>
        <row r="1652">
          <cell r="L1652" t="str">
            <v>Non-proportional</v>
          </cell>
          <cell r="S1652">
            <v>443.98</v>
          </cell>
          <cell r="X1652" t="str">
            <v>Commissions - gross</v>
          </cell>
          <cell r="Y1652" t="str">
            <v>GERMANY</v>
          </cell>
        </row>
        <row r="1653">
          <cell r="L1653" t="str">
            <v>Non-proportional</v>
          </cell>
          <cell r="S1653">
            <v>2385.42</v>
          </cell>
          <cell r="X1653" t="str">
            <v>Commissions - gross</v>
          </cell>
          <cell r="Y1653" t="str">
            <v>AUSTRIA</v>
          </cell>
        </row>
        <row r="1654">
          <cell r="L1654" t="str">
            <v>Non-proportional</v>
          </cell>
          <cell r="S1654">
            <v>549.32000000000005</v>
          </cell>
          <cell r="X1654" t="str">
            <v>Commissions - gross</v>
          </cell>
          <cell r="Y1654" t="str">
            <v>FRANCE</v>
          </cell>
        </row>
        <row r="1655">
          <cell r="L1655" t="str">
            <v>Non-proportional</v>
          </cell>
          <cell r="S1655">
            <v>34.5</v>
          </cell>
          <cell r="X1655" t="str">
            <v>Commissions - gross</v>
          </cell>
          <cell r="Y1655" t="str">
            <v>ITALY</v>
          </cell>
        </row>
        <row r="1656">
          <cell r="L1656" t="str">
            <v>Non-proportional</v>
          </cell>
          <cell r="S1656">
            <v>832.28</v>
          </cell>
          <cell r="X1656" t="str">
            <v>Commissions - gross</v>
          </cell>
          <cell r="Y1656" t="str">
            <v>GERMANY</v>
          </cell>
        </row>
        <row r="1657">
          <cell r="L1657" t="str">
            <v>Non-proportional</v>
          </cell>
          <cell r="S1657">
            <v>10947.68</v>
          </cell>
          <cell r="X1657" t="str">
            <v>Commissions - gross</v>
          </cell>
          <cell r="Y1657" t="str">
            <v>UNITED KINGDOM</v>
          </cell>
        </row>
        <row r="1658">
          <cell r="L1658" t="str">
            <v>Non-proportional</v>
          </cell>
          <cell r="S1658">
            <v>2902.83</v>
          </cell>
          <cell r="X1658" t="str">
            <v>Commissions - gross</v>
          </cell>
          <cell r="Y1658" t="str">
            <v>UNITED KINGDOM</v>
          </cell>
        </row>
        <row r="1659">
          <cell r="L1659" t="str">
            <v>Non-proportional</v>
          </cell>
          <cell r="S1659">
            <v>410.09</v>
          </cell>
          <cell r="X1659" t="str">
            <v>Commissions - gross</v>
          </cell>
          <cell r="Y1659" t="str">
            <v>UNITED KINGDOM</v>
          </cell>
        </row>
        <row r="1660">
          <cell r="L1660" t="str">
            <v>Non-proportional</v>
          </cell>
          <cell r="S1660">
            <v>11.78</v>
          </cell>
          <cell r="X1660" t="str">
            <v>Commissions - gross</v>
          </cell>
          <cell r="Y1660" t="str">
            <v>FRANCE</v>
          </cell>
        </row>
        <row r="1661">
          <cell r="L1661" t="str">
            <v>Non-proportional</v>
          </cell>
          <cell r="S1661">
            <v>912.9</v>
          </cell>
          <cell r="X1661" t="str">
            <v>Commissions - gross</v>
          </cell>
          <cell r="Y1661" t="str">
            <v>GERMANY</v>
          </cell>
        </row>
        <row r="1662">
          <cell r="L1662" t="str">
            <v>Non-proportional</v>
          </cell>
          <cell r="S1662">
            <v>3843.02</v>
          </cell>
          <cell r="X1662" t="str">
            <v>Commissions - gross</v>
          </cell>
          <cell r="Y1662" t="str">
            <v>UNITED KINGDOM</v>
          </cell>
        </row>
        <row r="1663">
          <cell r="L1663" t="str">
            <v>Non-proportional</v>
          </cell>
          <cell r="S1663">
            <v>702.31</v>
          </cell>
          <cell r="X1663" t="str">
            <v>Commissions - gross</v>
          </cell>
          <cell r="Y1663" t="str">
            <v>UNITED KINGDOM</v>
          </cell>
        </row>
        <row r="1664">
          <cell r="L1664" t="str">
            <v>Non-proportional</v>
          </cell>
          <cell r="S1664">
            <v>887.64</v>
          </cell>
          <cell r="X1664" t="str">
            <v>Commissions - gross</v>
          </cell>
          <cell r="Y1664" t="str">
            <v>UNITED KINGDOM</v>
          </cell>
        </row>
        <row r="1665">
          <cell r="L1665" t="str">
            <v>Non-proportional</v>
          </cell>
          <cell r="S1665">
            <v>75</v>
          </cell>
          <cell r="X1665" t="str">
            <v>Commissions - gross</v>
          </cell>
          <cell r="Y1665" t="str">
            <v>GERMANY</v>
          </cell>
        </row>
        <row r="1666">
          <cell r="L1666" t="str">
            <v>Non-proportional</v>
          </cell>
          <cell r="S1666">
            <v>641.91999999999996</v>
          </cell>
          <cell r="X1666" t="str">
            <v>Commissions - gross</v>
          </cell>
          <cell r="Y1666" t="str">
            <v>SWITZERLAND</v>
          </cell>
        </row>
        <row r="1667">
          <cell r="L1667" t="str">
            <v>Non-proportional</v>
          </cell>
          <cell r="S1667">
            <v>309.13</v>
          </cell>
          <cell r="X1667" t="str">
            <v>Commissions - gross</v>
          </cell>
          <cell r="Y1667" t="str">
            <v>SWITZERLAND</v>
          </cell>
        </row>
        <row r="1668">
          <cell r="L1668" t="str">
            <v>Non-proportional</v>
          </cell>
          <cell r="S1668">
            <v>4314.96</v>
          </cell>
          <cell r="X1668" t="str">
            <v>Commissions - gross</v>
          </cell>
          <cell r="Y1668" t="str">
            <v>UNITED KINGDOM</v>
          </cell>
        </row>
        <row r="1669">
          <cell r="L1669" t="str">
            <v>Non-proportional</v>
          </cell>
          <cell r="S1669">
            <v>308.33999999999997</v>
          </cell>
          <cell r="X1669" t="str">
            <v>Commissions - gross</v>
          </cell>
          <cell r="Y1669" t="str">
            <v>EUROPE</v>
          </cell>
        </row>
        <row r="1670">
          <cell r="L1670" t="str">
            <v>Non-proportional</v>
          </cell>
          <cell r="S1670">
            <v>572.4</v>
          </cell>
          <cell r="X1670" t="str">
            <v>Commissions - gross</v>
          </cell>
          <cell r="Y1670" t="str">
            <v>SWEDEN</v>
          </cell>
        </row>
        <row r="1671">
          <cell r="L1671" t="str">
            <v>Non-proportional</v>
          </cell>
          <cell r="S1671">
            <v>1001.09</v>
          </cell>
          <cell r="X1671" t="str">
            <v>Commissions - gross</v>
          </cell>
          <cell r="Y1671" t="str">
            <v>GERMANY</v>
          </cell>
        </row>
        <row r="1672">
          <cell r="L1672" t="str">
            <v>Non-proportional</v>
          </cell>
          <cell r="S1672">
            <v>791.14</v>
          </cell>
          <cell r="X1672" t="str">
            <v>Commissions - gross</v>
          </cell>
          <cell r="Y1672" t="str">
            <v>ICELAND</v>
          </cell>
        </row>
        <row r="1673">
          <cell r="L1673" t="str">
            <v>Non-proportional</v>
          </cell>
          <cell r="S1673">
            <v>601.75</v>
          </cell>
          <cell r="X1673" t="str">
            <v>Commissions - gross</v>
          </cell>
          <cell r="Y1673" t="str">
            <v>UNITED KINGDOM</v>
          </cell>
        </row>
        <row r="1674">
          <cell r="L1674" t="str">
            <v>Non-proportional</v>
          </cell>
          <cell r="S1674">
            <v>71.84</v>
          </cell>
          <cell r="X1674" t="str">
            <v>Commissions - gross</v>
          </cell>
          <cell r="Y1674" t="str">
            <v>ITALY</v>
          </cell>
        </row>
        <row r="1675">
          <cell r="L1675" t="str">
            <v>Non-proportional</v>
          </cell>
          <cell r="S1675">
            <v>1400.86</v>
          </cell>
          <cell r="X1675" t="str">
            <v>Commissions - gross</v>
          </cell>
          <cell r="Y1675" t="str">
            <v>GERMANY</v>
          </cell>
        </row>
        <row r="1676">
          <cell r="L1676" t="str">
            <v>Non-proportional</v>
          </cell>
          <cell r="S1676">
            <v>89.4</v>
          </cell>
          <cell r="X1676" t="str">
            <v>Commissions - gross</v>
          </cell>
          <cell r="Y1676" t="str">
            <v>DENMARK</v>
          </cell>
        </row>
        <row r="1677">
          <cell r="L1677" t="str">
            <v>Non-proportional</v>
          </cell>
          <cell r="S1677">
            <v>150.91</v>
          </cell>
          <cell r="X1677" t="str">
            <v>Commissions - gross</v>
          </cell>
          <cell r="Y1677" t="str">
            <v>GERMANY</v>
          </cell>
        </row>
        <row r="1678">
          <cell r="L1678" t="str">
            <v>Non-proportional</v>
          </cell>
          <cell r="S1678">
            <v>498.47</v>
          </cell>
          <cell r="X1678" t="str">
            <v>Commissions - gross</v>
          </cell>
          <cell r="Y1678" t="str">
            <v>GERMANY</v>
          </cell>
        </row>
        <row r="1679">
          <cell r="L1679" t="str">
            <v>Non-proportional</v>
          </cell>
          <cell r="S1679">
            <v>663.84</v>
          </cell>
          <cell r="X1679" t="str">
            <v>Commissions - gross</v>
          </cell>
          <cell r="Y1679" t="str">
            <v>EUROPE</v>
          </cell>
        </row>
        <row r="1680">
          <cell r="L1680" t="str">
            <v>Non-proportional</v>
          </cell>
          <cell r="S1680">
            <v>883.77</v>
          </cell>
          <cell r="X1680" t="str">
            <v>Commissions - gross</v>
          </cell>
          <cell r="Y1680" t="str">
            <v>GERMANY</v>
          </cell>
        </row>
        <row r="1681">
          <cell r="L1681" t="str">
            <v>Non-proportional</v>
          </cell>
          <cell r="S1681">
            <v>1001.51</v>
          </cell>
          <cell r="X1681" t="str">
            <v>Commissions - gross</v>
          </cell>
          <cell r="Y1681" t="str">
            <v>AUSTRIA</v>
          </cell>
        </row>
        <row r="1682">
          <cell r="L1682" t="str">
            <v>Non-proportional</v>
          </cell>
          <cell r="S1682">
            <v>1880.73</v>
          </cell>
          <cell r="X1682" t="str">
            <v>Commissions - gross</v>
          </cell>
          <cell r="Y1682" t="str">
            <v>REPUBLIC OF IRELAND</v>
          </cell>
        </row>
        <row r="1683">
          <cell r="L1683" t="str">
            <v>Non-proportional</v>
          </cell>
          <cell r="S1683">
            <v>361.75</v>
          </cell>
          <cell r="X1683" t="str">
            <v>Commissions - gross</v>
          </cell>
          <cell r="Y1683" t="str">
            <v>FRANCE</v>
          </cell>
        </row>
        <row r="1684">
          <cell r="L1684" t="str">
            <v>Non-proportional</v>
          </cell>
          <cell r="S1684">
            <v>899.99</v>
          </cell>
          <cell r="X1684" t="str">
            <v>Commissions - gross</v>
          </cell>
          <cell r="Y1684" t="str">
            <v>GERMANY</v>
          </cell>
        </row>
        <row r="1685">
          <cell r="L1685" t="str">
            <v>Non-proportional</v>
          </cell>
          <cell r="S1685">
            <v>603.75</v>
          </cell>
          <cell r="X1685" t="str">
            <v>Commissions - gross</v>
          </cell>
          <cell r="Y1685" t="str">
            <v>GERMANY</v>
          </cell>
        </row>
        <row r="1686">
          <cell r="L1686" t="str">
            <v>Non-proportional</v>
          </cell>
          <cell r="S1686">
            <v>1711.78</v>
          </cell>
          <cell r="X1686" t="str">
            <v>Commissions - gross</v>
          </cell>
          <cell r="Y1686" t="str">
            <v>SWITZERLAND</v>
          </cell>
        </row>
        <row r="1687">
          <cell r="L1687" t="str">
            <v>Non-proportional</v>
          </cell>
          <cell r="S1687">
            <v>12813.78</v>
          </cell>
          <cell r="X1687" t="str">
            <v>Commissions - gross</v>
          </cell>
          <cell r="Y1687" t="str">
            <v>UNITED KINGDOM</v>
          </cell>
        </row>
        <row r="1688">
          <cell r="L1688" t="str">
            <v>Non-proportional</v>
          </cell>
          <cell r="S1688">
            <v>351.2</v>
          </cell>
          <cell r="X1688" t="str">
            <v>Commissions - gross</v>
          </cell>
          <cell r="Y1688" t="str">
            <v>SPAIN</v>
          </cell>
        </row>
        <row r="1689">
          <cell r="L1689" t="str">
            <v>Non-proportional</v>
          </cell>
          <cell r="S1689">
            <v>617.35</v>
          </cell>
          <cell r="X1689" t="str">
            <v>Commissions - gross</v>
          </cell>
          <cell r="Y1689" t="str">
            <v>SWEDEN</v>
          </cell>
        </row>
        <row r="1690">
          <cell r="L1690" t="str">
            <v>Non-proportional</v>
          </cell>
          <cell r="S1690">
            <v>2035.5</v>
          </cell>
          <cell r="X1690" t="str">
            <v>Commissions - gross</v>
          </cell>
          <cell r="Y1690" t="str">
            <v>GERMANY</v>
          </cell>
        </row>
        <row r="1691">
          <cell r="L1691" t="str">
            <v>Non-proportional</v>
          </cell>
          <cell r="S1691">
            <v>412.16</v>
          </cell>
          <cell r="X1691" t="str">
            <v>Commissions - gross</v>
          </cell>
          <cell r="Y1691" t="str">
            <v>SWITZERLAND</v>
          </cell>
        </row>
        <row r="1692">
          <cell r="L1692" t="str">
            <v>Non-proportional</v>
          </cell>
          <cell r="S1692">
            <v>807.28</v>
          </cell>
          <cell r="X1692" t="str">
            <v>Commissions - gross</v>
          </cell>
          <cell r="Y1692" t="str">
            <v>GERMANY</v>
          </cell>
        </row>
        <row r="1693">
          <cell r="L1693" t="str">
            <v>Non-proportional</v>
          </cell>
          <cell r="S1693">
            <v>332.98</v>
          </cell>
          <cell r="X1693" t="str">
            <v>Commissions - gross</v>
          </cell>
          <cell r="Y1693" t="str">
            <v>GERMANY</v>
          </cell>
        </row>
        <row r="1694">
          <cell r="L1694" t="str">
            <v>Non-proportional</v>
          </cell>
          <cell r="S1694">
            <v>1870.62</v>
          </cell>
          <cell r="X1694" t="str">
            <v>Commissions - gross</v>
          </cell>
          <cell r="Y1694" t="str">
            <v>GERMANY</v>
          </cell>
        </row>
        <row r="1695">
          <cell r="L1695" t="str">
            <v>Non-proportional</v>
          </cell>
          <cell r="S1695">
            <v>1992.02</v>
          </cell>
          <cell r="X1695" t="str">
            <v>Commissions - gross</v>
          </cell>
          <cell r="Y1695" t="str">
            <v>FRANCE</v>
          </cell>
        </row>
        <row r="1696">
          <cell r="L1696" t="str">
            <v>Non-proportional</v>
          </cell>
          <cell r="S1696">
            <v>423.8</v>
          </cell>
          <cell r="X1696" t="str">
            <v>Commissions - gross</v>
          </cell>
          <cell r="Y1696" t="str">
            <v>GERMANY</v>
          </cell>
        </row>
        <row r="1697">
          <cell r="L1697" t="str">
            <v>Non-proportional</v>
          </cell>
          <cell r="S1697">
            <v>548.41</v>
          </cell>
          <cell r="X1697" t="str">
            <v>Commissions - gross</v>
          </cell>
          <cell r="Y1697" t="str">
            <v>EUROPE</v>
          </cell>
        </row>
        <row r="1698">
          <cell r="L1698" t="str">
            <v>Non-proportional</v>
          </cell>
          <cell r="S1698">
            <v>343.7</v>
          </cell>
          <cell r="X1698" t="str">
            <v>Commissions - gross</v>
          </cell>
          <cell r="Y1698" t="str">
            <v>EUROPE</v>
          </cell>
        </row>
        <row r="1699">
          <cell r="L1699" t="str">
            <v>Non-proportional</v>
          </cell>
          <cell r="S1699">
            <v>1460.25</v>
          </cell>
          <cell r="X1699" t="str">
            <v>Commissions - gross</v>
          </cell>
          <cell r="Y1699" t="str">
            <v>GERMANY</v>
          </cell>
        </row>
        <row r="1700">
          <cell r="L1700" t="str">
            <v>Non-proportional</v>
          </cell>
          <cell r="S1700">
            <v>1159.8699999999999</v>
          </cell>
          <cell r="X1700" t="str">
            <v>Commissions - gross</v>
          </cell>
          <cell r="Y1700" t="str">
            <v>UNITED KINGDOM</v>
          </cell>
        </row>
        <row r="1701">
          <cell r="L1701" t="str">
            <v>Non-proportional</v>
          </cell>
          <cell r="S1701">
            <v>2340.1799999999998</v>
          </cell>
          <cell r="X1701" t="str">
            <v>Commissions - gross</v>
          </cell>
          <cell r="Y1701" t="str">
            <v>GERMANY</v>
          </cell>
        </row>
        <row r="1702">
          <cell r="L1702" t="str">
            <v>Non-proportional</v>
          </cell>
          <cell r="S1702">
            <v>112.23</v>
          </cell>
          <cell r="X1702" t="str">
            <v>Commissions - gross</v>
          </cell>
          <cell r="Y1702" t="str">
            <v>ITALY</v>
          </cell>
        </row>
        <row r="1703">
          <cell r="L1703" t="str">
            <v>Non-proportional</v>
          </cell>
          <cell r="S1703">
            <v>777.08</v>
          </cell>
          <cell r="X1703" t="str">
            <v>Commissions - gross</v>
          </cell>
          <cell r="Y1703" t="str">
            <v>FRANCE</v>
          </cell>
        </row>
        <row r="1704">
          <cell r="L1704" t="str">
            <v>Non-proportional</v>
          </cell>
          <cell r="S1704">
            <v>730.8</v>
          </cell>
          <cell r="X1704" t="str">
            <v>Commissions - gross</v>
          </cell>
          <cell r="Y1704" t="str">
            <v>FAROE ISLANDS</v>
          </cell>
        </row>
        <row r="1705">
          <cell r="L1705" t="str">
            <v>Non-proportional</v>
          </cell>
          <cell r="S1705">
            <v>368.75</v>
          </cell>
          <cell r="X1705" t="str">
            <v>Commissions - gross</v>
          </cell>
          <cell r="Y1705" t="str">
            <v>GERMANY</v>
          </cell>
        </row>
        <row r="1706">
          <cell r="L1706" t="str">
            <v>Non-proportional</v>
          </cell>
          <cell r="S1706">
            <v>140.16999999999999</v>
          </cell>
          <cell r="X1706" t="str">
            <v>Commissions - gross</v>
          </cell>
          <cell r="Y1706" t="str">
            <v>GERMANY</v>
          </cell>
        </row>
        <row r="1707">
          <cell r="L1707" t="str">
            <v>Non-proportional</v>
          </cell>
          <cell r="S1707">
            <v>4003.21</v>
          </cell>
          <cell r="X1707" t="str">
            <v>Commissions - gross</v>
          </cell>
          <cell r="Y1707" t="str">
            <v>UNITED KINGDOM</v>
          </cell>
        </row>
        <row r="1708">
          <cell r="L1708" t="str">
            <v>Non-proportional</v>
          </cell>
          <cell r="S1708">
            <v>607.33000000000004</v>
          </cell>
          <cell r="X1708" t="str">
            <v>Commissions - gross</v>
          </cell>
          <cell r="Y1708" t="str">
            <v>DENMARK</v>
          </cell>
        </row>
        <row r="1709">
          <cell r="L1709" t="str">
            <v>Non-proportional</v>
          </cell>
          <cell r="S1709">
            <v>991.79</v>
          </cell>
          <cell r="X1709" t="str">
            <v>Commissions - gross</v>
          </cell>
          <cell r="Y1709" t="str">
            <v>CZECH REPUBLIC</v>
          </cell>
        </row>
        <row r="1710">
          <cell r="L1710" t="str">
            <v>Non-proportional</v>
          </cell>
          <cell r="S1710">
            <v>836.96</v>
          </cell>
          <cell r="X1710" t="str">
            <v>Commissions - gross</v>
          </cell>
          <cell r="Y1710" t="str">
            <v>GERMANY</v>
          </cell>
        </row>
        <row r="1711">
          <cell r="L1711" t="str">
            <v>Non-proportional</v>
          </cell>
          <cell r="S1711">
            <v>2041.67</v>
          </cell>
          <cell r="X1711" t="str">
            <v>Commissions - gross</v>
          </cell>
          <cell r="Y1711" t="str">
            <v>GERMANY</v>
          </cell>
        </row>
        <row r="1712">
          <cell r="L1712" t="str">
            <v>Non-proportional</v>
          </cell>
          <cell r="S1712">
            <v>789.54</v>
          </cell>
          <cell r="X1712" t="str">
            <v>Commissions - gross</v>
          </cell>
          <cell r="Y1712" t="str">
            <v>DENMARK</v>
          </cell>
        </row>
        <row r="1713">
          <cell r="L1713" t="str">
            <v>Non-proportional</v>
          </cell>
          <cell r="S1713">
            <v>45.13</v>
          </cell>
          <cell r="X1713" t="str">
            <v>Commissions - gross</v>
          </cell>
          <cell r="Y1713" t="str">
            <v>ITALY</v>
          </cell>
        </row>
        <row r="1714">
          <cell r="L1714" t="str">
            <v>Non-proportional</v>
          </cell>
          <cell r="S1714">
            <v>1221.5</v>
          </cell>
          <cell r="X1714" t="str">
            <v>Commissions - gross</v>
          </cell>
          <cell r="Y1714" t="str">
            <v>REPUBLIC OF IRELAND</v>
          </cell>
        </row>
        <row r="1715">
          <cell r="L1715" t="str">
            <v>Non-proportional</v>
          </cell>
          <cell r="S1715">
            <v>2077.06</v>
          </cell>
          <cell r="X1715" t="str">
            <v>Commissions - gross</v>
          </cell>
          <cell r="Y1715" t="str">
            <v>FRANCE</v>
          </cell>
        </row>
        <row r="1716">
          <cell r="L1716" t="str">
            <v>Non-proportional</v>
          </cell>
          <cell r="S1716">
            <v>1583.24</v>
          </cell>
          <cell r="X1716" t="str">
            <v>Commissions - gross</v>
          </cell>
          <cell r="Y1716" t="str">
            <v>GERMANY</v>
          </cell>
        </row>
        <row r="1717">
          <cell r="L1717" t="str">
            <v>Non-proportional</v>
          </cell>
          <cell r="S1717">
            <v>796.5</v>
          </cell>
          <cell r="X1717" t="str">
            <v>Commissions - gross</v>
          </cell>
          <cell r="Y1717" t="str">
            <v>GERMANY</v>
          </cell>
        </row>
        <row r="1718">
          <cell r="L1718" t="str">
            <v>Non-proportional</v>
          </cell>
          <cell r="S1718">
            <v>1059.49</v>
          </cell>
          <cell r="X1718" t="str">
            <v>Commissions - gross</v>
          </cell>
          <cell r="Y1718" t="str">
            <v>GERMANY</v>
          </cell>
        </row>
        <row r="1719">
          <cell r="L1719" t="str">
            <v>Non-proportional</v>
          </cell>
          <cell r="S1719">
            <v>1106.51</v>
          </cell>
          <cell r="X1719" t="str">
            <v>Commissions - gross</v>
          </cell>
          <cell r="Y1719" t="str">
            <v>DENMARK</v>
          </cell>
        </row>
        <row r="1720">
          <cell r="L1720" t="str">
            <v>Non-proportional</v>
          </cell>
          <cell r="S1720">
            <v>897.06</v>
          </cell>
          <cell r="X1720" t="str">
            <v>Commissions - gross</v>
          </cell>
          <cell r="Y1720" t="str">
            <v>GERMANY</v>
          </cell>
        </row>
        <row r="1721">
          <cell r="L1721" t="str">
            <v>Non-proportional</v>
          </cell>
          <cell r="S1721">
            <v>745.46</v>
          </cell>
          <cell r="X1721" t="str">
            <v>Commissions - gross</v>
          </cell>
          <cell r="Y1721" t="str">
            <v>EUROPE</v>
          </cell>
        </row>
        <row r="1722">
          <cell r="L1722" t="str">
            <v>Non-proportional</v>
          </cell>
          <cell r="S1722">
            <v>333.34</v>
          </cell>
          <cell r="X1722" t="str">
            <v>Commissions - gross</v>
          </cell>
          <cell r="Y1722" t="str">
            <v>ITALY</v>
          </cell>
        </row>
        <row r="1723">
          <cell r="L1723" t="str">
            <v>Non-proportional</v>
          </cell>
          <cell r="S1723">
            <v>17.52</v>
          </cell>
          <cell r="X1723" t="str">
            <v>Commissions - gross</v>
          </cell>
          <cell r="Y1723" t="str">
            <v>ITALY</v>
          </cell>
        </row>
        <row r="1724">
          <cell r="L1724" t="str">
            <v>Non-proportional</v>
          </cell>
          <cell r="S1724">
            <v>2439.6</v>
          </cell>
          <cell r="X1724" t="str">
            <v>Commissions - gross</v>
          </cell>
          <cell r="Y1724" t="str">
            <v>GERMANY</v>
          </cell>
        </row>
        <row r="1725">
          <cell r="L1725" t="str">
            <v>Non-proportional</v>
          </cell>
          <cell r="S1725">
            <v>112.5</v>
          </cell>
          <cell r="X1725" t="str">
            <v>Commissions - gross</v>
          </cell>
          <cell r="Y1725" t="str">
            <v>GERMANY</v>
          </cell>
        </row>
        <row r="1726">
          <cell r="L1726" t="str">
            <v>Non-proportional</v>
          </cell>
          <cell r="S1726">
            <v>457.31</v>
          </cell>
          <cell r="X1726" t="str">
            <v>Commissions - gross</v>
          </cell>
          <cell r="Y1726" t="str">
            <v>EUROPE</v>
          </cell>
        </row>
        <row r="1727">
          <cell r="L1727" t="str">
            <v>Non-proportional</v>
          </cell>
          <cell r="S1727">
            <v>1181.5899999999999</v>
          </cell>
          <cell r="X1727" t="str">
            <v>Commissions - gross</v>
          </cell>
          <cell r="Y1727" t="str">
            <v>GERMANY</v>
          </cell>
        </row>
        <row r="1728">
          <cell r="L1728" t="str">
            <v>Non-proportional</v>
          </cell>
          <cell r="S1728">
            <v>240.51</v>
          </cell>
          <cell r="X1728" t="str">
            <v>Commissions - gross</v>
          </cell>
          <cell r="Y1728" t="str">
            <v>SWEDEN</v>
          </cell>
        </row>
        <row r="1729">
          <cell r="L1729" t="str">
            <v>Non-proportional</v>
          </cell>
          <cell r="S1729">
            <v>8.33</v>
          </cell>
          <cell r="X1729" t="str">
            <v>Commissions - gross</v>
          </cell>
          <cell r="Y1729" t="str">
            <v>FRANCE</v>
          </cell>
        </row>
        <row r="1730">
          <cell r="L1730" t="str">
            <v>Non-proportional</v>
          </cell>
          <cell r="S1730">
            <v>1234.55</v>
          </cell>
          <cell r="X1730" t="str">
            <v>Commissions - gross</v>
          </cell>
          <cell r="Y1730" t="str">
            <v>UNITED KINGDOM</v>
          </cell>
        </row>
        <row r="1731">
          <cell r="L1731" t="str">
            <v>Non-proportional</v>
          </cell>
          <cell r="S1731">
            <v>2629.62</v>
          </cell>
          <cell r="X1731" t="str">
            <v>Commissions - gross</v>
          </cell>
          <cell r="Y1731" t="str">
            <v>UNITED KINGDOM</v>
          </cell>
        </row>
        <row r="1732">
          <cell r="L1732" t="str">
            <v>Non-proportional</v>
          </cell>
          <cell r="S1732">
            <v>690.42</v>
          </cell>
          <cell r="X1732" t="str">
            <v>Commissions - gross</v>
          </cell>
          <cell r="Y1732" t="str">
            <v>FRANCE</v>
          </cell>
        </row>
        <row r="1733">
          <cell r="L1733" t="str">
            <v>Non-proportional</v>
          </cell>
          <cell r="S1733">
            <v>580.89</v>
          </cell>
          <cell r="X1733" t="str">
            <v>Commissions - gross</v>
          </cell>
          <cell r="Y1733" t="str">
            <v>DENMARK</v>
          </cell>
        </row>
        <row r="1734">
          <cell r="L1734" t="str">
            <v>Non-proportional</v>
          </cell>
          <cell r="S1734">
            <v>670.25</v>
          </cell>
          <cell r="X1734" t="str">
            <v>Commissions - gross</v>
          </cell>
          <cell r="Y1734" t="str">
            <v>DENMARK</v>
          </cell>
        </row>
        <row r="1735">
          <cell r="L1735" t="str">
            <v>Non-proportional</v>
          </cell>
          <cell r="S1735">
            <v>1.56</v>
          </cell>
          <cell r="X1735" t="str">
            <v>Commissions - gross</v>
          </cell>
          <cell r="Y1735" t="str">
            <v>NORWAY</v>
          </cell>
        </row>
        <row r="1736">
          <cell r="L1736" t="str">
            <v>Non-proportional</v>
          </cell>
          <cell r="S1736">
            <v>262.31</v>
          </cell>
          <cell r="X1736" t="str">
            <v>Commissions - gross</v>
          </cell>
          <cell r="Y1736" t="str">
            <v>JAPAN</v>
          </cell>
        </row>
        <row r="1737">
          <cell r="L1737" t="str">
            <v>Non-proportional</v>
          </cell>
          <cell r="S1737">
            <v>2070.71</v>
          </cell>
          <cell r="X1737" t="str">
            <v>Commissions - gross</v>
          </cell>
          <cell r="Y1737" t="str">
            <v>EUROPE</v>
          </cell>
        </row>
        <row r="1738">
          <cell r="L1738" t="str">
            <v>Non-proportional</v>
          </cell>
          <cell r="S1738">
            <v>1234.5999999999999</v>
          </cell>
          <cell r="X1738" t="str">
            <v>Commissions - gross</v>
          </cell>
          <cell r="Y1738" t="str">
            <v>SWEDEN</v>
          </cell>
        </row>
        <row r="1739">
          <cell r="L1739" t="str">
            <v>Non-proportional</v>
          </cell>
          <cell r="S1739">
            <v>380.92</v>
          </cell>
          <cell r="X1739" t="str">
            <v>Commissions - gross</v>
          </cell>
          <cell r="Y1739" t="str">
            <v>UNITED KINGDOM</v>
          </cell>
        </row>
        <row r="1740">
          <cell r="L1740" t="str">
            <v>Non-proportional</v>
          </cell>
          <cell r="S1740">
            <v>16943.060000000001</v>
          </cell>
          <cell r="X1740" t="str">
            <v>Commissions - gross</v>
          </cell>
          <cell r="Y1740" t="str">
            <v>UNITED KINGDOM</v>
          </cell>
        </row>
        <row r="1741">
          <cell r="L1741" t="str">
            <v>Non-proportional</v>
          </cell>
          <cell r="S1741">
            <v>1.08</v>
          </cell>
          <cell r="X1741" t="str">
            <v>Commissions - gross</v>
          </cell>
          <cell r="Y1741" t="str">
            <v>JAPAN</v>
          </cell>
        </row>
        <row r="1742">
          <cell r="L1742" t="str">
            <v>Non-proportional</v>
          </cell>
          <cell r="S1742">
            <v>1207.49</v>
          </cell>
          <cell r="X1742" t="str">
            <v>Commissions - gross</v>
          </cell>
          <cell r="Y1742" t="str">
            <v>FRANCE</v>
          </cell>
        </row>
        <row r="1743">
          <cell r="L1743" t="str">
            <v>Non-proportional</v>
          </cell>
          <cell r="S1743">
            <v>2295.63</v>
          </cell>
          <cell r="X1743" t="str">
            <v>Commissions - gross</v>
          </cell>
          <cell r="Y1743" t="str">
            <v>UNITED KINGDOM</v>
          </cell>
        </row>
        <row r="1744">
          <cell r="L1744" t="str">
            <v>Non-proportional</v>
          </cell>
          <cell r="S1744">
            <v>492.14</v>
          </cell>
          <cell r="X1744" t="str">
            <v>Commissions - gross</v>
          </cell>
          <cell r="Y1744" t="str">
            <v>SWITZERLAND</v>
          </cell>
        </row>
        <row r="1745">
          <cell r="L1745" t="str">
            <v>Non-proportional</v>
          </cell>
          <cell r="S1745">
            <v>956.7</v>
          </cell>
          <cell r="X1745" t="str">
            <v>Commissions - gross</v>
          </cell>
          <cell r="Y1745" t="str">
            <v>SLOVENIA</v>
          </cell>
        </row>
        <row r="1746">
          <cell r="L1746" t="str">
            <v>Non-proportional</v>
          </cell>
          <cell r="S1746">
            <v>326.25</v>
          </cell>
          <cell r="X1746" t="str">
            <v>Commissions - gross</v>
          </cell>
          <cell r="Y1746" t="str">
            <v>ROMANIA</v>
          </cell>
        </row>
        <row r="1747">
          <cell r="L1747" t="str">
            <v>Non-proportional</v>
          </cell>
          <cell r="S1747">
            <v>11205.21</v>
          </cell>
          <cell r="X1747" t="str">
            <v>Commissions - gross</v>
          </cell>
          <cell r="Y1747" t="str">
            <v>FRANCE</v>
          </cell>
        </row>
        <row r="1748">
          <cell r="L1748" t="str">
            <v>Non-proportional</v>
          </cell>
          <cell r="S1748">
            <v>1760.9</v>
          </cell>
          <cell r="X1748" t="str">
            <v>Commissions - gross</v>
          </cell>
          <cell r="Y1748" t="str">
            <v>AUSTRIA</v>
          </cell>
        </row>
        <row r="1749">
          <cell r="L1749" t="str">
            <v>Non-proportional</v>
          </cell>
          <cell r="S1749">
            <v>552.71</v>
          </cell>
          <cell r="X1749" t="str">
            <v>Commissions - gross</v>
          </cell>
          <cell r="Y1749" t="str">
            <v>GERMANY</v>
          </cell>
        </row>
        <row r="1750">
          <cell r="L1750" t="str">
            <v>Non-proportional</v>
          </cell>
          <cell r="S1750">
            <v>-740.9</v>
          </cell>
          <cell r="X1750" t="str">
            <v>Commissions - gross</v>
          </cell>
          <cell r="Y1750" t="str">
            <v>SWITZERLAND</v>
          </cell>
        </row>
        <row r="1751">
          <cell r="L1751" t="str">
            <v>Non-proportional</v>
          </cell>
          <cell r="S1751">
            <v>263.73</v>
          </cell>
          <cell r="X1751" t="str">
            <v>Commissions - gross</v>
          </cell>
          <cell r="Y1751" t="str">
            <v>GERMANY</v>
          </cell>
        </row>
        <row r="1752">
          <cell r="L1752" t="str">
            <v>Non-proportional</v>
          </cell>
          <cell r="S1752">
            <v>2249.54</v>
          </cell>
          <cell r="X1752" t="str">
            <v>Commissions - gross</v>
          </cell>
          <cell r="Y1752" t="str">
            <v>CZECH REPUBLIC</v>
          </cell>
        </row>
        <row r="1753">
          <cell r="L1753" t="str">
            <v>Non-proportional</v>
          </cell>
          <cell r="S1753">
            <v>869.77</v>
          </cell>
          <cell r="X1753" t="str">
            <v>Commissions - gross</v>
          </cell>
          <cell r="Y1753" t="str">
            <v>GERMANY</v>
          </cell>
        </row>
        <row r="1754">
          <cell r="L1754" t="str">
            <v>Non-proportional</v>
          </cell>
          <cell r="S1754">
            <v>1242.43</v>
          </cell>
          <cell r="X1754" t="str">
            <v>Commissions - gross</v>
          </cell>
          <cell r="Y1754" t="str">
            <v>EUROPE</v>
          </cell>
        </row>
        <row r="1755">
          <cell r="L1755" t="str">
            <v>Non-proportional</v>
          </cell>
          <cell r="S1755">
            <v>1897.38</v>
          </cell>
          <cell r="X1755" t="str">
            <v>Commissions - gross</v>
          </cell>
          <cell r="Y1755" t="str">
            <v>AUSTRIA</v>
          </cell>
        </row>
        <row r="1756">
          <cell r="L1756" t="str">
            <v>Non-proportional</v>
          </cell>
          <cell r="S1756">
            <v>2036.73</v>
          </cell>
          <cell r="X1756" t="str">
            <v>Commissions - gross</v>
          </cell>
          <cell r="Y1756" t="str">
            <v>UNITED KINGDOM</v>
          </cell>
        </row>
        <row r="1757">
          <cell r="L1757" t="str">
            <v>Non-proportional</v>
          </cell>
          <cell r="S1757">
            <v>1504.49</v>
          </cell>
          <cell r="X1757" t="str">
            <v>Commissions - gross</v>
          </cell>
          <cell r="Y1757" t="str">
            <v>SWITZERLAND</v>
          </cell>
        </row>
        <row r="1758">
          <cell r="L1758" t="str">
            <v>Non-proportional</v>
          </cell>
          <cell r="S1758">
            <v>451.14</v>
          </cell>
          <cell r="X1758" t="str">
            <v>Commissions - gross</v>
          </cell>
          <cell r="Y1758" t="str">
            <v>AUSTRIA</v>
          </cell>
        </row>
        <row r="1759">
          <cell r="L1759" t="str">
            <v>Non-proportional</v>
          </cell>
          <cell r="S1759">
            <v>558.63</v>
          </cell>
          <cell r="X1759" t="str">
            <v>Commissions - gross</v>
          </cell>
          <cell r="Y1759" t="str">
            <v>GERMANY</v>
          </cell>
        </row>
        <row r="1760">
          <cell r="L1760" t="str">
            <v>Non-proportional</v>
          </cell>
          <cell r="S1760">
            <v>57.5</v>
          </cell>
          <cell r="X1760" t="str">
            <v>Commissions - gross</v>
          </cell>
          <cell r="Y1760" t="str">
            <v>ITALY</v>
          </cell>
        </row>
        <row r="1761">
          <cell r="L1761" t="str">
            <v>Non-proportional</v>
          </cell>
          <cell r="S1761">
            <v>1405.83</v>
          </cell>
          <cell r="X1761" t="str">
            <v>Commissions - gross</v>
          </cell>
          <cell r="Y1761" t="str">
            <v>EIRE</v>
          </cell>
        </row>
        <row r="1762">
          <cell r="L1762" t="str">
            <v>Non-proportional</v>
          </cell>
          <cell r="S1762">
            <v>427.54</v>
          </cell>
          <cell r="X1762" t="str">
            <v>Commissions - gross</v>
          </cell>
          <cell r="Y1762" t="str">
            <v>GERMANY</v>
          </cell>
        </row>
        <row r="1763">
          <cell r="L1763" t="str">
            <v>Non-proportional</v>
          </cell>
          <cell r="S1763">
            <v>1532.92</v>
          </cell>
          <cell r="X1763" t="str">
            <v>Commissions - gross</v>
          </cell>
          <cell r="Y1763" t="str">
            <v>ITALY</v>
          </cell>
        </row>
        <row r="1764">
          <cell r="L1764" t="str">
            <v>Non-proportional</v>
          </cell>
          <cell r="S1764">
            <v>5062.67</v>
          </cell>
          <cell r="X1764" t="str">
            <v>Commissions - gross</v>
          </cell>
          <cell r="Y1764" t="str">
            <v>UNITED KINGDOM</v>
          </cell>
        </row>
        <row r="1765">
          <cell r="L1765" t="str">
            <v>Non-proportional</v>
          </cell>
          <cell r="S1765">
            <v>87.34</v>
          </cell>
          <cell r="X1765" t="str">
            <v>Commissions - gross</v>
          </cell>
          <cell r="Y1765" t="str">
            <v>GERMANY</v>
          </cell>
        </row>
        <row r="1766">
          <cell r="L1766" t="str">
            <v>Non-proportional</v>
          </cell>
          <cell r="S1766">
            <v>1188.23</v>
          </cell>
          <cell r="X1766" t="str">
            <v>Commissions - gross</v>
          </cell>
          <cell r="Y1766" t="str">
            <v>EUROPE</v>
          </cell>
        </row>
        <row r="1767">
          <cell r="L1767" t="str">
            <v>Non-proportional</v>
          </cell>
          <cell r="S1767">
            <v>920.31</v>
          </cell>
          <cell r="X1767" t="str">
            <v>Commissions - gross</v>
          </cell>
          <cell r="Y1767" t="str">
            <v>GERMANY</v>
          </cell>
        </row>
        <row r="1768">
          <cell r="L1768" t="str">
            <v>Non-proportional</v>
          </cell>
          <cell r="S1768">
            <v>86.56</v>
          </cell>
          <cell r="X1768" t="str">
            <v>Commissions - gross</v>
          </cell>
          <cell r="Y1768" t="str">
            <v>ITALY</v>
          </cell>
        </row>
        <row r="1769">
          <cell r="L1769" t="str">
            <v>Non-proportional</v>
          </cell>
          <cell r="S1769">
            <v>1601.3</v>
          </cell>
          <cell r="X1769" t="str">
            <v>Commissions - gross</v>
          </cell>
          <cell r="Y1769" t="str">
            <v>UNITED KINGDOM</v>
          </cell>
        </row>
        <row r="1770">
          <cell r="L1770" t="str">
            <v>Non-proportional</v>
          </cell>
          <cell r="S1770">
            <v>1339.97</v>
          </cell>
          <cell r="X1770" t="str">
            <v>Commissions - gross</v>
          </cell>
          <cell r="Y1770" t="str">
            <v>GERMANY</v>
          </cell>
        </row>
        <row r="1771">
          <cell r="L1771" t="str">
            <v>Non-proportional</v>
          </cell>
          <cell r="S1771">
            <v>500.58</v>
          </cell>
          <cell r="X1771" t="str">
            <v>Commissions - gross</v>
          </cell>
          <cell r="Y1771" t="str">
            <v>FRANCE</v>
          </cell>
        </row>
        <row r="1772">
          <cell r="L1772" t="str">
            <v>Non-proportional</v>
          </cell>
          <cell r="S1772">
            <v>8006.48</v>
          </cell>
          <cell r="X1772" t="str">
            <v>Commissions - gross</v>
          </cell>
          <cell r="Y1772" t="str">
            <v>UNITED KINGDOM</v>
          </cell>
        </row>
        <row r="1773">
          <cell r="L1773" t="str">
            <v>Non-proportional</v>
          </cell>
          <cell r="S1773">
            <v>133.99</v>
          </cell>
          <cell r="X1773" t="str">
            <v>Commissions - gross</v>
          </cell>
          <cell r="Y1773" t="str">
            <v>DENMARK</v>
          </cell>
        </row>
        <row r="1774">
          <cell r="L1774" t="str">
            <v>Non-proportional</v>
          </cell>
          <cell r="S1774">
            <v>-0.2</v>
          </cell>
          <cell r="X1774" t="str">
            <v>Commissions - gross</v>
          </cell>
          <cell r="Y1774" t="str">
            <v>SWEDEN</v>
          </cell>
        </row>
        <row r="1775">
          <cell r="L1775" t="str">
            <v>Non-proportional</v>
          </cell>
          <cell r="S1775">
            <v>537.44000000000005</v>
          </cell>
          <cell r="X1775" t="str">
            <v>Commissions - gross</v>
          </cell>
          <cell r="Y1775" t="str">
            <v>DENMARK</v>
          </cell>
        </row>
        <row r="1776">
          <cell r="L1776" t="str">
            <v>Non-proportional</v>
          </cell>
          <cell r="S1776">
            <v>1.76</v>
          </cell>
          <cell r="X1776" t="str">
            <v>Commissions - gross</v>
          </cell>
          <cell r="Y1776" t="str">
            <v>EUROPE</v>
          </cell>
        </row>
        <row r="1777">
          <cell r="L1777" t="str">
            <v>Non-proportional</v>
          </cell>
          <cell r="S1777">
            <v>83.77</v>
          </cell>
          <cell r="X1777" t="str">
            <v>Commissions - gross</v>
          </cell>
          <cell r="Y1777" t="str">
            <v>DENMARK</v>
          </cell>
        </row>
        <row r="1778">
          <cell r="L1778" t="str">
            <v>Non-proportional</v>
          </cell>
          <cell r="S1778">
            <v>52.57</v>
          </cell>
          <cell r="X1778" t="str">
            <v>Commissions - gross</v>
          </cell>
          <cell r="Y1778" t="str">
            <v>NORWAY</v>
          </cell>
        </row>
        <row r="1779">
          <cell r="L1779" t="str">
            <v>Non-proportional</v>
          </cell>
          <cell r="S1779">
            <v>32.15</v>
          </cell>
          <cell r="X1779" t="str">
            <v>Commissions - gross</v>
          </cell>
          <cell r="Y1779" t="str">
            <v>FRANCE</v>
          </cell>
        </row>
        <row r="1780">
          <cell r="L1780" t="str">
            <v>Non-proportional</v>
          </cell>
          <cell r="S1780">
            <v>5670.12</v>
          </cell>
          <cell r="X1780" t="str">
            <v>Commissions - gross</v>
          </cell>
          <cell r="Y1780" t="str">
            <v>UNITED KINGDOM</v>
          </cell>
        </row>
        <row r="1781">
          <cell r="L1781" t="str">
            <v>Non-proportional</v>
          </cell>
          <cell r="S1781">
            <v>126.57</v>
          </cell>
          <cell r="X1781" t="str">
            <v>Commissions - gross</v>
          </cell>
          <cell r="Y1781" t="str">
            <v>UNITED KINGDOM</v>
          </cell>
        </row>
        <row r="1782">
          <cell r="L1782" t="str">
            <v>Non-proportional</v>
          </cell>
          <cell r="S1782">
            <v>721.75</v>
          </cell>
          <cell r="X1782" t="str">
            <v>Commissions - gross</v>
          </cell>
          <cell r="Y1782" t="str">
            <v>NORWAY</v>
          </cell>
        </row>
        <row r="1783">
          <cell r="L1783" t="str">
            <v>Proportional</v>
          </cell>
          <cell r="S1783">
            <v>-42512.800000000003</v>
          </cell>
          <cell r="X1783" t="str">
            <v>Commissions - gross</v>
          </cell>
          <cell r="Y1783" t="str">
            <v>SWITZERLAND</v>
          </cell>
        </row>
        <row r="1784">
          <cell r="L1784" t="str">
            <v>Non-proportional</v>
          </cell>
          <cell r="S1784">
            <v>-1525.17</v>
          </cell>
          <cell r="X1784" t="str">
            <v>Commissions - gross</v>
          </cell>
          <cell r="Y1784" t="str">
            <v>SWITZERLAND</v>
          </cell>
        </row>
        <row r="1785">
          <cell r="L1785" t="str">
            <v>Non-proportional</v>
          </cell>
          <cell r="S1785">
            <v>30.08</v>
          </cell>
          <cell r="X1785" t="str">
            <v>Commissions - gross</v>
          </cell>
          <cell r="Y1785" t="str">
            <v>ITALY</v>
          </cell>
        </row>
        <row r="1786">
          <cell r="L1786" t="str">
            <v>Non-proportional</v>
          </cell>
          <cell r="S1786">
            <v>321.45</v>
          </cell>
          <cell r="X1786" t="str">
            <v>Commissions - gross</v>
          </cell>
          <cell r="Y1786" t="str">
            <v>UNITED KINGDOM</v>
          </cell>
        </row>
        <row r="1787">
          <cell r="L1787" t="str">
            <v>Non-proportional</v>
          </cell>
          <cell r="S1787">
            <v>523.11</v>
          </cell>
          <cell r="X1787" t="str">
            <v>Commissions - gross</v>
          </cell>
          <cell r="Y1787" t="str">
            <v>NORWAY</v>
          </cell>
        </row>
        <row r="1788">
          <cell r="L1788" t="str">
            <v>Non-proportional</v>
          </cell>
          <cell r="S1788">
            <v>200.6</v>
          </cell>
          <cell r="X1788" t="str">
            <v>Commissions - gross</v>
          </cell>
          <cell r="Y1788" t="str">
            <v>SWITZERLAND</v>
          </cell>
        </row>
        <row r="1789">
          <cell r="L1789" t="str">
            <v>Non-proportional</v>
          </cell>
          <cell r="S1789">
            <v>3734.6</v>
          </cell>
          <cell r="X1789" t="str">
            <v>Commissions - gross</v>
          </cell>
          <cell r="Y1789" t="str">
            <v>FRANCE</v>
          </cell>
        </row>
        <row r="1790">
          <cell r="L1790" t="str">
            <v>Non-proportional</v>
          </cell>
          <cell r="S1790">
            <v>-0.92</v>
          </cell>
          <cell r="X1790" t="str">
            <v>Commissions - gross</v>
          </cell>
          <cell r="Y1790" t="str">
            <v>SWEDEN</v>
          </cell>
        </row>
        <row r="1791">
          <cell r="L1791" t="str">
            <v>Non-proportional</v>
          </cell>
          <cell r="S1791">
            <v>388.01</v>
          </cell>
          <cell r="X1791" t="str">
            <v>Commissions - gross</v>
          </cell>
          <cell r="Y1791" t="str">
            <v>NORWAY</v>
          </cell>
        </row>
        <row r="1792">
          <cell r="L1792" t="str">
            <v>Non-proportional</v>
          </cell>
          <cell r="S1792">
            <v>31810.240000000002</v>
          </cell>
          <cell r="X1792" t="str">
            <v>Commissions - gross</v>
          </cell>
          <cell r="Y1792" t="str">
            <v>UNITED KINGDOM</v>
          </cell>
        </row>
        <row r="1793">
          <cell r="L1793" t="str">
            <v>Non-proportional</v>
          </cell>
          <cell r="S1793">
            <v>351.62</v>
          </cell>
          <cell r="X1793" t="str">
            <v>Commissions - gross</v>
          </cell>
          <cell r="Y1793" t="str">
            <v>ICELAND</v>
          </cell>
        </row>
        <row r="1794">
          <cell r="L1794" t="str">
            <v>Non-proportional</v>
          </cell>
          <cell r="S1794">
            <v>1650</v>
          </cell>
          <cell r="X1794" t="str">
            <v>Commissions - gross</v>
          </cell>
          <cell r="Y1794" t="str">
            <v>GERMANY</v>
          </cell>
        </row>
        <row r="1795">
          <cell r="L1795" t="str">
            <v>Non-proportional</v>
          </cell>
          <cell r="S1795">
            <v>625</v>
          </cell>
          <cell r="X1795" t="str">
            <v>Commissions - gross</v>
          </cell>
          <cell r="Y1795" t="str">
            <v>GERMANY</v>
          </cell>
        </row>
        <row r="1796">
          <cell r="L1796" t="str">
            <v>Non-proportional</v>
          </cell>
          <cell r="S1796">
            <v>446.02</v>
          </cell>
          <cell r="X1796" t="str">
            <v>Commissions - gross</v>
          </cell>
          <cell r="Y1796" t="str">
            <v>DENMARK</v>
          </cell>
        </row>
        <row r="1797">
          <cell r="L1797" t="str">
            <v>Non-proportional</v>
          </cell>
          <cell r="S1797">
            <v>339.25</v>
          </cell>
          <cell r="X1797" t="str">
            <v>Commissions - gross</v>
          </cell>
          <cell r="Y1797" t="str">
            <v>ITALY</v>
          </cell>
        </row>
        <row r="1798">
          <cell r="L1798" t="str">
            <v>Non-proportional</v>
          </cell>
          <cell r="S1798">
            <v>2739.04</v>
          </cell>
          <cell r="X1798" t="str">
            <v>Commissions - gross</v>
          </cell>
          <cell r="Y1798" t="str">
            <v>UNITED KINGDOM</v>
          </cell>
        </row>
        <row r="1799">
          <cell r="L1799" t="str">
            <v>Non-proportional</v>
          </cell>
          <cell r="S1799">
            <v>13211.1</v>
          </cell>
          <cell r="X1799" t="str">
            <v>Commissions - gross</v>
          </cell>
          <cell r="Y1799" t="str">
            <v>UNITED KINGDOM</v>
          </cell>
        </row>
        <row r="1800">
          <cell r="L1800" t="str">
            <v>Non-proportional</v>
          </cell>
          <cell r="S1800">
            <v>641.66999999999996</v>
          </cell>
          <cell r="X1800" t="str">
            <v>Commissions - gross</v>
          </cell>
          <cell r="Y1800" t="str">
            <v>GERMANY</v>
          </cell>
        </row>
        <row r="1801">
          <cell r="L1801" t="str">
            <v>Non-proportional</v>
          </cell>
          <cell r="S1801">
            <v>331.31</v>
          </cell>
          <cell r="X1801" t="str">
            <v>Commissions - gross</v>
          </cell>
          <cell r="Y1801" t="str">
            <v>EUROPE</v>
          </cell>
        </row>
        <row r="1802">
          <cell r="L1802" t="str">
            <v>Non-proportional</v>
          </cell>
          <cell r="S1802">
            <v>205.24</v>
          </cell>
          <cell r="X1802" t="str">
            <v>Commissions - gross</v>
          </cell>
          <cell r="Y1802" t="str">
            <v>JAPAN</v>
          </cell>
        </row>
        <row r="1803">
          <cell r="L1803" t="str">
            <v>Non-proportional</v>
          </cell>
          <cell r="S1803">
            <v>-0.51</v>
          </cell>
          <cell r="X1803" t="str">
            <v>Commissions - gross</v>
          </cell>
          <cell r="Y1803" t="str">
            <v>SWEDEN</v>
          </cell>
        </row>
        <row r="1804">
          <cell r="L1804" t="str">
            <v>Non-proportional</v>
          </cell>
          <cell r="S1804">
            <v>2588.63</v>
          </cell>
          <cell r="X1804" t="str">
            <v>Commissions - gross</v>
          </cell>
          <cell r="Y1804" t="str">
            <v>CZECH REPUBLIC</v>
          </cell>
        </row>
        <row r="1805">
          <cell r="L1805" t="str">
            <v>Non-proportional</v>
          </cell>
          <cell r="S1805">
            <v>571.76</v>
          </cell>
          <cell r="X1805" t="str">
            <v>Commissions - gross</v>
          </cell>
          <cell r="Y1805" t="str">
            <v>GERMANY</v>
          </cell>
        </row>
        <row r="1806">
          <cell r="L1806" t="str">
            <v>Non-proportional</v>
          </cell>
          <cell r="S1806">
            <v>196.23</v>
          </cell>
          <cell r="X1806" t="str">
            <v>Commissions - gross</v>
          </cell>
          <cell r="Y1806" t="str">
            <v>GERMANY</v>
          </cell>
        </row>
        <row r="1807">
          <cell r="L1807" t="str">
            <v>Non-proportional</v>
          </cell>
          <cell r="S1807">
            <v>-0.38</v>
          </cell>
          <cell r="X1807" t="str">
            <v>Commissions - gross</v>
          </cell>
          <cell r="Y1807" t="str">
            <v>DENMARK</v>
          </cell>
        </row>
        <row r="1808">
          <cell r="L1808" t="str">
            <v>Non-proportional</v>
          </cell>
          <cell r="S1808">
            <v>2126.35</v>
          </cell>
          <cell r="X1808" t="str">
            <v>Commissions - gross</v>
          </cell>
          <cell r="Y1808" t="str">
            <v>SWITZERLAND</v>
          </cell>
        </row>
        <row r="1809">
          <cell r="L1809" t="str">
            <v>Non-proportional</v>
          </cell>
          <cell r="S1809">
            <v>27.07</v>
          </cell>
          <cell r="X1809" t="str">
            <v>Commissions - gross</v>
          </cell>
          <cell r="Y1809" t="str">
            <v>ITALY</v>
          </cell>
        </row>
        <row r="1810">
          <cell r="L1810" t="str">
            <v>Non-proportional</v>
          </cell>
          <cell r="S1810">
            <v>4175.5200000000004</v>
          </cell>
          <cell r="X1810" t="str">
            <v>Commissions - gross</v>
          </cell>
          <cell r="Y1810" t="str">
            <v>UNITED KINGDOM</v>
          </cell>
        </row>
        <row r="1811">
          <cell r="L1811" t="str">
            <v>Non-proportional</v>
          </cell>
          <cell r="S1811">
            <v>316.45999999999998</v>
          </cell>
          <cell r="X1811" t="str">
            <v>Commissions - gross</v>
          </cell>
          <cell r="Y1811" t="str">
            <v>ICELAND</v>
          </cell>
        </row>
        <row r="1812">
          <cell r="L1812" t="str">
            <v>Non-proportional</v>
          </cell>
          <cell r="S1812">
            <v>4375</v>
          </cell>
          <cell r="X1812" t="str">
            <v>Commissions - gross</v>
          </cell>
          <cell r="Y1812" t="str">
            <v>GERMANY</v>
          </cell>
        </row>
        <row r="1813">
          <cell r="L1813" t="str">
            <v>Non-proportional</v>
          </cell>
          <cell r="S1813">
            <v>625.04999999999995</v>
          </cell>
          <cell r="X1813" t="str">
            <v>Commissions - gross</v>
          </cell>
          <cell r="Y1813" t="str">
            <v>GERMANY</v>
          </cell>
        </row>
        <row r="1814">
          <cell r="L1814" t="str">
            <v>Non-proportional</v>
          </cell>
          <cell r="S1814">
            <v>-0.24</v>
          </cell>
          <cell r="X1814" t="str">
            <v>Commissions - gross</v>
          </cell>
          <cell r="Y1814" t="str">
            <v>DENMARK</v>
          </cell>
        </row>
        <row r="1815">
          <cell r="L1815" t="str">
            <v>Non-proportional</v>
          </cell>
          <cell r="S1815">
            <v>-1.57</v>
          </cell>
          <cell r="X1815" t="str">
            <v>Commissions - gross</v>
          </cell>
          <cell r="Y1815" t="str">
            <v>SWEDEN</v>
          </cell>
        </row>
        <row r="1816">
          <cell r="L1816" t="str">
            <v>Non-proportional</v>
          </cell>
          <cell r="S1816">
            <v>759</v>
          </cell>
          <cell r="X1816" t="str">
            <v>Commissions - gross</v>
          </cell>
          <cell r="Y1816" t="str">
            <v>GERMANY</v>
          </cell>
        </row>
        <row r="1817">
          <cell r="L1817" t="str">
            <v>Non-proportional</v>
          </cell>
          <cell r="S1817">
            <v>-2286.06</v>
          </cell>
          <cell r="X1817" t="str">
            <v>Commissions - gross</v>
          </cell>
          <cell r="Y1817" t="str">
            <v>SWITZERLAND</v>
          </cell>
        </row>
        <row r="1818">
          <cell r="L1818" t="str">
            <v>Non-proportional</v>
          </cell>
          <cell r="S1818">
            <v>1228.68</v>
          </cell>
          <cell r="X1818" t="str">
            <v>Commissions - gross</v>
          </cell>
          <cell r="Y1818" t="str">
            <v>DENMARK</v>
          </cell>
        </row>
        <row r="1819">
          <cell r="L1819" t="str">
            <v>Non-proportional</v>
          </cell>
          <cell r="S1819">
            <v>3450.2</v>
          </cell>
          <cell r="X1819" t="str">
            <v>Commissions - gross</v>
          </cell>
          <cell r="Y1819" t="str">
            <v>CZECH REPUBLIC</v>
          </cell>
        </row>
        <row r="1820">
          <cell r="L1820" t="str">
            <v>Non-proportional</v>
          </cell>
          <cell r="S1820">
            <v>3066.62</v>
          </cell>
          <cell r="X1820" t="str">
            <v>Commissions - gross</v>
          </cell>
          <cell r="Y1820" t="str">
            <v>UNITED KINGDOM</v>
          </cell>
        </row>
        <row r="1821">
          <cell r="L1821" t="str">
            <v>Non-proportional</v>
          </cell>
          <cell r="S1821">
            <v>1318.46</v>
          </cell>
          <cell r="X1821" t="str">
            <v>Commissions - gross</v>
          </cell>
          <cell r="Y1821" t="str">
            <v>UNITED KINGDOM</v>
          </cell>
        </row>
        <row r="1822">
          <cell r="L1822" t="str">
            <v>Non-proportional</v>
          </cell>
          <cell r="S1822">
            <v>916.13</v>
          </cell>
          <cell r="X1822" t="str">
            <v>Commissions - gross</v>
          </cell>
          <cell r="Y1822" t="str">
            <v>UNITED KINGDOM</v>
          </cell>
        </row>
        <row r="1823">
          <cell r="L1823" t="str">
            <v>Non-proportional</v>
          </cell>
          <cell r="S1823">
            <v>411.21</v>
          </cell>
          <cell r="X1823" t="str">
            <v>Commissions - gross</v>
          </cell>
          <cell r="Y1823" t="str">
            <v>AUSTRIA</v>
          </cell>
        </row>
        <row r="1824">
          <cell r="L1824" t="str">
            <v>Non-proportional</v>
          </cell>
          <cell r="S1824">
            <v>353.23</v>
          </cell>
          <cell r="X1824" t="str">
            <v>Commissions - gross</v>
          </cell>
          <cell r="Y1824" t="str">
            <v>FAROE ISLANDS</v>
          </cell>
        </row>
        <row r="1825">
          <cell r="L1825" t="str">
            <v>Non-proportional</v>
          </cell>
          <cell r="S1825">
            <v>546.71</v>
          </cell>
          <cell r="X1825" t="str">
            <v>Commissions - gross</v>
          </cell>
          <cell r="Y1825" t="str">
            <v>EIRE</v>
          </cell>
        </row>
        <row r="1826">
          <cell r="L1826" t="str">
            <v>Non-proportional</v>
          </cell>
          <cell r="S1826">
            <v>1340.28</v>
          </cell>
          <cell r="X1826" t="str">
            <v>Commissions - gross</v>
          </cell>
          <cell r="Y1826" t="str">
            <v>DENMARK</v>
          </cell>
        </row>
        <row r="1827">
          <cell r="L1827" t="str">
            <v>Non-proportional</v>
          </cell>
          <cell r="S1827">
            <v>406.55</v>
          </cell>
          <cell r="X1827" t="str">
            <v>Commissions - gross</v>
          </cell>
          <cell r="Y1827" t="str">
            <v>SWITZERLAND</v>
          </cell>
        </row>
        <row r="1828">
          <cell r="L1828" t="str">
            <v>Non-proportional</v>
          </cell>
          <cell r="S1828">
            <v>235.75</v>
          </cell>
          <cell r="X1828" t="str">
            <v>Commissions - gross</v>
          </cell>
          <cell r="Y1828" t="str">
            <v>GERMANY</v>
          </cell>
        </row>
        <row r="1829">
          <cell r="L1829" t="str">
            <v>Non-proportional</v>
          </cell>
          <cell r="S1829">
            <v>1890</v>
          </cell>
          <cell r="X1829" t="str">
            <v>Commissions - gross</v>
          </cell>
          <cell r="Y1829" t="str">
            <v>ROMANIA</v>
          </cell>
        </row>
        <row r="1830">
          <cell r="L1830" t="str">
            <v>Non-proportional</v>
          </cell>
          <cell r="S1830">
            <v>1198.5999999999999</v>
          </cell>
          <cell r="X1830" t="str">
            <v>Commissions - gross</v>
          </cell>
          <cell r="Y1830" t="str">
            <v>UNITED KINGDOM</v>
          </cell>
        </row>
        <row r="1831">
          <cell r="L1831" t="str">
            <v>Non-proportional</v>
          </cell>
          <cell r="S1831">
            <v>337.5</v>
          </cell>
          <cell r="X1831" t="str">
            <v>Commissions - gross</v>
          </cell>
          <cell r="Y1831" t="str">
            <v>GERMANY</v>
          </cell>
        </row>
        <row r="1832">
          <cell r="L1832" t="str">
            <v>Non-proportional</v>
          </cell>
          <cell r="S1832">
            <v>360.3</v>
          </cell>
          <cell r="X1832" t="str">
            <v>Commissions - gross</v>
          </cell>
          <cell r="Y1832" t="str">
            <v>FAROE ISLANDS</v>
          </cell>
        </row>
        <row r="1833">
          <cell r="L1833" t="str">
            <v>Non-proportional</v>
          </cell>
          <cell r="S1833">
            <v>780.11</v>
          </cell>
          <cell r="X1833" t="str">
            <v>Commissions - gross</v>
          </cell>
          <cell r="Y1833" t="str">
            <v>SWITZERLAND</v>
          </cell>
        </row>
        <row r="1834">
          <cell r="L1834" t="str">
            <v>Non-proportional</v>
          </cell>
          <cell r="S1834">
            <v>457.1</v>
          </cell>
          <cell r="X1834" t="str">
            <v>Commissions - gross</v>
          </cell>
          <cell r="Y1834" t="str">
            <v>UNITED KINGDOM</v>
          </cell>
        </row>
        <row r="1835">
          <cell r="L1835" t="str">
            <v>Non-proportional</v>
          </cell>
          <cell r="S1835">
            <v>310.73</v>
          </cell>
          <cell r="X1835" t="str">
            <v>Commissions - gross</v>
          </cell>
          <cell r="Y1835" t="str">
            <v>GERMANY</v>
          </cell>
        </row>
        <row r="1836">
          <cell r="L1836" t="str">
            <v>Non-proportional</v>
          </cell>
          <cell r="S1836">
            <v>750.16</v>
          </cell>
          <cell r="X1836" t="str">
            <v>Commissions - gross</v>
          </cell>
          <cell r="Y1836" t="str">
            <v>GERMANY</v>
          </cell>
        </row>
        <row r="1837">
          <cell r="L1837" t="str">
            <v>Non-proportional</v>
          </cell>
          <cell r="S1837">
            <v>999.97</v>
          </cell>
          <cell r="X1837" t="str">
            <v>Commissions - gross</v>
          </cell>
          <cell r="Y1837" t="str">
            <v>GERMANY</v>
          </cell>
        </row>
        <row r="1838">
          <cell r="L1838" t="str">
            <v>Non-proportional</v>
          </cell>
          <cell r="S1838">
            <v>1104.57</v>
          </cell>
          <cell r="X1838" t="str">
            <v>Commissions - gross</v>
          </cell>
          <cell r="Y1838" t="str">
            <v>UNITED KINGDOM</v>
          </cell>
        </row>
        <row r="1839">
          <cell r="L1839" t="str">
            <v>Non-proportional</v>
          </cell>
          <cell r="S1839">
            <v>337.76</v>
          </cell>
          <cell r="X1839" t="str">
            <v>Commissions - gross</v>
          </cell>
          <cell r="Y1839" t="str">
            <v>JAPAN</v>
          </cell>
        </row>
        <row r="1840">
          <cell r="L1840" t="str">
            <v>Non-proportional</v>
          </cell>
          <cell r="S1840">
            <v>633.51</v>
          </cell>
          <cell r="X1840" t="str">
            <v>Commissions - gross</v>
          </cell>
          <cell r="Y1840" t="str">
            <v>GERMANY</v>
          </cell>
        </row>
        <row r="1841">
          <cell r="L1841" t="str">
            <v>Non-proportional</v>
          </cell>
          <cell r="S1841">
            <v>5.48</v>
          </cell>
          <cell r="X1841" t="str">
            <v>Commissions - gross</v>
          </cell>
          <cell r="Y1841" t="str">
            <v>FRANCE</v>
          </cell>
        </row>
        <row r="1842">
          <cell r="L1842" t="str">
            <v>Non-proportional</v>
          </cell>
          <cell r="S1842">
            <v>-0.16</v>
          </cell>
          <cell r="X1842" t="str">
            <v>Commissions - gross</v>
          </cell>
          <cell r="Y1842" t="str">
            <v>DENMARK</v>
          </cell>
        </row>
        <row r="1843">
          <cell r="L1843" t="str">
            <v>Non-proportional</v>
          </cell>
          <cell r="S1843">
            <v>271.27</v>
          </cell>
          <cell r="X1843" t="str">
            <v>Commissions - gross</v>
          </cell>
          <cell r="Y1843" t="str">
            <v>GERMANY</v>
          </cell>
        </row>
        <row r="1844">
          <cell r="L1844" t="str">
            <v>Non-proportional</v>
          </cell>
          <cell r="S1844">
            <v>1163.47</v>
          </cell>
          <cell r="X1844" t="str">
            <v>Commissions - gross</v>
          </cell>
          <cell r="Y1844" t="str">
            <v>SWITZERLAND</v>
          </cell>
        </row>
        <row r="1845">
          <cell r="L1845" t="str">
            <v>Non-proportional</v>
          </cell>
          <cell r="S1845">
            <v>1100</v>
          </cell>
          <cell r="X1845" t="str">
            <v>Commissions - gross</v>
          </cell>
          <cell r="Y1845" t="str">
            <v>SWEDEN</v>
          </cell>
        </row>
        <row r="1846">
          <cell r="L1846" t="str">
            <v>Non-proportional</v>
          </cell>
          <cell r="S1846">
            <v>774.74</v>
          </cell>
          <cell r="X1846" t="str">
            <v>Commissions - gross</v>
          </cell>
          <cell r="Y1846" t="str">
            <v>GERMANY</v>
          </cell>
        </row>
        <row r="1847">
          <cell r="L1847" t="str">
            <v>Non-proportional</v>
          </cell>
          <cell r="S1847">
            <v>291.29000000000002</v>
          </cell>
          <cell r="X1847" t="str">
            <v>Commissions - gross</v>
          </cell>
          <cell r="Y1847" t="str">
            <v>UNITED KINGDOM</v>
          </cell>
        </row>
        <row r="1848">
          <cell r="L1848" t="str">
            <v>Non-proportional</v>
          </cell>
          <cell r="S1848">
            <v>-0.42</v>
          </cell>
          <cell r="X1848" t="str">
            <v>Commissions - gross</v>
          </cell>
          <cell r="Y1848" t="str">
            <v>DENMARK</v>
          </cell>
        </row>
        <row r="1849">
          <cell r="L1849" t="str">
            <v>Non-proportional</v>
          </cell>
          <cell r="S1849">
            <v>110.8</v>
          </cell>
          <cell r="X1849" t="str">
            <v>Commissions - gross</v>
          </cell>
          <cell r="Y1849" t="str">
            <v>AUSTRIA</v>
          </cell>
        </row>
        <row r="1850">
          <cell r="L1850" t="str">
            <v>Non-proportional</v>
          </cell>
          <cell r="S1850">
            <v>791.68</v>
          </cell>
          <cell r="X1850" t="str">
            <v>Commissions - gross</v>
          </cell>
          <cell r="Y1850" t="str">
            <v>GERMANY</v>
          </cell>
        </row>
        <row r="1851">
          <cell r="L1851" t="str">
            <v>Non-proportional</v>
          </cell>
          <cell r="S1851">
            <v>1179.96</v>
          </cell>
          <cell r="X1851" t="str">
            <v>Commissions - gross</v>
          </cell>
          <cell r="Y1851" t="str">
            <v>UNITED KINGDOM</v>
          </cell>
        </row>
        <row r="1852">
          <cell r="L1852" t="str">
            <v>Non-proportional</v>
          </cell>
          <cell r="S1852">
            <v>1643.8</v>
          </cell>
          <cell r="X1852" t="str">
            <v>Commissions - gross</v>
          </cell>
          <cell r="Y1852" t="str">
            <v>SWITZERLAND</v>
          </cell>
        </row>
        <row r="1853">
          <cell r="L1853" t="str">
            <v>Non-proportional</v>
          </cell>
          <cell r="S1853">
            <v>3557.03</v>
          </cell>
          <cell r="X1853" t="str">
            <v>Commissions - gross</v>
          </cell>
          <cell r="Y1853" t="str">
            <v>FRANCE</v>
          </cell>
        </row>
        <row r="1854">
          <cell r="L1854" t="str">
            <v>Non-proportional</v>
          </cell>
          <cell r="S1854">
            <v>2075.86</v>
          </cell>
          <cell r="X1854" t="str">
            <v>Commissions - gross</v>
          </cell>
          <cell r="Y1854" t="str">
            <v>EIRE</v>
          </cell>
        </row>
        <row r="1855">
          <cell r="L1855" t="str">
            <v>Non-proportional</v>
          </cell>
          <cell r="S1855">
            <v>704.16</v>
          </cell>
          <cell r="X1855" t="str">
            <v>Commissions - gross</v>
          </cell>
          <cell r="Y1855" t="str">
            <v>NORWAY</v>
          </cell>
        </row>
        <row r="1856">
          <cell r="L1856" t="str">
            <v>Non-proportional</v>
          </cell>
          <cell r="S1856">
            <v>699.8</v>
          </cell>
          <cell r="X1856" t="str">
            <v>Commissions - gross</v>
          </cell>
          <cell r="Y1856" t="str">
            <v>AUSTRIA</v>
          </cell>
        </row>
        <row r="1857">
          <cell r="L1857" t="str">
            <v>Non-proportional</v>
          </cell>
          <cell r="S1857">
            <v>2126.9299999999998</v>
          </cell>
          <cell r="X1857" t="str">
            <v>Commissions - gross</v>
          </cell>
          <cell r="Y1857" t="str">
            <v>SPAIN</v>
          </cell>
        </row>
        <row r="1858">
          <cell r="L1858" t="str">
            <v>Non-proportional</v>
          </cell>
          <cell r="S1858">
            <v>920.31</v>
          </cell>
          <cell r="X1858" t="str">
            <v>Commissions - gross</v>
          </cell>
          <cell r="Y1858" t="str">
            <v>GERMANY</v>
          </cell>
        </row>
        <row r="1859">
          <cell r="L1859" t="str">
            <v>Non-proportional</v>
          </cell>
          <cell r="S1859">
            <v>498.47</v>
          </cell>
          <cell r="X1859" t="str">
            <v>Commissions - gross</v>
          </cell>
          <cell r="Y1859" t="str">
            <v>GERMANY</v>
          </cell>
        </row>
        <row r="1860">
          <cell r="L1860" t="str">
            <v>Non-proportional</v>
          </cell>
          <cell r="S1860">
            <v>-18133.400000000001</v>
          </cell>
          <cell r="X1860" t="str">
            <v>Commissions - gross</v>
          </cell>
          <cell r="Y1860" t="str">
            <v>UNITED KINGDOM</v>
          </cell>
        </row>
        <row r="1861">
          <cell r="L1861" t="str">
            <v>Non-proportional</v>
          </cell>
          <cell r="S1861">
            <v>408.73</v>
          </cell>
          <cell r="X1861" t="str">
            <v>Commissions - gross</v>
          </cell>
          <cell r="Y1861" t="str">
            <v>SWITZERLAND</v>
          </cell>
        </row>
        <row r="1862">
          <cell r="L1862" t="str">
            <v>Non-proportional</v>
          </cell>
          <cell r="S1862">
            <v>12674.52</v>
          </cell>
          <cell r="X1862" t="str">
            <v>Commissions - gross</v>
          </cell>
          <cell r="Y1862" t="str">
            <v>UNITED KINGDOM</v>
          </cell>
        </row>
        <row r="1863">
          <cell r="L1863" t="str">
            <v>Non-proportional</v>
          </cell>
          <cell r="S1863">
            <v>-9591.74</v>
          </cell>
          <cell r="X1863" t="str">
            <v>Commissions - gross</v>
          </cell>
          <cell r="Y1863" t="str">
            <v>UNITED KINGDOM</v>
          </cell>
        </row>
        <row r="1864">
          <cell r="L1864" t="str">
            <v>Non-proportional</v>
          </cell>
          <cell r="S1864">
            <v>663.84</v>
          </cell>
          <cell r="X1864" t="str">
            <v>Commissions - gross</v>
          </cell>
          <cell r="Y1864" t="str">
            <v>EUROPE</v>
          </cell>
        </row>
        <row r="1865">
          <cell r="L1865" t="str">
            <v>Non-proportional</v>
          </cell>
          <cell r="S1865">
            <v>-9189.58</v>
          </cell>
          <cell r="X1865" t="str">
            <v>Commissions - gross</v>
          </cell>
          <cell r="Y1865" t="str">
            <v>DENMARK</v>
          </cell>
        </row>
        <row r="1866">
          <cell r="L1866" t="str">
            <v>Non-proportional</v>
          </cell>
          <cell r="S1866">
            <v>-1745.38</v>
          </cell>
          <cell r="X1866" t="str">
            <v>Commissions - gross</v>
          </cell>
          <cell r="Y1866" t="str">
            <v>UNITED ARAB EMIRATES</v>
          </cell>
        </row>
        <row r="1867">
          <cell r="L1867" t="str">
            <v>Non-proportional</v>
          </cell>
          <cell r="S1867">
            <v>1.1100000000000001</v>
          </cell>
          <cell r="X1867" t="str">
            <v>Commissions - gross</v>
          </cell>
          <cell r="Y1867" t="str">
            <v>NORWAY</v>
          </cell>
        </row>
        <row r="1868">
          <cell r="L1868" t="str">
            <v>Non-proportional</v>
          </cell>
          <cell r="S1868">
            <v>869.69</v>
          </cell>
          <cell r="X1868" t="str">
            <v>Commissions - gross</v>
          </cell>
          <cell r="Y1868" t="str">
            <v>GERMANY</v>
          </cell>
        </row>
        <row r="1869">
          <cell r="L1869" t="str">
            <v>Non-proportional</v>
          </cell>
          <cell r="S1869">
            <v>699.8</v>
          </cell>
          <cell r="X1869" t="str">
            <v>Commissions - gross</v>
          </cell>
          <cell r="Y1869" t="str">
            <v>AUSTRIA</v>
          </cell>
        </row>
        <row r="1870">
          <cell r="L1870" t="str">
            <v>Non-proportional</v>
          </cell>
          <cell r="S1870">
            <v>720.12</v>
          </cell>
          <cell r="X1870" t="str">
            <v>Commissions - gross</v>
          </cell>
          <cell r="Y1870" t="str">
            <v>DENMARK</v>
          </cell>
        </row>
        <row r="1871">
          <cell r="L1871" t="str">
            <v>Non-proportional</v>
          </cell>
          <cell r="S1871">
            <v>331.31</v>
          </cell>
          <cell r="X1871" t="str">
            <v>Commissions - gross</v>
          </cell>
          <cell r="Y1871" t="str">
            <v>EUROPE</v>
          </cell>
        </row>
        <row r="1872">
          <cell r="L1872" t="str">
            <v>Non-proportional</v>
          </cell>
          <cell r="S1872">
            <v>583.91</v>
          </cell>
          <cell r="X1872" t="str">
            <v>Commissions - gross</v>
          </cell>
          <cell r="Y1872" t="str">
            <v>NORWAY</v>
          </cell>
        </row>
        <row r="1873">
          <cell r="L1873" t="str">
            <v>Non-proportional</v>
          </cell>
          <cell r="S1873">
            <v>2439.6</v>
          </cell>
          <cell r="X1873" t="str">
            <v>Commissions - gross</v>
          </cell>
          <cell r="Y1873" t="str">
            <v>GERMANY</v>
          </cell>
        </row>
        <row r="1874">
          <cell r="L1874" t="str">
            <v>Non-proportional</v>
          </cell>
          <cell r="S1874">
            <v>1460.25</v>
          </cell>
          <cell r="X1874" t="str">
            <v>Commissions - gross</v>
          </cell>
          <cell r="Y1874" t="str">
            <v>GERMANY</v>
          </cell>
        </row>
        <row r="1875">
          <cell r="L1875" t="str">
            <v>Non-proportional</v>
          </cell>
          <cell r="S1875">
            <v>1.58</v>
          </cell>
          <cell r="X1875" t="str">
            <v>Commissions - gross</v>
          </cell>
          <cell r="Y1875" t="str">
            <v>NORWAY</v>
          </cell>
        </row>
        <row r="1876">
          <cell r="L1876" t="str">
            <v>Non-proportional</v>
          </cell>
          <cell r="S1876">
            <v>2041.67</v>
          </cell>
          <cell r="X1876" t="str">
            <v>Commissions - gross</v>
          </cell>
          <cell r="Y1876" t="str">
            <v>GERMANY</v>
          </cell>
        </row>
        <row r="1877">
          <cell r="L1877" t="str">
            <v>Non-proportional</v>
          </cell>
          <cell r="S1877">
            <v>310.79000000000002</v>
          </cell>
          <cell r="X1877" t="str">
            <v>Commissions - gross</v>
          </cell>
          <cell r="Y1877" t="str">
            <v>SWITZERLAND</v>
          </cell>
        </row>
        <row r="1878">
          <cell r="L1878" t="str">
            <v>Non-proportional</v>
          </cell>
          <cell r="S1878">
            <v>445.92</v>
          </cell>
          <cell r="X1878" t="str">
            <v>Commissions - gross</v>
          </cell>
          <cell r="Y1878" t="str">
            <v>DENMARK</v>
          </cell>
        </row>
        <row r="1879">
          <cell r="L1879" t="str">
            <v>Non-proportional</v>
          </cell>
          <cell r="S1879">
            <v>443.98</v>
          </cell>
          <cell r="X1879" t="str">
            <v>Commissions - gross</v>
          </cell>
          <cell r="Y1879" t="str">
            <v>GERMANY</v>
          </cell>
        </row>
        <row r="1880">
          <cell r="L1880" t="str">
            <v>Non-proportional</v>
          </cell>
          <cell r="S1880">
            <v>405.63</v>
          </cell>
          <cell r="X1880" t="str">
            <v>Commissions - gross</v>
          </cell>
          <cell r="Y1880" t="str">
            <v>UNITED KINGDOM</v>
          </cell>
        </row>
        <row r="1881">
          <cell r="L1881" t="str">
            <v>Non-proportional</v>
          </cell>
          <cell r="S1881">
            <v>2137.79</v>
          </cell>
          <cell r="X1881" t="str">
            <v>Commissions - gross</v>
          </cell>
          <cell r="Y1881" t="str">
            <v>SWITZERLAND</v>
          </cell>
        </row>
        <row r="1882">
          <cell r="L1882" t="str">
            <v>Non-proportional</v>
          </cell>
          <cell r="S1882">
            <v>745.46</v>
          </cell>
          <cell r="X1882" t="str">
            <v>Commissions - gross</v>
          </cell>
          <cell r="Y1882" t="str">
            <v>EUROPE</v>
          </cell>
        </row>
        <row r="1883">
          <cell r="L1883" t="str">
            <v>Non-proportional</v>
          </cell>
          <cell r="S1883">
            <v>4251.71</v>
          </cell>
          <cell r="X1883" t="str">
            <v>Commissions - gross</v>
          </cell>
          <cell r="Y1883" t="str">
            <v>UNITED KINGDOM</v>
          </cell>
        </row>
        <row r="1884">
          <cell r="L1884" t="str">
            <v>Non-proportional</v>
          </cell>
          <cell r="S1884">
            <v>-10473.77</v>
          </cell>
          <cell r="X1884" t="str">
            <v>Commissions - gross</v>
          </cell>
          <cell r="Y1884" t="str">
            <v>REPUBLIC OF IRELAND</v>
          </cell>
        </row>
        <row r="1885">
          <cell r="L1885" t="str">
            <v>Non-proportional</v>
          </cell>
          <cell r="S1885">
            <v>4090.35</v>
          </cell>
          <cell r="X1885" t="str">
            <v>Commissions - gross</v>
          </cell>
          <cell r="Y1885" t="str">
            <v>GERMANY</v>
          </cell>
        </row>
        <row r="1886">
          <cell r="L1886" t="str">
            <v>Non-proportional</v>
          </cell>
          <cell r="S1886">
            <v>5207.37</v>
          </cell>
          <cell r="X1886" t="str">
            <v>Commissions - gross</v>
          </cell>
          <cell r="Y1886" t="str">
            <v>UNITED KINGDOM</v>
          </cell>
        </row>
        <row r="1887">
          <cell r="L1887" t="str">
            <v>Non-proportional</v>
          </cell>
          <cell r="S1887">
            <v>1339.97</v>
          </cell>
          <cell r="X1887" t="str">
            <v>Commissions - gross</v>
          </cell>
          <cell r="Y1887" t="str">
            <v>DENMARK</v>
          </cell>
        </row>
        <row r="1888">
          <cell r="L1888" t="str">
            <v>Non-proportional</v>
          </cell>
          <cell r="S1888">
            <v>-4253.78</v>
          </cell>
          <cell r="X1888" t="str">
            <v>Commissions - gross</v>
          </cell>
          <cell r="Y1888" t="str">
            <v>SPAIN</v>
          </cell>
        </row>
        <row r="1889">
          <cell r="L1889" t="str">
            <v>Non-proportional</v>
          </cell>
          <cell r="S1889">
            <v>2871.28</v>
          </cell>
          <cell r="X1889" t="str">
            <v>Commissions - gross</v>
          </cell>
          <cell r="Y1889" t="str">
            <v>UNITED KINGDOM</v>
          </cell>
        </row>
        <row r="1890">
          <cell r="L1890" t="str">
            <v>Non-proportional</v>
          </cell>
          <cell r="S1890">
            <v>308.33999999999997</v>
          </cell>
          <cell r="X1890" t="str">
            <v>Commissions - gross</v>
          </cell>
          <cell r="Y1890" t="str">
            <v>EUROPE</v>
          </cell>
        </row>
        <row r="1891">
          <cell r="L1891" t="str">
            <v>Non-proportional</v>
          </cell>
          <cell r="S1891">
            <v>351.62</v>
          </cell>
          <cell r="X1891" t="str">
            <v>Commissions - gross</v>
          </cell>
          <cell r="Y1891" t="str">
            <v>ICELAND</v>
          </cell>
        </row>
        <row r="1892">
          <cell r="L1892" t="str">
            <v>Non-proportional</v>
          </cell>
          <cell r="S1892">
            <v>2075.86</v>
          </cell>
          <cell r="X1892" t="str">
            <v>Commissions - gross</v>
          </cell>
          <cell r="Y1892" t="str">
            <v>EIRE</v>
          </cell>
        </row>
        <row r="1893">
          <cell r="L1893" t="str">
            <v>Non-proportional</v>
          </cell>
          <cell r="S1893">
            <v>16758.919999999998</v>
          </cell>
          <cell r="X1893" t="str">
            <v>Commissions - gross</v>
          </cell>
          <cell r="Y1893" t="str">
            <v>UNITED KINGDOM</v>
          </cell>
        </row>
        <row r="1894">
          <cell r="L1894" t="str">
            <v>Non-proportional</v>
          </cell>
          <cell r="S1894">
            <v>2094.35</v>
          </cell>
          <cell r="X1894" t="str">
            <v>Commissions - gross</v>
          </cell>
          <cell r="Y1894" t="str">
            <v>UNITED KINGDOM</v>
          </cell>
        </row>
        <row r="1895">
          <cell r="L1895" t="str">
            <v>Non-proportional</v>
          </cell>
          <cell r="S1895">
            <v>1897.38</v>
          </cell>
          <cell r="X1895" t="str">
            <v>Commissions - gross</v>
          </cell>
          <cell r="Y1895" t="str">
            <v>AUSTRIA</v>
          </cell>
        </row>
        <row r="1896">
          <cell r="L1896" t="str">
            <v>Non-proportional</v>
          </cell>
          <cell r="S1896">
            <v>-33936.99</v>
          </cell>
          <cell r="X1896" t="str">
            <v>Commissions - gross</v>
          </cell>
          <cell r="Y1896" t="str">
            <v>UNITED KINGDOM</v>
          </cell>
        </row>
        <row r="1897">
          <cell r="L1897" t="str">
            <v>Non-proportional</v>
          </cell>
          <cell r="S1897">
            <v>288.13</v>
          </cell>
          <cell r="X1897" t="str">
            <v>Commissions - gross</v>
          </cell>
          <cell r="Y1897" t="str">
            <v>UNITED KINGDOM</v>
          </cell>
        </row>
        <row r="1898">
          <cell r="L1898" t="str">
            <v>Non-proportional</v>
          </cell>
          <cell r="S1898">
            <v>360.21</v>
          </cell>
          <cell r="X1898" t="str">
            <v>Commissions - gross</v>
          </cell>
          <cell r="Y1898" t="str">
            <v>FAROE ISLANDS</v>
          </cell>
        </row>
        <row r="1899">
          <cell r="L1899" t="str">
            <v>Non-proportional</v>
          </cell>
          <cell r="S1899">
            <v>750.16</v>
          </cell>
          <cell r="X1899" t="str">
            <v>Commissions - gross</v>
          </cell>
          <cell r="Y1899" t="str">
            <v>GERMANY</v>
          </cell>
        </row>
        <row r="1900">
          <cell r="L1900" t="str">
            <v>Non-proportional</v>
          </cell>
          <cell r="S1900">
            <v>-0.14000000000000001</v>
          </cell>
          <cell r="X1900" t="str">
            <v>Commissions - gross</v>
          </cell>
          <cell r="Y1900" t="str">
            <v>DENMARK</v>
          </cell>
        </row>
        <row r="1901">
          <cell r="L1901" t="str">
            <v>Non-proportional</v>
          </cell>
          <cell r="S1901">
            <v>71.260000000000005</v>
          </cell>
          <cell r="X1901" t="str">
            <v>Commissions - gross</v>
          </cell>
          <cell r="Y1901" t="str">
            <v>JAPAN</v>
          </cell>
        </row>
        <row r="1902">
          <cell r="L1902" t="str">
            <v>Non-proportional</v>
          </cell>
          <cell r="S1902">
            <v>196.23</v>
          </cell>
          <cell r="X1902" t="str">
            <v>Commissions - gross</v>
          </cell>
          <cell r="Y1902" t="str">
            <v>GERMANY</v>
          </cell>
        </row>
        <row r="1903">
          <cell r="L1903" t="str">
            <v>Non-proportional</v>
          </cell>
          <cell r="S1903">
            <v>411.21</v>
          </cell>
          <cell r="X1903" t="str">
            <v>Commissions - gross</v>
          </cell>
          <cell r="Y1903" t="str">
            <v>AUSTRIA</v>
          </cell>
        </row>
        <row r="1904">
          <cell r="L1904" t="str">
            <v>Non-proportional</v>
          </cell>
          <cell r="S1904">
            <v>1233.3800000000001</v>
          </cell>
          <cell r="X1904" t="str">
            <v>Commissions - gross</v>
          </cell>
          <cell r="Y1904" t="str">
            <v>SWEDEN</v>
          </cell>
        </row>
        <row r="1905">
          <cell r="L1905" t="str">
            <v>Non-proportional</v>
          </cell>
          <cell r="S1905">
            <v>427.54</v>
          </cell>
          <cell r="X1905" t="str">
            <v>Commissions - gross</v>
          </cell>
          <cell r="Y1905" t="str">
            <v>GERMANY</v>
          </cell>
        </row>
        <row r="1906">
          <cell r="L1906" t="str">
            <v>Non-proportional</v>
          </cell>
          <cell r="S1906">
            <v>-57216.08</v>
          </cell>
          <cell r="X1906" t="str">
            <v>Commissions - gross</v>
          </cell>
          <cell r="Y1906" t="str">
            <v>UNITED KINGDOM</v>
          </cell>
        </row>
        <row r="1907">
          <cell r="L1907" t="str">
            <v>Non-proportional</v>
          </cell>
          <cell r="S1907">
            <v>760.42</v>
          </cell>
          <cell r="X1907" t="str">
            <v>Commissions - gross</v>
          </cell>
          <cell r="Y1907" t="str">
            <v>GERMANY</v>
          </cell>
        </row>
        <row r="1908">
          <cell r="L1908" t="str">
            <v>Non-proportional</v>
          </cell>
          <cell r="S1908">
            <v>1.07</v>
          </cell>
          <cell r="X1908" t="str">
            <v>Commissions - gross</v>
          </cell>
          <cell r="Y1908" t="str">
            <v>JAPAN</v>
          </cell>
        </row>
        <row r="1909">
          <cell r="L1909" t="str">
            <v>Non-proportional</v>
          </cell>
          <cell r="S1909">
            <v>548.41</v>
          </cell>
          <cell r="X1909" t="str">
            <v>Commissions - gross</v>
          </cell>
          <cell r="Y1909" t="str">
            <v>EUROPE</v>
          </cell>
        </row>
        <row r="1910">
          <cell r="L1910" t="str">
            <v>Non-proportional</v>
          </cell>
          <cell r="S1910">
            <v>361.75</v>
          </cell>
          <cell r="X1910" t="str">
            <v>Commissions - gross</v>
          </cell>
          <cell r="Y1910" t="str">
            <v>FRANCE</v>
          </cell>
        </row>
        <row r="1911">
          <cell r="L1911" t="str">
            <v>Non-proportional</v>
          </cell>
          <cell r="S1911">
            <v>-6445.4</v>
          </cell>
          <cell r="X1911" t="str">
            <v>Commissions - gross</v>
          </cell>
          <cell r="Y1911" t="str">
            <v>REPUBLIC OF IRELAND</v>
          </cell>
        </row>
        <row r="1912">
          <cell r="L1912" t="str">
            <v>Non-proportional</v>
          </cell>
          <cell r="S1912">
            <v>1001.09</v>
          </cell>
          <cell r="X1912" t="str">
            <v>Commissions - gross</v>
          </cell>
          <cell r="Y1912" t="str">
            <v>GERMANY</v>
          </cell>
        </row>
        <row r="1913">
          <cell r="L1913" t="str">
            <v>Non-proportional</v>
          </cell>
          <cell r="S1913">
            <v>2092.4899999999998</v>
          </cell>
          <cell r="X1913" t="str">
            <v>Commissions - gross</v>
          </cell>
          <cell r="Y1913" t="str">
            <v>FRANCE</v>
          </cell>
        </row>
        <row r="1914">
          <cell r="L1914" t="str">
            <v>Non-proportional</v>
          </cell>
          <cell r="S1914">
            <v>27642.21</v>
          </cell>
          <cell r="X1914" t="str">
            <v>Commissions - gross</v>
          </cell>
          <cell r="Y1914" t="str">
            <v>UNITED KINGDOM</v>
          </cell>
        </row>
        <row r="1915">
          <cell r="L1915" t="str">
            <v>Non-proportional</v>
          </cell>
          <cell r="S1915">
            <v>784.31</v>
          </cell>
          <cell r="X1915" t="str">
            <v>Commissions - gross</v>
          </cell>
          <cell r="Y1915" t="str">
            <v>SWITZERLAND</v>
          </cell>
        </row>
        <row r="1916">
          <cell r="L1916" t="str">
            <v>Non-proportional</v>
          </cell>
          <cell r="S1916">
            <v>3900.69</v>
          </cell>
          <cell r="X1916" t="str">
            <v>Commissions - gross</v>
          </cell>
          <cell r="Y1916" t="str">
            <v>UNITED KINGDOM</v>
          </cell>
        </row>
        <row r="1917">
          <cell r="L1917" t="str">
            <v>Non-proportional</v>
          </cell>
          <cell r="S1917">
            <v>5608.5</v>
          </cell>
          <cell r="X1917" t="str">
            <v>Commissions - gross</v>
          </cell>
          <cell r="Y1917" t="str">
            <v>UNITED KINGDOM</v>
          </cell>
        </row>
        <row r="1918">
          <cell r="L1918" t="str">
            <v>Non-proportional</v>
          </cell>
          <cell r="S1918">
            <v>-0.9</v>
          </cell>
          <cell r="X1918" t="str">
            <v>Commissions - gross</v>
          </cell>
          <cell r="Y1918" t="str">
            <v>SWEDEN</v>
          </cell>
        </row>
        <row r="1919">
          <cell r="L1919" t="str">
            <v>Non-proportional</v>
          </cell>
          <cell r="S1919">
            <v>202.43</v>
          </cell>
          <cell r="X1919" t="str">
            <v>Commissions - gross</v>
          </cell>
          <cell r="Y1919" t="str">
            <v>JAPAN</v>
          </cell>
        </row>
        <row r="1920">
          <cell r="L1920" t="str">
            <v>Non-proportional</v>
          </cell>
          <cell r="S1920">
            <v>201.68</v>
          </cell>
          <cell r="X1920" t="str">
            <v>Commissions - gross</v>
          </cell>
          <cell r="Y1920" t="str">
            <v>SWITZERLAND</v>
          </cell>
        </row>
        <row r="1921">
          <cell r="L1921" t="str">
            <v>Non-proportional</v>
          </cell>
          <cell r="S1921">
            <v>87.34</v>
          </cell>
          <cell r="X1921" t="str">
            <v>Commissions - gross</v>
          </cell>
          <cell r="Y1921" t="str">
            <v>GERMANY</v>
          </cell>
        </row>
        <row r="1922">
          <cell r="L1922" t="str">
            <v>Non-proportional</v>
          </cell>
          <cell r="S1922">
            <v>641.66999999999996</v>
          </cell>
          <cell r="X1922" t="str">
            <v>Commissions - gross</v>
          </cell>
          <cell r="Y1922" t="str">
            <v>GERMANY</v>
          </cell>
        </row>
        <row r="1923">
          <cell r="L1923" t="str">
            <v>Non-proportional</v>
          </cell>
          <cell r="S1923">
            <v>89.38</v>
          </cell>
          <cell r="X1923" t="str">
            <v>Commissions - gross</v>
          </cell>
          <cell r="Y1923" t="str">
            <v>DENMARK</v>
          </cell>
        </row>
        <row r="1924">
          <cell r="L1924" t="str">
            <v>Non-proportional</v>
          </cell>
          <cell r="S1924">
            <v>31.37</v>
          </cell>
          <cell r="X1924" t="str">
            <v>Commissions - gross</v>
          </cell>
          <cell r="Y1924" t="str">
            <v>DENMARK</v>
          </cell>
        </row>
        <row r="1925">
          <cell r="L1925" t="str">
            <v>Non-proportional</v>
          </cell>
          <cell r="S1925">
            <v>2014.59</v>
          </cell>
          <cell r="X1925" t="str">
            <v>Commissions - gross</v>
          </cell>
          <cell r="Y1925" t="str">
            <v>UNITED KINGDOM</v>
          </cell>
        </row>
        <row r="1926">
          <cell r="L1926" t="str">
            <v>Non-proportional</v>
          </cell>
          <cell r="S1926">
            <v>796.5</v>
          </cell>
          <cell r="X1926" t="str">
            <v>Commissions - gross</v>
          </cell>
          <cell r="Y1926" t="str">
            <v>GERMANY</v>
          </cell>
        </row>
        <row r="1927">
          <cell r="L1927" t="str">
            <v>Non-proportional</v>
          </cell>
          <cell r="S1927">
            <v>1880.73</v>
          </cell>
          <cell r="X1927" t="str">
            <v>Commissions - gross</v>
          </cell>
          <cell r="Y1927" t="str">
            <v>REPUBLIC OF IRELAND</v>
          </cell>
        </row>
        <row r="1928">
          <cell r="L1928" t="str">
            <v>Non-proportional</v>
          </cell>
          <cell r="S1928">
            <v>5776.54</v>
          </cell>
          <cell r="X1928" t="str">
            <v>Commissions - gross</v>
          </cell>
          <cell r="Y1928" t="str">
            <v>UNITED KINGDOM</v>
          </cell>
        </row>
        <row r="1929">
          <cell r="L1929" t="str">
            <v>Non-proportional</v>
          </cell>
          <cell r="S1929">
            <v>78.17</v>
          </cell>
          <cell r="X1929" t="str">
            <v>Commissions - gross</v>
          </cell>
          <cell r="Y1929" t="str">
            <v>DENMARK</v>
          </cell>
        </row>
        <row r="1930">
          <cell r="L1930" t="str">
            <v>Non-proportional</v>
          </cell>
          <cell r="S1930">
            <v>368.75</v>
          </cell>
          <cell r="X1930" t="str">
            <v>Commissions - gross</v>
          </cell>
          <cell r="Y1930" t="str">
            <v>GERMANY</v>
          </cell>
        </row>
        <row r="1931">
          <cell r="L1931" t="str">
            <v>Non-proportional</v>
          </cell>
          <cell r="S1931">
            <v>1611.28</v>
          </cell>
          <cell r="X1931" t="str">
            <v>Commissions - gross</v>
          </cell>
          <cell r="Y1931" t="str">
            <v>EUROPE</v>
          </cell>
        </row>
        <row r="1932">
          <cell r="L1932" t="str">
            <v>Non-proportional</v>
          </cell>
          <cell r="S1932">
            <v>-14904.98</v>
          </cell>
          <cell r="X1932" t="str">
            <v>Commissions - gross</v>
          </cell>
          <cell r="Y1932" t="str">
            <v>REPUBLIC OF IRELAND</v>
          </cell>
        </row>
        <row r="1933">
          <cell r="L1933" t="str">
            <v>Non-proportional</v>
          </cell>
          <cell r="S1933">
            <v>690.42</v>
          </cell>
          <cell r="X1933" t="str">
            <v>Commissions - gross</v>
          </cell>
          <cell r="Y1933" t="str">
            <v>FRANCE</v>
          </cell>
        </row>
        <row r="1934">
          <cell r="L1934" t="str">
            <v>Non-proportional</v>
          </cell>
          <cell r="S1934">
            <v>832.28</v>
          </cell>
          <cell r="X1934" t="str">
            <v>Commissions - gross</v>
          </cell>
          <cell r="Y1934" t="str">
            <v>GERMANY</v>
          </cell>
        </row>
        <row r="1935">
          <cell r="L1935" t="str">
            <v>Non-proportional</v>
          </cell>
          <cell r="S1935">
            <v>27.07</v>
          </cell>
          <cell r="X1935" t="str">
            <v>Commissions - gross</v>
          </cell>
          <cell r="Y1935" t="str">
            <v>ITALY</v>
          </cell>
        </row>
        <row r="1936">
          <cell r="L1936" t="str">
            <v>Non-proportional</v>
          </cell>
          <cell r="S1936">
            <v>694.68</v>
          </cell>
          <cell r="X1936" t="str">
            <v>Commissions - gross</v>
          </cell>
          <cell r="Y1936" t="str">
            <v>UNITED KINGDOM</v>
          </cell>
        </row>
        <row r="1937">
          <cell r="L1937" t="str">
            <v>Non-proportional</v>
          </cell>
          <cell r="S1937">
            <v>883.77</v>
          </cell>
          <cell r="X1937" t="str">
            <v>Commissions - gross</v>
          </cell>
          <cell r="Y1937" t="str">
            <v>GERMANY</v>
          </cell>
        </row>
        <row r="1938">
          <cell r="L1938" t="str">
            <v>Non-proportional</v>
          </cell>
          <cell r="S1938">
            <v>847.55</v>
          </cell>
          <cell r="X1938" t="str">
            <v>Commissions - gross</v>
          </cell>
          <cell r="Y1938" t="str">
            <v>EUROPE</v>
          </cell>
        </row>
        <row r="1939">
          <cell r="L1939" t="str">
            <v>Non-proportional</v>
          </cell>
          <cell r="S1939">
            <v>616.74</v>
          </cell>
          <cell r="X1939" t="str">
            <v>Commissions - gross</v>
          </cell>
          <cell r="Y1939" t="str">
            <v>SWEDEN</v>
          </cell>
        </row>
        <row r="1940">
          <cell r="L1940" t="str">
            <v>Non-proportional</v>
          </cell>
          <cell r="S1940">
            <v>4130.1400000000003</v>
          </cell>
          <cell r="X1940" t="str">
            <v>Commissions - gross</v>
          </cell>
          <cell r="Y1940" t="str">
            <v>UNITED KINGDOM</v>
          </cell>
        </row>
        <row r="1941">
          <cell r="L1941" t="str">
            <v>Non-proportional</v>
          </cell>
          <cell r="S1941">
            <v>1760.9</v>
          </cell>
          <cell r="X1941" t="str">
            <v>Commissions - gross</v>
          </cell>
          <cell r="Y1941" t="str">
            <v>AUSTRIA</v>
          </cell>
        </row>
        <row r="1942">
          <cell r="L1942" t="str">
            <v>Non-proportional</v>
          </cell>
          <cell r="S1942">
            <v>1020.94</v>
          </cell>
          <cell r="X1942" t="str">
            <v>Commissions - gross</v>
          </cell>
          <cell r="Y1942" t="str">
            <v>GERMANY</v>
          </cell>
        </row>
        <row r="1943">
          <cell r="L1943" t="str">
            <v>Non-proportional</v>
          </cell>
          <cell r="S1943">
            <v>-8593.75</v>
          </cell>
          <cell r="X1943" t="str">
            <v>Commissions - gross</v>
          </cell>
          <cell r="Y1943" t="str">
            <v>ROMANIA</v>
          </cell>
        </row>
        <row r="1944">
          <cell r="L1944" t="str">
            <v>Non-proportional</v>
          </cell>
          <cell r="S1944">
            <v>5.48</v>
          </cell>
          <cell r="X1944" t="str">
            <v>Commissions - gross</v>
          </cell>
          <cell r="Y1944" t="str">
            <v>FRANCE</v>
          </cell>
        </row>
        <row r="1945">
          <cell r="L1945" t="str">
            <v>Non-proportional</v>
          </cell>
          <cell r="S1945">
            <v>263.73</v>
          </cell>
          <cell r="X1945" t="str">
            <v>Commissions - gross</v>
          </cell>
          <cell r="Y1945" t="str">
            <v>GERMANY</v>
          </cell>
        </row>
        <row r="1946">
          <cell r="L1946" t="str">
            <v>Non-proportional</v>
          </cell>
          <cell r="S1946">
            <v>1185.57</v>
          </cell>
          <cell r="X1946" t="str">
            <v>Commissions - gross</v>
          </cell>
          <cell r="Y1946" t="str">
            <v>UNITED KINGDOM</v>
          </cell>
        </row>
        <row r="1947">
          <cell r="L1947" t="str">
            <v>Non-proportional</v>
          </cell>
          <cell r="S1947">
            <v>250.06</v>
          </cell>
          <cell r="X1947" t="str">
            <v>Commissions - gross</v>
          </cell>
          <cell r="Y1947" t="str">
            <v>GERMANY</v>
          </cell>
        </row>
        <row r="1948">
          <cell r="L1948" t="str">
            <v>Non-proportional</v>
          </cell>
          <cell r="S1948">
            <v>150.91</v>
          </cell>
          <cell r="X1948" t="str">
            <v>Commissions - gross</v>
          </cell>
          <cell r="Y1948" t="str">
            <v>GERMANY</v>
          </cell>
        </row>
        <row r="1949">
          <cell r="L1949" t="str">
            <v>Non-proportional</v>
          </cell>
          <cell r="S1949">
            <v>500.58</v>
          </cell>
          <cell r="X1949" t="str">
            <v>Commissions - gross</v>
          </cell>
          <cell r="Y1949" t="str">
            <v>FRANCE</v>
          </cell>
        </row>
        <row r="1950">
          <cell r="L1950" t="str">
            <v>Non-proportional</v>
          </cell>
          <cell r="S1950">
            <v>125.19</v>
          </cell>
          <cell r="X1950" t="str">
            <v>Commissions - gross</v>
          </cell>
          <cell r="Y1950" t="str">
            <v>UNITED KINGDOM</v>
          </cell>
        </row>
        <row r="1951">
          <cell r="L1951" t="str">
            <v>Non-proportional</v>
          </cell>
          <cell r="S1951">
            <v>133.96</v>
          </cell>
          <cell r="X1951" t="str">
            <v>Commissions - gross</v>
          </cell>
          <cell r="Y1951" t="str">
            <v>DENMARK</v>
          </cell>
        </row>
        <row r="1952">
          <cell r="L1952" t="str">
            <v>Non-proportional</v>
          </cell>
          <cell r="S1952">
            <v>884.49</v>
          </cell>
          <cell r="X1952" t="str">
            <v>Commissions - gross</v>
          </cell>
          <cell r="Y1952" t="str">
            <v>GERMANY</v>
          </cell>
        </row>
        <row r="1953">
          <cell r="L1953" t="str">
            <v>Non-proportional</v>
          </cell>
          <cell r="S1953">
            <v>2077.06</v>
          </cell>
          <cell r="X1953" t="str">
            <v>Commissions - gross</v>
          </cell>
          <cell r="Y1953" t="str">
            <v>FRANCE</v>
          </cell>
        </row>
        <row r="1954">
          <cell r="L1954" t="str">
            <v>Non-proportional</v>
          </cell>
          <cell r="S1954">
            <v>595.21</v>
          </cell>
          <cell r="X1954" t="str">
            <v>Commissions - gross</v>
          </cell>
          <cell r="Y1954" t="str">
            <v>UNITED KINGDOM</v>
          </cell>
        </row>
        <row r="1955">
          <cell r="L1955" t="str">
            <v>Non-proportional</v>
          </cell>
          <cell r="S1955">
            <v>3959.71</v>
          </cell>
          <cell r="X1955" t="str">
            <v>Commissions - gross</v>
          </cell>
          <cell r="Y1955" t="str">
            <v>UNITED KINGDOM</v>
          </cell>
        </row>
        <row r="1956">
          <cell r="L1956" t="str">
            <v>Non-proportional</v>
          </cell>
          <cell r="S1956">
            <v>2385.42</v>
          </cell>
          <cell r="X1956" t="str">
            <v>Commissions - gross</v>
          </cell>
          <cell r="Y1956" t="str">
            <v>AUSTRIA</v>
          </cell>
        </row>
        <row r="1957">
          <cell r="L1957" t="str">
            <v>Non-proportional</v>
          </cell>
          <cell r="S1957">
            <v>4268.07</v>
          </cell>
          <cell r="X1957" t="str">
            <v>Commissions - gross</v>
          </cell>
          <cell r="Y1957" t="str">
            <v>UNITED KINGDOM</v>
          </cell>
        </row>
        <row r="1958">
          <cell r="L1958" t="str">
            <v>Non-proportional</v>
          </cell>
          <cell r="S1958">
            <v>31464.52</v>
          </cell>
          <cell r="X1958" t="str">
            <v>Commissions - gross</v>
          </cell>
          <cell r="Y1958" t="str">
            <v>UNITED KINGDOM</v>
          </cell>
        </row>
        <row r="1959">
          <cell r="L1959" t="str">
            <v>Non-proportional</v>
          </cell>
          <cell r="S1959">
            <v>1147.27</v>
          </cell>
          <cell r="X1959" t="str">
            <v>Commissions - gross</v>
          </cell>
          <cell r="Y1959" t="str">
            <v>UNITED KINGDOM</v>
          </cell>
        </row>
        <row r="1960">
          <cell r="L1960" t="str">
            <v>Non-proportional</v>
          </cell>
          <cell r="S1960">
            <v>2751.1</v>
          </cell>
          <cell r="X1960" t="str">
            <v>Commissions - gross</v>
          </cell>
          <cell r="Y1960" t="str">
            <v>UNITED KINGDOM</v>
          </cell>
        </row>
        <row r="1961">
          <cell r="L1961" t="str">
            <v>Non-proportional</v>
          </cell>
          <cell r="S1961">
            <v>2601.04</v>
          </cell>
          <cell r="X1961" t="str">
            <v>Commissions - gross</v>
          </cell>
          <cell r="Y1961" t="str">
            <v>UNITED KINGDOM</v>
          </cell>
        </row>
        <row r="1962">
          <cell r="L1962" t="str">
            <v>Non-proportional</v>
          </cell>
          <cell r="S1962">
            <v>-0.3</v>
          </cell>
          <cell r="X1962" t="str">
            <v>Commissions - gross</v>
          </cell>
          <cell r="Y1962" t="str">
            <v>DENMARK</v>
          </cell>
        </row>
        <row r="1963">
          <cell r="L1963" t="str">
            <v>Non-proportional</v>
          </cell>
          <cell r="S1963">
            <v>836.96</v>
          </cell>
          <cell r="X1963" t="str">
            <v>Commissions - gross</v>
          </cell>
          <cell r="Y1963" t="str">
            <v>GERMANY</v>
          </cell>
        </row>
        <row r="1964">
          <cell r="L1964" t="str">
            <v>Non-proportional</v>
          </cell>
          <cell r="S1964">
            <v>-0.34</v>
          </cell>
          <cell r="X1964" t="str">
            <v>Commissions - gross</v>
          </cell>
          <cell r="Y1964" t="str">
            <v>DENMARK</v>
          </cell>
        </row>
        <row r="1965">
          <cell r="L1965" t="str">
            <v>Proportional</v>
          </cell>
          <cell r="S1965">
            <v>-7617.84</v>
          </cell>
          <cell r="X1965" t="str">
            <v>Commissions - gross</v>
          </cell>
          <cell r="Y1965" t="str">
            <v>UNITED STATES</v>
          </cell>
        </row>
        <row r="1966">
          <cell r="L1966" t="str">
            <v>Non-proportional</v>
          </cell>
          <cell r="S1966">
            <v>113.03</v>
          </cell>
          <cell r="X1966" t="str">
            <v>Commissions - gross</v>
          </cell>
          <cell r="Y1966" t="str">
            <v>UNITED KINGDOM</v>
          </cell>
        </row>
        <row r="1967">
          <cell r="L1967" t="str">
            <v>Non-proportional</v>
          </cell>
          <cell r="S1967">
            <v>376.78</v>
          </cell>
          <cell r="X1967" t="str">
            <v>Commissions - gross</v>
          </cell>
          <cell r="Y1967" t="str">
            <v>UNITED KINGDOM</v>
          </cell>
        </row>
        <row r="1968">
          <cell r="L1968" t="str">
            <v>Non-proportional</v>
          </cell>
          <cell r="S1968">
            <v>343.7</v>
          </cell>
          <cell r="X1968" t="str">
            <v>Commissions - gross</v>
          </cell>
          <cell r="Y1968" t="str">
            <v>EUROPE</v>
          </cell>
        </row>
        <row r="1969">
          <cell r="L1969" t="str">
            <v>Non-proportional</v>
          </cell>
          <cell r="S1969">
            <v>108.88</v>
          </cell>
          <cell r="X1969" t="str">
            <v>Commissions - gross</v>
          </cell>
          <cell r="Y1969" t="str">
            <v>DENMARK</v>
          </cell>
        </row>
        <row r="1970">
          <cell r="L1970" t="str">
            <v>Non-proportional</v>
          </cell>
          <cell r="S1970">
            <v>633.51</v>
          </cell>
          <cell r="X1970" t="str">
            <v>Commissions - gross</v>
          </cell>
          <cell r="Y1970" t="str">
            <v>GERMANY</v>
          </cell>
        </row>
        <row r="1971">
          <cell r="L1971" t="str">
            <v>Non-proportional</v>
          </cell>
          <cell r="S1971">
            <v>157.9</v>
          </cell>
          <cell r="X1971" t="str">
            <v>Commissions - gross</v>
          </cell>
          <cell r="Y1971" t="str">
            <v>JAPAN</v>
          </cell>
        </row>
        <row r="1972">
          <cell r="L1972" t="str">
            <v>Non-proportional</v>
          </cell>
          <cell r="S1972">
            <v>1883.74</v>
          </cell>
          <cell r="X1972" t="str">
            <v>Commissions - gross</v>
          </cell>
          <cell r="Y1972" t="str">
            <v>SWEDEN</v>
          </cell>
        </row>
        <row r="1973">
          <cell r="L1973" t="str">
            <v>Non-proportional</v>
          </cell>
          <cell r="S1973">
            <v>842.33</v>
          </cell>
          <cell r="X1973" t="str">
            <v>Commissions - gross</v>
          </cell>
          <cell r="Y1973" t="str">
            <v>ITALY</v>
          </cell>
        </row>
        <row r="1974">
          <cell r="L1974" t="str">
            <v>Non-proportional</v>
          </cell>
          <cell r="S1974">
            <v>112.5</v>
          </cell>
          <cell r="X1974" t="str">
            <v>Commissions - gross</v>
          </cell>
          <cell r="Y1974" t="str">
            <v>GERMANY</v>
          </cell>
        </row>
        <row r="1975">
          <cell r="L1975" t="str">
            <v>Non-proportional</v>
          </cell>
          <cell r="S1975">
            <v>1304.1300000000001</v>
          </cell>
          <cell r="X1975" t="str">
            <v>Commissions - gross</v>
          </cell>
          <cell r="Y1975" t="str">
            <v>UNITED KINGDOM</v>
          </cell>
        </row>
        <row r="1976">
          <cell r="L1976" t="str">
            <v>Non-proportional</v>
          </cell>
          <cell r="S1976">
            <v>999.97</v>
          </cell>
          <cell r="X1976" t="str">
            <v>Commissions - gross</v>
          </cell>
          <cell r="Y1976" t="str">
            <v>GERMANY</v>
          </cell>
        </row>
        <row r="1977">
          <cell r="L1977" t="str">
            <v>Non-proportional</v>
          </cell>
          <cell r="S1977">
            <v>849.45</v>
          </cell>
          <cell r="X1977" t="str">
            <v>Commissions - gross</v>
          </cell>
          <cell r="Y1977" t="str">
            <v>GERMANY</v>
          </cell>
        </row>
        <row r="1978">
          <cell r="L1978" t="str">
            <v>Non-proportional</v>
          </cell>
          <cell r="S1978">
            <v>812.5</v>
          </cell>
          <cell r="X1978" t="str">
            <v>Commissions - gross</v>
          </cell>
          <cell r="Y1978" t="str">
            <v>CZECH REPUBLIC</v>
          </cell>
        </row>
        <row r="1979">
          <cell r="L1979" t="str">
            <v>Non-proportional</v>
          </cell>
          <cell r="S1979">
            <v>1098.9100000000001</v>
          </cell>
          <cell r="X1979" t="str">
            <v>Commissions - gross</v>
          </cell>
          <cell r="Y1979" t="str">
            <v>SWEDEN</v>
          </cell>
        </row>
        <row r="1980">
          <cell r="L1980" t="str">
            <v>Non-proportional</v>
          </cell>
          <cell r="S1980">
            <v>912.9</v>
          </cell>
          <cell r="X1980" t="str">
            <v>Commissions - gross</v>
          </cell>
          <cell r="Y1980" t="str">
            <v>GERMANY</v>
          </cell>
        </row>
        <row r="1981">
          <cell r="L1981" t="str">
            <v>Non-proportional</v>
          </cell>
          <cell r="S1981">
            <v>2270.6799999999998</v>
          </cell>
          <cell r="X1981" t="str">
            <v>Commissions - gross</v>
          </cell>
          <cell r="Y1981" t="str">
            <v>UNITED KINGDOM</v>
          </cell>
        </row>
        <row r="1982">
          <cell r="L1982" t="str">
            <v>Non-proportional</v>
          </cell>
          <cell r="S1982">
            <v>206.53</v>
          </cell>
          <cell r="X1982" t="str">
            <v>Commissions - gross</v>
          </cell>
          <cell r="Y1982" t="str">
            <v>EUROPE</v>
          </cell>
        </row>
        <row r="1983">
          <cell r="L1983" t="str">
            <v>Non-proportional</v>
          </cell>
          <cell r="S1983">
            <v>-15111.17</v>
          </cell>
          <cell r="X1983" t="str">
            <v>Commissions - gross</v>
          </cell>
          <cell r="Y1983" t="str">
            <v>UNITED KINGDOM</v>
          </cell>
        </row>
        <row r="1984">
          <cell r="L1984" t="str">
            <v>Non-proportional</v>
          </cell>
          <cell r="S1984">
            <v>1890</v>
          </cell>
          <cell r="X1984" t="str">
            <v>Commissions - gross</v>
          </cell>
          <cell r="Y1984" t="str">
            <v>ROMANIA</v>
          </cell>
        </row>
        <row r="1985">
          <cell r="L1985" t="str">
            <v>Non-proportional</v>
          </cell>
          <cell r="S1985">
            <v>1405.83</v>
          </cell>
          <cell r="X1985" t="str">
            <v>Commissions - gross</v>
          </cell>
          <cell r="Y1985" t="str">
            <v>EIRE</v>
          </cell>
        </row>
        <row r="1986">
          <cell r="L1986" t="str">
            <v>Non-proportional</v>
          </cell>
          <cell r="S1986">
            <v>558.63</v>
          </cell>
          <cell r="X1986" t="str">
            <v>Commissions - gross</v>
          </cell>
          <cell r="Y1986" t="str">
            <v>GERMANY</v>
          </cell>
        </row>
        <row r="1987">
          <cell r="L1987" t="str">
            <v>Non-proportional</v>
          </cell>
          <cell r="S1987">
            <v>339.1</v>
          </cell>
          <cell r="X1987" t="str">
            <v>Commissions - gross</v>
          </cell>
          <cell r="Y1987" t="str">
            <v>UNITED KINGDOM</v>
          </cell>
        </row>
        <row r="1988">
          <cell r="L1988" t="str">
            <v>Non-proportional</v>
          </cell>
          <cell r="S1988">
            <v>391.69</v>
          </cell>
          <cell r="X1988" t="str">
            <v>Commissions - gross</v>
          </cell>
          <cell r="Y1988" t="str">
            <v>UNITED KINGDOM</v>
          </cell>
        </row>
        <row r="1989">
          <cell r="L1989" t="str">
            <v>Non-proportional</v>
          </cell>
          <cell r="S1989">
            <v>618.16999999999996</v>
          </cell>
          <cell r="X1989" t="str">
            <v>Commissions - gross</v>
          </cell>
          <cell r="Y1989" t="str">
            <v>SPAIN</v>
          </cell>
        </row>
        <row r="1990">
          <cell r="L1990" t="str">
            <v>Non-proportional</v>
          </cell>
          <cell r="S1990">
            <v>2709.27</v>
          </cell>
          <cell r="X1990" t="str">
            <v>Commissions - gross</v>
          </cell>
          <cell r="Y1990" t="str">
            <v>UNITED KINGDOM</v>
          </cell>
        </row>
        <row r="1991">
          <cell r="L1991" t="str">
            <v>Non-proportional</v>
          </cell>
          <cell r="S1991">
            <v>190.68</v>
          </cell>
          <cell r="X1991" t="str">
            <v>Commissions - gross</v>
          </cell>
          <cell r="Y1991" t="str">
            <v>JAPAN</v>
          </cell>
        </row>
        <row r="1992">
          <cell r="L1992" t="str">
            <v>Non-proportional</v>
          </cell>
          <cell r="S1992">
            <v>-6141.73</v>
          </cell>
          <cell r="X1992" t="str">
            <v>Commissions - gross</v>
          </cell>
          <cell r="Y1992" t="str">
            <v>DENMARK</v>
          </cell>
        </row>
        <row r="1993">
          <cell r="L1993" t="str">
            <v>Non-proportional</v>
          </cell>
          <cell r="S1993">
            <v>2000.25</v>
          </cell>
          <cell r="X1993" t="str">
            <v>Commissions - gross</v>
          </cell>
          <cell r="Y1993" t="str">
            <v>CZECH REPUBLIC</v>
          </cell>
        </row>
        <row r="1994">
          <cell r="L1994" t="str">
            <v>Non-proportional</v>
          </cell>
          <cell r="S1994">
            <v>326.25</v>
          </cell>
          <cell r="X1994" t="str">
            <v>Commissions - gross</v>
          </cell>
          <cell r="Y1994" t="str">
            <v>ROMANIA</v>
          </cell>
        </row>
        <row r="1995">
          <cell r="L1995" t="str">
            <v>Proportional</v>
          </cell>
          <cell r="S1995">
            <v>-7972</v>
          </cell>
          <cell r="X1995" t="str">
            <v>Commissions - gross</v>
          </cell>
          <cell r="Y1995" t="str">
            <v>EUROPE</v>
          </cell>
        </row>
        <row r="1996">
          <cell r="L1996" t="str">
            <v>Non-proportional</v>
          </cell>
          <cell r="S1996">
            <v>110.8</v>
          </cell>
          <cell r="X1996" t="str">
            <v>Commissions - gross</v>
          </cell>
          <cell r="Y1996" t="str">
            <v>AUSTRIA</v>
          </cell>
        </row>
        <row r="1997">
          <cell r="L1997" t="str">
            <v>Non-proportional</v>
          </cell>
          <cell r="S1997">
            <v>1242.43</v>
          </cell>
          <cell r="X1997" t="str">
            <v>Commissions - gross</v>
          </cell>
          <cell r="Y1997" t="str">
            <v>EUROPE</v>
          </cell>
        </row>
        <row r="1998">
          <cell r="L1998" t="str">
            <v>Non-proportional</v>
          </cell>
          <cell r="S1998">
            <v>-4186.88</v>
          </cell>
          <cell r="X1998" t="str">
            <v>Commissions - gross</v>
          </cell>
          <cell r="Y1998" t="str">
            <v>ROMANIA</v>
          </cell>
        </row>
        <row r="1999">
          <cell r="L1999" t="str">
            <v>Non-proportional</v>
          </cell>
          <cell r="S1999">
            <v>730.63</v>
          </cell>
          <cell r="X1999" t="str">
            <v>Commissions - gross</v>
          </cell>
          <cell r="Y1999" t="str">
            <v>FAROE ISLANDS</v>
          </cell>
        </row>
        <row r="2000">
          <cell r="L2000" t="str">
            <v>Non-proportional</v>
          </cell>
          <cell r="S2000">
            <v>1652.64</v>
          </cell>
          <cell r="X2000" t="str">
            <v>Commissions - gross</v>
          </cell>
          <cell r="Y2000" t="str">
            <v>SWITZERLAND</v>
          </cell>
        </row>
        <row r="2001">
          <cell r="L2001" t="str">
            <v>Non-proportional</v>
          </cell>
          <cell r="S2001">
            <v>1214.01</v>
          </cell>
          <cell r="X2001" t="str">
            <v>Commissions - gross</v>
          </cell>
          <cell r="Y2001" t="str">
            <v>UNITED KINGDOM</v>
          </cell>
        </row>
        <row r="2002">
          <cell r="L2002" t="str">
            <v>Non-proportional</v>
          </cell>
          <cell r="S2002">
            <v>-1708.93</v>
          </cell>
          <cell r="X2002" t="str">
            <v>Commissions - gross</v>
          </cell>
          <cell r="Y2002" t="str">
            <v>REPUBLIC OF IRELAND</v>
          </cell>
        </row>
        <row r="2003">
          <cell r="L2003" t="str">
            <v>Non-proportional</v>
          </cell>
          <cell r="S2003">
            <v>819.11</v>
          </cell>
          <cell r="X2003" t="str">
            <v>Commissions - gross</v>
          </cell>
          <cell r="Y2003" t="str">
            <v>POLAND</v>
          </cell>
        </row>
        <row r="2004">
          <cell r="L2004" t="str">
            <v>Non-proportional</v>
          </cell>
          <cell r="S2004">
            <v>1207.49</v>
          </cell>
          <cell r="X2004" t="str">
            <v>Commissions - gross</v>
          </cell>
          <cell r="Y2004" t="str">
            <v>FRANCE</v>
          </cell>
        </row>
        <row r="2005">
          <cell r="L2005" t="str">
            <v>Non-proportional</v>
          </cell>
          <cell r="S2005">
            <v>3372.64</v>
          </cell>
          <cell r="X2005" t="str">
            <v>Commissions - gross</v>
          </cell>
          <cell r="Y2005" t="str">
            <v>FRANCE</v>
          </cell>
        </row>
        <row r="2006">
          <cell r="L2006" t="str">
            <v>Non-proportional</v>
          </cell>
          <cell r="S2006">
            <v>1148.45</v>
          </cell>
          <cell r="X2006" t="str">
            <v>Commissions - gross</v>
          </cell>
          <cell r="Y2006" t="str">
            <v>SWITZERLAND</v>
          </cell>
        </row>
        <row r="2007">
          <cell r="L2007" t="str">
            <v>Non-proportional</v>
          </cell>
          <cell r="S2007">
            <v>1106.26</v>
          </cell>
          <cell r="X2007" t="str">
            <v>Commissions - gross</v>
          </cell>
          <cell r="Y2007" t="str">
            <v>DENMARK</v>
          </cell>
        </row>
        <row r="2008">
          <cell r="L2008" t="str">
            <v>Non-proportional</v>
          </cell>
          <cell r="S2008">
            <v>75</v>
          </cell>
          <cell r="X2008" t="str">
            <v>Commissions - gross</v>
          </cell>
          <cell r="Y2008" t="str">
            <v>GERMANY</v>
          </cell>
        </row>
        <row r="2009">
          <cell r="L2009" t="str">
            <v>Non-proportional</v>
          </cell>
          <cell r="S2009">
            <v>6495.3</v>
          </cell>
          <cell r="X2009" t="str">
            <v>Commissions - gross</v>
          </cell>
          <cell r="Y2009" t="str">
            <v>REPUBLIC OF IRELAND</v>
          </cell>
        </row>
        <row r="2010">
          <cell r="L2010" t="str">
            <v>Non-proportional</v>
          </cell>
          <cell r="S2010">
            <v>11.78</v>
          </cell>
          <cell r="X2010" t="str">
            <v>Commissions - gross</v>
          </cell>
          <cell r="Y2010" t="str">
            <v>FRANCE</v>
          </cell>
        </row>
        <row r="2011">
          <cell r="L2011" t="str">
            <v>Non-proportional</v>
          </cell>
          <cell r="S2011">
            <v>3496.21</v>
          </cell>
          <cell r="X2011" t="str">
            <v>Commissions - gross</v>
          </cell>
          <cell r="Y2011" t="str">
            <v>UNITED KINGDOM</v>
          </cell>
        </row>
        <row r="2012">
          <cell r="L2012" t="str">
            <v>Non-proportional</v>
          </cell>
          <cell r="S2012">
            <v>71.84</v>
          </cell>
          <cell r="X2012" t="str">
            <v>Commissions - gross</v>
          </cell>
          <cell r="Y2012" t="str">
            <v>ITALY</v>
          </cell>
        </row>
        <row r="2013">
          <cell r="L2013" t="str">
            <v>Non-proportional</v>
          </cell>
          <cell r="S2013">
            <v>-603.15</v>
          </cell>
          <cell r="X2013" t="str">
            <v>Commissions - gross</v>
          </cell>
          <cell r="Y2013" t="str">
            <v>REPUBLIC OF IRELAND</v>
          </cell>
        </row>
        <row r="2014">
          <cell r="L2014" t="str">
            <v>Non-proportional</v>
          </cell>
          <cell r="S2014">
            <v>333.34</v>
          </cell>
          <cell r="X2014" t="str">
            <v>Commissions - gross</v>
          </cell>
          <cell r="Y2014" t="str">
            <v>ITALY</v>
          </cell>
        </row>
        <row r="2015">
          <cell r="L2015" t="str">
            <v>Non-proportional</v>
          </cell>
          <cell r="S2015">
            <v>127.94</v>
          </cell>
          <cell r="X2015" t="str">
            <v>Commissions - gross</v>
          </cell>
          <cell r="Y2015" t="str">
            <v>FRANCE</v>
          </cell>
        </row>
        <row r="2016">
          <cell r="L2016" t="str">
            <v>Non-proportional</v>
          </cell>
          <cell r="S2016">
            <v>-0.28000000000000003</v>
          </cell>
          <cell r="X2016" t="str">
            <v>Commissions - gross</v>
          </cell>
          <cell r="Y2016" t="str">
            <v>DENMARK</v>
          </cell>
        </row>
        <row r="2017">
          <cell r="L2017" t="str">
            <v>Non-proportional</v>
          </cell>
          <cell r="S2017">
            <v>85</v>
          </cell>
          <cell r="X2017" t="str">
            <v>Commissions - gross</v>
          </cell>
          <cell r="Y2017" t="str">
            <v>JAPAN</v>
          </cell>
        </row>
        <row r="2018">
          <cell r="L2018" t="str">
            <v>Non-proportional</v>
          </cell>
          <cell r="S2018">
            <v>86.56</v>
          </cell>
          <cell r="X2018" t="str">
            <v>Commissions - gross</v>
          </cell>
          <cell r="Y2018" t="str">
            <v>ITALY</v>
          </cell>
        </row>
        <row r="2019">
          <cell r="L2019" t="str">
            <v>Non-proportional</v>
          </cell>
          <cell r="S2019">
            <v>112.23</v>
          </cell>
          <cell r="X2019" t="str">
            <v>Commissions - gross</v>
          </cell>
          <cell r="Y2019" t="str">
            <v>ITALY</v>
          </cell>
        </row>
        <row r="2020">
          <cell r="L2020" t="str">
            <v>Non-proportional</v>
          </cell>
          <cell r="S2020">
            <v>-13495.2</v>
          </cell>
          <cell r="X2020" t="str">
            <v>Commissions - gross</v>
          </cell>
          <cell r="Y2020" t="str">
            <v>GERMANY</v>
          </cell>
        </row>
        <row r="2021">
          <cell r="L2021" t="str">
            <v>Proportional</v>
          </cell>
          <cell r="S2021">
            <v>-3271.32</v>
          </cell>
          <cell r="X2021" t="str">
            <v>Commissions - gross</v>
          </cell>
          <cell r="Y2021" t="str">
            <v>UNITED STATES</v>
          </cell>
        </row>
        <row r="2022">
          <cell r="L2022" t="str">
            <v>Non-proportional</v>
          </cell>
          <cell r="S2022">
            <v>687.19</v>
          </cell>
          <cell r="X2022" t="str">
            <v>Commissions - gross</v>
          </cell>
          <cell r="Y2022" t="str">
            <v>GERMANY</v>
          </cell>
        </row>
        <row r="2023">
          <cell r="L2023" t="str">
            <v>Non-proportional</v>
          </cell>
          <cell r="S2023">
            <v>580.76</v>
          </cell>
          <cell r="X2023" t="str">
            <v>Commissions - gross</v>
          </cell>
          <cell r="Y2023" t="str">
            <v>DENMARK</v>
          </cell>
        </row>
        <row r="2024">
          <cell r="L2024" t="str">
            <v>Non-proportional</v>
          </cell>
          <cell r="S2024">
            <v>1182.55</v>
          </cell>
          <cell r="X2024" t="str">
            <v>Commissions - gross</v>
          </cell>
          <cell r="Y2024" t="str">
            <v>AUSTRIA</v>
          </cell>
        </row>
        <row r="2025">
          <cell r="L2025" t="str">
            <v>Non-proportional</v>
          </cell>
          <cell r="S2025">
            <v>-2635.19</v>
          </cell>
          <cell r="X2025" t="str">
            <v>Commissions - gross</v>
          </cell>
          <cell r="Y2025" t="str">
            <v>UNITED ARAB EMIRATES</v>
          </cell>
        </row>
        <row r="2026">
          <cell r="L2026" t="str">
            <v>Non-proportional</v>
          </cell>
          <cell r="S2026">
            <v>82.05</v>
          </cell>
          <cell r="X2026" t="str">
            <v>Commissions - gross</v>
          </cell>
          <cell r="Y2026" t="str">
            <v>GERMANY</v>
          </cell>
        </row>
        <row r="2027">
          <cell r="L2027" t="str">
            <v>Non-proportional</v>
          </cell>
          <cell r="S2027">
            <v>332.98</v>
          </cell>
          <cell r="X2027" t="str">
            <v>Commissions - gross</v>
          </cell>
          <cell r="Y2027" t="str">
            <v>GERMANY</v>
          </cell>
        </row>
        <row r="2028">
          <cell r="L2028" t="str">
            <v>Non-proportional</v>
          </cell>
          <cell r="S2028">
            <v>68.97</v>
          </cell>
          <cell r="X2028" t="str">
            <v>Commissions - gross</v>
          </cell>
          <cell r="Y2028" t="str">
            <v>SWITZERLAND</v>
          </cell>
        </row>
        <row r="2029">
          <cell r="L2029" t="str">
            <v>Non-proportional</v>
          </cell>
          <cell r="S2029">
            <v>390</v>
          </cell>
          <cell r="X2029" t="str">
            <v>Commissions - gross</v>
          </cell>
          <cell r="Y2029" t="str">
            <v>NORWAY</v>
          </cell>
        </row>
        <row r="2030">
          <cell r="L2030" t="str">
            <v>Non-proportional</v>
          </cell>
          <cell r="S2030">
            <v>-5139.45</v>
          </cell>
          <cell r="X2030" t="str">
            <v>Commissions - gross</v>
          </cell>
          <cell r="Y2030" t="str">
            <v>POLAND</v>
          </cell>
        </row>
        <row r="2031">
          <cell r="L2031" t="str">
            <v>Non-proportional</v>
          </cell>
          <cell r="S2031">
            <v>-2891.35</v>
          </cell>
          <cell r="X2031" t="str">
            <v>Commissions - gross</v>
          </cell>
          <cell r="Y2031" t="str">
            <v>UNITED KINGDOM</v>
          </cell>
        </row>
        <row r="2032">
          <cell r="L2032" t="str">
            <v>Non-proportional</v>
          </cell>
          <cell r="S2032">
            <v>588.29</v>
          </cell>
          <cell r="X2032" t="str">
            <v>Commissions - gross</v>
          </cell>
          <cell r="Y2032" t="str">
            <v>UNITED KINGDOM</v>
          </cell>
        </row>
        <row r="2033">
          <cell r="L2033" t="str">
            <v>Non-proportional</v>
          </cell>
          <cell r="S2033">
            <v>333.13</v>
          </cell>
          <cell r="X2033" t="str">
            <v>Commissions - gross</v>
          </cell>
          <cell r="Y2033" t="str">
            <v>JAPAN</v>
          </cell>
        </row>
        <row r="2034">
          <cell r="L2034" t="str">
            <v>Non-proportional</v>
          </cell>
          <cell r="S2034">
            <v>-0.23</v>
          </cell>
          <cell r="X2034" t="str">
            <v>Commissions - gross</v>
          </cell>
          <cell r="Y2034" t="str">
            <v>DENMARK</v>
          </cell>
        </row>
        <row r="2035">
          <cell r="L2035" t="str">
            <v>Non-proportional</v>
          </cell>
          <cell r="S2035">
            <v>2249.54</v>
          </cell>
          <cell r="X2035" t="str">
            <v>Commissions - gross</v>
          </cell>
          <cell r="Y2035" t="str">
            <v>CZECH REPUBLIC</v>
          </cell>
        </row>
        <row r="2036">
          <cell r="L2036" t="str">
            <v>Non-proportional</v>
          </cell>
          <cell r="S2036">
            <v>-14300</v>
          </cell>
          <cell r="X2036" t="str">
            <v>Commissions - gross</v>
          </cell>
          <cell r="Y2036" t="str">
            <v>ROMANIA</v>
          </cell>
        </row>
        <row r="2037">
          <cell r="L2037" t="str">
            <v>Non-proportional</v>
          </cell>
          <cell r="S2037">
            <v>759</v>
          </cell>
          <cell r="X2037" t="str">
            <v>Commissions - gross</v>
          </cell>
          <cell r="Y2037" t="str">
            <v>GERMANY</v>
          </cell>
        </row>
        <row r="2038">
          <cell r="L2038" t="str">
            <v>Non-proportional</v>
          </cell>
          <cell r="S2038">
            <v>552.71</v>
          </cell>
          <cell r="X2038" t="str">
            <v>Commissions - gross</v>
          </cell>
          <cell r="Y2038" t="str">
            <v>GERMANY</v>
          </cell>
        </row>
        <row r="2039">
          <cell r="L2039" t="str">
            <v>Non-proportional</v>
          </cell>
          <cell r="S2039">
            <v>30.08</v>
          </cell>
          <cell r="X2039" t="str">
            <v>Commissions - gross</v>
          </cell>
          <cell r="Y2039" t="str">
            <v>ITALY</v>
          </cell>
        </row>
        <row r="2040">
          <cell r="L2040" t="str">
            <v>Non-proportional</v>
          </cell>
          <cell r="S2040">
            <v>4096.75</v>
          </cell>
          <cell r="X2040" t="str">
            <v>Commissions - gross</v>
          </cell>
          <cell r="Y2040" t="str">
            <v>SWITZERLAND</v>
          </cell>
        </row>
        <row r="2041">
          <cell r="L2041" t="str">
            <v>Non-proportional</v>
          </cell>
          <cell r="S2041">
            <v>451.14</v>
          </cell>
          <cell r="X2041" t="str">
            <v>Commissions - gross</v>
          </cell>
          <cell r="Y2041" t="str">
            <v>AUSTRIA</v>
          </cell>
        </row>
        <row r="2042">
          <cell r="L2042" t="str">
            <v>Non-proportional</v>
          </cell>
          <cell r="S2042">
            <v>2588.63</v>
          </cell>
          <cell r="X2042" t="str">
            <v>Commissions - gross</v>
          </cell>
          <cell r="Y2042" t="str">
            <v>CZECH REPUBLIC</v>
          </cell>
        </row>
        <row r="2043">
          <cell r="L2043" t="str">
            <v>Non-proportional</v>
          </cell>
          <cell r="S2043">
            <v>1228.4000000000001</v>
          </cell>
          <cell r="X2043" t="str">
            <v>Commissions - gross</v>
          </cell>
          <cell r="Y2043" t="str">
            <v>DENMARK</v>
          </cell>
        </row>
        <row r="2044">
          <cell r="L2044" t="str">
            <v>Non-proportional</v>
          </cell>
          <cell r="S2044">
            <v>1221.1400000000001</v>
          </cell>
          <cell r="X2044" t="str">
            <v>Commissions - gross</v>
          </cell>
          <cell r="Y2044" t="str">
            <v>UNITED KINGDOM</v>
          </cell>
        </row>
        <row r="2045">
          <cell r="L2045" t="str">
            <v>Non-proportional</v>
          </cell>
          <cell r="S2045">
            <v>1400.86</v>
          </cell>
          <cell r="X2045" t="str">
            <v>Commissions - gross</v>
          </cell>
          <cell r="Y2045" t="str">
            <v>GERMANY</v>
          </cell>
        </row>
        <row r="2046">
          <cell r="L2046" t="str">
            <v>Non-proportional</v>
          </cell>
          <cell r="S2046">
            <v>11205.21</v>
          </cell>
          <cell r="X2046" t="str">
            <v>Commissions - gross</v>
          </cell>
          <cell r="Y2046" t="str">
            <v>FRANCE</v>
          </cell>
        </row>
        <row r="2047">
          <cell r="L2047" t="str">
            <v>Non-proportional</v>
          </cell>
          <cell r="S2047">
            <v>2305.9</v>
          </cell>
          <cell r="X2047" t="str">
            <v>Commissions - gross</v>
          </cell>
          <cell r="Y2047" t="str">
            <v>FRANCE</v>
          </cell>
        </row>
        <row r="2048">
          <cell r="L2048" t="str">
            <v>Proportional</v>
          </cell>
          <cell r="S2048">
            <v>454.31</v>
          </cell>
          <cell r="X2048" t="str">
            <v>Commissions - gross</v>
          </cell>
          <cell r="Y2048" t="str">
            <v>SWITZERLAND</v>
          </cell>
        </row>
        <row r="2049">
          <cell r="L2049" t="str">
            <v>Non-proportional</v>
          </cell>
          <cell r="S2049">
            <v>1463.2</v>
          </cell>
          <cell r="X2049" t="str">
            <v>Commissions - gross</v>
          </cell>
          <cell r="Y2049" t="str">
            <v>GERMANY</v>
          </cell>
        </row>
        <row r="2050">
          <cell r="L2050" t="str">
            <v>Non-proportional</v>
          </cell>
          <cell r="S2050">
            <v>5585.57</v>
          </cell>
          <cell r="X2050" t="str">
            <v>Commissions - gross</v>
          </cell>
          <cell r="Y2050" t="str">
            <v>UNITED KINGDOM</v>
          </cell>
        </row>
        <row r="2051">
          <cell r="L2051" t="str">
            <v>Non-proportional</v>
          </cell>
          <cell r="S2051">
            <v>1339.97</v>
          </cell>
          <cell r="X2051" t="str">
            <v>Commissions - gross</v>
          </cell>
          <cell r="Y2051" t="str">
            <v>GERMANY</v>
          </cell>
        </row>
        <row r="2052">
          <cell r="L2052" t="str">
            <v>Non-proportional</v>
          </cell>
          <cell r="S2052">
            <v>869.77</v>
          </cell>
          <cell r="X2052" t="str">
            <v>Commissions - gross</v>
          </cell>
          <cell r="Y2052" t="str">
            <v>GERMANY</v>
          </cell>
        </row>
        <row r="2053">
          <cell r="L2053" t="str">
            <v>Non-proportional</v>
          </cell>
          <cell r="S2053">
            <v>4872.01</v>
          </cell>
          <cell r="X2053" t="str">
            <v>Commissions - gross</v>
          </cell>
          <cell r="Y2053" t="str">
            <v>UNITED KINGDOM</v>
          </cell>
        </row>
        <row r="2054">
          <cell r="L2054" t="str">
            <v>Non-proportional</v>
          </cell>
          <cell r="S2054">
            <v>-0.47</v>
          </cell>
          <cell r="X2054" t="str">
            <v>Commissions - gross</v>
          </cell>
          <cell r="Y2054" t="str">
            <v>SWEDEN</v>
          </cell>
        </row>
        <row r="2055">
          <cell r="L2055" t="str">
            <v>Non-proportional</v>
          </cell>
          <cell r="S2055">
            <v>457.31</v>
          </cell>
          <cell r="X2055" t="str">
            <v>Commissions - gross</v>
          </cell>
          <cell r="Y2055" t="str">
            <v>EUROPE</v>
          </cell>
        </row>
        <row r="2056">
          <cell r="L2056" t="str">
            <v>Non-proportional</v>
          </cell>
          <cell r="S2056">
            <v>789.36</v>
          </cell>
          <cell r="X2056" t="str">
            <v>Commissions - gross</v>
          </cell>
          <cell r="Y2056" t="str">
            <v>DENMARK</v>
          </cell>
        </row>
        <row r="2057">
          <cell r="L2057" t="str">
            <v>Non-proportional</v>
          </cell>
          <cell r="S2057">
            <v>586.85</v>
          </cell>
          <cell r="X2057" t="str">
            <v>Commissions - gross</v>
          </cell>
          <cell r="Y2057" t="str">
            <v>UNITED KINGDOM</v>
          </cell>
        </row>
        <row r="2058">
          <cell r="L2058" t="str">
            <v>Non-proportional</v>
          </cell>
          <cell r="S2058">
            <v>-4169.01</v>
          </cell>
          <cell r="X2058" t="str">
            <v>Commissions - gross</v>
          </cell>
          <cell r="Y2058" t="str">
            <v>REPUBLIC OF IRELAND</v>
          </cell>
        </row>
        <row r="2059">
          <cell r="L2059" t="str">
            <v>Non-proportional</v>
          </cell>
          <cell r="S2059">
            <v>7308</v>
          </cell>
          <cell r="X2059" t="str">
            <v>Commissions - gross</v>
          </cell>
          <cell r="Y2059" t="str">
            <v>UNITED KINGDOM</v>
          </cell>
        </row>
        <row r="2060">
          <cell r="L2060" t="str">
            <v>Non-proportional</v>
          </cell>
          <cell r="S2060">
            <v>3557.03</v>
          </cell>
          <cell r="X2060" t="str">
            <v>Commissions - gross</v>
          </cell>
          <cell r="Y2060" t="str">
            <v>FRANCE</v>
          </cell>
        </row>
        <row r="2061">
          <cell r="L2061" t="str">
            <v>Non-proportional</v>
          </cell>
          <cell r="S2061">
            <v>34.5</v>
          </cell>
          <cell r="X2061" t="str">
            <v>Commissions - gross</v>
          </cell>
          <cell r="Y2061" t="str">
            <v>ITALY</v>
          </cell>
        </row>
        <row r="2062">
          <cell r="L2062" t="str">
            <v>Non-proportional</v>
          </cell>
          <cell r="S2062">
            <v>1720.99</v>
          </cell>
          <cell r="X2062" t="str">
            <v>Commissions - gross</v>
          </cell>
          <cell r="Y2062" t="str">
            <v>SWITZERLAND</v>
          </cell>
        </row>
        <row r="2063">
          <cell r="L2063" t="str">
            <v>Non-proportional</v>
          </cell>
          <cell r="S2063">
            <v>1059.49</v>
          </cell>
          <cell r="X2063" t="str">
            <v>Commissions - gross</v>
          </cell>
          <cell r="Y2063" t="str">
            <v>GERMANY</v>
          </cell>
        </row>
        <row r="2064">
          <cell r="L2064" t="str">
            <v>Non-proportional</v>
          </cell>
          <cell r="S2064">
            <v>1001.51</v>
          </cell>
          <cell r="X2064" t="str">
            <v>Commissions - gross</v>
          </cell>
          <cell r="Y2064" t="str">
            <v>AUSTRIA</v>
          </cell>
        </row>
        <row r="2065">
          <cell r="L2065" t="str">
            <v>Non-proportional</v>
          </cell>
          <cell r="S2065">
            <v>2070.71</v>
          </cell>
          <cell r="X2065" t="str">
            <v>Commissions - gross</v>
          </cell>
          <cell r="Y2065" t="str">
            <v>EUROPE</v>
          </cell>
        </row>
        <row r="2066">
          <cell r="L2066" t="str">
            <v>Non-proportional</v>
          </cell>
          <cell r="S2066">
            <v>589.39</v>
          </cell>
          <cell r="X2066" t="str">
            <v>Commissions - gross</v>
          </cell>
          <cell r="Y2066" t="str">
            <v>AUSTRIA</v>
          </cell>
        </row>
        <row r="2067">
          <cell r="L2067" t="str">
            <v>Non-proportional</v>
          </cell>
          <cell r="S2067">
            <v>1221.5</v>
          </cell>
          <cell r="X2067" t="str">
            <v>Commissions - gross</v>
          </cell>
          <cell r="Y2067" t="str">
            <v>REPUBLIC OF IRELAND</v>
          </cell>
        </row>
        <row r="2068">
          <cell r="L2068" t="str">
            <v>Non-proportional</v>
          </cell>
          <cell r="S2068">
            <v>7919.46</v>
          </cell>
          <cell r="X2068" t="str">
            <v>Commissions - gross</v>
          </cell>
          <cell r="Y2068" t="str">
            <v>UNITED KINGDOM</v>
          </cell>
        </row>
        <row r="2069">
          <cell r="L2069" t="str">
            <v>Non-proportional</v>
          </cell>
          <cell r="S2069">
            <v>899.99</v>
          </cell>
          <cell r="X2069" t="str">
            <v>Commissions - gross</v>
          </cell>
          <cell r="Y2069" t="str">
            <v>GERMANY</v>
          </cell>
        </row>
        <row r="2070">
          <cell r="L2070" t="str">
            <v>Non-proportional</v>
          </cell>
          <cell r="S2070">
            <v>-0.51</v>
          </cell>
          <cell r="X2070" t="str">
            <v>Commissions - gross</v>
          </cell>
          <cell r="Y2070" t="str">
            <v>SWEDEN</v>
          </cell>
        </row>
        <row r="2071">
          <cell r="L2071" t="str">
            <v>Non-proportional</v>
          </cell>
          <cell r="S2071">
            <v>645.83000000000004</v>
          </cell>
          <cell r="X2071" t="str">
            <v>Commissions - gross</v>
          </cell>
          <cell r="Y2071" t="str">
            <v>AUSTRIA</v>
          </cell>
        </row>
        <row r="2072">
          <cell r="L2072" t="str">
            <v>Non-proportional</v>
          </cell>
          <cell r="S2072">
            <v>141.97</v>
          </cell>
          <cell r="X2072" t="str">
            <v>Commissions - gross</v>
          </cell>
          <cell r="Y2072" t="str">
            <v>SWITZERLAND</v>
          </cell>
        </row>
        <row r="2073">
          <cell r="L2073" t="str">
            <v>Non-proportional</v>
          </cell>
          <cell r="S2073">
            <v>-1.01</v>
          </cell>
          <cell r="X2073" t="str">
            <v>Commissions - gross</v>
          </cell>
          <cell r="Y2073" t="str">
            <v>SWEDEN</v>
          </cell>
        </row>
        <row r="2074">
          <cell r="L2074" t="str">
            <v>Non-proportional</v>
          </cell>
          <cell r="S2074">
            <v>1992.02</v>
          </cell>
          <cell r="X2074" t="str">
            <v>Commissions - gross</v>
          </cell>
          <cell r="Y2074" t="str">
            <v>FRANCE</v>
          </cell>
        </row>
        <row r="2075">
          <cell r="L2075" t="str">
            <v>Non-proportional</v>
          </cell>
          <cell r="S2075">
            <v>208.33</v>
          </cell>
          <cell r="X2075" t="str">
            <v>Commissions - gross</v>
          </cell>
          <cell r="Y2075" t="str">
            <v>GERMANY</v>
          </cell>
        </row>
        <row r="2076">
          <cell r="L2076" t="str">
            <v>Non-proportional</v>
          </cell>
          <cell r="S2076">
            <v>414.38</v>
          </cell>
          <cell r="X2076" t="str">
            <v>Commissions - gross</v>
          </cell>
          <cell r="Y2076" t="str">
            <v>SWITZERLAND</v>
          </cell>
        </row>
        <row r="2077">
          <cell r="L2077" t="str">
            <v>Proportional</v>
          </cell>
          <cell r="S2077">
            <v>-40680.410000000003</v>
          </cell>
          <cell r="X2077" t="str">
            <v>Commissions - gross</v>
          </cell>
          <cell r="Y2077" t="str">
            <v>UNITED STATES</v>
          </cell>
        </row>
        <row r="2078">
          <cell r="L2078" t="str">
            <v>Non-proportional</v>
          </cell>
          <cell r="S2078">
            <v>-15407.93</v>
          </cell>
          <cell r="X2078" t="str">
            <v>Commissions - gross</v>
          </cell>
          <cell r="Y2078" t="str">
            <v>POLAND</v>
          </cell>
        </row>
        <row r="2079">
          <cell r="L2079" t="str">
            <v>Non-proportional</v>
          </cell>
          <cell r="S2079">
            <v>240.28</v>
          </cell>
          <cell r="X2079" t="str">
            <v>Commissions - gross</v>
          </cell>
          <cell r="Y2079" t="str">
            <v>SWEDEN</v>
          </cell>
        </row>
        <row r="2080">
          <cell r="L2080" t="str">
            <v>Non-proportional</v>
          </cell>
          <cell r="S2080">
            <v>603.75</v>
          </cell>
          <cell r="X2080" t="str">
            <v>Commissions - gross</v>
          </cell>
          <cell r="Y2080" t="str">
            <v>GERMANY</v>
          </cell>
        </row>
        <row r="2081">
          <cell r="L2081" t="str">
            <v>Non-proportional</v>
          </cell>
          <cell r="S2081">
            <v>-28879.11</v>
          </cell>
          <cell r="X2081" t="str">
            <v>Commissions - gross</v>
          </cell>
          <cell r="Y2081" t="str">
            <v>UNITED KINGDOM</v>
          </cell>
        </row>
        <row r="2082">
          <cell r="L2082" t="str">
            <v>Non-proportional</v>
          </cell>
          <cell r="S2082">
            <v>13067.52</v>
          </cell>
          <cell r="X2082" t="str">
            <v>Commissions - gross</v>
          </cell>
          <cell r="Y2082" t="str">
            <v>UNITED KINGDOM</v>
          </cell>
        </row>
        <row r="2083">
          <cell r="L2083" t="str">
            <v>Non-proportional</v>
          </cell>
          <cell r="S2083">
            <v>494.78</v>
          </cell>
          <cell r="X2083" t="str">
            <v>Commissions - gross</v>
          </cell>
          <cell r="Y2083" t="str">
            <v>SWITZERLAND</v>
          </cell>
        </row>
        <row r="2084">
          <cell r="L2084" t="str">
            <v>Non-proportional</v>
          </cell>
          <cell r="S2084">
            <v>1870.62</v>
          </cell>
          <cell r="X2084" t="str">
            <v>Commissions - gross</v>
          </cell>
          <cell r="Y2084" t="str">
            <v>GERMANY</v>
          </cell>
        </row>
        <row r="2085">
          <cell r="L2085" t="str">
            <v>Non-proportional</v>
          </cell>
          <cell r="S2085">
            <v>35.17</v>
          </cell>
          <cell r="X2085" t="str">
            <v>Commissions - gross</v>
          </cell>
          <cell r="Y2085" t="str">
            <v>GERMANY</v>
          </cell>
        </row>
        <row r="2086">
          <cell r="L2086" t="str">
            <v>Non-proportional</v>
          </cell>
          <cell r="S2086">
            <v>1850.83</v>
          </cell>
          <cell r="X2086" t="str">
            <v>Commissions - gross</v>
          </cell>
          <cell r="Y2086" t="str">
            <v>UNITED KINGDOM</v>
          </cell>
        </row>
        <row r="2087">
          <cell r="L2087" t="str">
            <v>Non-proportional</v>
          </cell>
          <cell r="S2087">
            <v>32.15</v>
          </cell>
          <cell r="X2087" t="str">
            <v>Commissions - gross</v>
          </cell>
          <cell r="Y2087" t="str">
            <v>FRANCE</v>
          </cell>
        </row>
        <row r="2088">
          <cell r="L2088" t="str">
            <v>Non-proportional</v>
          </cell>
          <cell r="S2088">
            <v>2240.86</v>
          </cell>
          <cell r="X2088" t="str">
            <v>Commissions - gross</v>
          </cell>
          <cell r="Y2088" t="str">
            <v>SWITZERLAND</v>
          </cell>
        </row>
        <row r="2089">
          <cell r="L2089" t="str">
            <v>Non-proportional</v>
          </cell>
          <cell r="S2089">
            <v>337.5</v>
          </cell>
          <cell r="X2089" t="str">
            <v>Commissions - gross</v>
          </cell>
          <cell r="Y2089" t="str">
            <v>GERMANY</v>
          </cell>
        </row>
        <row r="2090">
          <cell r="L2090" t="str">
            <v>Non-proportional</v>
          </cell>
          <cell r="S2090">
            <v>310.73</v>
          </cell>
          <cell r="X2090" t="str">
            <v>Commissions - gross</v>
          </cell>
          <cell r="Y2090" t="str">
            <v>GERMANY</v>
          </cell>
        </row>
        <row r="2091">
          <cell r="L2091" t="str">
            <v>Non-proportional</v>
          </cell>
          <cell r="S2091">
            <v>1181.5899999999999</v>
          </cell>
          <cell r="X2091" t="str">
            <v>Commissions - gross</v>
          </cell>
          <cell r="Y2091" t="str">
            <v>GERMANY</v>
          </cell>
        </row>
        <row r="2092">
          <cell r="L2092" t="str">
            <v>Non-proportional</v>
          </cell>
          <cell r="S2092">
            <v>3801.25</v>
          </cell>
          <cell r="X2092" t="str">
            <v>Commissions - gross</v>
          </cell>
          <cell r="Y2092" t="str">
            <v>UNITED KINGDOM</v>
          </cell>
        </row>
        <row r="2093">
          <cell r="L2093" t="str">
            <v>Non-proportional</v>
          </cell>
          <cell r="S2093">
            <v>45.13</v>
          </cell>
          <cell r="X2093" t="str">
            <v>Commissions - gross</v>
          </cell>
          <cell r="Y2093" t="str">
            <v>ITALY</v>
          </cell>
        </row>
        <row r="2094">
          <cell r="L2094" t="str">
            <v>Non-proportional</v>
          </cell>
          <cell r="S2094">
            <v>707.77</v>
          </cell>
          <cell r="X2094" t="str">
            <v>Commissions - gross</v>
          </cell>
          <cell r="Y2094" t="str">
            <v>NORWAY</v>
          </cell>
        </row>
        <row r="2095">
          <cell r="L2095" t="str">
            <v>Non-proportional</v>
          </cell>
          <cell r="S2095">
            <v>4375</v>
          </cell>
          <cell r="X2095" t="str">
            <v>Commissions - gross</v>
          </cell>
          <cell r="Y2095" t="str">
            <v>GERMANY</v>
          </cell>
        </row>
        <row r="2096">
          <cell r="L2096" t="str">
            <v>Non-proportional</v>
          </cell>
          <cell r="S2096">
            <v>-0.2</v>
          </cell>
          <cell r="X2096" t="str">
            <v>Commissions - gross</v>
          </cell>
          <cell r="Y2096" t="str">
            <v>SWEDEN</v>
          </cell>
        </row>
        <row r="2097">
          <cell r="L2097" t="str">
            <v>Non-proportional</v>
          </cell>
          <cell r="S2097">
            <v>-5715.28</v>
          </cell>
          <cell r="X2097" t="str">
            <v>Commissions - gross</v>
          </cell>
          <cell r="Y2097" t="str">
            <v>UNITED ARAB EMIRATES</v>
          </cell>
        </row>
        <row r="2098">
          <cell r="L2098" t="str">
            <v>Non-proportional</v>
          </cell>
          <cell r="S2098">
            <v>-4028.37</v>
          </cell>
          <cell r="X2098" t="str">
            <v>Commissions - gross</v>
          </cell>
          <cell r="Y2098" t="str">
            <v>REPUBLIC OF IRELAND</v>
          </cell>
        </row>
        <row r="2099">
          <cell r="L2099" t="str">
            <v>Non-proportional</v>
          </cell>
          <cell r="S2099">
            <v>791.68</v>
          </cell>
          <cell r="X2099" t="str">
            <v>Commissions - gross</v>
          </cell>
          <cell r="Y2099" t="str">
            <v>GERMANY</v>
          </cell>
        </row>
        <row r="2100">
          <cell r="L2100" t="str">
            <v>Non-proportional</v>
          </cell>
          <cell r="S2100">
            <v>1354.17</v>
          </cell>
          <cell r="X2100" t="str">
            <v>Commissions - gross</v>
          </cell>
          <cell r="Y2100" t="str">
            <v>GERMANY</v>
          </cell>
        </row>
        <row r="2101">
          <cell r="L2101" t="str">
            <v>Non-proportional</v>
          </cell>
          <cell r="S2101">
            <v>17.52</v>
          </cell>
          <cell r="X2101" t="str">
            <v>Commissions - gross</v>
          </cell>
          <cell r="Y2101" t="str">
            <v>ITALY</v>
          </cell>
        </row>
        <row r="2102">
          <cell r="L2102" t="str">
            <v>Non-proportional</v>
          </cell>
          <cell r="S2102">
            <v>2941.67</v>
          </cell>
          <cell r="X2102" t="str">
            <v>Commissions - gross</v>
          </cell>
          <cell r="Y2102" t="str">
            <v>EUROPE</v>
          </cell>
        </row>
        <row r="2103">
          <cell r="L2103" t="str">
            <v>Non-proportional</v>
          </cell>
          <cell r="S2103">
            <v>956.7</v>
          </cell>
          <cell r="X2103" t="str">
            <v>Commissions - gross</v>
          </cell>
          <cell r="Y2103" t="str">
            <v>SLOVENIA</v>
          </cell>
        </row>
        <row r="2104">
          <cell r="L2104" t="str">
            <v>Non-proportional</v>
          </cell>
          <cell r="S2104">
            <v>452.13</v>
          </cell>
          <cell r="X2104" t="str">
            <v>Commissions - gross</v>
          </cell>
          <cell r="Y2104" t="str">
            <v>UNITED KINGDOM</v>
          </cell>
        </row>
        <row r="2105">
          <cell r="L2105" t="str">
            <v>Non-proportional</v>
          </cell>
          <cell r="S2105">
            <v>10828.7</v>
          </cell>
          <cell r="X2105" t="str">
            <v>Commissions - gross</v>
          </cell>
          <cell r="Y2105" t="str">
            <v>UNITED KINGDOM</v>
          </cell>
        </row>
        <row r="2106">
          <cell r="L2106" t="str">
            <v>Non-proportional</v>
          </cell>
          <cell r="S2106">
            <v>625.04999999999995</v>
          </cell>
          <cell r="X2106" t="str">
            <v>Commissions - gross</v>
          </cell>
          <cell r="Y2106" t="str">
            <v>GERMANY</v>
          </cell>
        </row>
        <row r="2107">
          <cell r="L2107" t="str">
            <v>Non-proportional</v>
          </cell>
          <cell r="S2107">
            <v>1960.61</v>
          </cell>
          <cell r="X2107" t="str">
            <v>Commissions - gross</v>
          </cell>
          <cell r="Y2107" t="str">
            <v>FRANCE</v>
          </cell>
        </row>
        <row r="2108">
          <cell r="L2108" t="str">
            <v>Non-proportional</v>
          </cell>
          <cell r="S2108">
            <v>571.84</v>
          </cell>
          <cell r="X2108" t="str">
            <v>Commissions - gross</v>
          </cell>
          <cell r="Y2108" t="str">
            <v>SWEDEN</v>
          </cell>
        </row>
        <row r="2109">
          <cell r="L2109" t="str">
            <v>Non-proportional</v>
          </cell>
          <cell r="S2109">
            <v>2340.1799999999998</v>
          </cell>
          <cell r="X2109" t="str">
            <v>Commissions - gross</v>
          </cell>
          <cell r="Y2109" t="str">
            <v>GERMANY</v>
          </cell>
        </row>
        <row r="2110">
          <cell r="L2110" t="str">
            <v>Non-proportional</v>
          </cell>
          <cell r="S2110">
            <v>1092.57</v>
          </cell>
          <cell r="X2110" t="str">
            <v>Commissions - gross</v>
          </cell>
          <cell r="Y2110" t="str">
            <v>UNITED KINGDOM</v>
          </cell>
        </row>
        <row r="2111">
          <cell r="L2111" t="str">
            <v>Non-proportional</v>
          </cell>
          <cell r="S2111">
            <v>316.45999999999998</v>
          </cell>
          <cell r="X2111" t="str">
            <v>Commissions - gross</v>
          </cell>
          <cell r="Y2111" t="str">
            <v>ICELAND</v>
          </cell>
        </row>
        <row r="2112">
          <cell r="L2112" t="str">
            <v>Non-proportional</v>
          </cell>
          <cell r="S2112">
            <v>52.84</v>
          </cell>
          <cell r="X2112" t="str">
            <v>Commissions - gross</v>
          </cell>
          <cell r="Y2112" t="str">
            <v>NORWAY</v>
          </cell>
        </row>
        <row r="2113">
          <cell r="L2113" t="str">
            <v>Non-proportional</v>
          </cell>
          <cell r="S2113">
            <v>1512.58</v>
          </cell>
          <cell r="X2113" t="str">
            <v>Commissions - gross</v>
          </cell>
          <cell r="Y2113" t="str">
            <v>SWITZERLAND</v>
          </cell>
        </row>
        <row r="2114">
          <cell r="L2114" t="str">
            <v>Non-proportional</v>
          </cell>
          <cell r="S2114">
            <v>1633.18</v>
          </cell>
          <cell r="X2114" t="str">
            <v>Commissions - gross</v>
          </cell>
          <cell r="Y2114" t="str">
            <v>DENMARK</v>
          </cell>
        </row>
        <row r="2115">
          <cell r="L2115" t="str">
            <v>Non-proportional</v>
          </cell>
          <cell r="S2115">
            <v>525.79999999999995</v>
          </cell>
          <cell r="X2115" t="str">
            <v>Commissions - gross</v>
          </cell>
          <cell r="Y2115" t="str">
            <v>NORWAY</v>
          </cell>
        </row>
        <row r="2116">
          <cell r="L2116" t="str">
            <v>Non-proportional</v>
          </cell>
          <cell r="S2116">
            <v>281.62</v>
          </cell>
          <cell r="X2116" t="str">
            <v>Commissions - gross</v>
          </cell>
          <cell r="Y2116" t="str">
            <v>FRANCE</v>
          </cell>
        </row>
        <row r="2117">
          <cell r="L2117" t="str">
            <v>Non-proportional</v>
          </cell>
          <cell r="S2117">
            <v>-5372.86</v>
          </cell>
          <cell r="X2117" t="str">
            <v>Commissions - gross</v>
          </cell>
          <cell r="Y2117" t="str">
            <v>UNITED KINGDOM</v>
          </cell>
        </row>
        <row r="2118">
          <cell r="L2118" t="str">
            <v>Non-proportional</v>
          </cell>
          <cell r="S2118">
            <v>1664.36</v>
          </cell>
          <cell r="X2118" t="str">
            <v>Commissions - gross</v>
          </cell>
          <cell r="Y2118" t="str">
            <v>FRANCE</v>
          </cell>
        </row>
        <row r="2119">
          <cell r="L2119" t="str">
            <v>Non-proportional</v>
          </cell>
          <cell r="S2119">
            <v>1167.1400000000001</v>
          </cell>
          <cell r="X2119" t="str">
            <v>Commissions - gross</v>
          </cell>
          <cell r="Y2119" t="str">
            <v>UNITED KINGDOM</v>
          </cell>
        </row>
        <row r="2120">
          <cell r="L2120" t="str">
            <v>Non-proportional</v>
          </cell>
          <cell r="S2120">
            <v>268.75</v>
          </cell>
          <cell r="X2120" t="str">
            <v>Commissions - gross</v>
          </cell>
          <cell r="Y2120" t="str">
            <v>GERMANY</v>
          </cell>
        </row>
        <row r="2121">
          <cell r="L2121" t="str">
            <v>Non-proportional</v>
          </cell>
          <cell r="S2121">
            <v>3450.2</v>
          </cell>
          <cell r="X2121" t="str">
            <v>Commissions - gross</v>
          </cell>
          <cell r="Y2121" t="str">
            <v>CZECH REPUBLIC</v>
          </cell>
        </row>
        <row r="2122">
          <cell r="L2122" t="str">
            <v>Non-proportional</v>
          </cell>
          <cell r="S2122">
            <v>358.54</v>
          </cell>
          <cell r="X2122" t="str">
            <v>Commissions - gross</v>
          </cell>
          <cell r="Y2122" t="str">
            <v>SWITZERLAND</v>
          </cell>
        </row>
        <row r="2123">
          <cell r="L2123" t="str">
            <v>Non-proportional</v>
          </cell>
          <cell r="S2123">
            <v>807.28</v>
          </cell>
          <cell r="X2123" t="str">
            <v>Commissions - gross</v>
          </cell>
          <cell r="Y2123" t="str">
            <v>GERMANY</v>
          </cell>
        </row>
        <row r="2124">
          <cell r="L2124" t="str">
            <v>Non-proportional</v>
          </cell>
          <cell r="S2124">
            <v>897.06</v>
          </cell>
          <cell r="X2124" t="str">
            <v>Commissions - gross</v>
          </cell>
          <cell r="Y2124" t="str">
            <v>GERMANY</v>
          </cell>
        </row>
        <row r="2125">
          <cell r="L2125" t="str">
            <v>Non-proportional</v>
          </cell>
          <cell r="S2125">
            <v>685.49</v>
          </cell>
          <cell r="X2125" t="str">
            <v>Commissions - gross</v>
          </cell>
          <cell r="Y2125" t="str">
            <v>UNITED KINGDOM</v>
          </cell>
        </row>
        <row r="2126">
          <cell r="L2126" t="str">
            <v>Non-proportional</v>
          </cell>
          <cell r="S2126">
            <v>193.89</v>
          </cell>
          <cell r="X2126" t="str">
            <v>Commissions - gross</v>
          </cell>
          <cell r="Y2126" t="str">
            <v>REPUBLIC OF IRELAND</v>
          </cell>
        </row>
        <row r="2127">
          <cell r="L2127" t="str">
            <v>Non-proportional</v>
          </cell>
          <cell r="S2127">
            <v>991.79</v>
          </cell>
          <cell r="X2127" t="str">
            <v>Commissions - gross</v>
          </cell>
          <cell r="Y2127" t="str">
            <v>CZECH REPUBLIC</v>
          </cell>
        </row>
        <row r="2128">
          <cell r="L2128" t="str">
            <v>Non-proportional</v>
          </cell>
          <cell r="S2128">
            <v>235.75</v>
          </cell>
          <cell r="X2128" t="str">
            <v>Commissions - gross</v>
          </cell>
          <cell r="Y2128" t="str">
            <v>GERMANY</v>
          </cell>
        </row>
        <row r="2129">
          <cell r="L2129" t="str">
            <v>Non-proportional</v>
          </cell>
          <cell r="S2129">
            <v>2035.5</v>
          </cell>
          <cell r="X2129" t="str">
            <v>Commissions - gross</v>
          </cell>
          <cell r="Y2129" t="str">
            <v>GERMANY</v>
          </cell>
        </row>
        <row r="2130">
          <cell r="L2130" t="str">
            <v>Non-proportional</v>
          </cell>
          <cell r="S2130">
            <v>-1614.74</v>
          </cell>
          <cell r="X2130" t="str">
            <v>Commissions - gross</v>
          </cell>
          <cell r="Y2130" t="str">
            <v>REPUBLIC OF IRELAND</v>
          </cell>
        </row>
        <row r="2131">
          <cell r="L2131" t="str">
            <v>Non-proportional</v>
          </cell>
          <cell r="S2131">
            <v>517.25</v>
          </cell>
          <cell r="X2131" t="str">
            <v>Commissions - gross</v>
          </cell>
          <cell r="Y2131" t="str">
            <v>SWITZERLAND</v>
          </cell>
        </row>
        <row r="2132">
          <cell r="L2132" t="str">
            <v>Non-proportional</v>
          </cell>
          <cell r="S2132">
            <v>607.19000000000005</v>
          </cell>
          <cell r="X2132" t="str">
            <v>Commissions - gross</v>
          </cell>
          <cell r="Y2132" t="str">
            <v>DENMARK</v>
          </cell>
        </row>
        <row r="2133">
          <cell r="L2133" t="str">
            <v>Non-proportional</v>
          </cell>
          <cell r="S2133">
            <v>546.71</v>
          </cell>
          <cell r="X2133" t="str">
            <v>Commissions - gross</v>
          </cell>
          <cell r="Y2133" t="str">
            <v>EIRE</v>
          </cell>
        </row>
        <row r="2134">
          <cell r="L2134" t="str">
            <v>Non-proportional</v>
          </cell>
          <cell r="S2134">
            <v>767.43</v>
          </cell>
          <cell r="X2134" t="str">
            <v>Commissions - gross</v>
          </cell>
          <cell r="Y2134" t="str">
            <v>UNITED KINGDOM</v>
          </cell>
        </row>
        <row r="2135">
          <cell r="L2135" t="str">
            <v>Non-proportional</v>
          </cell>
          <cell r="S2135">
            <v>862.5</v>
          </cell>
          <cell r="X2135" t="str">
            <v>Commissions - gross</v>
          </cell>
          <cell r="Y2135" t="str">
            <v>GERMANY</v>
          </cell>
        </row>
        <row r="2136">
          <cell r="L2136" t="str">
            <v>Non-proportional</v>
          </cell>
          <cell r="S2136">
            <v>140.16999999999999</v>
          </cell>
          <cell r="X2136" t="str">
            <v>Commissions - gross</v>
          </cell>
          <cell r="Y2136" t="str">
            <v>GERMANY</v>
          </cell>
        </row>
        <row r="2137">
          <cell r="L2137" t="str">
            <v>Non-proportional</v>
          </cell>
          <cell r="S2137">
            <v>-0.37</v>
          </cell>
          <cell r="X2137" t="str">
            <v>Commissions - gross</v>
          </cell>
          <cell r="Y2137" t="str">
            <v>DENMARK</v>
          </cell>
        </row>
        <row r="2138">
          <cell r="L2138" t="str">
            <v>Non-proportional</v>
          </cell>
          <cell r="S2138">
            <v>-1409.93</v>
          </cell>
          <cell r="X2138" t="str">
            <v>Commissions - gross</v>
          </cell>
          <cell r="Y2138" t="str">
            <v>REPUBLIC OF IRELAND</v>
          </cell>
        </row>
        <row r="2139">
          <cell r="L2139" t="str">
            <v>Non-proportional</v>
          </cell>
          <cell r="S2139">
            <v>8.33</v>
          </cell>
          <cell r="X2139" t="str">
            <v>Commissions - gross</v>
          </cell>
          <cell r="Y2139" t="str">
            <v>FRANCE</v>
          </cell>
        </row>
        <row r="2140">
          <cell r="L2140" t="str">
            <v>Non-proportional</v>
          </cell>
          <cell r="S2140">
            <v>1169.73</v>
          </cell>
          <cell r="X2140" t="str">
            <v>Commissions - gross</v>
          </cell>
          <cell r="Y2140" t="str">
            <v>SWITZERLAND</v>
          </cell>
        </row>
        <row r="2141">
          <cell r="L2141" t="str">
            <v>Non-proportional</v>
          </cell>
          <cell r="S2141">
            <v>-2126.9299999999998</v>
          </cell>
          <cell r="X2141" t="str">
            <v>Commissions - gross</v>
          </cell>
          <cell r="Y2141" t="str">
            <v>SPAIN</v>
          </cell>
        </row>
        <row r="2142">
          <cell r="L2142" t="str">
            <v>Non-proportional</v>
          </cell>
          <cell r="S2142">
            <v>549.32000000000005</v>
          </cell>
          <cell r="X2142" t="str">
            <v>Commissions - gross</v>
          </cell>
          <cell r="Y2142" t="str">
            <v>FRANCE</v>
          </cell>
        </row>
        <row r="2143">
          <cell r="L2143" t="str">
            <v>Non-proportional</v>
          </cell>
          <cell r="S2143">
            <v>906.17</v>
          </cell>
          <cell r="X2143" t="str">
            <v>Commissions - gross</v>
          </cell>
          <cell r="Y2143" t="str">
            <v>UNITED KINGDOM</v>
          </cell>
        </row>
        <row r="2144">
          <cell r="L2144" t="str">
            <v>Non-proportional</v>
          </cell>
          <cell r="S2144">
            <v>751.9</v>
          </cell>
          <cell r="X2144" t="str">
            <v>Commissions - gross</v>
          </cell>
          <cell r="Y2144" t="str">
            <v>NORWAY</v>
          </cell>
        </row>
        <row r="2145">
          <cell r="L2145" t="str">
            <v>Non-proportional</v>
          </cell>
          <cell r="S2145">
            <v>1188.23</v>
          </cell>
          <cell r="X2145" t="str">
            <v>Commissions - gross</v>
          </cell>
          <cell r="Y2145" t="str">
            <v>EUROPE</v>
          </cell>
        </row>
        <row r="2146">
          <cell r="L2146" t="str">
            <v>Non-proportional</v>
          </cell>
          <cell r="S2146">
            <v>536.25</v>
          </cell>
          <cell r="X2146" t="str">
            <v>Commissions - gross</v>
          </cell>
          <cell r="Y2146" t="str">
            <v>GERMANY</v>
          </cell>
        </row>
        <row r="2147">
          <cell r="L2147" t="str">
            <v>Non-proportional</v>
          </cell>
          <cell r="S2147">
            <v>258.72000000000003</v>
          </cell>
          <cell r="X2147" t="str">
            <v>Commissions - gross</v>
          </cell>
          <cell r="Y2147" t="str">
            <v>JAPAN</v>
          </cell>
        </row>
        <row r="2148">
          <cell r="L2148" t="str">
            <v>Non-proportional</v>
          </cell>
          <cell r="S2148">
            <v>208.24</v>
          </cell>
          <cell r="X2148" t="str">
            <v>Commissions - gross</v>
          </cell>
          <cell r="Y2148" t="str">
            <v>GERMANY</v>
          </cell>
        </row>
        <row r="2149">
          <cell r="L2149" t="str">
            <v>Non-proportional</v>
          </cell>
          <cell r="S2149">
            <v>1133.7</v>
          </cell>
          <cell r="X2149" t="str">
            <v>Commissions - gross</v>
          </cell>
          <cell r="Y2149" t="str">
            <v>UNITED KINGDOM</v>
          </cell>
        </row>
        <row r="2150">
          <cell r="L2150" t="str">
            <v>Non-proportional</v>
          </cell>
          <cell r="S2150">
            <v>83.75</v>
          </cell>
          <cell r="X2150" t="str">
            <v>Commissions - gross</v>
          </cell>
          <cell r="Y2150" t="str">
            <v>DENMARK</v>
          </cell>
        </row>
        <row r="2151">
          <cell r="L2151" t="str">
            <v>Non-proportional</v>
          </cell>
          <cell r="S2151">
            <v>540.48</v>
          </cell>
          <cell r="X2151" t="str">
            <v>Commissions - gross</v>
          </cell>
          <cell r="Y2151" t="str">
            <v>UNITED KINGDOM</v>
          </cell>
        </row>
        <row r="2152">
          <cell r="L2152" t="str">
            <v>Non-proportional</v>
          </cell>
          <cell r="S2152">
            <v>1583.24</v>
          </cell>
          <cell r="X2152" t="str">
            <v>Commissions - gross</v>
          </cell>
          <cell r="Y2152" t="str">
            <v>GERMANY</v>
          </cell>
        </row>
        <row r="2153">
          <cell r="L2153" t="str">
            <v>Non-proportional</v>
          </cell>
          <cell r="S2153">
            <v>878</v>
          </cell>
          <cell r="X2153" t="str">
            <v>Commissions - gross</v>
          </cell>
          <cell r="Y2153" t="str">
            <v>UNITED KINGDOM</v>
          </cell>
        </row>
        <row r="2154">
          <cell r="L2154" t="str">
            <v>Non-proportional</v>
          </cell>
          <cell r="S2154">
            <v>1.78</v>
          </cell>
          <cell r="X2154" t="str">
            <v>Commissions - gross</v>
          </cell>
          <cell r="Y2154" t="str">
            <v>EUROPE</v>
          </cell>
        </row>
        <row r="2155">
          <cell r="L2155" t="str">
            <v>Non-proportional</v>
          </cell>
          <cell r="S2155">
            <v>1650</v>
          </cell>
          <cell r="X2155" t="str">
            <v>Commissions - gross</v>
          </cell>
          <cell r="Y2155" t="str">
            <v>GERMANY</v>
          </cell>
        </row>
        <row r="2156">
          <cell r="L2156" t="str">
            <v>Non-proportional</v>
          </cell>
          <cell r="S2156">
            <v>645.37</v>
          </cell>
          <cell r="X2156" t="str">
            <v>Commissions - gross</v>
          </cell>
          <cell r="Y2156" t="str">
            <v>SWITZERLAND</v>
          </cell>
        </row>
        <row r="2157">
          <cell r="L2157" t="str">
            <v>Non-proportional</v>
          </cell>
          <cell r="S2157">
            <v>423.8</v>
          </cell>
          <cell r="X2157" t="str">
            <v>Commissions - gross</v>
          </cell>
          <cell r="Y2157" t="str">
            <v>GERMANY</v>
          </cell>
        </row>
        <row r="2158">
          <cell r="L2158" t="str">
            <v>Non-proportional</v>
          </cell>
          <cell r="S2158">
            <v>385</v>
          </cell>
          <cell r="X2158" t="str">
            <v>Commissions - gross</v>
          </cell>
          <cell r="Y2158" t="str">
            <v>GERMANY</v>
          </cell>
        </row>
        <row r="2159">
          <cell r="L2159" t="str">
            <v>Non-proportional</v>
          </cell>
          <cell r="S2159">
            <v>537.32000000000005</v>
          </cell>
          <cell r="X2159" t="str">
            <v>Commissions - gross</v>
          </cell>
          <cell r="Y2159" t="str">
            <v>DENMARK</v>
          </cell>
        </row>
        <row r="2160">
          <cell r="L2160" t="str">
            <v>Non-proportional</v>
          </cell>
          <cell r="S2160">
            <v>571.76</v>
          </cell>
          <cell r="X2160" t="str">
            <v>Commissions - gross</v>
          </cell>
          <cell r="Y2160" t="str">
            <v>GERMANY</v>
          </cell>
        </row>
        <row r="2161">
          <cell r="L2161" t="str">
            <v>Non-proportional</v>
          </cell>
          <cell r="S2161">
            <v>317.95999999999998</v>
          </cell>
          <cell r="X2161" t="str">
            <v>Commissions - gross</v>
          </cell>
          <cell r="Y2161" t="str">
            <v>UNITED KINGDOM</v>
          </cell>
        </row>
        <row r="2162">
          <cell r="L2162" t="str">
            <v>Non-proportional</v>
          </cell>
          <cell r="S2162">
            <v>791.14</v>
          </cell>
          <cell r="X2162" t="str">
            <v>Commissions - gross</v>
          </cell>
          <cell r="Y2162" t="str">
            <v>ICELAND</v>
          </cell>
        </row>
        <row r="2163">
          <cell r="L2163" t="str">
            <v>Non-proportional</v>
          </cell>
          <cell r="S2163">
            <v>3734.6</v>
          </cell>
          <cell r="X2163" t="str">
            <v>Commissions - gross</v>
          </cell>
          <cell r="Y2163" t="str">
            <v>FRANCE</v>
          </cell>
        </row>
        <row r="2164">
          <cell r="L2164" t="str">
            <v>Non-proportional</v>
          </cell>
          <cell r="S2164">
            <v>2539.36</v>
          </cell>
          <cell r="X2164" t="str">
            <v>Commissions - gross</v>
          </cell>
          <cell r="Y2164" t="str">
            <v>GERMANY</v>
          </cell>
        </row>
        <row r="2165">
          <cell r="L2165" t="str">
            <v>Non-proportional</v>
          </cell>
          <cell r="S2165">
            <v>670.1</v>
          </cell>
          <cell r="X2165" t="str">
            <v>Commissions - gross</v>
          </cell>
          <cell r="Y2165" t="str">
            <v>DENMARK</v>
          </cell>
        </row>
        <row r="2166">
          <cell r="L2166" t="str">
            <v>Non-proportional</v>
          </cell>
          <cell r="S2166">
            <v>-0.56999999999999995</v>
          </cell>
          <cell r="X2166" t="str">
            <v>Commissions - gross</v>
          </cell>
          <cell r="Y2166" t="str">
            <v>DENMARK</v>
          </cell>
        </row>
        <row r="2167">
          <cell r="L2167" t="str">
            <v>Non-proportional</v>
          </cell>
          <cell r="S2167">
            <v>774.74</v>
          </cell>
          <cell r="X2167" t="str">
            <v>Commissions - gross</v>
          </cell>
          <cell r="Y2167" t="str">
            <v>GERMANY</v>
          </cell>
        </row>
        <row r="2168">
          <cell r="L2168" t="str">
            <v>Non-proportional</v>
          </cell>
          <cell r="S2168">
            <v>339.25</v>
          </cell>
          <cell r="X2168" t="str">
            <v>Commissions - gross</v>
          </cell>
          <cell r="Y2168" t="str">
            <v>ITALY</v>
          </cell>
        </row>
        <row r="2169">
          <cell r="L2169" t="str">
            <v>Non-proportional</v>
          </cell>
          <cell r="S2169">
            <v>1583.89</v>
          </cell>
          <cell r="X2169" t="str">
            <v>Commissions - gross</v>
          </cell>
          <cell r="Y2169" t="str">
            <v>UNITED KINGDOM</v>
          </cell>
        </row>
        <row r="2170">
          <cell r="L2170" t="str">
            <v>Non-proportional</v>
          </cell>
          <cell r="S2170">
            <v>5007.6400000000003</v>
          </cell>
          <cell r="X2170" t="str">
            <v>Commissions - gross</v>
          </cell>
          <cell r="Y2170" t="str">
            <v>UNITED KINGDOM</v>
          </cell>
        </row>
        <row r="2171">
          <cell r="L2171" t="str">
            <v>Non-proportional</v>
          </cell>
          <cell r="S2171">
            <v>3033.29</v>
          </cell>
          <cell r="X2171" t="str">
            <v>Commissions - gross</v>
          </cell>
          <cell r="Y2171" t="str">
            <v>UNITED KINGDOM</v>
          </cell>
        </row>
        <row r="2172">
          <cell r="L2172" t="str">
            <v>Non-proportional</v>
          </cell>
          <cell r="S2172">
            <v>1305.01</v>
          </cell>
          <cell r="X2172" t="str">
            <v>Commissions - gross</v>
          </cell>
          <cell r="Y2172" t="str">
            <v>UNITED KINGDOM</v>
          </cell>
        </row>
        <row r="2173">
          <cell r="L2173" t="str">
            <v>Non-proportional</v>
          </cell>
          <cell r="S2173">
            <v>1042.58</v>
          </cell>
          <cell r="X2173" t="str">
            <v>Commissions - gross</v>
          </cell>
          <cell r="Y2173" t="str">
            <v>FRANCE</v>
          </cell>
        </row>
        <row r="2174">
          <cell r="L2174" t="str">
            <v>Non-proportional</v>
          </cell>
          <cell r="S2174">
            <v>-0.41</v>
          </cell>
          <cell r="X2174" t="str">
            <v>Commissions - gross</v>
          </cell>
          <cell r="Y2174" t="str">
            <v>DENMARK</v>
          </cell>
        </row>
        <row r="2175">
          <cell r="L2175" t="str">
            <v>Non-proportional</v>
          </cell>
          <cell r="S2175">
            <v>212.8</v>
          </cell>
          <cell r="X2175" t="str">
            <v>Commissions - gross</v>
          </cell>
          <cell r="Y2175" t="str">
            <v>SWITZERLAND</v>
          </cell>
        </row>
        <row r="2176">
          <cell r="L2176" t="str">
            <v>Non-proportional</v>
          </cell>
          <cell r="S2176">
            <v>353.15</v>
          </cell>
          <cell r="X2176" t="str">
            <v>Commissions - gross</v>
          </cell>
          <cell r="Y2176" t="str">
            <v>FAROE ISLANDS</v>
          </cell>
        </row>
        <row r="2177">
          <cell r="L2177" t="str">
            <v>Non-proportional</v>
          </cell>
          <cell r="S2177">
            <v>1412</v>
          </cell>
          <cell r="X2177" t="str">
            <v>Commissions - gross</v>
          </cell>
          <cell r="Y2177" t="str">
            <v>AUSTRIA</v>
          </cell>
        </row>
        <row r="2178">
          <cell r="L2178" t="str">
            <v>Non-proportional</v>
          </cell>
          <cell r="S2178">
            <v>-1.55</v>
          </cell>
          <cell r="X2178" t="str">
            <v>Commissions - gross</v>
          </cell>
          <cell r="Y2178" t="str">
            <v>SWEDEN</v>
          </cell>
        </row>
        <row r="2179">
          <cell r="L2179" t="str">
            <v>Non-proportional</v>
          </cell>
          <cell r="S2179">
            <v>777.08</v>
          </cell>
          <cell r="X2179" t="str">
            <v>Commissions - gross</v>
          </cell>
          <cell r="Y2179" t="str">
            <v>FRANCE</v>
          </cell>
        </row>
        <row r="2180">
          <cell r="L2180" t="str">
            <v>Non-proportional</v>
          </cell>
          <cell r="S2180">
            <v>1532.92</v>
          </cell>
          <cell r="X2180" t="str">
            <v>Commissions - gross</v>
          </cell>
          <cell r="Y2180" t="str">
            <v>ITALY</v>
          </cell>
        </row>
        <row r="2181">
          <cell r="L2181" t="str">
            <v>Non-proportional</v>
          </cell>
          <cell r="S2181">
            <v>-9396.85</v>
          </cell>
          <cell r="X2181" t="str">
            <v>Commissions - gross</v>
          </cell>
          <cell r="Y2181" t="str">
            <v>DENMARK</v>
          </cell>
        </row>
        <row r="2182">
          <cell r="L2182" t="str">
            <v>Non-proportional</v>
          </cell>
          <cell r="S2182">
            <v>725.46</v>
          </cell>
          <cell r="X2182" t="str">
            <v>Commissions - gross</v>
          </cell>
          <cell r="Y2182" t="str">
            <v>NORWAY</v>
          </cell>
        </row>
        <row r="2183">
          <cell r="L2183" t="str">
            <v>Non-proportional</v>
          </cell>
          <cell r="S2183">
            <v>4176</v>
          </cell>
          <cell r="X2183" t="str">
            <v>Commissions - gross</v>
          </cell>
          <cell r="Y2183" t="str">
            <v>UNITED KINGDOM</v>
          </cell>
        </row>
        <row r="2184">
          <cell r="L2184" t="str">
            <v>Non-proportional</v>
          </cell>
          <cell r="S2184">
            <v>271.27</v>
          </cell>
          <cell r="X2184" t="str">
            <v>Commissions - gross</v>
          </cell>
          <cell r="Y2184" t="str">
            <v>GERMANY</v>
          </cell>
        </row>
        <row r="2185">
          <cell r="L2185" t="str">
            <v>Non-proportional</v>
          </cell>
          <cell r="S2185">
            <v>57.5</v>
          </cell>
          <cell r="X2185" t="str">
            <v>Commissions - gross</v>
          </cell>
          <cell r="Y2185" t="str">
            <v>ITALY</v>
          </cell>
        </row>
        <row r="2186">
          <cell r="L2186" t="str">
            <v>Non-proportional</v>
          </cell>
          <cell r="S2186">
            <v>625</v>
          </cell>
          <cell r="X2186" t="str">
            <v>Commissions - gross</v>
          </cell>
          <cell r="Y2186" t="str">
            <v>GERMANY</v>
          </cell>
        </row>
        <row r="2187">
          <cell r="L2187" t="str">
            <v>Non-proportional</v>
          </cell>
          <cell r="S2187">
            <v>343.7</v>
          </cell>
          <cell r="X2187" t="str">
            <v>Commissions - gross</v>
          </cell>
          <cell r="Y2187" t="str">
            <v>EUROPE</v>
          </cell>
        </row>
        <row r="2188">
          <cell r="L2188" t="str">
            <v>Non-proportional</v>
          </cell>
          <cell r="S2188">
            <v>1185.1099999999999</v>
          </cell>
          <cell r="X2188" t="str">
            <v>Commissions - gross</v>
          </cell>
          <cell r="Y2188" t="str">
            <v>UNITED KINGDOM</v>
          </cell>
        </row>
        <row r="2189">
          <cell r="L2189" t="str">
            <v>Non-proportional</v>
          </cell>
          <cell r="S2189">
            <v>1182.55</v>
          </cell>
          <cell r="X2189" t="str">
            <v>Commissions - gross</v>
          </cell>
          <cell r="Y2189" t="str">
            <v>AUSTRIA</v>
          </cell>
        </row>
        <row r="2190">
          <cell r="L2190" t="str">
            <v>Non-proportional</v>
          </cell>
          <cell r="S2190">
            <v>1960.61</v>
          </cell>
          <cell r="X2190" t="str">
            <v>Commissions - gross</v>
          </cell>
          <cell r="Y2190" t="str">
            <v>FRANCE</v>
          </cell>
        </row>
        <row r="2191">
          <cell r="L2191" t="str">
            <v>Non-proportional</v>
          </cell>
          <cell r="S2191">
            <v>271.27</v>
          </cell>
          <cell r="X2191" t="str">
            <v>Commissions - gross</v>
          </cell>
          <cell r="Y2191" t="str">
            <v>GERMANY</v>
          </cell>
        </row>
        <row r="2192">
          <cell r="L2192" t="str">
            <v>Non-proportional</v>
          </cell>
          <cell r="S2192">
            <v>2588.63</v>
          </cell>
          <cell r="X2192" t="str">
            <v>Commissions - gross</v>
          </cell>
          <cell r="Y2192" t="str">
            <v>CZECH REPUBLIC</v>
          </cell>
        </row>
        <row r="2193">
          <cell r="L2193" t="str">
            <v>Non-proportional</v>
          </cell>
          <cell r="S2193">
            <v>1244.3</v>
          </cell>
          <cell r="X2193" t="str">
            <v>Commissions - gross</v>
          </cell>
          <cell r="Y2193" t="str">
            <v>SWEDEN</v>
          </cell>
        </row>
        <row r="2194">
          <cell r="L2194" t="str">
            <v>Non-proportional</v>
          </cell>
          <cell r="S2194">
            <v>645.83000000000004</v>
          </cell>
          <cell r="X2194" t="str">
            <v>Commissions - gross</v>
          </cell>
          <cell r="Y2194" t="str">
            <v>AUSTRIA</v>
          </cell>
        </row>
        <row r="2195">
          <cell r="L2195" t="str">
            <v>Proportional</v>
          </cell>
          <cell r="S2195">
            <v>33.44</v>
          </cell>
          <cell r="X2195" t="str">
            <v>Commissions - gross</v>
          </cell>
          <cell r="Y2195" t="str">
            <v>UNITED STATES</v>
          </cell>
        </row>
        <row r="2196">
          <cell r="L2196" t="str">
            <v>Non-proportional</v>
          </cell>
          <cell r="S2196">
            <v>920.31</v>
          </cell>
          <cell r="X2196" t="str">
            <v>Commissions - gross</v>
          </cell>
          <cell r="Y2196" t="str">
            <v>GERMANY</v>
          </cell>
        </row>
        <row r="2197">
          <cell r="L2197" t="str">
            <v>Non-proportional</v>
          </cell>
          <cell r="S2197">
            <v>3372.64</v>
          </cell>
          <cell r="X2197" t="str">
            <v>Commissions - gross</v>
          </cell>
          <cell r="Y2197" t="str">
            <v>FRANCE</v>
          </cell>
        </row>
        <row r="2198">
          <cell r="L2198" t="str">
            <v>Non-proportional</v>
          </cell>
          <cell r="S2198">
            <v>552.71</v>
          </cell>
          <cell r="X2198" t="str">
            <v>Commissions - gross</v>
          </cell>
          <cell r="Y2198" t="str">
            <v>GERMANY</v>
          </cell>
        </row>
        <row r="2199">
          <cell r="L2199" t="str">
            <v>Non-proportional</v>
          </cell>
          <cell r="S2199">
            <v>2539.36</v>
          </cell>
          <cell r="X2199" t="str">
            <v>Commissions - gross</v>
          </cell>
          <cell r="Y2199" t="str">
            <v>GERMANY</v>
          </cell>
        </row>
        <row r="2200">
          <cell r="L2200" t="str">
            <v>Non-proportional</v>
          </cell>
          <cell r="S2200">
            <v>2249.54</v>
          </cell>
          <cell r="X2200" t="str">
            <v>Commissions - gross</v>
          </cell>
          <cell r="Y2200" t="str">
            <v>CZECH REPUBLIC</v>
          </cell>
        </row>
        <row r="2201">
          <cell r="L2201" t="str">
            <v>Non-proportional</v>
          </cell>
          <cell r="S2201">
            <v>190.31</v>
          </cell>
          <cell r="X2201" t="str">
            <v>Commissions - gross</v>
          </cell>
          <cell r="Y2201" t="str">
            <v>JAPAN</v>
          </cell>
        </row>
        <row r="2202">
          <cell r="L2202" t="str">
            <v>Non-proportional</v>
          </cell>
          <cell r="S2202">
            <v>-1.04</v>
          </cell>
          <cell r="X2202" t="str">
            <v>Commissions - gross</v>
          </cell>
          <cell r="Y2202" t="str">
            <v>SWEDEN</v>
          </cell>
        </row>
        <row r="2203">
          <cell r="L2203" t="str">
            <v>Non-proportional</v>
          </cell>
          <cell r="S2203">
            <v>84.84</v>
          </cell>
          <cell r="X2203" t="str">
            <v>Commissions - gross</v>
          </cell>
          <cell r="Y2203" t="str">
            <v>JAPAN</v>
          </cell>
        </row>
        <row r="2204">
          <cell r="L2204" t="str">
            <v>Non-proportional</v>
          </cell>
          <cell r="S2204">
            <v>1092.1400000000001</v>
          </cell>
          <cell r="X2204" t="str">
            <v>Commissions - gross</v>
          </cell>
          <cell r="Y2204" t="str">
            <v>UNITED KINGDOM</v>
          </cell>
        </row>
        <row r="2205">
          <cell r="L2205" t="str">
            <v>Non-proportional</v>
          </cell>
          <cell r="S2205">
            <v>648.04</v>
          </cell>
          <cell r="X2205" t="str">
            <v>Commissions - gross</v>
          </cell>
          <cell r="Y2205" t="str">
            <v>REPUBLIC OF IRELAND</v>
          </cell>
        </row>
        <row r="2206">
          <cell r="L2206" t="str">
            <v>Non-proportional</v>
          </cell>
          <cell r="S2206">
            <v>777.08</v>
          </cell>
          <cell r="X2206" t="str">
            <v>Commissions - gross</v>
          </cell>
          <cell r="Y2206" t="str">
            <v>FRANCE</v>
          </cell>
        </row>
        <row r="2207">
          <cell r="L2207" t="str">
            <v>Non-proportional</v>
          </cell>
          <cell r="S2207">
            <v>356.27</v>
          </cell>
          <cell r="X2207" t="str">
            <v>Commissions - gross</v>
          </cell>
          <cell r="Y2207" t="str">
            <v>SWITZERLAND</v>
          </cell>
        </row>
        <row r="2208">
          <cell r="L2208" t="str">
            <v>Non-proportional</v>
          </cell>
          <cell r="S2208">
            <v>1413.47</v>
          </cell>
          <cell r="X2208" t="str">
            <v>Commissions - gross</v>
          </cell>
          <cell r="Y2208" t="str">
            <v>POLAND</v>
          </cell>
        </row>
        <row r="2209">
          <cell r="L2209" t="str">
            <v>Non-proportional</v>
          </cell>
          <cell r="S2209">
            <v>360.1</v>
          </cell>
          <cell r="X2209" t="str">
            <v>Commissions - gross</v>
          </cell>
          <cell r="Y2209" t="str">
            <v>FAROE ISLANDS</v>
          </cell>
        </row>
        <row r="2210">
          <cell r="L2210" t="str">
            <v>Non-proportional</v>
          </cell>
          <cell r="S2210">
            <v>75</v>
          </cell>
          <cell r="X2210" t="str">
            <v>Commissions - gross</v>
          </cell>
          <cell r="Y2210" t="str">
            <v>GERMANY</v>
          </cell>
        </row>
        <row r="2211">
          <cell r="L2211" t="str">
            <v>Non-proportional</v>
          </cell>
          <cell r="S2211">
            <v>310.73</v>
          </cell>
          <cell r="X2211" t="str">
            <v>Commissions - gross</v>
          </cell>
          <cell r="Y2211" t="str">
            <v>GERMANY</v>
          </cell>
        </row>
        <row r="2212">
          <cell r="L2212" t="str">
            <v>Non-proportional</v>
          </cell>
          <cell r="S2212">
            <v>750.16</v>
          </cell>
          <cell r="X2212" t="str">
            <v>Commissions - gross</v>
          </cell>
          <cell r="Y2212" t="str">
            <v>GERMANY</v>
          </cell>
        </row>
        <row r="2213">
          <cell r="L2213" t="str">
            <v>Non-proportional</v>
          </cell>
          <cell r="S2213">
            <v>338.97</v>
          </cell>
          <cell r="X2213" t="str">
            <v>Commissions - gross</v>
          </cell>
          <cell r="Y2213" t="str">
            <v>UNITED KINGDOM</v>
          </cell>
        </row>
        <row r="2214">
          <cell r="L2214" t="str">
            <v>Non-proportional</v>
          </cell>
          <cell r="S2214">
            <v>5774.28</v>
          </cell>
          <cell r="X2214" t="str">
            <v>Commissions - gross</v>
          </cell>
          <cell r="Y2214" t="str">
            <v>UNITED KINGDOM</v>
          </cell>
        </row>
        <row r="2215">
          <cell r="L2215" t="str">
            <v>Non-proportional</v>
          </cell>
          <cell r="S2215">
            <v>4174.3599999999997</v>
          </cell>
          <cell r="X2215" t="str">
            <v>Commissions - gross</v>
          </cell>
          <cell r="Y2215" t="str">
            <v>UNITED KINGDOM</v>
          </cell>
        </row>
        <row r="2216">
          <cell r="L2216" t="str">
            <v>Non-proportional</v>
          </cell>
          <cell r="S2216">
            <v>745.46</v>
          </cell>
          <cell r="X2216" t="str">
            <v>Commissions - gross</v>
          </cell>
          <cell r="Y2216" t="str">
            <v>EUROPE</v>
          </cell>
        </row>
        <row r="2217">
          <cell r="L2217" t="str">
            <v>Non-proportional</v>
          </cell>
          <cell r="S2217">
            <v>380.63</v>
          </cell>
          <cell r="X2217" t="str">
            <v>Commissions - gross</v>
          </cell>
          <cell r="Y2217" t="str">
            <v>ROMANIA</v>
          </cell>
        </row>
        <row r="2218">
          <cell r="L2218" t="str">
            <v>Non-proportional</v>
          </cell>
          <cell r="S2218">
            <v>699.8</v>
          </cell>
          <cell r="X2218" t="str">
            <v>Commissions - gross</v>
          </cell>
          <cell r="Y2218" t="str">
            <v>AUSTRIA</v>
          </cell>
        </row>
        <row r="2219">
          <cell r="L2219" t="str">
            <v>Non-proportional</v>
          </cell>
          <cell r="S2219">
            <v>1181.5899999999999</v>
          </cell>
          <cell r="X2219" t="str">
            <v>Commissions - gross</v>
          </cell>
          <cell r="Y2219" t="str">
            <v>GERMANY</v>
          </cell>
        </row>
        <row r="2220">
          <cell r="L2220" t="str">
            <v>Non-proportional</v>
          </cell>
          <cell r="S2220">
            <v>774.74</v>
          </cell>
          <cell r="X2220" t="str">
            <v>Commissions - gross</v>
          </cell>
          <cell r="Y2220" t="str">
            <v>GERMANY</v>
          </cell>
        </row>
        <row r="2221">
          <cell r="L2221" t="str">
            <v>Non-proportional</v>
          </cell>
          <cell r="S2221">
            <v>1611.28</v>
          </cell>
          <cell r="X2221" t="str">
            <v>Commissions - gross</v>
          </cell>
          <cell r="Y2221" t="str">
            <v>EUROPE</v>
          </cell>
        </row>
        <row r="2222">
          <cell r="L2222" t="str">
            <v>Non-proportional</v>
          </cell>
          <cell r="S2222">
            <v>785.66</v>
          </cell>
          <cell r="X2222" t="str">
            <v>Commissions - gross</v>
          </cell>
          <cell r="Y2222" t="str">
            <v>ICELAND</v>
          </cell>
        </row>
        <row r="2223">
          <cell r="L2223" t="str">
            <v>Non-proportional</v>
          </cell>
          <cell r="S2223">
            <v>31.36</v>
          </cell>
          <cell r="X2223" t="str">
            <v>Commissions - gross</v>
          </cell>
          <cell r="Y2223" t="str">
            <v>DENMARK</v>
          </cell>
        </row>
        <row r="2224">
          <cell r="L2224" t="str">
            <v>Non-proportional</v>
          </cell>
          <cell r="S2224">
            <v>7916.36</v>
          </cell>
          <cell r="X2224" t="str">
            <v>Commissions - gross</v>
          </cell>
          <cell r="Y2224" t="str">
            <v>UNITED KINGDOM</v>
          </cell>
        </row>
        <row r="2225">
          <cell r="L2225" t="str">
            <v>Non-proportional</v>
          </cell>
          <cell r="S2225">
            <v>32.15</v>
          </cell>
          <cell r="X2225" t="str">
            <v>Commissions - gross</v>
          </cell>
          <cell r="Y2225" t="str">
            <v>FRANCE</v>
          </cell>
        </row>
        <row r="2226">
          <cell r="L2226" t="str">
            <v>Non-proportional</v>
          </cell>
          <cell r="S2226">
            <v>606.99</v>
          </cell>
          <cell r="X2226" t="str">
            <v>Commissions - gross</v>
          </cell>
          <cell r="Y2226" t="str">
            <v>DENMARK</v>
          </cell>
        </row>
        <row r="2227">
          <cell r="L2227" t="str">
            <v>Non-proportional</v>
          </cell>
          <cell r="S2227">
            <v>836.96</v>
          </cell>
          <cell r="X2227" t="str">
            <v>Commissions - gross</v>
          </cell>
          <cell r="Y2227" t="str">
            <v>GERMANY</v>
          </cell>
        </row>
        <row r="2228">
          <cell r="L2228" t="str">
            <v>Non-proportional</v>
          </cell>
          <cell r="S2228">
            <v>506.64</v>
          </cell>
          <cell r="X2228" t="str">
            <v>Commissions - gross</v>
          </cell>
          <cell r="Y2228" t="str">
            <v>SWITZERLAND</v>
          </cell>
        </row>
        <row r="2229">
          <cell r="L2229" t="str">
            <v>Non-proportional</v>
          </cell>
          <cell r="S2229">
            <v>491.65</v>
          </cell>
          <cell r="X2229" t="str">
            <v>Commissions - gross</v>
          </cell>
          <cell r="Y2229" t="str">
            <v>SWITZERLAND</v>
          </cell>
        </row>
        <row r="2230">
          <cell r="L2230" t="str">
            <v>Non-proportional</v>
          </cell>
          <cell r="S2230">
            <v>2226.6799999999998</v>
          </cell>
          <cell r="X2230" t="str">
            <v>Commissions - gross</v>
          </cell>
          <cell r="Y2230" t="str">
            <v>SWITZERLAND</v>
          </cell>
        </row>
        <row r="2231">
          <cell r="L2231" t="str">
            <v>Non-proportional</v>
          </cell>
          <cell r="S2231">
            <v>1.06</v>
          </cell>
          <cell r="X2231" t="str">
            <v>Commissions - gross</v>
          </cell>
          <cell r="Y2231" t="str">
            <v>JAPAN</v>
          </cell>
        </row>
        <row r="2232">
          <cell r="L2232" t="str">
            <v>Non-proportional</v>
          </cell>
          <cell r="S2232">
            <v>35.17</v>
          </cell>
          <cell r="X2232" t="str">
            <v>Commissions - gross</v>
          </cell>
          <cell r="Y2232" t="str">
            <v>GERMANY</v>
          </cell>
        </row>
        <row r="2233">
          <cell r="L2233" t="str">
            <v>Non-proportional</v>
          </cell>
          <cell r="S2233">
            <v>1188.23</v>
          </cell>
          <cell r="X2233" t="str">
            <v>Commissions - gross</v>
          </cell>
          <cell r="Y2233" t="str">
            <v>EUROPE</v>
          </cell>
        </row>
        <row r="2234">
          <cell r="L2234" t="str">
            <v>Non-proportional</v>
          </cell>
          <cell r="S2234">
            <v>57.5</v>
          </cell>
          <cell r="X2234" t="str">
            <v>Commissions - gross</v>
          </cell>
          <cell r="Y2234" t="str">
            <v>ITALY</v>
          </cell>
        </row>
        <row r="2235">
          <cell r="L2235" t="str">
            <v>Non-proportional</v>
          </cell>
          <cell r="S2235">
            <v>317.83</v>
          </cell>
          <cell r="X2235" t="str">
            <v>Commissions - gross</v>
          </cell>
          <cell r="Y2235" t="str">
            <v>UNITED KINGDOM</v>
          </cell>
        </row>
        <row r="2236">
          <cell r="L2236" t="str">
            <v>Non-proportional</v>
          </cell>
          <cell r="S2236">
            <v>451.96</v>
          </cell>
          <cell r="X2236" t="str">
            <v>Commissions - gross</v>
          </cell>
          <cell r="Y2236" t="str">
            <v>UNITED KINGDOM</v>
          </cell>
        </row>
        <row r="2237">
          <cell r="L2237" t="str">
            <v>Non-proportional</v>
          </cell>
          <cell r="S2237">
            <v>376.64</v>
          </cell>
          <cell r="X2237" t="str">
            <v>Commissions - gross</v>
          </cell>
          <cell r="Y2237" t="str">
            <v>UNITED KINGDOM</v>
          </cell>
        </row>
        <row r="2238">
          <cell r="L2238" t="str">
            <v>Non-proportional</v>
          </cell>
          <cell r="S2238">
            <v>391.53</v>
          </cell>
          <cell r="X2238" t="str">
            <v>Commissions - gross</v>
          </cell>
          <cell r="Y2238" t="str">
            <v>UNITED KINGDOM</v>
          </cell>
        </row>
        <row r="2239">
          <cell r="L2239" t="str">
            <v>Non-proportional</v>
          </cell>
          <cell r="S2239">
            <v>288.01</v>
          </cell>
          <cell r="X2239" t="str">
            <v>Commissions - gross</v>
          </cell>
          <cell r="Y2239" t="str">
            <v>UNITED KINGDOM</v>
          </cell>
        </row>
        <row r="2240">
          <cell r="L2240" t="str">
            <v>Non-proportional</v>
          </cell>
          <cell r="S2240">
            <v>2600.02</v>
          </cell>
          <cell r="X2240" t="str">
            <v>Commissions - gross</v>
          </cell>
          <cell r="Y2240" t="str">
            <v>UNITED KINGDOM</v>
          </cell>
        </row>
        <row r="2241">
          <cell r="L2241" t="str">
            <v>Non-proportional</v>
          </cell>
          <cell r="S2241">
            <v>112.23</v>
          </cell>
          <cell r="X2241" t="str">
            <v>Commissions - gross</v>
          </cell>
          <cell r="Y2241" t="str">
            <v>ITALY</v>
          </cell>
        </row>
        <row r="2242">
          <cell r="L2242" t="str">
            <v>Non-proportional</v>
          </cell>
          <cell r="S2242">
            <v>1583.27</v>
          </cell>
          <cell r="X2242" t="str">
            <v>Commissions - gross</v>
          </cell>
          <cell r="Y2242" t="str">
            <v>UNITED KINGDOM</v>
          </cell>
        </row>
        <row r="2243">
          <cell r="L2243" t="str">
            <v>Non-proportional</v>
          </cell>
          <cell r="S2243">
            <v>235.75</v>
          </cell>
          <cell r="X2243" t="str">
            <v>Commissions - gross</v>
          </cell>
          <cell r="Y2243" t="str">
            <v>GERMANY</v>
          </cell>
        </row>
        <row r="2244">
          <cell r="L2244" t="str">
            <v>Non-proportional</v>
          </cell>
          <cell r="S2244">
            <v>1710.1</v>
          </cell>
          <cell r="X2244" t="str">
            <v>Commissions - gross</v>
          </cell>
          <cell r="Y2244" t="str">
            <v>SWITZERLAND</v>
          </cell>
        </row>
        <row r="2245">
          <cell r="L2245" t="str">
            <v>Non-proportional</v>
          </cell>
          <cell r="S2245">
            <v>1880.73</v>
          </cell>
          <cell r="X2245" t="str">
            <v>Commissions - gross</v>
          </cell>
          <cell r="Y2245" t="str">
            <v>REPUBLIC OF IRELAND</v>
          </cell>
        </row>
        <row r="2246">
          <cell r="L2246" t="str">
            <v>Non-proportional</v>
          </cell>
          <cell r="S2246">
            <v>2013.8</v>
          </cell>
          <cell r="X2246" t="str">
            <v>Commissions - gross</v>
          </cell>
          <cell r="Y2246" t="str">
            <v>UNITED KINGDOM</v>
          </cell>
        </row>
        <row r="2247">
          <cell r="L2247" t="str">
            <v>Non-proportional</v>
          </cell>
          <cell r="S2247">
            <v>379</v>
          </cell>
          <cell r="X2247" t="str">
            <v>Commissions - gross</v>
          </cell>
          <cell r="Y2247" t="str">
            <v>REPUBLIC OF IRELAND</v>
          </cell>
        </row>
        <row r="2248">
          <cell r="L2248" t="str">
            <v>Non-proportional</v>
          </cell>
          <cell r="S2248">
            <v>-0.52</v>
          </cell>
          <cell r="X2248" t="str">
            <v>Commissions - gross</v>
          </cell>
          <cell r="Y2248" t="str">
            <v>SWEDEN</v>
          </cell>
        </row>
        <row r="2249">
          <cell r="L2249" t="str">
            <v>Non-proportional</v>
          </cell>
          <cell r="S2249">
            <v>263.73</v>
          </cell>
          <cell r="X2249" t="str">
            <v>Commissions - gross</v>
          </cell>
          <cell r="Y2249" t="str">
            <v>GERMANY</v>
          </cell>
        </row>
        <row r="2250">
          <cell r="L2250" t="str">
            <v>Non-proportional</v>
          </cell>
          <cell r="S2250">
            <v>208.24</v>
          </cell>
          <cell r="X2250" t="str">
            <v>Commissions - gross</v>
          </cell>
          <cell r="Y2250" t="str">
            <v>GERMANY</v>
          </cell>
        </row>
        <row r="2251">
          <cell r="L2251" t="str">
            <v>Non-proportional</v>
          </cell>
          <cell r="S2251">
            <v>3450.2</v>
          </cell>
          <cell r="X2251" t="str">
            <v>Commissions - gross</v>
          </cell>
          <cell r="Y2251" t="str">
            <v>CZECH REPUBLIC</v>
          </cell>
        </row>
        <row r="2252">
          <cell r="L2252" t="str">
            <v>Non-proportional</v>
          </cell>
          <cell r="S2252">
            <v>1650</v>
          </cell>
          <cell r="X2252" t="str">
            <v>Commissions - gross</v>
          </cell>
          <cell r="Y2252" t="str">
            <v>GERMANY</v>
          </cell>
        </row>
        <row r="2253">
          <cell r="L2253" t="str">
            <v>Non-proportional</v>
          </cell>
          <cell r="S2253">
            <v>110.8</v>
          </cell>
          <cell r="X2253" t="str">
            <v>Commissions - gross</v>
          </cell>
          <cell r="Y2253" t="str">
            <v>AUSTRIA</v>
          </cell>
        </row>
        <row r="2254">
          <cell r="L2254" t="str">
            <v>Non-proportional</v>
          </cell>
          <cell r="S2254">
            <v>368.75</v>
          </cell>
          <cell r="X2254" t="str">
            <v>Commissions - gross</v>
          </cell>
          <cell r="Y2254" t="str">
            <v>GERMANY</v>
          </cell>
        </row>
        <row r="2255">
          <cell r="L2255" t="str">
            <v>Non-proportional</v>
          </cell>
          <cell r="S2255">
            <v>333.34</v>
          </cell>
          <cell r="X2255" t="str">
            <v>Commissions - gross</v>
          </cell>
          <cell r="Y2255" t="str">
            <v>ITALY</v>
          </cell>
        </row>
        <row r="2256">
          <cell r="L2256" t="str">
            <v>Non-proportional</v>
          </cell>
          <cell r="S2256">
            <v>760.42</v>
          </cell>
          <cell r="X2256" t="str">
            <v>Commissions - gross</v>
          </cell>
          <cell r="Y2256" t="str">
            <v>GERMANY</v>
          </cell>
        </row>
        <row r="2257">
          <cell r="L2257" t="str">
            <v>Non-proportional</v>
          </cell>
          <cell r="S2257">
            <v>349.18</v>
          </cell>
          <cell r="X2257" t="str">
            <v>Commissions - gross</v>
          </cell>
          <cell r="Y2257" t="str">
            <v>ICELAND</v>
          </cell>
        </row>
        <row r="2258">
          <cell r="L2258" t="str">
            <v>Non-proportional</v>
          </cell>
          <cell r="S2258">
            <v>87.34</v>
          </cell>
          <cell r="X2258" t="str">
            <v>Commissions - gross</v>
          </cell>
          <cell r="Y2258" t="str">
            <v>GERMANY</v>
          </cell>
        </row>
        <row r="2259">
          <cell r="L2259" t="str">
            <v>Non-proportional</v>
          </cell>
          <cell r="S2259">
            <v>6495.3</v>
          </cell>
          <cell r="X2259" t="str">
            <v>Commissions - gross</v>
          </cell>
          <cell r="Y2259" t="str">
            <v>REPUBLIC OF IRELAND</v>
          </cell>
        </row>
        <row r="2260">
          <cell r="L2260" t="str">
            <v>Non-proportional</v>
          </cell>
          <cell r="S2260">
            <v>2870.15</v>
          </cell>
          <cell r="X2260" t="str">
            <v>Commissions - gross</v>
          </cell>
          <cell r="Y2260" t="str">
            <v>UNITED KINGDOM</v>
          </cell>
        </row>
        <row r="2261">
          <cell r="L2261" t="str">
            <v>Non-proportional</v>
          </cell>
          <cell r="S2261">
            <v>3734.6</v>
          </cell>
          <cell r="X2261" t="str">
            <v>Commissions - gross</v>
          </cell>
          <cell r="Y2261" t="str">
            <v>FRANCE</v>
          </cell>
        </row>
        <row r="2262">
          <cell r="L2262" t="str">
            <v>Non-proportional</v>
          </cell>
          <cell r="S2262">
            <v>3494.84</v>
          </cell>
          <cell r="X2262" t="str">
            <v>Commissions - gross</v>
          </cell>
          <cell r="Y2262" t="str">
            <v>UNITED KINGDOM</v>
          </cell>
        </row>
        <row r="2263">
          <cell r="L2263" t="str">
            <v>Non-proportional</v>
          </cell>
          <cell r="S2263">
            <v>390.75</v>
          </cell>
          <cell r="X2263" t="str">
            <v>Commissions - gross</v>
          </cell>
          <cell r="Y2263" t="str">
            <v>NORWAY</v>
          </cell>
        </row>
        <row r="2264">
          <cell r="L2264" t="str">
            <v>Non-proportional</v>
          </cell>
          <cell r="S2264">
            <v>405.47</v>
          </cell>
          <cell r="X2264" t="str">
            <v>Commissions - gross</v>
          </cell>
          <cell r="Y2264" t="str">
            <v>UNITED KINGDOM</v>
          </cell>
        </row>
        <row r="2265">
          <cell r="L2265" t="str">
            <v>Non-proportional</v>
          </cell>
          <cell r="S2265">
            <v>4070.83</v>
          </cell>
          <cell r="X2265" t="str">
            <v>Commissions - gross</v>
          </cell>
          <cell r="Y2265" t="str">
            <v>SWITZERLAND</v>
          </cell>
        </row>
        <row r="2266">
          <cell r="L2266" t="str">
            <v>Non-proportional</v>
          </cell>
          <cell r="S2266">
            <v>2340.1799999999998</v>
          </cell>
          <cell r="X2266" t="str">
            <v>Commissions - gross</v>
          </cell>
          <cell r="Y2266" t="str">
            <v>GERMANY</v>
          </cell>
        </row>
        <row r="2267">
          <cell r="L2267" t="str">
            <v>Non-proportional</v>
          </cell>
          <cell r="S2267">
            <v>208.33</v>
          </cell>
          <cell r="X2267" t="str">
            <v>Commissions - gross</v>
          </cell>
          <cell r="Y2267" t="str">
            <v>GERMANY</v>
          </cell>
        </row>
        <row r="2268">
          <cell r="L2268" t="str">
            <v>Non-proportional</v>
          </cell>
          <cell r="S2268">
            <v>89.35</v>
          </cell>
          <cell r="X2268" t="str">
            <v>Commissions - gross</v>
          </cell>
          <cell r="Y2268" t="str">
            <v>DENMARK</v>
          </cell>
        </row>
        <row r="2269">
          <cell r="L2269" t="str">
            <v>Non-proportional</v>
          </cell>
          <cell r="S2269">
            <v>250.22</v>
          </cell>
          <cell r="X2269" t="str">
            <v>Commissions - gross</v>
          </cell>
          <cell r="Y2269" t="str">
            <v>SPAIN</v>
          </cell>
        </row>
        <row r="2270">
          <cell r="L2270" t="str">
            <v>Non-proportional</v>
          </cell>
          <cell r="S2270">
            <v>546.71</v>
          </cell>
          <cell r="X2270" t="str">
            <v>Commissions - gross</v>
          </cell>
          <cell r="Y2270" t="str">
            <v>EIRE</v>
          </cell>
        </row>
        <row r="2271">
          <cell r="L2271" t="str">
            <v>Non-proportional</v>
          </cell>
          <cell r="S2271">
            <v>498.47</v>
          </cell>
          <cell r="X2271" t="str">
            <v>Commissions - gross</v>
          </cell>
          <cell r="Y2271" t="str">
            <v>GERMANY</v>
          </cell>
        </row>
        <row r="2272">
          <cell r="L2272" t="str">
            <v>Non-proportional</v>
          </cell>
          <cell r="S2272">
            <v>208.43</v>
          </cell>
          <cell r="X2272" t="str">
            <v>Commissions - gross</v>
          </cell>
          <cell r="Y2272" t="str">
            <v>SWITZERLAND</v>
          </cell>
        </row>
        <row r="2273">
          <cell r="L2273" t="str">
            <v>Non-proportional</v>
          </cell>
          <cell r="S2273">
            <v>2035.5</v>
          </cell>
          <cell r="X2273" t="str">
            <v>Commissions - gross</v>
          </cell>
          <cell r="Y2273" t="str">
            <v>GERMANY</v>
          </cell>
        </row>
        <row r="2274">
          <cell r="L2274" t="str">
            <v>Non-proportional</v>
          </cell>
          <cell r="S2274">
            <v>-0.42</v>
          </cell>
          <cell r="X2274" t="str">
            <v>Commissions - gross</v>
          </cell>
          <cell r="Y2274" t="str">
            <v>DENMARK</v>
          </cell>
        </row>
        <row r="2275">
          <cell r="L2275" t="str">
            <v>Proportional</v>
          </cell>
          <cell r="S2275">
            <v>-6918.71</v>
          </cell>
          <cell r="X2275" t="str">
            <v>Commissions - gross</v>
          </cell>
          <cell r="Y2275" t="str">
            <v>GERMANY</v>
          </cell>
        </row>
        <row r="2276">
          <cell r="L2276" t="str">
            <v>Non-proportional</v>
          </cell>
          <cell r="S2276">
            <v>3083.97</v>
          </cell>
          <cell r="X2276" t="str">
            <v>Commissions - gross</v>
          </cell>
          <cell r="Y2276" t="str">
            <v>UNITED KINGDOM</v>
          </cell>
        </row>
        <row r="2277">
          <cell r="L2277" t="str">
            <v>Non-proportional</v>
          </cell>
          <cell r="S2277">
            <v>1850.1</v>
          </cell>
          <cell r="X2277" t="str">
            <v>Commissions - gross</v>
          </cell>
          <cell r="Y2277" t="str">
            <v>UNITED KINGDOM</v>
          </cell>
        </row>
        <row r="2278">
          <cell r="L2278" t="str">
            <v>Non-proportional</v>
          </cell>
          <cell r="S2278">
            <v>558.63</v>
          </cell>
          <cell r="X2278" t="str">
            <v>Commissions - gross</v>
          </cell>
          <cell r="Y2278" t="str">
            <v>GERMANY</v>
          </cell>
        </row>
        <row r="2279">
          <cell r="L2279" t="str">
            <v>Non-proportional</v>
          </cell>
          <cell r="S2279">
            <v>112.99</v>
          </cell>
          <cell r="X2279" t="str">
            <v>Commissions - gross</v>
          </cell>
          <cell r="Y2279" t="str">
            <v>UNITED KINGDOM</v>
          </cell>
        </row>
        <row r="2280">
          <cell r="L2280" t="str">
            <v>Non-proportional</v>
          </cell>
          <cell r="S2280">
            <v>229.83</v>
          </cell>
          <cell r="X2280" t="str">
            <v>Commissions - gross</v>
          </cell>
          <cell r="Y2280" t="str">
            <v>UNITED ARAB EMIRATES</v>
          </cell>
        </row>
        <row r="2281">
          <cell r="L2281" t="str">
            <v>Non-proportional</v>
          </cell>
          <cell r="S2281">
            <v>1042.58</v>
          </cell>
          <cell r="X2281" t="str">
            <v>Commissions - gross</v>
          </cell>
          <cell r="Y2281" t="str">
            <v>FRANCE</v>
          </cell>
        </row>
        <row r="2282">
          <cell r="L2282" t="str">
            <v>Non-proportional</v>
          </cell>
          <cell r="S2282">
            <v>1632.64</v>
          </cell>
          <cell r="X2282" t="str">
            <v>Commissions - gross</v>
          </cell>
          <cell r="Y2282" t="str">
            <v>DENMARK</v>
          </cell>
        </row>
        <row r="2283">
          <cell r="L2283" t="str">
            <v>Non-proportional</v>
          </cell>
          <cell r="S2283">
            <v>549.32000000000005</v>
          </cell>
          <cell r="X2283" t="str">
            <v>Commissions - gross</v>
          </cell>
          <cell r="Y2283" t="str">
            <v>FRANCE</v>
          </cell>
        </row>
        <row r="2284">
          <cell r="L2284" t="str">
            <v>Non-proportional</v>
          </cell>
          <cell r="S2284">
            <v>5583.38</v>
          </cell>
          <cell r="X2284" t="str">
            <v>Commissions - gross</v>
          </cell>
          <cell r="Y2284" t="str">
            <v>UNITED KINGDOM</v>
          </cell>
        </row>
        <row r="2285">
          <cell r="L2285" t="str">
            <v>Non-proportional</v>
          </cell>
          <cell r="S2285">
            <v>34.5</v>
          </cell>
          <cell r="X2285" t="str">
            <v>Commissions - gross</v>
          </cell>
          <cell r="Y2285" t="str">
            <v>ITALY</v>
          </cell>
        </row>
        <row r="2286">
          <cell r="L2286" t="str">
            <v>Non-proportional</v>
          </cell>
          <cell r="S2286">
            <v>-1.59</v>
          </cell>
          <cell r="X2286" t="str">
            <v>Commissions - gross</v>
          </cell>
          <cell r="Y2286" t="str">
            <v>SWEDEN</v>
          </cell>
        </row>
        <row r="2287">
          <cell r="L2287" t="str">
            <v>Non-proportional</v>
          </cell>
          <cell r="S2287">
            <v>1221.5</v>
          </cell>
          <cell r="X2287" t="str">
            <v>Commissions - gross</v>
          </cell>
          <cell r="Y2287" t="str">
            <v>REPUBLIC OF IRELAND</v>
          </cell>
        </row>
        <row r="2288">
          <cell r="L2288" t="str">
            <v>Non-proportional</v>
          </cell>
          <cell r="S2288">
            <v>694.41</v>
          </cell>
          <cell r="X2288" t="str">
            <v>Commissions - gross</v>
          </cell>
          <cell r="Y2288" t="str">
            <v>UNITED KINGDOM</v>
          </cell>
        </row>
        <row r="2289">
          <cell r="L2289" t="str">
            <v>Non-proportional</v>
          </cell>
          <cell r="S2289">
            <v>202.03</v>
          </cell>
          <cell r="X2289" t="str">
            <v>Commissions - gross</v>
          </cell>
          <cell r="Y2289" t="str">
            <v>JAPAN</v>
          </cell>
        </row>
        <row r="2290">
          <cell r="L2290" t="str">
            <v>Non-proportional</v>
          </cell>
          <cell r="S2290">
            <v>3799.76</v>
          </cell>
          <cell r="X2290" t="str">
            <v>Commissions - gross</v>
          </cell>
          <cell r="Y2290" t="str">
            <v>UNITED KINGDOM</v>
          </cell>
        </row>
        <row r="2291">
          <cell r="L2291" t="str">
            <v>Non-proportional</v>
          </cell>
          <cell r="S2291">
            <v>150.91</v>
          </cell>
          <cell r="X2291" t="str">
            <v>Commissions - gross</v>
          </cell>
          <cell r="Y2291" t="str">
            <v>GERMANY</v>
          </cell>
        </row>
        <row r="2292">
          <cell r="L2292" t="str">
            <v>Non-proportional</v>
          </cell>
          <cell r="S2292">
            <v>206.53</v>
          </cell>
          <cell r="X2292" t="str">
            <v>Commissions - gross</v>
          </cell>
          <cell r="Y2292" t="str">
            <v>EUROPE</v>
          </cell>
        </row>
        <row r="2293">
          <cell r="L2293" t="str">
            <v>Non-proportional</v>
          </cell>
          <cell r="S2293">
            <v>-0.28000000000000003</v>
          </cell>
          <cell r="X2293" t="str">
            <v>Commissions - gross</v>
          </cell>
          <cell r="Y2293" t="str">
            <v>DENMARK</v>
          </cell>
        </row>
        <row r="2294">
          <cell r="L2294" t="str">
            <v>Non-proportional</v>
          </cell>
          <cell r="S2294">
            <v>779.34</v>
          </cell>
          <cell r="X2294" t="str">
            <v>Commissions - gross</v>
          </cell>
          <cell r="Y2294" t="str">
            <v>SWITZERLAND</v>
          </cell>
        </row>
        <row r="2295">
          <cell r="L2295" t="str">
            <v>Non-proportional</v>
          </cell>
          <cell r="S2295">
            <v>45.13</v>
          </cell>
          <cell r="X2295" t="str">
            <v>Commissions - gross</v>
          </cell>
          <cell r="Y2295" t="str">
            <v>ITALY</v>
          </cell>
        </row>
        <row r="2296">
          <cell r="L2296" t="str">
            <v>Non-proportional</v>
          </cell>
          <cell r="S2296">
            <v>1108.6500000000001</v>
          </cell>
          <cell r="X2296" t="str">
            <v>Commissions - gross</v>
          </cell>
          <cell r="Y2296" t="str">
            <v>SWEDEN</v>
          </cell>
        </row>
        <row r="2297">
          <cell r="L2297" t="str">
            <v>Non-proportional</v>
          </cell>
          <cell r="S2297">
            <v>332.98</v>
          </cell>
          <cell r="X2297" t="str">
            <v>Commissions - gross</v>
          </cell>
          <cell r="Y2297" t="str">
            <v>GERMANY</v>
          </cell>
        </row>
        <row r="2298">
          <cell r="L2298" t="str">
            <v>Non-proportional</v>
          </cell>
          <cell r="S2298">
            <v>2305.9</v>
          </cell>
          <cell r="X2298" t="str">
            <v>Commissions - gross</v>
          </cell>
          <cell r="Y2298" t="str">
            <v>FRANCE</v>
          </cell>
        </row>
        <row r="2299">
          <cell r="L2299" t="str">
            <v>Non-proportional</v>
          </cell>
          <cell r="S2299">
            <v>5199.42</v>
          </cell>
          <cell r="X2299" t="str">
            <v>Commissions - gross</v>
          </cell>
          <cell r="Y2299" t="str">
            <v>UNITED KINGDOM</v>
          </cell>
        </row>
        <row r="2300">
          <cell r="L2300" t="str">
            <v>Non-proportional</v>
          </cell>
          <cell r="S2300">
            <v>1992.02</v>
          </cell>
          <cell r="X2300" t="str">
            <v>Commissions - gross</v>
          </cell>
          <cell r="Y2300" t="str">
            <v>FRANCE</v>
          </cell>
        </row>
        <row r="2301">
          <cell r="L2301" t="str">
            <v>Non-proportional</v>
          </cell>
          <cell r="S2301">
            <v>1162.33</v>
          </cell>
          <cell r="X2301" t="str">
            <v>Commissions - gross</v>
          </cell>
          <cell r="Y2301" t="str">
            <v>SWITZERLAND</v>
          </cell>
        </row>
        <row r="2302">
          <cell r="L2302" t="str">
            <v>Non-proportional</v>
          </cell>
          <cell r="S2302">
            <v>730.39</v>
          </cell>
          <cell r="X2302" t="str">
            <v>Commissions - gross</v>
          </cell>
          <cell r="Y2302" t="str">
            <v>FAROE ISLANDS</v>
          </cell>
        </row>
        <row r="2303">
          <cell r="L2303" t="str">
            <v>Non-proportional</v>
          </cell>
          <cell r="S2303">
            <v>4375</v>
          </cell>
          <cell r="X2303" t="str">
            <v>Commissions - gross</v>
          </cell>
          <cell r="Y2303" t="str">
            <v>GERMANY</v>
          </cell>
        </row>
        <row r="2304">
          <cell r="L2304" t="str">
            <v>Non-proportional</v>
          </cell>
          <cell r="S2304">
            <v>71.84</v>
          </cell>
          <cell r="X2304" t="str">
            <v>Commissions - gross</v>
          </cell>
          <cell r="Y2304" t="str">
            <v>ITALY</v>
          </cell>
        </row>
        <row r="2305">
          <cell r="L2305" t="str">
            <v>Non-proportional</v>
          </cell>
          <cell r="S2305">
            <v>5005.68</v>
          </cell>
          <cell r="X2305" t="str">
            <v>Commissions - gross</v>
          </cell>
          <cell r="Y2305" t="str">
            <v>UNITED KINGDOM</v>
          </cell>
        </row>
        <row r="2306">
          <cell r="L2306" t="str">
            <v>Non-proportional</v>
          </cell>
          <cell r="S2306">
            <v>1664.36</v>
          </cell>
          <cell r="X2306" t="str">
            <v>Commissions - gross</v>
          </cell>
          <cell r="Y2306" t="str">
            <v>FRANCE</v>
          </cell>
        </row>
        <row r="2307">
          <cell r="L2307" t="str">
            <v>Non-proportional</v>
          </cell>
          <cell r="S2307">
            <v>61.3</v>
          </cell>
          <cell r="X2307" t="str">
            <v>Commissions - gross</v>
          </cell>
          <cell r="Y2307" t="str">
            <v>REPUBLIC OF IRELAND</v>
          </cell>
        </row>
        <row r="2308">
          <cell r="L2308" t="str">
            <v>Non-proportional</v>
          </cell>
          <cell r="S2308">
            <v>1339.52</v>
          </cell>
          <cell r="X2308" t="str">
            <v>Commissions - gross</v>
          </cell>
          <cell r="Y2308" t="str">
            <v>DENMARK</v>
          </cell>
        </row>
        <row r="2309">
          <cell r="L2309" t="str">
            <v>Non-proportional</v>
          </cell>
          <cell r="S2309">
            <v>1.78</v>
          </cell>
          <cell r="X2309" t="str">
            <v>Commissions - gross</v>
          </cell>
          <cell r="Y2309" t="str">
            <v>EUROPE</v>
          </cell>
        </row>
        <row r="2310">
          <cell r="L2310" t="str">
            <v>Non-proportional</v>
          </cell>
          <cell r="S2310">
            <v>1583.24</v>
          </cell>
          <cell r="X2310" t="str">
            <v>Commissions - gross</v>
          </cell>
          <cell r="Y2310" t="str">
            <v>GERMANY</v>
          </cell>
        </row>
        <row r="2311">
          <cell r="L2311" t="str">
            <v>Non-proportional</v>
          </cell>
          <cell r="S2311">
            <v>1760.9</v>
          </cell>
          <cell r="X2311" t="str">
            <v>Commissions - gross</v>
          </cell>
          <cell r="Y2311" t="str">
            <v>AUSTRIA</v>
          </cell>
        </row>
        <row r="2312">
          <cell r="L2312" t="str">
            <v>Non-proportional</v>
          </cell>
          <cell r="S2312">
            <v>196.23</v>
          </cell>
          <cell r="X2312" t="str">
            <v>Commissions - gross</v>
          </cell>
          <cell r="Y2312" t="str">
            <v>GERMANY</v>
          </cell>
        </row>
        <row r="2313">
          <cell r="L2313" t="str">
            <v>Non-proportional</v>
          </cell>
          <cell r="S2313">
            <v>385</v>
          </cell>
          <cell r="X2313" t="str">
            <v>Commissions - gross</v>
          </cell>
          <cell r="Y2313" t="str">
            <v>GERMANY</v>
          </cell>
        </row>
        <row r="2314">
          <cell r="L2314" t="str">
            <v>Non-proportional</v>
          </cell>
          <cell r="S2314">
            <v>3.43</v>
          </cell>
          <cell r="X2314" t="str">
            <v>Commissions - gross</v>
          </cell>
          <cell r="Y2314" t="str">
            <v>UNITED ARAB EMIRATES</v>
          </cell>
        </row>
        <row r="2315">
          <cell r="L2315" t="str">
            <v>Non-proportional</v>
          </cell>
          <cell r="S2315">
            <v>-3.36</v>
          </cell>
          <cell r="X2315" t="str">
            <v>Commissions - gross</v>
          </cell>
          <cell r="Y2315" t="str">
            <v>POLAND</v>
          </cell>
        </row>
        <row r="2316">
          <cell r="L2316" t="str">
            <v>Non-proportional</v>
          </cell>
          <cell r="S2316">
            <v>2439.6</v>
          </cell>
          <cell r="X2316" t="str">
            <v>Commissions - gross</v>
          </cell>
          <cell r="Y2316" t="str">
            <v>GERMANY</v>
          </cell>
        </row>
        <row r="2317">
          <cell r="L2317" t="str">
            <v>Non-proportional</v>
          </cell>
          <cell r="S2317">
            <v>1166.68</v>
          </cell>
          <cell r="X2317" t="str">
            <v>Commissions - gross</v>
          </cell>
          <cell r="Y2317" t="str">
            <v>UNITED KINGDOM</v>
          </cell>
        </row>
        <row r="2318">
          <cell r="L2318" t="str">
            <v>Non-proportional</v>
          </cell>
          <cell r="S2318">
            <v>498.46</v>
          </cell>
          <cell r="X2318" t="str">
            <v>Commissions - gross</v>
          </cell>
          <cell r="Y2318" t="str">
            <v>UNITED ARAB EMIRATES</v>
          </cell>
        </row>
        <row r="2319">
          <cell r="L2319" t="str">
            <v>Non-proportional</v>
          </cell>
          <cell r="S2319">
            <v>16752.349999999999</v>
          </cell>
          <cell r="X2319" t="str">
            <v>Commissions - gross</v>
          </cell>
          <cell r="Y2319" t="str">
            <v>UNITED KINGDOM</v>
          </cell>
        </row>
        <row r="2320">
          <cell r="L2320" t="str">
            <v>Non-proportional</v>
          </cell>
          <cell r="S2320">
            <v>1373.2</v>
          </cell>
          <cell r="X2320" t="str">
            <v>Commissions - gross</v>
          </cell>
          <cell r="Y2320" t="str">
            <v>UNITED KINGDOM</v>
          </cell>
        </row>
        <row r="2321">
          <cell r="L2321" t="str">
            <v>Non-proportional</v>
          </cell>
          <cell r="S2321">
            <v>4250.04</v>
          </cell>
          <cell r="X2321" t="str">
            <v>Commissions - gross</v>
          </cell>
          <cell r="Y2321" t="str">
            <v>UNITED KINGDOM</v>
          </cell>
        </row>
        <row r="2322">
          <cell r="L2322" t="str">
            <v>Non-proportional</v>
          </cell>
          <cell r="S2322">
            <v>2385.42</v>
          </cell>
          <cell r="X2322" t="str">
            <v>Commissions - gross</v>
          </cell>
          <cell r="Y2322" t="str">
            <v>AUSTRIA</v>
          </cell>
        </row>
        <row r="2323">
          <cell r="L2323" t="str">
            <v>Non-proportional</v>
          </cell>
          <cell r="S2323">
            <v>548.41</v>
          </cell>
          <cell r="X2323" t="str">
            <v>Commissions - gross</v>
          </cell>
          <cell r="Y2323" t="str">
            <v>EUROPE</v>
          </cell>
        </row>
        <row r="2324">
          <cell r="L2324" t="str">
            <v>Non-proportional</v>
          </cell>
          <cell r="S2324">
            <v>11.78</v>
          </cell>
          <cell r="X2324" t="str">
            <v>Commissions - gross</v>
          </cell>
          <cell r="Y2324" t="str">
            <v>FRANCE</v>
          </cell>
        </row>
        <row r="2325">
          <cell r="L2325" t="str">
            <v>Non-proportional</v>
          </cell>
          <cell r="S2325">
            <v>1220.6600000000001</v>
          </cell>
          <cell r="X2325" t="str">
            <v>Commissions - gross</v>
          </cell>
          <cell r="Y2325" t="str">
            <v>UNITED KINGDOM</v>
          </cell>
        </row>
        <row r="2326">
          <cell r="L2326" t="str">
            <v>Non-proportional</v>
          </cell>
          <cell r="S2326">
            <v>308.33999999999997</v>
          </cell>
          <cell r="X2326" t="str">
            <v>Commissions - gross</v>
          </cell>
          <cell r="Y2326" t="str">
            <v>EUROPE</v>
          </cell>
        </row>
        <row r="2327">
          <cell r="L2327" t="str">
            <v>Non-proportional</v>
          </cell>
          <cell r="S2327">
            <v>625.04999999999995</v>
          </cell>
          <cell r="X2327" t="str">
            <v>Commissions - gross</v>
          </cell>
          <cell r="Y2327" t="str">
            <v>GERMANY</v>
          </cell>
        </row>
        <row r="2328">
          <cell r="L2328" t="str">
            <v>Non-proportional</v>
          </cell>
          <cell r="S2328">
            <v>82.05</v>
          </cell>
          <cell r="X2328" t="str">
            <v>Commissions - gross</v>
          </cell>
          <cell r="Y2328" t="str">
            <v>GERMANY</v>
          </cell>
        </row>
        <row r="2329">
          <cell r="L2329" t="str">
            <v>Non-proportional</v>
          </cell>
          <cell r="S2329">
            <v>641.29</v>
          </cell>
          <cell r="X2329" t="str">
            <v>Commissions - gross</v>
          </cell>
          <cell r="Y2329" t="str">
            <v>SWITZERLAND</v>
          </cell>
        </row>
        <row r="2330">
          <cell r="L2330" t="str">
            <v>Non-proportional</v>
          </cell>
          <cell r="S2330">
            <v>641.66999999999996</v>
          </cell>
          <cell r="X2330" t="str">
            <v>Commissions - gross</v>
          </cell>
          <cell r="Y2330" t="str">
            <v>GERMANY</v>
          </cell>
        </row>
        <row r="2331">
          <cell r="L2331" t="str">
            <v>Non-proportional</v>
          </cell>
          <cell r="S2331">
            <v>127.94</v>
          </cell>
          <cell r="X2331" t="str">
            <v>Commissions - gross</v>
          </cell>
          <cell r="Y2331" t="str">
            <v>FRANCE</v>
          </cell>
        </row>
        <row r="2332">
          <cell r="L2332" t="str">
            <v>Non-proportional</v>
          </cell>
          <cell r="S2332">
            <v>1503.01</v>
          </cell>
          <cell r="X2332" t="str">
            <v>Commissions - gross</v>
          </cell>
          <cell r="Y2332" t="str">
            <v>SWITZERLAND</v>
          </cell>
        </row>
        <row r="2333">
          <cell r="L2333" t="str">
            <v>Non-proportional</v>
          </cell>
          <cell r="S2333">
            <v>1405.83</v>
          </cell>
          <cell r="X2333" t="str">
            <v>Commissions - gross</v>
          </cell>
          <cell r="Y2333" t="str">
            <v>EIRE</v>
          </cell>
        </row>
        <row r="2334">
          <cell r="L2334" t="str">
            <v>Non-proportional</v>
          </cell>
          <cell r="S2334">
            <v>-0.48</v>
          </cell>
          <cell r="X2334" t="str">
            <v>Commissions - gross</v>
          </cell>
          <cell r="Y2334" t="str">
            <v>SWEDEN</v>
          </cell>
        </row>
        <row r="2335">
          <cell r="L2335" t="str">
            <v>Non-proportional</v>
          </cell>
          <cell r="S2335">
            <v>2000.25</v>
          </cell>
          <cell r="X2335" t="str">
            <v>Commissions - gross</v>
          </cell>
          <cell r="Y2335" t="str">
            <v>CZECH REPUBLIC</v>
          </cell>
        </row>
        <row r="2336">
          <cell r="L2336" t="str">
            <v>Non-proportional</v>
          </cell>
          <cell r="S2336">
            <v>842.33</v>
          </cell>
          <cell r="X2336" t="str">
            <v>Commissions - gross</v>
          </cell>
          <cell r="Y2336" t="str">
            <v>ITALY</v>
          </cell>
        </row>
        <row r="2337">
          <cell r="L2337" t="str">
            <v>Non-proportional</v>
          </cell>
          <cell r="S2337">
            <v>411.21</v>
          </cell>
          <cell r="X2337" t="str">
            <v>Commissions - gross</v>
          </cell>
          <cell r="Y2337" t="str">
            <v>AUSTRIA</v>
          </cell>
        </row>
        <row r="2338">
          <cell r="L2338" t="str">
            <v>Non-proportional</v>
          </cell>
          <cell r="S2338">
            <v>4090.35</v>
          </cell>
          <cell r="X2338" t="str">
            <v>Commissions - gross</v>
          </cell>
          <cell r="Y2338" t="str">
            <v>GERMANY</v>
          </cell>
        </row>
        <row r="2339">
          <cell r="L2339" t="str">
            <v>Non-proportional</v>
          </cell>
          <cell r="S2339">
            <v>793.84</v>
          </cell>
          <cell r="X2339" t="str">
            <v>Commissions - gross</v>
          </cell>
          <cell r="Y2339" t="str">
            <v>GERMANY</v>
          </cell>
        </row>
        <row r="2340">
          <cell r="L2340" t="str">
            <v>Non-proportional</v>
          </cell>
          <cell r="S2340">
            <v>4266.3900000000003</v>
          </cell>
          <cell r="X2340" t="str">
            <v>Commissions - gross</v>
          </cell>
          <cell r="Y2340" t="str">
            <v>UNITED KINGDOM</v>
          </cell>
        </row>
        <row r="2341">
          <cell r="L2341" t="str">
            <v>Non-proportional</v>
          </cell>
          <cell r="S2341">
            <v>4870.1000000000004</v>
          </cell>
          <cell r="X2341" t="str">
            <v>Commissions - gross</v>
          </cell>
          <cell r="Y2341" t="str">
            <v>UNITED KINGDOM</v>
          </cell>
        </row>
        <row r="2342">
          <cell r="L2342" t="str">
            <v>Non-proportional</v>
          </cell>
          <cell r="S2342">
            <v>152.22</v>
          </cell>
          <cell r="X2342" t="str">
            <v>Commissions - gross</v>
          </cell>
          <cell r="Y2342" t="str">
            <v>UNITED ARAB EMIRATES</v>
          </cell>
        </row>
        <row r="2343">
          <cell r="L2343" t="str">
            <v>Non-proportional</v>
          </cell>
          <cell r="S2343">
            <v>-0.35</v>
          </cell>
          <cell r="X2343" t="str">
            <v>Commissions - gross</v>
          </cell>
          <cell r="Y2343" t="str">
            <v>DENMARK</v>
          </cell>
        </row>
        <row r="2344">
          <cell r="L2344" t="str">
            <v>Non-proportional</v>
          </cell>
          <cell r="S2344">
            <v>849.19</v>
          </cell>
          <cell r="X2344" t="str">
            <v>Commissions - gross</v>
          </cell>
          <cell r="Y2344" t="str">
            <v>EUROPE</v>
          </cell>
        </row>
        <row r="2345">
          <cell r="L2345" t="str">
            <v>Non-proportional</v>
          </cell>
          <cell r="S2345">
            <v>108.84</v>
          </cell>
          <cell r="X2345" t="str">
            <v>Commissions - gross</v>
          </cell>
          <cell r="Y2345" t="str">
            <v>DENMARK</v>
          </cell>
        </row>
        <row r="2346">
          <cell r="L2346" t="str">
            <v>Non-proportional</v>
          </cell>
          <cell r="S2346">
            <v>339.25</v>
          </cell>
          <cell r="X2346" t="str">
            <v>Commissions - gross</v>
          </cell>
          <cell r="Y2346" t="str">
            <v>ITALY</v>
          </cell>
        </row>
        <row r="2347">
          <cell r="L2347" t="str">
            <v>Non-proportional</v>
          </cell>
          <cell r="S2347">
            <v>125.14</v>
          </cell>
          <cell r="X2347" t="str">
            <v>Commissions - gross</v>
          </cell>
          <cell r="Y2347" t="str">
            <v>UNITED KINGDOM</v>
          </cell>
        </row>
        <row r="2348">
          <cell r="L2348" t="str">
            <v>Non-proportional</v>
          </cell>
          <cell r="S2348">
            <v>767.13</v>
          </cell>
          <cell r="X2348" t="str">
            <v>Commissions - gross</v>
          </cell>
          <cell r="Y2348" t="str">
            <v>UNITED KINGDOM</v>
          </cell>
        </row>
        <row r="2349">
          <cell r="L2349" t="str">
            <v>Non-proportional</v>
          </cell>
          <cell r="S2349">
            <v>1890</v>
          </cell>
          <cell r="X2349" t="str">
            <v>Commissions - gross</v>
          </cell>
          <cell r="Y2349" t="str">
            <v>ROMANIA</v>
          </cell>
        </row>
        <row r="2350">
          <cell r="L2350" t="str">
            <v>Non-proportional</v>
          </cell>
          <cell r="S2350">
            <v>1400.86</v>
          </cell>
          <cell r="X2350" t="str">
            <v>Commissions - gross</v>
          </cell>
          <cell r="Y2350" t="str">
            <v>GERMANY</v>
          </cell>
        </row>
        <row r="2351">
          <cell r="L2351" t="str">
            <v>Non-proportional</v>
          </cell>
          <cell r="S2351">
            <v>576.9</v>
          </cell>
          <cell r="X2351" t="str">
            <v>Commissions - gross</v>
          </cell>
          <cell r="Y2351" t="str">
            <v>SWEDEN</v>
          </cell>
        </row>
        <row r="2352">
          <cell r="L2352" t="str">
            <v>Non-proportional</v>
          </cell>
          <cell r="S2352">
            <v>457.31</v>
          </cell>
          <cell r="X2352" t="str">
            <v>Commissions - gross</v>
          </cell>
          <cell r="Y2352" t="str">
            <v>EUROPE</v>
          </cell>
        </row>
        <row r="2353">
          <cell r="L2353" t="str">
            <v>Non-proportional</v>
          </cell>
          <cell r="S2353">
            <v>622.21</v>
          </cell>
          <cell r="X2353" t="str">
            <v>Commissions - gross</v>
          </cell>
          <cell r="Y2353" t="str">
            <v>SWEDEN</v>
          </cell>
        </row>
        <row r="2354">
          <cell r="L2354" t="str">
            <v>Non-proportional</v>
          </cell>
          <cell r="S2354">
            <v>753.35</v>
          </cell>
          <cell r="X2354" t="str">
            <v>Commissions - gross</v>
          </cell>
          <cell r="Y2354" t="str">
            <v>NORWAY</v>
          </cell>
        </row>
        <row r="2355">
          <cell r="L2355" t="str">
            <v>Non-proportional</v>
          </cell>
          <cell r="S2355">
            <v>27631.38</v>
          </cell>
          <cell r="X2355" t="str">
            <v>Commissions - gross</v>
          </cell>
          <cell r="Y2355" t="str">
            <v>UNITED KINGDOM</v>
          </cell>
        </row>
        <row r="2356">
          <cell r="L2356" t="str">
            <v>Non-proportional</v>
          </cell>
          <cell r="S2356">
            <v>669.88</v>
          </cell>
          <cell r="X2356" t="str">
            <v>Commissions - gross</v>
          </cell>
          <cell r="Y2356" t="str">
            <v>DENMARK</v>
          </cell>
        </row>
        <row r="2357">
          <cell r="L2357" t="str">
            <v>Non-proportional</v>
          </cell>
          <cell r="S2357">
            <v>685.22</v>
          </cell>
          <cell r="X2357" t="str">
            <v>Commissions - gross</v>
          </cell>
          <cell r="Y2357" t="str">
            <v>UNITED KINGDOM</v>
          </cell>
        </row>
        <row r="2358">
          <cell r="L2358" t="str">
            <v>Non-proportional</v>
          </cell>
          <cell r="S2358">
            <v>1.58</v>
          </cell>
          <cell r="X2358" t="str">
            <v>Commissions - gross</v>
          </cell>
          <cell r="Y2358" t="str">
            <v>NORWAY</v>
          </cell>
        </row>
        <row r="2359">
          <cell r="L2359" t="str">
            <v>Non-proportional</v>
          </cell>
          <cell r="S2359">
            <v>5606.3</v>
          </cell>
          <cell r="X2359" t="str">
            <v>Commissions - gross</v>
          </cell>
          <cell r="Y2359" t="str">
            <v>UNITED KINGDOM</v>
          </cell>
        </row>
        <row r="2360">
          <cell r="L2360" t="str">
            <v>Non-proportional</v>
          </cell>
          <cell r="S2360">
            <v>1146.82</v>
          </cell>
          <cell r="X2360" t="str">
            <v>Commissions - gross</v>
          </cell>
          <cell r="Y2360" t="str">
            <v>UNITED KINGDOM</v>
          </cell>
        </row>
        <row r="2361">
          <cell r="L2361" t="str">
            <v>Non-proportional</v>
          </cell>
          <cell r="S2361">
            <v>1059.49</v>
          </cell>
          <cell r="X2361" t="str">
            <v>Commissions - gross</v>
          </cell>
          <cell r="Y2361" t="str">
            <v>GERMANY</v>
          </cell>
        </row>
        <row r="2362">
          <cell r="L2362" t="str">
            <v>Non-proportional</v>
          </cell>
          <cell r="S2362">
            <v>719.88</v>
          </cell>
          <cell r="X2362" t="str">
            <v>Commissions - gross</v>
          </cell>
          <cell r="Y2362" t="str">
            <v>DENMARK</v>
          </cell>
        </row>
        <row r="2363">
          <cell r="L2363" t="str">
            <v>Non-proportional</v>
          </cell>
          <cell r="S2363">
            <v>83.72</v>
          </cell>
          <cell r="X2363" t="str">
            <v>Commissions - gross</v>
          </cell>
          <cell r="Y2363" t="str">
            <v>DENMARK</v>
          </cell>
        </row>
        <row r="2364">
          <cell r="L2364" t="str">
            <v>Non-proportional</v>
          </cell>
          <cell r="S2364">
            <v>5.19</v>
          </cell>
          <cell r="X2364" t="str">
            <v>Commissions - gross</v>
          </cell>
          <cell r="Y2364" t="str">
            <v>UNITED ARAB EMIRATES</v>
          </cell>
        </row>
        <row r="2365">
          <cell r="L2365" t="str">
            <v>Non-proportional</v>
          </cell>
          <cell r="S2365">
            <v>594.98</v>
          </cell>
          <cell r="X2365" t="str">
            <v>Commissions - gross</v>
          </cell>
          <cell r="Y2365" t="str">
            <v>UNITED KINGDOM</v>
          </cell>
        </row>
        <row r="2366">
          <cell r="L2366" t="str">
            <v>Non-proportional</v>
          </cell>
          <cell r="S2366">
            <v>326.25</v>
          </cell>
          <cell r="X2366" t="str">
            <v>Commissions - gross</v>
          </cell>
          <cell r="Y2366" t="str">
            <v>ROMANIA</v>
          </cell>
        </row>
        <row r="2367">
          <cell r="L2367" t="str">
            <v>Non-proportional</v>
          </cell>
          <cell r="S2367">
            <v>337.5</v>
          </cell>
          <cell r="X2367" t="str">
            <v>Commissions - gross</v>
          </cell>
          <cell r="Y2367" t="str">
            <v>GERMANY</v>
          </cell>
        </row>
        <row r="2368">
          <cell r="L2368" t="str">
            <v>Non-proportional</v>
          </cell>
          <cell r="S2368">
            <v>250.06</v>
          </cell>
          <cell r="X2368" t="str">
            <v>Commissions - gross</v>
          </cell>
          <cell r="Y2368" t="str">
            <v>GERMANY</v>
          </cell>
        </row>
        <row r="2369">
          <cell r="L2369" t="str">
            <v>Non-proportional</v>
          </cell>
          <cell r="S2369">
            <v>899.99</v>
          </cell>
          <cell r="X2369" t="str">
            <v>Commissions - gross</v>
          </cell>
          <cell r="Y2369" t="str">
            <v>GERMANY</v>
          </cell>
        </row>
        <row r="2370">
          <cell r="L2370" t="str">
            <v>Non-proportional</v>
          </cell>
          <cell r="S2370">
            <v>1242.43</v>
          </cell>
          <cell r="X2370" t="str">
            <v>Commissions - gross</v>
          </cell>
          <cell r="Y2370" t="str">
            <v>EUROPE</v>
          </cell>
        </row>
        <row r="2371">
          <cell r="L2371" t="str">
            <v>Non-proportional</v>
          </cell>
          <cell r="S2371">
            <v>361.75</v>
          </cell>
          <cell r="X2371" t="str">
            <v>Commissions - gross</v>
          </cell>
          <cell r="Y2371" t="str">
            <v>FRANCE</v>
          </cell>
        </row>
        <row r="2372">
          <cell r="L2372" t="str">
            <v>Non-proportional</v>
          </cell>
          <cell r="S2372">
            <v>1647.85</v>
          </cell>
          <cell r="X2372" t="str">
            <v>Commissions - gross</v>
          </cell>
          <cell r="Y2372" t="str">
            <v>UNITED KINGDOM</v>
          </cell>
        </row>
        <row r="2373">
          <cell r="L2373" t="str">
            <v>Non-proportional</v>
          </cell>
          <cell r="S2373">
            <v>849.45</v>
          </cell>
          <cell r="X2373" t="str">
            <v>Commissions - gross</v>
          </cell>
          <cell r="Y2373" t="str">
            <v>GERMANY</v>
          </cell>
        </row>
        <row r="2374">
          <cell r="L2374" t="str">
            <v>Non-proportional</v>
          </cell>
          <cell r="S2374">
            <v>423.8</v>
          </cell>
          <cell r="X2374" t="str">
            <v>Commissions - gross</v>
          </cell>
          <cell r="Y2374" t="str">
            <v>GERMANY</v>
          </cell>
        </row>
        <row r="2375">
          <cell r="L2375" t="str">
            <v>Non-proportional</v>
          </cell>
          <cell r="S2375">
            <v>133.91</v>
          </cell>
          <cell r="X2375" t="str">
            <v>Commissions - gross</v>
          </cell>
          <cell r="Y2375" t="str">
            <v>DENMARK</v>
          </cell>
        </row>
        <row r="2376">
          <cell r="L2376" t="str">
            <v>Non-proportional</v>
          </cell>
          <cell r="S2376">
            <v>78.14</v>
          </cell>
          <cell r="X2376" t="str">
            <v>Commissions - gross</v>
          </cell>
          <cell r="Y2376" t="str">
            <v>DENMARK</v>
          </cell>
        </row>
        <row r="2377">
          <cell r="L2377" t="str">
            <v>Non-proportional</v>
          </cell>
          <cell r="S2377">
            <v>853.98</v>
          </cell>
          <cell r="X2377" t="str">
            <v>Commissions - gross</v>
          </cell>
          <cell r="Y2377" t="str">
            <v>DENMARK</v>
          </cell>
        </row>
        <row r="2378">
          <cell r="L2378" t="str">
            <v>Non-proportional</v>
          </cell>
          <cell r="S2378">
            <v>-0.92</v>
          </cell>
          <cell r="X2378" t="str">
            <v>Commissions - gross</v>
          </cell>
          <cell r="Y2378" t="str">
            <v>SWEDEN</v>
          </cell>
        </row>
        <row r="2379">
          <cell r="L2379" t="str">
            <v>Non-proportional</v>
          </cell>
          <cell r="S2379">
            <v>2624.35</v>
          </cell>
          <cell r="X2379" t="str">
            <v>Commissions - gross</v>
          </cell>
          <cell r="Y2379" t="str">
            <v>UNITED KINGDOM</v>
          </cell>
        </row>
        <row r="2380">
          <cell r="L2380" t="str">
            <v>Non-proportional</v>
          </cell>
          <cell r="S2380">
            <v>1105.8900000000001</v>
          </cell>
          <cell r="X2380" t="str">
            <v>Commissions - gross</v>
          </cell>
          <cell r="Y2380" t="str">
            <v>DENMARK</v>
          </cell>
        </row>
        <row r="2381">
          <cell r="L2381" t="str">
            <v>Non-proportional</v>
          </cell>
          <cell r="S2381">
            <v>956.7</v>
          </cell>
          <cell r="X2381" t="str">
            <v>Commissions - gross</v>
          </cell>
          <cell r="Y2381" t="str">
            <v>SLOVENIA</v>
          </cell>
        </row>
        <row r="2382">
          <cell r="L2382" t="str">
            <v>Non-proportional</v>
          </cell>
          <cell r="S2382">
            <v>812.5</v>
          </cell>
          <cell r="X2382" t="str">
            <v>Commissions - gross</v>
          </cell>
          <cell r="Y2382" t="str">
            <v>CZECH REPUBLIC</v>
          </cell>
        </row>
        <row r="2383">
          <cell r="L2383" t="str">
            <v>Non-proportional</v>
          </cell>
          <cell r="S2383">
            <v>157.59</v>
          </cell>
          <cell r="X2383" t="str">
            <v>Commissions - gross</v>
          </cell>
          <cell r="Y2383" t="str">
            <v>JAPAN</v>
          </cell>
        </row>
        <row r="2384">
          <cell r="L2384" t="str">
            <v>Non-proportional</v>
          </cell>
          <cell r="S2384">
            <v>281.62</v>
          </cell>
          <cell r="X2384" t="str">
            <v>Commissions - gross</v>
          </cell>
          <cell r="Y2384" t="str">
            <v>FRANCE</v>
          </cell>
        </row>
        <row r="2385">
          <cell r="L2385" t="str">
            <v>Proportional</v>
          </cell>
          <cell r="S2385">
            <v>415.84</v>
          </cell>
          <cell r="X2385" t="str">
            <v>Commissions - gross</v>
          </cell>
          <cell r="Y2385" t="str">
            <v>UNITED STATES</v>
          </cell>
        </row>
        <row r="2386">
          <cell r="L2386" t="str">
            <v>Non-proportional</v>
          </cell>
          <cell r="S2386">
            <v>832.28</v>
          </cell>
          <cell r="X2386" t="str">
            <v>Commissions - gross</v>
          </cell>
          <cell r="Y2386" t="str">
            <v>GERMANY</v>
          </cell>
        </row>
        <row r="2387">
          <cell r="L2387" t="str">
            <v>Non-proportional</v>
          </cell>
          <cell r="S2387">
            <v>1870.62</v>
          </cell>
          <cell r="X2387" t="str">
            <v>Commissions - gross</v>
          </cell>
          <cell r="Y2387" t="str">
            <v>GERMANY</v>
          </cell>
        </row>
        <row r="2388">
          <cell r="L2388" t="str">
            <v>Non-proportional</v>
          </cell>
          <cell r="S2388">
            <v>883.77</v>
          </cell>
          <cell r="X2388" t="str">
            <v>Commissions - gross</v>
          </cell>
          <cell r="Y2388" t="str">
            <v>GERMANY</v>
          </cell>
        </row>
        <row r="2389">
          <cell r="L2389" t="str">
            <v>Non-proportional</v>
          </cell>
          <cell r="S2389">
            <v>571.76</v>
          </cell>
          <cell r="X2389" t="str">
            <v>Commissions - gross</v>
          </cell>
          <cell r="Y2389" t="str">
            <v>GERMANY</v>
          </cell>
        </row>
        <row r="2390">
          <cell r="L2390" t="str">
            <v>Non-proportional</v>
          </cell>
          <cell r="S2390">
            <v>558.15</v>
          </cell>
          <cell r="X2390" t="str">
            <v>Commissions - gross</v>
          </cell>
          <cell r="Y2390" t="str">
            <v>DENMARK</v>
          </cell>
        </row>
        <row r="2391">
          <cell r="L2391" t="str">
            <v>Non-proportional</v>
          </cell>
          <cell r="S2391">
            <v>687.19</v>
          </cell>
          <cell r="X2391" t="str">
            <v>Commissions - gross</v>
          </cell>
          <cell r="Y2391" t="str">
            <v>GERMANY</v>
          </cell>
        </row>
        <row r="2392">
          <cell r="L2392" t="str">
            <v>Non-proportional</v>
          </cell>
          <cell r="S2392">
            <v>820.67</v>
          </cell>
          <cell r="X2392" t="str">
            <v>Commissions - gross</v>
          </cell>
          <cell r="Y2392" t="str">
            <v>POLAND</v>
          </cell>
        </row>
        <row r="2393">
          <cell r="L2393" t="str">
            <v>Non-proportional</v>
          </cell>
          <cell r="S2393">
            <v>862.5</v>
          </cell>
          <cell r="X2393" t="str">
            <v>Commissions - gross</v>
          </cell>
          <cell r="Y2393" t="str">
            <v>GERMANY</v>
          </cell>
        </row>
        <row r="2394">
          <cell r="L2394" t="str">
            <v>Non-proportional</v>
          </cell>
          <cell r="S2394">
            <v>1412</v>
          </cell>
          <cell r="X2394" t="str">
            <v>Commissions - gross</v>
          </cell>
          <cell r="Y2394" t="str">
            <v>AUSTRIA</v>
          </cell>
        </row>
        <row r="2395">
          <cell r="L2395" t="str">
            <v>Non-proportional</v>
          </cell>
          <cell r="S2395">
            <v>991.79</v>
          </cell>
          <cell r="X2395" t="str">
            <v>Commissions - gross</v>
          </cell>
          <cell r="Y2395" t="str">
            <v>CZECH REPUBLIC</v>
          </cell>
        </row>
        <row r="2396">
          <cell r="L2396" t="str">
            <v>Non-proportional</v>
          </cell>
          <cell r="S2396">
            <v>10824.45</v>
          </cell>
          <cell r="X2396" t="str">
            <v>Commissions - gross</v>
          </cell>
          <cell r="Y2396" t="str">
            <v>UNITED KINGDOM</v>
          </cell>
        </row>
        <row r="2397">
          <cell r="L2397" t="str">
            <v>Non-proportional</v>
          </cell>
          <cell r="S2397">
            <v>3899.17</v>
          </cell>
          <cell r="X2397" t="str">
            <v>Commissions - gross</v>
          </cell>
          <cell r="Y2397" t="str">
            <v>UNITED KINGDOM</v>
          </cell>
        </row>
        <row r="2398">
          <cell r="L2398" t="str">
            <v>Non-proportional</v>
          </cell>
          <cell r="S2398">
            <v>781.25</v>
          </cell>
          <cell r="X2398" t="str">
            <v>Commissions - gross</v>
          </cell>
          <cell r="Y2398" t="str">
            <v>ROMANIA</v>
          </cell>
        </row>
        <row r="2399">
          <cell r="L2399" t="str">
            <v>Non-proportional</v>
          </cell>
          <cell r="S2399">
            <v>1001.51</v>
          </cell>
          <cell r="X2399" t="str">
            <v>Commissions - gross</v>
          </cell>
          <cell r="Y2399" t="str">
            <v>AUSTRIA</v>
          </cell>
        </row>
        <row r="2400">
          <cell r="L2400" t="str">
            <v>Non-proportional</v>
          </cell>
          <cell r="S2400">
            <v>1227.99</v>
          </cell>
          <cell r="X2400" t="str">
            <v>Commissions - gross</v>
          </cell>
          <cell r="Y2400" t="str">
            <v>DENMARK</v>
          </cell>
        </row>
        <row r="2401">
          <cell r="L2401" t="str">
            <v>Non-proportional</v>
          </cell>
          <cell r="S2401">
            <v>1460.25</v>
          </cell>
          <cell r="X2401" t="str">
            <v>Commissions - gross</v>
          </cell>
          <cell r="Y2401" t="str">
            <v>GERMANY</v>
          </cell>
        </row>
        <row r="2402">
          <cell r="L2402" t="str">
            <v>Non-proportional</v>
          </cell>
          <cell r="S2402">
            <v>17.52</v>
          </cell>
          <cell r="X2402" t="str">
            <v>Commissions - gross</v>
          </cell>
          <cell r="Y2402" t="str">
            <v>ITALY</v>
          </cell>
        </row>
        <row r="2403">
          <cell r="L2403" t="str">
            <v>Non-proportional</v>
          </cell>
          <cell r="S2403">
            <v>71.12</v>
          </cell>
          <cell r="X2403" t="str">
            <v>Commissions - gross</v>
          </cell>
          <cell r="Y2403" t="str">
            <v>JAPAN</v>
          </cell>
        </row>
        <row r="2404">
          <cell r="L2404" t="str">
            <v>Non-proportional</v>
          </cell>
          <cell r="S2404">
            <v>193.89</v>
          </cell>
          <cell r="X2404" t="str">
            <v>Commissions - gross</v>
          </cell>
          <cell r="Y2404" t="str">
            <v>REPUBLIC OF IRELAND</v>
          </cell>
        </row>
        <row r="2405">
          <cell r="L2405" t="str">
            <v>Non-proportional</v>
          </cell>
          <cell r="S2405">
            <v>12669.55</v>
          </cell>
          <cell r="X2405" t="str">
            <v>Commissions - gross</v>
          </cell>
          <cell r="Y2405" t="str">
            <v>UNITED KINGDOM</v>
          </cell>
        </row>
        <row r="2406">
          <cell r="L2406" t="str">
            <v>Non-proportional</v>
          </cell>
          <cell r="S2406">
            <v>5205.32</v>
          </cell>
          <cell r="X2406" t="str">
            <v>Commissions - gross</v>
          </cell>
          <cell r="Y2406" t="str">
            <v>UNITED KINGDOM</v>
          </cell>
        </row>
        <row r="2407">
          <cell r="L2407" t="str">
            <v>Non-proportional</v>
          </cell>
          <cell r="S2407">
            <v>455.38</v>
          </cell>
          <cell r="X2407" t="str">
            <v>Commissions - gross</v>
          </cell>
          <cell r="Y2407" t="str">
            <v>REPUBLIC OF IRELAND</v>
          </cell>
        </row>
        <row r="2408">
          <cell r="L2408" t="str">
            <v>Non-proportional</v>
          </cell>
          <cell r="S2408">
            <v>155.36000000000001</v>
          </cell>
          <cell r="X2408" t="str">
            <v>Commissions - gross</v>
          </cell>
          <cell r="Y2408" t="str">
            <v>REPUBLIC OF IRELAND</v>
          </cell>
        </row>
        <row r="2409">
          <cell r="L2409" t="str">
            <v>Non-proportional</v>
          </cell>
          <cell r="S2409">
            <v>633.51</v>
          </cell>
          <cell r="X2409" t="str">
            <v>Commissions - gross</v>
          </cell>
          <cell r="Y2409" t="str">
            <v>GERMANY</v>
          </cell>
        </row>
        <row r="2410">
          <cell r="L2410" t="str">
            <v>Non-proportional</v>
          </cell>
          <cell r="S2410">
            <v>1303.6199999999999</v>
          </cell>
          <cell r="X2410" t="str">
            <v>Commissions - gross</v>
          </cell>
          <cell r="Y2410" t="str">
            <v>UNITED KINGDOM</v>
          </cell>
        </row>
        <row r="2411">
          <cell r="L2411" t="str">
            <v>Non-proportional</v>
          </cell>
          <cell r="S2411">
            <v>86.56</v>
          </cell>
          <cell r="X2411" t="str">
            <v>Commissions - gross</v>
          </cell>
          <cell r="Y2411" t="str">
            <v>ITALY</v>
          </cell>
        </row>
        <row r="2412">
          <cell r="L2412" t="str">
            <v>Non-proportional</v>
          </cell>
          <cell r="S2412">
            <v>500.58</v>
          </cell>
          <cell r="X2412" t="str">
            <v>Commissions - gross</v>
          </cell>
          <cell r="Y2412" t="str">
            <v>FRANCE</v>
          </cell>
        </row>
        <row r="2413">
          <cell r="L2413" t="str">
            <v>Non-proportional</v>
          </cell>
          <cell r="S2413">
            <v>488.25</v>
          </cell>
          <cell r="X2413" t="str">
            <v>Commissions - gross</v>
          </cell>
          <cell r="Y2413" t="str">
            <v>UNITED KINGDOM</v>
          </cell>
        </row>
        <row r="2414">
          <cell r="L2414" t="str">
            <v>Non-proportional</v>
          </cell>
          <cell r="S2414">
            <v>451.14</v>
          </cell>
          <cell r="X2414" t="str">
            <v>Commissions - gross</v>
          </cell>
          <cell r="Y2414" t="str">
            <v>AUSTRIA</v>
          </cell>
        </row>
        <row r="2415">
          <cell r="L2415" t="str">
            <v>Non-proportional</v>
          </cell>
          <cell r="S2415">
            <v>796.5</v>
          </cell>
          <cell r="X2415" t="str">
            <v>Commissions - gross</v>
          </cell>
          <cell r="Y2415" t="str">
            <v>GERMANY</v>
          </cell>
        </row>
        <row r="2416">
          <cell r="L2416" t="str">
            <v>Non-proportional</v>
          </cell>
          <cell r="S2416">
            <v>54.83</v>
          </cell>
          <cell r="X2416" t="str">
            <v>Commissions - gross</v>
          </cell>
          <cell r="Y2416" t="str">
            <v>REPUBLIC OF IRELAND</v>
          </cell>
        </row>
        <row r="2417">
          <cell r="L2417" t="str">
            <v>Non-proportional</v>
          </cell>
          <cell r="S2417">
            <v>835.14</v>
          </cell>
          <cell r="X2417" t="str">
            <v>Commissions - gross</v>
          </cell>
          <cell r="Y2417" t="str">
            <v>DENMARK</v>
          </cell>
        </row>
        <row r="2418">
          <cell r="L2418" t="str">
            <v>Non-proportional</v>
          </cell>
          <cell r="S2418">
            <v>1897.38</v>
          </cell>
          <cell r="X2418" t="str">
            <v>Commissions - gross</v>
          </cell>
          <cell r="Y2418" t="str">
            <v>AUSTRIA</v>
          </cell>
        </row>
        <row r="2419">
          <cell r="L2419" t="str">
            <v>Non-proportional</v>
          </cell>
          <cell r="S2419">
            <v>1207.49</v>
          </cell>
          <cell r="X2419" t="str">
            <v>Commissions - gross</v>
          </cell>
          <cell r="Y2419" t="str">
            <v>FRANCE</v>
          </cell>
        </row>
        <row r="2420">
          <cell r="L2420" t="str">
            <v>Non-proportional</v>
          </cell>
          <cell r="S2420">
            <v>2124.2600000000002</v>
          </cell>
          <cell r="X2420" t="str">
            <v>Commissions - gross</v>
          </cell>
          <cell r="Y2420" t="str">
            <v>SWITZERLAND</v>
          </cell>
        </row>
        <row r="2421">
          <cell r="L2421" t="str">
            <v>Non-proportional</v>
          </cell>
          <cell r="S2421">
            <v>7305.14</v>
          </cell>
          <cell r="X2421" t="str">
            <v>Commissions - gross</v>
          </cell>
          <cell r="Y2421" t="str">
            <v>UNITED KINGDOM</v>
          </cell>
        </row>
        <row r="2422">
          <cell r="L2422" t="str">
            <v>Non-proportional</v>
          </cell>
          <cell r="S2422">
            <v>31452.19</v>
          </cell>
          <cell r="X2422" t="str">
            <v>Commissions - gross</v>
          </cell>
          <cell r="Y2422" t="str">
            <v>UNITED KINGDOM</v>
          </cell>
        </row>
        <row r="2423">
          <cell r="L2423" t="str">
            <v>Non-proportional</v>
          </cell>
          <cell r="S2423">
            <v>4128.5200000000004</v>
          </cell>
          <cell r="X2423" t="str">
            <v>Commissions - gross</v>
          </cell>
          <cell r="Y2423" t="str">
            <v>UNITED KINGDOM</v>
          </cell>
        </row>
        <row r="2424">
          <cell r="L2424" t="str">
            <v>Non-proportional</v>
          </cell>
          <cell r="S2424">
            <v>625</v>
          </cell>
          <cell r="X2424" t="str">
            <v>Commissions - gross</v>
          </cell>
          <cell r="Y2424" t="str">
            <v>GERMANY</v>
          </cell>
        </row>
        <row r="2425">
          <cell r="L2425" t="str">
            <v>Non-proportional</v>
          </cell>
          <cell r="S2425">
            <v>471.47</v>
          </cell>
          <cell r="X2425" t="str">
            <v>Commissions - gross</v>
          </cell>
          <cell r="Y2425" t="str">
            <v>POLAND</v>
          </cell>
        </row>
        <row r="2426">
          <cell r="L2426" t="str">
            <v>Non-proportional</v>
          </cell>
          <cell r="S2426">
            <v>663.84</v>
          </cell>
          <cell r="X2426" t="str">
            <v>Commissions - gross</v>
          </cell>
          <cell r="Y2426" t="str">
            <v>EUROPE</v>
          </cell>
        </row>
        <row r="2427">
          <cell r="L2427" t="str">
            <v>Non-proportional</v>
          </cell>
          <cell r="S2427">
            <v>-0.31</v>
          </cell>
          <cell r="X2427" t="str">
            <v>Commissions - gross</v>
          </cell>
          <cell r="Y2427" t="str">
            <v>DENMARK</v>
          </cell>
        </row>
        <row r="2428">
          <cell r="L2428" t="str">
            <v>Non-proportional</v>
          </cell>
          <cell r="S2428">
            <v>11.25</v>
          </cell>
          <cell r="X2428" t="str">
            <v>Commissions - gross</v>
          </cell>
          <cell r="Y2428" t="str">
            <v>UNITED ARAB EMIRATES</v>
          </cell>
        </row>
        <row r="2429">
          <cell r="L2429" t="str">
            <v>Non-proportional</v>
          </cell>
          <cell r="S2429">
            <v>905.82</v>
          </cell>
          <cell r="X2429" t="str">
            <v>Commissions - gross</v>
          </cell>
          <cell r="Y2429" t="str">
            <v>UNITED KINGDOM</v>
          </cell>
        </row>
        <row r="2430">
          <cell r="L2430" t="str">
            <v>Non-proportional</v>
          </cell>
          <cell r="S2430">
            <v>1304.5</v>
          </cell>
          <cell r="X2430" t="str">
            <v>Commissions - gross</v>
          </cell>
          <cell r="Y2430" t="str">
            <v>UNITED KINGDOM</v>
          </cell>
        </row>
        <row r="2431">
          <cell r="L2431" t="str">
            <v>Non-proportional</v>
          </cell>
          <cell r="S2431">
            <v>445.77</v>
          </cell>
          <cell r="X2431" t="str">
            <v>Commissions - gross</v>
          </cell>
          <cell r="Y2431" t="str">
            <v>DENMARK</v>
          </cell>
        </row>
        <row r="2432">
          <cell r="L2432" t="str">
            <v>Non-proportional</v>
          </cell>
          <cell r="S2432">
            <v>139.06</v>
          </cell>
          <cell r="X2432" t="str">
            <v>Commissions - gross</v>
          </cell>
          <cell r="Y2432" t="str">
            <v>SWITZERLAND</v>
          </cell>
        </row>
        <row r="2433">
          <cell r="L2433" t="str">
            <v>Non-proportional</v>
          </cell>
          <cell r="S2433">
            <v>586.62</v>
          </cell>
          <cell r="X2433" t="str">
            <v>Commissions - gross</v>
          </cell>
          <cell r="Y2433" t="str">
            <v>UNITED KINGDOM</v>
          </cell>
        </row>
        <row r="2434">
          <cell r="L2434" t="str">
            <v>Non-proportional</v>
          </cell>
          <cell r="S2434">
            <v>3032.1</v>
          </cell>
          <cell r="X2434" t="str">
            <v>Commissions - gross</v>
          </cell>
          <cell r="Y2434" t="str">
            <v>UNITED KINGDOM</v>
          </cell>
        </row>
        <row r="2435">
          <cell r="L2435" t="str">
            <v>Non-proportional</v>
          </cell>
          <cell r="S2435">
            <v>2750.03</v>
          </cell>
          <cell r="X2435" t="str">
            <v>Commissions - gross</v>
          </cell>
          <cell r="Y2435" t="str">
            <v>UNITED KINGDOM</v>
          </cell>
        </row>
        <row r="2436">
          <cell r="L2436" t="str">
            <v>Non-proportional</v>
          </cell>
          <cell r="S2436">
            <v>869.69</v>
          </cell>
          <cell r="X2436" t="str">
            <v>Commissions - gross</v>
          </cell>
          <cell r="Y2436" t="str">
            <v>GERMANY</v>
          </cell>
        </row>
        <row r="2437">
          <cell r="L2437" t="str">
            <v>Non-proportional</v>
          </cell>
          <cell r="S2437">
            <v>1642.18</v>
          </cell>
          <cell r="X2437" t="str">
            <v>Commissions - gross</v>
          </cell>
          <cell r="Y2437" t="str">
            <v>SWITZERLAND</v>
          </cell>
        </row>
        <row r="2438">
          <cell r="L2438" t="str">
            <v>Non-proportional</v>
          </cell>
          <cell r="S2438">
            <v>280.23</v>
          </cell>
          <cell r="X2438" t="str">
            <v>Commissions - gross</v>
          </cell>
          <cell r="Y2438" t="str">
            <v>REPUBLIC OF IRELAND</v>
          </cell>
        </row>
        <row r="2439">
          <cell r="L2439" t="str">
            <v>Non-proportional</v>
          </cell>
          <cell r="S2439">
            <v>759</v>
          </cell>
          <cell r="X2439" t="str">
            <v>Commissions - gross</v>
          </cell>
          <cell r="Y2439" t="str">
            <v>GERMANY</v>
          </cell>
        </row>
        <row r="2440">
          <cell r="L2440" t="str">
            <v>Non-proportional</v>
          </cell>
          <cell r="S2440">
            <v>8.33</v>
          </cell>
          <cell r="X2440" t="str">
            <v>Commissions - gross</v>
          </cell>
          <cell r="Y2440" t="str">
            <v>FRANCE</v>
          </cell>
        </row>
        <row r="2441">
          <cell r="L2441" t="str">
            <v>Proportional</v>
          </cell>
          <cell r="S2441">
            <v>77.87</v>
          </cell>
          <cell r="X2441" t="str">
            <v>Commissions - gross</v>
          </cell>
          <cell r="Y2441" t="str">
            <v>UNITED STATES</v>
          </cell>
        </row>
        <row r="2442">
          <cell r="L2442" t="str">
            <v>Non-proportional</v>
          </cell>
          <cell r="S2442">
            <v>1020.94</v>
          </cell>
          <cell r="X2442" t="str">
            <v>Commissions - gross</v>
          </cell>
          <cell r="Y2442" t="str">
            <v>GERMANY</v>
          </cell>
        </row>
        <row r="2443">
          <cell r="L2443" t="str">
            <v>Non-proportional</v>
          </cell>
          <cell r="S2443">
            <v>11205.21</v>
          </cell>
          <cell r="X2443" t="str">
            <v>Commissions - gross</v>
          </cell>
          <cell r="Y2443" t="str">
            <v>FRANCE</v>
          </cell>
        </row>
        <row r="2444">
          <cell r="L2444" t="str">
            <v>Non-proportional</v>
          </cell>
          <cell r="S2444">
            <v>884.49</v>
          </cell>
          <cell r="X2444" t="str">
            <v>Commissions - gross</v>
          </cell>
          <cell r="Y2444" t="str">
            <v>GERMANY</v>
          </cell>
        </row>
        <row r="2445">
          <cell r="L2445" t="str">
            <v>Non-proportional</v>
          </cell>
          <cell r="S2445">
            <v>869.77</v>
          </cell>
          <cell r="X2445" t="str">
            <v>Commissions - gross</v>
          </cell>
          <cell r="Y2445" t="str">
            <v>GERMANY</v>
          </cell>
        </row>
        <row r="2446">
          <cell r="L2446" t="str">
            <v>Non-proportional</v>
          </cell>
          <cell r="S2446">
            <v>589.39</v>
          </cell>
          <cell r="X2446" t="str">
            <v>Commissions - gross</v>
          </cell>
          <cell r="Y2446" t="str">
            <v>AUSTRIA</v>
          </cell>
        </row>
        <row r="2447">
          <cell r="L2447" t="str">
            <v>Proportional</v>
          </cell>
          <cell r="S2447">
            <v>740.21</v>
          </cell>
          <cell r="X2447" t="str">
            <v>Commissions - gross</v>
          </cell>
          <cell r="Y2447" t="str">
            <v>SWITZERLAND</v>
          </cell>
        </row>
        <row r="2448">
          <cell r="L2448" t="str">
            <v>Non-proportional</v>
          </cell>
          <cell r="S2448">
            <v>726.86</v>
          </cell>
          <cell r="X2448" t="str">
            <v>Commissions - gross</v>
          </cell>
          <cell r="Y2448" t="str">
            <v>NORWAY</v>
          </cell>
        </row>
        <row r="2449">
          <cell r="L2449" t="str">
            <v>Non-proportional</v>
          </cell>
          <cell r="S2449">
            <v>709.14</v>
          </cell>
          <cell r="X2449" t="str">
            <v>Commissions - gross</v>
          </cell>
          <cell r="Y2449" t="str">
            <v>NORWAY</v>
          </cell>
        </row>
        <row r="2450">
          <cell r="L2450" t="str">
            <v>Non-proportional</v>
          </cell>
          <cell r="S2450">
            <v>411.76</v>
          </cell>
          <cell r="X2450" t="str">
            <v>Commissions - gross</v>
          </cell>
          <cell r="Y2450" t="str">
            <v>SWITZERLAND</v>
          </cell>
        </row>
        <row r="2451">
          <cell r="L2451" t="str">
            <v>Non-proportional</v>
          </cell>
          <cell r="S2451">
            <v>2941.67</v>
          </cell>
          <cell r="X2451" t="str">
            <v>Commissions - gross</v>
          </cell>
          <cell r="Y2451" t="str">
            <v>EUROPE</v>
          </cell>
        </row>
        <row r="2452">
          <cell r="L2452" t="str">
            <v>Non-proportional</v>
          </cell>
          <cell r="S2452">
            <v>3958.15</v>
          </cell>
          <cell r="X2452" t="str">
            <v>Commissions - gross</v>
          </cell>
          <cell r="Y2452" t="str">
            <v>UNITED KINGDOM</v>
          </cell>
        </row>
        <row r="2453">
          <cell r="L2453" t="str">
            <v>Non-proportional</v>
          </cell>
          <cell r="S2453">
            <v>897.06</v>
          </cell>
          <cell r="X2453" t="str">
            <v>Commissions - gross</v>
          </cell>
          <cell r="Y2453" t="str">
            <v>GERMANY</v>
          </cell>
        </row>
        <row r="2454">
          <cell r="L2454" t="str">
            <v>Non-proportional</v>
          </cell>
          <cell r="S2454">
            <v>789.1</v>
          </cell>
          <cell r="X2454" t="str">
            <v>Commissions - gross</v>
          </cell>
          <cell r="Y2454" t="str">
            <v>DENMARK</v>
          </cell>
        </row>
        <row r="2455">
          <cell r="L2455" t="str">
            <v>Non-proportional</v>
          </cell>
          <cell r="S2455">
            <v>112.5</v>
          </cell>
          <cell r="X2455" t="str">
            <v>Commissions - gross</v>
          </cell>
          <cell r="Y2455" t="str">
            <v>GERMANY</v>
          </cell>
        </row>
        <row r="2456">
          <cell r="L2456" t="str">
            <v>Non-proportional</v>
          </cell>
          <cell r="S2456">
            <v>268.75</v>
          </cell>
          <cell r="X2456" t="str">
            <v>Commissions - gross</v>
          </cell>
          <cell r="Y2456" t="str">
            <v>GERMANY</v>
          </cell>
        </row>
        <row r="2457">
          <cell r="L2457" t="str">
            <v>Non-proportional</v>
          </cell>
          <cell r="S2457">
            <v>27.07</v>
          </cell>
          <cell r="X2457" t="str">
            <v>Commissions - gross</v>
          </cell>
          <cell r="Y2457" t="str">
            <v>ITALY</v>
          </cell>
        </row>
        <row r="2458">
          <cell r="L2458" t="str">
            <v>Non-proportional</v>
          </cell>
          <cell r="S2458">
            <v>791.68</v>
          </cell>
          <cell r="X2458" t="str">
            <v>Commissions - gross</v>
          </cell>
          <cell r="Y2458" t="str">
            <v>GERMANY</v>
          </cell>
        </row>
        <row r="2459">
          <cell r="L2459" t="str">
            <v>Non-proportional</v>
          </cell>
          <cell r="S2459">
            <v>1354.17</v>
          </cell>
          <cell r="X2459" t="str">
            <v>Commissions - gross</v>
          </cell>
          <cell r="Y2459" t="str">
            <v>GERMANY</v>
          </cell>
        </row>
        <row r="2460">
          <cell r="L2460" t="str">
            <v>Non-proportional</v>
          </cell>
          <cell r="S2460">
            <v>1900.43</v>
          </cell>
          <cell r="X2460" t="str">
            <v>Commissions - gross</v>
          </cell>
          <cell r="Y2460" t="str">
            <v>SWEDEN</v>
          </cell>
        </row>
        <row r="2461">
          <cell r="L2461" t="str">
            <v>Non-proportional</v>
          </cell>
          <cell r="S2461">
            <v>67.55</v>
          </cell>
          <cell r="X2461" t="str">
            <v>Commissions - gross</v>
          </cell>
          <cell r="Y2461" t="str">
            <v>SWITZERLAND</v>
          </cell>
        </row>
        <row r="2462">
          <cell r="L2462" t="str">
            <v>Non-proportional</v>
          </cell>
          <cell r="S2462">
            <v>912.9</v>
          </cell>
          <cell r="X2462" t="str">
            <v>Commissions - gross</v>
          </cell>
          <cell r="Y2462" t="str">
            <v>GERMANY</v>
          </cell>
        </row>
        <row r="2463">
          <cell r="L2463" t="str">
            <v>Non-proportional</v>
          </cell>
          <cell r="S2463">
            <v>2075.86</v>
          </cell>
          <cell r="X2463" t="str">
            <v>Commissions - gross</v>
          </cell>
          <cell r="Y2463" t="str">
            <v>EIRE</v>
          </cell>
        </row>
        <row r="2464">
          <cell r="L2464" t="str">
            <v>Non-proportional</v>
          </cell>
          <cell r="S2464">
            <v>308.82</v>
          </cell>
          <cell r="X2464" t="str">
            <v>Commissions - gross</v>
          </cell>
          <cell r="Y2464" t="str">
            <v>SWITZERLAND</v>
          </cell>
        </row>
        <row r="2465">
          <cell r="L2465" t="str">
            <v>Non-proportional</v>
          </cell>
          <cell r="S2465">
            <v>3523.03</v>
          </cell>
          <cell r="X2465" t="str">
            <v>Commissions - gross</v>
          </cell>
          <cell r="Y2465" t="str">
            <v>SPAIN</v>
          </cell>
        </row>
        <row r="2466">
          <cell r="L2466" t="str">
            <v>Non-proportional</v>
          </cell>
          <cell r="S2466">
            <v>314.27</v>
          </cell>
          <cell r="X2466" t="str">
            <v>Commissions - gross</v>
          </cell>
          <cell r="Y2466" t="str">
            <v>ICELAND</v>
          </cell>
        </row>
        <row r="2467">
          <cell r="L2467" t="str">
            <v>Non-proportional</v>
          </cell>
          <cell r="S2467">
            <v>353.03</v>
          </cell>
          <cell r="X2467" t="str">
            <v>Commissions - gross</v>
          </cell>
          <cell r="Y2467" t="str">
            <v>FAROE ISLANDS</v>
          </cell>
        </row>
        <row r="2468">
          <cell r="L2468" t="str">
            <v>Non-proportional</v>
          </cell>
          <cell r="S2468">
            <v>1339.97</v>
          </cell>
          <cell r="X2468" t="str">
            <v>Commissions - gross</v>
          </cell>
          <cell r="Y2468" t="str">
            <v>GERMANY</v>
          </cell>
        </row>
        <row r="2469">
          <cell r="L2469" t="str">
            <v>Non-proportional</v>
          </cell>
          <cell r="S2469">
            <v>2092.4899999999998</v>
          </cell>
          <cell r="X2469" t="str">
            <v>Commissions - gross</v>
          </cell>
          <cell r="Y2469" t="str">
            <v>FRANCE</v>
          </cell>
        </row>
        <row r="2470">
          <cell r="L2470" t="str">
            <v>Non-proportional</v>
          </cell>
          <cell r="S2470">
            <v>146.79</v>
          </cell>
          <cell r="X2470" t="str">
            <v>Commissions - gross</v>
          </cell>
          <cell r="Y2470" t="str">
            <v>REPUBLIC OF IRELAND</v>
          </cell>
        </row>
        <row r="2471">
          <cell r="L2471" t="str">
            <v>Non-proportional</v>
          </cell>
          <cell r="S2471">
            <v>537.14</v>
          </cell>
          <cell r="X2471" t="str">
            <v>Commissions - gross</v>
          </cell>
          <cell r="Y2471" t="str">
            <v>DENMARK</v>
          </cell>
        </row>
        <row r="2472">
          <cell r="L2472" t="str">
            <v>Non-proportional</v>
          </cell>
          <cell r="S2472">
            <v>262.75</v>
          </cell>
          <cell r="X2472" t="str">
            <v>Commissions - gross</v>
          </cell>
          <cell r="Y2472" t="str">
            <v>UNITED KINGDOM</v>
          </cell>
        </row>
        <row r="2473">
          <cell r="L2473" t="str">
            <v>Non-proportional</v>
          </cell>
          <cell r="S2473">
            <v>30.08</v>
          </cell>
          <cell r="X2473" t="str">
            <v>Commissions - gross</v>
          </cell>
          <cell r="Y2473" t="str">
            <v>ITALY</v>
          </cell>
        </row>
        <row r="2474">
          <cell r="L2474" t="str">
            <v>Non-proportional</v>
          </cell>
          <cell r="S2474">
            <v>242.4</v>
          </cell>
          <cell r="X2474" t="str">
            <v>Commissions - gross</v>
          </cell>
          <cell r="Y2474" t="str">
            <v>SWEDEN</v>
          </cell>
        </row>
        <row r="2475">
          <cell r="L2475" t="str">
            <v>Non-proportional</v>
          </cell>
          <cell r="S2475">
            <v>406.15</v>
          </cell>
          <cell r="X2475" t="str">
            <v>Commissions - gross</v>
          </cell>
          <cell r="Y2475" t="str">
            <v>SWITZERLAND</v>
          </cell>
        </row>
        <row r="2476">
          <cell r="L2476" t="str">
            <v>Non-proportional</v>
          </cell>
          <cell r="S2476">
            <v>-0.2</v>
          </cell>
          <cell r="X2476" t="str">
            <v>Commissions - gross</v>
          </cell>
          <cell r="Y2476" t="str">
            <v>SWEDEN</v>
          </cell>
        </row>
        <row r="2477">
          <cell r="L2477" t="str">
            <v>Non-proportional</v>
          </cell>
          <cell r="S2477">
            <v>1213.54</v>
          </cell>
          <cell r="X2477" t="str">
            <v>Commissions - gross</v>
          </cell>
          <cell r="Y2477" t="str">
            <v>UNITED KINGDOM</v>
          </cell>
        </row>
        <row r="2478">
          <cell r="L2478" t="str">
            <v>Non-proportional</v>
          </cell>
          <cell r="S2478">
            <v>1.1000000000000001</v>
          </cell>
          <cell r="X2478" t="str">
            <v>Commissions - gross</v>
          </cell>
          <cell r="Y2478" t="str">
            <v>NORWAY</v>
          </cell>
        </row>
        <row r="2479">
          <cell r="L2479" t="str">
            <v>Non-proportional</v>
          </cell>
          <cell r="S2479">
            <v>871.63</v>
          </cell>
          <cell r="X2479" t="str">
            <v>Commissions - gross</v>
          </cell>
          <cell r="Y2479" t="str">
            <v>UNITED KINGDOM</v>
          </cell>
        </row>
        <row r="2480">
          <cell r="L2480" t="str">
            <v>Non-proportional</v>
          </cell>
          <cell r="S2480">
            <v>-0.23</v>
          </cell>
          <cell r="X2480" t="str">
            <v>Commissions - gross</v>
          </cell>
          <cell r="Y2480" t="str">
            <v>DENMARK</v>
          </cell>
        </row>
        <row r="2481">
          <cell r="L2481" t="str">
            <v>Non-proportional</v>
          </cell>
          <cell r="S2481">
            <v>580.55999999999995</v>
          </cell>
          <cell r="X2481" t="str">
            <v>Commissions - gross</v>
          </cell>
          <cell r="Y2481" t="str">
            <v>DENMARK</v>
          </cell>
        </row>
        <row r="2482">
          <cell r="L2482" t="str">
            <v>Non-proportional</v>
          </cell>
          <cell r="S2482">
            <v>443.98</v>
          </cell>
          <cell r="X2482" t="str">
            <v>Commissions - gross</v>
          </cell>
          <cell r="Y2482" t="str">
            <v>GERMANY</v>
          </cell>
        </row>
        <row r="2483">
          <cell r="L2483" t="str">
            <v>Non-proportional</v>
          </cell>
          <cell r="S2483">
            <v>1463.2</v>
          </cell>
          <cell r="X2483" t="str">
            <v>Commissions - gross</v>
          </cell>
          <cell r="Y2483" t="str">
            <v>GERMANY</v>
          </cell>
        </row>
        <row r="2484">
          <cell r="L2484" t="str">
            <v>Non-proportional</v>
          </cell>
          <cell r="S2484">
            <v>1532.92</v>
          </cell>
          <cell r="X2484" t="str">
            <v>Commissions - gross</v>
          </cell>
          <cell r="Y2484" t="str">
            <v>ITALY</v>
          </cell>
        </row>
        <row r="2485">
          <cell r="L2485" t="str">
            <v>Non-proportional</v>
          </cell>
          <cell r="S2485">
            <v>526.82000000000005</v>
          </cell>
          <cell r="X2485" t="str">
            <v>Commissions - gross</v>
          </cell>
          <cell r="Y2485" t="str">
            <v>NORWAY</v>
          </cell>
        </row>
        <row r="2486">
          <cell r="L2486" t="str">
            <v>Non-proportional</v>
          </cell>
          <cell r="S2486">
            <v>200.4</v>
          </cell>
          <cell r="X2486" t="str">
            <v>Commissions - gross</v>
          </cell>
          <cell r="Y2486" t="str">
            <v>SWITZERLAND</v>
          </cell>
        </row>
        <row r="2487">
          <cell r="L2487" t="str">
            <v>Non-proportional</v>
          </cell>
          <cell r="S2487">
            <v>258.22000000000003</v>
          </cell>
          <cell r="X2487" t="str">
            <v>Commissions - gross</v>
          </cell>
          <cell r="Y2487" t="str">
            <v>JAPAN</v>
          </cell>
        </row>
        <row r="2488">
          <cell r="L2488" t="str">
            <v>Non-proportional</v>
          </cell>
          <cell r="S2488">
            <v>-10.08</v>
          </cell>
          <cell r="X2488" t="str">
            <v>Commissions - gross</v>
          </cell>
          <cell r="Y2488" t="str">
            <v>POLAND</v>
          </cell>
        </row>
        <row r="2489">
          <cell r="L2489" t="str">
            <v>Non-proportional</v>
          </cell>
          <cell r="S2489">
            <v>13062.4</v>
          </cell>
          <cell r="X2489" t="str">
            <v>Commissions - gross</v>
          </cell>
          <cell r="Y2489" t="str">
            <v>UNITED KINGDOM</v>
          </cell>
        </row>
        <row r="2490">
          <cell r="L2490" t="str">
            <v>Non-proportional</v>
          </cell>
          <cell r="S2490">
            <v>331.31</v>
          </cell>
          <cell r="X2490" t="str">
            <v>Commissions - gross</v>
          </cell>
          <cell r="Y2490" t="str">
            <v>EUROPE</v>
          </cell>
        </row>
        <row r="2491">
          <cell r="L2491" t="str">
            <v>Non-proportional</v>
          </cell>
          <cell r="S2491">
            <v>536.25</v>
          </cell>
          <cell r="X2491" t="str">
            <v>Commissions - gross</v>
          </cell>
          <cell r="Y2491" t="str">
            <v>GERMANY</v>
          </cell>
        </row>
        <row r="2492">
          <cell r="L2492" t="str">
            <v>Non-proportional</v>
          </cell>
          <cell r="S2492">
            <v>877.65</v>
          </cell>
          <cell r="X2492" t="str">
            <v>Commissions - gross</v>
          </cell>
          <cell r="Y2492" t="str">
            <v>UNITED KINGDOM</v>
          </cell>
        </row>
        <row r="2493">
          <cell r="L2493" t="str">
            <v>Non-proportional</v>
          </cell>
          <cell r="S2493">
            <v>332.49</v>
          </cell>
          <cell r="X2493" t="str">
            <v>Commissions - gross</v>
          </cell>
          <cell r="Y2493" t="str">
            <v>JAPAN</v>
          </cell>
        </row>
        <row r="2494">
          <cell r="L2494" t="str">
            <v>Non-proportional</v>
          </cell>
          <cell r="S2494">
            <v>3557.03</v>
          </cell>
          <cell r="X2494" t="str">
            <v>Commissions - gross</v>
          </cell>
          <cell r="Y2494" t="str">
            <v>FRANCE</v>
          </cell>
        </row>
        <row r="2495">
          <cell r="L2495" t="str">
            <v>Non-proportional</v>
          </cell>
          <cell r="S2495">
            <v>2070.71</v>
          </cell>
          <cell r="X2495" t="str">
            <v>Commissions - gross</v>
          </cell>
          <cell r="Y2495" t="str">
            <v>EUROPE</v>
          </cell>
        </row>
        <row r="2496">
          <cell r="L2496" t="str">
            <v>Non-proportional</v>
          </cell>
          <cell r="S2496">
            <v>807.28</v>
          </cell>
          <cell r="X2496" t="str">
            <v>Commissions - gross</v>
          </cell>
          <cell r="Y2496" t="str">
            <v>GERMANY</v>
          </cell>
        </row>
        <row r="2497">
          <cell r="L2497" t="str">
            <v>Non-proportional</v>
          </cell>
          <cell r="S2497">
            <v>-0.57999999999999996</v>
          </cell>
          <cell r="X2497" t="str">
            <v>Commissions - gross</v>
          </cell>
          <cell r="Y2497" t="str">
            <v>DENMARK</v>
          </cell>
        </row>
        <row r="2498">
          <cell r="L2498" t="str">
            <v>Non-proportional</v>
          </cell>
          <cell r="S2498">
            <v>540.27</v>
          </cell>
          <cell r="X2498" t="str">
            <v>Commissions - gross</v>
          </cell>
          <cell r="Y2498" t="str">
            <v>UNITED KINGDOM</v>
          </cell>
        </row>
        <row r="2499">
          <cell r="L2499" t="str">
            <v>Non-proportional</v>
          </cell>
          <cell r="S2499">
            <v>2093.5300000000002</v>
          </cell>
          <cell r="X2499" t="str">
            <v>Commissions - gross</v>
          </cell>
          <cell r="Y2499" t="str">
            <v>UNITED KINGDOM</v>
          </cell>
        </row>
        <row r="2500">
          <cell r="L2500" t="str">
            <v>Non-proportional</v>
          </cell>
          <cell r="S2500">
            <v>175.15</v>
          </cell>
          <cell r="X2500" t="str">
            <v>Commissions - gross</v>
          </cell>
          <cell r="Y2500" t="str">
            <v>REPUBLIC OF IRELAND</v>
          </cell>
        </row>
        <row r="2501">
          <cell r="L2501" t="str">
            <v>Non-proportional</v>
          </cell>
          <cell r="S2501">
            <v>588.05999999999995</v>
          </cell>
          <cell r="X2501" t="str">
            <v>Commissions - gross</v>
          </cell>
          <cell r="Y2501" t="str">
            <v>UNITED KINGDOM</v>
          </cell>
        </row>
        <row r="2502">
          <cell r="L2502" t="str">
            <v>Non-proportional</v>
          </cell>
          <cell r="S2502">
            <v>5.48</v>
          </cell>
          <cell r="X2502" t="str">
            <v>Commissions - gross</v>
          </cell>
          <cell r="Y2502" t="str">
            <v>FRANCE</v>
          </cell>
        </row>
        <row r="2503">
          <cell r="L2503" t="str">
            <v>Non-proportional</v>
          </cell>
          <cell r="S2503">
            <v>690.42</v>
          </cell>
          <cell r="X2503" t="str">
            <v>Commissions - gross</v>
          </cell>
          <cell r="Y2503" t="str">
            <v>FRANCE</v>
          </cell>
        </row>
        <row r="2504">
          <cell r="L2504" t="str">
            <v>Non-proportional</v>
          </cell>
          <cell r="S2504">
            <v>2708.21</v>
          </cell>
          <cell r="X2504" t="str">
            <v>Commissions - gross</v>
          </cell>
          <cell r="Y2504" t="str">
            <v>UNITED KINGDOM</v>
          </cell>
        </row>
        <row r="2505">
          <cell r="L2505" t="str">
            <v>Non-proportional</v>
          </cell>
          <cell r="S2505">
            <v>427.54</v>
          </cell>
          <cell r="X2505" t="str">
            <v>Commissions - gross</v>
          </cell>
          <cell r="Y2505" t="str">
            <v>GERMANY</v>
          </cell>
        </row>
        <row r="2506">
          <cell r="L2506" t="str">
            <v>Non-proportional</v>
          </cell>
          <cell r="S2506">
            <v>2269.79</v>
          </cell>
          <cell r="X2506" t="str">
            <v>Commissions - gross</v>
          </cell>
          <cell r="Y2506" t="str">
            <v>UNITED KINGDOM</v>
          </cell>
        </row>
        <row r="2507">
          <cell r="L2507" t="str">
            <v>Non-proportional</v>
          </cell>
          <cell r="S2507">
            <v>2041.67</v>
          </cell>
          <cell r="X2507" t="str">
            <v>Commissions - gross</v>
          </cell>
          <cell r="Y2507" t="str">
            <v>GERMANY</v>
          </cell>
        </row>
        <row r="2508">
          <cell r="L2508" t="str">
            <v>Non-proportional</v>
          </cell>
          <cell r="S2508">
            <v>603.75</v>
          </cell>
          <cell r="X2508" t="str">
            <v>Commissions - gross</v>
          </cell>
          <cell r="Y2508" t="str">
            <v>GERMANY</v>
          </cell>
        </row>
        <row r="2509">
          <cell r="L2509" t="str">
            <v>Non-proportional</v>
          </cell>
          <cell r="S2509">
            <v>1133.26</v>
          </cell>
          <cell r="X2509" t="str">
            <v>Commissions - gross</v>
          </cell>
          <cell r="Y2509" t="str">
            <v>UNITED KINGDOM</v>
          </cell>
        </row>
        <row r="2510">
          <cell r="L2510" t="str">
            <v>Non-proportional</v>
          </cell>
          <cell r="S2510">
            <v>999.97</v>
          </cell>
          <cell r="X2510" t="str">
            <v>Commissions - gross</v>
          </cell>
          <cell r="Y2510" t="str">
            <v>GERMANY</v>
          </cell>
        </row>
        <row r="2511">
          <cell r="L2511" t="str">
            <v>Non-proportional</v>
          </cell>
          <cell r="S2511">
            <v>1300</v>
          </cell>
          <cell r="X2511" t="str">
            <v>Commissions - gross</v>
          </cell>
          <cell r="Y2511" t="str">
            <v>ROMANIA</v>
          </cell>
        </row>
        <row r="2512">
          <cell r="L2512" t="str">
            <v>Non-proportional</v>
          </cell>
          <cell r="S2512">
            <v>140.16999999999999</v>
          </cell>
          <cell r="X2512" t="str">
            <v>Commissions - gross</v>
          </cell>
          <cell r="Y2512" t="str">
            <v>GERMANY</v>
          </cell>
        </row>
        <row r="2513">
          <cell r="L2513" t="str">
            <v>Non-proportional</v>
          </cell>
          <cell r="S2513">
            <v>52.94</v>
          </cell>
          <cell r="X2513" t="str">
            <v>Commissions - gross</v>
          </cell>
          <cell r="Y2513" t="str">
            <v>NORWAY</v>
          </cell>
        </row>
        <row r="2514">
          <cell r="L2514" t="str">
            <v>Non-proportional</v>
          </cell>
          <cell r="S2514">
            <v>1001.09</v>
          </cell>
          <cell r="X2514" t="str">
            <v>Commissions - gross</v>
          </cell>
          <cell r="Y2514" t="str">
            <v>GERMANY</v>
          </cell>
        </row>
        <row r="2515">
          <cell r="L2515" t="str">
            <v>Non-proportional</v>
          </cell>
          <cell r="S2515">
            <v>585.04</v>
          </cell>
          <cell r="X2515" t="str">
            <v>Commissions - gross</v>
          </cell>
          <cell r="Y2515" t="str">
            <v>NORWAY</v>
          </cell>
        </row>
        <row r="2516">
          <cell r="L2516" t="str">
            <v>Non-proportional</v>
          </cell>
          <cell r="S2516">
            <v>-0.38</v>
          </cell>
          <cell r="X2516" t="str">
            <v>Commissions - gross</v>
          </cell>
          <cell r="Y2516" t="str">
            <v>DENMARK</v>
          </cell>
        </row>
        <row r="2517">
          <cell r="L2517" t="str">
            <v>Proportional</v>
          </cell>
          <cell r="S2517">
            <v>83.2</v>
          </cell>
          <cell r="X2517" t="str">
            <v>Commissions - gross</v>
          </cell>
          <cell r="Y2517" t="str">
            <v>EUROPE</v>
          </cell>
        </row>
        <row r="2518">
          <cell r="L2518" t="str">
            <v>Non-proportional</v>
          </cell>
          <cell r="S2518">
            <v>1141.18</v>
          </cell>
          <cell r="X2518" t="str">
            <v>Commissions - gross</v>
          </cell>
          <cell r="Y2518" t="str">
            <v>SWITZERLAND</v>
          </cell>
        </row>
        <row r="2519">
          <cell r="L2519" t="str">
            <v>Non-proportional</v>
          </cell>
          <cell r="S2519">
            <v>2077.06</v>
          </cell>
          <cell r="X2519" t="str">
            <v>Commissions - gross</v>
          </cell>
          <cell r="Y2519" t="str">
            <v>FRANCE</v>
          </cell>
        </row>
        <row r="2520">
          <cell r="L2520" t="str">
            <v>Non-proportional</v>
          </cell>
          <cell r="S2520">
            <v>255.38</v>
          </cell>
          <cell r="X2520" t="str">
            <v>Commissions - gross</v>
          </cell>
          <cell r="Y2520" t="str">
            <v>JAPAN</v>
          </cell>
        </row>
        <row r="2521">
          <cell r="L2521" t="str">
            <v>Non-proportional</v>
          </cell>
          <cell r="S2521">
            <v>1059.49</v>
          </cell>
          <cell r="X2521" t="str">
            <v>Commissions - gross</v>
          </cell>
          <cell r="Y2521" t="str">
            <v>GERMANY</v>
          </cell>
        </row>
        <row r="2522">
          <cell r="L2522" t="str">
            <v>Non-proportional</v>
          </cell>
          <cell r="S2522">
            <v>27.07</v>
          </cell>
          <cell r="X2522" t="str">
            <v>Commissions - gross</v>
          </cell>
          <cell r="Y2522" t="str">
            <v>ITALY</v>
          </cell>
        </row>
        <row r="2523">
          <cell r="L2523" t="str">
            <v>Non-proportional</v>
          </cell>
          <cell r="S2523">
            <v>2385.42</v>
          </cell>
          <cell r="X2523" t="str">
            <v>Commissions - gross</v>
          </cell>
          <cell r="Y2523" t="str">
            <v>AUSTRIA</v>
          </cell>
        </row>
        <row r="2524">
          <cell r="L2524" t="str">
            <v>Non-proportional</v>
          </cell>
          <cell r="S2524">
            <v>242.47</v>
          </cell>
          <cell r="X2524" t="str">
            <v>Commissions - gross</v>
          </cell>
          <cell r="Y2524" t="str">
            <v>SWEDEN</v>
          </cell>
        </row>
        <row r="2525">
          <cell r="L2525" t="str">
            <v>Non-proportional</v>
          </cell>
          <cell r="S2525">
            <v>687.92</v>
          </cell>
          <cell r="X2525" t="str">
            <v>Commissions - gross</v>
          </cell>
          <cell r="Y2525" t="str">
            <v>UNITED KINGDOM</v>
          </cell>
        </row>
        <row r="2526">
          <cell r="L2526" t="str">
            <v>Non-proportional</v>
          </cell>
          <cell r="S2526">
            <v>1140.23</v>
          </cell>
          <cell r="X2526" t="str">
            <v>Commissions - gross</v>
          </cell>
          <cell r="Y2526" t="str">
            <v>SWITZERLAND</v>
          </cell>
        </row>
        <row r="2527">
          <cell r="L2527" t="str">
            <v>Non-proportional</v>
          </cell>
          <cell r="S2527">
            <v>1412</v>
          </cell>
          <cell r="X2527" t="str">
            <v>Commissions - gross</v>
          </cell>
          <cell r="Y2527" t="str">
            <v>AUSTRIA</v>
          </cell>
        </row>
        <row r="2528">
          <cell r="L2528" t="str">
            <v>Non-proportional</v>
          </cell>
          <cell r="S2528">
            <v>207.45</v>
          </cell>
          <cell r="X2528" t="str">
            <v>Commissions - gross</v>
          </cell>
          <cell r="Y2528" t="str">
            <v>SWITZERLAND</v>
          </cell>
        </row>
        <row r="2529">
          <cell r="L2529" t="str">
            <v>Non-proportional</v>
          </cell>
          <cell r="S2529">
            <v>451.14</v>
          </cell>
          <cell r="X2529" t="str">
            <v>Commissions - gross</v>
          </cell>
          <cell r="Y2529" t="str">
            <v>AUSTRIA</v>
          </cell>
        </row>
        <row r="2530">
          <cell r="L2530" t="str">
            <v>Non-proportional</v>
          </cell>
          <cell r="S2530">
            <v>45.13</v>
          </cell>
          <cell r="X2530" t="str">
            <v>Commissions - gross</v>
          </cell>
          <cell r="Y2530" t="str">
            <v>ITALY</v>
          </cell>
        </row>
        <row r="2531">
          <cell r="L2531" t="str">
            <v>Non-proportional</v>
          </cell>
          <cell r="S2531">
            <v>34.5</v>
          </cell>
          <cell r="X2531" t="str">
            <v>Commissions - gross</v>
          </cell>
          <cell r="Y2531" t="str">
            <v>ITALY</v>
          </cell>
        </row>
        <row r="2532">
          <cell r="L2532" t="str">
            <v>Non-proportional</v>
          </cell>
          <cell r="S2532">
            <v>883.77</v>
          </cell>
          <cell r="X2532" t="str">
            <v>Commissions - gross</v>
          </cell>
          <cell r="Y2532" t="str">
            <v>GERMANY</v>
          </cell>
        </row>
        <row r="2533">
          <cell r="L2533" t="str">
            <v>Proportional</v>
          </cell>
          <cell r="S2533">
            <v>-18697.89</v>
          </cell>
          <cell r="X2533" t="str">
            <v>Commissions - gross</v>
          </cell>
          <cell r="Y2533" t="str">
            <v>UNITED KINGDOM</v>
          </cell>
        </row>
        <row r="2534">
          <cell r="L2534" t="str">
            <v>Non-proportional</v>
          </cell>
          <cell r="S2534">
            <v>1870.62</v>
          </cell>
          <cell r="X2534" t="str">
            <v>Commissions - gross</v>
          </cell>
          <cell r="Y2534" t="str">
            <v>GERMANY</v>
          </cell>
        </row>
        <row r="2535">
          <cell r="L2535" t="str">
            <v>Non-proportional</v>
          </cell>
          <cell r="S2535">
            <v>1221.5</v>
          </cell>
          <cell r="X2535" t="str">
            <v>Commissions - gross</v>
          </cell>
          <cell r="Y2535" t="str">
            <v>REPUBLIC OF IRELAND</v>
          </cell>
        </row>
        <row r="2536">
          <cell r="L2536" t="str">
            <v>Non-proportional</v>
          </cell>
          <cell r="S2536">
            <v>228.26</v>
          </cell>
          <cell r="X2536" t="str">
            <v>Commissions - gross</v>
          </cell>
          <cell r="Y2536" t="str">
            <v>UNITED ARAB EMIRATES</v>
          </cell>
        </row>
        <row r="2537">
          <cell r="L2537" t="str">
            <v>Non-proportional</v>
          </cell>
          <cell r="S2537">
            <v>582.55999999999995</v>
          </cell>
          <cell r="X2537" t="str">
            <v>Commissions - gross</v>
          </cell>
          <cell r="Y2537" t="str">
            <v>UNITED KINGDOM</v>
          </cell>
        </row>
        <row r="2538">
          <cell r="L2538" t="str">
            <v>Non-proportional</v>
          </cell>
          <cell r="S2538">
            <v>603.75</v>
          </cell>
          <cell r="X2538" t="str">
            <v>Commissions - gross</v>
          </cell>
          <cell r="Y2538" t="str">
            <v>GERMANY</v>
          </cell>
        </row>
        <row r="2539">
          <cell r="L2539" t="str">
            <v>Non-proportional</v>
          </cell>
          <cell r="S2539">
            <v>1411.78</v>
          </cell>
          <cell r="X2539" t="str">
            <v>Commissions - gross</v>
          </cell>
          <cell r="Y2539" t="str">
            <v>POLAND</v>
          </cell>
        </row>
        <row r="2540">
          <cell r="L2540" t="str">
            <v>Non-proportional</v>
          </cell>
          <cell r="S2540">
            <v>491.24</v>
          </cell>
          <cell r="X2540" t="str">
            <v>Commissions - gross</v>
          </cell>
          <cell r="Y2540" t="str">
            <v>SWITZERLAND</v>
          </cell>
        </row>
        <row r="2541">
          <cell r="L2541" t="str">
            <v>Non-proportional</v>
          </cell>
          <cell r="S2541">
            <v>2305.9</v>
          </cell>
          <cell r="X2541" t="str">
            <v>Commissions - gross</v>
          </cell>
          <cell r="Y2541" t="str">
            <v>FRANCE</v>
          </cell>
        </row>
        <row r="2542">
          <cell r="L2542" t="str">
            <v>Non-proportional</v>
          </cell>
          <cell r="S2542">
            <v>175.15</v>
          </cell>
          <cell r="X2542" t="str">
            <v>Commissions - gross</v>
          </cell>
          <cell r="Y2542" t="str">
            <v>REPUBLIC OF IRELAND</v>
          </cell>
        </row>
        <row r="2543">
          <cell r="L2543" t="str">
            <v>Non-proportional</v>
          </cell>
          <cell r="S2543">
            <v>373.12</v>
          </cell>
          <cell r="X2543" t="str">
            <v>Commissions - gross</v>
          </cell>
          <cell r="Y2543" t="str">
            <v>UNITED KINGDOM</v>
          </cell>
        </row>
        <row r="2544">
          <cell r="L2544" t="str">
            <v>Non-proportional</v>
          </cell>
          <cell r="S2544">
            <v>12940.35</v>
          </cell>
          <cell r="X2544" t="str">
            <v>Commissions - gross</v>
          </cell>
          <cell r="Y2544" t="str">
            <v>UNITED KINGDOM</v>
          </cell>
        </row>
        <row r="2545">
          <cell r="L2545" t="str">
            <v>Non-proportional</v>
          </cell>
          <cell r="S2545">
            <v>1832.81</v>
          </cell>
          <cell r="X2545" t="str">
            <v>Commissions - gross</v>
          </cell>
          <cell r="Y2545" t="str">
            <v>UNITED KINGDOM</v>
          </cell>
        </row>
        <row r="2546">
          <cell r="L2546" t="str">
            <v>Non-proportional</v>
          </cell>
          <cell r="S2546">
            <v>3462.18</v>
          </cell>
          <cell r="X2546" t="str">
            <v>Commissions - gross</v>
          </cell>
          <cell r="Y2546" t="str">
            <v>UNITED KINGDOM</v>
          </cell>
        </row>
        <row r="2547">
          <cell r="L2547" t="str">
            <v>Non-proportional</v>
          </cell>
          <cell r="S2547">
            <v>112.23</v>
          </cell>
          <cell r="X2547" t="str">
            <v>Commissions - gross</v>
          </cell>
          <cell r="Y2547" t="str">
            <v>ITALY</v>
          </cell>
        </row>
        <row r="2548">
          <cell r="L2548" t="str">
            <v>Non-proportional</v>
          </cell>
          <cell r="S2548">
            <v>897.06</v>
          </cell>
          <cell r="X2548" t="str">
            <v>Commissions - gross</v>
          </cell>
          <cell r="Y2548" t="str">
            <v>GERMANY</v>
          </cell>
        </row>
        <row r="2549">
          <cell r="L2549" t="str">
            <v>Non-proportional</v>
          </cell>
          <cell r="S2549">
            <v>1460.25</v>
          </cell>
          <cell r="X2549" t="str">
            <v>Commissions - gross</v>
          </cell>
          <cell r="Y2549" t="str">
            <v>GERMANY</v>
          </cell>
        </row>
        <row r="2550">
          <cell r="L2550" t="str">
            <v>Non-proportional</v>
          </cell>
          <cell r="S2550">
            <v>82.05</v>
          </cell>
          <cell r="X2550" t="str">
            <v>Commissions - gross</v>
          </cell>
          <cell r="Y2550" t="str">
            <v>GERMANY</v>
          </cell>
        </row>
        <row r="2551">
          <cell r="L2551" t="str">
            <v>Non-proportional</v>
          </cell>
          <cell r="S2551">
            <v>1228.02</v>
          </cell>
          <cell r="X2551" t="str">
            <v>Commissions - gross</v>
          </cell>
          <cell r="Y2551" t="str">
            <v>DENMARK</v>
          </cell>
        </row>
        <row r="2552">
          <cell r="L2552" t="str">
            <v>Non-proportional</v>
          </cell>
          <cell r="S2552">
            <v>730.41</v>
          </cell>
          <cell r="X2552" t="str">
            <v>Commissions - gross</v>
          </cell>
          <cell r="Y2552" t="str">
            <v>FAROE ISLANDS</v>
          </cell>
        </row>
        <row r="2553">
          <cell r="L2553" t="str">
            <v>Non-proportional</v>
          </cell>
          <cell r="S2553">
            <v>3450.2</v>
          </cell>
          <cell r="X2553" t="str">
            <v>Commissions - gross</v>
          </cell>
          <cell r="Y2553" t="str">
            <v>CZECH REPUBLIC</v>
          </cell>
        </row>
        <row r="2554">
          <cell r="L2554" t="str">
            <v>Non-proportional</v>
          </cell>
          <cell r="S2554">
            <v>-0.28000000000000003</v>
          </cell>
          <cell r="X2554" t="str">
            <v>Commissions - gross</v>
          </cell>
          <cell r="Y2554" t="str">
            <v>DENMARK</v>
          </cell>
        </row>
        <row r="2555">
          <cell r="L2555" t="str">
            <v>Non-proportional</v>
          </cell>
          <cell r="S2555">
            <v>235.75</v>
          </cell>
          <cell r="X2555" t="str">
            <v>Commissions - gross</v>
          </cell>
          <cell r="Y2555" t="str">
            <v>GERMANY</v>
          </cell>
        </row>
        <row r="2556">
          <cell r="L2556" t="str">
            <v>Non-proportional</v>
          </cell>
          <cell r="S2556">
            <v>796.5</v>
          </cell>
          <cell r="X2556" t="str">
            <v>Commissions - gross</v>
          </cell>
          <cell r="Y2556" t="str">
            <v>GERMANY</v>
          </cell>
        </row>
        <row r="2557">
          <cell r="L2557" t="str">
            <v>Proportional</v>
          </cell>
          <cell r="S2557">
            <v>138.4</v>
          </cell>
          <cell r="X2557" t="str">
            <v>Commissions - gross</v>
          </cell>
          <cell r="Y2557" t="str">
            <v>EUROPE</v>
          </cell>
        </row>
        <row r="2558">
          <cell r="L2558" t="str">
            <v>Non-proportional</v>
          </cell>
          <cell r="S2558">
            <v>332.98</v>
          </cell>
          <cell r="X2558" t="str">
            <v>Commissions - gross</v>
          </cell>
          <cell r="Y2558" t="str">
            <v>GERMANY</v>
          </cell>
        </row>
        <row r="2559">
          <cell r="L2559" t="str">
            <v>Non-proportional</v>
          </cell>
          <cell r="S2559">
            <v>1207.49</v>
          </cell>
          <cell r="X2559" t="str">
            <v>Commissions - gross</v>
          </cell>
          <cell r="Y2559" t="str">
            <v>FRANCE</v>
          </cell>
        </row>
        <row r="2560">
          <cell r="L2560" t="str">
            <v>Non-proportional</v>
          </cell>
          <cell r="S2560">
            <v>633.51</v>
          </cell>
          <cell r="X2560" t="str">
            <v>Commissions - gross</v>
          </cell>
          <cell r="Y2560" t="str">
            <v>GERMANY</v>
          </cell>
        </row>
        <row r="2561">
          <cell r="L2561" t="str">
            <v>Non-proportional</v>
          </cell>
          <cell r="S2561">
            <v>869.69</v>
          </cell>
          <cell r="X2561" t="str">
            <v>Commissions - gross</v>
          </cell>
          <cell r="Y2561" t="str">
            <v>GERMANY</v>
          </cell>
        </row>
        <row r="2562">
          <cell r="L2562" t="str">
            <v>Non-proportional</v>
          </cell>
          <cell r="S2562">
            <v>2588.63</v>
          </cell>
          <cell r="X2562" t="str">
            <v>Commissions - gross</v>
          </cell>
          <cell r="Y2562" t="str">
            <v>CZECH REPUBLIC</v>
          </cell>
        </row>
        <row r="2563">
          <cell r="L2563" t="str">
            <v>Non-proportional</v>
          </cell>
          <cell r="S2563">
            <v>558.63</v>
          </cell>
          <cell r="X2563" t="str">
            <v>Commissions - gross</v>
          </cell>
          <cell r="Y2563" t="str">
            <v>GERMANY</v>
          </cell>
        </row>
        <row r="2564">
          <cell r="L2564" t="str">
            <v>Non-proportional</v>
          </cell>
          <cell r="S2564">
            <v>854</v>
          </cell>
          <cell r="X2564" t="str">
            <v>Commissions - gross</v>
          </cell>
          <cell r="Y2564" t="str">
            <v>DENMARK</v>
          </cell>
        </row>
        <row r="2565">
          <cell r="L2565" t="str">
            <v>Non-proportional</v>
          </cell>
          <cell r="S2565">
            <v>360.1</v>
          </cell>
          <cell r="X2565" t="str">
            <v>Commissions - gross</v>
          </cell>
          <cell r="Y2565" t="str">
            <v>FAROE ISLANDS</v>
          </cell>
        </row>
        <row r="2566">
          <cell r="L2566" t="str">
            <v>Non-proportional</v>
          </cell>
          <cell r="S2566">
            <v>483.68</v>
          </cell>
          <cell r="X2566" t="str">
            <v>Commissions - gross</v>
          </cell>
          <cell r="Y2566" t="str">
            <v>UNITED KINGDOM</v>
          </cell>
        </row>
        <row r="2567">
          <cell r="L2567" t="str">
            <v>Non-proportional</v>
          </cell>
          <cell r="S2567">
            <v>580.58000000000004</v>
          </cell>
          <cell r="X2567" t="str">
            <v>Commissions - gross</v>
          </cell>
          <cell r="Y2567" t="str">
            <v>DENMARK</v>
          </cell>
        </row>
        <row r="2568">
          <cell r="L2568" t="str">
            <v>Proportional</v>
          </cell>
          <cell r="S2568">
            <v>55.36</v>
          </cell>
          <cell r="X2568" t="str">
            <v>Commissions - gross</v>
          </cell>
          <cell r="Y2568" t="str">
            <v>UNITED STATES</v>
          </cell>
        </row>
        <row r="2569">
          <cell r="L2569" t="str">
            <v>Non-proportional</v>
          </cell>
          <cell r="S2569">
            <v>3734.6</v>
          </cell>
          <cell r="X2569" t="str">
            <v>Commissions - gross</v>
          </cell>
          <cell r="Y2569" t="str">
            <v>FRANCE</v>
          </cell>
        </row>
        <row r="2570">
          <cell r="L2570" t="str">
            <v>Non-proportional</v>
          </cell>
          <cell r="S2570">
            <v>260.29000000000002</v>
          </cell>
          <cell r="X2570" t="str">
            <v>Commissions - gross</v>
          </cell>
          <cell r="Y2570" t="str">
            <v>UNITED KINGDOM</v>
          </cell>
        </row>
        <row r="2571">
          <cell r="L2571" t="str">
            <v>Non-proportional</v>
          </cell>
          <cell r="S2571">
            <v>2941.67</v>
          </cell>
          <cell r="X2571" t="str">
            <v>Commissions - gross</v>
          </cell>
          <cell r="Y2571" t="str">
            <v>EUROPE</v>
          </cell>
        </row>
        <row r="2572">
          <cell r="L2572" t="str">
            <v>Non-proportional</v>
          </cell>
          <cell r="S2572">
            <v>2575.73</v>
          </cell>
          <cell r="X2572" t="str">
            <v>Commissions - gross</v>
          </cell>
          <cell r="Y2572" t="str">
            <v>UNITED KINGDOM</v>
          </cell>
        </row>
        <row r="2573">
          <cell r="L2573" t="str">
            <v>Non-proportional</v>
          </cell>
          <cell r="S2573">
            <v>571.76</v>
          </cell>
          <cell r="X2573" t="str">
            <v>Commissions - gross</v>
          </cell>
          <cell r="Y2573" t="str">
            <v>GERMANY</v>
          </cell>
        </row>
        <row r="2574">
          <cell r="L2574" t="str">
            <v>Non-proportional</v>
          </cell>
          <cell r="S2574">
            <v>577.05999999999995</v>
          </cell>
          <cell r="X2574" t="str">
            <v>Commissions - gross</v>
          </cell>
          <cell r="Y2574" t="str">
            <v>SWEDEN</v>
          </cell>
        </row>
        <row r="2575">
          <cell r="L2575" t="str">
            <v>Non-proportional</v>
          </cell>
          <cell r="S2575">
            <v>999.97</v>
          </cell>
          <cell r="X2575" t="str">
            <v>Commissions - gross</v>
          </cell>
          <cell r="Y2575" t="str">
            <v>GERMANY</v>
          </cell>
        </row>
        <row r="2576">
          <cell r="L2576" t="str">
            <v>Non-proportional</v>
          </cell>
          <cell r="S2576">
            <v>-1.59</v>
          </cell>
          <cell r="X2576" t="str">
            <v>Commissions - gross</v>
          </cell>
          <cell r="Y2576" t="str">
            <v>SWEDEN</v>
          </cell>
        </row>
        <row r="2577">
          <cell r="L2577" t="str">
            <v>Non-proportional</v>
          </cell>
          <cell r="S2577">
            <v>250.06</v>
          </cell>
          <cell r="X2577" t="str">
            <v>Commissions - gross</v>
          </cell>
          <cell r="Y2577" t="str">
            <v>GERMANY</v>
          </cell>
        </row>
        <row r="2578">
          <cell r="L2578" t="str">
            <v>Non-proportional</v>
          </cell>
          <cell r="S2578">
            <v>7842.39</v>
          </cell>
          <cell r="X2578" t="str">
            <v>Commissions - gross</v>
          </cell>
          <cell r="Y2578" t="str">
            <v>UNITED KINGDOM</v>
          </cell>
        </row>
        <row r="2579">
          <cell r="L2579" t="str">
            <v>Non-proportional</v>
          </cell>
          <cell r="S2579">
            <v>343.7</v>
          </cell>
          <cell r="X2579" t="str">
            <v>Commissions - gross</v>
          </cell>
          <cell r="Y2579" t="str">
            <v>EUROPE</v>
          </cell>
        </row>
        <row r="2580">
          <cell r="L2580" t="str">
            <v>Non-proportional</v>
          </cell>
          <cell r="S2580">
            <v>2073.96</v>
          </cell>
          <cell r="X2580" t="str">
            <v>Commissions - gross</v>
          </cell>
          <cell r="Y2580" t="str">
            <v>UNITED KINGDOM</v>
          </cell>
        </row>
        <row r="2581">
          <cell r="L2581" t="str">
            <v>Non-proportional</v>
          </cell>
          <cell r="S2581">
            <v>2249.54</v>
          </cell>
          <cell r="X2581" t="str">
            <v>Commissions - gross</v>
          </cell>
          <cell r="Y2581" t="str">
            <v>CZECH REPUBLIC</v>
          </cell>
        </row>
        <row r="2582">
          <cell r="L2582" t="str">
            <v>Non-proportional</v>
          </cell>
          <cell r="S2582">
            <v>-0.42</v>
          </cell>
          <cell r="X2582" t="str">
            <v>Commissions - gross</v>
          </cell>
          <cell r="Y2582" t="str">
            <v>DENMARK</v>
          </cell>
        </row>
        <row r="2583">
          <cell r="L2583" t="str">
            <v>Non-proportional</v>
          </cell>
          <cell r="S2583">
            <v>781.25</v>
          </cell>
          <cell r="X2583" t="str">
            <v>Commissions - gross</v>
          </cell>
          <cell r="Y2583" t="str">
            <v>ROMANIA</v>
          </cell>
        </row>
        <row r="2584">
          <cell r="L2584" t="str">
            <v>Non-proportional</v>
          </cell>
          <cell r="S2584">
            <v>789.12</v>
          </cell>
          <cell r="X2584" t="str">
            <v>Commissions - gross</v>
          </cell>
          <cell r="Y2584" t="str">
            <v>DENMARK</v>
          </cell>
        </row>
        <row r="2585">
          <cell r="L2585" t="str">
            <v>Non-proportional</v>
          </cell>
          <cell r="S2585">
            <v>155.36000000000001</v>
          </cell>
          <cell r="X2585" t="str">
            <v>Commissions - gross</v>
          </cell>
          <cell r="Y2585" t="str">
            <v>REPUBLIC OF IRELAND</v>
          </cell>
        </row>
        <row r="2586">
          <cell r="L2586" t="str">
            <v>Non-proportional</v>
          </cell>
          <cell r="S2586">
            <v>1209.25</v>
          </cell>
          <cell r="X2586" t="str">
            <v>Commissions - gross</v>
          </cell>
          <cell r="Y2586" t="str">
            <v>UNITED KINGDOM</v>
          </cell>
        </row>
        <row r="2587">
          <cell r="L2587" t="str">
            <v>Proportional</v>
          </cell>
          <cell r="S2587">
            <v>128.93</v>
          </cell>
          <cell r="X2587" t="str">
            <v>Commissions - gross</v>
          </cell>
          <cell r="Y2587" t="str">
            <v>UNITED STATES</v>
          </cell>
        </row>
        <row r="2588">
          <cell r="L2588" t="str">
            <v>Non-proportional</v>
          </cell>
          <cell r="S2588">
            <v>138.4</v>
          </cell>
          <cell r="X2588" t="str">
            <v>Commissions - gross</v>
          </cell>
          <cell r="Y2588" t="str">
            <v>SWITZERLAND</v>
          </cell>
        </row>
        <row r="2589">
          <cell r="L2589" t="str">
            <v>Non-proportional</v>
          </cell>
          <cell r="S2589">
            <v>1760.9</v>
          </cell>
          <cell r="X2589" t="str">
            <v>Commissions - gross</v>
          </cell>
          <cell r="Y2589" t="str">
            <v>AUSTRIA</v>
          </cell>
        </row>
        <row r="2590">
          <cell r="L2590" t="str">
            <v>Non-proportional</v>
          </cell>
          <cell r="S2590">
            <v>897.36</v>
          </cell>
          <cell r="X2590" t="str">
            <v>Commissions - gross</v>
          </cell>
          <cell r="Y2590" t="str">
            <v>UNITED KINGDOM</v>
          </cell>
        </row>
        <row r="2591">
          <cell r="L2591" t="str">
            <v>Non-proportional</v>
          </cell>
          <cell r="S2591">
            <v>281.62</v>
          </cell>
          <cell r="X2591" t="str">
            <v>Commissions - gross</v>
          </cell>
          <cell r="Y2591" t="str">
            <v>FRANCE</v>
          </cell>
        </row>
        <row r="2592">
          <cell r="L2592" t="str">
            <v>Non-proportional</v>
          </cell>
          <cell r="S2592">
            <v>108.84</v>
          </cell>
          <cell r="X2592" t="str">
            <v>Commissions - gross</v>
          </cell>
          <cell r="Y2592" t="str">
            <v>DENMARK</v>
          </cell>
        </row>
        <row r="2593">
          <cell r="L2593" t="str">
            <v>Non-proportional</v>
          </cell>
          <cell r="S2593">
            <v>110.8</v>
          </cell>
          <cell r="X2593" t="str">
            <v>Commissions - gross</v>
          </cell>
          <cell r="Y2593" t="str">
            <v>AUSTRIA</v>
          </cell>
        </row>
        <row r="2594">
          <cell r="L2594" t="str">
            <v>Non-proportional</v>
          </cell>
          <cell r="S2594">
            <v>4824.59</v>
          </cell>
          <cell r="X2594" t="str">
            <v>Commissions - gross</v>
          </cell>
          <cell r="Y2594" t="str">
            <v>UNITED KINGDOM</v>
          </cell>
        </row>
        <row r="2595">
          <cell r="L2595" t="str">
            <v>Non-proportional</v>
          </cell>
          <cell r="S2595">
            <v>1994.99</v>
          </cell>
          <cell r="X2595" t="str">
            <v>Commissions - gross</v>
          </cell>
          <cell r="Y2595" t="str">
            <v>UNITED KINGDOM</v>
          </cell>
        </row>
        <row r="2596">
          <cell r="L2596" t="str">
            <v>Non-proportional</v>
          </cell>
          <cell r="S2596">
            <v>411.42</v>
          </cell>
          <cell r="X2596" t="str">
            <v>Commissions - gross</v>
          </cell>
          <cell r="Y2596" t="str">
            <v>SWITZERLAND</v>
          </cell>
        </row>
        <row r="2597">
          <cell r="L2597" t="str">
            <v>Non-proportional</v>
          </cell>
          <cell r="S2597">
            <v>447.73</v>
          </cell>
          <cell r="X2597" t="str">
            <v>Commissions - gross</v>
          </cell>
          <cell r="Y2597" t="str">
            <v>UNITED KINGDOM</v>
          </cell>
        </row>
        <row r="2598">
          <cell r="L2598" t="str">
            <v>Non-proportional</v>
          </cell>
          <cell r="S2598">
            <v>5531.21</v>
          </cell>
          <cell r="X2598" t="str">
            <v>Commissions - gross</v>
          </cell>
          <cell r="Y2598" t="str">
            <v>UNITED KINGDOM</v>
          </cell>
        </row>
        <row r="2599">
          <cell r="L2599" t="str">
            <v>Non-proportional</v>
          </cell>
          <cell r="S2599">
            <v>807.28</v>
          </cell>
          <cell r="X2599" t="str">
            <v>Commissions - gross</v>
          </cell>
          <cell r="Y2599" t="str">
            <v>GERMANY</v>
          </cell>
        </row>
        <row r="2600">
          <cell r="L2600" t="str">
            <v>Non-proportional</v>
          </cell>
          <cell r="S2600">
            <v>774.74</v>
          </cell>
          <cell r="X2600" t="str">
            <v>Commissions - gross</v>
          </cell>
          <cell r="Y2600" t="str">
            <v>GERMANY</v>
          </cell>
        </row>
        <row r="2601">
          <cell r="L2601" t="str">
            <v>Non-proportional</v>
          </cell>
          <cell r="S2601">
            <v>1001.09</v>
          </cell>
          <cell r="X2601" t="str">
            <v>Commissions - gross</v>
          </cell>
          <cell r="Y2601" t="str">
            <v>GERMANY</v>
          </cell>
        </row>
        <row r="2602">
          <cell r="L2602" t="str">
            <v>Non-proportional</v>
          </cell>
          <cell r="S2602">
            <v>-3.36</v>
          </cell>
          <cell r="X2602" t="str">
            <v>Commissions - gross</v>
          </cell>
          <cell r="Y2602" t="str">
            <v>POLAND</v>
          </cell>
        </row>
        <row r="2603">
          <cell r="L2603" t="str">
            <v>Non-proportional</v>
          </cell>
          <cell r="S2603">
            <v>5720.32</v>
          </cell>
          <cell r="X2603" t="str">
            <v>Commissions - gross</v>
          </cell>
          <cell r="Y2603" t="str">
            <v>UNITED KINGDOM</v>
          </cell>
        </row>
        <row r="2604">
          <cell r="L2604" t="str">
            <v>Non-proportional</v>
          </cell>
          <cell r="S2604">
            <v>331.31</v>
          </cell>
          <cell r="X2604" t="str">
            <v>Commissions - gross</v>
          </cell>
          <cell r="Y2604" t="str">
            <v>EUROPE</v>
          </cell>
        </row>
        <row r="2605">
          <cell r="L2605" t="str">
            <v>Non-proportional</v>
          </cell>
          <cell r="S2605">
            <v>218.04</v>
          </cell>
          <cell r="X2605" t="str">
            <v>Commissions - gross</v>
          </cell>
          <cell r="Y2605" t="str">
            <v>SPAIN</v>
          </cell>
        </row>
        <row r="2606">
          <cell r="L2606" t="str">
            <v>Non-proportional</v>
          </cell>
          <cell r="S2606">
            <v>1532.92</v>
          </cell>
          <cell r="X2606" t="str">
            <v>Commissions - gross</v>
          </cell>
          <cell r="Y2606" t="str">
            <v>ITALY</v>
          </cell>
        </row>
        <row r="2607">
          <cell r="L2607" t="str">
            <v>Non-proportional</v>
          </cell>
          <cell r="S2607">
            <v>5553.92</v>
          </cell>
          <cell r="X2607" t="str">
            <v>Commissions - gross</v>
          </cell>
          <cell r="Y2607" t="str">
            <v>UNITED KINGDOM</v>
          </cell>
        </row>
        <row r="2608">
          <cell r="L2608" t="str">
            <v>Non-proportional</v>
          </cell>
          <cell r="S2608">
            <v>4375</v>
          </cell>
          <cell r="X2608" t="str">
            <v>Commissions - gross</v>
          </cell>
          <cell r="Y2608" t="str">
            <v>GERMANY</v>
          </cell>
        </row>
        <row r="2609">
          <cell r="L2609" t="str">
            <v>Non-proportional</v>
          </cell>
          <cell r="S2609">
            <v>1105.92</v>
          </cell>
          <cell r="X2609" t="str">
            <v>Commissions - gross</v>
          </cell>
          <cell r="Y2609" t="str">
            <v>DENMARK</v>
          </cell>
        </row>
        <row r="2610">
          <cell r="L2610" t="str">
            <v>Non-proportional</v>
          </cell>
          <cell r="S2610">
            <v>1.05</v>
          </cell>
          <cell r="X2610" t="str">
            <v>Commissions - gross</v>
          </cell>
          <cell r="Y2610" t="str">
            <v>JAPAN</v>
          </cell>
        </row>
        <row r="2611">
          <cell r="L2611" t="str">
            <v>Non-proportional</v>
          </cell>
          <cell r="S2611">
            <v>263.73</v>
          </cell>
          <cell r="X2611" t="str">
            <v>Commissions - gross</v>
          </cell>
          <cell r="Y2611" t="str">
            <v>GERMANY</v>
          </cell>
        </row>
        <row r="2612">
          <cell r="L2612" t="str">
            <v>Non-proportional</v>
          </cell>
          <cell r="S2612">
            <v>445.78</v>
          </cell>
          <cell r="X2612" t="str">
            <v>Commissions - gross</v>
          </cell>
          <cell r="Y2612" t="str">
            <v>DENMARK</v>
          </cell>
        </row>
        <row r="2613">
          <cell r="L2613" t="str">
            <v>Non-proportional</v>
          </cell>
          <cell r="S2613">
            <v>455.38</v>
          </cell>
          <cell r="X2613" t="str">
            <v>Commissions - gross</v>
          </cell>
          <cell r="Y2613" t="str">
            <v>REPUBLIC OF IRELAND</v>
          </cell>
        </row>
        <row r="2614">
          <cell r="L2614" t="str">
            <v>Non-proportional</v>
          </cell>
          <cell r="S2614">
            <v>648.04</v>
          </cell>
          <cell r="X2614" t="str">
            <v>Commissions - gross</v>
          </cell>
          <cell r="Y2614" t="str">
            <v>REPUBLIC OF IRELAND</v>
          </cell>
        </row>
        <row r="2615">
          <cell r="L2615" t="str">
            <v>Non-proportional</v>
          </cell>
          <cell r="S2615">
            <v>2092.4899999999998</v>
          </cell>
          <cell r="X2615" t="str">
            <v>Commissions - gross</v>
          </cell>
          <cell r="Y2615" t="str">
            <v>FRANCE</v>
          </cell>
        </row>
        <row r="2616">
          <cell r="L2616" t="str">
            <v>Non-proportional</v>
          </cell>
          <cell r="S2616">
            <v>31.36</v>
          </cell>
          <cell r="X2616" t="str">
            <v>Commissions - gross</v>
          </cell>
          <cell r="Y2616" t="str">
            <v>DENMARK</v>
          </cell>
        </row>
        <row r="2617">
          <cell r="L2617" t="str">
            <v>Non-proportional</v>
          </cell>
          <cell r="S2617">
            <v>1890</v>
          </cell>
          <cell r="X2617" t="str">
            <v>Commissions - gross</v>
          </cell>
          <cell r="Y2617" t="str">
            <v>ROMANIA</v>
          </cell>
        </row>
        <row r="2618">
          <cell r="L2618" t="str">
            <v>Non-proportional</v>
          </cell>
          <cell r="S2618">
            <v>5.15</v>
          </cell>
          <cell r="X2618" t="str">
            <v>Commissions - gross</v>
          </cell>
          <cell r="Y2618" t="str">
            <v>UNITED ARAB EMIRATES</v>
          </cell>
        </row>
        <row r="2619">
          <cell r="L2619" t="str">
            <v>Non-proportional</v>
          </cell>
          <cell r="S2619">
            <v>818</v>
          </cell>
          <cell r="X2619" t="str">
            <v>Commissions - gross</v>
          </cell>
          <cell r="Y2619" t="str">
            <v>POLAND</v>
          </cell>
        </row>
        <row r="2620">
          <cell r="L2620" t="str">
            <v>Non-proportional</v>
          </cell>
          <cell r="S2620">
            <v>3372.64</v>
          </cell>
          <cell r="X2620" t="str">
            <v>Commissions - gross</v>
          </cell>
          <cell r="Y2620" t="str">
            <v>FRANCE</v>
          </cell>
        </row>
        <row r="2621">
          <cell r="L2621" t="str">
            <v>Non-proportional</v>
          </cell>
          <cell r="S2621">
            <v>310.73</v>
          </cell>
          <cell r="X2621" t="str">
            <v>Commissions - gross</v>
          </cell>
          <cell r="Y2621" t="str">
            <v>GERMANY</v>
          </cell>
        </row>
        <row r="2622">
          <cell r="L2622" t="str">
            <v>Non-proportional</v>
          </cell>
          <cell r="S2622">
            <v>368.75</v>
          </cell>
          <cell r="X2622" t="str">
            <v>Commissions - gross</v>
          </cell>
          <cell r="Y2622" t="str">
            <v>GERMANY</v>
          </cell>
        </row>
        <row r="2623">
          <cell r="L2623" t="str">
            <v>Non-proportional</v>
          </cell>
          <cell r="S2623">
            <v>1632.68</v>
          </cell>
          <cell r="X2623" t="str">
            <v>Commissions - gross</v>
          </cell>
          <cell r="Y2623" t="str">
            <v>DENMARK</v>
          </cell>
        </row>
        <row r="2624">
          <cell r="L2624" t="str">
            <v>Proportional</v>
          </cell>
          <cell r="S2624">
            <v>688.5</v>
          </cell>
          <cell r="X2624" t="str">
            <v>Commissions - gross</v>
          </cell>
          <cell r="Y2624" t="str">
            <v>UNITED STATES</v>
          </cell>
        </row>
        <row r="2625">
          <cell r="L2625" t="str">
            <v>Non-proportional</v>
          </cell>
          <cell r="S2625">
            <v>956.7</v>
          </cell>
          <cell r="X2625" t="str">
            <v>Commissions - gross</v>
          </cell>
          <cell r="Y2625" t="str">
            <v>SLOVENIA</v>
          </cell>
        </row>
        <row r="2626">
          <cell r="L2626" t="str">
            <v>Non-proportional</v>
          </cell>
          <cell r="S2626">
            <v>850.98</v>
          </cell>
          <cell r="X2626" t="str">
            <v>Commissions - gross</v>
          </cell>
          <cell r="Y2626" t="str">
            <v>EUROPE</v>
          </cell>
        </row>
        <row r="2627">
          <cell r="L2627" t="str">
            <v>Non-proportional</v>
          </cell>
          <cell r="S2627">
            <v>140.16999999999999</v>
          </cell>
          <cell r="X2627" t="str">
            <v>Commissions - gross</v>
          </cell>
          <cell r="Y2627" t="str">
            <v>GERMANY</v>
          </cell>
        </row>
        <row r="2628">
          <cell r="L2628" t="str">
            <v>Non-proportional</v>
          </cell>
          <cell r="S2628">
            <v>337.5</v>
          </cell>
          <cell r="X2628" t="str">
            <v>Commissions - gross</v>
          </cell>
          <cell r="Y2628" t="str">
            <v>GERMANY</v>
          </cell>
        </row>
        <row r="2629">
          <cell r="L2629" t="str">
            <v>Non-proportional</v>
          </cell>
          <cell r="S2629">
            <v>-1.04</v>
          </cell>
          <cell r="X2629" t="str">
            <v>Commissions - gross</v>
          </cell>
          <cell r="Y2629" t="str">
            <v>SWEDEN</v>
          </cell>
        </row>
        <row r="2630">
          <cell r="L2630" t="str">
            <v>Non-proportional</v>
          </cell>
          <cell r="S2630">
            <v>316.01</v>
          </cell>
          <cell r="X2630" t="str">
            <v>Commissions - gross</v>
          </cell>
          <cell r="Y2630" t="str">
            <v>ICELAND</v>
          </cell>
        </row>
        <row r="2631">
          <cell r="L2631" t="str">
            <v>Non-proportional</v>
          </cell>
          <cell r="S2631">
            <v>2070.71</v>
          </cell>
          <cell r="X2631" t="str">
            <v>Commissions - gross</v>
          </cell>
          <cell r="Y2631" t="str">
            <v>EUROPE</v>
          </cell>
        </row>
        <row r="2632">
          <cell r="L2632" t="str">
            <v>Non-proportional</v>
          </cell>
          <cell r="S2632">
            <v>308.33999999999997</v>
          </cell>
          <cell r="X2632" t="str">
            <v>Commissions - gross</v>
          </cell>
          <cell r="Y2632" t="str">
            <v>EUROPE</v>
          </cell>
        </row>
        <row r="2633">
          <cell r="L2633" t="str">
            <v>Non-proportional</v>
          </cell>
          <cell r="S2633">
            <v>1640.82</v>
          </cell>
          <cell r="X2633" t="str">
            <v>Commissions - gross</v>
          </cell>
          <cell r="Y2633" t="str">
            <v>SWITZERLAND</v>
          </cell>
        </row>
        <row r="2634">
          <cell r="L2634" t="str">
            <v>Non-proportional</v>
          </cell>
          <cell r="S2634">
            <v>6495.3</v>
          </cell>
          <cell r="X2634" t="str">
            <v>Commissions - gross</v>
          </cell>
          <cell r="Y2634" t="str">
            <v>REPUBLIC OF IRELAND</v>
          </cell>
        </row>
        <row r="2635">
          <cell r="L2635" t="str">
            <v>Non-proportional</v>
          </cell>
          <cell r="S2635">
            <v>86.56</v>
          </cell>
          <cell r="X2635" t="str">
            <v>Commissions - gross</v>
          </cell>
          <cell r="Y2635" t="str">
            <v>ITALY</v>
          </cell>
        </row>
        <row r="2636">
          <cell r="L2636" t="str">
            <v>Non-proportional</v>
          </cell>
          <cell r="S2636">
            <v>1108.95</v>
          </cell>
          <cell r="X2636" t="str">
            <v>Commissions - gross</v>
          </cell>
          <cell r="Y2636" t="str">
            <v>SWEDEN</v>
          </cell>
        </row>
        <row r="2637">
          <cell r="L2637" t="str">
            <v>Non-proportional</v>
          </cell>
          <cell r="S2637">
            <v>778.7</v>
          </cell>
          <cell r="X2637" t="str">
            <v>Commissions - gross</v>
          </cell>
          <cell r="Y2637" t="str">
            <v>SWITZERLAND</v>
          </cell>
        </row>
        <row r="2638">
          <cell r="L2638" t="str">
            <v>Proportional</v>
          </cell>
          <cell r="S2638">
            <v>1039.0899999999999</v>
          </cell>
          <cell r="X2638" t="str">
            <v>Commissions - gross</v>
          </cell>
          <cell r="Y2638" t="str">
            <v>SWITZERLAND</v>
          </cell>
        </row>
        <row r="2639">
          <cell r="L2639" t="str">
            <v>Non-proportional</v>
          </cell>
          <cell r="S2639">
            <v>405.81</v>
          </cell>
          <cell r="X2639" t="str">
            <v>Commissions - gross</v>
          </cell>
          <cell r="Y2639" t="str">
            <v>SWITZERLAND</v>
          </cell>
        </row>
        <row r="2640">
          <cell r="L2640" t="str">
            <v>Non-proportional</v>
          </cell>
          <cell r="S2640">
            <v>427.54</v>
          </cell>
          <cell r="X2640" t="str">
            <v>Commissions - gross</v>
          </cell>
          <cell r="Y2640" t="str">
            <v>GERMANY</v>
          </cell>
        </row>
        <row r="2641">
          <cell r="L2641" t="str">
            <v>Non-proportional</v>
          </cell>
          <cell r="S2641">
            <v>1181.5899999999999</v>
          </cell>
          <cell r="X2641" t="str">
            <v>Commissions - gross</v>
          </cell>
          <cell r="Y2641" t="str">
            <v>GERMANY</v>
          </cell>
        </row>
        <row r="2642">
          <cell r="L2642" t="str">
            <v>Non-proportional</v>
          </cell>
          <cell r="S2642">
            <v>2599.83</v>
          </cell>
          <cell r="X2642" t="str">
            <v>Commissions - gross</v>
          </cell>
          <cell r="Y2642" t="str">
            <v>UNITED KINGDOM</v>
          </cell>
        </row>
        <row r="2643">
          <cell r="L2643" t="str">
            <v>Non-proportional</v>
          </cell>
          <cell r="S2643">
            <v>625</v>
          </cell>
          <cell r="X2643" t="str">
            <v>Commissions - gross</v>
          </cell>
          <cell r="Y2643" t="str">
            <v>GERMANY</v>
          </cell>
        </row>
        <row r="2644">
          <cell r="L2644" t="str">
            <v>Non-proportional</v>
          </cell>
          <cell r="S2644">
            <v>2122.4899999999998</v>
          </cell>
          <cell r="X2644" t="str">
            <v>Commissions - gross</v>
          </cell>
          <cell r="Y2644" t="str">
            <v>SWITZERLAND</v>
          </cell>
        </row>
        <row r="2645">
          <cell r="L2645" t="str">
            <v>Non-proportional</v>
          </cell>
          <cell r="S2645">
            <v>-0.35</v>
          </cell>
          <cell r="X2645" t="str">
            <v>Commissions - gross</v>
          </cell>
          <cell r="Y2645" t="str">
            <v>DENMARK</v>
          </cell>
        </row>
        <row r="2646">
          <cell r="L2646" t="str">
            <v>Non-proportional</v>
          </cell>
          <cell r="S2646">
            <v>625.04999999999995</v>
          </cell>
          <cell r="X2646" t="str">
            <v>Commissions - gross</v>
          </cell>
          <cell r="Y2646" t="str">
            <v>GERMANY</v>
          </cell>
        </row>
        <row r="2647">
          <cell r="L2647" t="str">
            <v>Non-proportional</v>
          </cell>
          <cell r="S2647">
            <v>527.92999999999995</v>
          </cell>
          <cell r="X2647" t="str">
            <v>Commissions - gross</v>
          </cell>
          <cell r="Y2647" t="str">
            <v>NORWAY</v>
          </cell>
        </row>
        <row r="2648">
          <cell r="L2648" t="str">
            <v>Non-proportional</v>
          </cell>
          <cell r="S2648">
            <v>3862.73</v>
          </cell>
          <cell r="X2648" t="str">
            <v>Commissions - gross</v>
          </cell>
          <cell r="Y2648" t="str">
            <v>UNITED KINGDOM</v>
          </cell>
        </row>
        <row r="2649">
          <cell r="L2649" t="str">
            <v>Non-proportional</v>
          </cell>
          <cell r="S2649">
            <v>558.16999999999996</v>
          </cell>
          <cell r="X2649" t="str">
            <v>Commissions - gross</v>
          </cell>
          <cell r="Y2649" t="str">
            <v>DENMARK</v>
          </cell>
        </row>
        <row r="2650">
          <cell r="L2650" t="str">
            <v>Non-proportional</v>
          </cell>
          <cell r="S2650">
            <v>280.23</v>
          </cell>
          <cell r="X2650" t="str">
            <v>Commissions - gross</v>
          </cell>
          <cell r="Y2650" t="str">
            <v>REPUBLIC OF IRELAND</v>
          </cell>
        </row>
        <row r="2651">
          <cell r="L2651" t="str">
            <v>Non-proportional</v>
          </cell>
          <cell r="S2651">
            <v>361.75</v>
          </cell>
          <cell r="X2651" t="str">
            <v>Commissions - gross</v>
          </cell>
          <cell r="Y2651" t="str">
            <v>FRANCE</v>
          </cell>
        </row>
        <row r="2652">
          <cell r="L2652" t="str">
            <v>Non-proportional</v>
          </cell>
          <cell r="S2652">
            <v>2724.33</v>
          </cell>
          <cell r="X2652" t="str">
            <v>Commissions - gross</v>
          </cell>
          <cell r="Y2652" t="str">
            <v>UNITED KINGDOM</v>
          </cell>
        </row>
        <row r="2653">
          <cell r="L2653" t="str">
            <v>Non-proportional</v>
          </cell>
          <cell r="S2653">
            <v>87.34</v>
          </cell>
          <cell r="X2653" t="str">
            <v>Commissions - gross</v>
          </cell>
          <cell r="Y2653" t="str">
            <v>GERMANY</v>
          </cell>
        </row>
        <row r="2654">
          <cell r="L2654" t="str">
            <v>Non-proportional</v>
          </cell>
          <cell r="S2654">
            <v>-0.52</v>
          </cell>
          <cell r="X2654" t="str">
            <v>Commissions - gross</v>
          </cell>
          <cell r="Y2654" t="str">
            <v>SWEDEN</v>
          </cell>
        </row>
        <row r="2655">
          <cell r="L2655" t="str">
            <v>Non-proportional</v>
          </cell>
          <cell r="S2655">
            <v>5150.84</v>
          </cell>
          <cell r="X2655" t="str">
            <v>Commissions - gross</v>
          </cell>
          <cell r="Y2655" t="str">
            <v>UNITED KINGDOM</v>
          </cell>
        </row>
        <row r="2656">
          <cell r="L2656" t="str">
            <v>Non-proportional</v>
          </cell>
          <cell r="S2656">
            <v>-0.48</v>
          </cell>
          <cell r="X2656" t="str">
            <v>Commissions - gross</v>
          </cell>
          <cell r="Y2656" t="str">
            <v>SWEDEN</v>
          </cell>
        </row>
        <row r="2657">
          <cell r="L2657" t="str">
            <v>Non-proportional</v>
          </cell>
          <cell r="S2657">
            <v>5156.6899999999996</v>
          </cell>
          <cell r="X2657" t="str">
            <v>Commissions - gross</v>
          </cell>
          <cell r="Y2657" t="str">
            <v>UNITED KINGDOM</v>
          </cell>
        </row>
        <row r="2658">
          <cell r="L2658" t="str">
            <v>Non-proportional</v>
          </cell>
          <cell r="S2658">
            <v>385</v>
          </cell>
          <cell r="X2658" t="str">
            <v>Commissions - gross</v>
          </cell>
          <cell r="Y2658" t="str">
            <v>GERMANY</v>
          </cell>
        </row>
        <row r="2659">
          <cell r="L2659" t="str">
            <v>Non-proportional</v>
          </cell>
          <cell r="S2659">
            <v>622.38</v>
          </cell>
          <cell r="X2659" t="str">
            <v>Commissions - gross</v>
          </cell>
          <cell r="Y2659" t="str">
            <v>SWEDEN</v>
          </cell>
        </row>
        <row r="2660">
          <cell r="L2660" t="str">
            <v>Non-proportional</v>
          </cell>
          <cell r="S2660">
            <v>607</v>
          </cell>
          <cell r="X2660" t="str">
            <v>Commissions - gross</v>
          </cell>
          <cell r="Y2660" t="str">
            <v>DENMARK</v>
          </cell>
        </row>
        <row r="2661">
          <cell r="L2661" t="str">
            <v>Non-proportional</v>
          </cell>
          <cell r="S2661">
            <v>991.79</v>
          </cell>
          <cell r="X2661" t="str">
            <v>Commissions - gross</v>
          </cell>
          <cell r="Y2661" t="str">
            <v>CZECH REPUBLIC</v>
          </cell>
        </row>
        <row r="2662">
          <cell r="L2662" t="str">
            <v>Non-proportional</v>
          </cell>
          <cell r="S2662">
            <v>548.41</v>
          </cell>
          <cell r="X2662" t="str">
            <v>Commissions - gross</v>
          </cell>
          <cell r="Y2662" t="str">
            <v>EUROPE</v>
          </cell>
        </row>
        <row r="2663">
          <cell r="L2663" t="str">
            <v>Non-proportional</v>
          </cell>
          <cell r="S2663">
            <v>470.91</v>
          </cell>
          <cell r="X2663" t="str">
            <v>Commissions - gross</v>
          </cell>
          <cell r="Y2663" t="str">
            <v>POLAND</v>
          </cell>
        </row>
        <row r="2664">
          <cell r="L2664" t="str">
            <v>Non-proportional</v>
          </cell>
          <cell r="S2664">
            <v>61.3</v>
          </cell>
          <cell r="X2664" t="str">
            <v>Commissions - gross</v>
          </cell>
          <cell r="Y2664" t="str">
            <v>REPUBLIC OF IRELAND</v>
          </cell>
        </row>
        <row r="2665">
          <cell r="L2665" t="str">
            <v>Non-proportional</v>
          </cell>
          <cell r="S2665">
            <v>586.28</v>
          </cell>
          <cell r="X2665" t="str">
            <v>Commissions - gross</v>
          </cell>
          <cell r="Y2665" t="str">
            <v>NORWAY</v>
          </cell>
        </row>
        <row r="2666">
          <cell r="L2666" t="str">
            <v>Non-proportional</v>
          </cell>
          <cell r="S2666">
            <v>537.16</v>
          </cell>
          <cell r="X2666" t="str">
            <v>Commissions - gross</v>
          </cell>
          <cell r="Y2666" t="str">
            <v>DENMARK</v>
          </cell>
        </row>
        <row r="2667">
          <cell r="L2667" t="str">
            <v>Non-proportional</v>
          </cell>
          <cell r="S2667">
            <v>89.35</v>
          </cell>
          <cell r="X2667" t="str">
            <v>Commissions - gross</v>
          </cell>
          <cell r="Y2667" t="str">
            <v>DENMARK</v>
          </cell>
        </row>
        <row r="2668">
          <cell r="L2668" t="str">
            <v>Non-proportional</v>
          </cell>
          <cell r="S2668">
            <v>-0.2</v>
          </cell>
          <cell r="X2668" t="str">
            <v>Commissions - gross</v>
          </cell>
          <cell r="Y2668" t="str">
            <v>SWEDEN</v>
          </cell>
        </row>
        <row r="2669">
          <cell r="L2669" t="str">
            <v>Non-proportional</v>
          </cell>
          <cell r="S2669">
            <v>1400.86</v>
          </cell>
          <cell r="X2669" t="str">
            <v>Commissions - gross</v>
          </cell>
          <cell r="Y2669" t="str">
            <v>GERMANY</v>
          </cell>
        </row>
        <row r="2670">
          <cell r="L2670" t="str">
            <v>Non-proportional</v>
          </cell>
          <cell r="S2670">
            <v>71.84</v>
          </cell>
          <cell r="X2670" t="str">
            <v>Commissions - gross</v>
          </cell>
          <cell r="Y2670" t="str">
            <v>ITALY</v>
          </cell>
        </row>
        <row r="2671">
          <cell r="L2671" t="str">
            <v>Non-proportional</v>
          </cell>
          <cell r="S2671">
            <v>1161.3599999999999</v>
          </cell>
          <cell r="X2671" t="str">
            <v>Commissions - gross</v>
          </cell>
          <cell r="Y2671" t="str">
            <v>SWITZERLAND</v>
          </cell>
        </row>
        <row r="2672">
          <cell r="L2672" t="str">
            <v>Non-proportional</v>
          </cell>
          <cell r="S2672">
            <v>1501.76</v>
          </cell>
          <cell r="X2672" t="str">
            <v>Commissions - gross</v>
          </cell>
          <cell r="Y2672" t="str">
            <v>SWITZERLAND</v>
          </cell>
        </row>
        <row r="2673">
          <cell r="L2673" t="str">
            <v>Non-proportional</v>
          </cell>
          <cell r="S2673">
            <v>326.25</v>
          </cell>
          <cell r="X2673" t="str">
            <v>Commissions - gross</v>
          </cell>
          <cell r="Y2673" t="str">
            <v>ROMANIA</v>
          </cell>
        </row>
        <row r="2674">
          <cell r="L2674" t="str">
            <v>Non-proportional</v>
          </cell>
          <cell r="S2674">
            <v>83.91</v>
          </cell>
          <cell r="X2674" t="str">
            <v>Commissions - gross</v>
          </cell>
          <cell r="Y2674" t="str">
            <v>JAPAN</v>
          </cell>
        </row>
        <row r="2675">
          <cell r="L2675" t="str">
            <v>Non-proportional</v>
          </cell>
          <cell r="S2675">
            <v>380.63</v>
          </cell>
          <cell r="X2675" t="str">
            <v>Commissions - gross</v>
          </cell>
          <cell r="Y2675" t="str">
            <v>ROMANIA</v>
          </cell>
        </row>
        <row r="2676">
          <cell r="L2676" t="str">
            <v>Non-proportional</v>
          </cell>
          <cell r="S2676">
            <v>498.47</v>
          </cell>
          <cell r="X2676" t="str">
            <v>Commissions - gross</v>
          </cell>
          <cell r="Y2676" t="str">
            <v>GERMANY</v>
          </cell>
        </row>
        <row r="2677">
          <cell r="L2677" t="str">
            <v>Non-proportional</v>
          </cell>
          <cell r="S2677">
            <v>17.52</v>
          </cell>
          <cell r="X2677" t="str">
            <v>Commissions - gross</v>
          </cell>
          <cell r="Y2677" t="str">
            <v>ITALY</v>
          </cell>
        </row>
        <row r="2678">
          <cell r="L2678" t="str">
            <v>Non-proportional</v>
          </cell>
          <cell r="S2678">
            <v>581.14</v>
          </cell>
          <cell r="X2678" t="str">
            <v>Commissions - gross</v>
          </cell>
          <cell r="Y2678" t="str">
            <v>UNITED KINGDOM</v>
          </cell>
        </row>
        <row r="2679">
          <cell r="L2679" t="str">
            <v>Non-proportional</v>
          </cell>
          <cell r="S2679">
            <v>641.66999999999996</v>
          </cell>
          <cell r="X2679" t="str">
            <v>Commissions - gross</v>
          </cell>
          <cell r="Y2679" t="str">
            <v>GERMANY</v>
          </cell>
        </row>
        <row r="2680">
          <cell r="L2680" t="str">
            <v>Non-proportional</v>
          </cell>
          <cell r="S2680">
            <v>1992.02</v>
          </cell>
          <cell r="X2680" t="str">
            <v>Commissions - gross</v>
          </cell>
          <cell r="Y2680" t="str">
            <v>FRANCE</v>
          </cell>
        </row>
        <row r="2681">
          <cell r="L2681" t="str">
            <v>Non-proportional</v>
          </cell>
          <cell r="S2681">
            <v>1339.56</v>
          </cell>
          <cell r="X2681" t="str">
            <v>Commissions - gross</v>
          </cell>
          <cell r="Y2681" t="str">
            <v>DENMARK</v>
          </cell>
        </row>
        <row r="2682">
          <cell r="L2682" t="str">
            <v>Non-proportional</v>
          </cell>
          <cell r="S2682">
            <v>842.33</v>
          </cell>
          <cell r="X2682" t="str">
            <v>Commissions - gross</v>
          </cell>
          <cell r="Y2682" t="str">
            <v>ITALY</v>
          </cell>
        </row>
        <row r="2683">
          <cell r="L2683" t="str">
            <v>Non-proportional</v>
          </cell>
          <cell r="S2683">
            <v>83.73</v>
          </cell>
          <cell r="X2683" t="str">
            <v>Commissions - gross</v>
          </cell>
          <cell r="Y2683" t="str">
            <v>DENMARK</v>
          </cell>
        </row>
        <row r="2684">
          <cell r="L2684" t="str">
            <v>Non-proportional</v>
          </cell>
          <cell r="S2684">
            <v>899.99</v>
          </cell>
          <cell r="X2684" t="str">
            <v>Commissions - gross</v>
          </cell>
          <cell r="Y2684" t="str">
            <v>GERMANY</v>
          </cell>
        </row>
        <row r="2685">
          <cell r="L2685" t="str">
            <v>Non-proportional</v>
          </cell>
          <cell r="S2685">
            <v>271.27</v>
          </cell>
          <cell r="X2685" t="str">
            <v>Commissions - gross</v>
          </cell>
          <cell r="Y2685" t="str">
            <v>GERMANY</v>
          </cell>
        </row>
        <row r="2686">
          <cell r="L2686" t="str">
            <v>Non-proportional</v>
          </cell>
          <cell r="S2686">
            <v>1242.43</v>
          </cell>
          <cell r="X2686" t="str">
            <v>Commissions - gross</v>
          </cell>
          <cell r="Y2686" t="str">
            <v>EUROPE</v>
          </cell>
        </row>
        <row r="2687">
          <cell r="L2687" t="str">
            <v>Non-proportional</v>
          </cell>
          <cell r="S2687">
            <v>127.94</v>
          </cell>
          <cell r="X2687" t="str">
            <v>Commissions - gross</v>
          </cell>
          <cell r="Y2687" t="str">
            <v>FRANCE</v>
          </cell>
        </row>
        <row r="2688">
          <cell r="L2688" t="str">
            <v>Non-proportional</v>
          </cell>
          <cell r="S2688">
            <v>862.5</v>
          </cell>
          <cell r="X2688" t="str">
            <v>Commissions - gross</v>
          </cell>
          <cell r="Y2688" t="str">
            <v>GERMANY</v>
          </cell>
        </row>
        <row r="2689">
          <cell r="L2689" t="str">
            <v>Non-proportional</v>
          </cell>
          <cell r="S2689">
            <v>196.23</v>
          </cell>
          <cell r="X2689" t="str">
            <v>Commissions - gross</v>
          </cell>
          <cell r="Y2689" t="str">
            <v>GERMANY</v>
          </cell>
        </row>
        <row r="2690">
          <cell r="L2690" t="str">
            <v>Non-proportional</v>
          </cell>
          <cell r="S2690">
            <v>1900.95</v>
          </cell>
          <cell r="X2690" t="str">
            <v>Commissions - gross</v>
          </cell>
          <cell r="Y2690" t="str">
            <v>SWEDEN</v>
          </cell>
        </row>
        <row r="2691">
          <cell r="L2691" t="str">
            <v>Non-proportional</v>
          </cell>
          <cell r="S2691">
            <v>710.64</v>
          </cell>
          <cell r="X2691" t="str">
            <v>Commissions - gross</v>
          </cell>
          <cell r="Y2691" t="str">
            <v>NORWAY</v>
          </cell>
        </row>
        <row r="2692">
          <cell r="L2692" t="str">
            <v>Non-proportional</v>
          </cell>
          <cell r="S2692">
            <v>2035.5</v>
          </cell>
          <cell r="X2692" t="str">
            <v>Commissions - gross</v>
          </cell>
          <cell r="Y2692" t="str">
            <v>GERMANY</v>
          </cell>
        </row>
        <row r="2693">
          <cell r="L2693" t="str">
            <v>Non-proportional</v>
          </cell>
          <cell r="S2693">
            <v>1182.55</v>
          </cell>
          <cell r="X2693" t="str">
            <v>Commissions - gross</v>
          </cell>
          <cell r="Y2693" t="str">
            <v>AUSTRIA</v>
          </cell>
        </row>
        <row r="2694">
          <cell r="L2694" t="str">
            <v>Non-proportional</v>
          </cell>
          <cell r="S2694">
            <v>351.12</v>
          </cell>
          <cell r="X2694" t="str">
            <v>Commissions - gross</v>
          </cell>
          <cell r="Y2694" t="str">
            <v>ICELAND</v>
          </cell>
        </row>
        <row r="2695">
          <cell r="L2695" t="str">
            <v>Non-proportional</v>
          </cell>
          <cell r="S2695">
            <v>12551.17</v>
          </cell>
          <cell r="X2695" t="str">
            <v>Commissions - gross</v>
          </cell>
          <cell r="Y2695" t="str">
            <v>UNITED KINGDOM</v>
          </cell>
        </row>
        <row r="2696">
          <cell r="L2696" t="str">
            <v>Non-proportional</v>
          </cell>
          <cell r="S2696">
            <v>2041.67</v>
          </cell>
          <cell r="X2696" t="str">
            <v>Commissions - gross</v>
          </cell>
          <cell r="Y2696" t="str">
            <v>GERMANY</v>
          </cell>
        </row>
        <row r="2697">
          <cell r="L2697" t="str">
            <v>Non-proportional</v>
          </cell>
          <cell r="S2697">
            <v>777.08</v>
          </cell>
          <cell r="X2697" t="str">
            <v>Commissions - gross</v>
          </cell>
          <cell r="Y2697" t="str">
            <v>FRANCE</v>
          </cell>
        </row>
        <row r="2698">
          <cell r="L2698" t="str">
            <v>Non-proportional</v>
          </cell>
          <cell r="S2698">
            <v>57.5</v>
          </cell>
          <cell r="X2698" t="str">
            <v>Commissions - gross</v>
          </cell>
          <cell r="Y2698" t="str">
            <v>ITALY</v>
          </cell>
        </row>
        <row r="2699">
          <cell r="L2699" t="str">
            <v>Non-proportional</v>
          </cell>
          <cell r="S2699">
            <v>2439.6</v>
          </cell>
          <cell r="X2699" t="str">
            <v>Commissions - gross</v>
          </cell>
          <cell r="Y2699" t="str">
            <v>GERMANY</v>
          </cell>
        </row>
        <row r="2700">
          <cell r="L2700" t="str">
            <v>Non-proportional</v>
          </cell>
          <cell r="S2700">
            <v>4226.53</v>
          </cell>
          <cell r="X2700" t="str">
            <v>Commissions - gross</v>
          </cell>
          <cell r="Y2700" t="str">
            <v>UNITED KINGDOM</v>
          </cell>
        </row>
        <row r="2701">
          <cell r="L2701" t="str">
            <v>Non-proportional</v>
          </cell>
          <cell r="S2701">
            <v>54.83</v>
          </cell>
          <cell r="X2701" t="str">
            <v>Commissions - gross</v>
          </cell>
          <cell r="Y2701" t="str">
            <v>REPUBLIC OF IRELAND</v>
          </cell>
        </row>
        <row r="2702">
          <cell r="L2702" t="str">
            <v>Non-proportional</v>
          </cell>
          <cell r="S2702">
            <v>920.31</v>
          </cell>
          <cell r="X2702" t="str">
            <v>Commissions - gross</v>
          </cell>
          <cell r="Y2702" t="str">
            <v>GERMANY</v>
          </cell>
        </row>
        <row r="2703">
          <cell r="L2703" t="str">
            <v>Non-proportional</v>
          </cell>
          <cell r="S2703">
            <v>835.16</v>
          </cell>
          <cell r="X2703" t="str">
            <v>Commissions - gross</v>
          </cell>
          <cell r="Y2703" t="str">
            <v>DENMARK</v>
          </cell>
        </row>
        <row r="2704">
          <cell r="L2704" t="str">
            <v>Non-proportional</v>
          </cell>
          <cell r="S2704">
            <v>1188.23</v>
          </cell>
          <cell r="X2704" t="str">
            <v>Commissions - gross</v>
          </cell>
          <cell r="Y2704" t="str">
            <v>EUROPE</v>
          </cell>
        </row>
        <row r="2705">
          <cell r="L2705" t="str">
            <v>Non-proportional</v>
          </cell>
          <cell r="S2705">
            <v>3557.03</v>
          </cell>
          <cell r="X2705" t="str">
            <v>Commissions - gross</v>
          </cell>
          <cell r="Y2705" t="str">
            <v>FRANCE</v>
          </cell>
        </row>
        <row r="2706">
          <cell r="L2706" t="str">
            <v>Non-proportional</v>
          </cell>
          <cell r="S2706">
            <v>869.77</v>
          </cell>
          <cell r="X2706" t="str">
            <v>Commissions - gross</v>
          </cell>
          <cell r="Y2706" t="str">
            <v>GERMANY</v>
          </cell>
        </row>
        <row r="2707">
          <cell r="L2707" t="str">
            <v>Non-proportional</v>
          </cell>
          <cell r="S2707">
            <v>27373.200000000001</v>
          </cell>
          <cell r="X2707" t="str">
            <v>Commissions - gross</v>
          </cell>
          <cell r="Y2707" t="str">
            <v>UNITED KINGDOM</v>
          </cell>
        </row>
        <row r="2708">
          <cell r="L2708" t="str">
            <v>Non-proportional</v>
          </cell>
          <cell r="S2708">
            <v>11.16</v>
          </cell>
          <cell r="X2708" t="str">
            <v>Commissions - gross</v>
          </cell>
          <cell r="Y2708" t="str">
            <v>UNITED ARAB EMIRATES</v>
          </cell>
        </row>
        <row r="2709">
          <cell r="L2709" t="str">
            <v>Non-proportional</v>
          </cell>
          <cell r="S2709">
            <v>208.24</v>
          </cell>
          <cell r="X2709" t="str">
            <v>Commissions - gross</v>
          </cell>
          <cell r="Y2709" t="str">
            <v>GERMANY</v>
          </cell>
        </row>
        <row r="2710">
          <cell r="L2710" t="str">
            <v>Non-proportional</v>
          </cell>
          <cell r="S2710">
            <v>719.9</v>
          </cell>
          <cell r="X2710" t="str">
            <v>Commissions - gross</v>
          </cell>
          <cell r="Y2710" t="str">
            <v>DENMARK</v>
          </cell>
        </row>
        <row r="2711">
          <cell r="L2711" t="str">
            <v>Non-proportional</v>
          </cell>
          <cell r="S2711">
            <v>1664.36</v>
          </cell>
          <cell r="X2711" t="str">
            <v>Commissions - gross</v>
          </cell>
          <cell r="Y2711" t="str">
            <v>FRANCE</v>
          </cell>
        </row>
        <row r="2712">
          <cell r="L2712" t="str">
            <v>Non-proportional</v>
          </cell>
          <cell r="S2712">
            <v>32.15</v>
          </cell>
          <cell r="X2712" t="str">
            <v>Commissions - gross</v>
          </cell>
          <cell r="Y2712" t="str">
            <v>FRANCE</v>
          </cell>
        </row>
        <row r="2713">
          <cell r="L2713" t="str">
            <v>Non-proportional</v>
          </cell>
          <cell r="S2713">
            <v>1960.61</v>
          </cell>
          <cell r="X2713" t="str">
            <v>Commissions - gross</v>
          </cell>
          <cell r="Y2713" t="str">
            <v>FRANCE</v>
          </cell>
        </row>
        <row r="2714">
          <cell r="L2714" t="str">
            <v>Non-proportional</v>
          </cell>
          <cell r="S2714">
            <v>1.7</v>
          </cell>
          <cell r="X2714" t="str">
            <v>Commissions - gross</v>
          </cell>
          <cell r="Y2714" t="str">
            <v>POLAND</v>
          </cell>
        </row>
        <row r="2715">
          <cell r="L2715" t="str">
            <v>Non-proportional</v>
          </cell>
          <cell r="S2715">
            <v>3055.15</v>
          </cell>
          <cell r="X2715" t="str">
            <v>Commissions - gross</v>
          </cell>
          <cell r="Y2715" t="str">
            <v>UNITED KINGDOM</v>
          </cell>
        </row>
        <row r="2716">
          <cell r="L2716" t="str">
            <v>Non-proportional</v>
          </cell>
          <cell r="S2716">
            <v>208.33</v>
          </cell>
          <cell r="X2716" t="str">
            <v>Commissions - gross</v>
          </cell>
          <cell r="Y2716" t="str">
            <v>GERMANY</v>
          </cell>
        </row>
        <row r="2717">
          <cell r="L2717" t="str">
            <v>Non-proportional</v>
          </cell>
          <cell r="S2717">
            <v>1020.94</v>
          </cell>
          <cell r="X2717" t="str">
            <v>Commissions - gross</v>
          </cell>
          <cell r="Y2717" t="str">
            <v>GERMANY</v>
          </cell>
        </row>
        <row r="2718">
          <cell r="L2718" t="str">
            <v>Non-proportional</v>
          </cell>
          <cell r="S2718">
            <v>1.78</v>
          </cell>
          <cell r="X2718" t="str">
            <v>Commissions - gross</v>
          </cell>
          <cell r="Y2718" t="str">
            <v>EUROPE</v>
          </cell>
        </row>
        <row r="2719">
          <cell r="L2719" t="str">
            <v>Non-proportional</v>
          </cell>
          <cell r="S2719">
            <v>111.93</v>
          </cell>
          <cell r="X2719" t="str">
            <v>Commissions - gross</v>
          </cell>
          <cell r="Y2719" t="str">
            <v>UNITED KINGDOM</v>
          </cell>
        </row>
        <row r="2720">
          <cell r="L2720" t="str">
            <v>Non-proportional</v>
          </cell>
          <cell r="S2720">
            <v>379</v>
          </cell>
          <cell r="X2720" t="str">
            <v>Commissions - gross</v>
          </cell>
          <cell r="Y2720" t="str">
            <v>REPUBLIC OF IRELAND</v>
          </cell>
        </row>
        <row r="2721">
          <cell r="L2721" t="str">
            <v>Non-proportional</v>
          </cell>
          <cell r="S2721">
            <v>1880.73</v>
          </cell>
          <cell r="X2721" t="str">
            <v>Commissions - gross</v>
          </cell>
          <cell r="Y2721" t="str">
            <v>REPUBLIC OF IRELAND</v>
          </cell>
        </row>
        <row r="2722">
          <cell r="L2722" t="str">
            <v>Non-proportional</v>
          </cell>
          <cell r="S2722">
            <v>391.58</v>
          </cell>
          <cell r="X2722" t="str">
            <v>Commissions - gross</v>
          </cell>
          <cell r="Y2722" t="str">
            <v>NORWAY</v>
          </cell>
        </row>
        <row r="2723">
          <cell r="L2723" t="str">
            <v>Non-proportional</v>
          </cell>
          <cell r="S2723">
            <v>1300</v>
          </cell>
          <cell r="X2723" t="str">
            <v>Commissions - gross</v>
          </cell>
          <cell r="Y2723" t="str">
            <v>ROMANIA</v>
          </cell>
        </row>
        <row r="2724">
          <cell r="L2724" t="str">
            <v>Non-proportional</v>
          </cell>
          <cell r="S2724">
            <v>812.5</v>
          </cell>
          <cell r="X2724" t="str">
            <v>Commissions - gross</v>
          </cell>
          <cell r="Y2724" t="str">
            <v>CZECH REPUBLIC</v>
          </cell>
        </row>
        <row r="2725">
          <cell r="L2725" t="str">
            <v>Non-proportional</v>
          </cell>
          <cell r="S2725">
            <v>53.05</v>
          </cell>
          <cell r="X2725" t="str">
            <v>Commissions - gross</v>
          </cell>
          <cell r="Y2725" t="str">
            <v>NORWAY</v>
          </cell>
        </row>
        <row r="2726">
          <cell r="L2726" t="str">
            <v>Non-proportional</v>
          </cell>
          <cell r="S2726">
            <v>728.4</v>
          </cell>
          <cell r="X2726" t="str">
            <v>Commissions - gross</v>
          </cell>
          <cell r="Y2726" t="str">
            <v>NORWAY</v>
          </cell>
        </row>
        <row r="2727">
          <cell r="L2727" t="str">
            <v>Non-proportional</v>
          </cell>
          <cell r="S2727">
            <v>457.31</v>
          </cell>
          <cell r="X2727" t="str">
            <v>Commissions - gross</v>
          </cell>
          <cell r="Y2727" t="str">
            <v>EUROPE</v>
          </cell>
        </row>
        <row r="2728">
          <cell r="L2728" t="str">
            <v>Non-proportional</v>
          </cell>
          <cell r="S2728">
            <v>678.82</v>
          </cell>
          <cell r="X2728" t="str">
            <v>Commissions - gross</v>
          </cell>
          <cell r="Y2728" t="str">
            <v>UNITED KINGDOM</v>
          </cell>
        </row>
        <row r="2729">
          <cell r="L2729" t="str">
            <v>Non-proportional</v>
          </cell>
          <cell r="S2729">
            <v>826.37</v>
          </cell>
          <cell r="X2729" t="str">
            <v>Commissions - gross</v>
          </cell>
          <cell r="Y2729" t="str">
            <v>GERMANY</v>
          </cell>
        </row>
        <row r="2730">
          <cell r="L2730" t="str">
            <v>Non-proportional</v>
          </cell>
          <cell r="S2730">
            <v>-0.16</v>
          </cell>
          <cell r="X2730" t="str">
            <v>Commissions - gross</v>
          </cell>
          <cell r="Y2730" t="str">
            <v>DENMARK</v>
          </cell>
        </row>
        <row r="2731">
          <cell r="L2731" t="str">
            <v>Non-proportional</v>
          </cell>
          <cell r="S2731">
            <v>268.75</v>
          </cell>
          <cell r="X2731" t="str">
            <v>Commissions - gross</v>
          </cell>
          <cell r="Y2731" t="str">
            <v>GERMANY</v>
          </cell>
        </row>
        <row r="2732">
          <cell r="L2732" t="str">
            <v>Non-proportional</v>
          </cell>
          <cell r="S2732">
            <v>2000.25</v>
          </cell>
          <cell r="X2732" t="str">
            <v>Commissions - gross</v>
          </cell>
          <cell r="Y2732" t="str">
            <v>CZECH REPUBLIC</v>
          </cell>
        </row>
        <row r="2733">
          <cell r="L2733" t="str">
            <v>Non-proportional</v>
          </cell>
          <cell r="S2733">
            <v>123.98</v>
          </cell>
          <cell r="X2733" t="str">
            <v>Commissions - gross</v>
          </cell>
          <cell r="Y2733" t="str">
            <v>UNITED KINGDOM</v>
          </cell>
        </row>
        <row r="2734">
          <cell r="L2734" t="str">
            <v>Non-proportional</v>
          </cell>
          <cell r="S2734">
            <v>863.49</v>
          </cell>
          <cell r="X2734" t="str">
            <v>Commissions - gross</v>
          </cell>
          <cell r="Y2734" t="str">
            <v>UNITED KINGDOM</v>
          </cell>
        </row>
        <row r="2735">
          <cell r="L2735" t="str">
            <v>Non-proportional</v>
          </cell>
          <cell r="S2735">
            <v>1583.24</v>
          </cell>
          <cell r="X2735" t="str">
            <v>Commissions - gross</v>
          </cell>
          <cell r="Y2735" t="str">
            <v>GERMANY</v>
          </cell>
        </row>
        <row r="2736">
          <cell r="L2736" t="str">
            <v>Non-proportional</v>
          </cell>
          <cell r="S2736">
            <v>1568.48</v>
          </cell>
          <cell r="X2736" t="str">
            <v>Commissions - gross</v>
          </cell>
          <cell r="Y2736" t="str">
            <v>UNITED KINGDOM</v>
          </cell>
        </row>
        <row r="2737">
          <cell r="L2737" t="str">
            <v>Non-proportional</v>
          </cell>
          <cell r="S2737">
            <v>16595.82</v>
          </cell>
          <cell r="X2737" t="str">
            <v>Commissions - gross</v>
          </cell>
          <cell r="Y2737" t="str">
            <v>UNITED KINGDOM</v>
          </cell>
        </row>
        <row r="2738">
          <cell r="L2738" t="str">
            <v>Non-proportional</v>
          </cell>
          <cell r="S2738">
            <v>589.41999999999996</v>
          </cell>
          <cell r="X2738" t="str">
            <v>Commissions - gross</v>
          </cell>
          <cell r="Y2738" t="str">
            <v>UNITED KINGDOM</v>
          </cell>
        </row>
        <row r="2739">
          <cell r="L2739" t="str">
            <v>Non-proportional</v>
          </cell>
          <cell r="S2739">
            <v>2843.34</v>
          </cell>
          <cell r="X2739" t="str">
            <v>Commissions - gross</v>
          </cell>
          <cell r="Y2739" t="str">
            <v>UNITED KINGDOM</v>
          </cell>
        </row>
        <row r="2740">
          <cell r="L2740" t="str">
            <v>Non-proportional</v>
          </cell>
          <cell r="S2740">
            <v>690.42</v>
          </cell>
          <cell r="X2740" t="str">
            <v>Commissions - gross</v>
          </cell>
          <cell r="Y2740" t="str">
            <v>FRANCE</v>
          </cell>
        </row>
        <row r="2741">
          <cell r="L2741" t="str">
            <v>Non-proportional</v>
          </cell>
          <cell r="S2741">
            <v>760.42</v>
          </cell>
          <cell r="X2741" t="str">
            <v>Commissions - gross</v>
          </cell>
          <cell r="Y2741" t="str">
            <v>GERMANY</v>
          </cell>
        </row>
        <row r="2742">
          <cell r="L2742" t="str">
            <v>Non-proportional</v>
          </cell>
          <cell r="S2742">
            <v>401.68</v>
          </cell>
          <cell r="X2742" t="str">
            <v>Commissions - gross</v>
          </cell>
          <cell r="Y2742" t="str">
            <v>UNITED KINGDOM</v>
          </cell>
        </row>
        <row r="2743">
          <cell r="L2743" t="str">
            <v>Non-proportional</v>
          </cell>
          <cell r="S2743">
            <v>699.8</v>
          </cell>
          <cell r="X2743" t="str">
            <v>Commissions - gross</v>
          </cell>
          <cell r="Y2743" t="str">
            <v>AUSTRIA</v>
          </cell>
        </row>
        <row r="2744">
          <cell r="L2744" t="str">
            <v>Non-proportional</v>
          </cell>
          <cell r="S2744">
            <v>3921.17</v>
          </cell>
          <cell r="X2744" t="str">
            <v>Commissions - gross</v>
          </cell>
          <cell r="Y2744" t="str">
            <v>UNITED KINGDOM</v>
          </cell>
        </row>
        <row r="2745">
          <cell r="L2745" t="str">
            <v>Non-proportional</v>
          </cell>
          <cell r="S2745">
            <v>353.04</v>
          </cell>
          <cell r="X2745" t="str">
            <v>Commissions - gross</v>
          </cell>
          <cell r="Y2745" t="str">
            <v>FAROE ISLANDS</v>
          </cell>
        </row>
        <row r="2746">
          <cell r="L2746" t="str">
            <v>Non-proportional</v>
          </cell>
          <cell r="S2746">
            <v>2224.83</v>
          </cell>
          <cell r="X2746" t="str">
            <v>Commissions - gross</v>
          </cell>
          <cell r="Y2746" t="str">
            <v>SWITZERLAND</v>
          </cell>
        </row>
        <row r="2747">
          <cell r="L2747" t="str">
            <v>Non-proportional</v>
          </cell>
          <cell r="S2747">
            <v>67.23</v>
          </cell>
          <cell r="X2747" t="str">
            <v>Commissions - gross</v>
          </cell>
          <cell r="Y2747" t="str">
            <v>SWITZERLAND</v>
          </cell>
        </row>
        <row r="2748">
          <cell r="L2748" t="str">
            <v>Non-proportional</v>
          </cell>
          <cell r="S2748">
            <v>1405.83</v>
          </cell>
          <cell r="X2748" t="str">
            <v>Commissions - gross</v>
          </cell>
          <cell r="Y2748" t="str">
            <v>EIRE</v>
          </cell>
        </row>
        <row r="2749">
          <cell r="L2749" t="str">
            <v>Non-proportional</v>
          </cell>
          <cell r="S2749">
            <v>30.08</v>
          </cell>
          <cell r="X2749" t="str">
            <v>Commissions - gross</v>
          </cell>
          <cell r="Y2749" t="str">
            <v>ITALY</v>
          </cell>
        </row>
        <row r="2750">
          <cell r="L2750" t="str">
            <v>Non-proportional</v>
          </cell>
          <cell r="S2750">
            <v>339.25</v>
          </cell>
          <cell r="X2750" t="str">
            <v>Commissions - gross</v>
          </cell>
          <cell r="Y2750" t="str">
            <v>ITALY</v>
          </cell>
        </row>
        <row r="2751">
          <cell r="L2751" t="str">
            <v>Non-proportional</v>
          </cell>
          <cell r="S2751">
            <v>1244.6500000000001</v>
          </cell>
          <cell r="X2751" t="str">
            <v>Commissions - gross</v>
          </cell>
          <cell r="Y2751" t="str">
            <v>SWEDEN</v>
          </cell>
        </row>
        <row r="2752">
          <cell r="L2752" t="str">
            <v>Non-proportional</v>
          </cell>
          <cell r="S2752">
            <v>1339.97</v>
          </cell>
          <cell r="X2752" t="str">
            <v>Commissions - gross</v>
          </cell>
          <cell r="Y2752" t="str">
            <v>GERMANY</v>
          </cell>
        </row>
        <row r="2753">
          <cell r="L2753" t="str">
            <v>Non-proportional</v>
          </cell>
          <cell r="S2753">
            <v>146.79</v>
          </cell>
          <cell r="X2753" t="str">
            <v>Commissions - gross</v>
          </cell>
          <cell r="Y2753" t="str">
            <v>REPUBLIC OF IRELAND</v>
          </cell>
        </row>
        <row r="2754">
          <cell r="L2754" t="str">
            <v>Non-proportional</v>
          </cell>
          <cell r="S2754">
            <v>754.94</v>
          </cell>
          <cell r="X2754" t="str">
            <v>Commissions - gross</v>
          </cell>
          <cell r="Y2754" t="str">
            <v>NORWAY</v>
          </cell>
        </row>
        <row r="2755">
          <cell r="L2755" t="str">
            <v>Non-proportional</v>
          </cell>
          <cell r="S2755">
            <v>1650</v>
          </cell>
          <cell r="X2755" t="str">
            <v>Commissions - gross</v>
          </cell>
          <cell r="Y2755" t="str">
            <v>GERMANY</v>
          </cell>
        </row>
        <row r="2756">
          <cell r="L2756" t="str">
            <v>Non-proportional</v>
          </cell>
          <cell r="S2756">
            <v>150.91</v>
          </cell>
          <cell r="X2756" t="str">
            <v>Commissions - gross</v>
          </cell>
          <cell r="Y2756" t="str">
            <v>GERMANY</v>
          </cell>
        </row>
        <row r="2757">
          <cell r="L2757" t="str">
            <v>Non-proportional</v>
          </cell>
          <cell r="S2757">
            <v>1042.58</v>
          </cell>
          <cell r="X2757" t="str">
            <v>Commissions - gross</v>
          </cell>
          <cell r="Y2757" t="str">
            <v>FRANCE</v>
          </cell>
        </row>
        <row r="2758">
          <cell r="L2758" t="str">
            <v>Non-proportional</v>
          </cell>
          <cell r="S2758">
            <v>387.87</v>
          </cell>
          <cell r="X2758" t="str">
            <v>Commissions - gross</v>
          </cell>
          <cell r="Y2758" t="str">
            <v>UNITED KINGDOM</v>
          </cell>
        </row>
        <row r="2759">
          <cell r="L2759" t="str">
            <v>Non-proportional</v>
          </cell>
          <cell r="S2759">
            <v>589.39</v>
          </cell>
          <cell r="X2759" t="str">
            <v>Commissions - gross</v>
          </cell>
          <cell r="Y2759" t="str">
            <v>AUSTRIA</v>
          </cell>
        </row>
        <row r="2760">
          <cell r="L2760" t="str">
            <v>Non-proportional</v>
          </cell>
          <cell r="S2760">
            <v>2075.86</v>
          </cell>
          <cell r="X2760" t="str">
            <v>Commissions - gross</v>
          </cell>
          <cell r="Y2760" t="str">
            <v>EIRE</v>
          </cell>
        </row>
        <row r="2761">
          <cell r="L2761" t="str">
            <v>Non-proportional</v>
          </cell>
          <cell r="S2761">
            <v>31158.3</v>
          </cell>
          <cell r="X2761" t="str">
            <v>Commissions - gross</v>
          </cell>
          <cell r="Y2761" t="str">
            <v>UNITED KINGDOM</v>
          </cell>
        </row>
        <row r="2762">
          <cell r="L2762" t="str">
            <v>Non-proportional</v>
          </cell>
          <cell r="S2762">
            <v>35.17</v>
          </cell>
          <cell r="X2762" t="str">
            <v>Commissions - gross</v>
          </cell>
          <cell r="Y2762" t="str">
            <v>GERMANY</v>
          </cell>
        </row>
        <row r="2763">
          <cell r="L2763" t="str">
            <v>Non-proportional</v>
          </cell>
          <cell r="S2763">
            <v>1611.28</v>
          </cell>
          <cell r="X2763" t="str">
            <v>Commissions - gross</v>
          </cell>
          <cell r="Y2763" t="str">
            <v>EUROPE</v>
          </cell>
        </row>
        <row r="2764">
          <cell r="L2764" t="str">
            <v>Non-proportional</v>
          </cell>
          <cell r="S2764">
            <v>750.16</v>
          </cell>
          <cell r="X2764" t="str">
            <v>Commissions - gross</v>
          </cell>
          <cell r="Y2764" t="str">
            <v>GERMANY</v>
          </cell>
        </row>
        <row r="2765">
          <cell r="L2765" t="str">
            <v>Non-proportional</v>
          </cell>
          <cell r="S2765">
            <v>-0.38</v>
          </cell>
          <cell r="X2765" t="str">
            <v>Commissions - gross</v>
          </cell>
          <cell r="Y2765" t="str">
            <v>DENMARK</v>
          </cell>
        </row>
        <row r="2766">
          <cell r="L2766" t="str">
            <v>Non-proportional</v>
          </cell>
          <cell r="S2766">
            <v>832.28</v>
          </cell>
          <cell r="X2766" t="str">
            <v>Commissions - gross</v>
          </cell>
          <cell r="Y2766" t="str">
            <v>GERMANY</v>
          </cell>
        </row>
        <row r="2767">
          <cell r="L2767" t="str">
            <v>Non-proportional</v>
          </cell>
          <cell r="S2767">
            <v>759</v>
          </cell>
          <cell r="X2767" t="str">
            <v>Commissions - gross</v>
          </cell>
          <cell r="Y2767" t="str">
            <v>GERMANY</v>
          </cell>
        </row>
        <row r="2768">
          <cell r="L2768" t="str">
            <v>Non-proportional</v>
          </cell>
          <cell r="S2768">
            <v>11205.21</v>
          </cell>
          <cell r="X2768" t="str">
            <v>Commissions - gross</v>
          </cell>
          <cell r="Y2768" t="str">
            <v>FRANCE</v>
          </cell>
        </row>
        <row r="2769">
          <cell r="L2769" t="str">
            <v>Non-proportional</v>
          </cell>
          <cell r="S2769">
            <v>78.14</v>
          </cell>
          <cell r="X2769" t="str">
            <v>Commissions - gross</v>
          </cell>
          <cell r="Y2769" t="str">
            <v>DENMARK</v>
          </cell>
        </row>
        <row r="2770">
          <cell r="L2770" t="str">
            <v>Non-proportional</v>
          </cell>
          <cell r="S2770">
            <v>495.05</v>
          </cell>
          <cell r="X2770" t="str">
            <v>Commissions - gross</v>
          </cell>
          <cell r="Y2770" t="str">
            <v>UNITED ARAB EMIRATES</v>
          </cell>
        </row>
        <row r="2771">
          <cell r="L2771" t="str">
            <v>Non-proportional</v>
          </cell>
          <cell r="S2771">
            <v>7236.88</v>
          </cell>
          <cell r="X2771" t="str">
            <v>Commissions - gross</v>
          </cell>
          <cell r="Y2771" t="str">
            <v>UNITED KINGDOM</v>
          </cell>
        </row>
        <row r="2772">
          <cell r="L2772" t="str">
            <v>Non-proportional</v>
          </cell>
          <cell r="S2772">
            <v>328.84</v>
          </cell>
          <cell r="X2772" t="str">
            <v>Commissions - gross</v>
          </cell>
          <cell r="Y2772" t="str">
            <v>JAPAN</v>
          </cell>
        </row>
        <row r="2773">
          <cell r="L2773" t="str">
            <v>Non-proportional</v>
          </cell>
          <cell r="S2773">
            <v>1155.78</v>
          </cell>
          <cell r="X2773" t="str">
            <v>Commissions - gross</v>
          </cell>
          <cell r="Y2773" t="str">
            <v>UNITED KINGDOM</v>
          </cell>
        </row>
        <row r="2774">
          <cell r="L2774" t="str">
            <v>Non-proportional</v>
          </cell>
          <cell r="S2774">
            <v>4210.33</v>
          </cell>
          <cell r="X2774" t="str">
            <v>Commissions - gross</v>
          </cell>
          <cell r="Y2774" t="str">
            <v>UNITED KINGDOM</v>
          </cell>
        </row>
        <row r="2775">
          <cell r="L2775" t="str">
            <v>Non-proportional</v>
          </cell>
          <cell r="S2775">
            <v>1291.44</v>
          </cell>
          <cell r="X2775" t="str">
            <v>Commissions - gross</v>
          </cell>
          <cell r="Y2775" t="str">
            <v>UNITED KINGDOM</v>
          </cell>
        </row>
        <row r="2776">
          <cell r="L2776" t="str">
            <v>Non-proportional</v>
          </cell>
          <cell r="S2776">
            <v>1360.37</v>
          </cell>
          <cell r="X2776" t="str">
            <v>Commissions - gross</v>
          </cell>
          <cell r="Y2776" t="str">
            <v>UNITED KINGDOM</v>
          </cell>
        </row>
        <row r="2777">
          <cell r="L2777" t="str">
            <v>Non-proportional</v>
          </cell>
          <cell r="S2777">
            <v>10723.31</v>
          </cell>
          <cell r="X2777" t="str">
            <v>Commissions - gross</v>
          </cell>
          <cell r="Y2777" t="str">
            <v>UNITED KINGDOM</v>
          </cell>
        </row>
        <row r="2778">
          <cell r="L2778" t="str">
            <v>Non-proportional</v>
          </cell>
          <cell r="S2778">
            <v>188.22</v>
          </cell>
          <cell r="X2778" t="str">
            <v>Commissions - gross</v>
          </cell>
          <cell r="Y2778" t="str">
            <v>JAPAN</v>
          </cell>
        </row>
        <row r="2779">
          <cell r="L2779" t="str">
            <v>Non-proportional</v>
          </cell>
          <cell r="S2779">
            <v>669.9</v>
          </cell>
          <cell r="X2779" t="str">
            <v>Commissions - gross</v>
          </cell>
          <cell r="Y2779" t="str">
            <v>DENMARK</v>
          </cell>
        </row>
        <row r="2780">
          <cell r="L2780" t="str">
            <v>Non-proportional</v>
          </cell>
          <cell r="S2780">
            <v>206.53</v>
          </cell>
          <cell r="X2780" t="str">
            <v>Commissions - gross</v>
          </cell>
          <cell r="Y2780" t="str">
            <v>EUROPE</v>
          </cell>
        </row>
        <row r="2781">
          <cell r="L2781" t="str">
            <v>Non-proportional</v>
          </cell>
          <cell r="S2781">
            <v>250.22</v>
          </cell>
          <cell r="X2781" t="str">
            <v>Commissions - gross</v>
          </cell>
          <cell r="Y2781" t="str">
            <v>SPAIN</v>
          </cell>
        </row>
        <row r="2782">
          <cell r="L2782" t="str">
            <v>Non-proportional</v>
          </cell>
          <cell r="S2782">
            <v>504.26</v>
          </cell>
          <cell r="X2782" t="str">
            <v>Commissions - gross</v>
          </cell>
          <cell r="Y2782" t="str">
            <v>SWITZERLAND</v>
          </cell>
        </row>
        <row r="2783">
          <cell r="L2783" t="str">
            <v>Non-proportional</v>
          </cell>
          <cell r="S2783">
            <v>1354.17</v>
          </cell>
          <cell r="X2783" t="str">
            <v>Commissions - gross</v>
          </cell>
          <cell r="Y2783" t="str">
            <v>GERMANY</v>
          </cell>
        </row>
        <row r="2784">
          <cell r="L2784" t="str">
            <v>Non-proportional</v>
          </cell>
          <cell r="S2784">
            <v>-0.31</v>
          </cell>
          <cell r="X2784" t="str">
            <v>Commissions - gross</v>
          </cell>
          <cell r="Y2784" t="str">
            <v>DENMARK</v>
          </cell>
        </row>
        <row r="2785">
          <cell r="L2785" t="str">
            <v>Non-proportional</v>
          </cell>
          <cell r="S2785">
            <v>552.71</v>
          </cell>
          <cell r="X2785" t="str">
            <v>Commissions - gross</v>
          </cell>
          <cell r="Y2785" t="str">
            <v>GERMANY</v>
          </cell>
        </row>
        <row r="2786">
          <cell r="L2786" t="str">
            <v>Non-proportional</v>
          </cell>
          <cell r="S2786">
            <v>536.25</v>
          </cell>
          <cell r="X2786" t="str">
            <v>Commissions - gross</v>
          </cell>
          <cell r="Y2786" t="str">
            <v>GERMANY</v>
          </cell>
        </row>
        <row r="2787">
          <cell r="L2787" t="str">
            <v>Non-proportional</v>
          </cell>
          <cell r="S2787">
            <v>849.45</v>
          </cell>
          <cell r="X2787" t="str">
            <v>Commissions - gross</v>
          </cell>
          <cell r="Y2787" t="str">
            <v>GERMANY</v>
          </cell>
        </row>
        <row r="2788">
          <cell r="L2788" t="str">
            <v>Non-proportional</v>
          </cell>
          <cell r="S2788">
            <v>836.96</v>
          </cell>
          <cell r="X2788" t="str">
            <v>Commissions - gross</v>
          </cell>
          <cell r="Y2788" t="str">
            <v>GERMANY</v>
          </cell>
        </row>
        <row r="2789">
          <cell r="L2789" t="str">
            <v>Non-proportional</v>
          </cell>
          <cell r="S2789">
            <v>355.97</v>
          </cell>
          <cell r="X2789" t="str">
            <v>Commissions - gross</v>
          </cell>
          <cell r="Y2789" t="str">
            <v>SWITZERLAND</v>
          </cell>
        </row>
        <row r="2790">
          <cell r="L2790" t="str">
            <v>Non-proportional</v>
          </cell>
          <cell r="S2790">
            <v>535.22</v>
          </cell>
          <cell r="X2790" t="str">
            <v>Commissions - gross</v>
          </cell>
          <cell r="Y2790" t="str">
            <v>UNITED KINGDOM</v>
          </cell>
        </row>
        <row r="2791">
          <cell r="L2791" t="str">
            <v>Non-proportional</v>
          </cell>
          <cell r="S2791">
            <v>687.19</v>
          </cell>
          <cell r="X2791" t="str">
            <v>Commissions - gross</v>
          </cell>
          <cell r="Y2791" t="str">
            <v>GERMANY</v>
          </cell>
        </row>
        <row r="2792">
          <cell r="L2792" t="str">
            <v>Non-proportional</v>
          </cell>
          <cell r="S2792">
            <v>1632.45</v>
          </cell>
          <cell r="X2792" t="str">
            <v>Commissions - gross</v>
          </cell>
          <cell r="Y2792" t="str">
            <v>UNITED KINGDOM</v>
          </cell>
        </row>
        <row r="2793">
          <cell r="L2793" t="str">
            <v>Non-proportional</v>
          </cell>
          <cell r="S2793">
            <v>1897.38</v>
          </cell>
          <cell r="X2793" t="str">
            <v>Commissions - gross</v>
          </cell>
          <cell r="Y2793" t="str">
            <v>AUSTRIA</v>
          </cell>
        </row>
        <row r="2794">
          <cell r="L2794" t="str">
            <v>Non-proportional</v>
          </cell>
          <cell r="S2794">
            <v>-0.93</v>
          </cell>
          <cell r="X2794" t="str">
            <v>Commissions - gross</v>
          </cell>
          <cell r="Y2794" t="str">
            <v>SWEDEN</v>
          </cell>
        </row>
        <row r="2795">
          <cell r="L2795" t="str">
            <v>Non-proportional</v>
          </cell>
          <cell r="S2795">
            <v>759.96</v>
          </cell>
          <cell r="X2795" t="str">
            <v>Commissions - gross</v>
          </cell>
          <cell r="Y2795" t="str">
            <v>UNITED KINGDOM</v>
          </cell>
        </row>
        <row r="2796">
          <cell r="L2796" t="str">
            <v>Non-proportional</v>
          </cell>
          <cell r="S2796">
            <v>1.58</v>
          </cell>
          <cell r="X2796" t="str">
            <v>Commissions - gross</v>
          </cell>
          <cell r="Y2796" t="str">
            <v>NORWAY</v>
          </cell>
        </row>
        <row r="2797">
          <cell r="L2797" t="str">
            <v>Non-proportional</v>
          </cell>
          <cell r="S2797">
            <v>333.34</v>
          </cell>
          <cell r="X2797" t="str">
            <v>Commissions - gross</v>
          </cell>
          <cell r="Y2797" t="str">
            <v>ITALY</v>
          </cell>
        </row>
        <row r="2798">
          <cell r="L2798" t="str">
            <v>Non-proportional</v>
          </cell>
          <cell r="S2798">
            <v>3764.25</v>
          </cell>
          <cell r="X2798" t="str">
            <v>Commissions - gross</v>
          </cell>
          <cell r="Y2798" t="str">
            <v>UNITED KINGDOM</v>
          </cell>
        </row>
        <row r="2799">
          <cell r="L2799" t="str">
            <v>Non-proportional</v>
          </cell>
          <cell r="S2799">
            <v>1202.2</v>
          </cell>
          <cell r="X2799" t="str">
            <v>Commissions - gross</v>
          </cell>
          <cell r="Y2799" t="str">
            <v>UNITED KINGDOM</v>
          </cell>
        </row>
        <row r="2800">
          <cell r="L2800" t="str">
            <v>Non-proportional</v>
          </cell>
          <cell r="S2800">
            <v>11.78</v>
          </cell>
          <cell r="X2800" t="str">
            <v>Commissions - gross</v>
          </cell>
          <cell r="Y2800" t="str">
            <v>FRANCE</v>
          </cell>
        </row>
        <row r="2801">
          <cell r="L2801" t="str">
            <v>Non-proportional</v>
          </cell>
          <cell r="S2801">
            <v>8.33</v>
          </cell>
          <cell r="X2801" t="str">
            <v>Commissions - gross</v>
          </cell>
          <cell r="Y2801" t="str">
            <v>FRANCE</v>
          </cell>
        </row>
        <row r="2802">
          <cell r="L2802" t="str">
            <v>Proportional</v>
          </cell>
          <cell r="S2802">
            <v>1729.68</v>
          </cell>
          <cell r="X2802" t="str">
            <v>Commissions - gross</v>
          </cell>
          <cell r="Y2802" t="str">
            <v>GERMANY</v>
          </cell>
        </row>
        <row r="2803">
          <cell r="L2803" t="str">
            <v>Non-proportional</v>
          </cell>
          <cell r="S2803">
            <v>1122.67</v>
          </cell>
          <cell r="X2803" t="str">
            <v>Commissions - gross</v>
          </cell>
          <cell r="Y2803" t="str">
            <v>UNITED KINGDOM</v>
          </cell>
        </row>
        <row r="2804">
          <cell r="L2804" t="str">
            <v>Non-proportional</v>
          </cell>
          <cell r="S2804">
            <v>1.1000000000000001</v>
          </cell>
          <cell r="X2804" t="str">
            <v>Commissions - gross</v>
          </cell>
          <cell r="Y2804" t="str">
            <v>NORWAY</v>
          </cell>
        </row>
        <row r="2805">
          <cell r="L2805" t="str">
            <v>Non-proportional</v>
          </cell>
          <cell r="S2805">
            <v>640.75</v>
          </cell>
          <cell r="X2805" t="str">
            <v>Commissions - gross</v>
          </cell>
          <cell r="Y2805" t="str">
            <v>SWITZERLAND</v>
          </cell>
        </row>
        <row r="2806">
          <cell r="L2806" t="str">
            <v>Non-proportional</v>
          </cell>
          <cell r="S2806">
            <v>1001.51</v>
          </cell>
          <cell r="X2806" t="str">
            <v>Commissions - gross</v>
          </cell>
          <cell r="Y2806" t="str">
            <v>AUSTRIA</v>
          </cell>
        </row>
        <row r="2807">
          <cell r="L2807" t="str">
            <v>Non-proportional</v>
          </cell>
          <cell r="S2807">
            <v>1463.2</v>
          </cell>
          <cell r="X2807" t="str">
            <v>Commissions - gross</v>
          </cell>
          <cell r="Y2807" t="str">
            <v>GERMANY</v>
          </cell>
        </row>
        <row r="2808">
          <cell r="L2808" t="str">
            <v>Non-proportional</v>
          </cell>
          <cell r="S2808">
            <v>884.49</v>
          </cell>
          <cell r="X2808" t="str">
            <v>Commissions - gross</v>
          </cell>
          <cell r="Y2808" t="str">
            <v>GERMANY</v>
          </cell>
        </row>
        <row r="2809">
          <cell r="L2809" t="str">
            <v>Non-proportional</v>
          </cell>
          <cell r="S2809">
            <v>335.8</v>
          </cell>
          <cell r="X2809" t="str">
            <v>Commissions - gross</v>
          </cell>
          <cell r="Y2809" t="str">
            <v>UNITED KINGDOM</v>
          </cell>
        </row>
        <row r="2810">
          <cell r="L2810" t="str">
            <v>Non-proportional</v>
          </cell>
          <cell r="S2810">
            <v>443.98</v>
          </cell>
          <cell r="X2810" t="str">
            <v>Commissions - gross</v>
          </cell>
          <cell r="Y2810" t="str">
            <v>GERMANY</v>
          </cell>
        </row>
        <row r="2811">
          <cell r="L2811" t="str">
            <v>Non-proportional</v>
          </cell>
          <cell r="S2811">
            <v>2682.91</v>
          </cell>
          <cell r="X2811" t="str">
            <v>Commissions - gross</v>
          </cell>
          <cell r="Y2811" t="str">
            <v>UNITED KINGDOM</v>
          </cell>
        </row>
        <row r="2812">
          <cell r="L2812" t="str">
            <v>Non-proportional</v>
          </cell>
          <cell r="S2812">
            <v>663.84</v>
          </cell>
          <cell r="X2812" t="str">
            <v>Commissions - gross</v>
          </cell>
          <cell r="Y2812" t="str">
            <v>EUROPE</v>
          </cell>
        </row>
        <row r="2813">
          <cell r="L2813" t="str">
            <v>Non-proportional</v>
          </cell>
          <cell r="S2813">
            <v>-10.08</v>
          </cell>
          <cell r="X2813" t="str">
            <v>Commissions - gross</v>
          </cell>
          <cell r="Y2813" t="str">
            <v>POLAND</v>
          </cell>
        </row>
        <row r="2814">
          <cell r="L2814" t="str">
            <v>Non-proportional</v>
          </cell>
          <cell r="S2814">
            <v>151.19</v>
          </cell>
          <cell r="X2814" t="str">
            <v>Commissions - gross</v>
          </cell>
          <cell r="Y2814" t="str">
            <v>UNITED ARAB EMIRATES</v>
          </cell>
        </row>
        <row r="2815">
          <cell r="L2815" t="str">
            <v>Non-proportional</v>
          </cell>
          <cell r="S2815">
            <v>549.32000000000005</v>
          </cell>
          <cell r="X2815" t="str">
            <v>Commissions - gross</v>
          </cell>
          <cell r="Y2815" t="str">
            <v>FRANCE</v>
          </cell>
        </row>
        <row r="2816">
          <cell r="L2816" t="str">
            <v>Non-proportional</v>
          </cell>
          <cell r="S2816">
            <v>1174.03</v>
          </cell>
          <cell r="X2816" t="str">
            <v>Commissions - gross</v>
          </cell>
          <cell r="Y2816" t="str">
            <v>UNITED KINGDOM</v>
          </cell>
        </row>
        <row r="2817">
          <cell r="L2817" t="str">
            <v>Non-proportional</v>
          </cell>
          <cell r="S2817">
            <v>1081.93</v>
          </cell>
          <cell r="X2817" t="str">
            <v>Commissions - gross</v>
          </cell>
          <cell r="Y2817" t="str">
            <v>UNITED KINGDOM</v>
          </cell>
        </row>
        <row r="2818">
          <cell r="L2818" t="str">
            <v>Non-proportional</v>
          </cell>
          <cell r="S2818">
            <v>200.23</v>
          </cell>
          <cell r="X2818" t="str">
            <v>Commissions - gross</v>
          </cell>
          <cell r="Y2818" t="str">
            <v>SWITZERLAND</v>
          </cell>
        </row>
        <row r="2819">
          <cell r="L2819" t="str">
            <v>Non-proportional</v>
          </cell>
          <cell r="S2819">
            <v>546.71</v>
          </cell>
          <cell r="X2819" t="str">
            <v>Commissions - gross</v>
          </cell>
          <cell r="Y2819" t="str">
            <v>EIRE</v>
          </cell>
        </row>
        <row r="2820">
          <cell r="L2820" t="str">
            <v>Non-proportional</v>
          </cell>
          <cell r="S2820">
            <v>790.03</v>
          </cell>
          <cell r="X2820" t="str">
            <v>Commissions - gross</v>
          </cell>
          <cell r="Y2820" t="str">
            <v>ICELAND</v>
          </cell>
        </row>
        <row r="2821">
          <cell r="L2821" t="str">
            <v>Non-proportional</v>
          </cell>
          <cell r="S2821">
            <v>1708.67</v>
          </cell>
          <cell r="X2821" t="str">
            <v>Commissions - gross</v>
          </cell>
          <cell r="Y2821" t="str">
            <v>SWITZERLAND</v>
          </cell>
        </row>
        <row r="2822">
          <cell r="L2822" t="str">
            <v>Non-proportional</v>
          </cell>
          <cell r="S2822">
            <v>500.58</v>
          </cell>
          <cell r="X2822" t="str">
            <v>Commissions - gross</v>
          </cell>
          <cell r="Y2822" t="str">
            <v>FRANCE</v>
          </cell>
        </row>
        <row r="2823">
          <cell r="L2823" t="str">
            <v>Non-proportional</v>
          </cell>
          <cell r="S2823">
            <v>112.5</v>
          </cell>
          <cell r="X2823" t="str">
            <v>Commissions - gross</v>
          </cell>
          <cell r="Y2823" t="str">
            <v>GERMANY</v>
          </cell>
        </row>
        <row r="2824">
          <cell r="L2824" t="str">
            <v>Non-proportional</v>
          </cell>
          <cell r="S2824">
            <v>-0.57999999999999996</v>
          </cell>
          <cell r="X2824" t="str">
            <v>Commissions - gross</v>
          </cell>
          <cell r="Y2824" t="str">
            <v>DENMARK</v>
          </cell>
        </row>
        <row r="2825">
          <cell r="L2825" t="str">
            <v>Non-proportional</v>
          </cell>
          <cell r="S2825">
            <v>314.86</v>
          </cell>
          <cell r="X2825" t="str">
            <v>Commissions - gross</v>
          </cell>
          <cell r="Y2825" t="str">
            <v>UNITED KINGDOM</v>
          </cell>
        </row>
        <row r="2826">
          <cell r="L2826" t="str">
            <v>Non-proportional</v>
          </cell>
          <cell r="S2826">
            <v>155.86000000000001</v>
          </cell>
          <cell r="X2826" t="str">
            <v>Commissions - gross</v>
          </cell>
          <cell r="Y2826" t="str">
            <v>JAPAN</v>
          </cell>
        </row>
        <row r="2827">
          <cell r="L2827" t="str">
            <v>Non-proportional</v>
          </cell>
          <cell r="S2827">
            <v>193.89</v>
          </cell>
          <cell r="X2827" t="str">
            <v>Commissions - gross</v>
          </cell>
          <cell r="Y2827" t="str">
            <v>REPUBLIC OF IRELAND</v>
          </cell>
        </row>
        <row r="2828">
          <cell r="L2828" t="str">
            <v>Non-proportional</v>
          </cell>
          <cell r="S2828">
            <v>912.9</v>
          </cell>
          <cell r="X2828" t="str">
            <v>Commissions - gross</v>
          </cell>
          <cell r="Y2828" t="str">
            <v>GERMANY</v>
          </cell>
        </row>
        <row r="2829">
          <cell r="L2829" t="str">
            <v>Non-proportional</v>
          </cell>
          <cell r="S2829">
            <v>2340.1799999999998</v>
          </cell>
          <cell r="X2829" t="str">
            <v>Commissions - gross</v>
          </cell>
          <cell r="Y2829" t="str">
            <v>GERMANY</v>
          </cell>
        </row>
        <row r="2830">
          <cell r="L2830" t="str">
            <v>Non-proportional</v>
          </cell>
          <cell r="S2830">
            <v>199.82</v>
          </cell>
          <cell r="X2830" t="str">
            <v>Commissions - gross</v>
          </cell>
          <cell r="Y2830" t="str">
            <v>JAPAN</v>
          </cell>
        </row>
        <row r="2831">
          <cell r="L2831" t="str">
            <v>Non-proportional</v>
          </cell>
          <cell r="S2831">
            <v>4958.91</v>
          </cell>
          <cell r="X2831" t="str">
            <v>Commissions - gross</v>
          </cell>
          <cell r="Y2831" t="str">
            <v>UNITED KINGDOM</v>
          </cell>
        </row>
        <row r="2832">
          <cell r="L2832" t="str">
            <v>Non-proportional</v>
          </cell>
          <cell r="S2832">
            <v>-0.23</v>
          </cell>
          <cell r="X2832" t="str">
            <v>Commissions - gross</v>
          </cell>
          <cell r="Y2832" t="str">
            <v>DENMARK</v>
          </cell>
        </row>
        <row r="2833">
          <cell r="L2833" t="str">
            <v>Non-proportional</v>
          </cell>
          <cell r="S2833">
            <v>745.46</v>
          </cell>
          <cell r="X2833" t="str">
            <v>Commissions - gross</v>
          </cell>
          <cell r="Y2833" t="str">
            <v>EUROPE</v>
          </cell>
        </row>
        <row r="2834">
          <cell r="L2834" t="str">
            <v>Non-proportional</v>
          </cell>
          <cell r="S2834">
            <v>5.48</v>
          </cell>
          <cell r="X2834" t="str">
            <v>Commissions - gross</v>
          </cell>
          <cell r="Y2834" t="str">
            <v>FRANCE</v>
          </cell>
        </row>
        <row r="2835">
          <cell r="L2835" t="str">
            <v>Non-proportional</v>
          </cell>
          <cell r="S2835">
            <v>869.45</v>
          </cell>
          <cell r="X2835" t="str">
            <v>Commissions - gross</v>
          </cell>
          <cell r="Y2835" t="str">
            <v>UNITED KINGDOM</v>
          </cell>
        </row>
        <row r="2836">
          <cell r="L2836" t="str">
            <v>Non-proportional</v>
          </cell>
          <cell r="S2836">
            <v>2248.58</v>
          </cell>
          <cell r="X2836" t="str">
            <v>Commissions - gross</v>
          </cell>
          <cell r="Y2836" t="str">
            <v>UNITED KINGDOM</v>
          </cell>
        </row>
        <row r="2837">
          <cell r="L2837" t="str">
            <v>Non-proportional</v>
          </cell>
          <cell r="S2837">
            <v>3003.77</v>
          </cell>
          <cell r="X2837" t="str">
            <v>Commissions - gross</v>
          </cell>
          <cell r="Y2837" t="str">
            <v>UNITED KINGDOM</v>
          </cell>
        </row>
        <row r="2838">
          <cell r="L2838" t="str">
            <v>Non-proportional</v>
          </cell>
          <cell r="S2838">
            <v>411.21</v>
          </cell>
          <cell r="X2838" t="str">
            <v>Commissions - gross</v>
          </cell>
          <cell r="Y2838" t="str">
            <v>AUSTRIA</v>
          </cell>
        </row>
        <row r="2839">
          <cell r="L2839" t="str">
            <v>Non-proportional</v>
          </cell>
          <cell r="S2839">
            <v>75</v>
          </cell>
          <cell r="X2839" t="str">
            <v>Commissions - gross</v>
          </cell>
          <cell r="Y2839" t="str">
            <v>GERMANY</v>
          </cell>
        </row>
        <row r="2840">
          <cell r="L2840" t="str">
            <v>Non-proportional</v>
          </cell>
          <cell r="S2840">
            <v>1136.0999999999999</v>
          </cell>
          <cell r="X2840" t="str">
            <v>Commissions - gross</v>
          </cell>
          <cell r="Y2840" t="str">
            <v>UNITED KINGDOM</v>
          </cell>
        </row>
        <row r="2841">
          <cell r="L2841" t="str">
            <v>Non-proportional</v>
          </cell>
          <cell r="S2841">
            <v>423.8</v>
          </cell>
          <cell r="X2841" t="str">
            <v>Commissions - gross</v>
          </cell>
          <cell r="Y2841" t="str">
            <v>GERMANY</v>
          </cell>
        </row>
        <row r="2842">
          <cell r="L2842" t="str">
            <v>Non-proportional</v>
          </cell>
          <cell r="S2842">
            <v>4135.3599999999997</v>
          </cell>
          <cell r="X2842" t="str">
            <v>Commissions - gross</v>
          </cell>
          <cell r="Y2842" t="str">
            <v>UNITED KINGDOM</v>
          </cell>
        </row>
        <row r="2843">
          <cell r="L2843" t="str">
            <v>Non-proportional</v>
          </cell>
          <cell r="S2843">
            <v>2539.36</v>
          </cell>
          <cell r="X2843" t="str">
            <v>Commissions - gross</v>
          </cell>
          <cell r="Y2843" t="str">
            <v>GERMANY</v>
          </cell>
        </row>
        <row r="2844">
          <cell r="L2844" t="str">
            <v>Non-proportional</v>
          </cell>
          <cell r="S2844">
            <v>4067.44</v>
          </cell>
          <cell r="X2844" t="str">
            <v>Commissions - gross</v>
          </cell>
          <cell r="Y2844" t="str">
            <v>SWITZERLAND</v>
          </cell>
        </row>
        <row r="2845">
          <cell r="L2845" t="str">
            <v>Non-proportional</v>
          </cell>
          <cell r="S2845">
            <v>285.32</v>
          </cell>
          <cell r="X2845" t="str">
            <v>Commissions - gross</v>
          </cell>
          <cell r="Y2845" t="str">
            <v>UNITED KINGDOM</v>
          </cell>
        </row>
        <row r="2846">
          <cell r="L2846" t="str">
            <v>Non-proportional</v>
          </cell>
          <cell r="S2846">
            <v>645.83000000000004</v>
          </cell>
          <cell r="X2846" t="str">
            <v>Commissions - gross</v>
          </cell>
          <cell r="Y2846" t="str">
            <v>AUSTRIA</v>
          </cell>
        </row>
        <row r="2847">
          <cell r="L2847" t="str">
            <v>Non-proportional</v>
          </cell>
          <cell r="S2847">
            <v>1292.31</v>
          </cell>
          <cell r="X2847" t="str">
            <v>Commissions - gross</v>
          </cell>
          <cell r="Y2847" t="str">
            <v>UNITED KINGDOM</v>
          </cell>
        </row>
        <row r="2848">
          <cell r="L2848" t="str">
            <v>Non-proportional</v>
          </cell>
          <cell r="S2848">
            <v>2077.06</v>
          </cell>
          <cell r="X2848" t="str">
            <v>Commissions - gross</v>
          </cell>
          <cell r="Y2848" t="str">
            <v>FRANCE</v>
          </cell>
        </row>
        <row r="2849">
          <cell r="L2849" t="str">
            <v>Non-proportional</v>
          </cell>
          <cell r="S2849">
            <v>308.56</v>
          </cell>
          <cell r="X2849" t="str">
            <v>Commissions - gross</v>
          </cell>
          <cell r="Y2849" t="str">
            <v>SWITZERLAND</v>
          </cell>
        </row>
        <row r="2850">
          <cell r="L2850" t="str">
            <v>Non-proportional</v>
          </cell>
          <cell r="S2850">
            <v>791.68</v>
          </cell>
          <cell r="X2850" t="str">
            <v>Commissions - gross</v>
          </cell>
          <cell r="Y2850" t="str">
            <v>GERMANY</v>
          </cell>
        </row>
        <row r="2851">
          <cell r="L2851" t="str">
            <v>Non-proportional</v>
          </cell>
          <cell r="S2851">
            <v>3.41</v>
          </cell>
          <cell r="X2851" t="str">
            <v>Commissions - gross</v>
          </cell>
          <cell r="Y2851" t="str">
            <v>UNITED ARAB EMIRATES</v>
          </cell>
        </row>
        <row r="2852">
          <cell r="L2852" t="str">
            <v>Non-proportional</v>
          </cell>
          <cell r="S2852">
            <v>4089.95</v>
          </cell>
          <cell r="X2852" t="str">
            <v>Commissions - gross</v>
          </cell>
          <cell r="Y2852" t="str">
            <v>UNITED KINGDOM</v>
          </cell>
        </row>
        <row r="2853">
          <cell r="L2853" t="str">
            <v>Non-proportional</v>
          </cell>
          <cell r="S2853">
            <v>4090.35</v>
          </cell>
          <cell r="X2853" t="str">
            <v>Commissions - gross</v>
          </cell>
          <cell r="Y2853" t="str">
            <v>GERMANY</v>
          </cell>
        </row>
        <row r="2854">
          <cell r="L2854" t="str">
            <v>Non-proportional</v>
          </cell>
          <cell r="S2854">
            <v>133.91999999999999</v>
          </cell>
          <cell r="X2854" t="str">
            <v>Commissions - gross</v>
          </cell>
          <cell r="Y2854" t="str">
            <v>DENMARK</v>
          </cell>
        </row>
        <row r="2855">
          <cell r="L2855" t="str">
            <v>Non-proportional</v>
          </cell>
          <cell r="S2855">
            <v>70.34</v>
          </cell>
          <cell r="X2855" t="str">
            <v>Commissions - gross</v>
          </cell>
          <cell r="Y2855" t="str">
            <v>JAPAN</v>
          </cell>
        </row>
        <row r="2856">
          <cell r="L2856" t="str">
            <v>Non-proportional</v>
          </cell>
          <cell r="S2856">
            <v>310.73</v>
          </cell>
          <cell r="X2856" t="str">
            <v>Commissions - gross</v>
          </cell>
          <cell r="Y2856" t="str">
            <v>GERMANY</v>
          </cell>
        </row>
        <row r="2857">
          <cell r="L2857" t="str">
            <v>Non-proportional</v>
          </cell>
          <cell r="S2857">
            <v>3729.24</v>
          </cell>
          <cell r="X2857" t="str">
            <v>Commissions - gross</v>
          </cell>
          <cell r="Y2857" t="str">
            <v>UNITED KINGDOM</v>
          </cell>
        </row>
        <row r="2858">
          <cell r="L2858" t="str">
            <v>Non-proportional</v>
          </cell>
          <cell r="S2858">
            <v>999.97</v>
          </cell>
          <cell r="X2858" t="str">
            <v>Commissions - gross</v>
          </cell>
          <cell r="Y2858" t="str">
            <v>GERMANY</v>
          </cell>
        </row>
        <row r="2859">
          <cell r="L2859" t="str">
            <v>Non-proportional</v>
          </cell>
          <cell r="S2859">
            <v>6495.3</v>
          </cell>
          <cell r="X2859" t="str">
            <v>Commissions - gross</v>
          </cell>
          <cell r="Y2859" t="str">
            <v>REPUBLIC OF IRELAND</v>
          </cell>
        </row>
        <row r="2860">
          <cell r="L2860" t="str">
            <v>Non-proportional</v>
          </cell>
          <cell r="S2860">
            <v>394.2</v>
          </cell>
          <cell r="X2860" t="str">
            <v>Commissions - gross</v>
          </cell>
          <cell r="Y2860" t="str">
            <v>NORWAY</v>
          </cell>
        </row>
        <row r="2861">
          <cell r="L2861" t="str">
            <v>Non-proportional</v>
          </cell>
          <cell r="S2861">
            <v>146.79</v>
          </cell>
          <cell r="X2861" t="str">
            <v>Commissions - gross</v>
          </cell>
          <cell r="Y2861" t="str">
            <v>REPUBLIC OF IRELAND</v>
          </cell>
        </row>
        <row r="2862">
          <cell r="L2862" t="str">
            <v>Non-proportional</v>
          </cell>
          <cell r="S2862">
            <v>733.28</v>
          </cell>
          <cell r="X2862" t="str">
            <v>Commissions - gross</v>
          </cell>
          <cell r="Y2862" t="str">
            <v>NORWAY</v>
          </cell>
        </row>
        <row r="2863">
          <cell r="L2863" t="str">
            <v>Non-proportional</v>
          </cell>
          <cell r="S2863">
            <v>4187.22</v>
          </cell>
          <cell r="X2863" t="str">
            <v>Commissions - gross</v>
          </cell>
          <cell r="Y2863" t="str">
            <v>UNITED KINGDOM</v>
          </cell>
        </row>
        <row r="2864">
          <cell r="L2864" t="str">
            <v>Non-proportional</v>
          </cell>
          <cell r="S2864">
            <v>625</v>
          </cell>
          <cell r="X2864" t="str">
            <v>Commissions - gross</v>
          </cell>
          <cell r="Y2864" t="str">
            <v>GERMANY</v>
          </cell>
        </row>
        <row r="2865">
          <cell r="L2865" t="str">
            <v>Non-proportional</v>
          </cell>
          <cell r="S2865">
            <v>472.44</v>
          </cell>
          <cell r="X2865" t="str">
            <v>Commissions - gross</v>
          </cell>
          <cell r="Y2865" t="str">
            <v>POLAND</v>
          </cell>
        </row>
        <row r="2866">
          <cell r="L2866" t="str">
            <v>Non-proportional</v>
          </cell>
          <cell r="S2866">
            <v>842.33</v>
          </cell>
          <cell r="X2866" t="str">
            <v>Commissions - gross</v>
          </cell>
          <cell r="Y2866" t="str">
            <v>ITALY</v>
          </cell>
        </row>
        <row r="2867">
          <cell r="L2867" t="str">
            <v>Non-proportional</v>
          </cell>
          <cell r="S2867">
            <v>715.4</v>
          </cell>
          <cell r="X2867" t="str">
            <v>Commissions - gross</v>
          </cell>
          <cell r="Y2867" t="str">
            <v>NORWAY</v>
          </cell>
        </row>
        <row r="2868">
          <cell r="L2868" t="str">
            <v>Non-proportional</v>
          </cell>
          <cell r="S2868">
            <v>590.20000000000005</v>
          </cell>
          <cell r="X2868" t="str">
            <v>Commissions - gross</v>
          </cell>
          <cell r="Y2868" t="str">
            <v>NORWAY</v>
          </cell>
        </row>
        <row r="2869">
          <cell r="L2869" t="str">
            <v>Non-proportional</v>
          </cell>
          <cell r="S2869">
            <v>1880.73</v>
          </cell>
          <cell r="X2869" t="str">
            <v>Commissions - gross</v>
          </cell>
          <cell r="Y2869" t="str">
            <v>REPUBLIC OF IRELAND</v>
          </cell>
        </row>
        <row r="2870">
          <cell r="L2870" t="str">
            <v>Non-proportional</v>
          </cell>
          <cell r="S2870">
            <v>2816.89</v>
          </cell>
          <cell r="X2870" t="str">
            <v>Commissions - gross</v>
          </cell>
          <cell r="Y2870" t="str">
            <v>UNITED KINGDOM</v>
          </cell>
        </row>
        <row r="2871">
          <cell r="L2871" t="str">
            <v>Non-proportional</v>
          </cell>
          <cell r="S2871">
            <v>719.63</v>
          </cell>
          <cell r="X2871" t="str">
            <v>Commissions - gross</v>
          </cell>
          <cell r="Y2871" t="str">
            <v>DENMARK</v>
          </cell>
        </row>
        <row r="2872">
          <cell r="L2872" t="str">
            <v>Non-proportional</v>
          </cell>
          <cell r="S2872">
            <v>1001.09</v>
          </cell>
          <cell r="X2872" t="str">
            <v>Commissions - gross</v>
          </cell>
          <cell r="Y2872" t="str">
            <v>GERMANY</v>
          </cell>
        </row>
        <row r="2873">
          <cell r="L2873" t="str">
            <v>Non-proportional</v>
          </cell>
          <cell r="S2873">
            <v>268.75</v>
          </cell>
          <cell r="X2873" t="str">
            <v>Commissions - gross</v>
          </cell>
          <cell r="Y2873" t="str">
            <v>GERMANY</v>
          </cell>
        </row>
        <row r="2874">
          <cell r="L2874" t="str">
            <v>Non-proportional</v>
          </cell>
          <cell r="S2874">
            <v>752.89</v>
          </cell>
          <cell r="X2874" t="str">
            <v>Commissions - gross</v>
          </cell>
          <cell r="Y2874" t="str">
            <v>UNITED KINGDOM</v>
          </cell>
        </row>
        <row r="2875">
          <cell r="L2875" t="str">
            <v>Non-proportional</v>
          </cell>
          <cell r="S2875">
            <v>122.82</v>
          </cell>
          <cell r="X2875" t="str">
            <v>Commissions - gross</v>
          </cell>
          <cell r="Y2875" t="str">
            <v>UNITED KINGDOM</v>
          </cell>
        </row>
        <row r="2876">
          <cell r="L2876" t="str">
            <v>Non-proportional</v>
          </cell>
          <cell r="S2876">
            <v>-0.37</v>
          </cell>
          <cell r="X2876" t="str">
            <v>Commissions - gross</v>
          </cell>
          <cell r="Y2876" t="str">
            <v>DENMARK</v>
          </cell>
        </row>
        <row r="2877">
          <cell r="L2877" t="str">
            <v>Non-proportional</v>
          </cell>
          <cell r="S2877">
            <v>332.68</v>
          </cell>
          <cell r="X2877" t="str">
            <v>Commissions - gross</v>
          </cell>
          <cell r="Y2877" t="str">
            <v>UNITED KINGDOM</v>
          </cell>
        </row>
        <row r="2878">
          <cell r="L2878" t="str">
            <v>Non-proportional</v>
          </cell>
          <cell r="S2878">
            <v>35.17</v>
          </cell>
          <cell r="X2878" t="str">
            <v>Commissions - gross</v>
          </cell>
          <cell r="Y2878" t="str">
            <v>GERMANY</v>
          </cell>
        </row>
        <row r="2879">
          <cell r="L2879" t="str">
            <v>Non-proportional</v>
          </cell>
          <cell r="S2879">
            <v>397.95</v>
          </cell>
          <cell r="X2879" t="str">
            <v>Commissions - gross</v>
          </cell>
          <cell r="Y2879" t="str">
            <v>UNITED KINGDOM</v>
          </cell>
        </row>
        <row r="2880">
          <cell r="L2880" t="str">
            <v>Non-proportional</v>
          </cell>
          <cell r="S2880">
            <v>235.75</v>
          </cell>
          <cell r="X2880" t="str">
            <v>Commissions - gross</v>
          </cell>
          <cell r="Y2880" t="str">
            <v>GERMANY</v>
          </cell>
        </row>
        <row r="2881">
          <cell r="L2881" t="str">
            <v>Non-proportional</v>
          </cell>
          <cell r="S2881">
            <v>5502.26</v>
          </cell>
          <cell r="X2881" t="str">
            <v>Commissions - gross</v>
          </cell>
          <cell r="Y2881" t="str">
            <v>UNITED KINGDOM</v>
          </cell>
        </row>
        <row r="2882">
          <cell r="L2882" t="str">
            <v>Non-proportional</v>
          </cell>
          <cell r="S2882">
            <v>12819.99</v>
          </cell>
          <cell r="X2882" t="str">
            <v>Commissions - gross</v>
          </cell>
          <cell r="Y2882" t="str">
            <v>UNITED KINGDOM</v>
          </cell>
        </row>
        <row r="2883">
          <cell r="L2883" t="str">
            <v>Non-proportional</v>
          </cell>
          <cell r="S2883">
            <v>4375</v>
          </cell>
          <cell r="X2883" t="str">
            <v>Commissions - gross</v>
          </cell>
          <cell r="Y2883" t="str">
            <v>GERMANY</v>
          </cell>
        </row>
        <row r="2884">
          <cell r="L2884" t="str">
            <v>Non-proportional</v>
          </cell>
          <cell r="S2884">
            <v>140.63999999999999</v>
          </cell>
          <cell r="X2884" t="str">
            <v>Commissions - gross</v>
          </cell>
          <cell r="Y2884" t="str">
            <v>SWITZERLAND</v>
          </cell>
        </row>
        <row r="2885">
          <cell r="L2885" t="str">
            <v>Non-proportional</v>
          </cell>
          <cell r="S2885">
            <v>7169.57</v>
          </cell>
          <cell r="X2885" t="str">
            <v>Commissions - gross</v>
          </cell>
          <cell r="Y2885" t="str">
            <v>UNITED KINGDOM</v>
          </cell>
        </row>
        <row r="2886">
          <cell r="L2886" t="str">
            <v>Non-proportional</v>
          </cell>
          <cell r="S2886">
            <v>1654.42</v>
          </cell>
          <cell r="X2886" t="str">
            <v>Commissions - gross</v>
          </cell>
          <cell r="Y2886" t="str">
            <v>SWITZERLAND</v>
          </cell>
        </row>
        <row r="2887">
          <cell r="L2887" t="str">
            <v>Non-proportional</v>
          </cell>
          <cell r="S2887">
            <v>812.5</v>
          </cell>
          <cell r="X2887" t="str">
            <v>Commissions - gross</v>
          </cell>
          <cell r="Y2887" t="str">
            <v>CZECH REPUBLIC</v>
          </cell>
        </row>
        <row r="2888">
          <cell r="L2888" t="str">
            <v>Non-proportional</v>
          </cell>
          <cell r="S2888">
            <v>807.28</v>
          </cell>
          <cell r="X2888" t="str">
            <v>Commissions - gross</v>
          </cell>
          <cell r="Y2888" t="str">
            <v>GERMANY</v>
          </cell>
        </row>
        <row r="2889">
          <cell r="L2889" t="str">
            <v>Non-proportional</v>
          </cell>
          <cell r="S2889">
            <v>-0.56999999999999995</v>
          </cell>
          <cell r="X2889" t="str">
            <v>Commissions - gross</v>
          </cell>
          <cell r="Y2889" t="str">
            <v>DENMARK</v>
          </cell>
        </row>
        <row r="2890">
          <cell r="L2890" t="str">
            <v>Non-proportional</v>
          </cell>
          <cell r="S2890">
            <v>1259.6300000000001</v>
          </cell>
          <cell r="X2890" t="str">
            <v>Commissions - gross</v>
          </cell>
          <cell r="Y2890" t="str">
            <v>SWEDEN</v>
          </cell>
        </row>
        <row r="2891">
          <cell r="L2891" t="str">
            <v>Non-proportional</v>
          </cell>
          <cell r="S2891">
            <v>45.13</v>
          </cell>
          <cell r="X2891" t="str">
            <v>Commissions - gross</v>
          </cell>
          <cell r="Y2891" t="str">
            <v>ITALY</v>
          </cell>
        </row>
        <row r="2892">
          <cell r="L2892" t="str">
            <v>Non-proportional</v>
          </cell>
          <cell r="S2892">
            <v>380.63</v>
          </cell>
          <cell r="X2892" t="str">
            <v>Commissions - gross</v>
          </cell>
          <cell r="Y2892" t="str">
            <v>ROMANIA</v>
          </cell>
        </row>
        <row r="2893">
          <cell r="L2893" t="str">
            <v>Non-proportional</v>
          </cell>
          <cell r="S2893">
            <v>4051.91</v>
          </cell>
          <cell r="X2893" t="str">
            <v>Commissions - gross</v>
          </cell>
          <cell r="Y2893" t="str">
            <v>UNITED KINGDOM</v>
          </cell>
        </row>
        <row r="2894">
          <cell r="L2894" t="str">
            <v>Non-proportional</v>
          </cell>
          <cell r="S2894">
            <v>83.7</v>
          </cell>
          <cell r="X2894" t="str">
            <v>Commissions - gross</v>
          </cell>
          <cell r="Y2894" t="str">
            <v>DENMARK</v>
          </cell>
        </row>
        <row r="2895">
          <cell r="L2895" t="str">
            <v>Non-proportional</v>
          </cell>
          <cell r="S2895">
            <v>834.85</v>
          </cell>
          <cell r="X2895" t="str">
            <v>Commissions - gross</v>
          </cell>
          <cell r="Y2895" t="str">
            <v>DENMARK</v>
          </cell>
        </row>
        <row r="2896">
          <cell r="L2896" t="str">
            <v>Non-proportional</v>
          </cell>
          <cell r="S2896">
            <v>1897.38</v>
          </cell>
          <cell r="X2896" t="str">
            <v>Commissions - gross</v>
          </cell>
          <cell r="Y2896" t="str">
            <v>AUSTRIA</v>
          </cell>
        </row>
        <row r="2897">
          <cell r="L2897" t="str">
            <v>Non-proportional</v>
          </cell>
          <cell r="S2897">
            <v>571.76</v>
          </cell>
          <cell r="X2897" t="str">
            <v>Commissions - gross</v>
          </cell>
          <cell r="Y2897" t="str">
            <v>GERMANY</v>
          </cell>
        </row>
        <row r="2898">
          <cell r="L2898" t="str">
            <v>Non-proportional</v>
          </cell>
          <cell r="S2898">
            <v>745.46</v>
          </cell>
          <cell r="X2898" t="str">
            <v>Commissions - gross</v>
          </cell>
          <cell r="Y2898" t="str">
            <v>EUROPE</v>
          </cell>
        </row>
        <row r="2899">
          <cell r="L2899" t="str">
            <v>Non-proportional</v>
          </cell>
          <cell r="S2899">
            <v>836.96</v>
          </cell>
          <cell r="X2899" t="str">
            <v>Commissions - gross</v>
          </cell>
          <cell r="Y2899" t="str">
            <v>GERMANY</v>
          </cell>
        </row>
        <row r="2900">
          <cell r="L2900" t="str">
            <v>Non-proportional</v>
          </cell>
          <cell r="S2900">
            <v>1583.24</v>
          </cell>
          <cell r="X2900" t="str">
            <v>Commissions - gross</v>
          </cell>
          <cell r="Y2900" t="str">
            <v>GERMANY</v>
          </cell>
        </row>
        <row r="2901">
          <cell r="L2901" t="str">
            <v>Non-proportional</v>
          </cell>
          <cell r="S2901">
            <v>760</v>
          </cell>
          <cell r="X2901" t="str">
            <v>Commissions - gross</v>
          </cell>
          <cell r="Y2901" t="str">
            <v>NORWAY</v>
          </cell>
        </row>
        <row r="2902">
          <cell r="L2902" t="str">
            <v>Non-proportional</v>
          </cell>
          <cell r="S2902">
            <v>-0.52</v>
          </cell>
          <cell r="X2902" t="str">
            <v>Commissions - gross</v>
          </cell>
          <cell r="Y2902" t="str">
            <v>SWEDEN</v>
          </cell>
        </row>
        <row r="2903">
          <cell r="L2903" t="str">
            <v>Non-proportional</v>
          </cell>
          <cell r="S2903">
            <v>3826.8</v>
          </cell>
          <cell r="X2903" t="str">
            <v>Commissions - gross</v>
          </cell>
          <cell r="Y2903" t="str">
            <v>UNITED KINGDOM</v>
          </cell>
        </row>
        <row r="2904">
          <cell r="L2904" t="str">
            <v>Non-proportional</v>
          </cell>
          <cell r="S2904">
            <v>1632.06</v>
          </cell>
          <cell r="X2904" t="str">
            <v>Commissions - gross</v>
          </cell>
          <cell r="Y2904" t="str">
            <v>DENMARK</v>
          </cell>
        </row>
        <row r="2905">
          <cell r="L2905" t="str">
            <v>Non-proportional</v>
          </cell>
          <cell r="S2905">
            <v>133.87</v>
          </cell>
          <cell r="X2905" t="str">
            <v>Commissions - gross</v>
          </cell>
          <cell r="Y2905" t="str">
            <v>DENMARK</v>
          </cell>
        </row>
        <row r="2906">
          <cell r="L2906" t="str">
            <v>Non-proportional</v>
          </cell>
          <cell r="S2906">
            <v>16441.46</v>
          </cell>
          <cell r="X2906" t="str">
            <v>Commissions - gross</v>
          </cell>
          <cell r="Y2906" t="str">
            <v>UNITED KINGDOM</v>
          </cell>
        </row>
        <row r="2907">
          <cell r="L2907" t="str">
            <v>Non-proportional</v>
          </cell>
          <cell r="S2907">
            <v>385</v>
          </cell>
          <cell r="X2907" t="str">
            <v>Commissions - gross</v>
          </cell>
          <cell r="Y2907" t="str">
            <v>GERMANY</v>
          </cell>
        </row>
        <row r="2908">
          <cell r="L2908" t="str">
            <v>Non-proportional</v>
          </cell>
          <cell r="S2908">
            <v>1514.21</v>
          </cell>
          <cell r="X2908" t="str">
            <v>Commissions - gross</v>
          </cell>
          <cell r="Y2908" t="str">
            <v>SWITZERLAND</v>
          </cell>
        </row>
        <row r="2909">
          <cell r="L2909" t="str">
            <v>Non-proportional</v>
          </cell>
          <cell r="S2909">
            <v>791.68</v>
          </cell>
          <cell r="X2909" t="str">
            <v>Commissions - gross</v>
          </cell>
          <cell r="Y2909" t="str">
            <v>GERMANY</v>
          </cell>
        </row>
        <row r="2910">
          <cell r="L2910" t="str">
            <v>Non-proportional</v>
          </cell>
          <cell r="S2910">
            <v>884.49</v>
          </cell>
          <cell r="X2910" t="str">
            <v>Commissions - gross</v>
          </cell>
          <cell r="Y2910" t="str">
            <v>GERMANY</v>
          </cell>
        </row>
        <row r="2911">
          <cell r="L2911" t="str">
            <v>Proportional</v>
          </cell>
          <cell r="S2911">
            <v>184.78</v>
          </cell>
          <cell r="X2911" t="str">
            <v>Commissions - gross</v>
          </cell>
          <cell r="Y2911" t="str">
            <v>UNITED STATES</v>
          </cell>
        </row>
        <row r="2912">
          <cell r="L2912" t="str">
            <v>Non-proportional</v>
          </cell>
          <cell r="S2912">
            <v>1815.77</v>
          </cell>
          <cell r="X2912" t="str">
            <v>Commissions - gross</v>
          </cell>
          <cell r="Y2912" t="str">
            <v>UNITED KINGDOM</v>
          </cell>
        </row>
        <row r="2913">
          <cell r="L2913" t="str">
            <v>Non-proportional</v>
          </cell>
          <cell r="S2913">
            <v>1890</v>
          </cell>
          <cell r="X2913" t="str">
            <v>Commissions - gross</v>
          </cell>
          <cell r="Y2913" t="str">
            <v>ROMANIA</v>
          </cell>
        </row>
        <row r="2914">
          <cell r="L2914" t="str">
            <v>Non-proportional</v>
          </cell>
          <cell r="S2914">
            <v>849.45</v>
          </cell>
          <cell r="X2914" t="str">
            <v>Commissions - gross</v>
          </cell>
          <cell r="Y2914" t="str">
            <v>GERMANY</v>
          </cell>
        </row>
        <row r="2915">
          <cell r="L2915" t="str">
            <v>Non-proportional</v>
          </cell>
          <cell r="S2915">
            <v>333.34</v>
          </cell>
          <cell r="X2915" t="str">
            <v>Commissions - gross</v>
          </cell>
          <cell r="Y2915" t="str">
            <v>ITALY</v>
          </cell>
        </row>
        <row r="2916">
          <cell r="L2916" t="str">
            <v>Non-proportional</v>
          </cell>
          <cell r="S2916">
            <v>869.69</v>
          </cell>
          <cell r="X2916" t="str">
            <v>Commissions - gross</v>
          </cell>
          <cell r="Y2916" t="str">
            <v>GERMANY</v>
          </cell>
        </row>
        <row r="2917">
          <cell r="L2917" t="str">
            <v>Non-proportional</v>
          </cell>
          <cell r="S2917">
            <v>1400.86</v>
          </cell>
          <cell r="X2917" t="str">
            <v>Commissions - gross</v>
          </cell>
          <cell r="Y2917" t="str">
            <v>GERMANY</v>
          </cell>
        </row>
        <row r="2918">
          <cell r="L2918" t="str">
            <v>Non-proportional</v>
          </cell>
          <cell r="S2918">
            <v>2243.2800000000002</v>
          </cell>
          <cell r="X2918" t="str">
            <v>Commissions - gross</v>
          </cell>
          <cell r="Y2918" t="str">
            <v>SWITZERLAND</v>
          </cell>
        </row>
        <row r="2919">
          <cell r="L2919" t="str">
            <v>Non-proportional</v>
          </cell>
          <cell r="S2919">
            <v>1532.92</v>
          </cell>
          <cell r="X2919" t="str">
            <v>Commissions - gross</v>
          </cell>
          <cell r="Y2919" t="str">
            <v>ITALY</v>
          </cell>
        </row>
        <row r="2920">
          <cell r="L2920" t="str">
            <v>Non-proportional</v>
          </cell>
          <cell r="S2920">
            <v>3557.03</v>
          </cell>
          <cell r="X2920" t="str">
            <v>Commissions - gross</v>
          </cell>
          <cell r="Y2920" t="str">
            <v>FRANCE</v>
          </cell>
        </row>
        <row r="2921">
          <cell r="L2921" t="str">
            <v>Non-proportional</v>
          </cell>
          <cell r="S2921">
            <v>2975.83</v>
          </cell>
          <cell r="X2921" t="str">
            <v>Commissions - gross</v>
          </cell>
          <cell r="Y2921" t="str">
            <v>UNITED KINGDOM</v>
          </cell>
        </row>
        <row r="2922">
          <cell r="L2922" t="str">
            <v>Non-proportional</v>
          </cell>
          <cell r="S2922">
            <v>750.16</v>
          </cell>
          <cell r="X2922" t="str">
            <v>Commissions - gross</v>
          </cell>
          <cell r="Y2922" t="str">
            <v>GERMANY</v>
          </cell>
        </row>
        <row r="2923">
          <cell r="L2923" t="str">
            <v>Non-proportional</v>
          </cell>
          <cell r="S2923">
            <v>423.8</v>
          </cell>
          <cell r="X2923" t="str">
            <v>Commissions - gross</v>
          </cell>
          <cell r="Y2923" t="str">
            <v>GERMANY</v>
          </cell>
        </row>
        <row r="2924">
          <cell r="L2924" t="str">
            <v>Non-proportional</v>
          </cell>
          <cell r="S2924">
            <v>1059.49</v>
          </cell>
          <cell r="X2924" t="str">
            <v>Commissions - gross</v>
          </cell>
          <cell r="Y2924" t="str">
            <v>GERMANY</v>
          </cell>
        </row>
        <row r="2925">
          <cell r="L2925" t="str">
            <v>Non-proportional</v>
          </cell>
          <cell r="S2925">
            <v>127.94</v>
          </cell>
          <cell r="X2925" t="str">
            <v>Commissions - gross</v>
          </cell>
          <cell r="Y2925" t="str">
            <v>FRANCE</v>
          </cell>
        </row>
        <row r="2926">
          <cell r="L2926" t="str">
            <v>Non-proportional</v>
          </cell>
          <cell r="S2926">
            <v>89.32</v>
          </cell>
          <cell r="X2926" t="str">
            <v>Commissions - gross</v>
          </cell>
          <cell r="Y2926" t="str">
            <v>DENMARK</v>
          </cell>
        </row>
        <row r="2927">
          <cell r="L2927" t="str">
            <v>Non-proportional</v>
          </cell>
          <cell r="S2927">
            <v>1.1200000000000001</v>
          </cell>
          <cell r="X2927" t="str">
            <v>Commissions - gross</v>
          </cell>
          <cell r="Y2927" t="str">
            <v>NORWAY</v>
          </cell>
        </row>
        <row r="2928">
          <cell r="L2928" t="str">
            <v>Non-proportional</v>
          </cell>
          <cell r="S2928">
            <v>-1.58</v>
          </cell>
          <cell r="X2928" t="str">
            <v>Commissions - gross</v>
          </cell>
          <cell r="Y2928" t="str">
            <v>SWEDEN</v>
          </cell>
        </row>
        <row r="2929">
          <cell r="L2929" t="str">
            <v>Non-proportional</v>
          </cell>
          <cell r="S2929">
            <v>1611.28</v>
          </cell>
          <cell r="X2929" t="str">
            <v>Commissions - gross</v>
          </cell>
          <cell r="Y2929" t="str">
            <v>EUROPE</v>
          </cell>
        </row>
        <row r="2930">
          <cell r="L2930" t="str">
            <v>Non-proportional</v>
          </cell>
          <cell r="S2930">
            <v>1992.02</v>
          </cell>
          <cell r="X2930" t="str">
            <v>Commissions - gross</v>
          </cell>
          <cell r="Y2930" t="str">
            <v>FRANCE</v>
          </cell>
        </row>
        <row r="2931">
          <cell r="L2931" t="str">
            <v>Non-proportional</v>
          </cell>
          <cell r="S2931">
            <v>512.41999999999996</v>
          </cell>
          <cell r="X2931" t="str">
            <v>Commissions - gross</v>
          </cell>
          <cell r="Y2931" t="str">
            <v>SWITZERLAND</v>
          </cell>
        </row>
        <row r="2932">
          <cell r="L2932" t="str">
            <v>Non-proportional</v>
          </cell>
          <cell r="S2932">
            <v>196.23</v>
          </cell>
          <cell r="X2932" t="str">
            <v>Commissions - gross</v>
          </cell>
          <cell r="Y2932" t="str">
            <v>GERMANY</v>
          </cell>
        </row>
        <row r="2933">
          <cell r="L2933" t="str">
            <v>Non-proportional</v>
          </cell>
          <cell r="S2933">
            <v>208.33</v>
          </cell>
          <cell r="X2933" t="str">
            <v>Commissions - gross</v>
          </cell>
          <cell r="Y2933" t="str">
            <v>GERMANY</v>
          </cell>
        </row>
        <row r="2934">
          <cell r="L2934" t="str">
            <v>Non-proportional</v>
          </cell>
          <cell r="S2934">
            <v>427.54</v>
          </cell>
          <cell r="X2934" t="str">
            <v>Commissions - gross</v>
          </cell>
          <cell r="Y2934" t="str">
            <v>GERMANY</v>
          </cell>
        </row>
        <row r="2935">
          <cell r="L2935" t="str">
            <v>Non-proportional</v>
          </cell>
          <cell r="S2935">
            <v>4171.17</v>
          </cell>
          <cell r="X2935" t="str">
            <v>Commissions - gross</v>
          </cell>
          <cell r="Y2935" t="str">
            <v>UNITED KINGDOM</v>
          </cell>
        </row>
        <row r="2936">
          <cell r="L2936" t="str">
            <v>Non-proportional</v>
          </cell>
          <cell r="S2936">
            <v>1354.17</v>
          </cell>
          <cell r="X2936" t="str">
            <v>Commissions - gross</v>
          </cell>
          <cell r="Y2936" t="str">
            <v>GERMANY</v>
          </cell>
        </row>
        <row r="2937">
          <cell r="L2937" t="str">
            <v>Non-proportional</v>
          </cell>
          <cell r="S2937">
            <v>218.04</v>
          </cell>
          <cell r="X2937" t="str">
            <v>Commissions - gross</v>
          </cell>
          <cell r="Y2937" t="str">
            <v>SPAIN</v>
          </cell>
        </row>
        <row r="2938">
          <cell r="L2938" t="str">
            <v>Non-proportional</v>
          </cell>
          <cell r="S2938">
            <v>1300</v>
          </cell>
          <cell r="X2938" t="str">
            <v>Commissions - gross</v>
          </cell>
          <cell r="Y2938" t="str">
            <v>ROMANIA</v>
          </cell>
        </row>
        <row r="2939">
          <cell r="L2939" t="str">
            <v>Non-proportional</v>
          </cell>
          <cell r="S2939">
            <v>781.25</v>
          </cell>
          <cell r="X2939" t="str">
            <v>Commissions - gross</v>
          </cell>
          <cell r="Y2939" t="str">
            <v>ROMANIA</v>
          </cell>
        </row>
        <row r="2940">
          <cell r="L2940" t="str">
            <v>Non-proportional</v>
          </cell>
          <cell r="S2940">
            <v>3884.7</v>
          </cell>
          <cell r="X2940" t="str">
            <v>Commissions - gross</v>
          </cell>
          <cell r="Y2940" t="str">
            <v>UNITED KINGDOM</v>
          </cell>
        </row>
        <row r="2941">
          <cell r="L2941" t="str">
            <v>Non-proportional</v>
          </cell>
          <cell r="S2941">
            <v>57.5</v>
          </cell>
          <cell r="X2941" t="str">
            <v>Commissions - gross</v>
          </cell>
          <cell r="Y2941" t="str">
            <v>ITALY</v>
          </cell>
        </row>
        <row r="2942">
          <cell r="L2942" t="str">
            <v>Non-proportional</v>
          </cell>
          <cell r="S2942">
            <v>1279.42</v>
          </cell>
          <cell r="X2942" t="str">
            <v>Commissions - gross</v>
          </cell>
          <cell r="Y2942" t="str">
            <v>UNITED KINGDOM</v>
          </cell>
        </row>
        <row r="2943">
          <cell r="L2943" t="str">
            <v>Non-proportional</v>
          </cell>
          <cell r="S2943">
            <v>2249.54</v>
          </cell>
          <cell r="X2943" t="str">
            <v>Commissions - gross</v>
          </cell>
          <cell r="Y2943" t="str">
            <v>CZECH REPUBLIC</v>
          </cell>
        </row>
        <row r="2944">
          <cell r="L2944" t="str">
            <v>Non-proportional</v>
          </cell>
          <cell r="S2944">
            <v>956.7</v>
          </cell>
          <cell r="X2944" t="str">
            <v>Commissions - gross</v>
          </cell>
          <cell r="Y2944" t="str">
            <v>SLOVENIA</v>
          </cell>
        </row>
        <row r="2945">
          <cell r="L2945" t="str">
            <v>Non-proportional</v>
          </cell>
          <cell r="S2945">
            <v>1188.23</v>
          </cell>
          <cell r="X2945" t="str">
            <v>Commissions - gross</v>
          </cell>
          <cell r="Y2945" t="str">
            <v>EUROPE</v>
          </cell>
        </row>
        <row r="2946">
          <cell r="L2946" t="str">
            <v>Non-proportional</v>
          </cell>
          <cell r="S2946">
            <v>1105.5</v>
          </cell>
          <cell r="X2946" t="str">
            <v>Commissions - gross</v>
          </cell>
          <cell r="Y2946" t="str">
            <v>DENMARK</v>
          </cell>
        </row>
        <row r="2947">
          <cell r="L2947" t="str">
            <v>Non-proportional</v>
          </cell>
          <cell r="S2947">
            <v>2000.25</v>
          </cell>
          <cell r="X2947" t="str">
            <v>Commissions - gross</v>
          </cell>
          <cell r="Y2947" t="str">
            <v>CZECH REPUBLIC</v>
          </cell>
        </row>
        <row r="2948">
          <cell r="L2948" t="str">
            <v>Non-proportional</v>
          </cell>
          <cell r="S2948">
            <v>11205.21</v>
          </cell>
          <cell r="X2948" t="str">
            <v>Commissions - gross</v>
          </cell>
          <cell r="Y2948" t="str">
            <v>FRANCE</v>
          </cell>
        </row>
        <row r="2949">
          <cell r="L2949" t="str">
            <v>Non-proportional</v>
          </cell>
          <cell r="S2949">
            <v>263.73</v>
          </cell>
          <cell r="X2949" t="str">
            <v>Commissions - gross</v>
          </cell>
          <cell r="Y2949" t="str">
            <v>GERMANY</v>
          </cell>
        </row>
        <row r="2950">
          <cell r="L2950" t="str">
            <v>Non-proportional</v>
          </cell>
          <cell r="S2950">
            <v>1870.62</v>
          </cell>
          <cell r="X2950" t="str">
            <v>Commissions - gross</v>
          </cell>
          <cell r="Y2950" t="str">
            <v>GERMANY</v>
          </cell>
        </row>
        <row r="2951">
          <cell r="L2951" t="str">
            <v>Non-proportional</v>
          </cell>
          <cell r="S2951">
            <v>-0.2</v>
          </cell>
          <cell r="X2951" t="str">
            <v>Commissions - gross</v>
          </cell>
          <cell r="Y2951" t="str">
            <v>SWEDEN</v>
          </cell>
        </row>
        <row r="2952">
          <cell r="L2952" t="str">
            <v>Non-proportional</v>
          </cell>
          <cell r="S2952">
            <v>5.48</v>
          </cell>
          <cell r="X2952" t="str">
            <v>Commissions - gross</v>
          </cell>
          <cell r="Y2952" t="str">
            <v>FRANCE</v>
          </cell>
        </row>
        <row r="2953">
          <cell r="L2953" t="str">
            <v>Non-proportional</v>
          </cell>
          <cell r="S2953">
            <v>110.89</v>
          </cell>
          <cell r="X2953" t="str">
            <v>Commissions - gross</v>
          </cell>
          <cell r="Y2953" t="str">
            <v>UNITED KINGDOM</v>
          </cell>
        </row>
        <row r="2954">
          <cell r="L2954" t="str">
            <v>Non-proportional</v>
          </cell>
          <cell r="S2954">
            <v>68.319999999999993</v>
          </cell>
          <cell r="X2954" t="str">
            <v>Commissions - gross</v>
          </cell>
          <cell r="Y2954" t="str">
            <v>SWITZERLAND</v>
          </cell>
        </row>
        <row r="2955">
          <cell r="L2955" t="str">
            <v>Non-proportional</v>
          </cell>
          <cell r="S2955">
            <v>2041.67</v>
          </cell>
          <cell r="X2955" t="str">
            <v>Commissions - gross</v>
          </cell>
          <cell r="Y2955" t="str">
            <v>GERMANY</v>
          </cell>
        </row>
        <row r="2956">
          <cell r="L2956" t="str">
            <v>Non-proportional</v>
          </cell>
          <cell r="S2956">
            <v>1.69</v>
          </cell>
          <cell r="X2956" t="str">
            <v>Commissions - gross</v>
          </cell>
          <cell r="Y2956" t="str">
            <v>POLAND</v>
          </cell>
        </row>
        <row r="2957">
          <cell r="L2957" t="str">
            <v>Non-proportional</v>
          </cell>
          <cell r="S2957">
            <v>1191.02</v>
          </cell>
          <cell r="X2957" t="str">
            <v>Commissions - gross</v>
          </cell>
          <cell r="Y2957" t="str">
            <v>UNITED KINGDOM</v>
          </cell>
        </row>
        <row r="2958">
          <cell r="L2958" t="str">
            <v>Non-proportional</v>
          </cell>
          <cell r="S2958">
            <v>5479.76</v>
          </cell>
          <cell r="X2958" t="str">
            <v>Commissions - gross</v>
          </cell>
          <cell r="Y2958" t="str">
            <v>UNITED KINGDOM</v>
          </cell>
        </row>
        <row r="2959">
          <cell r="L2959" t="str">
            <v>Non-proportional</v>
          </cell>
          <cell r="S2959">
            <v>1405.83</v>
          </cell>
          <cell r="X2959" t="str">
            <v>Commissions - gross</v>
          </cell>
          <cell r="Y2959" t="str">
            <v>EIRE</v>
          </cell>
        </row>
        <row r="2960">
          <cell r="L2960" t="str">
            <v>Non-proportional</v>
          </cell>
          <cell r="S2960">
            <v>557.96</v>
          </cell>
          <cell r="X2960" t="str">
            <v>Commissions - gross</v>
          </cell>
          <cell r="Y2960" t="str">
            <v>DENMARK</v>
          </cell>
        </row>
        <row r="2961">
          <cell r="L2961" t="str">
            <v>Non-proportional</v>
          </cell>
          <cell r="S2961">
            <v>250.06</v>
          </cell>
          <cell r="X2961" t="str">
            <v>Commissions - gross</v>
          </cell>
          <cell r="Y2961" t="str">
            <v>GERMANY</v>
          </cell>
        </row>
        <row r="2962">
          <cell r="L2962" t="str">
            <v>Proportional</v>
          </cell>
          <cell r="S2962">
            <v>-121285.11</v>
          </cell>
          <cell r="X2962" t="str">
            <v>Commissions - gross</v>
          </cell>
          <cell r="Y2962" t="str">
            <v>UNITED STATES</v>
          </cell>
        </row>
        <row r="2963">
          <cell r="L2963" t="str">
            <v>Non-proportional</v>
          </cell>
          <cell r="S2963">
            <v>443.57</v>
          </cell>
          <cell r="X2963" t="str">
            <v>Commissions - gross</v>
          </cell>
          <cell r="Y2963" t="str">
            <v>UNITED KINGDOM</v>
          </cell>
        </row>
        <row r="2964">
          <cell r="L2964" t="str">
            <v>Non-proportional</v>
          </cell>
          <cell r="S2964">
            <v>-5423.39</v>
          </cell>
          <cell r="X2964" t="str">
            <v>Commissions - gross</v>
          </cell>
          <cell r="Y2964" t="str">
            <v>UNITED KINGDOM</v>
          </cell>
        </row>
        <row r="2965">
          <cell r="L2965" t="str">
            <v>Non-proportional</v>
          </cell>
          <cell r="S2965">
            <v>409.17</v>
          </cell>
          <cell r="X2965" t="str">
            <v>Commissions - gross</v>
          </cell>
          <cell r="Y2965" t="str">
            <v>SWITZERLAND</v>
          </cell>
        </row>
        <row r="2966">
          <cell r="L2966" t="str">
            <v>Non-proportional</v>
          </cell>
          <cell r="S2966">
            <v>625.04999999999995</v>
          </cell>
          <cell r="X2966" t="str">
            <v>Commissions - gross</v>
          </cell>
          <cell r="Y2966" t="str">
            <v>GERMANY</v>
          </cell>
        </row>
        <row r="2967">
          <cell r="L2967" t="str">
            <v>Non-proportional</v>
          </cell>
          <cell r="S2967">
            <v>536.95000000000005</v>
          </cell>
          <cell r="X2967" t="str">
            <v>Commissions - gross</v>
          </cell>
          <cell r="Y2967" t="str">
            <v>DENMARK</v>
          </cell>
        </row>
        <row r="2968">
          <cell r="L2968" t="str">
            <v>Non-proportional</v>
          </cell>
          <cell r="S2968">
            <v>5108.72</v>
          </cell>
          <cell r="X2968" t="str">
            <v>Commissions - gross</v>
          </cell>
          <cell r="Y2968" t="str">
            <v>UNITED KINGDOM</v>
          </cell>
        </row>
        <row r="2969">
          <cell r="L2969" t="str">
            <v>Non-proportional</v>
          </cell>
          <cell r="S2969">
            <v>183.59</v>
          </cell>
          <cell r="X2969" t="str">
            <v>Commissions - gross</v>
          </cell>
          <cell r="Y2969" t="str">
            <v>JAPAN</v>
          </cell>
        </row>
        <row r="2970">
          <cell r="L2970" t="str">
            <v>Non-proportional</v>
          </cell>
          <cell r="S2970">
            <v>150.91</v>
          </cell>
          <cell r="X2970" t="str">
            <v>Commissions - gross</v>
          </cell>
          <cell r="Y2970" t="str">
            <v>GERMANY</v>
          </cell>
        </row>
        <row r="2971">
          <cell r="L2971" t="str">
            <v>Non-proportional</v>
          </cell>
          <cell r="S2971">
            <v>310.77</v>
          </cell>
          <cell r="X2971" t="str">
            <v>Commissions - gross</v>
          </cell>
          <cell r="Y2971" t="str">
            <v>ICELAND</v>
          </cell>
        </row>
        <row r="2972">
          <cell r="L2972" t="str">
            <v>Non-proportional</v>
          </cell>
          <cell r="S2972">
            <v>495.32</v>
          </cell>
          <cell r="X2972" t="str">
            <v>Commissions - gross</v>
          </cell>
          <cell r="Y2972" t="str">
            <v>SWITZERLAND</v>
          </cell>
        </row>
        <row r="2973">
          <cell r="L2973" t="str">
            <v>Non-proportional</v>
          </cell>
          <cell r="S2973">
            <v>345.3</v>
          </cell>
          <cell r="X2973" t="str">
            <v>Commissions - gross</v>
          </cell>
          <cell r="Y2973" t="str">
            <v>ICELAND</v>
          </cell>
        </row>
        <row r="2974">
          <cell r="L2974" t="str">
            <v>Non-proportional</v>
          </cell>
          <cell r="S2974">
            <v>445.62</v>
          </cell>
          <cell r="X2974" t="str">
            <v>Commissions - gross</v>
          </cell>
          <cell r="Y2974" t="str">
            <v>DENMARK</v>
          </cell>
        </row>
        <row r="2975">
          <cell r="L2975" t="str">
            <v>Non-proportional</v>
          </cell>
          <cell r="S2975">
            <v>31.35</v>
          </cell>
          <cell r="X2975" t="str">
            <v>Commissions - gross</v>
          </cell>
          <cell r="Y2975" t="str">
            <v>DENMARK</v>
          </cell>
        </row>
        <row r="2976">
          <cell r="L2976" t="str">
            <v>Non-proportional</v>
          </cell>
          <cell r="S2976">
            <v>580.36</v>
          </cell>
          <cell r="X2976" t="str">
            <v>Commissions - gross</v>
          </cell>
          <cell r="Y2976" t="str">
            <v>DENMARK</v>
          </cell>
        </row>
        <row r="2977">
          <cell r="L2977" t="str">
            <v>Non-proportional</v>
          </cell>
          <cell r="S2977">
            <v>2575.65</v>
          </cell>
          <cell r="X2977" t="str">
            <v>Commissions - gross</v>
          </cell>
          <cell r="Y2977" t="str">
            <v>UNITED KINGDOM</v>
          </cell>
        </row>
        <row r="2978">
          <cell r="L2978" t="str">
            <v>Non-proportional</v>
          </cell>
          <cell r="S2978">
            <v>54.83</v>
          </cell>
          <cell r="X2978" t="str">
            <v>Commissions - gross</v>
          </cell>
          <cell r="Y2978" t="str">
            <v>REPUBLIC OF IRELAND</v>
          </cell>
        </row>
        <row r="2979">
          <cell r="L2979" t="str">
            <v>Non-proportional</v>
          </cell>
          <cell r="S2979">
            <v>-0.41</v>
          </cell>
          <cell r="X2979" t="str">
            <v>Commissions - gross</v>
          </cell>
          <cell r="Y2979" t="str">
            <v>DENMARK</v>
          </cell>
        </row>
        <row r="2980">
          <cell r="L2980" t="str">
            <v>Non-proportional</v>
          </cell>
          <cell r="S2980">
            <v>546.71</v>
          </cell>
          <cell r="X2980" t="str">
            <v>Commissions - gross</v>
          </cell>
          <cell r="Y2980" t="str">
            <v>EIRE</v>
          </cell>
        </row>
        <row r="2981">
          <cell r="L2981" t="str">
            <v>Non-proportional</v>
          </cell>
          <cell r="S2981">
            <v>991.79</v>
          </cell>
          <cell r="X2981" t="str">
            <v>Commissions - gross</v>
          </cell>
          <cell r="Y2981" t="str">
            <v>CZECH REPUBLIC</v>
          </cell>
        </row>
        <row r="2982">
          <cell r="L2982" t="str">
            <v>Non-proportional</v>
          </cell>
          <cell r="S2982">
            <v>1163.1099999999999</v>
          </cell>
          <cell r="X2982" t="str">
            <v>Commissions - gross</v>
          </cell>
          <cell r="Y2982" t="str">
            <v>UNITED KINGDOM</v>
          </cell>
        </row>
        <row r="2983">
          <cell r="L2983" t="str">
            <v>Non-proportional</v>
          </cell>
          <cell r="S2983">
            <v>549.32000000000005</v>
          </cell>
          <cell r="X2983" t="str">
            <v>Commissions - gross</v>
          </cell>
          <cell r="Y2983" t="str">
            <v>FRANCE</v>
          </cell>
        </row>
        <row r="2984">
          <cell r="L2984" t="str">
            <v>Non-proportional</v>
          </cell>
          <cell r="S2984">
            <v>1170.99</v>
          </cell>
          <cell r="X2984" t="str">
            <v>Commissions - gross</v>
          </cell>
          <cell r="Y2984" t="str">
            <v>SWITZERLAND</v>
          </cell>
        </row>
        <row r="2985">
          <cell r="L2985" t="str">
            <v>Non-proportional</v>
          </cell>
          <cell r="S2985">
            <v>853.68</v>
          </cell>
          <cell r="X2985" t="str">
            <v>Commissions - gross</v>
          </cell>
          <cell r="Y2985" t="str">
            <v>DENMARK</v>
          </cell>
        </row>
        <row r="2986">
          <cell r="L2986" t="str">
            <v>Non-proportional</v>
          </cell>
          <cell r="S2986">
            <v>1617.26</v>
          </cell>
          <cell r="X2986" t="str">
            <v>Commissions - gross</v>
          </cell>
          <cell r="Y2986" t="str">
            <v>UNITED KINGDOM</v>
          </cell>
        </row>
        <row r="2987">
          <cell r="L2987" t="str">
            <v>Non-proportional</v>
          </cell>
          <cell r="S2987">
            <v>0.18</v>
          </cell>
          <cell r="X2987" t="str">
            <v>Commissions - gross</v>
          </cell>
          <cell r="Y2987" t="str">
            <v>DENMARK</v>
          </cell>
        </row>
        <row r="2988">
          <cell r="L2988" t="str">
            <v>Non-proportional</v>
          </cell>
          <cell r="S2988">
            <v>672.5</v>
          </cell>
          <cell r="X2988" t="str">
            <v>Commissions - gross</v>
          </cell>
          <cell r="Y2988" t="str">
            <v>UNITED KINGDOM</v>
          </cell>
        </row>
        <row r="2989">
          <cell r="L2989" t="str">
            <v>Non-proportional</v>
          </cell>
          <cell r="S2989">
            <v>4096.8900000000003</v>
          </cell>
          <cell r="X2989" t="str">
            <v>Commissions - gross</v>
          </cell>
          <cell r="Y2989" t="str">
            <v>UNITED KINGDOM</v>
          </cell>
        </row>
        <row r="2990">
          <cell r="L2990" t="str">
            <v>Non-proportional</v>
          </cell>
          <cell r="S2990">
            <v>552.71</v>
          </cell>
          <cell r="X2990" t="str">
            <v>Commissions - gross</v>
          </cell>
          <cell r="Y2990" t="str">
            <v>GERMANY</v>
          </cell>
        </row>
        <row r="2991">
          <cell r="L2991" t="str">
            <v>Non-proportional</v>
          </cell>
          <cell r="S2991">
            <v>641.66999999999996</v>
          </cell>
          <cell r="X2991" t="str">
            <v>Commissions - gross</v>
          </cell>
          <cell r="Y2991" t="str">
            <v>GERMANY</v>
          </cell>
        </row>
        <row r="2992">
          <cell r="L2992" t="str">
            <v>Non-proportional</v>
          </cell>
          <cell r="S2992">
            <v>-0.3</v>
          </cell>
          <cell r="X2992" t="str">
            <v>Commissions - gross</v>
          </cell>
          <cell r="Y2992" t="str">
            <v>DENMARK</v>
          </cell>
        </row>
        <row r="2993">
          <cell r="L2993" t="str">
            <v>Non-proportional</v>
          </cell>
          <cell r="S2993">
            <v>2140.09</v>
          </cell>
          <cell r="X2993" t="str">
            <v>Commissions - gross</v>
          </cell>
          <cell r="Y2993" t="str">
            <v>SWITZERLAND</v>
          </cell>
        </row>
        <row r="2994">
          <cell r="L2994" t="str">
            <v>Non-proportional</v>
          </cell>
          <cell r="S2994">
            <v>1339.05</v>
          </cell>
          <cell r="X2994" t="str">
            <v>Commissions - gross</v>
          </cell>
          <cell r="Y2994" t="str">
            <v>DENMARK</v>
          </cell>
        </row>
        <row r="2995">
          <cell r="L2995" t="str">
            <v>Non-proportional</v>
          </cell>
          <cell r="S2995">
            <v>2092.4899999999998</v>
          </cell>
          <cell r="X2995" t="str">
            <v>Commissions - gross</v>
          </cell>
          <cell r="Y2995" t="str">
            <v>FRANCE</v>
          </cell>
        </row>
        <row r="2996">
          <cell r="L2996" t="str">
            <v>Non-proportional</v>
          </cell>
          <cell r="S2996">
            <v>61.3</v>
          </cell>
          <cell r="X2996" t="str">
            <v>Commissions - gross</v>
          </cell>
          <cell r="Y2996" t="str">
            <v>REPUBLIC OF IRELAND</v>
          </cell>
        </row>
        <row r="2997">
          <cell r="L2997" t="str">
            <v>Non-proportional</v>
          </cell>
          <cell r="S2997">
            <v>352.91</v>
          </cell>
          <cell r="X2997" t="str">
            <v>Commissions - gross</v>
          </cell>
          <cell r="Y2997" t="str">
            <v>FAROE ISLANDS</v>
          </cell>
        </row>
        <row r="2998">
          <cell r="L2998" t="str">
            <v>Non-proportional</v>
          </cell>
          <cell r="S2998">
            <v>210.81</v>
          </cell>
          <cell r="X2998" t="str">
            <v>Commissions - gross</v>
          </cell>
          <cell r="Y2998" t="str">
            <v>SWITZERLAND</v>
          </cell>
        </row>
        <row r="2999">
          <cell r="L2999" t="str">
            <v>Non-proportional</v>
          </cell>
          <cell r="S2999">
            <v>2657.95</v>
          </cell>
          <cell r="X2999" t="str">
            <v>Commissions - gross</v>
          </cell>
          <cell r="Y2999" t="str">
            <v>UNITED KINGDOM</v>
          </cell>
        </row>
        <row r="3000">
          <cell r="L3000" t="str">
            <v>Non-proportional</v>
          </cell>
          <cell r="S3000">
            <v>249.1</v>
          </cell>
          <cell r="X3000" t="str">
            <v>Commissions - gross</v>
          </cell>
          <cell r="Y3000" t="str">
            <v>JAPAN</v>
          </cell>
        </row>
        <row r="3001">
          <cell r="L3001" t="str">
            <v>Non-proportional</v>
          </cell>
          <cell r="S3001">
            <v>455.38</v>
          </cell>
          <cell r="X3001" t="str">
            <v>Commissions - gross</v>
          </cell>
          <cell r="Y3001" t="str">
            <v>REPUBLIC OF IRELAND</v>
          </cell>
        </row>
        <row r="3002">
          <cell r="L3002" t="str">
            <v>Non-proportional</v>
          </cell>
          <cell r="S3002">
            <v>1182.55</v>
          </cell>
          <cell r="X3002" t="str">
            <v>Commissions - gross</v>
          </cell>
          <cell r="Y3002" t="str">
            <v>AUSTRIA</v>
          </cell>
        </row>
        <row r="3003">
          <cell r="L3003" t="str">
            <v>Non-proportional</v>
          </cell>
          <cell r="S3003">
            <v>112.5</v>
          </cell>
          <cell r="X3003" t="str">
            <v>Commissions - gross</v>
          </cell>
          <cell r="Y3003" t="str">
            <v>GERMANY</v>
          </cell>
        </row>
        <row r="3004">
          <cell r="L3004" t="str">
            <v>Non-proportional</v>
          </cell>
          <cell r="S3004">
            <v>1976.43</v>
          </cell>
          <cell r="X3004" t="str">
            <v>Commissions - gross</v>
          </cell>
          <cell r="Y3004" t="str">
            <v>UNITED KINGDOM</v>
          </cell>
        </row>
        <row r="3005">
          <cell r="L3005" t="str">
            <v>Non-proportional</v>
          </cell>
          <cell r="S3005">
            <v>1020.94</v>
          </cell>
          <cell r="X3005" t="str">
            <v>Commissions - gross</v>
          </cell>
          <cell r="Y3005" t="str">
            <v>GERMANY</v>
          </cell>
        </row>
        <row r="3006">
          <cell r="L3006" t="str">
            <v>Non-proportional</v>
          </cell>
          <cell r="S3006">
            <v>4912.78</v>
          </cell>
          <cell r="X3006" t="str">
            <v>Commissions - gross</v>
          </cell>
          <cell r="Y3006" t="str">
            <v>UNITED KINGDOM</v>
          </cell>
        </row>
        <row r="3007">
          <cell r="L3007" t="str">
            <v>Non-proportional</v>
          </cell>
          <cell r="S3007">
            <v>2588.63</v>
          </cell>
          <cell r="X3007" t="str">
            <v>Commissions - gross</v>
          </cell>
          <cell r="Y3007" t="str">
            <v>CZECH REPUBLIC</v>
          </cell>
        </row>
        <row r="3008">
          <cell r="L3008" t="str">
            <v>Non-proportional</v>
          </cell>
          <cell r="S3008">
            <v>3429.98</v>
          </cell>
          <cell r="X3008" t="str">
            <v>Commissions - gross</v>
          </cell>
          <cell r="Y3008" t="str">
            <v>UNITED KINGDOM</v>
          </cell>
        </row>
        <row r="3009">
          <cell r="L3009" t="str">
            <v>Non-proportional</v>
          </cell>
          <cell r="S3009">
            <v>1181.5899999999999</v>
          </cell>
          <cell r="X3009" t="str">
            <v>Commissions - gross</v>
          </cell>
          <cell r="Y3009" t="str">
            <v>GERMANY</v>
          </cell>
        </row>
        <row r="3010">
          <cell r="L3010" t="str">
            <v>Proportional</v>
          </cell>
          <cell r="S3010">
            <v>1350.18</v>
          </cell>
          <cell r="X3010" t="str">
            <v>Commissions - gross</v>
          </cell>
          <cell r="Y3010" t="str">
            <v>SWITZERLAND</v>
          </cell>
        </row>
        <row r="3011">
          <cell r="L3011" t="str">
            <v>Non-proportional</v>
          </cell>
          <cell r="S3011">
            <v>498.47</v>
          </cell>
          <cell r="X3011" t="str">
            <v>Commissions - gross</v>
          </cell>
          <cell r="Y3011" t="str">
            <v>GERMANY</v>
          </cell>
        </row>
        <row r="3012">
          <cell r="L3012" t="str">
            <v>Non-proportional</v>
          </cell>
          <cell r="S3012">
            <v>1553.89</v>
          </cell>
          <cell r="X3012" t="str">
            <v>Commissions - gross</v>
          </cell>
          <cell r="Y3012" t="str">
            <v>UNITED KINGDOM</v>
          </cell>
        </row>
        <row r="3013">
          <cell r="L3013" t="str">
            <v>Non-proportional</v>
          </cell>
          <cell r="S3013">
            <v>2075.86</v>
          </cell>
          <cell r="X3013" t="str">
            <v>Commissions - gross</v>
          </cell>
          <cell r="Y3013" t="str">
            <v>EIRE</v>
          </cell>
        </row>
        <row r="3014">
          <cell r="L3014" t="str">
            <v>Non-proportional</v>
          </cell>
          <cell r="S3014">
            <v>194.9</v>
          </cell>
          <cell r="X3014" t="str">
            <v>Commissions - gross</v>
          </cell>
          <cell r="Y3014" t="str">
            <v>JAPAN</v>
          </cell>
        </row>
        <row r="3015">
          <cell r="L3015" t="str">
            <v>Non-proportional</v>
          </cell>
          <cell r="S3015">
            <v>606.77</v>
          </cell>
          <cell r="X3015" t="str">
            <v>Commissions - gross</v>
          </cell>
          <cell r="Y3015" t="str">
            <v>DENMARK</v>
          </cell>
        </row>
        <row r="3016">
          <cell r="L3016" t="str">
            <v>Non-proportional</v>
          </cell>
          <cell r="S3016">
            <v>629.87</v>
          </cell>
          <cell r="X3016" t="str">
            <v>Commissions - gross</v>
          </cell>
          <cell r="Y3016" t="str">
            <v>SWEDEN</v>
          </cell>
        </row>
        <row r="3017">
          <cell r="L3017" t="str">
            <v>Non-proportional</v>
          </cell>
          <cell r="S3017">
            <v>2439.6</v>
          </cell>
          <cell r="X3017" t="str">
            <v>Commissions - gross</v>
          </cell>
          <cell r="Y3017" t="str">
            <v>GERMANY</v>
          </cell>
        </row>
        <row r="3018">
          <cell r="L3018" t="str">
            <v>Non-proportional</v>
          </cell>
          <cell r="S3018">
            <v>1207.49</v>
          </cell>
          <cell r="X3018" t="str">
            <v>Commissions - gross</v>
          </cell>
          <cell r="Y3018" t="str">
            <v>FRANCE</v>
          </cell>
        </row>
        <row r="3019">
          <cell r="L3019" t="str">
            <v>Non-proportional</v>
          </cell>
          <cell r="S3019">
            <v>633.51</v>
          </cell>
          <cell r="X3019" t="str">
            <v>Commissions - gross</v>
          </cell>
          <cell r="Y3019" t="str">
            <v>GERMANY</v>
          </cell>
        </row>
        <row r="3020">
          <cell r="L3020" t="str">
            <v>Non-proportional</v>
          </cell>
          <cell r="S3020">
            <v>3734.6</v>
          </cell>
          <cell r="X3020" t="str">
            <v>Commissions - gross</v>
          </cell>
          <cell r="Y3020" t="str">
            <v>FRANCE</v>
          </cell>
        </row>
        <row r="3021">
          <cell r="L3021" t="str">
            <v>Non-proportional</v>
          </cell>
          <cell r="S3021">
            <v>791.67</v>
          </cell>
          <cell r="X3021" t="str">
            <v>Commissions - gross</v>
          </cell>
          <cell r="Y3021" t="str">
            <v>GERMANY</v>
          </cell>
        </row>
        <row r="3022">
          <cell r="L3022" t="str">
            <v>Non-proportional</v>
          </cell>
          <cell r="S3022">
            <v>75</v>
          </cell>
          <cell r="X3022" t="str">
            <v>Commissions - gross</v>
          </cell>
          <cell r="Y3022" t="str">
            <v>GERMANY</v>
          </cell>
        </row>
        <row r="3023">
          <cell r="L3023" t="str">
            <v>Non-proportional</v>
          </cell>
          <cell r="S3023">
            <v>53.41</v>
          </cell>
          <cell r="X3023" t="str">
            <v>Commissions - gross</v>
          </cell>
          <cell r="Y3023" t="str">
            <v>NORWAY</v>
          </cell>
        </row>
        <row r="3024">
          <cell r="L3024" t="str">
            <v>Non-proportional</v>
          </cell>
          <cell r="S3024">
            <v>1.6</v>
          </cell>
          <cell r="X3024" t="str">
            <v>Commissions - gross</v>
          </cell>
          <cell r="Y3024" t="str">
            <v>NORWAY</v>
          </cell>
        </row>
        <row r="3025">
          <cell r="L3025" t="str">
            <v>Non-proportional</v>
          </cell>
          <cell r="S3025">
            <v>501.97</v>
          </cell>
          <cell r="X3025" t="str">
            <v>Commissions - gross</v>
          </cell>
          <cell r="Y3025" t="str">
            <v>UNITED ARAB EMIRATES</v>
          </cell>
        </row>
        <row r="3026">
          <cell r="L3026" t="str">
            <v>Non-proportional</v>
          </cell>
          <cell r="S3026">
            <v>-0.15</v>
          </cell>
          <cell r="X3026" t="str">
            <v>Commissions - gross</v>
          </cell>
          <cell r="Y3026" t="str">
            <v>DENMARK</v>
          </cell>
        </row>
        <row r="3027">
          <cell r="L3027" t="str">
            <v>Non-proportional</v>
          </cell>
          <cell r="S3027">
            <v>30868.49</v>
          </cell>
          <cell r="X3027" t="str">
            <v>Commissions - gross</v>
          </cell>
          <cell r="Y3027" t="str">
            <v>UNITED KINGDOM</v>
          </cell>
        </row>
        <row r="3028">
          <cell r="L3028" t="str">
            <v>Non-proportional</v>
          </cell>
          <cell r="S3028">
            <v>820.66</v>
          </cell>
          <cell r="X3028" t="str">
            <v>Commissions - gross</v>
          </cell>
          <cell r="Y3028" t="str">
            <v>POLAND</v>
          </cell>
        </row>
        <row r="3029">
          <cell r="L3029" t="str">
            <v>Non-proportional</v>
          </cell>
          <cell r="S3029">
            <v>-145263.4</v>
          </cell>
          <cell r="X3029" t="str">
            <v>Commissions - gross</v>
          </cell>
          <cell r="Y3029" t="str">
            <v>UNITED KINGDOM</v>
          </cell>
        </row>
        <row r="3030">
          <cell r="L3030" t="str">
            <v>Non-proportional</v>
          </cell>
          <cell r="S3030">
            <v>1149.68</v>
          </cell>
          <cell r="X3030" t="str">
            <v>Commissions - gross</v>
          </cell>
          <cell r="Y3030" t="str">
            <v>SWITZERLAND</v>
          </cell>
        </row>
        <row r="3031">
          <cell r="L3031" t="str">
            <v>Non-proportional</v>
          </cell>
          <cell r="S3031">
            <v>687.19</v>
          </cell>
          <cell r="X3031" t="str">
            <v>Commissions - gross</v>
          </cell>
          <cell r="Y3031" t="str">
            <v>GERMANY</v>
          </cell>
        </row>
        <row r="3032">
          <cell r="L3032" t="str">
            <v>Non-proportional</v>
          </cell>
          <cell r="S3032">
            <v>5667.12</v>
          </cell>
          <cell r="X3032" t="str">
            <v>Commissions - gross</v>
          </cell>
          <cell r="Y3032" t="str">
            <v>UNITED KINGDOM</v>
          </cell>
        </row>
        <row r="3033">
          <cell r="L3033" t="str">
            <v>Non-proportional</v>
          </cell>
          <cell r="S3033">
            <v>536.25</v>
          </cell>
          <cell r="X3033" t="str">
            <v>Commissions - gross</v>
          </cell>
          <cell r="Y3033" t="str">
            <v>GERMANY</v>
          </cell>
        </row>
        <row r="3034">
          <cell r="L3034" t="str">
            <v>Non-proportional</v>
          </cell>
          <cell r="S3034">
            <v>108.8</v>
          </cell>
          <cell r="X3034" t="str">
            <v>Commissions - gross</v>
          </cell>
          <cell r="Y3034" t="str">
            <v>DENMARK</v>
          </cell>
        </row>
        <row r="3035">
          <cell r="L3035" t="str">
            <v>Non-proportional</v>
          </cell>
          <cell r="S3035">
            <v>2035.5</v>
          </cell>
          <cell r="X3035" t="str">
            <v>Commissions - gross</v>
          </cell>
          <cell r="Y3035" t="str">
            <v>GERMANY</v>
          </cell>
        </row>
        <row r="3036">
          <cell r="L3036" t="str">
            <v>Non-proportional</v>
          </cell>
          <cell r="S3036">
            <v>759</v>
          </cell>
          <cell r="X3036" t="str">
            <v>Commissions - gross</v>
          </cell>
          <cell r="Y3036" t="str">
            <v>GERMANY</v>
          </cell>
        </row>
        <row r="3037">
          <cell r="L3037" t="str">
            <v>Non-proportional</v>
          </cell>
          <cell r="S3037">
            <v>11.78</v>
          </cell>
          <cell r="X3037" t="str">
            <v>Commissions - gross</v>
          </cell>
          <cell r="Y3037" t="str">
            <v>FRANCE</v>
          </cell>
        </row>
        <row r="3038">
          <cell r="L3038" t="str">
            <v>Non-proportional</v>
          </cell>
          <cell r="S3038">
            <v>1923.83</v>
          </cell>
          <cell r="X3038" t="str">
            <v>Commissions - gross</v>
          </cell>
          <cell r="Y3038" t="str">
            <v>SWEDEN</v>
          </cell>
        </row>
        <row r="3039">
          <cell r="L3039" t="str">
            <v>Non-proportional</v>
          </cell>
          <cell r="S3039">
            <v>112.23</v>
          </cell>
          <cell r="X3039" t="str">
            <v>Commissions - gross</v>
          </cell>
          <cell r="Y3039" t="str">
            <v>ITALY</v>
          </cell>
        </row>
        <row r="3040">
          <cell r="L3040" t="str">
            <v>Non-proportional</v>
          </cell>
          <cell r="S3040">
            <v>4101.16</v>
          </cell>
          <cell r="X3040" t="str">
            <v>Commissions - gross</v>
          </cell>
          <cell r="Y3040" t="str">
            <v>SWITZERLAND</v>
          </cell>
        </row>
        <row r="3041">
          <cell r="L3041" t="str">
            <v>Non-proportional</v>
          </cell>
          <cell r="S3041">
            <v>681.52</v>
          </cell>
          <cell r="X3041" t="str">
            <v>Commissions - gross</v>
          </cell>
          <cell r="Y3041" t="str">
            <v>UNITED KINGDOM</v>
          </cell>
        </row>
        <row r="3042">
          <cell r="L3042" t="str">
            <v>Non-proportional</v>
          </cell>
          <cell r="S3042">
            <v>-0.23</v>
          </cell>
          <cell r="X3042" t="str">
            <v>Commissions - gross</v>
          </cell>
          <cell r="Y3042" t="str">
            <v>DENMARK</v>
          </cell>
        </row>
        <row r="3043">
          <cell r="L3043" t="str">
            <v>Non-proportional</v>
          </cell>
          <cell r="S3043">
            <v>760.42</v>
          </cell>
          <cell r="X3043" t="str">
            <v>Commissions - gross</v>
          </cell>
          <cell r="Y3043" t="str">
            <v>GERMANY</v>
          </cell>
        </row>
        <row r="3044">
          <cell r="L3044" t="str">
            <v>Non-proportional</v>
          </cell>
          <cell r="S3044">
            <v>82.05</v>
          </cell>
          <cell r="X3044" t="str">
            <v>Commissions - gross</v>
          </cell>
          <cell r="Y3044" t="str">
            <v>GERMANY</v>
          </cell>
        </row>
        <row r="3045">
          <cell r="L3045" t="str">
            <v>Non-proportional</v>
          </cell>
          <cell r="S3045">
            <v>81.849999999999994</v>
          </cell>
          <cell r="X3045" t="str">
            <v>Commissions - gross</v>
          </cell>
          <cell r="Y3045" t="str">
            <v>JAPAN</v>
          </cell>
        </row>
        <row r="3046">
          <cell r="L3046" t="str">
            <v>Non-proportional</v>
          </cell>
          <cell r="S3046">
            <v>1221.5</v>
          </cell>
          <cell r="X3046" t="str">
            <v>Commissions - gross</v>
          </cell>
          <cell r="Y3046" t="str">
            <v>REPUBLIC OF IRELAND</v>
          </cell>
        </row>
        <row r="3047">
          <cell r="L3047" t="str">
            <v>Non-proportional</v>
          </cell>
          <cell r="S3047">
            <v>2227.67</v>
          </cell>
          <cell r="X3047" t="str">
            <v>Commissions - gross</v>
          </cell>
          <cell r="Y3047" t="str">
            <v>UNITED KINGDOM</v>
          </cell>
        </row>
        <row r="3048">
          <cell r="L3048" t="str">
            <v>Non-proportional</v>
          </cell>
          <cell r="S3048">
            <v>443.98</v>
          </cell>
          <cell r="X3048" t="str">
            <v>Commissions - gross</v>
          </cell>
          <cell r="Y3048" t="str">
            <v>GERMANY</v>
          </cell>
        </row>
        <row r="3049">
          <cell r="L3049" t="str">
            <v>Non-proportional</v>
          </cell>
          <cell r="S3049">
            <v>-46896.93</v>
          </cell>
          <cell r="X3049" t="str">
            <v>Commissions - gross</v>
          </cell>
          <cell r="Y3049" t="str">
            <v>UNITED KINGDOM</v>
          </cell>
        </row>
        <row r="3050">
          <cell r="L3050" t="str">
            <v>Non-proportional</v>
          </cell>
          <cell r="S3050">
            <v>281.62</v>
          </cell>
          <cell r="X3050" t="str">
            <v>Commissions - gross</v>
          </cell>
          <cell r="Y3050" t="str">
            <v>FRANCE</v>
          </cell>
        </row>
        <row r="3051">
          <cell r="L3051" t="str">
            <v>Non-proportional</v>
          </cell>
          <cell r="S3051">
            <v>-1.04</v>
          </cell>
          <cell r="X3051" t="str">
            <v>Commissions - gross</v>
          </cell>
          <cell r="Y3051" t="str">
            <v>SWEDEN</v>
          </cell>
        </row>
        <row r="3052">
          <cell r="L3052" t="str">
            <v>Non-proportional</v>
          </cell>
          <cell r="S3052">
            <v>457.31</v>
          </cell>
          <cell r="X3052" t="str">
            <v>Commissions - gross</v>
          </cell>
          <cell r="Y3052" t="str">
            <v>EUROPE</v>
          </cell>
        </row>
        <row r="3053">
          <cell r="L3053" t="str">
            <v>Non-proportional</v>
          </cell>
          <cell r="S3053">
            <v>-114537.82</v>
          </cell>
          <cell r="X3053" t="str">
            <v>Commissions - gross</v>
          </cell>
          <cell r="Y3053" t="str">
            <v>UNITED KINGDOM</v>
          </cell>
        </row>
        <row r="3054">
          <cell r="L3054" t="str">
            <v>Non-proportional</v>
          </cell>
          <cell r="S3054">
            <v>339.25</v>
          </cell>
          <cell r="X3054" t="str">
            <v>Commissions - gross</v>
          </cell>
          <cell r="Y3054" t="str">
            <v>ITALY</v>
          </cell>
        </row>
        <row r="3055">
          <cell r="L3055" t="str">
            <v>Non-proportional</v>
          </cell>
          <cell r="S3055">
            <v>451.14</v>
          </cell>
          <cell r="X3055" t="str">
            <v>Commissions - gross</v>
          </cell>
          <cell r="Y3055" t="str">
            <v>AUSTRIA</v>
          </cell>
        </row>
        <row r="3056">
          <cell r="L3056" t="str">
            <v>Non-proportional</v>
          </cell>
          <cell r="S3056">
            <v>414.83</v>
          </cell>
          <cell r="X3056" t="str">
            <v>Commissions - gross</v>
          </cell>
          <cell r="Y3056" t="str">
            <v>SWITZERLAND</v>
          </cell>
        </row>
        <row r="3057">
          <cell r="L3057" t="str">
            <v>Non-proportional</v>
          </cell>
          <cell r="S3057">
            <v>282.67</v>
          </cell>
          <cell r="X3057" t="str">
            <v>Commissions - gross</v>
          </cell>
          <cell r="Y3057" t="str">
            <v>UNITED KINGDOM</v>
          </cell>
        </row>
        <row r="3058">
          <cell r="L3058" t="str">
            <v>Non-proportional</v>
          </cell>
          <cell r="S3058">
            <v>34.5</v>
          </cell>
          <cell r="X3058" t="str">
            <v>Commissions - gross</v>
          </cell>
          <cell r="Y3058" t="str">
            <v>ITALY</v>
          </cell>
        </row>
        <row r="3059">
          <cell r="L3059" t="str">
            <v>Proportional</v>
          </cell>
          <cell r="S3059">
            <v>79.349999999999994</v>
          </cell>
          <cell r="X3059" t="str">
            <v>Commissions - gross</v>
          </cell>
          <cell r="Y3059" t="str">
            <v>UNITED STATES</v>
          </cell>
        </row>
        <row r="3060">
          <cell r="L3060" t="str">
            <v>Non-proportional</v>
          </cell>
          <cell r="S3060">
            <v>1.03</v>
          </cell>
          <cell r="X3060" t="str">
            <v>Commissions - gross</v>
          </cell>
          <cell r="Y3060" t="str">
            <v>JAPAN</v>
          </cell>
        </row>
        <row r="3061">
          <cell r="L3061" t="str">
            <v>Non-proportional</v>
          </cell>
          <cell r="S3061">
            <v>30.08</v>
          </cell>
          <cell r="X3061" t="str">
            <v>Commissions - gross</v>
          </cell>
          <cell r="Y3061" t="str">
            <v>ITALY</v>
          </cell>
        </row>
        <row r="3062">
          <cell r="L3062" t="str">
            <v>Non-proportional</v>
          </cell>
          <cell r="S3062">
            <v>27118.59</v>
          </cell>
          <cell r="X3062" t="str">
            <v>Commissions - gross</v>
          </cell>
          <cell r="Y3062" t="str">
            <v>UNITED KINGDOM</v>
          </cell>
        </row>
        <row r="3063">
          <cell r="L3063" t="str">
            <v>Non-proportional</v>
          </cell>
          <cell r="S3063">
            <v>1463.2</v>
          </cell>
          <cell r="X3063" t="str">
            <v>Commissions - gross</v>
          </cell>
          <cell r="Y3063" t="str">
            <v>GERMANY</v>
          </cell>
        </row>
        <row r="3064">
          <cell r="L3064" t="str">
            <v>Non-proportional</v>
          </cell>
          <cell r="S3064">
            <v>856.68</v>
          </cell>
          <cell r="X3064" t="str">
            <v>Commissions - gross</v>
          </cell>
          <cell r="Y3064" t="str">
            <v>EUROPE</v>
          </cell>
        </row>
        <row r="3065">
          <cell r="L3065" t="str">
            <v>Non-proportional</v>
          </cell>
          <cell r="S3065">
            <v>3026.74</v>
          </cell>
          <cell r="X3065" t="str">
            <v>Commissions - gross</v>
          </cell>
          <cell r="Y3065" t="str">
            <v>UNITED KINGDOM</v>
          </cell>
        </row>
        <row r="3066">
          <cell r="L3066" t="str">
            <v>Non-proportional</v>
          </cell>
          <cell r="S3066">
            <v>869.77</v>
          </cell>
          <cell r="X3066" t="str">
            <v>Commissions - gross</v>
          </cell>
          <cell r="Y3066" t="str">
            <v>GERMANY</v>
          </cell>
        </row>
        <row r="3067">
          <cell r="L3067" t="str">
            <v>Non-proportional</v>
          </cell>
          <cell r="S3067">
            <v>271.27</v>
          </cell>
          <cell r="X3067" t="str">
            <v>Commissions - gross</v>
          </cell>
          <cell r="Y3067" t="str">
            <v>GERMANY</v>
          </cell>
        </row>
        <row r="3068">
          <cell r="L3068" t="str">
            <v>Non-proportional</v>
          </cell>
          <cell r="S3068">
            <v>479.19</v>
          </cell>
          <cell r="X3068" t="str">
            <v>Commissions - gross</v>
          </cell>
          <cell r="Y3068" t="str">
            <v>UNITED KINGDOM</v>
          </cell>
        </row>
        <row r="3069">
          <cell r="L3069" t="str">
            <v>Non-proportional</v>
          </cell>
          <cell r="S3069">
            <v>531.47</v>
          </cell>
          <cell r="X3069" t="str">
            <v>Commissions - gross</v>
          </cell>
          <cell r="Y3069" t="str">
            <v>NORWAY</v>
          </cell>
        </row>
        <row r="3070">
          <cell r="L3070" t="str">
            <v>Non-proportional</v>
          </cell>
          <cell r="S3070">
            <v>110.8</v>
          </cell>
          <cell r="X3070" t="str">
            <v>Commissions - gross</v>
          </cell>
          <cell r="Y3070" t="str">
            <v>AUSTRIA</v>
          </cell>
        </row>
        <row r="3071">
          <cell r="L3071" t="str">
            <v>Non-proportional</v>
          </cell>
          <cell r="S3071">
            <v>2698.99</v>
          </cell>
          <cell r="X3071" t="str">
            <v>Commissions - gross</v>
          </cell>
          <cell r="Y3071" t="str">
            <v>UNITED KINGDOM</v>
          </cell>
        </row>
        <row r="3072">
          <cell r="L3072" t="str">
            <v>Non-proportional</v>
          </cell>
          <cell r="S3072">
            <v>690.42</v>
          </cell>
          <cell r="X3072" t="str">
            <v>Commissions - gross</v>
          </cell>
          <cell r="Y3072" t="str">
            <v>FRANCE</v>
          </cell>
        </row>
        <row r="3073">
          <cell r="L3073" t="str">
            <v>Non-proportional</v>
          </cell>
          <cell r="S3073">
            <v>1650</v>
          </cell>
          <cell r="X3073" t="str">
            <v>Commissions - gross</v>
          </cell>
          <cell r="Y3073" t="str">
            <v>GERMANY</v>
          </cell>
        </row>
        <row r="3074">
          <cell r="L3074" t="str">
            <v>Non-proportional</v>
          </cell>
          <cell r="S3074">
            <v>87.34</v>
          </cell>
          <cell r="X3074" t="str">
            <v>Commissions - gross</v>
          </cell>
          <cell r="Y3074" t="str">
            <v>GERMANY</v>
          </cell>
        </row>
        <row r="3075">
          <cell r="L3075" t="str">
            <v>Non-proportional</v>
          </cell>
          <cell r="S3075">
            <v>2305.9</v>
          </cell>
          <cell r="X3075" t="str">
            <v>Commissions - gross</v>
          </cell>
          <cell r="Y3075" t="str">
            <v>FRANCE</v>
          </cell>
        </row>
        <row r="3076">
          <cell r="L3076" t="str">
            <v>Non-proportional</v>
          </cell>
          <cell r="S3076">
            <v>343.7</v>
          </cell>
          <cell r="X3076" t="str">
            <v>Commissions - gross</v>
          </cell>
          <cell r="Y3076" t="str">
            <v>EUROPE</v>
          </cell>
        </row>
        <row r="3077">
          <cell r="L3077" t="str">
            <v>Non-proportional</v>
          </cell>
          <cell r="S3077">
            <v>32.15</v>
          </cell>
          <cell r="X3077" t="str">
            <v>Commissions - gross</v>
          </cell>
          <cell r="Y3077" t="str">
            <v>FRANCE</v>
          </cell>
        </row>
        <row r="3078">
          <cell r="L3078" t="str">
            <v>Non-proportional</v>
          </cell>
          <cell r="S3078">
            <v>669.64</v>
          </cell>
          <cell r="X3078" t="str">
            <v>Commissions - gross</v>
          </cell>
          <cell r="Y3078" t="str">
            <v>DENMARK</v>
          </cell>
        </row>
        <row r="3079">
          <cell r="L3079" t="str">
            <v>Non-proportional</v>
          </cell>
          <cell r="S3079">
            <v>663.84</v>
          </cell>
          <cell r="X3079" t="str">
            <v>Commissions - gross</v>
          </cell>
          <cell r="Y3079" t="str">
            <v>EUROPE</v>
          </cell>
        </row>
        <row r="3080">
          <cell r="L3080" t="str">
            <v>Non-proportional</v>
          </cell>
          <cell r="S3080">
            <v>699.8</v>
          </cell>
          <cell r="X3080" t="str">
            <v>Commissions - gross</v>
          </cell>
          <cell r="Y3080" t="str">
            <v>AUSTRIA</v>
          </cell>
        </row>
        <row r="3081">
          <cell r="L3081" t="str">
            <v>Non-proportional</v>
          </cell>
          <cell r="S3081">
            <v>2539.36</v>
          </cell>
          <cell r="X3081" t="str">
            <v>Commissions - gross</v>
          </cell>
          <cell r="Y3081" t="str">
            <v>GERMANY</v>
          </cell>
        </row>
        <row r="3082">
          <cell r="L3082" t="str">
            <v>Non-proportional</v>
          </cell>
          <cell r="S3082">
            <v>311.93</v>
          </cell>
          <cell r="X3082" t="str">
            <v>Commissions - gross</v>
          </cell>
          <cell r="Y3082" t="str">
            <v>UNITED KINGDOM</v>
          </cell>
        </row>
        <row r="3083">
          <cell r="L3083" t="str">
            <v>Non-proportional</v>
          </cell>
          <cell r="S3083">
            <v>-0.34</v>
          </cell>
          <cell r="X3083" t="str">
            <v>Commissions - gross</v>
          </cell>
          <cell r="Y3083" t="str">
            <v>DENMARK</v>
          </cell>
        </row>
        <row r="3084">
          <cell r="L3084" t="str">
            <v>Non-proportional</v>
          </cell>
          <cell r="S3084">
            <v>86.56</v>
          </cell>
          <cell r="X3084" t="str">
            <v>Commissions - gross</v>
          </cell>
          <cell r="Y3084" t="str">
            <v>ITALY</v>
          </cell>
        </row>
        <row r="3085">
          <cell r="L3085" t="str">
            <v>Non-proportional</v>
          </cell>
          <cell r="S3085">
            <v>3.46</v>
          </cell>
          <cell r="X3085" t="str">
            <v>Commissions - gross</v>
          </cell>
          <cell r="Y3085" t="str">
            <v>UNITED ARAB EMIRATES</v>
          </cell>
        </row>
        <row r="3086">
          <cell r="L3086" t="str">
            <v>Non-proportional</v>
          </cell>
          <cell r="S3086">
            <v>153.30000000000001</v>
          </cell>
          <cell r="X3086" t="str">
            <v>Commissions - gross</v>
          </cell>
          <cell r="Y3086" t="str">
            <v>UNITED ARAB EMIRATES</v>
          </cell>
        </row>
        <row r="3087">
          <cell r="L3087" t="str">
            <v>Non-proportional</v>
          </cell>
          <cell r="S3087">
            <v>1416.36</v>
          </cell>
          <cell r="X3087" t="str">
            <v>Commissions - gross</v>
          </cell>
          <cell r="Y3087" t="str">
            <v>POLAND</v>
          </cell>
        </row>
        <row r="3088">
          <cell r="L3088" t="str">
            <v>Non-proportional</v>
          </cell>
          <cell r="S3088">
            <v>788.82</v>
          </cell>
          <cell r="X3088" t="str">
            <v>Commissions - gross</v>
          </cell>
          <cell r="Y3088" t="str">
            <v>DENMARK</v>
          </cell>
        </row>
        <row r="3089">
          <cell r="L3089" t="str">
            <v>Non-proportional</v>
          </cell>
          <cell r="S3089">
            <v>558.63</v>
          </cell>
          <cell r="X3089" t="str">
            <v>Commissions - gross</v>
          </cell>
          <cell r="Y3089" t="str">
            <v>GERMANY</v>
          </cell>
        </row>
        <row r="3090">
          <cell r="L3090" t="str">
            <v>Non-proportional</v>
          </cell>
          <cell r="S3090">
            <v>777.08</v>
          </cell>
          <cell r="X3090" t="str">
            <v>Commissions - gross</v>
          </cell>
          <cell r="Y3090" t="str">
            <v>FRANCE</v>
          </cell>
        </row>
        <row r="3091">
          <cell r="L3091" t="str">
            <v>Non-proportional</v>
          </cell>
          <cell r="S3091">
            <v>530.24</v>
          </cell>
          <cell r="X3091" t="str">
            <v>Commissions - gross</v>
          </cell>
          <cell r="Y3091" t="str">
            <v>UNITED KINGDOM</v>
          </cell>
        </row>
        <row r="3092">
          <cell r="L3092" t="str">
            <v>Proportional</v>
          </cell>
          <cell r="S3092">
            <v>195.2</v>
          </cell>
          <cell r="X3092" t="str">
            <v>Commissions - gross</v>
          </cell>
          <cell r="Y3092" t="str">
            <v>EUROPE</v>
          </cell>
        </row>
        <row r="3093">
          <cell r="L3093" t="str">
            <v>Non-proportional</v>
          </cell>
          <cell r="S3093">
            <v>774.74</v>
          </cell>
          <cell r="X3093" t="str">
            <v>Commissions - gross</v>
          </cell>
          <cell r="Y3093" t="str">
            <v>GERMANY</v>
          </cell>
        </row>
        <row r="3094">
          <cell r="L3094" t="str">
            <v>Non-proportional</v>
          </cell>
          <cell r="S3094">
            <v>-0.92</v>
          </cell>
          <cell r="X3094" t="str">
            <v>Commissions - gross</v>
          </cell>
          <cell r="Y3094" t="str">
            <v>SWEDEN</v>
          </cell>
        </row>
        <row r="3095">
          <cell r="L3095" t="str">
            <v>Non-proportional</v>
          </cell>
          <cell r="S3095">
            <v>3372.64</v>
          </cell>
          <cell r="X3095" t="str">
            <v>Commissions - gross</v>
          </cell>
          <cell r="Y3095" t="str">
            <v>FRANCE</v>
          </cell>
        </row>
        <row r="3096">
          <cell r="L3096" t="str">
            <v>Non-proportional</v>
          </cell>
          <cell r="S3096">
            <v>584.01</v>
          </cell>
          <cell r="X3096" t="str">
            <v>Commissions - gross</v>
          </cell>
          <cell r="Y3096" t="str">
            <v>SWEDEN</v>
          </cell>
        </row>
        <row r="3097">
          <cell r="L3097" t="str">
            <v>Non-proportional</v>
          </cell>
          <cell r="S3097">
            <v>2077.06</v>
          </cell>
          <cell r="X3097" t="str">
            <v>Commissions - gross</v>
          </cell>
          <cell r="Y3097" t="str">
            <v>FRANCE</v>
          </cell>
        </row>
        <row r="3098">
          <cell r="L3098" t="str">
            <v>Non-proportional</v>
          </cell>
          <cell r="S3098">
            <v>897.06</v>
          </cell>
          <cell r="X3098" t="str">
            <v>Commissions - gross</v>
          </cell>
          <cell r="Y3098" t="str">
            <v>GERMANY</v>
          </cell>
        </row>
        <row r="3099">
          <cell r="L3099" t="str">
            <v>Non-proportional</v>
          </cell>
          <cell r="S3099">
            <v>27.07</v>
          </cell>
          <cell r="X3099" t="str">
            <v>Commissions - gross</v>
          </cell>
          <cell r="Y3099" t="str">
            <v>ITALY</v>
          </cell>
        </row>
        <row r="3100">
          <cell r="L3100" t="str">
            <v>Non-proportional</v>
          </cell>
          <cell r="S3100">
            <v>883.77</v>
          </cell>
          <cell r="X3100" t="str">
            <v>Commissions - gross</v>
          </cell>
          <cell r="Y3100" t="str">
            <v>GERMANY</v>
          </cell>
        </row>
        <row r="3101">
          <cell r="L3101" t="str">
            <v>Non-proportional</v>
          </cell>
          <cell r="S3101">
            <v>920.31</v>
          </cell>
          <cell r="X3101" t="str">
            <v>Commissions - gross</v>
          </cell>
          <cell r="Y3101" t="str">
            <v>GERMANY</v>
          </cell>
        </row>
        <row r="3102">
          <cell r="L3102" t="str">
            <v>Non-proportional</v>
          </cell>
          <cell r="S3102">
            <v>4090.35</v>
          </cell>
          <cell r="X3102" t="str">
            <v>Commissions - gross</v>
          </cell>
          <cell r="Y3102" t="str">
            <v>GERMANY</v>
          </cell>
        </row>
        <row r="3103">
          <cell r="L3103" t="str">
            <v>Non-proportional</v>
          </cell>
          <cell r="S3103">
            <v>645.83000000000004</v>
          </cell>
          <cell r="X3103" t="str">
            <v>Commissions - gross</v>
          </cell>
          <cell r="Y3103" t="str">
            <v>AUSTRIA</v>
          </cell>
        </row>
        <row r="3104">
          <cell r="L3104" t="str">
            <v>Non-proportional</v>
          </cell>
          <cell r="S3104">
            <v>730.13</v>
          </cell>
          <cell r="X3104" t="str">
            <v>Commissions - gross</v>
          </cell>
          <cell r="Y3104" t="str">
            <v>FAROE ISLANDS</v>
          </cell>
        </row>
        <row r="3105">
          <cell r="L3105" t="str">
            <v>Non-proportional</v>
          </cell>
          <cell r="S3105">
            <v>-0.48</v>
          </cell>
          <cell r="X3105" t="str">
            <v>Commissions - gross</v>
          </cell>
          <cell r="Y3105" t="str">
            <v>SWEDEN</v>
          </cell>
        </row>
        <row r="3106">
          <cell r="L3106" t="str">
            <v>Non-proportional</v>
          </cell>
          <cell r="S3106">
            <v>257.87</v>
          </cell>
          <cell r="X3106" t="str">
            <v>Commissions - gross</v>
          </cell>
          <cell r="Y3106" t="str">
            <v>UNITED KINGDOM</v>
          </cell>
        </row>
        <row r="3107">
          <cell r="L3107" t="str">
            <v>Non-proportional</v>
          </cell>
          <cell r="S3107">
            <v>1664.36</v>
          </cell>
          <cell r="X3107" t="str">
            <v>Commissions - gross</v>
          </cell>
          <cell r="Y3107" t="str">
            <v>FRANCE</v>
          </cell>
        </row>
        <row r="3108">
          <cell r="L3108" t="str">
            <v>Non-proportional</v>
          </cell>
          <cell r="S3108">
            <v>231.45</v>
          </cell>
          <cell r="X3108" t="str">
            <v>Commissions - gross</v>
          </cell>
          <cell r="Y3108" t="str">
            <v>UNITED ARAB EMIRATES</v>
          </cell>
        </row>
        <row r="3109">
          <cell r="L3109" t="str">
            <v>Non-proportional</v>
          </cell>
          <cell r="S3109">
            <v>785.15</v>
          </cell>
          <cell r="X3109" t="str">
            <v>Commissions - gross</v>
          </cell>
          <cell r="Y3109" t="str">
            <v>SWITZERLAND</v>
          </cell>
        </row>
        <row r="3110">
          <cell r="L3110" t="str">
            <v>Non-proportional</v>
          </cell>
          <cell r="S3110">
            <v>648.04</v>
          </cell>
          <cell r="X3110" t="str">
            <v>Commissions - gross</v>
          </cell>
          <cell r="Y3110" t="str">
            <v>REPUBLIC OF IRELAND</v>
          </cell>
        </row>
        <row r="3111">
          <cell r="L3111" t="str">
            <v>Non-proportional</v>
          </cell>
          <cell r="S3111">
            <v>1242.43</v>
          </cell>
          <cell r="X3111" t="str">
            <v>Commissions - gross</v>
          </cell>
          <cell r="Y3111" t="str">
            <v>EUROPE</v>
          </cell>
        </row>
        <row r="3112">
          <cell r="L3112" t="str">
            <v>Non-proportional</v>
          </cell>
          <cell r="S3112">
            <v>3450.2</v>
          </cell>
          <cell r="X3112" t="str">
            <v>Commissions - gross</v>
          </cell>
          <cell r="Y3112" t="str">
            <v>CZECH REPUBLIC</v>
          </cell>
        </row>
        <row r="3113">
          <cell r="L3113" t="str">
            <v>Non-proportional</v>
          </cell>
          <cell r="S3113">
            <v>1122.3</v>
          </cell>
          <cell r="X3113" t="str">
            <v>Commissions - gross</v>
          </cell>
          <cell r="Y3113" t="str">
            <v>SWEDEN</v>
          </cell>
        </row>
        <row r="3114">
          <cell r="L3114" t="str">
            <v>Non-proportional</v>
          </cell>
          <cell r="S3114">
            <v>379</v>
          </cell>
          <cell r="X3114" t="str">
            <v>Commissions - gross</v>
          </cell>
          <cell r="Y3114" t="str">
            <v>REPUBLIC OF IRELAND</v>
          </cell>
        </row>
        <row r="3115">
          <cell r="L3115" t="str">
            <v>Non-proportional</v>
          </cell>
          <cell r="S3115">
            <v>1960.61</v>
          </cell>
          <cell r="X3115" t="str">
            <v>Commissions - gross</v>
          </cell>
          <cell r="Y3115" t="str">
            <v>FRANCE</v>
          </cell>
        </row>
        <row r="3116">
          <cell r="L3116" t="str">
            <v>Non-proportional</v>
          </cell>
          <cell r="S3116">
            <v>1722.84</v>
          </cell>
          <cell r="X3116" t="str">
            <v>Commissions - gross</v>
          </cell>
          <cell r="Y3116" t="str">
            <v>SWITZERLAND</v>
          </cell>
        </row>
        <row r="3117">
          <cell r="L3117" t="str">
            <v>Non-proportional</v>
          </cell>
          <cell r="S3117">
            <v>320.75</v>
          </cell>
          <cell r="X3117" t="str">
            <v>Commissions - gross</v>
          </cell>
          <cell r="Y3117" t="str">
            <v>JAPAN</v>
          </cell>
        </row>
        <row r="3118">
          <cell r="L3118" t="str">
            <v>Proportional</v>
          </cell>
          <cell r="S3118">
            <v>986.78</v>
          </cell>
          <cell r="X3118" t="str">
            <v>Commissions - gross</v>
          </cell>
          <cell r="Y3118" t="str">
            <v>UNITED STATES</v>
          </cell>
        </row>
        <row r="3119">
          <cell r="L3119" t="str">
            <v>Non-proportional</v>
          </cell>
          <cell r="S3119">
            <v>589.39</v>
          </cell>
          <cell r="X3119" t="str">
            <v>Commissions - gross</v>
          </cell>
          <cell r="Y3119" t="str">
            <v>AUSTRIA</v>
          </cell>
        </row>
        <row r="3120">
          <cell r="L3120" t="str">
            <v>Non-proportional</v>
          </cell>
          <cell r="S3120">
            <v>175.15</v>
          </cell>
          <cell r="X3120" t="str">
            <v>Commissions - gross</v>
          </cell>
          <cell r="Y3120" t="str">
            <v>REPUBLIC OF IRELAND</v>
          </cell>
        </row>
        <row r="3121">
          <cell r="L3121" t="str">
            <v>Non-proportional</v>
          </cell>
          <cell r="S3121">
            <v>11.33</v>
          </cell>
          <cell r="X3121" t="str">
            <v>Commissions - gross</v>
          </cell>
          <cell r="Y3121" t="str">
            <v>UNITED ARAB EMIRATES</v>
          </cell>
        </row>
        <row r="3122">
          <cell r="L3122" t="str">
            <v>Non-proportional</v>
          </cell>
          <cell r="S3122">
            <v>2340.1799999999998</v>
          </cell>
          <cell r="X3122" t="str">
            <v>Commissions - gross</v>
          </cell>
          <cell r="Y3122" t="str">
            <v>GERMANY</v>
          </cell>
        </row>
        <row r="3123">
          <cell r="L3123" t="str">
            <v>Non-proportional</v>
          </cell>
          <cell r="S3123">
            <v>245.39</v>
          </cell>
          <cell r="X3123" t="str">
            <v>Commissions - gross</v>
          </cell>
          <cell r="Y3123" t="str">
            <v>SWEDEN</v>
          </cell>
        </row>
        <row r="3124">
          <cell r="L3124" t="str">
            <v>Non-proportional</v>
          </cell>
          <cell r="S3124">
            <v>796.5</v>
          </cell>
          <cell r="X3124" t="str">
            <v>Commissions - gross</v>
          </cell>
          <cell r="Y3124" t="str">
            <v>GERMANY</v>
          </cell>
        </row>
        <row r="3125">
          <cell r="L3125" t="str">
            <v>Non-proportional</v>
          </cell>
          <cell r="S3125">
            <v>889.01</v>
          </cell>
          <cell r="X3125" t="str">
            <v>Commissions - gross</v>
          </cell>
          <cell r="Y3125" t="str">
            <v>UNITED KINGDOM</v>
          </cell>
        </row>
        <row r="3126">
          <cell r="L3126" t="str">
            <v>Non-proportional</v>
          </cell>
          <cell r="S3126">
            <v>71.84</v>
          </cell>
          <cell r="X3126" t="str">
            <v>Commissions - gross</v>
          </cell>
          <cell r="Y3126" t="str">
            <v>ITALY</v>
          </cell>
        </row>
        <row r="3127">
          <cell r="L3127" t="str">
            <v>Non-proportional</v>
          </cell>
          <cell r="S3127">
            <v>1071.8699999999999</v>
          </cell>
          <cell r="X3127" t="str">
            <v>Commissions - gross</v>
          </cell>
          <cell r="Y3127" t="str">
            <v>UNITED KINGDOM</v>
          </cell>
        </row>
        <row r="3128">
          <cell r="L3128" t="str">
            <v>Non-proportional</v>
          </cell>
          <cell r="S3128">
            <v>1280.29</v>
          </cell>
          <cell r="X3128" t="str">
            <v>Commissions - gross</v>
          </cell>
          <cell r="Y3128" t="str">
            <v>UNITED KINGDOM</v>
          </cell>
        </row>
        <row r="3129">
          <cell r="L3129" t="str">
            <v>Non-proportional</v>
          </cell>
          <cell r="S3129">
            <v>201.9</v>
          </cell>
          <cell r="X3129" t="str">
            <v>Commissions - gross</v>
          </cell>
          <cell r="Y3129" t="str">
            <v>SWITZERLAND</v>
          </cell>
        </row>
        <row r="3130">
          <cell r="L3130" t="str">
            <v>Non-proportional</v>
          </cell>
          <cell r="S3130">
            <v>-3463.14</v>
          </cell>
          <cell r="X3130" t="str">
            <v>Commissions - gross</v>
          </cell>
          <cell r="Y3130" t="str">
            <v>UNITED KINGDOM</v>
          </cell>
        </row>
        <row r="3131">
          <cell r="L3131" t="str">
            <v>Non-proportional</v>
          </cell>
          <cell r="S3131">
            <v>7769.44</v>
          </cell>
          <cell r="X3131" t="str">
            <v>Commissions - gross</v>
          </cell>
          <cell r="Y3131" t="str">
            <v>UNITED KINGDOM</v>
          </cell>
        </row>
        <row r="3132">
          <cell r="L3132" t="str">
            <v>Proportional</v>
          </cell>
          <cell r="S3132">
            <v>1729.68</v>
          </cell>
          <cell r="X3132" t="str">
            <v>Commissions - gross</v>
          </cell>
          <cell r="Y3132" t="str">
            <v>GERMANY</v>
          </cell>
        </row>
        <row r="3133">
          <cell r="L3133" t="str">
            <v>Non-proportional</v>
          </cell>
          <cell r="S3133">
            <v>361.75</v>
          </cell>
          <cell r="X3133" t="str">
            <v>Commissions - gross</v>
          </cell>
          <cell r="Y3133" t="str">
            <v>FRANCE</v>
          </cell>
        </row>
        <row r="3134">
          <cell r="L3134" t="str">
            <v>Non-proportional</v>
          </cell>
          <cell r="S3134">
            <v>-849.66</v>
          </cell>
          <cell r="X3134" t="str">
            <v>Commissions - gross</v>
          </cell>
          <cell r="Y3134" t="str">
            <v>UNITED KINGDOM</v>
          </cell>
        </row>
        <row r="3135">
          <cell r="L3135" t="str">
            <v>Non-proportional</v>
          </cell>
          <cell r="S3135">
            <v>368.75</v>
          </cell>
          <cell r="X3135" t="str">
            <v>Commissions - gross</v>
          </cell>
          <cell r="Y3135" t="str">
            <v>GERMANY</v>
          </cell>
        </row>
        <row r="3136">
          <cell r="L3136" t="str">
            <v>Non-proportional</v>
          </cell>
          <cell r="S3136">
            <v>1.8</v>
          </cell>
          <cell r="X3136" t="str">
            <v>Commissions - gross</v>
          </cell>
          <cell r="Y3136" t="str">
            <v>EUROPE</v>
          </cell>
        </row>
        <row r="3137">
          <cell r="L3137" t="str">
            <v>Non-proportional</v>
          </cell>
          <cell r="S3137">
            <v>500.58</v>
          </cell>
          <cell r="X3137" t="str">
            <v>Commissions - gross</v>
          </cell>
          <cell r="Y3137" t="str">
            <v>FRANCE</v>
          </cell>
        </row>
        <row r="3138">
          <cell r="L3138" t="str">
            <v>Non-proportional</v>
          </cell>
          <cell r="S3138">
            <v>855.46</v>
          </cell>
          <cell r="X3138" t="str">
            <v>Commissions - gross</v>
          </cell>
          <cell r="Y3138" t="str">
            <v>UNITED KINGDOM</v>
          </cell>
        </row>
        <row r="3139">
          <cell r="L3139" t="str">
            <v>Non-proportional</v>
          </cell>
          <cell r="S3139">
            <v>861.37</v>
          </cell>
          <cell r="X3139" t="str">
            <v>Commissions - gross</v>
          </cell>
          <cell r="Y3139" t="str">
            <v>UNITED KINGDOM</v>
          </cell>
        </row>
        <row r="3140">
          <cell r="L3140" t="str">
            <v>Non-proportional</v>
          </cell>
          <cell r="S3140">
            <v>331.31</v>
          </cell>
          <cell r="X3140" t="str">
            <v>Commissions - gross</v>
          </cell>
          <cell r="Y3140" t="str">
            <v>EUROPE</v>
          </cell>
        </row>
        <row r="3141">
          <cell r="L3141" t="str">
            <v>Non-proportional</v>
          </cell>
          <cell r="S3141">
            <v>208.24</v>
          </cell>
          <cell r="X3141" t="str">
            <v>Commissions - gross</v>
          </cell>
          <cell r="Y3141" t="str">
            <v>GERMANY</v>
          </cell>
        </row>
        <row r="3142">
          <cell r="L3142" t="str">
            <v>Non-proportional</v>
          </cell>
          <cell r="S3142">
            <v>1227.56</v>
          </cell>
          <cell r="X3142" t="str">
            <v>Commissions - gross</v>
          </cell>
          <cell r="Y3142" t="str">
            <v>DENMARK</v>
          </cell>
        </row>
        <row r="3143">
          <cell r="L3143" t="str">
            <v>Non-proportional</v>
          </cell>
          <cell r="S3143">
            <v>2551.77</v>
          </cell>
          <cell r="X3143" t="str">
            <v>Commissions - gross</v>
          </cell>
          <cell r="Y3143" t="str">
            <v>UNITED KINGDOM</v>
          </cell>
        </row>
        <row r="3144">
          <cell r="L3144" t="str">
            <v>Non-proportional</v>
          </cell>
          <cell r="S3144">
            <v>411.21</v>
          </cell>
          <cell r="X3144" t="str">
            <v>Commissions - gross</v>
          </cell>
          <cell r="Y3144" t="str">
            <v>AUSTRIA</v>
          </cell>
        </row>
        <row r="3145">
          <cell r="L3145" t="str">
            <v>Non-proportional</v>
          </cell>
          <cell r="S3145">
            <v>337.5</v>
          </cell>
          <cell r="X3145" t="str">
            <v>Commissions - gross</v>
          </cell>
          <cell r="Y3145" t="str">
            <v>GERMANY</v>
          </cell>
        </row>
        <row r="3146">
          <cell r="L3146" t="str">
            <v>Non-proportional</v>
          </cell>
          <cell r="S3146">
            <v>12434.43</v>
          </cell>
          <cell r="X3146" t="str">
            <v>Commissions - gross</v>
          </cell>
          <cell r="Y3146" t="str">
            <v>UNITED KINGDOM</v>
          </cell>
        </row>
        <row r="3147">
          <cell r="L3147" t="str">
            <v>Non-proportional</v>
          </cell>
          <cell r="S3147">
            <v>280.23</v>
          </cell>
          <cell r="X3147" t="str">
            <v>Commissions - gross</v>
          </cell>
          <cell r="Y3147" t="str">
            <v>REPUBLIC OF IRELAND</v>
          </cell>
        </row>
        <row r="3148">
          <cell r="L3148" t="str">
            <v>Non-proportional</v>
          </cell>
          <cell r="S3148">
            <v>152.03</v>
          </cell>
          <cell r="X3148" t="str">
            <v>Commissions - gross</v>
          </cell>
          <cell r="Y3148" t="str">
            <v>JAPAN</v>
          </cell>
        </row>
        <row r="3149">
          <cell r="L3149" t="str">
            <v>Non-proportional</v>
          </cell>
          <cell r="S3149">
            <v>2070.71</v>
          </cell>
          <cell r="X3149" t="str">
            <v>Commissions - gross</v>
          </cell>
          <cell r="Y3149" t="str">
            <v>EUROPE</v>
          </cell>
        </row>
        <row r="3150">
          <cell r="L3150" t="str">
            <v>Non-proportional</v>
          </cell>
          <cell r="S3150">
            <v>193.89</v>
          </cell>
          <cell r="X3150" t="str">
            <v>Commissions - gross</v>
          </cell>
          <cell r="Y3150" t="str">
            <v>REPUBLIC OF IRELAND</v>
          </cell>
        </row>
        <row r="3151">
          <cell r="L3151" t="str">
            <v>Non-proportional</v>
          </cell>
          <cell r="S3151">
            <v>1412</v>
          </cell>
          <cell r="X3151" t="str">
            <v>Commissions - gross</v>
          </cell>
          <cell r="Y3151" t="str">
            <v>AUSTRIA</v>
          </cell>
        </row>
        <row r="3152">
          <cell r="L3152" t="str">
            <v>Non-proportional</v>
          </cell>
          <cell r="S3152">
            <v>311.12</v>
          </cell>
          <cell r="X3152" t="str">
            <v>Commissions - gross</v>
          </cell>
          <cell r="Y3152" t="str">
            <v>SWITZERLAND</v>
          </cell>
        </row>
        <row r="3153">
          <cell r="L3153" t="str">
            <v>Non-proportional</v>
          </cell>
          <cell r="S3153">
            <v>1460.25</v>
          </cell>
          <cell r="X3153" t="str">
            <v>Commissions - gross</v>
          </cell>
          <cell r="Y3153" t="str">
            <v>GERMANY</v>
          </cell>
        </row>
        <row r="3154">
          <cell r="L3154" t="str">
            <v>Non-proportional</v>
          </cell>
          <cell r="S3154">
            <v>776.93</v>
          </cell>
          <cell r="X3154" t="str">
            <v>Commissions - gross</v>
          </cell>
          <cell r="Y3154" t="str">
            <v>ICELAND</v>
          </cell>
        </row>
        <row r="3155">
          <cell r="L3155" t="str">
            <v>Non-proportional</v>
          </cell>
          <cell r="S3155">
            <v>369.65</v>
          </cell>
          <cell r="X3155" t="str">
            <v>Commissions - gross</v>
          </cell>
          <cell r="Y3155" t="str">
            <v>UNITED KINGDOM</v>
          </cell>
        </row>
        <row r="3156">
          <cell r="L3156" t="str">
            <v>Non-proportional</v>
          </cell>
          <cell r="S3156">
            <v>2054.67</v>
          </cell>
          <cell r="X3156" t="str">
            <v>Commissions - gross</v>
          </cell>
          <cell r="Y3156" t="str">
            <v>UNITED KINGDOM</v>
          </cell>
        </row>
        <row r="3157">
          <cell r="L3157" t="str">
            <v>Non-proportional</v>
          </cell>
          <cell r="S3157">
            <v>359.97</v>
          </cell>
          <cell r="X3157" t="str">
            <v>Commissions - gross</v>
          </cell>
          <cell r="Y3157" t="str">
            <v>FAROE ISLANDS</v>
          </cell>
        </row>
        <row r="3158">
          <cell r="L3158" t="str">
            <v>Non-proportional</v>
          </cell>
          <cell r="S3158">
            <v>5102.93</v>
          </cell>
          <cell r="X3158" t="str">
            <v>Commissions - gross</v>
          </cell>
          <cell r="Y3158" t="str">
            <v>UNITED KINGDOM</v>
          </cell>
        </row>
        <row r="3159">
          <cell r="L3159" t="str">
            <v>Non-proportional</v>
          </cell>
          <cell r="S3159">
            <v>-6469.19</v>
          </cell>
          <cell r="X3159" t="str">
            <v>Commissions - gross</v>
          </cell>
          <cell r="Y3159" t="str">
            <v>UNITED STATES</v>
          </cell>
        </row>
        <row r="3160">
          <cell r="L3160" t="str">
            <v>Non-proportional</v>
          </cell>
          <cell r="S3160">
            <v>8.33</v>
          </cell>
          <cell r="X3160" t="str">
            <v>Commissions - gross</v>
          </cell>
          <cell r="Y3160" t="str">
            <v>FRANCE</v>
          </cell>
        </row>
        <row r="3161">
          <cell r="L3161" t="str">
            <v>Non-proportional</v>
          </cell>
          <cell r="S3161">
            <v>1112.23</v>
          </cell>
          <cell r="X3161" t="str">
            <v>Commissions - gross</v>
          </cell>
          <cell r="Y3161" t="str">
            <v>UNITED KINGDOM</v>
          </cell>
        </row>
        <row r="3162">
          <cell r="L3162" t="str">
            <v>Non-proportional</v>
          </cell>
          <cell r="S3162">
            <v>5.22</v>
          </cell>
          <cell r="X3162" t="str">
            <v>Commissions - gross</v>
          </cell>
          <cell r="Y3162" t="str">
            <v>UNITED ARAB EMIRATES</v>
          </cell>
        </row>
        <row r="3163">
          <cell r="L3163" t="str">
            <v>Non-proportional</v>
          </cell>
          <cell r="S3163">
            <v>-3.37</v>
          </cell>
          <cell r="X3163" t="str">
            <v>Commissions - gross</v>
          </cell>
          <cell r="Y3163" t="str">
            <v>POLAND</v>
          </cell>
        </row>
        <row r="3164">
          <cell r="L3164" t="str">
            <v>Non-proportional</v>
          </cell>
          <cell r="S3164">
            <v>832.28</v>
          </cell>
          <cell r="X3164" t="str">
            <v>Commissions - gross</v>
          </cell>
          <cell r="Y3164" t="str">
            <v>GERMANY</v>
          </cell>
        </row>
        <row r="3165">
          <cell r="L3165" t="str">
            <v>Non-proportional</v>
          </cell>
          <cell r="S3165">
            <v>1198</v>
          </cell>
          <cell r="X3165" t="str">
            <v>Commissions - gross</v>
          </cell>
          <cell r="Y3165" t="str">
            <v>UNITED KINGDOM</v>
          </cell>
        </row>
        <row r="3166">
          <cell r="L3166" t="str">
            <v>Non-proportional</v>
          </cell>
          <cell r="S3166">
            <v>17.52</v>
          </cell>
          <cell r="X3166" t="str">
            <v>Commissions - gross</v>
          </cell>
          <cell r="Y3166" t="str">
            <v>ITALY</v>
          </cell>
        </row>
        <row r="3167">
          <cell r="L3167" t="str">
            <v>Non-proportional</v>
          </cell>
          <cell r="S3167">
            <v>326.25</v>
          </cell>
          <cell r="X3167" t="str">
            <v>Commissions - gross</v>
          </cell>
          <cell r="Y3167" t="str">
            <v>ROMANIA</v>
          </cell>
        </row>
        <row r="3168">
          <cell r="L3168" t="str">
            <v>Non-proportional</v>
          </cell>
          <cell r="S3168">
            <v>140.16999999999999</v>
          </cell>
          <cell r="X3168" t="str">
            <v>Commissions - gross</v>
          </cell>
          <cell r="Y3168" t="str">
            <v>GERMANY</v>
          </cell>
        </row>
        <row r="3169">
          <cell r="L3169" t="str">
            <v>Non-proportional</v>
          </cell>
          <cell r="S3169">
            <v>308.33999999999997</v>
          </cell>
          <cell r="X3169" t="str">
            <v>Commissions - gross</v>
          </cell>
          <cell r="Y3169" t="str">
            <v>EUROPE</v>
          </cell>
        </row>
        <row r="3170">
          <cell r="L3170" t="str">
            <v>Non-proportional</v>
          </cell>
          <cell r="S3170">
            <v>206.53</v>
          </cell>
          <cell r="X3170" t="str">
            <v>Commissions - gross</v>
          </cell>
          <cell r="Y3170" t="str">
            <v>EUROPE</v>
          </cell>
        </row>
        <row r="3171">
          <cell r="L3171" t="str">
            <v>Non-proportional</v>
          </cell>
          <cell r="S3171">
            <v>4779.72</v>
          </cell>
          <cell r="X3171" t="str">
            <v>Commissions - gross</v>
          </cell>
          <cell r="Y3171" t="str">
            <v>UNITED KINGDOM</v>
          </cell>
        </row>
        <row r="3172">
          <cell r="L3172" t="str">
            <v>Non-proportional</v>
          </cell>
          <cell r="S3172">
            <v>899.99</v>
          </cell>
          <cell r="X3172" t="str">
            <v>Commissions - gross</v>
          </cell>
          <cell r="Y3172" t="str">
            <v>GERMANY</v>
          </cell>
        </row>
        <row r="3173">
          <cell r="L3173" t="str">
            <v>Non-proportional</v>
          </cell>
          <cell r="S3173">
            <v>583.94000000000005</v>
          </cell>
          <cell r="X3173" t="str">
            <v>Commissions - gross</v>
          </cell>
          <cell r="Y3173" t="str">
            <v>UNITED KINGDOM</v>
          </cell>
        </row>
        <row r="3174">
          <cell r="L3174" t="str">
            <v>Non-proportional</v>
          </cell>
          <cell r="S3174">
            <v>1760.9</v>
          </cell>
          <cell r="X3174" t="str">
            <v>Commissions - gross</v>
          </cell>
          <cell r="Y3174" t="str">
            <v>AUSTRIA</v>
          </cell>
        </row>
        <row r="3175">
          <cell r="L3175" t="str">
            <v>Non-proportional</v>
          </cell>
          <cell r="S3175">
            <v>1339.97</v>
          </cell>
          <cell r="X3175" t="str">
            <v>Commissions - gross</v>
          </cell>
          <cell r="Y3175" t="str">
            <v>GERMANY</v>
          </cell>
        </row>
        <row r="3176">
          <cell r="L3176" t="str">
            <v>Non-proportional</v>
          </cell>
          <cell r="S3176">
            <v>2385.42</v>
          </cell>
          <cell r="X3176" t="str">
            <v>Commissions - gross</v>
          </cell>
          <cell r="Y3176" t="str">
            <v>AUSTRIA</v>
          </cell>
        </row>
        <row r="3177">
          <cell r="L3177" t="str">
            <v>Non-proportional</v>
          </cell>
          <cell r="S3177">
            <v>548.41</v>
          </cell>
          <cell r="X3177" t="str">
            <v>Commissions - gross</v>
          </cell>
          <cell r="Y3177" t="str">
            <v>EUROPE</v>
          </cell>
        </row>
        <row r="3178">
          <cell r="L3178" t="str">
            <v>Non-proportional</v>
          </cell>
          <cell r="S3178">
            <v>-0.14000000000000001</v>
          </cell>
          <cell r="X3178" t="str">
            <v>Commissions - gross</v>
          </cell>
          <cell r="Y3178" t="str">
            <v>DENMARK</v>
          </cell>
        </row>
        <row r="3179">
          <cell r="L3179" t="str">
            <v>Non-proportional</v>
          </cell>
          <cell r="S3179">
            <v>384.27</v>
          </cell>
          <cell r="X3179" t="str">
            <v>Commissions - gross</v>
          </cell>
          <cell r="Y3179" t="str">
            <v>UNITED KINGDOM</v>
          </cell>
        </row>
        <row r="3180">
          <cell r="L3180" t="str">
            <v>Non-proportional</v>
          </cell>
          <cell r="S3180">
            <v>-8568.4599999999991</v>
          </cell>
          <cell r="X3180" t="str">
            <v>Commissions - gross</v>
          </cell>
          <cell r="Y3180" t="str">
            <v>UNITED STATES</v>
          </cell>
        </row>
        <row r="3181">
          <cell r="L3181" t="str">
            <v>Non-proportional</v>
          </cell>
          <cell r="S3181">
            <v>575.74</v>
          </cell>
          <cell r="X3181" t="str">
            <v>Commissions - gross</v>
          </cell>
          <cell r="Y3181" t="str">
            <v>UNITED KINGDOM</v>
          </cell>
        </row>
        <row r="3182">
          <cell r="L3182" t="str">
            <v>Non-proportional</v>
          </cell>
          <cell r="S3182">
            <v>1145.03</v>
          </cell>
          <cell r="X3182" t="str">
            <v>Commissions - gross</v>
          </cell>
          <cell r="Y3182" t="str">
            <v>UNITED KINGDOM</v>
          </cell>
        </row>
        <row r="3183">
          <cell r="L3183" t="str">
            <v>Non-proportional</v>
          </cell>
          <cell r="S3183">
            <v>78.11</v>
          </cell>
          <cell r="X3183" t="str">
            <v>Commissions - gross</v>
          </cell>
          <cell r="Y3183" t="str">
            <v>DENMARK</v>
          </cell>
        </row>
        <row r="3184">
          <cell r="L3184" t="str">
            <v>Non-proportional</v>
          </cell>
          <cell r="S3184">
            <v>1001.51</v>
          </cell>
          <cell r="X3184" t="str">
            <v>Commissions - gross</v>
          </cell>
          <cell r="Y3184" t="str">
            <v>AUSTRIA</v>
          </cell>
        </row>
        <row r="3185">
          <cell r="L3185" t="str">
            <v>Non-proportional</v>
          </cell>
          <cell r="S3185">
            <v>68.61</v>
          </cell>
          <cell r="X3185" t="str">
            <v>Commissions - gross</v>
          </cell>
          <cell r="Y3185" t="str">
            <v>JAPAN</v>
          </cell>
        </row>
        <row r="3186">
          <cell r="L3186" t="str">
            <v>Non-proportional</v>
          </cell>
          <cell r="S3186">
            <v>577.14</v>
          </cell>
          <cell r="X3186" t="str">
            <v>Commissions - gross</v>
          </cell>
          <cell r="Y3186" t="str">
            <v>UNITED KINGDOM</v>
          </cell>
        </row>
        <row r="3187">
          <cell r="L3187" t="str">
            <v>Non-proportional</v>
          </cell>
          <cell r="S3187">
            <v>2941.67</v>
          </cell>
          <cell r="X3187" t="str">
            <v>Commissions - gross</v>
          </cell>
          <cell r="Y3187" t="str">
            <v>EUROPE</v>
          </cell>
        </row>
        <row r="3188">
          <cell r="L3188" t="str">
            <v>Non-proportional</v>
          </cell>
          <cell r="S3188">
            <v>1347.72</v>
          </cell>
          <cell r="X3188" t="str">
            <v>Commissions - gross</v>
          </cell>
          <cell r="Y3188" t="str">
            <v>UNITED KINGDOM</v>
          </cell>
        </row>
        <row r="3189">
          <cell r="L3189" t="str">
            <v>Non-proportional</v>
          </cell>
          <cell r="S3189">
            <v>1042.58</v>
          </cell>
          <cell r="X3189" t="str">
            <v>Commissions - gross</v>
          </cell>
          <cell r="Y3189" t="str">
            <v>FRANCE</v>
          </cell>
        </row>
        <row r="3190">
          <cell r="L3190" t="str">
            <v>Non-proportional</v>
          </cell>
          <cell r="S3190">
            <v>-0.28000000000000003</v>
          </cell>
          <cell r="X3190" t="str">
            <v>Commissions - gross</v>
          </cell>
          <cell r="Y3190" t="str">
            <v>DENMARK</v>
          </cell>
        </row>
        <row r="3191">
          <cell r="L3191" t="str">
            <v>Proportional</v>
          </cell>
          <cell r="S3191">
            <v>470.92</v>
          </cell>
          <cell r="X3191" t="str">
            <v>Commissions - gross</v>
          </cell>
          <cell r="Y3191" t="str">
            <v>UNITED KINGDOM</v>
          </cell>
        </row>
        <row r="3192">
          <cell r="L3192" t="str">
            <v>Non-proportional</v>
          </cell>
          <cell r="S3192">
            <v>862.5</v>
          </cell>
          <cell r="X3192" t="str">
            <v>Commissions - gross</v>
          </cell>
          <cell r="Y3192" t="str">
            <v>GERMANY</v>
          </cell>
        </row>
        <row r="3193">
          <cell r="L3193" t="str">
            <v>Non-proportional</v>
          </cell>
          <cell r="S3193">
            <v>603.75</v>
          </cell>
          <cell r="X3193" t="str">
            <v>Commissions - gross</v>
          </cell>
          <cell r="Y3193" t="str">
            <v>GERMANY</v>
          </cell>
        </row>
        <row r="3194">
          <cell r="L3194" t="str">
            <v>Non-proportional</v>
          </cell>
          <cell r="S3194">
            <v>912.9</v>
          </cell>
          <cell r="X3194" t="str">
            <v>Commissions - gross</v>
          </cell>
          <cell r="Y3194" t="str">
            <v>GERMANY</v>
          </cell>
        </row>
        <row r="3195">
          <cell r="L3195" t="str">
            <v>Non-proportional</v>
          </cell>
          <cell r="S3195">
            <v>358.92</v>
          </cell>
          <cell r="X3195" t="str">
            <v>Commissions - gross</v>
          </cell>
          <cell r="Y3195" t="str">
            <v>SWITZERLAND</v>
          </cell>
        </row>
        <row r="3196">
          <cell r="L3196" t="str">
            <v>Non-proportional</v>
          </cell>
          <cell r="S3196">
            <v>1125.53</v>
          </cell>
          <cell r="X3196" t="str">
            <v>Commissions - gross</v>
          </cell>
          <cell r="Y3196" t="str">
            <v>UNITED KINGDOM</v>
          </cell>
        </row>
        <row r="3197">
          <cell r="L3197" t="str">
            <v>Non-proportional</v>
          </cell>
          <cell r="S3197">
            <v>-10.1</v>
          </cell>
          <cell r="X3197" t="str">
            <v>Commissions - gross</v>
          </cell>
          <cell r="Y3197" t="str">
            <v>POLAND</v>
          </cell>
        </row>
        <row r="3198">
          <cell r="L3198" t="str">
            <v>Non-proportional</v>
          </cell>
          <cell r="S3198">
            <v>332.98</v>
          </cell>
          <cell r="X3198" t="str">
            <v>Commissions - gross</v>
          </cell>
          <cell r="Y3198" t="str">
            <v>GERMANY</v>
          </cell>
        </row>
        <row r="3199">
          <cell r="L3199" t="str">
            <v>Non-proportional</v>
          </cell>
          <cell r="S3199">
            <v>155.36000000000001</v>
          </cell>
          <cell r="X3199" t="str">
            <v>Commissions - gross</v>
          </cell>
          <cell r="Y3199" t="str">
            <v>REPUBLIC OF IRELAND</v>
          </cell>
        </row>
        <row r="3200">
          <cell r="L3200" t="str">
            <v>Non-proportional</v>
          </cell>
          <cell r="S3200">
            <v>646.05999999999995</v>
          </cell>
          <cell r="X3200" t="str">
            <v>Commissions - gross</v>
          </cell>
          <cell r="Y3200" t="str">
            <v>SWITZERLAND</v>
          </cell>
        </row>
        <row r="3201">
          <cell r="L3201" t="str">
            <v>Non-proportional</v>
          </cell>
          <cell r="S3201">
            <v>250.22</v>
          </cell>
          <cell r="X3201" t="str">
            <v>Commissions - gross</v>
          </cell>
          <cell r="Y3201" t="str">
            <v>SPAIN</v>
          </cell>
        </row>
        <row r="3202">
          <cell r="L3202" t="str">
            <v>Non-proportional</v>
          </cell>
          <cell r="S3202">
            <v>10623.57</v>
          </cell>
          <cell r="X3202" t="str">
            <v>Commissions - gross</v>
          </cell>
          <cell r="Y3202" t="str">
            <v>UNITED KINGDOM</v>
          </cell>
        </row>
        <row r="3203">
          <cell r="L3203" t="str">
            <v>Non-proportional</v>
          </cell>
          <cell r="S3203">
            <v>546.71</v>
          </cell>
          <cell r="X3203" t="str">
            <v>Commissions - gross</v>
          </cell>
          <cell r="Y3203" t="str">
            <v>EIRE</v>
          </cell>
        </row>
        <row r="3204">
          <cell r="L3204" t="str">
            <v>Non-proportional</v>
          </cell>
          <cell r="S3204">
            <v>27.07</v>
          </cell>
          <cell r="X3204" t="str">
            <v>Commissions - gross</v>
          </cell>
          <cell r="Y3204" t="str">
            <v>ITALY</v>
          </cell>
        </row>
        <row r="3205">
          <cell r="L3205" t="str">
            <v>Non-proportional</v>
          </cell>
          <cell r="S3205">
            <v>558.63</v>
          </cell>
          <cell r="X3205" t="str">
            <v>Commissions - gross</v>
          </cell>
          <cell r="Y3205" t="str">
            <v>GERMANY</v>
          </cell>
        </row>
        <row r="3206">
          <cell r="L3206" t="str">
            <v>Non-proportional</v>
          </cell>
          <cell r="S3206">
            <v>140.5</v>
          </cell>
          <cell r="X3206" t="str">
            <v>Commissions - gross</v>
          </cell>
          <cell r="Y3206" t="str">
            <v>SWITZERLAND</v>
          </cell>
        </row>
        <row r="3207">
          <cell r="L3207" t="str">
            <v>Non-proportional</v>
          </cell>
          <cell r="S3207">
            <v>643.91999999999996</v>
          </cell>
          <cell r="X3207" t="str">
            <v>Commissions - gross</v>
          </cell>
          <cell r="Y3207" t="str">
            <v>SWITZERLAND</v>
          </cell>
        </row>
        <row r="3208">
          <cell r="L3208" t="str">
            <v>Non-proportional</v>
          </cell>
          <cell r="S3208">
            <v>584.39</v>
          </cell>
          <cell r="X3208" t="str">
            <v>Commissions - gross</v>
          </cell>
          <cell r="Y3208" t="str">
            <v>NORWAY</v>
          </cell>
        </row>
        <row r="3209">
          <cell r="L3209" t="str">
            <v>Non-proportional</v>
          </cell>
          <cell r="S3209">
            <v>991.79</v>
          </cell>
          <cell r="X3209" t="str">
            <v>Commissions - gross</v>
          </cell>
          <cell r="Y3209" t="str">
            <v>CZECH REPUBLIC</v>
          </cell>
        </row>
        <row r="3210">
          <cell r="L3210" t="str">
            <v>Non-proportional</v>
          </cell>
          <cell r="S3210">
            <v>493.67</v>
          </cell>
          <cell r="X3210" t="str">
            <v>Commissions - gross</v>
          </cell>
          <cell r="Y3210" t="str">
            <v>SWITZERLAND</v>
          </cell>
        </row>
        <row r="3211">
          <cell r="L3211" t="str">
            <v>Non-proportional</v>
          </cell>
          <cell r="S3211">
            <v>1020.94</v>
          </cell>
          <cell r="X3211" t="str">
            <v>Commissions - gross</v>
          </cell>
          <cell r="Y3211" t="str">
            <v>GERMANY</v>
          </cell>
        </row>
        <row r="3212">
          <cell r="L3212" t="str">
            <v>Non-proportional</v>
          </cell>
          <cell r="S3212">
            <v>31.34</v>
          </cell>
          <cell r="X3212" t="str">
            <v>Commissions - gross</v>
          </cell>
          <cell r="Y3212" t="str">
            <v>DENMARK</v>
          </cell>
        </row>
        <row r="3213">
          <cell r="L3213" t="str">
            <v>Non-proportional</v>
          </cell>
          <cell r="S3213">
            <v>259.76</v>
          </cell>
          <cell r="X3213" t="str">
            <v>Commissions - gross</v>
          </cell>
          <cell r="Y3213" t="str">
            <v>UNITED KINGDOM</v>
          </cell>
        </row>
        <row r="3214">
          <cell r="L3214" t="str">
            <v>Non-proportional</v>
          </cell>
          <cell r="S3214">
            <v>1001.51</v>
          </cell>
          <cell r="X3214" t="str">
            <v>Commissions - gross</v>
          </cell>
          <cell r="Y3214" t="str">
            <v>AUSTRIA</v>
          </cell>
        </row>
        <row r="3215">
          <cell r="L3215" t="str">
            <v>Non-proportional</v>
          </cell>
          <cell r="S3215">
            <v>3.46</v>
          </cell>
          <cell r="X3215" t="str">
            <v>Commissions - gross</v>
          </cell>
          <cell r="Y3215" t="str">
            <v>UNITED ARAB EMIRATES</v>
          </cell>
        </row>
        <row r="3216">
          <cell r="L3216" t="str">
            <v>Non-proportional</v>
          </cell>
          <cell r="S3216">
            <v>1117.75</v>
          </cell>
          <cell r="X3216" t="str">
            <v>Commissions - gross</v>
          </cell>
          <cell r="Y3216" t="str">
            <v>SWEDEN</v>
          </cell>
        </row>
        <row r="3217">
          <cell r="L3217" t="str">
            <v>Non-proportional</v>
          </cell>
          <cell r="S3217">
            <v>2249.54</v>
          </cell>
          <cell r="X3217" t="str">
            <v>Commissions - gross</v>
          </cell>
          <cell r="Y3217" t="str">
            <v>CZECH REPUBLIC</v>
          </cell>
        </row>
        <row r="3218">
          <cell r="L3218" t="str">
            <v>Non-proportional</v>
          </cell>
          <cell r="S3218">
            <v>1405.83</v>
          </cell>
          <cell r="X3218" t="str">
            <v>Commissions - gross</v>
          </cell>
          <cell r="Y3218" t="str">
            <v>EIRE</v>
          </cell>
        </row>
        <row r="3219">
          <cell r="L3219" t="str">
            <v>Non-proportional</v>
          </cell>
          <cell r="S3219">
            <v>32.15</v>
          </cell>
          <cell r="X3219" t="str">
            <v>Commissions - gross</v>
          </cell>
          <cell r="Y3219" t="str">
            <v>FRANCE</v>
          </cell>
        </row>
        <row r="3220">
          <cell r="L3220" t="str">
            <v>Non-proportional</v>
          </cell>
          <cell r="S3220">
            <v>549.32000000000005</v>
          </cell>
          <cell r="X3220" t="str">
            <v>Commissions - gross</v>
          </cell>
          <cell r="Y3220" t="str">
            <v>FRANCE</v>
          </cell>
        </row>
        <row r="3221">
          <cell r="L3221" t="str">
            <v>Non-proportional</v>
          </cell>
          <cell r="S3221">
            <v>-0.23</v>
          </cell>
          <cell r="X3221" t="str">
            <v>Commissions - gross</v>
          </cell>
          <cell r="Y3221" t="str">
            <v>DENMARK</v>
          </cell>
        </row>
        <row r="3222">
          <cell r="L3222" t="str">
            <v>Non-proportional</v>
          </cell>
          <cell r="S3222">
            <v>3557.03</v>
          </cell>
          <cell r="X3222" t="str">
            <v>Commissions - gross</v>
          </cell>
          <cell r="Y3222" t="str">
            <v>FRANCE</v>
          </cell>
        </row>
        <row r="3223">
          <cell r="L3223" t="str">
            <v>Non-proportional</v>
          </cell>
          <cell r="S3223">
            <v>2000.25</v>
          </cell>
          <cell r="X3223" t="str">
            <v>Commissions - gross</v>
          </cell>
          <cell r="Y3223" t="str">
            <v>CZECH REPUBLIC</v>
          </cell>
        </row>
        <row r="3224">
          <cell r="L3224" t="str">
            <v>Proportional</v>
          </cell>
          <cell r="S3224">
            <v>1264.48</v>
          </cell>
          <cell r="X3224" t="str">
            <v>Commissions - gross</v>
          </cell>
          <cell r="Y3224" t="str">
            <v>UNITED STATES</v>
          </cell>
        </row>
        <row r="3225">
          <cell r="L3225" t="str">
            <v>Non-proportional</v>
          </cell>
          <cell r="S3225">
            <v>1583.24</v>
          </cell>
          <cell r="X3225" t="str">
            <v>Commissions - gross</v>
          </cell>
          <cell r="Y3225" t="str">
            <v>GERMANY</v>
          </cell>
        </row>
        <row r="3226">
          <cell r="L3226" t="str">
            <v>Non-proportional</v>
          </cell>
          <cell r="S3226">
            <v>-0.2</v>
          </cell>
          <cell r="X3226" t="str">
            <v>Commissions - gross</v>
          </cell>
          <cell r="Y3226" t="str">
            <v>SWEDEN</v>
          </cell>
        </row>
        <row r="3227">
          <cell r="L3227" t="str">
            <v>Non-proportional</v>
          </cell>
          <cell r="S3227">
            <v>862.5</v>
          </cell>
          <cell r="X3227" t="str">
            <v>Commissions - gross</v>
          </cell>
          <cell r="Y3227" t="str">
            <v>GERMANY</v>
          </cell>
        </row>
        <row r="3228">
          <cell r="L3228" t="str">
            <v>Non-proportional</v>
          </cell>
          <cell r="S3228">
            <v>869.77</v>
          </cell>
          <cell r="X3228" t="str">
            <v>Commissions - gross</v>
          </cell>
          <cell r="Y3228" t="str">
            <v>GERMANY</v>
          </cell>
        </row>
        <row r="3229">
          <cell r="L3229" t="str">
            <v>Non-proportional</v>
          </cell>
          <cell r="S3229">
            <v>111.7</v>
          </cell>
          <cell r="X3229" t="str">
            <v>Commissions - gross</v>
          </cell>
          <cell r="Y3229" t="str">
            <v>UNITED KINGDOM</v>
          </cell>
        </row>
        <row r="3230">
          <cell r="L3230" t="str">
            <v>Non-proportional</v>
          </cell>
          <cell r="S3230">
            <v>263.73</v>
          </cell>
          <cell r="X3230" t="str">
            <v>Commissions - gross</v>
          </cell>
          <cell r="Y3230" t="str">
            <v>GERMANY</v>
          </cell>
        </row>
        <row r="3231">
          <cell r="L3231" t="str">
            <v>Non-proportional</v>
          </cell>
          <cell r="S3231">
            <v>1611.28</v>
          </cell>
          <cell r="X3231" t="str">
            <v>Commissions - gross</v>
          </cell>
          <cell r="Y3231" t="str">
            <v>EUROPE</v>
          </cell>
        </row>
        <row r="3232">
          <cell r="L3232" t="str">
            <v>Non-proportional</v>
          </cell>
          <cell r="S3232">
            <v>1990.88</v>
          </cell>
          <cell r="X3232" t="str">
            <v>Commissions - gross</v>
          </cell>
          <cell r="Y3232" t="str">
            <v>UNITED KINGDOM</v>
          </cell>
        </row>
        <row r="3233">
          <cell r="L3233" t="str">
            <v>Non-proportional</v>
          </cell>
          <cell r="S3233">
            <v>1890</v>
          </cell>
          <cell r="X3233" t="str">
            <v>Commissions - gross</v>
          </cell>
          <cell r="Y3233" t="str">
            <v>ROMANIA</v>
          </cell>
        </row>
        <row r="3234">
          <cell r="L3234" t="str">
            <v>Non-proportional</v>
          </cell>
          <cell r="S3234">
            <v>956.7</v>
          </cell>
          <cell r="X3234" t="str">
            <v>Commissions - gross</v>
          </cell>
          <cell r="Y3234" t="str">
            <v>SLOVENIA</v>
          </cell>
        </row>
        <row r="3235">
          <cell r="L3235" t="str">
            <v>Proportional</v>
          </cell>
          <cell r="S3235">
            <v>236.04</v>
          </cell>
          <cell r="X3235" t="str">
            <v>Commissions - gross</v>
          </cell>
          <cell r="Y3235" t="str">
            <v>UNITED STATES</v>
          </cell>
        </row>
        <row r="3236">
          <cell r="L3236" t="str">
            <v>Non-proportional</v>
          </cell>
          <cell r="S3236">
            <v>6495.3</v>
          </cell>
          <cell r="X3236" t="str">
            <v>Commissions - gross</v>
          </cell>
          <cell r="Y3236" t="str">
            <v>REPUBLIC OF IRELAND</v>
          </cell>
        </row>
        <row r="3237">
          <cell r="L3237" t="str">
            <v>Non-proportional</v>
          </cell>
          <cell r="S3237">
            <v>791.67</v>
          </cell>
          <cell r="X3237" t="str">
            <v>Commissions - gross</v>
          </cell>
          <cell r="Y3237" t="str">
            <v>GERMANY</v>
          </cell>
        </row>
        <row r="3238">
          <cell r="L3238" t="str">
            <v>Non-proportional</v>
          </cell>
          <cell r="S3238">
            <v>1629.09</v>
          </cell>
          <cell r="X3238" t="str">
            <v>Commissions - gross</v>
          </cell>
          <cell r="Y3238" t="str">
            <v>UNITED KINGDOM</v>
          </cell>
        </row>
        <row r="3239">
          <cell r="L3239" t="str">
            <v>Non-proportional</v>
          </cell>
          <cell r="S3239">
            <v>407.81</v>
          </cell>
          <cell r="X3239" t="str">
            <v>Commissions - gross</v>
          </cell>
          <cell r="Y3239" t="str">
            <v>SWITZERLAND</v>
          </cell>
        </row>
        <row r="3240">
          <cell r="L3240" t="str">
            <v>Non-proportional</v>
          </cell>
          <cell r="S3240">
            <v>708.35</v>
          </cell>
          <cell r="X3240" t="str">
            <v>Commissions - gross</v>
          </cell>
          <cell r="Y3240" t="str">
            <v>NORWAY</v>
          </cell>
        </row>
        <row r="3241">
          <cell r="L3241" t="str">
            <v>Non-proportional</v>
          </cell>
          <cell r="S3241">
            <v>1105.3399999999999</v>
          </cell>
          <cell r="X3241" t="str">
            <v>Commissions - gross</v>
          </cell>
          <cell r="Y3241" t="str">
            <v>DENMARK</v>
          </cell>
        </row>
        <row r="3242">
          <cell r="L3242" t="str">
            <v>Non-proportional</v>
          </cell>
          <cell r="S3242">
            <v>245.75</v>
          </cell>
          <cell r="X3242" t="str">
            <v>Commissions - gross</v>
          </cell>
          <cell r="Y3242" t="str">
            <v>JAPAN</v>
          </cell>
        </row>
        <row r="3243">
          <cell r="L3243" t="str">
            <v>Non-proportional</v>
          </cell>
          <cell r="S3243">
            <v>54.83</v>
          </cell>
          <cell r="X3243" t="str">
            <v>Commissions - gross</v>
          </cell>
          <cell r="Y3243" t="str">
            <v>REPUBLIC OF IRELAND</v>
          </cell>
        </row>
        <row r="3244">
          <cell r="L3244" t="str">
            <v>Non-proportional</v>
          </cell>
          <cell r="S3244">
            <v>1532.92</v>
          </cell>
          <cell r="X3244" t="str">
            <v>Commissions - gross</v>
          </cell>
          <cell r="Y3244" t="str">
            <v>ITALY</v>
          </cell>
        </row>
        <row r="3245">
          <cell r="L3245" t="str">
            <v>Non-proportional</v>
          </cell>
          <cell r="S3245">
            <v>83.68</v>
          </cell>
          <cell r="X3245" t="str">
            <v>Commissions - gross</v>
          </cell>
          <cell r="Y3245" t="str">
            <v>DENMARK</v>
          </cell>
        </row>
        <row r="3246">
          <cell r="L3246" t="str">
            <v>Non-proportional</v>
          </cell>
          <cell r="S3246">
            <v>836.96</v>
          </cell>
          <cell r="X3246" t="str">
            <v>Commissions - gross</v>
          </cell>
          <cell r="Y3246" t="str">
            <v>GERMANY</v>
          </cell>
        </row>
        <row r="3247">
          <cell r="L3247" t="str">
            <v>Non-proportional</v>
          </cell>
          <cell r="S3247">
            <v>411.21</v>
          </cell>
          <cell r="X3247" t="str">
            <v>Commissions - gross</v>
          </cell>
          <cell r="Y3247" t="str">
            <v>AUSTRIA</v>
          </cell>
        </row>
        <row r="3248">
          <cell r="L3248" t="str">
            <v>Non-proportional</v>
          </cell>
          <cell r="S3248">
            <v>175.15</v>
          </cell>
          <cell r="X3248" t="str">
            <v>Commissions - gross</v>
          </cell>
          <cell r="Y3248" t="str">
            <v>REPUBLIC OF IRELAND</v>
          </cell>
        </row>
        <row r="3249">
          <cell r="L3249" t="str">
            <v>Non-proportional</v>
          </cell>
          <cell r="S3249">
            <v>1992.02</v>
          </cell>
          <cell r="X3249" t="str">
            <v>Commissions - gross</v>
          </cell>
          <cell r="Y3249" t="str">
            <v>FRANCE</v>
          </cell>
        </row>
        <row r="3250">
          <cell r="L3250" t="str">
            <v>Non-proportional</v>
          </cell>
          <cell r="S3250">
            <v>8.33</v>
          </cell>
          <cell r="X3250" t="str">
            <v>Commissions - gross</v>
          </cell>
          <cell r="Y3250" t="str">
            <v>FRANCE</v>
          </cell>
        </row>
        <row r="3251">
          <cell r="L3251" t="str">
            <v>Non-proportional</v>
          </cell>
          <cell r="S3251">
            <v>68.25</v>
          </cell>
          <cell r="X3251" t="str">
            <v>Commissions - gross</v>
          </cell>
          <cell r="Y3251" t="str">
            <v>SWITZERLAND</v>
          </cell>
        </row>
        <row r="3252">
          <cell r="L3252" t="str">
            <v>Non-proportional</v>
          </cell>
          <cell r="S3252">
            <v>5.23</v>
          </cell>
          <cell r="X3252" t="str">
            <v>Commissions - gross</v>
          </cell>
          <cell r="Y3252" t="str">
            <v>UNITED ARAB EMIRATES</v>
          </cell>
        </row>
        <row r="3253">
          <cell r="L3253" t="str">
            <v>Non-proportional</v>
          </cell>
          <cell r="S3253">
            <v>1206.76</v>
          </cell>
          <cell r="X3253" t="str">
            <v>Commissions - gross</v>
          </cell>
          <cell r="Y3253" t="str">
            <v>UNITED KINGDOM</v>
          </cell>
        </row>
        <row r="3254">
          <cell r="L3254" t="str">
            <v>Non-proportional</v>
          </cell>
          <cell r="S3254">
            <v>-0.42</v>
          </cell>
          <cell r="X3254" t="str">
            <v>Commissions - gross</v>
          </cell>
          <cell r="Y3254" t="str">
            <v>DENMARK</v>
          </cell>
        </row>
        <row r="3255">
          <cell r="L3255" t="str">
            <v>Non-proportional</v>
          </cell>
          <cell r="S3255">
            <v>536.87</v>
          </cell>
          <cell r="X3255" t="str">
            <v>Commissions - gross</v>
          </cell>
          <cell r="Y3255" t="str">
            <v>DENMARK</v>
          </cell>
        </row>
        <row r="3256">
          <cell r="L3256" t="str">
            <v>Non-proportional</v>
          </cell>
          <cell r="S3256">
            <v>112.23</v>
          </cell>
          <cell r="X3256" t="str">
            <v>Commissions - gross</v>
          </cell>
          <cell r="Y3256" t="str">
            <v>ITALY</v>
          </cell>
        </row>
        <row r="3257">
          <cell r="L3257" t="str">
            <v>Non-proportional</v>
          </cell>
          <cell r="S3257">
            <v>1463.2</v>
          </cell>
          <cell r="X3257" t="str">
            <v>Commissions - gross</v>
          </cell>
          <cell r="Y3257" t="str">
            <v>GERMANY</v>
          </cell>
        </row>
        <row r="3258">
          <cell r="L3258" t="str">
            <v>Non-proportional</v>
          </cell>
          <cell r="S3258">
            <v>2075.86</v>
          </cell>
          <cell r="X3258" t="str">
            <v>Commissions - gross</v>
          </cell>
          <cell r="Y3258" t="str">
            <v>EIRE</v>
          </cell>
        </row>
        <row r="3259">
          <cell r="L3259" t="str">
            <v>Proportional</v>
          </cell>
          <cell r="S3259">
            <v>-3459.36</v>
          </cell>
          <cell r="X3259" t="str">
            <v>Commissions - gross</v>
          </cell>
          <cell r="Y3259" t="str">
            <v>GERMANY</v>
          </cell>
        </row>
        <row r="3260">
          <cell r="L3260" t="str">
            <v>Non-proportional</v>
          </cell>
          <cell r="S3260">
            <v>3756.51</v>
          </cell>
          <cell r="X3260" t="str">
            <v>Commissions - gross</v>
          </cell>
          <cell r="Y3260" t="str">
            <v>UNITED KINGDOM</v>
          </cell>
        </row>
        <row r="3261">
          <cell r="L3261" t="str">
            <v>Non-proportional</v>
          </cell>
          <cell r="S3261">
            <v>35.17</v>
          </cell>
          <cell r="X3261" t="str">
            <v>Commissions - gross</v>
          </cell>
          <cell r="Y3261" t="str">
            <v>GERMANY</v>
          </cell>
        </row>
        <row r="3262">
          <cell r="L3262" t="str">
            <v>Non-proportional</v>
          </cell>
          <cell r="S3262">
            <v>1.57</v>
          </cell>
          <cell r="X3262" t="str">
            <v>Commissions - gross</v>
          </cell>
          <cell r="Y3262" t="str">
            <v>NORWAY</v>
          </cell>
        </row>
        <row r="3263">
          <cell r="L3263" t="str">
            <v>Non-proportional</v>
          </cell>
          <cell r="S3263">
            <v>2385.42</v>
          </cell>
          <cell r="X3263" t="str">
            <v>Commissions - gross</v>
          </cell>
          <cell r="Y3263" t="str">
            <v>AUSTRIA</v>
          </cell>
        </row>
        <row r="3264">
          <cell r="L3264" t="str">
            <v>Non-proportional</v>
          </cell>
          <cell r="S3264">
            <v>34.5</v>
          </cell>
          <cell r="X3264" t="str">
            <v>Commissions - gross</v>
          </cell>
          <cell r="Y3264" t="str">
            <v>ITALY</v>
          </cell>
        </row>
        <row r="3265">
          <cell r="L3265" t="str">
            <v>Non-proportional</v>
          </cell>
          <cell r="S3265">
            <v>1079.71</v>
          </cell>
          <cell r="X3265" t="str">
            <v>Commissions - gross</v>
          </cell>
          <cell r="Y3265" t="str">
            <v>UNITED KINGDOM</v>
          </cell>
        </row>
        <row r="3266">
          <cell r="L3266" t="str">
            <v>Non-proportional</v>
          </cell>
          <cell r="S3266">
            <v>482.69</v>
          </cell>
          <cell r="X3266" t="str">
            <v>Commissions - gross</v>
          </cell>
          <cell r="Y3266" t="str">
            <v>UNITED KINGDOM</v>
          </cell>
        </row>
        <row r="3267">
          <cell r="L3267" t="str">
            <v>Non-proportional</v>
          </cell>
          <cell r="S3267">
            <v>1357.58</v>
          </cell>
          <cell r="X3267" t="str">
            <v>Commissions - gross</v>
          </cell>
          <cell r="Y3267" t="str">
            <v>UNITED KINGDOM</v>
          </cell>
        </row>
        <row r="3268">
          <cell r="L3268" t="str">
            <v>Non-proportional</v>
          </cell>
          <cell r="S3268">
            <v>687.19</v>
          </cell>
          <cell r="X3268" t="str">
            <v>Commissions - gross</v>
          </cell>
          <cell r="Y3268" t="str">
            <v>GERMANY</v>
          </cell>
        </row>
        <row r="3269">
          <cell r="L3269" t="str">
            <v>Non-proportional</v>
          </cell>
          <cell r="S3269">
            <v>206.53</v>
          </cell>
          <cell r="X3269" t="str">
            <v>Commissions - gross</v>
          </cell>
          <cell r="Y3269" t="str">
            <v>EUROPE</v>
          </cell>
        </row>
        <row r="3270">
          <cell r="L3270" t="str">
            <v>Non-proportional</v>
          </cell>
          <cell r="S3270">
            <v>730.02</v>
          </cell>
          <cell r="X3270" t="str">
            <v>Commissions - gross</v>
          </cell>
          <cell r="Y3270" t="str">
            <v>FAROE ISLANDS</v>
          </cell>
        </row>
        <row r="3271">
          <cell r="L3271" t="str">
            <v>Non-proportional</v>
          </cell>
          <cell r="S3271">
            <v>140.16999999999999</v>
          </cell>
          <cell r="X3271" t="str">
            <v>Commissions - gross</v>
          </cell>
          <cell r="Y3271" t="str">
            <v>GERMANY</v>
          </cell>
        </row>
        <row r="3272">
          <cell r="L3272" t="str">
            <v>Non-proportional</v>
          </cell>
          <cell r="S3272">
            <v>149.99</v>
          </cell>
          <cell r="X3272" t="str">
            <v>Commissions - gross</v>
          </cell>
          <cell r="Y3272" t="str">
            <v>JAPAN</v>
          </cell>
        </row>
        <row r="3273">
          <cell r="L3273" t="str">
            <v>Non-proportional</v>
          </cell>
          <cell r="S3273">
            <v>883.77</v>
          </cell>
          <cell r="X3273" t="str">
            <v>Commissions - gross</v>
          </cell>
          <cell r="Y3273" t="str">
            <v>GERMANY</v>
          </cell>
        </row>
        <row r="3274">
          <cell r="L3274" t="str">
            <v>Non-proportional</v>
          </cell>
          <cell r="S3274">
            <v>585.88</v>
          </cell>
          <cell r="X3274" t="str">
            <v>Commissions - gross</v>
          </cell>
          <cell r="Y3274" t="str">
            <v>UNITED STATES</v>
          </cell>
        </row>
        <row r="3275">
          <cell r="L3275" t="str">
            <v>Non-proportional</v>
          </cell>
          <cell r="S3275">
            <v>7826.26</v>
          </cell>
          <cell r="X3275" t="str">
            <v>Commissions - gross</v>
          </cell>
          <cell r="Y3275" t="str">
            <v>UNITED KINGDOM</v>
          </cell>
        </row>
        <row r="3276">
          <cell r="L3276" t="str">
            <v>Non-proportional</v>
          </cell>
          <cell r="S3276">
            <v>30.08</v>
          </cell>
          <cell r="X3276" t="str">
            <v>Commissions - gross</v>
          </cell>
          <cell r="Y3276" t="str">
            <v>ITALY</v>
          </cell>
        </row>
        <row r="3277">
          <cell r="L3277" t="str">
            <v>Non-proportional</v>
          </cell>
          <cell r="S3277">
            <v>3854.79</v>
          </cell>
          <cell r="X3277" t="str">
            <v>Commissions - gross</v>
          </cell>
          <cell r="Y3277" t="str">
            <v>UNITED KINGDOM</v>
          </cell>
        </row>
        <row r="3278">
          <cell r="L3278" t="str">
            <v>Non-proportional</v>
          </cell>
          <cell r="S3278">
            <v>12913.73</v>
          </cell>
          <cell r="X3278" t="str">
            <v>Commissions - gross</v>
          </cell>
          <cell r="Y3278" t="str">
            <v>UNITED KINGDOM</v>
          </cell>
        </row>
        <row r="3279">
          <cell r="L3279" t="str">
            <v>Non-proportional</v>
          </cell>
          <cell r="S3279">
            <v>87.34</v>
          </cell>
          <cell r="X3279" t="str">
            <v>Commissions - gross</v>
          </cell>
          <cell r="Y3279" t="str">
            <v>GERMANY</v>
          </cell>
        </row>
        <row r="3280">
          <cell r="L3280" t="str">
            <v>Non-proportional</v>
          </cell>
          <cell r="S3280">
            <v>57.5</v>
          </cell>
          <cell r="X3280" t="str">
            <v>Commissions - gross</v>
          </cell>
          <cell r="Y3280" t="str">
            <v>ITALY</v>
          </cell>
        </row>
        <row r="3281">
          <cell r="L3281" t="str">
            <v>Non-proportional</v>
          </cell>
          <cell r="S3281">
            <v>581.36</v>
          </cell>
          <cell r="X3281" t="str">
            <v>Commissions - gross</v>
          </cell>
          <cell r="Y3281" t="str">
            <v>UNITED KINGDOM</v>
          </cell>
        </row>
        <row r="3282">
          <cell r="L3282" t="str">
            <v>Non-proportional</v>
          </cell>
          <cell r="S3282">
            <v>4375</v>
          </cell>
          <cell r="X3282" t="str">
            <v>Commissions - gross</v>
          </cell>
          <cell r="Y3282" t="str">
            <v>GERMANY</v>
          </cell>
        </row>
        <row r="3283">
          <cell r="L3283" t="str">
            <v>Non-proportional</v>
          </cell>
          <cell r="S3283">
            <v>10701.26</v>
          </cell>
          <cell r="X3283" t="str">
            <v>Commissions - gross</v>
          </cell>
          <cell r="Y3283" t="str">
            <v>UNITED KINGDOM</v>
          </cell>
        </row>
        <row r="3284">
          <cell r="L3284" t="str">
            <v>Non-proportional</v>
          </cell>
          <cell r="S3284">
            <v>250.06</v>
          </cell>
          <cell r="X3284" t="str">
            <v>Commissions - gross</v>
          </cell>
          <cell r="Y3284" t="str">
            <v>GERMANY</v>
          </cell>
        </row>
        <row r="3285">
          <cell r="L3285" t="str">
            <v>Non-proportional</v>
          </cell>
          <cell r="S3285">
            <v>75</v>
          </cell>
          <cell r="X3285" t="str">
            <v>Commissions - gross</v>
          </cell>
          <cell r="Y3285" t="str">
            <v>GERMANY</v>
          </cell>
        </row>
        <row r="3286">
          <cell r="L3286" t="str">
            <v>Non-proportional</v>
          </cell>
          <cell r="S3286">
            <v>2041.67</v>
          </cell>
          <cell r="X3286" t="str">
            <v>Commissions - gross</v>
          </cell>
          <cell r="Y3286" t="str">
            <v>GERMANY</v>
          </cell>
        </row>
        <row r="3287">
          <cell r="L3287" t="str">
            <v>Non-proportional</v>
          </cell>
          <cell r="S3287">
            <v>2997.59</v>
          </cell>
          <cell r="X3287" t="str">
            <v>Commissions - gross</v>
          </cell>
          <cell r="Y3287" t="str">
            <v>UNITED KINGDOM</v>
          </cell>
        </row>
        <row r="3288">
          <cell r="L3288" t="str">
            <v>Non-proportional</v>
          </cell>
          <cell r="S3288">
            <v>379</v>
          </cell>
          <cell r="X3288" t="str">
            <v>Commissions - gross</v>
          </cell>
          <cell r="Y3288" t="str">
            <v>REPUBLIC OF IRELAND</v>
          </cell>
        </row>
        <row r="3289">
          <cell r="L3289" t="str">
            <v>Non-proportional</v>
          </cell>
          <cell r="S3289">
            <v>861.71</v>
          </cell>
          <cell r="X3289" t="str">
            <v>Commissions - gross</v>
          </cell>
          <cell r="Y3289" t="str">
            <v>UNITED KINGDOM</v>
          </cell>
        </row>
        <row r="3290">
          <cell r="L3290" t="str">
            <v>Non-proportional</v>
          </cell>
          <cell r="S3290">
            <v>231.84</v>
          </cell>
          <cell r="X3290" t="str">
            <v>Commissions - gross</v>
          </cell>
          <cell r="Y3290" t="str">
            <v>UNITED ARAB EMIRATES</v>
          </cell>
        </row>
        <row r="3291">
          <cell r="L3291" t="str">
            <v>Non-proportional</v>
          </cell>
          <cell r="S3291">
            <v>3913.11</v>
          </cell>
          <cell r="X3291" t="str">
            <v>Commissions - gross</v>
          </cell>
          <cell r="Y3291" t="str">
            <v>UNITED KINGDOM</v>
          </cell>
        </row>
        <row r="3292">
          <cell r="L3292" t="str">
            <v>Non-proportional</v>
          </cell>
          <cell r="S3292">
            <v>580.27</v>
          </cell>
          <cell r="X3292" t="str">
            <v>Commissions - gross</v>
          </cell>
          <cell r="Y3292" t="str">
            <v>DENMARK</v>
          </cell>
        </row>
        <row r="3293">
          <cell r="L3293" t="str">
            <v>Non-proportional</v>
          </cell>
          <cell r="S3293">
            <v>1145.8599999999999</v>
          </cell>
          <cell r="X3293" t="str">
            <v>Commissions - gross</v>
          </cell>
          <cell r="Y3293" t="str">
            <v>SWITZERLAND</v>
          </cell>
        </row>
        <row r="3294">
          <cell r="L3294" t="str">
            <v>Non-proportional</v>
          </cell>
          <cell r="S3294">
            <v>2070.71</v>
          </cell>
          <cell r="X3294" t="str">
            <v>Commissions - gross</v>
          </cell>
          <cell r="Y3294" t="str">
            <v>EUROPE</v>
          </cell>
        </row>
        <row r="3295">
          <cell r="L3295" t="str">
            <v>Non-proportional</v>
          </cell>
          <cell r="S3295">
            <v>663.84</v>
          </cell>
          <cell r="X3295" t="str">
            <v>Commissions - gross</v>
          </cell>
          <cell r="Y3295" t="str">
            <v>EUROPE</v>
          </cell>
        </row>
        <row r="3296">
          <cell r="L3296" t="str">
            <v>Non-proportional</v>
          </cell>
          <cell r="S3296">
            <v>337.38</v>
          </cell>
          <cell r="X3296" t="str">
            <v>Commissions - gross</v>
          </cell>
          <cell r="Y3296" t="str">
            <v>ICELAND</v>
          </cell>
        </row>
        <row r="3297">
          <cell r="L3297" t="str">
            <v>Non-proportional</v>
          </cell>
          <cell r="S3297">
            <v>1289.6500000000001</v>
          </cell>
          <cell r="X3297" t="str">
            <v>Commissions - gross</v>
          </cell>
          <cell r="Y3297" t="str">
            <v>UNITED KINGDOM</v>
          </cell>
        </row>
        <row r="3298">
          <cell r="L3298" t="str">
            <v>Non-proportional</v>
          </cell>
          <cell r="S3298">
            <v>899.99</v>
          </cell>
          <cell r="X3298" t="str">
            <v>Commissions - gross</v>
          </cell>
          <cell r="Y3298" t="str">
            <v>GERMANY</v>
          </cell>
        </row>
        <row r="3299">
          <cell r="L3299" t="str">
            <v>Non-proportional</v>
          </cell>
          <cell r="S3299">
            <v>123.72</v>
          </cell>
          <cell r="X3299" t="str">
            <v>Commissions - gross</v>
          </cell>
          <cell r="Y3299" t="str">
            <v>UNITED KINGDOM</v>
          </cell>
        </row>
        <row r="3300">
          <cell r="L3300" t="str">
            <v>Non-proportional</v>
          </cell>
          <cell r="S3300">
            <v>1.01</v>
          </cell>
          <cell r="X3300" t="str">
            <v>Commissions - gross</v>
          </cell>
          <cell r="Y3300" t="str">
            <v>JAPAN</v>
          </cell>
        </row>
        <row r="3301">
          <cell r="L3301" t="str">
            <v>Non-proportional</v>
          </cell>
          <cell r="S3301">
            <v>150.91</v>
          </cell>
          <cell r="X3301" t="str">
            <v>Commissions - gross</v>
          </cell>
          <cell r="Y3301" t="str">
            <v>GERMANY</v>
          </cell>
        </row>
        <row r="3302">
          <cell r="L3302" t="str">
            <v>Non-proportional</v>
          </cell>
          <cell r="S3302">
            <v>777.08</v>
          </cell>
          <cell r="X3302" t="str">
            <v>Commissions - gross</v>
          </cell>
          <cell r="Y3302" t="str">
            <v>FRANCE</v>
          </cell>
        </row>
        <row r="3303">
          <cell r="L3303" t="str">
            <v>Non-proportional</v>
          </cell>
          <cell r="S3303">
            <v>2677.39</v>
          </cell>
          <cell r="X3303" t="str">
            <v>Commissions - gross</v>
          </cell>
          <cell r="Y3303" t="str">
            <v>UNITED KINGDOM</v>
          </cell>
        </row>
        <row r="3304">
          <cell r="L3304" t="str">
            <v>Non-proportional</v>
          </cell>
          <cell r="S3304">
            <v>726.05</v>
          </cell>
          <cell r="X3304" t="str">
            <v>Commissions - gross</v>
          </cell>
          <cell r="Y3304" t="str">
            <v>NORWAY</v>
          </cell>
        </row>
        <row r="3305">
          <cell r="L3305" t="str">
            <v>Non-proportional</v>
          </cell>
          <cell r="S3305">
            <v>1664.36</v>
          </cell>
          <cell r="X3305" t="str">
            <v>Commissions - gross</v>
          </cell>
          <cell r="Y3305" t="str">
            <v>FRANCE</v>
          </cell>
        </row>
        <row r="3306">
          <cell r="L3306" t="str">
            <v>Non-proportional</v>
          </cell>
          <cell r="S3306">
            <v>2941.67</v>
          </cell>
          <cell r="X3306" t="str">
            <v>Commissions - gross</v>
          </cell>
          <cell r="Y3306" t="str">
            <v>EUROPE</v>
          </cell>
        </row>
        <row r="3307">
          <cell r="L3307" t="str">
            <v>Proportional</v>
          </cell>
          <cell r="S3307">
            <v>249.6</v>
          </cell>
          <cell r="X3307" t="str">
            <v>Commissions - gross</v>
          </cell>
          <cell r="Y3307" t="str">
            <v>EUROPE</v>
          </cell>
        </row>
        <row r="3308">
          <cell r="L3308" t="str">
            <v>Non-proportional</v>
          </cell>
          <cell r="S3308">
            <v>807.28</v>
          </cell>
          <cell r="X3308" t="str">
            <v>Commissions - gross</v>
          </cell>
          <cell r="Y3308" t="str">
            <v>GERMANY</v>
          </cell>
        </row>
        <row r="3309">
          <cell r="L3309" t="str">
            <v>Non-proportional</v>
          </cell>
          <cell r="S3309">
            <v>1880.73</v>
          </cell>
          <cell r="X3309" t="str">
            <v>Commissions - gross</v>
          </cell>
          <cell r="Y3309" t="str">
            <v>REPUBLIC OF IRELAND</v>
          </cell>
        </row>
        <row r="3310">
          <cell r="L3310" t="str">
            <v>Non-proportional</v>
          </cell>
          <cell r="S3310">
            <v>3372.64</v>
          </cell>
          <cell r="X3310" t="str">
            <v>Commissions - gross</v>
          </cell>
          <cell r="Y3310" t="str">
            <v>FRANCE</v>
          </cell>
        </row>
        <row r="3311">
          <cell r="L3311" t="str">
            <v>Non-proportional</v>
          </cell>
          <cell r="S3311">
            <v>5519.84</v>
          </cell>
          <cell r="X3311" t="str">
            <v>Commissions - gross</v>
          </cell>
          <cell r="Y3311" t="str">
            <v>UNITED KINGDOM</v>
          </cell>
        </row>
        <row r="3312">
          <cell r="L3312" t="str">
            <v>Non-proportional</v>
          </cell>
          <cell r="S3312">
            <v>67.69</v>
          </cell>
          <cell r="X3312" t="str">
            <v>Commissions - gross</v>
          </cell>
          <cell r="Y3312" t="str">
            <v>JAPAN</v>
          </cell>
        </row>
        <row r="3313">
          <cell r="L3313" t="str">
            <v>Non-proportional</v>
          </cell>
          <cell r="S3313">
            <v>237.52</v>
          </cell>
          <cell r="X3313" t="str">
            <v>Commissions - gross</v>
          </cell>
          <cell r="Y3313" t="str">
            <v>UNITED KINGDOM</v>
          </cell>
        </row>
        <row r="3314">
          <cell r="L3314" t="str">
            <v>Non-proportional</v>
          </cell>
          <cell r="S3314">
            <v>1288.78</v>
          </cell>
          <cell r="X3314" t="str">
            <v>Commissions - gross</v>
          </cell>
          <cell r="Y3314" t="str">
            <v>UNITED KINGDOM</v>
          </cell>
        </row>
        <row r="3315">
          <cell r="L3315" t="str">
            <v>Non-proportional</v>
          </cell>
          <cell r="S3315">
            <v>12525.35</v>
          </cell>
          <cell r="X3315" t="str">
            <v>Commissions - gross</v>
          </cell>
          <cell r="Y3315" t="str">
            <v>UNITED KINGDOM</v>
          </cell>
        </row>
        <row r="3316">
          <cell r="L3316" t="str">
            <v>Non-proportional</v>
          </cell>
          <cell r="S3316">
            <v>4081.54</v>
          </cell>
          <cell r="X3316" t="str">
            <v>Commissions - gross</v>
          </cell>
          <cell r="Y3316" t="str">
            <v>UNITED KINGDOM</v>
          </cell>
        </row>
        <row r="3317">
          <cell r="L3317" t="str">
            <v>Non-proportional</v>
          </cell>
          <cell r="S3317">
            <v>1509.18</v>
          </cell>
          <cell r="X3317" t="str">
            <v>Commissions - gross</v>
          </cell>
          <cell r="Y3317" t="str">
            <v>SWITZERLAND</v>
          </cell>
        </row>
        <row r="3318">
          <cell r="L3318" t="str">
            <v>Non-proportional</v>
          </cell>
          <cell r="S3318">
            <v>834.72</v>
          </cell>
          <cell r="X3318" t="str">
            <v>Commissions - gross</v>
          </cell>
          <cell r="Y3318" t="str">
            <v>DENMARK</v>
          </cell>
        </row>
        <row r="3319">
          <cell r="L3319" t="str">
            <v>Non-proportional</v>
          </cell>
          <cell r="S3319">
            <v>645.83000000000004</v>
          </cell>
          <cell r="X3319" t="str">
            <v>Commissions - gross</v>
          </cell>
          <cell r="Y3319" t="str">
            <v>AUSTRIA</v>
          </cell>
        </row>
        <row r="3320">
          <cell r="L3320" t="str">
            <v>Non-proportional</v>
          </cell>
          <cell r="S3320">
            <v>210.59</v>
          </cell>
          <cell r="X3320" t="str">
            <v>Commissions - gross</v>
          </cell>
          <cell r="Y3320" t="str">
            <v>SWITZERLAND</v>
          </cell>
        </row>
        <row r="3321">
          <cell r="L3321" t="str">
            <v>Non-proportional</v>
          </cell>
          <cell r="S3321">
            <v>625</v>
          </cell>
          <cell r="X3321" t="str">
            <v>Commissions - gross</v>
          </cell>
          <cell r="Y3321" t="str">
            <v>GERMANY</v>
          </cell>
        </row>
        <row r="3322">
          <cell r="L3322" t="str">
            <v>Non-proportional</v>
          </cell>
          <cell r="S3322">
            <v>110.8</v>
          </cell>
          <cell r="X3322" t="str">
            <v>Commissions - gross</v>
          </cell>
          <cell r="Y3322" t="str">
            <v>AUSTRIA</v>
          </cell>
        </row>
        <row r="3323">
          <cell r="L3323" t="str">
            <v>Non-proportional</v>
          </cell>
          <cell r="S3323">
            <v>534.12</v>
          </cell>
          <cell r="X3323" t="str">
            <v>Commissions - gross</v>
          </cell>
          <cell r="Y3323" t="str">
            <v>UNITED KINGDOM</v>
          </cell>
        </row>
        <row r="3324">
          <cell r="L3324" t="str">
            <v>Non-proportional</v>
          </cell>
          <cell r="S3324">
            <v>27316.9</v>
          </cell>
          <cell r="X3324" t="str">
            <v>Commissions - gross</v>
          </cell>
          <cell r="Y3324" t="str">
            <v>UNITED KINGDOM</v>
          </cell>
        </row>
        <row r="3325">
          <cell r="L3325" t="str">
            <v>Non-proportional</v>
          </cell>
          <cell r="S3325">
            <v>1897.38</v>
          </cell>
          <cell r="X3325" t="str">
            <v>Commissions - gross</v>
          </cell>
          <cell r="Y3325" t="str">
            <v>AUSTRIA</v>
          </cell>
        </row>
        <row r="3326">
          <cell r="L3326" t="str">
            <v>Non-proportional</v>
          </cell>
          <cell r="S3326">
            <v>2132.9699999999998</v>
          </cell>
          <cell r="X3326" t="str">
            <v>Commissions - gross</v>
          </cell>
          <cell r="Y3326" t="str">
            <v>SWITZERLAND</v>
          </cell>
        </row>
        <row r="3327">
          <cell r="L3327" t="str">
            <v>Non-proportional</v>
          </cell>
          <cell r="S3327">
            <v>760.42</v>
          </cell>
          <cell r="X3327" t="str">
            <v>Commissions - gross</v>
          </cell>
          <cell r="Y3327" t="str">
            <v>GERMANY</v>
          </cell>
        </row>
        <row r="3328">
          <cell r="L3328" t="str">
            <v>Non-proportional</v>
          </cell>
          <cell r="S3328">
            <v>823.95</v>
          </cell>
          <cell r="X3328" t="str">
            <v>Commissions - gross</v>
          </cell>
          <cell r="Y3328" t="str">
            <v>POLAND</v>
          </cell>
        </row>
        <row r="3329">
          <cell r="L3329" t="str">
            <v>Non-proportional</v>
          </cell>
          <cell r="S3329">
            <v>314.20999999999998</v>
          </cell>
          <cell r="X3329" t="str">
            <v>Commissions - gross</v>
          </cell>
          <cell r="Y3329" t="str">
            <v>UNITED KINGDOM</v>
          </cell>
        </row>
        <row r="3330">
          <cell r="L3330" t="str">
            <v>Non-proportional</v>
          </cell>
          <cell r="S3330">
            <v>2570.4299999999998</v>
          </cell>
          <cell r="X3330" t="str">
            <v>Commissions - gross</v>
          </cell>
          <cell r="Y3330" t="str">
            <v>UNITED KINGDOM</v>
          </cell>
        </row>
        <row r="3331">
          <cell r="L3331" t="str">
            <v>Non-proportional</v>
          </cell>
          <cell r="S3331">
            <v>368.75</v>
          </cell>
          <cell r="X3331" t="str">
            <v>Commissions - gross</v>
          </cell>
          <cell r="Y3331" t="str">
            <v>GERMANY</v>
          </cell>
        </row>
        <row r="3332">
          <cell r="L3332" t="str">
            <v>Non-proportional</v>
          </cell>
          <cell r="S3332">
            <v>1717.11</v>
          </cell>
          <cell r="X3332" t="str">
            <v>Commissions - gross</v>
          </cell>
          <cell r="Y3332" t="str">
            <v>SWITZERLAND</v>
          </cell>
        </row>
        <row r="3333">
          <cell r="L3333" t="str">
            <v>Non-proportional</v>
          </cell>
          <cell r="S3333">
            <v>1829.04</v>
          </cell>
          <cell r="X3333" t="str">
            <v>Commissions - gross</v>
          </cell>
          <cell r="Y3333" t="str">
            <v>UNITED KINGDOM</v>
          </cell>
        </row>
        <row r="3334">
          <cell r="L3334" t="str">
            <v>Proportional</v>
          </cell>
          <cell r="S3334">
            <v>101.36</v>
          </cell>
          <cell r="X3334" t="str">
            <v>Commissions - gross</v>
          </cell>
          <cell r="Y3334" t="str">
            <v>UNITED STATES</v>
          </cell>
        </row>
        <row r="3335">
          <cell r="L3335" t="str">
            <v>Non-proportional</v>
          </cell>
          <cell r="S3335">
            <v>1412</v>
          </cell>
          <cell r="X3335" t="str">
            <v>Commissions - gross</v>
          </cell>
          <cell r="Y3335" t="str">
            <v>AUSTRIA</v>
          </cell>
        </row>
        <row r="3336">
          <cell r="L3336" t="str">
            <v>Non-proportional</v>
          </cell>
          <cell r="S3336">
            <v>1181.5899999999999</v>
          </cell>
          <cell r="X3336" t="str">
            <v>Commissions - gross</v>
          </cell>
          <cell r="Y3336" t="str">
            <v>GERMANY</v>
          </cell>
        </row>
        <row r="3337">
          <cell r="L3337" t="str">
            <v>Non-proportional</v>
          </cell>
          <cell r="S3337">
            <v>2837.49</v>
          </cell>
          <cell r="X3337" t="str">
            <v>Commissions - gross</v>
          </cell>
          <cell r="Y3337" t="str">
            <v>UNITED KINGDOM</v>
          </cell>
        </row>
        <row r="3338">
          <cell r="L3338" t="str">
            <v>Non-proportional</v>
          </cell>
          <cell r="S3338">
            <v>750.16</v>
          </cell>
          <cell r="X3338" t="str">
            <v>Commissions - gross</v>
          </cell>
          <cell r="Y3338" t="str">
            <v>GERMANY</v>
          </cell>
        </row>
        <row r="3339">
          <cell r="L3339" t="str">
            <v>Non-proportional</v>
          </cell>
          <cell r="S3339">
            <v>2539.36</v>
          </cell>
          <cell r="X3339" t="str">
            <v>Commissions - gross</v>
          </cell>
          <cell r="Y3339" t="str">
            <v>GERMANY</v>
          </cell>
        </row>
        <row r="3340">
          <cell r="L3340" t="str">
            <v>Non-proportional</v>
          </cell>
          <cell r="S3340">
            <v>208.33</v>
          </cell>
          <cell r="X3340" t="str">
            <v>Commissions - gross</v>
          </cell>
          <cell r="Y3340" t="str">
            <v>GERMANY</v>
          </cell>
        </row>
        <row r="3341">
          <cell r="L3341" t="str">
            <v>Non-proportional</v>
          </cell>
          <cell r="S3341">
            <v>390.32</v>
          </cell>
          <cell r="X3341" t="str">
            <v>Commissions - gross</v>
          </cell>
          <cell r="Y3341" t="str">
            <v>NORWAY</v>
          </cell>
        </row>
        <row r="3342">
          <cell r="L3342" t="str">
            <v>Non-proportional</v>
          </cell>
          <cell r="S3342">
            <v>796.5</v>
          </cell>
          <cell r="X3342" t="str">
            <v>Commissions - gross</v>
          </cell>
          <cell r="Y3342" t="str">
            <v>GERMANY</v>
          </cell>
        </row>
        <row r="3343">
          <cell r="L3343" t="str">
            <v>Non-proportional</v>
          </cell>
          <cell r="S3343">
            <v>1221.5</v>
          </cell>
          <cell r="X3343" t="str">
            <v>Commissions - gross</v>
          </cell>
          <cell r="Y3343" t="str">
            <v>REPUBLIC OF IRELAND</v>
          </cell>
        </row>
        <row r="3344">
          <cell r="L3344" t="str">
            <v>Proportional</v>
          </cell>
          <cell r="S3344">
            <v>5189.03</v>
          </cell>
          <cell r="X3344" t="str">
            <v>Commissions - gross</v>
          </cell>
          <cell r="Y3344" t="str">
            <v>GERMANY</v>
          </cell>
        </row>
        <row r="3345">
          <cell r="L3345" t="str">
            <v>Non-proportional</v>
          </cell>
          <cell r="S3345">
            <v>498.47</v>
          </cell>
          <cell r="X3345" t="str">
            <v>Commissions - gross</v>
          </cell>
          <cell r="Y3345" t="str">
            <v>GERMANY</v>
          </cell>
        </row>
        <row r="3346">
          <cell r="L3346" t="str">
            <v>Non-proportional</v>
          </cell>
          <cell r="S3346">
            <v>-3.39</v>
          </cell>
          <cell r="X3346" t="str">
            <v>Commissions - gross</v>
          </cell>
          <cell r="Y3346" t="str">
            <v>POLAND</v>
          </cell>
        </row>
        <row r="3347">
          <cell r="L3347" t="str">
            <v>Non-proportional</v>
          </cell>
          <cell r="S3347">
            <v>774.74</v>
          </cell>
          <cell r="X3347" t="str">
            <v>Commissions - gross</v>
          </cell>
          <cell r="Y3347" t="str">
            <v>GERMANY</v>
          </cell>
        </row>
        <row r="3348">
          <cell r="L3348" t="str">
            <v>Non-proportional</v>
          </cell>
          <cell r="S3348">
            <v>4090.35</v>
          </cell>
          <cell r="X3348" t="str">
            <v>Commissions - gross</v>
          </cell>
          <cell r="Y3348" t="str">
            <v>GERMANY</v>
          </cell>
        </row>
        <row r="3349">
          <cell r="L3349" t="str">
            <v>Non-proportional</v>
          </cell>
          <cell r="S3349">
            <v>310.73</v>
          </cell>
          <cell r="X3349" t="str">
            <v>Commissions - gross</v>
          </cell>
          <cell r="Y3349" t="str">
            <v>GERMANY</v>
          </cell>
        </row>
        <row r="3350">
          <cell r="L3350" t="str">
            <v>Non-proportional</v>
          </cell>
          <cell r="S3350">
            <v>897.06</v>
          </cell>
          <cell r="X3350" t="str">
            <v>Commissions - gross</v>
          </cell>
          <cell r="Y3350" t="str">
            <v>GERMANY</v>
          </cell>
        </row>
        <row r="3351">
          <cell r="L3351" t="str">
            <v>Non-proportional</v>
          </cell>
          <cell r="S3351">
            <v>502.81</v>
          </cell>
          <cell r="X3351" t="str">
            <v>Commissions - gross</v>
          </cell>
          <cell r="Y3351" t="str">
            <v>UNITED ARAB EMIRATES</v>
          </cell>
        </row>
        <row r="3352">
          <cell r="L3352" t="str">
            <v>Non-proportional</v>
          </cell>
          <cell r="S3352">
            <v>912.9</v>
          </cell>
          <cell r="X3352" t="str">
            <v>Commissions - gross</v>
          </cell>
          <cell r="Y3352" t="str">
            <v>GERMANY</v>
          </cell>
        </row>
        <row r="3353">
          <cell r="L3353" t="str">
            <v>Non-proportional</v>
          </cell>
          <cell r="S3353">
            <v>1422.04</v>
          </cell>
          <cell r="X3353" t="str">
            <v>Commissions - gross</v>
          </cell>
          <cell r="Y3353" t="str">
            <v>POLAND</v>
          </cell>
        </row>
        <row r="3354">
          <cell r="L3354" t="str">
            <v>Non-proportional</v>
          </cell>
          <cell r="S3354">
            <v>4087.52</v>
          </cell>
          <cell r="X3354" t="str">
            <v>Commissions - gross</v>
          </cell>
          <cell r="Y3354" t="str">
            <v>SWITZERLAND</v>
          </cell>
        </row>
        <row r="3355">
          <cell r="L3355" t="str">
            <v>Non-proportional</v>
          </cell>
          <cell r="S3355">
            <v>603.75</v>
          </cell>
          <cell r="X3355" t="str">
            <v>Commissions - gross</v>
          </cell>
          <cell r="Y3355" t="str">
            <v>GERMANY</v>
          </cell>
        </row>
        <row r="3356">
          <cell r="L3356" t="str">
            <v>Non-proportional</v>
          </cell>
          <cell r="S3356">
            <v>648.04</v>
          </cell>
          <cell r="X3356" t="str">
            <v>Commissions - gross</v>
          </cell>
          <cell r="Y3356" t="str">
            <v>REPUBLIC OF IRELAND</v>
          </cell>
        </row>
        <row r="3357">
          <cell r="L3357" t="str">
            <v>Non-proportional</v>
          </cell>
          <cell r="S3357">
            <v>61.3</v>
          </cell>
          <cell r="X3357" t="str">
            <v>Commissions - gross</v>
          </cell>
          <cell r="Y3357" t="str">
            <v>REPUBLIC OF IRELAND</v>
          </cell>
        </row>
        <row r="3358">
          <cell r="L3358" t="str">
            <v>Non-proportional</v>
          </cell>
          <cell r="S3358">
            <v>457.31</v>
          </cell>
          <cell r="X3358" t="str">
            <v>Commissions - gross</v>
          </cell>
          <cell r="Y3358" t="str">
            <v>EUROPE</v>
          </cell>
        </row>
        <row r="3359">
          <cell r="L3359" t="str">
            <v>Non-proportional</v>
          </cell>
          <cell r="S3359">
            <v>5140.24</v>
          </cell>
          <cell r="X3359" t="str">
            <v>Commissions - gross</v>
          </cell>
          <cell r="Y3359" t="str">
            <v>UNITED KINGDOM</v>
          </cell>
        </row>
        <row r="3360">
          <cell r="L3360" t="str">
            <v>Non-proportional</v>
          </cell>
          <cell r="S3360">
            <v>271.27</v>
          </cell>
          <cell r="X3360" t="str">
            <v>Commissions - gross</v>
          </cell>
          <cell r="Y3360" t="str">
            <v>GERMANY</v>
          </cell>
        </row>
        <row r="3361">
          <cell r="L3361" t="str">
            <v>Proportional</v>
          </cell>
          <cell r="S3361">
            <v>1651.39</v>
          </cell>
          <cell r="X3361" t="str">
            <v>Commissions - gross</v>
          </cell>
          <cell r="Y3361" t="str">
            <v>SWITZERLAND</v>
          </cell>
        </row>
        <row r="3362">
          <cell r="L3362" t="str">
            <v>Non-proportional</v>
          </cell>
          <cell r="S3362">
            <v>11.34</v>
          </cell>
          <cell r="X3362" t="str">
            <v>Commissions - gross</v>
          </cell>
          <cell r="Y3362" t="str">
            <v>UNITED ARAB EMIRATES</v>
          </cell>
        </row>
        <row r="3363">
          <cell r="L3363" t="str">
            <v>Non-proportional</v>
          </cell>
          <cell r="S3363">
            <v>385</v>
          </cell>
          <cell r="X3363" t="str">
            <v>Commissions - gross</v>
          </cell>
          <cell r="Y3363" t="str">
            <v>GERMANY</v>
          </cell>
        </row>
        <row r="3364">
          <cell r="L3364" t="str">
            <v>Non-proportional</v>
          </cell>
          <cell r="S3364">
            <v>5708.56</v>
          </cell>
          <cell r="X3364" t="str">
            <v>Commissions - gross</v>
          </cell>
          <cell r="Y3364" t="str">
            <v>UNITED KINGDOM</v>
          </cell>
        </row>
        <row r="3365">
          <cell r="L3365" t="str">
            <v>Non-proportional</v>
          </cell>
          <cell r="S3365">
            <v>791.68</v>
          </cell>
          <cell r="X3365" t="str">
            <v>Commissions - gross</v>
          </cell>
          <cell r="Y3365" t="str">
            <v>GERMANY</v>
          </cell>
        </row>
        <row r="3366">
          <cell r="L3366" t="str">
            <v>Non-proportional</v>
          </cell>
          <cell r="S3366">
            <v>11.78</v>
          </cell>
          <cell r="X3366" t="str">
            <v>Commissions - gross</v>
          </cell>
          <cell r="Y3366" t="str">
            <v>FRANCE</v>
          </cell>
        </row>
        <row r="3367">
          <cell r="L3367" t="str">
            <v>Non-proportional</v>
          </cell>
          <cell r="S3367">
            <v>1182.55</v>
          </cell>
          <cell r="X3367" t="str">
            <v>Commissions - gross</v>
          </cell>
          <cell r="Y3367" t="str">
            <v>AUSTRIA</v>
          </cell>
        </row>
        <row r="3368">
          <cell r="L3368" t="str">
            <v>Non-proportional</v>
          </cell>
          <cell r="S3368">
            <v>1167.0999999999999</v>
          </cell>
          <cell r="X3368" t="str">
            <v>Commissions - gross</v>
          </cell>
          <cell r="Y3368" t="str">
            <v>SWITZERLAND</v>
          </cell>
        </row>
        <row r="3369">
          <cell r="L3369" t="str">
            <v>Non-proportional</v>
          </cell>
          <cell r="S3369">
            <v>86.56</v>
          </cell>
          <cell r="X3369" t="str">
            <v>Commissions - gross</v>
          </cell>
          <cell r="Y3369" t="str">
            <v>ITALY</v>
          </cell>
        </row>
        <row r="3370">
          <cell r="L3370" t="str">
            <v>Non-proportional</v>
          </cell>
          <cell r="S3370">
            <v>218.04</v>
          </cell>
          <cell r="X3370" t="str">
            <v>Commissions - gross</v>
          </cell>
          <cell r="Y3370" t="str">
            <v>SPAIN</v>
          </cell>
        </row>
        <row r="3371">
          <cell r="L3371" t="str">
            <v>Non-proportional</v>
          </cell>
          <cell r="S3371">
            <v>4294.54</v>
          </cell>
          <cell r="X3371" t="str">
            <v>Commissions - gross</v>
          </cell>
          <cell r="Y3371" t="str">
            <v>UNITED KINGDOM</v>
          </cell>
        </row>
        <row r="3372">
          <cell r="L3372" t="str">
            <v>Non-proportional</v>
          </cell>
          <cell r="S3372">
            <v>71.84</v>
          </cell>
          <cell r="X3372" t="str">
            <v>Commissions - gross</v>
          </cell>
          <cell r="Y3372" t="str">
            <v>ITALY</v>
          </cell>
        </row>
        <row r="3373">
          <cell r="L3373" t="str">
            <v>Non-proportional</v>
          </cell>
          <cell r="S3373">
            <v>606.69000000000005</v>
          </cell>
          <cell r="X3373" t="str">
            <v>Commissions - gross</v>
          </cell>
          <cell r="Y3373" t="str">
            <v>DENMARK</v>
          </cell>
        </row>
        <row r="3374">
          <cell r="L3374" t="str">
            <v>Non-proportional</v>
          </cell>
          <cell r="S3374">
            <v>752.51</v>
          </cell>
          <cell r="X3374" t="str">
            <v>Commissions - gross</v>
          </cell>
          <cell r="Y3374" t="str">
            <v>NORWAY</v>
          </cell>
        </row>
        <row r="3375">
          <cell r="L3375" t="str">
            <v>Non-proportional</v>
          </cell>
          <cell r="S3375">
            <v>895.51</v>
          </cell>
          <cell r="X3375" t="str">
            <v>Commissions - gross</v>
          </cell>
          <cell r="Y3375" t="str">
            <v>UNITED KINGDOM</v>
          </cell>
        </row>
        <row r="3376">
          <cell r="L3376" t="str">
            <v>Non-proportional</v>
          </cell>
          <cell r="S3376">
            <v>1648.92</v>
          </cell>
          <cell r="X3376" t="str">
            <v>Commissions - gross</v>
          </cell>
          <cell r="Y3376" t="str">
            <v>SWITZERLAND</v>
          </cell>
        </row>
        <row r="3377">
          <cell r="L3377" t="str">
            <v>Non-proportional</v>
          </cell>
          <cell r="S3377">
            <v>335.11</v>
          </cell>
          <cell r="X3377" t="str">
            <v>Commissions - gross</v>
          </cell>
          <cell r="Y3377" t="str">
            <v>UNITED KINGDOM</v>
          </cell>
        </row>
        <row r="3378">
          <cell r="L3378" t="str">
            <v>Non-proportional</v>
          </cell>
          <cell r="S3378">
            <v>526.23</v>
          </cell>
          <cell r="X3378" t="str">
            <v>Commissions - gross</v>
          </cell>
          <cell r="Y3378" t="str">
            <v>NORWAY</v>
          </cell>
        </row>
        <row r="3379">
          <cell r="L3379" t="str">
            <v>Non-proportional</v>
          </cell>
          <cell r="S3379">
            <v>677.42</v>
          </cell>
          <cell r="X3379" t="str">
            <v>Commissions - gross</v>
          </cell>
          <cell r="Y3379" t="str">
            <v>UNITED KINGDOM</v>
          </cell>
        </row>
        <row r="3380">
          <cell r="L3380" t="str">
            <v>Non-proportional</v>
          </cell>
          <cell r="S3380">
            <v>333.34</v>
          </cell>
          <cell r="X3380" t="str">
            <v>Commissions - gross</v>
          </cell>
          <cell r="Y3380" t="str">
            <v>ITALY</v>
          </cell>
        </row>
        <row r="3381">
          <cell r="L3381" t="str">
            <v>Non-proportional</v>
          </cell>
          <cell r="S3381">
            <v>339.25</v>
          </cell>
          <cell r="X3381" t="str">
            <v>Commissions - gross</v>
          </cell>
          <cell r="Y3381" t="str">
            <v>ITALY</v>
          </cell>
        </row>
        <row r="3382">
          <cell r="L3382" t="str">
            <v>Non-proportional</v>
          </cell>
          <cell r="S3382">
            <v>1227.3800000000001</v>
          </cell>
          <cell r="X3382" t="str">
            <v>Commissions - gross</v>
          </cell>
          <cell r="Y3382" t="str">
            <v>DENMARK</v>
          </cell>
        </row>
        <row r="3383">
          <cell r="L3383" t="str">
            <v>Non-proportional</v>
          </cell>
          <cell r="S3383">
            <v>884.49</v>
          </cell>
          <cell r="X3383" t="str">
            <v>Commissions - gross</v>
          </cell>
          <cell r="Y3383" t="str">
            <v>GERMANY</v>
          </cell>
        </row>
        <row r="3384">
          <cell r="L3384" t="str">
            <v>Non-proportional</v>
          </cell>
          <cell r="S3384">
            <v>359.92</v>
          </cell>
          <cell r="X3384" t="str">
            <v>Commissions - gross</v>
          </cell>
          <cell r="Y3384" t="str">
            <v>FAROE ISLANDS</v>
          </cell>
        </row>
        <row r="3385">
          <cell r="L3385" t="str">
            <v>Non-proportional</v>
          </cell>
          <cell r="S3385">
            <v>719.52</v>
          </cell>
          <cell r="X3385" t="str">
            <v>Commissions - gross</v>
          </cell>
          <cell r="Y3385" t="str">
            <v>DENMARK</v>
          </cell>
        </row>
        <row r="3386">
          <cell r="L3386" t="str">
            <v>Non-proportional</v>
          </cell>
          <cell r="S3386">
            <v>782.54</v>
          </cell>
          <cell r="X3386" t="str">
            <v>Commissions - gross</v>
          </cell>
          <cell r="Y3386" t="str">
            <v>SWITZERLAND</v>
          </cell>
        </row>
        <row r="3387">
          <cell r="L3387" t="str">
            <v>Non-proportional</v>
          </cell>
          <cell r="S3387">
            <v>78.099999999999994</v>
          </cell>
          <cell r="X3387" t="str">
            <v>Commissions - gross</v>
          </cell>
          <cell r="Y3387" t="str">
            <v>DENMARK</v>
          </cell>
        </row>
        <row r="3388">
          <cell r="L3388" t="str">
            <v>Non-proportional</v>
          </cell>
          <cell r="S3388">
            <v>1339.97</v>
          </cell>
          <cell r="X3388" t="str">
            <v>Commissions - gross</v>
          </cell>
          <cell r="Y3388" t="str">
            <v>GERMANY</v>
          </cell>
        </row>
        <row r="3389">
          <cell r="L3389" t="str">
            <v>Non-proportional</v>
          </cell>
          <cell r="S3389">
            <v>2092.4899999999998</v>
          </cell>
          <cell r="X3389" t="str">
            <v>Commissions - gross</v>
          </cell>
          <cell r="Y3389" t="str">
            <v>FRANCE</v>
          </cell>
        </row>
        <row r="3390">
          <cell r="L3390" t="str">
            <v>Non-proportional</v>
          </cell>
          <cell r="S3390">
            <v>2340.1799999999998</v>
          </cell>
          <cell r="X3390" t="str">
            <v>Commissions - gross</v>
          </cell>
          <cell r="Y3390" t="str">
            <v>GERMANY</v>
          </cell>
        </row>
        <row r="3391">
          <cell r="L3391" t="str">
            <v>Non-proportional</v>
          </cell>
          <cell r="S3391">
            <v>108.79</v>
          </cell>
          <cell r="X3391" t="str">
            <v>Commissions - gross</v>
          </cell>
          <cell r="Y3391" t="str">
            <v>DENMARK</v>
          </cell>
        </row>
        <row r="3392">
          <cell r="L3392" t="str">
            <v>Non-proportional</v>
          </cell>
          <cell r="S3392">
            <v>427.54</v>
          </cell>
          <cell r="X3392" t="str">
            <v>Commissions - gross</v>
          </cell>
          <cell r="Y3392" t="str">
            <v>GERMANY</v>
          </cell>
        </row>
        <row r="3393">
          <cell r="L3393" t="str">
            <v>Non-proportional</v>
          </cell>
          <cell r="S3393">
            <v>788.71</v>
          </cell>
          <cell r="X3393" t="str">
            <v>Commissions - gross</v>
          </cell>
          <cell r="Y3393" t="str">
            <v>DENMARK</v>
          </cell>
        </row>
        <row r="3394">
          <cell r="L3394" t="str">
            <v>Non-proportional</v>
          </cell>
          <cell r="S3394">
            <v>1153.4000000000001</v>
          </cell>
          <cell r="X3394" t="str">
            <v>Commissions - gross</v>
          </cell>
          <cell r="Y3394" t="str">
            <v>UNITED KINGDOM</v>
          </cell>
        </row>
        <row r="3395">
          <cell r="L3395" t="str">
            <v>Non-proportional</v>
          </cell>
          <cell r="S3395">
            <v>357.73</v>
          </cell>
          <cell r="X3395" t="str">
            <v>Commissions - gross</v>
          </cell>
          <cell r="Y3395" t="str">
            <v>SWITZERLAND</v>
          </cell>
        </row>
        <row r="3396">
          <cell r="L3396" t="str">
            <v>Non-proportional</v>
          </cell>
          <cell r="S3396">
            <v>17.52</v>
          </cell>
          <cell r="X3396" t="str">
            <v>Commissions - gross</v>
          </cell>
          <cell r="Y3396" t="str">
            <v>ITALY</v>
          </cell>
        </row>
        <row r="3397">
          <cell r="L3397" t="str">
            <v>Non-proportional</v>
          </cell>
          <cell r="S3397">
            <v>536.25</v>
          </cell>
          <cell r="X3397" t="str">
            <v>Commissions - gross</v>
          </cell>
          <cell r="Y3397" t="str">
            <v>GERMANY</v>
          </cell>
        </row>
        <row r="3398">
          <cell r="L3398" t="str">
            <v>Non-proportional</v>
          </cell>
          <cell r="S3398">
            <v>7221.99</v>
          </cell>
          <cell r="X3398" t="str">
            <v>Commissions - gross</v>
          </cell>
          <cell r="Y3398" t="str">
            <v>UNITED KINGDOM</v>
          </cell>
        </row>
        <row r="3399">
          <cell r="L3399" t="str">
            <v>Non-proportional</v>
          </cell>
          <cell r="S3399">
            <v>196.23</v>
          </cell>
          <cell r="X3399" t="str">
            <v>Commissions - gross</v>
          </cell>
          <cell r="Y3399" t="str">
            <v>GERMANY</v>
          </cell>
        </row>
        <row r="3400">
          <cell r="L3400" t="str">
            <v>Non-proportional</v>
          </cell>
          <cell r="S3400">
            <v>-0.28000000000000003</v>
          </cell>
          <cell r="X3400" t="str">
            <v>Commissions - gross</v>
          </cell>
          <cell r="Y3400" t="str">
            <v>DENMARK</v>
          </cell>
        </row>
        <row r="3401">
          <cell r="L3401" t="str">
            <v>Non-proportional</v>
          </cell>
          <cell r="S3401">
            <v>1960.61</v>
          </cell>
          <cell r="X3401" t="str">
            <v>Commissions - gross</v>
          </cell>
          <cell r="Y3401" t="str">
            <v>FRANCE</v>
          </cell>
        </row>
        <row r="3402">
          <cell r="L3402" t="str">
            <v>Non-proportional</v>
          </cell>
          <cell r="S3402">
            <v>-1.6</v>
          </cell>
          <cell r="X3402" t="str">
            <v>Commissions - gross</v>
          </cell>
          <cell r="Y3402" t="str">
            <v>SWEDEN</v>
          </cell>
        </row>
        <row r="3403">
          <cell r="L3403" t="str">
            <v>Non-proportional</v>
          </cell>
          <cell r="S3403">
            <v>337.5</v>
          </cell>
          <cell r="X3403" t="str">
            <v>Commissions - gross</v>
          </cell>
          <cell r="Y3403" t="str">
            <v>GERMANY</v>
          </cell>
        </row>
        <row r="3404">
          <cell r="L3404" t="str">
            <v>Non-proportional</v>
          </cell>
          <cell r="S3404">
            <v>2439.6</v>
          </cell>
          <cell r="X3404" t="str">
            <v>Commissions - gross</v>
          </cell>
          <cell r="Y3404" t="str">
            <v>GERMANY</v>
          </cell>
        </row>
        <row r="3405">
          <cell r="L3405" t="str">
            <v>Non-proportional</v>
          </cell>
          <cell r="S3405">
            <v>303.64</v>
          </cell>
          <cell r="X3405" t="str">
            <v>Commissions - gross</v>
          </cell>
          <cell r="Y3405" t="str">
            <v>ICELAND</v>
          </cell>
        </row>
        <row r="3406">
          <cell r="L3406" t="str">
            <v>Non-proportional</v>
          </cell>
          <cell r="S3406">
            <v>2588.63</v>
          </cell>
          <cell r="X3406" t="str">
            <v>Commissions - gross</v>
          </cell>
          <cell r="Y3406" t="str">
            <v>CZECH REPUBLIC</v>
          </cell>
        </row>
        <row r="3407">
          <cell r="L3407" t="str">
            <v>Non-proportional</v>
          </cell>
          <cell r="S3407">
            <v>4948.71</v>
          </cell>
          <cell r="X3407" t="str">
            <v>Commissions - gross</v>
          </cell>
          <cell r="Y3407" t="str">
            <v>UNITED KINGDOM</v>
          </cell>
        </row>
        <row r="3408">
          <cell r="L3408" t="str">
            <v>Non-proportional</v>
          </cell>
          <cell r="S3408">
            <v>1354.17</v>
          </cell>
          <cell r="X3408" t="str">
            <v>Commissions - gross</v>
          </cell>
          <cell r="Y3408" t="str">
            <v>GERMANY</v>
          </cell>
        </row>
        <row r="3409">
          <cell r="L3409" t="str">
            <v>Non-proportional</v>
          </cell>
          <cell r="S3409">
            <v>1.77</v>
          </cell>
          <cell r="X3409" t="str">
            <v>Commissions - gross</v>
          </cell>
          <cell r="Y3409" t="str">
            <v>EUROPE</v>
          </cell>
        </row>
        <row r="3410">
          <cell r="L3410" t="str">
            <v>Non-proportional</v>
          </cell>
          <cell r="S3410">
            <v>316.44</v>
          </cell>
          <cell r="X3410" t="str">
            <v>Commissions - gross</v>
          </cell>
          <cell r="Y3410" t="str">
            <v>JAPAN</v>
          </cell>
        </row>
        <row r="3411">
          <cell r="L3411" t="str">
            <v>Non-proportional</v>
          </cell>
          <cell r="S3411">
            <v>16561.689999999999</v>
          </cell>
          <cell r="X3411" t="str">
            <v>Commissions - gross</v>
          </cell>
          <cell r="Y3411" t="str">
            <v>UNITED KINGDOM</v>
          </cell>
        </row>
        <row r="3412">
          <cell r="L3412" t="str">
            <v>Non-proportional</v>
          </cell>
          <cell r="S3412">
            <v>-0.57999999999999996</v>
          </cell>
          <cell r="X3412" t="str">
            <v>Commissions - gross</v>
          </cell>
          <cell r="Y3412" t="str">
            <v>DENMARK</v>
          </cell>
        </row>
        <row r="3413">
          <cell r="L3413" t="str">
            <v>Non-proportional</v>
          </cell>
          <cell r="S3413">
            <v>1120.3599999999999</v>
          </cell>
          <cell r="X3413" t="str">
            <v>Commissions - gross</v>
          </cell>
          <cell r="Y3413" t="str">
            <v>UNITED KINGDOM</v>
          </cell>
        </row>
        <row r="3414">
          <cell r="L3414" t="str">
            <v>Non-proportional</v>
          </cell>
          <cell r="S3414">
            <v>2235.81</v>
          </cell>
          <cell r="X3414" t="str">
            <v>Commissions - gross</v>
          </cell>
          <cell r="Y3414" t="str">
            <v>SWITZERLAND</v>
          </cell>
        </row>
        <row r="3415">
          <cell r="L3415" t="str">
            <v>Non-proportional</v>
          </cell>
          <cell r="S3415">
            <v>380.63</v>
          </cell>
          <cell r="X3415" t="str">
            <v>Commissions - gross</v>
          </cell>
          <cell r="Y3415" t="str">
            <v>ROMANIA</v>
          </cell>
        </row>
        <row r="3416">
          <cell r="L3416" t="str">
            <v>Non-proportional</v>
          </cell>
          <cell r="S3416">
            <v>589.39</v>
          </cell>
          <cell r="X3416" t="str">
            <v>Commissions - gross</v>
          </cell>
          <cell r="Y3416" t="str">
            <v>AUSTRIA</v>
          </cell>
        </row>
        <row r="3417">
          <cell r="L3417" t="str">
            <v>Non-proportional</v>
          </cell>
          <cell r="S3417">
            <v>848.23</v>
          </cell>
          <cell r="X3417" t="str">
            <v>Commissions - gross</v>
          </cell>
          <cell r="Y3417" t="str">
            <v>EUROPE</v>
          </cell>
        </row>
        <row r="3418">
          <cell r="L3418" t="str">
            <v>Non-proportional</v>
          </cell>
          <cell r="S3418">
            <v>1133.76</v>
          </cell>
          <cell r="X3418" t="str">
            <v>Commissions - gross</v>
          </cell>
          <cell r="Y3418" t="str">
            <v>UNITED KINGDOM</v>
          </cell>
        </row>
        <row r="3419">
          <cell r="L3419" t="str">
            <v>Non-proportional</v>
          </cell>
          <cell r="S3419">
            <v>280.23</v>
          </cell>
          <cell r="X3419" t="str">
            <v>Commissions - gross</v>
          </cell>
          <cell r="Y3419" t="str">
            <v>REPUBLIC OF IRELAND</v>
          </cell>
        </row>
        <row r="3420">
          <cell r="L3420" t="str">
            <v>Non-proportional</v>
          </cell>
          <cell r="S3420">
            <v>2594.48</v>
          </cell>
          <cell r="X3420" t="str">
            <v>Commissions - gross</v>
          </cell>
          <cell r="Y3420" t="str">
            <v>UNITED KINGDOM</v>
          </cell>
        </row>
        <row r="3421">
          <cell r="L3421" t="str">
            <v>Non-proportional</v>
          </cell>
          <cell r="S3421">
            <v>361.75</v>
          </cell>
          <cell r="X3421" t="str">
            <v>Commissions - gross</v>
          </cell>
          <cell r="Y3421" t="str">
            <v>FRANCE</v>
          </cell>
        </row>
        <row r="3422">
          <cell r="L3422" t="str">
            <v>Non-proportional</v>
          </cell>
          <cell r="S3422">
            <v>1242.43</v>
          </cell>
          <cell r="X3422" t="str">
            <v>Commissions - gross</v>
          </cell>
          <cell r="Y3422" t="str">
            <v>EUROPE</v>
          </cell>
        </row>
        <row r="3423">
          <cell r="L3423" t="str">
            <v>Non-proportional</v>
          </cell>
          <cell r="S3423">
            <v>1565.25</v>
          </cell>
          <cell r="X3423" t="str">
            <v>Commissions - gross</v>
          </cell>
          <cell r="Y3423" t="str">
            <v>UNITED KINGDOM</v>
          </cell>
        </row>
        <row r="3424">
          <cell r="L3424" t="str">
            <v>Non-proportional</v>
          </cell>
          <cell r="S3424">
            <v>511.89</v>
          </cell>
          <cell r="X3424" t="str">
            <v>Commissions - gross</v>
          </cell>
          <cell r="Y3424" t="str">
            <v>SWITZERLAND</v>
          </cell>
        </row>
        <row r="3425">
          <cell r="L3425" t="str">
            <v>Non-proportional</v>
          </cell>
          <cell r="S3425">
            <v>451.14</v>
          </cell>
          <cell r="X3425" t="str">
            <v>Commissions - gross</v>
          </cell>
          <cell r="Y3425" t="str">
            <v>AUSTRIA</v>
          </cell>
        </row>
        <row r="3426">
          <cell r="L3426" t="str">
            <v>Non-proportional</v>
          </cell>
          <cell r="S3426">
            <v>181.12</v>
          </cell>
          <cell r="X3426" t="str">
            <v>Commissions - gross</v>
          </cell>
          <cell r="Y3426" t="str">
            <v>JAPAN</v>
          </cell>
        </row>
        <row r="3427">
          <cell r="L3427" t="str">
            <v>Non-proportional</v>
          </cell>
          <cell r="S3427">
            <v>445.55</v>
          </cell>
          <cell r="X3427" t="str">
            <v>Commissions - gross</v>
          </cell>
          <cell r="Y3427" t="str">
            <v>DENMARK</v>
          </cell>
        </row>
        <row r="3428">
          <cell r="L3428" t="str">
            <v>Proportional</v>
          </cell>
          <cell r="S3428">
            <v>1260.47</v>
          </cell>
          <cell r="X3428" t="str">
            <v>Commissions - gross</v>
          </cell>
          <cell r="Y3428" t="str">
            <v>UNITED STATES</v>
          </cell>
        </row>
        <row r="3429">
          <cell r="L3429" t="str">
            <v>Non-proportional</v>
          </cell>
          <cell r="S3429">
            <v>686.51</v>
          </cell>
          <cell r="X3429" t="str">
            <v>Commissions - gross</v>
          </cell>
          <cell r="Y3429" t="str">
            <v>UNITED KINGDOM</v>
          </cell>
        </row>
        <row r="3430">
          <cell r="L3430" t="str">
            <v>Non-proportional</v>
          </cell>
          <cell r="S3430">
            <v>82.05</v>
          </cell>
          <cell r="X3430" t="str">
            <v>Commissions - gross</v>
          </cell>
          <cell r="Y3430" t="str">
            <v>GERMANY</v>
          </cell>
        </row>
        <row r="3431">
          <cell r="L3431" t="str">
            <v>Non-proportional</v>
          </cell>
          <cell r="S3431">
            <v>310.08999999999997</v>
          </cell>
          <cell r="X3431" t="str">
            <v>Commissions - gross</v>
          </cell>
          <cell r="Y3431" t="str">
            <v>SWITZERLAND</v>
          </cell>
        </row>
        <row r="3432">
          <cell r="L3432" t="str">
            <v>Non-proportional</v>
          </cell>
          <cell r="S3432">
            <v>13302.33</v>
          </cell>
          <cell r="X3432" t="str">
            <v>Commissions - gross</v>
          </cell>
          <cell r="Y3432" t="str">
            <v>UNITED KINGDOM</v>
          </cell>
        </row>
        <row r="3433">
          <cell r="L3433" t="str">
            <v>Non-proportional</v>
          </cell>
          <cell r="S3433">
            <v>133.85</v>
          </cell>
          <cell r="X3433" t="str">
            <v>Commissions - gross</v>
          </cell>
          <cell r="Y3433" t="str">
            <v>DENMARK</v>
          </cell>
        </row>
        <row r="3434">
          <cell r="L3434" t="str">
            <v>Non-proportional</v>
          </cell>
          <cell r="S3434">
            <v>1188.23</v>
          </cell>
          <cell r="X3434" t="str">
            <v>Commissions - gross</v>
          </cell>
          <cell r="Y3434" t="str">
            <v>EUROPE</v>
          </cell>
        </row>
        <row r="3435">
          <cell r="L3435" t="str">
            <v>Non-proportional</v>
          </cell>
          <cell r="S3435">
            <v>920.31</v>
          </cell>
          <cell r="X3435" t="str">
            <v>Commissions - gross</v>
          </cell>
          <cell r="Y3435" t="str">
            <v>GERMANY</v>
          </cell>
        </row>
        <row r="3436">
          <cell r="L3436" t="str">
            <v>Non-proportional</v>
          </cell>
          <cell r="S3436">
            <v>11205.21</v>
          </cell>
          <cell r="X3436" t="str">
            <v>Commissions - gross</v>
          </cell>
          <cell r="Y3436" t="str">
            <v>FRANCE</v>
          </cell>
        </row>
        <row r="3437">
          <cell r="L3437" t="str">
            <v>Non-proportional</v>
          </cell>
          <cell r="S3437">
            <v>4217.84</v>
          </cell>
          <cell r="X3437" t="str">
            <v>Commissions - gross</v>
          </cell>
          <cell r="Y3437" t="str">
            <v>UNITED KINGDOM</v>
          </cell>
        </row>
        <row r="3438">
          <cell r="L3438" t="str">
            <v>Non-proportional</v>
          </cell>
          <cell r="S3438">
            <v>155.36000000000001</v>
          </cell>
          <cell r="X3438" t="str">
            <v>Commissions - gross</v>
          </cell>
          <cell r="Y3438" t="str">
            <v>REPUBLIC OF IRELAND</v>
          </cell>
        </row>
        <row r="3439">
          <cell r="L3439" t="str">
            <v>Non-proportional</v>
          </cell>
          <cell r="S3439">
            <v>4201.67</v>
          </cell>
          <cell r="X3439" t="str">
            <v>Commissions - gross</v>
          </cell>
          <cell r="Y3439" t="str">
            <v>UNITED KINGDOM</v>
          </cell>
        </row>
        <row r="3440">
          <cell r="L3440" t="str">
            <v>Non-proportional</v>
          </cell>
          <cell r="S3440">
            <v>443.98</v>
          </cell>
          <cell r="X3440" t="str">
            <v>Commissions - gross</v>
          </cell>
          <cell r="Y3440" t="str">
            <v>GERMANY</v>
          </cell>
        </row>
        <row r="3441">
          <cell r="L3441" t="str">
            <v>Non-proportional</v>
          </cell>
          <cell r="S3441">
            <v>80.739999999999995</v>
          </cell>
          <cell r="X3441" t="str">
            <v>Commissions - gross</v>
          </cell>
          <cell r="Y3441" t="str">
            <v>JAPAN</v>
          </cell>
        </row>
        <row r="3442">
          <cell r="L3442" t="str">
            <v>Non-proportional</v>
          </cell>
          <cell r="S3442">
            <v>235.75</v>
          </cell>
          <cell r="X3442" t="str">
            <v>Commissions - gross</v>
          </cell>
          <cell r="Y3442" t="str">
            <v>GERMANY</v>
          </cell>
        </row>
        <row r="3443">
          <cell r="L3443" t="str">
            <v>Non-proportional</v>
          </cell>
          <cell r="S3443">
            <v>284.73</v>
          </cell>
          <cell r="X3443" t="str">
            <v>Commissions - gross</v>
          </cell>
          <cell r="Y3443" t="str">
            <v>UNITED KINGDOM</v>
          </cell>
        </row>
        <row r="3444">
          <cell r="L3444" t="str">
            <v>Non-proportional</v>
          </cell>
          <cell r="S3444">
            <v>1042.58</v>
          </cell>
          <cell r="X3444" t="str">
            <v>Commissions - gross</v>
          </cell>
          <cell r="Y3444" t="str">
            <v>FRANCE</v>
          </cell>
        </row>
        <row r="3445">
          <cell r="L3445" t="str">
            <v>Non-proportional</v>
          </cell>
          <cell r="S3445">
            <v>557.88</v>
          </cell>
          <cell r="X3445" t="str">
            <v>Commissions - gross</v>
          </cell>
          <cell r="Y3445" t="str">
            <v>DENMARK</v>
          </cell>
        </row>
        <row r="3446">
          <cell r="L3446" t="str">
            <v>Non-proportional</v>
          </cell>
          <cell r="S3446">
            <v>423.8</v>
          </cell>
          <cell r="X3446" t="str">
            <v>Commissions - gross</v>
          </cell>
          <cell r="Y3446" t="str">
            <v>GERMANY</v>
          </cell>
        </row>
        <row r="3447">
          <cell r="L3447" t="str">
            <v>Non-proportional</v>
          </cell>
          <cell r="S3447">
            <v>10488.68</v>
          </cell>
          <cell r="X3447" t="str">
            <v>Commissions - gross</v>
          </cell>
          <cell r="Y3447" t="str">
            <v>UNITED KINGDOM</v>
          </cell>
        </row>
        <row r="3448">
          <cell r="L3448" t="str">
            <v>Non-proportional</v>
          </cell>
          <cell r="S3448">
            <v>2035.5</v>
          </cell>
          <cell r="X3448" t="str">
            <v>Commissions - gross</v>
          </cell>
          <cell r="Y3448" t="str">
            <v>GERMANY</v>
          </cell>
        </row>
        <row r="3449">
          <cell r="L3449" t="str">
            <v>Non-proportional</v>
          </cell>
          <cell r="S3449">
            <v>842.33</v>
          </cell>
          <cell r="X3449" t="str">
            <v>Commissions - gross</v>
          </cell>
          <cell r="Y3449" t="str">
            <v>ITALY</v>
          </cell>
        </row>
        <row r="3450">
          <cell r="L3450" t="str">
            <v>Non-proportional</v>
          </cell>
          <cell r="S3450">
            <v>2077.06</v>
          </cell>
          <cell r="X3450" t="str">
            <v>Commissions - gross</v>
          </cell>
          <cell r="Y3450" t="str">
            <v>FRANCE</v>
          </cell>
        </row>
        <row r="3451">
          <cell r="L3451" t="str">
            <v>Non-proportional</v>
          </cell>
          <cell r="S3451">
            <v>581.64</v>
          </cell>
          <cell r="X3451" t="str">
            <v>Commissions - gross</v>
          </cell>
          <cell r="Y3451" t="str">
            <v>SWEDEN</v>
          </cell>
        </row>
        <row r="3452">
          <cell r="L3452" t="str">
            <v>Non-proportional</v>
          </cell>
          <cell r="S3452">
            <v>1171.6199999999999</v>
          </cell>
          <cell r="X3452" t="str">
            <v>Commissions - gross</v>
          </cell>
          <cell r="Y3452" t="str">
            <v>UNITED KINGDOM</v>
          </cell>
        </row>
        <row r="3453">
          <cell r="L3453" t="str">
            <v>Non-proportional</v>
          </cell>
          <cell r="S3453">
            <v>387.08</v>
          </cell>
          <cell r="X3453" t="str">
            <v>Commissions - gross</v>
          </cell>
          <cell r="Y3453" t="str">
            <v>UNITED KINGDOM</v>
          </cell>
        </row>
        <row r="3454">
          <cell r="L3454" t="str">
            <v>Non-proportional</v>
          </cell>
          <cell r="S3454">
            <v>5542.49</v>
          </cell>
          <cell r="X3454" t="str">
            <v>Commissions - gross</v>
          </cell>
          <cell r="Y3454" t="str">
            <v>UNITED KINGDOM</v>
          </cell>
        </row>
        <row r="3455">
          <cell r="L3455" t="str">
            <v>Non-proportional</v>
          </cell>
          <cell r="S3455">
            <v>3450.2</v>
          </cell>
          <cell r="X3455" t="str">
            <v>Commissions - gross</v>
          </cell>
          <cell r="Y3455" t="str">
            <v>CZECH REPUBLIC</v>
          </cell>
        </row>
        <row r="3456">
          <cell r="L3456" t="str">
            <v>Proportional</v>
          </cell>
          <cell r="S3456">
            <v>602.16</v>
          </cell>
          <cell r="X3456" t="str">
            <v>Commissions - gross</v>
          </cell>
          <cell r="Y3456" t="str">
            <v>UNITED KINGDOM</v>
          </cell>
        </row>
        <row r="3457">
          <cell r="L3457" t="str">
            <v>Non-proportional</v>
          </cell>
          <cell r="S3457">
            <v>849.45</v>
          </cell>
          <cell r="X3457" t="str">
            <v>Commissions - gross</v>
          </cell>
          <cell r="Y3457" t="str">
            <v>GERMANY</v>
          </cell>
        </row>
        <row r="3458">
          <cell r="L3458" t="str">
            <v>Non-proportional</v>
          </cell>
          <cell r="S3458">
            <v>778.14</v>
          </cell>
          <cell r="X3458" t="str">
            <v>Commissions - gross</v>
          </cell>
          <cell r="Y3458" t="str">
            <v>UNITED STATES</v>
          </cell>
        </row>
        <row r="3459">
          <cell r="L3459" t="str">
            <v>Non-proportional</v>
          </cell>
          <cell r="S3459">
            <v>641.66999999999996</v>
          </cell>
          <cell r="X3459" t="str">
            <v>Commissions - gross</v>
          </cell>
          <cell r="Y3459" t="str">
            <v>GERMANY</v>
          </cell>
        </row>
        <row r="3460">
          <cell r="L3460" t="str">
            <v>Non-proportional</v>
          </cell>
          <cell r="S3460">
            <v>552.71</v>
          </cell>
          <cell r="X3460" t="str">
            <v>Commissions - gross</v>
          </cell>
          <cell r="Y3460" t="str">
            <v>GERMANY</v>
          </cell>
        </row>
        <row r="3461">
          <cell r="L3461" t="str">
            <v>Non-proportional</v>
          </cell>
          <cell r="S3461">
            <v>867.66</v>
          </cell>
          <cell r="X3461" t="str">
            <v>Commissions - gross</v>
          </cell>
          <cell r="Y3461" t="str">
            <v>UNITED KINGDOM</v>
          </cell>
        </row>
        <row r="3462">
          <cell r="L3462" t="str">
            <v>Non-proportional</v>
          </cell>
          <cell r="S3462">
            <v>208.24</v>
          </cell>
          <cell r="X3462" t="str">
            <v>Commissions - gross</v>
          </cell>
          <cell r="Y3462" t="str">
            <v>GERMANY</v>
          </cell>
        </row>
        <row r="3463">
          <cell r="L3463" t="str">
            <v>Non-proportional</v>
          </cell>
          <cell r="S3463">
            <v>1001.09</v>
          </cell>
          <cell r="X3463" t="str">
            <v>Commissions - gross</v>
          </cell>
          <cell r="Y3463" t="str">
            <v>GERMANY</v>
          </cell>
        </row>
        <row r="3464">
          <cell r="L3464" t="str">
            <v>Non-proportional</v>
          </cell>
          <cell r="S3464">
            <v>759.11</v>
          </cell>
          <cell r="X3464" t="str">
            <v>Commissions - gross</v>
          </cell>
          <cell r="Y3464" t="str">
            <v>ICELAND</v>
          </cell>
        </row>
        <row r="3465">
          <cell r="L3465" t="str">
            <v>Non-proportional</v>
          </cell>
          <cell r="S3465">
            <v>669.55</v>
          </cell>
          <cell r="X3465" t="str">
            <v>Commissions - gross</v>
          </cell>
          <cell r="Y3465" t="str">
            <v>DENMARK</v>
          </cell>
        </row>
        <row r="3466">
          <cell r="L3466" t="str">
            <v>Non-proportional</v>
          </cell>
          <cell r="S3466">
            <v>52.88</v>
          </cell>
          <cell r="X3466" t="str">
            <v>Commissions - gross</v>
          </cell>
          <cell r="Y3466" t="str">
            <v>NORWAY</v>
          </cell>
        </row>
        <row r="3467">
          <cell r="L3467" t="str">
            <v>Non-proportional</v>
          </cell>
          <cell r="S3467">
            <v>1.7</v>
          </cell>
          <cell r="X3467" t="str">
            <v>Commissions - gross</v>
          </cell>
          <cell r="Y3467" t="str">
            <v>POLAND</v>
          </cell>
        </row>
        <row r="3468">
          <cell r="L3468" t="str">
            <v>Non-proportional</v>
          </cell>
          <cell r="S3468">
            <v>474.33</v>
          </cell>
          <cell r="X3468" t="str">
            <v>Commissions - gross</v>
          </cell>
          <cell r="Y3468" t="str">
            <v>POLAND</v>
          </cell>
        </row>
        <row r="3469">
          <cell r="L3469" t="str">
            <v>Non-proportional</v>
          </cell>
          <cell r="S3469">
            <v>153.56</v>
          </cell>
          <cell r="X3469" t="str">
            <v>Commissions - gross</v>
          </cell>
          <cell r="Y3469" t="str">
            <v>UNITED ARAB EMIRATES</v>
          </cell>
        </row>
        <row r="3470">
          <cell r="L3470" t="str">
            <v>Non-proportional</v>
          </cell>
          <cell r="S3470">
            <v>588.21</v>
          </cell>
          <cell r="X3470" t="str">
            <v>Commissions - gross</v>
          </cell>
          <cell r="Y3470" t="str">
            <v>UNITED KINGDOM</v>
          </cell>
        </row>
        <row r="3471">
          <cell r="L3471" t="str">
            <v>Non-proportional</v>
          </cell>
          <cell r="S3471">
            <v>3455.06</v>
          </cell>
          <cell r="X3471" t="str">
            <v>Commissions - gross</v>
          </cell>
          <cell r="Y3471" t="str">
            <v>UNITED KINGDOM</v>
          </cell>
        </row>
        <row r="3472">
          <cell r="L3472" t="str">
            <v>Non-proportional</v>
          </cell>
          <cell r="S3472">
            <v>1760.9</v>
          </cell>
          <cell r="X3472" t="str">
            <v>Commissions - gross</v>
          </cell>
          <cell r="Y3472" t="str">
            <v>AUSTRIA</v>
          </cell>
        </row>
        <row r="3473">
          <cell r="L3473" t="str">
            <v>Non-proportional</v>
          </cell>
          <cell r="S3473">
            <v>812.5</v>
          </cell>
          <cell r="X3473" t="str">
            <v>Commissions - gross</v>
          </cell>
          <cell r="Y3473" t="str">
            <v>CZECH REPUBLIC</v>
          </cell>
        </row>
        <row r="3474">
          <cell r="L3474" t="str">
            <v>Non-proportional</v>
          </cell>
          <cell r="S3474">
            <v>-10.16</v>
          </cell>
          <cell r="X3474" t="str">
            <v>Commissions - gross</v>
          </cell>
          <cell r="Y3474" t="str">
            <v>POLAND</v>
          </cell>
        </row>
        <row r="3475">
          <cell r="L3475" t="str">
            <v>Non-proportional</v>
          </cell>
          <cell r="S3475">
            <v>690.42</v>
          </cell>
          <cell r="X3475" t="str">
            <v>Commissions - gross</v>
          </cell>
          <cell r="Y3475" t="str">
            <v>FRANCE</v>
          </cell>
        </row>
        <row r="3476">
          <cell r="L3476" t="str">
            <v>Non-proportional</v>
          </cell>
          <cell r="S3476">
            <v>1199.73</v>
          </cell>
          <cell r="X3476" t="str">
            <v>Commissions - gross</v>
          </cell>
          <cell r="Y3476" t="str">
            <v>UNITED KINGDOM</v>
          </cell>
        </row>
        <row r="3477">
          <cell r="L3477" t="str">
            <v>Non-proportional</v>
          </cell>
          <cell r="S3477">
            <v>-1.05</v>
          </cell>
          <cell r="X3477" t="str">
            <v>Commissions - gross</v>
          </cell>
          <cell r="Y3477" t="str">
            <v>SWEDEN</v>
          </cell>
        </row>
        <row r="3478">
          <cell r="L3478" t="str">
            <v>Non-proportional</v>
          </cell>
          <cell r="S3478">
            <v>-0.93</v>
          </cell>
          <cell r="X3478" t="str">
            <v>Commissions - gross</v>
          </cell>
          <cell r="Y3478" t="str">
            <v>SWEDEN</v>
          </cell>
        </row>
        <row r="3479">
          <cell r="L3479" t="str">
            <v>Non-proportional</v>
          </cell>
          <cell r="S3479">
            <v>2305.9</v>
          </cell>
          <cell r="X3479" t="str">
            <v>Commissions - gross</v>
          </cell>
          <cell r="Y3479" t="str">
            <v>FRANCE</v>
          </cell>
        </row>
        <row r="3480">
          <cell r="L3480" t="str">
            <v>Non-proportional</v>
          </cell>
          <cell r="S3480">
            <v>1870.62</v>
          </cell>
          <cell r="X3480" t="str">
            <v>Commissions - gross</v>
          </cell>
          <cell r="Y3480" t="str">
            <v>GERMANY</v>
          </cell>
        </row>
        <row r="3481">
          <cell r="L3481" t="str">
            <v>Non-proportional</v>
          </cell>
          <cell r="S3481">
            <v>2718.73</v>
          </cell>
          <cell r="X3481" t="str">
            <v>Commissions - gross</v>
          </cell>
          <cell r="Y3481" t="str">
            <v>UNITED KINGDOM</v>
          </cell>
        </row>
        <row r="3482">
          <cell r="L3482" t="str">
            <v>Non-proportional</v>
          </cell>
          <cell r="S3482">
            <v>548.41</v>
          </cell>
          <cell r="X3482" t="str">
            <v>Commissions - gross</v>
          </cell>
          <cell r="Y3482" t="str">
            <v>EUROPE</v>
          </cell>
        </row>
        <row r="3483">
          <cell r="L3483" t="str">
            <v>Non-proportional</v>
          </cell>
          <cell r="S3483">
            <v>5.48</v>
          </cell>
          <cell r="X3483" t="str">
            <v>Commissions - gross</v>
          </cell>
          <cell r="Y3483" t="str">
            <v>FRANCE</v>
          </cell>
        </row>
        <row r="3484">
          <cell r="L3484" t="str">
            <v>Non-proportional</v>
          </cell>
          <cell r="S3484">
            <v>331.31</v>
          </cell>
          <cell r="X3484" t="str">
            <v>Commissions - gross</v>
          </cell>
          <cell r="Y3484" t="str">
            <v>EUROPE</v>
          </cell>
        </row>
        <row r="3485">
          <cell r="L3485" t="str">
            <v>Non-proportional</v>
          </cell>
          <cell r="S3485">
            <v>1300</v>
          </cell>
          <cell r="X3485" t="str">
            <v>Commissions - gross</v>
          </cell>
          <cell r="Y3485" t="str">
            <v>ROMANIA</v>
          </cell>
        </row>
        <row r="3486">
          <cell r="L3486" t="str">
            <v>Non-proportional</v>
          </cell>
          <cell r="S3486">
            <v>2069.6999999999998</v>
          </cell>
          <cell r="X3486" t="str">
            <v>Commissions - gross</v>
          </cell>
          <cell r="Y3486" t="str">
            <v>UNITED KINGDOM</v>
          </cell>
        </row>
        <row r="3487">
          <cell r="L3487" t="str">
            <v>Non-proportional</v>
          </cell>
          <cell r="S3487">
            <v>3048.87</v>
          </cell>
          <cell r="X3487" t="str">
            <v>Commissions - gross</v>
          </cell>
          <cell r="Y3487" t="str">
            <v>UNITED KINGDOM</v>
          </cell>
        </row>
        <row r="3488">
          <cell r="L3488" t="str">
            <v>Non-proportional</v>
          </cell>
          <cell r="S3488">
            <v>1916.03</v>
          </cell>
          <cell r="X3488" t="str">
            <v>Commissions - gross</v>
          </cell>
          <cell r="Y3488" t="str">
            <v>SWEDEN</v>
          </cell>
        </row>
        <row r="3489">
          <cell r="L3489" t="str">
            <v>Non-proportional</v>
          </cell>
          <cell r="S3489">
            <v>3734.6</v>
          </cell>
          <cell r="X3489" t="str">
            <v>Commissions - gross</v>
          </cell>
          <cell r="Y3489" t="str">
            <v>FRANCE</v>
          </cell>
        </row>
        <row r="3490">
          <cell r="L3490" t="str">
            <v>Non-proportional</v>
          </cell>
          <cell r="S3490">
            <v>192.28</v>
          </cell>
          <cell r="X3490" t="str">
            <v>Commissions - gross</v>
          </cell>
          <cell r="Y3490" t="str">
            <v>JAPAN</v>
          </cell>
        </row>
        <row r="3491">
          <cell r="L3491" t="str">
            <v>Non-proportional</v>
          </cell>
          <cell r="S3491">
            <v>1254.52</v>
          </cell>
          <cell r="X3491" t="str">
            <v>Commissions - gross</v>
          </cell>
          <cell r="Y3491" t="str">
            <v>SWEDEN</v>
          </cell>
        </row>
        <row r="3492">
          <cell r="L3492" t="str">
            <v>Non-proportional</v>
          </cell>
          <cell r="S3492">
            <v>250.22</v>
          </cell>
          <cell r="X3492" t="str">
            <v>Commissions - gross</v>
          </cell>
          <cell r="Y3492" t="str">
            <v>SPAIN</v>
          </cell>
        </row>
        <row r="3493">
          <cell r="L3493" t="str">
            <v>Non-proportional</v>
          </cell>
          <cell r="S3493">
            <v>400.86</v>
          </cell>
          <cell r="X3493" t="str">
            <v>Commissions - gross</v>
          </cell>
          <cell r="Y3493" t="str">
            <v>UNITED KINGDOM</v>
          </cell>
        </row>
        <row r="3494">
          <cell r="L3494" t="str">
            <v>Non-proportional</v>
          </cell>
          <cell r="S3494">
            <v>-0.48</v>
          </cell>
          <cell r="X3494" t="str">
            <v>Commissions - gross</v>
          </cell>
          <cell r="Y3494" t="str">
            <v>SWEDEN</v>
          </cell>
        </row>
        <row r="3495">
          <cell r="L3495" t="str">
            <v>Non-proportional</v>
          </cell>
          <cell r="S3495">
            <v>781.25</v>
          </cell>
          <cell r="X3495" t="str">
            <v>Commissions - gross</v>
          </cell>
          <cell r="Y3495" t="str">
            <v>ROMANIA</v>
          </cell>
        </row>
        <row r="3496">
          <cell r="L3496" t="str">
            <v>Non-proportional</v>
          </cell>
          <cell r="S3496">
            <v>352.86</v>
          </cell>
          <cell r="X3496" t="str">
            <v>Commissions - gross</v>
          </cell>
          <cell r="Y3496" t="str">
            <v>FAROE ISLANDS</v>
          </cell>
        </row>
        <row r="3497">
          <cell r="L3497" t="str">
            <v>Non-proportional</v>
          </cell>
          <cell r="S3497">
            <v>343.7</v>
          </cell>
          <cell r="X3497" t="str">
            <v>Commissions - gross</v>
          </cell>
          <cell r="Y3497" t="str">
            <v>EUROPE</v>
          </cell>
        </row>
        <row r="3498">
          <cell r="L3498" t="str">
            <v>Non-proportional</v>
          </cell>
          <cell r="S3498">
            <v>1631.82</v>
          </cell>
          <cell r="X3498" t="str">
            <v>Commissions - gross</v>
          </cell>
          <cell r="Y3498" t="str">
            <v>DENMARK</v>
          </cell>
        </row>
        <row r="3499">
          <cell r="L3499" t="str">
            <v>Non-proportional</v>
          </cell>
          <cell r="S3499">
            <v>1650</v>
          </cell>
          <cell r="X3499" t="str">
            <v>Commissions - gross</v>
          </cell>
          <cell r="Y3499" t="str">
            <v>GERMANY</v>
          </cell>
        </row>
        <row r="3500">
          <cell r="L3500" t="str">
            <v>Non-proportional</v>
          </cell>
          <cell r="S3500">
            <v>1207.49</v>
          </cell>
          <cell r="X3500" t="str">
            <v>Commissions - gross</v>
          </cell>
          <cell r="Y3500" t="str">
            <v>FRANCE</v>
          </cell>
        </row>
        <row r="3501">
          <cell r="L3501" t="str">
            <v>Non-proportional</v>
          </cell>
          <cell r="S3501">
            <v>-0.52</v>
          </cell>
          <cell r="X3501" t="str">
            <v>Commissions - gross</v>
          </cell>
          <cell r="Y3501" t="str">
            <v>SWEDEN</v>
          </cell>
        </row>
        <row r="3502">
          <cell r="L3502" t="str">
            <v>Non-proportional</v>
          </cell>
          <cell r="S3502">
            <v>579.95000000000005</v>
          </cell>
          <cell r="X3502" t="str">
            <v>Commissions - gross</v>
          </cell>
          <cell r="Y3502" t="str">
            <v>UNITED KINGDOM</v>
          </cell>
        </row>
        <row r="3503">
          <cell r="L3503" t="str">
            <v>Non-proportional</v>
          </cell>
          <cell r="S3503">
            <v>1059.49</v>
          </cell>
          <cell r="X3503" t="str">
            <v>Commissions - gross</v>
          </cell>
          <cell r="Y3503" t="str">
            <v>GERMANY</v>
          </cell>
        </row>
        <row r="3504">
          <cell r="L3504" t="str">
            <v>Non-proportional</v>
          </cell>
          <cell r="S3504">
            <v>1.1000000000000001</v>
          </cell>
          <cell r="X3504" t="str">
            <v>Commissions - gross</v>
          </cell>
          <cell r="Y3504" t="str">
            <v>NORWAY</v>
          </cell>
        </row>
        <row r="3505">
          <cell r="L3505" t="str">
            <v>Non-proportional</v>
          </cell>
          <cell r="S3505">
            <v>413.45</v>
          </cell>
          <cell r="X3505" t="str">
            <v>Commissions - gross</v>
          </cell>
          <cell r="Y3505" t="str">
            <v>SWITZERLAND</v>
          </cell>
        </row>
        <row r="3506">
          <cell r="L3506" t="str">
            <v>Non-proportional</v>
          </cell>
          <cell r="S3506">
            <v>332.98</v>
          </cell>
          <cell r="X3506" t="str">
            <v>Commissions - gross</v>
          </cell>
          <cell r="Y3506" t="str">
            <v>GERMANY</v>
          </cell>
        </row>
        <row r="3507">
          <cell r="L3507" t="str">
            <v>Non-proportional</v>
          </cell>
          <cell r="S3507">
            <v>146.79</v>
          </cell>
          <cell r="X3507" t="str">
            <v>Commissions - gross</v>
          </cell>
          <cell r="Y3507" t="str">
            <v>REPUBLIC OF IRELAND</v>
          </cell>
        </row>
        <row r="3508">
          <cell r="L3508" t="str">
            <v>Non-proportional</v>
          </cell>
          <cell r="S3508">
            <v>625.04999999999995</v>
          </cell>
          <cell r="X3508" t="str">
            <v>Commissions - gross</v>
          </cell>
          <cell r="Y3508" t="str">
            <v>GERMANY</v>
          </cell>
        </row>
        <row r="3509">
          <cell r="L3509" t="str">
            <v>Non-proportional</v>
          </cell>
          <cell r="S3509">
            <v>1460.25</v>
          </cell>
          <cell r="X3509" t="str">
            <v>Commissions - gross</v>
          </cell>
          <cell r="Y3509" t="str">
            <v>GERMANY</v>
          </cell>
        </row>
        <row r="3510">
          <cell r="L3510" t="str">
            <v>Non-proportional</v>
          </cell>
          <cell r="S3510">
            <v>31094.22</v>
          </cell>
          <cell r="X3510" t="str">
            <v>Commissions - gross</v>
          </cell>
          <cell r="Y3510" t="str">
            <v>UNITED KINGDOM</v>
          </cell>
        </row>
        <row r="3511">
          <cell r="L3511" t="str">
            <v>Non-proportional</v>
          </cell>
          <cell r="S3511">
            <v>-0.35</v>
          </cell>
          <cell r="X3511" t="str">
            <v>Commissions - gross</v>
          </cell>
          <cell r="Y3511" t="str">
            <v>DENMARK</v>
          </cell>
        </row>
        <row r="3512">
          <cell r="L3512" t="str">
            <v>Non-proportional</v>
          </cell>
          <cell r="S3512">
            <v>193.89</v>
          </cell>
          <cell r="X3512" t="str">
            <v>Commissions - gross</v>
          </cell>
          <cell r="Y3512" t="str">
            <v>REPUBLIC OF IRELAND</v>
          </cell>
        </row>
        <row r="3513">
          <cell r="L3513" t="str">
            <v>Non-proportional</v>
          </cell>
          <cell r="S3513">
            <v>4814.67</v>
          </cell>
          <cell r="X3513" t="str">
            <v>Commissions - gross</v>
          </cell>
          <cell r="Y3513" t="str">
            <v>UNITED KINGDOM</v>
          </cell>
        </row>
        <row r="3514">
          <cell r="L3514" t="str">
            <v>Non-proportional</v>
          </cell>
          <cell r="S3514">
            <v>112.5</v>
          </cell>
          <cell r="X3514" t="str">
            <v>Commissions - gross</v>
          </cell>
          <cell r="Y3514" t="str">
            <v>GERMANY</v>
          </cell>
        </row>
        <row r="3515">
          <cell r="L3515" t="str">
            <v>Non-proportional</v>
          </cell>
          <cell r="S3515">
            <v>37.21</v>
          </cell>
          <cell r="X3515" t="str">
            <v>Commissions - gross</v>
          </cell>
          <cell r="Y3515" t="str">
            <v>UNITED KINGDOM</v>
          </cell>
        </row>
        <row r="3516">
          <cell r="L3516" t="str">
            <v>Non-proportional</v>
          </cell>
          <cell r="S3516">
            <v>308.33999999999997</v>
          </cell>
          <cell r="X3516" t="str">
            <v>Commissions - gross</v>
          </cell>
          <cell r="Y3516" t="str">
            <v>EUROPE</v>
          </cell>
        </row>
        <row r="3517">
          <cell r="L3517" t="str">
            <v>Non-proportional</v>
          </cell>
          <cell r="S3517">
            <v>571.76</v>
          </cell>
          <cell r="X3517" t="str">
            <v>Commissions - gross</v>
          </cell>
          <cell r="Y3517" t="str">
            <v>GERMANY</v>
          </cell>
        </row>
        <row r="3518">
          <cell r="L3518" t="str">
            <v>Non-proportional</v>
          </cell>
          <cell r="S3518">
            <v>45.13</v>
          </cell>
          <cell r="X3518" t="str">
            <v>Commissions - gross</v>
          </cell>
          <cell r="Y3518" t="str">
            <v>ITALY</v>
          </cell>
        </row>
        <row r="3519">
          <cell r="L3519" t="str">
            <v>Non-proportional</v>
          </cell>
          <cell r="S3519">
            <v>633.51</v>
          </cell>
          <cell r="X3519" t="str">
            <v>Commissions - gross</v>
          </cell>
          <cell r="Y3519" t="str">
            <v>GERMANY</v>
          </cell>
        </row>
        <row r="3520">
          <cell r="L3520" t="str">
            <v>Non-proportional</v>
          </cell>
          <cell r="S3520">
            <v>244.39</v>
          </cell>
          <cell r="X3520" t="str">
            <v>Commissions - gross</v>
          </cell>
          <cell r="Y3520" t="str">
            <v>SWEDEN</v>
          </cell>
        </row>
        <row r="3521">
          <cell r="L3521" t="str">
            <v>Non-proportional</v>
          </cell>
          <cell r="S3521">
            <v>699.8</v>
          </cell>
          <cell r="X3521" t="str">
            <v>Commissions - gross</v>
          </cell>
          <cell r="Y3521" t="str">
            <v>AUSTRIA</v>
          </cell>
        </row>
        <row r="3522">
          <cell r="L3522" t="str">
            <v>Non-proportional</v>
          </cell>
          <cell r="S3522">
            <v>281.62</v>
          </cell>
          <cell r="X3522" t="str">
            <v>Commissions - gross</v>
          </cell>
          <cell r="Y3522" t="str">
            <v>FRANCE</v>
          </cell>
        </row>
        <row r="3523">
          <cell r="L3523" t="str">
            <v>Non-proportional</v>
          </cell>
          <cell r="S3523">
            <v>2243.96</v>
          </cell>
          <cell r="X3523" t="str">
            <v>Commissions - gross</v>
          </cell>
          <cell r="Y3523" t="str">
            <v>UNITED KINGDOM</v>
          </cell>
        </row>
        <row r="3524">
          <cell r="L3524" t="str">
            <v>Non-proportional</v>
          </cell>
          <cell r="S3524">
            <v>999.97</v>
          </cell>
          <cell r="X3524" t="str">
            <v>Commissions - gross</v>
          </cell>
          <cell r="Y3524" t="str">
            <v>GERMANY</v>
          </cell>
        </row>
        <row r="3525">
          <cell r="L3525" t="str">
            <v>Non-proportional</v>
          </cell>
          <cell r="S3525">
            <v>455.38</v>
          </cell>
          <cell r="X3525" t="str">
            <v>Commissions - gross</v>
          </cell>
          <cell r="Y3525" t="str">
            <v>REPUBLIC OF IRELAND</v>
          </cell>
        </row>
        <row r="3526">
          <cell r="L3526" t="str">
            <v>Non-proportional</v>
          </cell>
          <cell r="S3526">
            <v>1400.86</v>
          </cell>
          <cell r="X3526" t="str">
            <v>Commissions - gross</v>
          </cell>
          <cell r="Y3526" t="str">
            <v>GERMANY</v>
          </cell>
        </row>
        <row r="3527">
          <cell r="L3527" t="str">
            <v>Non-proportional</v>
          </cell>
          <cell r="S3527">
            <v>759</v>
          </cell>
          <cell r="X3527" t="str">
            <v>Commissions - gross</v>
          </cell>
          <cell r="Y3527" t="str">
            <v>GERMANY</v>
          </cell>
        </row>
        <row r="3528">
          <cell r="L3528" t="str">
            <v>Non-proportional</v>
          </cell>
          <cell r="S3528">
            <v>372.35</v>
          </cell>
          <cell r="X3528" t="str">
            <v>Commissions - gross</v>
          </cell>
          <cell r="Y3528" t="str">
            <v>UNITED KINGDOM</v>
          </cell>
        </row>
        <row r="3529">
          <cell r="L3529" t="str">
            <v>Non-proportional</v>
          </cell>
          <cell r="S3529">
            <v>127.94</v>
          </cell>
          <cell r="X3529" t="str">
            <v>Commissions - gross</v>
          </cell>
          <cell r="Y3529" t="str">
            <v>FRANCE</v>
          </cell>
        </row>
        <row r="3530">
          <cell r="L3530" t="str">
            <v>Non-proportional</v>
          </cell>
          <cell r="S3530">
            <v>-0.38</v>
          </cell>
          <cell r="X3530" t="str">
            <v>Commissions - gross</v>
          </cell>
          <cell r="Y3530" t="str">
            <v>DENMARK</v>
          </cell>
        </row>
        <row r="3531">
          <cell r="L3531" t="str">
            <v>Non-proportional</v>
          </cell>
          <cell r="S3531">
            <v>500.58</v>
          </cell>
          <cell r="X3531" t="str">
            <v>Commissions - gross</v>
          </cell>
          <cell r="Y3531" t="str">
            <v>FRANCE</v>
          </cell>
        </row>
        <row r="3532">
          <cell r="L3532" t="str">
            <v>Non-proportional</v>
          </cell>
          <cell r="S3532">
            <v>869.69</v>
          </cell>
          <cell r="X3532" t="str">
            <v>Commissions - gross</v>
          </cell>
          <cell r="Y3532" t="str">
            <v>GERMANY</v>
          </cell>
        </row>
        <row r="3533">
          <cell r="L3533" t="str">
            <v>Non-proportional</v>
          </cell>
          <cell r="S3533">
            <v>1338.86</v>
          </cell>
          <cell r="X3533" t="str">
            <v>Commissions - gross</v>
          </cell>
          <cell r="Y3533" t="str">
            <v>DENMARK</v>
          </cell>
        </row>
        <row r="3534">
          <cell r="L3534" t="str">
            <v>Non-proportional</v>
          </cell>
          <cell r="S3534">
            <v>-0.31</v>
          </cell>
          <cell r="X3534" t="str">
            <v>Commissions - gross</v>
          </cell>
          <cell r="Y3534" t="str">
            <v>DENMARK</v>
          </cell>
        </row>
        <row r="3535">
          <cell r="L3535" t="str">
            <v>Non-proportional</v>
          </cell>
          <cell r="S3535">
            <v>5146.08</v>
          </cell>
          <cell r="X3535" t="str">
            <v>Commissions - gross</v>
          </cell>
          <cell r="Y3535" t="str">
            <v>UNITED KINGDOM</v>
          </cell>
        </row>
        <row r="3536">
          <cell r="L3536" t="str">
            <v>Non-proportional</v>
          </cell>
          <cell r="S3536">
            <v>201.22</v>
          </cell>
          <cell r="X3536" t="str">
            <v>Commissions - gross</v>
          </cell>
          <cell r="Y3536" t="str">
            <v>SWITZERLAND</v>
          </cell>
        </row>
        <row r="3537">
          <cell r="L3537" t="str">
            <v>Non-proportional</v>
          </cell>
          <cell r="S3537">
            <v>268.75</v>
          </cell>
          <cell r="X3537" t="str">
            <v>Commissions - gross</v>
          </cell>
          <cell r="Y3537" t="str">
            <v>GERMANY</v>
          </cell>
        </row>
        <row r="3538">
          <cell r="L3538" t="str">
            <v>Non-proportional</v>
          </cell>
          <cell r="S3538">
            <v>89.3</v>
          </cell>
          <cell r="X3538" t="str">
            <v>Commissions - gross</v>
          </cell>
          <cell r="Y3538" t="str">
            <v>DENMARK</v>
          </cell>
        </row>
        <row r="3539">
          <cell r="L3539" t="str">
            <v>Non-proportional</v>
          </cell>
          <cell r="S3539">
            <v>4126.8500000000004</v>
          </cell>
          <cell r="X3539" t="str">
            <v>Commissions - gross</v>
          </cell>
          <cell r="Y3539" t="str">
            <v>UNITED KINGDOM</v>
          </cell>
        </row>
        <row r="3540">
          <cell r="L3540" t="str">
            <v>Non-proportional</v>
          </cell>
          <cell r="S3540">
            <v>832.28</v>
          </cell>
          <cell r="X3540" t="str">
            <v>Commissions - gross</v>
          </cell>
          <cell r="Y3540" t="str">
            <v>GERMANY</v>
          </cell>
        </row>
        <row r="3541">
          <cell r="L3541" t="str">
            <v>Non-proportional</v>
          </cell>
          <cell r="S3541">
            <v>745.46</v>
          </cell>
          <cell r="X3541" t="str">
            <v>Commissions - gross</v>
          </cell>
          <cell r="Y3541" t="str">
            <v>EUROPE</v>
          </cell>
        </row>
        <row r="3542">
          <cell r="L3542" t="str">
            <v>Non-proportional</v>
          </cell>
          <cell r="S3542">
            <v>151.66999999999999</v>
          </cell>
          <cell r="X3542" t="str">
            <v>Commissions - gross</v>
          </cell>
          <cell r="Y3542" t="str">
            <v>UNITED KINGDOM</v>
          </cell>
        </row>
        <row r="3543">
          <cell r="L3543" t="str">
            <v>Non-proportional</v>
          </cell>
          <cell r="S3543">
            <v>446.81</v>
          </cell>
          <cell r="X3543" t="str">
            <v>Commissions - gross</v>
          </cell>
          <cell r="Y3543" t="str">
            <v>UNITED KINGDOM</v>
          </cell>
        </row>
        <row r="3544">
          <cell r="L3544" t="str">
            <v>Non-proportional</v>
          </cell>
          <cell r="S3544">
            <v>853.55</v>
          </cell>
          <cell r="X3544" t="str">
            <v>Commissions - gross</v>
          </cell>
          <cell r="Y3544" t="str">
            <v>DENMARK</v>
          </cell>
        </row>
        <row r="3545">
          <cell r="L3545" t="str">
            <v>Non-proportional</v>
          </cell>
          <cell r="S3545">
            <v>326.25</v>
          </cell>
          <cell r="X3545" t="str">
            <v>Commissions - gross</v>
          </cell>
          <cell r="Y3545" t="str">
            <v>ROMANIA</v>
          </cell>
        </row>
        <row r="3546">
          <cell r="L3546" t="str">
            <v>Non-proportional</v>
          </cell>
          <cell r="S3546">
            <v>627.30999999999995</v>
          </cell>
          <cell r="X3546" t="str">
            <v>Commissions - gross</v>
          </cell>
          <cell r="Y3546" t="str">
            <v>SWEDEN</v>
          </cell>
        </row>
        <row r="3547">
          <cell r="L3547" t="str">
            <v>Non-proportional</v>
          </cell>
          <cell r="S3547">
            <v>758.4</v>
          </cell>
          <cell r="X3547" t="str">
            <v>Commissions - gross</v>
          </cell>
          <cell r="Y3547" t="str">
            <v>UNITED KINGDOM</v>
          </cell>
        </row>
        <row r="3548">
          <cell r="L3548" t="str">
            <v>Non-proportional</v>
          </cell>
          <cell r="S3548">
            <v>2041.67</v>
          </cell>
          <cell r="X3548" t="str">
            <v>Commissions - gross</v>
          </cell>
          <cell r="Y3548" t="str">
            <v>GERMANY</v>
          </cell>
        </row>
        <row r="3549">
          <cell r="L3549" t="str">
            <v>Non-proportional</v>
          </cell>
          <cell r="S3549">
            <v>589.96</v>
          </cell>
          <cell r="X3549" t="str">
            <v>Commissions - gross</v>
          </cell>
          <cell r="Y3549" t="str">
            <v>UNITED KINGDOM</v>
          </cell>
        </row>
        <row r="3550">
          <cell r="L3550" t="str">
            <v>Non-proportional</v>
          </cell>
          <cell r="S3550">
            <v>796.5</v>
          </cell>
          <cell r="X3550" t="str">
            <v>Commissions - gross</v>
          </cell>
          <cell r="Y3550" t="str">
            <v>GERMANY</v>
          </cell>
        </row>
        <row r="3551">
          <cell r="L3551" t="str">
            <v>Non-proportional</v>
          </cell>
          <cell r="S3551">
            <v>3465.36</v>
          </cell>
          <cell r="X3551" t="str">
            <v>Commissions - gross</v>
          </cell>
          <cell r="Y3551" t="str">
            <v>UNITED KINGDOM</v>
          </cell>
        </row>
        <row r="3552">
          <cell r="L3552" t="str">
            <v>Non-proportional</v>
          </cell>
          <cell r="S3552">
            <v>2385.42</v>
          </cell>
          <cell r="X3552" t="str">
            <v>Commissions - gross</v>
          </cell>
          <cell r="Y3552" t="str">
            <v>AUSTRIA</v>
          </cell>
        </row>
        <row r="3553">
          <cell r="L3553" t="str">
            <v>Non-proportional</v>
          </cell>
          <cell r="S3553">
            <v>206.53</v>
          </cell>
          <cell r="X3553" t="str">
            <v>Commissions - gross</v>
          </cell>
          <cell r="Y3553" t="str">
            <v>EUROPE</v>
          </cell>
        </row>
        <row r="3554">
          <cell r="L3554" t="str">
            <v>Non-proportional</v>
          </cell>
          <cell r="S3554">
            <v>991.79</v>
          </cell>
          <cell r="X3554" t="str">
            <v>Commissions - gross</v>
          </cell>
          <cell r="Y3554" t="str">
            <v>CZECH REPUBLIC</v>
          </cell>
        </row>
        <row r="3555">
          <cell r="L3555" t="str">
            <v>Non-proportional</v>
          </cell>
          <cell r="S3555">
            <v>37.33</v>
          </cell>
          <cell r="X3555" t="str">
            <v>Commissions - gross</v>
          </cell>
          <cell r="Y3555" t="str">
            <v>UNITED KINGDOM</v>
          </cell>
        </row>
        <row r="3556">
          <cell r="L3556" t="str">
            <v>Non-proportional</v>
          </cell>
          <cell r="S3556">
            <v>339.67</v>
          </cell>
          <cell r="X3556" t="str">
            <v>Commissions - gross</v>
          </cell>
          <cell r="Y3556" t="str">
            <v>ICELAND</v>
          </cell>
        </row>
        <row r="3557">
          <cell r="L3557" t="str">
            <v>Proportional</v>
          </cell>
          <cell r="S3557">
            <v>1519.11</v>
          </cell>
          <cell r="X3557" t="str">
            <v>Commissions - gross</v>
          </cell>
          <cell r="Y3557" t="str">
            <v>UNITED STATES</v>
          </cell>
        </row>
        <row r="3558">
          <cell r="L3558" t="str">
            <v>Non-proportional</v>
          </cell>
          <cell r="S3558">
            <v>361.75</v>
          </cell>
          <cell r="X3558" t="str">
            <v>Commissions - gross</v>
          </cell>
          <cell r="Y3558" t="str">
            <v>FRANCE</v>
          </cell>
        </row>
        <row r="3559">
          <cell r="L3559" t="str">
            <v>Non-proportional</v>
          </cell>
          <cell r="S3559">
            <v>451.14</v>
          </cell>
          <cell r="X3559" t="str">
            <v>Commissions - gross</v>
          </cell>
          <cell r="Y3559" t="str">
            <v>AUSTRIA</v>
          </cell>
        </row>
        <row r="3560">
          <cell r="L3560" t="str">
            <v>Non-proportional</v>
          </cell>
          <cell r="S3560">
            <v>6495.3</v>
          </cell>
          <cell r="X3560" t="str">
            <v>Commissions - gross</v>
          </cell>
          <cell r="Y3560" t="str">
            <v>REPUBLIC OF IRELAND</v>
          </cell>
        </row>
        <row r="3561">
          <cell r="L3561" t="str">
            <v>Non-proportional</v>
          </cell>
          <cell r="S3561">
            <v>1146.3499999999999</v>
          </cell>
          <cell r="X3561" t="str">
            <v>Commissions - gross</v>
          </cell>
          <cell r="Y3561" t="str">
            <v>SWITZERLAND</v>
          </cell>
        </row>
        <row r="3562">
          <cell r="L3562" t="str">
            <v>Proportional</v>
          </cell>
          <cell r="S3562">
            <v>2070.48</v>
          </cell>
          <cell r="X3562" t="str">
            <v>Commissions - gross</v>
          </cell>
          <cell r="Y3562" t="str">
            <v>UNITED STATES</v>
          </cell>
        </row>
        <row r="3563">
          <cell r="L3563" t="str">
            <v>Non-proportional</v>
          </cell>
          <cell r="S3563">
            <v>152.12</v>
          </cell>
          <cell r="X3563" t="str">
            <v>Commissions - gross</v>
          </cell>
          <cell r="Y3563" t="str">
            <v>UNITED KINGDOM</v>
          </cell>
        </row>
        <row r="3564">
          <cell r="L3564" t="str">
            <v>Non-proportional</v>
          </cell>
          <cell r="S3564">
            <v>4963.45</v>
          </cell>
          <cell r="X3564" t="str">
            <v>Commissions - gross</v>
          </cell>
          <cell r="Y3564" t="str">
            <v>UNITED KINGDOM</v>
          </cell>
        </row>
        <row r="3565">
          <cell r="L3565" t="str">
            <v>Non-proportional</v>
          </cell>
          <cell r="S3565">
            <v>27398.29</v>
          </cell>
          <cell r="X3565" t="str">
            <v>Commissions - gross</v>
          </cell>
          <cell r="Y3565" t="str">
            <v>UNITED KINGDOM</v>
          </cell>
        </row>
        <row r="3566">
          <cell r="L3566" t="str">
            <v>Non-proportional</v>
          </cell>
          <cell r="S3566">
            <v>1167.5999999999999</v>
          </cell>
          <cell r="X3566" t="str">
            <v>Commissions - gross</v>
          </cell>
          <cell r="Y3566" t="str">
            <v>SWITZERLAND</v>
          </cell>
        </row>
        <row r="3567">
          <cell r="L3567" t="str">
            <v>Non-proportional</v>
          </cell>
          <cell r="S3567">
            <v>359.91</v>
          </cell>
          <cell r="X3567" t="str">
            <v>Commissions - gross</v>
          </cell>
          <cell r="Y3567" t="str">
            <v>FAROE ISLANDS</v>
          </cell>
        </row>
        <row r="3568">
          <cell r="L3568" t="str">
            <v>Non-proportional</v>
          </cell>
          <cell r="S3568">
            <v>836.96</v>
          </cell>
          <cell r="X3568" t="str">
            <v>Commissions - gross</v>
          </cell>
          <cell r="Y3568" t="str">
            <v>GERMANY</v>
          </cell>
        </row>
        <row r="3569">
          <cell r="L3569" t="str">
            <v>Non-proportional</v>
          </cell>
          <cell r="S3569">
            <v>862.5</v>
          </cell>
          <cell r="X3569" t="str">
            <v>Commissions - gross</v>
          </cell>
          <cell r="Y3569" t="str">
            <v>GERMANY</v>
          </cell>
        </row>
        <row r="3570">
          <cell r="L3570" t="str">
            <v>Non-proportional</v>
          </cell>
          <cell r="S3570">
            <v>146.79</v>
          </cell>
          <cell r="X3570" t="str">
            <v>Commissions - gross</v>
          </cell>
          <cell r="Y3570" t="str">
            <v>REPUBLIC OF IRELAND</v>
          </cell>
        </row>
        <row r="3571">
          <cell r="L3571" t="str">
            <v>Non-proportional</v>
          </cell>
          <cell r="S3571">
            <v>603.75</v>
          </cell>
          <cell r="X3571" t="str">
            <v>Commissions - gross</v>
          </cell>
          <cell r="Y3571" t="str">
            <v>GERMANY</v>
          </cell>
        </row>
        <row r="3572">
          <cell r="L3572" t="str">
            <v>Non-proportional</v>
          </cell>
          <cell r="S3572">
            <v>110.8</v>
          </cell>
          <cell r="X3572" t="str">
            <v>Commissions - gross</v>
          </cell>
          <cell r="Y3572" t="str">
            <v>AUSTRIA</v>
          </cell>
        </row>
        <row r="3573">
          <cell r="L3573" t="str">
            <v>Non-proportional</v>
          </cell>
          <cell r="S3573">
            <v>1.71</v>
          </cell>
          <cell r="X3573" t="str">
            <v>Commissions - gross</v>
          </cell>
          <cell r="Y3573" t="str">
            <v>POLAND</v>
          </cell>
        </row>
        <row r="3574">
          <cell r="L3574" t="str">
            <v>Non-proportional</v>
          </cell>
          <cell r="S3574">
            <v>4089.27</v>
          </cell>
          <cell r="X3574" t="str">
            <v>Commissions - gross</v>
          </cell>
          <cell r="Y3574" t="str">
            <v>SWITZERLAND</v>
          </cell>
        </row>
        <row r="3575">
          <cell r="L3575" t="str">
            <v>Non-proportional</v>
          </cell>
          <cell r="S3575">
            <v>177.66</v>
          </cell>
          <cell r="X3575" t="str">
            <v>Commissions - gross</v>
          </cell>
          <cell r="Y3575" t="str">
            <v>JAPAN</v>
          </cell>
        </row>
        <row r="3576">
          <cell r="L3576" t="str">
            <v>Non-proportional</v>
          </cell>
          <cell r="S3576">
            <v>45.13</v>
          </cell>
          <cell r="X3576" t="str">
            <v>Commissions - gross</v>
          </cell>
          <cell r="Y3576" t="str">
            <v>ITALY</v>
          </cell>
        </row>
        <row r="3577">
          <cell r="L3577" t="str">
            <v>Non-proportional</v>
          </cell>
          <cell r="S3577">
            <v>2075.87</v>
          </cell>
          <cell r="X3577" t="str">
            <v>Commissions - gross</v>
          </cell>
          <cell r="Y3577" t="str">
            <v>UNITED KINGDOM</v>
          </cell>
        </row>
        <row r="3578">
          <cell r="L3578" t="str">
            <v>Non-proportional</v>
          </cell>
          <cell r="S3578">
            <v>3450.2</v>
          </cell>
          <cell r="X3578" t="str">
            <v>Commissions - gross</v>
          </cell>
          <cell r="Y3578" t="str">
            <v>CZECH REPUBLIC</v>
          </cell>
        </row>
        <row r="3579">
          <cell r="L3579" t="str">
            <v>Non-proportional</v>
          </cell>
          <cell r="S3579">
            <v>2075.86</v>
          </cell>
          <cell r="X3579" t="str">
            <v>Commissions - gross</v>
          </cell>
          <cell r="Y3579" t="str">
            <v>EIRE</v>
          </cell>
        </row>
        <row r="3580">
          <cell r="L3580" t="str">
            <v>Non-proportional</v>
          </cell>
          <cell r="S3580">
            <v>7243.51</v>
          </cell>
          <cell r="X3580" t="str">
            <v>Commissions - gross</v>
          </cell>
          <cell r="Y3580" t="str">
            <v>UNITED KINGDOM</v>
          </cell>
        </row>
        <row r="3581">
          <cell r="L3581" t="str">
            <v>Non-proportional</v>
          </cell>
          <cell r="S3581">
            <v>5725.57</v>
          </cell>
          <cell r="X3581" t="str">
            <v>Commissions - gross</v>
          </cell>
          <cell r="Y3581" t="str">
            <v>UNITED KINGDOM</v>
          </cell>
        </row>
        <row r="3582">
          <cell r="L3582" t="str">
            <v>Non-proportional</v>
          </cell>
          <cell r="S3582">
            <v>764.27</v>
          </cell>
          <cell r="X3582" t="str">
            <v>Commissions - gross</v>
          </cell>
          <cell r="Y3582" t="str">
            <v>ICELAND</v>
          </cell>
        </row>
        <row r="3583">
          <cell r="L3583" t="str">
            <v>Non-proportional</v>
          </cell>
          <cell r="S3583">
            <v>791.67</v>
          </cell>
          <cell r="X3583" t="str">
            <v>Commissions - gross</v>
          </cell>
          <cell r="Y3583" t="str">
            <v>GERMANY</v>
          </cell>
        </row>
        <row r="3584">
          <cell r="L3584" t="str">
            <v>Non-proportional</v>
          </cell>
          <cell r="S3584">
            <v>869.69</v>
          </cell>
          <cell r="X3584" t="str">
            <v>Commissions - gross</v>
          </cell>
          <cell r="Y3584" t="str">
            <v>GERMANY</v>
          </cell>
        </row>
        <row r="3585">
          <cell r="L3585" t="str">
            <v>Non-proportional</v>
          </cell>
          <cell r="S3585">
            <v>138.30000000000001</v>
          </cell>
          <cell r="X3585" t="str">
            <v>Commissions - gross</v>
          </cell>
          <cell r="Y3585" t="str">
            <v>SWITZERLAND</v>
          </cell>
        </row>
        <row r="3586">
          <cell r="L3586" t="str">
            <v>Non-proportional</v>
          </cell>
          <cell r="S3586">
            <v>285.58</v>
          </cell>
          <cell r="X3586" t="str">
            <v>Commissions - gross</v>
          </cell>
          <cell r="Y3586" t="str">
            <v>UNITED KINGDOM</v>
          </cell>
        </row>
        <row r="3587">
          <cell r="L3587" t="str">
            <v>Non-proportional</v>
          </cell>
          <cell r="S3587">
            <v>310.73</v>
          </cell>
          <cell r="X3587" t="str">
            <v>Commissions - gross</v>
          </cell>
          <cell r="Y3587" t="str">
            <v>GERMANY</v>
          </cell>
        </row>
        <row r="3588">
          <cell r="L3588" t="str">
            <v>Non-proportional</v>
          </cell>
          <cell r="S3588">
            <v>1890</v>
          </cell>
          <cell r="X3588" t="str">
            <v>Commissions - gross</v>
          </cell>
          <cell r="Y3588" t="str">
            <v>ROMANIA</v>
          </cell>
        </row>
        <row r="3589">
          <cell r="L3589" t="str">
            <v>Non-proportional</v>
          </cell>
          <cell r="S3589">
            <v>1942.23</v>
          </cell>
          <cell r="X3589" t="str">
            <v>Commissions - gross</v>
          </cell>
          <cell r="Y3589" t="str">
            <v>SWEDEN</v>
          </cell>
        </row>
        <row r="3590">
          <cell r="L3590" t="str">
            <v>Non-proportional</v>
          </cell>
          <cell r="S3590">
            <v>-1.06</v>
          </cell>
          <cell r="X3590" t="str">
            <v>Commissions - gross</v>
          </cell>
          <cell r="Y3590" t="str">
            <v>SWEDEN</v>
          </cell>
        </row>
        <row r="3591">
          <cell r="L3591" t="str">
            <v>Non-proportional</v>
          </cell>
          <cell r="S3591">
            <v>546.71</v>
          </cell>
          <cell r="X3591" t="str">
            <v>Commissions - gross</v>
          </cell>
          <cell r="Y3591" t="str">
            <v>EIRE</v>
          </cell>
        </row>
        <row r="3592">
          <cell r="L3592" t="str">
            <v>Non-proportional</v>
          </cell>
          <cell r="S3592">
            <v>498.47</v>
          </cell>
          <cell r="X3592" t="str">
            <v>Commissions - gross</v>
          </cell>
          <cell r="Y3592" t="str">
            <v>GERMANY</v>
          </cell>
        </row>
        <row r="3593">
          <cell r="L3593" t="str">
            <v>Non-proportional</v>
          </cell>
          <cell r="S3593">
            <v>687.19</v>
          </cell>
          <cell r="X3593" t="str">
            <v>Commissions - gross</v>
          </cell>
          <cell r="Y3593" t="str">
            <v>GERMANY</v>
          </cell>
        </row>
        <row r="3594">
          <cell r="L3594" t="str">
            <v>Non-proportional</v>
          </cell>
          <cell r="S3594">
            <v>869.77</v>
          </cell>
          <cell r="X3594" t="str">
            <v>Commissions - gross</v>
          </cell>
          <cell r="Y3594" t="str">
            <v>GERMANY</v>
          </cell>
        </row>
        <row r="3595">
          <cell r="L3595" t="str">
            <v>Non-proportional</v>
          </cell>
          <cell r="S3595">
            <v>127.94</v>
          </cell>
          <cell r="X3595" t="str">
            <v>Commissions - gross</v>
          </cell>
          <cell r="Y3595" t="str">
            <v>FRANCE</v>
          </cell>
        </row>
        <row r="3596">
          <cell r="L3596" t="str">
            <v>Non-proportional</v>
          </cell>
          <cell r="S3596">
            <v>669.54</v>
          </cell>
          <cell r="X3596" t="str">
            <v>Commissions - gross</v>
          </cell>
          <cell r="Y3596" t="str">
            <v>DENMARK</v>
          </cell>
        </row>
        <row r="3597">
          <cell r="L3597" t="str">
            <v>Non-proportional</v>
          </cell>
          <cell r="S3597">
            <v>832.28</v>
          </cell>
          <cell r="X3597" t="str">
            <v>Commissions - gross</v>
          </cell>
          <cell r="Y3597" t="str">
            <v>GERMANY</v>
          </cell>
        </row>
        <row r="3598">
          <cell r="L3598" t="str">
            <v>Non-proportional</v>
          </cell>
          <cell r="S3598">
            <v>1760.9</v>
          </cell>
          <cell r="X3598" t="str">
            <v>Commissions - gross</v>
          </cell>
          <cell r="Y3598" t="str">
            <v>AUSTRIA</v>
          </cell>
        </row>
        <row r="3599">
          <cell r="L3599" t="str">
            <v>Non-proportional</v>
          </cell>
          <cell r="S3599">
            <v>4093.7</v>
          </cell>
          <cell r="X3599" t="str">
            <v>Commissions - gross</v>
          </cell>
          <cell r="Y3599" t="str">
            <v>UNITED KINGDOM</v>
          </cell>
        </row>
        <row r="3600">
          <cell r="L3600" t="str">
            <v>Non-proportional</v>
          </cell>
          <cell r="S3600">
            <v>385</v>
          </cell>
          <cell r="X3600" t="str">
            <v>Commissions - gross</v>
          </cell>
          <cell r="Y3600" t="str">
            <v>GERMANY</v>
          </cell>
        </row>
        <row r="3601">
          <cell r="L3601" t="str">
            <v>Non-proportional</v>
          </cell>
          <cell r="S3601">
            <v>558.63</v>
          </cell>
          <cell r="X3601" t="str">
            <v>Commissions - gross</v>
          </cell>
          <cell r="Y3601" t="str">
            <v>GERMANY</v>
          </cell>
        </row>
        <row r="3602">
          <cell r="L3602" t="str">
            <v>Non-proportional</v>
          </cell>
          <cell r="S3602">
            <v>-0.35</v>
          </cell>
          <cell r="X3602" t="str">
            <v>Commissions - gross</v>
          </cell>
          <cell r="Y3602" t="str">
            <v>DENMARK</v>
          </cell>
        </row>
        <row r="3603">
          <cell r="L3603" t="str">
            <v>Non-proportional</v>
          </cell>
          <cell r="S3603">
            <v>1227.3699999999999</v>
          </cell>
          <cell r="X3603" t="str">
            <v>Commissions - gross</v>
          </cell>
          <cell r="Y3603" t="str">
            <v>DENMARK</v>
          </cell>
        </row>
        <row r="3604">
          <cell r="L3604" t="str">
            <v>Non-proportional</v>
          </cell>
          <cell r="S3604">
            <v>352.85</v>
          </cell>
          <cell r="X3604" t="str">
            <v>Commissions - gross</v>
          </cell>
          <cell r="Y3604" t="str">
            <v>FAROE ISLANDS</v>
          </cell>
        </row>
        <row r="3605">
          <cell r="L3605" t="str">
            <v>Non-proportional</v>
          </cell>
          <cell r="S3605">
            <v>10519.93</v>
          </cell>
          <cell r="X3605" t="str">
            <v>Commissions - gross</v>
          </cell>
          <cell r="Y3605" t="str">
            <v>UNITED KINGDOM</v>
          </cell>
        </row>
        <row r="3606">
          <cell r="L3606" t="str">
            <v>Non-proportional</v>
          </cell>
          <cell r="S3606">
            <v>326.25</v>
          </cell>
          <cell r="X3606" t="str">
            <v>Commissions - gross</v>
          </cell>
          <cell r="Y3606" t="str">
            <v>ROMANIA</v>
          </cell>
        </row>
        <row r="3607">
          <cell r="L3607" t="str">
            <v>Non-proportional</v>
          </cell>
          <cell r="S3607">
            <v>581.67999999999995</v>
          </cell>
          <cell r="X3607" t="str">
            <v>Commissions - gross</v>
          </cell>
          <cell r="Y3607" t="str">
            <v>UNITED KINGDOM</v>
          </cell>
        </row>
        <row r="3608">
          <cell r="L3608" t="str">
            <v>Non-proportional</v>
          </cell>
          <cell r="S3608">
            <v>1583.24</v>
          </cell>
          <cell r="X3608" t="str">
            <v>Commissions - gross</v>
          </cell>
          <cell r="Y3608" t="str">
            <v>GERMANY</v>
          </cell>
        </row>
        <row r="3609">
          <cell r="L3609" t="str">
            <v>Non-proportional</v>
          </cell>
          <cell r="S3609">
            <v>-0.21</v>
          </cell>
          <cell r="X3609" t="str">
            <v>Commissions - gross</v>
          </cell>
          <cell r="Y3609" t="str">
            <v>SWEDEN</v>
          </cell>
        </row>
        <row r="3610">
          <cell r="L3610" t="str">
            <v>Non-proportional</v>
          </cell>
          <cell r="S3610">
            <v>331.31</v>
          </cell>
          <cell r="X3610" t="str">
            <v>Commissions - gross</v>
          </cell>
          <cell r="Y3610" t="str">
            <v>EUROPE</v>
          </cell>
        </row>
        <row r="3611">
          <cell r="L3611" t="str">
            <v>Non-proportional</v>
          </cell>
          <cell r="S3611">
            <v>493.88</v>
          </cell>
          <cell r="X3611" t="str">
            <v>Commissions - gross</v>
          </cell>
          <cell r="Y3611" t="str">
            <v>SWITZERLAND</v>
          </cell>
        </row>
        <row r="3612">
          <cell r="L3612" t="str">
            <v>Non-proportional</v>
          </cell>
          <cell r="S3612">
            <v>150.91</v>
          </cell>
          <cell r="X3612" t="str">
            <v>Commissions - gross</v>
          </cell>
          <cell r="Y3612" t="str">
            <v>GERMANY</v>
          </cell>
        </row>
        <row r="3613">
          <cell r="L3613" t="str">
            <v>Non-proportional</v>
          </cell>
          <cell r="S3613">
            <v>1082.92</v>
          </cell>
          <cell r="X3613" t="str">
            <v>Commissions - gross</v>
          </cell>
          <cell r="Y3613" t="str">
            <v>UNITED KINGDOM</v>
          </cell>
        </row>
        <row r="3614">
          <cell r="L3614" t="str">
            <v>Non-proportional</v>
          </cell>
          <cell r="S3614">
            <v>61.3</v>
          </cell>
          <cell r="X3614" t="str">
            <v>Commissions - gross</v>
          </cell>
          <cell r="Y3614" t="str">
            <v>REPUBLIC OF IRELAND</v>
          </cell>
        </row>
        <row r="3615">
          <cell r="L3615" t="str">
            <v>Non-proportional</v>
          </cell>
          <cell r="S3615">
            <v>2077.06</v>
          </cell>
          <cell r="X3615" t="str">
            <v>Commissions - gross</v>
          </cell>
          <cell r="Y3615" t="str">
            <v>FRANCE</v>
          </cell>
        </row>
        <row r="3616">
          <cell r="L3616" t="str">
            <v>Non-proportional</v>
          </cell>
          <cell r="S3616">
            <v>155.36000000000001</v>
          </cell>
          <cell r="X3616" t="str">
            <v>Commissions - gross</v>
          </cell>
          <cell r="Y3616" t="str">
            <v>REPUBLIC OF IRELAND</v>
          </cell>
        </row>
        <row r="3617">
          <cell r="L3617" t="str">
            <v>Non-proportional</v>
          </cell>
          <cell r="S3617">
            <v>1137.1400000000001</v>
          </cell>
          <cell r="X3617" t="str">
            <v>Commissions - gross</v>
          </cell>
          <cell r="Y3617" t="str">
            <v>UNITED KINGDOM</v>
          </cell>
        </row>
        <row r="3618">
          <cell r="L3618" t="str">
            <v>Non-proportional</v>
          </cell>
          <cell r="S3618">
            <v>79.2</v>
          </cell>
          <cell r="X3618" t="str">
            <v>Commissions - gross</v>
          </cell>
          <cell r="Y3618" t="str">
            <v>JAPAN</v>
          </cell>
        </row>
        <row r="3619">
          <cell r="L3619" t="str">
            <v>Non-proportional</v>
          </cell>
          <cell r="S3619">
            <v>760.42</v>
          </cell>
          <cell r="X3619" t="str">
            <v>Commissions - gross</v>
          </cell>
          <cell r="Y3619" t="str">
            <v>GERMANY</v>
          </cell>
        </row>
        <row r="3620">
          <cell r="L3620" t="str">
            <v>Non-proportional</v>
          </cell>
          <cell r="S3620">
            <v>112.5</v>
          </cell>
          <cell r="X3620" t="str">
            <v>Commissions - gross</v>
          </cell>
          <cell r="Y3620" t="str">
            <v>GERMANY</v>
          </cell>
        </row>
        <row r="3621">
          <cell r="L3621" t="str">
            <v>Non-proportional</v>
          </cell>
          <cell r="S3621">
            <v>2000.25</v>
          </cell>
          <cell r="X3621" t="str">
            <v>Commissions - gross</v>
          </cell>
          <cell r="Y3621" t="str">
            <v>CZECH REPUBLIC</v>
          </cell>
        </row>
        <row r="3622">
          <cell r="L3622" t="str">
            <v>Non-proportional</v>
          </cell>
          <cell r="S3622">
            <v>0.99</v>
          </cell>
          <cell r="X3622" t="str">
            <v>Commissions - gross</v>
          </cell>
          <cell r="Y3622" t="str">
            <v>JAPAN</v>
          </cell>
        </row>
        <row r="3623">
          <cell r="L3623" t="str">
            <v>Non-proportional</v>
          </cell>
          <cell r="S3623">
            <v>1292.6199999999999</v>
          </cell>
          <cell r="X3623" t="str">
            <v>Commissions - gross</v>
          </cell>
          <cell r="Y3623" t="str">
            <v>UNITED KINGDOM</v>
          </cell>
        </row>
        <row r="3624">
          <cell r="L3624" t="str">
            <v>Non-proportional</v>
          </cell>
          <cell r="S3624">
            <v>4090.35</v>
          </cell>
          <cell r="X3624" t="str">
            <v>Commissions - gross</v>
          </cell>
          <cell r="Y3624" t="str">
            <v>GERMANY</v>
          </cell>
        </row>
        <row r="3625">
          <cell r="L3625" t="str">
            <v>Non-proportional</v>
          </cell>
          <cell r="S3625">
            <v>-0.95</v>
          </cell>
          <cell r="X3625" t="str">
            <v>Commissions - gross</v>
          </cell>
          <cell r="Y3625" t="str">
            <v>SWEDEN</v>
          </cell>
        </row>
        <row r="3626">
          <cell r="L3626" t="str">
            <v>Non-proportional</v>
          </cell>
          <cell r="S3626">
            <v>1717.84</v>
          </cell>
          <cell r="X3626" t="str">
            <v>Commissions - gross</v>
          </cell>
          <cell r="Y3626" t="str">
            <v>SWITZERLAND</v>
          </cell>
        </row>
        <row r="3627">
          <cell r="L3627" t="str">
            <v>Non-proportional</v>
          </cell>
          <cell r="S3627">
            <v>503.87</v>
          </cell>
          <cell r="X3627" t="str">
            <v>Commissions - gross</v>
          </cell>
          <cell r="Y3627" t="str">
            <v>SWITZERLAND</v>
          </cell>
        </row>
        <row r="3628">
          <cell r="L3628" t="str">
            <v>Non-proportional</v>
          </cell>
          <cell r="S3628">
            <v>999.97</v>
          </cell>
          <cell r="X3628" t="str">
            <v>Commissions - gross</v>
          </cell>
          <cell r="Y3628" t="str">
            <v>GERMANY</v>
          </cell>
        </row>
        <row r="3629">
          <cell r="L3629" t="str">
            <v>Non-proportional</v>
          </cell>
          <cell r="S3629">
            <v>83.68</v>
          </cell>
          <cell r="X3629" t="str">
            <v>Commissions - gross</v>
          </cell>
          <cell r="Y3629" t="str">
            <v>DENMARK</v>
          </cell>
        </row>
        <row r="3630">
          <cell r="L3630" t="str">
            <v>Non-proportional</v>
          </cell>
          <cell r="S3630">
            <v>1460.25</v>
          </cell>
          <cell r="X3630" t="str">
            <v>Commissions - gross</v>
          </cell>
          <cell r="Y3630" t="str">
            <v>GERMANY</v>
          </cell>
        </row>
        <row r="3631">
          <cell r="L3631" t="str">
            <v>Non-proportional</v>
          </cell>
          <cell r="S3631">
            <v>310.39</v>
          </cell>
          <cell r="X3631" t="str">
            <v>Commissions - gross</v>
          </cell>
          <cell r="Y3631" t="str">
            <v>JAPAN</v>
          </cell>
        </row>
        <row r="3632">
          <cell r="L3632" t="str">
            <v>Non-proportional</v>
          </cell>
          <cell r="S3632">
            <v>52.53</v>
          </cell>
          <cell r="X3632" t="str">
            <v>Commissions - gross</v>
          </cell>
          <cell r="Y3632" t="str">
            <v>NORWAY</v>
          </cell>
        </row>
        <row r="3633">
          <cell r="L3633" t="str">
            <v>Non-proportional</v>
          </cell>
          <cell r="S3633">
            <v>580.51</v>
          </cell>
          <cell r="X3633" t="str">
            <v>Commissions - gross</v>
          </cell>
          <cell r="Y3633" t="str">
            <v>NORWAY</v>
          </cell>
        </row>
        <row r="3634">
          <cell r="L3634" t="str">
            <v>Non-proportional</v>
          </cell>
          <cell r="S3634">
            <v>-0.28000000000000003</v>
          </cell>
          <cell r="X3634" t="str">
            <v>Commissions - gross</v>
          </cell>
          <cell r="Y3634" t="str">
            <v>DENMARK</v>
          </cell>
        </row>
        <row r="3635">
          <cell r="L3635" t="str">
            <v>Non-proportional</v>
          </cell>
          <cell r="S3635">
            <v>1992.02</v>
          </cell>
          <cell r="X3635" t="str">
            <v>Commissions - gross</v>
          </cell>
          <cell r="Y3635" t="str">
            <v>FRANCE</v>
          </cell>
        </row>
        <row r="3636">
          <cell r="L3636" t="str">
            <v>Non-proportional</v>
          </cell>
          <cell r="S3636">
            <v>791.68</v>
          </cell>
          <cell r="X3636" t="str">
            <v>Commissions - gross</v>
          </cell>
          <cell r="Y3636" t="str">
            <v>GERMANY</v>
          </cell>
        </row>
        <row r="3637">
          <cell r="L3637" t="str">
            <v>Non-proportional</v>
          </cell>
          <cell r="S3637">
            <v>807.28</v>
          </cell>
          <cell r="X3637" t="str">
            <v>Commissions - gross</v>
          </cell>
          <cell r="Y3637" t="str">
            <v>GERMANY</v>
          </cell>
        </row>
        <row r="3638">
          <cell r="L3638" t="str">
            <v>Non-proportional</v>
          </cell>
          <cell r="S3638">
            <v>580.27</v>
          </cell>
          <cell r="X3638" t="str">
            <v>Commissions - gross</v>
          </cell>
          <cell r="Y3638" t="str">
            <v>DENMARK</v>
          </cell>
        </row>
        <row r="3639">
          <cell r="L3639" t="str">
            <v>Non-proportional</v>
          </cell>
          <cell r="S3639">
            <v>1428.1</v>
          </cell>
          <cell r="X3639" t="str">
            <v>Commissions - gross</v>
          </cell>
          <cell r="Y3639" t="str">
            <v>POLAND</v>
          </cell>
        </row>
        <row r="3640">
          <cell r="L3640" t="str">
            <v>Non-proportional</v>
          </cell>
          <cell r="S3640">
            <v>589.59</v>
          </cell>
          <cell r="X3640" t="str">
            <v>Commissions - gross</v>
          </cell>
          <cell r="Y3640" t="str">
            <v>SWEDEN</v>
          </cell>
        </row>
        <row r="3641">
          <cell r="L3641" t="str">
            <v>Non-proportional</v>
          </cell>
          <cell r="S3641">
            <v>2133.88</v>
          </cell>
          <cell r="X3641" t="str">
            <v>Commissions - gross</v>
          </cell>
          <cell r="Y3641" t="str">
            <v>SWITZERLAND</v>
          </cell>
        </row>
        <row r="3642">
          <cell r="L3642" t="str">
            <v>Non-proportional</v>
          </cell>
          <cell r="S3642">
            <v>1400.86</v>
          </cell>
          <cell r="X3642" t="str">
            <v>Commissions - gross</v>
          </cell>
          <cell r="Y3642" t="str">
            <v>GERMANY</v>
          </cell>
        </row>
        <row r="3643">
          <cell r="L3643" t="str">
            <v>Non-proportional</v>
          </cell>
          <cell r="S3643">
            <v>864.28</v>
          </cell>
          <cell r="X3643" t="str">
            <v>Commissions - gross</v>
          </cell>
          <cell r="Y3643" t="str">
            <v>UNITED KINGDOM</v>
          </cell>
        </row>
        <row r="3644">
          <cell r="L3644" t="str">
            <v>Proportional</v>
          </cell>
          <cell r="S3644">
            <v>122.16</v>
          </cell>
          <cell r="X3644" t="str">
            <v>Commissions - gross</v>
          </cell>
          <cell r="Y3644" t="str">
            <v>UNITED STATES</v>
          </cell>
        </row>
        <row r="3645">
          <cell r="L3645" t="str">
            <v>Non-proportional</v>
          </cell>
          <cell r="S3645">
            <v>1834.49</v>
          </cell>
          <cell r="X3645" t="str">
            <v>Commissions - gross</v>
          </cell>
          <cell r="Y3645" t="str">
            <v>UNITED KINGDOM</v>
          </cell>
        </row>
        <row r="3646">
          <cell r="L3646" t="str">
            <v>Non-proportional</v>
          </cell>
          <cell r="S3646">
            <v>4214.1899999999996</v>
          </cell>
          <cell r="X3646" t="str">
            <v>Commissions - gross</v>
          </cell>
          <cell r="Y3646" t="str">
            <v>UNITED KINGDOM</v>
          </cell>
        </row>
        <row r="3647">
          <cell r="L3647" t="str">
            <v>Non-proportional</v>
          </cell>
          <cell r="S3647">
            <v>140.16999999999999</v>
          </cell>
          <cell r="X3647" t="str">
            <v>Commissions - gross</v>
          </cell>
          <cell r="Y3647" t="str">
            <v>GERMANY</v>
          </cell>
        </row>
        <row r="3648">
          <cell r="L3648" t="str">
            <v>Non-proportional</v>
          </cell>
          <cell r="S3648">
            <v>2941.67</v>
          </cell>
          <cell r="X3648" t="str">
            <v>Commissions - gross</v>
          </cell>
          <cell r="Y3648" t="str">
            <v>EUROPE</v>
          </cell>
        </row>
        <row r="3649">
          <cell r="L3649" t="str">
            <v>Non-proportional</v>
          </cell>
          <cell r="S3649">
            <v>750.16</v>
          </cell>
          <cell r="X3649" t="str">
            <v>Commissions - gross</v>
          </cell>
          <cell r="Y3649" t="str">
            <v>GERMANY</v>
          </cell>
        </row>
        <row r="3650">
          <cell r="L3650" t="str">
            <v>Non-proportional</v>
          </cell>
          <cell r="S3650">
            <v>71.84</v>
          </cell>
          <cell r="X3650" t="str">
            <v>Commissions - gross</v>
          </cell>
          <cell r="Y3650" t="str">
            <v>ITALY</v>
          </cell>
        </row>
        <row r="3651">
          <cell r="L3651" t="str">
            <v>Non-proportional</v>
          </cell>
          <cell r="S3651">
            <v>388.23</v>
          </cell>
          <cell r="X3651" t="str">
            <v>Commissions - gross</v>
          </cell>
          <cell r="Y3651" t="str">
            <v>UNITED KINGDOM</v>
          </cell>
        </row>
        <row r="3652">
          <cell r="L3652" t="str">
            <v>Non-proportional</v>
          </cell>
          <cell r="S3652">
            <v>1181.5899999999999</v>
          </cell>
          <cell r="X3652" t="str">
            <v>Commissions - gross</v>
          </cell>
          <cell r="Y3652" t="str">
            <v>GERMANY</v>
          </cell>
        </row>
        <row r="3653">
          <cell r="L3653" t="str">
            <v>Non-proportional</v>
          </cell>
          <cell r="S3653">
            <v>1271.67</v>
          </cell>
          <cell r="X3653" t="str">
            <v>Commissions - gross</v>
          </cell>
          <cell r="Y3653" t="str">
            <v>SWEDEN</v>
          </cell>
        </row>
        <row r="3654">
          <cell r="L3654" t="str">
            <v>Non-proportional</v>
          </cell>
          <cell r="S3654">
            <v>745.46</v>
          </cell>
          <cell r="X3654" t="str">
            <v>Commissions - gross</v>
          </cell>
          <cell r="Y3654" t="str">
            <v>EUROPE</v>
          </cell>
        </row>
        <row r="3655">
          <cell r="L3655" t="str">
            <v>Non-proportional</v>
          </cell>
          <cell r="S3655">
            <v>8.33</v>
          </cell>
          <cell r="X3655" t="str">
            <v>Commissions - gross</v>
          </cell>
          <cell r="Y3655" t="str">
            <v>FRANCE</v>
          </cell>
        </row>
        <row r="3656">
          <cell r="L3656" t="str">
            <v>Non-proportional</v>
          </cell>
          <cell r="S3656">
            <v>337.5</v>
          </cell>
          <cell r="X3656" t="str">
            <v>Commissions - gross</v>
          </cell>
          <cell r="Y3656" t="str">
            <v>GERMANY</v>
          </cell>
        </row>
        <row r="3657">
          <cell r="L3657" t="str">
            <v>Non-proportional</v>
          </cell>
          <cell r="S3657">
            <v>536.25</v>
          </cell>
          <cell r="X3657" t="str">
            <v>Commissions - gross</v>
          </cell>
          <cell r="Y3657" t="str">
            <v>GERMANY</v>
          </cell>
        </row>
        <row r="3658">
          <cell r="L3658" t="str">
            <v>Non-proportional</v>
          </cell>
          <cell r="S3658">
            <v>494.33</v>
          </cell>
          <cell r="X3658" t="str">
            <v>Commissions - gross</v>
          </cell>
          <cell r="Y3658" t="str">
            <v>UNITED ARAB EMIRATES</v>
          </cell>
        </row>
        <row r="3659">
          <cell r="L3659" t="str">
            <v>Non-proportional</v>
          </cell>
          <cell r="S3659">
            <v>12952.21</v>
          </cell>
          <cell r="X3659" t="str">
            <v>Commissions - gross</v>
          </cell>
          <cell r="Y3659" t="str">
            <v>UNITED KINGDOM</v>
          </cell>
        </row>
        <row r="3660">
          <cell r="L3660" t="str">
            <v>Non-proportional</v>
          </cell>
          <cell r="S3660">
            <v>-0.57999999999999996</v>
          </cell>
          <cell r="X3660" t="str">
            <v>Commissions - gross</v>
          </cell>
          <cell r="Y3660" t="str">
            <v>DENMARK</v>
          </cell>
        </row>
        <row r="3661">
          <cell r="L3661" t="str">
            <v>Non-proportional</v>
          </cell>
          <cell r="S3661">
            <v>-0.31</v>
          </cell>
          <cell r="X3661" t="str">
            <v>Commissions - gross</v>
          </cell>
          <cell r="Y3661" t="str">
            <v>DENMARK</v>
          </cell>
        </row>
        <row r="3662">
          <cell r="L3662" t="str">
            <v>Non-proportional</v>
          </cell>
          <cell r="S3662">
            <v>413.62</v>
          </cell>
          <cell r="X3662" t="str">
            <v>Commissions - gross</v>
          </cell>
          <cell r="Y3662" t="str">
            <v>SWITZERLAND</v>
          </cell>
        </row>
        <row r="3663">
          <cell r="L3663" t="str">
            <v>Non-proportional</v>
          </cell>
          <cell r="S3663">
            <v>263.73</v>
          </cell>
          <cell r="X3663" t="str">
            <v>Commissions - gross</v>
          </cell>
          <cell r="Y3663" t="str">
            <v>GERMANY</v>
          </cell>
        </row>
        <row r="3664">
          <cell r="L3664" t="str">
            <v>Non-proportional</v>
          </cell>
          <cell r="S3664">
            <v>1633.94</v>
          </cell>
          <cell r="X3664" t="str">
            <v>Commissions - gross</v>
          </cell>
          <cell r="Y3664" t="str">
            <v>UNITED KINGDOM</v>
          </cell>
        </row>
        <row r="3665">
          <cell r="L3665" t="str">
            <v>Non-proportional</v>
          </cell>
          <cell r="S3665">
            <v>201.31</v>
          </cell>
          <cell r="X3665" t="str">
            <v>Commissions - gross</v>
          </cell>
          <cell r="Y3665" t="str">
            <v>SWITZERLAND</v>
          </cell>
        </row>
        <row r="3666">
          <cell r="L3666" t="str">
            <v>Non-proportional</v>
          </cell>
          <cell r="S3666">
            <v>920.31</v>
          </cell>
          <cell r="X3666" t="str">
            <v>Commissions - gross</v>
          </cell>
          <cell r="Y3666" t="str">
            <v>GERMANY</v>
          </cell>
        </row>
        <row r="3667">
          <cell r="L3667" t="str">
            <v>Non-proportional</v>
          </cell>
          <cell r="S3667">
            <v>150.96</v>
          </cell>
          <cell r="X3667" t="str">
            <v>Commissions - gross</v>
          </cell>
          <cell r="Y3667" t="str">
            <v>UNITED ARAB EMIRATES</v>
          </cell>
        </row>
        <row r="3668">
          <cell r="L3668" t="str">
            <v>Non-proportional</v>
          </cell>
          <cell r="S3668">
            <v>247.74</v>
          </cell>
          <cell r="X3668" t="str">
            <v>Commissions - gross</v>
          </cell>
          <cell r="Y3668" t="str">
            <v>SWEDEN</v>
          </cell>
        </row>
        <row r="3669">
          <cell r="L3669" t="str">
            <v>Non-proportional</v>
          </cell>
          <cell r="S3669">
            <v>4375</v>
          </cell>
          <cell r="X3669" t="str">
            <v>Commissions - gross</v>
          </cell>
          <cell r="Y3669" t="str">
            <v>GERMANY</v>
          </cell>
        </row>
        <row r="3670">
          <cell r="L3670" t="str">
            <v>Non-proportional</v>
          </cell>
          <cell r="S3670">
            <v>760.66</v>
          </cell>
          <cell r="X3670" t="str">
            <v>Commissions - gross</v>
          </cell>
          <cell r="Y3670" t="str">
            <v>UNITED KINGDOM</v>
          </cell>
        </row>
        <row r="3671">
          <cell r="L3671" t="str">
            <v>Non-proportional</v>
          </cell>
          <cell r="S3671">
            <v>31.34</v>
          </cell>
          <cell r="X3671" t="str">
            <v>Commissions - gross</v>
          </cell>
          <cell r="Y3671" t="str">
            <v>DENMARK</v>
          </cell>
        </row>
        <row r="3672">
          <cell r="L3672" t="str">
            <v>Non-proportional</v>
          </cell>
          <cell r="S3672">
            <v>373.46</v>
          </cell>
          <cell r="X3672" t="str">
            <v>Commissions - gross</v>
          </cell>
          <cell r="Y3672" t="str">
            <v>UNITED KINGDOM</v>
          </cell>
        </row>
        <row r="3673">
          <cell r="L3673" t="str">
            <v>Non-proportional</v>
          </cell>
          <cell r="S3673">
            <v>853.54</v>
          </cell>
          <cell r="X3673" t="str">
            <v>Commissions - gross</v>
          </cell>
          <cell r="Y3673" t="str">
            <v>DENMARK</v>
          </cell>
        </row>
        <row r="3674">
          <cell r="L3674" t="str">
            <v>Non-proportional</v>
          </cell>
          <cell r="S3674">
            <v>1059.49</v>
          </cell>
          <cell r="X3674" t="str">
            <v>Commissions - gross</v>
          </cell>
          <cell r="Y3674" t="str">
            <v>GERMANY</v>
          </cell>
        </row>
        <row r="3675">
          <cell r="L3675" t="str">
            <v>Non-proportional</v>
          </cell>
          <cell r="S3675">
            <v>1354.17</v>
          </cell>
          <cell r="X3675" t="str">
            <v>Commissions - gross</v>
          </cell>
          <cell r="Y3675" t="str">
            <v>GERMANY</v>
          </cell>
        </row>
        <row r="3676">
          <cell r="L3676" t="str">
            <v>Non-proportional</v>
          </cell>
          <cell r="S3676">
            <v>730.02</v>
          </cell>
          <cell r="X3676" t="str">
            <v>Commissions - gross</v>
          </cell>
          <cell r="Y3676" t="str">
            <v>FAROE ISLANDS</v>
          </cell>
        </row>
        <row r="3677">
          <cell r="L3677" t="str">
            <v>Non-proportional</v>
          </cell>
          <cell r="S3677">
            <v>625.04999999999995</v>
          </cell>
          <cell r="X3677" t="str">
            <v>Commissions - gross</v>
          </cell>
          <cell r="Y3677" t="str">
            <v>GERMANY</v>
          </cell>
        </row>
        <row r="3678">
          <cell r="L3678" t="str">
            <v>Non-proportional</v>
          </cell>
          <cell r="S3678">
            <v>1361.62</v>
          </cell>
          <cell r="X3678" t="str">
            <v>Commissions - gross</v>
          </cell>
          <cell r="Y3678" t="str">
            <v>UNITED KINGDOM</v>
          </cell>
        </row>
        <row r="3679">
          <cell r="L3679" t="str">
            <v>Non-proportional</v>
          </cell>
          <cell r="S3679">
            <v>-0.16</v>
          </cell>
          <cell r="X3679" t="str">
            <v>Commissions - gross</v>
          </cell>
          <cell r="Y3679" t="str">
            <v>DENMARK</v>
          </cell>
        </row>
        <row r="3680">
          <cell r="L3680" t="str">
            <v>Non-proportional</v>
          </cell>
          <cell r="S3680">
            <v>112.03</v>
          </cell>
          <cell r="X3680" t="str">
            <v>Commissions - gross</v>
          </cell>
          <cell r="Y3680" t="str">
            <v>UNITED KINGDOM</v>
          </cell>
        </row>
        <row r="3681">
          <cell r="L3681" t="str">
            <v>Non-proportional</v>
          </cell>
          <cell r="S3681">
            <v>2726.83</v>
          </cell>
          <cell r="X3681" t="str">
            <v>Commissions - gross</v>
          </cell>
          <cell r="Y3681" t="str">
            <v>UNITED KINGDOM</v>
          </cell>
        </row>
        <row r="3682">
          <cell r="L3682" t="str">
            <v>Non-proportional</v>
          </cell>
          <cell r="S3682">
            <v>5536.28</v>
          </cell>
          <cell r="X3682" t="str">
            <v>Commissions - gross</v>
          </cell>
          <cell r="Y3682" t="str">
            <v>UNITED KINGDOM</v>
          </cell>
        </row>
        <row r="3683">
          <cell r="L3683" t="str">
            <v>Non-proportional</v>
          </cell>
          <cell r="S3683">
            <v>333.34</v>
          </cell>
          <cell r="X3683" t="str">
            <v>Commissions - gross</v>
          </cell>
          <cell r="Y3683" t="str">
            <v>ITALY</v>
          </cell>
        </row>
        <row r="3684">
          <cell r="L3684" t="str">
            <v>Non-proportional</v>
          </cell>
          <cell r="S3684">
            <v>75</v>
          </cell>
          <cell r="X3684" t="str">
            <v>Commissions - gross</v>
          </cell>
          <cell r="Y3684" t="str">
            <v>GERMANY</v>
          </cell>
        </row>
        <row r="3685">
          <cell r="L3685" t="str">
            <v>Non-proportional</v>
          </cell>
          <cell r="S3685">
            <v>193.89</v>
          </cell>
          <cell r="X3685" t="str">
            <v>Commissions - gross</v>
          </cell>
          <cell r="Y3685" t="str">
            <v>REPUBLIC OF IRELAND</v>
          </cell>
        </row>
        <row r="3686">
          <cell r="L3686" t="str">
            <v>Non-proportional</v>
          </cell>
          <cell r="S3686">
            <v>2236.77</v>
          </cell>
          <cell r="X3686" t="str">
            <v>Commissions - gross</v>
          </cell>
          <cell r="Y3686" t="str">
            <v>SWITZERLAND</v>
          </cell>
        </row>
        <row r="3687">
          <cell r="L3687" t="str">
            <v>Non-proportional</v>
          </cell>
          <cell r="S3687">
            <v>10733.14</v>
          </cell>
          <cell r="X3687" t="str">
            <v>Commissions - gross</v>
          </cell>
          <cell r="Y3687" t="str">
            <v>UNITED KINGDOM</v>
          </cell>
        </row>
        <row r="3688">
          <cell r="L3688" t="str">
            <v>Non-proportional</v>
          </cell>
          <cell r="S3688">
            <v>679.44</v>
          </cell>
          <cell r="X3688" t="str">
            <v>Commissions - gross</v>
          </cell>
          <cell r="Y3688" t="str">
            <v>UNITED KINGDOM</v>
          </cell>
        </row>
        <row r="3689">
          <cell r="L3689" t="str">
            <v>Non-proportional</v>
          </cell>
          <cell r="S3689">
            <v>343.7</v>
          </cell>
          <cell r="X3689" t="str">
            <v>Commissions - gross</v>
          </cell>
          <cell r="Y3689" t="str">
            <v>EUROPE</v>
          </cell>
        </row>
        <row r="3690">
          <cell r="L3690" t="str">
            <v>Non-proportional</v>
          </cell>
          <cell r="S3690">
            <v>5.14</v>
          </cell>
          <cell r="X3690" t="str">
            <v>Commissions - gross</v>
          </cell>
          <cell r="Y3690" t="str">
            <v>UNITED ARAB EMIRATES</v>
          </cell>
        </row>
        <row r="3691">
          <cell r="L3691" t="str">
            <v>Non-proportional</v>
          </cell>
          <cell r="S3691">
            <v>1509.82</v>
          </cell>
          <cell r="X3691" t="str">
            <v>Commissions - gross</v>
          </cell>
          <cell r="Y3691" t="str">
            <v>SWITZERLAND</v>
          </cell>
        </row>
        <row r="3692">
          <cell r="L3692" t="str">
            <v>Non-proportional</v>
          </cell>
          <cell r="S3692">
            <v>2070.71</v>
          </cell>
          <cell r="X3692" t="str">
            <v>Commissions - gross</v>
          </cell>
          <cell r="Y3692" t="str">
            <v>EUROPE</v>
          </cell>
        </row>
        <row r="3693">
          <cell r="L3693" t="str">
            <v>Non-proportional</v>
          </cell>
          <cell r="S3693">
            <v>380.63</v>
          </cell>
          <cell r="X3693" t="str">
            <v>Commissions - gross</v>
          </cell>
          <cell r="Y3693" t="str">
            <v>ROMANIA</v>
          </cell>
        </row>
        <row r="3694">
          <cell r="L3694" t="str">
            <v>Non-proportional</v>
          </cell>
          <cell r="S3694">
            <v>774.74</v>
          </cell>
          <cell r="X3694" t="str">
            <v>Commissions - gross</v>
          </cell>
          <cell r="Y3694" t="str">
            <v>GERMANY</v>
          </cell>
        </row>
        <row r="3695">
          <cell r="L3695" t="str">
            <v>Non-proportional</v>
          </cell>
          <cell r="S3695">
            <v>476.36</v>
          </cell>
          <cell r="X3695" t="str">
            <v>Commissions - gross</v>
          </cell>
          <cell r="Y3695" t="str">
            <v>POLAND</v>
          </cell>
        </row>
        <row r="3696">
          <cell r="L3696" t="str">
            <v>Non-proportional</v>
          </cell>
          <cell r="S3696">
            <v>1897.38</v>
          </cell>
          <cell r="X3696" t="str">
            <v>Commissions - gross</v>
          </cell>
          <cell r="Y3696" t="str">
            <v>AUSTRIA</v>
          </cell>
        </row>
        <row r="3697">
          <cell r="L3697" t="str">
            <v>Non-proportional</v>
          </cell>
          <cell r="S3697">
            <v>5.48</v>
          </cell>
          <cell r="X3697" t="str">
            <v>Commissions - gross</v>
          </cell>
          <cell r="Y3697" t="str">
            <v>FRANCE</v>
          </cell>
        </row>
        <row r="3698">
          <cell r="L3698" t="str">
            <v>Non-proportional</v>
          </cell>
          <cell r="S3698">
            <v>827.46</v>
          </cell>
          <cell r="X3698" t="str">
            <v>Commissions - gross</v>
          </cell>
          <cell r="Y3698" t="str">
            <v>POLAND</v>
          </cell>
        </row>
        <row r="3699">
          <cell r="L3699" t="str">
            <v>Non-proportional</v>
          </cell>
          <cell r="S3699">
            <v>67.180000000000007</v>
          </cell>
          <cell r="X3699" t="str">
            <v>Commissions - gross</v>
          </cell>
          <cell r="Y3699" t="str">
            <v>SWITZERLAND</v>
          </cell>
        </row>
        <row r="3700">
          <cell r="L3700" t="str">
            <v>Non-proportional</v>
          </cell>
          <cell r="S3700">
            <v>-0.49</v>
          </cell>
          <cell r="X3700" t="str">
            <v>Commissions - gross</v>
          </cell>
          <cell r="Y3700" t="str">
            <v>SWEDEN</v>
          </cell>
        </row>
        <row r="3701">
          <cell r="L3701" t="str">
            <v>Non-proportional</v>
          </cell>
          <cell r="S3701">
            <v>11205.21</v>
          </cell>
          <cell r="X3701" t="str">
            <v>Commissions - gross</v>
          </cell>
          <cell r="Y3701" t="str">
            <v>FRANCE</v>
          </cell>
        </row>
        <row r="3702">
          <cell r="L3702" t="str">
            <v>Non-proportional</v>
          </cell>
          <cell r="S3702">
            <v>536.87</v>
          </cell>
          <cell r="X3702" t="str">
            <v>Commissions - gross</v>
          </cell>
          <cell r="Y3702" t="str">
            <v>DENMARK</v>
          </cell>
        </row>
        <row r="3703">
          <cell r="L3703" t="str">
            <v>Non-proportional</v>
          </cell>
          <cell r="S3703">
            <v>635.89</v>
          </cell>
          <cell r="X3703" t="str">
            <v>Commissions - gross</v>
          </cell>
          <cell r="Y3703" t="str">
            <v>SWEDEN</v>
          </cell>
        </row>
        <row r="3704">
          <cell r="L3704" t="str">
            <v>Non-proportional</v>
          </cell>
          <cell r="S3704">
            <v>3057.95</v>
          </cell>
          <cell r="X3704" t="str">
            <v>Commissions - gross</v>
          </cell>
          <cell r="Y3704" t="str">
            <v>UNITED KINGDOM</v>
          </cell>
        </row>
        <row r="3705">
          <cell r="L3705" t="str">
            <v>Non-proportional</v>
          </cell>
          <cell r="S3705">
            <v>-0.38</v>
          </cell>
          <cell r="X3705" t="str">
            <v>Commissions - gross</v>
          </cell>
          <cell r="Y3705" t="str">
            <v>DENMARK</v>
          </cell>
        </row>
        <row r="3706">
          <cell r="L3706" t="str">
            <v>Non-proportional</v>
          </cell>
          <cell r="S3706">
            <v>1175.1099999999999</v>
          </cell>
          <cell r="X3706" t="str">
            <v>Commissions - gross</v>
          </cell>
          <cell r="Y3706" t="str">
            <v>UNITED KINGDOM</v>
          </cell>
        </row>
        <row r="3707">
          <cell r="L3707" t="str">
            <v>Non-proportional</v>
          </cell>
          <cell r="S3707">
            <v>7849.58</v>
          </cell>
          <cell r="X3707" t="str">
            <v>Commissions - gross</v>
          </cell>
          <cell r="Y3707" t="str">
            <v>UNITED KINGDOM</v>
          </cell>
        </row>
        <row r="3708">
          <cell r="L3708" t="str">
            <v>Non-proportional</v>
          </cell>
          <cell r="S3708">
            <v>1203.3</v>
          </cell>
          <cell r="X3708" t="str">
            <v>Commissions - gross</v>
          </cell>
          <cell r="Y3708" t="str">
            <v>UNITED KINGDOM</v>
          </cell>
        </row>
        <row r="3709">
          <cell r="L3709" t="str">
            <v>Non-proportional</v>
          </cell>
          <cell r="S3709">
            <v>31186.87</v>
          </cell>
          <cell r="X3709" t="str">
            <v>Commissions - gross</v>
          </cell>
          <cell r="Y3709" t="str">
            <v>UNITED KINGDOM</v>
          </cell>
        </row>
        <row r="3710">
          <cell r="L3710" t="str">
            <v>Non-proportional</v>
          </cell>
          <cell r="S3710">
            <v>112.23</v>
          </cell>
          <cell r="X3710" t="str">
            <v>Commissions - gross</v>
          </cell>
          <cell r="Y3710" t="str">
            <v>ITALY</v>
          </cell>
        </row>
        <row r="3711">
          <cell r="L3711" t="str">
            <v>Non-proportional</v>
          </cell>
          <cell r="S3711">
            <v>3.4</v>
          </cell>
          <cell r="X3711" t="str">
            <v>Commissions - gross</v>
          </cell>
          <cell r="Y3711" t="str">
            <v>UNITED ARAB EMIRATES</v>
          </cell>
        </row>
        <row r="3712">
          <cell r="L3712" t="str">
            <v>Non-proportional</v>
          </cell>
          <cell r="S3712">
            <v>1293.49</v>
          </cell>
          <cell r="X3712" t="str">
            <v>Commissions - gross</v>
          </cell>
          <cell r="Y3712" t="str">
            <v>UNITED KINGDOM</v>
          </cell>
        </row>
        <row r="3713">
          <cell r="L3713" t="str">
            <v>Non-proportional</v>
          </cell>
          <cell r="S3713">
            <v>357.88</v>
          </cell>
          <cell r="X3713" t="str">
            <v>Commissions - gross</v>
          </cell>
          <cell r="Y3713" t="str">
            <v>SWITZERLAND</v>
          </cell>
        </row>
        <row r="3714">
          <cell r="L3714" t="str">
            <v>Non-proportional</v>
          </cell>
          <cell r="S3714">
            <v>2250.64</v>
          </cell>
          <cell r="X3714" t="str">
            <v>Commissions - gross</v>
          </cell>
          <cell r="Y3714" t="str">
            <v>UNITED KINGDOM</v>
          </cell>
        </row>
        <row r="3715">
          <cell r="L3715" t="str">
            <v>Non-proportional</v>
          </cell>
          <cell r="S3715">
            <v>625</v>
          </cell>
          <cell r="X3715" t="str">
            <v>Commissions - gross</v>
          </cell>
          <cell r="Y3715" t="str">
            <v>GERMANY</v>
          </cell>
        </row>
        <row r="3716">
          <cell r="L3716" t="str">
            <v>Non-proportional</v>
          </cell>
          <cell r="S3716">
            <v>500.58</v>
          </cell>
          <cell r="X3716" t="str">
            <v>Commissions - gross</v>
          </cell>
          <cell r="Y3716" t="str">
            <v>FRANCE</v>
          </cell>
        </row>
        <row r="3717">
          <cell r="L3717" t="str">
            <v>Non-proportional</v>
          </cell>
          <cell r="S3717">
            <v>241.05</v>
          </cell>
          <cell r="X3717" t="str">
            <v>Commissions - gross</v>
          </cell>
          <cell r="Y3717" t="str">
            <v>JAPAN</v>
          </cell>
        </row>
        <row r="3718">
          <cell r="L3718" t="str">
            <v>Non-proportional</v>
          </cell>
          <cell r="S3718">
            <v>175.15</v>
          </cell>
          <cell r="X3718" t="str">
            <v>Commissions - gross</v>
          </cell>
          <cell r="Y3718" t="str">
            <v>REPUBLIC OF IRELAND</v>
          </cell>
        </row>
        <row r="3719">
          <cell r="L3719" t="str">
            <v>Non-proportional</v>
          </cell>
          <cell r="S3719">
            <v>11.15</v>
          </cell>
          <cell r="X3719" t="str">
            <v>Commissions - gross</v>
          </cell>
          <cell r="Y3719" t="str">
            <v>UNITED ARAB EMIRATES</v>
          </cell>
        </row>
        <row r="3720">
          <cell r="L3720" t="str">
            <v>Non-proportional</v>
          </cell>
          <cell r="S3720">
            <v>1880.73</v>
          </cell>
          <cell r="X3720" t="str">
            <v>Commissions - gross</v>
          </cell>
          <cell r="Y3720" t="str">
            <v>REPUBLIC OF IRELAND</v>
          </cell>
        </row>
        <row r="3721">
          <cell r="L3721" t="str">
            <v>Non-proportional</v>
          </cell>
          <cell r="S3721">
            <v>402.05</v>
          </cell>
          <cell r="X3721" t="str">
            <v>Commissions - gross</v>
          </cell>
          <cell r="Y3721" t="str">
            <v>UNITED KINGDOM</v>
          </cell>
        </row>
        <row r="3722">
          <cell r="L3722" t="str">
            <v>Non-proportional</v>
          </cell>
          <cell r="S3722">
            <v>1020.94</v>
          </cell>
          <cell r="X3722" t="str">
            <v>Commissions - gross</v>
          </cell>
          <cell r="Y3722" t="str">
            <v>GERMANY</v>
          </cell>
        </row>
        <row r="3723">
          <cell r="L3723" t="str">
            <v>Non-proportional</v>
          </cell>
          <cell r="S3723">
            <v>721.23</v>
          </cell>
          <cell r="X3723" t="str">
            <v>Commissions - gross</v>
          </cell>
          <cell r="Y3723" t="str">
            <v>NORWAY</v>
          </cell>
        </row>
        <row r="3724">
          <cell r="L3724" t="str">
            <v>Proportional</v>
          </cell>
          <cell r="S3724">
            <v>1919.15</v>
          </cell>
          <cell r="X3724" t="str">
            <v>Commissions - gross</v>
          </cell>
          <cell r="Y3724" t="str">
            <v>SWITZERLAND</v>
          </cell>
        </row>
        <row r="3725">
          <cell r="L3725" t="str">
            <v>Non-proportional</v>
          </cell>
          <cell r="S3725">
            <v>4307.33</v>
          </cell>
          <cell r="X3725" t="str">
            <v>Commissions - gross</v>
          </cell>
          <cell r="Y3725" t="str">
            <v>UNITED KINGDOM</v>
          </cell>
        </row>
        <row r="3726">
          <cell r="L3726" t="str">
            <v>Non-proportional</v>
          </cell>
          <cell r="S3726">
            <v>11.78</v>
          </cell>
          <cell r="X3726" t="str">
            <v>Commissions - gross</v>
          </cell>
          <cell r="Y3726" t="str">
            <v>FRANCE</v>
          </cell>
        </row>
        <row r="3727">
          <cell r="L3727" t="str">
            <v>Non-proportional</v>
          </cell>
          <cell r="S3727">
            <v>849.45</v>
          </cell>
          <cell r="X3727" t="str">
            <v>Commissions - gross</v>
          </cell>
          <cell r="Y3727" t="str">
            <v>GERMANY</v>
          </cell>
        </row>
        <row r="3728">
          <cell r="L3728" t="str">
            <v>Non-proportional</v>
          </cell>
          <cell r="S3728">
            <v>535.71</v>
          </cell>
          <cell r="X3728" t="str">
            <v>Commissions - gross</v>
          </cell>
          <cell r="Y3728" t="str">
            <v>UNITED KINGDOM</v>
          </cell>
        </row>
        <row r="3729">
          <cell r="L3729" t="str">
            <v>Non-proportional</v>
          </cell>
          <cell r="S3729">
            <v>4139.1499999999996</v>
          </cell>
          <cell r="X3729" t="str">
            <v>Commissions - gross</v>
          </cell>
          <cell r="Y3729" t="str">
            <v>UNITED KINGDOM</v>
          </cell>
        </row>
        <row r="3730">
          <cell r="L3730" t="str">
            <v>Non-proportional</v>
          </cell>
          <cell r="S3730">
            <v>1133.03</v>
          </cell>
          <cell r="X3730" t="str">
            <v>Commissions - gross</v>
          </cell>
          <cell r="Y3730" t="str">
            <v>SWEDEN</v>
          </cell>
        </row>
        <row r="3731">
          <cell r="L3731" t="str">
            <v>Non-proportional</v>
          </cell>
          <cell r="S3731">
            <v>1042.58</v>
          </cell>
          <cell r="X3731" t="str">
            <v>Commissions - gross</v>
          </cell>
          <cell r="Y3731" t="str">
            <v>FRANCE</v>
          </cell>
        </row>
        <row r="3732">
          <cell r="L3732" t="str">
            <v>Non-proportional</v>
          </cell>
          <cell r="S3732">
            <v>238.23</v>
          </cell>
          <cell r="X3732" t="str">
            <v>Commissions - gross</v>
          </cell>
          <cell r="Y3732" t="str">
            <v>UNITED KINGDOM</v>
          </cell>
        </row>
        <row r="3733">
          <cell r="L3733" t="str">
            <v>Non-proportional</v>
          </cell>
          <cell r="S3733">
            <v>1001.51</v>
          </cell>
          <cell r="X3733" t="str">
            <v>Commissions - gross</v>
          </cell>
          <cell r="Y3733" t="str">
            <v>AUSTRIA</v>
          </cell>
        </row>
        <row r="3734">
          <cell r="L3734" t="str">
            <v>Non-proportional</v>
          </cell>
          <cell r="S3734">
            <v>443.98</v>
          </cell>
          <cell r="X3734" t="str">
            <v>Commissions - gross</v>
          </cell>
          <cell r="Y3734" t="str">
            <v>GERMANY</v>
          </cell>
        </row>
        <row r="3735">
          <cell r="L3735" t="str">
            <v>Non-proportional</v>
          </cell>
          <cell r="S3735">
            <v>777.08</v>
          </cell>
          <cell r="X3735" t="str">
            <v>Commissions - gross</v>
          </cell>
          <cell r="Y3735" t="str">
            <v>FRANCE</v>
          </cell>
        </row>
        <row r="3736">
          <cell r="L3736" t="str">
            <v>Non-proportional</v>
          </cell>
          <cell r="S3736">
            <v>457.31</v>
          </cell>
          <cell r="X3736" t="str">
            <v>Commissions - gross</v>
          </cell>
          <cell r="Y3736" t="str">
            <v>EUROPE</v>
          </cell>
        </row>
        <row r="3737">
          <cell r="L3737" t="str">
            <v>Non-proportional</v>
          </cell>
          <cell r="S3737">
            <v>699.8</v>
          </cell>
          <cell r="X3737" t="str">
            <v>Commissions - gross</v>
          </cell>
          <cell r="Y3737" t="str">
            <v>AUSTRIA</v>
          </cell>
        </row>
        <row r="3738">
          <cell r="L3738" t="str">
            <v>Non-proportional</v>
          </cell>
          <cell r="S3738">
            <v>271.27</v>
          </cell>
          <cell r="X3738" t="str">
            <v>Commissions - gross</v>
          </cell>
          <cell r="Y3738" t="str">
            <v>GERMANY</v>
          </cell>
        </row>
        <row r="3739">
          <cell r="L3739" t="str">
            <v>Non-proportional</v>
          </cell>
          <cell r="S3739">
            <v>2340.1799999999998</v>
          </cell>
          <cell r="X3739" t="str">
            <v>Commissions - gross</v>
          </cell>
          <cell r="Y3739" t="str">
            <v>GERMANY</v>
          </cell>
        </row>
        <row r="3740">
          <cell r="L3740" t="str">
            <v>Non-proportional</v>
          </cell>
          <cell r="S3740">
            <v>589.39</v>
          </cell>
          <cell r="X3740" t="str">
            <v>Commissions - gross</v>
          </cell>
          <cell r="Y3740" t="str">
            <v>AUSTRIA</v>
          </cell>
        </row>
        <row r="3741">
          <cell r="L3741" t="str">
            <v>Non-proportional</v>
          </cell>
          <cell r="S3741">
            <v>336.11</v>
          </cell>
          <cell r="X3741" t="str">
            <v>Commissions - gross</v>
          </cell>
          <cell r="Y3741" t="str">
            <v>UNITED KINGDOM</v>
          </cell>
        </row>
        <row r="3742">
          <cell r="L3742" t="str">
            <v>Non-proportional</v>
          </cell>
          <cell r="S3742">
            <v>842.33</v>
          </cell>
          <cell r="X3742" t="str">
            <v>Commissions - gross</v>
          </cell>
          <cell r="Y3742" t="str">
            <v>ITALY</v>
          </cell>
        </row>
        <row r="3743">
          <cell r="L3743" t="str">
            <v>Non-proportional</v>
          </cell>
          <cell r="S3743">
            <v>663.84</v>
          </cell>
          <cell r="X3743" t="str">
            <v>Commissions - gross</v>
          </cell>
          <cell r="Y3743" t="str">
            <v>EUROPE</v>
          </cell>
        </row>
        <row r="3744">
          <cell r="L3744" t="str">
            <v>Non-proportional</v>
          </cell>
          <cell r="S3744">
            <v>1412</v>
          </cell>
          <cell r="X3744" t="str">
            <v>Commissions - gross</v>
          </cell>
          <cell r="Y3744" t="str">
            <v>AUSTRIA</v>
          </cell>
        </row>
        <row r="3745">
          <cell r="L3745" t="str">
            <v>Non-proportional</v>
          </cell>
          <cell r="S3745">
            <v>332.98</v>
          </cell>
          <cell r="X3745" t="str">
            <v>Commissions - gross</v>
          </cell>
          <cell r="Y3745" t="str">
            <v>GERMANY</v>
          </cell>
        </row>
        <row r="3746">
          <cell r="L3746" t="str">
            <v>Non-proportional</v>
          </cell>
          <cell r="S3746">
            <v>30.08</v>
          </cell>
          <cell r="X3746" t="str">
            <v>Commissions - gross</v>
          </cell>
          <cell r="Y3746" t="str">
            <v>ITALY</v>
          </cell>
        </row>
        <row r="3747">
          <cell r="L3747" t="str">
            <v>Non-proportional</v>
          </cell>
          <cell r="S3747">
            <v>897.06</v>
          </cell>
          <cell r="X3747" t="str">
            <v>Commissions - gross</v>
          </cell>
          <cell r="Y3747" t="str">
            <v>GERMANY</v>
          </cell>
        </row>
        <row r="3748">
          <cell r="L3748" t="str">
            <v>Non-proportional</v>
          </cell>
          <cell r="S3748">
            <v>448.14</v>
          </cell>
          <cell r="X3748" t="str">
            <v>Commissions - gross</v>
          </cell>
          <cell r="Y3748" t="str">
            <v>UNITED KINGDOM</v>
          </cell>
        </row>
        <row r="3749">
          <cell r="L3749" t="str">
            <v>Non-proportional</v>
          </cell>
          <cell r="S3749">
            <v>1.0900000000000001</v>
          </cell>
          <cell r="X3749" t="str">
            <v>Commissions - gross</v>
          </cell>
          <cell r="Y3749" t="str">
            <v>NORWAY</v>
          </cell>
        </row>
        <row r="3750">
          <cell r="L3750" t="str">
            <v>Non-proportional</v>
          </cell>
          <cell r="S3750">
            <v>250.22</v>
          </cell>
          <cell r="X3750" t="str">
            <v>Commissions - gross</v>
          </cell>
          <cell r="Y3750" t="str">
            <v>SPAIN</v>
          </cell>
        </row>
        <row r="3751">
          <cell r="L3751" t="str">
            <v>Non-proportional</v>
          </cell>
          <cell r="S3751">
            <v>1405.83</v>
          </cell>
          <cell r="X3751" t="str">
            <v>Commissions - gross</v>
          </cell>
          <cell r="Y3751" t="str">
            <v>EIRE</v>
          </cell>
        </row>
        <row r="3752">
          <cell r="L3752" t="str">
            <v>Non-proportional</v>
          </cell>
          <cell r="S3752">
            <v>1188.23</v>
          </cell>
          <cell r="X3752" t="str">
            <v>Commissions - gross</v>
          </cell>
          <cell r="Y3752" t="str">
            <v>EUROPE</v>
          </cell>
        </row>
        <row r="3753">
          <cell r="L3753" t="str">
            <v>Non-proportional</v>
          </cell>
          <cell r="S3753">
            <v>765.96</v>
          </cell>
          <cell r="X3753" t="str">
            <v>Commissions - gross</v>
          </cell>
          <cell r="Y3753" t="str">
            <v>UNITED STATES</v>
          </cell>
        </row>
        <row r="3754">
          <cell r="L3754" t="str">
            <v>Non-proportional</v>
          </cell>
          <cell r="S3754">
            <v>13341.97</v>
          </cell>
          <cell r="X3754" t="str">
            <v>Commissions - gross</v>
          </cell>
          <cell r="Y3754" t="str">
            <v>UNITED KINGDOM</v>
          </cell>
        </row>
        <row r="3755">
          <cell r="L3755" t="str">
            <v>Non-proportional</v>
          </cell>
          <cell r="S3755">
            <v>1338.84</v>
          </cell>
          <cell r="X3755" t="str">
            <v>Commissions - gross</v>
          </cell>
          <cell r="Y3755" t="str">
            <v>DENMARK</v>
          </cell>
        </row>
        <row r="3756">
          <cell r="L3756" t="str">
            <v>Non-proportional</v>
          </cell>
          <cell r="S3756">
            <v>1300</v>
          </cell>
          <cell r="X3756" t="str">
            <v>Commissions - gross</v>
          </cell>
          <cell r="Y3756" t="str">
            <v>ROMANIA</v>
          </cell>
        </row>
        <row r="3757">
          <cell r="L3757" t="str">
            <v>Non-proportional</v>
          </cell>
          <cell r="S3757">
            <v>781.25</v>
          </cell>
          <cell r="X3757" t="str">
            <v>Commissions - gross</v>
          </cell>
          <cell r="Y3757" t="str">
            <v>ROMANIA</v>
          </cell>
        </row>
        <row r="3758">
          <cell r="L3758" t="str">
            <v>Non-proportional</v>
          </cell>
          <cell r="S3758">
            <v>-0.23</v>
          </cell>
          <cell r="X3758" t="str">
            <v>Commissions - gross</v>
          </cell>
          <cell r="Y3758" t="str">
            <v>DENMARK</v>
          </cell>
        </row>
        <row r="3759">
          <cell r="L3759" t="str">
            <v>Non-proportional</v>
          </cell>
          <cell r="S3759">
            <v>3924.77</v>
          </cell>
          <cell r="X3759" t="str">
            <v>Commissions - gross</v>
          </cell>
          <cell r="Y3759" t="str">
            <v>UNITED KINGDOM</v>
          </cell>
        </row>
        <row r="3760">
          <cell r="L3760" t="str">
            <v>Non-proportional</v>
          </cell>
          <cell r="S3760">
            <v>4829.0200000000004</v>
          </cell>
          <cell r="X3760" t="str">
            <v>Commissions - gross</v>
          </cell>
          <cell r="Y3760" t="str">
            <v>UNITED KINGDOM</v>
          </cell>
        </row>
        <row r="3761">
          <cell r="L3761" t="str">
            <v>Non-proportional</v>
          </cell>
          <cell r="S3761">
            <v>124.09</v>
          </cell>
          <cell r="X3761" t="str">
            <v>Commissions - gross</v>
          </cell>
          <cell r="Y3761" t="str">
            <v>UNITED KINGDOM</v>
          </cell>
        </row>
        <row r="3762">
          <cell r="L3762" t="str">
            <v>Non-proportional</v>
          </cell>
          <cell r="S3762">
            <v>1463.2</v>
          </cell>
          <cell r="X3762" t="str">
            <v>Commissions - gross</v>
          </cell>
          <cell r="Y3762" t="str">
            <v>GERMANY</v>
          </cell>
        </row>
        <row r="3763">
          <cell r="L3763" t="str">
            <v>Non-proportional</v>
          </cell>
          <cell r="S3763">
            <v>1960.61</v>
          </cell>
          <cell r="X3763" t="str">
            <v>Commissions - gross</v>
          </cell>
          <cell r="Y3763" t="str">
            <v>FRANCE</v>
          </cell>
        </row>
        <row r="3764">
          <cell r="L3764" t="str">
            <v>Non-proportional</v>
          </cell>
          <cell r="S3764">
            <v>1.56</v>
          </cell>
          <cell r="X3764" t="str">
            <v>Commissions - gross</v>
          </cell>
          <cell r="Y3764" t="str">
            <v>NORWAY</v>
          </cell>
        </row>
        <row r="3765">
          <cell r="L3765" t="str">
            <v>Non-proportional</v>
          </cell>
          <cell r="S3765">
            <v>423.8</v>
          </cell>
          <cell r="X3765" t="str">
            <v>Commissions - gross</v>
          </cell>
          <cell r="Y3765" t="str">
            <v>GERMANY</v>
          </cell>
        </row>
        <row r="3766">
          <cell r="L3766" t="str">
            <v>Non-proportional</v>
          </cell>
          <cell r="S3766">
            <v>571.76</v>
          </cell>
          <cell r="X3766" t="str">
            <v>Commissions - gross</v>
          </cell>
          <cell r="Y3766" t="str">
            <v>GERMANY</v>
          </cell>
        </row>
        <row r="3767">
          <cell r="L3767" t="str">
            <v>Non-proportional</v>
          </cell>
          <cell r="S3767">
            <v>387.73</v>
          </cell>
          <cell r="X3767" t="str">
            <v>Commissions - gross</v>
          </cell>
          <cell r="Y3767" t="str">
            <v>NORWAY</v>
          </cell>
        </row>
        <row r="3768">
          <cell r="L3768" t="str">
            <v>Non-proportional</v>
          </cell>
          <cell r="S3768">
            <v>218.04</v>
          </cell>
          <cell r="X3768" t="str">
            <v>Commissions - gross</v>
          </cell>
          <cell r="Y3768" t="str">
            <v>SPAIN</v>
          </cell>
        </row>
        <row r="3769">
          <cell r="L3769" t="str">
            <v>Non-proportional</v>
          </cell>
          <cell r="S3769">
            <v>308.33999999999997</v>
          </cell>
          <cell r="X3769" t="str">
            <v>Commissions - gross</v>
          </cell>
          <cell r="Y3769" t="str">
            <v>EUROPE</v>
          </cell>
        </row>
        <row r="3770">
          <cell r="L3770" t="str">
            <v>Non-proportional</v>
          </cell>
          <cell r="S3770">
            <v>82.05</v>
          </cell>
          <cell r="X3770" t="str">
            <v>Commissions - gross</v>
          </cell>
          <cell r="Y3770" t="str">
            <v>GERMANY</v>
          </cell>
        </row>
        <row r="3771">
          <cell r="L3771" t="str">
            <v>Non-proportional</v>
          </cell>
          <cell r="S3771">
            <v>368.75</v>
          </cell>
          <cell r="X3771" t="str">
            <v>Commissions - gross</v>
          </cell>
          <cell r="Y3771" t="str">
            <v>GERMANY</v>
          </cell>
        </row>
        <row r="3772">
          <cell r="L3772" t="str">
            <v>Non-proportional</v>
          </cell>
          <cell r="S3772">
            <v>583.1</v>
          </cell>
          <cell r="X3772" t="str">
            <v>Commissions - gross</v>
          </cell>
          <cell r="Y3772" t="str">
            <v>UNITED KINGDOM</v>
          </cell>
        </row>
        <row r="3773">
          <cell r="L3773" t="str">
            <v>Non-proportional</v>
          </cell>
          <cell r="S3773">
            <v>884.49</v>
          </cell>
          <cell r="X3773" t="str">
            <v>Commissions - gross</v>
          </cell>
          <cell r="Y3773" t="str">
            <v>GERMANY</v>
          </cell>
        </row>
        <row r="3774">
          <cell r="L3774" t="str">
            <v>Non-proportional</v>
          </cell>
          <cell r="S3774">
            <v>644.19000000000005</v>
          </cell>
          <cell r="X3774" t="str">
            <v>Commissions - gross</v>
          </cell>
          <cell r="Y3774" t="str">
            <v>SWITZERLAND</v>
          </cell>
        </row>
        <row r="3775">
          <cell r="L3775" t="str">
            <v>Non-proportional</v>
          </cell>
          <cell r="S3775">
            <v>2588.63</v>
          </cell>
          <cell r="X3775" t="str">
            <v>Commissions - gross</v>
          </cell>
          <cell r="Y3775" t="str">
            <v>CZECH REPUBLIC</v>
          </cell>
        </row>
        <row r="3776">
          <cell r="L3776" t="str">
            <v>Non-proportional</v>
          </cell>
          <cell r="S3776">
            <v>1569.92</v>
          </cell>
          <cell r="X3776" t="str">
            <v>Commissions - gross</v>
          </cell>
          <cell r="Y3776" t="str">
            <v>UNITED KINGDOM</v>
          </cell>
        </row>
        <row r="3777">
          <cell r="L3777" t="str">
            <v>Non-proportional</v>
          </cell>
          <cell r="S3777">
            <v>407.99</v>
          </cell>
          <cell r="X3777" t="str">
            <v>Commissions - gross</v>
          </cell>
          <cell r="Y3777" t="str">
            <v>SWITZERLAND</v>
          </cell>
        </row>
        <row r="3778">
          <cell r="L3778" t="str">
            <v>Non-proportional</v>
          </cell>
          <cell r="S3778">
            <v>549.32000000000005</v>
          </cell>
          <cell r="X3778" t="str">
            <v>Commissions - gross</v>
          </cell>
          <cell r="Y3778" t="str">
            <v>FRANCE</v>
          </cell>
        </row>
        <row r="3779">
          <cell r="L3779" t="str">
            <v>Non-proportional</v>
          </cell>
          <cell r="S3779">
            <v>641.66999999999996</v>
          </cell>
          <cell r="X3779" t="str">
            <v>Commissions - gross</v>
          </cell>
          <cell r="Y3779" t="str">
            <v>GERMANY</v>
          </cell>
        </row>
        <row r="3780">
          <cell r="L3780" t="str">
            <v>Non-proportional</v>
          </cell>
          <cell r="S3780">
            <v>379</v>
          </cell>
          <cell r="X3780" t="str">
            <v>Commissions - gross</v>
          </cell>
          <cell r="Y3780" t="str">
            <v>REPUBLIC OF IRELAND</v>
          </cell>
        </row>
        <row r="3781">
          <cell r="L3781" t="str">
            <v>Non-proportional</v>
          </cell>
          <cell r="S3781">
            <v>1611.28</v>
          </cell>
          <cell r="X3781" t="str">
            <v>Commissions - gross</v>
          </cell>
          <cell r="Y3781" t="str">
            <v>EUROPE</v>
          </cell>
        </row>
        <row r="3782">
          <cell r="L3782" t="str">
            <v>Non-proportional</v>
          </cell>
          <cell r="S3782">
            <v>883.77</v>
          </cell>
          <cell r="X3782" t="str">
            <v>Commissions - gross</v>
          </cell>
          <cell r="Y3782" t="str">
            <v>GERMANY</v>
          </cell>
        </row>
        <row r="3783">
          <cell r="L3783" t="str">
            <v>Non-proportional</v>
          </cell>
          <cell r="S3783">
            <v>27.07</v>
          </cell>
          <cell r="X3783" t="str">
            <v>Commissions - gross</v>
          </cell>
          <cell r="Y3783" t="str">
            <v>ITALY</v>
          </cell>
        </row>
        <row r="3784">
          <cell r="L3784" t="str">
            <v>Non-proportional</v>
          </cell>
          <cell r="S3784">
            <v>66.39</v>
          </cell>
          <cell r="X3784" t="str">
            <v>Commissions - gross</v>
          </cell>
          <cell r="Y3784" t="str">
            <v>JAPAN</v>
          </cell>
        </row>
        <row r="3785">
          <cell r="L3785" t="str">
            <v>Non-proportional</v>
          </cell>
          <cell r="S3785">
            <v>86.56</v>
          </cell>
          <cell r="X3785" t="str">
            <v>Commissions - gross</v>
          </cell>
          <cell r="Y3785" t="str">
            <v>ITALY</v>
          </cell>
        </row>
        <row r="3786">
          <cell r="L3786" t="str">
            <v>Non-proportional</v>
          </cell>
          <cell r="S3786">
            <v>1242.43</v>
          </cell>
          <cell r="X3786" t="str">
            <v>Commissions - gross</v>
          </cell>
          <cell r="Y3786" t="str">
            <v>EUROPE</v>
          </cell>
        </row>
        <row r="3787">
          <cell r="L3787" t="str">
            <v>Non-proportional</v>
          </cell>
          <cell r="S3787">
            <v>645.83000000000004</v>
          </cell>
          <cell r="X3787" t="str">
            <v>Commissions - gross</v>
          </cell>
          <cell r="Y3787" t="str">
            <v>AUSTRIA</v>
          </cell>
        </row>
        <row r="3788">
          <cell r="L3788" t="str">
            <v>Non-proportional</v>
          </cell>
          <cell r="S3788">
            <v>1207.49</v>
          </cell>
          <cell r="X3788" t="str">
            <v>Commissions - gross</v>
          </cell>
          <cell r="Y3788" t="str">
            <v>FRANCE</v>
          </cell>
        </row>
        <row r="3789">
          <cell r="L3789" t="str">
            <v>Non-proportional</v>
          </cell>
          <cell r="S3789">
            <v>4230.3999999999996</v>
          </cell>
          <cell r="X3789" t="str">
            <v>Commissions - gross</v>
          </cell>
          <cell r="Y3789" t="str">
            <v>UNITED KINGDOM</v>
          </cell>
        </row>
        <row r="3790">
          <cell r="L3790" t="str">
            <v>Non-proportional</v>
          </cell>
          <cell r="S3790">
            <v>78.099999999999994</v>
          </cell>
          <cell r="X3790" t="str">
            <v>Commissions - gross</v>
          </cell>
          <cell r="Y3790" t="str">
            <v>DENMARK</v>
          </cell>
        </row>
        <row r="3791">
          <cell r="L3791" t="str">
            <v>Non-proportional</v>
          </cell>
          <cell r="S3791">
            <v>-3.4</v>
          </cell>
          <cell r="X3791" t="str">
            <v>Commissions - gross</v>
          </cell>
          <cell r="Y3791" t="str">
            <v>POLAND</v>
          </cell>
        </row>
        <row r="3792">
          <cell r="L3792" t="str">
            <v>Non-proportional</v>
          </cell>
          <cell r="S3792">
            <v>2305.9</v>
          </cell>
          <cell r="X3792" t="str">
            <v>Commissions - gross</v>
          </cell>
          <cell r="Y3792" t="str">
            <v>FRANCE</v>
          </cell>
        </row>
        <row r="3793">
          <cell r="L3793" t="str">
            <v>Non-proportional</v>
          </cell>
          <cell r="S3793">
            <v>-10.199999999999999</v>
          </cell>
          <cell r="X3793" t="str">
            <v>Commissions - gross</v>
          </cell>
          <cell r="Y3793" t="str">
            <v>POLAND</v>
          </cell>
        </row>
        <row r="3794">
          <cell r="L3794" t="str">
            <v>Non-proportional</v>
          </cell>
          <cell r="S3794">
            <v>147.12</v>
          </cell>
          <cell r="X3794" t="str">
            <v>Commissions - gross</v>
          </cell>
          <cell r="Y3794" t="str">
            <v>JAPAN</v>
          </cell>
        </row>
        <row r="3795">
          <cell r="L3795" t="str">
            <v>Non-proportional</v>
          </cell>
          <cell r="S3795">
            <v>1664.36</v>
          </cell>
          <cell r="X3795" t="str">
            <v>Commissions - gross</v>
          </cell>
          <cell r="Y3795" t="str">
            <v>FRANCE</v>
          </cell>
        </row>
        <row r="3796">
          <cell r="L3796" t="str">
            <v>Proportional</v>
          </cell>
          <cell r="S3796">
            <v>737.26</v>
          </cell>
          <cell r="X3796" t="str">
            <v>Commissions - gross</v>
          </cell>
          <cell r="Y3796" t="str">
            <v>UNITED KINGDOM</v>
          </cell>
        </row>
        <row r="3797">
          <cell r="L3797" t="str">
            <v>Non-proportional</v>
          </cell>
          <cell r="S3797">
            <v>16611.04</v>
          </cell>
          <cell r="X3797" t="str">
            <v>Commissions - gross</v>
          </cell>
          <cell r="Y3797" t="str">
            <v>UNITED KINGDOM</v>
          </cell>
        </row>
        <row r="3798">
          <cell r="L3798" t="str">
            <v>Non-proportional</v>
          </cell>
          <cell r="S3798">
            <v>899.99</v>
          </cell>
          <cell r="X3798" t="str">
            <v>Commissions - gross</v>
          </cell>
          <cell r="Y3798" t="str">
            <v>GERMANY</v>
          </cell>
        </row>
        <row r="3799">
          <cell r="L3799" t="str">
            <v>Non-proportional</v>
          </cell>
          <cell r="S3799">
            <v>5155.5600000000004</v>
          </cell>
          <cell r="X3799" t="str">
            <v>Commissions - gross</v>
          </cell>
          <cell r="Y3799" t="str">
            <v>UNITED KINGDOM</v>
          </cell>
        </row>
        <row r="3800">
          <cell r="L3800" t="str">
            <v>Non-proportional</v>
          </cell>
          <cell r="S3800">
            <v>648.04</v>
          </cell>
          <cell r="X3800" t="str">
            <v>Commissions - gross</v>
          </cell>
          <cell r="Y3800" t="str">
            <v>REPUBLIC OF IRELAND</v>
          </cell>
        </row>
        <row r="3801">
          <cell r="L3801" t="str">
            <v>Non-proportional</v>
          </cell>
          <cell r="S3801">
            <v>2539.36</v>
          </cell>
          <cell r="X3801" t="str">
            <v>Commissions - gross</v>
          </cell>
          <cell r="Y3801" t="str">
            <v>GERMANY</v>
          </cell>
        </row>
        <row r="3802">
          <cell r="L3802" t="str">
            <v>Non-proportional</v>
          </cell>
          <cell r="S3802">
            <v>17.52</v>
          </cell>
          <cell r="X3802" t="str">
            <v>Commissions - gross</v>
          </cell>
          <cell r="Y3802" t="str">
            <v>ITALY</v>
          </cell>
        </row>
        <row r="3803">
          <cell r="L3803" t="str">
            <v>Non-proportional</v>
          </cell>
          <cell r="S3803">
            <v>834.71</v>
          </cell>
          <cell r="X3803" t="str">
            <v>Commissions - gross</v>
          </cell>
          <cell r="Y3803" t="str">
            <v>DENMARK</v>
          </cell>
        </row>
        <row r="3804">
          <cell r="L3804" t="str">
            <v>Non-proportional</v>
          </cell>
          <cell r="S3804">
            <v>1182.55</v>
          </cell>
          <cell r="X3804" t="str">
            <v>Commissions - gross</v>
          </cell>
          <cell r="Y3804" t="str">
            <v>AUSTRIA</v>
          </cell>
        </row>
        <row r="3805">
          <cell r="L3805" t="str">
            <v>Non-proportional</v>
          </cell>
          <cell r="S3805">
            <v>1105.32</v>
          </cell>
          <cell r="X3805" t="str">
            <v>Commissions - gross</v>
          </cell>
          <cell r="Y3805" t="str">
            <v>DENMARK</v>
          </cell>
        </row>
        <row r="3806">
          <cell r="L3806" t="str">
            <v>Non-proportional</v>
          </cell>
          <cell r="S3806">
            <v>35.17</v>
          </cell>
          <cell r="X3806" t="str">
            <v>Commissions - gross</v>
          </cell>
          <cell r="Y3806" t="str">
            <v>GERMANY</v>
          </cell>
        </row>
        <row r="3807">
          <cell r="L3807" t="str">
            <v>Non-proportional</v>
          </cell>
          <cell r="S3807">
            <v>3866.27</v>
          </cell>
          <cell r="X3807" t="str">
            <v>Commissions - gross</v>
          </cell>
          <cell r="Y3807" t="str">
            <v>UNITED KINGDOM</v>
          </cell>
        </row>
        <row r="3808">
          <cell r="L3808" t="str">
            <v>Non-proportional</v>
          </cell>
          <cell r="S3808">
            <v>1210.3599999999999</v>
          </cell>
          <cell r="X3808" t="str">
            <v>Commissions - gross</v>
          </cell>
          <cell r="Y3808" t="str">
            <v>UNITED KINGDOM</v>
          </cell>
        </row>
        <row r="3809">
          <cell r="L3809" t="str">
            <v>Non-proportional</v>
          </cell>
          <cell r="S3809">
            <v>578.46</v>
          </cell>
          <cell r="X3809" t="str">
            <v>Commissions - gross</v>
          </cell>
          <cell r="Y3809" t="str">
            <v>UNITED STATES</v>
          </cell>
        </row>
        <row r="3810">
          <cell r="L3810" t="str">
            <v>Non-proportional</v>
          </cell>
          <cell r="S3810">
            <v>1001.09</v>
          </cell>
          <cell r="X3810" t="str">
            <v>Commissions - gross</v>
          </cell>
          <cell r="Y3810" t="str">
            <v>GERMANY</v>
          </cell>
        </row>
        <row r="3811">
          <cell r="L3811" t="str">
            <v>Non-proportional</v>
          </cell>
          <cell r="S3811">
            <v>34.5</v>
          </cell>
          <cell r="X3811" t="str">
            <v>Commissions - gross</v>
          </cell>
          <cell r="Y3811" t="str">
            <v>ITALY</v>
          </cell>
        </row>
        <row r="3812">
          <cell r="L3812" t="str">
            <v>Non-proportional</v>
          </cell>
          <cell r="S3812">
            <v>2685.37</v>
          </cell>
          <cell r="X3812" t="str">
            <v>Commissions - gross</v>
          </cell>
          <cell r="Y3812" t="str">
            <v>UNITED KINGDOM</v>
          </cell>
        </row>
        <row r="3813">
          <cell r="L3813" t="str">
            <v>Non-proportional</v>
          </cell>
          <cell r="S3813">
            <v>1649.62</v>
          </cell>
          <cell r="X3813" t="str">
            <v>Commissions - gross</v>
          </cell>
          <cell r="Y3813" t="str">
            <v>SWITZERLAND</v>
          </cell>
        </row>
        <row r="3814">
          <cell r="L3814" t="str">
            <v>Non-proportional</v>
          </cell>
          <cell r="S3814">
            <v>54.83</v>
          </cell>
          <cell r="X3814" t="str">
            <v>Commissions - gross</v>
          </cell>
          <cell r="Y3814" t="str">
            <v>REPUBLIC OF IRELAND</v>
          </cell>
        </row>
        <row r="3815">
          <cell r="L3815" t="str">
            <v>Non-proportional</v>
          </cell>
          <cell r="S3815">
            <v>1156.8399999999999</v>
          </cell>
          <cell r="X3815" t="str">
            <v>Commissions - gross</v>
          </cell>
          <cell r="Y3815" t="str">
            <v>UNITED KINGDOM</v>
          </cell>
        </row>
        <row r="3816">
          <cell r="L3816" t="str">
            <v>Non-proportional</v>
          </cell>
          <cell r="S3816">
            <v>-0.53</v>
          </cell>
          <cell r="X3816" t="str">
            <v>Commissions - gross</v>
          </cell>
          <cell r="Y3816" t="str">
            <v>SWEDEN</v>
          </cell>
        </row>
        <row r="3817">
          <cell r="L3817" t="str">
            <v>Non-proportional</v>
          </cell>
          <cell r="S3817">
            <v>87.34</v>
          </cell>
          <cell r="X3817" t="str">
            <v>Commissions - gross</v>
          </cell>
          <cell r="Y3817" t="str">
            <v>GERMANY</v>
          </cell>
        </row>
        <row r="3818">
          <cell r="L3818" t="str">
            <v>Non-proportional</v>
          </cell>
          <cell r="S3818">
            <v>280.23</v>
          </cell>
          <cell r="X3818" t="str">
            <v>Commissions - gross</v>
          </cell>
          <cell r="Y3818" t="str">
            <v>REPUBLIC OF IRELAND</v>
          </cell>
        </row>
        <row r="3819">
          <cell r="L3819" t="str">
            <v>Non-proportional</v>
          </cell>
          <cell r="S3819">
            <v>235.75</v>
          </cell>
          <cell r="X3819" t="str">
            <v>Commissions - gross</v>
          </cell>
          <cell r="Y3819" t="str">
            <v>GERMANY</v>
          </cell>
        </row>
        <row r="3820">
          <cell r="L3820" t="str">
            <v>Non-proportional</v>
          </cell>
          <cell r="S3820">
            <v>759</v>
          </cell>
          <cell r="X3820" t="str">
            <v>Commissions - gross</v>
          </cell>
          <cell r="Y3820" t="str">
            <v>GERMANY</v>
          </cell>
        </row>
        <row r="3821">
          <cell r="L3821" t="str">
            <v>Non-proportional</v>
          </cell>
          <cell r="S3821">
            <v>32.15</v>
          </cell>
          <cell r="X3821" t="str">
            <v>Commissions - gross</v>
          </cell>
          <cell r="Y3821" t="str">
            <v>FRANCE</v>
          </cell>
        </row>
        <row r="3822">
          <cell r="L3822" t="str">
            <v>Non-proportional</v>
          </cell>
          <cell r="S3822">
            <v>812.5</v>
          </cell>
          <cell r="X3822" t="str">
            <v>Commissions - gross</v>
          </cell>
          <cell r="Y3822" t="str">
            <v>CZECH REPUBLIC</v>
          </cell>
        </row>
        <row r="3823">
          <cell r="L3823" t="str">
            <v>Non-proportional</v>
          </cell>
          <cell r="S3823">
            <v>1123.7</v>
          </cell>
          <cell r="X3823" t="str">
            <v>Commissions - gross</v>
          </cell>
          <cell r="Y3823" t="str">
            <v>UNITED KINGDOM</v>
          </cell>
        </row>
        <row r="3824">
          <cell r="L3824" t="str">
            <v>Non-proportional</v>
          </cell>
          <cell r="S3824">
            <v>1631.8</v>
          </cell>
          <cell r="X3824" t="str">
            <v>Commissions - gross</v>
          </cell>
          <cell r="Y3824" t="str">
            <v>DENMARK</v>
          </cell>
        </row>
        <row r="3825">
          <cell r="L3825" t="str">
            <v>Non-proportional</v>
          </cell>
          <cell r="S3825">
            <v>484.13</v>
          </cell>
          <cell r="X3825" t="str">
            <v>Commissions - gross</v>
          </cell>
          <cell r="Y3825" t="str">
            <v>UNITED KINGDOM</v>
          </cell>
        </row>
        <row r="3826">
          <cell r="L3826" t="str">
            <v>Non-proportional</v>
          </cell>
          <cell r="S3826">
            <v>133.84</v>
          </cell>
          <cell r="X3826" t="str">
            <v>Commissions - gross</v>
          </cell>
          <cell r="Y3826" t="str">
            <v>DENMARK</v>
          </cell>
        </row>
        <row r="3827">
          <cell r="L3827" t="str">
            <v>Non-proportional</v>
          </cell>
          <cell r="S3827">
            <v>455.38</v>
          </cell>
          <cell r="X3827" t="str">
            <v>Commissions - gross</v>
          </cell>
          <cell r="Y3827" t="str">
            <v>REPUBLIC OF IRELAND</v>
          </cell>
        </row>
        <row r="3828">
          <cell r="L3828" t="str">
            <v>Non-proportional</v>
          </cell>
          <cell r="S3828">
            <v>1.76</v>
          </cell>
          <cell r="X3828" t="str">
            <v>Commissions - gross</v>
          </cell>
          <cell r="Y3828" t="str">
            <v>EUROPE</v>
          </cell>
        </row>
        <row r="3829">
          <cell r="L3829" t="str">
            <v>Non-proportional</v>
          </cell>
          <cell r="S3829">
            <v>188.6</v>
          </cell>
          <cell r="X3829" t="str">
            <v>Commissions - gross</v>
          </cell>
          <cell r="Y3829" t="str">
            <v>JAPAN</v>
          </cell>
        </row>
        <row r="3830">
          <cell r="L3830" t="str">
            <v>Non-proportional</v>
          </cell>
          <cell r="S3830">
            <v>208.24</v>
          </cell>
          <cell r="X3830" t="str">
            <v>Commissions - gross</v>
          </cell>
          <cell r="Y3830" t="str">
            <v>GERMANY</v>
          </cell>
        </row>
        <row r="3831">
          <cell r="L3831" t="str">
            <v>Non-proportional</v>
          </cell>
          <cell r="S3831">
            <v>1650</v>
          </cell>
          <cell r="X3831" t="str">
            <v>Commissions - gross</v>
          </cell>
          <cell r="Y3831" t="str">
            <v>GERMANY</v>
          </cell>
        </row>
        <row r="3832">
          <cell r="L3832" t="str">
            <v>Non-proportional</v>
          </cell>
          <cell r="S3832">
            <v>606.67999999999995</v>
          </cell>
          <cell r="X3832" t="str">
            <v>Commissions - gross</v>
          </cell>
          <cell r="Y3832" t="str">
            <v>DENMARK</v>
          </cell>
        </row>
        <row r="3833">
          <cell r="L3833" t="str">
            <v>Non-proportional</v>
          </cell>
          <cell r="S3833">
            <v>227.92</v>
          </cell>
          <cell r="X3833" t="str">
            <v>Commissions - gross</v>
          </cell>
          <cell r="Y3833" t="str">
            <v>UNITED ARAB EMIRATES</v>
          </cell>
        </row>
        <row r="3834">
          <cell r="L3834" t="str">
            <v>Non-proportional</v>
          </cell>
          <cell r="S3834">
            <v>1221.5</v>
          </cell>
          <cell r="X3834" t="str">
            <v>Commissions - gross</v>
          </cell>
          <cell r="Y3834" t="str">
            <v>REPUBLIC OF IRELAND</v>
          </cell>
        </row>
        <row r="3835">
          <cell r="L3835" t="str">
            <v>Non-proportional</v>
          </cell>
          <cell r="S3835">
            <v>250.06</v>
          </cell>
          <cell r="X3835" t="str">
            <v>Commissions - gross</v>
          </cell>
          <cell r="Y3835" t="str">
            <v>GERMANY</v>
          </cell>
        </row>
        <row r="3836">
          <cell r="L3836" t="str">
            <v>Non-proportional</v>
          </cell>
          <cell r="S3836">
            <v>12562.67</v>
          </cell>
          <cell r="X3836" t="str">
            <v>Commissions - gross</v>
          </cell>
          <cell r="Y3836" t="str">
            <v>UNITED KINGDOM</v>
          </cell>
        </row>
        <row r="3837">
          <cell r="L3837" t="str">
            <v>Non-proportional</v>
          </cell>
          <cell r="S3837">
            <v>522.74</v>
          </cell>
          <cell r="X3837" t="str">
            <v>Commissions - gross</v>
          </cell>
          <cell r="Y3837" t="str">
            <v>NORWAY</v>
          </cell>
        </row>
        <row r="3838">
          <cell r="L3838" t="str">
            <v>Non-proportional</v>
          </cell>
          <cell r="S3838">
            <v>281.62</v>
          </cell>
          <cell r="X3838" t="str">
            <v>Commissions - gross</v>
          </cell>
          <cell r="Y3838" t="str">
            <v>FRANCE</v>
          </cell>
        </row>
        <row r="3839">
          <cell r="L3839" t="str">
            <v>Non-proportional</v>
          </cell>
          <cell r="S3839">
            <v>842.61</v>
          </cell>
          <cell r="X3839" t="str">
            <v>Commissions - gross</v>
          </cell>
          <cell r="Y3839" t="str">
            <v>EUROPE</v>
          </cell>
        </row>
        <row r="3840">
          <cell r="L3840" t="str">
            <v>Non-proportional</v>
          </cell>
          <cell r="S3840">
            <v>2845.94</v>
          </cell>
          <cell r="X3840" t="str">
            <v>Commissions - gross</v>
          </cell>
          <cell r="Y3840" t="str">
            <v>UNITED KINGDOM</v>
          </cell>
        </row>
        <row r="3841">
          <cell r="L3841" t="str">
            <v>Non-proportional</v>
          </cell>
          <cell r="S3841">
            <v>411.21</v>
          </cell>
          <cell r="X3841" t="str">
            <v>Commissions - gross</v>
          </cell>
          <cell r="Y3841" t="str">
            <v>AUSTRIA</v>
          </cell>
        </row>
        <row r="3842">
          <cell r="L3842" t="str">
            <v>Non-proportional</v>
          </cell>
          <cell r="S3842">
            <v>5161.41</v>
          </cell>
          <cell r="X3842" t="str">
            <v>Commissions - gross</v>
          </cell>
          <cell r="Y3842" t="str">
            <v>UNITED KINGDOM</v>
          </cell>
        </row>
        <row r="3843">
          <cell r="L3843" t="str">
            <v>Non-proportional</v>
          </cell>
          <cell r="S3843">
            <v>747.52</v>
          </cell>
          <cell r="X3843" t="str">
            <v>Commissions - gross</v>
          </cell>
          <cell r="Y3843" t="str">
            <v>NORWAY</v>
          </cell>
        </row>
        <row r="3844">
          <cell r="L3844" t="str">
            <v>Non-proportional</v>
          </cell>
          <cell r="S3844">
            <v>788.7</v>
          </cell>
          <cell r="X3844" t="str">
            <v>Commissions - gross</v>
          </cell>
          <cell r="Y3844" t="str">
            <v>DENMARK</v>
          </cell>
        </row>
        <row r="3845">
          <cell r="L3845" t="str">
            <v>Non-proportional</v>
          </cell>
          <cell r="S3845">
            <v>57.5</v>
          </cell>
          <cell r="X3845" t="str">
            <v>Commissions - gross</v>
          </cell>
          <cell r="Y3845" t="str">
            <v>ITALY</v>
          </cell>
        </row>
        <row r="3846">
          <cell r="L3846" t="str">
            <v>Non-proportional</v>
          </cell>
          <cell r="S3846">
            <v>310.22000000000003</v>
          </cell>
          <cell r="X3846" t="str">
            <v>Commissions - gross</v>
          </cell>
          <cell r="Y3846" t="str">
            <v>SWITZERLAND</v>
          </cell>
        </row>
        <row r="3847">
          <cell r="L3847" t="str">
            <v>Non-proportional</v>
          </cell>
          <cell r="S3847">
            <v>1870.62</v>
          </cell>
          <cell r="X3847" t="str">
            <v>Commissions - gross</v>
          </cell>
          <cell r="Y3847" t="str">
            <v>GERMANY</v>
          </cell>
        </row>
        <row r="3848">
          <cell r="L3848" t="str">
            <v>Proportional</v>
          </cell>
          <cell r="S3848">
            <v>305.60000000000002</v>
          </cell>
          <cell r="X3848" t="str">
            <v>Commissions - gross</v>
          </cell>
          <cell r="Y3848" t="str">
            <v>EUROPE</v>
          </cell>
        </row>
        <row r="3849">
          <cell r="L3849" t="str">
            <v>Non-proportional</v>
          </cell>
          <cell r="S3849">
            <v>1996.81</v>
          </cell>
          <cell r="X3849" t="str">
            <v>Commissions - gross</v>
          </cell>
          <cell r="Y3849" t="str">
            <v>UNITED KINGDOM</v>
          </cell>
        </row>
        <row r="3850">
          <cell r="L3850" t="str">
            <v>Non-proportional</v>
          </cell>
          <cell r="S3850">
            <v>2092.4899999999998</v>
          </cell>
          <cell r="X3850" t="str">
            <v>Commissions - gross</v>
          </cell>
          <cell r="Y3850" t="str">
            <v>FRANCE</v>
          </cell>
        </row>
        <row r="3851">
          <cell r="L3851" t="str">
            <v>Non-proportional</v>
          </cell>
          <cell r="S3851">
            <v>912.9</v>
          </cell>
          <cell r="X3851" t="str">
            <v>Commissions - gross</v>
          </cell>
          <cell r="Y3851" t="str">
            <v>GERMANY</v>
          </cell>
        </row>
        <row r="3852">
          <cell r="L3852" t="str">
            <v>Non-proportional</v>
          </cell>
          <cell r="S3852">
            <v>1339.97</v>
          </cell>
          <cell r="X3852" t="str">
            <v>Commissions - gross</v>
          </cell>
          <cell r="Y3852" t="str">
            <v>GERMANY</v>
          </cell>
        </row>
        <row r="3853">
          <cell r="L3853" t="str">
            <v>Non-proportional</v>
          </cell>
          <cell r="S3853">
            <v>782.88</v>
          </cell>
          <cell r="X3853" t="str">
            <v>Commissions - gross</v>
          </cell>
          <cell r="Y3853" t="str">
            <v>SWITZERLAND</v>
          </cell>
        </row>
        <row r="3854">
          <cell r="L3854" t="str">
            <v>Non-proportional</v>
          </cell>
          <cell r="S3854">
            <v>305.70999999999998</v>
          </cell>
          <cell r="X3854" t="str">
            <v>Commissions - gross</v>
          </cell>
          <cell r="Y3854" t="str">
            <v>ICELAND</v>
          </cell>
        </row>
        <row r="3855">
          <cell r="L3855" t="str">
            <v>Non-proportional</v>
          </cell>
          <cell r="S3855">
            <v>445.54</v>
          </cell>
          <cell r="X3855" t="str">
            <v>Commissions - gross</v>
          </cell>
          <cell r="Y3855" t="str">
            <v>DENMARK</v>
          </cell>
        </row>
        <row r="3856">
          <cell r="L3856" t="str">
            <v>Non-proportional</v>
          </cell>
          <cell r="S3856">
            <v>89.3</v>
          </cell>
          <cell r="X3856" t="str">
            <v>Commissions - gross</v>
          </cell>
          <cell r="Y3856" t="str">
            <v>DENMARK</v>
          </cell>
        </row>
        <row r="3857">
          <cell r="L3857" t="str">
            <v>Non-proportional</v>
          </cell>
          <cell r="S3857">
            <v>208.33</v>
          </cell>
          <cell r="X3857" t="str">
            <v>Commissions - gross</v>
          </cell>
          <cell r="Y3857" t="str">
            <v>GERMANY</v>
          </cell>
        </row>
        <row r="3858">
          <cell r="L3858" t="str">
            <v>Non-proportional</v>
          </cell>
          <cell r="S3858">
            <v>688.55</v>
          </cell>
          <cell r="X3858" t="str">
            <v>Commissions - gross</v>
          </cell>
          <cell r="Y3858" t="str">
            <v>UNITED KINGDOM</v>
          </cell>
        </row>
        <row r="3859">
          <cell r="L3859" t="str">
            <v>Proportional</v>
          </cell>
          <cell r="S3859">
            <v>284.47000000000003</v>
          </cell>
          <cell r="X3859" t="str">
            <v>Commissions - gross</v>
          </cell>
          <cell r="Y3859" t="str">
            <v>UNITED STATES</v>
          </cell>
        </row>
        <row r="3860">
          <cell r="L3860" t="str">
            <v>Non-proportional</v>
          </cell>
          <cell r="S3860">
            <v>5559.01</v>
          </cell>
          <cell r="X3860" t="str">
            <v>Commissions - gross</v>
          </cell>
          <cell r="Y3860" t="str">
            <v>UNITED KINGDOM</v>
          </cell>
        </row>
        <row r="3861">
          <cell r="L3861" t="str">
            <v>Non-proportional</v>
          </cell>
          <cell r="S3861">
            <v>196.23</v>
          </cell>
          <cell r="X3861" t="str">
            <v>Commissions - gross</v>
          </cell>
          <cell r="Y3861" t="str">
            <v>GERMANY</v>
          </cell>
        </row>
        <row r="3862">
          <cell r="L3862" t="str">
            <v>Non-proportional</v>
          </cell>
          <cell r="S3862">
            <v>633.51</v>
          </cell>
          <cell r="X3862" t="str">
            <v>Commissions - gross</v>
          </cell>
          <cell r="Y3862" t="str">
            <v>GERMANY</v>
          </cell>
        </row>
        <row r="3863">
          <cell r="L3863" t="str">
            <v>Non-proportional</v>
          </cell>
          <cell r="S3863">
            <v>703.65</v>
          </cell>
          <cell r="X3863" t="str">
            <v>Commissions - gross</v>
          </cell>
          <cell r="Y3863" t="str">
            <v>NORWAY</v>
          </cell>
        </row>
        <row r="3864">
          <cell r="L3864" t="str">
            <v>Non-proportional</v>
          </cell>
          <cell r="S3864">
            <v>956.7</v>
          </cell>
          <cell r="X3864" t="str">
            <v>Commissions - gross</v>
          </cell>
          <cell r="Y3864" t="str">
            <v>SLOVENIA</v>
          </cell>
        </row>
        <row r="3865">
          <cell r="L3865" t="str">
            <v>Non-proportional</v>
          </cell>
          <cell r="S3865">
            <v>3557.03</v>
          </cell>
          <cell r="X3865" t="str">
            <v>Commissions - gross</v>
          </cell>
          <cell r="Y3865" t="str">
            <v>FRANCE</v>
          </cell>
        </row>
        <row r="3866">
          <cell r="L3866" t="str">
            <v>Non-proportional</v>
          </cell>
          <cell r="S3866">
            <v>557.87</v>
          </cell>
          <cell r="X3866" t="str">
            <v>Commissions - gross</v>
          </cell>
          <cell r="Y3866" t="str">
            <v>DENMARK</v>
          </cell>
        </row>
        <row r="3867">
          <cell r="L3867" t="str">
            <v>Non-proportional</v>
          </cell>
          <cell r="S3867">
            <v>3734.6</v>
          </cell>
          <cell r="X3867" t="str">
            <v>Commissions - gross</v>
          </cell>
          <cell r="Y3867" t="str">
            <v>FRANCE</v>
          </cell>
        </row>
        <row r="3868">
          <cell r="L3868" t="str">
            <v>Non-proportional</v>
          </cell>
          <cell r="S3868">
            <v>108.79</v>
          </cell>
          <cell r="X3868" t="str">
            <v>Commissions - gross</v>
          </cell>
          <cell r="Y3868" t="str">
            <v>DENMARK</v>
          </cell>
        </row>
        <row r="3869">
          <cell r="L3869" t="str">
            <v>Non-proportional</v>
          </cell>
          <cell r="S3869">
            <v>2035.5</v>
          </cell>
          <cell r="X3869" t="str">
            <v>Commissions - gross</v>
          </cell>
          <cell r="Y3869" t="str">
            <v>GERMANY</v>
          </cell>
        </row>
        <row r="3870">
          <cell r="L3870" t="str">
            <v>Non-proportional</v>
          </cell>
          <cell r="S3870">
            <v>2439.6</v>
          </cell>
          <cell r="X3870" t="str">
            <v>Commissions - gross</v>
          </cell>
          <cell r="Y3870" t="str">
            <v>GERMANY</v>
          </cell>
        </row>
        <row r="3871">
          <cell r="L3871" t="str">
            <v>Non-proportional</v>
          </cell>
          <cell r="S3871">
            <v>427.54</v>
          </cell>
          <cell r="X3871" t="str">
            <v>Commissions - gross</v>
          </cell>
          <cell r="Y3871" t="str">
            <v>GERMANY</v>
          </cell>
        </row>
        <row r="3872">
          <cell r="L3872" t="str">
            <v>Non-proportional</v>
          </cell>
          <cell r="S3872">
            <v>339.25</v>
          </cell>
          <cell r="X3872" t="str">
            <v>Commissions - gross</v>
          </cell>
          <cell r="Y3872" t="str">
            <v>ITALY</v>
          </cell>
        </row>
        <row r="3873">
          <cell r="L3873" t="str">
            <v>Non-proportional</v>
          </cell>
          <cell r="S3873">
            <v>-0.42</v>
          </cell>
          <cell r="X3873" t="str">
            <v>Commissions - gross</v>
          </cell>
          <cell r="Y3873" t="str">
            <v>DENMARK</v>
          </cell>
        </row>
        <row r="3874">
          <cell r="L3874" t="str">
            <v>Non-proportional</v>
          </cell>
          <cell r="S3874">
            <v>3006.52</v>
          </cell>
          <cell r="X3874" t="str">
            <v>Commissions - gross</v>
          </cell>
          <cell r="Y3874" t="str">
            <v>UNITED KINGDOM</v>
          </cell>
        </row>
        <row r="3875">
          <cell r="L3875" t="str">
            <v>Non-proportional</v>
          </cell>
          <cell r="S3875">
            <v>315.14999999999998</v>
          </cell>
          <cell r="X3875" t="str">
            <v>Commissions - gross</v>
          </cell>
          <cell r="Y3875" t="str">
            <v>UNITED KINGDOM</v>
          </cell>
        </row>
        <row r="3876">
          <cell r="L3876" t="str">
            <v>Non-proportional</v>
          </cell>
          <cell r="S3876">
            <v>898.18</v>
          </cell>
          <cell r="X3876" t="str">
            <v>Commissions - gross</v>
          </cell>
          <cell r="Y3876" t="str">
            <v>UNITED KINGDOM</v>
          </cell>
        </row>
        <row r="3877">
          <cell r="L3877" t="str">
            <v>Proportional</v>
          </cell>
          <cell r="S3877">
            <v>1729.68</v>
          </cell>
          <cell r="X3877" t="str">
            <v>Commissions - gross</v>
          </cell>
          <cell r="Y3877" t="str">
            <v>GERMANY</v>
          </cell>
        </row>
        <row r="3878">
          <cell r="L3878" t="str">
            <v>Non-proportional</v>
          </cell>
          <cell r="S3878">
            <v>719.51</v>
          </cell>
          <cell r="X3878" t="str">
            <v>Commissions - gross</v>
          </cell>
          <cell r="Y3878" t="str">
            <v>DENMARK</v>
          </cell>
        </row>
        <row r="3879">
          <cell r="L3879" t="str">
            <v>Non-proportional</v>
          </cell>
          <cell r="S3879">
            <v>552.71</v>
          </cell>
          <cell r="X3879" t="str">
            <v>Commissions - gross</v>
          </cell>
          <cell r="Y3879" t="str">
            <v>GERMANY</v>
          </cell>
        </row>
        <row r="3880">
          <cell r="L3880" t="str">
            <v>Non-proportional</v>
          </cell>
          <cell r="S3880">
            <v>260.52999999999997</v>
          </cell>
          <cell r="X3880" t="str">
            <v>Commissions - gross</v>
          </cell>
          <cell r="Y3880" t="str">
            <v>UNITED KINGDOM</v>
          </cell>
        </row>
        <row r="3881">
          <cell r="L3881" t="str">
            <v>Non-proportional</v>
          </cell>
          <cell r="S3881">
            <v>268.75</v>
          </cell>
          <cell r="X3881" t="str">
            <v>Commissions - gross</v>
          </cell>
          <cell r="Y3881" t="str">
            <v>GERMANY</v>
          </cell>
        </row>
        <row r="3882">
          <cell r="L3882" t="str">
            <v>Non-proportional</v>
          </cell>
          <cell r="S3882">
            <v>-1.62</v>
          </cell>
          <cell r="X3882" t="str">
            <v>Commissions - gross</v>
          </cell>
          <cell r="Y3882" t="str">
            <v>SWEDEN</v>
          </cell>
        </row>
        <row r="3883">
          <cell r="L3883" t="str">
            <v>Non-proportional</v>
          </cell>
          <cell r="S3883">
            <v>207.29</v>
          </cell>
          <cell r="X3883" t="str">
            <v>Commissions - gross</v>
          </cell>
          <cell r="Y3883" t="str">
            <v>SWITZERLAND</v>
          </cell>
        </row>
        <row r="3884">
          <cell r="L3884" t="str">
            <v>Non-proportional</v>
          </cell>
          <cell r="S3884">
            <v>548.41</v>
          </cell>
          <cell r="X3884" t="str">
            <v>Commissions - gross</v>
          </cell>
          <cell r="Y3884" t="str">
            <v>EUROPE</v>
          </cell>
        </row>
        <row r="3885">
          <cell r="L3885" t="str">
            <v>Non-proportional</v>
          </cell>
          <cell r="S3885">
            <v>1532.92</v>
          </cell>
          <cell r="X3885" t="str">
            <v>Commissions - gross</v>
          </cell>
          <cell r="Y3885" t="str">
            <v>ITALY</v>
          </cell>
        </row>
        <row r="3886">
          <cell r="L3886" t="str">
            <v>Non-proportional</v>
          </cell>
          <cell r="S3886">
            <v>870.25</v>
          </cell>
          <cell r="X3886" t="str">
            <v>Commissions - gross</v>
          </cell>
          <cell r="Y3886" t="str">
            <v>UNITED KINGDOM</v>
          </cell>
        </row>
        <row r="3887">
          <cell r="L3887" t="str">
            <v>Non-proportional</v>
          </cell>
          <cell r="S3887">
            <v>690.42</v>
          </cell>
          <cell r="X3887" t="str">
            <v>Commissions - gross</v>
          </cell>
          <cell r="Y3887" t="str">
            <v>FRANCE</v>
          </cell>
        </row>
        <row r="3888">
          <cell r="L3888" t="str">
            <v>Non-proportional</v>
          </cell>
          <cell r="S3888">
            <v>2602.21</v>
          </cell>
          <cell r="X3888" t="str">
            <v>Commissions - gross</v>
          </cell>
          <cell r="Y3888" t="str">
            <v>UNITED KINGDOM</v>
          </cell>
        </row>
        <row r="3889">
          <cell r="L3889" t="str">
            <v>Non-proportional</v>
          </cell>
          <cell r="S3889">
            <v>3767.71</v>
          </cell>
          <cell r="X3889" t="str">
            <v>Commissions - gross</v>
          </cell>
          <cell r="Y3889" t="str">
            <v>UNITED KINGDOM</v>
          </cell>
        </row>
        <row r="3890">
          <cell r="L3890" t="str">
            <v>Non-proportional</v>
          </cell>
          <cell r="S3890">
            <v>2578.09</v>
          </cell>
          <cell r="X3890" t="str">
            <v>Commissions - gross</v>
          </cell>
          <cell r="Y3890" t="str">
            <v>UNITED KINGDOM</v>
          </cell>
        </row>
        <row r="3891">
          <cell r="L3891" t="str">
            <v>Non-proportional</v>
          </cell>
          <cell r="S3891">
            <v>3372.64</v>
          </cell>
          <cell r="X3891" t="str">
            <v>Commissions - gross</v>
          </cell>
          <cell r="Y3891" t="str">
            <v>FRANCE</v>
          </cell>
        </row>
        <row r="3892">
          <cell r="L3892" t="str">
            <v>Non-proportional</v>
          </cell>
          <cell r="S3892">
            <v>2249.54</v>
          </cell>
          <cell r="X3892" t="str">
            <v>Commissions - gross</v>
          </cell>
          <cell r="Y3892" t="str">
            <v>CZECH REPUBLIC</v>
          </cell>
        </row>
        <row r="3893">
          <cell r="L3893" t="str">
            <v>Proportional</v>
          </cell>
          <cell r="S3893">
            <v>195977.7</v>
          </cell>
          <cell r="X3893" t="str">
            <v>Commissions - gross</v>
          </cell>
          <cell r="Y3893" t="str">
            <v>SWITZERLAND</v>
          </cell>
        </row>
        <row r="3894">
          <cell r="L3894" t="str">
            <v>Proportional</v>
          </cell>
          <cell r="S3894">
            <v>653259</v>
          </cell>
          <cell r="X3894" t="str">
            <v>Commissions - gross</v>
          </cell>
          <cell r="Y3894" t="str">
            <v>AUSTRIA</v>
          </cell>
        </row>
        <row r="3895">
          <cell r="L3895" t="str">
            <v>Proportional</v>
          </cell>
          <cell r="S3895">
            <v>663571.19999999995</v>
          </cell>
          <cell r="X3895" t="str">
            <v>Commissions - gross</v>
          </cell>
          <cell r="Y3895" t="str">
            <v>AUSTRIA</v>
          </cell>
        </row>
        <row r="3896">
          <cell r="L3896" t="str">
            <v>Proportional</v>
          </cell>
          <cell r="S3896">
            <v>-663571.19999999995</v>
          </cell>
          <cell r="X3896" t="str">
            <v>Commissions - gross</v>
          </cell>
          <cell r="Y3896" t="str">
            <v>SWITZERLAND</v>
          </cell>
        </row>
        <row r="3897">
          <cell r="L3897" t="str">
            <v>Proportional</v>
          </cell>
          <cell r="S3897">
            <v>-195977.7</v>
          </cell>
          <cell r="X3897" t="str">
            <v>Commissions - gross</v>
          </cell>
          <cell r="Y3897" t="str">
            <v>SWITZERLAND</v>
          </cell>
        </row>
        <row r="3898">
          <cell r="L3898" t="str">
            <v>Proportional</v>
          </cell>
          <cell r="S3898">
            <v>-663571.19999999995</v>
          </cell>
          <cell r="X3898" t="str">
            <v>Commissions - gross</v>
          </cell>
          <cell r="Y3898" t="str">
            <v>AUSTRIA</v>
          </cell>
        </row>
        <row r="3899">
          <cell r="L3899" t="str">
            <v>Proportional</v>
          </cell>
          <cell r="S3899">
            <v>663571.19999999995</v>
          </cell>
          <cell r="X3899" t="str">
            <v>Commissions - gross</v>
          </cell>
          <cell r="Y3899" t="str">
            <v>SWITZERLAND</v>
          </cell>
        </row>
        <row r="3900">
          <cell r="L3900" t="str">
            <v>Non-proportional</v>
          </cell>
          <cell r="S3900">
            <v>-12063</v>
          </cell>
          <cell r="X3900" t="str">
            <v>Commissions - gross</v>
          </cell>
          <cell r="Y3900" t="str">
            <v>AUSTRIA</v>
          </cell>
        </row>
        <row r="3901">
          <cell r="L3901" t="str">
            <v>Non-proportional</v>
          </cell>
          <cell r="S3901">
            <v>12063</v>
          </cell>
          <cell r="X3901" t="str">
            <v>Commissions - gross</v>
          </cell>
          <cell r="Y3901" t="str">
            <v>AUSTRIA</v>
          </cell>
        </row>
        <row r="3902">
          <cell r="L3902" t="str">
            <v>Proportional</v>
          </cell>
          <cell r="S3902">
            <v>537542.66</v>
          </cell>
          <cell r="X3902" t="str">
            <v>Commissions - gross</v>
          </cell>
          <cell r="Y3902" t="str">
            <v>SWITZERLAND</v>
          </cell>
        </row>
        <row r="3903">
          <cell r="L3903" t="str">
            <v>Proportional</v>
          </cell>
          <cell r="S3903">
            <v>76445.919999999998</v>
          </cell>
          <cell r="X3903" t="str">
            <v>Commissions - gross</v>
          </cell>
          <cell r="Y3903" t="str">
            <v>UNITED STATES</v>
          </cell>
        </row>
        <row r="3904">
          <cell r="L3904" t="str">
            <v>Proportional</v>
          </cell>
          <cell r="S3904">
            <v>47272.42</v>
          </cell>
          <cell r="X3904" t="str">
            <v>Commissions - gross</v>
          </cell>
          <cell r="Y3904" t="str">
            <v>UNITED STATES</v>
          </cell>
        </row>
        <row r="3905">
          <cell r="L3905" t="str">
            <v>Proportional</v>
          </cell>
          <cell r="S3905">
            <v>128000</v>
          </cell>
          <cell r="X3905" t="str">
            <v>Commissions - gross</v>
          </cell>
          <cell r="Y3905" t="str">
            <v>EUROPE</v>
          </cell>
        </row>
        <row r="3906">
          <cell r="L3906" t="str">
            <v>Proportional</v>
          </cell>
          <cell r="S3906">
            <v>587855.38</v>
          </cell>
          <cell r="X3906" t="str">
            <v>Commissions - gross</v>
          </cell>
          <cell r="Y3906" t="str">
            <v>UNITED STATES</v>
          </cell>
        </row>
        <row r="3907">
          <cell r="L3907" t="str">
            <v>Proportional</v>
          </cell>
          <cell r="S3907">
            <v>373079.03</v>
          </cell>
          <cell r="X3907" t="str">
            <v>Commissions - gross</v>
          </cell>
          <cell r="Y3907" t="str">
            <v>AUSTRIA</v>
          </cell>
        </row>
        <row r="3908">
          <cell r="L3908" t="str">
            <v>Proportional</v>
          </cell>
          <cell r="S3908">
            <v>-373079.03</v>
          </cell>
          <cell r="X3908" t="str">
            <v>Commissions - gross</v>
          </cell>
          <cell r="Y3908" t="str">
            <v>AUSTRIA</v>
          </cell>
        </row>
        <row r="3909">
          <cell r="L3909" t="str">
            <v>Proportional</v>
          </cell>
          <cell r="S3909">
            <v>270200.71999999997</v>
          </cell>
          <cell r="X3909" t="str">
            <v>Commissions - gross</v>
          </cell>
          <cell r="Y3909" t="str">
            <v>UNITED KINGDOM</v>
          </cell>
        </row>
        <row r="3910">
          <cell r="L3910" t="str">
            <v>Proportional</v>
          </cell>
          <cell r="S3910">
            <v>2596503.39</v>
          </cell>
          <cell r="X3910" t="str">
            <v>Commissions - gross</v>
          </cell>
          <cell r="Y3910" t="str">
            <v>UNITED STATES</v>
          </cell>
        </row>
        <row r="3911">
          <cell r="L3911" t="str">
            <v>Non-proportional</v>
          </cell>
          <cell r="S3911">
            <v>8681.91</v>
          </cell>
          <cell r="X3911" t="str">
            <v>Commissions - gross</v>
          </cell>
          <cell r="Y3911" t="str">
            <v>SWITZERLAND</v>
          </cell>
        </row>
        <row r="3912">
          <cell r="L3912" t="str">
            <v>Non-proportional</v>
          </cell>
          <cell r="S3912">
            <v>3890.4</v>
          </cell>
          <cell r="X3912" t="str">
            <v>Commissions - gross</v>
          </cell>
          <cell r="Y3912" t="str">
            <v>FAROE ISLANDS</v>
          </cell>
        </row>
        <row r="3913">
          <cell r="L3913" t="str">
            <v>Non-proportional</v>
          </cell>
          <cell r="S3913">
            <v>-16869.97</v>
          </cell>
          <cell r="X3913" t="str">
            <v>Commissions - gross</v>
          </cell>
          <cell r="Y3913" t="str">
            <v>SWITZERLAND</v>
          </cell>
        </row>
        <row r="3914">
          <cell r="L3914" t="str">
            <v>Non-proportional</v>
          </cell>
          <cell r="S3914">
            <v>8500.7199999999993</v>
          </cell>
          <cell r="X3914" t="str">
            <v>Commissions - gross</v>
          </cell>
          <cell r="Y3914" t="str">
            <v>NORWAY</v>
          </cell>
        </row>
        <row r="3915">
          <cell r="L3915" t="str">
            <v>Non-proportional</v>
          </cell>
          <cell r="S3915">
            <v>12713.93</v>
          </cell>
          <cell r="X3915" t="str">
            <v>Commissions - gross</v>
          </cell>
          <cell r="Y3915" t="str">
            <v>SWITZERLAND</v>
          </cell>
        </row>
        <row r="3916">
          <cell r="L3916" t="str">
            <v>Non-proportional</v>
          </cell>
          <cell r="S3916">
            <v>930</v>
          </cell>
          <cell r="X3916" t="str">
            <v>Commissions - gross</v>
          </cell>
          <cell r="Y3916" t="str">
            <v>SWITZERLAND</v>
          </cell>
        </row>
        <row r="3917">
          <cell r="L3917" t="str">
            <v>Non-proportional</v>
          </cell>
          <cell r="S3917">
            <v>-78562.100000000006</v>
          </cell>
          <cell r="X3917" t="str">
            <v>Commissions - gross</v>
          </cell>
          <cell r="Y3917" t="str">
            <v>UNITED KINGDOM</v>
          </cell>
        </row>
        <row r="3918">
          <cell r="L3918" t="str">
            <v>Non-proportional</v>
          </cell>
          <cell r="S3918">
            <v>-13782.87</v>
          </cell>
          <cell r="X3918" t="str">
            <v>Commissions - gross</v>
          </cell>
          <cell r="Y3918" t="str">
            <v>UNITED KINGDOM</v>
          </cell>
        </row>
        <row r="3919">
          <cell r="L3919" t="str">
            <v>Non-proportional</v>
          </cell>
          <cell r="S3919">
            <v>8713.15</v>
          </cell>
          <cell r="X3919" t="str">
            <v>Commissions - gross</v>
          </cell>
          <cell r="Y3919" t="str">
            <v>NORWAY</v>
          </cell>
        </row>
        <row r="3920">
          <cell r="L3920" t="str">
            <v>Non-proportional</v>
          </cell>
          <cell r="S3920">
            <v>19599.810000000001</v>
          </cell>
          <cell r="X3920" t="str">
            <v>Commissions - gross</v>
          </cell>
          <cell r="Y3920" t="str">
            <v>DENMARK</v>
          </cell>
        </row>
        <row r="3921">
          <cell r="L3921" t="str">
            <v>Non-proportional</v>
          </cell>
          <cell r="S3921">
            <v>621</v>
          </cell>
          <cell r="X3921" t="str">
            <v>Commissions - gross</v>
          </cell>
          <cell r="Y3921" t="str">
            <v>ITALY</v>
          </cell>
        </row>
        <row r="3922">
          <cell r="L3922" t="str">
            <v>Non-proportional</v>
          </cell>
          <cell r="S3922">
            <v>541.5</v>
          </cell>
          <cell r="X3922" t="str">
            <v>Commissions - gross</v>
          </cell>
          <cell r="Y3922" t="str">
            <v>ITALY</v>
          </cell>
        </row>
        <row r="3923">
          <cell r="L3923" t="str">
            <v>Non-proportional</v>
          </cell>
          <cell r="S3923">
            <v>13404.09</v>
          </cell>
          <cell r="X3923" t="str">
            <v>Commissions - gross</v>
          </cell>
          <cell r="Y3923" t="str">
            <v>UNITED KINGDOM</v>
          </cell>
        </row>
        <row r="3924">
          <cell r="L3924" t="str">
            <v>Non-proportional</v>
          </cell>
          <cell r="S3924">
            <v>-20155.73</v>
          </cell>
          <cell r="X3924" t="str">
            <v>Commissions - gross</v>
          </cell>
          <cell r="Y3924" t="str">
            <v>SWITZERLAND</v>
          </cell>
        </row>
        <row r="3925">
          <cell r="L3925" t="str">
            <v>Non-proportional</v>
          </cell>
          <cell r="S3925">
            <v>22680</v>
          </cell>
          <cell r="X3925" t="str">
            <v>Commissions - gross</v>
          </cell>
          <cell r="Y3925" t="str">
            <v>ROMANIA</v>
          </cell>
        </row>
        <row r="3926">
          <cell r="L3926" t="str">
            <v>Non-proportional</v>
          </cell>
          <cell r="S3926">
            <v>-56967.23</v>
          </cell>
          <cell r="X3926" t="str">
            <v>Commissions - gross</v>
          </cell>
          <cell r="Y3926" t="str">
            <v>UNITED KINGDOM</v>
          </cell>
        </row>
        <row r="3927">
          <cell r="L3927" t="str">
            <v>Non-proportional</v>
          </cell>
          <cell r="S3927">
            <v>9296.9</v>
          </cell>
          <cell r="X3927" t="str">
            <v>Commissions - gross</v>
          </cell>
          <cell r="Y3927" t="str">
            <v>GERMANY</v>
          </cell>
        </row>
        <row r="3928">
          <cell r="L3928" t="str">
            <v>Non-proportional</v>
          </cell>
          <cell r="S3928">
            <v>37709.24</v>
          </cell>
          <cell r="X3928" t="str">
            <v>Commissions - gross</v>
          </cell>
          <cell r="Y3928" t="str">
            <v>UNITED KINGDOM</v>
          </cell>
        </row>
        <row r="3929">
          <cell r="L3929" t="str">
            <v>Non-proportional</v>
          </cell>
          <cell r="S3929">
            <v>30284.89</v>
          </cell>
          <cell r="X3929" t="str">
            <v>Commissions - gross</v>
          </cell>
          <cell r="Y3929" t="str">
            <v>UNITED KINGDOM</v>
          </cell>
        </row>
        <row r="3930">
          <cell r="L3930" t="str">
            <v>Non-proportional</v>
          </cell>
          <cell r="S3930">
            <v>1404</v>
          </cell>
          <cell r="X3930" t="str">
            <v>Commissions - gross</v>
          </cell>
          <cell r="Y3930" t="str">
            <v>GERMANY</v>
          </cell>
        </row>
        <row r="3931">
          <cell r="L3931" t="str">
            <v>Non-proportional</v>
          </cell>
          <cell r="S3931">
            <v>181242.62</v>
          </cell>
          <cell r="X3931" t="str">
            <v>Commissions - gross</v>
          </cell>
          <cell r="Y3931" t="str">
            <v>UNITED KINGDOM</v>
          </cell>
        </row>
        <row r="3932">
          <cell r="L3932" t="str">
            <v>Non-proportional</v>
          </cell>
          <cell r="S3932">
            <v>5085.57</v>
          </cell>
          <cell r="X3932" t="str">
            <v>Commissions - gross</v>
          </cell>
          <cell r="Y3932" t="str">
            <v>SWITZERLAND</v>
          </cell>
        </row>
        <row r="3933">
          <cell r="L3933" t="str">
            <v>Non-proportional</v>
          </cell>
          <cell r="S3933">
            <v>53753.3</v>
          </cell>
          <cell r="X3933" t="str">
            <v>Commissions - gross</v>
          </cell>
          <cell r="Y3933" t="str">
            <v>UNITED KINGDOM</v>
          </cell>
        </row>
        <row r="3934">
          <cell r="L3934" t="str">
            <v>Non-proportional</v>
          </cell>
          <cell r="S3934">
            <v>-7892.03</v>
          </cell>
          <cell r="X3934" t="str">
            <v>Commissions - gross</v>
          </cell>
          <cell r="Y3934" t="str">
            <v>FAROE ISLANDS</v>
          </cell>
        </row>
        <row r="3935">
          <cell r="L3935" t="str">
            <v>Non-proportional</v>
          </cell>
          <cell r="S3935">
            <v>4812.99</v>
          </cell>
          <cell r="X3935" t="str">
            <v>Commissions - gross</v>
          </cell>
          <cell r="Y3935" t="str">
            <v>SWITZERLAND</v>
          </cell>
        </row>
        <row r="3936">
          <cell r="L3936" t="str">
            <v>Non-proportional</v>
          </cell>
          <cell r="S3936">
            <v>-11305.2</v>
          </cell>
          <cell r="X3936" t="str">
            <v>Commissions - gross</v>
          </cell>
          <cell r="Y3936" t="str">
            <v>FRANCE</v>
          </cell>
        </row>
        <row r="3937">
          <cell r="L3937" t="str">
            <v>Non-proportional</v>
          </cell>
          <cell r="S3937">
            <v>-22525.69</v>
          </cell>
          <cell r="X3937" t="str">
            <v>Commissions - gross</v>
          </cell>
          <cell r="Y3937" t="str">
            <v>UNITED KINGDOM</v>
          </cell>
        </row>
        <row r="3938">
          <cell r="L3938" t="str">
            <v>Non-proportional</v>
          </cell>
          <cell r="S3938">
            <v>3659.61</v>
          </cell>
          <cell r="X3938" t="str">
            <v>Commissions - gross</v>
          </cell>
          <cell r="Y3938" t="str">
            <v>SWITZERLAND</v>
          </cell>
        </row>
        <row r="3939">
          <cell r="L3939" t="str">
            <v>Non-proportional</v>
          </cell>
          <cell r="S3939">
            <v>19555.900000000001</v>
          </cell>
          <cell r="X3939" t="str">
            <v>Commissions - gross</v>
          </cell>
          <cell r="Y3939" t="str">
            <v>GERMANY</v>
          </cell>
        </row>
        <row r="3940">
          <cell r="L3940" t="str">
            <v>Non-proportional</v>
          </cell>
          <cell r="S3940">
            <v>2374.83</v>
          </cell>
          <cell r="X3940" t="str">
            <v>Commissions - gross</v>
          </cell>
          <cell r="Y3940" t="str">
            <v>SWITZERLAND</v>
          </cell>
        </row>
        <row r="3941">
          <cell r="L3941" t="str">
            <v>Non-proportional</v>
          </cell>
          <cell r="S3941">
            <v>6380.07</v>
          </cell>
          <cell r="X3941" t="str">
            <v>Commissions - gross</v>
          </cell>
          <cell r="Y3941" t="str">
            <v>UNITED KINGDOM</v>
          </cell>
        </row>
        <row r="3942">
          <cell r="L3942" t="str">
            <v>Non-proportional</v>
          </cell>
          <cell r="S3942">
            <v>28082.16</v>
          </cell>
          <cell r="X3942" t="str">
            <v>Commissions - gross</v>
          </cell>
          <cell r="Y3942" t="str">
            <v>GERMANY</v>
          </cell>
        </row>
        <row r="3943">
          <cell r="L3943" t="str">
            <v>Non-proportional</v>
          </cell>
          <cell r="S3943">
            <v>12120</v>
          </cell>
          <cell r="X3943" t="str">
            <v>Commissions - gross</v>
          </cell>
          <cell r="Y3943" t="str">
            <v>EUROPE</v>
          </cell>
        </row>
        <row r="3944">
          <cell r="L3944" t="str">
            <v>Non-proportional</v>
          </cell>
          <cell r="S3944">
            <v>28452.73</v>
          </cell>
          <cell r="X3944" t="str">
            <v>Commissions - gross</v>
          </cell>
          <cell r="Y3944" t="str">
            <v>UNITED KINGDOM</v>
          </cell>
        </row>
        <row r="3945">
          <cell r="L3945" t="str">
            <v>Non-proportional</v>
          </cell>
          <cell r="S3945">
            <v>-30090.93</v>
          </cell>
          <cell r="X3945" t="str">
            <v>Commissions - gross</v>
          </cell>
          <cell r="Y3945" t="str">
            <v>UNITED KINGDOM</v>
          </cell>
        </row>
        <row r="3946">
          <cell r="L3946" t="str">
            <v>Non-proportional</v>
          </cell>
          <cell r="S3946">
            <v>6006.96</v>
          </cell>
          <cell r="X3946" t="str">
            <v>Commissions - gross</v>
          </cell>
          <cell r="Y3946" t="str">
            <v>FRANCE</v>
          </cell>
        </row>
        <row r="3947">
          <cell r="L3947" t="str">
            <v>Non-proportional</v>
          </cell>
          <cell r="S3947">
            <v>-6180</v>
          </cell>
          <cell r="X3947" t="str">
            <v>Commissions - gross</v>
          </cell>
          <cell r="Y3947" t="str">
            <v>GERMANY</v>
          </cell>
        </row>
        <row r="3948">
          <cell r="L3948" t="str">
            <v>Non-proportional</v>
          </cell>
          <cell r="S3948">
            <v>-1048.05</v>
          </cell>
          <cell r="X3948" t="str">
            <v>Commissions - gross</v>
          </cell>
          <cell r="Y3948" t="str">
            <v>SWITZERLAND</v>
          </cell>
        </row>
        <row r="3949">
          <cell r="L3949" t="str">
            <v>Non-proportional</v>
          </cell>
          <cell r="S3949">
            <v>13523.34</v>
          </cell>
          <cell r="X3949" t="str">
            <v>Commissions - gross</v>
          </cell>
          <cell r="Y3949" t="str">
            <v>SWITZERLAND</v>
          </cell>
        </row>
        <row r="3950">
          <cell r="L3950" t="str">
            <v>Non-proportional</v>
          </cell>
          <cell r="S3950">
            <v>-9235.4500000000007</v>
          </cell>
          <cell r="X3950" t="str">
            <v>Commissions - gross</v>
          </cell>
          <cell r="Y3950" t="str">
            <v>SWITZERLAND</v>
          </cell>
        </row>
        <row r="3951">
          <cell r="L3951" t="str">
            <v>Non-proportional</v>
          </cell>
          <cell r="S3951">
            <v>103567.2</v>
          </cell>
          <cell r="X3951" t="str">
            <v>Commissions - gross</v>
          </cell>
          <cell r="Y3951" t="str">
            <v>UNITED KINGDOM</v>
          </cell>
        </row>
        <row r="3952">
          <cell r="L3952" t="str">
            <v>Non-proportional</v>
          </cell>
          <cell r="S3952">
            <v>1286.52</v>
          </cell>
          <cell r="X3952" t="str">
            <v>Commissions - gross</v>
          </cell>
          <cell r="Y3952" t="str">
            <v>DENMARK</v>
          </cell>
        </row>
        <row r="3953">
          <cell r="L3953" t="str">
            <v>Non-proportional</v>
          </cell>
          <cell r="S3953">
            <v>690</v>
          </cell>
          <cell r="X3953" t="str">
            <v>Commissions - gross</v>
          </cell>
          <cell r="Y3953" t="str">
            <v>ITALY</v>
          </cell>
        </row>
        <row r="3954">
          <cell r="L3954" t="str">
            <v>Non-proportional</v>
          </cell>
          <cell r="S3954">
            <v>-82853.759999999995</v>
          </cell>
          <cell r="X3954" t="str">
            <v>Commissions - gross</v>
          </cell>
          <cell r="Y3954" t="str">
            <v>UNITED KINGDOM</v>
          </cell>
        </row>
        <row r="3955">
          <cell r="L3955" t="str">
            <v>Non-proportional</v>
          </cell>
          <cell r="S3955">
            <v>-6380.07</v>
          </cell>
          <cell r="X3955" t="str">
            <v>Commissions - gross</v>
          </cell>
          <cell r="Y3955" t="str">
            <v>UNITED KINGDOM</v>
          </cell>
        </row>
        <row r="3956">
          <cell r="L3956" t="str">
            <v>Non-proportional</v>
          </cell>
          <cell r="S3956">
            <v>14377.9</v>
          </cell>
          <cell r="X3956" t="str">
            <v>Commissions - gross</v>
          </cell>
          <cell r="Y3956" t="str">
            <v>SWEDEN</v>
          </cell>
        </row>
        <row r="3957">
          <cell r="L3957" t="str">
            <v>Non-proportional</v>
          </cell>
          <cell r="S3957">
            <v>24924.76</v>
          </cell>
          <cell r="X3957" t="str">
            <v>Commissions - gross</v>
          </cell>
          <cell r="Y3957" t="str">
            <v>FRANCE</v>
          </cell>
        </row>
        <row r="3958">
          <cell r="L3958" t="str">
            <v>Non-proportional</v>
          </cell>
          <cell r="S3958">
            <v>21676.959999999999</v>
          </cell>
          <cell r="X3958" t="str">
            <v>Commissions - gross</v>
          </cell>
          <cell r="Y3958" t="str">
            <v>UNITED KINGDOM</v>
          </cell>
        </row>
        <row r="3959">
          <cell r="L3959" t="str">
            <v>Non-proportional</v>
          </cell>
          <cell r="S3959">
            <v>12713.93</v>
          </cell>
          <cell r="X3959" t="str">
            <v>Commissions - gross</v>
          </cell>
          <cell r="Y3959" t="str">
            <v>SWITZERLAND</v>
          </cell>
        </row>
        <row r="3960">
          <cell r="L3960" t="str">
            <v>Non-proportional</v>
          </cell>
          <cell r="S3960">
            <v>-17639.46</v>
          </cell>
          <cell r="X3960" t="str">
            <v>Commissions - gross</v>
          </cell>
          <cell r="Y3960" t="str">
            <v>DENMARK</v>
          </cell>
        </row>
        <row r="3961">
          <cell r="L3961" t="str">
            <v>Non-proportional</v>
          </cell>
          <cell r="S3961">
            <v>293.63</v>
          </cell>
          <cell r="X3961" t="str">
            <v>Commissions - gross</v>
          </cell>
          <cell r="Y3961" t="str">
            <v>ROMANIA</v>
          </cell>
        </row>
        <row r="3962">
          <cell r="L3962" t="str">
            <v>Non-proportional</v>
          </cell>
          <cell r="S3962">
            <v>56967.23</v>
          </cell>
          <cell r="X3962" t="str">
            <v>Commissions - gross</v>
          </cell>
          <cell r="Y3962" t="str">
            <v>UNITED KINGDOM</v>
          </cell>
        </row>
        <row r="3963">
          <cell r="L3963" t="str">
            <v>Non-proportional</v>
          </cell>
          <cell r="S3963">
            <v>-26387</v>
          </cell>
          <cell r="X3963" t="str">
            <v>Commissions - gross</v>
          </cell>
          <cell r="Y3963" t="str">
            <v>SWITZERLAND</v>
          </cell>
        </row>
        <row r="3964">
          <cell r="L3964" t="str">
            <v>Non-proportional</v>
          </cell>
          <cell r="S3964">
            <v>10200.82</v>
          </cell>
          <cell r="X3964" t="str">
            <v>Commissions - gross</v>
          </cell>
          <cell r="Y3964" t="str">
            <v>EUROPE</v>
          </cell>
        </row>
        <row r="3965">
          <cell r="L3965" t="str">
            <v>Non-proportional</v>
          </cell>
          <cell r="S3965">
            <v>4812.99</v>
          </cell>
          <cell r="X3965" t="str">
            <v>Commissions - gross</v>
          </cell>
          <cell r="Y3965" t="str">
            <v>SWITZERLAND</v>
          </cell>
        </row>
        <row r="3966">
          <cell r="L3966" t="str">
            <v>Non-proportional</v>
          </cell>
          <cell r="S3966">
            <v>52925.25</v>
          </cell>
          <cell r="X3966" t="str">
            <v>Commissions - gross</v>
          </cell>
          <cell r="Y3966" t="str">
            <v>UNITED KINGDOM</v>
          </cell>
        </row>
        <row r="3967">
          <cell r="L3967" t="str">
            <v>Non-proportional</v>
          </cell>
          <cell r="S3967">
            <v>-7550</v>
          </cell>
          <cell r="X3967" t="str">
            <v>Commissions - gross</v>
          </cell>
          <cell r="Y3967" t="str">
            <v>AUSTRIA</v>
          </cell>
        </row>
        <row r="3968">
          <cell r="L3968" t="str">
            <v>Non-proportional</v>
          </cell>
          <cell r="S3968">
            <v>7550</v>
          </cell>
          <cell r="X3968" t="str">
            <v>Commissions - gross</v>
          </cell>
          <cell r="Y3968" t="str">
            <v>AUSTRIA</v>
          </cell>
        </row>
        <row r="3969">
          <cell r="L3969" t="str">
            <v>Non-proportional</v>
          </cell>
          <cell r="S3969">
            <v>4238.18</v>
          </cell>
          <cell r="X3969" t="str">
            <v>Commissions - gross</v>
          </cell>
          <cell r="Y3969" t="str">
            <v>FAROE ISLANDS</v>
          </cell>
        </row>
        <row r="3970">
          <cell r="L3970" t="str">
            <v>Non-proportional</v>
          </cell>
          <cell r="S3970">
            <v>3000.69</v>
          </cell>
          <cell r="X3970" t="str">
            <v>Commissions - gross</v>
          </cell>
          <cell r="Y3970" t="str">
            <v>GERMANY</v>
          </cell>
        </row>
        <row r="3971">
          <cell r="L3971" t="str">
            <v>Non-proportional</v>
          </cell>
          <cell r="S3971">
            <v>4322.9399999999996</v>
          </cell>
          <cell r="X3971" t="str">
            <v>Commissions - gross</v>
          </cell>
          <cell r="Y3971" t="str">
            <v>FAROE ISLANDS</v>
          </cell>
        </row>
        <row r="3972">
          <cell r="L3972" t="str">
            <v>Non-proportional</v>
          </cell>
          <cell r="S3972">
            <v>685542.3</v>
          </cell>
          <cell r="X3972" t="str">
            <v>Commissions - gross</v>
          </cell>
          <cell r="Y3972" t="str">
            <v>UNITED KINGDOM</v>
          </cell>
        </row>
        <row r="3973">
          <cell r="L3973" t="str">
            <v>Non-proportional</v>
          </cell>
          <cell r="S3973">
            <v>-53753.3</v>
          </cell>
          <cell r="X3973" t="str">
            <v>Commissions - gross</v>
          </cell>
          <cell r="Y3973" t="str">
            <v>UNITED KINGDOM</v>
          </cell>
        </row>
        <row r="3974">
          <cell r="L3974" t="str">
            <v>Non-proportional</v>
          </cell>
          <cell r="S3974">
            <v>102429.83</v>
          </cell>
          <cell r="X3974" t="str">
            <v>Commissions - gross</v>
          </cell>
          <cell r="Y3974" t="str">
            <v>UNITED KINGDOM</v>
          </cell>
        </row>
        <row r="3975">
          <cell r="L3975" t="str">
            <v>Non-proportional</v>
          </cell>
          <cell r="S3975">
            <v>-348</v>
          </cell>
          <cell r="X3975" t="str">
            <v>Commissions - gross</v>
          </cell>
          <cell r="Y3975" t="str">
            <v>FRANCE</v>
          </cell>
        </row>
        <row r="3976">
          <cell r="L3976" t="str">
            <v>Non-proportional</v>
          </cell>
          <cell r="S3976">
            <v>-143261.49</v>
          </cell>
          <cell r="X3976" t="str">
            <v>Commissions - gross</v>
          </cell>
          <cell r="Y3976" t="str">
            <v>UNITED KINGDOM</v>
          </cell>
        </row>
        <row r="3977">
          <cell r="L3977" t="str">
            <v>Non-proportional</v>
          </cell>
          <cell r="S3977">
            <v>29402.81</v>
          </cell>
          <cell r="X3977" t="str">
            <v>Commissions - gross</v>
          </cell>
          <cell r="Y3977" t="str">
            <v>UNITED KINGDOM</v>
          </cell>
        </row>
        <row r="3978">
          <cell r="L3978" t="str">
            <v>Non-proportional</v>
          </cell>
          <cell r="S3978">
            <v>129145.41</v>
          </cell>
          <cell r="X3978" t="str">
            <v>Commissions - gross</v>
          </cell>
          <cell r="Y3978" t="str">
            <v>UNITED KINGDOM</v>
          </cell>
        </row>
        <row r="3979">
          <cell r="L3979" t="str">
            <v>Non-proportional</v>
          </cell>
          <cell r="S3979">
            <v>1038.7</v>
          </cell>
          <cell r="X3979" t="str">
            <v>Commissions - gross</v>
          </cell>
          <cell r="Y3979" t="str">
            <v>ITALY</v>
          </cell>
        </row>
        <row r="3980">
          <cell r="L3980" t="str">
            <v>Non-proportional</v>
          </cell>
          <cell r="S3980">
            <v>6703.59</v>
          </cell>
          <cell r="X3980" t="str">
            <v>Commissions - gross</v>
          </cell>
          <cell r="Y3980" t="str">
            <v>GERMANY</v>
          </cell>
        </row>
        <row r="3981">
          <cell r="L3981" t="str">
            <v>Non-proportional</v>
          </cell>
          <cell r="S3981">
            <v>9097.2000000000007</v>
          </cell>
          <cell r="X3981" t="str">
            <v>Commissions - gross</v>
          </cell>
          <cell r="Y3981" t="str">
            <v>ITALY</v>
          </cell>
        </row>
        <row r="3982">
          <cell r="L3982" t="str">
            <v>Non-proportional</v>
          </cell>
          <cell r="S3982">
            <v>3255.3</v>
          </cell>
          <cell r="X3982" t="str">
            <v>Commissions - gross</v>
          </cell>
          <cell r="Y3982" t="str">
            <v>GERMANY</v>
          </cell>
        </row>
        <row r="3983">
          <cell r="L3983" t="str">
            <v>Non-proportional</v>
          </cell>
          <cell r="S3983">
            <v>196406.88</v>
          </cell>
          <cell r="X3983" t="str">
            <v>Commissions - gross</v>
          </cell>
          <cell r="Y3983" t="str">
            <v>UNITED KINGDOM</v>
          </cell>
        </row>
        <row r="3984">
          <cell r="L3984" t="str">
            <v>Non-proportional</v>
          </cell>
          <cell r="S3984">
            <v>-55.8</v>
          </cell>
          <cell r="X3984" t="str">
            <v>Commissions - gross</v>
          </cell>
          <cell r="Y3984" t="str">
            <v>SWITZERLAND</v>
          </cell>
        </row>
        <row r="3985">
          <cell r="L3985" t="str">
            <v>Non-proportional</v>
          </cell>
          <cell r="S3985">
            <v>5965.78</v>
          </cell>
          <cell r="X3985" t="str">
            <v>Commissions - gross</v>
          </cell>
          <cell r="Y3985" t="str">
            <v>SWITZERLAND</v>
          </cell>
        </row>
        <row r="3986">
          <cell r="L3986" t="str">
            <v>Non-proportional</v>
          </cell>
          <cell r="S3986">
            <v>-10738</v>
          </cell>
          <cell r="X3986" t="str">
            <v>Commissions - gross</v>
          </cell>
          <cell r="Y3986" t="str">
            <v>GERMANY</v>
          </cell>
        </row>
        <row r="3987">
          <cell r="L3987" t="str">
            <v>Non-proportional</v>
          </cell>
          <cell r="S3987">
            <v>25173.200000000001</v>
          </cell>
          <cell r="X3987" t="str">
            <v>Commissions - gross</v>
          </cell>
          <cell r="Y3987" t="str">
            <v>SWITZERLAND</v>
          </cell>
        </row>
        <row r="3988">
          <cell r="L3988" t="str">
            <v>Non-proportional</v>
          </cell>
          <cell r="S3988">
            <v>25822.33</v>
          </cell>
          <cell r="X3988" t="str">
            <v>Commissions - gross</v>
          </cell>
          <cell r="Y3988" t="str">
            <v>UNITED KINGDOM</v>
          </cell>
        </row>
        <row r="3989">
          <cell r="L3989" t="str">
            <v>Non-proportional</v>
          </cell>
          <cell r="S3989">
            <v>16869.97</v>
          </cell>
          <cell r="X3989" t="str">
            <v>Commissions - gross</v>
          </cell>
          <cell r="Y3989" t="str">
            <v>EIRE</v>
          </cell>
        </row>
        <row r="3990">
          <cell r="L3990" t="str">
            <v>Non-proportional</v>
          </cell>
          <cell r="S3990">
            <v>390</v>
          </cell>
          <cell r="X3990" t="str">
            <v>Commissions - gross</v>
          </cell>
          <cell r="Y3990" t="str">
            <v>GERMANY</v>
          </cell>
        </row>
        <row r="3991">
          <cell r="L3991" t="str">
            <v>Non-proportional</v>
          </cell>
          <cell r="S3991">
            <v>7966.1</v>
          </cell>
          <cell r="X3991" t="str">
            <v>Commissions - gross</v>
          </cell>
          <cell r="Y3991" t="str">
            <v>EUROPE</v>
          </cell>
        </row>
        <row r="3992">
          <cell r="L3992" t="str">
            <v>Non-proportional</v>
          </cell>
          <cell r="S3992">
            <v>-42340.19</v>
          </cell>
          <cell r="X3992" t="str">
            <v>Commissions - gross</v>
          </cell>
          <cell r="Y3992" t="str">
            <v>UNITED KINGDOM</v>
          </cell>
        </row>
        <row r="3993">
          <cell r="L3993" t="str">
            <v>Non-proportional</v>
          </cell>
          <cell r="S3993">
            <v>-9296.9</v>
          </cell>
          <cell r="X3993" t="str">
            <v>Commissions - gross</v>
          </cell>
          <cell r="Y3993" t="str">
            <v>SWITZERLAND</v>
          </cell>
        </row>
        <row r="3994">
          <cell r="L3994" t="str">
            <v>Non-proportional</v>
          </cell>
          <cell r="S3994">
            <v>11620.09</v>
          </cell>
          <cell r="X3994" t="str">
            <v>Commissions - gross</v>
          </cell>
          <cell r="Y3994" t="str">
            <v>UNITED KINGDOM</v>
          </cell>
        </row>
        <row r="3995">
          <cell r="L3995" t="str">
            <v>Non-proportional</v>
          </cell>
          <cell r="S3995">
            <v>-17805.57</v>
          </cell>
          <cell r="X3995" t="str">
            <v>Commissions - gross</v>
          </cell>
          <cell r="Y3995" t="str">
            <v>SWITZERLAND</v>
          </cell>
        </row>
        <row r="3996">
          <cell r="L3996" t="str">
            <v>Non-proportional</v>
          </cell>
          <cell r="S3996">
            <v>13782.87</v>
          </cell>
          <cell r="X3996" t="str">
            <v>Commissions - gross</v>
          </cell>
          <cell r="Y3996" t="str">
            <v>UNITED KINGDOM</v>
          </cell>
        </row>
        <row r="3997">
          <cell r="L3997" t="str">
            <v>Non-proportional</v>
          </cell>
          <cell r="S3997">
            <v>17811.23</v>
          </cell>
          <cell r="X3997" t="str">
            <v>Commissions - gross</v>
          </cell>
          <cell r="Y3997" t="str">
            <v>SWITZERLAND</v>
          </cell>
        </row>
        <row r="3998">
          <cell r="L3998" t="str">
            <v>Non-proportional</v>
          </cell>
          <cell r="S3998">
            <v>26387</v>
          </cell>
          <cell r="X3998" t="str">
            <v>Commissions - gross</v>
          </cell>
          <cell r="Y3998" t="str">
            <v>SWITZERLAND</v>
          </cell>
        </row>
        <row r="3999">
          <cell r="L3999" t="str">
            <v>Non-proportional</v>
          </cell>
          <cell r="S3999">
            <v>414</v>
          </cell>
          <cell r="X3999" t="str">
            <v>Commissions - gross</v>
          </cell>
          <cell r="Y3999" t="str">
            <v>ITALY</v>
          </cell>
        </row>
        <row r="4000">
          <cell r="L4000" t="str">
            <v>Non-proportional</v>
          </cell>
          <cell r="S4000">
            <v>324.89999999999998</v>
          </cell>
          <cell r="X4000" t="str">
            <v>Commissions - gross</v>
          </cell>
          <cell r="Y4000" t="str">
            <v>ITALY</v>
          </cell>
        </row>
        <row r="4001">
          <cell r="L4001" t="str">
            <v>Non-proportional</v>
          </cell>
          <cell r="S4001">
            <v>8945.49</v>
          </cell>
          <cell r="X4001" t="str">
            <v>Commissions - gross</v>
          </cell>
          <cell r="Y4001" t="str">
            <v>EUROPE</v>
          </cell>
        </row>
        <row r="4002">
          <cell r="L4002" t="str">
            <v>Non-proportional</v>
          </cell>
          <cell r="S4002">
            <v>4879.4799999999996</v>
          </cell>
          <cell r="X4002" t="str">
            <v>Commissions - gross</v>
          </cell>
          <cell r="Y4002" t="str">
            <v>SWITZERLAND</v>
          </cell>
        </row>
        <row r="4003">
          <cell r="L4003" t="str">
            <v>Non-proportional</v>
          </cell>
          <cell r="S4003">
            <v>111275.05</v>
          </cell>
          <cell r="X4003" t="str">
            <v>Commissions - gross</v>
          </cell>
          <cell r="Y4003" t="str">
            <v>UNITED KINGDOM</v>
          </cell>
        </row>
        <row r="4004">
          <cell r="L4004" t="str">
            <v>Non-proportional</v>
          </cell>
          <cell r="S4004">
            <v>-5965.78</v>
          </cell>
          <cell r="X4004" t="str">
            <v>Commissions - gross</v>
          </cell>
          <cell r="Y4004" t="str">
            <v>SWITZERLAND</v>
          </cell>
        </row>
        <row r="4005">
          <cell r="L4005" t="str">
            <v>Non-proportional</v>
          </cell>
          <cell r="S4005">
            <v>10425.799999999999</v>
          </cell>
          <cell r="X4005" t="str">
            <v>Commissions - gross</v>
          </cell>
          <cell r="Y4005" t="str">
            <v>FRANCE</v>
          </cell>
        </row>
        <row r="4006">
          <cell r="L4006" t="str">
            <v>Non-proportional</v>
          </cell>
          <cell r="S4006">
            <v>-5085.57</v>
          </cell>
          <cell r="X4006" t="str">
            <v>Commissions - gross</v>
          </cell>
          <cell r="Y4006" t="str">
            <v>SWITZERLAND</v>
          </cell>
        </row>
        <row r="4007">
          <cell r="L4007" t="str">
            <v>Non-proportional</v>
          </cell>
          <cell r="S4007">
            <v>5148.72</v>
          </cell>
          <cell r="X4007" t="str">
            <v>Commissions - gross</v>
          </cell>
          <cell r="Y4007" t="str">
            <v>SWITZERLAND</v>
          </cell>
        </row>
        <row r="4008">
          <cell r="L4008" t="str">
            <v>Non-proportional</v>
          </cell>
          <cell r="S4008">
            <v>324081.89</v>
          </cell>
          <cell r="X4008" t="str">
            <v>Commissions - gross</v>
          </cell>
          <cell r="Y4008" t="str">
            <v>UNITED KINGDOM</v>
          </cell>
        </row>
        <row r="4009">
          <cell r="L4009" t="str">
            <v>Non-proportional</v>
          </cell>
          <cell r="S4009">
            <v>67191.48</v>
          </cell>
          <cell r="X4009" t="str">
            <v>Commissions - gross</v>
          </cell>
          <cell r="Y4009" t="str">
            <v>UNITED KINGDOM</v>
          </cell>
        </row>
        <row r="4010">
          <cell r="L4010" t="str">
            <v>Non-proportional</v>
          </cell>
          <cell r="S4010">
            <v>-8681.91</v>
          </cell>
          <cell r="X4010" t="str">
            <v>Commissions - gross</v>
          </cell>
          <cell r="Y4010" t="str">
            <v>SWITZERLAND</v>
          </cell>
        </row>
        <row r="4011">
          <cell r="L4011" t="str">
            <v>Non-proportional</v>
          </cell>
          <cell r="S4011">
            <v>-930</v>
          </cell>
          <cell r="X4011" t="str">
            <v>Commissions - gross</v>
          </cell>
          <cell r="Y4011" t="str">
            <v>SWITZERLAND</v>
          </cell>
        </row>
        <row r="4012">
          <cell r="L4012" t="str">
            <v>Non-proportional</v>
          </cell>
          <cell r="S4012">
            <v>55.8</v>
          </cell>
          <cell r="X4012" t="str">
            <v>Commissions - gross</v>
          </cell>
          <cell r="Y4012" t="str">
            <v>SWITZERLAND</v>
          </cell>
        </row>
        <row r="4013">
          <cell r="L4013" t="str">
            <v>Non-proportional</v>
          </cell>
          <cell r="S4013">
            <v>-53753.3</v>
          </cell>
          <cell r="X4013" t="str">
            <v>Commissions - gross</v>
          </cell>
          <cell r="Y4013" t="str">
            <v>UNITED KINGDOM</v>
          </cell>
        </row>
        <row r="4014">
          <cell r="L4014" t="str">
            <v>Non-proportional</v>
          </cell>
          <cell r="S4014">
            <v>6666.12</v>
          </cell>
          <cell r="X4014" t="str">
            <v>Commissions - gross</v>
          </cell>
          <cell r="Y4014" t="str">
            <v>SWEDEN</v>
          </cell>
        </row>
        <row r="4015">
          <cell r="L4015" t="str">
            <v>Non-proportional</v>
          </cell>
          <cell r="S4015">
            <v>3975.77</v>
          </cell>
          <cell r="X4015" t="str">
            <v>Commissions - gross</v>
          </cell>
          <cell r="Y4015" t="str">
            <v>EUROPE</v>
          </cell>
        </row>
        <row r="4016">
          <cell r="L4016" t="str">
            <v>Non-proportional</v>
          </cell>
          <cell r="S4016">
            <v>9750</v>
          </cell>
          <cell r="X4016" t="str">
            <v>Commissions - gross</v>
          </cell>
          <cell r="Y4016" t="str">
            <v>CZECH REPUBLIC</v>
          </cell>
        </row>
        <row r="4017">
          <cell r="L4017" t="str">
            <v>Non-proportional</v>
          </cell>
          <cell r="S4017">
            <v>64507.17</v>
          </cell>
          <cell r="X4017" t="str">
            <v>Commissions - gross</v>
          </cell>
          <cell r="Y4017" t="str">
            <v>UNITED KINGDOM</v>
          </cell>
        </row>
        <row r="4018">
          <cell r="L4018" t="str">
            <v>Non-proportional</v>
          </cell>
          <cell r="S4018">
            <v>9987.3799999999992</v>
          </cell>
          <cell r="X4018" t="str">
            <v>Commissions - gross</v>
          </cell>
          <cell r="Y4018" t="str">
            <v>GERMANY</v>
          </cell>
        </row>
        <row r="4019">
          <cell r="L4019" t="str">
            <v>Non-proportional</v>
          </cell>
          <cell r="S4019">
            <v>6442.8</v>
          </cell>
          <cell r="X4019" t="str">
            <v>Commissions - gross</v>
          </cell>
          <cell r="Y4019" t="str">
            <v>GERMANY</v>
          </cell>
        </row>
        <row r="4020">
          <cell r="L4020" t="str">
            <v>Non-proportional</v>
          </cell>
          <cell r="S4020">
            <v>5085.57</v>
          </cell>
          <cell r="X4020" t="str">
            <v>Commissions - gross</v>
          </cell>
          <cell r="Y4020" t="str">
            <v>SWITZERLAND</v>
          </cell>
        </row>
        <row r="4021">
          <cell r="L4021" t="str">
            <v>Non-proportional</v>
          </cell>
          <cell r="S4021">
            <v>35300</v>
          </cell>
          <cell r="X4021" t="str">
            <v>Commissions - gross</v>
          </cell>
          <cell r="Y4021" t="str">
            <v>EUROPE</v>
          </cell>
        </row>
        <row r="4022">
          <cell r="L4022" t="str">
            <v>Non-proportional</v>
          </cell>
          <cell r="S4022">
            <v>-3171.8</v>
          </cell>
          <cell r="X4022" t="str">
            <v>Commissions - gross</v>
          </cell>
          <cell r="Y4022" t="str">
            <v>FRANCE</v>
          </cell>
        </row>
        <row r="4023">
          <cell r="L4023" t="str">
            <v>Non-proportional</v>
          </cell>
          <cell r="S4023">
            <v>19460.41</v>
          </cell>
          <cell r="X4023" t="str">
            <v>Commissions - gross</v>
          </cell>
          <cell r="Y4023" t="str">
            <v>SWITZERLAND</v>
          </cell>
        </row>
        <row r="4024">
          <cell r="L4024" t="str">
            <v>Non-proportional</v>
          </cell>
          <cell r="S4024">
            <v>-9235.4500000000007</v>
          </cell>
          <cell r="X4024" t="str">
            <v>Commissions - gross</v>
          </cell>
          <cell r="Y4024" t="str">
            <v>SWITZERLAND</v>
          </cell>
        </row>
        <row r="4025">
          <cell r="L4025" t="str">
            <v>Non-proportional</v>
          </cell>
          <cell r="S4025">
            <v>1048.05</v>
          </cell>
          <cell r="X4025" t="str">
            <v>Commissions - gross</v>
          </cell>
          <cell r="Y4025" t="str">
            <v>SWITZERLAND</v>
          </cell>
        </row>
        <row r="4026">
          <cell r="L4026" t="str">
            <v>Non-proportional</v>
          </cell>
          <cell r="S4026">
            <v>14179.13</v>
          </cell>
          <cell r="X4026" t="str">
            <v>Commissions - gross</v>
          </cell>
          <cell r="Y4026" t="str">
            <v>GERMANY</v>
          </cell>
        </row>
        <row r="4027">
          <cell r="L4027" t="str">
            <v>Non-proportional</v>
          </cell>
          <cell r="S4027">
            <v>-7650.65</v>
          </cell>
          <cell r="X4027" t="str">
            <v>Commissions - gross</v>
          </cell>
          <cell r="Y4027" t="str">
            <v>NORWAY</v>
          </cell>
        </row>
        <row r="4028">
          <cell r="L4028" t="str">
            <v>Non-proportional</v>
          </cell>
          <cell r="S4028">
            <v>-8456.52</v>
          </cell>
          <cell r="X4028" t="str">
            <v>Commissions - gross</v>
          </cell>
          <cell r="Y4028" t="str">
            <v>NORWAY</v>
          </cell>
        </row>
        <row r="4029">
          <cell r="L4029" t="str">
            <v>Non-proportional</v>
          </cell>
          <cell r="S4029">
            <v>12810.4</v>
          </cell>
          <cell r="X4029" t="str">
            <v>Commissions - gross</v>
          </cell>
          <cell r="Y4029" t="str">
            <v>SWEDEN</v>
          </cell>
        </row>
        <row r="4030">
          <cell r="L4030" t="str">
            <v>Non-proportional</v>
          </cell>
          <cell r="S4030">
            <v>3948</v>
          </cell>
          <cell r="X4030" t="str">
            <v>Commissions - gross</v>
          </cell>
          <cell r="Y4030" t="str">
            <v>AUSTRIA</v>
          </cell>
        </row>
        <row r="4031">
          <cell r="L4031" t="str">
            <v>Non-proportional</v>
          </cell>
          <cell r="S4031">
            <v>5595</v>
          </cell>
          <cell r="X4031" t="str">
            <v>Commissions - gross</v>
          </cell>
          <cell r="Y4031" t="str">
            <v>EUROPE</v>
          </cell>
        </row>
        <row r="4032">
          <cell r="L4032" t="str">
            <v>Non-proportional</v>
          </cell>
          <cell r="S4032">
            <v>-29762.13</v>
          </cell>
          <cell r="X4032" t="str">
            <v>Commissions - gross</v>
          </cell>
          <cell r="Y4032" t="str">
            <v>SWITZERLAND</v>
          </cell>
        </row>
        <row r="4033">
          <cell r="L4033" t="str">
            <v>Non-proportional</v>
          </cell>
          <cell r="S4033">
            <v>-98202.91</v>
          </cell>
          <cell r="X4033" t="str">
            <v>Commissions - gross</v>
          </cell>
          <cell r="Y4033" t="str">
            <v>UNITED KINGDOM</v>
          </cell>
        </row>
        <row r="4034">
          <cell r="L4034" t="str">
            <v>Non-proportional</v>
          </cell>
          <cell r="S4034">
            <v>-565.26</v>
          </cell>
          <cell r="X4034" t="str">
            <v>Commissions - gross</v>
          </cell>
          <cell r="Y4034" t="str">
            <v>UNITED KINGDOM</v>
          </cell>
        </row>
        <row r="4035">
          <cell r="L4035" t="str">
            <v>Non-proportional</v>
          </cell>
          <cell r="S4035">
            <v>18360.57</v>
          </cell>
          <cell r="X4035" t="str">
            <v>Commissions - gross</v>
          </cell>
          <cell r="Y4035" t="str">
            <v>UNITED KINGDOM</v>
          </cell>
        </row>
        <row r="4036">
          <cell r="L4036" t="str">
            <v>Non-proportional</v>
          </cell>
          <cell r="S4036">
            <v>2374.83</v>
          </cell>
          <cell r="X4036" t="str">
            <v>Commissions - gross</v>
          </cell>
          <cell r="Y4036" t="str">
            <v>SWITZERLAND</v>
          </cell>
        </row>
        <row r="4037">
          <cell r="L4037" t="str">
            <v>Non-proportional</v>
          </cell>
          <cell r="S4037">
            <v>14489.86</v>
          </cell>
          <cell r="X4037" t="str">
            <v>Commissions - gross</v>
          </cell>
          <cell r="Y4037" t="str">
            <v>FRANCE</v>
          </cell>
        </row>
        <row r="4038">
          <cell r="L4038" t="str">
            <v>Non-proportional</v>
          </cell>
          <cell r="S4038">
            <v>924.93</v>
          </cell>
          <cell r="X4038" t="str">
            <v>Commissions - gross</v>
          </cell>
          <cell r="Y4038" t="str">
            <v>JAPAN</v>
          </cell>
        </row>
        <row r="4039">
          <cell r="L4039" t="str">
            <v>Non-proportional</v>
          </cell>
          <cell r="S4039">
            <v>-1206.1199999999999</v>
          </cell>
          <cell r="X4039" t="str">
            <v>Commissions - gross</v>
          </cell>
          <cell r="Y4039" t="str">
            <v>DENMARK</v>
          </cell>
        </row>
        <row r="4040">
          <cell r="L4040" t="str">
            <v>Non-proportional</v>
          </cell>
          <cell r="S4040">
            <v>-96662.720000000001</v>
          </cell>
          <cell r="X4040" t="str">
            <v>Commissions - gross</v>
          </cell>
          <cell r="Y4040" t="str">
            <v>UNITED KINGDOM</v>
          </cell>
        </row>
        <row r="4041">
          <cell r="L4041" t="str">
            <v>Non-proportional</v>
          </cell>
          <cell r="S4041">
            <v>99095.87</v>
          </cell>
          <cell r="X4041" t="str">
            <v>Commissions - gross</v>
          </cell>
          <cell r="Y4041" t="str">
            <v>UNITED KINGDOM</v>
          </cell>
        </row>
        <row r="4042">
          <cell r="L4042" t="str">
            <v>Non-proportional</v>
          </cell>
          <cell r="S4042">
            <v>-6328.38</v>
          </cell>
          <cell r="X4042" t="str">
            <v>Commissions - gross</v>
          </cell>
          <cell r="Y4042" t="str">
            <v>NORWAY</v>
          </cell>
        </row>
        <row r="4043">
          <cell r="L4043" t="str">
            <v>Non-proportional</v>
          </cell>
          <cell r="S4043">
            <v>-12645.36</v>
          </cell>
          <cell r="X4043" t="str">
            <v>Commissions - gross</v>
          </cell>
          <cell r="Y4043" t="str">
            <v>GERMANY</v>
          </cell>
        </row>
        <row r="4044">
          <cell r="L4044" t="str">
            <v>Non-proportional</v>
          </cell>
          <cell r="S4044">
            <v>-11259</v>
          </cell>
          <cell r="X4044" t="str">
            <v>Commissions - gross</v>
          </cell>
          <cell r="Y4044" t="str">
            <v>FRANCE</v>
          </cell>
        </row>
        <row r="4045">
          <cell r="L4045" t="str">
            <v>Non-proportional</v>
          </cell>
          <cell r="S4045">
            <v>-19949.63</v>
          </cell>
          <cell r="X4045" t="str">
            <v>Commissions - gross</v>
          </cell>
          <cell r="Y4045" t="str">
            <v>SWITZERLAND</v>
          </cell>
        </row>
        <row r="4046">
          <cell r="L4046" t="str">
            <v>Non-proportional</v>
          </cell>
          <cell r="S4046">
            <v>930</v>
          </cell>
          <cell r="X4046" t="str">
            <v>Commissions - gross</v>
          </cell>
          <cell r="Y4046" t="str">
            <v>SWITZERLAND</v>
          </cell>
        </row>
        <row r="4047">
          <cell r="L4047" t="str">
            <v>Non-proportional</v>
          </cell>
          <cell r="S4047">
            <v>32364.75</v>
          </cell>
          <cell r="X4047" t="str">
            <v>Commissions - gross</v>
          </cell>
          <cell r="Y4047" t="str">
            <v>UNITED KINGDOM</v>
          </cell>
        </row>
        <row r="4048">
          <cell r="L4048" t="str">
            <v>Non-proportional</v>
          </cell>
          <cell r="S4048">
            <v>16250</v>
          </cell>
          <cell r="X4048" t="str">
            <v>Commissions - gross</v>
          </cell>
          <cell r="Y4048" t="str">
            <v>GERMANY</v>
          </cell>
        </row>
        <row r="4049">
          <cell r="L4049" t="str">
            <v>Non-proportional</v>
          </cell>
          <cell r="S4049">
            <v>4000.1</v>
          </cell>
          <cell r="X4049" t="str">
            <v>Commissions - gross</v>
          </cell>
          <cell r="Y4049" t="str">
            <v>ITALY</v>
          </cell>
        </row>
        <row r="4050">
          <cell r="L4050" t="str">
            <v>Non-proportional</v>
          </cell>
          <cell r="S4050">
            <v>372</v>
          </cell>
          <cell r="X4050" t="str">
            <v>Commissions - gross</v>
          </cell>
          <cell r="Y4050" t="str">
            <v>ITALY</v>
          </cell>
        </row>
        <row r="4051">
          <cell r="L4051" t="str">
            <v>Non-proportional</v>
          </cell>
          <cell r="S4051">
            <v>-621</v>
          </cell>
          <cell r="X4051" t="str">
            <v>Commissions - gross</v>
          </cell>
          <cell r="Y4051" t="str">
            <v>ITALY</v>
          </cell>
        </row>
        <row r="4052">
          <cell r="L4052" t="str">
            <v>Non-proportional</v>
          </cell>
          <cell r="S4052">
            <v>7841.91</v>
          </cell>
          <cell r="X4052" t="str">
            <v>Commissions - gross</v>
          </cell>
          <cell r="Y4052" t="str">
            <v>NORWAY</v>
          </cell>
        </row>
        <row r="4053">
          <cell r="L4053" t="str">
            <v>Non-proportional</v>
          </cell>
          <cell r="S4053">
            <v>-565.26</v>
          </cell>
          <cell r="X4053" t="str">
            <v>Commissions - gross</v>
          </cell>
          <cell r="Y4053" t="str">
            <v>UNITED KINGDOM</v>
          </cell>
        </row>
        <row r="4054">
          <cell r="L4054" t="str">
            <v>Non-proportional</v>
          </cell>
          <cell r="S4054">
            <v>10613.88</v>
          </cell>
          <cell r="X4054" t="str">
            <v>Commissions - gross</v>
          </cell>
          <cell r="Y4054" t="str">
            <v>GERMANY</v>
          </cell>
        </row>
        <row r="4055">
          <cell r="L4055" t="str">
            <v>Non-proportional</v>
          </cell>
          <cell r="S4055">
            <v>-1064</v>
          </cell>
          <cell r="X4055" t="str">
            <v>Commissions - gross</v>
          </cell>
          <cell r="Y4055" t="str">
            <v>AUSTRIA</v>
          </cell>
        </row>
        <row r="4056">
          <cell r="L4056" t="str">
            <v>Non-proportional</v>
          </cell>
          <cell r="S4056">
            <v>1048.05</v>
          </cell>
          <cell r="X4056" t="str">
            <v>Commissions - gross</v>
          </cell>
          <cell r="Y4056" t="str">
            <v>GERMANY</v>
          </cell>
        </row>
        <row r="4057">
          <cell r="L4057" t="str">
            <v>Non-proportional</v>
          </cell>
          <cell r="S4057">
            <v>16081.02</v>
          </cell>
          <cell r="X4057" t="str">
            <v>Commissions - gross</v>
          </cell>
          <cell r="Y4057" t="str">
            <v>DENMARK</v>
          </cell>
        </row>
        <row r="4058">
          <cell r="L4058" t="str">
            <v>Non-proportional</v>
          </cell>
          <cell r="S4058">
            <v>-314335.06</v>
          </cell>
          <cell r="X4058" t="str">
            <v>Commissions - gross</v>
          </cell>
          <cell r="Y4058" t="str">
            <v>UNITED KINGDOM</v>
          </cell>
        </row>
        <row r="4059">
          <cell r="L4059" t="str">
            <v>Non-proportional</v>
          </cell>
          <cell r="S4059">
            <v>-36.96</v>
          </cell>
          <cell r="X4059" t="str">
            <v>Commissions - gross</v>
          </cell>
          <cell r="Y4059" t="str">
            <v>NORWAY</v>
          </cell>
        </row>
        <row r="4060">
          <cell r="L4060" t="str">
            <v>Non-proportional</v>
          </cell>
          <cell r="S4060">
            <v>-930</v>
          </cell>
          <cell r="X4060" t="str">
            <v>Commissions - gross</v>
          </cell>
          <cell r="Y4060" t="str">
            <v>SWITZERLAND</v>
          </cell>
        </row>
        <row r="4061">
          <cell r="L4061" t="str">
            <v>Non-proportional</v>
          </cell>
          <cell r="S4061">
            <v>-78562.100000000006</v>
          </cell>
          <cell r="X4061" t="str">
            <v>Commissions - gross</v>
          </cell>
          <cell r="Y4061" t="str">
            <v>UNITED KINGDOM</v>
          </cell>
        </row>
        <row r="4062">
          <cell r="L4062" t="str">
            <v>Non-proportional</v>
          </cell>
          <cell r="S4062">
            <v>-26387</v>
          </cell>
          <cell r="X4062" t="str">
            <v>Commissions - gross</v>
          </cell>
          <cell r="Y4062" t="str">
            <v>SWITZERLAND</v>
          </cell>
        </row>
        <row r="4063">
          <cell r="L4063" t="str">
            <v>Non-proportional</v>
          </cell>
          <cell r="S4063">
            <v>2438.46</v>
          </cell>
          <cell r="X4063" t="str">
            <v>Commissions - gross</v>
          </cell>
          <cell r="Y4063" t="str">
            <v>JAPAN</v>
          </cell>
        </row>
        <row r="4064">
          <cell r="L4064" t="str">
            <v>Non-proportional</v>
          </cell>
          <cell r="S4064">
            <v>7966.1</v>
          </cell>
          <cell r="X4064" t="str">
            <v>Commissions - gross</v>
          </cell>
          <cell r="Y4064" t="str">
            <v>EUROPE</v>
          </cell>
        </row>
        <row r="4065">
          <cell r="L4065" t="str">
            <v>Non-proportional</v>
          </cell>
          <cell r="S4065">
            <v>-2110</v>
          </cell>
          <cell r="X4065" t="str">
            <v>Commissions - gross</v>
          </cell>
          <cell r="Y4065" t="str">
            <v>EUROPE</v>
          </cell>
        </row>
        <row r="4066">
          <cell r="L4066" t="str">
            <v>Non-proportional</v>
          </cell>
          <cell r="S4066">
            <v>14554.39</v>
          </cell>
          <cell r="X4066" t="str">
            <v>Commissions - gross</v>
          </cell>
          <cell r="Y4066" t="str">
            <v>UNITED KINGDOM</v>
          </cell>
        </row>
        <row r="4067">
          <cell r="L4067" t="str">
            <v>Non-proportional</v>
          </cell>
          <cell r="S4067">
            <v>-14554.39</v>
          </cell>
          <cell r="X4067" t="str">
            <v>Commissions - gross</v>
          </cell>
          <cell r="Y4067" t="str">
            <v>UNITED KINGDOM</v>
          </cell>
        </row>
        <row r="4068">
          <cell r="L4068" t="str">
            <v>Non-proportional</v>
          </cell>
          <cell r="S4068">
            <v>-5800</v>
          </cell>
          <cell r="X4068" t="str">
            <v>Commissions - gross</v>
          </cell>
          <cell r="Y4068" t="str">
            <v>GERMANY</v>
          </cell>
        </row>
        <row r="4069">
          <cell r="L4069" t="str">
            <v>Non-proportional</v>
          </cell>
          <cell r="S4069">
            <v>11246.62</v>
          </cell>
          <cell r="X4069" t="str">
            <v>Commissions - gross</v>
          </cell>
          <cell r="Y4069" t="str">
            <v>UNITED KINGDOM</v>
          </cell>
        </row>
        <row r="4070">
          <cell r="L4070" t="str">
            <v>Non-proportional</v>
          </cell>
          <cell r="S4070">
            <v>-37709.24</v>
          </cell>
          <cell r="X4070" t="str">
            <v>Commissions - gross</v>
          </cell>
          <cell r="Y4070" t="str">
            <v>UNITED KINGDOM</v>
          </cell>
        </row>
        <row r="4071">
          <cell r="L4071" t="str">
            <v>Non-proportional</v>
          </cell>
          <cell r="S4071">
            <v>26387</v>
          </cell>
          <cell r="X4071" t="str">
            <v>Commissions - gross</v>
          </cell>
          <cell r="Y4071" t="str">
            <v>SWITZERLAND</v>
          </cell>
        </row>
        <row r="4072">
          <cell r="L4072" t="str">
            <v>Non-proportional</v>
          </cell>
          <cell r="S4072">
            <v>22709.7</v>
          </cell>
          <cell r="X4072" t="str">
            <v>Commissions - gross</v>
          </cell>
          <cell r="Y4072" t="str">
            <v>GERMANY</v>
          </cell>
        </row>
        <row r="4073">
          <cell r="L4073" t="str">
            <v>Non-proportional</v>
          </cell>
          <cell r="S4073">
            <v>5327.74</v>
          </cell>
          <cell r="X4073" t="str">
            <v>Commissions - gross</v>
          </cell>
          <cell r="Y4073" t="str">
            <v>SWITZERLAND</v>
          </cell>
        </row>
        <row r="4074">
          <cell r="L4074" t="str">
            <v>Non-proportional</v>
          </cell>
          <cell r="S4074">
            <v>35300</v>
          </cell>
          <cell r="X4074" t="str">
            <v>Commissions - gross</v>
          </cell>
          <cell r="Y4074" t="str">
            <v>EUROPE</v>
          </cell>
        </row>
        <row r="4075">
          <cell r="L4075" t="str">
            <v>Non-proportional</v>
          </cell>
          <cell r="S4075">
            <v>192.98</v>
          </cell>
          <cell r="X4075" t="str">
            <v>Commissions - gross</v>
          </cell>
          <cell r="Y4075" t="str">
            <v>DENMARK</v>
          </cell>
        </row>
        <row r="4076">
          <cell r="L4076" t="str">
            <v>Non-proportional</v>
          </cell>
          <cell r="S4076">
            <v>2829</v>
          </cell>
          <cell r="X4076" t="str">
            <v>Commissions - gross</v>
          </cell>
          <cell r="Y4076" t="str">
            <v>GERMANY</v>
          </cell>
        </row>
        <row r="4077">
          <cell r="L4077" t="str">
            <v>Non-proportional</v>
          </cell>
          <cell r="S4077">
            <v>17968.5</v>
          </cell>
          <cell r="X4077" t="str">
            <v>Commissions - gross</v>
          </cell>
          <cell r="Y4077" t="str">
            <v>ITALY</v>
          </cell>
        </row>
        <row r="4078">
          <cell r="L4078" t="str">
            <v>Non-proportional</v>
          </cell>
          <cell r="S4078">
            <v>348</v>
          </cell>
          <cell r="X4078" t="str">
            <v>Commissions - gross</v>
          </cell>
          <cell r="Y4078" t="str">
            <v>FRANCE</v>
          </cell>
        </row>
        <row r="4079">
          <cell r="L4079" t="str">
            <v>Non-proportional</v>
          </cell>
          <cell r="S4079">
            <v>-10437.200000000001</v>
          </cell>
          <cell r="X4079" t="str">
            <v>Commissions - gross</v>
          </cell>
          <cell r="Y4079" t="str">
            <v>GERMANY</v>
          </cell>
        </row>
        <row r="4080">
          <cell r="L4080" t="str">
            <v>Non-proportional</v>
          </cell>
          <cell r="S4080">
            <v>3995.81</v>
          </cell>
          <cell r="X4080" t="str">
            <v>Commissions - gross</v>
          </cell>
          <cell r="Y4080" t="str">
            <v>GERMANY</v>
          </cell>
        </row>
        <row r="4081">
          <cell r="L4081" t="str">
            <v>Non-proportional</v>
          </cell>
          <cell r="S4081">
            <v>31388.400000000001</v>
          </cell>
          <cell r="X4081" t="str">
            <v>Commissions - gross</v>
          </cell>
          <cell r="Y4081" t="str">
            <v>UNITED KINGDOM</v>
          </cell>
        </row>
        <row r="4082">
          <cell r="L4082" t="str">
            <v>Non-proportional</v>
          </cell>
          <cell r="S4082">
            <v>157125.4</v>
          </cell>
          <cell r="X4082" t="str">
            <v>Commissions - gross</v>
          </cell>
          <cell r="Y4082" t="str">
            <v>UNITED KINGDOM</v>
          </cell>
        </row>
        <row r="4083">
          <cell r="L4083" t="str">
            <v>Non-proportional</v>
          </cell>
          <cell r="S4083">
            <v>30108.2</v>
          </cell>
          <cell r="X4083" t="str">
            <v>Commissions - gross</v>
          </cell>
          <cell r="Y4083" t="str">
            <v>UNITED KINGDOM</v>
          </cell>
        </row>
        <row r="4084">
          <cell r="L4084" t="str">
            <v>Non-proportional</v>
          </cell>
          <cell r="S4084">
            <v>8500.7199999999993</v>
          </cell>
          <cell r="X4084" t="str">
            <v>Commissions - gross</v>
          </cell>
          <cell r="Y4084" t="str">
            <v>NORWAY</v>
          </cell>
        </row>
        <row r="4085">
          <cell r="L4085" t="str">
            <v>Non-proportional</v>
          </cell>
          <cell r="S4085">
            <v>4934.58</v>
          </cell>
          <cell r="X4085" t="str">
            <v>Commissions - gross</v>
          </cell>
          <cell r="Y4085" t="str">
            <v>AUSTRIA</v>
          </cell>
        </row>
        <row r="4086">
          <cell r="L4086" t="str">
            <v>Non-proportional</v>
          </cell>
          <cell r="S4086">
            <v>3659.61</v>
          </cell>
          <cell r="X4086" t="str">
            <v>Commissions - gross</v>
          </cell>
          <cell r="Y4086" t="str">
            <v>SWITZERLAND</v>
          </cell>
        </row>
        <row r="4087">
          <cell r="L4087" t="str">
            <v>Non-proportional</v>
          </cell>
          <cell r="S4087">
            <v>28625</v>
          </cell>
          <cell r="X4087" t="str">
            <v>Commissions - gross</v>
          </cell>
          <cell r="Y4087" t="str">
            <v>AUSTRIA</v>
          </cell>
        </row>
        <row r="4088">
          <cell r="L4088" t="str">
            <v>Non-proportional</v>
          </cell>
          <cell r="S4088">
            <v>-22798.7</v>
          </cell>
          <cell r="X4088" t="str">
            <v>Commissions - gross</v>
          </cell>
          <cell r="Y4088" t="str">
            <v>GERMANY</v>
          </cell>
        </row>
        <row r="4089">
          <cell r="L4089" t="str">
            <v>Non-proportional</v>
          </cell>
          <cell r="S4089">
            <v>-6770</v>
          </cell>
          <cell r="X4089" t="str">
            <v>Commissions - gross</v>
          </cell>
          <cell r="Y4089" t="str">
            <v>EUROPE</v>
          </cell>
        </row>
        <row r="4090">
          <cell r="L4090" t="str">
            <v>Non-proportional</v>
          </cell>
          <cell r="S4090">
            <v>-548433.93000000005</v>
          </cell>
          <cell r="X4090" t="str">
            <v>Commissions - gross</v>
          </cell>
          <cell r="Y4090" t="str">
            <v>UNITED KINGDOM</v>
          </cell>
        </row>
        <row r="4091">
          <cell r="L4091" t="str">
            <v>Non-proportional</v>
          </cell>
          <cell r="S4091">
            <v>930</v>
          </cell>
          <cell r="X4091" t="str">
            <v>Commissions - gross</v>
          </cell>
          <cell r="Y4091" t="str">
            <v>GERMANY</v>
          </cell>
        </row>
        <row r="4092">
          <cell r="L4092" t="str">
            <v>Non-proportional</v>
          </cell>
          <cell r="S4092">
            <v>-96739.28</v>
          </cell>
          <cell r="X4092" t="str">
            <v>Commissions - gross</v>
          </cell>
          <cell r="Y4092" t="str">
            <v>UNITED KINGDOM</v>
          </cell>
        </row>
        <row r="4093">
          <cell r="L4093" t="str">
            <v>Non-proportional</v>
          </cell>
          <cell r="S4093">
            <v>-7286.89</v>
          </cell>
          <cell r="X4093" t="str">
            <v>Commissions - gross</v>
          </cell>
          <cell r="Y4093" t="str">
            <v>DENMARK</v>
          </cell>
        </row>
        <row r="4094">
          <cell r="L4094" t="str">
            <v>Non-proportional</v>
          </cell>
          <cell r="S4094">
            <v>268557.74</v>
          </cell>
          <cell r="X4094" t="str">
            <v>Commissions - gross</v>
          </cell>
          <cell r="Y4094" t="str">
            <v>UNITED KINGDOM</v>
          </cell>
        </row>
        <row r="4095">
          <cell r="L4095" t="str">
            <v>Non-proportional</v>
          </cell>
          <cell r="S4095">
            <v>-1</v>
          </cell>
          <cell r="X4095" t="str">
            <v>Commissions - gross</v>
          </cell>
          <cell r="Y4095" t="str">
            <v>FRANCE</v>
          </cell>
        </row>
        <row r="4096">
          <cell r="L4096" t="str">
            <v>Non-proportional</v>
          </cell>
          <cell r="S4096">
            <v>-13625.82</v>
          </cell>
          <cell r="X4096" t="str">
            <v>Commissions - gross</v>
          </cell>
          <cell r="Y4096" t="str">
            <v>GERMANY</v>
          </cell>
        </row>
        <row r="4097">
          <cell r="L4097" t="str">
            <v>Non-proportional</v>
          </cell>
          <cell r="S4097">
            <v>7440</v>
          </cell>
          <cell r="X4097" t="str">
            <v>Commissions - gross</v>
          </cell>
          <cell r="Y4097" t="str">
            <v>SWITZERLAND</v>
          </cell>
        </row>
        <row r="4098">
          <cell r="L4098" t="str">
            <v>Non-proportional</v>
          </cell>
          <cell r="S4098">
            <v>-38416.5</v>
          </cell>
          <cell r="X4098" t="str">
            <v>Commissions - gross</v>
          </cell>
          <cell r="Y4098" t="str">
            <v>FRANCE</v>
          </cell>
        </row>
        <row r="4099">
          <cell r="L4099" t="str">
            <v>Non-proportional</v>
          </cell>
          <cell r="S4099">
            <v>-18650.03</v>
          </cell>
          <cell r="X4099" t="str">
            <v>Commissions - gross</v>
          </cell>
          <cell r="Y4099" t="str">
            <v>SWITZERLAND</v>
          </cell>
        </row>
        <row r="4100">
          <cell r="L4100" t="str">
            <v>Non-proportional</v>
          </cell>
          <cell r="S4100">
            <v>5413.69</v>
          </cell>
          <cell r="X4100" t="str">
            <v>Commissions - gross</v>
          </cell>
          <cell r="Y4100" t="str">
            <v>AUSTRIA</v>
          </cell>
        </row>
        <row r="4101">
          <cell r="L4101" t="str">
            <v>Non-proportional</v>
          </cell>
          <cell r="S4101">
            <v>3164.72</v>
          </cell>
          <cell r="X4101" t="str">
            <v>Commissions - gross</v>
          </cell>
          <cell r="Y4101" t="str">
            <v>GERMANY</v>
          </cell>
        </row>
        <row r="4102">
          <cell r="L4102" t="str">
            <v>Non-proportional</v>
          </cell>
          <cell r="S4102">
            <v>5981.67</v>
          </cell>
          <cell r="X4102" t="str">
            <v>Commissions - gross</v>
          </cell>
          <cell r="Y4102" t="str">
            <v>GERMANY</v>
          </cell>
        </row>
        <row r="4103">
          <cell r="L4103" t="str">
            <v>Non-proportional</v>
          </cell>
          <cell r="S4103">
            <v>4071</v>
          </cell>
          <cell r="X4103" t="str">
            <v>Commissions - gross</v>
          </cell>
          <cell r="Y4103" t="str">
            <v>ITALY</v>
          </cell>
        </row>
        <row r="4104">
          <cell r="L4104" t="str">
            <v>Non-proportional</v>
          </cell>
          <cell r="S4104">
            <v>82853.759999999995</v>
          </cell>
          <cell r="X4104" t="str">
            <v>Commissions - gross</v>
          </cell>
          <cell r="Y4104" t="str">
            <v>UNITED KINGDOM</v>
          </cell>
        </row>
        <row r="4105">
          <cell r="L4105" t="str">
            <v>Non-proportional</v>
          </cell>
          <cell r="S4105">
            <v>-17811.23</v>
          </cell>
          <cell r="X4105" t="str">
            <v>Commissions - gross</v>
          </cell>
          <cell r="Y4105" t="str">
            <v>SWITZERLAND</v>
          </cell>
        </row>
        <row r="4106">
          <cell r="L4106" t="str">
            <v>Non-proportional</v>
          </cell>
          <cell r="S4106">
            <v>8428.7999999999993</v>
          </cell>
          <cell r="X4106" t="str">
            <v>Commissions - gross</v>
          </cell>
          <cell r="Y4106" t="str">
            <v>SPAIN</v>
          </cell>
        </row>
        <row r="4107">
          <cell r="L4107" t="str">
            <v>Non-proportional</v>
          </cell>
          <cell r="S4107">
            <v>-12713.93</v>
          </cell>
          <cell r="X4107" t="str">
            <v>Commissions - gross</v>
          </cell>
          <cell r="Y4107" t="str">
            <v>SWITZERLAND</v>
          </cell>
        </row>
        <row r="4108">
          <cell r="L4108" t="str">
            <v>Non-proportional</v>
          </cell>
          <cell r="S4108">
            <v>-25822.33</v>
          </cell>
          <cell r="X4108" t="str">
            <v>Commissions - gross</v>
          </cell>
          <cell r="Y4108" t="str">
            <v>UNITED KINGDOM</v>
          </cell>
        </row>
        <row r="4109">
          <cell r="L4109" t="str">
            <v>Non-proportional</v>
          </cell>
          <cell r="S4109">
            <v>7286.89</v>
          </cell>
          <cell r="X4109" t="str">
            <v>Commissions - gross</v>
          </cell>
          <cell r="Y4109" t="str">
            <v>DENMARK</v>
          </cell>
        </row>
        <row r="4110">
          <cell r="L4110" t="str">
            <v>Non-proportional</v>
          </cell>
          <cell r="S4110">
            <v>196406.87</v>
          </cell>
          <cell r="X4110" t="str">
            <v>Commissions - gross</v>
          </cell>
          <cell r="Y4110" t="str">
            <v>UNITED KINGDOM</v>
          </cell>
        </row>
        <row r="4111">
          <cell r="L4111" t="str">
            <v>Non-proportional</v>
          </cell>
          <cell r="S4111">
            <v>36.96</v>
          </cell>
          <cell r="X4111" t="str">
            <v>Commissions - gross</v>
          </cell>
          <cell r="Y4111" t="str">
            <v>NORWAY</v>
          </cell>
        </row>
        <row r="4112">
          <cell r="L4112" t="str">
            <v>Non-proportional</v>
          </cell>
          <cell r="S4112">
            <v>-25173.200000000001</v>
          </cell>
          <cell r="X4112" t="str">
            <v>Commissions - gross</v>
          </cell>
          <cell r="Y4112" t="str">
            <v>SWITZERLAND</v>
          </cell>
        </row>
        <row r="4113">
          <cell r="L4113" t="str">
            <v>Non-proportional</v>
          </cell>
          <cell r="S4113">
            <v>4879.4799999999996</v>
          </cell>
          <cell r="X4113" t="str">
            <v>Commissions - gross</v>
          </cell>
          <cell r="Y4113" t="str">
            <v>SWITZERLAND</v>
          </cell>
        </row>
        <row r="4114">
          <cell r="L4114" t="str">
            <v>Non-proportional</v>
          </cell>
          <cell r="S4114">
            <v>14058.27</v>
          </cell>
          <cell r="X4114" t="str">
            <v>Commissions - gross</v>
          </cell>
          <cell r="Y4114" t="str">
            <v>UNITED KINGDOM</v>
          </cell>
        </row>
        <row r="4115">
          <cell r="L4115" t="str">
            <v>Non-proportional</v>
          </cell>
          <cell r="S4115">
            <v>10437.200000000001</v>
          </cell>
          <cell r="X4115" t="str">
            <v>Commissions - gross</v>
          </cell>
          <cell r="Y4115" t="str">
            <v>GERMANY</v>
          </cell>
        </row>
        <row r="4116">
          <cell r="L4116" t="str">
            <v>Non-proportional</v>
          </cell>
          <cell r="S4116">
            <v>11999.6</v>
          </cell>
          <cell r="X4116" t="str">
            <v>Commissions - gross</v>
          </cell>
          <cell r="Y4116" t="str">
            <v>GERMANY</v>
          </cell>
        </row>
        <row r="4117">
          <cell r="L4117" t="str">
            <v>Non-proportional</v>
          </cell>
          <cell r="S4117">
            <v>-7102.12</v>
          </cell>
          <cell r="X4117" t="str">
            <v>Commissions - gross</v>
          </cell>
          <cell r="Y4117" t="str">
            <v>SWITZERLAND</v>
          </cell>
        </row>
        <row r="4118">
          <cell r="L4118" t="str">
            <v>Non-proportional</v>
          </cell>
          <cell r="S4118">
            <v>3495</v>
          </cell>
          <cell r="X4118" t="str">
            <v>Commissions - gross</v>
          </cell>
          <cell r="Y4118" t="str">
            <v>EUROPE</v>
          </cell>
        </row>
        <row r="4119">
          <cell r="L4119" t="str">
            <v>Non-proportional</v>
          </cell>
          <cell r="S4119">
            <v>1000</v>
          </cell>
          <cell r="X4119" t="str">
            <v>Commissions - gross</v>
          </cell>
          <cell r="Y4119" t="str">
            <v>SWITZERLAND</v>
          </cell>
        </row>
        <row r="4120">
          <cell r="L4120" t="str">
            <v>Non-proportional</v>
          </cell>
          <cell r="S4120">
            <v>-1404</v>
          </cell>
          <cell r="X4120" t="str">
            <v>Commissions - gross</v>
          </cell>
          <cell r="Y4120" t="str">
            <v>GERMANY</v>
          </cell>
        </row>
        <row r="4121">
          <cell r="L4121" t="str">
            <v>Non-proportional</v>
          </cell>
          <cell r="S4121">
            <v>-268557.74</v>
          </cell>
          <cell r="X4121" t="str">
            <v>Commissions - gross</v>
          </cell>
          <cell r="Y4121" t="str">
            <v>UNITED KINGDOM</v>
          </cell>
        </row>
        <row r="4122">
          <cell r="L4122" t="str">
            <v>Non-proportional</v>
          </cell>
          <cell r="S4122">
            <v>-11701.48</v>
          </cell>
          <cell r="X4122" t="str">
            <v>Commissions - gross</v>
          </cell>
          <cell r="Y4122" t="str">
            <v>GERMANY</v>
          </cell>
        </row>
        <row r="4123">
          <cell r="L4123" t="str">
            <v>Non-proportional</v>
          </cell>
          <cell r="S4123">
            <v>-4160</v>
          </cell>
          <cell r="X4123" t="str">
            <v>Commissions - gross</v>
          </cell>
          <cell r="Y4123" t="str">
            <v>GERMANY</v>
          </cell>
        </row>
        <row r="4124">
          <cell r="L4124" t="str">
            <v>Non-proportional</v>
          </cell>
          <cell r="S4124">
            <v>-744</v>
          </cell>
          <cell r="X4124" t="str">
            <v>Commissions - gross</v>
          </cell>
          <cell r="Y4124" t="str">
            <v>SWITZERLAND</v>
          </cell>
        </row>
        <row r="4125">
          <cell r="L4125" t="str">
            <v>Non-proportional</v>
          </cell>
          <cell r="S4125">
            <v>72.83</v>
          </cell>
          <cell r="X4125" t="str">
            <v>Commissions - gross</v>
          </cell>
          <cell r="Y4125" t="str">
            <v>UNITED KINGDOM</v>
          </cell>
        </row>
        <row r="4126">
          <cell r="L4126" t="str">
            <v>Non-proportional</v>
          </cell>
          <cell r="S4126">
            <v>-13523.34</v>
          </cell>
          <cell r="X4126" t="str">
            <v>Commissions - gross</v>
          </cell>
          <cell r="Y4126" t="str">
            <v>SWITZERLAND</v>
          </cell>
        </row>
        <row r="4127">
          <cell r="L4127" t="str">
            <v>Non-proportional</v>
          </cell>
          <cell r="S4127">
            <v>-7966.1</v>
          </cell>
          <cell r="X4127" t="str">
            <v>Commissions - gross</v>
          </cell>
          <cell r="Y4127" t="str">
            <v>EUROPE</v>
          </cell>
        </row>
        <row r="4128">
          <cell r="L4128" t="str">
            <v>Non-proportional</v>
          </cell>
          <cell r="S4128">
            <v>1407.1</v>
          </cell>
          <cell r="X4128" t="str">
            <v>Commissions - gross</v>
          </cell>
          <cell r="Y4128" t="str">
            <v>DENMARK</v>
          </cell>
        </row>
        <row r="4129">
          <cell r="L4129" t="str">
            <v>Non-proportional</v>
          </cell>
          <cell r="S4129">
            <v>9235.4500000000007</v>
          </cell>
          <cell r="X4129" t="str">
            <v>Commissions - gross</v>
          </cell>
          <cell r="Y4129" t="str">
            <v>SWITZERLAND</v>
          </cell>
        </row>
        <row r="4130">
          <cell r="L4130" t="str">
            <v>Non-proportional</v>
          </cell>
          <cell r="S4130">
            <v>9108</v>
          </cell>
          <cell r="X4130" t="str">
            <v>Commissions - gross</v>
          </cell>
          <cell r="Y4130" t="str">
            <v>GERMANY</v>
          </cell>
        </row>
        <row r="4131">
          <cell r="L4131" t="str">
            <v>Non-proportional</v>
          </cell>
          <cell r="S4131">
            <v>-324.89999999999998</v>
          </cell>
          <cell r="X4131" t="str">
            <v>Commissions - gross</v>
          </cell>
          <cell r="Y4131" t="str">
            <v>ITALY</v>
          </cell>
        </row>
        <row r="4132">
          <cell r="L4132" t="str">
            <v>Non-proportional</v>
          </cell>
          <cell r="S4132">
            <v>-13523.34</v>
          </cell>
          <cell r="X4132" t="str">
            <v>Commissions - gross</v>
          </cell>
          <cell r="Y4132" t="str">
            <v>SWITZERLAND</v>
          </cell>
        </row>
        <row r="4133">
          <cell r="L4133" t="str">
            <v>Non-proportional</v>
          </cell>
          <cell r="S4133">
            <v>4238.18</v>
          </cell>
          <cell r="X4133" t="str">
            <v>Commissions - gross</v>
          </cell>
          <cell r="Y4133" t="str">
            <v>FAROE ISLANDS</v>
          </cell>
        </row>
        <row r="4134">
          <cell r="L4134" t="str">
            <v>Non-proportional</v>
          </cell>
          <cell r="S4134">
            <v>12013.06</v>
          </cell>
          <cell r="X4134" t="str">
            <v>Commissions - gross</v>
          </cell>
          <cell r="Y4134" t="str">
            <v>GERMANY</v>
          </cell>
        </row>
        <row r="4135">
          <cell r="L4135" t="str">
            <v>Non-proportional</v>
          </cell>
          <cell r="S4135">
            <v>71209.22</v>
          </cell>
          <cell r="X4135" t="str">
            <v>Commissions - gross</v>
          </cell>
          <cell r="Y4135" t="str">
            <v>UNITED KINGDOM</v>
          </cell>
        </row>
        <row r="4136">
          <cell r="L4136" t="str">
            <v>Non-proportional</v>
          </cell>
          <cell r="S4136">
            <v>24086.560000000001</v>
          </cell>
          <cell r="X4136" t="str">
            <v>Commissions - gross</v>
          </cell>
          <cell r="Y4136" t="str">
            <v>UNITED KINGDOM</v>
          </cell>
        </row>
        <row r="4137">
          <cell r="L4137" t="str">
            <v>Non-proportional</v>
          </cell>
          <cell r="S4137">
            <v>17228.580000000002</v>
          </cell>
          <cell r="X4137" t="str">
            <v>Commissions - gross</v>
          </cell>
          <cell r="Y4137" t="str">
            <v>UNITED KINGDOM</v>
          </cell>
        </row>
        <row r="4138">
          <cell r="L4138" t="str">
            <v>Non-proportional</v>
          </cell>
          <cell r="S4138">
            <v>-12713.93</v>
          </cell>
          <cell r="X4138" t="str">
            <v>Commissions - gross</v>
          </cell>
          <cell r="Y4138" t="str">
            <v>SWITZERLAND</v>
          </cell>
        </row>
        <row r="4139">
          <cell r="L4139" t="str">
            <v>Non-proportional</v>
          </cell>
          <cell r="S4139">
            <v>22525.69</v>
          </cell>
          <cell r="X4139" t="str">
            <v>Commissions - gross</v>
          </cell>
          <cell r="Y4139" t="str">
            <v>UNITED KINGDOM</v>
          </cell>
        </row>
        <row r="4140">
          <cell r="L4140" t="str">
            <v>Non-proportional</v>
          </cell>
          <cell r="S4140">
            <v>744</v>
          </cell>
          <cell r="X4140" t="str">
            <v>Commissions - gross</v>
          </cell>
          <cell r="Y4140" t="str">
            <v>SWITZERLAND</v>
          </cell>
        </row>
        <row r="4141">
          <cell r="L4141" t="str">
            <v>Non-proportional</v>
          </cell>
          <cell r="S4141">
            <v>-17811.23</v>
          </cell>
          <cell r="X4141" t="str">
            <v>Commissions - gross</v>
          </cell>
          <cell r="Y4141" t="str">
            <v>SWITZERLAND</v>
          </cell>
        </row>
        <row r="4142">
          <cell r="L4142" t="str">
            <v>Non-proportional</v>
          </cell>
          <cell r="S4142">
            <v>40471.67</v>
          </cell>
          <cell r="X4142" t="str">
            <v>Commissions - gross</v>
          </cell>
          <cell r="Y4142" t="str">
            <v>FRANCE</v>
          </cell>
        </row>
        <row r="4143">
          <cell r="L4143" t="str">
            <v>Non-proportional</v>
          </cell>
          <cell r="S4143">
            <v>14258.71</v>
          </cell>
          <cell r="X4143" t="str">
            <v>Commissions - gross</v>
          </cell>
          <cell r="Y4143" t="str">
            <v>EUROPE</v>
          </cell>
        </row>
        <row r="4144">
          <cell r="L4144" t="str">
            <v>Non-proportional</v>
          </cell>
          <cell r="S4144">
            <v>-7841.91</v>
          </cell>
          <cell r="X4144" t="str">
            <v>Commissions - gross</v>
          </cell>
          <cell r="Y4144" t="str">
            <v>NORWAY</v>
          </cell>
        </row>
        <row r="4145">
          <cell r="L4145" t="str">
            <v>Non-proportional</v>
          </cell>
          <cell r="S4145">
            <v>22768.5</v>
          </cell>
          <cell r="X4145" t="str">
            <v>Commissions - gross</v>
          </cell>
          <cell r="Y4145" t="str">
            <v>AUSTRIA</v>
          </cell>
        </row>
        <row r="4146">
          <cell r="L4146" t="str">
            <v>Non-proportional</v>
          </cell>
          <cell r="S4146">
            <v>268557.74</v>
          </cell>
          <cell r="X4146" t="str">
            <v>Commissions - gross</v>
          </cell>
          <cell r="Y4146" t="str">
            <v>UNITED KINGDOM</v>
          </cell>
        </row>
        <row r="4147">
          <cell r="L4147" t="str">
            <v>Non-proportional</v>
          </cell>
          <cell r="S4147">
            <v>49084.2</v>
          </cell>
          <cell r="X4147" t="str">
            <v>Commissions - gross</v>
          </cell>
          <cell r="Y4147" t="str">
            <v>GERMANY</v>
          </cell>
        </row>
        <row r="4148">
          <cell r="L4148" t="str">
            <v>Non-proportional</v>
          </cell>
          <cell r="S4148">
            <v>9001.8799999999992</v>
          </cell>
          <cell r="X4148" t="str">
            <v>Commissions - gross</v>
          </cell>
          <cell r="Y4148" t="str">
            <v>GERMANY</v>
          </cell>
        </row>
        <row r="4149">
          <cell r="L4149" t="str">
            <v>Non-proportional</v>
          </cell>
          <cell r="S4149">
            <v>6435</v>
          </cell>
          <cell r="X4149" t="str">
            <v>Commissions - gross</v>
          </cell>
          <cell r="Y4149" t="str">
            <v>GERMANY</v>
          </cell>
        </row>
        <row r="4150">
          <cell r="L4150" t="str">
            <v>Non-proportional</v>
          </cell>
          <cell r="S4150">
            <v>-6790</v>
          </cell>
          <cell r="X4150" t="str">
            <v>Commissions - gross</v>
          </cell>
          <cell r="Y4150" t="str">
            <v>AUSTRIA</v>
          </cell>
        </row>
        <row r="4151">
          <cell r="L4151" t="str">
            <v>Non-proportional</v>
          </cell>
          <cell r="S4151">
            <v>-7602.16</v>
          </cell>
          <cell r="X4151" t="str">
            <v>Commissions - gross</v>
          </cell>
          <cell r="Y4151" t="str">
            <v>GERMANY</v>
          </cell>
        </row>
        <row r="4152">
          <cell r="L4152" t="str">
            <v>Non-proportional</v>
          </cell>
          <cell r="S4152">
            <v>-9614</v>
          </cell>
          <cell r="X4152" t="str">
            <v>Commissions - gross</v>
          </cell>
          <cell r="Y4152" t="str">
            <v>AUSTRIA</v>
          </cell>
        </row>
        <row r="4153">
          <cell r="L4153" t="str">
            <v>Non-proportional</v>
          </cell>
          <cell r="S4153">
            <v>-7602.16</v>
          </cell>
          <cell r="X4153" t="str">
            <v>Commissions - gross</v>
          </cell>
          <cell r="Y4153" t="str">
            <v>GERMANY</v>
          </cell>
        </row>
        <row r="4154">
          <cell r="L4154" t="str">
            <v>Non-proportional</v>
          </cell>
          <cell r="S4154">
            <v>-99095.87</v>
          </cell>
          <cell r="X4154" t="str">
            <v>Commissions - gross</v>
          </cell>
          <cell r="Y4154" t="str">
            <v>UNITED KINGDOM</v>
          </cell>
        </row>
        <row r="4155">
          <cell r="L4155" t="str">
            <v>Non-proportional</v>
          </cell>
          <cell r="S4155">
            <v>12713.93</v>
          </cell>
          <cell r="X4155" t="str">
            <v>Commissions - gross</v>
          </cell>
          <cell r="Y4155" t="str">
            <v>GERMANY</v>
          </cell>
        </row>
        <row r="4156">
          <cell r="L4156" t="str">
            <v>Non-proportional</v>
          </cell>
          <cell r="S4156">
            <v>12713.93</v>
          </cell>
          <cell r="X4156" t="str">
            <v>Commissions - gross</v>
          </cell>
          <cell r="Y4156" t="str">
            <v>SWITZERLAND</v>
          </cell>
        </row>
        <row r="4157">
          <cell r="L4157" t="str">
            <v>Non-proportional</v>
          </cell>
          <cell r="S4157">
            <v>-930</v>
          </cell>
          <cell r="X4157" t="str">
            <v>Commissions - gross</v>
          </cell>
          <cell r="Y4157" t="str">
            <v>GERMANY</v>
          </cell>
        </row>
        <row r="4158">
          <cell r="L4158" t="str">
            <v>Non-proportional</v>
          </cell>
          <cell r="S4158">
            <v>69262.67</v>
          </cell>
          <cell r="X4158" t="str">
            <v>Commissions - gross</v>
          </cell>
          <cell r="Y4158" t="str">
            <v>UNITED KINGDOM</v>
          </cell>
        </row>
        <row r="4159">
          <cell r="L4159" t="str">
            <v>Non-proportional</v>
          </cell>
          <cell r="S4159">
            <v>17811.23</v>
          </cell>
          <cell r="X4159" t="str">
            <v>Commissions - gross</v>
          </cell>
          <cell r="Y4159" t="str">
            <v>SWITZERLAND</v>
          </cell>
        </row>
        <row r="4160">
          <cell r="L4160" t="str">
            <v>Non-proportional</v>
          </cell>
          <cell r="S4160">
            <v>1269.24</v>
          </cell>
          <cell r="X4160" t="str">
            <v>Commissions - gross</v>
          </cell>
          <cell r="Y4160" t="str">
            <v>NORWAY</v>
          </cell>
        </row>
        <row r="4161">
          <cell r="L4161" t="str">
            <v>Non-proportional</v>
          </cell>
          <cell r="S4161">
            <v>-23202.43</v>
          </cell>
          <cell r="X4161" t="str">
            <v>Commissions - gross</v>
          </cell>
          <cell r="Y4161" t="str">
            <v>UNITED KINGDOM</v>
          </cell>
        </row>
        <row r="4162">
          <cell r="L4162" t="str">
            <v>Non-proportional</v>
          </cell>
          <cell r="S4162">
            <v>-15038.06</v>
          </cell>
          <cell r="X4162" t="str">
            <v>Commissions - gross</v>
          </cell>
          <cell r="Y4162" t="str">
            <v>UNITED KINGDOM</v>
          </cell>
        </row>
        <row r="4163">
          <cell r="L4163" t="str">
            <v>Non-proportional</v>
          </cell>
          <cell r="S4163">
            <v>9296.9</v>
          </cell>
          <cell r="X4163" t="str">
            <v>Commissions - gross</v>
          </cell>
          <cell r="Y4163" t="str">
            <v>SWITZERLAND</v>
          </cell>
        </row>
        <row r="4164">
          <cell r="L4164" t="str">
            <v>Non-proportional</v>
          </cell>
          <cell r="S4164">
            <v>16079.67</v>
          </cell>
          <cell r="X4164" t="str">
            <v>Commissions - gross</v>
          </cell>
          <cell r="Y4164" t="str">
            <v>GERMANY</v>
          </cell>
        </row>
        <row r="4165">
          <cell r="L4165" t="str">
            <v>Non-proportional</v>
          </cell>
          <cell r="S4165">
            <v>6966.02</v>
          </cell>
          <cell r="X4165" t="str">
            <v>Commissions - gross</v>
          </cell>
          <cell r="Y4165" t="str">
            <v>DENMARK</v>
          </cell>
        </row>
        <row r="4166">
          <cell r="L4166" t="str">
            <v>Non-proportional</v>
          </cell>
          <cell r="S4166">
            <v>1048.05</v>
          </cell>
          <cell r="X4166" t="str">
            <v>Commissions - gross</v>
          </cell>
          <cell r="Y4166" t="str">
            <v>GERMANY</v>
          </cell>
        </row>
        <row r="4167">
          <cell r="L4167" t="str">
            <v>Non-proportional</v>
          </cell>
          <cell r="S4167">
            <v>9614</v>
          </cell>
          <cell r="X4167" t="str">
            <v>Commissions - gross</v>
          </cell>
          <cell r="Y4167" t="str">
            <v>AUSTRIA</v>
          </cell>
        </row>
        <row r="4168">
          <cell r="L4168" t="str">
            <v>Non-proportional</v>
          </cell>
          <cell r="S4168">
            <v>48240.71</v>
          </cell>
          <cell r="X4168" t="str">
            <v>Commissions - gross</v>
          </cell>
          <cell r="Y4168" t="str">
            <v>SWITZERLAND</v>
          </cell>
        </row>
        <row r="4169">
          <cell r="L4169" t="str">
            <v>Non-proportional</v>
          </cell>
          <cell r="S4169">
            <v>-17968.5</v>
          </cell>
          <cell r="X4169" t="str">
            <v>Commissions - gross</v>
          </cell>
          <cell r="Y4169" t="str">
            <v>ITALY</v>
          </cell>
        </row>
        <row r="4170">
          <cell r="L4170" t="str">
            <v>Non-proportional</v>
          </cell>
          <cell r="S4170">
            <v>14473.4</v>
          </cell>
          <cell r="X4170" t="str">
            <v>Commissions - gross</v>
          </cell>
          <cell r="Y4170" t="str">
            <v>DENMARK</v>
          </cell>
        </row>
        <row r="4171">
          <cell r="L4171" t="str">
            <v>Non-proportional</v>
          </cell>
          <cell r="S4171">
            <v>-5826.25</v>
          </cell>
          <cell r="X4171" t="str">
            <v>Commissions - gross</v>
          </cell>
          <cell r="Y4171" t="str">
            <v>SWITZERLAND</v>
          </cell>
        </row>
        <row r="4172">
          <cell r="L4172" t="str">
            <v>Non-proportional</v>
          </cell>
          <cell r="S4172">
            <v>10437.200000000001</v>
          </cell>
          <cell r="X4172" t="str">
            <v>Commissions - gross</v>
          </cell>
          <cell r="Y4172" t="str">
            <v>GERMANY</v>
          </cell>
        </row>
        <row r="4173">
          <cell r="L4173" t="str">
            <v>Non-proportional</v>
          </cell>
          <cell r="S4173">
            <v>-2625</v>
          </cell>
          <cell r="X4173" t="str">
            <v>Commissions - gross</v>
          </cell>
          <cell r="Y4173" t="str">
            <v>SWITZERLAND</v>
          </cell>
        </row>
        <row r="4174">
          <cell r="L4174" t="str">
            <v>Non-proportional</v>
          </cell>
          <cell r="S4174">
            <v>10722.46</v>
          </cell>
          <cell r="X4174" t="str">
            <v>Commissions - gross</v>
          </cell>
          <cell r="Y4174" t="str">
            <v>UNITED KINGDOM</v>
          </cell>
        </row>
        <row r="4175">
          <cell r="L4175" t="str">
            <v>Non-proportional</v>
          </cell>
          <cell r="S4175">
            <v>17228.580000000002</v>
          </cell>
          <cell r="X4175" t="str">
            <v>Commissions - gross</v>
          </cell>
          <cell r="Y4175" t="str">
            <v>UNITED KINGDOM</v>
          </cell>
        </row>
        <row r="4176">
          <cell r="L4176" t="str">
            <v>Non-proportional</v>
          </cell>
          <cell r="S4176">
            <v>5826.25</v>
          </cell>
          <cell r="X4176" t="str">
            <v>Commissions - gross</v>
          </cell>
          <cell r="Y4176" t="str">
            <v>SWITZERLAND</v>
          </cell>
        </row>
        <row r="4177">
          <cell r="L4177" t="str">
            <v>Non-proportional</v>
          </cell>
          <cell r="S4177">
            <v>29402.81</v>
          </cell>
          <cell r="X4177" t="str">
            <v>Commissions - gross</v>
          </cell>
          <cell r="Y4177" t="str">
            <v>UNITED KINGDOM</v>
          </cell>
        </row>
        <row r="4178">
          <cell r="L4178" t="str">
            <v>Non-proportional</v>
          </cell>
          <cell r="S4178">
            <v>1048.05</v>
          </cell>
          <cell r="X4178" t="str">
            <v>Commissions - gross</v>
          </cell>
          <cell r="Y4178" t="str">
            <v>SWITZERLAND</v>
          </cell>
        </row>
        <row r="4179">
          <cell r="L4179" t="str">
            <v>Non-proportional</v>
          </cell>
          <cell r="S4179">
            <v>324.8</v>
          </cell>
          <cell r="X4179" t="str">
            <v>Commissions - gross</v>
          </cell>
          <cell r="Y4179" t="str">
            <v>ITALY</v>
          </cell>
        </row>
        <row r="4180">
          <cell r="L4180" t="str">
            <v>Non-proportional</v>
          </cell>
          <cell r="S4180">
            <v>9558</v>
          </cell>
          <cell r="X4180" t="str">
            <v>Commissions - gross</v>
          </cell>
          <cell r="Y4180" t="str">
            <v>GERMANY</v>
          </cell>
        </row>
        <row r="4181">
          <cell r="L4181" t="str">
            <v>Non-proportional</v>
          </cell>
          <cell r="S4181">
            <v>7189.57</v>
          </cell>
          <cell r="X4181" t="str">
            <v>Commissions - gross</v>
          </cell>
          <cell r="Y4181" t="str">
            <v>SWEDEN</v>
          </cell>
        </row>
        <row r="4182">
          <cell r="L4182" t="str">
            <v>Non-proportional</v>
          </cell>
          <cell r="S4182">
            <v>143261.49</v>
          </cell>
          <cell r="X4182" t="str">
            <v>Commissions - gross</v>
          </cell>
          <cell r="Y4182" t="str">
            <v>UNITED KINGDOM</v>
          </cell>
        </row>
        <row r="4183">
          <cell r="L4183" t="str">
            <v>Non-proportional</v>
          </cell>
          <cell r="S4183">
            <v>-17984.28</v>
          </cell>
          <cell r="X4183" t="str">
            <v>Commissions - gross</v>
          </cell>
          <cell r="Y4183" t="str">
            <v>UNITED KINGDOM</v>
          </cell>
        </row>
        <row r="4184">
          <cell r="L4184" t="str">
            <v>Non-proportional</v>
          </cell>
          <cell r="S4184">
            <v>-13183.64</v>
          </cell>
          <cell r="X4184" t="str">
            <v>Commissions - gross</v>
          </cell>
          <cell r="Y4184" t="str">
            <v>SWITZERLAND</v>
          </cell>
        </row>
        <row r="4185">
          <cell r="L4185" t="str">
            <v>Non-proportional</v>
          </cell>
          <cell r="S4185">
            <v>-22709.7</v>
          </cell>
          <cell r="X4185" t="str">
            <v>Commissions - gross</v>
          </cell>
          <cell r="Y4185" t="str">
            <v>GERMANY</v>
          </cell>
        </row>
        <row r="4186">
          <cell r="L4186" t="str">
            <v>Non-proportional</v>
          </cell>
          <cell r="S4186">
            <v>-9049.59</v>
          </cell>
          <cell r="X4186" t="str">
            <v>Commissions - gross</v>
          </cell>
          <cell r="Y4186" t="str">
            <v>NORWAY</v>
          </cell>
        </row>
        <row r="4187">
          <cell r="L4187" t="str">
            <v>Non-proportional</v>
          </cell>
          <cell r="S4187">
            <v>-7475</v>
          </cell>
          <cell r="X4187" t="str">
            <v>Commissions - gross</v>
          </cell>
          <cell r="Y4187" t="str">
            <v>GERMANY</v>
          </cell>
        </row>
        <row r="4188">
          <cell r="L4188" t="str">
            <v>Non-proportional</v>
          </cell>
          <cell r="S4188">
            <v>24227.79</v>
          </cell>
          <cell r="X4188" t="str">
            <v>Commissions - gross</v>
          </cell>
          <cell r="Y4188" t="str">
            <v>UNITED KINGDOM</v>
          </cell>
        </row>
        <row r="4189">
          <cell r="L4189" t="str">
            <v>Non-proportional</v>
          </cell>
          <cell r="S4189">
            <v>-6000</v>
          </cell>
          <cell r="X4189" t="str">
            <v>Commissions - gross</v>
          </cell>
          <cell r="Y4189" t="str">
            <v>GERMANY</v>
          </cell>
        </row>
        <row r="4190">
          <cell r="L4190" t="str">
            <v>Non-proportional</v>
          </cell>
          <cell r="S4190">
            <v>8681.91</v>
          </cell>
          <cell r="X4190" t="str">
            <v>Commissions - gross</v>
          </cell>
          <cell r="Y4190" t="str">
            <v>FRANCE</v>
          </cell>
        </row>
        <row r="4191">
          <cell r="L4191" t="str">
            <v>Non-proportional</v>
          </cell>
          <cell r="S4191">
            <v>-2374.83</v>
          </cell>
          <cell r="X4191" t="str">
            <v>Commissions - gross</v>
          </cell>
          <cell r="Y4191" t="str">
            <v>SWITZERLAND</v>
          </cell>
        </row>
        <row r="4192">
          <cell r="L4192" t="str">
            <v>Non-proportional</v>
          </cell>
          <cell r="S4192">
            <v>67191.48</v>
          </cell>
          <cell r="X4192" t="str">
            <v>Commissions - gross</v>
          </cell>
          <cell r="Y4192" t="str">
            <v>UNITED KINGDOM</v>
          </cell>
        </row>
        <row r="4193">
          <cell r="L4193" t="str">
            <v>Non-proportional</v>
          </cell>
          <cell r="S4193">
            <v>-2700</v>
          </cell>
          <cell r="X4193" t="str">
            <v>Commissions - gross</v>
          </cell>
          <cell r="Y4193" t="str">
            <v>GERMANY</v>
          </cell>
        </row>
        <row r="4194">
          <cell r="L4194" t="str">
            <v>Non-proportional</v>
          </cell>
          <cell r="S4194">
            <v>16869.97</v>
          </cell>
          <cell r="X4194" t="str">
            <v>Commissions - gross</v>
          </cell>
          <cell r="Y4194" t="str">
            <v>SWITZERLAND</v>
          </cell>
        </row>
        <row r="4195">
          <cell r="L4195" t="str">
            <v>Non-proportional</v>
          </cell>
          <cell r="S4195">
            <v>-16081.02</v>
          </cell>
          <cell r="X4195" t="str">
            <v>Commissions - gross</v>
          </cell>
          <cell r="Y4195" t="str">
            <v>DENMARK</v>
          </cell>
        </row>
        <row r="4196">
          <cell r="L4196" t="str">
            <v>Non-proportional</v>
          </cell>
          <cell r="S4196">
            <v>-35300</v>
          </cell>
          <cell r="X4196" t="str">
            <v>Commissions - gross</v>
          </cell>
          <cell r="Y4196" t="str">
            <v>EUROPE</v>
          </cell>
        </row>
        <row r="4197">
          <cell r="L4197" t="str">
            <v>Non-proportional</v>
          </cell>
          <cell r="S4197">
            <v>3171.8</v>
          </cell>
          <cell r="X4197" t="str">
            <v>Commissions - gross</v>
          </cell>
          <cell r="Y4197" t="str">
            <v>FRANCE</v>
          </cell>
        </row>
        <row r="4198">
          <cell r="L4198" t="str">
            <v>Non-proportional</v>
          </cell>
          <cell r="S4198">
            <v>17401.599999999999</v>
          </cell>
          <cell r="X4198" t="str">
            <v>Commissions - gross</v>
          </cell>
          <cell r="Y4198" t="str">
            <v>EUROPE</v>
          </cell>
        </row>
        <row r="4199">
          <cell r="L4199" t="str">
            <v>Non-proportional</v>
          </cell>
          <cell r="S4199">
            <v>6000</v>
          </cell>
          <cell r="X4199" t="str">
            <v>Commissions - gross</v>
          </cell>
          <cell r="Y4199" t="str">
            <v>GERMANY</v>
          </cell>
        </row>
        <row r="4200">
          <cell r="L4200" t="str">
            <v>Non-proportional</v>
          </cell>
          <cell r="S4200">
            <v>13523.34</v>
          </cell>
          <cell r="X4200" t="str">
            <v>Commissions - gross</v>
          </cell>
          <cell r="Y4200" t="str">
            <v>SWITZERLAND</v>
          </cell>
        </row>
        <row r="4201">
          <cell r="L4201" t="str">
            <v>Non-proportional</v>
          </cell>
          <cell r="S4201">
            <v>1424.9</v>
          </cell>
          <cell r="X4201" t="str">
            <v>Commissions - gross</v>
          </cell>
          <cell r="Y4201" t="str">
            <v>SWITZERLAND</v>
          </cell>
        </row>
        <row r="4202">
          <cell r="L4202" t="str">
            <v>Non-proportional</v>
          </cell>
          <cell r="S4202">
            <v>19949.63</v>
          </cell>
          <cell r="X4202" t="str">
            <v>Commissions - gross</v>
          </cell>
          <cell r="Y4202" t="str">
            <v>SWITZERLAND</v>
          </cell>
        </row>
        <row r="4203">
          <cell r="L4203" t="str">
            <v>Non-proportional</v>
          </cell>
          <cell r="S4203">
            <v>385.74</v>
          </cell>
          <cell r="X4203" t="str">
            <v>Commissions - gross</v>
          </cell>
          <cell r="Y4203" t="str">
            <v>FRANCE</v>
          </cell>
        </row>
        <row r="4204">
          <cell r="L4204" t="str">
            <v>Non-proportional</v>
          </cell>
          <cell r="S4204">
            <v>2800.97</v>
          </cell>
          <cell r="X4204" t="str">
            <v>Commissions - gross</v>
          </cell>
          <cell r="Y4204" t="str">
            <v>SWEDEN</v>
          </cell>
        </row>
        <row r="4205">
          <cell r="L4205" t="str">
            <v>Non-proportional</v>
          </cell>
          <cell r="S4205">
            <v>21075.599999999999</v>
          </cell>
          <cell r="X4205" t="str">
            <v>Commissions - gross</v>
          </cell>
          <cell r="Y4205" t="str">
            <v>GERMANY</v>
          </cell>
        </row>
        <row r="4206">
          <cell r="L4206" t="str">
            <v>Non-proportional</v>
          </cell>
          <cell r="S4206">
            <v>5085.57</v>
          </cell>
          <cell r="X4206" t="str">
            <v>Commissions - gross</v>
          </cell>
          <cell r="Y4206" t="str">
            <v>SWITZERLAND</v>
          </cell>
        </row>
        <row r="4207">
          <cell r="L4207" t="str">
            <v>Non-proportional</v>
          </cell>
          <cell r="S4207">
            <v>7599.46</v>
          </cell>
          <cell r="X4207" t="str">
            <v>Commissions - gross</v>
          </cell>
          <cell r="Y4207" t="str">
            <v>SWITZERLAND</v>
          </cell>
        </row>
        <row r="4208">
          <cell r="L4208" t="str">
            <v>Non-proportional</v>
          </cell>
          <cell r="S4208">
            <v>18998.91</v>
          </cell>
          <cell r="X4208" t="str">
            <v>Commissions - gross</v>
          </cell>
          <cell r="Y4208" t="str">
            <v>GERMANY</v>
          </cell>
        </row>
        <row r="4209">
          <cell r="L4209" t="str">
            <v>Non-proportional</v>
          </cell>
          <cell r="S4209">
            <v>23527.27</v>
          </cell>
          <cell r="X4209" t="str">
            <v>Commissions - gross</v>
          </cell>
          <cell r="Y4209" t="str">
            <v>FRANCE</v>
          </cell>
        </row>
        <row r="4210">
          <cell r="L4210" t="str">
            <v>Non-proportional</v>
          </cell>
          <cell r="S4210">
            <v>55.8</v>
          </cell>
          <cell r="X4210" t="str">
            <v>Commissions - gross</v>
          </cell>
          <cell r="Y4210" t="str">
            <v>SWITZERLAND</v>
          </cell>
        </row>
        <row r="4211">
          <cell r="L4211" t="str">
            <v>Non-proportional</v>
          </cell>
          <cell r="S4211">
            <v>-12713.93</v>
          </cell>
          <cell r="X4211" t="str">
            <v>Commissions - gross</v>
          </cell>
          <cell r="Y4211" t="str">
            <v>SWITZERLAND</v>
          </cell>
        </row>
        <row r="4212">
          <cell r="L4212" t="str">
            <v>Non-proportional</v>
          </cell>
          <cell r="S4212">
            <v>6558.26</v>
          </cell>
          <cell r="X4212" t="str">
            <v>Commissions - gross</v>
          </cell>
          <cell r="Y4212" t="str">
            <v>DENMARK</v>
          </cell>
        </row>
        <row r="4213">
          <cell r="L4213" t="str">
            <v>Non-proportional</v>
          </cell>
          <cell r="S4213">
            <v>-242.32</v>
          </cell>
          <cell r="X4213" t="str">
            <v>Commissions - gross</v>
          </cell>
          <cell r="Y4213" t="str">
            <v>SWITZERLAND</v>
          </cell>
        </row>
        <row r="4214">
          <cell r="L4214" t="str">
            <v>Non-proportional</v>
          </cell>
          <cell r="S4214">
            <v>5400</v>
          </cell>
          <cell r="X4214" t="str">
            <v>Commissions - gross</v>
          </cell>
          <cell r="Y4214" t="str">
            <v>GERMANY</v>
          </cell>
        </row>
        <row r="4215">
          <cell r="L4215" t="str">
            <v>Non-proportional</v>
          </cell>
          <cell r="S4215">
            <v>20265.22</v>
          </cell>
          <cell r="X4215" t="str">
            <v>Commissions - gross</v>
          </cell>
          <cell r="Y4215" t="str">
            <v>SWITZERLAND</v>
          </cell>
        </row>
        <row r="4216">
          <cell r="L4216" t="str">
            <v>Non-proportional</v>
          </cell>
          <cell r="S4216">
            <v>21774.68</v>
          </cell>
          <cell r="X4216" t="str">
            <v>Commissions - gross</v>
          </cell>
          <cell r="Y4216" t="str">
            <v>UNITED KINGDOM</v>
          </cell>
        </row>
        <row r="4217">
          <cell r="L4217" t="str">
            <v>Non-proportional</v>
          </cell>
          <cell r="S4217">
            <v>1424.9</v>
          </cell>
          <cell r="X4217" t="str">
            <v>Commissions - gross</v>
          </cell>
          <cell r="Y4217" t="str">
            <v>SWITZERLAND</v>
          </cell>
        </row>
        <row r="4218">
          <cell r="L4218" t="str">
            <v>Non-proportional</v>
          </cell>
          <cell r="S4218">
            <v>4124.3599999999997</v>
          </cell>
          <cell r="X4218" t="str">
            <v>Commissions - gross</v>
          </cell>
          <cell r="Y4218" t="str">
            <v>EUROPE</v>
          </cell>
        </row>
        <row r="4219">
          <cell r="L4219" t="str">
            <v>Non-proportional</v>
          </cell>
          <cell r="S4219">
            <v>10108</v>
          </cell>
          <cell r="X4219" t="str">
            <v>Commissions - gross</v>
          </cell>
          <cell r="Y4219" t="str">
            <v>ITALY</v>
          </cell>
        </row>
        <row r="4220">
          <cell r="L4220" t="str">
            <v>Non-proportional</v>
          </cell>
          <cell r="S4220">
            <v>3728.8</v>
          </cell>
          <cell r="X4220" t="str">
            <v>Commissions - gross</v>
          </cell>
          <cell r="Y4220" t="str">
            <v>GERMANY</v>
          </cell>
        </row>
        <row r="4221">
          <cell r="L4221" t="str">
            <v>Non-proportional</v>
          </cell>
          <cell r="S4221">
            <v>-7440</v>
          </cell>
          <cell r="X4221" t="str">
            <v>Commissions - gross</v>
          </cell>
          <cell r="Y4221" t="str">
            <v>SWITZERLAND</v>
          </cell>
        </row>
        <row r="4222">
          <cell r="L4222" t="str">
            <v>Non-proportional</v>
          </cell>
          <cell r="S4222">
            <v>-8099.9</v>
          </cell>
          <cell r="X4222" t="str">
            <v>Commissions - gross</v>
          </cell>
          <cell r="Y4222" t="str">
            <v>GERMANY</v>
          </cell>
        </row>
        <row r="4223">
          <cell r="L4223" t="str">
            <v>Non-proportional</v>
          </cell>
          <cell r="S4223">
            <v>28452.73</v>
          </cell>
          <cell r="X4223" t="str">
            <v>Commissions - gross</v>
          </cell>
          <cell r="Y4223" t="str">
            <v>UNITED KINGDOM</v>
          </cell>
        </row>
        <row r="4224">
          <cell r="L4224" t="str">
            <v>Non-proportional</v>
          </cell>
          <cell r="S4224">
            <v>10626</v>
          </cell>
          <cell r="X4224" t="str">
            <v>Commissions - gross</v>
          </cell>
          <cell r="Y4224" t="str">
            <v>GERMANY</v>
          </cell>
        </row>
        <row r="4225">
          <cell r="L4225" t="str">
            <v>Non-proportional</v>
          </cell>
          <cell r="S4225">
            <v>-13782.87</v>
          </cell>
          <cell r="X4225" t="str">
            <v>Commissions - gross</v>
          </cell>
          <cell r="Y4225" t="str">
            <v>UNITED KINGDOM</v>
          </cell>
        </row>
        <row r="4226">
          <cell r="L4226" t="str">
            <v>Non-proportional</v>
          </cell>
          <cell r="S4226">
            <v>332504.34999999998</v>
          </cell>
          <cell r="X4226" t="str">
            <v>Commissions - gross</v>
          </cell>
          <cell r="Y4226" t="str">
            <v>UNITED KINGDOM</v>
          </cell>
        </row>
        <row r="4227">
          <cell r="L4227" t="str">
            <v>Non-proportional</v>
          </cell>
          <cell r="S4227">
            <v>-930</v>
          </cell>
          <cell r="X4227" t="str">
            <v>Commissions - gross</v>
          </cell>
          <cell r="Y4227" t="str">
            <v>GERMANY</v>
          </cell>
        </row>
        <row r="4228">
          <cell r="L4228" t="str">
            <v>Non-proportional</v>
          </cell>
          <cell r="S4228">
            <v>7013.09</v>
          </cell>
          <cell r="X4228" t="str">
            <v>Commissions - gross</v>
          </cell>
          <cell r="Y4228" t="str">
            <v>NORWAY</v>
          </cell>
        </row>
        <row r="4229">
          <cell r="L4229" t="str">
            <v>Non-proportional</v>
          </cell>
          <cell r="S4229">
            <v>-49962.89</v>
          </cell>
          <cell r="X4229" t="str">
            <v>Commissions - gross</v>
          </cell>
          <cell r="Y4229" t="str">
            <v>UNITED KINGDOM</v>
          </cell>
        </row>
        <row r="4230">
          <cell r="L4230" t="str">
            <v>Non-proportional</v>
          </cell>
          <cell r="S4230">
            <v>-565.26</v>
          </cell>
          <cell r="X4230" t="str">
            <v>Commissions - gross</v>
          </cell>
          <cell r="Y4230" t="str">
            <v>UNITED KINGDOM</v>
          </cell>
        </row>
        <row r="4231">
          <cell r="L4231" t="str">
            <v>Non-proportional</v>
          </cell>
          <cell r="S4231">
            <v>21343.37</v>
          </cell>
          <cell r="X4231" t="str">
            <v>Commissions - gross</v>
          </cell>
          <cell r="Y4231" t="str">
            <v>FRANCE</v>
          </cell>
        </row>
        <row r="4232">
          <cell r="L4232" t="str">
            <v>Non-proportional</v>
          </cell>
          <cell r="S4232">
            <v>900</v>
          </cell>
          <cell r="X4232" t="str">
            <v>Commissions - gross</v>
          </cell>
          <cell r="Y4232" t="str">
            <v>GERMANY</v>
          </cell>
        </row>
        <row r="4233">
          <cell r="L4233" t="str">
            <v>Non-proportional</v>
          </cell>
          <cell r="S4233">
            <v>13183.64</v>
          </cell>
          <cell r="X4233" t="str">
            <v>Commissions - gross</v>
          </cell>
          <cell r="Y4233" t="str">
            <v>FRANCE</v>
          </cell>
        </row>
        <row r="4234">
          <cell r="L4234" t="str">
            <v>Non-proportional</v>
          </cell>
          <cell r="S4234">
            <v>-13523.34</v>
          </cell>
          <cell r="X4234" t="str">
            <v>Commissions - gross</v>
          </cell>
          <cell r="Y4234" t="str">
            <v>SWITZERLAND</v>
          </cell>
        </row>
        <row r="4235">
          <cell r="L4235" t="str">
            <v>Non-proportional</v>
          </cell>
          <cell r="S4235">
            <v>19460.41</v>
          </cell>
          <cell r="X4235" t="str">
            <v>Commissions - gross</v>
          </cell>
          <cell r="Y4235" t="str">
            <v>SWITZERLAND</v>
          </cell>
        </row>
        <row r="4236">
          <cell r="L4236" t="str">
            <v>Non-proportional</v>
          </cell>
          <cell r="S4236">
            <v>26387</v>
          </cell>
          <cell r="X4236" t="str">
            <v>Commissions - gross</v>
          </cell>
          <cell r="Y4236" t="str">
            <v>SWITZERLAND</v>
          </cell>
        </row>
        <row r="4237">
          <cell r="L4237" t="str">
            <v>Non-proportional</v>
          </cell>
          <cell r="S4237">
            <v>-13782.87</v>
          </cell>
          <cell r="X4237" t="str">
            <v>Commissions - gross</v>
          </cell>
          <cell r="Y4237" t="str">
            <v>UNITED KINGDOM</v>
          </cell>
        </row>
        <row r="4238">
          <cell r="L4238" t="str">
            <v>Non-proportional</v>
          </cell>
          <cell r="S4238">
            <v>17401.830000000002</v>
          </cell>
          <cell r="X4238" t="str">
            <v>Commissions - gross</v>
          </cell>
          <cell r="Y4238" t="str">
            <v>UNITED KINGDOM</v>
          </cell>
        </row>
        <row r="4239">
          <cell r="L4239" t="str">
            <v>Non-proportional</v>
          </cell>
          <cell r="S4239">
            <v>30472.32</v>
          </cell>
          <cell r="X4239" t="str">
            <v>Commissions - gross</v>
          </cell>
          <cell r="Y4239" t="str">
            <v>GERMANY</v>
          </cell>
        </row>
        <row r="4240">
          <cell r="L4240" t="str">
            <v>Non-proportional</v>
          </cell>
          <cell r="S4240">
            <v>16944</v>
          </cell>
          <cell r="X4240" t="str">
            <v>Commissions - gross</v>
          </cell>
          <cell r="Y4240" t="str">
            <v>AUSTRIA</v>
          </cell>
        </row>
        <row r="4241">
          <cell r="L4241" t="str">
            <v>Non-proportional</v>
          </cell>
          <cell r="S4241">
            <v>-3600.82</v>
          </cell>
          <cell r="X4241" t="str">
            <v>Commissions - gross</v>
          </cell>
          <cell r="Y4241" t="str">
            <v>GERMANY</v>
          </cell>
        </row>
        <row r="4242">
          <cell r="L4242" t="str">
            <v>Non-proportional</v>
          </cell>
          <cell r="S4242">
            <v>-15215.4</v>
          </cell>
          <cell r="X4242" t="str">
            <v>Commissions - gross</v>
          </cell>
          <cell r="Y4242" t="str">
            <v>UNITED KINGDOM</v>
          </cell>
        </row>
        <row r="4243">
          <cell r="L4243" t="str">
            <v>Non-proportional</v>
          </cell>
          <cell r="S4243">
            <v>324081.89</v>
          </cell>
          <cell r="X4243" t="str">
            <v>Commissions - gross</v>
          </cell>
          <cell r="Y4243" t="str">
            <v>UNITED KINGDOM</v>
          </cell>
        </row>
        <row r="4244">
          <cell r="L4244" t="str">
            <v>Non-proportional</v>
          </cell>
          <cell r="S4244">
            <v>13269.28</v>
          </cell>
          <cell r="X4244" t="str">
            <v>Commissions - gross</v>
          </cell>
          <cell r="Y4244" t="str">
            <v>DENMARK</v>
          </cell>
        </row>
        <row r="4245">
          <cell r="L4245" t="str">
            <v>Non-proportional</v>
          </cell>
          <cell r="S4245">
            <v>1048.05</v>
          </cell>
          <cell r="X4245" t="str">
            <v>Commissions - gross</v>
          </cell>
          <cell r="Y4245" t="str">
            <v>SWITZERLAND</v>
          </cell>
        </row>
        <row r="4246">
          <cell r="L4246" t="str">
            <v>Non-proportional</v>
          </cell>
          <cell r="S4246">
            <v>78562.100000000006</v>
          </cell>
          <cell r="X4246" t="str">
            <v>Commissions - gross</v>
          </cell>
          <cell r="Y4246" t="str">
            <v>UNITED KINGDOM</v>
          </cell>
        </row>
        <row r="4247">
          <cell r="L4247" t="str">
            <v>Non-proportional</v>
          </cell>
          <cell r="S4247">
            <v>-930</v>
          </cell>
          <cell r="X4247" t="str">
            <v>Commissions - gross</v>
          </cell>
          <cell r="Y4247" t="str">
            <v>SWITZERLAND</v>
          </cell>
        </row>
        <row r="4248">
          <cell r="L4248" t="str">
            <v>Non-proportional</v>
          </cell>
          <cell r="S4248">
            <v>7602.16</v>
          </cell>
          <cell r="X4248" t="str">
            <v>Commissions - gross</v>
          </cell>
          <cell r="Y4248" t="str">
            <v>GERMANY</v>
          </cell>
        </row>
        <row r="4249">
          <cell r="L4249" t="str">
            <v>Non-proportional</v>
          </cell>
          <cell r="S4249">
            <v>143261.48000000001</v>
          </cell>
          <cell r="X4249" t="str">
            <v>Commissions - gross</v>
          </cell>
          <cell r="Y4249" t="str">
            <v>UNITED KINGDOM</v>
          </cell>
        </row>
        <row r="4250">
          <cell r="L4250" t="str">
            <v>Non-proportional</v>
          </cell>
          <cell r="S4250">
            <v>8285.01</v>
          </cell>
          <cell r="X4250" t="str">
            <v>Commissions - gross</v>
          </cell>
          <cell r="Y4250" t="str">
            <v>FRANCE</v>
          </cell>
        </row>
        <row r="4251">
          <cell r="L4251" t="str">
            <v>Non-proportional</v>
          </cell>
          <cell r="S4251">
            <v>565.26</v>
          </cell>
          <cell r="X4251" t="str">
            <v>Commissions - gross</v>
          </cell>
          <cell r="Y4251" t="str">
            <v>UNITED KINGDOM</v>
          </cell>
        </row>
        <row r="4252">
          <cell r="L4252" t="str">
            <v>Non-proportional</v>
          </cell>
          <cell r="S4252">
            <v>11259</v>
          </cell>
          <cell r="X4252" t="str">
            <v>Commissions - gross</v>
          </cell>
          <cell r="Y4252" t="str">
            <v>FRANCE</v>
          </cell>
        </row>
        <row r="4253">
          <cell r="L4253" t="str">
            <v>Non-proportional</v>
          </cell>
          <cell r="S4253">
            <v>42340.19</v>
          </cell>
          <cell r="X4253" t="str">
            <v>Commissions - gross</v>
          </cell>
          <cell r="Y4253" t="str">
            <v>UNITED KINGDOM</v>
          </cell>
        </row>
        <row r="4254">
          <cell r="L4254" t="str">
            <v>Non-proportional</v>
          </cell>
          <cell r="S4254">
            <v>-1048.05</v>
          </cell>
          <cell r="X4254" t="str">
            <v>Commissions - gross</v>
          </cell>
          <cell r="Y4254" t="str">
            <v>SWITZERLAND</v>
          </cell>
        </row>
        <row r="4255">
          <cell r="L4255" t="str">
            <v>Non-proportional</v>
          </cell>
          <cell r="S4255">
            <v>4812.99</v>
          </cell>
          <cell r="X4255" t="str">
            <v>Commissions - gross</v>
          </cell>
          <cell r="Y4255" t="str">
            <v>SWITZERLAND</v>
          </cell>
        </row>
        <row r="4256">
          <cell r="L4256" t="str">
            <v>Non-proportional</v>
          </cell>
          <cell r="S4256">
            <v>98202.91</v>
          </cell>
          <cell r="X4256" t="str">
            <v>Commissions - gross</v>
          </cell>
          <cell r="Y4256" t="str">
            <v>UNITED KINGDOM</v>
          </cell>
        </row>
        <row r="4257">
          <cell r="L4257" t="str">
            <v>Non-proportional</v>
          </cell>
          <cell r="S4257">
            <v>10764.74</v>
          </cell>
          <cell r="X4257" t="str">
            <v>Commissions - gross</v>
          </cell>
          <cell r="Y4257" t="str">
            <v>GERMANY</v>
          </cell>
        </row>
        <row r="4258">
          <cell r="L4258" t="str">
            <v>Non-proportional</v>
          </cell>
          <cell r="S4258">
            <v>21774.68</v>
          </cell>
          <cell r="X4258" t="str">
            <v>Commissions - gross</v>
          </cell>
          <cell r="Y4258" t="str">
            <v>UNITED KINGDOM</v>
          </cell>
        </row>
        <row r="4259">
          <cell r="L4259" t="str">
            <v>Non-proportional</v>
          </cell>
          <cell r="S4259">
            <v>-26387</v>
          </cell>
          <cell r="X4259" t="str">
            <v>Commissions - gross</v>
          </cell>
          <cell r="Y4259" t="str">
            <v>SWITZERLAND</v>
          </cell>
        </row>
        <row r="4260">
          <cell r="L4260" t="str">
            <v>Non-proportional</v>
          </cell>
          <cell r="S4260">
            <v>13774.01</v>
          </cell>
          <cell r="X4260" t="str">
            <v>Commissions - gross</v>
          </cell>
          <cell r="Y4260" t="str">
            <v>SWITZERLAND</v>
          </cell>
        </row>
        <row r="4261">
          <cell r="L4261" t="str">
            <v>Non-proportional</v>
          </cell>
          <cell r="S4261">
            <v>6311.78</v>
          </cell>
          <cell r="X4261" t="str">
            <v>Commissions - gross</v>
          </cell>
          <cell r="Y4261" t="str">
            <v>NORWAY</v>
          </cell>
        </row>
        <row r="4262">
          <cell r="L4262" t="str">
            <v>Non-proportional</v>
          </cell>
          <cell r="S4262">
            <v>11901.51</v>
          </cell>
          <cell r="X4262" t="str">
            <v>Commissions - gross</v>
          </cell>
          <cell r="Y4262" t="str">
            <v>CZECH REPUBLIC</v>
          </cell>
        </row>
        <row r="4263">
          <cell r="L4263" t="str">
            <v>Non-proportional</v>
          </cell>
          <cell r="S4263">
            <v>6560.55</v>
          </cell>
          <cell r="X4263" t="str">
            <v>Commissions - gross</v>
          </cell>
          <cell r="Y4263" t="str">
            <v>SWITZERLAND</v>
          </cell>
        </row>
        <row r="4264">
          <cell r="L4264" t="str">
            <v>Non-proportional</v>
          </cell>
          <cell r="S4264">
            <v>129145.41</v>
          </cell>
          <cell r="X4264" t="str">
            <v>Commissions - gross</v>
          </cell>
          <cell r="Y4264" t="str">
            <v>UNITED KINGDOM</v>
          </cell>
        </row>
        <row r="4265">
          <cell r="L4265" t="str">
            <v>Non-proportional</v>
          </cell>
          <cell r="S4265">
            <v>-1125.71</v>
          </cell>
          <cell r="X4265" t="str">
            <v>Commissions - gross</v>
          </cell>
          <cell r="Y4265" t="str">
            <v>DENMARK</v>
          </cell>
        </row>
        <row r="4266">
          <cell r="L4266" t="str">
            <v>Non-proportional</v>
          </cell>
          <cell r="S4266">
            <v>5826.25</v>
          </cell>
          <cell r="X4266" t="str">
            <v>Commissions - gross</v>
          </cell>
          <cell r="Y4266" t="str">
            <v>SWITZERLAND</v>
          </cell>
        </row>
        <row r="4267">
          <cell r="L4267" t="str">
            <v>Non-proportional</v>
          </cell>
          <cell r="S4267">
            <v>-35300</v>
          </cell>
          <cell r="X4267" t="str">
            <v>Commissions - gross</v>
          </cell>
          <cell r="Y4267" t="str">
            <v>EUROPE</v>
          </cell>
        </row>
        <row r="4268">
          <cell r="L4268" t="str">
            <v>Non-proportional</v>
          </cell>
          <cell r="S4268">
            <v>44815.21</v>
          </cell>
          <cell r="X4268" t="str">
            <v>Commissions - gross</v>
          </cell>
          <cell r="Y4268" t="str">
            <v>FRANCE</v>
          </cell>
        </row>
        <row r="4269">
          <cell r="L4269" t="str">
            <v>Non-proportional</v>
          </cell>
          <cell r="S4269">
            <v>-51605.1</v>
          </cell>
          <cell r="X4269" t="str">
            <v>Commissions - gross</v>
          </cell>
          <cell r="Y4269" t="str">
            <v>UNITED KINGDOM</v>
          </cell>
        </row>
        <row r="4270">
          <cell r="L4270" t="str">
            <v>Non-proportional</v>
          </cell>
          <cell r="S4270">
            <v>51605.1</v>
          </cell>
          <cell r="X4270" t="str">
            <v>Commissions - gross</v>
          </cell>
          <cell r="Y4270" t="str">
            <v>UNITED KINGDOM</v>
          </cell>
        </row>
        <row r="4271">
          <cell r="L4271" t="str">
            <v>Non-proportional</v>
          </cell>
          <cell r="S4271">
            <v>-35446.85</v>
          </cell>
          <cell r="X4271" t="str">
            <v>Commissions - gross</v>
          </cell>
          <cell r="Y4271" t="str">
            <v>UNITED KINGDOM</v>
          </cell>
        </row>
        <row r="4272">
          <cell r="L4272" t="str">
            <v>Non-proportional</v>
          </cell>
          <cell r="S4272">
            <v>13782.87</v>
          </cell>
          <cell r="X4272" t="str">
            <v>Commissions - gross</v>
          </cell>
          <cell r="Y4272" t="str">
            <v>UNITED KINGDOM</v>
          </cell>
        </row>
        <row r="4273">
          <cell r="L4273" t="str">
            <v>Non-proportional</v>
          </cell>
          <cell r="S4273">
            <v>-13782.87</v>
          </cell>
          <cell r="X4273" t="str">
            <v>Commissions - gross</v>
          </cell>
          <cell r="Y4273" t="str">
            <v>UNITED KINGDOM</v>
          </cell>
        </row>
        <row r="4274">
          <cell r="L4274" t="str">
            <v>Non-proportional</v>
          </cell>
          <cell r="S4274">
            <v>7599.46</v>
          </cell>
          <cell r="X4274" t="str">
            <v>Commissions - gross</v>
          </cell>
          <cell r="Y4274" t="str">
            <v>SWITZERLAND</v>
          </cell>
        </row>
        <row r="4275">
          <cell r="L4275" t="str">
            <v>Non-proportional</v>
          </cell>
          <cell r="S4275">
            <v>-30284.89</v>
          </cell>
          <cell r="X4275" t="str">
            <v>Commissions - gross</v>
          </cell>
          <cell r="Y4275" t="str">
            <v>UNITED KINGDOM</v>
          </cell>
        </row>
        <row r="4276">
          <cell r="L4276" t="str">
            <v>Non-proportional</v>
          </cell>
          <cell r="S4276">
            <v>9190.48</v>
          </cell>
          <cell r="X4276" t="str">
            <v>Commissions - gross</v>
          </cell>
          <cell r="Y4276" t="str">
            <v>GERMANY</v>
          </cell>
        </row>
        <row r="4277">
          <cell r="L4277" t="str">
            <v>Non-proportional</v>
          </cell>
          <cell r="S4277">
            <v>3409.01</v>
          </cell>
          <cell r="X4277" t="str">
            <v>Commissions - gross</v>
          </cell>
          <cell r="Y4277" t="str">
            <v>SWITZERLAND</v>
          </cell>
        </row>
        <row r="4278">
          <cell r="L4278" t="str">
            <v>Non-proportional</v>
          </cell>
          <cell r="S4278">
            <v>8500.7199999999993</v>
          </cell>
          <cell r="X4278" t="str">
            <v>Commissions - gross</v>
          </cell>
          <cell r="Y4278" t="str">
            <v>NORWAY</v>
          </cell>
        </row>
        <row r="4279">
          <cell r="L4279" t="str">
            <v>Non-proportional</v>
          </cell>
          <cell r="S4279">
            <v>9235.4500000000007</v>
          </cell>
          <cell r="X4279" t="str">
            <v>Commissions - gross</v>
          </cell>
          <cell r="Y4279" t="str">
            <v>SWITZERLAND</v>
          </cell>
        </row>
        <row r="4280">
          <cell r="L4280" t="str">
            <v>Non-proportional</v>
          </cell>
          <cell r="S4280">
            <v>-3948</v>
          </cell>
          <cell r="X4280" t="str">
            <v>Commissions - gross</v>
          </cell>
          <cell r="Y4280" t="str">
            <v>AUSTRIA</v>
          </cell>
        </row>
        <row r="4281">
          <cell r="L4281" t="str">
            <v>Non-proportional</v>
          </cell>
          <cell r="S4281">
            <v>-29402.81</v>
          </cell>
          <cell r="X4281" t="str">
            <v>Commissions - gross</v>
          </cell>
          <cell r="Y4281" t="str">
            <v>UNITED KINGDOM</v>
          </cell>
        </row>
        <row r="4282">
          <cell r="L4282" t="str">
            <v>Non-proportional</v>
          </cell>
          <cell r="S4282">
            <v>2625</v>
          </cell>
          <cell r="X4282" t="str">
            <v>Commissions - gross</v>
          </cell>
          <cell r="Y4282" t="str">
            <v>SWITZERLAND</v>
          </cell>
        </row>
        <row r="4283">
          <cell r="L4283" t="str">
            <v>Non-proportional</v>
          </cell>
          <cell r="S4283">
            <v>-2881.9</v>
          </cell>
          <cell r="X4283" t="str">
            <v>Commissions - gross</v>
          </cell>
          <cell r="Y4283" t="str">
            <v>UNITED KINGDOM</v>
          </cell>
        </row>
        <row r="4284">
          <cell r="L4284" t="str">
            <v>Non-proportional</v>
          </cell>
          <cell r="S4284">
            <v>5327.74</v>
          </cell>
          <cell r="X4284" t="str">
            <v>Commissions - gross</v>
          </cell>
          <cell r="Y4284" t="str">
            <v>GERMANY</v>
          </cell>
        </row>
        <row r="4285">
          <cell r="L4285" t="str">
            <v>Non-proportional</v>
          </cell>
          <cell r="S4285">
            <v>-861.43</v>
          </cell>
          <cell r="X4285" t="str">
            <v>Commissions - gross</v>
          </cell>
          <cell r="Y4285" t="str">
            <v>UNITED KINGDOM</v>
          </cell>
        </row>
        <row r="4286">
          <cell r="L4286" t="str">
            <v>Non-proportional</v>
          </cell>
          <cell r="S4286">
            <v>-19460.41</v>
          </cell>
          <cell r="X4286" t="str">
            <v>Commissions - gross</v>
          </cell>
          <cell r="Y4286" t="str">
            <v>SWITZERLAND</v>
          </cell>
        </row>
        <row r="4287">
          <cell r="L4287" t="str">
            <v>Non-proportional</v>
          </cell>
          <cell r="S4287">
            <v>-7599.46</v>
          </cell>
          <cell r="X4287" t="str">
            <v>Commissions - gross</v>
          </cell>
          <cell r="Y4287" t="str">
            <v>SWITZERLAND</v>
          </cell>
        </row>
        <row r="4288">
          <cell r="L4288" t="str">
            <v>Non-proportional</v>
          </cell>
          <cell r="S4288">
            <v>-39970.43</v>
          </cell>
          <cell r="X4288" t="str">
            <v>Commissions - gross</v>
          </cell>
          <cell r="Y4288" t="str">
            <v>UNITED KINGDOM</v>
          </cell>
        </row>
        <row r="4289">
          <cell r="L4289" t="str">
            <v>Non-proportional</v>
          </cell>
          <cell r="S4289">
            <v>4879.4799999999996</v>
          </cell>
          <cell r="X4289" t="str">
            <v>Commissions - gross</v>
          </cell>
          <cell r="Y4289" t="str">
            <v>SWITZERLAND</v>
          </cell>
        </row>
        <row r="4290">
          <cell r="L4290" t="str">
            <v>Non-proportional</v>
          </cell>
          <cell r="S4290">
            <v>-10215</v>
          </cell>
          <cell r="X4290" t="str">
            <v>Commissions - gross</v>
          </cell>
          <cell r="Y4290" t="str">
            <v>GERMANY</v>
          </cell>
        </row>
        <row r="4291">
          <cell r="L4291" t="str">
            <v>Non-proportional</v>
          </cell>
          <cell r="S4291">
            <v>-25891.8</v>
          </cell>
          <cell r="X4291" t="str">
            <v>Commissions - gross</v>
          </cell>
          <cell r="Y4291" t="str">
            <v>UNITED KINGDOM</v>
          </cell>
        </row>
        <row r="4292">
          <cell r="L4292" t="str">
            <v>Non-proportional</v>
          </cell>
          <cell r="S4292">
            <v>-19460.41</v>
          </cell>
          <cell r="X4292" t="str">
            <v>Commissions - gross</v>
          </cell>
          <cell r="Y4292" t="str">
            <v>SWITZERLAND</v>
          </cell>
        </row>
        <row r="4293">
          <cell r="L4293" t="str">
            <v>Non-proportional</v>
          </cell>
          <cell r="S4293">
            <v>4221.92</v>
          </cell>
          <cell r="X4293" t="str">
            <v>Commissions - gross</v>
          </cell>
          <cell r="Y4293" t="str">
            <v>SWITZERLAND</v>
          </cell>
        </row>
        <row r="4294">
          <cell r="L4294" t="str">
            <v>Non-proportional</v>
          </cell>
          <cell r="S4294">
            <v>35446.85</v>
          </cell>
          <cell r="X4294" t="str">
            <v>Commissions - gross</v>
          </cell>
          <cell r="Y4294" t="str">
            <v>UNITED KINGDOM</v>
          </cell>
        </row>
        <row r="4295">
          <cell r="L4295" t="str">
            <v>Non-proportional</v>
          </cell>
          <cell r="S4295">
            <v>-21525</v>
          </cell>
          <cell r="X4295" t="str">
            <v>Commissions - gross</v>
          </cell>
          <cell r="Y4295" t="str">
            <v>AUSTRIA</v>
          </cell>
        </row>
        <row r="4296">
          <cell r="L4296" t="str">
            <v>Non-proportional</v>
          </cell>
          <cell r="S4296">
            <v>21525</v>
          </cell>
          <cell r="X4296" t="str">
            <v>Commissions - gross</v>
          </cell>
          <cell r="Y4296" t="str">
            <v>AUSTRIA</v>
          </cell>
        </row>
        <row r="4297">
          <cell r="L4297" t="str">
            <v>Non-proportional</v>
          </cell>
          <cell r="S4297">
            <v>24910.34</v>
          </cell>
          <cell r="X4297" t="str">
            <v>Commissions - gross</v>
          </cell>
          <cell r="Y4297" t="str">
            <v>EIRE</v>
          </cell>
        </row>
        <row r="4298">
          <cell r="L4298" t="str">
            <v>Non-proportional</v>
          </cell>
          <cell r="S4298">
            <v>9049.59</v>
          </cell>
          <cell r="X4298" t="str">
            <v>Commissions - gross</v>
          </cell>
          <cell r="Y4298" t="str">
            <v>NORWAY</v>
          </cell>
        </row>
        <row r="4299">
          <cell r="L4299" t="str">
            <v>Non-proportional</v>
          </cell>
          <cell r="S4299">
            <v>-780337.57</v>
          </cell>
          <cell r="X4299" t="str">
            <v>Commissions - gross</v>
          </cell>
          <cell r="Y4299" t="str">
            <v>UNITED KINGDOM</v>
          </cell>
        </row>
        <row r="4300">
          <cell r="L4300" t="str">
            <v>Non-proportional</v>
          </cell>
          <cell r="S4300">
            <v>4160</v>
          </cell>
          <cell r="X4300" t="str">
            <v>Commissions - gross</v>
          </cell>
          <cell r="Y4300" t="str">
            <v>GERMANY</v>
          </cell>
        </row>
        <row r="4301">
          <cell r="L4301" t="str">
            <v>Non-proportional</v>
          </cell>
          <cell r="S4301">
            <v>17811.23</v>
          </cell>
          <cell r="X4301" t="str">
            <v>Commissions - gross</v>
          </cell>
          <cell r="Y4301" t="str">
            <v>SWITZERLAND</v>
          </cell>
        </row>
        <row r="4302">
          <cell r="L4302" t="str">
            <v>Non-proportional</v>
          </cell>
          <cell r="S4302">
            <v>3995.81</v>
          </cell>
          <cell r="X4302" t="str">
            <v>Commissions - gross</v>
          </cell>
          <cell r="Y4302" t="str">
            <v>SWITZERLAND</v>
          </cell>
        </row>
        <row r="4303">
          <cell r="L4303" t="str">
            <v>Non-proportional</v>
          </cell>
          <cell r="S4303">
            <v>7286.89</v>
          </cell>
          <cell r="X4303" t="str">
            <v>Commissions - gross</v>
          </cell>
          <cell r="Y4303" t="str">
            <v>DENMARK</v>
          </cell>
        </row>
        <row r="4304">
          <cell r="L4304" t="str">
            <v>Non-proportional</v>
          </cell>
          <cell r="S4304">
            <v>487.35</v>
          </cell>
          <cell r="X4304" t="str">
            <v>Commissions - gross</v>
          </cell>
          <cell r="Y4304" t="str">
            <v>ITALY</v>
          </cell>
        </row>
        <row r="4305">
          <cell r="L4305" t="str">
            <v>Non-proportional</v>
          </cell>
          <cell r="S4305">
            <v>13523.34</v>
          </cell>
          <cell r="X4305" t="str">
            <v>Commissions - gross</v>
          </cell>
          <cell r="Y4305" t="str">
            <v>SWITZERLAND</v>
          </cell>
        </row>
        <row r="4306">
          <cell r="L4306" t="str">
            <v>Non-proportional</v>
          </cell>
          <cell r="S4306">
            <v>24848.57</v>
          </cell>
          <cell r="X4306" t="str">
            <v>Commissions - gross</v>
          </cell>
          <cell r="Y4306" t="str">
            <v>EUROPE</v>
          </cell>
        </row>
        <row r="4307">
          <cell r="L4307" t="str">
            <v>Non-proportional</v>
          </cell>
          <cell r="S4307">
            <v>-5148.72</v>
          </cell>
          <cell r="X4307" t="str">
            <v>Commissions - gross</v>
          </cell>
          <cell r="Y4307" t="str">
            <v>SWITZERLAND</v>
          </cell>
        </row>
        <row r="4308">
          <cell r="L4308" t="str">
            <v>Non-proportional</v>
          </cell>
          <cell r="S4308">
            <v>780337.57</v>
          </cell>
          <cell r="X4308" t="str">
            <v>Commissions - gross</v>
          </cell>
          <cell r="Y4308" t="str">
            <v>UNITED KINGDOM</v>
          </cell>
        </row>
        <row r="4309">
          <cell r="L4309" t="str">
            <v>Non-proportional</v>
          </cell>
          <cell r="S4309">
            <v>-30.01</v>
          </cell>
          <cell r="X4309" t="str">
            <v>Commissions - gross</v>
          </cell>
          <cell r="Y4309" t="str">
            <v>GERMANY</v>
          </cell>
        </row>
        <row r="4310">
          <cell r="L4310" t="str">
            <v>Non-proportional</v>
          </cell>
          <cell r="S4310">
            <v>10799.86</v>
          </cell>
          <cell r="X4310" t="str">
            <v>Commissions - gross</v>
          </cell>
          <cell r="Y4310" t="str">
            <v>GERMANY</v>
          </cell>
        </row>
        <row r="4311">
          <cell r="L4311" t="str">
            <v>Non-proportional</v>
          </cell>
          <cell r="S4311">
            <v>-5085.57</v>
          </cell>
          <cell r="X4311" t="str">
            <v>Commissions - gross</v>
          </cell>
          <cell r="Y4311" t="str">
            <v>SWITZERLAND</v>
          </cell>
        </row>
        <row r="4312">
          <cell r="L4312" t="str">
            <v>Non-proportional</v>
          </cell>
          <cell r="S4312">
            <v>18395.03</v>
          </cell>
          <cell r="X4312" t="str">
            <v>Commissions - gross</v>
          </cell>
          <cell r="Y4312" t="str">
            <v>ITALY</v>
          </cell>
        </row>
        <row r="4313">
          <cell r="L4313" t="str">
            <v>Non-proportional</v>
          </cell>
          <cell r="S4313">
            <v>-324081.89</v>
          </cell>
          <cell r="X4313" t="str">
            <v>Commissions - gross</v>
          </cell>
          <cell r="Y4313" t="str">
            <v>UNITED KINGDOM</v>
          </cell>
        </row>
        <row r="4314">
          <cell r="L4314" t="str">
            <v>Non-proportional</v>
          </cell>
          <cell r="S4314">
            <v>-48240.71</v>
          </cell>
          <cell r="X4314" t="str">
            <v>Commissions - gross</v>
          </cell>
          <cell r="Y4314" t="str">
            <v>SWITZERLAND</v>
          </cell>
        </row>
        <row r="4315">
          <cell r="L4315" t="str">
            <v>Non-proportional</v>
          </cell>
          <cell r="S4315">
            <v>282.7</v>
          </cell>
          <cell r="X4315" t="str">
            <v>Commissions - gross</v>
          </cell>
          <cell r="Y4315" t="str">
            <v>FRANCE</v>
          </cell>
        </row>
        <row r="4316">
          <cell r="L4316" t="str">
            <v>Non-proportional</v>
          </cell>
          <cell r="S4316">
            <v>1681.99</v>
          </cell>
          <cell r="X4316" t="str">
            <v>Commissions - gross</v>
          </cell>
          <cell r="Y4316" t="str">
            <v>GERMANY</v>
          </cell>
        </row>
        <row r="4317">
          <cell r="L4317" t="str">
            <v>Non-proportional</v>
          </cell>
          <cell r="S4317">
            <v>8768.32</v>
          </cell>
          <cell r="X4317" t="str">
            <v>Commissions - gross</v>
          </cell>
          <cell r="Y4317" t="str">
            <v>FAROE ISLANDS</v>
          </cell>
        </row>
        <row r="4318">
          <cell r="L4318" t="str">
            <v>Non-proportional</v>
          </cell>
          <cell r="S4318">
            <v>-69366.27</v>
          </cell>
          <cell r="X4318" t="str">
            <v>Commissions - gross</v>
          </cell>
          <cell r="Y4318" t="str">
            <v>UNITED KINGDOM</v>
          </cell>
        </row>
        <row r="4319">
          <cell r="L4319" t="str">
            <v>Non-proportional</v>
          </cell>
          <cell r="S4319">
            <v>-21774.68</v>
          </cell>
          <cell r="X4319" t="str">
            <v>Commissions - gross</v>
          </cell>
          <cell r="Y4319" t="str">
            <v>UNITED KINGDOM</v>
          </cell>
        </row>
        <row r="4320">
          <cell r="L4320" t="str">
            <v>Non-proportional</v>
          </cell>
          <cell r="S4320">
            <v>5327.74</v>
          </cell>
          <cell r="X4320" t="str">
            <v>Commissions - gross</v>
          </cell>
          <cell r="Y4320" t="str">
            <v>SWITZERLAND</v>
          </cell>
        </row>
        <row r="4321">
          <cell r="L4321" t="str">
            <v>Non-proportional</v>
          </cell>
          <cell r="S4321">
            <v>-7440</v>
          </cell>
          <cell r="X4321" t="str">
            <v>Commissions - gross</v>
          </cell>
          <cell r="Y4321" t="str">
            <v>SWITZERLAND</v>
          </cell>
        </row>
        <row r="4322">
          <cell r="L4322" t="str">
            <v>Non-proportional</v>
          </cell>
          <cell r="S4322">
            <v>7700</v>
          </cell>
          <cell r="X4322" t="str">
            <v>Commissions - gross</v>
          </cell>
          <cell r="Y4322" t="str">
            <v>GERMANY</v>
          </cell>
        </row>
        <row r="4323">
          <cell r="L4323" t="str">
            <v>Non-proportional</v>
          </cell>
          <cell r="S4323">
            <v>-1424.9</v>
          </cell>
          <cell r="X4323" t="str">
            <v>Commissions - gross</v>
          </cell>
          <cell r="Y4323" t="str">
            <v>SWITZERLAND</v>
          </cell>
        </row>
        <row r="4324">
          <cell r="L4324" t="str">
            <v>Non-proportional</v>
          </cell>
          <cell r="S4324">
            <v>4260.3100000000004</v>
          </cell>
          <cell r="X4324" t="str">
            <v>Commissions - gross</v>
          </cell>
          <cell r="Y4324" t="str">
            <v>JAPAN</v>
          </cell>
        </row>
        <row r="4325">
          <cell r="L4325" t="str">
            <v>Non-proportional</v>
          </cell>
          <cell r="S4325">
            <v>10215</v>
          </cell>
          <cell r="X4325" t="str">
            <v>Commissions - gross</v>
          </cell>
          <cell r="Y4325" t="str">
            <v>GERMANY</v>
          </cell>
        </row>
        <row r="4326">
          <cell r="L4326" t="str">
            <v>Non-proportional</v>
          </cell>
          <cell r="S4326">
            <v>4050</v>
          </cell>
          <cell r="X4326" t="str">
            <v>Commissions - gross</v>
          </cell>
          <cell r="Y4326" t="str">
            <v>GERMANY</v>
          </cell>
        </row>
        <row r="4327">
          <cell r="L4327" t="str">
            <v>Non-proportional</v>
          </cell>
          <cell r="S4327">
            <v>3700.07</v>
          </cell>
          <cell r="X4327" t="str">
            <v>Commissions - gross</v>
          </cell>
          <cell r="Y4327" t="str">
            <v>EUROPE</v>
          </cell>
        </row>
        <row r="4328">
          <cell r="L4328" t="str">
            <v>Non-proportional</v>
          </cell>
          <cell r="S4328">
            <v>144994.1</v>
          </cell>
          <cell r="X4328" t="str">
            <v>Commissions - gross</v>
          </cell>
          <cell r="Y4328" t="str">
            <v>UNITED KINGDOM</v>
          </cell>
        </row>
        <row r="4329">
          <cell r="L4329" t="str">
            <v>Non-proportional</v>
          </cell>
          <cell r="S4329">
            <v>-3495</v>
          </cell>
          <cell r="X4329" t="str">
            <v>Commissions - gross</v>
          </cell>
          <cell r="Y4329" t="str">
            <v>EUROPE</v>
          </cell>
        </row>
        <row r="4330">
          <cell r="L4330" t="str">
            <v>Non-proportional</v>
          </cell>
          <cell r="S4330">
            <v>-7440</v>
          </cell>
          <cell r="X4330" t="str">
            <v>Commissions - gross</v>
          </cell>
          <cell r="Y4330" t="str">
            <v>GERMANY</v>
          </cell>
        </row>
        <row r="4331">
          <cell r="L4331" t="str">
            <v>Non-proportional</v>
          </cell>
          <cell r="S4331">
            <v>-17228.580000000002</v>
          </cell>
          <cell r="X4331" t="str">
            <v>Commissions - gross</v>
          </cell>
          <cell r="Y4331" t="str">
            <v>UNITED KINGDOM</v>
          </cell>
        </row>
        <row r="4332">
          <cell r="L4332" t="str">
            <v>Non-proportional</v>
          </cell>
          <cell r="S4332">
            <v>38416.5</v>
          </cell>
          <cell r="X4332" t="str">
            <v>Commissions - gross</v>
          </cell>
          <cell r="Y4332" t="str">
            <v>FRANCE</v>
          </cell>
        </row>
        <row r="4333">
          <cell r="L4333" t="str">
            <v>Non-proportional</v>
          </cell>
          <cell r="S4333">
            <v>-3409.01</v>
          </cell>
          <cell r="X4333" t="str">
            <v>Commissions - gross</v>
          </cell>
          <cell r="Y4333" t="str">
            <v>SWITZERLAND</v>
          </cell>
        </row>
        <row r="4334">
          <cell r="L4334" t="str">
            <v>Non-proportional</v>
          </cell>
          <cell r="S4334">
            <v>3070.63</v>
          </cell>
          <cell r="X4334" t="str">
            <v>Commissions - gross</v>
          </cell>
          <cell r="Y4334" t="str">
            <v>FRANCE</v>
          </cell>
        </row>
        <row r="4335">
          <cell r="L4335" t="str">
            <v>Non-proportional</v>
          </cell>
          <cell r="S4335">
            <v>-9300</v>
          </cell>
          <cell r="X4335" t="str">
            <v>Commissions - gross</v>
          </cell>
          <cell r="Y4335" t="str">
            <v>GERMANY</v>
          </cell>
        </row>
        <row r="4336">
          <cell r="L4336" t="str">
            <v>Non-proportional</v>
          </cell>
          <cell r="S4336">
            <v>8397.6</v>
          </cell>
          <cell r="X4336" t="str">
            <v>Commissions - gross</v>
          </cell>
          <cell r="Y4336" t="str">
            <v>AUSTRIA</v>
          </cell>
        </row>
        <row r="4337">
          <cell r="L4337" t="str">
            <v>Non-proportional</v>
          </cell>
          <cell r="S4337">
            <v>102429.83</v>
          </cell>
          <cell r="X4337" t="str">
            <v>Commissions - gross</v>
          </cell>
          <cell r="Y4337" t="str">
            <v>UNITED KINGDOM</v>
          </cell>
        </row>
        <row r="4338">
          <cell r="L4338" t="str">
            <v>Non-proportional</v>
          </cell>
          <cell r="S4338">
            <v>7575.1</v>
          </cell>
          <cell r="X4338" t="str">
            <v>Commissions - gross</v>
          </cell>
          <cell r="Y4338" t="str">
            <v>GERMANY</v>
          </cell>
        </row>
        <row r="4339">
          <cell r="L4339" t="str">
            <v>Non-proportional</v>
          </cell>
          <cell r="S4339">
            <v>49962.89</v>
          </cell>
          <cell r="X4339" t="str">
            <v>Commissions - gross</v>
          </cell>
          <cell r="Y4339" t="str">
            <v>UNITED KINGDOM</v>
          </cell>
        </row>
        <row r="4340">
          <cell r="L4340" t="str">
            <v>Non-proportional</v>
          </cell>
          <cell r="S4340">
            <v>-12713.93</v>
          </cell>
          <cell r="X4340" t="str">
            <v>Commissions - gross</v>
          </cell>
          <cell r="Y4340" t="str">
            <v>SWITZERLAND</v>
          </cell>
        </row>
        <row r="4341">
          <cell r="L4341" t="str">
            <v>Non-proportional</v>
          </cell>
          <cell r="S4341">
            <v>-5327.74</v>
          </cell>
          <cell r="X4341" t="str">
            <v>Commissions - gross</v>
          </cell>
          <cell r="Y4341" t="str">
            <v>SWITZERLAND</v>
          </cell>
        </row>
        <row r="4342">
          <cell r="L4342" t="str">
            <v>Non-proportional</v>
          </cell>
          <cell r="S4342">
            <v>17639.46</v>
          </cell>
          <cell r="X4342" t="str">
            <v>Commissions - gross</v>
          </cell>
          <cell r="Y4342" t="str">
            <v>DENMARK</v>
          </cell>
        </row>
        <row r="4343">
          <cell r="L4343" t="str">
            <v>Non-proportional</v>
          </cell>
          <cell r="S4343">
            <v>9687.4</v>
          </cell>
          <cell r="X4343" t="str">
            <v>Commissions - gross</v>
          </cell>
          <cell r="Y4343" t="str">
            <v>GERMANY</v>
          </cell>
        </row>
        <row r="4344">
          <cell r="L4344" t="str">
            <v>Non-proportional</v>
          </cell>
          <cell r="S4344">
            <v>19032.689999999999</v>
          </cell>
          <cell r="X4344" t="str">
            <v>Commissions - gross</v>
          </cell>
          <cell r="Y4344" t="str">
            <v>UNITED KINGDOM</v>
          </cell>
        </row>
        <row r="4345">
          <cell r="L4345" t="str">
            <v>Non-proportional</v>
          </cell>
          <cell r="S4345">
            <v>9468.2199999999993</v>
          </cell>
          <cell r="X4345" t="str">
            <v>Commissions - gross</v>
          </cell>
          <cell r="Y4345" t="str">
            <v>DENMARK</v>
          </cell>
        </row>
        <row r="4346">
          <cell r="L4346" t="str">
            <v>Non-proportional</v>
          </cell>
          <cell r="S4346">
            <v>10436.25</v>
          </cell>
          <cell r="X4346" t="str">
            <v>Commissions - gross</v>
          </cell>
          <cell r="Y4346" t="str">
            <v>GERMANY</v>
          </cell>
        </row>
        <row r="4347">
          <cell r="L4347" t="str">
            <v>Non-proportional</v>
          </cell>
          <cell r="S4347">
            <v>9500.1299999999992</v>
          </cell>
          <cell r="X4347" t="str">
            <v>Commissions - gross</v>
          </cell>
          <cell r="Y4347" t="str">
            <v>GERMANY</v>
          </cell>
        </row>
        <row r="4348">
          <cell r="L4348" t="str">
            <v>Non-proportional</v>
          </cell>
          <cell r="S4348">
            <v>6790</v>
          </cell>
          <cell r="X4348" t="str">
            <v>Commissions - gross</v>
          </cell>
          <cell r="Y4348" t="str">
            <v>AUSTRIA</v>
          </cell>
        </row>
        <row r="4349">
          <cell r="L4349" t="str">
            <v>Non-proportional</v>
          </cell>
          <cell r="S4349">
            <v>-332504.34999999998</v>
          </cell>
          <cell r="X4349" t="str">
            <v>Commissions - gross</v>
          </cell>
          <cell r="Y4349" t="str">
            <v>UNITED KINGDOM</v>
          </cell>
        </row>
        <row r="4350">
          <cell r="L4350" t="str">
            <v>Non-proportional</v>
          </cell>
          <cell r="S4350">
            <v>-20155.73</v>
          </cell>
          <cell r="X4350" t="str">
            <v>Commissions - gross</v>
          </cell>
          <cell r="Y4350" t="str">
            <v>SWITZERLAND</v>
          </cell>
        </row>
        <row r="4351">
          <cell r="L4351" t="str">
            <v>Non-proportional</v>
          </cell>
          <cell r="S4351">
            <v>-11246.62</v>
          </cell>
          <cell r="X4351" t="str">
            <v>Commissions - gross</v>
          </cell>
          <cell r="Y4351" t="str">
            <v>UNITED KINGDOM</v>
          </cell>
        </row>
        <row r="4352">
          <cell r="L4352" t="str">
            <v>Non-proportional</v>
          </cell>
          <cell r="S4352">
            <v>-5400</v>
          </cell>
          <cell r="X4352" t="str">
            <v>Commissions - gross</v>
          </cell>
          <cell r="Y4352" t="str">
            <v>GERMANY</v>
          </cell>
        </row>
        <row r="4353">
          <cell r="L4353" t="str">
            <v>Non-proportional</v>
          </cell>
          <cell r="S4353">
            <v>39970.43</v>
          </cell>
          <cell r="X4353" t="str">
            <v>Commissions - gross</v>
          </cell>
          <cell r="Y4353" t="str">
            <v>UNITED KINGDOM</v>
          </cell>
        </row>
        <row r="4354">
          <cell r="L4354" t="str">
            <v>Non-proportional</v>
          </cell>
          <cell r="S4354">
            <v>16810.37</v>
          </cell>
          <cell r="X4354" t="str">
            <v>Commissions - gross</v>
          </cell>
          <cell r="Y4354" t="str">
            <v>GERMANY</v>
          </cell>
        </row>
        <row r="4355">
          <cell r="L4355" t="str">
            <v>Non-proportional</v>
          </cell>
          <cell r="S4355">
            <v>15038.06</v>
          </cell>
          <cell r="X4355" t="str">
            <v>Commissions - gross</v>
          </cell>
          <cell r="Y4355" t="str">
            <v>UNITED KINGDOM</v>
          </cell>
        </row>
        <row r="4356">
          <cell r="L4356" t="str">
            <v>Non-proportional</v>
          </cell>
          <cell r="S4356">
            <v>14741.43</v>
          </cell>
          <cell r="X4356" t="str">
            <v>Commissions - gross</v>
          </cell>
          <cell r="Y4356" t="str">
            <v>DENMARK</v>
          </cell>
        </row>
        <row r="4357">
          <cell r="L4357" t="str">
            <v>Non-proportional</v>
          </cell>
          <cell r="S4357">
            <v>-17968.5</v>
          </cell>
          <cell r="X4357" t="str">
            <v>Commissions - gross</v>
          </cell>
          <cell r="Y4357" t="str">
            <v>ITALY</v>
          </cell>
        </row>
        <row r="4358">
          <cell r="L4358" t="str">
            <v>Non-proportional</v>
          </cell>
          <cell r="S4358">
            <v>3915</v>
          </cell>
          <cell r="X4358" t="str">
            <v>Commissions - gross</v>
          </cell>
          <cell r="Y4358" t="str">
            <v>ROMANIA</v>
          </cell>
        </row>
        <row r="4359">
          <cell r="L4359" t="str">
            <v>Non-proportional</v>
          </cell>
          <cell r="S4359">
            <v>-17401.599999999999</v>
          </cell>
          <cell r="X4359" t="str">
            <v>Commissions - gross</v>
          </cell>
          <cell r="Y4359" t="str">
            <v>EUROPE</v>
          </cell>
        </row>
        <row r="4360">
          <cell r="L4360" t="str">
            <v>Non-proportional</v>
          </cell>
          <cell r="S4360">
            <v>-49840.43</v>
          </cell>
          <cell r="X4360" t="str">
            <v>Commissions - gross</v>
          </cell>
          <cell r="Y4360" t="str">
            <v>UNITED KINGDOM</v>
          </cell>
        </row>
        <row r="4361">
          <cell r="L4361" t="str">
            <v>Non-proportional</v>
          </cell>
          <cell r="S4361">
            <v>-24227.79</v>
          </cell>
          <cell r="X4361" t="str">
            <v>Commissions - gross</v>
          </cell>
          <cell r="Y4361" t="str">
            <v>UNITED KINGDOM</v>
          </cell>
        </row>
        <row r="4362">
          <cell r="L4362" t="str">
            <v>Non-proportional</v>
          </cell>
          <cell r="S4362">
            <v>14554.39</v>
          </cell>
          <cell r="X4362" t="str">
            <v>Commissions - gross</v>
          </cell>
          <cell r="Y4362" t="str">
            <v>UNITED KINGDOM</v>
          </cell>
        </row>
        <row r="4363">
          <cell r="L4363" t="str">
            <v>Non-proportional</v>
          </cell>
          <cell r="S4363">
            <v>2829</v>
          </cell>
          <cell r="X4363" t="str">
            <v>Commissions - gross</v>
          </cell>
          <cell r="Y4363" t="str">
            <v>GERMANY</v>
          </cell>
        </row>
        <row r="4364">
          <cell r="L4364" t="str">
            <v>Non-proportional</v>
          </cell>
          <cell r="S4364">
            <v>210.21</v>
          </cell>
          <cell r="X4364" t="str">
            <v>Commissions - gross</v>
          </cell>
          <cell r="Y4364" t="str">
            <v>ITALY</v>
          </cell>
        </row>
        <row r="4365">
          <cell r="L4365" t="str">
            <v>Non-proportional</v>
          </cell>
          <cell r="S4365">
            <v>7475</v>
          </cell>
          <cell r="X4365" t="str">
            <v>Commissions - gross</v>
          </cell>
          <cell r="Y4365" t="str">
            <v>GERMANY</v>
          </cell>
        </row>
        <row r="4366">
          <cell r="L4366" t="str">
            <v>Non-proportional</v>
          </cell>
          <cell r="S4366">
            <v>30284.89</v>
          </cell>
          <cell r="X4366" t="str">
            <v>Commissions - gross</v>
          </cell>
          <cell r="Y4366" t="str">
            <v>UNITED KINGDOM</v>
          </cell>
        </row>
        <row r="4367">
          <cell r="L4367" t="str">
            <v>Non-proportional</v>
          </cell>
          <cell r="S4367">
            <v>4425</v>
          </cell>
          <cell r="X4367" t="str">
            <v>Commissions - gross</v>
          </cell>
          <cell r="Y4367" t="str">
            <v>GERMANY</v>
          </cell>
        </row>
        <row r="4368">
          <cell r="L4368" t="str">
            <v>Non-proportional</v>
          </cell>
          <cell r="S4368">
            <v>22447.4</v>
          </cell>
          <cell r="X4368" t="str">
            <v>Commissions - gross</v>
          </cell>
          <cell r="Y4368" t="str">
            <v>GERMANY</v>
          </cell>
        </row>
        <row r="4369">
          <cell r="L4369" t="str">
            <v>Non-proportional</v>
          </cell>
          <cell r="S4369">
            <v>13169.8</v>
          </cell>
          <cell r="X4369" t="str">
            <v>Commissions - gross</v>
          </cell>
          <cell r="Y4369" t="str">
            <v>GERMANY</v>
          </cell>
        </row>
        <row r="4370">
          <cell r="L4370" t="str">
            <v>Non-proportional</v>
          </cell>
          <cell r="S4370">
            <v>-144994.1</v>
          </cell>
          <cell r="X4370" t="str">
            <v>Commissions - gross</v>
          </cell>
          <cell r="Y4370" t="str">
            <v>UNITED KINGDOM</v>
          </cell>
        </row>
        <row r="4371">
          <cell r="L4371" t="str">
            <v>Non-proportional</v>
          </cell>
          <cell r="S4371">
            <v>7602.16</v>
          </cell>
          <cell r="X4371" t="str">
            <v>Commissions - gross</v>
          </cell>
          <cell r="Y4371" t="str">
            <v>GERMANY</v>
          </cell>
        </row>
        <row r="4372">
          <cell r="L4372" t="str">
            <v>Non-proportional</v>
          </cell>
          <cell r="S4372">
            <v>-10425.799999999999</v>
          </cell>
          <cell r="X4372" t="str">
            <v>Commissions - gross</v>
          </cell>
          <cell r="Y4372" t="str">
            <v>FRANCE</v>
          </cell>
        </row>
        <row r="4373">
          <cell r="L4373" t="str">
            <v>Non-proportional</v>
          </cell>
          <cell r="S4373">
            <v>12645.36</v>
          </cell>
          <cell r="X4373" t="str">
            <v>Commissions - gross</v>
          </cell>
          <cell r="Y4373" t="str">
            <v>GERMANY</v>
          </cell>
        </row>
        <row r="4374">
          <cell r="L4374" t="str">
            <v>Non-proportional</v>
          </cell>
          <cell r="S4374">
            <v>96739.28</v>
          </cell>
          <cell r="X4374" t="str">
            <v>Commissions - gross</v>
          </cell>
          <cell r="Y4374" t="str">
            <v>UNITED KINGDOM</v>
          </cell>
        </row>
        <row r="4375">
          <cell r="L4375" t="str">
            <v>Non-proportional</v>
          </cell>
          <cell r="S4375">
            <v>-32343.09</v>
          </cell>
          <cell r="X4375" t="str">
            <v>Commissions - gross</v>
          </cell>
          <cell r="Y4375" t="str">
            <v>UNITED KINGDOM</v>
          </cell>
        </row>
        <row r="4376">
          <cell r="L4376" t="str">
            <v>Non-proportional</v>
          </cell>
          <cell r="S4376">
            <v>41552.01</v>
          </cell>
          <cell r="X4376" t="str">
            <v>Commissions - gross</v>
          </cell>
          <cell r="Y4376" t="str">
            <v>UNITED KINGDOM</v>
          </cell>
        </row>
        <row r="4377">
          <cell r="L4377" t="str">
            <v>Non-proportional</v>
          </cell>
          <cell r="S4377">
            <v>-17811.23</v>
          </cell>
          <cell r="X4377" t="str">
            <v>Commissions - gross</v>
          </cell>
          <cell r="Y4377" t="str">
            <v>SWITZERLAND</v>
          </cell>
        </row>
        <row r="4378">
          <cell r="L4378" t="str">
            <v>Non-proportional</v>
          </cell>
          <cell r="S4378">
            <v>32343.09</v>
          </cell>
          <cell r="X4378" t="str">
            <v>Commissions - gross</v>
          </cell>
          <cell r="Y4378" t="str">
            <v>UNITED KINGDOM</v>
          </cell>
        </row>
        <row r="4379">
          <cell r="L4379" t="str">
            <v>Non-proportional</v>
          </cell>
          <cell r="S4379">
            <v>6445.03</v>
          </cell>
          <cell r="X4379" t="str">
            <v>Commissions - gross</v>
          </cell>
          <cell r="Y4379" t="str">
            <v>DENMARK</v>
          </cell>
        </row>
        <row r="4380">
          <cell r="L4380" t="str">
            <v>Non-proportional</v>
          </cell>
          <cell r="S4380">
            <v>8500.26</v>
          </cell>
          <cell r="X4380" t="str">
            <v>Commissions - gross</v>
          </cell>
          <cell r="Y4380" t="str">
            <v>UNITED KINGDOM</v>
          </cell>
        </row>
        <row r="4381">
          <cell r="L4381" t="str">
            <v>Non-proportional</v>
          </cell>
          <cell r="S4381">
            <v>-6311.78</v>
          </cell>
          <cell r="X4381" t="str">
            <v>Commissions - gross</v>
          </cell>
          <cell r="Y4381" t="str">
            <v>NORWAY</v>
          </cell>
        </row>
        <row r="4382">
          <cell r="L4382" t="str">
            <v>Non-proportional</v>
          </cell>
          <cell r="S4382">
            <v>5487.76</v>
          </cell>
          <cell r="X4382" t="str">
            <v>Commissions - gross</v>
          </cell>
          <cell r="Y4382" t="str">
            <v>EUROPE</v>
          </cell>
        </row>
        <row r="4383">
          <cell r="L4383" t="str">
            <v>Non-proportional</v>
          </cell>
          <cell r="S4383">
            <v>17805.57</v>
          </cell>
          <cell r="X4383" t="str">
            <v>Commissions - gross</v>
          </cell>
          <cell r="Y4383" t="str">
            <v>SWITZERLAND</v>
          </cell>
        </row>
        <row r="4384">
          <cell r="L4384" t="str">
            <v>Non-proportional</v>
          </cell>
          <cell r="S4384">
            <v>10954.76</v>
          </cell>
          <cell r="X4384" t="str">
            <v>Commissions - gross</v>
          </cell>
          <cell r="Y4384" t="str">
            <v>GERMANY</v>
          </cell>
        </row>
        <row r="4385">
          <cell r="L4385" t="str">
            <v>Non-proportional</v>
          </cell>
          <cell r="S4385">
            <v>1959.97</v>
          </cell>
          <cell r="X4385" t="str">
            <v>Commissions - gross</v>
          </cell>
          <cell r="Y4385" t="str">
            <v>DENMARK</v>
          </cell>
        </row>
        <row r="4386">
          <cell r="L4386" t="str">
            <v>Non-proportional</v>
          </cell>
          <cell r="S4386">
            <v>-415630.69</v>
          </cell>
          <cell r="X4386" t="str">
            <v>Commissions - gross</v>
          </cell>
          <cell r="Y4386" t="str">
            <v>UNITED KINGDOM</v>
          </cell>
        </row>
        <row r="4387">
          <cell r="L4387" t="str">
            <v>Non-proportional</v>
          </cell>
          <cell r="S4387">
            <v>13782.87</v>
          </cell>
          <cell r="X4387" t="str">
            <v>Commissions - gross</v>
          </cell>
          <cell r="Y4387" t="str">
            <v>UNITED KINGDOM</v>
          </cell>
        </row>
        <row r="4388">
          <cell r="L4388" t="str">
            <v>Non-proportional</v>
          </cell>
          <cell r="S4388">
            <v>6770</v>
          </cell>
          <cell r="X4388" t="str">
            <v>Commissions - gross</v>
          </cell>
          <cell r="Y4388" t="str">
            <v>EUROPE</v>
          </cell>
        </row>
        <row r="4389">
          <cell r="L4389" t="str">
            <v>Non-proportional</v>
          </cell>
          <cell r="S4389">
            <v>-5327.74</v>
          </cell>
          <cell r="X4389" t="str">
            <v>Commissions - gross</v>
          </cell>
          <cell r="Y4389" t="str">
            <v>SWITZERLAND</v>
          </cell>
        </row>
        <row r="4390">
          <cell r="L4390" t="str">
            <v>Non-proportional</v>
          </cell>
          <cell r="S4390">
            <v>-21075.599999999999</v>
          </cell>
          <cell r="X4390" t="str">
            <v>Commissions - gross</v>
          </cell>
          <cell r="Y4390" t="str">
            <v>GERMANY</v>
          </cell>
        </row>
        <row r="4391">
          <cell r="L4391" t="str">
            <v>Non-proportional</v>
          </cell>
          <cell r="S4391">
            <v>98202.91</v>
          </cell>
          <cell r="X4391" t="str">
            <v>Commissions - gross</v>
          </cell>
          <cell r="Y4391" t="str">
            <v>UNITED KINGDOM</v>
          </cell>
        </row>
        <row r="4392">
          <cell r="L4392" t="str">
            <v>Non-proportional</v>
          </cell>
          <cell r="S4392">
            <v>-5826.25</v>
          </cell>
          <cell r="X4392" t="str">
            <v>Commissions - gross</v>
          </cell>
          <cell r="Y4392" t="str">
            <v>SWITZERLAND</v>
          </cell>
        </row>
        <row r="4393">
          <cell r="L4393" t="str">
            <v>Non-proportional</v>
          </cell>
          <cell r="S4393">
            <v>13183.64</v>
          </cell>
          <cell r="X4393" t="str">
            <v>Commissions - gross</v>
          </cell>
          <cell r="Y4393" t="str">
            <v>SWITZERLAND</v>
          </cell>
        </row>
        <row r="4394">
          <cell r="L4394" t="str">
            <v>Non-proportional</v>
          </cell>
          <cell r="S4394">
            <v>22473.62</v>
          </cell>
          <cell r="X4394" t="str">
            <v>Commissions - gross</v>
          </cell>
          <cell r="Y4394" t="str">
            <v>UNITED KINGDOM</v>
          </cell>
        </row>
        <row r="4395">
          <cell r="L4395" t="str">
            <v>Non-proportional</v>
          </cell>
          <cell r="S4395">
            <v>862.13</v>
          </cell>
          <cell r="X4395" t="str">
            <v>Commissions - gross</v>
          </cell>
          <cell r="Y4395" t="str">
            <v>ITALY</v>
          </cell>
        </row>
        <row r="4396">
          <cell r="L4396" t="str">
            <v>Non-proportional</v>
          </cell>
          <cell r="S4396">
            <v>25173.200000000001</v>
          </cell>
          <cell r="X4396" t="str">
            <v>Commissions - gross</v>
          </cell>
          <cell r="Y4396" t="str">
            <v>SWITZERLAND</v>
          </cell>
        </row>
        <row r="4397">
          <cell r="L4397" t="str">
            <v>Non-proportional</v>
          </cell>
          <cell r="S4397">
            <v>3663.9</v>
          </cell>
          <cell r="X4397" t="str">
            <v>Commissions - gross</v>
          </cell>
          <cell r="Y4397" t="str">
            <v>ITALY</v>
          </cell>
        </row>
        <row r="4398">
          <cell r="L4398" t="str">
            <v>Non-proportional</v>
          </cell>
          <cell r="S4398">
            <v>1346.76</v>
          </cell>
          <cell r="X4398" t="str">
            <v>Commissions - gross</v>
          </cell>
          <cell r="Y4398" t="str">
            <v>ITALY</v>
          </cell>
        </row>
        <row r="4399">
          <cell r="L4399" t="str">
            <v>Non-proportional</v>
          </cell>
          <cell r="S4399">
            <v>-124192.43</v>
          </cell>
          <cell r="X4399" t="str">
            <v>Commissions - gross</v>
          </cell>
          <cell r="Y4399" t="str">
            <v>UNITED KINGDOM</v>
          </cell>
        </row>
        <row r="4400">
          <cell r="L4400" t="str">
            <v>Non-proportional</v>
          </cell>
          <cell r="S4400">
            <v>-293.63</v>
          </cell>
          <cell r="X4400" t="str">
            <v>Commissions - gross</v>
          </cell>
          <cell r="Y4400" t="str">
            <v>ROMANIA</v>
          </cell>
        </row>
        <row r="4401">
          <cell r="L4401" t="str">
            <v>Non-proportional</v>
          </cell>
          <cell r="S4401">
            <v>-11620.09</v>
          </cell>
          <cell r="X4401" t="str">
            <v>Commissions - gross</v>
          </cell>
          <cell r="Y4401" t="str">
            <v>UNITED KINGDOM</v>
          </cell>
        </row>
        <row r="4402">
          <cell r="L4402" t="str">
            <v>Non-proportional</v>
          </cell>
          <cell r="S4402">
            <v>5406.26</v>
          </cell>
          <cell r="X4402" t="str">
            <v>Commissions - gross</v>
          </cell>
          <cell r="Y4402" t="str">
            <v>FRANCE</v>
          </cell>
        </row>
        <row r="4403">
          <cell r="L4403" t="str">
            <v>Non-proportional</v>
          </cell>
          <cell r="S4403">
            <v>-157125.4</v>
          </cell>
          <cell r="X4403" t="str">
            <v>Commissions - gross</v>
          </cell>
          <cell r="Y4403" t="str">
            <v>UNITED KINGDOM</v>
          </cell>
        </row>
        <row r="4404">
          <cell r="L4404" t="str">
            <v>Non-proportional</v>
          </cell>
          <cell r="S4404">
            <v>-4221.92</v>
          </cell>
          <cell r="X4404" t="str">
            <v>Commissions - gross</v>
          </cell>
          <cell r="Y4404" t="str">
            <v>SWITZERLAND</v>
          </cell>
        </row>
        <row r="4405">
          <cell r="L4405" t="str">
            <v>Non-proportional</v>
          </cell>
          <cell r="S4405">
            <v>2500</v>
          </cell>
          <cell r="X4405" t="str">
            <v>Commissions - gross</v>
          </cell>
          <cell r="Y4405" t="str">
            <v>GERMANY</v>
          </cell>
        </row>
        <row r="4406">
          <cell r="L4406" t="str">
            <v>Non-proportional</v>
          </cell>
          <cell r="S4406">
            <v>6580.94</v>
          </cell>
          <cell r="X4406" t="str">
            <v>Commissions - gross</v>
          </cell>
          <cell r="Y4406" t="str">
            <v>EUROPE</v>
          </cell>
        </row>
        <row r="4407">
          <cell r="L4407" t="str">
            <v>Non-proportional</v>
          </cell>
          <cell r="S4407">
            <v>9125.0499999999993</v>
          </cell>
          <cell r="X4407" t="str">
            <v>Commissions - gross</v>
          </cell>
          <cell r="Y4407" t="str">
            <v>GERMANY</v>
          </cell>
        </row>
        <row r="4408">
          <cell r="L4408" t="str">
            <v>Non-proportional</v>
          </cell>
          <cell r="S4408">
            <v>17984.28</v>
          </cell>
          <cell r="X4408" t="str">
            <v>Commissions - gross</v>
          </cell>
          <cell r="Y4408" t="str">
            <v>UNITED KINGDOM</v>
          </cell>
        </row>
        <row r="4409">
          <cell r="L4409" t="str">
            <v>Non-proportional</v>
          </cell>
          <cell r="S4409">
            <v>-3890.4</v>
          </cell>
          <cell r="X4409" t="str">
            <v>Commissions - gross</v>
          </cell>
          <cell r="Y4409" t="str">
            <v>FAROE ISLANDS</v>
          </cell>
        </row>
        <row r="4410">
          <cell r="L4410" t="str">
            <v>Non-proportional</v>
          </cell>
          <cell r="S4410">
            <v>7892.03</v>
          </cell>
          <cell r="X4410" t="str">
            <v>Commissions - gross</v>
          </cell>
          <cell r="Y4410" t="str">
            <v>FAROE ISLANDS</v>
          </cell>
        </row>
        <row r="4411">
          <cell r="L4411" t="str">
            <v>Non-proportional</v>
          </cell>
          <cell r="S4411">
            <v>-930</v>
          </cell>
          <cell r="X4411" t="str">
            <v>Commissions - gross</v>
          </cell>
          <cell r="Y4411" t="str">
            <v>SWITZERLAND</v>
          </cell>
        </row>
        <row r="4412">
          <cell r="L4412" t="str">
            <v>Non-proportional</v>
          </cell>
          <cell r="S4412">
            <v>-1000</v>
          </cell>
          <cell r="X4412" t="str">
            <v>Commissions - gross</v>
          </cell>
          <cell r="Y4412" t="str">
            <v>SWITZERLAND</v>
          </cell>
        </row>
        <row r="4413">
          <cell r="L4413" t="str">
            <v>Non-proportional</v>
          </cell>
          <cell r="S4413">
            <v>-12713.93</v>
          </cell>
          <cell r="X4413" t="str">
            <v>Commissions - gross</v>
          </cell>
          <cell r="Y4413" t="str">
            <v>SWITZERLAND</v>
          </cell>
        </row>
        <row r="4414">
          <cell r="L4414" t="str">
            <v>Non-proportional</v>
          </cell>
          <cell r="S4414">
            <v>17811.23</v>
          </cell>
          <cell r="X4414" t="str">
            <v>Commissions - gross</v>
          </cell>
          <cell r="Y4414" t="str">
            <v>SWITZERLAND</v>
          </cell>
        </row>
        <row r="4415">
          <cell r="L4415" t="str">
            <v>Non-proportional</v>
          </cell>
          <cell r="S4415">
            <v>139093.81</v>
          </cell>
          <cell r="X4415" t="str">
            <v>Commissions - gross</v>
          </cell>
          <cell r="Y4415" t="str">
            <v>UNITED KINGDOM</v>
          </cell>
        </row>
        <row r="4416">
          <cell r="L4416" t="str">
            <v>Non-proportional</v>
          </cell>
          <cell r="S4416">
            <v>-111275.05</v>
          </cell>
          <cell r="X4416" t="str">
            <v>Commissions - gross</v>
          </cell>
          <cell r="Y4416" t="str">
            <v>UNITED KINGDOM</v>
          </cell>
        </row>
        <row r="4417">
          <cell r="L4417" t="str">
            <v>Non-proportional</v>
          </cell>
          <cell r="S4417">
            <v>2412.2600000000002</v>
          </cell>
          <cell r="X4417" t="str">
            <v>Commissions - gross</v>
          </cell>
          <cell r="Y4417" t="str">
            <v>DENMARK</v>
          </cell>
        </row>
        <row r="4418">
          <cell r="L4418" t="str">
            <v>Non-proportional</v>
          </cell>
          <cell r="S4418">
            <v>930</v>
          </cell>
          <cell r="X4418" t="str">
            <v>Commissions - gross</v>
          </cell>
          <cell r="Y4418" t="str">
            <v>SWITZERLAND</v>
          </cell>
        </row>
        <row r="4419">
          <cell r="L4419" t="str">
            <v>Non-proportional</v>
          </cell>
          <cell r="S4419">
            <v>1130.52</v>
          </cell>
          <cell r="X4419" t="str">
            <v>Commissions - gross</v>
          </cell>
          <cell r="Y4419" t="str">
            <v>UNITED KINGDOM</v>
          </cell>
        </row>
        <row r="4420">
          <cell r="L4420" t="str">
            <v>Non-proportional</v>
          </cell>
          <cell r="S4420">
            <v>-129145.41</v>
          </cell>
          <cell r="X4420" t="str">
            <v>Commissions - gross</v>
          </cell>
          <cell r="Y4420" t="str">
            <v>UNITED KINGDOM</v>
          </cell>
        </row>
        <row r="4421">
          <cell r="L4421" t="str">
            <v>Non-proportional</v>
          </cell>
          <cell r="S4421">
            <v>-67191.48</v>
          </cell>
          <cell r="X4421" t="str">
            <v>Commissions - gross</v>
          </cell>
          <cell r="Y4421" t="str">
            <v>UNITED KINGDOM</v>
          </cell>
        </row>
        <row r="4422">
          <cell r="L4422" t="str">
            <v>Non-proportional</v>
          </cell>
          <cell r="S4422">
            <v>-13774.01</v>
          </cell>
          <cell r="X4422" t="str">
            <v>Commissions - gross</v>
          </cell>
          <cell r="Y4422" t="str">
            <v>SWITZERLAND</v>
          </cell>
        </row>
        <row r="4423">
          <cell r="L4423" t="str">
            <v>Non-proportional</v>
          </cell>
          <cell r="S4423">
            <v>26387</v>
          </cell>
          <cell r="X4423" t="str">
            <v>Commissions - gross</v>
          </cell>
          <cell r="Y4423" t="str">
            <v>SWITZERLAND</v>
          </cell>
        </row>
        <row r="4424">
          <cell r="L4424" t="str">
            <v>Non-proportional</v>
          </cell>
          <cell r="S4424">
            <v>17968.5</v>
          </cell>
          <cell r="X4424" t="str">
            <v>Commissions - gross</v>
          </cell>
          <cell r="Y4424" t="str">
            <v>ITALY</v>
          </cell>
        </row>
        <row r="4425">
          <cell r="L4425" t="str">
            <v>Non-proportional</v>
          </cell>
          <cell r="S4425">
            <v>984.65</v>
          </cell>
          <cell r="X4425" t="str">
            <v>Commissions - gross</v>
          </cell>
          <cell r="Y4425" t="str">
            <v>GERMANY</v>
          </cell>
        </row>
        <row r="4426">
          <cell r="L4426" t="str">
            <v>Non-proportional</v>
          </cell>
          <cell r="S4426">
            <v>-487.35</v>
          </cell>
          <cell r="X4426" t="str">
            <v>Commissions - gross</v>
          </cell>
          <cell r="Y4426" t="str">
            <v>ITALY</v>
          </cell>
        </row>
        <row r="4427">
          <cell r="L4427" t="str">
            <v>Non-proportional</v>
          </cell>
          <cell r="S4427">
            <v>-24086.560000000001</v>
          </cell>
          <cell r="X4427" t="str">
            <v>Commissions - gross</v>
          </cell>
          <cell r="Y4427" t="str">
            <v>UNITED KINGDOM</v>
          </cell>
        </row>
        <row r="4428">
          <cell r="L4428" t="str">
            <v>Non-proportional</v>
          </cell>
          <cell r="S4428">
            <v>1332.41</v>
          </cell>
          <cell r="X4428" t="str">
            <v>Commissions - gross</v>
          </cell>
          <cell r="Y4428" t="str">
            <v>UNITED KINGDOM</v>
          </cell>
        </row>
        <row r="4429">
          <cell r="L4429" t="str">
            <v>Non-proportional</v>
          </cell>
          <cell r="S4429">
            <v>9235.4500000000007</v>
          </cell>
          <cell r="X4429" t="str">
            <v>Commissions - gross</v>
          </cell>
          <cell r="Y4429" t="str">
            <v>SWITZERLAND</v>
          </cell>
        </row>
        <row r="4430">
          <cell r="L4430" t="str">
            <v>Non-proportional</v>
          </cell>
          <cell r="S4430">
            <v>29402.81</v>
          </cell>
          <cell r="X4430" t="str">
            <v>Commissions - gross</v>
          </cell>
          <cell r="Y4430" t="str">
            <v>UNITED KINGDOM</v>
          </cell>
        </row>
        <row r="4431">
          <cell r="L4431" t="str">
            <v>Non-proportional</v>
          </cell>
          <cell r="S4431">
            <v>12713.93</v>
          </cell>
          <cell r="X4431" t="str">
            <v>Commissions - gross</v>
          </cell>
          <cell r="Y4431" t="str">
            <v>SWITZERLAND</v>
          </cell>
        </row>
        <row r="4432">
          <cell r="L4432" t="str">
            <v>Non-proportional</v>
          </cell>
          <cell r="S4432">
            <v>41402.42</v>
          </cell>
          <cell r="X4432" t="str">
            <v>Commissions - gross</v>
          </cell>
          <cell r="Y4432" t="str">
            <v>CZECH REPUBLIC</v>
          </cell>
        </row>
        <row r="4433">
          <cell r="L4433" t="str">
            <v>Non-proportional</v>
          </cell>
          <cell r="S4433">
            <v>9300</v>
          </cell>
          <cell r="X4433" t="str">
            <v>Commissions - gross</v>
          </cell>
          <cell r="Y4433" t="str">
            <v>GERMANY</v>
          </cell>
        </row>
        <row r="4434">
          <cell r="L4434" t="str">
            <v>Non-proportional</v>
          </cell>
          <cell r="S4434">
            <v>7750</v>
          </cell>
          <cell r="X4434" t="str">
            <v>Commissions - gross</v>
          </cell>
          <cell r="Y4434" t="str">
            <v>AUSTRIA</v>
          </cell>
        </row>
        <row r="4435">
          <cell r="L4435" t="str">
            <v>Non-proportional</v>
          </cell>
          <cell r="S4435">
            <v>19335.41</v>
          </cell>
          <cell r="X4435" t="str">
            <v>Commissions - gross</v>
          </cell>
          <cell r="Y4435" t="str">
            <v>EUROPE</v>
          </cell>
        </row>
        <row r="4436">
          <cell r="L4436" t="str">
            <v>Non-proportional</v>
          </cell>
          <cell r="S4436">
            <v>12713.93</v>
          </cell>
          <cell r="X4436" t="str">
            <v>Commissions - gross</v>
          </cell>
          <cell r="Y4436" t="str">
            <v>SWITZERLAND</v>
          </cell>
        </row>
        <row r="4437">
          <cell r="L4437" t="str">
            <v>Non-proportional</v>
          </cell>
          <cell r="S4437">
            <v>6560.55</v>
          </cell>
          <cell r="X4437" t="str">
            <v>Commissions - gross</v>
          </cell>
          <cell r="Y4437" t="str">
            <v>EIRE</v>
          </cell>
        </row>
        <row r="4438">
          <cell r="L4438" t="str">
            <v>Non-proportional</v>
          </cell>
          <cell r="S4438">
            <v>6328.38</v>
          </cell>
          <cell r="X4438" t="str">
            <v>Commissions - gross</v>
          </cell>
          <cell r="Y4438" t="str">
            <v>NORWAY</v>
          </cell>
        </row>
        <row r="4439">
          <cell r="L4439" t="str">
            <v>Non-proportional</v>
          </cell>
          <cell r="S4439">
            <v>5800</v>
          </cell>
          <cell r="X4439" t="str">
            <v>Commissions - gross</v>
          </cell>
          <cell r="Y4439" t="str">
            <v>GERMANY</v>
          </cell>
        </row>
        <row r="4440">
          <cell r="L4440" t="str">
            <v>Non-proportional</v>
          </cell>
          <cell r="S4440">
            <v>-10722.46</v>
          </cell>
          <cell r="X4440" t="str">
            <v>Commissions - gross</v>
          </cell>
          <cell r="Y4440" t="str">
            <v>UNITED KINGDOM</v>
          </cell>
        </row>
        <row r="4441">
          <cell r="L4441" t="str">
            <v>Non-proportional</v>
          </cell>
          <cell r="S4441">
            <v>-5406.26</v>
          </cell>
          <cell r="X4441" t="str">
            <v>Commissions - gross</v>
          </cell>
          <cell r="Y4441" t="str">
            <v>FRANCE</v>
          </cell>
        </row>
        <row r="4442">
          <cell r="L4442" t="str">
            <v>Non-proportional</v>
          </cell>
          <cell r="S4442">
            <v>-53753.3</v>
          </cell>
          <cell r="X4442" t="str">
            <v>Commissions - gross</v>
          </cell>
          <cell r="Y4442" t="str">
            <v>UNITED KINGDOM</v>
          </cell>
        </row>
        <row r="4443">
          <cell r="L4443" t="str">
            <v>Non-proportional</v>
          </cell>
          <cell r="S4443">
            <v>376.24</v>
          </cell>
          <cell r="X4443" t="str">
            <v>Commissions - gross</v>
          </cell>
          <cell r="Y4443" t="str">
            <v>DENMARK</v>
          </cell>
        </row>
        <row r="4444">
          <cell r="L4444" t="str">
            <v>Non-proportional</v>
          </cell>
          <cell r="S4444">
            <v>900</v>
          </cell>
          <cell r="X4444" t="str">
            <v>Commissions - gross</v>
          </cell>
          <cell r="Y4444" t="str">
            <v>GERMANY</v>
          </cell>
        </row>
        <row r="4445">
          <cell r="L4445" t="str">
            <v>Non-proportional</v>
          </cell>
          <cell r="S4445">
            <v>24500</v>
          </cell>
          <cell r="X4445" t="str">
            <v>Commissions - gross</v>
          </cell>
          <cell r="Y4445" t="str">
            <v>GERMANY</v>
          </cell>
        </row>
        <row r="4446">
          <cell r="L4446" t="str">
            <v>Non-proportional</v>
          </cell>
          <cell r="S4446">
            <v>1329.62</v>
          </cell>
          <cell r="X4446" t="str">
            <v>Commissions - gross</v>
          </cell>
          <cell r="Y4446" t="str">
            <v>AUSTRIA</v>
          </cell>
        </row>
        <row r="4447">
          <cell r="L4447" t="str">
            <v>Non-proportional</v>
          </cell>
          <cell r="S4447">
            <v>1507.67</v>
          </cell>
          <cell r="X4447" t="str">
            <v>Commissions - gross</v>
          </cell>
          <cell r="Y4447" t="str">
            <v>DENMARK</v>
          </cell>
        </row>
        <row r="4448">
          <cell r="L4448" t="str">
            <v>Non-proportional</v>
          </cell>
          <cell r="S4448">
            <v>-8550</v>
          </cell>
          <cell r="X4448" t="str">
            <v>Commissions - gross</v>
          </cell>
          <cell r="Y4448" t="str">
            <v>GERMANY</v>
          </cell>
        </row>
        <row r="4449">
          <cell r="L4449" t="str">
            <v>Non-proportional</v>
          </cell>
          <cell r="S4449">
            <v>-4660</v>
          </cell>
          <cell r="X4449" t="str">
            <v>Commissions - gross</v>
          </cell>
          <cell r="Y4449" t="str">
            <v>EUROPE</v>
          </cell>
        </row>
        <row r="4450">
          <cell r="L4450" t="str">
            <v>Non-proportional</v>
          </cell>
          <cell r="S4450">
            <v>78562.100000000006</v>
          </cell>
          <cell r="X4450" t="str">
            <v>Commissions - gross</v>
          </cell>
          <cell r="Y4450" t="str">
            <v>UNITED KINGDOM</v>
          </cell>
        </row>
        <row r="4451">
          <cell r="L4451" t="str">
            <v>Non-proportional</v>
          </cell>
          <cell r="S4451">
            <v>37613.67</v>
          </cell>
          <cell r="X4451" t="str">
            <v>Commissions - gross</v>
          </cell>
          <cell r="Y4451" t="str">
            <v>UNITED KINGDOM</v>
          </cell>
        </row>
        <row r="4452">
          <cell r="L4452" t="str">
            <v>Non-proportional</v>
          </cell>
          <cell r="S4452">
            <v>6632.46</v>
          </cell>
          <cell r="X4452" t="str">
            <v>Commissions - gross</v>
          </cell>
          <cell r="Y4452" t="str">
            <v>GERMANY</v>
          </cell>
        </row>
        <row r="4453">
          <cell r="L4453" t="str">
            <v>Non-proportional</v>
          </cell>
          <cell r="S4453">
            <v>-3995.81</v>
          </cell>
          <cell r="X4453" t="str">
            <v>Commissions - gross</v>
          </cell>
          <cell r="Y4453" t="str">
            <v>SWITZERLAND</v>
          </cell>
        </row>
        <row r="4454">
          <cell r="L4454" t="str">
            <v>Non-proportional</v>
          </cell>
          <cell r="S4454">
            <v>-5595</v>
          </cell>
          <cell r="X4454" t="str">
            <v>Commissions - gross</v>
          </cell>
          <cell r="Y4454" t="str">
            <v>EUROPE</v>
          </cell>
        </row>
        <row r="4455">
          <cell r="L4455" t="str">
            <v>Non-proportional</v>
          </cell>
          <cell r="S4455">
            <v>-102429.83</v>
          </cell>
          <cell r="X4455" t="str">
            <v>Commissions - gross</v>
          </cell>
          <cell r="Y4455" t="str">
            <v>UNITED KINGDOM</v>
          </cell>
        </row>
        <row r="4456">
          <cell r="L4456" t="str">
            <v>Non-proportional</v>
          </cell>
          <cell r="S4456">
            <v>-196406.88</v>
          </cell>
          <cell r="X4456" t="str">
            <v>Commissions - gross</v>
          </cell>
          <cell r="Y4456" t="str">
            <v>UNITED KINGDOM</v>
          </cell>
        </row>
        <row r="4457">
          <cell r="L4457" t="str">
            <v>Non-proportional</v>
          </cell>
          <cell r="S4457">
            <v>780337.57</v>
          </cell>
          <cell r="X4457" t="str">
            <v>Commissions - gross</v>
          </cell>
          <cell r="Y4457" t="str">
            <v>UNITED KINGDOM</v>
          </cell>
        </row>
        <row r="4458">
          <cell r="L4458" t="str">
            <v>Non-proportional</v>
          </cell>
          <cell r="S4458">
            <v>-114475.69</v>
          </cell>
          <cell r="X4458" t="str">
            <v>Commissions - gross</v>
          </cell>
          <cell r="Y4458" t="str">
            <v>UNITED KINGDOM</v>
          </cell>
        </row>
        <row r="4459">
          <cell r="L4459" t="str">
            <v>Non-proportional</v>
          </cell>
          <cell r="S4459">
            <v>124192.43</v>
          </cell>
          <cell r="X4459" t="str">
            <v>Commissions - gross</v>
          </cell>
          <cell r="Y4459" t="str">
            <v>UNITED KINGDOM</v>
          </cell>
        </row>
        <row r="4460">
          <cell r="L4460" t="str">
            <v>Non-proportional</v>
          </cell>
          <cell r="S4460">
            <v>6758.86</v>
          </cell>
          <cell r="X4460" t="str">
            <v>Commissions - gross</v>
          </cell>
          <cell r="Y4460" t="str">
            <v>FRANCE</v>
          </cell>
        </row>
        <row r="4461">
          <cell r="L4461" t="str">
            <v>Non-proportional</v>
          </cell>
          <cell r="S4461">
            <v>20265.22</v>
          </cell>
          <cell r="X4461" t="str">
            <v>Commissions - gross</v>
          </cell>
          <cell r="Y4461" t="str">
            <v>SWITZERLAND</v>
          </cell>
        </row>
        <row r="4462">
          <cell r="L4462" t="str">
            <v>Non-proportional</v>
          </cell>
          <cell r="S4462">
            <v>8637.67</v>
          </cell>
          <cell r="X4462" t="str">
            <v>Commissions - gross</v>
          </cell>
          <cell r="Y4462" t="str">
            <v>DENMARK</v>
          </cell>
        </row>
        <row r="4463">
          <cell r="L4463" t="str">
            <v>Non-proportional</v>
          </cell>
          <cell r="S4463">
            <v>21130.84</v>
          </cell>
          <cell r="X4463" t="str">
            <v>Commissions - gross</v>
          </cell>
          <cell r="Y4463" t="str">
            <v>AUSTRIA</v>
          </cell>
        </row>
        <row r="4464">
          <cell r="L4464" t="str">
            <v>Non-proportional</v>
          </cell>
          <cell r="S4464">
            <v>77943.56</v>
          </cell>
          <cell r="X4464" t="str">
            <v>Commissions - gross</v>
          </cell>
          <cell r="Y4464" t="str">
            <v>REPUBLIC OF IRELAND</v>
          </cell>
        </row>
        <row r="4465">
          <cell r="L4465" t="str">
            <v>Non-proportional</v>
          </cell>
          <cell r="S4465">
            <v>1125.71</v>
          </cell>
          <cell r="X4465" t="str">
            <v>Commissions - gross</v>
          </cell>
          <cell r="Y4465" t="str">
            <v>DENMARK</v>
          </cell>
        </row>
        <row r="4466">
          <cell r="L4466" t="str">
            <v>Non-proportional</v>
          </cell>
          <cell r="S4466">
            <v>3995.81</v>
          </cell>
          <cell r="X4466" t="str">
            <v>Commissions - gross</v>
          </cell>
          <cell r="Y4466" t="str">
            <v>SWITZERLAND</v>
          </cell>
        </row>
        <row r="4467">
          <cell r="L4467" t="str">
            <v>Non-proportional</v>
          </cell>
          <cell r="S4467">
            <v>-19599.810000000001</v>
          </cell>
          <cell r="X4467" t="str">
            <v>Commissions - gross</v>
          </cell>
          <cell r="Y4467" t="str">
            <v>DENMARK</v>
          </cell>
        </row>
        <row r="4468">
          <cell r="L4468" t="str">
            <v>Non-proportional</v>
          </cell>
          <cell r="S4468">
            <v>11305.2</v>
          </cell>
          <cell r="X4468" t="str">
            <v>Commissions - gross</v>
          </cell>
          <cell r="Y4468" t="str">
            <v>FRANCE</v>
          </cell>
        </row>
        <row r="4469">
          <cell r="L4469" t="str">
            <v>Non-proportional</v>
          </cell>
          <cell r="S4469">
            <v>-6558.26</v>
          </cell>
          <cell r="X4469" t="str">
            <v>Commissions - gross</v>
          </cell>
          <cell r="Y4469" t="str">
            <v>DENMARK</v>
          </cell>
        </row>
        <row r="4470">
          <cell r="L4470" t="str">
            <v>Non-proportional</v>
          </cell>
          <cell r="S4470">
            <v>42684.39</v>
          </cell>
          <cell r="X4470" t="str">
            <v>Commissions - gross</v>
          </cell>
          <cell r="Y4470" t="str">
            <v>FRANCE</v>
          </cell>
        </row>
        <row r="4471">
          <cell r="L4471" t="str">
            <v>Non-proportional</v>
          </cell>
          <cell r="S4471">
            <v>-3814.01</v>
          </cell>
          <cell r="X4471" t="str">
            <v>Commissions - gross</v>
          </cell>
          <cell r="Y4471" t="str">
            <v>FAROE ISLANDS</v>
          </cell>
        </row>
        <row r="4472">
          <cell r="L4472" t="str">
            <v>Non-proportional</v>
          </cell>
          <cell r="S4472">
            <v>19460.41</v>
          </cell>
          <cell r="X4472" t="str">
            <v>Commissions - gross</v>
          </cell>
          <cell r="Y4472" t="str">
            <v>SWITZERLAND</v>
          </cell>
        </row>
        <row r="4473">
          <cell r="L4473" t="str">
            <v>Non-proportional</v>
          </cell>
          <cell r="S4473">
            <v>9235.4500000000007</v>
          </cell>
          <cell r="X4473" t="str">
            <v>Commissions - gross</v>
          </cell>
          <cell r="Y4473" t="str">
            <v>SWITZERLAND</v>
          </cell>
        </row>
        <row r="4474">
          <cell r="L4474" t="str">
            <v>Non-proportional</v>
          </cell>
          <cell r="S4474">
            <v>18650.03</v>
          </cell>
          <cell r="X4474" t="str">
            <v>Commissions - gross</v>
          </cell>
          <cell r="Y4474" t="str">
            <v>SWITZERLAND</v>
          </cell>
        </row>
        <row r="4475">
          <cell r="L4475" t="str">
            <v>Non-proportional</v>
          </cell>
          <cell r="S4475">
            <v>692.36</v>
          </cell>
          <cell r="X4475" t="str">
            <v>Commissions - gross</v>
          </cell>
          <cell r="Y4475" t="str">
            <v>SWITZERLAND</v>
          </cell>
        </row>
        <row r="4476">
          <cell r="L4476" t="str">
            <v>Non-proportional</v>
          </cell>
          <cell r="S4476">
            <v>12018.09</v>
          </cell>
          <cell r="X4476" t="str">
            <v>Commissions - gross</v>
          </cell>
          <cell r="Y4476" t="str">
            <v>AUSTRIA</v>
          </cell>
        </row>
        <row r="4477">
          <cell r="L4477" t="str">
            <v>Non-proportional</v>
          </cell>
          <cell r="S4477">
            <v>22950.71</v>
          </cell>
          <cell r="X4477" t="str">
            <v>Commissions - gross</v>
          </cell>
          <cell r="Y4477" t="str">
            <v>UNITED KINGDOM</v>
          </cell>
        </row>
        <row r="4478">
          <cell r="L4478" t="str">
            <v>Non-proportional</v>
          </cell>
          <cell r="S4478">
            <v>120828.42</v>
          </cell>
          <cell r="X4478" t="str">
            <v>Commissions - gross</v>
          </cell>
          <cell r="Y4478" t="str">
            <v>UNITED KINGDOM</v>
          </cell>
        </row>
        <row r="4479">
          <cell r="L4479" t="str">
            <v>Non-proportional</v>
          </cell>
          <cell r="S4479">
            <v>12251.25</v>
          </cell>
          <cell r="X4479" t="str">
            <v>Commissions - gross</v>
          </cell>
          <cell r="Y4479" t="str">
            <v>GERMANY</v>
          </cell>
        </row>
        <row r="4480">
          <cell r="L4480" t="str">
            <v>Non-proportional</v>
          </cell>
          <cell r="S4480">
            <v>2326.67</v>
          </cell>
          <cell r="X4480" t="str">
            <v>Commissions - gross</v>
          </cell>
          <cell r="Y4480" t="str">
            <v>REPUBLIC OF IRELAND</v>
          </cell>
        </row>
        <row r="4481">
          <cell r="L4481" t="str">
            <v>Non-proportional</v>
          </cell>
          <cell r="S4481">
            <v>415630.69</v>
          </cell>
          <cell r="X4481" t="str">
            <v>Commissions - gross</v>
          </cell>
          <cell r="Y4481" t="str">
            <v>UNITED KINGDOM</v>
          </cell>
        </row>
        <row r="4482">
          <cell r="L4482" t="str">
            <v>Non-proportional</v>
          </cell>
          <cell r="S4482">
            <v>8246.2800000000007</v>
          </cell>
          <cell r="X4482" t="str">
            <v>Commissions - gross</v>
          </cell>
          <cell r="Y4482" t="str">
            <v>GERMANY</v>
          </cell>
        </row>
        <row r="4483">
          <cell r="L4483" t="str">
            <v>Non-proportional</v>
          </cell>
          <cell r="S4483">
            <v>-39281.370000000003</v>
          </cell>
          <cell r="X4483" t="str">
            <v>Commissions - gross</v>
          </cell>
          <cell r="Y4483" t="str">
            <v>UNITED KINGDOM</v>
          </cell>
        </row>
        <row r="4484">
          <cell r="L4484" t="str">
            <v>Non-proportional</v>
          </cell>
          <cell r="S4484">
            <v>-5487.76</v>
          </cell>
          <cell r="X4484" t="str">
            <v>Commissions - gross</v>
          </cell>
          <cell r="Y4484" t="str">
            <v>EUROPE</v>
          </cell>
        </row>
        <row r="4485">
          <cell r="L4485" t="str">
            <v>Non-proportional</v>
          </cell>
          <cell r="S4485">
            <v>53753.3</v>
          </cell>
          <cell r="X4485" t="str">
            <v>Commissions - gross</v>
          </cell>
          <cell r="Y4485" t="str">
            <v>UNITED KINGDOM</v>
          </cell>
        </row>
        <row r="4486">
          <cell r="L4486" t="str">
            <v>Non-proportional</v>
          </cell>
          <cell r="S4486">
            <v>9049.59</v>
          </cell>
          <cell r="X4486" t="str">
            <v>Commissions - gross</v>
          </cell>
          <cell r="Y4486" t="str">
            <v>NORWAY</v>
          </cell>
        </row>
        <row r="4487">
          <cell r="L4487" t="str">
            <v>Non-proportional</v>
          </cell>
          <cell r="S4487">
            <v>361</v>
          </cell>
          <cell r="X4487" t="str">
            <v>Commissions - gross</v>
          </cell>
          <cell r="Y4487" t="str">
            <v>ITALY</v>
          </cell>
        </row>
        <row r="4488">
          <cell r="L4488" t="str">
            <v>Non-proportional</v>
          </cell>
          <cell r="S4488">
            <v>25891.8</v>
          </cell>
          <cell r="X4488" t="str">
            <v>Commissions - gross</v>
          </cell>
          <cell r="Y4488" t="str">
            <v>UNITED KINGDOM</v>
          </cell>
        </row>
        <row r="4489">
          <cell r="L4489" t="str">
            <v>Non-proportional</v>
          </cell>
          <cell r="S4489">
            <v>-5327.74</v>
          </cell>
          <cell r="X4489" t="str">
            <v>Commissions - gross</v>
          </cell>
          <cell r="Y4489" t="str">
            <v>SWITZERLAND</v>
          </cell>
        </row>
        <row r="4490">
          <cell r="L4490" t="str">
            <v>Non-proportional</v>
          </cell>
          <cell r="S4490">
            <v>-3995.81</v>
          </cell>
          <cell r="X4490" t="str">
            <v>Commissions - gross</v>
          </cell>
          <cell r="Y4490" t="str">
            <v>SWITZERLAND</v>
          </cell>
        </row>
        <row r="4491">
          <cell r="L4491" t="str">
            <v>Non-proportional</v>
          </cell>
          <cell r="S4491">
            <v>5487.76</v>
          </cell>
          <cell r="X4491" t="str">
            <v>Commissions - gross</v>
          </cell>
          <cell r="Y4491" t="str">
            <v>EUROPE</v>
          </cell>
        </row>
        <row r="4492">
          <cell r="L4492" t="str">
            <v>Non-proportional</v>
          </cell>
          <cell r="S4492">
            <v>-15038.06</v>
          </cell>
          <cell r="X4492" t="str">
            <v>Commissions - gross</v>
          </cell>
          <cell r="Y4492" t="str">
            <v>UNITED KINGDOM</v>
          </cell>
        </row>
        <row r="4493">
          <cell r="L4493" t="str">
            <v>Non-proportional</v>
          </cell>
          <cell r="S4493">
            <v>-40333.69</v>
          </cell>
          <cell r="X4493" t="str">
            <v>Commissions - gross</v>
          </cell>
          <cell r="Y4493" t="str">
            <v>FRANCE</v>
          </cell>
        </row>
        <row r="4494">
          <cell r="L4494" t="str">
            <v>Non-proportional</v>
          </cell>
          <cell r="S4494">
            <v>-31388.400000000001</v>
          </cell>
          <cell r="X4494" t="str">
            <v>Commissions - gross</v>
          </cell>
          <cell r="Y4494" t="str">
            <v>UNITED KINGDOM</v>
          </cell>
        </row>
        <row r="4495">
          <cell r="L4495" t="str">
            <v>Non-proportional</v>
          </cell>
          <cell r="S4495">
            <v>-2498.83</v>
          </cell>
          <cell r="X4495" t="str">
            <v>Commissions - gross</v>
          </cell>
          <cell r="Y4495" t="str">
            <v>SWITZERLAND</v>
          </cell>
        </row>
        <row r="4496">
          <cell r="L4496" t="str">
            <v>Non-proportional</v>
          </cell>
          <cell r="S4496">
            <v>-3659.61</v>
          </cell>
          <cell r="X4496" t="str">
            <v>Commissions - gross</v>
          </cell>
          <cell r="Y4496" t="str">
            <v>SWITZERLAND</v>
          </cell>
        </row>
        <row r="4497">
          <cell r="L4497" t="str">
            <v>Non-proportional</v>
          </cell>
          <cell r="S4497">
            <v>-20265.22</v>
          </cell>
          <cell r="X4497" t="str">
            <v>Commissions - gross</v>
          </cell>
          <cell r="Y4497" t="str">
            <v>SWITZERLAND</v>
          </cell>
        </row>
        <row r="4498">
          <cell r="L4498" t="str">
            <v>Non-proportional</v>
          </cell>
          <cell r="S4498">
            <v>199.84</v>
          </cell>
          <cell r="X4498" t="str">
            <v>Commissions - gross</v>
          </cell>
          <cell r="Y4498" t="str">
            <v>FRANCE</v>
          </cell>
        </row>
        <row r="4499">
          <cell r="L4499" t="str">
            <v>Non-proportional</v>
          </cell>
          <cell r="S4499">
            <v>9368.2199999999993</v>
          </cell>
          <cell r="X4499" t="str">
            <v>Commissions - gross</v>
          </cell>
          <cell r="Y4499" t="str">
            <v>NORWAY</v>
          </cell>
        </row>
        <row r="4500">
          <cell r="L4500" t="str">
            <v>Non-proportional</v>
          </cell>
          <cell r="S4500">
            <v>565.26</v>
          </cell>
          <cell r="X4500" t="str">
            <v>Commissions - gross</v>
          </cell>
          <cell r="Y4500" t="str">
            <v>UNITED KINGDOM</v>
          </cell>
        </row>
        <row r="4501">
          <cell r="L4501" t="str">
            <v>Non-proportional</v>
          </cell>
          <cell r="S4501">
            <v>-9835</v>
          </cell>
          <cell r="X4501" t="str">
            <v>Commissions - gross</v>
          </cell>
          <cell r="Y4501" t="str">
            <v>GERMANY</v>
          </cell>
        </row>
        <row r="4502">
          <cell r="L4502" t="str">
            <v>Non-proportional</v>
          </cell>
          <cell r="S4502">
            <v>52500</v>
          </cell>
          <cell r="X4502" t="str">
            <v>Commissions - gross</v>
          </cell>
          <cell r="Y4502" t="str">
            <v>GERMANY</v>
          </cell>
        </row>
        <row r="4503">
          <cell r="L4503" t="str">
            <v>Non-proportional</v>
          </cell>
          <cell r="S4503">
            <v>415630.69</v>
          </cell>
          <cell r="X4503" t="str">
            <v>Commissions - gross</v>
          </cell>
          <cell r="Y4503" t="str">
            <v>UNITED KINGDOM</v>
          </cell>
        </row>
        <row r="4504">
          <cell r="L4504" t="str">
            <v>Non-proportional</v>
          </cell>
          <cell r="S4504">
            <v>-12120</v>
          </cell>
          <cell r="X4504" t="str">
            <v>Commissions - gross</v>
          </cell>
          <cell r="Y4504" t="str">
            <v>EUROPE</v>
          </cell>
        </row>
        <row r="4505">
          <cell r="L4505" t="str">
            <v>Non-proportional</v>
          </cell>
          <cell r="S4505">
            <v>930</v>
          </cell>
          <cell r="X4505" t="str">
            <v>Commissions - gross</v>
          </cell>
          <cell r="Y4505" t="str">
            <v>GERMANY</v>
          </cell>
        </row>
        <row r="4506">
          <cell r="L4506" t="str">
            <v>Non-proportional</v>
          </cell>
          <cell r="S4506">
            <v>6940</v>
          </cell>
          <cell r="X4506" t="str">
            <v>Commissions - gross</v>
          </cell>
          <cell r="Y4506" t="str">
            <v>GERMANY</v>
          </cell>
        </row>
        <row r="4507">
          <cell r="L4507" t="str">
            <v>Non-proportional</v>
          </cell>
          <cell r="S4507">
            <v>-6442.8</v>
          </cell>
          <cell r="X4507" t="str">
            <v>Commissions - gross</v>
          </cell>
          <cell r="Y4507" t="str">
            <v>GERMANY</v>
          </cell>
        </row>
        <row r="4508">
          <cell r="L4508" t="str">
            <v>Non-proportional</v>
          </cell>
          <cell r="S4508">
            <v>78562.100000000006</v>
          </cell>
          <cell r="X4508" t="str">
            <v>Commissions - gross</v>
          </cell>
          <cell r="Y4508" t="str">
            <v>UNITED KINGDOM</v>
          </cell>
        </row>
        <row r="4509">
          <cell r="L4509" t="str">
            <v>Non-proportional</v>
          </cell>
          <cell r="S4509">
            <v>9235.4500000000007</v>
          </cell>
          <cell r="X4509" t="str">
            <v>Commissions - gross</v>
          </cell>
          <cell r="Y4509" t="str">
            <v>SWITZERLAND</v>
          </cell>
        </row>
        <row r="4510">
          <cell r="L4510" t="str">
            <v>Non-proportional</v>
          </cell>
          <cell r="S4510">
            <v>2498.83</v>
          </cell>
          <cell r="X4510" t="str">
            <v>Commissions - gross</v>
          </cell>
          <cell r="Y4510" t="str">
            <v>SWITZERLAND</v>
          </cell>
        </row>
        <row r="4511">
          <cell r="L4511" t="str">
            <v>Non-proportional</v>
          </cell>
          <cell r="S4511">
            <v>7072.72</v>
          </cell>
          <cell r="X4511" t="str">
            <v>Commissions - gross</v>
          </cell>
          <cell r="Y4511" t="str">
            <v>AUSTRIA</v>
          </cell>
        </row>
        <row r="4512">
          <cell r="L4512" t="str">
            <v>Non-proportional</v>
          </cell>
          <cell r="S4512">
            <v>47136.56</v>
          </cell>
          <cell r="X4512" t="str">
            <v>Commissions - gross</v>
          </cell>
          <cell r="Y4512" t="str">
            <v>UNITED KINGDOM</v>
          </cell>
        </row>
        <row r="4513">
          <cell r="L4513" t="str">
            <v>Non-proportional</v>
          </cell>
          <cell r="S4513">
            <v>8456.52</v>
          </cell>
          <cell r="X4513" t="str">
            <v>Commissions - gross</v>
          </cell>
          <cell r="Y4513" t="str">
            <v>NORWAY</v>
          </cell>
        </row>
        <row r="4514">
          <cell r="L4514" t="str">
            <v>Non-proportional</v>
          </cell>
          <cell r="S4514">
            <v>1145.68</v>
          </cell>
          <cell r="X4514" t="str">
            <v>Commissions - gross</v>
          </cell>
          <cell r="Y4514" t="str">
            <v>NORWAY</v>
          </cell>
        </row>
        <row r="4515">
          <cell r="L4515" t="str">
            <v>Non-proportional</v>
          </cell>
          <cell r="S4515">
            <v>31063.599999999999</v>
          </cell>
          <cell r="X4515" t="str">
            <v>Commissions - gross</v>
          </cell>
          <cell r="Y4515" t="str">
            <v>CZECH REPUBLIC</v>
          </cell>
        </row>
        <row r="4516">
          <cell r="L4516" t="str">
            <v>Non-proportional</v>
          </cell>
          <cell r="S4516">
            <v>17811.23</v>
          </cell>
          <cell r="X4516" t="str">
            <v>Commissions - gross</v>
          </cell>
          <cell r="Y4516" t="str">
            <v>SWITZERLAND</v>
          </cell>
        </row>
        <row r="4517">
          <cell r="L4517" t="str">
            <v>Non-proportional</v>
          </cell>
          <cell r="S4517">
            <v>9227.4</v>
          </cell>
          <cell r="X4517" t="str">
            <v>Commissions - gross</v>
          </cell>
          <cell r="Y4517" t="str">
            <v>ICELAND</v>
          </cell>
        </row>
        <row r="4518">
          <cell r="L4518" t="str">
            <v>Non-proportional</v>
          </cell>
          <cell r="S4518">
            <v>7500.62</v>
          </cell>
          <cell r="X4518" t="str">
            <v>Commissions - gross</v>
          </cell>
          <cell r="Y4518" t="str">
            <v>GERMANY</v>
          </cell>
        </row>
        <row r="4519">
          <cell r="L4519" t="str">
            <v>Non-proportional</v>
          </cell>
          <cell r="S4519">
            <v>11043.74</v>
          </cell>
          <cell r="X4519" t="str">
            <v>Commissions - gross</v>
          </cell>
          <cell r="Y4519" t="str">
            <v>GERMANY</v>
          </cell>
        </row>
        <row r="4520">
          <cell r="L4520" t="str">
            <v>Non-proportional</v>
          </cell>
          <cell r="S4520">
            <v>96662.720000000001</v>
          </cell>
          <cell r="X4520" t="str">
            <v>Commissions - gross</v>
          </cell>
          <cell r="Y4520" t="str">
            <v>UNITED KINGDOM</v>
          </cell>
        </row>
        <row r="4521">
          <cell r="L4521" t="str">
            <v>Non-proportional</v>
          </cell>
          <cell r="S4521">
            <v>-6800.2</v>
          </cell>
          <cell r="X4521" t="str">
            <v>Commissions - gross</v>
          </cell>
          <cell r="Y4521" t="str">
            <v>UNITED KINGDOM</v>
          </cell>
        </row>
        <row r="4522">
          <cell r="L4522" t="str">
            <v>Non-proportional</v>
          </cell>
          <cell r="S4522">
            <v>548433.93000000005</v>
          </cell>
          <cell r="X4522" t="str">
            <v>Commissions - gross</v>
          </cell>
          <cell r="Y4522" t="str">
            <v>UNITED KINGDOM</v>
          </cell>
        </row>
        <row r="4523">
          <cell r="L4523" t="str">
            <v>Non-proportional</v>
          </cell>
          <cell r="S4523">
            <v>-4812.99</v>
          </cell>
          <cell r="X4523" t="str">
            <v>Commissions - gross</v>
          </cell>
          <cell r="Y4523" t="str">
            <v>SWITZERLAND</v>
          </cell>
        </row>
        <row r="4524">
          <cell r="L4524" t="str">
            <v>Non-proportional</v>
          </cell>
          <cell r="S4524">
            <v>-3329.6</v>
          </cell>
          <cell r="X4524" t="str">
            <v>Commissions - gross</v>
          </cell>
          <cell r="Y4524" t="str">
            <v>EUROPE</v>
          </cell>
        </row>
        <row r="4525">
          <cell r="L4525" t="str">
            <v>Non-proportional</v>
          </cell>
          <cell r="S4525">
            <v>-23522.15</v>
          </cell>
          <cell r="X4525" t="str">
            <v>Commissions - gross</v>
          </cell>
          <cell r="Y4525" t="str">
            <v>UNITED KINGDOM</v>
          </cell>
        </row>
        <row r="4526">
          <cell r="L4526" t="str">
            <v>Non-proportional</v>
          </cell>
          <cell r="S4526">
            <v>6180</v>
          </cell>
          <cell r="X4526" t="str">
            <v>Commissions - gross</v>
          </cell>
          <cell r="Y4526" t="str">
            <v>GERMANY</v>
          </cell>
        </row>
        <row r="4527">
          <cell r="L4527" t="str">
            <v>Non-proportional</v>
          </cell>
          <cell r="S4527">
            <v>13523.34</v>
          </cell>
          <cell r="X4527" t="str">
            <v>Commissions - gross</v>
          </cell>
          <cell r="Y4527" t="str">
            <v>SWITZERLAND</v>
          </cell>
        </row>
        <row r="4528">
          <cell r="L4528" t="str">
            <v>Non-proportional</v>
          </cell>
          <cell r="S4528">
            <v>-19460.41</v>
          </cell>
          <cell r="X4528" t="str">
            <v>Commissions - gross</v>
          </cell>
          <cell r="Y4528" t="str">
            <v>SWITZERLAND</v>
          </cell>
        </row>
        <row r="4529">
          <cell r="L4529" t="str">
            <v>Non-proportional</v>
          </cell>
          <cell r="S4529">
            <v>13782.87</v>
          </cell>
          <cell r="X4529" t="str">
            <v>Commissions - gross</v>
          </cell>
          <cell r="Y4529" t="str">
            <v>UNITED KINGDOM</v>
          </cell>
        </row>
        <row r="4530">
          <cell r="L4530" t="str">
            <v>Non-proportional</v>
          </cell>
          <cell r="S4530">
            <v>11480.4</v>
          </cell>
          <cell r="X4530" t="str">
            <v>Commissions - gross</v>
          </cell>
          <cell r="Y4530" t="str">
            <v>SLOVENIA</v>
          </cell>
        </row>
        <row r="4531">
          <cell r="L4531" t="str">
            <v>Non-proportional</v>
          </cell>
          <cell r="S4531">
            <v>22568.73</v>
          </cell>
          <cell r="X4531" t="str">
            <v>Commissions - gross</v>
          </cell>
          <cell r="Y4531" t="str">
            <v>REPUBLIC OF IRELAND</v>
          </cell>
        </row>
        <row r="4532">
          <cell r="L4532" t="str">
            <v>Non-proportional</v>
          </cell>
          <cell r="S4532">
            <v>19800</v>
          </cell>
          <cell r="X4532" t="str">
            <v>Commissions - gross</v>
          </cell>
          <cell r="Y4532" t="str">
            <v>GERMANY</v>
          </cell>
        </row>
        <row r="4533">
          <cell r="L4533" t="str">
            <v>Non-proportional</v>
          </cell>
          <cell r="S4533">
            <v>-192.98</v>
          </cell>
          <cell r="X4533" t="str">
            <v>Commissions - gross</v>
          </cell>
          <cell r="Y4533" t="str">
            <v>DENMARK</v>
          </cell>
        </row>
        <row r="4534">
          <cell r="L4534" t="str">
            <v>Non-proportional</v>
          </cell>
          <cell r="S4534">
            <v>-21676.959999999999</v>
          </cell>
          <cell r="X4534" t="str">
            <v>Commissions - gross</v>
          </cell>
          <cell r="Y4534" t="str">
            <v>UNITED KINGDOM</v>
          </cell>
        </row>
        <row r="4535">
          <cell r="L4535" t="str">
            <v>Non-proportional</v>
          </cell>
          <cell r="S4535">
            <v>27670.76</v>
          </cell>
          <cell r="X4535" t="str">
            <v>Commissions - gross</v>
          </cell>
          <cell r="Y4535" t="str">
            <v>FRANCE</v>
          </cell>
        </row>
        <row r="4536">
          <cell r="L4536" t="str">
            <v>Non-proportional</v>
          </cell>
          <cell r="S4536">
            <v>-685542.25</v>
          </cell>
          <cell r="X4536" t="str">
            <v>Commissions - gross</v>
          </cell>
          <cell r="Y4536" t="str">
            <v>UNITED KINGDOM</v>
          </cell>
        </row>
        <row r="4537">
          <cell r="L4537" t="str">
            <v>Non-proportional</v>
          </cell>
          <cell r="S4537">
            <v>-14473.4</v>
          </cell>
          <cell r="X4537" t="str">
            <v>Commissions - gross</v>
          </cell>
          <cell r="Y4537" t="str">
            <v>DENMARK</v>
          </cell>
        </row>
        <row r="4538">
          <cell r="L4538" t="str">
            <v>Non-proportional</v>
          </cell>
          <cell r="S4538">
            <v>-6940</v>
          </cell>
          <cell r="X4538" t="str">
            <v>Commissions - gross</v>
          </cell>
          <cell r="Y4538" t="str">
            <v>GERMANY</v>
          </cell>
        </row>
        <row r="4539">
          <cell r="L4539" t="str">
            <v>Non-proportional</v>
          </cell>
          <cell r="S4539">
            <v>8713.15</v>
          </cell>
          <cell r="X4539" t="str">
            <v>Commissions - gross</v>
          </cell>
          <cell r="Y4539" t="str">
            <v>NORWAY</v>
          </cell>
        </row>
        <row r="4540">
          <cell r="L4540" t="str">
            <v>Non-proportional</v>
          </cell>
          <cell r="S4540">
            <v>2354.79</v>
          </cell>
          <cell r="X4540" t="str">
            <v>Commissions - gross</v>
          </cell>
          <cell r="Y4540" t="str">
            <v>GERMANY</v>
          </cell>
        </row>
        <row r="4541">
          <cell r="L4541" t="str">
            <v>Non-proportional</v>
          </cell>
          <cell r="S4541">
            <v>14190.6</v>
          </cell>
          <cell r="X4541" t="str">
            <v>Commissions - gross</v>
          </cell>
          <cell r="Y4541" t="str">
            <v>AUSTRIA</v>
          </cell>
        </row>
        <row r="4542">
          <cell r="L4542" t="str">
            <v>Non-proportional</v>
          </cell>
          <cell r="S4542">
            <v>-1332.41</v>
          </cell>
          <cell r="X4542" t="str">
            <v>Commissions - gross</v>
          </cell>
          <cell r="Y4542" t="str">
            <v>UNITED KINGDOM</v>
          </cell>
        </row>
        <row r="4543">
          <cell r="L4543" t="str">
            <v>Non-proportional</v>
          </cell>
          <cell r="S4543">
            <v>1608.13</v>
          </cell>
          <cell r="X4543" t="str">
            <v>Commissions - gross</v>
          </cell>
          <cell r="Y4543" t="str">
            <v>DENMARK</v>
          </cell>
        </row>
        <row r="4544">
          <cell r="L4544" t="str">
            <v>Non-proportional</v>
          </cell>
          <cell r="S4544">
            <v>10350</v>
          </cell>
          <cell r="X4544" t="str">
            <v>Commissions - gross</v>
          </cell>
          <cell r="Y4544" t="str">
            <v>GERMANY</v>
          </cell>
        </row>
        <row r="4545">
          <cell r="L4545" t="str">
            <v>Non-proportional</v>
          </cell>
          <cell r="S4545">
            <v>314335.06</v>
          </cell>
          <cell r="X4545" t="str">
            <v>Commissions - gross</v>
          </cell>
          <cell r="Y4545" t="str">
            <v>UNITED KINGDOM</v>
          </cell>
        </row>
        <row r="4546">
          <cell r="L4546" t="str">
            <v>Non-proportional</v>
          </cell>
          <cell r="S4546">
            <v>2478.34</v>
          </cell>
          <cell r="X4546" t="str">
            <v>Commissions - gross</v>
          </cell>
          <cell r="Y4546" t="str">
            <v>EUROPE</v>
          </cell>
        </row>
        <row r="4547">
          <cell r="L4547" t="str">
            <v>Non-proportional</v>
          </cell>
          <cell r="S4547">
            <v>11701.48</v>
          </cell>
          <cell r="X4547" t="str">
            <v>Commissions - gross</v>
          </cell>
          <cell r="Y4547" t="str">
            <v>GERMANY</v>
          </cell>
        </row>
        <row r="4548">
          <cell r="L4548" t="str">
            <v>Non-proportional</v>
          </cell>
          <cell r="S4548">
            <v>2110</v>
          </cell>
          <cell r="X4548" t="str">
            <v>Commissions - gross</v>
          </cell>
          <cell r="Y4548" t="str">
            <v>EUROPE</v>
          </cell>
        </row>
        <row r="4549">
          <cell r="L4549" t="str">
            <v>Non-proportional</v>
          </cell>
          <cell r="S4549">
            <v>-28452.73</v>
          </cell>
          <cell r="X4549" t="str">
            <v>Commissions - gross</v>
          </cell>
          <cell r="Y4549" t="str">
            <v>UNITED KINGDOM</v>
          </cell>
        </row>
        <row r="4550">
          <cell r="L4550" t="str">
            <v>Non-proportional</v>
          </cell>
          <cell r="S4550">
            <v>23904.29</v>
          </cell>
          <cell r="X4550" t="str">
            <v>Commissions - gross</v>
          </cell>
          <cell r="Y4550" t="str">
            <v>FRANCE</v>
          </cell>
        </row>
        <row r="4551">
          <cell r="L4551" t="str">
            <v>Non-proportional</v>
          </cell>
          <cell r="S4551">
            <v>-11701.48</v>
          </cell>
          <cell r="X4551" t="str">
            <v>Commissions - gross</v>
          </cell>
          <cell r="Y4551" t="str">
            <v>GERMANY</v>
          </cell>
        </row>
        <row r="4552">
          <cell r="L4552" t="str">
            <v>Non-proportional</v>
          </cell>
          <cell r="S4552">
            <v>-69262.67</v>
          </cell>
          <cell r="X4552" t="str">
            <v>Commissions - gross</v>
          </cell>
          <cell r="Y4552" t="str">
            <v>UNITED KINGDOM</v>
          </cell>
        </row>
        <row r="4553">
          <cell r="L4553" t="str">
            <v>Non-proportional</v>
          </cell>
          <cell r="S4553">
            <v>-7013.09</v>
          </cell>
          <cell r="X4553" t="str">
            <v>Commissions - gross</v>
          </cell>
          <cell r="Y4553" t="str">
            <v>NORWAY</v>
          </cell>
        </row>
        <row r="4554">
          <cell r="L4554" t="str">
            <v>Non-proportional</v>
          </cell>
          <cell r="S4554">
            <v>-9235.4500000000007</v>
          </cell>
          <cell r="X4554" t="str">
            <v>Commissions - gross</v>
          </cell>
          <cell r="Y4554" t="str">
            <v>SWITZERLAND</v>
          </cell>
        </row>
        <row r="4555">
          <cell r="L4555" t="str">
            <v>Non-proportional</v>
          </cell>
          <cell r="S4555">
            <v>6328.38</v>
          </cell>
          <cell r="X4555" t="str">
            <v>Commissions - gross</v>
          </cell>
          <cell r="Y4555" t="str">
            <v>NORWAY</v>
          </cell>
        </row>
        <row r="4556">
          <cell r="L4556" t="str">
            <v>Non-proportional</v>
          </cell>
          <cell r="S4556">
            <v>3915</v>
          </cell>
          <cell r="X4556" t="str">
            <v>Commissions - gross</v>
          </cell>
          <cell r="Y4556" t="str">
            <v>ROMANIA</v>
          </cell>
        </row>
        <row r="4557">
          <cell r="L4557" t="str">
            <v>Non-proportional</v>
          </cell>
          <cell r="S4557">
            <v>7650.65</v>
          </cell>
          <cell r="X4557" t="str">
            <v>Commissions - gross</v>
          </cell>
          <cell r="Y4557" t="str">
            <v>NORWAY</v>
          </cell>
        </row>
        <row r="4558">
          <cell r="L4558" t="str">
            <v>Non-proportional</v>
          </cell>
          <cell r="S4558">
            <v>13523.34</v>
          </cell>
          <cell r="X4558" t="str">
            <v>Commissions - gross</v>
          </cell>
          <cell r="Y4558" t="str">
            <v>SWITZERLAND</v>
          </cell>
        </row>
        <row r="4559">
          <cell r="L4559" t="str">
            <v>Non-proportional</v>
          </cell>
          <cell r="S4559">
            <v>19460.41</v>
          </cell>
          <cell r="X4559" t="str">
            <v>Commissions - gross</v>
          </cell>
          <cell r="Y4559" t="str">
            <v>SWITZERLAND</v>
          </cell>
        </row>
        <row r="4560">
          <cell r="L4560" t="str">
            <v>Non-proportional</v>
          </cell>
          <cell r="S4560">
            <v>17523</v>
          </cell>
          <cell r="X4560" t="str">
            <v>Commissions - gross</v>
          </cell>
          <cell r="Y4560" t="str">
            <v>GERMANY</v>
          </cell>
        </row>
        <row r="4561">
          <cell r="L4561" t="str">
            <v>Non-proportional</v>
          </cell>
          <cell r="S4561">
            <v>10193.379999999999</v>
          </cell>
          <cell r="X4561" t="str">
            <v>Commissions - gross</v>
          </cell>
          <cell r="Y4561" t="str">
            <v>GERMANY</v>
          </cell>
        </row>
        <row r="4562">
          <cell r="L4562" t="str">
            <v>Non-proportional</v>
          </cell>
          <cell r="S4562">
            <v>29275.200000000001</v>
          </cell>
          <cell r="X4562" t="str">
            <v>Commissions - gross</v>
          </cell>
          <cell r="Y4562" t="str">
            <v>GERMANY</v>
          </cell>
        </row>
        <row r="4563">
          <cell r="L4563" t="str">
            <v>Non-proportional</v>
          </cell>
          <cell r="S4563">
            <v>13625.82</v>
          </cell>
          <cell r="X4563" t="str">
            <v>Commissions - gross</v>
          </cell>
          <cell r="Y4563" t="str">
            <v>GERMANY</v>
          </cell>
        </row>
        <row r="4564">
          <cell r="L4564" t="str">
            <v>Non-proportional</v>
          </cell>
          <cell r="S4564">
            <v>2700</v>
          </cell>
          <cell r="X4564" t="str">
            <v>Commissions - gross</v>
          </cell>
          <cell r="Y4564" t="str">
            <v>GERMANY</v>
          </cell>
        </row>
        <row r="4565">
          <cell r="L4565" t="str">
            <v>Non-proportional</v>
          </cell>
          <cell r="S4565">
            <v>4620</v>
          </cell>
          <cell r="X4565" t="str">
            <v>Commissions - gross</v>
          </cell>
          <cell r="Y4565" t="str">
            <v>GERMANY</v>
          </cell>
        </row>
        <row r="4566">
          <cell r="L4566" t="str">
            <v>Non-proportional</v>
          </cell>
          <cell r="S4566">
            <v>4660</v>
          </cell>
          <cell r="X4566" t="str">
            <v>Commissions - gross</v>
          </cell>
          <cell r="Y4566" t="str">
            <v>EUROPE</v>
          </cell>
        </row>
        <row r="4567">
          <cell r="L4567" t="str">
            <v>Non-proportional</v>
          </cell>
          <cell r="S4567">
            <v>5085.57</v>
          </cell>
          <cell r="X4567" t="str">
            <v>Commissions - gross</v>
          </cell>
          <cell r="Y4567" t="str">
            <v>GERMANY</v>
          </cell>
        </row>
        <row r="4568">
          <cell r="L4568" t="str">
            <v>Non-proportional</v>
          </cell>
          <cell r="S4568">
            <v>-8713.15</v>
          </cell>
          <cell r="X4568" t="str">
            <v>Commissions - gross</v>
          </cell>
          <cell r="Y4568" t="str">
            <v>NORWAY</v>
          </cell>
        </row>
        <row r="4569">
          <cell r="L4569" t="str">
            <v>Non-proportional</v>
          </cell>
          <cell r="S4569">
            <v>18650.03</v>
          </cell>
          <cell r="X4569" t="str">
            <v>Commissions - gross</v>
          </cell>
          <cell r="Y4569" t="str">
            <v>FRANCE</v>
          </cell>
        </row>
        <row r="4570">
          <cell r="L4570" t="str">
            <v>Non-proportional</v>
          </cell>
          <cell r="S4570">
            <v>-69262.67</v>
          </cell>
          <cell r="X4570" t="str">
            <v>Commissions - gross</v>
          </cell>
          <cell r="Y4570" t="str">
            <v>UNITED KINGDOM</v>
          </cell>
        </row>
        <row r="4571">
          <cell r="L4571" t="str">
            <v>Non-proportional</v>
          </cell>
          <cell r="S4571">
            <v>-22798.7</v>
          </cell>
          <cell r="X4571" t="str">
            <v>Commissions - gross</v>
          </cell>
          <cell r="Y4571" t="str">
            <v>GERMANY</v>
          </cell>
        </row>
        <row r="4572">
          <cell r="L4572" t="str">
            <v>Non-proportional</v>
          </cell>
          <cell r="S4572">
            <v>7602.16</v>
          </cell>
          <cell r="X4572" t="str">
            <v>Commissions - gross</v>
          </cell>
          <cell r="Y4572" t="str">
            <v>GERMANY</v>
          </cell>
        </row>
        <row r="4573">
          <cell r="L4573" t="str">
            <v>Non-proportional</v>
          </cell>
          <cell r="S4573">
            <v>35300</v>
          </cell>
          <cell r="X4573" t="str">
            <v>Commissions - gross</v>
          </cell>
          <cell r="Y4573" t="str">
            <v>EUROPE</v>
          </cell>
        </row>
        <row r="4574">
          <cell r="L4574" t="str">
            <v>Non-proportional</v>
          </cell>
          <cell r="S4574">
            <v>861.43</v>
          </cell>
          <cell r="X4574" t="str">
            <v>Commissions - gross</v>
          </cell>
          <cell r="Y4574" t="str">
            <v>UNITED KINGDOM</v>
          </cell>
        </row>
        <row r="4575">
          <cell r="L4575" t="str">
            <v>Non-proportional</v>
          </cell>
          <cell r="S4575">
            <v>40333.69</v>
          </cell>
          <cell r="X4575" t="str">
            <v>Commissions - gross</v>
          </cell>
          <cell r="Y4575" t="str">
            <v>FRANCE</v>
          </cell>
        </row>
        <row r="4576">
          <cell r="L4576" t="str">
            <v>Non-proportional</v>
          </cell>
          <cell r="S4576">
            <v>-1048.05</v>
          </cell>
          <cell r="X4576" t="str">
            <v>Commissions - gross</v>
          </cell>
          <cell r="Y4576" t="str">
            <v>SWITZERLAND</v>
          </cell>
        </row>
        <row r="4577">
          <cell r="L4577" t="str">
            <v>Non-proportional</v>
          </cell>
          <cell r="S4577">
            <v>-9235.4500000000007</v>
          </cell>
          <cell r="X4577" t="str">
            <v>Commissions - gross</v>
          </cell>
          <cell r="Y4577" t="str">
            <v>SWITZERLAND</v>
          </cell>
        </row>
        <row r="4578">
          <cell r="L4578" t="str">
            <v>Non-proportional</v>
          </cell>
          <cell r="S4578">
            <v>-9235.4500000000007</v>
          </cell>
          <cell r="X4578" t="str">
            <v>Commissions - gross</v>
          </cell>
          <cell r="Y4578" t="str">
            <v>SWITZERLAND</v>
          </cell>
        </row>
        <row r="4579">
          <cell r="L4579" t="str">
            <v>Non-proportional</v>
          </cell>
          <cell r="S4579">
            <v>-4812.99</v>
          </cell>
          <cell r="X4579" t="str">
            <v>Commissions - gross</v>
          </cell>
          <cell r="Y4579" t="str">
            <v>SWITZERLAND</v>
          </cell>
        </row>
        <row r="4580">
          <cell r="L4580" t="str">
            <v>Non-proportional</v>
          </cell>
          <cell r="S4580">
            <v>242.32</v>
          </cell>
          <cell r="X4580" t="str">
            <v>Commissions - gross</v>
          </cell>
          <cell r="Y4580" t="str">
            <v>SWITZERLAND</v>
          </cell>
        </row>
        <row r="4581">
          <cell r="L4581" t="str">
            <v>Non-proportional</v>
          </cell>
          <cell r="S4581">
            <v>27096.2</v>
          </cell>
          <cell r="X4581" t="str">
            <v>Commissions - gross</v>
          </cell>
          <cell r="Y4581" t="str">
            <v>UNITED KINGDOM</v>
          </cell>
        </row>
        <row r="4582">
          <cell r="L4582" t="str">
            <v>Non-proportional</v>
          </cell>
          <cell r="S4582">
            <v>6800.2</v>
          </cell>
          <cell r="X4582" t="str">
            <v>Commissions - gross</v>
          </cell>
          <cell r="Y4582" t="str">
            <v>UNITED KINGDOM</v>
          </cell>
        </row>
        <row r="4583">
          <cell r="L4583" t="str">
            <v>Non-proportional</v>
          </cell>
          <cell r="S4583">
            <v>7440</v>
          </cell>
          <cell r="X4583" t="str">
            <v>Commissions - gross</v>
          </cell>
          <cell r="Y4583" t="str">
            <v>GERMANY</v>
          </cell>
        </row>
        <row r="4584">
          <cell r="L4584" t="str">
            <v>Non-proportional</v>
          </cell>
          <cell r="S4584">
            <v>314335.06</v>
          </cell>
          <cell r="X4584" t="str">
            <v>Commissions - gross</v>
          </cell>
          <cell r="Y4584" t="str">
            <v>UNITED KINGDOM</v>
          </cell>
        </row>
        <row r="4585">
          <cell r="L4585" t="str">
            <v>Non-proportional</v>
          </cell>
          <cell r="S4585">
            <v>-22680</v>
          </cell>
          <cell r="X4585" t="str">
            <v>Commissions - gross</v>
          </cell>
          <cell r="Y4585" t="str">
            <v>ROMANIA</v>
          </cell>
        </row>
        <row r="4586">
          <cell r="L4586" t="str">
            <v>Non-proportional</v>
          </cell>
          <cell r="S4586">
            <v>134462.5</v>
          </cell>
          <cell r="X4586" t="str">
            <v>Commissions - gross</v>
          </cell>
          <cell r="Y4586" t="str">
            <v>FRANCE</v>
          </cell>
        </row>
        <row r="4587">
          <cell r="L4587" t="str">
            <v>Non-proportional</v>
          </cell>
          <cell r="S4587">
            <v>-21343.37</v>
          </cell>
          <cell r="X4587" t="str">
            <v>Commissions - gross</v>
          </cell>
          <cell r="Y4587" t="str">
            <v>FRANCE</v>
          </cell>
        </row>
        <row r="4588">
          <cell r="L4588" t="str">
            <v>Non-proportional</v>
          </cell>
          <cell r="S4588">
            <v>3814.01</v>
          </cell>
          <cell r="X4588" t="str">
            <v>Commissions - gross</v>
          </cell>
          <cell r="Y4588" t="str">
            <v>FAROE ISLANDS</v>
          </cell>
        </row>
        <row r="4589">
          <cell r="L4589" t="str">
            <v>Non-proportional</v>
          </cell>
          <cell r="S4589">
            <v>-8500.7199999999993</v>
          </cell>
          <cell r="X4589" t="str">
            <v>Commissions - gross</v>
          </cell>
          <cell r="Y4589" t="str">
            <v>NORWAY</v>
          </cell>
        </row>
        <row r="4590">
          <cell r="L4590" t="str">
            <v>Non-proportional</v>
          </cell>
          <cell r="S4590">
            <v>13774.01</v>
          </cell>
          <cell r="X4590" t="str">
            <v>Commissions - gross</v>
          </cell>
          <cell r="Y4590" t="str">
            <v>SWITZERLAND</v>
          </cell>
        </row>
        <row r="4591">
          <cell r="L4591" t="str">
            <v>Non-proportional</v>
          </cell>
          <cell r="S4591">
            <v>9235.4500000000007</v>
          </cell>
          <cell r="X4591" t="str">
            <v>Commissions - gross</v>
          </cell>
          <cell r="Y4591" t="str">
            <v>SWITZERLAND</v>
          </cell>
        </row>
        <row r="4592">
          <cell r="L4592" t="str">
            <v>Non-proportional</v>
          </cell>
          <cell r="S4592">
            <v>19460.41</v>
          </cell>
          <cell r="X4592" t="str">
            <v>Commissions - gross</v>
          </cell>
          <cell r="Y4592" t="str">
            <v>SWITZERLAND</v>
          </cell>
        </row>
        <row r="4593">
          <cell r="L4593" t="str">
            <v>Non-proportional</v>
          </cell>
          <cell r="S4593">
            <v>-4238.18</v>
          </cell>
          <cell r="X4593" t="str">
            <v>Commissions - gross</v>
          </cell>
          <cell r="Y4593" t="str">
            <v>FAROE ISLANDS</v>
          </cell>
        </row>
        <row r="4594">
          <cell r="L4594" t="str">
            <v>Non-proportional</v>
          </cell>
          <cell r="S4594">
            <v>51940.85</v>
          </cell>
          <cell r="X4594" t="str">
            <v>Commissions - gross</v>
          </cell>
          <cell r="Y4594" t="str">
            <v>UNITED KINGDOM</v>
          </cell>
        </row>
        <row r="4595">
          <cell r="L4595" t="str">
            <v>Non-proportional</v>
          </cell>
          <cell r="S4595">
            <v>7102.12</v>
          </cell>
          <cell r="X4595" t="str">
            <v>Commissions - gross</v>
          </cell>
          <cell r="Y4595" t="str">
            <v>SWITZERLAND</v>
          </cell>
        </row>
        <row r="4596">
          <cell r="L4596" t="str">
            <v>Non-proportional</v>
          </cell>
          <cell r="S4596">
            <v>11288.4</v>
          </cell>
          <cell r="X4596" t="str">
            <v>Commissions - gross</v>
          </cell>
          <cell r="Y4596" t="str">
            <v>GERMANY</v>
          </cell>
        </row>
        <row r="4597">
          <cell r="L4597" t="str">
            <v>Non-proportional</v>
          </cell>
          <cell r="S4597">
            <v>14472.8</v>
          </cell>
          <cell r="X4597" t="str">
            <v>Commissions - gross</v>
          </cell>
          <cell r="Y4597" t="str">
            <v>UNITED KINGDOM</v>
          </cell>
        </row>
        <row r="4598">
          <cell r="L4598" t="str">
            <v>Non-proportional</v>
          </cell>
          <cell r="S4598">
            <v>-390</v>
          </cell>
          <cell r="X4598" t="str">
            <v>Commissions - gross</v>
          </cell>
          <cell r="Y4598" t="str">
            <v>GERMANY</v>
          </cell>
        </row>
        <row r="4599">
          <cell r="L4599" t="str">
            <v>Non-proportional</v>
          </cell>
          <cell r="S4599">
            <v>23522.15</v>
          </cell>
          <cell r="X4599" t="str">
            <v>Commissions - gross</v>
          </cell>
          <cell r="Y4599" t="str">
            <v>UNITED KINGDOM</v>
          </cell>
        </row>
        <row r="4600">
          <cell r="L4600" t="str">
            <v>Non-proportional</v>
          </cell>
          <cell r="S4600">
            <v>9296.9</v>
          </cell>
          <cell r="X4600" t="str">
            <v>Commissions - gross</v>
          </cell>
          <cell r="Y4600" t="str">
            <v>SWITZERLAND</v>
          </cell>
        </row>
        <row r="4601">
          <cell r="L4601" t="str">
            <v>Non-proportional</v>
          </cell>
          <cell r="S4601">
            <v>-18360.57</v>
          </cell>
          <cell r="X4601" t="str">
            <v>Commissions - gross</v>
          </cell>
          <cell r="Y4601" t="str">
            <v>UNITED KINGDOM</v>
          </cell>
        </row>
        <row r="4602">
          <cell r="L4602" t="str">
            <v>Non-proportional</v>
          </cell>
          <cell r="S4602">
            <v>-13523.34</v>
          </cell>
          <cell r="X4602" t="str">
            <v>Commissions - gross</v>
          </cell>
          <cell r="Y4602" t="str">
            <v>SWITZERLAND</v>
          </cell>
        </row>
        <row r="4603">
          <cell r="L4603" t="str">
            <v>Non-proportional</v>
          </cell>
          <cell r="S4603">
            <v>39970.43</v>
          </cell>
          <cell r="X4603" t="str">
            <v>Commissions - gross</v>
          </cell>
          <cell r="Y4603" t="str">
            <v>UNITED KINGDOM</v>
          </cell>
        </row>
        <row r="4604">
          <cell r="L4604" t="str">
            <v>Non-proportional</v>
          </cell>
          <cell r="S4604">
            <v>69262.67</v>
          </cell>
          <cell r="X4604" t="str">
            <v>Commissions - gross</v>
          </cell>
          <cell r="Y4604" t="str">
            <v>UNITED KINGDOM</v>
          </cell>
        </row>
        <row r="4605">
          <cell r="L4605" t="str">
            <v>Non-proportional</v>
          </cell>
          <cell r="S4605">
            <v>131.6</v>
          </cell>
          <cell r="X4605" t="str">
            <v>Commissions - gross</v>
          </cell>
          <cell r="Y4605" t="str">
            <v>FRANCE</v>
          </cell>
        </row>
        <row r="4606">
          <cell r="L4606" t="str">
            <v>Non-proportional</v>
          </cell>
          <cell r="S4606">
            <v>-78562.100000000006</v>
          </cell>
          <cell r="X4606" t="str">
            <v>Commissions - gross</v>
          </cell>
          <cell r="Y4606" t="str">
            <v>UNITED KINGDOM</v>
          </cell>
        </row>
        <row r="4607">
          <cell r="L4607" t="str">
            <v>Non-proportional</v>
          </cell>
          <cell r="S4607">
            <v>-3663.9</v>
          </cell>
          <cell r="X4607" t="str">
            <v>Commissions - gross</v>
          </cell>
          <cell r="Y4607" t="str">
            <v>ITALY</v>
          </cell>
        </row>
        <row r="4608">
          <cell r="L4608" t="str">
            <v>Non-proportional</v>
          </cell>
          <cell r="S4608">
            <v>-9097.2000000000007</v>
          </cell>
          <cell r="X4608" t="str">
            <v>Commissions - gross</v>
          </cell>
          <cell r="Y4608" t="str">
            <v>ITALY</v>
          </cell>
        </row>
        <row r="4609">
          <cell r="L4609" t="str">
            <v>Non-proportional</v>
          </cell>
          <cell r="S4609">
            <v>24002.97</v>
          </cell>
          <cell r="X4609" t="str">
            <v>Commissions - gross</v>
          </cell>
          <cell r="Y4609" t="str">
            <v>CZECH REPUBLIC</v>
          </cell>
        </row>
        <row r="4610">
          <cell r="L4610" t="str">
            <v>Non-proportional</v>
          </cell>
          <cell r="S4610">
            <v>26994.48</v>
          </cell>
          <cell r="X4610" t="str">
            <v>Commissions - gross</v>
          </cell>
          <cell r="Y4610" t="str">
            <v>CZECH REPUBLIC</v>
          </cell>
        </row>
        <row r="4611">
          <cell r="L4611" t="str">
            <v>Non-proportional</v>
          </cell>
          <cell r="S4611">
            <v>9835</v>
          </cell>
          <cell r="X4611" t="str">
            <v>Commissions - gross</v>
          </cell>
          <cell r="Y4611" t="str">
            <v>GERMANY</v>
          </cell>
        </row>
        <row r="4612">
          <cell r="L4612" t="str">
            <v>Non-proportional</v>
          </cell>
          <cell r="S4612">
            <v>685542.25</v>
          </cell>
          <cell r="X4612" t="str">
            <v>Commissions - gross</v>
          </cell>
          <cell r="Y4612" t="str">
            <v>UNITED KINGDOM</v>
          </cell>
        </row>
        <row r="4613">
          <cell r="L4613" t="str">
            <v>Non-proportional</v>
          </cell>
          <cell r="S4613">
            <v>24426</v>
          </cell>
          <cell r="X4613" t="str">
            <v>Commissions - gross</v>
          </cell>
          <cell r="Y4613" t="str">
            <v>GERMANY</v>
          </cell>
        </row>
        <row r="4614">
          <cell r="L4614" t="str">
            <v>Non-proportional</v>
          </cell>
          <cell r="S4614">
            <v>1064</v>
          </cell>
          <cell r="X4614" t="str">
            <v>Commissions - gross</v>
          </cell>
          <cell r="Y4614" t="str">
            <v>AUSTRIA</v>
          </cell>
        </row>
        <row r="4615">
          <cell r="L4615" t="str">
            <v>Non-proportional</v>
          </cell>
          <cell r="S4615">
            <v>-5085.57</v>
          </cell>
          <cell r="X4615" t="str">
            <v>Commissions - gross</v>
          </cell>
          <cell r="Y4615" t="str">
            <v>SWITZERLAND</v>
          </cell>
        </row>
        <row r="4616">
          <cell r="L4616" t="str">
            <v>Non-proportional</v>
          </cell>
          <cell r="S4616">
            <v>39970.43</v>
          </cell>
          <cell r="X4616" t="str">
            <v>Commissions - gross</v>
          </cell>
          <cell r="Y4616" t="str">
            <v>UNITED KINGDOM</v>
          </cell>
        </row>
        <row r="4617">
          <cell r="L4617" t="str">
            <v>Non-proportional</v>
          </cell>
          <cell r="S4617">
            <v>20155.73</v>
          </cell>
          <cell r="X4617" t="str">
            <v>Commissions - gross</v>
          </cell>
          <cell r="Y4617" t="str">
            <v>SWITZERLAND</v>
          </cell>
        </row>
        <row r="4618">
          <cell r="L4618" t="str">
            <v>Non-proportional</v>
          </cell>
          <cell r="S4618">
            <v>52722.33</v>
          </cell>
          <cell r="X4618" t="str">
            <v>Commissions - gross</v>
          </cell>
          <cell r="Y4618" t="str">
            <v>UNITED KINGDOM</v>
          </cell>
        </row>
        <row r="4619">
          <cell r="L4619" t="str">
            <v>Proportional</v>
          </cell>
          <cell r="S4619">
            <v>2498.83</v>
          </cell>
          <cell r="X4619" t="str">
            <v>Commissions - gross</v>
          </cell>
          <cell r="Y4619" t="str">
            <v>SWITZERLAND</v>
          </cell>
        </row>
        <row r="4620">
          <cell r="L4620" t="str">
            <v>Non-proportional</v>
          </cell>
          <cell r="S4620">
            <v>1048.05</v>
          </cell>
          <cell r="X4620" t="str">
            <v>Commissions - gross</v>
          </cell>
          <cell r="Y4620" t="str">
            <v>SWITZERLAND</v>
          </cell>
        </row>
        <row r="4621">
          <cell r="L4621" t="str">
            <v>Non-proportional</v>
          </cell>
          <cell r="S4621">
            <v>53753.3</v>
          </cell>
          <cell r="X4621" t="str">
            <v>Commissions - gross</v>
          </cell>
          <cell r="Y4621" t="str">
            <v>UNITED KINGDOM</v>
          </cell>
        </row>
        <row r="4622">
          <cell r="L4622" t="str">
            <v>Non-proportional</v>
          </cell>
          <cell r="S4622">
            <v>-39970.43</v>
          </cell>
          <cell r="X4622" t="str">
            <v>Commissions - gross</v>
          </cell>
          <cell r="Y4622" t="str">
            <v>UNITED KINGDOM</v>
          </cell>
        </row>
        <row r="4623">
          <cell r="L4623" t="str">
            <v>Non-proportional</v>
          </cell>
          <cell r="S4623">
            <v>10605.25</v>
          </cell>
          <cell r="X4623" t="str">
            <v>Commissions - gross</v>
          </cell>
          <cell r="Y4623" t="str">
            <v>GERMANY</v>
          </cell>
        </row>
        <row r="4624">
          <cell r="L4624" t="str">
            <v>Non-proportional</v>
          </cell>
          <cell r="S4624">
            <v>8099.9</v>
          </cell>
          <cell r="X4624" t="str">
            <v>Commissions - gross</v>
          </cell>
          <cell r="Y4624" t="str">
            <v>GERMANY</v>
          </cell>
        </row>
        <row r="4625">
          <cell r="L4625" t="str">
            <v>Non-proportional</v>
          </cell>
          <cell r="S4625">
            <v>49840.43</v>
          </cell>
          <cell r="X4625" t="str">
            <v>Commissions - gross</v>
          </cell>
          <cell r="Y4625" t="str">
            <v>UNITED KINGDOM</v>
          </cell>
        </row>
        <row r="4626">
          <cell r="L4626" t="str">
            <v>Non-proportional</v>
          </cell>
          <cell r="S4626">
            <v>124192.43</v>
          </cell>
          <cell r="X4626" t="str">
            <v>Commissions - gross</v>
          </cell>
          <cell r="Y4626" t="str">
            <v>UNITED KINGDOM</v>
          </cell>
        </row>
        <row r="4627">
          <cell r="L4627" t="str">
            <v>Non-proportional</v>
          </cell>
          <cell r="S4627">
            <v>16081.02</v>
          </cell>
          <cell r="X4627" t="str">
            <v>Commissions - gross</v>
          </cell>
          <cell r="Y4627" t="str">
            <v>DENMARK</v>
          </cell>
        </row>
        <row r="4628">
          <cell r="L4628" t="str">
            <v>Non-proportional</v>
          </cell>
          <cell r="S4628">
            <v>-1048.05</v>
          </cell>
          <cell r="X4628" t="str">
            <v>Commissions - gross</v>
          </cell>
          <cell r="Y4628" t="str">
            <v>SWITZERLAND</v>
          </cell>
        </row>
        <row r="4629">
          <cell r="L4629" t="str">
            <v>Non-proportional</v>
          </cell>
          <cell r="S4629">
            <v>8550</v>
          </cell>
          <cell r="X4629" t="str">
            <v>Commissions - gross</v>
          </cell>
          <cell r="Y4629" t="str">
            <v>GERMANY</v>
          </cell>
        </row>
        <row r="4630">
          <cell r="L4630" t="str">
            <v>Non-proportional</v>
          </cell>
          <cell r="S4630">
            <v>49962.89</v>
          </cell>
          <cell r="X4630" t="str">
            <v>Commissions - gross</v>
          </cell>
          <cell r="Y4630" t="str">
            <v>UNITED KINGDOM</v>
          </cell>
        </row>
        <row r="4631">
          <cell r="L4631" t="str">
            <v>Non-proportional</v>
          </cell>
          <cell r="S4631">
            <v>30090.93</v>
          </cell>
          <cell r="X4631" t="str">
            <v>Commissions - gross</v>
          </cell>
          <cell r="Y4631" t="str">
            <v>UNITED KINGDOM</v>
          </cell>
        </row>
        <row r="4632">
          <cell r="L4632" t="str">
            <v>Non-proportional</v>
          </cell>
          <cell r="S4632">
            <v>421.99</v>
          </cell>
          <cell r="X4632" t="str">
            <v>Commissions - gross</v>
          </cell>
          <cell r="Y4632" t="str">
            <v>GERMANY</v>
          </cell>
        </row>
        <row r="4633">
          <cell r="L4633" t="str">
            <v>Non-proportional</v>
          </cell>
          <cell r="S4633">
            <v>3329.6</v>
          </cell>
          <cell r="X4633" t="str">
            <v>Commissions - gross</v>
          </cell>
          <cell r="Y4633" t="str">
            <v>EUROPE</v>
          </cell>
        </row>
        <row r="4634">
          <cell r="L4634" t="str">
            <v>Non-proportional</v>
          </cell>
          <cell r="S4634">
            <v>-21174.54</v>
          </cell>
          <cell r="X4634" t="str">
            <v>Commissions - gross</v>
          </cell>
          <cell r="Y4634" t="str">
            <v>FRANCE</v>
          </cell>
        </row>
        <row r="4635">
          <cell r="L4635" t="str">
            <v>Non-proportional</v>
          </cell>
          <cell r="S4635">
            <v>114475.69</v>
          </cell>
          <cell r="X4635" t="str">
            <v>Commissions - gross</v>
          </cell>
          <cell r="Y4635" t="str">
            <v>UNITED KINGDOM</v>
          </cell>
        </row>
        <row r="4636">
          <cell r="L4636" t="str">
            <v>Non-proportional</v>
          </cell>
          <cell r="S4636">
            <v>-692.36</v>
          </cell>
          <cell r="X4636" t="str">
            <v>Commissions - gross</v>
          </cell>
          <cell r="Y4636" t="str">
            <v>SWITZERLAND</v>
          </cell>
        </row>
        <row r="4637">
          <cell r="L4637" t="str">
            <v>Non-proportional</v>
          </cell>
          <cell r="S4637">
            <v>-26387</v>
          </cell>
          <cell r="X4637" t="str">
            <v>Commissions - gross</v>
          </cell>
          <cell r="Y4637" t="str">
            <v>SWITZERLAND</v>
          </cell>
        </row>
        <row r="4638">
          <cell r="L4638" t="str">
            <v>Non-proportional</v>
          </cell>
          <cell r="S4638">
            <v>22680</v>
          </cell>
          <cell r="X4638" t="str">
            <v>Commissions - gross</v>
          </cell>
          <cell r="Y4638" t="str">
            <v>ROMANIA</v>
          </cell>
        </row>
        <row r="4639">
          <cell r="L4639" t="str">
            <v>Non-proportional</v>
          </cell>
          <cell r="S4639">
            <v>5826.25</v>
          </cell>
          <cell r="X4639" t="str">
            <v>Commissions - gross</v>
          </cell>
          <cell r="Y4639" t="str">
            <v>SWITZERLAND</v>
          </cell>
        </row>
        <row r="4640">
          <cell r="L4640" t="str">
            <v>Non-proportional</v>
          </cell>
          <cell r="S4640">
            <v>-8500.7199999999993</v>
          </cell>
          <cell r="X4640" t="str">
            <v>Commissions - gross</v>
          </cell>
          <cell r="Y4640" t="str">
            <v>NORWAY</v>
          </cell>
        </row>
        <row r="4641">
          <cell r="L4641" t="str">
            <v>Non-proportional</v>
          </cell>
          <cell r="S4641">
            <v>22798.7</v>
          </cell>
          <cell r="X4641" t="str">
            <v>Commissions - gross</v>
          </cell>
          <cell r="Y4641" t="str">
            <v>GERMANY</v>
          </cell>
        </row>
        <row r="4642">
          <cell r="L4642" t="str">
            <v>Non-proportional</v>
          </cell>
          <cell r="S4642">
            <v>29762.13</v>
          </cell>
          <cell r="X4642" t="str">
            <v>Commissions - gross</v>
          </cell>
          <cell r="Y4642" t="str">
            <v>SWITZERLAND</v>
          </cell>
        </row>
        <row r="4643">
          <cell r="L4643" t="str">
            <v>Non-proportional</v>
          </cell>
          <cell r="S4643">
            <v>32270.26</v>
          </cell>
          <cell r="X4643" t="str">
            <v>Commissions - gross</v>
          </cell>
          <cell r="Y4643" t="str">
            <v>UNITED KINGDOM</v>
          </cell>
        </row>
        <row r="4644">
          <cell r="L4644" t="str">
            <v>Non-proportional</v>
          </cell>
          <cell r="S4644">
            <v>39281.370000000003</v>
          </cell>
          <cell r="X4644" t="str">
            <v>Commissions - gross</v>
          </cell>
          <cell r="Y4644" t="str">
            <v>UNITED KINGDOM</v>
          </cell>
        </row>
        <row r="4645">
          <cell r="L4645" t="str">
            <v>Non-proportional</v>
          </cell>
          <cell r="S4645">
            <v>1</v>
          </cell>
          <cell r="X4645" t="str">
            <v>Commissions - gross</v>
          </cell>
          <cell r="Y4645" t="str">
            <v>FRANCE</v>
          </cell>
        </row>
        <row r="4646">
          <cell r="L4646" t="str">
            <v>Non-proportional</v>
          </cell>
          <cell r="S4646">
            <v>34114.449999999997</v>
          </cell>
          <cell r="X4646" t="str">
            <v>Commissions - gross</v>
          </cell>
          <cell r="Y4646" t="str">
            <v>UNITED KINGDOM</v>
          </cell>
        </row>
        <row r="4647">
          <cell r="L4647" t="str">
            <v>Non-proportional</v>
          </cell>
          <cell r="S4647">
            <v>-9296.9</v>
          </cell>
          <cell r="X4647" t="str">
            <v>Commissions - gross</v>
          </cell>
          <cell r="Y4647" t="str">
            <v>SWITZERLAND</v>
          </cell>
        </row>
        <row r="4648">
          <cell r="L4648" t="str">
            <v>Non-proportional</v>
          </cell>
          <cell r="S4648">
            <v>3225</v>
          </cell>
          <cell r="X4648" t="str">
            <v>Commissions - gross</v>
          </cell>
          <cell r="Y4648" t="str">
            <v>GERMANY</v>
          </cell>
        </row>
        <row r="4649">
          <cell r="L4649" t="str">
            <v>Non-proportional</v>
          </cell>
          <cell r="S4649">
            <v>-17401.830000000002</v>
          </cell>
          <cell r="X4649" t="str">
            <v>Commissions - gross</v>
          </cell>
          <cell r="Y4649" t="str">
            <v>UNITED KINGDOM</v>
          </cell>
        </row>
        <row r="4650">
          <cell r="L4650" t="str">
            <v>Non-proportional</v>
          </cell>
          <cell r="S4650">
            <v>28157.119999999999</v>
          </cell>
          <cell r="X4650" t="str">
            <v>Commissions - gross</v>
          </cell>
          <cell r="Y4650" t="str">
            <v>UNITED KINGDOM</v>
          </cell>
        </row>
        <row r="4651">
          <cell r="L4651" t="str">
            <v>Non-proportional</v>
          </cell>
          <cell r="S4651">
            <v>17558.400000000001</v>
          </cell>
          <cell r="X4651" t="str">
            <v>Commissions - gross</v>
          </cell>
          <cell r="Y4651" t="str">
            <v>GERMANY</v>
          </cell>
        </row>
        <row r="4652">
          <cell r="L4652" t="str">
            <v>Non-proportional</v>
          </cell>
          <cell r="S4652">
            <v>2881.9</v>
          </cell>
          <cell r="X4652" t="str">
            <v>Commissions - gross</v>
          </cell>
          <cell r="Y4652" t="str">
            <v>UNITED KINGDOM</v>
          </cell>
        </row>
        <row r="4653">
          <cell r="L4653" t="str">
            <v>Non-proportional</v>
          </cell>
          <cell r="S4653">
            <v>4101.07</v>
          </cell>
          <cell r="X4653" t="str">
            <v>Commissions - gross</v>
          </cell>
          <cell r="Y4653" t="str">
            <v>ICELAND</v>
          </cell>
        </row>
        <row r="4654">
          <cell r="L4654" t="str">
            <v>Non-proportional</v>
          </cell>
          <cell r="S4654">
            <v>25109.84</v>
          </cell>
          <cell r="X4654" t="str">
            <v>Commissions - gross</v>
          </cell>
          <cell r="Y4654" t="str">
            <v>FRANCE</v>
          </cell>
        </row>
        <row r="4655">
          <cell r="L4655" t="str">
            <v>Non-proportional</v>
          </cell>
          <cell r="S4655">
            <v>930</v>
          </cell>
          <cell r="X4655" t="str">
            <v>Commissions - gross</v>
          </cell>
          <cell r="Y4655" t="str">
            <v>SWITZERLAND</v>
          </cell>
        </row>
        <row r="4656">
          <cell r="L4656" t="str">
            <v>Non-proportional</v>
          </cell>
          <cell r="S4656">
            <v>12510.94</v>
          </cell>
          <cell r="X4656" t="str">
            <v>Commissions - gross</v>
          </cell>
          <cell r="Y4656" t="str">
            <v>FRANCE</v>
          </cell>
        </row>
        <row r="4657">
          <cell r="L4657" t="str">
            <v>Non-proportional</v>
          </cell>
          <cell r="S4657">
            <v>-900</v>
          </cell>
          <cell r="X4657" t="str">
            <v>Commissions - gross</v>
          </cell>
          <cell r="Y4657" t="str">
            <v>GERMANY</v>
          </cell>
        </row>
        <row r="4658">
          <cell r="L4658" t="str">
            <v>Non-proportional</v>
          </cell>
          <cell r="S4658">
            <v>-4879.4799999999996</v>
          </cell>
          <cell r="X4658" t="str">
            <v>Commissions - gross</v>
          </cell>
          <cell r="Y4658" t="str">
            <v>SWITZERLAND</v>
          </cell>
        </row>
        <row r="4659">
          <cell r="L4659" t="str">
            <v>Non-proportional</v>
          </cell>
          <cell r="S4659">
            <v>7245</v>
          </cell>
          <cell r="X4659" t="str">
            <v>Commissions - gross</v>
          </cell>
          <cell r="Y4659" t="str">
            <v>GERMANY</v>
          </cell>
        </row>
        <row r="4660">
          <cell r="L4660" t="str">
            <v>Non-proportional</v>
          </cell>
          <cell r="S4660">
            <v>48240.71</v>
          </cell>
          <cell r="X4660" t="str">
            <v>Commissions - gross</v>
          </cell>
          <cell r="Y4660" t="str">
            <v>SWITZERLAND</v>
          </cell>
        </row>
        <row r="4661">
          <cell r="L4661" t="str">
            <v>Non-proportional</v>
          </cell>
          <cell r="S4661">
            <v>-1286.52</v>
          </cell>
          <cell r="X4661" t="str">
            <v>Commissions - gross</v>
          </cell>
          <cell r="Y4661" t="str">
            <v>DENMARK</v>
          </cell>
        </row>
        <row r="4662">
          <cell r="L4662" t="str">
            <v>Non-proportional</v>
          </cell>
          <cell r="S4662">
            <v>14472.8</v>
          </cell>
          <cell r="X4662" t="str">
            <v>Commissions - gross</v>
          </cell>
          <cell r="Y4662" t="str">
            <v>UNITED KINGDOM</v>
          </cell>
        </row>
        <row r="4663">
          <cell r="L4663" t="str">
            <v>Non-proportional</v>
          </cell>
          <cell r="S4663">
            <v>22798.7</v>
          </cell>
          <cell r="X4663" t="str">
            <v>Commissions - gross</v>
          </cell>
          <cell r="Y4663" t="str">
            <v>GERMANY</v>
          </cell>
        </row>
        <row r="4664">
          <cell r="L4664" t="str">
            <v>Non-proportional</v>
          </cell>
          <cell r="S4664">
            <v>5130.6099999999997</v>
          </cell>
          <cell r="X4664" t="str">
            <v>Commissions - gross</v>
          </cell>
          <cell r="Y4664" t="str">
            <v>GERMANY</v>
          </cell>
        </row>
        <row r="4665">
          <cell r="L4665" t="str">
            <v>Non-proportional</v>
          </cell>
          <cell r="S4665">
            <v>-3915</v>
          </cell>
          <cell r="X4665" t="str">
            <v>Commissions - gross</v>
          </cell>
          <cell r="Y4665" t="str">
            <v>ROMANIA</v>
          </cell>
        </row>
        <row r="4666">
          <cell r="L4666" t="str">
            <v>Non-proportional</v>
          </cell>
          <cell r="S4666">
            <v>8037.71</v>
          </cell>
          <cell r="X4666" t="str">
            <v>Commissions - gross</v>
          </cell>
          <cell r="Y4666" t="str">
            <v>DENMARK</v>
          </cell>
        </row>
        <row r="4667">
          <cell r="L4667" t="str">
            <v>Non-proportional</v>
          </cell>
          <cell r="S4667">
            <v>5348.71</v>
          </cell>
          <cell r="X4667" t="str">
            <v>Commissions - gross</v>
          </cell>
          <cell r="Y4667" t="str">
            <v>DENMARK</v>
          </cell>
        </row>
        <row r="4668">
          <cell r="L4668" t="str">
            <v>Non-proportional</v>
          </cell>
          <cell r="S4668">
            <v>26387</v>
          </cell>
          <cell r="X4668" t="str">
            <v>Commissions - gross</v>
          </cell>
          <cell r="Y4668" t="str">
            <v>SWITZERLAND</v>
          </cell>
        </row>
        <row r="4669">
          <cell r="L4669" t="str">
            <v>Non-proportional</v>
          </cell>
          <cell r="S4669">
            <v>69262.67</v>
          </cell>
          <cell r="X4669" t="str">
            <v>Commissions - gross</v>
          </cell>
          <cell r="Y4669" t="str">
            <v>UNITED KINGDOM</v>
          </cell>
        </row>
        <row r="4670">
          <cell r="L4670" t="str">
            <v>Non-proportional</v>
          </cell>
          <cell r="S4670">
            <v>1206.1199999999999</v>
          </cell>
          <cell r="X4670" t="str">
            <v>Commissions - gross</v>
          </cell>
          <cell r="Y4670" t="str">
            <v>DENMARK</v>
          </cell>
        </row>
        <row r="4671">
          <cell r="L4671" t="str">
            <v>Non-proportional</v>
          </cell>
          <cell r="S4671">
            <v>-39970.43</v>
          </cell>
          <cell r="X4671" t="str">
            <v>Commissions - gross</v>
          </cell>
          <cell r="Y4671" t="str">
            <v>UNITED KINGDOM</v>
          </cell>
        </row>
        <row r="4672">
          <cell r="L4672" t="str">
            <v>Non-proportional</v>
          </cell>
          <cell r="S4672">
            <v>5327.74</v>
          </cell>
          <cell r="X4672" t="str">
            <v>Commissions - gross</v>
          </cell>
          <cell r="Y4672" t="str">
            <v>SWITZERLAND</v>
          </cell>
        </row>
        <row r="4673">
          <cell r="L4673" t="str">
            <v>Non-proportional</v>
          </cell>
          <cell r="S4673">
            <v>-41552.01</v>
          </cell>
          <cell r="X4673" t="str">
            <v>Commissions - gross</v>
          </cell>
          <cell r="Y4673" t="str">
            <v>UNITED KINGDOM</v>
          </cell>
        </row>
        <row r="4674">
          <cell r="L4674" t="str">
            <v>Non-proportional</v>
          </cell>
          <cell r="S4674">
            <v>-55.8</v>
          </cell>
          <cell r="X4674" t="str">
            <v>Commissions - gross</v>
          </cell>
          <cell r="Y4674" t="str">
            <v>SWITZERLAND</v>
          </cell>
        </row>
        <row r="4675">
          <cell r="L4675" t="str">
            <v>Non-proportional</v>
          </cell>
          <cell r="S4675">
            <v>4221.92</v>
          </cell>
          <cell r="X4675" t="str">
            <v>Commissions - gross</v>
          </cell>
          <cell r="Y4675" t="str">
            <v>SWITZERLAND</v>
          </cell>
        </row>
        <row r="4676">
          <cell r="L4676" t="str">
            <v>Non-proportional</v>
          </cell>
          <cell r="S4676">
            <v>7885.48</v>
          </cell>
          <cell r="X4676" t="str">
            <v>Commissions - gross</v>
          </cell>
          <cell r="Y4676" t="str">
            <v>UNITED KINGDOM</v>
          </cell>
        </row>
        <row r="4677">
          <cell r="L4677" t="str">
            <v>Non-proportional</v>
          </cell>
          <cell r="S4677">
            <v>7013.09</v>
          </cell>
          <cell r="X4677" t="str">
            <v>Commissions - gross</v>
          </cell>
          <cell r="Y4677" t="str">
            <v>NORWAY</v>
          </cell>
        </row>
        <row r="4678">
          <cell r="L4678" t="str">
            <v>Non-proportional</v>
          </cell>
          <cell r="S4678">
            <v>6861.17</v>
          </cell>
          <cell r="X4678" t="str">
            <v>Commissions - gross</v>
          </cell>
          <cell r="Y4678" t="str">
            <v>GERMANY</v>
          </cell>
        </row>
        <row r="4679">
          <cell r="L4679" t="str">
            <v>Non-proportional</v>
          </cell>
          <cell r="S4679">
            <v>1350</v>
          </cell>
          <cell r="X4679" t="str">
            <v>Commissions - gross</v>
          </cell>
          <cell r="Y4679" t="str">
            <v>GERMANY</v>
          </cell>
        </row>
        <row r="4680">
          <cell r="L4680" t="str">
            <v>Non-proportional</v>
          </cell>
          <cell r="S4680">
            <v>-1145.68</v>
          </cell>
          <cell r="X4680" t="str">
            <v>Commissions - gross</v>
          </cell>
          <cell r="Y4680" t="str">
            <v>NORWAY</v>
          </cell>
        </row>
        <row r="4681">
          <cell r="L4681" t="str">
            <v>Non-proportional</v>
          </cell>
          <cell r="S4681">
            <v>3600.82</v>
          </cell>
          <cell r="X4681" t="str">
            <v>Commissions - gross</v>
          </cell>
          <cell r="Y4681" t="str">
            <v>GERMANY</v>
          </cell>
        </row>
        <row r="4682">
          <cell r="L4682" t="str">
            <v>Non-proportional</v>
          </cell>
          <cell r="S4682">
            <v>14909.15</v>
          </cell>
          <cell r="X4682" t="str">
            <v>Commissions - gross</v>
          </cell>
          <cell r="Y4682" t="str">
            <v>EUROPE</v>
          </cell>
        </row>
        <row r="4683">
          <cell r="L4683" t="str">
            <v>Non-proportional</v>
          </cell>
          <cell r="S4683">
            <v>20155.73</v>
          </cell>
          <cell r="X4683" t="str">
            <v>Commissions - gross</v>
          </cell>
          <cell r="Y4683" t="str">
            <v>SWITZERLAND</v>
          </cell>
        </row>
        <row r="4684">
          <cell r="L4684" t="str">
            <v>Non-proportional</v>
          </cell>
          <cell r="S4684">
            <v>7440</v>
          </cell>
          <cell r="X4684" t="str">
            <v>Commissions - gross</v>
          </cell>
          <cell r="Y4684" t="str">
            <v>SWITZERLAND</v>
          </cell>
        </row>
        <row r="4685">
          <cell r="L4685" t="str">
            <v>Non-proportional</v>
          </cell>
          <cell r="S4685">
            <v>14658.05</v>
          </cell>
          <cell r="X4685" t="str">
            <v>Commissions - gross</v>
          </cell>
          <cell r="Y4685" t="str">
            <v>REPUBLIC OF IRELAND</v>
          </cell>
        </row>
        <row r="4686">
          <cell r="L4686" t="str">
            <v>Non-proportional</v>
          </cell>
          <cell r="S4686">
            <v>30.01</v>
          </cell>
          <cell r="X4686" t="str">
            <v>Commissions - gross</v>
          </cell>
          <cell r="Y4686" t="str">
            <v>GERMANY</v>
          </cell>
        </row>
        <row r="4687">
          <cell r="L4687" t="str">
            <v>Non-proportional</v>
          </cell>
          <cell r="S4687">
            <v>39281.370000000003</v>
          </cell>
          <cell r="X4687" t="str">
            <v>Commissions - gross</v>
          </cell>
          <cell r="Y4687" t="str">
            <v>UNITED KINGDOM</v>
          </cell>
        </row>
        <row r="4688">
          <cell r="L4688" t="str">
            <v>Non-proportional</v>
          </cell>
          <cell r="S4688">
            <v>69366.27</v>
          </cell>
          <cell r="X4688" t="str">
            <v>Commissions - gross</v>
          </cell>
          <cell r="Y4688" t="str">
            <v>UNITED KINGDOM</v>
          </cell>
        </row>
        <row r="4689">
          <cell r="L4689" t="str">
            <v>Non-proportional</v>
          </cell>
          <cell r="S4689">
            <v>-1567.95</v>
          </cell>
          <cell r="X4689" t="str">
            <v>Commissions - gross</v>
          </cell>
          <cell r="Y4689" t="str">
            <v>DENMARK</v>
          </cell>
        </row>
        <row r="4690">
          <cell r="L4690" t="str">
            <v>Non-proportional</v>
          </cell>
          <cell r="S4690">
            <v>1567.95</v>
          </cell>
          <cell r="X4690" t="str">
            <v>Commissions - gross</v>
          </cell>
          <cell r="Y4690" t="str">
            <v>DENMARK</v>
          </cell>
        </row>
        <row r="4691">
          <cell r="L4691" t="str">
            <v>Non-proportional</v>
          </cell>
          <cell r="S4691">
            <v>86707.83</v>
          </cell>
          <cell r="X4691" t="str">
            <v>Commissions - gross</v>
          </cell>
          <cell r="Y4691" t="str">
            <v>UNITED KINGDOM</v>
          </cell>
        </row>
        <row r="4692">
          <cell r="L4692" t="str">
            <v>Non-proportional</v>
          </cell>
          <cell r="S4692">
            <v>9108</v>
          </cell>
          <cell r="X4692" t="str">
            <v>Commissions - gross</v>
          </cell>
          <cell r="Y4692" t="str">
            <v>GERMANY</v>
          </cell>
        </row>
        <row r="4693">
          <cell r="L4693" t="str">
            <v>Non-proportional</v>
          </cell>
          <cell r="S4693">
            <v>853.01</v>
          </cell>
          <cell r="X4693" t="str">
            <v>Commissions - gross</v>
          </cell>
          <cell r="Y4693" t="str">
            <v>GERMANY</v>
          </cell>
        </row>
        <row r="4694">
          <cell r="L4694" t="str">
            <v>Non-proportional</v>
          </cell>
          <cell r="S4694">
            <v>-19555.900000000001</v>
          </cell>
          <cell r="X4694" t="str">
            <v>Commissions - gross</v>
          </cell>
          <cell r="Y4694" t="str">
            <v>GERMANY</v>
          </cell>
        </row>
        <row r="4695">
          <cell r="L4695" t="str">
            <v>Non-proportional</v>
          </cell>
          <cell r="S4695">
            <v>-6560.55</v>
          </cell>
          <cell r="X4695" t="str">
            <v>Commissions - gross</v>
          </cell>
          <cell r="Y4695" t="str">
            <v>SWITZERLAND</v>
          </cell>
        </row>
        <row r="4696">
          <cell r="L4696" t="str">
            <v>Non-proportional</v>
          </cell>
          <cell r="S4696">
            <v>19599.810000000001</v>
          </cell>
          <cell r="X4696" t="str">
            <v>Commissions - gross</v>
          </cell>
          <cell r="Y4696" t="str">
            <v>DENMARK</v>
          </cell>
        </row>
        <row r="4697">
          <cell r="L4697" t="str">
            <v>Non-proportional</v>
          </cell>
          <cell r="S4697">
            <v>21174.54</v>
          </cell>
          <cell r="X4697" t="str">
            <v>Commissions - gross</v>
          </cell>
          <cell r="Y4697" t="str">
            <v>FRANCE</v>
          </cell>
        </row>
        <row r="4698">
          <cell r="L4698" t="str">
            <v>Non-proportional</v>
          </cell>
          <cell r="S4698">
            <v>-17811.23</v>
          </cell>
          <cell r="X4698" t="str">
            <v>Commissions - gross</v>
          </cell>
          <cell r="Y4698" t="str">
            <v>SWITZERLAND</v>
          </cell>
        </row>
        <row r="4699">
          <cell r="L4699" t="str">
            <v>Non-proportional</v>
          </cell>
          <cell r="S4699">
            <v>-29402.81</v>
          </cell>
          <cell r="X4699" t="str">
            <v>Commissions - gross</v>
          </cell>
          <cell r="Y4699" t="str">
            <v>UNITED KINGDOM</v>
          </cell>
        </row>
        <row r="4700">
          <cell r="L4700" t="str">
            <v>Non-proportional</v>
          </cell>
          <cell r="S4700">
            <v>10738</v>
          </cell>
          <cell r="X4700" t="str">
            <v>Commissions - gross</v>
          </cell>
          <cell r="Y4700" t="str">
            <v>GERMANY</v>
          </cell>
        </row>
        <row r="4701">
          <cell r="L4701" t="str">
            <v>Non-proportional</v>
          </cell>
          <cell r="S4701">
            <v>-1424.9</v>
          </cell>
          <cell r="X4701" t="str">
            <v>Commissions - gross</v>
          </cell>
          <cell r="Y4701" t="str">
            <v>SWITZERLAND</v>
          </cell>
        </row>
        <row r="4702">
          <cell r="L4702" t="str">
            <v>Non-proportional</v>
          </cell>
          <cell r="S4702">
            <v>-372</v>
          </cell>
          <cell r="X4702" t="str">
            <v>Commissions - gross</v>
          </cell>
          <cell r="Y4702" t="str">
            <v>ITALY</v>
          </cell>
        </row>
        <row r="4703">
          <cell r="L4703" t="str">
            <v>Non-proportional</v>
          </cell>
          <cell r="S4703">
            <v>23202.43</v>
          </cell>
          <cell r="X4703" t="str">
            <v>Commissions - gross</v>
          </cell>
          <cell r="Y4703" t="str">
            <v>UNITED KINGDOM</v>
          </cell>
        </row>
        <row r="4704">
          <cell r="L4704" t="str">
            <v>Non-proportional</v>
          </cell>
          <cell r="S4704">
            <v>11701.48</v>
          </cell>
          <cell r="X4704" t="str">
            <v>Commissions - gross</v>
          </cell>
          <cell r="Y4704" t="str">
            <v>GERMANY</v>
          </cell>
        </row>
        <row r="4705">
          <cell r="L4705" t="str">
            <v>Non-proportional</v>
          </cell>
          <cell r="S4705">
            <v>-19460.41</v>
          </cell>
          <cell r="X4705" t="str">
            <v>Commissions - gross</v>
          </cell>
          <cell r="Y4705" t="str">
            <v>SWITZERLAND</v>
          </cell>
        </row>
        <row r="4706">
          <cell r="L4706" t="str">
            <v>Non-proportional</v>
          </cell>
          <cell r="S4706">
            <v>3772</v>
          </cell>
          <cell r="X4706" t="str">
            <v>Commissions - gross</v>
          </cell>
          <cell r="Y4706" t="str">
            <v>GERMANY</v>
          </cell>
        </row>
        <row r="4707">
          <cell r="L4707" t="str">
            <v>Non-proportional</v>
          </cell>
          <cell r="S4707">
            <v>-4879.4799999999996</v>
          </cell>
          <cell r="X4707" t="str">
            <v>Commissions - gross</v>
          </cell>
          <cell r="Y4707" t="str">
            <v>SWITZERLAND</v>
          </cell>
        </row>
        <row r="4708">
          <cell r="L4708" t="str">
            <v>Non-proportional</v>
          </cell>
          <cell r="S4708">
            <v>21959.42</v>
          </cell>
          <cell r="X4708" t="str">
            <v>Commissions - gross</v>
          </cell>
          <cell r="Y4708" t="str">
            <v>SWEDEN</v>
          </cell>
        </row>
        <row r="4709">
          <cell r="L4709" t="str">
            <v>Non-proportional</v>
          </cell>
          <cell r="S4709">
            <v>3690.96</v>
          </cell>
          <cell r="X4709" t="str">
            <v>Commissions - gross</v>
          </cell>
          <cell r="Y4709" t="str">
            <v>ICELAND</v>
          </cell>
        </row>
        <row r="4710">
          <cell r="L4710" t="str">
            <v>Non-proportional</v>
          </cell>
          <cell r="S4710">
            <v>19972.37</v>
          </cell>
          <cell r="X4710" t="str">
            <v>Commissions - gross</v>
          </cell>
          <cell r="Y4710" t="str">
            <v>FRANCE</v>
          </cell>
        </row>
        <row r="4711">
          <cell r="L4711" t="str">
            <v>Non-proportional</v>
          </cell>
          <cell r="S4711">
            <v>96739.28</v>
          </cell>
          <cell r="X4711" t="str">
            <v>Commissions - gross</v>
          </cell>
          <cell r="Y4711" t="str">
            <v>UNITED KINGDOM</v>
          </cell>
        </row>
        <row r="4712">
          <cell r="L4712" t="str">
            <v>Non-proportional</v>
          </cell>
          <cell r="S4712">
            <v>15215.4</v>
          </cell>
          <cell r="X4712" t="str">
            <v>Commissions - gross</v>
          </cell>
          <cell r="Y4712" t="str">
            <v>UNITED KINGDOM</v>
          </cell>
        </row>
        <row r="4713">
          <cell r="L4713" t="str">
            <v>Non-proportional</v>
          </cell>
          <cell r="S4713">
            <v>-83143.460000000006</v>
          </cell>
          <cell r="X4713" t="str">
            <v>Commissions - gross</v>
          </cell>
          <cell r="Y4713" t="str">
            <v>UNITED KINGDOM</v>
          </cell>
        </row>
        <row r="4714">
          <cell r="L4714" t="str">
            <v>Non-proportional</v>
          </cell>
          <cell r="S4714">
            <v>13041.05</v>
          </cell>
          <cell r="X4714" t="str">
            <v>Commissions - gross</v>
          </cell>
          <cell r="Y4714" t="str">
            <v>FRANCE</v>
          </cell>
        </row>
        <row r="4715">
          <cell r="L4715" t="str">
            <v>Non-proportional</v>
          </cell>
          <cell r="S4715">
            <v>-900</v>
          </cell>
          <cell r="X4715" t="str">
            <v>Commissions - gross</v>
          </cell>
          <cell r="Y4715" t="str">
            <v>GERMANY</v>
          </cell>
        </row>
        <row r="4716">
          <cell r="L4716" t="str">
            <v>Non-proportional</v>
          </cell>
          <cell r="S4716">
            <v>-20494.46</v>
          </cell>
          <cell r="X4716" t="str">
            <v>Commissions - gross</v>
          </cell>
          <cell r="Y4716" t="str">
            <v>SWITZERLAND</v>
          </cell>
        </row>
        <row r="4717">
          <cell r="L4717" t="str">
            <v>Non-proportional</v>
          </cell>
          <cell r="S4717">
            <v>-27955</v>
          </cell>
          <cell r="X4717" t="str">
            <v>Commissions - gross</v>
          </cell>
          <cell r="Y4717" t="str">
            <v>CZECH REPUBLIC</v>
          </cell>
        </row>
        <row r="4718">
          <cell r="L4718" t="str">
            <v>Non-proportional</v>
          </cell>
          <cell r="S4718">
            <v>27216</v>
          </cell>
          <cell r="X4718" t="str">
            <v>Commissions - gross</v>
          </cell>
          <cell r="Y4718" t="str">
            <v>ROMANIA</v>
          </cell>
        </row>
        <row r="4719">
          <cell r="L4719" t="str">
            <v>Non-proportional</v>
          </cell>
          <cell r="S4719">
            <v>7550</v>
          </cell>
          <cell r="X4719" t="str">
            <v>Commissions - gross</v>
          </cell>
          <cell r="Y4719" t="str">
            <v>AUSTRIA</v>
          </cell>
        </row>
        <row r="4720">
          <cell r="L4720" t="str">
            <v>Non-proportional</v>
          </cell>
          <cell r="S4720">
            <v>10800</v>
          </cell>
          <cell r="X4720" t="str">
            <v>Commissions - gross</v>
          </cell>
          <cell r="Y4720" t="str">
            <v>GERMANY</v>
          </cell>
        </row>
        <row r="4721">
          <cell r="L4721" t="str">
            <v>Non-proportional</v>
          </cell>
          <cell r="S4721">
            <v>3915</v>
          </cell>
          <cell r="X4721" t="str">
            <v>Commissions - gross</v>
          </cell>
          <cell r="Y4721" t="str">
            <v>ROMANIA</v>
          </cell>
        </row>
        <row r="4722">
          <cell r="L4722" t="str">
            <v>Non-proportional</v>
          </cell>
          <cell r="S4722">
            <v>-4384.76</v>
          </cell>
          <cell r="X4722" t="str">
            <v>Commissions - gross</v>
          </cell>
          <cell r="Y4722" t="str">
            <v>JAPAN</v>
          </cell>
        </row>
        <row r="4723">
          <cell r="L4723" t="str">
            <v>Non-proportional</v>
          </cell>
          <cell r="S4723">
            <v>4384.76</v>
          </cell>
          <cell r="X4723" t="str">
            <v>Commissions - gross</v>
          </cell>
          <cell r="Y4723" t="str">
            <v>JAPAN</v>
          </cell>
        </row>
        <row r="4724">
          <cell r="L4724" t="str">
            <v>Non-proportional</v>
          </cell>
          <cell r="S4724">
            <v>-9291.1299999999992</v>
          </cell>
          <cell r="X4724" t="str">
            <v>Commissions - gross</v>
          </cell>
          <cell r="Y4724" t="str">
            <v>ICELAND</v>
          </cell>
        </row>
        <row r="4725">
          <cell r="L4725" t="str">
            <v>Non-proportional</v>
          </cell>
          <cell r="S4725">
            <v>-20311.86</v>
          </cell>
          <cell r="X4725" t="str">
            <v>Commissions - gross</v>
          </cell>
          <cell r="Y4725" t="str">
            <v>REPUBLIC OF IRELAND</v>
          </cell>
        </row>
        <row r="4726">
          <cell r="L4726" t="str">
            <v>Non-proportional</v>
          </cell>
          <cell r="S4726">
            <v>-18144</v>
          </cell>
          <cell r="X4726" t="str">
            <v>Commissions - gross</v>
          </cell>
          <cell r="Y4726" t="str">
            <v>ROMANIA</v>
          </cell>
        </row>
        <row r="4727">
          <cell r="L4727" t="str">
            <v>Non-proportional</v>
          </cell>
          <cell r="S4727">
            <v>-5480.93</v>
          </cell>
          <cell r="X4727" t="str">
            <v>Commissions - gross</v>
          </cell>
          <cell r="Y4727" t="str">
            <v>DENMARK</v>
          </cell>
        </row>
        <row r="4728">
          <cell r="L4728" t="str">
            <v>Non-proportional</v>
          </cell>
          <cell r="S4728">
            <v>-255149.24</v>
          </cell>
          <cell r="X4728" t="str">
            <v>Commissions - gross</v>
          </cell>
          <cell r="Y4728" t="str">
            <v>UNITED KINGDOM</v>
          </cell>
        </row>
        <row r="4729">
          <cell r="L4729" t="str">
            <v>Non-proportional</v>
          </cell>
          <cell r="S4729">
            <v>-6750</v>
          </cell>
          <cell r="X4729" t="str">
            <v>Commissions - gross</v>
          </cell>
          <cell r="Y4729" t="str">
            <v>GERMANY</v>
          </cell>
        </row>
        <row r="4730">
          <cell r="L4730" t="str">
            <v>Non-proportional</v>
          </cell>
          <cell r="S4730">
            <v>6740</v>
          </cell>
          <cell r="X4730" t="str">
            <v>Commissions - gross</v>
          </cell>
          <cell r="Y4730" t="str">
            <v>SPAIN</v>
          </cell>
        </row>
        <row r="4731">
          <cell r="L4731" t="str">
            <v>Non-proportional</v>
          </cell>
          <cell r="S4731">
            <v>3200</v>
          </cell>
          <cell r="X4731" t="str">
            <v>Commissions - gross</v>
          </cell>
          <cell r="Y4731" t="str">
            <v>GERMANY</v>
          </cell>
        </row>
        <row r="4732">
          <cell r="L4732" t="str">
            <v>Non-proportional</v>
          </cell>
          <cell r="S4732">
            <v>-951.94</v>
          </cell>
          <cell r="X4732" t="str">
            <v>Commissions - gross</v>
          </cell>
          <cell r="Y4732" t="str">
            <v>JAPAN</v>
          </cell>
        </row>
        <row r="4733">
          <cell r="L4733" t="str">
            <v>Non-proportional</v>
          </cell>
          <cell r="S4733">
            <v>-5745</v>
          </cell>
          <cell r="X4733" t="str">
            <v>Commissions - gross</v>
          </cell>
          <cell r="Y4733" t="str">
            <v>FRANCE</v>
          </cell>
        </row>
        <row r="4734">
          <cell r="L4734" t="str">
            <v>Non-proportional</v>
          </cell>
          <cell r="S4734">
            <v>4129.3900000000003</v>
          </cell>
          <cell r="X4734" t="str">
            <v>Commissions - gross</v>
          </cell>
          <cell r="Y4734" t="str">
            <v>ICELAND</v>
          </cell>
        </row>
        <row r="4735">
          <cell r="L4735" t="str">
            <v>Non-proportional</v>
          </cell>
          <cell r="S4735">
            <v>27955</v>
          </cell>
          <cell r="X4735" t="str">
            <v>Commissions - gross</v>
          </cell>
          <cell r="Y4735" t="str">
            <v>CZECH REPUBLIC</v>
          </cell>
        </row>
        <row r="4736">
          <cell r="L4736" t="str">
            <v>Non-proportional</v>
          </cell>
          <cell r="S4736">
            <v>1520</v>
          </cell>
          <cell r="X4736" t="str">
            <v>Commissions - gross</v>
          </cell>
          <cell r="Y4736" t="str">
            <v>GERMANY</v>
          </cell>
        </row>
        <row r="4737">
          <cell r="L4737" t="str">
            <v>Non-proportional</v>
          </cell>
          <cell r="S4737">
            <v>13929.83</v>
          </cell>
          <cell r="X4737" t="str">
            <v>Commissions - gross</v>
          </cell>
          <cell r="Y4737" t="str">
            <v>SWITZERLAND</v>
          </cell>
        </row>
        <row r="4738">
          <cell r="L4738" t="str">
            <v>Non-proportional</v>
          </cell>
          <cell r="S4738">
            <v>-9233.02</v>
          </cell>
          <cell r="X4738" t="str">
            <v>Commissions - gross</v>
          </cell>
          <cell r="Y4738" t="str">
            <v>EUROPE</v>
          </cell>
        </row>
        <row r="4739">
          <cell r="L4739" t="str">
            <v>Non-proportional</v>
          </cell>
          <cell r="S4739">
            <v>-3200</v>
          </cell>
          <cell r="X4739" t="str">
            <v>Commissions - gross</v>
          </cell>
          <cell r="Y4739" t="str">
            <v>GERMANY</v>
          </cell>
        </row>
        <row r="4740">
          <cell r="L4740" t="str">
            <v>Non-proportional</v>
          </cell>
          <cell r="S4740">
            <v>-7345.54</v>
          </cell>
          <cell r="X4740" t="str">
            <v>Commissions - gross</v>
          </cell>
          <cell r="Y4740" t="str">
            <v>DENMARK</v>
          </cell>
        </row>
        <row r="4741">
          <cell r="L4741" t="str">
            <v>Non-proportional</v>
          </cell>
          <cell r="S4741">
            <v>-7240.16</v>
          </cell>
          <cell r="X4741" t="str">
            <v>Commissions - gross</v>
          </cell>
          <cell r="Y4741" t="str">
            <v>DENMARK</v>
          </cell>
        </row>
        <row r="4742">
          <cell r="L4742" t="str">
            <v>Non-proportional</v>
          </cell>
          <cell r="S4742">
            <v>-104828.75</v>
          </cell>
          <cell r="X4742" t="str">
            <v>Commissions - gross</v>
          </cell>
          <cell r="Y4742" t="str">
            <v>UNITED KINGDOM</v>
          </cell>
        </row>
        <row r="4743">
          <cell r="L4743" t="str">
            <v>Non-proportional</v>
          </cell>
          <cell r="S4743">
            <v>13283.5</v>
          </cell>
          <cell r="X4743" t="str">
            <v>Commissions - gross</v>
          </cell>
          <cell r="Y4743" t="str">
            <v>SWEDEN</v>
          </cell>
        </row>
        <row r="4744">
          <cell r="L4744" t="str">
            <v>Non-proportional</v>
          </cell>
          <cell r="S4744">
            <v>10710</v>
          </cell>
          <cell r="X4744" t="str">
            <v>Commissions - gross</v>
          </cell>
          <cell r="Y4744" t="str">
            <v>CZECH REPUBLIC</v>
          </cell>
        </row>
        <row r="4745">
          <cell r="L4745" t="str">
            <v>Non-proportional</v>
          </cell>
          <cell r="S4745">
            <v>-2094</v>
          </cell>
          <cell r="X4745" t="str">
            <v>Commissions - gross</v>
          </cell>
          <cell r="Y4745" t="str">
            <v>REPUBLIC OF IRELAND</v>
          </cell>
        </row>
        <row r="4746">
          <cell r="L4746" t="str">
            <v>Non-proportional</v>
          </cell>
          <cell r="S4746">
            <v>-18144</v>
          </cell>
          <cell r="X4746" t="str">
            <v>Commissions - gross</v>
          </cell>
          <cell r="Y4746" t="str">
            <v>ROMANIA</v>
          </cell>
        </row>
        <row r="4747">
          <cell r="L4747" t="str">
            <v>Non-proportional</v>
          </cell>
          <cell r="S4747">
            <v>-13929.83</v>
          </cell>
          <cell r="X4747" t="str">
            <v>Commissions - gross</v>
          </cell>
          <cell r="Y4747" t="str">
            <v>SWITZERLAND</v>
          </cell>
        </row>
        <row r="4748">
          <cell r="L4748" t="str">
            <v>Non-proportional</v>
          </cell>
          <cell r="S4748">
            <v>22680</v>
          </cell>
          <cell r="X4748" t="str">
            <v>Commissions - gross</v>
          </cell>
          <cell r="Y4748" t="str">
            <v>ROMANIA</v>
          </cell>
        </row>
        <row r="4749">
          <cell r="L4749" t="str">
            <v>Non-proportional</v>
          </cell>
          <cell r="S4749">
            <v>170</v>
          </cell>
          <cell r="X4749" t="str">
            <v>Commissions - gross</v>
          </cell>
          <cell r="Y4749" t="str">
            <v>FRANCE</v>
          </cell>
        </row>
        <row r="4750">
          <cell r="L4750" t="str">
            <v>Non-proportional</v>
          </cell>
          <cell r="S4750">
            <v>7345.54</v>
          </cell>
          <cell r="X4750" t="str">
            <v>Commissions - gross</v>
          </cell>
          <cell r="Y4750" t="str">
            <v>DENMARK</v>
          </cell>
        </row>
        <row r="4751">
          <cell r="L4751" t="str">
            <v>Non-proportional</v>
          </cell>
          <cell r="S4751">
            <v>18650.02</v>
          </cell>
          <cell r="X4751" t="str">
            <v>Commissions - gross</v>
          </cell>
          <cell r="Y4751" t="str">
            <v>FRANCE</v>
          </cell>
        </row>
        <row r="4752">
          <cell r="L4752" t="str">
            <v>Non-proportional</v>
          </cell>
          <cell r="S4752">
            <v>3070.63</v>
          </cell>
          <cell r="X4752" t="str">
            <v>Commissions - gross</v>
          </cell>
          <cell r="Y4752" t="str">
            <v>FRANCE</v>
          </cell>
        </row>
        <row r="4753">
          <cell r="L4753" t="str">
            <v>Non-proportional</v>
          </cell>
          <cell r="S4753">
            <v>-18144</v>
          </cell>
          <cell r="X4753" t="str">
            <v>Commissions - gross</v>
          </cell>
          <cell r="Y4753" t="str">
            <v>ROMANIA</v>
          </cell>
        </row>
        <row r="4754">
          <cell r="L4754" t="str">
            <v>Non-proportional</v>
          </cell>
          <cell r="S4754">
            <v>4867.4399999999996</v>
          </cell>
          <cell r="X4754" t="str">
            <v>Commissions - gross</v>
          </cell>
          <cell r="Y4754" t="str">
            <v>SWITZERLAND</v>
          </cell>
        </row>
        <row r="4755">
          <cell r="L4755" t="str">
            <v>Non-proportional</v>
          </cell>
          <cell r="S4755">
            <v>5480.93</v>
          </cell>
          <cell r="X4755" t="str">
            <v>Commissions - gross</v>
          </cell>
          <cell r="Y4755" t="str">
            <v>DENMARK</v>
          </cell>
        </row>
        <row r="4756">
          <cell r="L4756" t="str">
            <v>Non-proportional</v>
          </cell>
          <cell r="S4756">
            <v>-2608.4</v>
          </cell>
          <cell r="X4756" t="str">
            <v>Commissions - gross</v>
          </cell>
          <cell r="Y4756" t="str">
            <v>SWEDEN</v>
          </cell>
        </row>
        <row r="4757">
          <cell r="L4757" t="str">
            <v>Non-proportional</v>
          </cell>
          <cell r="S4757">
            <v>27955</v>
          </cell>
          <cell r="X4757" t="str">
            <v>Commissions - gross</v>
          </cell>
          <cell r="Y4757" t="str">
            <v>CZECH REPUBLIC</v>
          </cell>
        </row>
        <row r="4758">
          <cell r="L4758" t="str">
            <v>Non-proportional</v>
          </cell>
          <cell r="S4758">
            <v>-9183.7199999999993</v>
          </cell>
          <cell r="X4758" t="str">
            <v>Commissions - gross</v>
          </cell>
          <cell r="Y4758" t="str">
            <v>SLOVENIA</v>
          </cell>
        </row>
        <row r="4759">
          <cell r="L4759" t="str">
            <v>Non-proportional</v>
          </cell>
          <cell r="S4759">
            <v>8250</v>
          </cell>
          <cell r="X4759" t="str">
            <v>Commissions - gross</v>
          </cell>
          <cell r="Y4759" t="str">
            <v>GERMANY</v>
          </cell>
        </row>
        <row r="4760">
          <cell r="L4760" t="str">
            <v>Non-proportional</v>
          </cell>
          <cell r="S4760">
            <v>-4800</v>
          </cell>
          <cell r="X4760" t="str">
            <v>Commissions - gross</v>
          </cell>
          <cell r="Y4760" t="str">
            <v>GERMANY</v>
          </cell>
        </row>
        <row r="4761">
          <cell r="L4761" t="str">
            <v>Non-proportional</v>
          </cell>
          <cell r="S4761">
            <v>20311.86</v>
          </cell>
          <cell r="X4761" t="str">
            <v>Commissions - gross</v>
          </cell>
          <cell r="Y4761" t="str">
            <v>REPUBLIC OF IRELAND</v>
          </cell>
        </row>
        <row r="4762">
          <cell r="L4762" t="str">
            <v>Non-proportional</v>
          </cell>
          <cell r="S4762">
            <v>-70149.23</v>
          </cell>
          <cell r="X4762" t="str">
            <v>Commissions - gross</v>
          </cell>
          <cell r="Y4762" t="str">
            <v>REPUBLIC OF IRELAND</v>
          </cell>
        </row>
        <row r="4763">
          <cell r="L4763" t="str">
            <v>Proportional</v>
          </cell>
          <cell r="S4763">
            <v>-2498.83</v>
          </cell>
          <cell r="X4763" t="str">
            <v>Commissions - gross</v>
          </cell>
          <cell r="Y4763" t="str">
            <v>SWITZERLAND</v>
          </cell>
        </row>
        <row r="4764">
          <cell r="L4764" t="str">
            <v>Non-proportional</v>
          </cell>
          <cell r="S4764">
            <v>-14403</v>
          </cell>
          <cell r="X4764" t="str">
            <v>Commissions - gross</v>
          </cell>
          <cell r="Y4764" t="str">
            <v>AUSTRIA</v>
          </cell>
        </row>
        <row r="4765">
          <cell r="L4765" t="str">
            <v>Non-proportional</v>
          </cell>
          <cell r="S4765">
            <v>7240.16</v>
          </cell>
          <cell r="X4765" t="str">
            <v>Commissions - gross</v>
          </cell>
          <cell r="Y4765" t="str">
            <v>DENMARK</v>
          </cell>
        </row>
        <row r="4766">
          <cell r="L4766" t="str">
            <v>Non-proportional</v>
          </cell>
          <cell r="S4766">
            <v>263060.84000000003</v>
          </cell>
          <cell r="X4766" t="str">
            <v>Commissions - gross</v>
          </cell>
          <cell r="Y4766" t="str">
            <v>UNITED KINGDOM</v>
          </cell>
        </row>
        <row r="4767">
          <cell r="L4767" t="str">
            <v>Non-proportional</v>
          </cell>
          <cell r="S4767">
            <v>-18650.03</v>
          </cell>
          <cell r="X4767" t="str">
            <v>Commissions - gross</v>
          </cell>
          <cell r="Y4767" t="str">
            <v>FRANCE</v>
          </cell>
        </row>
        <row r="4768">
          <cell r="L4768" t="str">
            <v>Non-proportional</v>
          </cell>
          <cell r="S4768">
            <v>-37260</v>
          </cell>
          <cell r="X4768" t="str">
            <v>Commissions - gross</v>
          </cell>
          <cell r="Y4768" t="str">
            <v>CZECH REPUBLIC</v>
          </cell>
        </row>
        <row r="4769">
          <cell r="L4769" t="str">
            <v>Non-proportional</v>
          </cell>
          <cell r="S4769">
            <v>18144</v>
          </cell>
          <cell r="X4769" t="str">
            <v>Commissions - gross</v>
          </cell>
          <cell r="Y4769" t="str">
            <v>ROMANIA</v>
          </cell>
        </row>
        <row r="4770">
          <cell r="L4770" t="str">
            <v>Non-proportional</v>
          </cell>
          <cell r="S4770">
            <v>9680</v>
          </cell>
          <cell r="X4770" t="str">
            <v>Commissions - gross</v>
          </cell>
          <cell r="Y4770" t="str">
            <v>GERMANY</v>
          </cell>
        </row>
        <row r="4771">
          <cell r="L4771" t="str">
            <v>Non-proportional</v>
          </cell>
          <cell r="S4771">
            <v>110</v>
          </cell>
          <cell r="X4771" t="str">
            <v>Commissions - gross</v>
          </cell>
          <cell r="Y4771" t="str">
            <v>FRANCE</v>
          </cell>
        </row>
        <row r="4772">
          <cell r="L4772" t="str">
            <v>Non-proportional</v>
          </cell>
          <cell r="S4772">
            <v>-11205</v>
          </cell>
          <cell r="X4772" t="str">
            <v>Commissions - gross</v>
          </cell>
          <cell r="Y4772" t="str">
            <v>FRANCE</v>
          </cell>
        </row>
        <row r="4773">
          <cell r="L4773" t="str">
            <v>Non-proportional</v>
          </cell>
          <cell r="S4773">
            <v>4129.3900000000003</v>
          </cell>
          <cell r="X4773" t="str">
            <v>Commissions - gross</v>
          </cell>
          <cell r="Y4773" t="str">
            <v>ICELAND</v>
          </cell>
        </row>
        <row r="4774">
          <cell r="L4774" t="str">
            <v>Non-proportional</v>
          </cell>
          <cell r="S4774">
            <v>18144</v>
          </cell>
          <cell r="X4774" t="str">
            <v>Commissions - gross</v>
          </cell>
          <cell r="Y4774" t="str">
            <v>ROMANIA</v>
          </cell>
        </row>
        <row r="4775">
          <cell r="L4775" t="str">
            <v>Non-proportional</v>
          </cell>
          <cell r="S4775">
            <v>2608.4</v>
          </cell>
          <cell r="X4775" t="str">
            <v>Commissions - gross</v>
          </cell>
          <cell r="Y4775" t="str">
            <v>SWEDEN</v>
          </cell>
        </row>
        <row r="4776">
          <cell r="L4776" t="str">
            <v>Non-proportional</v>
          </cell>
          <cell r="S4776">
            <v>21186</v>
          </cell>
          <cell r="X4776" t="str">
            <v>Commissions - gross</v>
          </cell>
          <cell r="Y4776" t="str">
            <v>FRANCE</v>
          </cell>
        </row>
        <row r="4777">
          <cell r="L4777" t="str">
            <v>Non-proportional</v>
          </cell>
          <cell r="S4777">
            <v>-13041.05</v>
          </cell>
          <cell r="X4777" t="str">
            <v>Commissions - gross</v>
          </cell>
          <cell r="Y4777" t="str">
            <v>FRANCE</v>
          </cell>
        </row>
        <row r="4778">
          <cell r="L4778" t="str">
            <v>Non-proportional</v>
          </cell>
          <cell r="S4778">
            <v>-24295</v>
          </cell>
          <cell r="X4778" t="str">
            <v>Commissions - gross</v>
          </cell>
          <cell r="Y4778" t="str">
            <v>CZECH REPUBLIC</v>
          </cell>
        </row>
        <row r="4779">
          <cell r="L4779" t="str">
            <v>Non-proportional</v>
          </cell>
          <cell r="S4779">
            <v>-3750</v>
          </cell>
          <cell r="X4779" t="str">
            <v>Commissions - gross</v>
          </cell>
          <cell r="Y4779" t="str">
            <v>GERMANY</v>
          </cell>
        </row>
        <row r="4780">
          <cell r="L4780" t="str">
            <v>Non-proportional</v>
          </cell>
          <cell r="S4780">
            <v>-4548.5600000000004</v>
          </cell>
          <cell r="X4780" t="str">
            <v>Commissions - gross</v>
          </cell>
          <cell r="Y4780" t="str">
            <v>DENMARK</v>
          </cell>
        </row>
        <row r="4781">
          <cell r="L4781" t="str">
            <v>Non-proportional</v>
          </cell>
          <cell r="S4781">
            <v>1287.1400000000001</v>
          </cell>
          <cell r="X4781" t="str">
            <v>Commissions - gross</v>
          </cell>
          <cell r="Y4781" t="str">
            <v>DENMARK</v>
          </cell>
        </row>
        <row r="4782">
          <cell r="L4782" t="str">
            <v>Non-proportional</v>
          </cell>
          <cell r="S4782">
            <v>-10800</v>
          </cell>
          <cell r="X4782" t="str">
            <v>Commissions - gross</v>
          </cell>
          <cell r="Y4782" t="str">
            <v>GERMANY</v>
          </cell>
        </row>
        <row r="4783">
          <cell r="L4783" t="str">
            <v>Non-proportional</v>
          </cell>
          <cell r="S4783">
            <v>-3362.37</v>
          </cell>
          <cell r="X4783" t="str">
            <v>Commissions - gross</v>
          </cell>
          <cell r="Y4783" t="str">
            <v>SWITZERLAND</v>
          </cell>
        </row>
        <row r="4784">
          <cell r="L4784" t="str">
            <v>Non-proportional</v>
          </cell>
          <cell r="S4784">
            <v>7042.5</v>
          </cell>
          <cell r="X4784" t="str">
            <v>Commissions - gross</v>
          </cell>
          <cell r="Y4784" t="str">
            <v>FRANCE</v>
          </cell>
        </row>
        <row r="4785">
          <cell r="L4785" t="str">
            <v>Non-proportional</v>
          </cell>
          <cell r="S4785">
            <v>-3132</v>
          </cell>
          <cell r="X4785" t="str">
            <v>Commissions - gross</v>
          </cell>
          <cell r="Y4785" t="str">
            <v>ROMANIA</v>
          </cell>
        </row>
        <row r="4786">
          <cell r="L4786" t="str">
            <v>Non-proportional</v>
          </cell>
          <cell r="S4786">
            <v>2498.83</v>
          </cell>
          <cell r="X4786" t="str">
            <v>Commissions - gross</v>
          </cell>
          <cell r="Y4786" t="str">
            <v>GERMANY</v>
          </cell>
        </row>
        <row r="4787">
          <cell r="L4787" t="str">
            <v>Non-proportional</v>
          </cell>
          <cell r="S4787">
            <v>-110</v>
          </cell>
          <cell r="X4787" t="str">
            <v>Commissions - gross</v>
          </cell>
          <cell r="Y4787" t="str">
            <v>FRANCE</v>
          </cell>
        </row>
        <row r="4788">
          <cell r="L4788" t="str">
            <v>Non-proportional</v>
          </cell>
          <cell r="S4788">
            <v>-13283.5</v>
          </cell>
          <cell r="X4788" t="str">
            <v>Commissions - gross</v>
          </cell>
          <cell r="Y4788" t="str">
            <v>SWEDEN</v>
          </cell>
        </row>
        <row r="4789">
          <cell r="L4789" t="str">
            <v>Non-proportional</v>
          </cell>
          <cell r="S4789">
            <v>-199.84</v>
          </cell>
          <cell r="X4789" t="str">
            <v>Commissions - gross</v>
          </cell>
          <cell r="Y4789" t="str">
            <v>FRANCE</v>
          </cell>
        </row>
        <row r="4790">
          <cell r="L4790" t="str">
            <v>Non-proportional</v>
          </cell>
          <cell r="S4790">
            <v>18144</v>
          </cell>
          <cell r="X4790" t="str">
            <v>Commissions - gross</v>
          </cell>
          <cell r="Y4790" t="str">
            <v>ROMANIA</v>
          </cell>
        </row>
        <row r="4791">
          <cell r="L4791" t="str">
            <v>Non-proportional</v>
          </cell>
          <cell r="S4791">
            <v>4483.16</v>
          </cell>
          <cell r="X4791" t="str">
            <v>Commissions - gross</v>
          </cell>
          <cell r="Y4791" t="str">
            <v>SWITZERLAND</v>
          </cell>
        </row>
        <row r="4792">
          <cell r="L4792" t="str">
            <v>Non-proportional</v>
          </cell>
          <cell r="S4792">
            <v>-11834.39</v>
          </cell>
          <cell r="X4792" t="str">
            <v>Commissions - gross</v>
          </cell>
          <cell r="Y4792" t="str">
            <v>SWEDEN</v>
          </cell>
        </row>
        <row r="4793">
          <cell r="L4793" t="str">
            <v>Non-proportional</v>
          </cell>
          <cell r="S4793">
            <v>16905</v>
          </cell>
          <cell r="X4793" t="str">
            <v>Commissions - gross</v>
          </cell>
          <cell r="Y4793" t="str">
            <v>AUSTRIA</v>
          </cell>
        </row>
        <row r="4794">
          <cell r="L4794" t="str">
            <v>Non-proportional</v>
          </cell>
          <cell r="S4794">
            <v>319.95</v>
          </cell>
          <cell r="X4794" t="str">
            <v>Commissions - gross</v>
          </cell>
          <cell r="Y4794" t="str">
            <v>DENMARK</v>
          </cell>
        </row>
        <row r="4795">
          <cell r="L4795" t="str">
            <v>Non-proportional</v>
          </cell>
          <cell r="S4795">
            <v>282.69</v>
          </cell>
          <cell r="X4795" t="str">
            <v>Commissions - gross</v>
          </cell>
          <cell r="Y4795" t="str">
            <v>FRANCE</v>
          </cell>
        </row>
        <row r="4796">
          <cell r="L4796" t="str">
            <v>Non-proportional</v>
          </cell>
          <cell r="S4796">
            <v>104828.75</v>
          </cell>
          <cell r="X4796" t="str">
            <v>Commissions - gross</v>
          </cell>
          <cell r="Y4796" t="str">
            <v>UNITED KINGDOM</v>
          </cell>
        </row>
        <row r="4797">
          <cell r="L4797" t="str">
            <v>Non-proportional</v>
          </cell>
          <cell r="S4797">
            <v>-8718.75</v>
          </cell>
          <cell r="X4797" t="str">
            <v>Commissions - gross</v>
          </cell>
          <cell r="Y4797" t="str">
            <v>GERMANY</v>
          </cell>
        </row>
        <row r="4798">
          <cell r="L4798" t="str">
            <v>Non-proportional</v>
          </cell>
          <cell r="S4798">
            <v>11834.39</v>
          </cell>
          <cell r="X4798" t="str">
            <v>Commissions - gross</v>
          </cell>
          <cell r="Y4798" t="str">
            <v>SWEDEN</v>
          </cell>
        </row>
        <row r="4799">
          <cell r="L4799" t="str">
            <v>Non-proportional</v>
          </cell>
          <cell r="S4799">
            <v>-4050</v>
          </cell>
          <cell r="X4799" t="str">
            <v>Commissions - gross</v>
          </cell>
          <cell r="Y4799" t="str">
            <v>GERMANY</v>
          </cell>
        </row>
        <row r="4800">
          <cell r="L4800" t="str">
            <v>Non-proportional</v>
          </cell>
          <cell r="S4800">
            <v>2509.73</v>
          </cell>
          <cell r="X4800" t="str">
            <v>Commissions - gross</v>
          </cell>
          <cell r="Y4800" t="str">
            <v>JAPAN</v>
          </cell>
        </row>
        <row r="4801">
          <cell r="L4801" t="str">
            <v>Non-proportional</v>
          </cell>
          <cell r="S4801">
            <v>-18144</v>
          </cell>
          <cell r="X4801" t="str">
            <v>Commissions - gross</v>
          </cell>
          <cell r="Y4801" t="str">
            <v>ROMANIA</v>
          </cell>
        </row>
        <row r="4802">
          <cell r="L4802" t="str">
            <v>Non-proportional</v>
          </cell>
          <cell r="S4802">
            <v>11205</v>
          </cell>
          <cell r="X4802" t="str">
            <v>Commissions - gross</v>
          </cell>
          <cell r="Y4802" t="str">
            <v>FRANCE</v>
          </cell>
        </row>
        <row r="4803">
          <cell r="L4803" t="str">
            <v>Non-proportional</v>
          </cell>
          <cell r="S4803">
            <v>-56221.27</v>
          </cell>
          <cell r="X4803" t="str">
            <v>Commissions - gross</v>
          </cell>
          <cell r="Y4803" t="str">
            <v>UNITED KINGDOM</v>
          </cell>
        </row>
        <row r="4804">
          <cell r="L4804" t="str">
            <v>Non-proportional</v>
          </cell>
          <cell r="S4804">
            <v>20494.46</v>
          </cell>
          <cell r="X4804" t="str">
            <v>Commissions - gross</v>
          </cell>
          <cell r="Y4804" t="str">
            <v>SWITZERLAND</v>
          </cell>
        </row>
        <row r="4805">
          <cell r="L4805" t="str">
            <v>Non-proportional</v>
          </cell>
          <cell r="S4805">
            <v>-3070.63</v>
          </cell>
          <cell r="X4805" t="str">
            <v>Commissions - gross</v>
          </cell>
          <cell r="Y4805" t="str">
            <v>FRANCE</v>
          </cell>
        </row>
        <row r="4806">
          <cell r="L4806" t="str">
            <v>Non-proportional</v>
          </cell>
          <cell r="S4806">
            <v>-23400</v>
          </cell>
          <cell r="X4806" t="str">
            <v>Commissions - gross</v>
          </cell>
          <cell r="Y4806" t="str">
            <v>GERMANY</v>
          </cell>
        </row>
        <row r="4807">
          <cell r="L4807" t="str">
            <v>Non-proportional</v>
          </cell>
          <cell r="S4807">
            <v>-37260</v>
          </cell>
          <cell r="X4807" t="str">
            <v>Commissions - gross</v>
          </cell>
          <cell r="Y4807" t="str">
            <v>CZECH REPUBLIC</v>
          </cell>
        </row>
        <row r="4808">
          <cell r="L4808" t="str">
            <v>Non-proportional</v>
          </cell>
          <cell r="S4808">
            <v>-5657.5</v>
          </cell>
          <cell r="X4808" t="str">
            <v>Commissions - gross</v>
          </cell>
          <cell r="Y4808" t="str">
            <v>AUSTRIA</v>
          </cell>
        </row>
        <row r="4809">
          <cell r="L4809" t="str">
            <v>Non-proportional</v>
          </cell>
          <cell r="S4809">
            <v>20317.5</v>
          </cell>
          <cell r="X4809" t="str">
            <v>Commissions - gross</v>
          </cell>
          <cell r="Y4809" t="str">
            <v>FRANCE</v>
          </cell>
        </row>
        <row r="4810">
          <cell r="L4810" t="str">
            <v>Non-proportional</v>
          </cell>
          <cell r="S4810">
            <v>-11400</v>
          </cell>
          <cell r="X4810" t="str">
            <v>Commissions - gross</v>
          </cell>
          <cell r="Y4810" t="str">
            <v>GERMANY</v>
          </cell>
        </row>
        <row r="4811">
          <cell r="L4811" t="str">
            <v>Non-proportional</v>
          </cell>
          <cell r="S4811">
            <v>-15852.5</v>
          </cell>
          <cell r="X4811" t="str">
            <v>Commissions - gross</v>
          </cell>
          <cell r="Y4811" t="str">
            <v>FRANCE</v>
          </cell>
        </row>
        <row r="4812">
          <cell r="L4812" t="str">
            <v>Non-proportional</v>
          </cell>
          <cell r="S4812">
            <v>-27691.07</v>
          </cell>
          <cell r="X4812" t="str">
            <v>Commissions - gross</v>
          </cell>
          <cell r="Y4812" t="str">
            <v>UNITED KINGDOM</v>
          </cell>
        </row>
        <row r="4813">
          <cell r="L4813" t="str">
            <v>Non-proportional</v>
          </cell>
          <cell r="S4813">
            <v>-4269.68</v>
          </cell>
          <cell r="X4813" t="str">
            <v>Commissions - gross</v>
          </cell>
          <cell r="Y4813" t="str">
            <v>SWITZERLAND</v>
          </cell>
        </row>
        <row r="4814">
          <cell r="L4814" t="str">
            <v>Non-proportional</v>
          </cell>
          <cell r="S4814">
            <v>24500</v>
          </cell>
          <cell r="X4814" t="str">
            <v>Commissions - gross</v>
          </cell>
          <cell r="Y4814" t="str">
            <v>GERMANY</v>
          </cell>
        </row>
        <row r="4815">
          <cell r="L4815" t="str">
            <v>Non-proportional</v>
          </cell>
          <cell r="S4815">
            <v>5727.89</v>
          </cell>
          <cell r="X4815" t="str">
            <v>Commissions - gross</v>
          </cell>
          <cell r="Y4815" t="str">
            <v>NORWAY</v>
          </cell>
        </row>
        <row r="4816">
          <cell r="L4816" t="str">
            <v>Non-proportional</v>
          </cell>
          <cell r="S4816">
            <v>1350</v>
          </cell>
          <cell r="X4816" t="str">
            <v>Commissions - gross</v>
          </cell>
          <cell r="Y4816" t="str">
            <v>GERMANY</v>
          </cell>
        </row>
        <row r="4817">
          <cell r="L4817" t="str">
            <v>Non-proportional</v>
          </cell>
          <cell r="S4817">
            <v>3750</v>
          </cell>
          <cell r="X4817" t="str">
            <v>Commissions - gross</v>
          </cell>
          <cell r="Y4817" t="str">
            <v>GERMANY</v>
          </cell>
        </row>
        <row r="4818">
          <cell r="L4818" t="str">
            <v>Non-proportional</v>
          </cell>
          <cell r="S4818">
            <v>6758.86</v>
          </cell>
          <cell r="X4818" t="str">
            <v>Commissions - gross</v>
          </cell>
          <cell r="Y4818" t="str">
            <v>FRANCE</v>
          </cell>
        </row>
        <row r="4819">
          <cell r="L4819" t="str">
            <v>Non-proportional</v>
          </cell>
          <cell r="S4819">
            <v>4269.68</v>
          </cell>
          <cell r="X4819" t="str">
            <v>Commissions - gross</v>
          </cell>
          <cell r="Y4819" t="str">
            <v>SWITZERLAND</v>
          </cell>
        </row>
        <row r="4820">
          <cell r="L4820" t="str">
            <v>Non-proportional</v>
          </cell>
          <cell r="S4820">
            <v>-6641.75</v>
          </cell>
          <cell r="X4820" t="str">
            <v>Commissions - gross</v>
          </cell>
          <cell r="Y4820" t="str">
            <v>SWEDEN</v>
          </cell>
        </row>
        <row r="4821">
          <cell r="L4821" t="str">
            <v>Non-proportional</v>
          </cell>
          <cell r="S4821">
            <v>-1350</v>
          </cell>
          <cell r="X4821" t="str">
            <v>Commissions - gross</v>
          </cell>
          <cell r="Y4821" t="str">
            <v>GERMANY</v>
          </cell>
        </row>
        <row r="4822">
          <cell r="L4822" t="str">
            <v>Non-proportional</v>
          </cell>
          <cell r="S4822">
            <v>-3716.45</v>
          </cell>
          <cell r="X4822" t="str">
            <v>Commissions - gross</v>
          </cell>
          <cell r="Y4822" t="str">
            <v>ICELAND</v>
          </cell>
        </row>
        <row r="4823">
          <cell r="L4823" t="str">
            <v>Non-proportional</v>
          </cell>
          <cell r="S4823">
            <v>255149.24</v>
          </cell>
          <cell r="X4823" t="str">
            <v>Commissions - gross</v>
          </cell>
          <cell r="Y4823" t="str">
            <v>UNITED KINGDOM</v>
          </cell>
        </row>
        <row r="4824">
          <cell r="L4824" t="str">
            <v>Non-proportional</v>
          </cell>
          <cell r="S4824">
            <v>-5892.16</v>
          </cell>
          <cell r="X4824" t="str">
            <v>Commissions - gross</v>
          </cell>
          <cell r="Y4824" t="str">
            <v>SWITZERLAND</v>
          </cell>
        </row>
        <row r="4825">
          <cell r="L4825" t="str">
            <v>Non-proportional</v>
          </cell>
          <cell r="S4825">
            <v>-27955</v>
          </cell>
          <cell r="X4825" t="str">
            <v>Commissions - gross</v>
          </cell>
          <cell r="Y4825" t="str">
            <v>CZECH REPUBLIC</v>
          </cell>
        </row>
        <row r="4826">
          <cell r="L4826" t="str">
            <v>Non-proportional</v>
          </cell>
          <cell r="S4826">
            <v>-783</v>
          </cell>
          <cell r="X4826" t="str">
            <v>Commissions - gross</v>
          </cell>
          <cell r="Y4826" t="str">
            <v>ROMANIA</v>
          </cell>
        </row>
        <row r="4827">
          <cell r="L4827" t="str">
            <v>Non-proportional</v>
          </cell>
          <cell r="S4827">
            <v>9233.02</v>
          </cell>
          <cell r="X4827" t="str">
            <v>Commissions - gross</v>
          </cell>
          <cell r="Y4827" t="str">
            <v>EUROPE</v>
          </cell>
        </row>
        <row r="4828">
          <cell r="L4828" t="str">
            <v>Non-proportional</v>
          </cell>
          <cell r="S4828">
            <v>2610</v>
          </cell>
          <cell r="X4828" t="str">
            <v>Commissions - gross</v>
          </cell>
          <cell r="Y4828" t="str">
            <v>FRANCE</v>
          </cell>
        </row>
        <row r="4829">
          <cell r="L4829" t="str">
            <v>Non-proportional</v>
          </cell>
          <cell r="S4829">
            <v>-1048.05</v>
          </cell>
          <cell r="X4829" t="str">
            <v>Commissions - gross</v>
          </cell>
          <cell r="Y4829" t="str">
            <v>GERMANY</v>
          </cell>
        </row>
        <row r="4830">
          <cell r="L4830" t="str">
            <v>Non-proportional</v>
          </cell>
          <cell r="S4830">
            <v>-8212.5</v>
          </cell>
          <cell r="X4830" t="str">
            <v>Commissions - gross</v>
          </cell>
          <cell r="Y4830" t="str">
            <v>GERMANY</v>
          </cell>
        </row>
        <row r="4831">
          <cell r="L4831" t="str">
            <v>Non-proportional</v>
          </cell>
          <cell r="S4831">
            <v>-21600</v>
          </cell>
          <cell r="X4831" t="str">
            <v>Commissions - gross</v>
          </cell>
          <cell r="Y4831" t="str">
            <v>CZECH REPUBLIC</v>
          </cell>
        </row>
        <row r="4832">
          <cell r="L4832" t="str">
            <v>Non-proportional</v>
          </cell>
          <cell r="S4832">
            <v>-4536</v>
          </cell>
          <cell r="X4832" t="str">
            <v>Commissions - gross</v>
          </cell>
          <cell r="Y4832" t="str">
            <v>ROMANIA</v>
          </cell>
        </row>
        <row r="4833">
          <cell r="L4833" t="str">
            <v>Non-proportional</v>
          </cell>
          <cell r="S4833">
            <v>-7380</v>
          </cell>
          <cell r="X4833" t="str">
            <v>Commissions - gross</v>
          </cell>
          <cell r="Y4833" t="str">
            <v>FRANCE</v>
          </cell>
        </row>
        <row r="4834">
          <cell r="L4834" t="str">
            <v>Non-proportional</v>
          </cell>
          <cell r="S4834">
            <v>3132</v>
          </cell>
          <cell r="X4834" t="str">
            <v>Commissions - gross</v>
          </cell>
          <cell r="Y4834" t="str">
            <v>ROMANIA</v>
          </cell>
        </row>
        <row r="4835">
          <cell r="L4835" t="str">
            <v>Non-proportional</v>
          </cell>
          <cell r="S4835">
            <v>-8681.91</v>
          </cell>
          <cell r="X4835" t="str">
            <v>Commissions - gross</v>
          </cell>
          <cell r="Y4835" t="str">
            <v>FRANCE</v>
          </cell>
        </row>
        <row r="4836">
          <cell r="L4836" t="str">
            <v>Non-proportional</v>
          </cell>
          <cell r="S4836">
            <v>14403</v>
          </cell>
          <cell r="X4836" t="str">
            <v>Commissions - gross</v>
          </cell>
          <cell r="Y4836" t="str">
            <v>AUSTRIA</v>
          </cell>
        </row>
        <row r="4837">
          <cell r="L4837" t="str">
            <v>Non-proportional</v>
          </cell>
          <cell r="S4837">
            <v>5745</v>
          </cell>
          <cell r="X4837" t="str">
            <v>Commissions - gross</v>
          </cell>
          <cell r="Y4837" t="str">
            <v>FRANCE</v>
          </cell>
        </row>
        <row r="4838">
          <cell r="L4838" t="str">
            <v>Non-proportional</v>
          </cell>
          <cell r="S4838">
            <v>8681.91</v>
          </cell>
          <cell r="X4838" t="str">
            <v>Commissions - gross</v>
          </cell>
          <cell r="Y4838" t="str">
            <v>FRANCE</v>
          </cell>
        </row>
        <row r="4839">
          <cell r="L4839" t="str">
            <v>Non-proportional</v>
          </cell>
          <cell r="S4839">
            <v>-131.6</v>
          </cell>
          <cell r="X4839" t="str">
            <v>Commissions - gross</v>
          </cell>
          <cell r="Y4839" t="str">
            <v>FRANCE</v>
          </cell>
        </row>
        <row r="4840">
          <cell r="L4840" t="str">
            <v>Non-proportional</v>
          </cell>
          <cell r="S4840">
            <v>37260</v>
          </cell>
          <cell r="X4840" t="str">
            <v>Commissions - gross</v>
          </cell>
          <cell r="Y4840" t="str">
            <v>CZECH REPUBLIC</v>
          </cell>
        </row>
        <row r="4841">
          <cell r="L4841" t="str">
            <v>Non-proportional</v>
          </cell>
          <cell r="S4841">
            <v>-4536</v>
          </cell>
          <cell r="X4841" t="str">
            <v>Commissions - gross</v>
          </cell>
          <cell r="Y4841" t="str">
            <v>ROMANIA</v>
          </cell>
        </row>
        <row r="4842">
          <cell r="L4842" t="str">
            <v>Non-proportional</v>
          </cell>
          <cell r="S4842">
            <v>-240</v>
          </cell>
          <cell r="X4842" t="str">
            <v>Commissions - gross</v>
          </cell>
          <cell r="Y4842" t="str">
            <v>FRANCE</v>
          </cell>
        </row>
        <row r="4843">
          <cell r="L4843" t="str">
            <v>Non-proportional</v>
          </cell>
          <cell r="S4843">
            <v>240</v>
          </cell>
          <cell r="X4843" t="str">
            <v>Commissions - gross</v>
          </cell>
          <cell r="Y4843" t="str">
            <v>FRANCE</v>
          </cell>
        </row>
        <row r="4844">
          <cell r="L4844" t="str">
            <v>Non-proportional</v>
          </cell>
          <cell r="S4844">
            <v>-282.7</v>
          </cell>
          <cell r="X4844" t="str">
            <v>Commissions - gross</v>
          </cell>
          <cell r="Y4844" t="str">
            <v>FRANCE</v>
          </cell>
        </row>
        <row r="4845">
          <cell r="L4845" t="str">
            <v>Non-proportional</v>
          </cell>
          <cell r="S4845">
            <v>1287.1400000000001</v>
          </cell>
          <cell r="X4845" t="str">
            <v>Commissions - gross</v>
          </cell>
          <cell r="Y4845" t="str">
            <v>DENMARK</v>
          </cell>
        </row>
        <row r="4846">
          <cell r="L4846" t="str">
            <v>Non-proportional</v>
          </cell>
          <cell r="S4846">
            <v>-2509.69</v>
          </cell>
          <cell r="X4846" t="str">
            <v>Commissions - gross</v>
          </cell>
          <cell r="Y4846" t="str">
            <v>JAPAN</v>
          </cell>
        </row>
        <row r="4847">
          <cell r="L4847" t="str">
            <v>Non-proportional</v>
          </cell>
          <cell r="S4847">
            <v>131.6</v>
          </cell>
          <cell r="X4847" t="str">
            <v>Commissions - gross</v>
          </cell>
          <cell r="Y4847" t="str">
            <v>FRANCE</v>
          </cell>
        </row>
        <row r="4848">
          <cell r="L4848" t="str">
            <v>Non-proportional</v>
          </cell>
          <cell r="S4848">
            <v>-217991.28</v>
          </cell>
          <cell r="X4848" t="str">
            <v>Commissions - gross</v>
          </cell>
          <cell r="Y4848" t="str">
            <v>UNITED KINGDOM</v>
          </cell>
        </row>
        <row r="4849">
          <cell r="L4849" t="str">
            <v>Non-proportional</v>
          </cell>
          <cell r="S4849">
            <v>6158.72</v>
          </cell>
          <cell r="X4849" t="str">
            <v>Commissions - gross</v>
          </cell>
          <cell r="Y4849" t="str">
            <v>SWEDEN</v>
          </cell>
        </row>
        <row r="4850">
          <cell r="L4850" t="str">
            <v>Non-proportional</v>
          </cell>
          <cell r="S4850">
            <v>3362.37</v>
          </cell>
          <cell r="X4850" t="str">
            <v>Commissions - gross</v>
          </cell>
          <cell r="Y4850" t="str">
            <v>SWITZERLAND</v>
          </cell>
        </row>
        <row r="4851">
          <cell r="L4851" t="str">
            <v>Non-proportional</v>
          </cell>
          <cell r="S4851">
            <v>9291.1299999999992</v>
          </cell>
          <cell r="X4851" t="str">
            <v>Commissions - gross</v>
          </cell>
          <cell r="Y4851" t="str">
            <v>ICELAND</v>
          </cell>
        </row>
        <row r="4852">
          <cell r="L4852" t="str">
            <v>Non-proportional</v>
          </cell>
          <cell r="S4852">
            <v>-21186</v>
          </cell>
          <cell r="X4852" t="str">
            <v>Commissions - gross</v>
          </cell>
          <cell r="Y4852" t="str">
            <v>FRANCE</v>
          </cell>
        </row>
        <row r="4853">
          <cell r="L4853" t="str">
            <v>Non-proportional</v>
          </cell>
          <cell r="S4853">
            <v>-36424.300000000003</v>
          </cell>
          <cell r="X4853" t="str">
            <v>Commissions - gross</v>
          </cell>
          <cell r="Y4853" t="str">
            <v>FRANCE</v>
          </cell>
        </row>
        <row r="4854">
          <cell r="L4854" t="str">
            <v>Non-proportional</v>
          </cell>
          <cell r="S4854">
            <v>-78524.44</v>
          </cell>
          <cell r="X4854" t="str">
            <v>Commissions - gross</v>
          </cell>
          <cell r="Y4854" t="str">
            <v>UNITED KINGDOM</v>
          </cell>
        </row>
        <row r="4855">
          <cell r="L4855" t="str">
            <v>Non-proportional</v>
          </cell>
          <cell r="S4855">
            <v>-16905</v>
          </cell>
          <cell r="X4855" t="str">
            <v>Commissions - gross</v>
          </cell>
          <cell r="Y4855" t="str">
            <v>AUSTRIA</v>
          </cell>
        </row>
        <row r="4856">
          <cell r="L4856" t="str">
            <v>Non-proportional</v>
          </cell>
          <cell r="S4856">
            <v>21000</v>
          </cell>
          <cell r="X4856" t="str">
            <v>Commissions - gross</v>
          </cell>
          <cell r="Y4856" t="str">
            <v>GERMANY</v>
          </cell>
        </row>
        <row r="4857">
          <cell r="L4857" t="str">
            <v>Non-proportional</v>
          </cell>
          <cell r="S4857">
            <v>3600</v>
          </cell>
          <cell r="X4857" t="str">
            <v>Commissions - gross</v>
          </cell>
          <cell r="Y4857" t="str">
            <v>GERMANY</v>
          </cell>
        </row>
        <row r="4858">
          <cell r="L4858" t="str">
            <v>Non-proportional</v>
          </cell>
          <cell r="S4858">
            <v>-4600</v>
          </cell>
          <cell r="X4858" t="str">
            <v>Commissions - gross</v>
          </cell>
          <cell r="Y4858" t="str">
            <v>GERMANY</v>
          </cell>
        </row>
        <row r="4859">
          <cell r="L4859" t="str">
            <v>Non-proportional</v>
          </cell>
          <cell r="S4859">
            <v>-1287.1400000000001</v>
          </cell>
          <cell r="X4859" t="str">
            <v>Commissions - gross</v>
          </cell>
          <cell r="Y4859" t="str">
            <v>DENMARK</v>
          </cell>
        </row>
        <row r="4860">
          <cell r="L4860" t="str">
            <v>Non-proportional</v>
          </cell>
          <cell r="S4860">
            <v>24002.97</v>
          </cell>
          <cell r="X4860" t="str">
            <v>Commissions - gross</v>
          </cell>
          <cell r="Y4860" t="str">
            <v>CZECH REPUBLIC</v>
          </cell>
        </row>
        <row r="4861">
          <cell r="L4861" t="str">
            <v>Non-proportional</v>
          </cell>
          <cell r="S4861">
            <v>-18144</v>
          </cell>
          <cell r="X4861" t="str">
            <v>Commissions - gross</v>
          </cell>
          <cell r="Y4861" t="str">
            <v>ROMANIA</v>
          </cell>
        </row>
        <row r="4862">
          <cell r="L4862" t="str">
            <v>Non-proportional</v>
          </cell>
          <cell r="S4862">
            <v>-18144</v>
          </cell>
          <cell r="X4862" t="str">
            <v>Commissions - gross</v>
          </cell>
          <cell r="Y4862" t="str">
            <v>ROMANIA</v>
          </cell>
        </row>
        <row r="4863">
          <cell r="L4863" t="str">
            <v>Non-proportional</v>
          </cell>
          <cell r="S4863">
            <v>16250</v>
          </cell>
          <cell r="X4863" t="str">
            <v>Commissions - gross</v>
          </cell>
          <cell r="Y4863" t="str">
            <v>GERMANY</v>
          </cell>
        </row>
        <row r="4864">
          <cell r="L4864" t="str">
            <v>Non-proportional</v>
          </cell>
          <cell r="S4864">
            <v>4330</v>
          </cell>
          <cell r="X4864" t="str">
            <v>Commissions - gross</v>
          </cell>
          <cell r="Y4864" t="str">
            <v>AUSTRIA</v>
          </cell>
        </row>
        <row r="4865">
          <cell r="L4865" t="str">
            <v>Non-proportional</v>
          </cell>
          <cell r="S4865">
            <v>4800</v>
          </cell>
          <cell r="X4865" t="str">
            <v>Commissions - gross</v>
          </cell>
          <cell r="Y4865" t="str">
            <v>GERMANY</v>
          </cell>
        </row>
        <row r="4866">
          <cell r="L4866" t="str">
            <v>Non-proportional</v>
          </cell>
          <cell r="S4866">
            <v>15852.5</v>
          </cell>
          <cell r="X4866" t="str">
            <v>Commissions - gross</v>
          </cell>
          <cell r="Y4866" t="str">
            <v>FRANCE</v>
          </cell>
        </row>
        <row r="4867">
          <cell r="L4867" t="str">
            <v>Non-proportional</v>
          </cell>
          <cell r="S4867">
            <v>-319.95</v>
          </cell>
          <cell r="X4867" t="str">
            <v>Commissions - gross</v>
          </cell>
          <cell r="Y4867" t="str">
            <v>DENMARK</v>
          </cell>
        </row>
        <row r="4868">
          <cell r="L4868" t="str">
            <v>Non-proportional</v>
          </cell>
          <cell r="S4868">
            <v>-1287.1400000000001</v>
          </cell>
          <cell r="X4868" t="str">
            <v>Commissions - gross</v>
          </cell>
          <cell r="Y4868" t="str">
            <v>DENMARK</v>
          </cell>
        </row>
        <row r="4869">
          <cell r="L4869" t="str">
            <v>Non-proportional</v>
          </cell>
          <cell r="S4869">
            <v>23400</v>
          </cell>
          <cell r="X4869" t="str">
            <v>Commissions - gross</v>
          </cell>
          <cell r="Y4869" t="str">
            <v>GERMANY</v>
          </cell>
        </row>
        <row r="4870">
          <cell r="L4870" t="str">
            <v>Non-proportional</v>
          </cell>
          <cell r="S4870">
            <v>-3132</v>
          </cell>
          <cell r="X4870" t="str">
            <v>Commissions - gross</v>
          </cell>
          <cell r="Y4870" t="str">
            <v>ROMANIA</v>
          </cell>
        </row>
        <row r="4871">
          <cell r="L4871" t="str">
            <v>Non-proportional</v>
          </cell>
          <cell r="S4871">
            <v>4548.5600000000004</v>
          </cell>
          <cell r="X4871" t="str">
            <v>Commissions - gross</v>
          </cell>
          <cell r="Y4871" t="str">
            <v>DENMARK</v>
          </cell>
        </row>
        <row r="4872">
          <cell r="L4872" t="str">
            <v>Non-proportional</v>
          </cell>
          <cell r="S4872">
            <v>3716.45</v>
          </cell>
          <cell r="X4872" t="str">
            <v>Commissions - gross</v>
          </cell>
          <cell r="Y4872" t="str">
            <v>ICELAND</v>
          </cell>
        </row>
        <row r="4873">
          <cell r="L4873" t="str">
            <v>Non-proportional</v>
          </cell>
          <cell r="S4873">
            <v>-193.07</v>
          </cell>
          <cell r="X4873" t="str">
            <v>Commissions - gross</v>
          </cell>
          <cell r="Y4873" t="str">
            <v>DENMARK</v>
          </cell>
        </row>
        <row r="4874">
          <cell r="L4874" t="str">
            <v>Non-proportional</v>
          </cell>
          <cell r="S4874">
            <v>36424.300000000003</v>
          </cell>
          <cell r="X4874" t="str">
            <v>Commissions - gross</v>
          </cell>
          <cell r="Y4874" t="str">
            <v>FRANCE</v>
          </cell>
        </row>
        <row r="4875">
          <cell r="L4875" t="str">
            <v>Non-proportional</v>
          </cell>
          <cell r="S4875">
            <v>-2500</v>
          </cell>
          <cell r="X4875" t="str">
            <v>Commissions - gross</v>
          </cell>
          <cell r="Y4875" t="str">
            <v>GERMANY</v>
          </cell>
        </row>
        <row r="4876">
          <cell r="L4876" t="str">
            <v>Non-proportional</v>
          </cell>
          <cell r="S4876">
            <v>4050</v>
          </cell>
          <cell r="X4876" t="str">
            <v>Commissions - gross</v>
          </cell>
          <cell r="Y4876" t="str">
            <v>GERMANY</v>
          </cell>
        </row>
        <row r="4877">
          <cell r="L4877" t="str">
            <v>Non-proportional</v>
          </cell>
          <cell r="S4877">
            <v>-3716.45</v>
          </cell>
          <cell r="X4877" t="str">
            <v>Commissions - gross</v>
          </cell>
          <cell r="Y4877" t="str">
            <v>ICELAND</v>
          </cell>
        </row>
        <row r="4878">
          <cell r="L4878" t="str">
            <v>Non-proportional</v>
          </cell>
          <cell r="S4878">
            <v>-10710</v>
          </cell>
          <cell r="X4878" t="str">
            <v>Commissions - gross</v>
          </cell>
          <cell r="Y4878" t="str">
            <v>CZECH REPUBLIC</v>
          </cell>
        </row>
        <row r="4879">
          <cell r="L4879" t="str">
            <v>Non-proportional</v>
          </cell>
          <cell r="S4879">
            <v>-3132</v>
          </cell>
          <cell r="X4879" t="str">
            <v>Commissions - gross</v>
          </cell>
          <cell r="Y4879" t="str">
            <v>ROMANIA</v>
          </cell>
        </row>
        <row r="4880">
          <cell r="L4880" t="str">
            <v>Non-proportional</v>
          </cell>
          <cell r="S4880">
            <v>20287.53</v>
          </cell>
          <cell r="X4880" t="str">
            <v>Commissions - gross</v>
          </cell>
          <cell r="Y4880" t="str">
            <v>SWEDEN</v>
          </cell>
        </row>
        <row r="4881">
          <cell r="L4881" t="str">
            <v>Non-proportional</v>
          </cell>
          <cell r="S4881">
            <v>-7685.42</v>
          </cell>
          <cell r="X4881" t="str">
            <v>Commissions - gross</v>
          </cell>
          <cell r="Y4881" t="str">
            <v>SWITZERLAND</v>
          </cell>
        </row>
        <row r="4882">
          <cell r="L4882" t="str">
            <v>Non-proportional</v>
          </cell>
          <cell r="S4882">
            <v>-4330</v>
          </cell>
          <cell r="X4882" t="str">
            <v>Commissions - gross</v>
          </cell>
          <cell r="Y4882" t="str">
            <v>AUSTRIA</v>
          </cell>
        </row>
        <row r="4883">
          <cell r="L4883" t="str">
            <v>Non-proportional</v>
          </cell>
          <cell r="S4883">
            <v>-6758.86</v>
          </cell>
          <cell r="X4883" t="str">
            <v>Commissions - gross</v>
          </cell>
          <cell r="Y4883" t="str">
            <v>FRANCE</v>
          </cell>
        </row>
        <row r="4884">
          <cell r="L4884" t="str">
            <v>Non-proportional</v>
          </cell>
          <cell r="S4884">
            <v>19353</v>
          </cell>
          <cell r="X4884" t="str">
            <v>Commissions - gross</v>
          </cell>
          <cell r="Y4884" t="str">
            <v>AUSTRIA</v>
          </cell>
        </row>
        <row r="4885">
          <cell r="L4885" t="str">
            <v>Non-proportional</v>
          </cell>
          <cell r="S4885">
            <v>11747.73</v>
          </cell>
          <cell r="X4885" t="str">
            <v>Commissions - gross</v>
          </cell>
          <cell r="Y4885" t="str">
            <v>UNITED KINGDOM</v>
          </cell>
        </row>
        <row r="4886">
          <cell r="L4886" t="str">
            <v>Non-proportional</v>
          </cell>
          <cell r="S4886">
            <v>5657.5</v>
          </cell>
          <cell r="X4886" t="str">
            <v>Commissions - gross</v>
          </cell>
          <cell r="Y4886" t="str">
            <v>AUSTRIA</v>
          </cell>
        </row>
        <row r="4887">
          <cell r="L4887" t="str">
            <v>Non-proportional</v>
          </cell>
          <cell r="S4887">
            <v>-7550</v>
          </cell>
          <cell r="X4887" t="str">
            <v>Commissions - gross</v>
          </cell>
          <cell r="Y4887" t="str">
            <v>AUSTRIA</v>
          </cell>
        </row>
        <row r="4888">
          <cell r="L4888" t="str">
            <v>Non-proportional</v>
          </cell>
          <cell r="S4888">
            <v>-11959.67</v>
          </cell>
          <cell r="X4888" t="str">
            <v>Commissions - gross</v>
          </cell>
          <cell r="Y4888" t="str">
            <v>DENMARK</v>
          </cell>
        </row>
        <row r="4889">
          <cell r="L4889" t="str">
            <v>Non-proportional</v>
          </cell>
          <cell r="S4889">
            <v>27955</v>
          </cell>
          <cell r="X4889" t="str">
            <v>Commissions - gross</v>
          </cell>
          <cell r="Y4889" t="str">
            <v>CZECH REPUBLIC</v>
          </cell>
        </row>
        <row r="4890">
          <cell r="L4890" t="str">
            <v>Non-proportional</v>
          </cell>
          <cell r="S4890">
            <v>6641.75</v>
          </cell>
          <cell r="X4890" t="str">
            <v>Commissions - gross</v>
          </cell>
          <cell r="Y4890" t="str">
            <v>SWEDEN</v>
          </cell>
        </row>
        <row r="4891">
          <cell r="L4891" t="str">
            <v>Non-proportional</v>
          </cell>
          <cell r="S4891">
            <v>-8250</v>
          </cell>
          <cell r="X4891" t="str">
            <v>Commissions - gross</v>
          </cell>
          <cell r="Y4891" t="str">
            <v>GERMANY</v>
          </cell>
        </row>
        <row r="4892">
          <cell r="L4892" t="str">
            <v>Non-proportional</v>
          </cell>
          <cell r="S4892">
            <v>-8051.86</v>
          </cell>
          <cell r="X4892" t="str">
            <v>Commissions - gross</v>
          </cell>
          <cell r="Y4892" t="str">
            <v>DENMARK</v>
          </cell>
        </row>
        <row r="4893">
          <cell r="L4893" t="str">
            <v>Non-proportional</v>
          </cell>
          <cell r="S4893">
            <v>-2401.6999999999998</v>
          </cell>
          <cell r="X4893" t="str">
            <v>Commissions - gross</v>
          </cell>
          <cell r="Y4893" t="str">
            <v>SWITZERLAND</v>
          </cell>
        </row>
        <row r="4894">
          <cell r="L4894" t="str">
            <v>Non-proportional</v>
          </cell>
          <cell r="S4894">
            <v>-13192.24</v>
          </cell>
          <cell r="X4894" t="str">
            <v>Commissions - gross</v>
          </cell>
          <cell r="Y4894" t="str">
            <v>REPUBLIC OF IRELAND</v>
          </cell>
        </row>
        <row r="4895">
          <cell r="L4895" t="str">
            <v>Non-proportional</v>
          </cell>
          <cell r="S4895">
            <v>-24500</v>
          </cell>
          <cell r="X4895" t="str">
            <v>Commissions - gross</v>
          </cell>
          <cell r="Y4895" t="str">
            <v>GERMANY</v>
          </cell>
        </row>
        <row r="4896">
          <cell r="L4896" t="str">
            <v>Non-proportional</v>
          </cell>
          <cell r="S4896">
            <v>6274.8</v>
          </cell>
          <cell r="X4896" t="str">
            <v>Commissions - gross</v>
          </cell>
          <cell r="Y4896" t="str">
            <v>DENMARK</v>
          </cell>
        </row>
        <row r="4897">
          <cell r="L4897" t="str">
            <v>Non-proportional</v>
          </cell>
          <cell r="S4897">
            <v>83143.460000000006</v>
          </cell>
          <cell r="X4897" t="str">
            <v>Commissions - gross</v>
          </cell>
          <cell r="Y4897" t="str">
            <v>UNITED KINGDOM</v>
          </cell>
        </row>
        <row r="4898">
          <cell r="L4898" t="str">
            <v>Non-proportional</v>
          </cell>
          <cell r="S4898">
            <v>12063</v>
          </cell>
          <cell r="X4898" t="str">
            <v>Commissions - gross</v>
          </cell>
          <cell r="Y4898" t="str">
            <v>AUSTRIA</v>
          </cell>
        </row>
        <row r="4899">
          <cell r="L4899" t="str">
            <v>Non-proportional</v>
          </cell>
          <cell r="S4899">
            <v>-4483.16</v>
          </cell>
          <cell r="X4899" t="str">
            <v>Commissions - gross</v>
          </cell>
          <cell r="Y4899" t="str">
            <v>SWITZERLAND</v>
          </cell>
        </row>
        <row r="4900">
          <cell r="L4900" t="str">
            <v>Non-proportional</v>
          </cell>
          <cell r="S4900">
            <v>-4536</v>
          </cell>
          <cell r="X4900" t="str">
            <v>Commissions - gross</v>
          </cell>
          <cell r="Y4900" t="str">
            <v>ROMANIA</v>
          </cell>
        </row>
        <row r="4901">
          <cell r="L4901" t="str">
            <v>Non-proportional</v>
          </cell>
          <cell r="S4901">
            <v>1000</v>
          </cell>
          <cell r="X4901" t="str">
            <v>Commissions - gross</v>
          </cell>
          <cell r="Y4901" t="str">
            <v>SWITZERLAND</v>
          </cell>
        </row>
        <row r="4902">
          <cell r="L4902" t="str">
            <v>Non-proportional</v>
          </cell>
          <cell r="S4902">
            <v>15000</v>
          </cell>
          <cell r="X4902" t="str">
            <v>Commissions - gross</v>
          </cell>
          <cell r="Y4902" t="str">
            <v>GERMANY</v>
          </cell>
        </row>
        <row r="4903">
          <cell r="L4903" t="str">
            <v>Non-proportional</v>
          </cell>
          <cell r="S4903">
            <v>4600</v>
          </cell>
          <cell r="X4903" t="str">
            <v>Commissions - gross</v>
          </cell>
          <cell r="Y4903" t="str">
            <v>GERMANY</v>
          </cell>
        </row>
        <row r="4904">
          <cell r="L4904" t="str">
            <v>Non-proportional</v>
          </cell>
          <cell r="S4904">
            <v>-6274.8</v>
          </cell>
          <cell r="X4904" t="str">
            <v>Commissions - gross</v>
          </cell>
          <cell r="Y4904" t="str">
            <v>DENMARK</v>
          </cell>
        </row>
        <row r="4905">
          <cell r="L4905" t="str">
            <v>Non-proportional</v>
          </cell>
          <cell r="S4905">
            <v>1287.1400000000001</v>
          </cell>
          <cell r="X4905" t="str">
            <v>Commissions - gross</v>
          </cell>
          <cell r="Y4905" t="str">
            <v>DENMARK</v>
          </cell>
        </row>
        <row r="4906">
          <cell r="L4906" t="str">
            <v>Non-proportional</v>
          </cell>
          <cell r="S4906">
            <v>-9393.75</v>
          </cell>
          <cell r="X4906" t="str">
            <v>Commissions - gross</v>
          </cell>
          <cell r="Y4906" t="str">
            <v>GERMANY</v>
          </cell>
        </row>
        <row r="4907">
          <cell r="L4907" t="str">
            <v>Non-proportional</v>
          </cell>
          <cell r="S4907">
            <v>-8190.88</v>
          </cell>
          <cell r="X4907" t="str">
            <v>Commissions - gross</v>
          </cell>
          <cell r="Y4907" t="str">
            <v>NORWAY</v>
          </cell>
        </row>
        <row r="4908">
          <cell r="L4908" t="str">
            <v>Non-proportional</v>
          </cell>
          <cell r="S4908">
            <v>-4129.3900000000003</v>
          </cell>
          <cell r="X4908" t="str">
            <v>Commissions - gross</v>
          </cell>
          <cell r="Y4908" t="str">
            <v>ICELAND</v>
          </cell>
        </row>
        <row r="4909">
          <cell r="L4909" t="str">
            <v>Non-proportional</v>
          </cell>
          <cell r="S4909">
            <v>-4129.3900000000003</v>
          </cell>
          <cell r="X4909" t="str">
            <v>Commissions - gross</v>
          </cell>
          <cell r="Y4909" t="str">
            <v>ICELAND</v>
          </cell>
        </row>
        <row r="4910">
          <cell r="L4910" t="str">
            <v>Non-proportional</v>
          </cell>
          <cell r="S4910">
            <v>2120</v>
          </cell>
          <cell r="X4910" t="str">
            <v>Commissions - gross</v>
          </cell>
          <cell r="Y4910" t="str">
            <v>GERMANY</v>
          </cell>
        </row>
        <row r="4911">
          <cell r="L4911" t="str">
            <v>Non-proportional</v>
          </cell>
          <cell r="S4911">
            <v>13183.64</v>
          </cell>
          <cell r="X4911" t="str">
            <v>Commissions - gross</v>
          </cell>
          <cell r="Y4911" t="str">
            <v>FRANCE</v>
          </cell>
        </row>
        <row r="4912">
          <cell r="L4912" t="str">
            <v>Non-proportional</v>
          </cell>
          <cell r="S4912">
            <v>-263060.84000000003</v>
          </cell>
          <cell r="X4912" t="str">
            <v>Commissions - gross</v>
          </cell>
          <cell r="Y4912" t="str">
            <v>UNITED KINGDOM</v>
          </cell>
        </row>
        <row r="4913">
          <cell r="L4913" t="str">
            <v>Non-proportional</v>
          </cell>
          <cell r="S4913">
            <v>21600</v>
          </cell>
          <cell r="X4913" t="str">
            <v>Commissions - gross</v>
          </cell>
          <cell r="Y4913" t="str">
            <v>CZECH REPUBLIC</v>
          </cell>
        </row>
        <row r="4914">
          <cell r="L4914" t="str">
            <v>Non-proportional</v>
          </cell>
          <cell r="S4914">
            <v>-23095.37</v>
          </cell>
          <cell r="X4914" t="str">
            <v>Commissions - gross</v>
          </cell>
          <cell r="Y4914" t="str">
            <v>UNITED KINGDOM</v>
          </cell>
        </row>
        <row r="4915">
          <cell r="L4915" t="str">
            <v>Non-proportional</v>
          </cell>
          <cell r="S4915">
            <v>217991.28</v>
          </cell>
          <cell r="X4915" t="str">
            <v>Commissions - gross</v>
          </cell>
          <cell r="Y4915" t="str">
            <v>UNITED KINGDOM</v>
          </cell>
        </row>
        <row r="4916">
          <cell r="L4916" t="str">
            <v>Non-proportional</v>
          </cell>
          <cell r="S4916">
            <v>24295</v>
          </cell>
          <cell r="X4916" t="str">
            <v>Commissions - gross</v>
          </cell>
          <cell r="Y4916" t="str">
            <v>CZECH REPUBLIC</v>
          </cell>
        </row>
        <row r="4917">
          <cell r="L4917" t="str">
            <v>Non-proportional</v>
          </cell>
          <cell r="S4917">
            <v>-1520</v>
          </cell>
          <cell r="X4917" t="str">
            <v>Commissions - gross</v>
          </cell>
          <cell r="Y4917" t="str">
            <v>GERMANY</v>
          </cell>
        </row>
        <row r="4918">
          <cell r="L4918" t="str">
            <v>Non-proportional</v>
          </cell>
          <cell r="S4918">
            <v>-16250</v>
          </cell>
          <cell r="X4918" t="str">
            <v>Commissions - gross</v>
          </cell>
          <cell r="Y4918" t="str">
            <v>GERMANY</v>
          </cell>
        </row>
        <row r="4919">
          <cell r="L4919" t="str">
            <v>Non-proportional</v>
          </cell>
          <cell r="S4919">
            <v>42795.3</v>
          </cell>
          <cell r="X4919" t="str">
            <v>Commissions - gross</v>
          </cell>
          <cell r="Y4919" t="str">
            <v>UNITED KINGDOM</v>
          </cell>
        </row>
        <row r="4920">
          <cell r="L4920" t="str">
            <v>Non-proportional</v>
          </cell>
          <cell r="S4920">
            <v>-12063</v>
          </cell>
          <cell r="X4920" t="str">
            <v>Commissions - gross</v>
          </cell>
          <cell r="Y4920" t="str">
            <v>AUSTRIA</v>
          </cell>
        </row>
        <row r="4921">
          <cell r="L4921" t="str">
            <v>Non-proportional</v>
          </cell>
          <cell r="S4921">
            <v>-2120</v>
          </cell>
          <cell r="X4921" t="str">
            <v>Commissions - gross</v>
          </cell>
          <cell r="Y4921" t="str">
            <v>GERMANY</v>
          </cell>
        </row>
        <row r="4922">
          <cell r="L4922" t="str">
            <v>Non-proportional</v>
          </cell>
          <cell r="S4922">
            <v>2500</v>
          </cell>
          <cell r="X4922" t="str">
            <v>Commissions - gross</v>
          </cell>
          <cell r="Y4922" t="str">
            <v>GERMANY</v>
          </cell>
        </row>
        <row r="4923">
          <cell r="L4923" t="str">
            <v>Non-proportional</v>
          </cell>
          <cell r="S4923">
            <v>8051.86</v>
          </cell>
          <cell r="X4923" t="str">
            <v>Commissions - gross</v>
          </cell>
          <cell r="Y4923" t="str">
            <v>DENMARK</v>
          </cell>
        </row>
        <row r="4924">
          <cell r="L4924" t="str">
            <v>Non-proportional</v>
          </cell>
          <cell r="S4924">
            <v>3716.45</v>
          </cell>
          <cell r="X4924" t="str">
            <v>Commissions - gross</v>
          </cell>
          <cell r="Y4924" t="str">
            <v>ICELAND</v>
          </cell>
        </row>
        <row r="4925">
          <cell r="L4925" t="str">
            <v>Non-proportional</v>
          </cell>
          <cell r="S4925">
            <v>-9291.1299999999992</v>
          </cell>
          <cell r="X4925" t="str">
            <v>Commissions - gross</v>
          </cell>
          <cell r="Y4925" t="str">
            <v>ICELAND</v>
          </cell>
        </row>
        <row r="4926">
          <cell r="L4926" t="str">
            <v>Non-proportional</v>
          </cell>
          <cell r="S4926">
            <v>9393.75</v>
          </cell>
          <cell r="X4926" t="str">
            <v>Commissions - gross</v>
          </cell>
          <cell r="Y4926" t="str">
            <v>GERMANY</v>
          </cell>
        </row>
        <row r="4927">
          <cell r="L4927" t="str">
            <v>Non-proportional</v>
          </cell>
          <cell r="S4927">
            <v>-6740</v>
          </cell>
          <cell r="X4927" t="str">
            <v>Commissions - gross</v>
          </cell>
          <cell r="Y4927" t="str">
            <v>SPAIN</v>
          </cell>
        </row>
        <row r="4928">
          <cell r="L4928" t="str">
            <v>Non-proportional</v>
          </cell>
          <cell r="S4928">
            <v>-20317.5</v>
          </cell>
          <cell r="X4928" t="str">
            <v>Commissions - gross</v>
          </cell>
          <cell r="Y4928" t="str">
            <v>FRANCE</v>
          </cell>
        </row>
        <row r="4929">
          <cell r="L4929" t="str">
            <v>Non-proportional</v>
          </cell>
          <cell r="S4929">
            <v>70149.23</v>
          </cell>
          <cell r="X4929" t="str">
            <v>Commissions - gross</v>
          </cell>
          <cell r="Y4929" t="str">
            <v>REPUBLIC OF IRELAND</v>
          </cell>
        </row>
        <row r="4930">
          <cell r="L4930" t="str">
            <v>Non-proportional</v>
          </cell>
          <cell r="S4930">
            <v>8212.5</v>
          </cell>
          <cell r="X4930" t="str">
            <v>Commissions - gross</v>
          </cell>
          <cell r="Y4930" t="str">
            <v>GERMANY</v>
          </cell>
        </row>
        <row r="4931">
          <cell r="L4931" t="str">
            <v>Non-proportional</v>
          </cell>
          <cell r="S4931">
            <v>-15000</v>
          </cell>
          <cell r="X4931" t="str">
            <v>Commissions - gross</v>
          </cell>
          <cell r="Y4931" t="str">
            <v>GERMANY</v>
          </cell>
        </row>
        <row r="4932">
          <cell r="L4932" t="str">
            <v>Non-proportional</v>
          </cell>
          <cell r="S4932">
            <v>5892.16</v>
          </cell>
          <cell r="X4932" t="str">
            <v>Commissions - gross</v>
          </cell>
          <cell r="Y4932" t="str">
            <v>SWITZERLAND</v>
          </cell>
        </row>
        <row r="4933">
          <cell r="L4933" t="str">
            <v>Non-proportional</v>
          </cell>
          <cell r="S4933">
            <v>37260</v>
          </cell>
          <cell r="X4933" t="str">
            <v>Commissions - gross</v>
          </cell>
          <cell r="Y4933" t="str">
            <v>CZECH REPUBLIC</v>
          </cell>
        </row>
        <row r="4934">
          <cell r="L4934" t="str">
            <v>Non-proportional</v>
          </cell>
          <cell r="S4934">
            <v>-9680</v>
          </cell>
          <cell r="X4934" t="str">
            <v>Commissions - gross</v>
          </cell>
          <cell r="Y4934" t="str">
            <v>GERMANY</v>
          </cell>
        </row>
        <row r="4935">
          <cell r="L4935" t="str">
            <v>Non-proportional</v>
          </cell>
          <cell r="S4935">
            <v>951.94</v>
          </cell>
          <cell r="X4935" t="str">
            <v>Commissions - gross</v>
          </cell>
          <cell r="Y4935" t="str">
            <v>JAPAN</v>
          </cell>
        </row>
        <row r="4936">
          <cell r="L4936" t="str">
            <v>Non-proportional</v>
          </cell>
          <cell r="S4936">
            <v>-170</v>
          </cell>
          <cell r="X4936" t="str">
            <v>Commissions - gross</v>
          </cell>
          <cell r="Y4936" t="str">
            <v>FRANCE</v>
          </cell>
        </row>
        <row r="4937">
          <cell r="L4937" t="str">
            <v>Non-proportional</v>
          </cell>
          <cell r="S4937">
            <v>7500</v>
          </cell>
          <cell r="X4937" t="str">
            <v>Commissions - gross</v>
          </cell>
          <cell r="Y4937" t="str">
            <v>GERMANY</v>
          </cell>
        </row>
        <row r="4938">
          <cell r="L4938" t="str">
            <v>Non-proportional</v>
          </cell>
          <cell r="S4938">
            <v>1810.9</v>
          </cell>
          <cell r="X4938" t="str">
            <v>Commissions - gross</v>
          </cell>
          <cell r="Y4938" t="str">
            <v>GERMANY</v>
          </cell>
        </row>
        <row r="4939">
          <cell r="L4939" t="str">
            <v>Non-proportional</v>
          </cell>
          <cell r="S4939">
            <v>-4867.4399999999996</v>
          </cell>
          <cell r="X4939" t="str">
            <v>Commissions - gross</v>
          </cell>
          <cell r="Y4939" t="str">
            <v>SWITZERLAND</v>
          </cell>
        </row>
        <row r="4940">
          <cell r="L4940" t="str">
            <v>Non-proportional</v>
          </cell>
          <cell r="S4940">
            <v>-27955</v>
          </cell>
          <cell r="X4940" t="str">
            <v>Commissions - gross</v>
          </cell>
          <cell r="Y4940" t="str">
            <v>CZECH REPUBLIC</v>
          </cell>
        </row>
        <row r="4941">
          <cell r="L4941" t="str">
            <v>Non-proportional</v>
          </cell>
          <cell r="S4941">
            <v>8718.75</v>
          </cell>
          <cell r="X4941" t="str">
            <v>Commissions - gross</v>
          </cell>
          <cell r="Y4941" t="str">
            <v>GERMANY</v>
          </cell>
        </row>
        <row r="4942">
          <cell r="L4942" t="str">
            <v>Non-proportional</v>
          </cell>
          <cell r="S4942">
            <v>-7500</v>
          </cell>
          <cell r="X4942" t="str">
            <v>Commissions - gross</v>
          </cell>
          <cell r="Y4942" t="str">
            <v>GERMANY</v>
          </cell>
        </row>
        <row r="4943">
          <cell r="L4943" t="str">
            <v>Non-proportional</v>
          </cell>
          <cell r="S4943">
            <v>-2610</v>
          </cell>
          <cell r="X4943" t="str">
            <v>Commissions - gross</v>
          </cell>
          <cell r="Y4943" t="str">
            <v>FRANCE</v>
          </cell>
        </row>
        <row r="4944">
          <cell r="L4944" t="str">
            <v>Non-proportional</v>
          </cell>
          <cell r="S4944">
            <v>193.07</v>
          </cell>
          <cell r="X4944" t="str">
            <v>Commissions - gross</v>
          </cell>
          <cell r="Y4944" t="str">
            <v>DENMARK</v>
          </cell>
        </row>
        <row r="4945">
          <cell r="L4945" t="str">
            <v>Non-proportional</v>
          </cell>
          <cell r="S4945">
            <v>23095.37</v>
          </cell>
          <cell r="X4945" t="str">
            <v>Commissions - gross</v>
          </cell>
          <cell r="Y4945" t="str">
            <v>UNITED KINGDOM</v>
          </cell>
        </row>
        <row r="4946">
          <cell r="L4946" t="str">
            <v>Non-proportional</v>
          </cell>
          <cell r="S4946">
            <v>56221.27</v>
          </cell>
          <cell r="X4946" t="str">
            <v>Commissions - gross</v>
          </cell>
          <cell r="Y4946" t="str">
            <v>UNITED KINGDOM</v>
          </cell>
        </row>
        <row r="4947">
          <cell r="L4947" t="str">
            <v>Non-proportional</v>
          </cell>
          <cell r="S4947">
            <v>-24002.97</v>
          </cell>
          <cell r="X4947" t="str">
            <v>Commissions - gross</v>
          </cell>
          <cell r="Y4947" t="str">
            <v>CZECH REPUBLIC</v>
          </cell>
        </row>
        <row r="4948">
          <cell r="L4948" t="str">
            <v>Non-proportional</v>
          </cell>
          <cell r="S4948">
            <v>-7575.1</v>
          </cell>
          <cell r="X4948" t="str">
            <v>Commissions - gross</v>
          </cell>
          <cell r="Y4948" t="str">
            <v>GERMANY</v>
          </cell>
        </row>
        <row r="4949">
          <cell r="L4949" t="str">
            <v>Non-proportional</v>
          </cell>
          <cell r="S4949">
            <v>7380</v>
          </cell>
          <cell r="X4949" t="str">
            <v>Commissions - gross</v>
          </cell>
          <cell r="Y4949" t="str">
            <v>FRANCE</v>
          </cell>
        </row>
        <row r="4950">
          <cell r="L4950" t="str">
            <v>Non-proportional</v>
          </cell>
          <cell r="S4950">
            <v>-1287.1400000000001</v>
          </cell>
          <cell r="X4950" t="str">
            <v>Commissions - gross</v>
          </cell>
          <cell r="Y4950" t="str">
            <v>DENMARK</v>
          </cell>
        </row>
        <row r="4951">
          <cell r="L4951" t="str">
            <v>Non-proportional</v>
          </cell>
          <cell r="S4951">
            <v>2401.6999999999998</v>
          </cell>
          <cell r="X4951" t="str">
            <v>Commissions - gross</v>
          </cell>
          <cell r="Y4951" t="str">
            <v>SWITZERLAND</v>
          </cell>
        </row>
        <row r="4952">
          <cell r="L4952" t="str">
            <v>Non-proportional</v>
          </cell>
          <cell r="S4952">
            <v>9291.1299999999992</v>
          </cell>
          <cell r="X4952" t="str">
            <v>Commissions - gross</v>
          </cell>
          <cell r="Y4952" t="str">
            <v>ICELAND</v>
          </cell>
        </row>
        <row r="4953">
          <cell r="L4953" t="str">
            <v>Non-proportional</v>
          </cell>
          <cell r="S4953">
            <v>-1287.1400000000001</v>
          </cell>
          <cell r="X4953" t="str">
            <v>Commissions - gross</v>
          </cell>
          <cell r="Y4953" t="str">
            <v>DENMARK</v>
          </cell>
        </row>
        <row r="4954">
          <cell r="L4954" t="str">
            <v>Non-proportional</v>
          </cell>
          <cell r="S4954">
            <v>13192.24</v>
          </cell>
          <cell r="X4954" t="str">
            <v>Commissions - gross</v>
          </cell>
          <cell r="Y4954" t="str">
            <v>REPUBLIC OF IRELAND</v>
          </cell>
        </row>
        <row r="4955">
          <cell r="L4955" t="str">
            <v>Non-proportional</v>
          </cell>
          <cell r="S4955">
            <v>9183.7199999999993</v>
          </cell>
          <cell r="X4955" t="str">
            <v>Commissions - gross</v>
          </cell>
          <cell r="Y4955" t="str">
            <v>SLOVENIA</v>
          </cell>
        </row>
        <row r="4956">
          <cell r="L4956" t="str">
            <v>Non-proportional</v>
          </cell>
          <cell r="S4956">
            <v>-20287.53</v>
          </cell>
          <cell r="X4956" t="str">
            <v>Commissions - gross</v>
          </cell>
          <cell r="Y4956" t="str">
            <v>SWEDEN</v>
          </cell>
        </row>
        <row r="4957">
          <cell r="L4957" t="str">
            <v>Non-proportional</v>
          </cell>
          <cell r="S4957">
            <v>2094</v>
          </cell>
          <cell r="X4957" t="str">
            <v>Commissions - gross</v>
          </cell>
          <cell r="Y4957" t="str">
            <v>REPUBLIC OF IRELAND</v>
          </cell>
        </row>
        <row r="4958">
          <cell r="L4958" t="str">
            <v>Non-proportional</v>
          </cell>
          <cell r="S4958">
            <v>-21000</v>
          </cell>
          <cell r="X4958" t="str">
            <v>Commissions - gross</v>
          </cell>
          <cell r="Y4958" t="str">
            <v>GERMANY</v>
          </cell>
        </row>
        <row r="4959">
          <cell r="L4959" t="str">
            <v>Non-proportional</v>
          </cell>
          <cell r="S4959">
            <v>7750</v>
          </cell>
          <cell r="X4959" t="str">
            <v>Commissions - gross</v>
          </cell>
          <cell r="Y4959" t="str">
            <v>AUSTRIA</v>
          </cell>
        </row>
        <row r="4960">
          <cell r="L4960" t="str">
            <v>Non-proportional</v>
          </cell>
          <cell r="S4960">
            <v>11959.67</v>
          </cell>
          <cell r="X4960" t="str">
            <v>Commissions - gross</v>
          </cell>
          <cell r="Y4960" t="str">
            <v>DENMARK</v>
          </cell>
        </row>
        <row r="4961">
          <cell r="L4961" t="str">
            <v>Non-proportional</v>
          </cell>
          <cell r="S4961">
            <v>-633408.63</v>
          </cell>
          <cell r="X4961" t="str">
            <v>Commissions - gross</v>
          </cell>
          <cell r="Y4961" t="str">
            <v>UNITED KINGDOM</v>
          </cell>
        </row>
        <row r="4962">
          <cell r="L4962" t="str">
            <v>Non-proportional</v>
          </cell>
          <cell r="S4962">
            <v>27691.07</v>
          </cell>
          <cell r="X4962" t="str">
            <v>Commissions - gross</v>
          </cell>
          <cell r="Y4962" t="str">
            <v>UNITED KINGDOM</v>
          </cell>
        </row>
        <row r="4963">
          <cell r="L4963" t="str">
            <v>Non-proportional</v>
          </cell>
          <cell r="S4963">
            <v>-6158.72</v>
          </cell>
          <cell r="X4963" t="str">
            <v>Commissions - gross</v>
          </cell>
          <cell r="Y4963" t="str">
            <v>SWEDEN</v>
          </cell>
        </row>
        <row r="4964">
          <cell r="L4964" t="str">
            <v>Non-proportional</v>
          </cell>
          <cell r="S4964">
            <v>6750</v>
          </cell>
          <cell r="X4964" t="str">
            <v>Commissions - gross</v>
          </cell>
          <cell r="Y4964" t="str">
            <v>GERMANY</v>
          </cell>
        </row>
        <row r="4965">
          <cell r="L4965" t="str">
            <v>Non-proportional</v>
          </cell>
          <cell r="S4965">
            <v>3132</v>
          </cell>
          <cell r="X4965" t="str">
            <v>Commissions - gross</v>
          </cell>
          <cell r="Y4965" t="str">
            <v>ROMANIA</v>
          </cell>
        </row>
        <row r="4966">
          <cell r="L4966" t="str">
            <v>Non-proportional</v>
          </cell>
          <cell r="S4966">
            <v>-7042.5</v>
          </cell>
          <cell r="X4966" t="str">
            <v>Commissions - gross</v>
          </cell>
          <cell r="Y4966" t="str">
            <v>FRANCE</v>
          </cell>
        </row>
        <row r="4967">
          <cell r="L4967" t="str">
            <v>Non-proportional</v>
          </cell>
          <cell r="S4967">
            <v>-3600</v>
          </cell>
          <cell r="X4967" t="str">
            <v>Commissions - gross</v>
          </cell>
          <cell r="Y4967" t="str">
            <v>GERMANY</v>
          </cell>
        </row>
        <row r="4968">
          <cell r="L4968" t="str">
            <v>Non-proportional</v>
          </cell>
          <cell r="S4968">
            <v>633408.63</v>
          </cell>
          <cell r="X4968" t="str">
            <v>Commissions - gross</v>
          </cell>
          <cell r="Y4968" t="str">
            <v>UNITED KINGDOM</v>
          </cell>
        </row>
        <row r="4969">
          <cell r="L4969" t="str">
            <v>Non-proportional</v>
          </cell>
          <cell r="S4969">
            <v>-19353</v>
          </cell>
          <cell r="X4969" t="str">
            <v>Commissions - gross</v>
          </cell>
          <cell r="Y4969" t="str">
            <v>AUSTRIA</v>
          </cell>
        </row>
        <row r="4970">
          <cell r="L4970" t="str">
            <v>Non-proportional</v>
          </cell>
          <cell r="S4970">
            <v>-13183.64</v>
          </cell>
          <cell r="X4970" t="str">
            <v>Commissions - gross</v>
          </cell>
          <cell r="Y4970" t="str">
            <v>FRANCE</v>
          </cell>
        </row>
        <row r="4971">
          <cell r="L4971" t="str">
            <v>Non-proportional</v>
          </cell>
          <cell r="S4971">
            <v>18144</v>
          </cell>
          <cell r="X4971" t="str">
            <v>Commissions - gross</v>
          </cell>
          <cell r="Y4971" t="str">
            <v>ROMANIA</v>
          </cell>
        </row>
        <row r="4972">
          <cell r="L4972" t="str">
            <v>Non-proportional</v>
          </cell>
          <cell r="S4972">
            <v>1000</v>
          </cell>
          <cell r="X4972" t="str">
            <v>Commissions - gross</v>
          </cell>
          <cell r="Y4972" t="str">
            <v>GERMANY</v>
          </cell>
        </row>
        <row r="4973">
          <cell r="L4973" t="str">
            <v>Non-proportional</v>
          </cell>
          <cell r="S4973">
            <v>-1000</v>
          </cell>
          <cell r="X4973" t="str">
            <v>Commissions - gross</v>
          </cell>
          <cell r="Y4973" t="str">
            <v>SWITZERLAND</v>
          </cell>
        </row>
        <row r="4974">
          <cell r="L4974" t="str">
            <v>Non-proportional</v>
          </cell>
          <cell r="S4974">
            <v>8190.88</v>
          </cell>
          <cell r="X4974" t="str">
            <v>Commissions - gross</v>
          </cell>
          <cell r="Y4974" t="str">
            <v>NORWAY</v>
          </cell>
        </row>
        <row r="4975">
          <cell r="L4975" t="str">
            <v>Non-proportional</v>
          </cell>
          <cell r="S4975">
            <v>-1000</v>
          </cell>
          <cell r="X4975" t="str">
            <v>Commissions - gross</v>
          </cell>
          <cell r="Y4975" t="str">
            <v>GERMANY</v>
          </cell>
        </row>
        <row r="4976">
          <cell r="L4976" t="str">
            <v>Non-proportional</v>
          </cell>
          <cell r="S4976">
            <v>1287.1400000000001</v>
          </cell>
          <cell r="X4976" t="str">
            <v>Commissions - gross</v>
          </cell>
          <cell r="Y4976" t="str">
            <v>DENMARK</v>
          </cell>
        </row>
        <row r="4977">
          <cell r="L4977" t="str">
            <v>Non-proportional</v>
          </cell>
          <cell r="S4977">
            <v>78524.44</v>
          </cell>
          <cell r="X4977" t="str">
            <v>Commissions - gross</v>
          </cell>
          <cell r="Y4977" t="str">
            <v>UNITED KINGDOM</v>
          </cell>
        </row>
        <row r="4978">
          <cell r="L4978" t="str">
            <v>Non-proportional</v>
          </cell>
          <cell r="S4978">
            <v>900</v>
          </cell>
          <cell r="X4978" t="str">
            <v>Commissions - gross</v>
          </cell>
          <cell r="Y4978" t="str">
            <v>GERMANY</v>
          </cell>
        </row>
        <row r="4979">
          <cell r="L4979" t="str">
            <v>Non-proportional</v>
          </cell>
          <cell r="S4979">
            <v>199.83</v>
          </cell>
          <cell r="X4979" t="str">
            <v>Commissions - gross</v>
          </cell>
          <cell r="Y4979" t="str">
            <v>FRANCE</v>
          </cell>
        </row>
        <row r="4980">
          <cell r="L4980" t="str">
            <v>Non-proportional</v>
          </cell>
          <cell r="S4980">
            <v>-11747.73</v>
          </cell>
          <cell r="X4980" t="str">
            <v>Commissions - gross</v>
          </cell>
          <cell r="Y4980" t="str">
            <v>UNITED KINGDOM</v>
          </cell>
        </row>
        <row r="4981">
          <cell r="L4981" t="str">
            <v>Non-proportional</v>
          </cell>
          <cell r="S4981">
            <v>-42795.3</v>
          </cell>
          <cell r="X4981" t="str">
            <v>Commissions - gross</v>
          </cell>
          <cell r="Y4981" t="str">
            <v>UNITED KINGDOM</v>
          </cell>
        </row>
        <row r="4982">
          <cell r="L4982" t="str">
            <v>Non-proportional</v>
          </cell>
          <cell r="S4982">
            <v>-5727.89</v>
          </cell>
          <cell r="X4982" t="str">
            <v>Commissions - gross</v>
          </cell>
          <cell r="Y4982" t="str">
            <v>NORWAY</v>
          </cell>
        </row>
        <row r="4983">
          <cell r="L4983" t="str">
            <v>Non-proportional</v>
          </cell>
          <cell r="S4983">
            <v>7685.42</v>
          </cell>
          <cell r="X4983" t="str">
            <v>Commissions - gross</v>
          </cell>
          <cell r="Y4983" t="str">
            <v>SWITZERLAND</v>
          </cell>
        </row>
        <row r="4984">
          <cell r="L4984" t="str">
            <v>Non-proportional</v>
          </cell>
          <cell r="S4984">
            <v>7500</v>
          </cell>
          <cell r="X4984" t="str">
            <v>Commissions - gross</v>
          </cell>
          <cell r="Y4984" t="str">
            <v>GERMANY</v>
          </cell>
        </row>
        <row r="4985">
          <cell r="L4985" t="str">
            <v>Non-proportional</v>
          </cell>
          <cell r="S4985">
            <v>11400</v>
          </cell>
          <cell r="X4985" t="str">
            <v>Commissions - gross</v>
          </cell>
          <cell r="Y4985" t="str">
            <v>GERMANY</v>
          </cell>
        </row>
        <row r="4986">
          <cell r="L4986" t="str">
            <v>Non-proportional</v>
          </cell>
          <cell r="S4986">
            <v>-7750</v>
          </cell>
          <cell r="X4986" t="str">
            <v>Commissions - gross</v>
          </cell>
          <cell r="Y4986" t="str">
            <v>AUSTRIA</v>
          </cell>
        </row>
        <row r="4987">
          <cell r="L4987" t="str">
            <v>Non-proportional</v>
          </cell>
          <cell r="S4987">
            <v>1930.71</v>
          </cell>
          <cell r="X4987" t="str">
            <v>Commissions - gross</v>
          </cell>
          <cell r="Y4987" t="str">
            <v>DENMARK</v>
          </cell>
        </row>
        <row r="4988">
          <cell r="L4988" t="str">
            <v>Non-proportional</v>
          </cell>
          <cell r="S4988">
            <v>12750</v>
          </cell>
          <cell r="X4988" t="str">
            <v>Commissions - gross</v>
          </cell>
          <cell r="Y4988" t="str">
            <v>GERMANY</v>
          </cell>
        </row>
        <row r="4989">
          <cell r="L4989" t="str">
            <v>Non-proportional</v>
          </cell>
          <cell r="S4989">
            <v>-13427.09</v>
          </cell>
          <cell r="X4989" t="str">
            <v>Commissions - gross</v>
          </cell>
          <cell r="Y4989" t="str">
            <v>EUROPE</v>
          </cell>
        </row>
        <row r="4990">
          <cell r="L4990" t="str">
            <v>Non-proportional</v>
          </cell>
          <cell r="S4990">
            <v>-19928.27</v>
          </cell>
          <cell r="X4990" t="str">
            <v>Commissions - gross</v>
          </cell>
          <cell r="Y4990" t="str">
            <v>EIRE</v>
          </cell>
        </row>
        <row r="4991">
          <cell r="L4991" t="str">
            <v>Non-proportional</v>
          </cell>
          <cell r="S4991">
            <v>-6800</v>
          </cell>
          <cell r="X4991" t="str">
            <v>Commissions - gross</v>
          </cell>
          <cell r="Y4991" t="str">
            <v>GERMANY</v>
          </cell>
        </row>
        <row r="4992">
          <cell r="L4992" t="str">
            <v>Non-proportional</v>
          </cell>
          <cell r="S4992">
            <v>1681.99</v>
          </cell>
          <cell r="X4992" t="str">
            <v>Commissions - gross</v>
          </cell>
          <cell r="Y4992" t="str">
            <v>GERMANY</v>
          </cell>
        </row>
        <row r="4993">
          <cell r="L4993" t="str">
            <v>Non-proportional</v>
          </cell>
          <cell r="S4993">
            <v>3225</v>
          </cell>
          <cell r="X4993" t="str">
            <v>Commissions - gross</v>
          </cell>
          <cell r="Y4993" t="str">
            <v>GERMANY</v>
          </cell>
        </row>
        <row r="4994">
          <cell r="L4994" t="str">
            <v>Non-proportional</v>
          </cell>
          <cell r="S4994">
            <v>-14434</v>
          </cell>
          <cell r="X4994" t="str">
            <v>Commissions - gross</v>
          </cell>
          <cell r="Y4994" t="str">
            <v>GERMANY</v>
          </cell>
        </row>
        <row r="4995">
          <cell r="L4995" t="str">
            <v>Non-proportional</v>
          </cell>
          <cell r="S4995">
            <v>2120</v>
          </cell>
          <cell r="X4995" t="str">
            <v>Commissions - gross</v>
          </cell>
          <cell r="Y4995" t="str">
            <v>GERMANY</v>
          </cell>
        </row>
        <row r="4996">
          <cell r="L4996" t="str">
            <v>Non-proportional</v>
          </cell>
          <cell r="S4996">
            <v>8195</v>
          </cell>
          <cell r="X4996" t="str">
            <v>Commissions - gross</v>
          </cell>
          <cell r="Y4996" t="str">
            <v>GERMANY</v>
          </cell>
        </row>
        <row r="4997">
          <cell r="L4997" t="str">
            <v>Non-proportional</v>
          </cell>
          <cell r="S4997">
            <v>-775.91</v>
          </cell>
          <cell r="X4997" t="str">
            <v>Commissions - gross</v>
          </cell>
          <cell r="Y4997" t="str">
            <v>ITALY</v>
          </cell>
        </row>
        <row r="4998">
          <cell r="L4998" t="str">
            <v>Non-proportional</v>
          </cell>
          <cell r="S4998">
            <v>-8835</v>
          </cell>
          <cell r="X4998" t="str">
            <v>Commissions - gross</v>
          </cell>
          <cell r="Y4998" t="str">
            <v>GERMANY</v>
          </cell>
        </row>
        <row r="4999">
          <cell r="L4999" t="str">
            <v>Non-proportional</v>
          </cell>
          <cell r="S4999">
            <v>9750</v>
          </cell>
          <cell r="X4999" t="str">
            <v>Commissions - gross</v>
          </cell>
          <cell r="Y4999" t="str">
            <v>CZECH REPUBLIC</v>
          </cell>
        </row>
        <row r="5000">
          <cell r="L5000" t="str">
            <v>Non-proportional</v>
          </cell>
          <cell r="S5000">
            <v>6800</v>
          </cell>
          <cell r="X5000" t="str">
            <v>Commissions - gross</v>
          </cell>
          <cell r="Y5000" t="str">
            <v>GERMANY</v>
          </cell>
        </row>
        <row r="5001">
          <cell r="L5001" t="str">
            <v>Non-proportional</v>
          </cell>
          <cell r="S5001">
            <v>2354.79</v>
          </cell>
          <cell r="X5001" t="str">
            <v>Commissions - gross</v>
          </cell>
          <cell r="Y5001" t="str">
            <v>GERMANY</v>
          </cell>
        </row>
        <row r="5002">
          <cell r="L5002" t="str">
            <v>Non-proportional</v>
          </cell>
          <cell r="S5002">
            <v>22378.49</v>
          </cell>
          <cell r="X5002" t="str">
            <v>Commissions - gross</v>
          </cell>
          <cell r="Y5002" t="str">
            <v>EUROPE</v>
          </cell>
        </row>
        <row r="5003">
          <cell r="L5003" t="str">
            <v>Non-proportional</v>
          </cell>
          <cell r="S5003">
            <v>9250</v>
          </cell>
          <cell r="X5003" t="str">
            <v>Commissions - gross</v>
          </cell>
          <cell r="Y5003" t="str">
            <v>GERMANY</v>
          </cell>
        </row>
        <row r="5004">
          <cell r="L5004" t="str">
            <v>Non-proportional</v>
          </cell>
          <cell r="S5004">
            <v>775.91</v>
          </cell>
          <cell r="X5004" t="str">
            <v>Commissions - gross</v>
          </cell>
          <cell r="Y5004" t="str">
            <v>ITALY</v>
          </cell>
        </row>
        <row r="5005">
          <cell r="L5005" t="str">
            <v>Non-proportional</v>
          </cell>
          <cell r="S5005">
            <v>-7990</v>
          </cell>
          <cell r="X5005" t="str">
            <v>Commissions - gross</v>
          </cell>
          <cell r="Y5005" t="str">
            <v>GERMANY</v>
          </cell>
        </row>
        <row r="5006">
          <cell r="L5006" t="str">
            <v>Non-proportional</v>
          </cell>
          <cell r="S5006">
            <v>-2700.62</v>
          </cell>
          <cell r="X5006" t="str">
            <v>Commissions - gross</v>
          </cell>
          <cell r="Y5006" t="str">
            <v>GERMANY</v>
          </cell>
        </row>
        <row r="5007">
          <cell r="L5007" t="str">
            <v>Non-proportional</v>
          </cell>
          <cell r="S5007">
            <v>17099.02</v>
          </cell>
          <cell r="X5007" t="str">
            <v>Commissions - gross</v>
          </cell>
          <cell r="Y5007" t="str">
            <v>GERMANY</v>
          </cell>
        </row>
        <row r="5008">
          <cell r="L5008" t="str">
            <v>Non-proportional</v>
          </cell>
          <cell r="S5008">
            <v>-14080</v>
          </cell>
          <cell r="X5008" t="str">
            <v>Commissions - gross</v>
          </cell>
          <cell r="Y5008" t="str">
            <v>GERMANY</v>
          </cell>
        </row>
        <row r="5009">
          <cell r="L5009" t="str">
            <v>Non-proportional</v>
          </cell>
          <cell r="S5009">
            <v>-14918.99</v>
          </cell>
          <cell r="X5009" t="str">
            <v>Commissions - gross</v>
          </cell>
          <cell r="Y5009" t="str">
            <v>EIRE</v>
          </cell>
        </row>
        <row r="5010">
          <cell r="L5010" t="str">
            <v>Non-proportional</v>
          </cell>
          <cell r="S5010">
            <v>9719.8799999999992</v>
          </cell>
          <cell r="X5010" t="str">
            <v>Commissions - gross</v>
          </cell>
          <cell r="Y5010" t="str">
            <v>GERMANY</v>
          </cell>
        </row>
        <row r="5011">
          <cell r="L5011" t="str">
            <v>Non-proportional</v>
          </cell>
          <cell r="S5011">
            <v>-7400</v>
          </cell>
          <cell r="X5011" t="str">
            <v>Commissions - gross</v>
          </cell>
          <cell r="Y5011" t="str">
            <v>GERMANY</v>
          </cell>
        </row>
        <row r="5012">
          <cell r="L5012" t="str">
            <v>Non-proportional</v>
          </cell>
          <cell r="S5012">
            <v>-24400</v>
          </cell>
          <cell r="X5012" t="str">
            <v>Commissions - gross</v>
          </cell>
          <cell r="Y5012" t="str">
            <v>GERMANY</v>
          </cell>
        </row>
        <row r="5013">
          <cell r="L5013" t="str">
            <v>Non-proportional</v>
          </cell>
          <cell r="S5013">
            <v>-52500</v>
          </cell>
          <cell r="X5013" t="str">
            <v>Commissions - gross</v>
          </cell>
          <cell r="Y5013" t="str">
            <v>GERMANY</v>
          </cell>
        </row>
        <row r="5014">
          <cell r="L5014" t="str">
            <v>Non-proportional</v>
          </cell>
          <cell r="S5014">
            <v>14918.99</v>
          </cell>
          <cell r="X5014" t="str">
            <v>Commissions - gross</v>
          </cell>
          <cell r="Y5014" t="str">
            <v>EIRE</v>
          </cell>
        </row>
        <row r="5015">
          <cell r="L5015" t="str">
            <v>Non-proportional</v>
          </cell>
          <cell r="S5015">
            <v>-1929.96</v>
          </cell>
          <cell r="X5015" t="str">
            <v>Commissions - gross</v>
          </cell>
          <cell r="Y5015" t="str">
            <v>DENMARK</v>
          </cell>
        </row>
        <row r="5016">
          <cell r="L5016" t="str">
            <v>Non-proportional</v>
          </cell>
          <cell r="S5016">
            <v>8100</v>
          </cell>
          <cell r="X5016" t="str">
            <v>Commissions - gross</v>
          </cell>
          <cell r="Y5016" t="str">
            <v>GERMANY</v>
          </cell>
        </row>
        <row r="5017">
          <cell r="L5017" t="str">
            <v>Non-proportional</v>
          </cell>
          <cell r="S5017">
            <v>-7824</v>
          </cell>
          <cell r="X5017" t="str">
            <v>Commissions - gross</v>
          </cell>
          <cell r="Y5017" t="str">
            <v>GERMANY</v>
          </cell>
        </row>
        <row r="5018">
          <cell r="L5018" t="str">
            <v>Non-proportional</v>
          </cell>
          <cell r="S5018">
            <v>52500</v>
          </cell>
          <cell r="X5018" t="str">
            <v>Commissions - gross</v>
          </cell>
          <cell r="Y5018" t="str">
            <v>GERMANY</v>
          </cell>
        </row>
        <row r="5019">
          <cell r="L5019" t="str">
            <v>Non-proportional</v>
          </cell>
          <cell r="S5019">
            <v>-3248</v>
          </cell>
          <cell r="X5019" t="str">
            <v>Commissions - gross</v>
          </cell>
          <cell r="Y5019" t="str">
            <v>GERMANY</v>
          </cell>
        </row>
        <row r="5020">
          <cell r="L5020" t="str">
            <v>Non-proportional</v>
          </cell>
          <cell r="S5020">
            <v>-15120.53</v>
          </cell>
          <cell r="X5020" t="str">
            <v>Commissions - gross</v>
          </cell>
          <cell r="Y5020" t="str">
            <v>GERMANY</v>
          </cell>
        </row>
        <row r="5021">
          <cell r="L5021" t="str">
            <v>Non-proportional</v>
          </cell>
          <cell r="S5021">
            <v>11340</v>
          </cell>
          <cell r="X5021" t="str">
            <v>Commissions - gross</v>
          </cell>
          <cell r="Y5021" t="str">
            <v>GERMANY</v>
          </cell>
        </row>
        <row r="5022">
          <cell r="L5022" t="str">
            <v>Non-proportional</v>
          </cell>
          <cell r="S5022">
            <v>11000</v>
          </cell>
          <cell r="X5022" t="str">
            <v>Commissions - gross</v>
          </cell>
          <cell r="Y5022" t="str">
            <v>GERMANY</v>
          </cell>
        </row>
        <row r="5023">
          <cell r="L5023" t="str">
            <v>Non-proportional</v>
          </cell>
          <cell r="S5023">
            <v>7824</v>
          </cell>
          <cell r="X5023" t="str">
            <v>Commissions - gross</v>
          </cell>
          <cell r="Y5023" t="str">
            <v>GERMANY</v>
          </cell>
        </row>
        <row r="5024">
          <cell r="L5024" t="str">
            <v>Non-proportional</v>
          </cell>
          <cell r="S5024">
            <v>-3580.56</v>
          </cell>
          <cell r="X5024" t="str">
            <v>Commissions - gross</v>
          </cell>
          <cell r="Y5024" t="str">
            <v>EUROPE</v>
          </cell>
        </row>
        <row r="5025">
          <cell r="L5025" t="str">
            <v>Non-proportional</v>
          </cell>
          <cell r="S5025">
            <v>-1681.99</v>
          </cell>
          <cell r="X5025" t="str">
            <v>Commissions - gross</v>
          </cell>
          <cell r="Y5025" t="str">
            <v>GERMANY</v>
          </cell>
        </row>
        <row r="5026">
          <cell r="L5026" t="str">
            <v>Non-proportional</v>
          </cell>
          <cell r="S5026">
            <v>3248</v>
          </cell>
          <cell r="X5026" t="str">
            <v>Commissions - gross</v>
          </cell>
          <cell r="Y5026" t="str">
            <v>GERMANY</v>
          </cell>
        </row>
        <row r="5027">
          <cell r="L5027" t="str">
            <v>Non-proportional</v>
          </cell>
          <cell r="S5027">
            <v>10764.7</v>
          </cell>
          <cell r="X5027" t="str">
            <v>Commissions - gross</v>
          </cell>
          <cell r="Y5027" t="str">
            <v>GERMANY</v>
          </cell>
        </row>
        <row r="5028">
          <cell r="L5028" t="str">
            <v>Non-proportional</v>
          </cell>
          <cell r="S5028">
            <v>-2929.77</v>
          </cell>
          <cell r="X5028" t="str">
            <v>Commissions - gross</v>
          </cell>
          <cell r="Y5028" t="str">
            <v>GERMANY</v>
          </cell>
        </row>
        <row r="5029">
          <cell r="L5029" t="str">
            <v>Non-proportional</v>
          </cell>
          <cell r="S5029">
            <v>-1929.96</v>
          </cell>
          <cell r="X5029" t="str">
            <v>Commissions - gross</v>
          </cell>
          <cell r="Y5029" t="str">
            <v>DENMARK</v>
          </cell>
        </row>
        <row r="5030">
          <cell r="L5030" t="str">
            <v>Non-proportional</v>
          </cell>
          <cell r="S5030">
            <v>190.69</v>
          </cell>
          <cell r="X5030" t="str">
            <v>Commissions - gross</v>
          </cell>
          <cell r="Y5030" t="str">
            <v>ITALY</v>
          </cell>
        </row>
        <row r="5031">
          <cell r="L5031" t="str">
            <v>Non-proportional</v>
          </cell>
          <cell r="S5031">
            <v>14434</v>
          </cell>
          <cell r="X5031" t="str">
            <v>Commissions - gross</v>
          </cell>
          <cell r="Y5031" t="str">
            <v>GERMANY</v>
          </cell>
        </row>
        <row r="5032">
          <cell r="L5032" t="str">
            <v>Non-proportional</v>
          </cell>
          <cell r="S5032">
            <v>19928.27</v>
          </cell>
          <cell r="X5032" t="str">
            <v>Commissions - gross</v>
          </cell>
          <cell r="Y5032" t="str">
            <v>EIRE</v>
          </cell>
        </row>
        <row r="5033">
          <cell r="L5033" t="str">
            <v>Non-proportional</v>
          </cell>
          <cell r="S5033">
            <v>25208</v>
          </cell>
          <cell r="X5033" t="str">
            <v>Commissions - gross</v>
          </cell>
          <cell r="Y5033" t="str">
            <v>GERMANY</v>
          </cell>
        </row>
        <row r="5034">
          <cell r="L5034" t="str">
            <v>Non-proportional</v>
          </cell>
          <cell r="S5034">
            <v>6520</v>
          </cell>
          <cell r="X5034" t="str">
            <v>Commissions - gross</v>
          </cell>
          <cell r="Y5034" t="str">
            <v>GERMANY</v>
          </cell>
        </row>
        <row r="5035">
          <cell r="L5035" t="str">
            <v>Non-proportional</v>
          </cell>
          <cell r="S5035">
            <v>9720</v>
          </cell>
          <cell r="X5035" t="str">
            <v>Commissions - gross</v>
          </cell>
          <cell r="Y5035" t="str">
            <v>GERMANY</v>
          </cell>
        </row>
        <row r="5036">
          <cell r="L5036" t="str">
            <v>Non-proportional</v>
          </cell>
          <cell r="S5036">
            <v>8056.25</v>
          </cell>
          <cell r="X5036" t="str">
            <v>Commissions - gross</v>
          </cell>
          <cell r="Y5036" t="str">
            <v>EUROPE</v>
          </cell>
        </row>
        <row r="5037">
          <cell r="L5037" t="str">
            <v>Non-proportional</v>
          </cell>
          <cell r="S5037">
            <v>-12010.88</v>
          </cell>
          <cell r="X5037" t="str">
            <v>Commissions - gross</v>
          </cell>
          <cell r="Y5037" t="str">
            <v>FRANCE</v>
          </cell>
        </row>
        <row r="5038">
          <cell r="L5038" t="str">
            <v>Non-proportional</v>
          </cell>
          <cell r="S5038">
            <v>-8056.25</v>
          </cell>
          <cell r="X5038" t="str">
            <v>Commissions - gross</v>
          </cell>
          <cell r="Y5038" t="str">
            <v>EUROPE</v>
          </cell>
        </row>
        <row r="5039">
          <cell r="L5039" t="str">
            <v>Non-proportional</v>
          </cell>
          <cell r="S5039">
            <v>1520</v>
          </cell>
          <cell r="X5039" t="str">
            <v>Commissions - gross</v>
          </cell>
          <cell r="Y5039" t="str">
            <v>GERMANY</v>
          </cell>
        </row>
        <row r="5040">
          <cell r="L5040" t="str">
            <v>Non-proportional</v>
          </cell>
          <cell r="S5040">
            <v>5370.84</v>
          </cell>
          <cell r="X5040" t="str">
            <v>Commissions - gross</v>
          </cell>
          <cell r="Y5040" t="str">
            <v>EIRE</v>
          </cell>
        </row>
        <row r="5041">
          <cell r="L5041" t="str">
            <v>Non-proportional</v>
          </cell>
          <cell r="S5041">
            <v>15120.53</v>
          </cell>
          <cell r="X5041" t="str">
            <v>Commissions - gross</v>
          </cell>
          <cell r="Y5041" t="str">
            <v>GERMANY</v>
          </cell>
        </row>
        <row r="5042">
          <cell r="L5042" t="str">
            <v>Non-proportional</v>
          </cell>
          <cell r="S5042">
            <v>-9719.8799999999992</v>
          </cell>
          <cell r="X5042" t="str">
            <v>Commissions - gross</v>
          </cell>
          <cell r="Y5042" t="str">
            <v>GERMANY</v>
          </cell>
        </row>
        <row r="5043">
          <cell r="L5043" t="str">
            <v>Non-proportional</v>
          </cell>
          <cell r="S5043">
            <v>-17099.02</v>
          </cell>
          <cell r="X5043" t="str">
            <v>Commissions - gross</v>
          </cell>
          <cell r="Y5043" t="str">
            <v>GERMANY</v>
          </cell>
        </row>
        <row r="5044">
          <cell r="L5044" t="str">
            <v>Non-proportional</v>
          </cell>
          <cell r="S5044">
            <v>5940</v>
          </cell>
          <cell r="X5044" t="str">
            <v>Commissions - gross</v>
          </cell>
          <cell r="Y5044" t="str">
            <v>GERMANY</v>
          </cell>
        </row>
        <row r="5045">
          <cell r="L5045" t="str">
            <v>Non-proportional</v>
          </cell>
          <cell r="S5045">
            <v>8835</v>
          </cell>
          <cell r="X5045" t="str">
            <v>Commissions - gross</v>
          </cell>
          <cell r="Y5045" t="str">
            <v>GERMANY</v>
          </cell>
        </row>
        <row r="5046">
          <cell r="L5046" t="str">
            <v>Non-proportional</v>
          </cell>
          <cell r="S5046">
            <v>12010.88</v>
          </cell>
          <cell r="X5046" t="str">
            <v>Commissions - gross</v>
          </cell>
          <cell r="Y5046" t="str">
            <v>FRANCE</v>
          </cell>
        </row>
        <row r="5047">
          <cell r="L5047" t="str">
            <v>Non-proportional</v>
          </cell>
          <cell r="S5047">
            <v>-5370.84</v>
          </cell>
          <cell r="X5047" t="str">
            <v>Commissions - gross</v>
          </cell>
          <cell r="Y5047" t="str">
            <v>EIRE</v>
          </cell>
        </row>
        <row r="5048">
          <cell r="L5048" t="str">
            <v>Non-proportional</v>
          </cell>
          <cell r="S5048">
            <v>-25208</v>
          </cell>
          <cell r="X5048" t="str">
            <v>Commissions - gross</v>
          </cell>
          <cell r="Y5048" t="str">
            <v>GERMANY</v>
          </cell>
        </row>
        <row r="5049">
          <cell r="L5049" t="str">
            <v>Non-proportional</v>
          </cell>
          <cell r="S5049">
            <v>-9174.0400000000009</v>
          </cell>
          <cell r="X5049" t="str">
            <v>Commissions - gross</v>
          </cell>
          <cell r="Y5049" t="str">
            <v>GERMANY</v>
          </cell>
        </row>
        <row r="5050">
          <cell r="L5050" t="str">
            <v>Non-proportional</v>
          </cell>
          <cell r="S5050">
            <v>-2354.79</v>
          </cell>
          <cell r="X5050" t="str">
            <v>Commissions - gross</v>
          </cell>
          <cell r="Y5050" t="str">
            <v>GERMANY</v>
          </cell>
        </row>
        <row r="5051">
          <cell r="L5051" t="str">
            <v>Non-proportional</v>
          </cell>
          <cell r="S5051">
            <v>-9720</v>
          </cell>
          <cell r="X5051" t="str">
            <v>Commissions - gross</v>
          </cell>
          <cell r="Y5051" t="str">
            <v>GERMANY</v>
          </cell>
        </row>
        <row r="5052">
          <cell r="L5052" t="str">
            <v>Non-proportional</v>
          </cell>
          <cell r="S5052">
            <v>-11340</v>
          </cell>
          <cell r="X5052" t="str">
            <v>Commissions - gross</v>
          </cell>
          <cell r="Y5052" t="str">
            <v>GERMANY</v>
          </cell>
        </row>
        <row r="5053">
          <cell r="L5053" t="str">
            <v>Non-proportional</v>
          </cell>
          <cell r="S5053">
            <v>-5940</v>
          </cell>
          <cell r="X5053" t="str">
            <v>Commissions - gross</v>
          </cell>
          <cell r="Y5053" t="str">
            <v>GERMANY</v>
          </cell>
        </row>
        <row r="5054">
          <cell r="L5054" t="str">
            <v>Non-proportional</v>
          </cell>
          <cell r="S5054">
            <v>-12750</v>
          </cell>
          <cell r="X5054" t="str">
            <v>Commissions - gross</v>
          </cell>
          <cell r="Y5054" t="str">
            <v>GERMANY</v>
          </cell>
        </row>
        <row r="5055">
          <cell r="L5055" t="str">
            <v>Non-proportional</v>
          </cell>
          <cell r="S5055">
            <v>-2120</v>
          </cell>
          <cell r="X5055" t="str">
            <v>Commissions - gross</v>
          </cell>
          <cell r="Y5055" t="str">
            <v>GERMANY</v>
          </cell>
        </row>
        <row r="5056">
          <cell r="L5056" t="str">
            <v>Non-proportional</v>
          </cell>
          <cell r="S5056">
            <v>-10350</v>
          </cell>
          <cell r="X5056" t="str">
            <v>Commissions - gross</v>
          </cell>
          <cell r="Y5056" t="str">
            <v>GERMANY</v>
          </cell>
        </row>
        <row r="5057">
          <cell r="L5057" t="str">
            <v>Non-proportional</v>
          </cell>
          <cell r="S5057">
            <v>-16555.52</v>
          </cell>
          <cell r="X5057" t="str">
            <v>Commissions - gross</v>
          </cell>
          <cell r="Y5057" t="str">
            <v>ITALY</v>
          </cell>
        </row>
        <row r="5058">
          <cell r="L5058" t="str">
            <v>Non-proportional</v>
          </cell>
          <cell r="S5058">
            <v>-0.19</v>
          </cell>
          <cell r="X5058" t="str">
            <v>Commissions - gross</v>
          </cell>
          <cell r="Y5058" t="str">
            <v>GERMANY</v>
          </cell>
        </row>
        <row r="5059">
          <cell r="L5059" t="str">
            <v>Non-proportional</v>
          </cell>
          <cell r="S5059">
            <v>9174.0400000000009</v>
          </cell>
          <cell r="X5059" t="str">
            <v>Commissions - gross</v>
          </cell>
          <cell r="Y5059" t="str">
            <v>GERMANY</v>
          </cell>
        </row>
        <row r="5060">
          <cell r="L5060" t="str">
            <v>Non-proportional</v>
          </cell>
          <cell r="S5060">
            <v>-2120</v>
          </cell>
          <cell r="X5060" t="str">
            <v>Commissions - gross</v>
          </cell>
          <cell r="Y5060" t="str">
            <v>GERMANY</v>
          </cell>
        </row>
        <row r="5061">
          <cell r="L5061" t="str">
            <v>Non-proportional</v>
          </cell>
          <cell r="S5061">
            <v>7990</v>
          </cell>
          <cell r="X5061" t="str">
            <v>Commissions - gross</v>
          </cell>
          <cell r="Y5061" t="str">
            <v>GERMANY</v>
          </cell>
        </row>
        <row r="5062">
          <cell r="L5062" t="str">
            <v>Non-proportional</v>
          </cell>
          <cell r="S5062">
            <v>2120</v>
          </cell>
          <cell r="X5062" t="str">
            <v>Commissions - gross</v>
          </cell>
          <cell r="Y5062" t="str">
            <v>GERMANY</v>
          </cell>
        </row>
        <row r="5063">
          <cell r="L5063" t="str">
            <v>Non-proportional</v>
          </cell>
          <cell r="S5063">
            <v>2436</v>
          </cell>
          <cell r="X5063" t="str">
            <v>Commissions - gross</v>
          </cell>
          <cell r="Y5063" t="str">
            <v>GERMANY</v>
          </cell>
        </row>
        <row r="5064">
          <cell r="L5064" t="str">
            <v>Non-proportional</v>
          </cell>
          <cell r="S5064">
            <v>9518</v>
          </cell>
          <cell r="X5064" t="str">
            <v>Commissions - gross</v>
          </cell>
          <cell r="Y5064" t="str">
            <v>GERMANY</v>
          </cell>
        </row>
        <row r="5065">
          <cell r="L5065" t="str">
            <v>Non-proportional</v>
          </cell>
          <cell r="S5065">
            <v>4600</v>
          </cell>
          <cell r="X5065" t="str">
            <v>Commissions - gross</v>
          </cell>
          <cell r="Y5065" t="str">
            <v>GERMANY</v>
          </cell>
        </row>
        <row r="5066">
          <cell r="L5066" t="str">
            <v>Non-proportional</v>
          </cell>
          <cell r="S5066">
            <v>-8195</v>
          </cell>
          <cell r="X5066" t="str">
            <v>Commissions - gross</v>
          </cell>
          <cell r="Y5066" t="str">
            <v>GERMANY</v>
          </cell>
        </row>
        <row r="5067">
          <cell r="L5067" t="str">
            <v>Non-proportional</v>
          </cell>
          <cell r="S5067">
            <v>1929.96</v>
          </cell>
          <cell r="X5067" t="str">
            <v>Commissions - gross</v>
          </cell>
          <cell r="Y5067" t="str">
            <v>DENMARK</v>
          </cell>
        </row>
        <row r="5068">
          <cell r="L5068" t="str">
            <v>Non-proportional</v>
          </cell>
          <cell r="S5068">
            <v>2929.77</v>
          </cell>
          <cell r="X5068" t="str">
            <v>Commissions - gross</v>
          </cell>
          <cell r="Y5068" t="str">
            <v>GERMANY</v>
          </cell>
        </row>
        <row r="5069">
          <cell r="L5069" t="str">
            <v>Non-proportional</v>
          </cell>
          <cell r="S5069">
            <v>-9518</v>
          </cell>
          <cell r="X5069" t="str">
            <v>Commissions - gross</v>
          </cell>
          <cell r="Y5069" t="str">
            <v>GERMANY</v>
          </cell>
        </row>
        <row r="5070">
          <cell r="L5070" t="str">
            <v>Non-proportional</v>
          </cell>
          <cell r="S5070">
            <v>-19800</v>
          </cell>
          <cell r="X5070" t="str">
            <v>Commissions - gross</v>
          </cell>
          <cell r="Y5070" t="str">
            <v>GERMANY</v>
          </cell>
        </row>
        <row r="5071">
          <cell r="L5071" t="str">
            <v>Non-proportional</v>
          </cell>
          <cell r="S5071">
            <v>8271.43</v>
          </cell>
          <cell r="X5071" t="str">
            <v>Commissions - gross</v>
          </cell>
          <cell r="Y5071" t="str">
            <v>GERMANY</v>
          </cell>
        </row>
        <row r="5072">
          <cell r="L5072" t="str">
            <v>Non-proportional</v>
          </cell>
          <cell r="S5072">
            <v>13427.09</v>
          </cell>
          <cell r="X5072" t="str">
            <v>Commissions - gross</v>
          </cell>
          <cell r="Y5072" t="str">
            <v>EUROPE</v>
          </cell>
        </row>
        <row r="5073">
          <cell r="L5073" t="str">
            <v>Non-proportional</v>
          </cell>
          <cell r="S5073">
            <v>-8271.43</v>
          </cell>
          <cell r="X5073" t="str">
            <v>Commissions - gross</v>
          </cell>
          <cell r="Y5073" t="str">
            <v>GERMANY</v>
          </cell>
        </row>
        <row r="5074">
          <cell r="L5074" t="str">
            <v>Non-proportional</v>
          </cell>
          <cell r="S5074">
            <v>14742.74</v>
          </cell>
          <cell r="X5074" t="str">
            <v>Commissions - gross</v>
          </cell>
          <cell r="Y5074" t="str">
            <v>DENMARK</v>
          </cell>
        </row>
        <row r="5075">
          <cell r="L5075" t="str">
            <v>Non-proportional</v>
          </cell>
          <cell r="S5075">
            <v>-190.69</v>
          </cell>
          <cell r="X5075" t="str">
            <v>Commissions - gross</v>
          </cell>
          <cell r="Y5075" t="str">
            <v>ITALY</v>
          </cell>
        </row>
        <row r="5076">
          <cell r="L5076" t="str">
            <v>Non-proportional</v>
          </cell>
          <cell r="S5076">
            <v>16555.52</v>
          </cell>
          <cell r="X5076" t="str">
            <v>Commissions - gross</v>
          </cell>
          <cell r="Y5076" t="str">
            <v>ITALY</v>
          </cell>
        </row>
        <row r="5077">
          <cell r="L5077" t="str">
            <v>Non-proportional</v>
          </cell>
          <cell r="S5077">
            <v>-11000</v>
          </cell>
          <cell r="X5077" t="str">
            <v>Commissions - gross</v>
          </cell>
          <cell r="Y5077" t="str">
            <v>GERMANY</v>
          </cell>
        </row>
        <row r="5078">
          <cell r="L5078" t="str">
            <v>Non-proportional</v>
          </cell>
          <cell r="S5078">
            <v>9680</v>
          </cell>
          <cell r="X5078" t="str">
            <v>Commissions - gross</v>
          </cell>
          <cell r="Y5078" t="str">
            <v>GERMANY</v>
          </cell>
        </row>
        <row r="5079">
          <cell r="L5079" t="str">
            <v>Non-proportional</v>
          </cell>
          <cell r="S5079">
            <v>-6520</v>
          </cell>
          <cell r="X5079" t="str">
            <v>Commissions - gross</v>
          </cell>
          <cell r="Y5079" t="str">
            <v>GERMANY</v>
          </cell>
        </row>
        <row r="5080">
          <cell r="L5080" t="str">
            <v>Non-proportional</v>
          </cell>
          <cell r="S5080">
            <v>24400</v>
          </cell>
          <cell r="X5080" t="str">
            <v>Commissions - gross</v>
          </cell>
          <cell r="Y5080" t="str">
            <v>GERMANY</v>
          </cell>
        </row>
        <row r="5081">
          <cell r="L5081" t="str">
            <v>Non-proportional</v>
          </cell>
          <cell r="S5081">
            <v>-1520</v>
          </cell>
          <cell r="X5081" t="str">
            <v>Commissions - gross</v>
          </cell>
          <cell r="Y5081" t="str">
            <v>GERMANY</v>
          </cell>
        </row>
        <row r="5082">
          <cell r="L5082" t="str">
            <v>Non-proportional</v>
          </cell>
          <cell r="S5082">
            <v>-0.04</v>
          </cell>
          <cell r="X5082" t="str">
            <v>Commissions - gross</v>
          </cell>
          <cell r="Y5082" t="str">
            <v>GERMANY</v>
          </cell>
        </row>
        <row r="5083">
          <cell r="L5083" t="str">
            <v>Non-proportional</v>
          </cell>
          <cell r="S5083">
            <v>-9680</v>
          </cell>
          <cell r="X5083" t="str">
            <v>Commissions - gross</v>
          </cell>
          <cell r="Y5083" t="str">
            <v>GERMANY</v>
          </cell>
        </row>
        <row r="5084">
          <cell r="L5084" t="str">
            <v>Non-proportional</v>
          </cell>
          <cell r="S5084">
            <v>-14742.74</v>
          </cell>
          <cell r="X5084" t="str">
            <v>Commissions - gross</v>
          </cell>
          <cell r="Y5084" t="str">
            <v>DENMARK</v>
          </cell>
        </row>
        <row r="5085">
          <cell r="L5085" t="str">
            <v>Non-proportional</v>
          </cell>
          <cell r="S5085">
            <v>10350</v>
          </cell>
          <cell r="X5085" t="str">
            <v>Commissions - gross</v>
          </cell>
          <cell r="Y5085" t="str">
            <v>GERMANY</v>
          </cell>
        </row>
        <row r="5086">
          <cell r="L5086" t="str">
            <v>Non-proportional</v>
          </cell>
          <cell r="S5086">
            <v>-9750</v>
          </cell>
          <cell r="X5086" t="str">
            <v>Commissions - gross</v>
          </cell>
          <cell r="Y5086" t="str">
            <v>CZECH REPUBLIC</v>
          </cell>
        </row>
        <row r="5087">
          <cell r="L5087" t="str">
            <v>Non-proportional</v>
          </cell>
          <cell r="S5087">
            <v>-4600</v>
          </cell>
          <cell r="X5087" t="str">
            <v>Commissions - gross</v>
          </cell>
          <cell r="Y5087" t="str">
            <v>GERMANY</v>
          </cell>
        </row>
        <row r="5088">
          <cell r="L5088" t="str">
            <v>Non-proportional</v>
          </cell>
          <cell r="S5088">
            <v>19800</v>
          </cell>
          <cell r="X5088" t="str">
            <v>Commissions - gross</v>
          </cell>
          <cell r="Y5088" t="str">
            <v>GERMANY</v>
          </cell>
        </row>
        <row r="5089">
          <cell r="L5089" t="str">
            <v>Non-proportional</v>
          </cell>
          <cell r="S5089">
            <v>-20150</v>
          </cell>
          <cell r="X5089" t="str">
            <v>Commissions - gross</v>
          </cell>
          <cell r="Y5089" t="str">
            <v>GERMANY</v>
          </cell>
        </row>
        <row r="5090">
          <cell r="L5090" t="str">
            <v>Non-proportional</v>
          </cell>
          <cell r="S5090">
            <v>107568</v>
          </cell>
          <cell r="X5090" t="str">
            <v>Commissions - gross</v>
          </cell>
          <cell r="Y5090" t="str">
            <v>FRANCE</v>
          </cell>
        </row>
        <row r="5091">
          <cell r="L5091" t="str">
            <v>Non-proportional</v>
          </cell>
          <cell r="S5091">
            <v>9680</v>
          </cell>
          <cell r="X5091" t="str">
            <v>Commissions - gross</v>
          </cell>
          <cell r="Y5091" t="str">
            <v>GERMANY</v>
          </cell>
        </row>
        <row r="5092">
          <cell r="L5092" t="str">
            <v>Non-proportional</v>
          </cell>
          <cell r="S5092">
            <v>9149</v>
          </cell>
          <cell r="X5092" t="str">
            <v>Commissions - gross</v>
          </cell>
          <cell r="Y5092" t="str">
            <v>GERMANY</v>
          </cell>
        </row>
        <row r="5093">
          <cell r="L5093" t="str">
            <v>Non-proportional</v>
          </cell>
          <cell r="S5093">
            <v>14080</v>
          </cell>
          <cell r="X5093" t="str">
            <v>Commissions - gross</v>
          </cell>
          <cell r="Y5093" t="str">
            <v>GERMANY</v>
          </cell>
        </row>
        <row r="5094">
          <cell r="L5094" t="str">
            <v>Non-proportional</v>
          </cell>
          <cell r="S5094">
            <v>2547</v>
          </cell>
          <cell r="X5094" t="str">
            <v>Commissions - gross</v>
          </cell>
          <cell r="Y5094" t="str">
            <v>GERMANY</v>
          </cell>
        </row>
        <row r="5095">
          <cell r="L5095" t="str">
            <v>Non-proportional</v>
          </cell>
          <cell r="S5095">
            <v>-9250</v>
          </cell>
          <cell r="X5095" t="str">
            <v>Commissions - gross</v>
          </cell>
          <cell r="Y5095" t="str">
            <v>GERMANY</v>
          </cell>
        </row>
        <row r="5096">
          <cell r="L5096" t="str">
            <v>Non-proportional</v>
          </cell>
          <cell r="S5096">
            <v>7400</v>
          </cell>
          <cell r="X5096" t="str">
            <v>Commissions - gross</v>
          </cell>
          <cell r="Y5096" t="str">
            <v>GERMANY</v>
          </cell>
        </row>
        <row r="5097">
          <cell r="L5097" t="str">
            <v>Non-proportional</v>
          </cell>
          <cell r="S5097">
            <v>-10764.74</v>
          </cell>
          <cell r="X5097" t="str">
            <v>Commissions - gross</v>
          </cell>
          <cell r="Y5097" t="str">
            <v>GERMANY</v>
          </cell>
        </row>
        <row r="5098">
          <cell r="L5098" t="str">
            <v>Non-proportional</v>
          </cell>
          <cell r="S5098">
            <v>-3225</v>
          </cell>
          <cell r="X5098" t="str">
            <v>Commissions - gross</v>
          </cell>
          <cell r="Y5098" t="str">
            <v>GERMANY</v>
          </cell>
        </row>
        <row r="5099">
          <cell r="L5099" t="str">
            <v>Non-proportional</v>
          </cell>
          <cell r="S5099">
            <v>3580.56</v>
          </cell>
          <cell r="X5099" t="str">
            <v>Commissions - gross</v>
          </cell>
          <cell r="Y5099" t="str">
            <v>EUROPE</v>
          </cell>
        </row>
        <row r="5100">
          <cell r="L5100" t="str">
            <v>Non-proportional</v>
          </cell>
          <cell r="S5100">
            <v>20150</v>
          </cell>
          <cell r="X5100" t="str">
            <v>Commissions - gross</v>
          </cell>
          <cell r="Y5100" t="str">
            <v>GERMANY</v>
          </cell>
        </row>
        <row r="5101">
          <cell r="L5101" t="str">
            <v>Non-proportional</v>
          </cell>
          <cell r="S5101">
            <v>-22378.49</v>
          </cell>
          <cell r="X5101" t="str">
            <v>Commissions - gross</v>
          </cell>
          <cell r="Y5101" t="str">
            <v>EUROPE</v>
          </cell>
        </row>
        <row r="5102">
          <cell r="L5102" t="str">
            <v>Non-proportional</v>
          </cell>
          <cell r="S5102">
            <v>-2547</v>
          </cell>
          <cell r="X5102" t="str">
            <v>Commissions - gross</v>
          </cell>
          <cell r="Y5102" t="str">
            <v>GERMANY</v>
          </cell>
        </row>
        <row r="5103">
          <cell r="L5103" t="str">
            <v>Non-proportional</v>
          </cell>
          <cell r="S5103">
            <v>-1520</v>
          </cell>
          <cell r="X5103" t="str">
            <v>Commissions - gross</v>
          </cell>
          <cell r="Y5103" t="str">
            <v>GERMANY</v>
          </cell>
        </row>
        <row r="5104">
          <cell r="L5104" t="str">
            <v>Non-proportional</v>
          </cell>
          <cell r="S5104">
            <v>-2436</v>
          </cell>
          <cell r="X5104" t="str">
            <v>Commissions - gross</v>
          </cell>
          <cell r="Y5104" t="str">
            <v>GERMANY</v>
          </cell>
        </row>
        <row r="5105">
          <cell r="L5105" t="str">
            <v>Non-proportional</v>
          </cell>
          <cell r="S5105">
            <v>-9680</v>
          </cell>
          <cell r="X5105" t="str">
            <v>Commissions - gross</v>
          </cell>
          <cell r="Y5105" t="str">
            <v>GERMANY</v>
          </cell>
        </row>
        <row r="5106">
          <cell r="L5106" t="str">
            <v>Non-proportional</v>
          </cell>
          <cell r="S5106">
            <v>2700.62</v>
          </cell>
          <cell r="X5106" t="str">
            <v>Commissions - gross</v>
          </cell>
          <cell r="Y5106" t="str">
            <v>GERMANY</v>
          </cell>
        </row>
        <row r="5107">
          <cell r="L5107" t="str">
            <v>Non-proportional</v>
          </cell>
          <cell r="S5107">
            <v>-107568</v>
          </cell>
          <cell r="X5107" t="str">
            <v>Commissions - gross</v>
          </cell>
          <cell r="Y5107" t="str">
            <v>FRANCE</v>
          </cell>
        </row>
        <row r="5108">
          <cell r="L5108" t="str">
            <v>Non-proportional</v>
          </cell>
          <cell r="S5108">
            <v>1520</v>
          </cell>
          <cell r="X5108" t="str">
            <v>Commissions - gross</v>
          </cell>
          <cell r="Y5108" t="str">
            <v>GERMANY</v>
          </cell>
        </row>
        <row r="5109">
          <cell r="L5109" t="str">
            <v>Non-proportional</v>
          </cell>
          <cell r="S5109">
            <v>-9149</v>
          </cell>
          <cell r="X5109" t="str">
            <v>Commissions - gross</v>
          </cell>
          <cell r="Y5109" t="str">
            <v>GERMANY</v>
          </cell>
        </row>
        <row r="5110">
          <cell r="L5110" t="str">
            <v>Non-proportional</v>
          </cell>
          <cell r="S5110">
            <v>-8100</v>
          </cell>
          <cell r="X5110" t="str">
            <v>Commissions - gross</v>
          </cell>
          <cell r="Y5110" t="str">
            <v>GERMANY</v>
          </cell>
        </row>
        <row r="5111">
          <cell r="L5111" t="str">
            <v>Non-proportional</v>
          </cell>
          <cell r="S5111">
            <v>-3915</v>
          </cell>
          <cell r="X5111" t="str">
            <v>Commissions - gross</v>
          </cell>
          <cell r="Y5111" t="str">
            <v>ROMANIA</v>
          </cell>
        </row>
        <row r="5112">
          <cell r="L5112" t="str">
            <v>Non-proportional</v>
          </cell>
          <cell r="S5112">
            <v>7930.99</v>
          </cell>
          <cell r="X5112" t="str">
            <v>Commissions - gross</v>
          </cell>
          <cell r="Y5112" t="str">
            <v>UNITED KINGDOM</v>
          </cell>
        </row>
        <row r="5113">
          <cell r="L5113" t="str">
            <v>Non-proportional</v>
          </cell>
          <cell r="S5113">
            <v>-5633.52</v>
          </cell>
          <cell r="X5113" t="str">
            <v>Commissions - gross</v>
          </cell>
          <cell r="Y5113" t="str">
            <v>UNITED KINGDOM</v>
          </cell>
        </row>
        <row r="5114">
          <cell r="L5114" t="str">
            <v>Non-proportional</v>
          </cell>
          <cell r="S5114">
            <v>-6545.22</v>
          </cell>
          <cell r="X5114" t="str">
            <v>Commissions - gross</v>
          </cell>
          <cell r="Y5114" t="str">
            <v>UNITED KINGDOM</v>
          </cell>
        </row>
        <row r="5115">
          <cell r="L5115" t="str">
            <v>Non-proportional</v>
          </cell>
          <cell r="S5115">
            <v>7188.97</v>
          </cell>
          <cell r="X5115" t="str">
            <v>Commissions - gross</v>
          </cell>
          <cell r="Y5115" t="str">
            <v>UNITED KINGDOM</v>
          </cell>
        </row>
        <row r="5116">
          <cell r="L5116" t="str">
            <v>Non-proportional</v>
          </cell>
          <cell r="S5116">
            <v>-3288.27</v>
          </cell>
          <cell r="X5116" t="str">
            <v>Commissions - gross</v>
          </cell>
          <cell r="Y5116" t="str">
            <v>JAPAN</v>
          </cell>
        </row>
        <row r="5117">
          <cell r="L5117" t="str">
            <v>Non-proportional</v>
          </cell>
          <cell r="S5117">
            <v>7658.23</v>
          </cell>
          <cell r="X5117" t="str">
            <v>Commissions - gross</v>
          </cell>
          <cell r="Y5117" t="str">
            <v>UNITED KINGDOM</v>
          </cell>
        </row>
        <row r="5118">
          <cell r="L5118" t="str">
            <v>Non-proportional</v>
          </cell>
          <cell r="S5118">
            <v>-2006.93</v>
          </cell>
          <cell r="X5118" t="str">
            <v>Commissions - gross</v>
          </cell>
          <cell r="Y5118" t="str">
            <v>JAPAN</v>
          </cell>
        </row>
        <row r="5119">
          <cell r="L5119" t="str">
            <v>Non-proportional</v>
          </cell>
          <cell r="S5119">
            <v>3132</v>
          </cell>
          <cell r="X5119" t="str">
            <v>Commissions - gross</v>
          </cell>
          <cell r="Y5119" t="str">
            <v>ROMANIA</v>
          </cell>
        </row>
        <row r="5120">
          <cell r="L5120" t="str">
            <v>Non-proportional</v>
          </cell>
          <cell r="S5120">
            <v>11050.23</v>
          </cell>
          <cell r="X5120" t="str">
            <v>Commissions - gross</v>
          </cell>
          <cell r="Y5120" t="str">
            <v>UNITED KINGDOM</v>
          </cell>
        </row>
        <row r="5121">
          <cell r="L5121" t="str">
            <v>Non-proportional</v>
          </cell>
          <cell r="S5121">
            <v>13495.98</v>
          </cell>
          <cell r="X5121" t="str">
            <v>Commissions - gross</v>
          </cell>
          <cell r="Y5121" t="str">
            <v>EIRE</v>
          </cell>
        </row>
        <row r="5122">
          <cell r="L5122" t="str">
            <v>Non-proportional</v>
          </cell>
          <cell r="S5122">
            <v>-7366.82</v>
          </cell>
          <cell r="X5122" t="str">
            <v>Commissions - gross</v>
          </cell>
          <cell r="Y5122" t="str">
            <v>UNITED KINGDOM</v>
          </cell>
        </row>
        <row r="5123">
          <cell r="L5123" t="str">
            <v>Non-proportional</v>
          </cell>
          <cell r="S5123">
            <v>-8840.18</v>
          </cell>
          <cell r="X5123" t="str">
            <v>Commissions - gross</v>
          </cell>
          <cell r="Y5123" t="str">
            <v>UNITED KINGDOM</v>
          </cell>
        </row>
        <row r="5124">
          <cell r="L5124" t="str">
            <v>Non-proportional</v>
          </cell>
          <cell r="S5124">
            <v>-31770</v>
          </cell>
          <cell r="X5124" t="str">
            <v>Commissions - gross</v>
          </cell>
          <cell r="Y5124" t="str">
            <v>EUROPE</v>
          </cell>
        </row>
        <row r="5125">
          <cell r="L5125" t="str">
            <v>Non-proportional</v>
          </cell>
          <cell r="S5125">
            <v>18144</v>
          </cell>
          <cell r="X5125" t="str">
            <v>Commissions - gross</v>
          </cell>
          <cell r="Y5125" t="str">
            <v>ROMANIA</v>
          </cell>
        </row>
        <row r="5126">
          <cell r="L5126" t="str">
            <v>Non-proportional</v>
          </cell>
          <cell r="S5126">
            <v>2006.93</v>
          </cell>
          <cell r="X5126" t="str">
            <v>Commissions - gross</v>
          </cell>
          <cell r="Y5126" t="str">
            <v>JAPAN</v>
          </cell>
        </row>
        <row r="5127">
          <cell r="L5127" t="str">
            <v>Non-proportional</v>
          </cell>
          <cell r="S5127">
            <v>1080.4100000000001</v>
          </cell>
          <cell r="X5127" t="str">
            <v>Commissions - gross</v>
          </cell>
          <cell r="Y5127" t="str">
            <v>JAPAN</v>
          </cell>
        </row>
        <row r="5128">
          <cell r="L5128" t="str">
            <v>Non-proportional</v>
          </cell>
          <cell r="S5128">
            <v>14918.99</v>
          </cell>
          <cell r="X5128" t="str">
            <v>Commissions - gross</v>
          </cell>
          <cell r="Y5128" t="str">
            <v>EIRE</v>
          </cell>
        </row>
        <row r="5129">
          <cell r="L5129" t="str">
            <v>Non-proportional</v>
          </cell>
          <cell r="S5129">
            <v>18144</v>
          </cell>
          <cell r="X5129" t="str">
            <v>Commissions - gross</v>
          </cell>
          <cell r="Y5129" t="str">
            <v>ROMANIA</v>
          </cell>
        </row>
        <row r="5130">
          <cell r="L5130" t="str">
            <v>Non-proportional</v>
          </cell>
          <cell r="S5130">
            <v>9572.7900000000009</v>
          </cell>
          <cell r="X5130" t="str">
            <v>Commissions - gross</v>
          </cell>
          <cell r="Y5130" t="str">
            <v>UNITED KINGDOM</v>
          </cell>
        </row>
        <row r="5131">
          <cell r="L5131" t="str">
            <v>Non-proportional</v>
          </cell>
          <cell r="S5131">
            <v>31770</v>
          </cell>
          <cell r="X5131" t="str">
            <v>Commissions - gross</v>
          </cell>
          <cell r="Y5131" t="str">
            <v>EUROPE</v>
          </cell>
        </row>
        <row r="5132">
          <cell r="L5132" t="str">
            <v>Non-proportional</v>
          </cell>
          <cell r="S5132">
            <v>9208.52</v>
          </cell>
          <cell r="X5132" t="str">
            <v>Commissions - gross</v>
          </cell>
          <cell r="Y5132" t="str">
            <v>UNITED KINGDOM</v>
          </cell>
        </row>
        <row r="5133">
          <cell r="L5133" t="str">
            <v>Non-proportional</v>
          </cell>
          <cell r="S5133">
            <v>5370.84</v>
          </cell>
          <cell r="X5133" t="str">
            <v>Commissions - gross</v>
          </cell>
          <cell r="Y5133" t="str">
            <v>EIRE</v>
          </cell>
        </row>
        <row r="5134">
          <cell r="L5134" t="str">
            <v>Non-proportional</v>
          </cell>
          <cell r="S5134">
            <v>-3132</v>
          </cell>
          <cell r="X5134" t="str">
            <v>Commissions - gross</v>
          </cell>
          <cell r="Y5134" t="str">
            <v>ROMANIA</v>
          </cell>
        </row>
        <row r="5135">
          <cell r="L5135" t="str">
            <v>Non-proportional</v>
          </cell>
          <cell r="S5135">
            <v>-3132</v>
          </cell>
          <cell r="X5135" t="str">
            <v>Commissions - gross</v>
          </cell>
          <cell r="Y5135" t="str">
            <v>ROMANIA</v>
          </cell>
        </row>
        <row r="5136">
          <cell r="L5136" t="str">
            <v>Non-proportional</v>
          </cell>
          <cell r="S5136">
            <v>6545.22</v>
          </cell>
          <cell r="X5136" t="str">
            <v>Commissions - gross</v>
          </cell>
          <cell r="Y5136" t="str">
            <v>UNITED KINGDOM</v>
          </cell>
        </row>
        <row r="5137">
          <cell r="L5137" t="str">
            <v>Non-proportional</v>
          </cell>
          <cell r="S5137">
            <v>7273.56</v>
          </cell>
          <cell r="X5137" t="str">
            <v>Commissions - gross</v>
          </cell>
          <cell r="Y5137" t="str">
            <v>UNITED KINGDOM</v>
          </cell>
        </row>
        <row r="5138">
          <cell r="L5138" t="str">
            <v>Non-proportional</v>
          </cell>
          <cell r="S5138">
            <v>8287.67</v>
          </cell>
          <cell r="X5138" t="str">
            <v>Commissions - gross</v>
          </cell>
          <cell r="Y5138" t="str">
            <v>UNITED KINGDOM</v>
          </cell>
        </row>
        <row r="5139">
          <cell r="L5139" t="str">
            <v>Non-proportional</v>
          </cell>
          <cell r="S5139">
            <v>22680</v>
          </cell>
          <cell r="X5139" t="str">
            <v>Commissions - gross</v>
          </cell>
          <cell r="Y5139" t="str">
            <v>ROMANIA</v>
          </cell>
        </row>
        <row r="5140">
          <cell r="L5140" t="str">
            <v>Non-proportional</v>
          </cell>
          <cell r="S5140">
            <v>-2447.84</v>
          </cell>
          <cell r="X5140" t="str">
            <v>Commissions - gross</v>
          </cell>
          <cell r="Y5140" t="str">
            <v>UNITED KINGDOM</v>
          </cell>
        </row>
        <row r="5141">
          <cell r="L5141" t="str">
            <v>Non-proportional</v>
          </cell>
          <cell r="S5141">
            <v>-2572.8200000000002</v>
          </cell>
          <cell r="X5141" t="str">
            <v>Commissions - gross</v>
          </cell>
          <cell r="Y5141" t="str">
            <v>JAPAN</v>
          </cell>
        </row>
        <row r="5142">
          <cell r="L5142" t="str">
            <v>Non-proportional</v>
          </cell>
          <cell r="S5142">
            <v>9913.73</v>
          </cell>
          <cell r="X5142" t="str">
            <v>Commissions - gross</v>
          </cell>
          <cell r="Y5142" t="str">
            <v>UNITED KINGDOM</v>
          </cell>
        </row>
        <row r="5143">
          <cell r="L5143" t="str">
            <v>Non-proportional</v>
          </cell>
          <cell r="S5143">
            <v>-18144</v>
          </cell>
          <cell r="X5143" t="str">
            <v>Commissions - gross</v>
          </cell>
          <cell r="Y5143" t="str">
            <v>ROMANIA</v>
          </cell>
        </row>
        <row r="5144">
          <cell r="L5144" t="str">
            <v>Non-proportional</v>
          </cell>
          <cell r="S5144">
            <v>3059.79</v>
          </cell>
          <cell r="X5144" t="str">
            <v>Commissions - gross</v>
          </cell>
          <cell r="Y5144" t="str">
            <v>UNITED KINGDOM</v>
          </cell>
        </row>
        <row r="5145">
          <cell r="L5145" t="str">
            <v>Non-proportional</v>
          </cell>
          <cell r="S5145">
            <v>7041.9</v>
          </cell>
          <cell r="X5145" t="str">
            <v>Commissions - gross</v>
          </cell>
          <cell r="Y5145" t="str">
            <v>UNITED KINGDOM</v>
          </cell>
        </row>
        <row r="5146">
          <cell r="L5146" t="str">
            <v>Non-proportional</v>
          </cell>
          <cell r="S5146">
            <v>-1080.4100000000001</v>
          </cell>
          <cell r="X5146" t="str">
            <v>Commissions - gross</v>
          </cell>
          <cell r="Y5146" t="str">
            <v>JAPAN</v>
          </cell>
        </row>
        <row r="5147">
          <cell r="L5147" t="str">
            <v>Non-proportional</v>
          </cell>
          <cell r="S5147">
            <v>2572.8200000000002</v>
          </cell>
          <cell r="X5147" t="str">
            <v>Commissions - gross</v>
          </cell>
          <cell r="Y5147" t="str">
            <v>JAPAN</v>
          </cell>
        </row>
        <row r="5148">
          <cell r="L5148" t="str">
            <v>Non-proportional</v>
          </cell>
          <cell r="S5148">
            <v>-6630.14</v>
          </cell>
          <cell r="X5148" t="str">
            <v>Commissions - gross</v>
          </cell>
          <cell r="Y5148" t="str">
            <v>UNITED KINGDOM</v>
          </cell>
        </row>
        <row r="5149">
          <cell r="L5149" t="str">
            <v>Non-proportional</v>
          </cell>
          <cell r="S5149">
            <v>-18144</v>
          </cell>
          <cell r="X5149" t="str">
            <v>Commissions - gross</v>
          </cell>
          <cell r="Y5149" t="str">
            <v>ROMANIA</v>
          </cell>
        </row>
        <row r="5150">
          <cell r="L5150" t="str">
            <v>Non-proportional</v>
          </cell>
          <cell r="S5150">
            <v>2762.56</v>
          </cell>
          <cell r="X5150" t="str">
            <v>Commissions - gross</v>
          </cell>
          <cell r="Y5150" t="str">
            <v>UNITED KINGDOM</v>
          </cell>
        </row>
        <row r="5151">
          <cell r="L5151" t="str">
            <v>Non-proportional</v>
          </cell>
          <cell r="S5151">
            <v>8840.18</v>
          </cell>
          <cell r="X5151" t="str">
            <v>Commissions - gross</v>
          </cell>
          <cell r="Y5151" t="str">
            <v>UNITED KINGDOM</v>
          </cell>
        </row>
        <row r="5152">
          <cell r="L5152" t="str">
            <v>Non-proportional</v>
          </cell>
          <cell r="S5152">
            <v>7366.82</v>
          </cell>
          <cell r="X5152" t="str">
            <v>Commissions - gross</v>
          </cell>
          <cell r="Y5152" t="str">
            <v>UNITED KINGDOM</v>
          </cell>
        </row>
        <row r="5153">
          <cell r="L5153" t="str">
            <v>Non-proportional</v>
          </cell>
          <cell r="S5153">
            <v>2006.93</v>
          </cell>
          <cell r="X5153" t="str">
            <v>Commissions - gross</v>
          </cell>
          <cell r="Y5153" t="str">
            <v>JAPAN</v>
          </cell>
        </row>
        <row r="5154">
          <cell r="L5154" t="str">
            <v>Non-proportional</v>
          </cell>
          <cell r="S5154">
            <v>-5370.84</v>
          </cell>
          <cell r="X5154" t="str">
            <v>Commissions - gross</v>
          </cell>
          <cell r="Y5154" t="str">
            <v>EIRE</v>
          </cell>
        </row>
        <row r="5155">
          <cell r="L5155" t="str">
            <v>Non-proportional</v>
          </cell>
          <cell r="S5155">
            <v>-14918.99</v>
          </cell>
          <cell r="X5155" t="str">
            <v>Commissions - gross</v>
          </cell>
          <cell r="Y5155" t="str">
            <v>EIRE</v>
          </cell>
        </row>
        <row r="5156">
          <cell r="L5156" t="str">
            <v>Non-proportional</v>
          </cell>
          <cell r="S5156">
            <v>2447.84</v>
          </cell>
          <cell r="X5156" t="str">
            <v>Commissions - gross</v>
          </cell>
          <cell r="Y5156" t="str">
            <v>UNITED KINGDOM</v>
          </cell>
        </row>
        <row r="5157">
          <cell r="L5157" t="str">
            <v>Non-proportional</v>
          </cell>
          <cell r="S5157">
            <v>-6469.87</v>
          </cell>
          <cell r="X5157" t="str">
            <v>Commissions - gross</v>
          </cell>
          <cell r="Y5157" t="str">
            <v>UNITED KINGDOM</v>
          </cell>
        </row>
        <row r="5158">
          <cell r="L5158" t="str">
            <v>Non-proportional</v>
          </cell>
          <cell r="S5158">
            <v>6630.14</v>
          </cell>
          <cell r="X5158" t="str">
            <v>Commissions - gross</v>
          </cell>
          <cell r="Y5158" t="str">
            <v>UNITED KINGDOM</v>
          </cell>
        </row>
        <row r="5159">
          <cell r="L5159" t="str">
            <v>Non-proportional</v>
          </cell>
          <cell r="S5159">
            <v>-7930.99</v>
          </cell>
          <cell r="X5159" t="str">
            <v>Commissions - gross</v>
          </cell>
          <cell r="Y5159" t="str">
            <v>UNITED KINGDOM</v>
          </cell>
        </row>
        <row r="5160">
          <cell r="L5160" t="str">
            <v>Non-proportional</v>
          </cell>
          <cell r="S5160">
            <v>2210.0500000000002</v>
          </cell>
          <cell r="X5160" t="str">
            <v>Commissions - gross</v>
          </cell>
          <cell r="Y5160" t="str">
            <v>UNITED KINGDOM</v>
          </cell>
        </row>
        <row r="5161">
          <cell r="L5161" t="str">
            <v>Non-proportional</v>
          </cell>
          <cell r="S5161">
            <v>1080.4100000000001</v>
          </cell>
          <cell r="X5161" t="str">
            <v>Commissions - gross</v>
          </cell>
          <cell r="Y5161" t="str">
            <v>JAPAN</v>
          </cell>
        </row>
        <row r="5162">
          <cell r="L5162" t="str">
            <v>Non-proportional</v>
          </cell>
          <cell r="S5162">
            <v>5633.52</v>
          </cell>
          <cell r="X5162" t="str">
            <v>Commissions - gross</v>
          </cell>
          <cell r="Y5162" t="str">
            <v>UNITED KINGDOM</v>
          </cell>
        </row>
        <row r="5163">
          <cell r="L5163" t="str">
            <v>Non-proportional</v>
          </cell>
          <cell r="S5163">
            <v>3915</v>
          </cell>
          <cell r="X5163" t="str">
            <v>Commissions - gross</v>
          </cell>
          <cell r="Y5163" t="str">
            <v>ROMANIA</v>
          </cell>
        </row>
        <row r="5164">
          <cell r="L5164" t="str">
            <v>Non-proportional</v>
          </cell>
          <cell r="S5164">
            <v>-22680</v>
          </cell>
          <cell r="X5164" t="str">
            <v>Commissions - gross</v>
          </cell>
          <cell r="Y5164" t="str">
            <v>ROMANIA</v>
          </cell>
        </row>
        <row r="5165">
          <cell r="L5165" t="str">
            <v>Non-proportional</v>
          </cell>
          <cell r="S5165">
            <v>-7658.23</v>
          </cell>
          <cell r="X5165" t="str">
            <v>Commissions - gross</v>
          </cell>
          <cell r="Y5165" t="str">
            <v>UNITED KINGDOM</v>
          </cell>
        </row>
        <row r="5166">
          <cell r="L5166" t="str">
            <v>Non-proportional</v>
          </cell>
          <cell r="S5166">
            <v>6469.87</v>
          </cell>
          <cell r="X5166" t="str">
            <v>Commissions - gross</v>
          </cell>
          <cell r="Y5166" t="str">
            <v>UNITED KINGDOM</v>
          </cell>
        </row>
        <row r="5167">
          <cell r="L5167" t="str">
            <v>Non-proportional</v>
          </cell>
          <cell r="S5167">
            <v>3132</v>
          </cell>
          <cell r="X5167" t="str">
            <v>Commissions - gross</v>
          </cell>
          <cell r="Y5167" t="str">
            <v>ROMANIA</v>
          </cell>
        </row>
        <row r="5168">
          <cell r="L5168" t="str">
            <v>Non-proportional</v>
          </cell>
          <cell r="S5168">
            <v>-13495.98</v>
          </cell>
          <cell r="X5168" t="str">
            <v>Commissions - gross</v>
          </cell>
          <cell r="Y5168" t="str">
            <v>EIRE</v>
          </cell>
        </row>
        <row r="5169">
          <cell r="L5169" t="str">
            <v>Non-proportional</v>
          </cell>
          <cell r="S5169">
            <v>5248.44</v>
          </cell>
          <cell r="X5169" t="str">
            <v>Commissions - gross</v>
          </cell>
          <cell r="Y5169" t="str">
            <v>EIRE</v>
          </cell>
        </row>
        <row r="5170">
          <cell r="L5170" t="str">
            <v>Non-proportional</v>
          </cell>
          <cell r="S5170">
            <v>3288.27</v>
          </cell>
          <cell r="X5170" t="str">
            <v>Commissions - gross</v>
          </cell>
          <cell r="Y5170" t="str">
            <v>JAPAN</v>
          </cell>
        </row>
        <row r="5171">
          <cell r="L5171" t="str">
            <v>Non-proportional</v>
          </cell>
          <cell r="S5171">
            <v>3288.27</v>
          </cell>
          <cell r="X5171" t="str">
            <v>Commissions - gross</v>
          </cell>
          <cell r="Y5171" t="str">
            <v>JAPAN</v>
          </cell>
        </row>
        <row r="5172">
          <cell r="L5172" t="str">
            <v>Non-proportional</v>
          </cell>
          <cell r="S5172">
            <v>2572.8200000000002</v>
          </cell>
          <cell r="X5172" t="str">
            <v>Commissions - gross</v>
          </cell>
          <cell r="Y5172" t="str">
            <v>JAPAN</v>
          </cell>
        </row>
        <row r="5173">
          <cell r="L5173" t="str">
            <v>Non-proportional</v>
          </cell>
          <cell r="S5173">
            <v>-5248.44</v>
          </cell>
          <cell r="X5173" t="str">
            <v>Commissions - gross</v>
          </cell>
          <cell r="Y5173" t="str">
            <v>EIRE</v>
          </cell>
        </row>
        <row r="5174">
          <cell r="L5174" t="str">
            <v>Non-proportional</v>
          </cell>
          <cell r="S5174">
            <v>-2210.0500000000002</v>
          </cell>
          <cell r="X5174" t="str">
            <v>Commissions - gross</v>
          </cell>
          <cell r="Y5174" t="str">
            <v>UNITED KINGDOM</v>
          </cell>
        </row>
        <row r="5175">
          <cell r="L5175" t="str">
            <v>Non-proportional</v>
          </cell>
          <cell r="S5175">
            <v>9149</v>
          </cell>
          <cell r="X5175" t="str">
            <v>Commissions - gross</v>
          </cell>
          <cell r="Y5175" t="str">
            <v>GERMANY</v>
          </cell>
        </row>
        <row r="5176">
          <cell r="L5176" t="str">
            <v>Non-proportional</v>
          </cell>
          <cell r="S5176">
            <v>-3772</v>
          </cell>
          <cell r="X5176" t="str">
            <v>Commissions - gross</v>
          </cell>
          <cell r="Y5176" t="str">
            <v>GERMANY</v>
          </cell>
        </row>
        <row r="5177">
          <cell r="L5177" t="str">
            <v>Non-proportional</v>
          </cell>
          <cell r="S5177">
            <v>2436</v>
          </cell>
          <cell r="X5177" t="str">
            <v>Commissions - gross</v>
          </cell>
          <cell r="Y5177" t="str">
            <v>GERMANY</v>
          </cell>
        </row>
        <row r="5178">
          <cell r="L5178" t="str">
            <v>Non-proportional</v>
          </cell>
          <cell r="S5178">
            <v>-2829</v>
          </cell>
          <cell r="X5178" t="str">
            <v>Commissions - gross</v>
          </cell>
          <cell r="Y5178" t="str">
            <v>GERMANY</v>
          </cell>
        </row>
        <row r="5179">
          <cell r="L5179" t="str">
            <v>Non-proportional</v>
          </cell>
          <cell r="S5179">
            <v>-10626</v>
          </cell>
          <cell r="X5179" t="str">
            <v>Commissions - gross</v>
          </cell>
          <cell r="Y5179" t="str">
            <v>GERMANY</v>
          </cell>
        </row>
        <row r="5180">
          <cell r="L5180" t="str">
            <v>Non-proportional</v>
          </cell>
          <cell r="S5180">
            <v>-7824</v>
          </cell>
          <cell r="X5180" t="str">
            <v>Commissions - gross</v>
          </cell>
          <cell r="Y5180" t="str">
            <v>GERMANY</v>
          </cell>
        </row>
        <row r="5181">
          <cell r="L5181" t="str">
            <v>Non-proportional</v>
          </cell>
          <cell r="S5181">
            <v>-9720</v>
          </cell>
          <cell r="X5181" t="str">
            <v>Commissions - gross</v>
          </cell>
          <cell r="Y5181" t="str">
            <v>GERMANY</v>
          </cell>
        </row>
        <row r="5182">
          <cell r="L5182" t="str">
            <v>Non-proportional</v>
          </cell>
          <cell r="S5182">
            <v>-9108</v>
          </cell>
          <cell r="X5182" t="str">
            <v>Commissions - gross</v>
          </cell>
          <cell r="Y5182" t="str">
            <v>GERMANY</v>
          </cell>
        </row>
        <row r="5183">
          <cell r="L5183" t="str">
            <v>Non-proportional</v>
          </cell>
          <cell r="S5183">
            <v>-9149</v>
          </cell>
          <cell r="X5183" t="str">
            <v>Commissions - gross</v>
          </cell>
          <cell r="Y5183" t="str">
            <v>GERMANY</v>
          </cell>
        </row>
        <row r="5184">
          <cell r="L5184" t="str">
            <v>Non-proportional</v>
          </cell>
          <cell r="S5184">
            <v>9720</v>
          </cell>
          <cell r="X5184" t="str">
            <v>Commissions - gross</v>
          </cell>
          <cell r="Y5184" t="str">
            <v>GERMANY</v>
          </cell>
        </row>
        <row r="5185">
          <cell r="L5185" t="str">
            <v>Non-proportional</v>
          </cell>
          <cell r="S5185">
            <v>3248</v>
          </cell>
          <cell r="X5185" t="str">
            <v>Commissions - gross</v>
          </cell>
          <cell r="Y5185" t="str">
            <v>GERMANY</v>
          </cell>
        </row>
        <row r="5186">
          <cell r="L5186" t="str">
            <v>Non-proportional</v>
          </cell>
          <cell r="S5186">
            <v>7824</v>
          </cell>
          <cell r="X5186" t="str">
            <v>Commissions - gross</v>
          </cell>
          <cell r="Y5186" t="str">
            <v>GERMANY</v>
          </cell>
        </row>
        <row r="5187">
          <cell r="L5187" t="str">
            <v>Non-proportional</v>
          </cell>
          <cell r="S5187">
            <v>-13169.8</v>
          </cell>
          <cell r="X5187" t="str">
            <v>Commissions - gross</v>
          </cell>
          <cell r="Y5187" t="str">
            <v>GERMANY</v>
          </cell>
        </row>
        <row r="5188">
          <cell r="L5188" t="str">
            <v>Non-proportional</v>
          </cell>
          <cell r="S5188">
            <v>-2436</v>
          </cell>
          <cell r="X5188" t="str">
            <v>Commissions - gross</v>
          </cell>
          <cell r="Y5188" t="str">
            <v>GERMANY</v>
          </cell>
        </row>
        <row r="5189">
          <cell r="L5189" t="str">
            <v>Non-proportional</v>
          </cell>
          <cell r="S5189">
            <v>11340</v>
          </cell>
          <cell r="X5189" t="str">
            <v>Commissions - gross</v>
          </cell>
          <cell r="Y5189" t="str">
            <v>GERMANY</v>
          </cell>
        </row>
        <row r="5190">
          <cell r="L5190" t="str">
            <v>Non-proportional</v>
          </cell>
          <cell r="S5190">
            <v>-11288.4</v>
          </cell>
          <cell r="X5190" t="str">
            <v>Commissions - gross</v>
          </cell>
          <cell r="Y5190" t="str">
            <v>GERMANY</v>
          </cell>
        </row>
        <row r="5191">
          <cell r="L5191" t="str">
            <v>Non-proportional</v>
          </cell>
          <cell r="S5191">
            <v>-11340</v>
          </cell>
          <cell r="X5191" t="str">
            <v>Commissions - gross</v>
          </cell>
          <cell r="Y5191" t="str">
            <v>GERMANY</v>
          </cell>
        </row>
        <row r="5192">
          <cell r="L5192" t="str">
            <v>Non-proportional</v>
          </cell>
          <cell r="S5192">
            <v>9879.92</v>
          </cell>
          <cell r="X5192" t="str">
            <v>Commissions - gross</v>
          </cell>
          <cell r="Y5192" t="str">
            <v>POLAND</v>
          </cell>
        </row>
        <row r="5193">
          <cell r="L5193" t="str">
            <v>Non-proportional</v>
          </cell>
          <cell r="S5193">
            <v>-3248</v>
          </cell>
          <cell r="X5193" t="str">
            <v>Commissions - gross</v>
          </cell>
          <cell r="Y5193" t="str">
            <v>GERMANY</v>
          </cell>
        </row>
        <row r="5194">
          <cell r="L5194" t="str">
            <v>Non-proportional</v>
          </cell>
          <cell r="S5194">
            <v>1663.82</v>
          </cell>
          <cell r="X5194" t="str">
            <v>Commissions - gross</v>
          </cell>
          <cell r="Y5194" t="str">
            <v>SWITZERLAND</v>
          </cell>
        </row>
        <row r="5195">
          <cell r="L5195" t="str">
            <v>Non-proportional</v>
          </cell>
          <cell r="S5195">
            <v>808.26</v>
          </cell>
          <cell r="X5195" t="str">
            <v>Commissions - gross</v>
          </cell>
          <cell r="Y5195" t="str">
            <v>SWITZERLAND</v>
          </cell>
        </row>
        <row r="5196">
          <cell r="L5196" t="str">
            <v>Non-proportional</v>
          </cell>
          <cell r="S5196">
            <v>6061.95</v>
          </cell>
          <cell r="X5196" t="str">
            <v>Commissions - gross</v>
          </cell>
          <cell r="Y5196" t="str">
            <v>SWITZERLAND</v>
          </cell>
        </row>
        <row r="5197">
          <cell r="L5197" t="str">
            <v>Non-proportional</v>
          </cell>
          <cell r="S5197">
            <v>1121.42</v>
          </cell>
          <cell r="X5197" t="str">
            <v>Commissions - gross</v>
          </cell>
          <cell r="Y5197" t="str">
            <v>GERMANY</v>
          </cell>
        </row>
        <row r="5198">
          <cell r="L5198" t="str">
            <v>Non-proportional</v>
          </cell>
          <cell r="S5198">
            <v>2493.88</v>
          </cell>
          <cell r="X5198" t="str">
            <v>Commissions - gross</v>
          </cell>
          <cell r="Y5198" t="str">
            <v>SWITZERLAND</v>
          </cell>
        </row>
        <row r="5199">
          <cell r="L5199" t="str">
            <v>Non-proportional</v>
          </cell>
          <cell r="S5199">
            <v>-11214.16</v>
          </cell>
          <cell r="X5199" t="str">
            <v>Commissions - gross</v>
          </cell>
          <cell r="Y5199" t="str">
            <v>GERMANY</v>
          </cell>
        </row>
        <row r="5200">
          <cell r="L5200" t="str">
            <v>Non-proportional</v>
          </cell>
          <cell r="S5200">
            <v>-1121.42</v>
          </cell>
          <cell r="X5200" t="str">
            <v>Commissions - gross</v>
          </cell>
          <cell r="Y5200" t="str">
            <v>GERMANY</v>
          </cell>
        </row>
        <row r="5201">
          <cell r="L5201" t="str">
            <v>Non-proportional</v>
          </cell>
          <cell r="S5201">
            <v>11214.16</v>
          </cell>
          <cell r="X5201" t="str">
            <v>Commissions - gross</v>
          </cell>
          <cell r="Y5201" t="str">
            <v>GERMANY</v>
          </cell>
        </row>
        <row r="5202">
          <cell r="L5202" t="str">
            <v>Proportional</v>
          </cell>
          <cell r="S5202">
            <v>42662.12</v>
          </cell>
          <cell r="X5202" t="str">
            <v>Commissions - gross</v>
          </cell>
          <cell r="Y5202" t="str">
            <v>SWITZERLAND</v>
          </cell>
        </row>
        <row r="5203">
          <cell r="L5203" t="str">
            <v>Non-proportional</v>
          </cell>
          <cell r="S5203">
            <v>1121.42</v>
          </cell>
          <cell r="X5203" t="str">
            <v>Commissions - gross</v>
          </cell>
          <cell r="Y5203" t="str">
            <v>GERMANY</v>
          </cell>
        </row>
        <row r="5204">
          <cell r="L5204" t="str">
            <v>Non-proportional</v>
          </cell>
          <cell r="S5204">
            <v>-1121.42</v>
          </cell>
          <cell r="X5204" t="str">
            <v>Commissions - gross</v>
          </cell>
          <cell r="Y5204" t="str">
            <v>GERMANY</v>
          </cell>
        </row>
        <row r="5205">
          <cell r="L5205" t="str">
            <v>Non-proportional</v>
          </cell>
          <cell r="S5205">
            <v>-3600</v>
          </cell>
          <cell r="X5205" t="str">
            <v>Commissions - gross</v>
          </cell>
          <cell r="Y5205" t="str">
            <v>SPAIN</v>
          </cell>
        </row>
        <row r="5206">
          <cell r="L5206" t="str">
            <v>Non-proportional</v>
          </cell>
          <cell r="S5206">
            <v>-526.5</v>
          </cell>
          <cell r="X5206" t="str">
            <v>Commissions - gross</v>
          </cell>
          <cell r="Y5206" t="str">
            <v>REPUBLIC OF IRELAND</v>
          </cell>
        </row>
        <row r="5207">
          <cell r="L5207" t="str">
            <v>Non-proportional</v>
          </cell>
          <cell r="S5207">
            <v>657.98</v>
          </cell>
          <cell r="X5207" t="str">
            <v>Commissions - gross</v>
          </cell>
          <cell r="Y5207" t="str">
            <v>REPUBLIC OF IRELAND</v>
          </cell>
        </row>
        <row r="5208">
          <cell r="L5208" t="str">
            <v>Non-proportional</v>
          </cell>
          <cell r="S5208">
            <v>-1409.25</v>
          </cell>
          <cell r="X5208" t="str">
            <v>Commissions - gross</v>
          </cell>
          <cell r="Y5208" t="str">
            <v>REPUBLIC OF IRELAND</v>
          </cell>
        </row>
        <row r="5209">
          <cell r="L5209" t="str">
            <v>Non-proportional</v>
          </cell>
          <cell r="S5209">
            <v>6700.08</v>
          </cell>
          <cell r="X5209" t="str">
            <v>Commissions - gross</v>
          </cell>
          <cell r="Y5209" t="str">
            <v>DENMARK</v>
          </cell>
        </row>
        <row r="5210">
          <cell r="L5210" t="str">
            <v>Non-proportional</v>
          </cell>
          <cell r="S5210">
            <v>1491.5</v>
          </cell>
          <cell r="X5210" t="str">
            <v>Commissions - gross</v>
          </cell>
          <cell r="Y5210" t="str">
            <v>REPUBLIC OF IRELAND</v>
          </cell>
        </row>
        <row r="5211">
          <cell r="L5211" t="str">
            <v>Non-proportional</v>
          </cell>
          <cell r="S5211">
            <v>4504.08</v>
          </cell>
          <cell r="X5211" t="str">
            <v>Commissions - gross</v>
          </cell>
          <cell r="Y5211" t="str">
            <v>SPAIN</v>
          </cell>
        </row>
        <row r="5212">
          <cell r="L5212" t="str">
            <v>Non-proportional</v>
          </cell>
          <cell r="S5212">
            <v>-4688.8999999999996</v>
          </cell>
          <cell r="X5212" t="str">
            <v>Commissions - gross</v>
          </cell>
          <cell r="Y5212" t="str">
            <v>UNITED KINGDOM</v>
          </cell>
        </row>
        <row r="5213">
          <cell r="L5213" t="str">
            <v>Non-proportional</v>
          </cell>
          <cell r="S5213">
            <v>-13187.86</v>
          </cell>
          <cell r="X5213" t="str">
            <v>Commissions - gross</v>
          </cell>
          <cell r="Y5213" t="str">
            <v>UNITED KINGDOM</v>
          </cell>
        </row>
        <row r="5214">
          <cell r="L5214" t="str">
            <v>Non-proportional</v>
          </cell>
          <cell r="S5214">
            <v>-2523.41</v>
          </cell>
          <cell r="X5214" t="str">
            <v>Commissions - gross</v>
          </cell>
          <cell r="Y5214" t="str">
            <v>UNITED KINGDOM</v>
          </cell>
        </row>
        <row r="5215">
          <cell r="L5215" t="str">
            <v>Non-proportional</v>
          </cell>
          <cell r="S5215">
            <v>10024.99</v>
          </cell>
          <cell r="X5215" t="str">
            <v>Commissions - gross</v>
          </cell>
          <cell r="Y5215" t="str">
            <v>DENMARK</v>
          </cell>
        </row>
        <row r="5216">
          <cell r="L5216" t="str">
            <v>Non-proportional</v>
          </cell>
          <cell r="S5216">
            <v>31504.49</v>
          </cell>
          <cell r="X5216" t="str">
            <v>Commissions - gross</v>
          </cell>
          <cell r="Y5216" t="str">
            <v>UNITED KINGDOM</v>
          </cell>
        </row>
        <row r="5217">
          <cell r="L5217" t="str">
            <v>Non-proportional</v>
          </cell>
          <cell r="S5217">
            <v>-8370.91</v>
          </cell>
          <cell r="X5217" t="str">
            <v>Commissions - gross</v>
          </cell>
          <cell r="Y5217" t="str">
            <v>UNITED KINGDOM</v>
          </cell>
        </row>
        <row r="5218">
          <cell r="L5218" t="str">
            <v>Proportional</v>
          </cell>
          <cell r="S5218">
            <v>40823.29</v>
          </cell>
          <cell r="X5218" t="str">
            <v>Commissions - gross</v>
          </cell>
          <cell r="Y5218" t="str">
            <v>UNITED STATES</v>
          </cell>
        </row>
        <row r="5219">
          <cell r="L5219" t="str">
            <v>Non-proportional</v>
          </cell>
          <cell r="S5219">
            <v>-25203.72</v>
          </cell>
          <cell r="X5219" t="str">
            <v>Commissions - gross</v>
          </cell>
          <cell r="Y5219" t="str">
            <v>UNITED KINGDOM</v>
          </cell>
        </row>
        <row r="5220">
          <cell r="L5220" t="str">
            <v>Non-proportional</v>
          </cell>
          <cell r="S5220">
            <v>13187.86</v>
          </cell>
          <cell r="X5220" t="str">
            <v>Commissions - gross</v>
          </cell>
          <cell r="Y5220" t="str">
            <v>UNITED KINGDOM</v>
          </cell>
        </row>
        <row r="5221">
          <cell r="L5221" t="str">
            <v>Non-proportional</v>
          </cell>
          <cell r="S5221">
            <v>-49933.81</v>
          </cell>
          <cell r="X5221" t="str">
            <v>Commissions - gross</v>
          </cell>
          <cell r="Y5221" t="str">
            <v>UNITED KINGDOM</v>
          </cell>
        </row>
        <row r="5222">
          <cell r="L5222" t="str">
            <v>Non-proportional</v>
          </cell>
          <cell r="S5222">
            <v>6700.08</v>
          </cell>
          <cell r="X5222" t="str">
            <v>Commissions - gross</v>
          </cell>
          <cell r="Y5222" t="str">
            <v>DENMARK</v>
          </cell>
        </row>
        <row r="5223">
          <cell r="L5223" t="str">
            <v>Non-proportional</v>
          </cell>
          <cell r="S5223">
            <v>-830</v>
          </cell>
          <cell r="X5223" t="str">
            <v>Commissions - gross</v>
          </cell>
          <cell r="Y5223" t="str">
            <v>ITALY</v>
          </cell>
        </row>
        <row r="5224">
          <cell r="L5224" t="str">
            <v>Non-proportional</v>
          </cell>
          <cell r="S5224">
            <v>-1491.5</v>
          </cell>
          <cell r="X5224" t="str">
            <v>Commissions - gross</v>
          </cell>
          <cell r="Y5224" t="str">
            <v>REPUBLIC OF IRELAND</v>
          </cell>
        </row>
        <row r="5225">
          <cell r="L5225" t="str">
            <v>Non-proportional</v>
          </cell>
          <cell r="S5225">
            <v>-29617.74</v>
          </cell>
          <cell r="X5225" t="str">
            <v>Commissions - gross</v>
          </cell>
          <cell r="Y5225" t="str">
            <v>UNITED KINGDOM</v>
          </cell>
        </row>
        <row r="5226">
          <cell r="L5226" t="str">
            <v>Non-proportional</v>
          </cell>
          <cell r="S5226">
            <v>-2252.04</v>
          </cell>
          <cell r="X5226" t="str">
            <v>Commissions - gross</v>
          </cell>
          <cell r="Y5226" t="str">
            <v>SPAIN</v>
          </cell>
        </row>
        <row r="5227">
          <cell r="L5227" t="str">
            <v>Non-proportional</v>
          </cell>
          <cell r="S5227">
            <v>-10024.99</v>
          </cell>
          <cell r="X5227" t="str">
            <v>Commissions - gross</v>
          </cell>
          <cell r="Y5227" t="str">
            <v>DENMARK</v>
          </cell>
        </row>
        <row r="5228">
          <cell r="L5228" t="str">
            <v>Non-proportional</v>
          </cell>
          <cell r="S5228">
            <v>2252.04</v>
          </cell>
          <cell r="X5228" t="str">
            <v>Commissions - gross</v>
          </cell>
          <cell r="Y5228" t="str">
            <v>SPAIN</v>
          </cell>
        </row>
        <row r="5229">
          <cell r="L5229" t="str">
            <v>Non-proportional</v>
          </cell>
          <cell r="S5229">
            <v>1761.53</v>
          </cell>
          <cell r="X5229" t="str">
            <v>Commissions - gross</v>
          </cell>
          <cell r="Y5229" t="str">
            <v>REPUBLIC OF IRELAND</v>
          </cell>
        </row>
        <row r="5230">
          <cell r="L5230" t="str">
            <v>Non-proportional</v>
          </cell>
          <cell r="S5230">
            <v>15825.62</v>
          </cell>
          <cell r="X5230" t="str">
            <v>Commissions - gross</v>
          </cell>
          <cell r="Y5230" t="str">
            <v>UNITED KINGDOM</v>
          </cell>
        </row>
        <row r="5231">
          <cell r="L5231" t="str">
            <v>Non-proportional</v>
          </cell>
          <cell r="S5231">
            <v>62417.54</v>
          </cell>
          <cell r="X5231" t="str">
            <v>Commissions - gross</v>
          </cell>
          <cell r="Y5231" t="str">
            <v>UNITED KINGDOM</v>
          </cell>
        </row>
        <row r="5232">
          <cell r="L5232" t="str">
            <v>Non-proportional</v>
          </cell>
          <cell r="S5232">
            <v>3638.5</v>
          </cell>
          <cell r="X5232" t="str">
            <v>Commissions - gross</v>
          </cell>
          <cell r="Y5232" t="str">
            <v>REPUBLIC OF IRELAND</v>
          </cell>
        </row>
        <row r="5233">
          <cell r="L5233" t="str">
            <v>Non-proportional</v>
          </cell>
          <cell r="S5233">
            <v>14289.04</v>
          </cell>
          <cell r="X5233" t="str">
            <v>Commissions - gross</v>
          </cell>
          <cell r="Y5233" t="str">
            <v>GERMANY</v>
          </cell>
        </row>
        <row r="5234">
          <cell r="L5234" t="str">
            <v>Non-proportional</v>
          </cell>
          <cell r="S5234">
            <v>526.5</v>
          </cell>
          <cell r="X5234" t="str">
            <v>Commissions - gross</v>
          </cell>
          <cell r="Y5234" t="str">
            <v>REPUBLIC OF IRELAND</v>
          </cell>
        </row>
        <row r="5235">
          <cell r="L5235" t="str">
            <v>Non-proportional</v>
          </cell>
          <cell r="S5235">
            <v>2523.41</v>
          </cell>
          <cell r="X5235" t="str">
            <v>Commissions - gross</v>
          </cell>
          <cell r="Y5235" t="str">
            <v>UNITED KINGDOM</v>
          </cell>
        </row>
        <row r="5236">
          <cell r="L5236" t="str">
            <v>Non-proportional</v>
          </cell>
          <cell r="S5236">
            <v>1864.29</v>
          </cell>
          <cell r="X5236" t="str">
            <v>Commissions - gross</v>
          </cell>
          <cell r="Y5236" t="str">
            <v>REPUBLIC OF IRELAND</v>
          </cell>
        </row>
        <row r="5237">
          <cell r="L5237" t="str">
            <v>Non-proportional</v>
          </cell>
          <cell r="S5237">
            <v>-260</v>
          </cell>
          <cell r="X5237" t="str">
            <v>Commissions - gross</v>
          </cell>
          <cell r="Y5237" t="str">
            <v>ITALY</v>
          </cell>
        </row>
        <row r="5238">
          <cell r="L5238" t="str">
            <v>Non-proportional</v>
          </cell>
          <cell r="S5238">
            <v>1904.05</v>
          </cell>
          <cell r="X5238" t="str">
            <v>Commissions - gross</v>
          </cell>
          <cell r="Y5238" t="str">
            <v>UNITED ARAB EMIRATES</v>
          </cell>
        </row>
        <row r="5239">
          <cell r="L5239" t="str">
            <v>Non-proportional</v>
          </cell>
          <cell r="S5239">
            <v>830</v>
          </cell>
          <cell r="X5239" t="str">
            <v>Commissions - gross</v>
          </cell>
          <cell r="Y5239" t="str">
            <v>ITALY</v>
          </cell>
        </row>
        <row r="5240">
          <cell r="L5240" t="str">
            <v>Non-proportional</v>
          </cell>
          <cell r="S5240">
            <v>19781.89</v>
          </cell>
          <cell r="X5240" t="str">
            <v>Commissions - gross</v>
          </cell>
          <cell r="Y5240" t="str">
            <v>UNITED KINGDOM</v>
          </cell>
        </row>
        <row r="5241">
          <cell r="L5241" t="str">
            <v>Non-proportional</v>
          </cell>
          <cell r="S5241">
            <v>10929.15</v>
          </cell>
          <cell r="X5241" t="str">
            <v>Commissions - gross</v>
          </cell>
          <cell r="Y5241" t="str">
            <v>REPUBLIC OF IRELAND</v>
          </cell>
        </row>
        <row r="5242">
          <cell r="L5242" t="str">
            <v>Non-proportional</v>
          </cell>
          <cell r="S5242">
            <v>10251.120000000001</v>
          </cell>
          <cell r="X5242" t="str">
            <v>Commissions - gross</v>
          </cell>
          <cell r="Y5242" t="str">
            <v>DENMARK</v>
          </cell>
        </row>
        <row r="5243">
          <cell r="L5243" t="str">
            <v>Non-proportional</v>
          </cell>
          <cell r="S5243">
            <v>29617.74</v>
          </cell>
          <cell r="X5243" t="str">
            <v>Commissions - gross</v>
          </cell>
          <cell r="Y5243" t="str">
            <v>UNITED KINGDOM</v>
          </cell>
        </row>
        <row r="5244">
          <cell r="L5244" t="str">
            <v>Non-proportional</v>
          </cell>
          <cell r="S5244">
            <v>4504</v>
          </cell>
          <cell r="X5244" t="str">
            <v>Commissions - gross</v>
          </cell>
          <cell r="Y5244" t="str">
            <v>SPAIN</v>
          </cell>
        </row>
        <row r="5245">
          <cell r="L5245" t="str">
            <v>Non-proportional</v>
          </cell>
          <cell r="S5245">
            <v>-3600</v>
          </cell>
          <cell r="X5245" t="str">
            <v>Commissions - gross</v>
          </cell>
          <cell r="Y5245" t="str">
            <v>SPAIN</v>
          </cell>
        </row>
        <row r="5246">
          <cell r="L5246" t="str">
            <v>Non-proportional</v>
          </cell>
          <cell r="S5246">
            <v>16484.91</v>
          </cell>
          <cell r="X5246" t="str">
            <v>Commissions - gross</v>
          </cell>
          <cell r="Y5246" t="str">
            <v>UNITED KINGDOM</v>
          </cell>
        </row>
        <row r="5247">
          <cell r="L5247" t="str">
            <v>Non-proportional</v>
          </cell>
          <cell r="S5247">
            <v>4548.01</v>
          </cell>
          <cell r="X5247" t="str">
            <v>Commissions - gross</v>
          </cell>
          <cell r="Y5247" t="str">
            <v>REPUBLIC OF IRELAND</v>
          </cell>
        </row>
        <row r="5248">
          <cell r="L5248" t="str">
            <v>Non-proportional</v>
          </cell>
          <cell r="S5248">
            <v>-3200</v>
          </cell>
          <cell r="X5248" t="str">
            <v>Commissions - gross</v>
          </cell>
          <cell r="Y5248" t="str">
            <v>ITALY</v>
          </cell>
        </row>
        <row r="5249">
          <cell r="L5249" t="str">
            <v>Non-proportional</v>
          </cell>
          <cell r="S5249">
            <v>-15825.62</v>
          </cell>
          <cell r="X5249" t="str">
            <v>Commissions - gross</v>
          </cell>
          <cell r="Y5249" t="str">
            <v>UNITED KINGDOM</v>
          </cell>
        </row>
        <row r="5250">
          <cell r="L5250" t="str">
            <v>Non-proportional</v>
          </cell>
          <cell r="S5250">
            <v>-3600</v>
          </cell>
          <cell r="X5250" t="str">
            <v>Commissions - gross</v>
          </cell>
          <cell r="Y5250" t="str">
            <v>SPAIN</v>
          </cell>
        </row>
        <row r="5251">
          <cell r="L5251" t="str">
            <v>Non-proportional</v>
          </cell>
          <cell r="S5251">
            <v>-6700.08</v>
          </cell>
          <cell r="X5251" t="str">
            <v>Commissions - gross</v>
          </cell>
          <cell r="Y5251" t="str">
            <v>DENMARK</v>
          </cell>
        </row>
        <row r="5252">
          <cell r="L5252" t="str">
            <v>Non-proportional</v>
          </cell>
          <cell r="S5252">
            <v>15553.02</v>
          </cell>
          <cell r="X5252" t="str">
            <v>Commissions - gross</v>
          </cell>
          <cell r="Y5252" t="str">
            <v>REPUBLIC OF IRELAND</v>
          </cell>
        </row>
        <row r="5253">
          <cell r="L5253" t="str">
            <v>Non-proportional</v>
          </cell>
          <cell r="S5253">
            <v>2252.04</v>
          </cell>
          <cell r="X5253" t="str">
            <v>Commissions - gross</v>
          </cell>
          <cell r="Y5253" t="str">
            <v>SPAIN</v>
          </cell>
        </row>
        <row r="5254">
          <cell r="L5254" t="str">
            <v>Non-proportional</v>
          </cell>
          <cell r="S5254">
            <v>4567.5</v>
          </cell>
          <cell r="X5254" t="str">
            <v>Commissions - gross</v>
          </cell>
          <cell r="Y5254" t="str">
            <v>ROMANIA</v>
          </cell>
        </row>
        <row r="5255">
          <cell r="L5255" t="str">
            <v>Proportional</v>
          </cell>
          <cell r="S5255">
            <v>7644.59</v>
          </cell>
          <cell r="X5255" t="str">
            <v>Commissions - gross</v>
          </cell>
          <cell r="Y5255" t="str">
            <v>UNITED STATES</v>
          </cell>
        </row>
        <row r="5256">
          <cell r="L5256" t="str">
            <v>Non-proportional</v>
          </cell>
          <cell r="S5256">
            <v>6234.85</v>
          </cell>
          <cell r="X5256" t="str">
            <v>Commissions - gross</v>
          </cell>
          <cell r="Y5256" t="str">
            <v>UNITED ARAB EMIRATES</v>
          </cell>
        </row>
        <row r="5257">
          <cell r="L5257" t="str">
            <v>Non-proportional</v>
          </cell>
          <cell r="S5257">
            <v>-2252.04</v>
          </cell>
          <cell r="X5257" t="str">
            <v>Commissions - gross</v>
          </cell>
          <cell r="Y5257" t="str">
            <v>SPAIN</v>
          </cell>
        </row>
        <row r="5258">
          <cell r="L5258" t="str">
            <v>Non-proportional</v>
          </cell>
          <cell r="S5258">
            <v>-3638.5</v>
          </cell>
          <cell r="X5258" t="str">
            <v>Commissions - gross</v>
          </cell>
          <cell r="Y5258" t="str">
            <v>REPUBLIC OF IRELAND</v>
          </cell>
        </row>
        <row r="5259">
          <cell r="L5259" t="str">
            <v>Non-proportional</v>
          </cell>
          <cell r="S5259">
            <v>3200</v>
          </cell>
          <cell r="X5259" t="str">
            <v>Commissions - gross</v>
          </cell>
          <cell r="Y5259" t="str">
            <v>ITALY</v>
          </cell>
        </row>
        <row r="5260">
          <cell r="L5260" t="str">
            <v>Non-proportional</v>
          </cell>
          <cell r="S5260">
            <v>1078</v>
          </cell>
          <cell r="X5260" t="str">
            <v>Commissions - gross</v>
          </cell>
          <cell r="Y5260" t="str">
            <v>ITALY</v>
          </cell>
        </row>
        <row r="5261">
          <cell r="L5261" t="str">
            <v>Non-proportional</v>
          </cell>
          <cell r="S5261">
            <v>10024.99</v>
          </cell>
          <cell r="X5261" t="str">
            <v>Commissions - gross</v>
          </cell>
          <cell r="Y5261" t="str">
            <v>DENMARK</v>
          </cell>
        </row>
        <row r="5262">
          <cell r="L5262" t="str">
            <v>Non-proportional</v>
          </cell>
          <cell r="S5262">
            <v>8370.91</v>
          </cell>
          <cell r="X5262" t="str">
            <v>Commissions - gross</v>
          </cell>
          <cell r="Y5262" t="str">
            <v>UNITED KINGDOM</v>
          </cell>
        </row>
        <row r="5263">
          <cell r="L5263" t="str">
            <v>Non-proportional</v>
          </cell>
          <cell r="S5263">
            <v>1471.23</v>
          </cell>
          <cell r="X5263" t="str">
            <v>Commissions - gross</v>
          </cell>
          <cell r="Y5263" t="str">
            <v>REPUBLIC OF IRELAND</v>
          </cell>
        </row>
        <row r="5264">
          <cell r="L5264" t="str">
            <v>Non-proportional</v>
          </cell>
          <cell r="S5264">
            <v>15600</v>
          </cell>
          <cell r="X5264" t="str">
            <v>Commissions - gross</v>
          </cell>
          <cell r="Y5264" t="str">
            <v>ROMANIA</v>
          </cell>
        </row>
        <row r="5265">
          <cell r="L5265" t="str">
            <v>Non-proportional</v>
          </cell>
          <cell r="S5265">
            <v>3600</v>
          </cell>
          <cell r="X5265" t="str">
            <v>Commissions - gross</v>
          </cell>
          <cell r="Y5265" t="str">
            <v>SPAIN</v>
          </cell>
        </row>
        <row r="5266">
          <cell r="L5266" t="str">
            <v>Non-proportional</v>
          </cell>
          <cell r="S5266">
            <v>-1078</v>
          </cell>
          <cell r="X5266" t="str">
            <v>Commissions - gross</v>
          </cell>
          <cell r="Y5266" t="str">
            <v>ITALY</v>
          </cell>
        </row>
        <row r="5267">
          <cell r="L5267" t="str">
            <v>Non-proportional</v>
          </cell>
          <cell r="S5267">
            <v>-2252.04</v>
          </cell>
          <cell r="X5267" t="str">
            <v>Commissions - gross</v>
          </cell>
          <cell r="Y5267" t="str">
            <v>SPAIN</v>
          </cell>
        </row>
        <row r="5268">
          <cell r="L5268" t="str">
            <v>Non-proportional</v>
          </cell>
          <cell r="S5268">
            <v>1409.25</v>
          </cell>
          <cell r="X5268" t="str">
            <v>Commissions - gross</v>
          </cell>
          <cell r="Y5268" t="str">
            <v>REPUBLIC OF IRELAND</v>
          </cell>
        </row>
        <row r="5269">
          <cell r="L5269" t="str">
            <v>Non-proportional</v>
          </cell>
          <cell r="S5269">
            <v>3600</v>
          </cell>
          <cell r="X5269" t="str">
            <v>Commissions - gross</v>
          </cell>
          <cell r="Y5269" t="str">
            <v>SPAIN</v>
          </cell>
        </row>
        <row r="5270">
          <cell r="L5270" t="str">
            <v>Non-proportional</v>
          </cell>
          <cell r="S5270">
            <v>3154.2</v>
          </cell>
          <cell r="X5270" t="str">
            <v>Commissions - gross</v>
          </cell>
          <cell r="Y5270" t="str">
            <v>UNITED KINGDOM</v>
          </cell>
        </row>
        <row r="5271">
          <cell r="L5271" t="str">
            <v>Non-proportional</v>
          </cell>
          <cell r="S5271">
            <v>6725.63</v>
          </cell>
          <cell r="X5271" t="str">
            <v>Commissions - gross</v>
          </cell>
          <cell r="Y5271" t="str">
            <v>REPUBLIC OF IRELAND</v>
          </cell>
        </row>
        <row r="5272">
          <cell r="L5272" t="str">
            <v>Non-proportional</v>
          </cell>
          <cell r="S5272">
            <v>10463.719999999999</v>
          </cell>
          <cell r="X5272" t="str">
            <v>Commissions - gross</v>
          </cell>
          <cell r="Y5272" t="str">
            <v>UNITED KINGDOM</v>
          </cell>
        </row>
        <row r="5273">
          <cell r="L5273" t="str">
            <v>Non-proportional</v>
          </cell>
          <cell r="S5273">
            <v>4688.8999999999996</v>
          </cell>
          <cell r="X5273" t="str">
            <v>Commissions - gross</v>
          </cell>
          <cell r="Y5273" t="str">
            <v>UNITED KINGDOM</v>
          </cell>
        </row>
        <row r="5274">
          <cell r="L5274" t="str">
            <v>Non-proportional</v>
          </cell>
          <cell r="S5274">
            <v>4203.5200000000004</v>
          </cell>
          <cell r="X5274" t="str">
            <v>Commissions - gross</v>
          </cell>
          <cell r="Y5274" t="str">
            <v>REPUBLIC OF IRELAND</v>
          </cell>
        </row>
        <row r="5275">
          <cell r="L5275" t="str">
            <v>Non-proportional</v>
          </cell>
          <cell r="S5275">
            <v>-10251.120000000001</v>
          </cell>
          <cell r="X5275" t="str">
            <v>Commissions - gross</v>
          </cell>
          <cell r="Y5275" t="str">
            <v>DENMARK</v>
          </cell>
        </row>
        <row r="5276">
          <cell r="L5276" t="str">
            <v>Proportional</v>
          </cell>
          <cell r="S5276">
            <v>3282.81</v>
          </cell>
          <cell r="X5276" t="str">
            <v>Commissions - gross</v>
          </cell>
          <cell r="Y5276" t="str">
            <v>UNITED STATES</v>
          </cell>
        </row>
        <row r="5277">
          <cell r="L5277" t="str">
            <v>Proportional</v>
          </cell>
          <cell r="S5277">
            <v>8000</v>
          </cell>
          <cell r="X5277" t="str">
            <v>Commissions - gross</v>
          </cell>
          <cell r="Y5277" t="str">
            <v>EUROPE</v>
          </cell>
        </row>
        <row r="5278">
          <cell r="L5278" t="str">
            <v>Non-proportional</v>
          </cell>
          <cell r="S5278">
            <v>5606.67</v>
          </cell>
          <cell r="X5278" t="str">
            <v>Commissions - gross</v>
          </cell>
          <cell r="Y5278" t="str">
            <v>POLAND</v>
          </cell>
        </row>
        <row r="5279">
          <cell r="L5279" t="str">
            <v>Non-proportional</v>
          </cell>
          <cell r="S5279">
            <v>2874.75</v>
          </cell>
          <cell r="X5279" t="str">
            <v>Commissions - gross</v>
          </cell>
          <cell r="Y5279" t="str">
            <v>UNITED ARAB EMIRATES</v>
          </cell>
        </row>
        <row r="5280">
          <cell r="L5280" t="str">
            <v>Non-proportional</v>
          </cell>
          <cell r="S5280">
            <v>25203.72</v>
          </cell>
          <cell r="X5280" t="str">
            <v>Commissions - gross</v>
          </cell>
          <cell r="Y5280" t="str">
            <v>UNITED KINGDOM</v>
          </cell>
        </row>
        <row r="5281">
          <cell r="L5281" t="str">
            <v>Non-proportional</v>
          </cell>
          <cell r="S5281">
            <v>49933.81</v>
          </cell>
          <cell r="X5281" t="str">
            <v>Commissions - gross</v>
          </cell>
          <cell r="Y5281" t="str">
            <v>UNITED KINGDOM</v>
          </cell>
        </row>
        <row r="5282">
          <cell r="L5282" t="str">
            <v>Non-proportional</v>
          </cell>
          <cell r="S5282">
            <v>2252.04</v>
          </cell>
          <cell r="X5282" t="str">
            <v>Commissions - gross</v>
          </cell>
          <cell r="Y5282" t="str">
            <v>SPAIN</v>
          </cell>
        </row>
        <row r="5283">
          <cell r="L5283" t="str">
            <v>Non-proportional</v>
          </cell>
          <cell r="S5283">
            <v>260</v>
          </cell>
          <cell r="X5283" t="str">
            <v>Commissions - gross</v>
          </cell>
          <cell r="Y5283" t="str">
            <v>ITALY</v>
          </cell>
        </row>
        <row r="5284">
          <cell r="L5284" t="str">
            <v>Non-proportional</v>
          </cell>
          <cell r="S5284">
            <v>16808.650000000001</v>
          </cell>
          <cell r="X5284" t="str">
            <v>Commissions - gross</v>
          </cell>
          <cell r="Y5284" t="str">
            <v>POLAND</v>
          </cell>
        </row>
        <row r="5285">
          <cell r="L5285" t="str">
            <v>Non-proportional</v>
          </cell>
          <cell r="S5285">
            <v>37022.160000000003</v>
          </cell>
          <cell r="X5285" t="str">
            <v>Commissions - gross</v>
          </cell>
          <cell r="Y5285" t="str">
            <v>UNITED KINGDOM</v>
          </cell>
        </row>
        <row r="5286">
          <cell r="L5286" t="str">
            <v>Non-proportional</v>
          </cell>
          <cell r="S5286">
            <v>10251.120000000001</v>
          </cell>
          <cell r="X5286" t="str">
            <v>Commissions - gross</v>
          </cell>
          <cell r="Y5286" t="str">
            <v>DENMARK</v>
          </cell>
        </row>
        <row r="5287">
          <cell r="L5287" t="str">
            <v>Non-proportional</v>
          </cell>
          <cell r="S5287">
            <v>5861.3</v>
          </cell>
          <cell r="X5287" t="str">
            <v>Commissions - gross</v>
          </cell>
          <cell r="Y5287" t="str">
            <v>UNITED KINGDOM</v>
          </cell>
        </row>
        <row r="5288">
          <cell r="L5288" t="str">
            <v>Non-proportional</v>
          </cell>
          <cell r="S5288">
            <v>9375</v>
          </cell>
          <cell r="X5288" t="str">
            <v>Commissions - gross</v>
          </cell>
          <cell r="Y5288" t="str">
            <v>ROMANIA</v>
          </cell>
        </row>
        <row r="5289">
          <cell r="L5289" t="str">
            <v>Non-proportional</v>
          </cell>
          <cell r="S5289">
            <v>3600</v>
          </cell>
          <cell r="X5289" t="str">
            <v>Commissions - gross</v>
          </cell>
          <cell r="Y5289" t="str">
            <v>SPAIN</v>
          </cell>
        </row>
        <row r="5290">
          <cell r="L5290" t="str">
            <v>Non-proportional</v>
          </cell>
          <cell r="S5290">
            <v>-1587.69</v>
          </cell>
          <cell r="X5290" t="str">
            <v>Commissions - gross</v>
          </cell>
          <cell r="Y5290" t="str">
            <v>UNITED ARAB EMIRATES</v>
          </cell>
        </row>
        <row r="5291">
          <cell r="L5291" t="str">
            <v>Non-proportional</v>
          </cell>
          <cell r="S5291">
            <v>3362.81</v>
          </cell>
          <cell r="X5291" t="str">
            <v>Commissions - gross</v>
          </cell>
          <cell r="Y5291" t="str">
            <v>REPUBLIC OF IRELAND</v>
          </cell>
        </row>
        <row r="5292">
          <cell r="L5292" t="str">
            <v>Non-proportional</v>
          </cell>
          <cell r="S5292">
            <v>15141.74</v>
          </cell>
          <cell r="X5292" t="str">
            <v>Commissions - gross</v>
          </cell>
          <cell r="Y5292" t="str">
            <v>POLAND</v>
          </cell>
        </row>
        <row r="5293">
          <cell r="L5293" t="str">
            <v>Non-proportional</v>
          </cell>
          <cell r="S5293">
            <v>-5380.5</v>
          </cell>
          <cell r="X5293" t="str">
            <v>Commissions - gross</v>
          </cell>
          <cell r="Y5293" t="str">
            <v>REPUBLIC OF IRELAND</v>
          </cell>
        </row>
        <row r="5294">
          <cell r="L5294" t="str">
            <v>Proportional</v>
          </cell>
          <cell r="S5294">
            <v>-4858.53</v>
          </cell>
          <cell r="X5294" t="str">
            <v>Commissions - gross</v>
          </cell>
          <cell r="Y5294" t="str">
            <v>GERMANY</v>
          </cell>
        </row>
        <row r="5295">
          <cell r="L5295" t="str">
            <v>Non-proportional</v>
          </cell>
          <cell r="S5295">
            <v>-3654</v>
          </cell>
          <cell r="X5295" t="str">
            <v>Commissions - gross</v>
          </cell>
          <cell r="Y5295" t="str">
            <v>ROMANIA</v>
          </cell>
        </row>
        <row r="5296">
          <cell r="L5296" t="str">
            <v>Non-proportional</v>
          </cell>
          <cell r="S5296">
            <v>-5064.83</v>
          </cell>
          <cell r="X5296" t="str">
            <v>Commissions - gross</v>
          </cell>
          <cell r="Y5296" t="str">
            <v>POLAND</v>
          </cell>
        </row>
        <row r="5297">
          <cell r="L5297" t="str">
            <v>Non-proportional</v>
          </cell>
          <cell r="S5297">
            <v>-31106.03</v>
          </cell>
          <cell r="X5297" t="str">
            <v>Commissions - gross</v>
          </cell>
          <cell r="Y5297" t="str">
            <v>REPUBLIC OF IRELAND</v>
          </cell>
        </row>
        <row r="5298">
          <cell r="L5298" t="str">
            <v>Proportional</v>
          </cell>
          <cell r="S5298">
            <v>14529.28</v>
          </cell>
          <cell r="X5298" t="str">
            <v>Commissions - gross</v>
          </cell>
          <cell r="Y5298" t="str">
            <v>GERMANY</v>
          </cell>
        </row>
        <row r="5299">
          <cell r="L5299" t="str">
            <v>Non-proportional</v>
          </cell>
          <cell r="S5299">
            <v>15553.02</v>
          </cell>
          <cell r="X5299" t="str">
            <v>Commissions - gross</v>
          </cell>
          <cell r="Y5299" t="str">
            <v>REPUBLIC OF IRELAND</v>
          </cell>
        </row>
        <row r="5300">
          <cell r="L5300" t="str">
            <v>Non-proportional</v>
          </cell>
          <cell r="S5300">
            <v>12442.41</v>
          </cell>
          <cell r="X5300" t="str">
            <v>Commissions - gross</v>
          </cell>
          <cell r="Y5300" t="str">
            <v>REPUBLIC OF IRELAND</v>
          </cell>
        </row>
        <row r="5301">
          <cell r="L5301" t="str">
            <v>Non-proportional</v>
          </cell>
          <cell r="S5301">
            <v>5380.5</v>
          </cell>
          <cell r="X5301" t="str">
            <v>Commissions - gross</v>
          </cell>
          <cell r="Y5301" t="str">
            <v>REPUBLIC OF IRELAND</v>
          </cell>
        </row>
        <row r="5302">
          <cell r="L5302" t="str">
            <v>Non-proportional</v>
          </cell>
          <cell r="S5302">
            <v>-2397.11</v>
          </cell>
          <cell r="X5302" t="str">
            <v>Commissions - gross</v>
          </cell>
          <cell r="Y5302" t="str">
            <v>UNITED ARAB EMIRATES</v>
          </cell>
        </row>
        <row r="5303">
          <cell r="L5303" t="str">
            <v>Non-proportional</v>
          </cell>
          <cell r="S5303">
            <v>-15553.02</v>
          </cell>
          <cell r="X5303" t="str">
            <v>Commissions - gross</v>
          </cell>
          <cell r="Y5303" t="str">
            <v>REPUBLIC OF IRELAND</v>
          </cell>
        </row>
        <row r="5304">
          <cell r="L5304" t="str">
            <v>Non-proportional</v>
          </cell>
          <cell r="S5304">
            <v>3654</v>
          </cell>
          <cell r="X5304" t="str">
            <v>Commissions - gross</v>
          </cell>
          <cell r="Y5304" t="str">
            <v>ROMANIA</v>
          </cell>
        </row>
        <row r="5305">
          <cell r="L5305" t="str">
            <v>Non-proportional</v>
          </cell>
          <cell r="S5305">
            <v>-8743.32</v>
          </cell>
          <cell r="X5305" t="str">
            <v>Commissions - gross</v>
          </cell>
          <cell r="Y5305" t="str">
            <v>REPUBLIC OF IRELAND</v>
          </cell>
        </row>
        <row r="5306">
          <cell r="L5306" t="str">
            <v>Non-proportional</v>
          </cell>
          <cell r="S5306">
            <v>-12480</v>
          </cell>
          <cell r="X5306" t="str">
            <v>Commissions - gross</v>
          </cell>
          <cell r="Y5306" t="str">
            <v>ROMANIA</v>
          </cell>
        </row>
        <row r="5307">
          <cell r="L5307" t="str">
            <v>Proportional</v>
          </cell>
          <cell r="S5307">
            <v>20756.12</v>
          </cell>
          <cell r="X5307" t="str">
            <v>Commissions - gross</v>
          </cell>
          <cell r="Y5307" t="str">
            <v>GERMANY</v>
          </cell>
        </row>
        <row r="5308">
          <cell r="L5308" t="str">
            <v>Non-proportional</v>
          </cell>
          <cell r="S5308">
            <v>-5198.92</v>
          </cell>
          <cell r="X5308" t="str">
            <v>Commissions - gross</v>
          </cell>
          <cell r="Y5308" t="str">
            <v>UNITED ARAB EMIRATES</v>
          </cell>
        </row>
        <row r="5309">
          <cell r="L5309" t="str">
            <v>Non-proportional</v>
          </cell>
          <cell r="S5309">
            <v>31106.03</v>
          </cell>
          <cell r="X5309" t="str">
            <v>Commissions - gross</v>
          </cell>
          <cell r="Y5309" t="str">
            <v>REPUBLIC OF IRELAND</v>
          </cell>
        </row>
        <row r="5310">
          <cell r="L5310" t="str">
            <v>Non-proportional</v>
          </cell>
          <cell r="S5310">
            <v>-15141.74</v>
          </cell>
          <cell r="X5310" t="str">
            <v>Commissions - gross</v>
          </cell>
          <cell r="Y5310" t="str">
            <v>POLAND</v>
          </cell>
        </row>
        <row r="5311">
          <cell r="L5311" t="str">
            <v>Non-proportional</v>
          </cell>
          <cell r="S5311">
            <v>14250</v>
          </cell>
          <cell r="X5311" t="str">
            <v>Commissions - gross</v>
          </cell>
          <cell r="Y5311" t="str">
            <v>GERMANY</v>
          </cell>
        </row>
        <row r="5312">
          <cell r="L5312" t="str">
            <v>Non-proportional</v>
          </cell>
          <cell r="S5312">
            <v>2397.11</v>
          </cell>
          <cell r="X5312" t="str">
            <v>Commissions - gross</v>
          </cell>
          <cell r="Y5312" t="str">
            <v>UNITED ARAB EMIRATES</v>
          </cell>
        </row>
        <row r="5313">
          <cell r="L5313" t="str">
            <v>Non-proportional</v>
          </cell>
          <cell r="S5313">
            <v>-3362.81</v>
          </cell>
          <cell r="X5313" t="str">
            <v>Commissions - gross</v>
          </cell>
          <cell r="Y5313" t="str">
            <v>REPUBLIC OF IRELAND</v>
          </cell>
        </row>
        <row r="5314">
          <cell r="L5314" t="str">
            <v>Non-proportional</v>
          </cell>
          <cell r="S5314">
            <v>1176.99</v>
          </cell>
          <cell r="X5314" t="str">
            <v>Commissions - gross</v>
          </cell>
          <cell r="Y5314" t="str">
            <v>REPUBLIC OF IRELAND</v>
          </cell>
        </row>
        <row r="5315">
          <cell r="L5315" t="str">
            <v>Non-proportional</v>
          </cell>
          <cell r="S5315">
            <v>7500</v>
          </cell>
          <cell r="X5315" t="str">
            <v>Commissions - gross</v>
          </cell>
          <cell r="Y5315" t="str">
            <v>ROMANIA</v>
          </cell>
        </row>
        <row r="5316">
          <cell r="L5316" t="str">
            <v>Non-proportional</v>
          </cell>
          <cell r="S5316">
            <v>12480</v>
          </cell>
          <cell r="X5316" t="str">
            <v>Commissions - gross</v>
          </cell>
          <cell r="Y5316" t="str">
            <v>ROMANIA</v>
          </cell>
        </row>
        <row r="5317">
          <cell r="L5317" t="str">
            <v>Non-proportional</v>
          </cell>
          <cell r="S5317">
            <v>-1176.99</v>
          </cell>
          <cell r="X5317" t="str">
            <v>Commissions - gross</v>
          </cell>
          <cell r="Y5317" t="str">
            <v>REPUBLIC OF IRELAND</v>
          </cell>
        </row>
        <row r="5318">
          <cell r="L5318" t="str">
            <v>Non-proportional</v>
          </cell>
          <cell r="S5318">
            <v>-12442.41</v>
          </cell>
          <cell r="X5318" t="str">
            <v>Commissions - gross</v>
          </cell>
          <cell r="Y5318" t="str">
            <v>REPUBLIC OF IRELAND</v>
          </cell>
        </row>
        <row r="5319">
          <cell r="L5319" t="str">
            <v>Non-proportional</v>
          </cell>
          <cell r="S5319">
            <v>5064.83</v>
          </cell>
          <cell r="X5319" t="str">
            <v>Commissions - gross</v>
          </cell>
          <cell r="Y5319" t="str">
            <v>POLAND</v>
          </cell>
        </row>
        <row r="5320">
          <cell r="L5320" t="str">
            <v>Non-proportional</v>
          </cell>
          <cell r="S5320">
            <v>5198.92</v>
          </cell>
          <cell r="X5320" t="str">
            <v>Commissions - gross</v>
          </cell>
          <cell r="Y5320" t="str">
            <v>UNITED ARAB EMIRATES</v>
          </cell>
        </row>
        <row r="5321">
          <cell r="L5321" t="str">
            <v>Non-proportional</v>
          </cell>
          <cell r="S5321">
            <v>1587.69</v>
          </cell>
          <cell r="X5321" t="str">
            <v>Commissions - gross</v>
          </cell>
          <cell r="Y5321" t="str">
            <v>UNITED ARAB EMIRATES</v>
          </cell>
        </row>
        <row r="5322">
          <cell r="L5322" t="str">
            <v>Non-proportional</v>
          </cell>
          <cell r="S5322">
            <v>-14250</v>
          </cell>
          <cell r="X5322" t="str">
            <v>Commissions - gross</v>
          </cell>
          <cell r="Y5322" t="str">
            <v>GERMANY</v>
          </cell>
        </row>
        <row r="5323">
          <cell r="L5323" t="str">
            <v>Non-proportional</v>
          </cell>
          <cell r="S5323">
            <v>8743.32</v>
          </cell>
          <cell r="X5323" t="str">
            <v>Commissions - gross</v>
          </cell>
          <cell r="Y5323" t="str">
            <v>REPUBLIC OF IRELAND</v>
          </cell>
        </row>
        <row r="5324">
          <cell r="L5324" t="str">
            <v>Non-proportional</v>
          </cell>
          <cell r="S5324">
            <v>-7500</v>
          </cell>
          <cell r="X5324" t="str">
            <v>Commissions - gross</v>
          </cell>
          <cell r="Y5324" t="str">
            <v>ROMANIA</v>
          </cell>
        </row>
        <row r="5325">
          <cell r="L5325" t="str">
            <v>Proportional</v>
          </cell>
          <cell r="S5325">
            <v>4858.53</v>
          </cell>
          <cell r="X5325" t="str">
            <v>Commissions - gross</v>
          </cell>
          <cell r="Y5325" t="str">
            <v>GERMANY</v>
          </cell>
        </row>
        <row r="5326">
          <cell r="L5326" t="str">
            <v>Non-proportional</v>
          </cell>
          <cell r="S5326">
            <v>9008.16</v>
          </cell>
          <cell r="X5326" t="str">
            <v>Commissions - gross</v>
          </cell>
          <cell r="Y5326" t="str">
            <v>SPAIN</v>
          </cell>
        </row>
        <row r="5327">
          <cell r="L5327" t="str">
            <v>Proportional</v>
          </cell>
          <cell r="S5327">
            <v>-14529.28</v>
          </cell>
          <cell r="X5327" t="str">
            <v>Commissions - gross</v>
          </cell>
          <cell r="Y5327" t="str">
            <v>GERMANY</v>
          </cell>
        </row>
        <row r="5328">
          <cell r="L5328" t="str">
            <v>Non-proportional</v>
          </cell>
          <cell r="S5328">
            <v>-18016.32</v>
          </cell>
          <cell r="X5328" t="str">
            <v>Commissions - gross</v>
          </cell>
          <cell r="Y5328" t="str">
            <v>SPAIN</v>
          </cell>
        </row>
        <row r="5329">
          <cell r="L5329" t="str">
            <v>Non-proportional</v>
          </cell>
          <cell r="S5329">
            <v>8852.65</v>
          </cell>
          <cell r="X5329" t="str">
            <v>Commissions - gross</v>
          </cell>
          <cell r="Y5329" t="str">
            <v>POLAND</v>
          </cell>
        </row>
        <row r="5330">
          <cell r="L5330" t="str">
            <v>Non-proportional</v>
          </cell>
          <cell r="S5330">
            <v>-39.04</v>
          </cell>
          <cell r="X5330" t="str">
            <v>Commissions - gross</v>
          </cell>
          <cell r="Y5330" t="str">
            <v>GERMANY</v>
          </cell>
        </row>
        <row r="5331">
          <cell r="L5331" t="str">
            <v>Non-proportional</v>
          </cell>
          <cell r="S5331">
            <v>-12595.59</v>
          </cell>
          <cell r="X5331" t="str">
            <v>Commissions - gross</v>
          </cell>
          <cell r="Y5331" t="str">
            <v>GERMANY</v>
          </cell>
        </row>
        <row r="5332">
          <cell r="L5332" t="str">
            <v>Proportional</v>
          </cell>
          <cell r="S5332">
            <v>19300.05</v>
          </cell>
          <cell r="X5332" t="str">
            <v>Commissions - gross</v>
          </cell>
          <cell r="Y5332" t="str">
            <v>UNITED KINGDOM</v>
          </cell>
        </row>
        <row r="5333">
          <cell r="L5333" t="str">
            <v>Non-proportional</v>
          </cell>
          <cell r="S5333">
            <v>12595.59</v>
          </cell>
          <cell r="X5333" t="str">
            <v>Commissions - gross</v>
          </cell>
          <cell r="Y5333" t="str">
            <v>GERMANY</v>
          </cell>
        </row>
        <row r="5334">
          <cell r="L5334" t="str">
            <v>Non-proportional</v>
          </cell>
          <cell r="S5334">
            <v>-8852.65</v>
          </cell>
          <cell r="X5334" t="str">
            <v>Commissions - gross</v>
          </cell>
          <cell r="Y5334" t="str">
            <v>POLAND</v>
          </cell>
        </row>
        <row r="5335">
          <cell r="L5335" t="str">
            <v>Non-proportional</v>
          </cell>
          <cell r="S5335">
            <v>-2890.94</v>
          </cell>
          <cell r="X5335" t="str">
            <v>Commissions - gross</v>
          </cell>
          <cell r="Y5335" t="str">
            <v>UNITED KINGDOM</v>
          </cell>
        </row>
        <row r="5336">
          <cell r="L5336" t="str">
            <v>Non-proportional</v>
          </cell>
          <cell r="S5336">
            <v>-2276.7399999999998</v>
          </cell>
          <cell r="X5336" t="str">
            <v>Commissions - gross</v>
          </cell>
          <cell r="Y5336" t="str">
            <v>SWITZERLAND</v>
          </cell>
        </row>
        <row r="5337">
          <cell r="L5337" t="str">
            <v>Non-proportional</v>
          </cell>
          <cell r="S5337">
            <v>-1687.73</v>
          </cell>
          <cell r="X5337" t="str">
            <v>Commissions - gross</v>
          </cell>
          <cell r="Y5337" t="str">
            <v>SWITZERLAND</v>
          </cell>
        </row>
        <row r="5338">
          <cell r="L5338" t="str">
            <v>Non-proportional</v>
          </cell>
          <cell r="S5338">
            <v>158469.16</v>
          </cell>
          <cell r="X5338" t="str">
            <v>Commissions - gross</v>
          </cell>
          <cell r="Y5338" t="str">
            <v>UNITED KINGDOM</v>
          </cell>
        </row>
        <row r="5339">
          <cell r="L5339" t="str">
            <v>Non-proportional</v>
          </cell>
          <cell r="S5339">
            <v>-6149.04</v>
          </cell>
          <cell r="X5339" t="str">
            <v>Commissions - gross</v>
          </cell>
          <cell r="Y5339" t="str">
            <v>SWITZERLAND</v>
          </cell>
        </row>
        <row r="5340">
          <cell r="L5340" t="str">
            <v>Non-proportional</v>
          </cell>
          <cell r="S5340">
            <v>9347.41</v>
          </cell>
          <cell r="X5340" t="str">
            <v>Commissions - gross</v>
          </cell>
          <cell r="Y5340" t="str">
            <v>UNITED STATES</v>
          </cell>
        </row>
        <row r="5341">
          <cell r="L5341" t="str">
            <v>Non-proportional</v>
          </cell>
          <cell r="S5341">
            <v>5534.14</v>
          </cell>
          <cell r="X5341" t="str">
            <v>Commissions - gross</v>
          </cell>
          <cell r="Y5341" t="str">
            <v>SWITZERLAND</v>
          </cell>
        </row>
        <row r="5342">
          <cell r="L5342" t="str">
            <v>Non-proportional</v>
          </cell>
          <cell r="S5342">
            <v>-5534.14</v>
          </cell>
          <cell r="X5342" t="str">
            <v>Commissions - gross</v>
          </cell>
          <cell r="Y5342" t="str">
            <v>SWITZERLAND</v>
          </cell>
        </row>
        <row r="5343">
          <cell r="L5343" t="str">
            <v>Non-proportional</v>
          </cell>
          <cell r="S5343">
            <v>1687.73</v>
          </cell>
          <cell r="X5343" t="str">
            <v>Commissions - gross</v>
          </cell>
          <cell r="Y5343" t="str">
            <v>SWITZERLAND</v>
          </cell>
        </row>
        <row r="5344">
          <cell r="L5344" t="str">
            <v>Non-proportional</v>
          </cell>
          <cell r="S5344">
            <v>5659.19</v>
          </cell>
          <cell r="X5344" t="str">
            <v>Commissions - gross</v>
          </cell>
          <cell r="Y5344" t="str">
            <v>UNITED KINGDOM</v>
          </cell>
        </row>
        <row r="5345">
          <cell r="L5345" t="str">
            <v>Non-proportional</v>
          </cell>
          <cell r="S5345">
            <v>737.88</v>
          </cell>
          <cell r="X5345" t="str">
            <v>Commissions - gross</v>
          </cell>
          <cell r="Y5345" t="str">
            <v>SWITZERLAND</v>
          </cell>
        </row>
        <row r="5346">
          <cell r="L5346" t="str">
            <v>Non-proportional</v>
          </cell>
          <cell r="S5346">
            <v>2276.7399999999998</v>
          </cell>
          <cell r="X5346" t="str">
            <v>Commissions - gross</v>
          </cell>
          <cell r="Y5346" t="str">
            <v>SWITZERLAND</v>
          </cell>
        </row>
        <row r="5347">
          <cell r="L5347" t="str">
            <v>Non-proportional</v>
          </cell>
          <cell r="S5347">
            <v>2529.71</v>
          </cell>
          <cell r="X5347" t="str">
            <v>Commissions - gross</v>
          </cell>
          <cell r="Y5347" t="str">
            <v>SWITZERLAND</v>
          </cell>
        </row>
        <row r="5348">
          <cell r="L5348" t="str">
            <v>Non-proportional</v>
          </cell>
          <cell r="S5348">
            <v>819.87</v>
          </cell>
          <cell r="X5348" t="str">
            <v>Commissions - gross</v>
          </cell>
          <cell r="Y5348" t="str">
            <v>SWITZERLAND</v>
          </cell>
        </row>
        <row r="5349">
          <cell r="L5349" t="str">
            <v>Non-proportional</v>
          </cell>
          <cell r="S5349">
            <v>6149.04</v>
          </cell>
          <cell r="X5349" t="str">
            <v>Commissions - gross</v>
          </cell>
          <cell r="Y5349" t="str">
            <v>SWITZERLAND</v>
          </cell>
        </row>
        <row r="5350">
          <cell r="L5350" t="str">
            <v>Non-proportional</v>
          </cell>
          <cell r="S5350">
            <v>51160.29</v>
          </cell>
          <cell r="X5350" t="str">
            <v>Commissions - gross</v>
          </cell>
          <cell r="Y5350" t="str">
            <v>UNITED KINGDOM</v>
          </cell>
        </row>
        <row r="5351">
          <cell r="L5351" t="str">
            <v>Non-proportional</v>
          </cell>
          <cell r="S5351">
            <v>4527.34</v>
          </cell>
          <cell r="X5351" t="str">
            <v>Commissions - gross</v>
          </cell>
          <cell r="Y5351" t="str">
            <v>UNITED KINGDOM</v>
          </cell>
        </row>
        <row r="5352">
          <cell r="L5352" t="str">
            <v>Proportional</v>
          </cell>
          <cell r="S5352">
            <v>121711.1</v>
          </cell>
          <cell r="X5352" t="str">
            <v>Commissions - gross</v>
          </cell>
          <cell r="Y5352" t="str">
            <v>UNITED STATES</v>
          </cell>
        </row>
        <row r="5353">
          <cell r="L5353" t="str">
            <v>Non-proportional</v>
          </cell>
          <cell r="S5353">
            <v>-819.87</v>
          </cell>
          <cell r="X5353" t="str">
            <v>Commissions - gross</v>
          </cell>
          <cell r="Y5353" t="str">
            <v>SWITZERLAND</v>
          </cell>
        </row>
        <row r="5354">
          <cell r="L5354" t="str">
            <v>Non-proportional</v>
          </cell>
          <cell r="S5354">
            <v>-737.88</v>
          </cell>
          <cell r="X5354" t="str">
            <v>Commissions - gross</v>
          </cell>
          <cell r="Y5354" t="str">
            <v>SWITZERLAND</v>
          </cell>
        </row>
        <row r="5355">
          <cell r="L5355" t="str">
            <v>Non-proportional</v>
          </cell>
          <cell r="S5355">
            <v>1687.73</v>
          </cell>
          <cell r="X5355" t="str">
            <v>Commissions - gross</v>
          </cell>
          <cell r="Y5355" t="str">
            <v>SWITZERLAND</v>
          </cell>
        </row>
        <row r="5356">
          <cell r="L5356" t="str">
            <v>Non-proportional</v>
          </cell>
          <cell r="S5356">
            <v>3613.7</v>
          </cell>
          <cell r="X5356" t="str">
            <v>Commissions - gross</v>
          </cell>
          <cell r="Y5356" t="str">
            <v>UNITED KINGDOM</v>
          </cell>
        </row>
        <row r="5357">
          <cell r="L5357" t="str">
            <v>Non-proportional</v>
          </cell>
          <cell r="S5357">
            <v>-2529.71</v>
          </cell>
          <cell r="X5357" t="str">
            <v>Commissions - gross</v>
          </cell>
          <cell r="Y5357" t="str">
            <v>SWITZERLAND</v>
          </cell>
        </row>
        <row r="5358">
          <cell r="L5358" t="str">
            <v>Non-proportional</v>
          </cell>
          <cell r="S5358">
            <v>709.28</v>
          </cell>
          <cell r="X5358" t="str">
            <v>Commissions - gross</v>
          </cell>
          <cell r="Y5358" t="str">
            <v>UNITED KINGDOM</v>
          </cell>
        </row>
        <row r="5359">
          <cell r="L5359" t="str">
            <v>Non-proportional</v>
          </cell>
          <cell r="S5359">
            <v>-709.28</v>
          </cell>
          <cell r="X5359" t="str">
            <v>Commissions - gross</v>
          </cell>
          <cell r="Y5359" t="str">
            <v>UNITED KINGDOM</v>
          </cell>
        </row>
        <row r="5360">
          <cell r="L5360" t="str">
            <v>Non-proportional</v>
          </cell>
          <cell r="S5360">
            <v>7057.3</v>
          </cell>
          <cell r="X5360" t="str">
            <v>Commissions - gross</v>
          </cell>
          <cell r="Y5360" t="str">
            <v>UNITED STATES</v>
          </cell>
        </row>
        <row r="5361">
          <cell r="L5361" t="str">
            <v>Non-proportional</v>
          </cell>
          <cell r="S5361">
            <v>-4527.34</v>
          </cell>
          <cell r="X5361" t="str">
            <v>Commissions - gross</v>
          </cell>
          <cell r="Y5361" t="str">
            <v>UNITED KINGDOM</v>
          </cell>
        </row>
        <row r="5362">
          <cell r="L5362" t="str">
            <v>Proportional</v>
          </cell>
          <cell r="S5362">
            <v>5267.25</v>
          </cell>
          <cell r="X5362" t="str">
            <v>Commissions - gross</v>
          </cell>
          <cell r="Y5362" t="str">
            <v>GERMANY</v>
          </cell>
        </row>
        <row r="5363">
          <cell r="L5363" t="str">
            <v>Non-proportional</v>
          </cell>
          <cell r="S5363">
            <v>124950.35</v>
          </cell>
          <cell r="X5363" t="str">
            <v>Commissions - gross</v>
          </cell>
          <cell r="Y5363" t="str">
            <v>UNITED KINGDOM</v>
          </cell>
        </row>
        <row r="5364">
          <cell r="L5364" t="str">
            <v>Non-proportional</v>
          </cell>
          <cell r="S5364">
            <v>-1687.73</v>
          </cell>
          <cell r="X5364" t="str">
            <v>Commissions - gross</v>
          </cell>
          <cell r="Y5364" t="str">
            <v>SWITZERLAND</v>
          </cell>
        </row>
        <row r="5365">
          <cell r="L5365" t="str">
            <v>Non-proportional</v>
          </cell>
          <cell r="S5365">
            <v>886.6</v>
          </cell>
          <cell r="X5365" t="str">
            <v>Commissions - gross</v>
          </cell>
          <cell r="Y5365" t="str">
            <v>UNITED KINGDOM</v>
          </cell>
        </row>
        <row r="5366">
          <cell r="L5366" t="str">
            <v>Non-proportional</v>
          </cell>
          <cell r="S5366">
            <v>2890.94</v>
          </cell>
          <cell r="X5366" t="str">
            <v>Commissions - gross</v>
          </cell>
          <cell r="Y5366" t="str">
            <v>UNITED KINGDOM</v>
          </cell>
        </row>
        <row r="5367">
          <cell r="L5367" t="str">
            <v>Proportional</v>
          </cell>
          <cell r="S5367">
            <v>-5267.25</v>
          </cell>
          <cell r="X5367" t="str">
            <v>Commissions - gross</v>
          </cell>
          <cell r="Y5367" t="str">
            <v>GERMANY</v>
          </cell>
        </row>
        <row r="5368">
          <cell r="L5368" t="str">
            <v>Non-proportional</v>
          </cell>
          <cell r="S5368">
            <v>-5050.7700000000004</v>
          </cell>
          <cell r="X5368" t="str">
            <v>Commissions - gross</v>
          </cell>
          <cell r="Y5368" t="str">
            <v>UNITED STATES</v>
          </cell>
        </row>
        <row r="5369">
          <cell r="L5369" t="str">
            <v>Non-proportional</v>
          </cell>
          <cell r="S5369">
            <v>5050.7700000000004</v>
          </cell>
          <cell r="X5369" t="str">
            <v>Commissions - gross</v>
          </cell>
          <cell r="Y5369" t="str">
            <v>UNITED STATES</v>
          </cell>
        </row>
        <row r="5370">
          <cell r="L5370" t="str">
            <v>Non-proportional</v>
          </cell>
          <cell r="S5370">
            <v>5050.7700000000004</v>
          </cell>
          <cell r="X5370" t="str">
            <v>Commissions - gross</v>
          </cell>
          <cell r="Y5370" t="str">
            <v>UNITED STATES</v>
          </cell>
        </row>
        <row r="5371">
          <cell r="L5371" t="str">
            <v>Non-proportional</v>
          </cell>
          <cell r="S5371">
            <v>-4286.9399999999996</v>
          </cell>
          <cell r="X5371" t="str">
            <v>Commissions - gross</v>
          </cell>
          <cell r="Y5371" t="str">
            <v>UNITED STATES</v>
          </cell>
        </row>
        <row r="5372">
          <cell r="L5372" t="str">
            <v>Non-proportional</v>
          </cell>
          <cell r="S5372">
            <v>3237.53</v>
          </cell>
          <cell r="X5372" t="str">
            <v>Commissions - gross</v>
          </cell>
          <cell r="Y5372" t="str">
            <v>UNITED STATES</v>
          </cell>
        </row>
        <row r="5373">
          <cell r="L5373" t="str">
            <v>Non-proportional</v>
          </cell>
          <cell r="S5373">
            <v>3814.39</v>
          </cell>
          <cell r="X5373" t="str">
            <v>Commissions - gross</v>
          </cell>
          <cell r="Y5373" t="str">
            <v>UNITED STATES</v>
          </cell>
        </row>
        <row r="5374">
          <cell r="L5374" t="str">
            <v>Non-proportional</v>
          </cell>
          <cell r="S5374">
            <v>4286.9399999999996</v>
          </cell>
          <cell r="X5374" t="str">
            <v>Commissions - gross</v>
          </cell>
          <cell r="Y5374" t="str">
            <v>UNITED STATES</v>
          </cell>
        </row>
        <row r="5375">
          <cell r="L5375" t="str">
            <v>Non-proportional</v>
          </cell>
          <cell r="S5375">
            <v>-7049.97</v>
          </cell>
          <cell r="X5375" t="str">
            <v>Commissions - gross</v>
          </cell>
          <cell r="Y5375" t="str">
            <v>UNITED STATES</v>
          </cell>
        </row>
        <row r="5376">
          <cell r="L5376" t="str">
            <v>Non-proportional</v>
          </cell>
          <cell r="S5376">
            <v>4286.9399999999996</v>
          </cell>
          <cell r="X5376" t="str">
            <v>Commissions - gross</v>
          </cell>
          <cell r="Y5376" t="str">
            <v>UNITED STATES</v>
          </cell>
        </row>
        <row r="5377">
          <cell r="L5377" t="str">
            <v>Non-proportional</v>
          </cell>
          <cell r="S5377">
            <v>-9337.7099999999991</v>
          </cell>
          <cell r="X5377" t="str">
            <v>Commissions - gross</v>
          </cell>
          <cell r="Y5377" t="str">
            <v>UNITED STATES</v>
          </cell>
        </row>
        <row r="5378">
          <cell r="L5378" t="str">
            <v>Non-proportional</v>
          </cell>
          <cell r="S5378">
            <v>128082.74</v>
          </cell>
          <cell r="X5378" t="str">
            <v>Commissions - gross</v>
          </cell>
          <cell r="Y5378" t="str">
            <v>UNITED KINGDOM</v>
          </cell>
        </row>
        <row r="5379">
          <cell r="L5379" t="str">
            <v>Non-proportional</v>
          </cell>
          <cell r="S5379">
            <v>-100991.29</v>
          </cell>
          <cell r="X5379" t="str">
            <v>Commissions - gross</v>
          </cell>
          <cell r="Y5379" t="str">
            <v>UNITED KINGDOM</v>
          </cell>
        </row>
        <row r="5380">
          <cell r="L5380" t="str">
            <v>Non-proportional</v>
          </cell>
          <cell r="S5380">
            <v>41350.22</v>
          </cell>
          <cell r="X5380" t="str">
            <v>Commissions - gross</v>
          </cell>
          <cell r="Y5380" t="str">
            <v>UNITED KINGDOM</v>
          </cell>
        </row>
        <row r="5381">
          <cell r="L5381" t="str">
            <v>Non-proportional</v>
          </cell>
          <cell r="S5381">
            <v>-41350.22</v>
          </cell>
          <cell r="X5381" t="str">
            <v>Commissions - gross</v>
          </cell>
          <cell r="Y5381" t="str">
            <v>UNITED KINGDOM</v>
          </cell>
        </row>
        <row r="5382">
          <cell r="L5382" t="str">
            <v>Non-proportional</v>
          </cell>
          <cell r="S5382">
            <v>1009912.91</v>
          </cell>
          <cell r="X5382" t="str">
            <v>Commissions - gross</v>
          </cell>
          <cell r="Y5382" t="str">
            <v>UNITED KINGDOM</v>
          </cell>
        </row>
        <row r="5383">
          <cell r="L5383" t="str">
            <v>Non-proportional</v>
          </cell>
          <cell r="S5383">
            <v>41350.22</v>
          </cell>
          <cell r="X5383" t="str">
            <v>Commissions - gross</v>
          </cell>
          <cell r="Y5383" t="str">
            <v>UNITED KINGDOM</v>
          </cell>
        </row>
        <row r="5384">
          <cell r="L5384" t="str">
            <v>Non-proportional</v>
          </cell>
          <cell r="S5384">
            <v>-1009912.91</v>
          </cell>
          <cell r="X5384" t="str">
            <v>Commissions - gross</v>
          </cell>
          <cell r="Y5384" t="str">
            <v>UNITED KINGDOM</v>
          </cell>
        </row>
        <row r="5385">
          <cell r="L5385" t="str">
            <v>Non-proportional</v>
          </cell>
          <cell r="S5385">
            <v>-12087.87</v>
          </cell>
          <cell r="X5385" t="str">
            <v>Commissions - gross</v>
          </cell>
          <cell r="Y5385" t="str">
            <v>GERMANY</v>
          </cell>
        </row>
        <row r="5386">
          <cell r="L5386" t="str">
            <v>Non-proportional</v>
          </cell>
          <cell r="S5386">
            <v>-51687.96</v>
          </cell>
          <cell r="X5386" t="str">
            <v>Commissions - gross</v>
          </cell>
          <cell r="Y5386" t="str">
            <v>UNITED KINGDOM</v>
          </cell>
        </row>
        <row r="5387">
          <cell r="L5387" t="str">
            <v>Non-proportional</v>
          </cell>
          <cell r="S5387">
            <v>100991.29</v>
          </cell>
          <cell r="X5387" t="str">
            <v>Commissions - gross</v>
          </cell>
          <cell r="Y5387" t="str">
            <v>UNITED KINGDOM</v>
          </cell>
        </row>
        <row r="5388">
          <cell r="L5388" t="str">
            <v>Non-proportional</v>
          </cell>
          <cell r="S5388">
            <v>100991.29</v>
          </cell>
          <cell r="X5388" t="str">
            <v>Commissions - gross</v>
          </cell>
          <cell r="Y5388" t="str">
            <v>UNITED KINGDOM</v>
          </cell>
        </row>
        <row r="5389">
          <cell r="L5389" t="str">
            <v>Non-proportional</v>
          </cell>
          <cell r="S5389">
            <v>160103.60999999999</v>
          </cell>
          <cell r="X5389" t="str">
            <v>Commissions - gross</v>
          </cell>
          <cell r="Y5389" t="str">
            <v>UNITED KINGDOM</v>
          </cell>
        </row>
        <row r="5390">
          <cell r="L5390" t="str">
            <v>Non-proportional</v>
          </cell>
          <cell r="S5390">
            <v>1009912.91</v>
          </cell>
          <cell r="X5390" t="str">
            <v>Commissions - gross</v>
          </cell>
          <cell r="Y5390" t="str">
            <v>UNITED KINGDOM</v>
          </cell>
        </row>
        <row r="5391">
          <cell r="L5391" t="str">
            <v>Non-proportional</v>
          </cell>
          <cell r="S5391">
            <v>128082.74</v>
          </cell>
          <cell r="X5391" t="str">
            <v>Commissions - gross</v>
          </cell>
          <cell r="Y5391" t="str">
            <v>UNITED KINGDOM</v>
          </cell>
        </row>
        <row r="5392">
          <cell r="L5392" t="str">
            <v>Non-proportional</v>
          </cell>
          <cell r="S5392">
            <v>-128082.74</v>
          </cell>
          <cell r="X5392" t="str">
            <v>Commissions - gross</v>
          </cell>
          <cell r="Y5392" t="str">
            <v>UNITED KINGDOM</v>
          </cell>
        </row>
        <row r="5393">
          <cell r="L5393" t="str">
            <v>Non-proportional</v>
          </cell>
          <cell r="S5393">
            <v>12087.87</v>
          </cell>
          <cell r="X5393" t="str">
            <v>Commissions - gross</v>
          </cell>
          <cell r="Y5393" t="str">
            <v>GERMANY</v>
          </cell>
        </row>
        <row r="5394">
          <cell r="L5394" t="str">
            <v>Non-proportional</v>
          </cell>
          <cell r="S5394">
            <v>-1009912.91</v>
          </cell>
          <cell r="X5394" t="str">
            <v>Commissions - gross</v>
          </cell>
          <cell r="Y5394" t="str">
            <v>UNITED KINGDOM</v>
          </cell>
        </row>
        <row r="5395">
          <cell r="L5395" t="str">
            <v>Non-proportional</v>
          </cell>
          <cell r="S5395">
            <v>100991.29</v>
          </cell>
          <cell r="X5395" t="str">
            <v>Commissions - gross</v>
          </cell>
          <cell r="Y5395" t="str">
            <v>UNITED KINGDOM</v>
          </cell>
        </row>
        <row r="5396">
          <cell r="L5396" t="str">
            <v>Non-proportional</v>
          </cell>
          <cell r="S5396">
            <v>-160103.60999999999</v>
          </cell>
          <cell r="X5396" t="str">
            <v>Commissions - gross</v>
          </cell>
          <cell r="Y5396" t="str">
            <v>UNITED KINGDOM</v>
          </cell>
        </row>
        <row r="5397">
          <cell r="L5397" t="str">
            <v>Non-proportional</v>
          </cell>
          <cell r="S5397">
            <v>-100991.29</v>
          </cell>
          <cell r="X5397" t="str">
            <v>Commissions - gross</v>
          </cell>
          <cell r="Y5397" t="str">
            <v>UNITED KINGDOM</v>
          </cell>
        </row>
        <row r="5398">
          <cell r="L5398" t="str">
            <v>Non-proportional</v>
          </cell>
          <cell r="S5398">
            <v>-100991.29</v>
          </cell>
          <cell r="X5398" t="str">
            <v>Commissions - gross</v>
          </cell>
          <cell r="Y5398" t="str">
            <v>UNITED KINGDOM</v>
          </cell>
        </row>
        <row r="5399">
          <cell r="L5399" t="str">
            <v>Non-proportional</v>
          </cell>
          <cell r="S5399">
            <v>51687.96</v>
          </cell>
          <cell r="X5399" t="str">
            <v>Commissions - gross</v>
          </cell>
          <cell r="Y5399" t="str">
            <v>UNITED KINGDOM</v>
          </cell>
        </row>
        <row r="5400">
          <cell r="L5400" t="str">
            <v>Non-proportional</v>
          </cell>
          <cell r="S5400">
            <v>-126239.09</v>
          </cell>
          <cell r="X5400" t="str">
            <v>Commissions - gross</v>
          </cell>
          <cell r="Y5400" t="str">
            <v>UNITED KINGDOM</v>
          </cell>
        </row>
        <row r="5401">
          <cell r="L5401" t="str">
            <v>Non-proportional</v>
          </cell>
          <cell r="S5401">
            <v>-128082.74</v>
          </cell>
          <cell r="X5401" t="str">
            <v>Commissions - gross</v>
          </cell>
          <cell r="Y5401" t="str">
            <v>UNITED KINGDOM</v>
          </cell>
        </row>
        <row r="5402">
          <cell r="L5402" t="str">
            <v>Non-proportional</v>
          </cell>
          <cell r="S5402">
            <v>126239.09</v>
          </cell>
          <cell r="X5402" t="str">
            <v>Commissions - gross</v>
          </cell>
          <cell r="Y5402" t="str">
            <v>UNITED KINGDOM</v>
          </cell>
        </row>
        <row r="5403">
          <cell r="L5403" t="str">
            <v>Non-proportional</v>
          </cell>
          <cell r="S5403">
            <v>-41350.22</v>
          </cell>
          <cell r="X5403" t="str">
            <v>Commissions - gross</v>
          </cell>
          <cell r="Y5403" t="str">
            <v>UNITED KINGDOM</v>
          </cell>
        </row>
        <row r="5404">
          <cell r="L5404" t="str">
            <v>Non-proportional</v>
          </cell>
          <cell r="S5404">
            <v>10748.56</v>
          </cell>
          <cell r="X5404" t="str">
            <v>Commissions - gross</v>
          </cell>
          <cell r="Y5404" t="str">
            <v>GERMANY</v>
          </cell>
        </row>
        <row r="5405">
          <cell r="L5405" t="str">
            <v>Non-proportional</v>
          </cell>
          <cell r="S5405">
            <v>1477.67</v>
          </cell>
          <cell r="X5405" t="str">
            <v>Commissions - gross</v>
          </cell>
          <cell r="Y5405" t="str">
            <v>SWITZERLAND</v>
          </cell>
        </row>
        <row r="5406">
          <cell r="L5406" t="str">
            <v>Non-proportional</v>
          </cell>
          <cell r="S5406">
            <v>-1424.9</v>
          </cell>
          <cell r="X5406" t="str">
            <v>Commissions - gross</v>
          </cell>
          <cell r="Y5406" t="str">
            <v>SWITZERLAND</v>
          </cell>
        </row>
        <row r="5407">
          <cell r="L5407" t="str">
            <v>Non-proportional</v>
          </cell>
          <cell r="S5407">
            <v>-1193.4000000000001</v>
          </cell>
          <cell r="X5407" t="str">
            <v>Commissions - gross</v>
          </cell>
          <cell r="Y5407" t="str">
            <v>GERMANY</v>
          </cell>
        </row>
        <row r="5408">
          <cell r="L5408" t="str">
            <v>Non-proportional</v>
          </cell>
          <cell r="S5408">
            <v>-1477.67</v>
          </cell>
          <cell r="X5408" t="str">
            <v>Commissions - gross</v>
          </cell>
          <cell r="Y5408" t="str">
            <v>SWITZERLAND</v>
          </cell>
        </row>
        <row r="5409">
          <cell r="L5409" t="str">
            <v>Non-proportional</v>
          </cell>
          <cell r="S5409">
            <v>-897.16</v>
          </cell>
          <cell r="X5409" t="str">
            <v>Commissions - gross</v>
          </cell>
          <cell r="Y5409" t="str">
            <v>SWITZERLAND</v>
          </cell>
        </row>
        <row r="5410">
          <cell r="L5410" t="str">
            <v>Non-proportional</v>
          </cell>
          <cell r="S5410">
            <v>-10748.56</v>
          </cell>
          <cell r="X5410" t="str">
            <v>Commissions - gross</v>
          </cell>
          <cell r="Y5410" t="str">
            <v>GERMANY</v>
          </cell>
        </row>
        <row r="5411">
          <cell r="L5411" t="str">
            <v>Non-proportional</v>
          </cell>
          <cell r="S5411">
            <v>6353.75</v>
          </cell>
          <cell r="X5411" t="str">
            <v>Commissions - gross</v>
          </cell>
          <cell r="Y5411" t="str">
            <v>GERMANY</v>
          </cell>
        </row>
        <row r="5412">
          <cell r="L5412" t="str">
            <v>Non-proportional</v>
          </cell>
          <cell r="S5412">
            <v>1161.03</v>
          </cell>
          <cell r="X5412" t="str">
            <v>Commissions - gross</v>
          </cell>
          <cell r="Y5412" t="str">
            <v>SWITZERLAND</v>
          </cell>
        </row>
        <row r="5413">
          <cell r="L5413" t="str">
            <v>Non-proportional</v>
          </cell>
          <cell r="S5413">
            <v>999.53</v>
          </cell>
          <cell r="X5413" t="str">
            <v>Commissions - gross</v>
          </cell>
          <cell r="Y5413" t="str">
            <v>SWITZERLAND</v>
          </cell>
        </row>
        <row r="5414">
          <cell r="L5414" t="str">
            <v>Non-proportional</v>
          </cell>
          <cell r="S5414">
            <v>1161.03</v>
          </cell>
          <cell r="X5414" t="str">
            <v>Commissions - gross</v>
          </cell>
          <cell r="Y5414" t="str">
            <v>SWITZERLAND</v>
          </cell>
        </row>
        <row r="5415">
          <cell r="L5415" t="str">
            <v>Non-proportional</v>
          </cell>
          <cell r="S5415">
            <v>10748.56</v>
          </cell>
          <cell r="X5415" t="str">
            <v>Commissions - gross</v>
          </cell>
          <cell r="Y5415" t="str">
            <v>GERMANY</v>
          </cell>
        </row>
        <row r="5416">
          <cell r="L5416" t="str">
            <v>Non-proportional</v>
          </cell>
          <cell r="S5416">
            <v>1404</v>
          </cell>
          <cell r="X5416" t="str">
            <v>Commissions - gross</v>
          </cell>
          <cell r="Y5416" t="str">
            <v>GERMANY</v>
          </cell>
        </row>
        <row r="5417">
          <cell r="L5417" t="str">
            <v>Non-proportional</v>
          </cell>
          <cell r="S5417">
            <v>1424.9</v>
          </cell>
          <cell r="X5417" t="str">
            <v>Commissions - gross</v>
          </cell>
          <cell r="Y5417" t="str">
            <v>SWITZERLAND</v>
          </cell>
        </row>
        <row r="5418">
          <cell r="L5418" t="str">
            <v>Non-proportional</v>
          </cell>
          <cell r="S5418">
            <v>-1424.9</v>
          </cell>
          <cell r="X5418" t="str">
            <v>Commissions - gross</v>
          </cell>
          <cell r="Y5418" t="str">
            <v>SWITZERLAND</v>
          </cell>
        </row>
        <row r="5419">
          <cell r="L5419" t="str">
            <v>Non-proportional</v>
          </cell>
          <cell r="S5419">
            <v>897.16</v>
          </cell>
          <cell r="X5419" t="str">
            <v>Commissions - gross</v>
          </cell>
          <cell r="Y5419" t="str">
            <v>SWITZERLAND</v>
          </cell>
        </row>
        <row r="5420">
          <cell r="L5420" t="str">
            <v>Non-proportional</v>
          </cell>
          <cell r="S5420">
            <v>1477.67</v>
          </cell>
          <cell r="X5420" t="str">
            <v>Commissions - gross</v>
          </cell>
          <cell r="Y5420" t="str">
            <v>SWITZERLAND</v>
          </cell>
        </row>
        <row r="5421">
          <cell r="L5421" t="str">
            <v>Non-proportional</v>
          </cell>
          <cell r="S5421">
            <v>1161.03</v>
          </cell>
          <cell r="X5421" t="str">
            <v>Commissions - gross</v>
          </cell>
          <cell r="Y5421" t="str">
            <v>SWITZERLAND</v>
          </cell>
        </row>
        <row r="5422">
          <cell r="L5422" t="str">
            <v>Non-proportional</v>
          </cell>
          <cell r="S5422">
            <v>-1161.03</v>
          </cell>
          <cell r="X5422" t="str">
            <v>Commissions - gross</v>
          </cell>
          <cell r="Y5422" t="str">
            <v>SWITZERLAND</v>
          </cell>
        </row>
        <row r="5423">
          <cell r="L5423" t="str">
            <v>Non-proportional</v>
          </cell>
          <cell r="S5423">
            <v>1477.67</v>
          </cell>
          <cell r="X5423" t="str">
            <v>Commissions - gross</v>
          </cell>
          <cell r="Y5423" t="str">
            <v>SWITZERLAND</v>
          </cell>
        </row>
        <row r="5424">
          <cell r="L5424" t="str">
            <v>Non-proportional</v>
          </cell>
          <cell r="S5424">
            <v>-11581.95</v>
          </cell>
          <cell r="X5424" t="str">
            <v>Commissions - gross</v>
          </cell>
          <cell r="Y5424" t="str">
            <v>GERMANY</v>
          </cell>
        </row>
        <row r="5425">
          <cell r="L5425" t="str">
            <v>Non-proportional</v>
          </cell>
          <cell r="S5425">
            <v>-1477.67</v>
          </cell>
          <cell r="X5425" t="str">
            <v>Commissions - gross</v>
          </cell>
          <cell r="Y5425" t="str">
            <v>SWITZERLAND</v>
          </cell>
        </row>
        <row r="5426">
          <cell r="L5426" t="str">
            <v>Non-proportional</v>
          </cell>
          <cell r="S5426">
            <v>897.16</v>
          </cell>
          <cell r="X5426" t="str">
            <v>Commissions - gross</v>
          </cell>
          <cell r="Y5426" t="str">
            <v>SWITZERLAND</v>
          </cell>
        </row>
        <row r="5427">
          <cell r="L5427" t="str">
            <v>Non-proportional</v>
          </cell>
          <cell r="S5427">
            <v>1477.67</v>
          </cell>
          <cell r="X5427" t="str">
            <v>Commissions - gross</v>
          </cell>
          <cell r="Y5427" t="str">
            <v>SWITZERLAND</v>
          </cell>
        </row>
        <row r="5428">
          <cell r="L5428" t="str">
            <v>Non-proportional</v>
          </cell>
          <cell r="S5428">
            <v>15531.8</v>
          </cell>
          <cell r="X5428" t="str">
            <v>Commissions - gross</v>
          </cell>
          <cell r="Y5428" t="str">
            <v>CZECH REPUBLIC</v>
          </cell>
        </row>
        <row r="5429">
          <cell r="L5429" t="str">
            <v>Non-proportional</v>
          </cell>
          <cell r="S5429">
            <v>13625.82</v>
          </cell>
          <cell r="X5429" t="str">
            <v>Commissions - gross</v>
          </cell>
          <cell r="Y5429" t="str">
            <v>GERMANY</v>
          </cell>
        </row>
        <row r="5430">
          <cell r="L5430" t="str">
            <v>Non-proportional</v>
          </cell>
          <cell r="S5430">
            <v>20701.21</v>
          </cell>
          <cell r="X5430" t="str">
            <v>Commissions - gross</v>
          </cell>
          <cell r="Y5430" t="str">
            <v>CZECH REPUBLIC</v>
          </cell>
        </row>
        <row r="5431">
          <cell r="L5431" t="str">
            <v>Non-proportional</v>
          </cell>
          <cell r="S5431">
            <v>1477.67</v>
          </cell>
          <cell r="X5431" t="str">
            <v>Commissions - gross</v>
          </cell>
          <cell r="Y5431" t="str">
            <v>SWITZERLAND</v>
          </cell>
        </row>
        <row r="5432">
          <cell r="L5432" t="str">
            <v>Non-proportional</v>
          </cell>
          <cell r="S5432">
            <v>897.16</v>
          </cell>
          <cell r="X5432" t="str">
            <v>Commissions - gross</v>
          </cell>
          <cell r="Y5432" t="str">
            <v>SWITZERLAND</v>
          </cell>
        </row>
        <row r="5433">
          <cell r="L5433" t="str">
            <v>Non-proportional</v>
          </cell>
          <cell r="S5433">
            <v>1161.03</v>
          </cell>
          <cell r="X5433" t="str">
            <v>Commissions - gross</v>
          </cell>
          <cell r="Y5433" t="str">
            <v>SWITZERLAND</v>
          </cell>
        </row>
        <row r="5434">
          <cell r="L5434" t="str">
            <v>Non-proportional</v>
          </cell>
          <cell r="S5434">
            <v>-1477.67</v>
          </cell>
          <cell r="X5434" t="str">
            <v>Commissions - gross</v>
          </cell>
          <cell r="Y5434" t="str">
            <v>SWITZERLAND</v>
          </cell>
        </row>
        <row r="5435">
          <cell r="L5435" t="str">
            <v>Non-proportional</v>
          </cell>
          <cell r="S5435">
            <v>-1477.67</v>
          </cell>
          <cell r="X5435" t="str">
            <v>Commissions - gross</v>
          </cell>
          <cell r="Y5435" t="str">
            <v>SWITZERLAND</v>
          </cell>
        </row>
        <row r="5436">
          <cell r="L5436" t="str">
            <v>Non-proportional</v>
          </cell>
          <cell r="S5436">
            <v>1161.03</v>
          </cell>
          <cell r="X5436" t="str">
            <v>Commissions - gross</v>
          </cell>
          <cell r="Y5436" t="str">
            <v>SWITZERLAND</v>
          </cell>
        </row>
        <row r="5437">
          <cell r="L5437" t="str">
            <v>Non-proportional</v>
          </cell>
          <cell r="S5437">
            <v>-1477.67</v>
          </cell>
          <cell r="X5437" t="str">
            <v>Commissions - gross</v>
          </cell>
          <cell r="Y5437" t="str">
            <v>SWITZERLAND</v>
          </cell>
        </row>
        <row r="5438">
          <cell r="L5438" t="str">
            <v>Non-proportional</v>
          </cell>
          <cell r="S5438">
            <v>10748.56</v>
          </cell>
          <cell r="X5438" t="str">
            <v>Commissions - gross</v>
          </cell>
          <cell r="Y5438" t="str">
            <v>GERMANY</v>
          </cell>
        </row>
        <row r="5439">
          <cell r="L5439" t="str">
            <v>Non-proportional</v>
          </cell>
          <cell r="S5439">
            <v>1371.94</v>
          </cell>
          <cell r="X5439" t="str">
            <v>Commissions - gross</v>
          </cell>
          <cell r="Y5439" t="str">
            <v>EUROPE</v>
          </cell>
        </row>
        <row r="5440">
          <cell r="L5440" t="str">
            <v>Non-proportional</v>
          </cell>
          <cell r="S5440">
            <v>-897.16</v>
          </cell>
          <cell r="X5440" t="str">
            <v>Commissions - gross</v>
          </cell>
          <cell r="Y5440" t="str">
            <v>SWITZERLAND</v>
          </cell>
        </row>
        <row r="5441">
          <cell r="L5441" t="str">
            <v>Non-proportional</v>
          </cell>
          <cell r="S5441">
            <v>-1424.9</v>
          </cell>
          <cell r="X5441" t="str">
            <v>Commissions - gross</v>
          </cell>
          <cell r="Y5441" t="str">
            <v>SWITZERLAND</v>
          </cell>
        </row>
        <row r="5442">
          <cell r="L5442" t="str">
            <v>Non-proportional</v>
          </cell>
          <cell r="S5442">
            <v>-5476.38</v>
          </cell>
          <cell r="X5442" t="str">
            <v>Commissions - gross</v>
          </cell>
          <cell r="Y5442" t="str">
            <v>GERMANY</v>
          </cell>
        </row>
        <row r="5443">
          <cell r="L5443" t="str">
            <v>Non-proportional</v>
          </cell>
          <cell r="S5443">
            <v>6649.01</v>
          </cell>
          <cell r="X5443" t="str">
            <v>Commissions - gross</v>
          </cell>
          <cell r="Y5443" t="str">
            <v>GERMANY</v>
          </cell>
        </row>
        <row r="5444">
          <cell r="L5444" t="str">
            <v>Proportional</v>
          </cell>
          <cell r="S5444">
            <v>999.53</v>
          </cell>
          <cell r="X5444" t="str">
            <v>Commissions - gross</v>
          </cell>
          <cell r="Y5444" t="str">
            <v>SWITZERLAND</v>
          </cell>
        </row>
        <row r="5445">
          <cell r="L5445" t="str">
            <v>Non-proportional</v>
          </cell>
          <cell r="S5445">
            <v>1477.67</v>
          </cell>
          <cell r="X5445" t="str">
            <v>Commissions - gross</v>
          </cell>
          <cell r="Y5445" t="str">
            <v>SWITZERLAND</v>
          </cell>
        </row>
        <row r="5446">
          <cell r="L5446" t="str">
            <v>Non-proportional</v>
          </cell>
          <cell r="S5446">
            <v>-6649.01</v>
          </cell>
          <cell r="X5446" t="str">
            <v>Commissions - gross</v>
          </cell>
          <cell r="Y5446" t="str">
            <v>GERMANY</v>
          </cell>
        </row>
        <row r="5447">
          <cell r="L5447" t="str">
            <v>Non-proportional</v>
          </cell>
          <cell r="S5447">
            <v>-6353.75</v>
          </cell>
          <cell r="X5447" t="str">
            <v>Commissions - gross</v>
          </cell>
          <cell r="Y5447" t="str">
            <v>GERMANY</v>
          </cell>
        </row>
        <row r="5448">
          <cell r="L5448" t="str">
            <v>Non-proportional</v>
          </cell>
          <cell r="S5448">
            <v>6442.8</v>
          </cell>
          <cell r="X5448" t="str">
            <v>Commissions - gross</v>
          </cell>
          <cell r="Y5448" t="str">
            <v>GERMANY</v>
          </cell>
        </row>
        <row r="5449">
          <cell r="L5449" t="str">
            <v>Non-proportional</v>
          </cell>
          <cell r="S5449">
            <v>11701.48</v>
          </cell>
          <cell r="X5449" t="str">
            <v>Commissions - gross</v>
          </cell>
          <cell r="Y5449" t="str">
            <v>GERMANY</v>
          </cell>
        </row>
        <row r="5450">
          <cell r="L5450" t="str">
            <v>Non-proportional</v>
          </cell>
          <cell r="S5450">
            <v>-897.16</v>
          </cell>
          <cell r="X5450" t="str">
            <v>Commissions - gross</v>
          </cell>
          <cell r="Y5450" t="str">
            <v>SWITZERLAND</v>
          </cell>
        </row>
        <row r="5451">
          <cell r="L5451" t="str">
            <v>Non-proportional</v>
          </cell>
          <cell r="S5451">
            <v>-9973.51</v>
          </cell>
          <cell r="X5451" t="str">
            <v>Commissions - gross</v>
          </cell>
          <cell r="Y5451" t="str">
            <v>GERMANY</v>
          </cell>
        </row>
        <row r="5452">
          <cell r="L5452" t="str">
            <v>Non-proportional</v>
          </cell>
          <cell r="S5452">
            <v>-1165</v>
          </cell>
          <cell r="X5452" t="str">
            <v>Commissions - gross</v>
          </cell>
          <cell r="Y5452" t="str">
            <v>EUROPE</v>
          </cell>
        </row>
        <row r="5453">
          <cell r="L5453" t="str">
            <v>Non-proportional</v>
          </cell>
          <cell r="S5453">
            <v>-999.53</v>
          </cell>
          <cell r="X5453" t="str">
            <v>Commissions - gross</v>
          </cell>
          <cell r="Y5453" t="str">
            <v>SWITZERLAND</v>
          </cell>
        </row>
        <row r="5454">
          <cell r="L5454" t="str">
            <v>Non-proportional</v>
          </cell>
          <cell r="S5454">
            <v>1424.9</v>
          </cell>
          <cell r="X5454" t="str">
            <v>Commissions - gross</v>
          </cell>
          <cell r="Y5454" t="str">
            <v>SWITZERLAND</v>
          </cell>
        </row>
        <row r="5455">
          <cell r="L5455" t="str">
            <v>Non-proportional</v>
          </cell>
          <cell r="S5455">
            <v>1424.9</v>
          </cell>
          <cell r="X5455" t="str">
            <v>Commissions - gross</v>
          </cell>
          <cell r="Y5455" t="str">
            <v>SWITZERLAND</v>
          </cell>
        </row>
        <row r="5456">
          <cell r="L5456" t="str">
            <v>Non-proportional</v>
          </cell>
          <cell r="S5456">
            <v>1165</v>
          </cell>
          <cell r="X5456" t="str">
            <v>Commissions - gross</v>
          </cell>
          <cell r="Y5456" t="str">
            <v>EUROPE</v>
          </cell>
        </row>
        <row r="5457">
          <cell r="L5457" t="str">
            <v>Non-proportional</v>
          </cell>
          <cell r="S5457">
            <v>1193.4000000000001</v>
          </cell>
          <cell r="X5457" t="str">
            <v>Commissions - gross</v>
          </cell>
          <cell r="Y5457" t="str">
            <v>GERMANY</v>
          </cell>
        </row>
        <row r="5458">
          <cell r="L5458" t="str">
            <v>Non-proportional</v>
          </cell>
          <cell r="S5458">
            <v>9973.51</v>
          </cell>
          <cell r="X5458" t="str">
            <v>Commissions - gross</v>
          </cell>
          <cell r="Y5458" t="str">
            <v>GERMANY</v>
          </cell>
        </row>
        <row r="5459">
          <cell r="L5459" t="str">
            <v>Non-proportional</v>
          </cell>
          <cell r="S5459">
            <v>-10748.56</v>
          </cell>
          <cell r="X5459" t="str">
            <v>Commissions - gross</v>
          </cell>
          <cell r="Y5459" t="str">
            <v>GERMANY</v>
          </cell>
        </row>
        <row r="5460">
          <cell r="L5460" t="str">
            <v>Non-proportional</v>
          </cell>
          <cell r="S5460">
            <v>-400</v>
          </cell>
          <cell r="X5460" t="str">
            <v>Commissions - gross</v>
          </cell>
          <cell r="Y5460" t="str">
            <v>SWITZERLAND</v>
          </cell>
        </row>
        <row r="5461">
          <cell r="L5461" t="str">
            <v>Non-proportional</v>
          </cell>
          <cell r="S5461">
            <v>1161.03</v>
          </cell>
          <cell r="X5461" t="str">
            <v>Commissions - gross</v>
          </cell>
          <cell r="Y5461" t="str">
            <v>SWITZERLAND</v>
          </cell>
        </row>
        <row r="5462">
          <cell r="L5462" t="str">
            <v>Non-proportional</v>
          </cell>
          <cell r="S5462">
            <v>12645.36</v>
          </cell>
          <cell r="X5462" t="str">
            <v>Commissions - gross</v>
          </cell>
          <cell r="Y5462" t="str">
            <v>GERMANY</v>
          </cell>
        </row>
        <row r="5463">
          <cell r="L5463" t="str">
            <v>Non-proportional</v>
          </cell>
          <cell r="S5463">
            <v>1424.9</v>
          </cell>
          <cell r="X5463" t="str">
            <v>Commissions - gross</v>
          </cell>
          <cell r="Y5463" t="str">
            <v>SWITZERLAND</v>
          </cell>
        </row>
        <row r="5464">
          <cell r="L5464" t="str">
            <v>Non-proportional</v>
          </cell>
          <cell r="S5464">
            <v>1477.67</v>
          </cell>
          <cell r="X5464" t="str">
            <v>Commissions - gross</v>
          </cell>
          <cell r="Y5464" t="str">
            <v>SWITZERLAND</v>
          </cell>
        </row>
        <row r="5465">
          <cell r="L5465" t="str">
            <v>Non-proportional</v>
          </cell>
          <cell r="S5465">
            <v>-1161.03</v>
          </cell>
          <cell r="X5465" t="str">
            <v>Commissions - gross</v>
          </cell>
          <cell r="Y5465" t="str">
            <v>SWITZERLAND</v>
          </cell>
        </row>
        <row r="5466">
          <cell r="L5466" t="str">
            <v>Non-proportional</v>
          </cell>
          <cell r="S5466">
            <v>-1424.9</v>
          </cell>
          <cell r="X5466" t="str">
            <v>Commissions - gross</v>
          </cell>
          <cell r="Y5466" t="str">
            <v>SWITZERLAND</v>
          </cell>
        </row>
        <row r="5467">
          <cell r="L5467" t="str">
            <v>Non-proportional</v>
          </cell>
          <cell r="S5467">
            <v>12001.48</v>
          </cell>
          <cell r="X5467" t="str">
            <v>Commissions - gross</v>
          </cell>
          <cell r="Y5467" t="str">
            <v>CZECH REPUBLIC</v>
          </cell>
        </row>
        <row r="5468">
          <cell r="L5468" t="str">
            <v>Non-proportional</v>
          </cell>
          <cell r="S5468">
            <v>13497.24</v>
          </cell>
          <cell r="X5468" t="str">
            <v>Commissions - gross</v>
          </cell>
          <cell r="Y5468" t="str">
            <v>CZECH REPUBLIC</v>
          </cell>
        </row>
        <row r="5469">
          <cell r="L5469" t="str">
            <v>Non-proportional</v>
          </cell>
          <cell r="S5469">
            <v>400</v>
          </cell>
          <cell r="X5469" t="str">
            <v>Commissions - gross</v>
          </cell>
          <cell r="Y5469" t="str">
            <v>SWITZERLAND</v>
          </cell>
        </row>
        <row r="5470">
          <cell r="L5470" t="str">
            <v>Non-proportional</v>
          </cell>
          <cell r="S5470">
            <v>6649.01</v>
          </cell>
          <cell r="X5470" t="str">
            <v>Commissions - gross</v>
          </cell>
          <cell r="Y5470" t="str">
            <v>GERMANY</v>
          </cell>
        </row>
        <row r="5471">
          <cell r="L5471" t="str">
            <v>Non-proportional</v>
          </cell>
          <cell r="S5471">
            <v>7475</v>
          </cell>
          <cell r="X5471" t="str">
            <v>Commissions - gross</v>
          </cell>
          <cell r="Y5471" t="str">
            <v>GERMANY</v>
          </cell>
        </row>
        <row r="5472">
          <cell r="L5472" t="str">
            <v>Non-proportional</v>
          </cell>
          <cell r="S5472">
            <v>-1161.03</v>
          </cell>
          <cell r="X5472" t="str">
            <v>Commissions - gross</v>
          </cell>
          <cell r="Y5472" t="str">
            <v>SWITZERLAND</v>
          </cell>
        </row>
        <row r="5473">
          <cell r="L5473" t="str">
            <v>Non-proportional</v>
          </cell>
          <cell r="S5473">
            <v>-897.16</v>
          </cell>
          <cell r="X5473" t="str">
            <v>Commissions - gross</v>
          </cell>
          <cell r="Y5473" t="str">
            <v>SWITZERLAND</v>
          </cell>
        </row>
        <row r="5474">
          <cell r="L5474" t="str">
            <v>Non-proportional</v>
          </cell>
          <cell r="S5474">
            <v>1424.9</v>
          </cell>
          <cell r="X5474" t="str">
            <v>Commissions - gross</v>
          </cell>
          <cell r="Y5474" t="str">
            <v>SWITZERLAND</v>
          </cell>
        </row>
        <row r="5475">
          <cell r="L5475" t="str">
            <v>Non-proportional</v>
          </cell>
          <cell r="S5475">
            <v>-1477.67</v>
          </cell>
          <cell r="X5475" t="str">
            <v>Commissions - gross</v>
          </cell>
          <cell r="Y5475" t="str">
            <v>SWITZERLAND</v>
          </cell>
        </row>
        <row r="5476">
          <cell r="L5476" t="str">
            <v>Non-proportional</v>
          </cell>
          <cell r="S5476">
            <v>897.16</v>
          </cell>
          <cell r="X5476" t="str">
            <v>Commissions - gross</v>
          </cell>
          <cell r="Y5476" t="str">
            <v>SWITZERLAND</v>
          </cell>
        </row>
        <row r="5477">
          <cell r="L5477" t="str">
            <v>Non-proportional</v>
          </cell>
          <cell r="S5477">
            <v>5740.2</v>
          </cell>
          <cell r="X5477" t="str">
            <v>Commissions - gross</v>
          </cell>
          <cell r="Y5477" t="str">
            <v>SLOVENIA</v>
          </cell>
        </row>
        <row r="5478">
          <cell r="L5478" t="str">
            <v>Non-proportional</v>
          </cell>
          <cell r="S5478">
            <v>-1161.03</v>
          </cell>
          <cell r="X5478" t="str">
            <v>Commissions - gross</v>
          </cell>
          <cell r="Y5478" t="str">
            <v>SWITZERLAND</v>
          </cell>
        </row>
        <row r="5479">
          <cell r="L5479" t="str">
            <v>Non-proportional</v>
          </cell>
          <cell r="S5479">
            <v>5950.75</v>
          </cell>
          <cell r="X5479" t="str">
            <v>Commissions - gross</v>
          </cell>
          <cell r="Y5479" t="str">
            <v>CZECH REPUBLIC</v>
          </cell>
        </row>
        <row r="5480">
          <cell r="L5480" t="str">
            <v>Non-proportional</v>
          </cell>
          <cell r="S5480">
            <v>897.16</v>
          </cell>
          <cell r="X5480" t="str">
            <v>Commissions - gross</v>
          </cell>
          <cell r="Y5480" t="str">
            <v>SWITZERLAND</v>
          </cell>
        </row>
        <row r="5481">
          <cell r="L5481" t="str">
            <v>Non-proportional</v>
          </cell>
          <cell r="S5481">
            <v>5476.38</v>
          </cell>
          <cell r="X5481" t="str">
            <v>Commissions - gross</v>
          </cell>
          <cell r="Y5481" t="str">
            <v>GERMANY</v>
          </cell>
        </row>
        <row r="5482">
          <cell r="L5482" t="str">
            <v>Non-proportional</v>
          </cell>
          <cell r="S5482">
            <v>-1161.03</v>
          </cell>
          <cell r="X5482" t="str">
            <v>Commissions - gross</v>
          </cell>
          <cell r="Y5482" t="str">
            <v>SWITZERLAND</v>
          </cell>
        </row>
        <row r="5483">
          <cell r="L5483" t="str">
            <v>Non-proportional</v>
          </cell>
          <cell r="S5483">
            <v>11581.95</v>
          </cell>
          <cell r="X5483" t="str">
            <v>Commissions - gross</v>
          </cell>
          <cell r="Y5483" t="str">
            <v>GERMANY</v>
          </cell>
        </row>
        <row r="5484">
          <cell r="L5484" t="str">
            <v>Non-proportional</v>
          </cell>
          <cell r="S5484">
            <v>-6649.01</v>
          </cell>
          <cell r="X5484" t="str">
            <v>Commissions - gross</v>
          </cell>
          <cell r="Y5484" t="str">
            <v>GERMANY</v>
          </cell>
        </row>
        <row r="5485">
          <cell r="L5485" t="str">
            <v>Non-proportional</v>
          </cell>
          <cell r="S5485">
            <v>-10748.56</v>
          </cell>
          <cell r="X5485" t="str">
            <v>Commissions - gross</v>
          </cell>
          <cell r="Y5485" t="str">
            <v>GERMANY</v>
          </cell>
        </row>
        <row r="5486">
          <cell r="L5486" t="str">
            <v>Non-proportional</v>
          </cell>
          <cell r="S5486">
            <v>1193.4000000000001</v>
          </cell>
          <cell r="X5486" t="str">
            <v>Commissions - gross</v>
          </cell>
          <cell r="Y5486" t="str">
            <v>GERMANY</v>
          </cell>
        </row>
        <row r="5487">
          <cell r="L5487" t="str">
            <v>Non-proportional</v>
          </cell>
          <cell r="S5487">
            <v>-5355</v>
          </cell>
          <cell r="X5487" t="str">
            <v>Commissions - gross</v>
          </cell>
          <cell r="Y5487" t="str">
            <v>CZECH REPUBLIC</v>
          </cell>
        </row>
        <row r="5488">
          <cell r="L5488" t="str">
            <v>Non-proportional</v>
          </cell>
          <cell r="S5488">
            <v>12001.48</v>
          </cell>
          <cell r="X5488" t="str">
            <v>Commissions - gross</v>
          </cell>
          <cell r="Y5488" t="str">
            <v>CZECH REPUBLIC</v>
          </cell>
        </row>
        <row r="5489">
          <cell r="L5489" t="str">
            <v>Proportional</v>
          </cell>
          <cell r="S5489">
            <v>-999.53</v>
          </cell>
          <cell r="X5489" t="str">
            <v>Commissions - gross</v>
          </cell>
          <cell r="Y5489" t="str">
            <v>SWITZERLAND</v>
          </cell>
        </row>
        <row r="5490">
          <cell r="L5490" t="str">
            <v>Non-proportional</v>
          </cell>
          <cell r="S5490">
            <v>-400</v>
          </cell>
          <cell r="X5490" t="str">
            <v>Commissions - gross</v>
          </cell>
          <cell r="Y5490" t="str">
            <v>SWITZERLAND</v>
          </cell>
        </row>
        <row r="5491">
          <cell r="L5491" t="str">
            <v>Non-proportional</v>
          </cell>
          <cell r="S5491">
            <v>-1193.4000000000001</v>
          </cell>
          <cell r="X5491" t="str">
            <v>Commissions - gross</v>
          </cell>
          <cell r="Y5491" t="str">
            <v>GERMANY</v>
          </cell>
        </row>
        <row r="5492">
          <cell r="L5492" t="str">
            <v>Non-proportional</v>
          </cell>
          <cell r="S5492">
            <v>-6353.75</v>
          </cell>
          <cell r="X5492" t="str">
            <v>Commissions - gross</v>
          </cell>
          <cell r="Y5492" t="str">
            <v>GERMANY</v>
          </cell>
        </row>
        <row r="5493">
          <cell r="L5493" t="str">
            <v>Non-proportional</v>
          </cell>
          <cell r="S5493">
            <v>13977.5</v>
          </cell>
          <cell r="X5493" t="str">
            <v>Commissions - gross</v>
          </cell>
          <cell r="Y5493" t="str">
            <v>CZECH REPUBLIC</v>
          </cell>
        </row>
        <row r="5494">
          <cell r="L5494" t="str">
            <v>Non-proportional</v>
          </cell>
          <cell r="S5494">
            <v>400</v>
          </cell>
          <cell r="X5494" t="str">
            <v>Commissions - gross</v>
          </cell>
          <cell r="Y5494" t="str">
            <v>SWITZERLAND</v>
          </cell>
        </row>
        <row r="5495">
          <cell r="L5495" t="str">
            <v>Non-proportional</v>
          </cell>
          <cell r="S5495">
            <v>10800</v>
          </cell>
          <cell r="X5495" t="str">
            <v>Commissions - gross</v>
          </cell>
          <cell r="Y5495" t="str">
            <v>CZECH REPUBLIC</v>
          </cell>
        </row>
        <row r="5496">
          <cell r="L5496" t="str">
            <v>Non-proportional</v>
          </cell>
          <cell r="S5496">
            <v>6353.75</v>
          </cell>
          <cell r="X5496" t="str">
            <v>Commissions - gross</v>
          </cell>
          <cell r="Y5496" t="str">
            <v>GERMANY</v>
          </cell>
        </row>
        <row r="5497">
          <cell r="L5497" t="str">
            <v>Non-proportional</v>
          </cell>
          <cell r="S5497">
            <v>-13977.5</v>
          </cell>
          <cell r="X5497" t="str">
            <v>Commissions - gross</v>
          </cell>
          <cell r="Y5497" t="str">
            <v>CZECH REPUBLIC</v>
          </cell>
        </row>
        <row r="5498">
          <cell r="L5498" t="str">
            <v>Non-proportional</v>
          </cell>
          <cell r="S5498">
            <v>-1193.4000000000001</v>
          </cell>
          <cell r="X5498" t="str">
            <v>Commissions - gross</v>
          </cell>
          <cell r="Y5498" t="str">
            <v>GERMANY</v>
          </cell>
        </row>
        <row r="5499">
          <cell r="L5499" t="str">
            <v>Non-proportional</v>
          </cell>
          <cell r="S5499">
            <v>-12147.5</v>
          </cell>
          <cell r="X5499" t="str">
            <v>Commissions - gross</v>
          </cell>
          <cell r="Y5499" t="str">
            <v>CZECH REPUBLIC</v>
          </cell>
        </row>
        <row r="5500">
          <cell r="L5500" t="str">
            <v>Non-proportional</v>
          </cell>
          <cell r="S5500">
            <v>999.53</v>
          </cell>
          <cell r="X5500" t="str">
            <v>Commissions - gross</v>
          </cell>
          <cell r="Y5500" t="str">
            <v>GERMANY</v>
          </cell>
        </row>
        <row r="5501">
          <cell r="L5501" t="str">
            <v>Non-proportional</v>
          </cell>
          <cell r="S5501">
            <v>-4591.8599999999997</v>
          </cell>
          <cell r="X5501" t="str">
            <v>Commissions - gross</v>
          </cell>
          <cell r="Y5501" t="str">
            <v>SLOVENIA</v>
          </cell>
        </row>
        <row r="5502">
          <cell r="L5502" t="str">
            <v>Non-proportional</v>
          </cell>
          <cell r="S5502">
            <v>-18630</v>
          </cell>
          <cell r="X5502" t="str">
            <v>Commissions - gross</v>
          </cell>
          <cell r="Y5502" t="str">
            <v>CZECH REPUBLIC</v>
          </cell>
        </row>
        <row r="5503">
          <cell r="L5503" t="str">
            <v>Non-proportional</v>
          </cell>
          <cell r="S5503">
            <v>5355</v>
          </cell>
          <cell r="X5503" t="str">
            <v>Commissions - gross</v>
          </cell>
          <cell r="Y5503" t="str">
            <v>CZECH REPUBLIC</v>
          </cell>
        </row>
        <row r="5504">
          <cell r="L5504" t="str">
            <v>Non-proportional</v>
          </cell>
          <cell r="S5504">
            <v>13977.5</v>
          </cell>
          <cell r="X5504" t="str">
            <v>Commissions - gross</v>
          </cell>
          <cell r="Y5504" t="str">
            <v>CZECH REPUBLIC</v>
          </cell>
        </row>
        <row r="5505">
          <cell r="L5505" t="str">
            <v>Non-proportional</v>
          </cell>
          <cell r="S5505">
            <v>18630</v>
          </cell>
          <cell r="X5505" t="str">
            <v>Commissions - gross</v>
          </cell>
          <cell r="Y5505" t="str">
            <v>CZECH REPUBLIC</v>
          </cell>
        </row>
        <row r="5506">
          <cell r="L5506" t="str">
            <v>Non-proportional</v>
          </cell>
          <cell r="S5506">
            <v>-13977.5</v>
          </cell>
          <cell r="X5506" t="str">
            <v>Commissions - gross</v>
          </cell>
          <cell r="Y5506" t="str">
            <v>CZECH REPUBLIC</v>
          </cell>
        </row>
        <row r="5507">
          <cell r="L5507" t="str">
            <v>Non-proportional</v>
          </cell>
          <cell r="S5507">
            <v>4591.8599999999997</v>
          </cell>
          <cell r="X5507" t="str">
            <v>Commissions - gross</v>
          </cell>
          <cell r="Y5507" t="str">
            <v>SLOVENIA</v>
          </cell>
        </row>
        <row r="5508">
          <cell r="L5508" t="str">
            <v>Non-proportional</v>
          </cell>
          <cell r="S5508">
            <v>12147.5</v>
          </cell>
          <cell r="X5508" t="str">
            <v>Commissions - gross</v>
          </cell>
          <cell r="Y5508" t="str">
            <v>CZECH REPUBLIC</v>
          </cell>
        </row>
        <row r="5509">
          <cell r="L5509" t="str">
            <v>Non-proportional</v>
          </cell>
          <cell r="S5509">
            <v>400</v>
          </cell>
          <cell r="X5509" t="str">
            <v>Commissions - gross</v>
          </cell>
          <cell r="Y5509" t="str">
            <v>GERMANY</v>
          </cell>
        </row>
        <row r="5510">
          <cell r="L5510" t="str">
            <v>Non-proportional</v>
          </cell>
          <cell r="S5510">
            <v>-10800</v>
          </cell>
          <cell r="X5510" t="str">
            <v>Commissions - gross</v>
          </cell>
          <cell r="Y5510" t="str">
            <v>CZECH REPUBLIC</v>
          </cell>
        </row>
        <row r="5511">
          <cell r="L5511" t="str">
            <v>Non-proportional</v>
          </cell>
          <cell r="S5511">
            <v>18630</v>
          </cell>
          <cell r="X5511" t="str">
            <v>Commissions - gross</v>
          </cell>
          <cell r="Y5511" t="str">
            <v>CZECH REPUBLIC</v>
          </cell>
        </row>
        <row r="5512">
          <cell r="L5512" t="str">
            <v>Non-proportional</v>
          </cell>
          <cell r="S5512">
            <v>-400</v>
          </cell>
          <cell r="X5512" t="str">
            <v>Commissions - gross</v>
          </cell>
          <cell r="Y5512" t="str">
            <v>GERMANY</v>
          </cell>
        </row>
        <row r="5513">
          <cell r="L5513" t="str">
            <v>Non-proportional</v>
          </cell>
          <cell r="S5513">
            <v>6353.75</v>
          </cell>
          <cell r="X5513" t="str">
            <v>Commissions - gross</v>
          </cell>
          <cell r="Y5513" t="str">
            <v>GERMANY</v>
          </cell>
        </row>
        <row r="5514">
          <cell r="L5514" t="str">
            <v>Non-proportional</v>
          </cell>
          <cell r="S5514">
            <v>-13977.5</v>
          </cell>
          <cell r="X5514" t="str">
            <v>Commissions - gross</v>
          </cell>
          <cell r="Y5514" t="str">
            <v>CZECH REPUBLIC</v>
          </cell>
        </row>
        <row r="5515">
          <cell r="L5515" t="str">
            <v>Non-proportional</v>
          </cell>
          <cell r="S5515">
            <v>-18630</v>
          </cell>
          <cell r="X5515" t="str">
            <v>Commissions - gross</v>
          </cell>
          <cell r="Y5515" t="str">
            <v>CZECH REPUBLIC</v>
          </cell>
        </row>
        <row r="5516">
          <cell r="L5516" t="str">
            <v>Non-proportional</v>
          </cell>
          <cell r="S5516">
            <v>-6353.75</v>
          </cell>
          <cell r="X5516" t="str">
            <v>Commissions - gross</v>
          </cell>
          <cell r="Y5516" t="str">
            <v>GERMANY</v>
          </cell>
        </row>
        <row r="5517">
          <cell r="L5517" t="str">
            <v>Non-proportional</v>
          </cell>
          <cell r="S5517">
            <v>13977.5</v>
          </cell>
          <cell r="X5517" t="str">
            <v>Commissions - gross</v>
          </cell>
          <cell r="Y5517" t="str">
            <v>CZECH REPUBLIC</v>
          </cell>
        </row>
        <row r="5518">
          <cell r="L5518" t="str">
            <v>Non-proportional</v>
          </cell>
          <cell r="S5518">
            <v>1193.4000000000001</v>
          </cell>
          <cell r="X5518" t="str">
            <v>Commissions - gross</v>
          </cell>
          <cell r="Y5518" t="str">
            <v>GERMANY</v>
          </cell>
        </row>
        <row r="5519">
          <cell r="L5519" t="str">
            <v>Non-proportional</v>
          </cell>
          <cell r="S5519">
            <v>-12001.48</v>
          </cell>
          <cell r="X5519" t="str">
            <v>Commissions - gross</v>
          </cell>
          <cell r="Y5519" t="str">
            <v>CZECH REPUBLIC</v>
          </cell>
        </row>
        <row r="5520">
          <cell r="L5520" t="str">
            <v>Non-proportional</v>
          </cell>
          <cell r="S5520">
            <v>14950</v>
          </cell>
          <cell r="X5520" t="str">
            <v>Commissions - gross</v>
          </cell>
          <cell r="Y5520" t="str">
            <v>GERMANY</v>
          </cell>
        </row>
        <row r="5521">
          <cell r="L5521" t="str">
            <v>Non-proportional</v>
          </cell>
          <cell r="S5521">
            <v>6353.75</v>
          </cell>
          <cell r="X5521" t="str">
            <v>Commissions - gross</v>
          </cell>
          <cell r="Y5521" t="str">
            <v>GERMANY</v>
          </cell>
        </row>
        <row r="5522">
          <cell r="L5522" t="str">
            <v>Non-proportional</v>
          </cell>
          <cell r="S5522">
            <v>12707.5</v>
          </cell>
          <cell r="X5522" t="str">
            <v>Commissions - gross</v>
          </cell>
          <cell r="Y5522" t="str">
            <v>GERMANY</v>
          </cell>
        </row>
        <row r="5523">
          <cell r="L5523" t="str">
            <v>Non-proportional</v>
          </cell>
          <cell r="S5523">
            <v>-1193.4000000000001</v>
          </cell>
          <cell r="X5523" t="str">
            <v>Commissions - gross</v>
          </cell>
          <cell r="Y5523" t="str">
            <v>GERMANY</v>
          </cell>
        </row>
        <row r="5524">
          <cell r="L5524" t="str">
            <v>Non-proportional</v>
          </cell>
          <cell r="S5524">
            <v>-12707.5</v>
          </cell>
          <cell r="X5524" t="str">
            <v>Commissions - gross</v>
          </cell>
          <cell r="Y5524" t="str">
            <v>GERMANY</v>
          </cell>
        </row>
        <row r="5525">
          <cell r="L5525" t="str">
            <v>Non-proportional</v>
          </cell>
          <cell r="S5525">
            <v>1193.4000000000001</v>
          </cell>
          <cell r="X5525" t="str">
            <v>Commissions - gross</v>
          </cell>
          <cell r="Y5525" t="str">
            <v>GERMANY</v>
          </cell>
        </row>
        <row r="5526">
          <cell r="L5526" t="str">
            <v>Non-proportional</v>
          </cell>
          <cell r="S5526">
            <v>-1404</v>
          </cell>
          <cell r="X5526" t="str">
            <v>Commissions - gross</v>
          </cell>
          <cell r="Y5526" t="str">
            <v>GERMANY</v>
          </cell>
        </row>
        <row r="5527">
          <cell r="L5527" t="str">
            <v>Non-proportional</v>
          </cell>
          <cell r="S5527">
            <v>-6353.75</v>
          </cell>
          <cell r="X5527" t="str">
            <v>Commissions - gross</v>
          </cell>
          <cell r="Y5527" t="str">
            <v>GERMANY</v>
          </cell>
        </row>
        <row r="5528">
          <cell r="L5528" t="str">
            <v>Non-proportional</v>
          </cell>
          <cell r="S5528">
            <v>2808</v>
          </cell>
          <cell r="X5528" t="str">
            <v>Commissions - gross</v>
          </cell>
          <cell r="Y5528" t="str">
            <v>GERMANY</v>
          </cell>
        </row>
        <row r="5529">
          <cell r="L5529" t="str">
            <v>Non-proportional</v>
          </cell>
          <cell r="S5529">
            <v>-7475</v>
          </cell>
          <cell r="X5529" t="str">
            <v>Commissions - gross</v>
          </cell>
          <cell r="Y5529" t="str">
            <v>GERMANY</v>
          </cell>
        </row>
        <row r="5530">
          <cell r="L5530" t="str">
            <v>Non-proportional</v>
          </cell>
          <cell r="S5530">
            <v>2386.8000000000002</v>
          </cell>
          <cell r="X5530" t="str">
            <v>Commissions - gross</v>
          </cell>
          <cell r="Y5530" t="str">
            <v>GERMANY</v>
          </cell>
        </row>
        <row r="5531">
          <cell r="L5531" t="str">
            <v>Non-proportional</v>
          </cell>
          <cell r="S5531">
            <v>-2386.8000000000002</v>
          </cell>
          <cell r="X5531" t="str">
            <v>Commissions - gross</v>
          </cell>
          <cell r="Y5531" t="str">
            <v>GERMANY</v>
          </cell>
        </row>
        <row r="5532">
          <cell r="L5532" t="str">
            <v>Non-proportional</v>
          </cell>
          <cell r="S5532">
            <v>937.5</v>
          </cell>
          <cell r="X5532" t="str">
            <v>Commissions - gross</v>
          </cell>
          <cell r="Y5532" t="str">
            <v>ROMANIA</v>
          </cell>
        </row>
        <row r="5533">
          <cell r="L5533" t="str">
            <v>Non-proportional</v>
          </cell>
          <cell r="S5533">
            <v>456.75</v>
          </cell>
          <cell r="X5533" t="str">
            <v>Commissions - gross</v>
          </cell>
          <cell r="Y5533" t="str">
            <v>ROMANIA</v>
          </cell>
        </row>
        <row r="5534">
          <cell r="L5534" t="str">
            <v>Non-proportional</v>
          </cell>
          <cell r="S5534">
            <v>1560</v>
          </cell>
          <cell r="X5534" t="str">
            <v>Commissions - gross</v>
          </cell>
          <cell r="Y5534" t="str">
            <v>ROMANIA</v>
          </cell>
        </row>
        <row r="5535">
          <cell r="L5535" t="str">
            <v>Non-proportional</v>
          </cell>
          <cell r="S5535">
            <v>365.4</v>
          </cell>
          <cell r="X5535" t="str">
            <v>Commissions - gross</v>
          </cell>
          <cell r="Y5535" t="str">
            <v>ROMANIA</v>
          </cell>
        </row>
        <row r="5536">
          <cell r="L5536" t="str">
            <v>Non-proportional</v>
          </cell>
          <cell r="S5536">
            <v>1248</v>
          </cell>
          <cell r="X5536" t="str">
            <v>Commissions - gross</v>
          </cell>
          <cell r="Y5536" t="str">
            <v>ROMANIA</v>
          </cell>
        </row>
        <row r="5537">
          <cell r="L5537" t="str">
            <v>Non-proportional</v>
          </cell>
          <cell r="S5537">
            <v>-1248</v>
          </cell>
          <cell r="X5537" t="str">
            <v>Commissions - gross</v>
          </cell>
          <cell r="Y5537" t="str">
            <v>ROMANIA</v>
          </cell>
        </row>
        <row r="5538">
          <cell r="L5538" t="str">
            <v>Non-proportional</v>
          </cell>
          <cell r="S5538">
            <v>750</v>
          </cell>
          <cell r="X5538" t="str">
            <v>Commissions - gross</v>
          </cell>
          <cell r="Y5538" t="str">
            <v>ROMANIA</v>
          </cell>
        </row>
        <row r="5539">
          <cell r="L5539" t="str">
            <v>Non-proportional</v>
          </cell>
          <cell r="S5539">
            <v>-750</v>
          </cell>
          <cell r="X5539" t="str">
            <v>Commissions - gross</v>
          </cell>
          <cell r="Y5539" t="str">
            <v>ROMANIA</v>
          </cell>
        </row>
        <row r="5540">
          <cell r="L5540" t="str">
            <v>Non-proportional</v>
          </cell>
          <cell r="S5540">
            <v>-365.4</v>
          </cell>
          <cell r="X5540" t="str">
            <v>Commissions - gross</v>
          </cell>
          <cell r="Y5540" t="str">
            <v>ROMANIA</v>
          </cell>
        </row>
        <row r="5541">
          <cell r="L5541" t="str">
            <v>Non-proportional</v>
          </cell>
          <cell r="S5541">
            <v>-12490.33</v>
          </cell>
          <cell r="X5541" t="str">
            <v>Commissions - gross</v>
          </cell>
          <cell r="Y5541" t="str">
            <v>GERMANY</v>
          </cell>
        </row>
        <row r="5542">
          <cell r="L5542" t="str">
            <v>Non-proportional</v>
          </cell>
          <cell r="S5542">
            <v>-18976.11</v>
          </cell>
          <cell r="X5542" t="str">
            <v>Commissions - gross</v>
          </cell>
          <cell r="Y5542" t="str">
            <v>CZECH REPUBLIC</v>
          </cell>
        </row>
        <row r="5543">
          <cell r="L5543" t="str">
            <v>Proportional</v>
          </cell>
          <cell r="S5543">
            <v>-996.03</v>
          </cell>
          <cell r="X5543" t="str">
            <v>Commissions - gross</v>
          </cell>
          <cell r="Y5543" t="str">
            <v>SWITZERLAND</v>
          </cell>
        </row>
        <row r="5544">
          <cell r="L5544" t="str">
            <v>Non-proportional</v>
          </cell>
          <cell r="S5544">
            <v>-822.4</v>
          </cell>
          <cell r="X5544" t="str">
            <v>Commissions - gross</v>
          </cell>
          <cell r="Y5544" t="str">
            <v>SWITZERLAND</v>
          </cell>
        </row>
        <row r="5545">
          <cell r="L5545" t="str">
            <v>Non-proportional</v>
          </cell>
          <cell r="S5545">
            <v>-11001.36</v>
          </cell>
          <cell r="X5545" t="str">
            <v>Commissions - gross</v>
          </cell>
          <cell r="Y5545" t="str">
            <v>CZECH REPUBLIC</v>
          </cell>
        </row>
        <row r="5546">
          <cell r="L5546" t="str">
            <v>Non-proportional</v>
          </cell>
          <cell r="S5546">
            <v>-1287</v>
          </cell>
          <cell r="X5546" t="str">
            <v>Commissions - gross</v>
          </cell>
          <cell r="Y5546" t="str">
            <v>GERMANY</v>
          </cell>
        </row>
        <row r="5547">
          <cell r="L5547" t="str">
            <v>Non-proportional</v>
          </cell>
          <cell r="S5547">
            <v>-5905.9</v>
          </cell>
          <cell r="X5547" t="str">
            <v>Commissions - gross</v>
          </cell>
          <cell r="Y5547" t="str">
            <v>GERMANY</v>
          </cell>
        </row>
        <row r="5548">
          <cell r="L5548" t="str">
            <v>Non-proportional</v>
          </cell>
          <cell r="S5548">
            <v>-1257.6099999999999</v>
          </cell>
          <cell r="X5548" t="str">
            <v>Commissions - gross</v>
          </cell>
          <cell r="Y5548" t="str">
            <v>EUROPE</v>
          </cell>
        </row>
        <row r="5549">
          <cell r="L5549" t="str">
            <v>Non-proportional</v>
          </cell>
          <cell r="S5549">
            <v>-1306.1600000000001</v>
          </cell>
          <cell r="X5549" t="str">
            <v>Commissions - gross</v>
          </cell>
          <cell r="Y5549" t="str">
            <v>SWITZERLAND</v>
          </cell>
        </row>
        <row r="5550">
          <cell r="L5550" t="str">
            <v>Non-proportional</v>
          </cell>
          <cell r="S5550">
            <v>-1064.27</v>
          </cell>
          <cell r="X5550" t="str">
            <v>Commissions - gross</v>
          </cell>
          <cell r="Y5550" t="str">
            <v>SWITZERLAND</v>
          </cell>
        </row>
        <row r="5551">
          <cell r="L5551" t="str">
            <v>Non-proportional</v>
          </cell>
          <cell r="S5551">
            <v>-6852.08</v>
          </cell>
          <cell r="X5551" t="str">
            <v>Commissions - gross</v>
          </cell>
          <cell r="Y5551" t="str">
            <v>GERMANY</v>
          </cell>
        </row>
        <row r="5552">
          <cell r="L5552" t="str">
            <v>Non-proportional</v>
          </cell>
          <cell r="S5552">
            <v>-14237.48</v>
          </cell>
          <cell r="X5552" t="str">
            <v>Commissions - gross</v>
          </cell>
          <cell r="Y5552" t="str">
            <v>CZECH REPUBLIC</v>
          </cell>
        </row>
        <row r="5553">
          <cell r="L5553" t="str">
            <v>Non-proportional</v>
          </cell>
          <cell r="S5553">
            <v>-5261.85</v>
          </cell>
          <cell r="X5553" t="str">
            <v>Commissions - gross</v>
          </cell>
          <cell r="Y5553" t="str">
            <v>SLOVENIA</v>
          </cell>
        </row>
        <row r="5554">
          <cell r="L5554" t="str">
            <v>Non-proportional</v>
          </cell>
          <cell r="S5554">
            <v>-12372.47</v>
          </cell>
          <cell r="X5554" t="str">
            <v>Commissions - gross</v>
          </cell>
          <cell r="Y5554" t="str">
            <v>CZECH REPUBLIC</v>
          </cell>
        </row>
        <row r="5555">
          <cell r="L5555" t="str">
            <v>Non-proportional</v>
          </cell>
          <cell r="S5555">
            <v>-5454.85</v>
          </cell>
          <cell r="X5555" t="str">
            <v>Commissions - gross</v>
          </cell>
          <cell r="Y5555" t="str">
            <v>CZECH REPUBLIC</v>
          </cell>
        </row>
        <row r="5556">
          <cell r="L5556" t="str">
            <v>Non-proportional</v>
          </cell>
          <cell r="S5556">
            <v>-10726.36</v>
          </cell>
          <cell r="X5556" t="str">
            <v>Commissions - gross</v>
          </cell>
          <cell r="Y5556" t="str">
            <v>GERMANY</v>
          </cell>
        </row>
        <row r="5557">
          <cell r="L5557" t="str">
            <v>Non-proportional</v>
          </cell>
          <cell r="S5557">
            <v>-11591.58</v>
          </cell>
          <cell r="X5557" t="str">
            <v>Commissions - gross</v>
          </cell>
          <cell r="Y5557" t="str">
            <v>GERMANY</v>
          </cell>
        </row>
        <row r="5558">
          <cell r="L5558" t="str">
            <v>Non-proportional</v>
          </cell>
          <cell r="S5558">
            <v>-1354.53</v>
          </cell>
          <cell r="X5558" t="str">
            <v>Commissions - gross</v>
          </cell>
          <cell r="Y5558" t="str">
            <v>SWITZERLAND</v>
          </cell>
        </row>
        <row r="5559">
          <cell r="L5559" t="str">
            <v>Non-proportional</v>
          </cell>
          <cell r="S5559">
            <v>124.54</v>
          </cell>
          <cell r="X5559" t="str">
            <v>Commissions - gross</v>
          </cell>
          <cell r="Y5559" t="str">
            <v>SWITZERLAND</v>
          </cell>
        </row>
        <row r="5560">
          <cell r="L5560" t="str">
            <v>Non-proportional</v>
          </cell>
          <cell r="S5560">
            <v>97.85</v>
          </cell>
          <cell r="X5560" t="str">
            <v>Commissions - gross</v>
          </cell>
          <cell r="Y5560" t="str">
            <v>SWITZERLAND</v>
          </cell>
        </row>
        <row r="5561">
          <cell r="L5561" t="str">
            <v>Non-proportional</v>
          </cell>
          <cell r="S5561">
            <v>-832.94</v>
          </cell>
          <cell r="X5561" t="str">
            <v>Commissions - gross</v>
          </cell>
          <cell r="Y5561" t="str">
            <v>GERMANY</v>
          </cell>
        </row>
        <row r="5562">
          <cell r="L5562" t="str">
            <v>Non-proportional</v>
          </cell>
          <cell r="S5562">
            <v>478.35</v>
          </cell>
          <cell r="X5562" t="str">
            <v>Commissions - gross</v>
          </cell>
          <cell r="Y5562" t="str">
            <v>SLOVENIA</v>
          </cell>
        </row>
        <row r="5563">
          <cell r="L5563" t="str">
            <v>Non-proportional</v>
          </cell>
          <cell r="S5563">
            <v>1053.78</v>
          </cell>
          <cell r="X5563" t="str">
            <v>Commissions - gross</v>
          </cell>
          <cell r="Y5563" t="str">
            <v>GERMANY</v>
          </cell>
        </row>
        <row r="5564">
          <cell r="L5564" t="str">
            <v>Non-proportional</v>
          </cell>
          <cell r="S5564">
            <v>975.12</v>
          </cell>
          <cell r="X5564" t="str">
            <v>Commissions - gross</v>
          </cell>
          <cell r="Y5564" t="str">
            <v>GERMANY</v>
          </cell>
        </row>
        <row r="5565">
          <cell r="L5565" t="str">
            <v>Non-proportional</v>
          </cell>
          <cell r="S5565">
            <v>622.91999999999996</v>
          </cell>
          <cell r="X5565" t="str">
            <v>Commissions - gross</v>
          </cell>
          <cell r="Y5565" t="str">
            <v>GERMANY</v>
          </cell>
        </row>
        <row r="5566">
          <cell r="L5566" t="str">
            <v>Non-proportional</v>
          </cell>
          <cell r="S5566">
            <v>1294.32</v>
          </cell>
          <cell r="X5566" t="str">
            <v>Commissions - gross</v>
          </cell>
          <cell r="Y5566" t="str">
            <v>CZECH REPUBLIC</v>
          </cell>
        </row>
        <row r="5567">
          <cell r="L5567" t="str">
            <v>Non-proportional</v>
          </cell>
          <cell r="S5567">
            <v>1000.12</v>
          </cell>
          <cell r="X5567" t="str">
            <v>Commissions - gross</v>
          </cell>
          <cell r="Y5567" t="str">
            <v>CZECH REPUBLIC</v>
          </cell>
        </row>
        <row r="5568">
          <cell r="L5568" t="str">
            <v>Non-proportional</v>
          </cell>
          <cell r="S5568">
            <v>117</v>
          </cell>
          <cell r="X5568" t="str">
            <v>Commissions - gross</v>
          </cell>
          <cell r="Y5568" t="str">
            <v>GERMANY</v>
          </cell>
        </row>
        <row r="5569">
          <cell r="L5569" t="str">
            <v>Non-proportional</v>
          </cell>
          <cell r="S5569">
            <v>1124.77</v>
          </cell>
          <cell r="X5569" t="str">
            <v>Commissions - gross</v>
          </cell>
          <cell r="Y5569" t="str">
            <v>CZECH REPUBLIC</v>
          </cell>
        </row>
        <row r="5570">
          <cell r="L5570" t="str">
            <v>Non-proportional</v>
          </cell>
          <cell r="S5570">
            <v>75.61</v>
          </cell>
          <cell r="X5570" t="str">
            <v>Commissions - gross</v>
          </cell>
          <cell r="Y5570" t="str">
            <v>SWITZERLAND</v>
          </cell>
        </row>
        <row r="5571">
          <cell r="L5571" t="str">
            <v>Non-proportional</v>
          </cell>
          <cell r="S5571">
            <v>120.08</v>
          </cell>
          <cell r="X5571" t="str">
            <v>Commissions - gross</v>
          </cell>
          <cell r="Y5571" t="str">
            <v>SWITZERLAND</v>
          </cell>
        </row>
        <row r="5572">
          <cell r="L5572" t="str">
            <v>Non-proportional</v>
          </cell>
          <cell r="S5572">
            <v>536.9</v>
          </cell>
          <cell r="X5572" t="str">
            <v>Commissions - gross</v>
          </cell>
          <cell r="Y5572" t="str">
            <v>GERMANY</v>
          </cell>
        </row>
        <row r="5573">
          <cell r="L5573" t="str">
            <v>Non-proportional</v>
          </cell>
          <cell r="S5573">
            <v>1725.1</v>
          </cell>
          <cell r="X5573" t="str">
            <v>Commissions - gross</v>
          </cell>
          <cell r="Y5573" t="str">
            <v>CZECH REPUBLIC</v>
          </cell>
        </row>
        <row r="5574">
          <cell r="L5574" t="str">
            <v>Non-proportional</v>
          </cell>
          <cell r="S5574">
            <v>114.33</v>
          </cell>
          <cell r="X5574" t="str">
            <v>Commissions - gross</v>
          </cell>
          <cell r="Y5574" t="str">
            <v>EUROPE</v>
          </cell>
        </row>
        <row r="5575">
          <cell r="L5575" t="str">
            <v>Proportional</v>
          </cell>
          <cell r="S5575">
            <v>996.03</v>
          </cell>
          <cell r="X5575" t="str">
            <v>Commissions - gross</v>
          </cell>
          <cell r="Y5575" t="str">
            <v>SWITZERLAND</v>
          </cell>
        </row>
        <row r="5576">
          <cell r="L5576" t="str">
            <v>Non-proportional</v>
          </cell>
          <cell r="S5576">
            <v>495.9</v>
          </cell>
          <cell r="X5576" t="str">
            <v>Commissions - gross</v>
          </cell>
          <cell r="Y5576" t="str">
            <v>CZECH REPUBLIC</v>
          </cell>
        </row>
        <row r="5577">
          <cell r="L5577" t="str">
            <v>Non-proportional</v>
          </cell>
          <cell r="S5577">
            <v>1135.48</v>
          </cell>
          <cell r="X5577" t="str">
            <v>Commissions - gross</v>
          </cell>
          <cell r="Y5577" t="str">
            <v>GERMANY</v>
          </cell>
        </row>
        <row r="5578">
          <cell r="L5578" t="str">
            <v>Non-proportional</v>
          </cell>
          <cell r="S5578">
            <v>118.04</v>
          </cell>
          <cell r="X5578" t="str">
            <v>Commissions - gross</v>
          </cell>
          <cell r="Y5578" t="str">
            <v>SWITZERLAND</v>
          </cell>
        </row>
        <row r="5579">
          <cell r="L5579" t="str">
            <v>Non-proportional</v>
          </cell>
          <cell r="S5579">
            <v>74.319999999999993</v>
          </cell>
          <cell r="X5579" t="str">
            <v>Commissions - gross</v>
          </cell>
          <cell r="Y5579" t="str">
            <v>SWITZERLAND</v>
          </cell>
        </row>
        <row r="5580">
          <cell r="L5580" t="str">
            <v>Non-proportional</v>
          </cell>
          <cell r="S5580">
            <v>122.41</v>
          </cell>
          <cell r="X5580" t="str">
            <v>Commissions - gross</v>
          </cell>
          <cell r="Y5580" t="str">
            <v>SWITZERLAND</v>
          </cell>
        </row>
        <row r="5581">
          <cell r="L5581" t="str">
            <v>Non-proportional</v>
          </cell>
          <cell r="S5581">
            <v>1135.48</v>
          </cell>
          <cell r="X5581" t="str">
            <v>Commissions - gross</v>
          </cell>
          <cell r="Y5581" t="str">
            <v>GERMANY</v>
          </cell>
        </row>
        <row r="5582">
          <cell r="L5582" t="str">
            <v>Non-proportional</v>
          </cell>
          <cell r="S5582">
            <v>1170</v>
          </cell>
          <cell r="X5582" t="str">
            <v>Commissions - gross</v>
          </cell>
          <cell r="Y5582" t="str">
            <v>GERMANY</v>
          </cell>
        </row>
        <row r="5583">
          <cell r="L5583" t="str">
            <v>Non-proportional</v>
          </cell>
          <cell r="S5583">
            <v>12458.33</v>
          </cell>
          <cell r="X5583" t="str">
            <v>Commissions - gross</v>
          </cell>
          <cell r="Y5583" t="str">
            <v>GERMANY</v>
          </cell>
        </row>
        <row r="5584">
          <cell r="L5584" t="str">
            <v>Non-proportional</v>
          </cell>
          <cell r="S5584">
            <v>975.12</v>
          </cell>
          <cell r="X5584" t="str">
            <v>Commissions - gross</v>
          </cell>
          <cell r="Y5584" t="str">
            <v>GERMANY</v>
          </cell>
        </row>
        <row r="5585">
          <cell r="L5585" t="str">
            <v>Non-proportional</v>
          </cell>
          <cell r="S5585">
            <v>1725.1</v>
          </cell>
          <cell r="X5585" t="str">
            <v>Commissions - gross</v>
          </cell>
          <cell r="Y5585" t="str">
            <v>CZECH REPUBLIC</v>
          </cell>
        </row>
        <row r="5586">
          <cell r="L5586" t="str">
            <v>Non-proportional</v>
          </cell>
          <cell r="S5586">
            <v>1294.32</v>
          </cell>
          <cell r="X5586" t="str">
            <v>Commissions - gross</v>
          </cell>
          <cell r="Y5586" t="str">
            <v>CZECH REPUBLIC</v>
          </cell>
        </row>
        <row r="5587">
          <cell r="L5587" t="str">
            <v>Non-proportional</v>
          </cell>
          <cell r="S5587">
            <v>1053.78</v>
          </cell>
          <cell r="X5587" t="str">
            <v>Commissions - gross</v>
          </cell>
          <cell r="Y5587" t="str">
            <v>GERMANY</v>
          </cell>
        </row>
        <row r="5588">
          <cell r="L5588" t="str">
            <v>Non-proportional</v>
          </cell>
          <cell r="S5588">
            <v>-6229.16</v>
          </cell>
          <cell r="X5588" t="str">
            <v>Commissions - gross</v>
          </cell>
          <cell r="Y5588" t="str">
            <v>GERMANY</v>
          </cell>
        </row>
        <row r="5589">
          <cell r="L5589" t="str">
            <v>Non-proportional</v>
          </cell>
          <cell r="S5589">
            <v>96.18</v>
          </cell>
          <cell r="X5589" t="str">
            <v>Commissions - gross</v>
          </cell>
          <cell r="Y5589" t="str">
            <v>SWITZERLAND</v>
          </cell>
        </row>
        <row r="5590">
          <cell r="L5590" t="str">
            <v>Non-proportional</v>
          </cell>
          <cell r="S5590">
            <v>-2106</v>
          </cell>
          <cell r="X5590" t="str">
            <v>Commissions - gross</v>
          </cell>
          <cell r="Y5590" t="str">
            <v>GERMANY</v>
          </cell>
        </row>
        <row r="5591">
          <cell r="L5591" t="str">
            <v>Non-proportional</v>
          </cell>
          <cell r="S5591">
            <v>114.33</v>
          </cell>
          <cell r="X5591" t="str">
            <v>Commissions - gross</v>
          </cell>
          <cell r="Y5591" t="str">
            <v>EUROPE</v>
          </cell>
        </row>
        <row r="5592">
          <cell r="L5592" t="str">
            <v>Non-proportional</v>
          </cell>
          <cell r="S5592">
            <v>1000.12</v>
          </cell>
          <cell r="X5592" t="str">
            <v>Commissions - gross</v>
          </cell>
          <cell r="Y5592" t="str">
            <v>CZECH REPUBLIC</v>
          </cell>
        </row>
        <row r="5593">
          <cell r="L5593" t="str">
            <v>Non-proportional</v>
          </cell>
          <cell r="S5593">
            <v>-11212.5</v>
          </cell>
          <cell r="X5593" t="str">
            <v>Commissions - gross</v>
          </cell>
          <cell r="Y5593" t="str">
            <v>GERMANY</v>
          </cell>
        </row>
        <row r="5594">
          <cell r="L5594" t="str">
            <v>Non-proportional</v>
          </cell>
          <cell r="S5594">
            <v>478.35</v>
          </cell>
          <cell r="X5594" t="str">
            <v>Commissions - gross</v>
          </cell>
          <cell r="Y5594" t="str">
            <v>SLOVENIA</v>
          </cell>
        </row>
        <row r="5595">
          <cell r="L5595" t="str">
            <v>Non-proportional</v>
          </cell>
          <cell r="S5595">
            <v>1124.77</v>
          </cell>
          <cell r="X5595" t="str">
            <v>Commissions - gross</v>
          </cell>
          <cell r="Y5595" t="str">
            <v>CZECH REPUBLIC</v>
          </cell>
        </row>
        <row r="5596">
          <cell r="L5596" t="str">
            <v>Non-proportional</v>
          </cell>
          <cell r="S5596">
            <v>536.9</v>
          </cell>
          <cell r="X5596" t="str">
            <v>Commissions - gross</v>
          </cell>
          <cell r="Y5596" t="str">
            <v>GERMANY</v>
          </cell>
        </row>
        <row r="5597">
          <cell r="L5597" t="str">
            <v>Non-proportional</v>
          </cell>
          <cell r="S5597">
            <v>83.29</v>
          </cell>
          <cell r="X5597" t="str">
            <v>Commissions - gross</v>
          </cell>
          <cell r="Y5597" t="str">
            <v>GERMANY</v>
          </cell>
        </row>
        <row r="5598">
          <cell r="L5598" t="str">
            <v>Non-proportional</v>
          </cell>
          <cell r="S5598">
            <v>495.9</v>
          </cell>
          <cell r="X5598" t="str">
            <v>Commissions - gross</v>
          </cell>
          <cell r="Y5598" t="str">
            <v>CZECH REPUBLIC</v>
          </cell>
        </row>
        <row r="5599">
          <cell r="L5599" t="str">
            <v>Non-proportional</v>
          </cell>
          <cell r="S5599">
            <v>97.71</v>
          </cell>
          <cell r="X5599" t="str">
            <v>Commissions - gross</v>
          </cell>
          <cell r="Y5599" t="str">
            <v>SWITZERLAND</v>
          </cell>
        </row>
        <row r="5600">
          <cell r="L5600" t="str">
            <v>Non-proportional</v>
          </cell>
          <cell r="S5600">
            <v>495.9</v>
          </cell>
          <cell r="X5600" t="str">
            <v>Commissions - gross</v>
          </cell>
          <cell r="Y5600" t="str">
            <v>CZECH REPUBLIC</v>
          </cell>
        </row>
        <row r="5601">
          <cell r="L5601" t="str">
            <v>Non-proportional</v>
          </cell>
          <cell r="S5601">
            <v>1053.78</v>
          </cell>
          <cell r="X5601" t="str">
            <v>Commissions - gross</v>
          </cell>
          <cell r="Y5601" t="str">
            <v>GERMANY</v>
          </cell>
        </row>
        <row r="5602">
          <cell r="L5602" t="str">
            <v>Non-proportional</v>
          </cell>
          <cell r="S5602">
            <v>1245.83</v>
          </cell>
          <cell r="X5602" t="str">
            <v>Commissions - gross</v>
          </cell>
          <cell r="Y5602" t="str">
            <v>GERMANY</v>
          </cell>
        </row>
        <row r="5603">
          <cell r="L5603" t="str">
            <v>Non-proportional</v>
          </cell>
          <cell r="S5603">
            <v>1000.12</v>
          </cell>
          <cell r="X5603" t="str">
            <v>Commissions - gross</v>
          </cell>
          <cell r="Y5603" t="str">
            <v>CZECH REPUBLIC</v>
          </cell>
        </row>
        <row r="5604">
          <cell r="L5604" t="str">
            <v>Non-proportional</v>
          </cell>
          <cell r="S5604">
            <v>75.5</v>
          </cell>
          <cell r="X5604" t="str">
            <v>Commissions - gross</v>
          </cell>
          <cell r="Y5604" t="str">
            <v>SWITZERLAND</v>
          </cell>
        </row>
        <row r="5605">
          <cell r="L5605" t="str">
            <v>Non-proportional</v>
          </cell>
          <cell r="S5605">
            <v>1294.32</v>
          </cell>
          <cell r="X5605" t="str">
            <v>Commissions - gross</v>
          </cell>
          <cell r="Y5605" t="str">
            <v>CZECH REPUBLIC</v>
          </cell>
        </row>
        <row r="5606">
          <cell r="L5606" t="str">
            <v>Non-proportional</v>
          </cell>
          <cell r="S5606">
            <v>1135.48</v>
          </cell>
          <cell r="X5606" t="str">
            <v>Commissions - gross</v>
          </cell>
          <cell r="Y5606" t="str">
            <v>GERMANY</v>
          </cell>
        </row>
        <row r="5607">
          <cell r="L5607" t="str">
            <v>Non-proportional</v>
          </cell>
          <cell r="S5607">
            <v>1124.77</v>
          </cell>
          <cell r="X5607" t="str">
            <v>Commissions - gross</v>
          </cell>
          <cell r="Y5607" t="str">
            <v>CZECH REPUBLIC</v>
          </cell>
        </row>
        <row r="5608">
          <cell r="L5608" t="str">
            <v>Non-proportional</v>
          </cell>
          <cell r="S5608">
            <v>975.12</v>
          </cell>
          <cell r="X5608" t="str">
            <v>Commissions - gross</v>
          </cell>
          <cell r="Y5608" t="str">
            <v>GERMANY</v>
          </cell>
        </row>
        <row r="5609">
          <cell r="L5609" t="str">
            <v>Non-proportional</v>
          </cell>
          <cell r="S5609">
            <v>478.35</v>
          </cell>
          <cell r="X5609" t="str">
            <v>Commissions - gross</v>
          </cell>
          <cell r="Y5609" t="str">
            <v>SLOVENIA</v>
          </cell>
        </row>
        <row r="5610">
          <cell r="L5610" t="str">
            <v>Non-proportional</v>
          </cell>
          <cell r="S5610">
            <v>119.92</v>
          </cell>
          <cell r="X5610" t="str">
            <v>Commissions - gross</v>
          </cell>
          <cell r="Y5610" t="str">
            <v>SWITZERLAND</v>
          </cell>
        </row>
        <row r="5611">
          <cell r="L5611" t="str">
            <v>Non-proportional</v>
          </cell>
          <cell r="S5611">
            <v>234</v>
          </cell>
          <cell r="X5611" t="str">
            <v>Commissions - gross</v>
          </cell>
          <cell r="Y5611" t="str">
            <v>GERMANY</v>
          </cell>
        </row>
        <row r="5612">
          <cell r="L5612" t="str">
            <v>Non-proportional</v>
          </cell>
          <cell r="S5612">
            <v>536.9</v>
          </cell>
          <cell r="X5612" t="str">
            <v>Commissions - gross</v>
          </cell>
          <cell r="Y5612" t="str">
            <v>GERMANY</v>
          </cell>
        </row>
        <row r="5613">
          <cell r="L5613" t="str">
            <v>Non-proportional</v>
          </cell>
          <cell r="S5613">
            <v>124.36</v>
          </cell>
          <cell r="X5613" t="str">
            <v>Commissions - gross</v>
          </cell>
          <cell r="Y5613" t="str">
            <v>SWITZERLAND</v>
          </cell>
        </row>
        <row r="5614">
          <cell r="L5614" t="str">
            <v>Non-proportional</v>
          </cell>
          <cell r="S5614">
            <v>83.29</v>
          </cell>
          <cell r="X5614" t="str">
            <v>Commissions - gross</v>
          </cell>
          <cell r="Y5614" t="str">
            <v>GERMANY</v>
          </cell>
        </row>
        <row r="5615">
          <cell r="L5615" t="str">
            <v>Non-proportional</v>
          </cell>
          <cell r="S5615">
            <v>1725.1</v>
          </cell>
          <cell r="X5615" t="str">
            <v>Commissions - gross</v>
          </cell>
          <cell r="Y5615" t="str">
            <v>CZECH REPUBLIC</v>
          </cell>
        </row>
        <row r="5616">
          <cell r="L5616" t="str">
            <v>Non-proportional</v>
          </cell>
          <cell r="S5616">
            <v>114.33</v>
          </cell>
          <cell r="X5616" t="str">
            <v>Commissions - gross</v>
          </cell>
          <cell r="Y5616" t="str">
            <v>EUROPE</v>
          </cell>
        </row>
        <row r="5617">
          <cell r="L5617" t="str">
            <v>Non-proportional</v>
          </cell>
          <cell r="S5617">
            <v>1124.77</v>
          </cell>
          <cell r="X5617" t="str">
            <v>Commissions - gross</v>
          </cell>
          <cell r="Y5617" t="str">
            <v>CZECH REPUBLIC</v>
          </cell>
        </row>
        <row r="5618">
          <cell r="L5618" t="str">
            <v>Non-proportional</v>
          </cell>
          <cell r="S5618">
            <v>75.83</v>
          </cell>
          <cell r="X5618" t="str">
            <v>Commissions - gross</v>
          </cell>
          <cell r="Y5618" t="str">
            <v>SWITZERLAND</v>
          </cell>
        </row>
        <row r="5619">
          <cell r="L5619" t="str">
            <v>Non-proportional</v>
          </cell>
          <cell r="S5619">
            <v>114.33</v>
          </cell>
          <cell r="X5619" t="str">
            <v>Commissions - gross</v>
          </cell>
          <cell r="Y5619" t="str">
            <v>EUROPE</v>
          </cell>
        </row>
        <row r="5620">
          <cell r="L5620" t="str">
            <v>Non-proportional</v>
          </cell>
          <cell r="S5620">
            <v>1725.1</v>
          </cell>
          <cell r="X5620" t="str">
            <v>Commissions - gross</v>
          </cell>
          <cell r="Y5620" t="str">
            <v>CZECH REPUBLIC</v>
          </cell>
        </row>
        <row r="5621">
          <cell r="L5621" t="str">
            <v>Non-proportional</v>
          </cell>
          <cell r="S5621">
            <v>83.29</v>
          </cell>
          <cell r="X5621" t="str">
            <v>Commissions - gross</v>
          </cell>
          <cell r="Y5621" t="str">
            <v>GERMANY</v>
          </cell>
        </row>
        <row r="5622">
          <cell r="L5622" t="str">
            <v>Non-proportional</v>
          </cell>
          <cell r="S5622">
            <v>975.12</v>
          </cell>
          <cell r="X5622" t="str">
            <v>Commissions - gross</v>
          </cell>
          <cell r="Y5622" t="str">
            <v>GERMANY</v>
          </cell>
        </row>
        <row r="5623">
          <cell r="L5623" t="str">
            <v>Non-proportional</v>
          </cell>
          <cell r="S5623">
            <v>234</v>
          </cell>
          <cell r="X5623" t="str">
            <v>Commissions - gross</v>
          </cell>
          <cell r="Y5623" t="str">
            <v>GERMANY</v>
          </cell>
        </row>
        <row r="5624">
          <cell r="L5624" t="str">
            <v>Non-proportional</v>
          </cell>
          <cell r="S5624">
            <v>1135.48</v>
          </cell>
          <cell r="X5624" t="str">
            <v>Commissions - gross</v>
          </cell>
          <cell r="Y5624" t="str">
            <v>GERMANY</v>
          </cell>
        </row>
        <row r="5625">
          <cell r="L5625" t="str">
            <v>Non-proportional</v>
          </cell>
          <cell r="S5625">
            <v>1053.78</v>
          </cell>
          <cell r="X5625" t="str">
            <v>Commissions - gross</v>
          </cell>
          <cell r="Y5625" t="str">
            <v>GERMANY</v>
          </cell>
        </row>
        <row r="5626">
          <cell r="L5626" t="str">
            <v>Non-proportional</v>
          </cell>
          <cell r="S5626">
            <v>124.9</v>
          </cell>
          <cell r="X5626" t="str">
            <v>Commissions - gross</v>
          </cell>
          <cell r="Y5626" t="str">
            <v>SWITZERLAND</v>
          </cell>
        </row>
        <row r="5627">
          <cell r="L5627" t="str">
            <v>Non-proportional</v>
          </cell>
          <cell r="S5627">
            <v>1000.12</v>
          </cell>
          <cell r="X5627" t="str">
            <v>Commissions - gross</v>
          </cell>
          <cell r="Y5627" t="str">
            <v>CZECH REPUBLIC</v>
          </cell>
        </row>
        <row r="5628">
          <cell r="L5628" t="str">
            <v>Non-proportional</v>
          </cell>
          <cell r="S5628">
            <v>120.44</v>
          </cell>
          <cell r="X5628" t="str">
            <v>Commissions - gross</v>
          </cell>
          <cell r="Y5628" t="str">
            <v>SWITZERLAND</v>
          </cell>
        </row>
        <row r="5629">
          <cell r="L5629" t="str">
            <v>Non-proportional</v>
          </cell>
          <cell r="S5629">
            <v>1294.32</v>
          </cell>
          <cell r="X5629" t="str">
            <v>Commissions - gross</v>
          </cell>
          <cell r="Y5629" t="str">
            <v>CZECH REPUBLIC</v>
          </cell>
        </row>
        <row r="5630">
          <cell r="L5630" t="str">
            <v>Non-proportional</v>
          </cell>
          <cell r="S5630">
            <v>98.14</v>
          </cell>
          <cell r="X5630" t="str">
            <v>Commissions - gross</v>
          </cell>
          <cell r="Y5630" t="str">
            <v>SWITZERLAND</v>
          </cell>
        </row>
        <row r="5631">
          <cell r="L5631" t="str">
            <v>Non-proportional</v>
          </cell>
          <cell r="S5631">
            <v>536.9</v>
          </cell>
          <cell r="X5631" t="str">
            <v>Commissions - gross</v>
          </cell>
          <cell r="Y5631" t="str">
            <v>GERMANY</v>
          </cell>
        </row>
        <row r="5632">
          <cell r="L5632" t="str">
            <v>Non-proportional</v>
          </cell>
          <cell r="S5632">
            <v>478.35</v>
          </cell>
          <cell r="X5632" t="str">
            <v>Commissions - gross</v>
          </cell>
          <cell r="Y5632" t="str">
            <v>SLOVENIA</v>
          </cell>
        </row>
        <row r="5633">
          <cell r="L5633" t="str">
            <v>Non-proportional</v>
          </cell>
          <cell r="S5633">
            <v>1245.83</v>
          </cell>
          <cell r="X5633" t="str">
            <v>Commissions - gross</v>
          </cell>
          <cell r="Y5633" t="str">
            <v>GERMANY</v>
          </cell>
        </row>
        <row r="5634">
          <cell r="L5634" t="str">
            <v>Non-proportional</v>
          </cell>
          <cell r="S5634">
            <v>495.9</v>
          </cell>
          <cell r="X5634" t="str">
            <v>Commissions - gross</v>
          </cell>
          <cell r="Y5634" t="str">
            <v>CZECH REPUBLIC</v>
          </cell>
        </row>
        <row r="5635">
          <cell r="L5635" t="str">
            <v>Non-proportional</v>
          </cell>
          <cell r="S5635">
            <v>1294.32</v>
          </cell>
          <cell r="X5635" t="str">
            <v>Commissions - gross</v>
          </cell>
          <cell r="Y5635" t="str">
            <v>CZECH REPUBLIC</v>
          </cell>
        </row>
        <row r="5636">
          <cell r="L5636" t="str">
            <v>Non-proportional</v>
          </cell>
          <cell r="S5636">
            <v>75.78</v>
          </cell>
          <cell r="X5636" t="str">
            <v>Commissions - gross</v>
          </cell>
          <cell r="Y5636" t="str">
            <v>SWITZERLAND</v>
          </cell>
        </row>
        <row r="5637">
          <cell r="L5637" t="str">
            <v>Non-proportional</v>
          </cell>
          <cell r="S5637">
            <v>98.07</v>
          </cell>
          <cell r="X5637" t="str">
            <v>Commissions - gross</v>
          </cell>
          <cell r="Y5637" t="str">
            <v>SWITZERLAND</v>
          </cell>
        </row>
        <row r="5638">
          <cell r="L5638" t="str">
            <v>Non-proportional</v>
          </cell>
          <cell r="S5638">
            <v>1124.77</v>
          </cell>
          <cell r="X5638" t="str">
            <v>Commissions - gross</v>
          </cell>
          <cell r="Y5638" t="str">
            <v>CZECH REPUBLIC</v>
          </cell>
        </row>
        <row r="5639">
          <cell r="L5639" t="str">
            <v>Non-proportional</v>
          </cell>
          <cell r="S5639">
            <v>1000.12</v>
          </cell>
          <cell r="X5639" t="str">
            <v>Commissions - gross</v>
          </cell>
          <cell r="Y5639" t="str">
            <v>CZECH REPUBLIC</v>
          </cell>
        </row>
        <row r="5640">
          <cell r="L5640" t="str">
            <v>Non-proportional</v>
          </cell>
          <cell r="S5640">
            <v>1053.78</v>
          </cell>
          <cell r="X5640" t="str">
            <v>Commissions - gross</v>
          </cell>
          <cell r="Y5640" t="str">
            <v>GERMANY</v>
          </cell>
        </row>
        <row r="5641">
          <cell r="L5641" t="str">
            <v>Non-proportional</v>
          </cell>
          <cell r="S5641">
            <v>495.9</v>
          </cell>
          <cell r="X5641" t="str">
            <v>Commissions - gross</v>
          </cell>
          <cell r="Y5641" t="str">
            <v>CZECH REPUBLIC</v>
          </cell>
        </row>
        <row r="5642">
          <cell r="L5642" t="str">
            <v>Non-proportional</v>
          </cell>
          <cell r="S5642">
            <v>120.36</v>
          </cell>
          <cell r="X5642" t="str">
            <v>Commissions - gross</v>
          </cell>
          <cell r="Y5642" t="str">
            <v>SWITZERLAND</v>
          </cell>
        </row>
        <row r="5643">
          <cell r="L5643" t="str">
            <v>Non-proportional</v>
          </cell>
          <cell r="S5643">
            <v>1725.1</v>
          </cell>
          <cell r="X5643" t="str">
            <v>Commissions - gross</v>
          </cell>
          <cell r="Y5643" t="str">
            <v>CZECH REPUBLIC</v>
          </cell>
        </row>
        <row r="5644">
          <cell r="L5644" t="str">
            <v>Non-proportional</v>
          </cell>
          <cell r="S5644">
            <v>536.9</v>
          </cell>
          <cell r="X5644" t="str">
            <v>Commissions - gross</v>
          </cell>
          <cell r="Y5644" t="str">
            <v>GERMANY</v>
          </cell>
        </row>
        <row r="5645">
          <cell r="L5645" t="str">
            <v>Non-proportional</v>
          </cell>
          <cell r="S5645">
            <v>1135.48</v>
          </cell>
          <cell r="X5645" t="str">
            <v>Commissions - gross</v>
          </cell>
          <cell r="Y5645" t="str">
            <v>GERMANY</v>
          </cell>
        </row>
        <row r="5646">
          <cell r="L5646" t="str">
            <v>Non-proportional</v>
          </cell>
          <cell r="S5646">
            <v>114.33</v>
          </cell>
          <cell r="X5646" t="str">
            <v>Commissions - gross</v>
          </cell>
          <cell r="Y5646" t="str">
            <v>EUROPE</v>
          </cell>
        </row>
        <row r="5647">
          <cell r="L5647" t="str">
            <v>Non-proportional</v>
          </cell>
          <cell r="S5647">
            <v>234</v>
          </cell>
          <cell r="X5647" t="str">
            <v>Commissions - gross</v>
          </cell>
          <cell r="Y5647" t="str">
            <v>GERMANY</v>
          </cell>
        </row>
        <row r="5648">
          <cell r="L5648" t="str">
            <v>Non-proportional</v>
          </cell>
          <cell r="S5648">
            <v>478.35</v>
          </cell>
          <cell r="X5648" t="str">
            <v>Commissions - gross</v>
          </cell>
          <cell r="Y5648" t="str">
            <v>SLOVENIA</v>
          </cell>
        </row>
        <row r="5649">
          <cell r="L5649" t="str">
            <v>Non-proportional</v>
          </cell>
          <cell r="S5649">
            <v>83.29</v>
          </cell>
          <cell r="X5649" t="str">
            <v>Commissions - gross</v>
          </cell>
          <cell r="Y5649" t="str">
            <v>GERMANY</v>
          </cell>
        </row>
        <row r="5650">
          <cell r="L5650" t="str">
            <v>Non-proportional</v>
          </cell>
          <cell r="S5650">
            <v>1245.83</v>
          </cell>
          <cell r="X5650" t="str">
            <v>Commissions - gross</v>
          </cell>
          <cell r="Y5650" t="str">
            <v>GERMANY</v>
          </cell>
        </row>
        <row r="5651">
          <cell r="L5651" t="str">
            <v>Non-proportional</v>
          </cell>
          <cell r="S5651">
            <v>124.82</v>
          </cell>
          <cell r="X5651" t="str">
            <v>Commissions - gross</v>
          </cell>
          <cell r="Y5651" t="str">
            <v>SWITZERLAND</v>
          </cell>
        </row>
        <row r="5652">
          <cell r="L5652" t="str">
            <v>Non-proportional</v>
          </cell>
          <cell r="S5652">
            <v>975.12</v>
          </cell>
          <cell r="X5652" t="str">
            <v>Commissions - gross</v>
          </cell>
          <cell r="Y5652" t="str">
            <v>GERMANY</v>
          </cell>
        </row>
        <row r="5653">
          <cell r="L5653" t="str">
            <v>Non-proportional</v>
          </cell>
          <cell r="S5653">
            <v>975.12</v>
          </cell>
          <cell r="X5653" t="str">
            <v>Commissions - gross</v>
          </cell>
          <cell r="Y5653" t="str">
            <v>GERMANY</v>
          </cell>
        </row>
        <row r="5654">
          <cell r="L5654" t="str">
            <v>Non-proportional</v>
          </cell>
          <cell r="S5654">
            <v>1053.78</v>
          </cell>
          <cell r="X5654" t="str">
            <v>Commissions - gross</v>
          </cell>
          <cell r="Y5654" t="str">
            <v>GERMANY</v>
          </cell>
        </row>
        <row r="5655">
          <cell r="L5655" t="str">
            <v>Non-proportional</v>
          </cell>
          <cell r="S5655">
            <v>125.49</v>
          </cell>
          <cell r="X5655" t="str">
            <v>Commissions - gross</v>
          </cell>
          <cell r="Y5655" t="str">
            <v>SWITZERLAND</v>
          </cell>
        </row>
        <row r="5656">
          <cell r="L5656" t="str">
            <v>Non-proportional</v>
          </cell>
          <cell r="S5656">
            <v>1135.48</v>
          </cell>
          <cell r="X5656" t="str">
            <v>Commissions - gross</v>
          </cell>
          <cell r="Y5656" t="str">
            <v>GERMANY</v>
          </cell>
        </row>
        <row r="5657">
          <cell r="L5657" t="str">
            <v>Non-proportional</v>
          </cell>
          <cell r="S5657">
            <v>1124.77</v>
          </cell>
          <cell r="X5657" t="str">
            <v>Commissions - gross</v>
          </cell>
          <cell r="Y5657" t="str">
            <v>CZECH REPUBLIC</v>
          </cell>
        </row>
        <row r="5658">
          <cell r="L5658" t="str">
            <v>Non-proportional</v>
          </cell>
          <cell r="S5658">
            <v>1245.83</v>
          </cell>
          <cell r="X5658" t="str">
            <v>Commissions - gross</v>
          </cell>
          <cell r="Y5658" t="str">
            <v>GERMANY</v>
          </cell>
        </row>
        <row r="5659">
          <cell r="L5659" t="str">
            <v>Non-proportional</v>
          </cell>
          <cell r="S5659">
            <v>536.9</v>
          </cell>
          <cell r="X5659" t="str">
            <v>Commissions - gross</v>
          </cell>
          <cell r="Y5659" t="str">
            <v>GERMANY</v>
          </cell>
        </row>
        <row r="5660">
          <cell r="L5660" t="str">
            <v>Non-proportional</v>
          </cell>
          <cell r="S5660">
            <v>121.01</v>
          </cell>
          <cell r="X5660" t="str">
            <v>Commissions - gross</v>
          </cell>
          <cell r="Y5660" t="str">
            <v>SWITZERLAND</v>
          </cell>
        </row>
        <row r="5661">
          <cell r="L5661" t="str">
            <v>Non-proportional</v>
          </cell>
          <cell r="S5661">
            <v>234</v>
          </cell>
          <cell r="X5661" t="str">
            <v>Commissions - gross</v>
          </cell>
          <cell r="Y5661" t="str">
            <v>GERMANY</v>
          </cell>
        </row>
        <row r="5662">
          <cell r="L5662" t="str">
            <v>Non-proportional</v>
          </cell>
          <cell r="S5662">
            <v>98.6</v>
          </cell>
          <cell r="X5662" t="str">
            <v>Commissions - gross</v>
          </cell>
          <cell r="Y5662" t="str">
            <v>SWITZERLAND</v>
          </cell>
        </row>
        <row r="5663">
          <cell r="L5663" t="str">
            <v>Non-proportional</v>
          </cell>
          <cell r="S5663">
            <v>1000.12</v>
          </cell>
          <cell r="X5663" t="str">
            <v>Commissions - gross</v>
          </cell>
          <cell r="Y5663" t="str">
            <v>CZECH REPUBLIC</v>
          </cell>
        </row>
        <row r="5664">
          <cell r="L5664" t="str">
            <v>Non-proportional</v>
          </cell>
          <cell r="S5664">
            <v>-1430</v>
          </cell>
          <cell r="X5664" t="str">
            <v>Commissions - gross</v>
          </cell>
          <cell r="Y5664" t="str">
            <v>ROMANIA</v>
          </cell>
        </row>
        <row r="5665">
          <cell r="L5665" t="str">
            <v>Non-proportional</v>
          </cell>
          <cell r="S5665">
            <v>495.9</v>
          </cell>
          <cell r="X5665" t="str">
            <v>Commissions - gross</v>
          </cell>
          <cell r="Y5665" t="str">
            <v>CZECH REPUBLIC</v>
          </cell>
        </row>
        <row r="5666">
          <cell r="L5666" t="str">
            <v>Non-proportional</v>
          </cell>
          <cell r="S5666">
            <v>1725.1</v>
          </cell>
          <cell r="X5666" t="str">
            <v>Commissions - gross</v>
          </cell>
          <cell r="Y5666" t="str">
            <v>CZECH REPUBLIC</v>
          </cell>
        </row>
        <row r="5667">
          <cell r="L5667" t="str">
            <v>Non-proportional</v>
          </cell>
          <cell r="S5667">
            <v>-418.69</v>
          </cell>
          <cell r="X5667" t="str">
            <v>Commissions - gross</v>
          </cell>
          <cell r="Y5667" t="str">
            <v>ROMANIA</v>
          </cell>
        </row>
        <row r="5668">
          <cell r="L5668" t="str">
            <v>Non-proportional</v>
          </cell>
          <cell r="S5668">
            <v>-859.38</v>
          </cell>
          <cell r="X5668" t="str">
            <v>Commissions - gross</v>
          </cell>
          <cell r="Y5668" t="str">
            <v>ROMANIA</v>
          </cell>
        </row>
        <row r="5669">
          <cell r="L5669" t="str">
            <v>Non-proportional</v>
          </cell>
          <cell r="S5669">
            <v>76.19</v>
          </cell>
          <cell r="X5669" t="str">
            <v>Commissions - gross</v>
          </cell>
          <cell r="Y5669" t="str">
            <v>SWITZERLAND</v>
          </cell>
        </row>
        <row r="5670">
          <cell r="L5670" t="str">
            <v>Non-proportional</v>
          </cell>
          <cell r="S5670">
            <v>478.35</v>
          </cell>
          <cell r="X5670" t="str">
            <v>Commissions - gross</v>
          </cell>
          <cell r="Y5670" t="str">
            <v>SLOVENIA</v>
          </cell>
        </row>
        <row r="5671">
          <cell r="L5671" t="str">
            <v>Non-proportional</v>
          </cell>
          <cell r="S5671">
            <v>1294.32</v>
          </cell>
          <cell r="X5671" t="str">
            <v>Commissions - gross</v>
          </cell>
          <cell r="Y5671" t="str">
            <v>CZECH REPUBLIC</v>
          </cell>
        </row>
        <row r="5672">
          <cell r="L5672" t="str">
            <v>Non-proportional</v>
          </cell>
          <cell r="S5672">
            <v>83.29</v>
          </cell>
          <cell r="X5672" t="str">
            <v>Commissions - gross</v>
          </cell>
          <cell r="Y5672" t="str">
            <v>GERMANY</v>
          </cell>
        </row>
        <row r="5673">
          <cell r="L5673" t="str">
            <v>Non-proportional</v>
          </cell>
          <cell r="S5673">
            <v>114.33</v>
          </cell>
          <cell r="X5673" t="str">
            <v>Commissions - gross</v>
          </cell>
          <cell r="Y5673" t="str">
            <v>EUROPE</v>
          </cell>
        </row>
        <row r="5674">
          <cell r="L5674" t="str">
            <v>Non-proportional</v>
          </cell>
          <cell r="S5674">
            <v>97.98</v>
          </cell>
          <cell r="X5674" t="str">
            <v>Commissions - gross</v>
          </cell>
          <cell r="Y5674" t="str">
            <v>SWITZERLAND</v>
          </cell>
        </row>
        <row r="5675">
          <cell r="L5675" t="str">
            <v>Non-proportional</v>
          </cell>
          <cell r="S5675">
            <v>975.12</v>
          </cell>
          <cell r="X5675" t="str">
            <v>Commissions - gross</v>
          </cell>
          <cell r="Y5675" t="str">
            <v>GERMANY</v>
          </cell>
        </row>
        <row r="5676">
          <cell r="L5676" t="str">
            <v>Non-proportional</v>
          </cell>
          <cell r="S5676">
            <v>478.35</v>
          </cell>
          <cell r="X5676" t="str">
            <v>Commissions - gross</v>
          </cell>
          <cell r="Y5676" t="str">
            <v>SLOVENIA</v>
          </cell>
        </row>
        <row r="5677">
          <cell r="L5677" t="str">
            <v>Non-proportional</v>
          </cell>
          <cell r="S5677">
            <v>536.9</v>
          </cell>
          <cell r="X5677" t="str">
            <v>Commissions - gross</v>
          </cell>
          <cell r="Y5677" t="str">
            <v>GERMANY</v>
          </cell>
        </row>
        <row r="5678">
          <cell r="L5678" t="str">
            <v>Non-proportional</v>
          </cell>
          <cell r="S5678">
            <v>1725.1</v>
          </cell>
          <cell r="X5678" t="str">
            <v>Commissions - gross</v>
          </cell>
          <cell r="Y5678" t="str">
            <v>CZECH REPUBLIC</v>
          </cell>
        </row>
        <row r="5679">
          <cell r="L5679" t="str">
            <v>Non-proportional</v>
          </cell>
          <cell r="S5679">
            <v>124.7</v>
          </cell>
          <cell r="X5679" t="str">
            <v>Commissions - gross</v>
          </cell>
          <cell r="Y5679" t="str">
            <v>SWITZERLAND</v>
          </cell>
        </row>
        <row r="5680">
          <cell r="L5680" t="str">
            <v>Non-proportional</v>
          </cell>
          <cell r="S5680">
            <v>83.29</v>
          </cell>
          <cell r="X5680" t="str">
            <v>Commissions - gross</v>
          </cell>
          <cell r="Y5680" t="str">
            <v>GERMANY</v>
          </cell>
        </row>
        <row r="5681">
          <cell r="L5681" t="str">
            <v>Non-proportional</v>
          </cell>
          <cell r="S5681">
            <v>120.24</v>
          </cell>
          <cell r="X5681" t="str">
            <v>Commissions - gross</v>
          </cell>
          <cell r="Y5681" t="str">
            <v>SWITZERLAND</v>
          </cell>
        </row>
        <row r="5682">
          <cell r="L5682" t="str">
            <v>Non-proportional</v>
          </cell>
          <cell r="S5682">
            <v>78.13</v>
          </cell>
          <cell r="X5682" t="str">
            <v>Commissions - gross</v>
          </cell>
          <cell r="Y5682" t="str">
            <v>ROMANIA</v>
          </cell>
        </row>
        <row r="5683">
          <cell r="L5683" t="str">
            <v>Non-proportional</v>
          </cell>
          <cell r="S5683">
            <v>38.06</v>
          </cell>
          <cell r="X5683" t="str">
            <v>Commissions - gross</v>
          </cell>
          <cell r="Y5683" t="str">
            <v>ROMANIA</v>
          </cell>
        </row>
        <row r="5684">
          <cell r="L5684" t="str">
            <v>Non-proportional</v>
          </cell>
          <cell r="S5684">
            <v>130</v>
          </cell>
          <cell r="X5684" t="str">
            <v>Commissions - gross</v>
          </cell>
          <cell r="Y5684" t="str">
            <v>ROMANIA</v>
          </cell>
        </row>
        <row r="5685">
          <cell r="L5685" t="str">
            <v>Non-proportional</v>
          </cell>
          <cell r="S5685">
            <v>1053.78</v>
          </cell>
          <cell r="X5685" t="str">
            <v>Commissions - gross</v>
          </cell>
          <cell r="Y5685" t="str">
            <v>GERMANY</v>
          </cell>
        </row>
        <row r="5686">
          <cell r="L5686" t="str">
            <v>Non-proportional</v>
          </cell>
          <cell r="S5686">
            <v>75.7</v>
          </cell>
          <cell r="X5686" t="str">
            <v>Commissions - gross</v>
          </cell>
          <cell r="Y5686" t="str">
            <v>SWITZERLAND</v>
          </cell>
        </row>
        <row r="5687">
          <cell r="L5687" t="str">
            <v>Non-proportional</v>
          </cell>
          <cell r="S5687">
            <v>1124.77</v>
          </cell>
          <cell r="X5687" t="str">
            <v>Commissions - gross</v>
          </cell>
          <cell r="Y5687" t="str">
            <v>CZECH REPUBLIC</v>
          </cell>
        </row>
        <row r="5688">
          <cell r="L5688" t="str">
            <v>Non-proportional</v>
          </cell>
          <cell r="S5688">
            <v>1245.83</v>
          </cell>
          <cell r="X5688" t="str">
            <v>Commissions - gross</v>
          </cell>
          <cell r="Y5688" t="str">
            <v>GERMANY</v>
          </cell>
        </row>
        <row r="5689">
          <cell r="L5689" t="str">
            <v>Non-proportional</v>
          </cell>
          <cell r="S5689">
            <v>495.9</v>
          </cell>
          <cell r="X5689" t="str">
            <v>Commissions - gross</v>
          </cell>
          <cell r="Y5689" t="str">
            <v>CZECH REPUBLIC</v>
          </cell>
        </row>
        <row r="5690">
          <cell r="L5690" t="str">
            <v>Non-proportional</v>
          </cell>
          <cell r="S5690">
            <v>1135.48</v>
          </cell>
          <cell r="X5690" t="str">
            <v>Commissions - gross</v>
          </cell>
          <cell r="Y5690" t="str">
            <v>GERMANY</v>
          </cell>
        </row>
        <row r="5691">
          <cell r="L5691" t="str">
            <v>Non-proportional</v>
          </cell>
          <cell r="S5691">
            <v>1294.32</v>
          </cell>
          <cell r="X5691" t="str">
            <v>Commissions - gross</v>
          </cell>
          <cell r="Y5691" t="str">
            <v>CZECH REPUBLIC</v>
          </cell>
        </row>
        <row r="5692">
          <cell r="L5692" t="str">
            <v>Non-proportional</v>
          </cell>
          <cell r="S5692">
            <v>1000.12</v>
          </cell>
          <cell r="X5692" t="str">
            <v>Commissions - gross</v>
          </cell>
          <cell r="Y5692" t="str">
            <v>CZECH REPUBLIC</v>
          </cell>
        </row>
        <row r="5693">
          <cell r="L5693" t="str">
            <v>Non-proportional</v>
          </cell>
          <cell r="S5693">
            <v>114.33</v>
          </cell>
          <cell r="X5693" t="str">
            <v>Commissions - gross</v>
          </cell>
          <cell r="Y5693" t="str">
            <v>EUROPE</v>
          </cell>
        </row>
        <row r="5694">
          <cell r="L5694" t="str">
            <v>Non-proportional</v>
          </cell>
          <cell r="S5694">
            <v>234</v>
          </cell>
          <cell r="X5694" t="str">
            <v>Commissions - gross</v>
          </cell>
          <cell r="Y5694" t="str">
            <v>GERMANY</v>
          </cell>
        </row>
        <row r="5695">
          <cell r="L5695" t="str">
            <v>Non-proportional</v>
          </cell>
          <cell r="S5695">
            <v>1725.1</v>
          </cell>
          <cell r="X5695" t="str">
            <v>Commissions - gross</v>
          </cell>
          <cell r="Y5695" t="str">
            <v>CZECH REPUBLIC</v>
          </cell>
        </row>
        <row r="5696">
          <cell r="L5696" t="str">
            <v>Non-proportional</v>
          </cell>
          <cell r="S5696">
            <v>1124.77</v>
          </cell>
          <cell r="X5696" t="str">
            <v>Commissions - gross</v>
          </cell>
          <cell r="Y5696" t="str">
            <v>CZECH REPUBLIC</v>
          </cell>
        </row>
        <row r="5697">
          <cell r="L5697" t="str">
            <v>Non-proportional</v>
          </cell>
          <cell r="S5697">
            <v>75.64</v>
          </cell>
          <cell r="X5697" t="str">
            <v>Commissions - gross</v>
          </cell>
          <cell r="Y5697" t="str">
            <v>SWITZERLAND</v>
          </cell>
        </row>
        <row r="5698">
          <cell r="L5698" t="str">
            <v>Non-proportional</v>
          </cell>
          <cell r="S5698">
            <v>495.9</v>
          </cell>
          <cell r="X5698" t="str">
            <v>Commissions - gross</v>
          </cell>
          <cell r="Y5698" t="str">
            <v>CZECH REPUBLIC</v>
          </cell>
        </row>
        <row r="5699">
          <cell r="L5699" t="str">
            <v>Non-proportional</v>
          </cell>
          <cell r="S5699">
            <v>1000.12</v>
          </cell>
          <cell r="X5699" t="str">
            <v>Commissions - gross</v>
          </cell>
          <cell r="Y5699" t="str">
            <v>CZECH REPUBLIC</v>
          </cell>
        </row>
        <row r="5700">
          <cell r="L5700" t="str">
            <v>Non-proportional</v>
          </cell>
          <cell r="S5700">
            <v>130</v>
          </cell>
          <cell r="X5700" t="str">
            <v>Commissions - gross</v>
          </cell>
          <cell r="Y5700" t="str">
            <v>ROMANIA</v>
          </cell>
        </row>
        <row r="5701">
          <cell r="L5701" t="str">
            <v>Non-proportional</v>
          </cell>
          <cell r="S5701">
            <v>38.06</v>
          </cell>
          <cell r="X5701" t="str">
            <v>Commissions - gross</v>
          </cell>
          <cell r="Y5701" t="str">
            <v>ROMANIA</v>
          </cell>
        </row>
        <row r="5702">
          <cell r="L5702" t="str">
            <v>Non-proportional</v>
          </cell>
          <cell r="S5702">
            <v>83.29</v>
          </cell>
          <cell r="X5702" t="str">
            <v>Commissions - gross</v>
          </cell>
          <cell r="Y5702" t="str">
            <v>GERMANY</v>
          </cell>
        </row>
        <row r="5703">
          <cell r="L5703" t="str">
            <v>Non-proportional</v>
          </cell>
          <cell r="S5703">
            <v>1053.78</v>
          </cell>
          <cell r="X5703" t="str">
            <v>Commissions - gross</v>
          </cell>
          <cell r="Y5703" t="str">
            <v>GERMANY</v>
          </cell>
        </row>
        <row r="5704">
          <cell r="L5704" t="str">
            <v>Non-proportional</v>
          </cell>
          <cell r="S5704">
            <v>97.9</v>
          </cell>
          <cell r="X5704" t="str">
            <v>Commissions - gross</v>
          </cell>
          <cell r="Y5704" t="str">
            <v>SWITZERLAND</v>
          </cell>
        </row>
        <row r="5705">
          <cell r="L5705" t="str">
            <v>Non-proportional</v>
          </cell>
          <cell r="S5705">
            <v>114.33</v>
          </cell>
          <cell r="X5705" t="str">
            <v>Commissions - gross</v>
          </cell>
          <cell r="Y5705" t="str">
            <v>EUROPE</v>
          </cell>
        </row>
        <row r="5706">
          <cell r="L5706" t="str">
            <v>Non-proportional</v>
          </cell>
          <cell r="S5706">
            <v>1245.83</v>
          </cell>
          <cell r="X5706" t="str">
            <v>Commissions - gross</v>
          </cell>
          <cell r="Y5706" t="str">
            <v>GERMANY</v>
          </cell>
        </row>
        <row r="5707">
          <cell r="L5707" t="str">
            <v>Non-proportional</v>
          </cell>
          <cell r="S5707">
            <v>120.14</v>
          </cell>
          <cell r="X5707" t="str">
            <v>Commissions - gross</v>
          </cell>
          <cell r="Y5707" t="str">
            <v>SWITZERLAND</v>
          </cell>
        </row>
        <row r="5708">
          <cell r="L5708" t="str">
            <v>Non-proportional</v>
          </cell>
          <cell r="S5708">
            <v>78.13</v>
          </cell>
          <cell r="X5708" t="str">
            <v>Commissions - gross</v>
          </cell>
          <cell r="Y5708" t="str">
            <v>ROMANIA</v>
          </cell>
        </row>
        <row r="5709">
          <cell r="L5709" t="str">
            <v>Non-proportional</v>
          </cell>
          <cell r="S5709">
            <v>478.35</v>
          </cell>
          <cell r="X5709" t="str">
            <v>Commissions - gross</v>
          </cell>
          <cell r="Y5709" t="str">
            <v>SLOVENIA</v>
          </cell>
        </row>
        <row r="5710">
          <cell r="L5710" t="str">
            <v>Non-proportional</v>
          </cell>
          <cell r="S5710">
            <v>1294.32</v>
          </cell>
          <cell r="X5710" t="str">
            <v>Commissions - gross</v>
          </cell>
          <cell r="Y5710" t="str">
            <v>CZECH REPUBLIC</v>
          </cell>
        </row>
        <row r="5711">
          <cell r="L5711" t="str">
            <v>Non-proportional</v>
          </cell>
          <cell r="S5711">
            <v>536.9</v>
          </cell>
          <cell r="X5711" t="str">
            <v>Commissions - gross</v>
          </cell>
          <cell r="Y5711" t="str">
            <v>GERMANY</v>
          </cell>
        </row>
        <row r="5712">
          <cell r="L5712" t="str">
            <v>Non-proportional</v>
          </cell>
          <cell r="S5712">
            <v>234</v>
          </cell>
          <cell r="X5712" t="str">
            <v>Commissions - gross</v>
          </cell>
          <cell r="Y5712" t="str">
            <v>GERMANY</v>
          </cell>
        </row>
        <row r="5713">
          <cell r="L5713" t="str">
            <v>Non-proportional</v>
          </cell>
          <cell r="S5713">
            <v>124.59</v>
          </cell>
          <cell r="X5713" t="str">
            <v>Commissions - gross</v>
          </cell>
          <cell r="Y5713" t="str">
            <v>SWITZERLAND</v>
          </cell>
        </row>
        <row r="5714">
          <cell r="L5714" t="str">
            <v>Non-proportional</v>
          </cell>
          <cell r="S5714">
            <v>975.12</v>
          </cell>
          <cell r="X5714" t="str">
            <v>Commissions - gross</v>
          </cell>
          <cell r="Y5714" t="str">
            <v>GERMANY</v>
          </cell>
        </row>
        <row r="5715">
          <cell r="L5715" t="str">
            <v>Non-proportional</v>
          </cell>
          <cell r="S5715">
            <v>1135.48</v>
          </cell>
          <cell r="X5715" t="str">
            <v>Commissions - gross</v>
          </cell>
          <cell r="Y5715" t="str">
            <v>GERMANY</v>
          </cell>
        </row>
        <row r="5716">
          <cell r="L5716" t="str">
            <v>Non-proportional</v>
          </cell>
          <cell r="S5716">
            <v>1135.48</v>
          </cell>
          <cell r="X5716" t="str">
            <v>Commissions - gross</v>
          </cell>
          <cell r="Y5716" t="str">
            <v>GERMANY</v>
          </cell>
        </row>
        <row r="5717">
          <cell r="L5717" t="str">
            <v>Non-proportional</v>
          </cell>
          <cell r="S5717">
            <v>121.14</v>
          </cell>
          <cell r="X5717" t="str">
            <v>Commissions - gross</v>
          </cell>
          <cell r="Y5717" t="str">
            <v>SWITZERLAND</v>
          </cell>
        </row>
        <row r="5718">
          <cell r="L5718" t="str">
            <v>Non-proportional</v>
          </cell>
          <cell r="S5718">
            <v>1053.78</v>
          </cell>
          <cell r="X5718" t="str">
            <v>Commissions - gross</v>
          </cell>
          <cell r="Y5718" t="str">
            <v>GERMANY</v>
          </cell>
        </row>
        <row r="5719">
          <cell r="L5719" t="str">
            <v>Non-proportional</v>
          </cell>
          <cell r="S5719">
            <v>1294.32</v>
          </cell>
          <cell r="X5719" t="str">
            <v>Commissions - gross</v>
          </cell>
          <cell r="Y5719" t="str">
            <v>CZECH REPUBLIC</v>
          </cell>
        </row>
        <row r="5720">
          <cell r="L5720" t="str">
            <v>Non-proportional</v>
          </cell>
          <cell r="S5720">
            <v>234</v>
          </cell>
          <cell r="X5720" t="str">
            <v>Commissions - gross</v>
          </cell>
          <cell r="Y5720" t="str">
            <v>GERMANY</v>
          </cell>
        </row>
        <row r="5721">
          <cell r="L5721" t="str">
            <v>Non-proportional</v>
          </cell>
          <cell r="S5721">
            <v>76.27</v>
          </cell>
          <cell r="X5721" t="str">
            <v>Commissions - gross</v>
          </cell>
          <cell r="Y5721" t="str">
            <v>SWITZERLAND</v>
          </cell>
        </row>
        <row r="5722">
          <cell r="L5722" t="str">
            <v>Non-proportional</v>
          </cell>
          <cell r="S5722">
            <v>130</v>
          </cell>
          <cell r="X5722" t="str">
            <v>Commissions - gross</v>
          </cell>
          <cell r="Y5722" t="str">
            <v>ROMANIA</v>
          </cell>
        </row>
        <row r="5723">
          <cell r="L5723" t="str">
            <v>Non-proportional</v>
          </cell>
          <cell r="S5723">
            <v>1725.1</v>
          </cell>
          <cell r="X5723" t="str">
            <v>Commissions - gross</v>
          </cell>
          <cell r="Y5723" t="str">
            <v>CZECH REPUBLIC</v>
          </cell>
        </row>
        <row r="5724">
          <cell r="L5724" t="str">
            <v>Non-proportional</v>
          </cell>
          <cell r="S5724">
            <v>125.63</v>
          </cell>
          <cell r="X5724" t="str">
            <v>Commissions - gross</v>
          </cell>
          <cell r="Y5724" t="str">
            <v>SWITZERLAND</v>
          </cell>
        </row>
        <row r="5725">
          <cell r="L5725" t="str">
            <v>Non-proportional</v>
          </cell>
          <cell r="S5725">
            <v>83.29</v>
          </cell>
          <cell r="X5725" t="str">
            <v>Commissions - gross</v>
          </cell>
          <cell r="Y5725" t="str">
            <v>GERMANY</v>
          </cell>
        </row>
        <row r="5726">
          <cell r="L5726" t="str">
            <v>Non-proportional</v>
          </cell>
          <cell r="S5726">
            <v>975.12</v>
          </cell>
          <cell r="X5726" t="str">
            <v>Commissions - gross</v>
          </cell>
          <cell r="Y5726" t="str">
            <v>GERMANY</v>
          </cell>
        </row>
        <row r="5727">
          <cell r="L5727" t="str">
            <v>Non-proportional</v>
          </cell>
          <cell r="S5727">
            <v>495.9</v>
          </cell>
          <cell r="X5727" t="str">
            <v>Commissions - gross</v>
          </cell>
          <cell r="Y5727" t="str">
            <v>CZECH REPUBLIC</v>
          </cell>
        </row>
        <row r="5728">
          <cell r="L5728" t="str">
            <v>Non-proportional</v>
          </cell>
          <cell r="S5728">
            <v>78.13</v>
          </cell>
          <cell r="X5728" t="str">
            <v>Commissions - gross</v>
          </cell>
          <cell r="Y5728" t="str">
            <v>ROMANIA</v>
          </cell>
        </row>
        <row r="5729">
          <cell r="L5729" t="str">
            <v>Non-proportional</v>
          </cell>
          <cell r="S5729">
            <v>38.06</v>
          </cell>
          <cell r="X5729" t="str">
            <v>Commissions - gross</v>
          </cell>
          <cell r="Y5729" t="str">
            <v>ROMANIA</v>
          </cell>
        </row>
        <row r="5730">
          <cell r="L5730" t="str">
            <v>Non-proportional</v>
          </cell>
          <cell r="S5730">
            <v>1000.12</v>
          </cell>
          <cell r="X5730" t="str">
            <v>Commissions - gross</v>
          </cell>
          <cell r="Y5730" t="str">
            <v>CZECH REPUBLIC</v>
          </cell>
        </row>
        <row r="5731">
          <cell r="L5731" t="str">
            <v>Non-proportional</v>
          </cell>
          <cell r="S5731">
            <v>114.33</v>
          </cell>
          <cell r="X5731" t="str">
            <v>Commissions - gross</v>
          </cell>
          <cell r="Y5731" t="str">
            <v>EUROPE</v>
          </cell>
        </row>
        <row r="5732">
          <cell r="L5732" t="str">
            <v>Non-proportional</v>
          </cell>
          <cell r="S5732">
            <v>478.35</v>
          </cell>
          <cell r="X5732" t="str">
            <v>Commissions - gross</v>
          </cell>
          <cell r="Y5732" t="str">
            <v>SLOVENIA</v>
          </cell>
        </row>
        <row r="5733">
          <cell r="L5733" t="str">
            <v>Non-proportional</v>
          </cell>
          <cell r="S5733">
            <v>536.9</v>
          </cell>
          <cell r="X5733" t="str">
            <v>Commissions - gross</v>
          </cell>
          <cell r="Y5733" t="str">
            <v>GERMANY</v>
          </cell>
        </row>
        <row r="5734">
          <cell r="L5734" t="str">
            <v>Non-proportional</v>
          </cell>
          <cell r="S5734">
            <v>98.71</v>
          </cell>
          <cell r="X5734" t="str">
            <v>Commissions - gross</v>
          </cell>
          <cell r="Y5734" t="str">
            <v>SWITZERLAND</v>
          </cell>
        </row>
        <row r="5735">
          <cell r="L5735" t="str">
            <v>Non-proportional</v>
          </cell>
          <cell r="S5735">
            <v>1124.77</v>
          </cell>
          <cell r="X5735" t="str">
            <v>Commissions - gross</v>
          </cell>
          <cell r="Y5735" t="str">
            <v>CZECH REPUBLIC</v>
          </cell>
        </row>
        <row r="5736">
          <cell r="L5736" t="str">
            <v>Non-proportional</v>
          </cell>
          <cell r="S5736">
            <v>1245.83</v>
          </cell>
          <cell r="X5736" t="str">
            <v>Commissions - gross</v>
          </cell>
          <cell r="Y5736" t="str">
            <v>GERMANY</v>
          </cell>
        </row>
        <row r="5737">
          <cell r="L5737" t="str">
            <v>Non-proportional</v>
          </cell>
          <cell r="S5737">
            <v>1124.77</v>
          </cell>
          <cell r="X5737" t="str">
            <v>Commissions - gross</v>
          </cell>
          <cell r="Y5737" t="str">
            <v>CZECH REPUBLIC</v>
          </cell>
        </row>
        <row r="5738">
          <cell r="L5738" t="str">
            <v>Non-proportional</v>
          </cell>
          <cell r="S5738">
            <v>536.9</v>
          </cell>
          <cell r="X5738" t="str">
            <v>Commissions - gross</v>
          </cell>
          <cell r="Y5738" t="str">
            <v>GERMANY</v>
          </cell>
        </row>
        <row r="5739">
          <cell r="L5739" t="str">
            <v>Non-proportional</v>
          </cell>
          <cell r="S5739">
            <v>478.35</v>
          </cell>
          <cell r="X5739" t="str">
            <v>Commissions - gross</v>
          </cell>
          <cell r="Y5739" t="str">
            <v>SLOVENIA</v>
          </cell>
        </row>
        <row r="5740">
          <cell r="L5740" t="str">
            <v>Non-proportional</v>
          </cell>
          <cell r="S5740">
            <v>1725.1</v>
          </cell>
          <cell r="X5740" t="str">
            <v>Commissions - gross</v>
          </cell>
          <cell r="Y5740" t="str">
            <v>CZECH REPUBLIC</v>
          </cell>
        </row>
        <row r="5741">
          <cell r="L5741" t="str">
            <v>Non-proportional</v>
          </cell>
          <cell r="S5741">
            <v>1000.12</v>
          </cell>
          <cell r="X5741" t="str">
            <v>Commissions - gross</v>
          </cell>
          <cell r="Y5741" t="str">
            <v>CZECH REPUBLIC</v>
          </cell>
        </row>
        <row r="5742">
          <cell r="L5742" t="str">
            <v>Non-proportional</v>
          </cell>
          <cell r="S5742">
            <v>495.9</v>
          </cell>
          <cell r="X5742" t="str">
            <v>Commissions - gross</v>
          </cell>
          <cell r="Y5742" t="str">
            <v>CZECH REPUBLIC</v>
          </cell>
        </row>
        <row r="5743">
          <cell r="L5743" t="str">
            <v>Non-proportional</v>
          </cell>
          <cell r="S5743">
            <v>125.21</v>
          </cell>
          <cell r="X5743" t="str">
            <v>Commissions - gross</v>
          </cell>
          <cell r="Y5743" t="str">
            <v>SWITZERLAND</v>
          </cell>
        </row>
        <row r="5744">
          <cell r="L5744" t="str">
            <v>Non-proportional</v>
          </cell>
          <cell r="S5744">
            <v>1053.78</v>
          </cell>
          <cell r="X5744" t="str">
            <v>Commissions - gross</v>
          </cell>
          <cell r="Y5744" t="str">
            <v>GERMANY</v>
          </cell>
        </row>
        <row r="5745">
          <cell r="L5745" t="str">
            <v>Non-proportional</v>
          </cell>
          <cell r="S5745">
            <v>1245.83</v>
          </cell>
          <cell r="X5745" t="str">
            <v>Commissions - gross</v>
          </cell>
          <cell r="Y5745" t="str">
            <v>GERMANY</v>
          </cell>
        </row>
        <row r="5746">
          <cell r="L5746" t="str">
            <v>Non-proportional</v>
          </cell>
          <cell r="S5746">
            <v>130</v>
          </cell>
          <cell r="X5746" t="str">
            <v>Commissions - gross</v>
          </cell>
          <cell r="Y5746" t="str">
            <v>ROMANIA</v>
          </cell>
        </row>
        <row r="5747">
          <cell r="L5747" t="str">
            <v>Non-proportional</v>
          </cell>
          <cell r="S5747">
            <v>120.73</v>
          </cell>
          <cell r="X5747" t="str">
            <v>Commissions - gross</v>
          </cell>
          <cell r="Y5747" t="str">
            <v>SWITZERLAND</v>
          </cell>
        </row>
        <row r="5748">
          <cell r="L5748" t="str">
            <v>Non-proportional</v>
          </cell>
          <cell r="S5748">
            <v>38.06</v>
          </cell>
          <cell r="X5748" t="str">
            <v>Commissions - gross</v>
          </cell>
          <cell r="Y5748" t="str">
            <v>ROMANIA</v>
          </cell>
        </row>
        <row r="5749">
          <cell r="L5749" t="str">
            <v>Non-proportional</v>
          </cell>
          <cell r="S5749">
            <v>1294.32</v>
          </cell>
          <cell r="X5749" t="str">
            <v>Commissions - gross</v>
          </cell>
          <cell r="Y5749" t="str">
            <v>CZECH REPUBLIC</v>
          </cell>
        </row>
        <row r="5750">
          <cell r="L5750" t="str">
            <v>Non-proportional</v>
          </cell>
          <cell r="S5750">
            <v>114.33</v>
          </cell>
          <cell r="X5750" t="str">
            <v>Commissions - gross</v>
          </cell>
          <cell r="Y5750" t="str">
            <v>EUROPE</v>
          </cell>
        </row>
        <row r="5751">
          <cell r="L5751" t="str">
            <v>Non-proportional</v>
          </cell>
          <cell r="S5751">
            <v>234</v>
          </cell>
          <cell r="X5751" t="str">
            <v>Commissions - gross</v>
          </cell>
          <cell r="Y5751" t="str">
            <v>GERMANY</v>
          </cell>
        </row>
        <row r="5752">
          <cell r="L5752" t="str">
            <v>Non-proportional</v>
          </cell>
          <cell r="S5752">
            <v>975.12</v>
          </cell>
          <cell r="X5752" t="str">
            <v>Commissions - gross</v>
          </cell>
          <cell r="Y5752" t="str">
            <v>GERMANY</v>
          </cell>
        </row>
        <row r="5753">
          <cell r="L5753" t="str">
            <v>Non-proportional</v>
          </cell>
          <cell r="S5753">
            <v>78.13</v>
          </cell>
          <cell r="X5753" t="str">
            <v>Commissions - gross</v>
          </cell>
          <cell r="Y5753" t="str">
            <v>ROMANIA</v>
          </cell>
        </row>
        <row r="5754">
          <cell r="L5754" t="str">
            <v>Non-proportional</v>
          </cell>
          <cell r="S5754">
            <v>98.38</v>
          </cell>
          <cell r="X5754" t="str">
            <v>Commissions - gross</v>
          </cell>
          <cell r="Y5754" t="str">
            <v>SWITZERLAND</v>
          </cell>
        </row>
        <row r="5755">
          <cell r="L5755" t="str">
            <v>Non-proportional</v>
          </cell>
          <cell r="S5755">
            <v>83.29</v>
          </cell>
          <cell r="X5755" t="str">
            <v>Commissions - gross</v>
          </cell>
          <cell r="Y5755" t="str">
            <v>GERMANY</v>
          </cell>
        </row>
        <row r="5756">
          <cell r="L5756" t="str">
            <v>Non-proportional</v>
          </cell>
          <cell r="S5756">
            <v>1135.48</v>
          </cell>
          <cell r="X5756" t="str">
            <v>Commissions - gross</v>
          </cell>
          <cell r="Y5756" t="str">
            <v>GERMANY</v>
          </cell>
        </row>
        <row r="5757">
          <cell r="L5757" t="str">
            <v>Non-proportional</v>
          </cell>
          <cell r="S5757">
            <v>76.010000000000005</v>
          </cell>
          <cell r="X5757" t="str">
            <v>Commissions - gross</v>
          </cell>
          <cell r="Y5757" t="str">
            <v>SWITZERLAND</v>
          </cell>
        </row>
        <row r="5758">
          <cell r="L5758" t="str">
            <v>Non-proportional</v>
          </cell>
          <cell r="S5758">
            <v>114.33</v>
          </cell>
          <cell r="X5758" t="str">
            <v>Commissions - gross</v>
          </cell>
          <cell r="Y5758" t="str">
            <v>EUROPE</v>
          </cell>
        </row>
        <row r="5759">
          <cell r="L5759" t="str">
            <v>Non-proportional</v>
          </cell>
          <cell r="S5759">
            <v>1294.32</v>
          </cell>
          <cell r="X5759" t="str">
            <v>Commissions - gross</v>
          </cell>
          <cell r="Y5759" t="str">
            <v>CZECH REPUBLIC</v>
          </cell>
        </row>
        <row r="5760">
          <cell r="L5760" t="str">
            <v>Non-proportional</v>
          </cell>
          <cell r="S5760">
            <v>234</v>
          </cell>
          <cell r="X5760" t="str">
            <v>Commissions - gross</v>
          </cell>
          <cell r="Y5760" t="str">
            <v>GERMANY</v>
          </cell>
        </row>
        <row r="5761">
          <cell r="L5761" t="str">
            <v>Non-proportional</v>
          </cell>
          <cell r="S5761">
            <v>125.26</v>
          </cell>
          <cell r="X5761" t="str">
            <v>Commissions - gross</v>
          </cell>
          <cell r="Y5761" t="str">
            <v>SWITZERLAND</v>
          </cell>
        </row>
        <row r="5762">
          <cell r="L5762" t="str">
            <v>Non-proportional</v>
          </cell>
          <cell r="S5762">
            <v>1053.78</v>
          </cell>
          <cell r="X5762" t="str">
            <v>Commissions - gross</v>
          </cell>
          <cell r="Y5762" t="str">
            <v>GERMANY</v>
          </cell>
        </row>
        <row r="5763">
          <cell r="L5763" t="str">
            <v>Non-proportional</v>
          </cell>
          <cell r="S5763">
            <v>1135.48</v>
          </cell>
          <cell r="X5763" t="str">
            <v>Commissions - gross</v>
          </cell>
          <cell r="Y5763" t="str">
            <v>GERMANY</v>
          </cell>
        </row>
        <row r="5764">
          <cell r="L5764" t="str">
            <v>Non-proportional</v>
          </cell>
          <cell r="S5764">
            <v>975.12</v>
          </cell>
          <cell r="X5764" t="str">
            <v>Commissions - gross</v>
          </cell>
          <cell r="Y5764" t="str">
            <v>GERMANY</v>
          </cell>
        </row>
        <row r="5765">
          <cell r="L5765" t="str">
            <v>Non-proportional</v>
          </cell>
          <cell r="S5765">
            <v>495.9</v>
          </cell>
          <cell r="X5765" t="str">
            <v>Commissions - gross</v>
          </cell>
          <cell r="Y5765" t="str">
            <v>CZECH REPUBLIC</v>
          </cell>
        </row>
        <row r="5766">
          <cell r="L5766" t="str">
            <v>Non-proportional</v>
          </cell>
          <cell r="S5766">
            <v>120.79</v>
          </cell>
          <cell r="X5766" t="str">
            <v>Commissions - gross</v>
          </cell>
          <cell r="Y5766" t="str">
            <v>SWITZERLAND</v>
          </cell>
        </row>
        <row r="5767">
          <cell r="L5767" t="str">
            <v>Non-proportional</v>
          </cell>
          <cell r="S5767">
            <v>38.06</v>
          </cell>
          <cell r="X5767" t="str">
            <v>Commissions - gross</v>
          </cell>
          <cell r="Y5767" t="str">
            <v>ROMANIA</v>
          </cell>
        </row>
        <row r="5768">
          <cell r="L5768" t="str">
            <v>Non-proportional</v>
          </cell>
          <cell r="S5768">
            <v>1124.77</v>
          </cell>
          <cell r="X5768" t="str">
            <v>Commissions - gross</v>
          </cell>
          <cell r="Y5768" t="str">
            <v>CZECH REPUBLIC</v>
          </cell>
        </row>
        <row r="5769">
          <cell r="L5769" t="str">
            <v>Non-proportional</v>
          </cell>
          <cell r="S5769">
            <v>130</v>
          </cell>
          <cell r="X5769" t="str">
            <v>Commissions - gross</v>
          </cell>
          <cell r="Y5769" t="str">
            <v>ROMANIA</v>
          </cell>
        </row>
        <row r="5770">
          <cell r="L5770" t="str">
            <v>Non-proportional</v>
          </cell>
          <cell r="S5770">
            <v>78.13</v>
          </cell>
          <cell r="X5770" t="str">
            <v>Commissions - gross</v>
          </cell>
          <cell r="Y5770" t="str">
            <v>ROMANIA</v>
          </cell>
        </row>
        <row r="5771">
          <cell r="L5771" t="str">
            <v>Non-proportional</v>
          </cell>
          <cell r="S5771">
            <v>1245.83</v>
          </cell>
          <cell r="X5771" t="str">
            <v>Commissions - gross</v>
          </cell>
          <cell r="Y5771" t="str">
            <v>GERMANY</v>
          </cell>
        </row>
        <row r="5772">
          <cell r="L5772" t="str">
            <v>Non-proportional</v>
          </cell>
          <cell r="S5772">
            <v>98.42</v>
          </cell>
          <cell r="X5772" t="str">
            <v>Commissions - gross</v>
          </cell>
          <cell r="Y5772" t="str">
            <v>SWITZERLAND</v>
          </cell>
        </row>
        <row r="5773">
          <cell r="L5773" t="str">
            <v>Non-proportional</v>
          </cell>
          <cell r="S5773">
            <v>1725.1</v>
          </cell>
          <cell r="X5773" t="str">
            <v>Commissions - gross</v>
          </cell>
          <cell r="Y5773" t="str">
            <v>CZECH REPUBLIC</v>
          </cell>
        </row>
        <row r="5774">
          <cell r="L5774" t="str">
            <v>Non-proportional</v>
          </cell>
          <cell r="S5774">
            <v>478.35</v>
          </cell>
          <cell r="X5774" t="str">
            <v>Commissions - gross</v>
          </cell>
          <cell r="Y5774" t="str">
            <v>SLOVENIA</v>
          </cell>
        </row>
        <row r="5775">
          <cell r="L5775" t="str">
            <v>Non-proportional</v>
          </cell>
          <cell r="S5775">
            <v>83.29</v>
          </cell>
          <cell r="X5775" t="str">
            <v>Commissions - gross</v>
          </cell>
          <cell r="Y5775" t="str">
            <v>GERMANY</v>
          </cell>
        </row>
        <row r="5776">
          <cell r="L5776" t="str">
            <v>Non-proportional</v>
          </cell>
          <cell r="S5776">
            <v>1000.12</v>
          </cell>
          <cell r="X5776" t="str">
            <v>Commissions - gross</v>
          </cell>
          <cell r="Y5776" t="str">
            <v>CZECH REPUBLIC</v>
          </cell>
        </row>
        <row r="5777">
          <cell r="L5777" t="str">
            <v>Non-proportional</v>
          </cell>
          <cell r="S5777">
            <v>536.9</v>
          </cell>
          <cell r="X5777" t="str">
            <v>Commissions - gross</v>
          </cell>
          <cell r="Y5777" t="str">
            <v>GERMANY</v>
          </cell>
        </row>
        <row r="5778">
          <cell r="L5778" t="str">
            <v>Non-proportional</v>
          </cell>
          <cell r="S5778">
            <v>76.05</v>
          </cell>
          <cell r="X5778" t="str">
            <v>Commissions - gross</v>
          </cell>
          <cell r="Y5778" t="str">
            <v>SWITZERLAND</v>
          </cell>
        </row>
        <row r="5779">
          <cell r="L5779" t="str">
            <v>Proportional</v>
          </cell>
          <cell r="S5779">
            <v>-31422.05</v>
          </cell>
          <cell r="X5779" t="str">
            <v>Commissions - gross</v>
          </cell>
          <cell r="Y5779" t="str">
            <v>AUSTRIA</v>
          </cell>
        </row>
        <row r="5780">
          <cell r="L5780" t="str">
            <v>Proportional</v>
          </cell>
          <cell r="S5780">
            <v>31422.05</v>
          </cell>
          <cell r="X5780" t="str">
            <v>Commissions - gross</v>
          </cell>
          <cell r="Y5780" t="str">
            <v>AUSTRIA</v>
          </cell>
        </row>
        <row r="5781">
          <cell r="L5781" t="str">
            <v>Proportional</v>
          </cell>
          <cell r="S5781">
            <v>30933.74</v>
          </cell>
          <cell r="X5781" t="str">
            <v>Commissions - gross</v>
          </cell>
          <cell r="Y5781" t="str">
            <v>AUSTRIA</v>
          </cell>
        </row>
        <row r="5782">
          <cell r="L5782" t="str">
            <v>Proportional</v>
          </cell>
          <cell r="S5782">
            <v>-16492.27</v>
          </cell>
          <cell r="X5782" t="str">
            <v>Commissions - gross</v>
          </cell>
          <cell r="Y5782" t="str">
            <v>AUSTRIA</v>
          </cell>
        </row>
        <row r="5783">
          <cell r="L5783" t="str">
            <v>Proportional</v>
          </cell>
          <cell r="S5783">
            <v>16492.27</v>
          </cell>
          <cell r="X5783" t="str">
            <v>Commissions - gross</v>
          </cell>
          <cell r="Y5783" t="str">
            <v>AUSTRIA</v>
          </cell>
        </row>
        <row r="5784">
          <cell r="L5784" t="str">
            <v>Proportional</v>
          </cell>
          <cell r="S5784">
            <v>-15466.87</v>
          </cell>
          <cell r="X5784" t="str">
            <v>Commissions - gross</v>
          </cell>
          <cell r="Y5784" t="str">
            <v>AUSTRIA</v>
          </cell>
        </row>
        <row r="5785">
          <cell r="L5785" t="str">
            <v>Proportional</v>
          </cell>
          <cell r="S5785">
            <v>15466.87</v>
          </cell>
          <cell r="X5785" t="str">
            <v>Commissions - gross</v>
          </cell>
          <cell r="Y5785" t="str">
            <v>AUSTRIA</v>
          </cell>
        </row>
        <row r="5786">
          <cell r="L5786" t="str">
            <v>Proportional</v>
          </cell>
          <cell r="S5786">
            <v>-1025920.79</v>
          </cell>
          <cell r="X5786" t="str">
            <v>Claims - gross</v>
          </cell>
          <cell r="Y5786" t="str">
            <v>AUSTRIA</v>
          </cell>
        </row>
        <row r="5787">
          <cell r="L5787" t="str">
            <v>Proportional</v>
          </cell>
          <cell r="S5787">
            <v>1025920.79</v>
          </cell>
          <cell r="X5787" t="str">
            <v>Claims - gross</v>
          </cell>
          <cell r="Y5787" t="str">
            <v>AUSTRIA</v>
          </cell>
        </row>
        <row r="5788">
          <cell r="L5788" t="str">
            <v>Proportional</v>
          </cell>
          <cell r="S5788">
            <v>-1025920.79</v>
          </cell>
          <cell r="X5788" t="str">
            <v>Claims - gross</v>
          </cell>
          <cell r="Y5788" t="str">
            <v>AUSTRIA</v>
          </cell>
        </row>
        <row r="5789">
          <cell r="L5789"/>
          <cell r="S5789">
            <v>-13566.13</v>
          </cell>
          <cell r="X5789" t="str">
            <v>Claims - share RI</v>
          </cell>
          <cell r="Y5789" t="str">
            <v>UNITED KINGDOM</v>
          </cell>
        </row>
        <row r="5790">
          <cell r="L5790"/>
          <cell r="S5790">
            <v>-25888.34</v>
          </cell>
          <cell r="X5790" t="str">
            <v>Claims - share RI</v>
          </cell>
          <cell r="Y5790" t="str">
            <v>UNITED KINGDOM</v>
          </cell>
        </row>
        <row r="5791">
          <cell r="L5791"/>
          <cell r="S5791">
            <v>-225</v>
          </cell>
          <cell r="X5791" t="str">
            <v>Claims - share RI</v>
          </cell>
          <cell r="Y5791" t="str">
            <v>UNITED KINGDOM</v>
          </cell>
        </row>
        <row r="5792">
          <cell r="L5792"/>
          <cell r="S5792">
            <v>-1784.67</v>
          </cell>
          <cell r="X5792" t="str">
            <v>Claims - share RI</v>
          </cell>
          <cell r="Y5792" t="str">
            <v>UNITED KINGDOM</v>
          </cell>
        </row>
        <row r="5793">
          <cell r="L5793"/>
          <cell r="S5793">
            <v>-470.82</v>
          </cell>
          <cell r="X5793" t="str">
            <v>Claims - share RI</v>
          </cell>
          <cell r="Y5793" t="str">
            <v>UNITED KINGDOM</v>
          </cell>
        </row>
        <row r="5794">
          <cell r="L5794"/>
          <cell r="S5794">
            <v>-20811.650000000001</v>
          </cell>
          <cell r="X5794" t="str">
            <v>Claims - share RI</v>
          </cell>
          <cell r="Y5794" t="str">
            <v>UNITED KINGDOM</v>
          </cell>
        </row>
        <row r="5795">
          <cell r="L5795"/>
          <cell r="S5795">
            <v>-9885.5400000000009</v>
          </cell>
          <cell r="X5795" t="str">
            <v>Claims - share RI</v>
          </cell>
          <cell r="Y5795" t="str">
            <v>UNITED KINGDOM</v>
          </cell>
        </row>
        <row r="5796">
          <cell r="L5796"/>
          <cell r="S5796">
            <v>-231.1</v>
          </cell>
          <cell r="X5796" t="str">
            <v>Claims - share RI</v>
          </cell>
          <cell r="Y5796" t="str">
            <v>UNITED KINGDOM</v>
          </cell>
        </row>
        <row r="5797">
          <cell r="L5797"/>
          <cell r="S5797">
            <v>-31217.48</v>
          </cell>
          <cell r="X5797" t="str">
            <v>Claims - share RI</v>
          </cell>
          <cell r="Y5797" t="str">
            <v>UNITED KINGDOM</v>
          </cell>
        </row>
        <row r="5798">
          <cell r="L5798"/>
          <cell r="S5798">
            <v>-20133.55</v>
          </cell>
          <cell r="X5798" t="str">
            <v>Claims - share RI</v>
          </cell>
          <cell r="Y5798" t="str">
            <v>UNITED KINGDOM</v>
          </cell>
        </row>
        <row r="5799">
          <cell r="L5799"/>
          <cell r="S5799">
            <v>-780.13</v>
          </cell>
          <cell r="X5799" t="str">
            <v>Claims - share RI</v>
          </cell>
          <cell r="Y5799" t="str">
            <v>UNITED KINGDOM</v>
          </cell>
        </row>
        <row r="5800">
          <cell r="L5800"/>
          <cell r="S5800">
            <v>-5871.53</v>
          </cell>
          <cell r="X5800" t="str">
            <v>Claims - share RI</v>
          </cell>
        </row>
        <row r="5801">
          <cell r="L5801"/>
          <cell r="S5801">
            <v>-2326088.21</v>
          </cell>
          <cell r="X5801" t="str">
            <v>Claims - share RI</v>
          </cell>
        </row>
        <row r="5802">
          <cell r="L5802"/>
          <cell r="S5802">
            <v>-461068.88</v>
          </cell>
          <cell r="X5802" t="str">
            <v>Claims - share RI</v>
          </cell>
          <cell r="Y5802" t="str">
            <v>UNITED KINGDOM</v>
          </cell>
        </row>
        <row r="5803">
          <cell r="L5803"/>
          <cell r="S5803">
            <v>-252.41</v>
          </cell>
          <cell r="X5803" t="str">
            <v>Claims - share RI</v>
          </cell>
        </row>
        <row r="5804">
          <cell r="L5804"/>
          <cell r="S5804">
            <v>1425.08</v>
          </cell>
          <cell r="X5804" t="str">
            <v>Claims - share RI</v>
          </cell>
        </row>
        <row r="5805">
          <cell r="L5805"/>
          <cell r="S5805">
            <v>15.2</v>
          </cell>
          <cell r="X5805" t="str">
            <v>Claims - share RI</v>
          </cell>
        </row>
        <row r="5806">
          <cell r="L5806"/>
          <cell r="S5806">
            <v>-3607.47</v>
          </cell>
          <cell r="X5806" t="str">
            <v>Claims - share RI</v>
          </cell>
        </row>
        <row r="5807">
          <cell r="L5807"/>
          <cell r="S5807">
            <v>-311132.49</v>
          </cell>
          <cell r="X5807" t="str">
            <v>Claims - share RI</v>
          </cell>
        </row>
        <row r="5808">
          <cell r="L5808"/>
          <cell r="S5808">
            <v>-21666.45</v>
          </cell>
          <cell r="X5808" t="str">
            <v>Claims - share RI</v>
          </cell>
          <cell r="Y5808" t="str">
            <v>UNITED KINGDOM</v>
          </cell>
        </row>
        <row r="5809">
          <cell r="L5809"/>
          <cell r="S5809">
            <v>-9593.58</v>
          </cell>
          <cell r="X5809" t="str">
            <v>Claims - share RI</v>
          </cell>
        </row>
        <row r="5810">
          <cell r="L5810"/>
          <cell r="S5810">
            <v>-1425.08</v>
          </cell>
          <cell r="X5810" t="str">
            <v>Claims - share RI</v>
          </cell>
        </row>
        <row r="5811">
          <cell r="L5811"/>
          <cell r="S5811">
            <v>-8178.86</v>
          </cell>
          <cell r="X5811" t="str">
            <v>Claims - share RI</v>
          </cell>
          <cell r="Y5811" t="str">
            <v>UNITED KINGDOM</v>
          </cell>
        </row>
        <row r="5812">
          <cell r="L5812"/>
          <cell r="S5812">
            <v>-25398.17</v>
          </cell>
          <cell r="X5812" t="str">
            <v>Claims - share RI</v>
          </cell>
          <cell r="Y5812" t="str">
            <v>UNITED KINGDOM</v>
          </cell>
        </row>
        <row r="5813">
          <cell r="L5813"/>
          <cell r="S5813">
            <v>-20795.150000000001</v>
          </cell>
          <cell r="X5813" t="str">
            <v>Claims - share RI</v>
          </cell>
          <cell r="Y5813" t="str">
            <v>UNITED KINGDOM</v>
          </cell>
        </row>
        <row r="5814">
          <cell r="L5814"/>
          <cell r="S5814">
            <v>24322.26</v>
          </cell>
          <cell r="X5814" t="str">
            <v>Claims - share RI</v>
          </cell>
        </row>
        <row r="5815">
          <cell r="L5815"/>
          <cell r="S5815">
            <v>-24322.26</v>
          </cell>
          <cell r="X5815" t="str">
            <v>Claims - share RI</v>
          </cell>
        </row>
        <row r="5816">
          <cell r="L5816"/>
          <cell r="S5816">
            <v>6595.3</v>
          </cell>
          <cell r="X5816" t="str">
            <v>Claims - share RI</v>
          </cell>
        </row>
        <row r="5817">
          <cell r="L5817"/>
          <cell r="S5817">
            <v>-14139.63</v>
          </cell>
          <cell r="X5817" t="str">
            <v>Claims - share RI</v>
          </cell>
          <cell r="Y5817" t="str">
            <v>UNITED KINGDOM</v>
          </cell>
        </row>
        <row r="5818">
          <cell r="L5818"/>
          <cell r="S5818">
            <v>-18199.61</v>
          </cell>
          <cell r="X5818" t="str">
            <v>Claims - share RI</v>
          </cell>
          <cell r="Y5818" t="str">
            <v>UNITED KINGDOM</v>
          </cell>
        </row>
        <row r="5819">
          <cell r="L5819"/>
          <cell r="S5819">
            <v>-54508.44</v>
          </cell>
          <cell r="X5819" t="str">
            <v>Claims - share RI</v>
          </cell>
          <cell r="Y5819" t="str">
            <v>UNITED KINGDOM</v>
          </cell>
        </row>
        <row r="5820">
          <cell r="L5820"/>
          <cell r="S5820">
            <v>-13243.45</v>
          </cell>
          <cell r="X5820" t="str">
            <v>Claims - share RI</v>
          </cell>
          <cell r="Y5820" t="str">
            <v>UNITED KINGDOM</v>
          </cell>
        </row>
        <row r="5821">
          <cell r="L5821"/>
          <cell r="S5821">
            <v>-6595.3</v>
          </cell>
          <cell r="X5821" t="str">
            <v>Claims - share RI</v>
          </cell>
        </row>
        <row r="5822">
          <cell r="L5822"/>
          <cell r="S5822">
            <v>-36565.21</v>
          </cell>
          <cell r="X5822" t="str">
            <v>Claims - share RI</v>
          </cell>
          <cell r="Y5822" t="str">
            <v>UNITED KINGDOM</v>
          </cell>
        </row>
        <row r="5823">
          <cell r="L5823"/>
          <cell r="S5823">
            <v>-5931.31</v>
          </cell>
          <cell r="X5823" t="str">
            <v>Claims - share RI</v>
          </cell>
        </row>
        <row r="5824">
          <cell r="L5824"/>
          <cell r="S5824">
            <v>-64462.53</v>
          </cell>
          <cell r="X5824" t="str">
            <v>Claims - share RI</v>
          </cell>
          <cell r="Y5824" t="str">
            <v>UNITED KINGDOM</v>
          </cell>
        </row>
        <row r="5825">
          <cell r="L5825"/>
          <cell r="S5825">
            <v>-64462.53</v>
          </cell>
          <cell r="X5825" t="str">
            <v>Claims - share RI</v>
          </cell>
          <cell r="Y5825" t="str">
            <v>UNITED KINGDOM</v>
          </cell>
        </row>
        <row r="5826">
          <cell r="L5826"/>
          <cell r="S5826">
            <v>-2250</v>
          </cell>
          <cell r="X5826" t="str">
            <v>Claims - share RI</v>
          </cell>
          <cell r="Y5826" t="str">
            <v>UNITED KINGDOM</v>
          </cell>
        </row>
        <row r="5827">
          <cell r="L5827"/>
          <cell r="S5827">
            <v>-97338.98</v>
          </cell>
          <cell r="X5827" t="str">
            <v>Claims - share RI</v>
          </cell>
          <cell r="Y5827" t="str">
            <v>UNITED KINGDOM</v>
          </cell>
        </row>
        <row r="5828">
          <cell r="L5828"/>
          <cell r="S5828">
            <v>-438654.39</v>
          </cell>
          <cell r="X5828" t="str">
            <v>Claims - share RI</v>
          </cell>
        </row>
        <row r="5829">
          <cell r="L5829"/>
          <cell r="S5829">
            <v>-1602</v>
          </cell>
          <cell r="X5829" t="str">
            <v>Claims - share RI</v>
          </cell>
          <cell r="Y5829" t="str">
            <v>UNITED KINGDOM</v>
          </cell>
        </row>
        <row r="5830">
          <cell r="L5830"/>
          <cell r="S5830">
            <v>-3796.39</v>
          </cell>
          <cell r="X5830" t="str">
            <v>Claims - share RI</v>
          </cell>
        </row>
        <row r="5831">
          <cell r="L5831"/>
          <cell r="S5831">
            <v>-126883.45</v>
          </cell>
          <cell r="X5831" t="str">
            <v>Claims - share RI</v>
          </cell>
          <cell r="Y5831" t="str">
            <v>UNITED KINGDOM</v>
          </cell>
        </row>
        <row r="5832">
          <cell r="L5832"/>
          <cell r="S5832">
            <v>-3602.2</v>
          </cell>
          <cell r="X5832" t="str">
            <v>Claims - share RI</v>
          </cell>
        </row>
        <row r="5833">
          <cell r="L5833"/>
          <cell r="S5833">
            <v>-4501.8599999999997</v>
          </cell>
          <cell r="X5833" t="str">
            <v>Claims - share RI</v>
          </cell>
        </row>
        <row r="5834">
          <cell r="L5834"/>
          <cell r="S5834">
            <v>-804.71</v>
          </cell>
          <cell r="X5834" t="str">
            <v>Claims - share RI</v>
          </cell>
        </row>
        <row r="5835">
          <cell r="L5835"/>
          <cell r="S5835">
            <v>-252.21</v>
          </cell>
          <cell r="X5835" t="str">
            <v>Claims - share RI</v>
          </cell>
        </row>
        <row r="5836">
          <cell r="L5836"/>
          <cell r="S5836">
            <v>-235128.35</v>
          </cell>
          <cell r="X5836" t="str">
            <v>Claims - share RI</v>
          </cell>
        </row>
        <row r="5837">
          <cell r="L5837"/>
          <cell r="S5837">
            <v>-48125</v>
          </cell>
          <cell r="X5837" t="str">
            <v>Commissions - share RI</v>
          </cell>
          <cell r="Y5837" t="str">
            <v>GERMANY</v>
          </cell>
        </row>
        <row r="5838">
          <cell r="L5838"/>
          <cell r="S5838">
            <v>-51562.5</v>
          </cell>
          <cell r="X5838" t="str">
            <v>Commissions - share RI</v>
          </cell>
          <cell r="Y5838" t="str">
            <v>GERMANY</v>
          </cell>
        </row>
        <row r="5839">
          <cell r="L5839"/>
          <cell r="S5839">
            <v>-313.01</v>
          </cell>
          <cell r="X5839" t="str">
            <v>Commissions - share RI</v>
          </cell>
          <cell r="Y5839" t="str">
            <v>UNITED KINGDOM</v>
          </cell>
        </row>
        <row r="5840">
          <cell r="L5840"/>
          <cell r="S5840">
            <v>-23955.040000000001</v>
          </cell>
          <cell r="X5840" t="str">
            <v>Commissions - share RI</v>
          </cell>
          <cell r="Y5840" t="str">
            <v>UNITED KINGDOM</v>
          </cell>
        </row>
        <row r="5841">
          <cell r="L5841"/>
          <cell r="S5841">
            <v>101902.17</v>
          </cell>
          <cell r="X5841" t="str">
            <v>Commissions - share RI</v>
          </cell>
          <cell r="Y5841" t="str">
            <v>GERMANY</v>
          </cell>
        </row>
        <row r="5842">
          <cell r="L5842"/>
          <cell r="S5842">
            <v>-161262.56</v>
          </cell>
          <cell r="X5842" t="str">
            <v>Commissions - share RI</v>
          </cell>
          <cell r="Y5842" t="str">
            <v>UNITED KINGDOM</v>
          </cell>
        </row>
        <row r="5843">
          <cell r="L5843"/>
          <cell r="S5843">
            <v>51562.5</v>
          </cell>
          <cell r="X5843" t="str">
            <v>Commissions - share RI</v>
          </cell>
          <cell r="Y5843" t="str">
            <v>GERMANY</v>
          </cell>
        </row>
        <row r="5844">
          <cell r="L5844"/>
          <cell r="S5844">
            <v>48125</v>
          </cell>
          <cell r="X5844" t="str">
            <v>Commissions - share RI</v>
          </cell>
          <cell r="Y5844" t="str">
            <v>GERMANY</v>
          </cell>
        </row>
        <row r="5845">
          <cell r="L5845"/>
          <cell r="S5845">
            <v>-101902.17</v>
          </cell>
          <cell r="X5845" t="str">
            <v>Commissions - share RI</v>
          </cell>
          <cell r="Y5845" t="str">
            <v>GERMANY</v>
          </cell>
        </row>
        <row r="5846">
          <cell r="L5846"/>
          <cell r="S5846">
            <v>-2029.79</v>
          </cell>
          <cell r="X5846" t="str">
            <v>Commissions - share RI</v>
          </cell>
          <cell r="Y5846" t="str">
            <v>UNITED KINGDOM</v>
          </cell>
        </row>
        <row r="5847">
          <cell r="L5847"/>
          <cell r="S5847">
            <v>-108463.23</v>
          </cell>
          <cell r="X5847" t="str">
            <v>Commissions - share RI</v>
          </cell>
          <cell r="Y5847" t="str">
            <v>UNITED KINGDOM</v>
          </cell>
        </row>
        <row r="5848">
          <cell r="L5848"/>
          <cell r="S5848">
            <v>-644706.04</v>
          </cell>
          <cell r="X5848" t="str">
            <v>Commissions - share RI</v>
          </cell>
          <cell r="Y5848" t="str">
            <v>UNITED KINGDOM</v>
          </cell>
        </row>
        <row r="5849">
          <cell r="L5849"/>
          <cell r="S5849">
            <v>5331.54</v>
          </cell>
          <cell r="X5849" t="str">
            <v>Commissions - share RI</v>
          </cell>
          <cell r="Y5849" t="str">
            <v>UNITED KINGDOM</v>
          </cell>
        </row>
        <row r="5850">
          <cell r="L5850"/>
          <cell r="S5850">
            <v>-1342.29</v>
          </cell>
          <cell r="X5850" t="str">
            <v>Commissions - share RI</v>
          </cell>
          <cell r="Y5850" t="str">
            <v>UNITED KINGDOM</v>
          </cell>
        </row>
        <row r="5851">
          <cell r="L5851"/>
          <cell r="S5851">
            <v>-808.52</v>
          </cell>
          <cell r="X5851" t="str">
            <v>Commissions - share RI</v>
          </cell>
          <cell r="Y5851" t="str">
            <v>UNITED KINGDOM</v>
          </cell>
        </row>
        <row r="5852">
          <cell r="L5852"/>
          <cell r="S5852">
            <v>-4709.87</v>
          </cell>
          <cell r="X5852" t="str">
            <v>Commissions - share RI</v>
          </cell>
          <cell r="Y5852" t="str">
            <v>UNITED KINGDOM</v>
          </cell>
        </row>
        <row r="5853">
          <cell r="L5853"/>
          <cell r="S5853">
            <v>-2029.27</v>
          </cell>
          <cell r="X5853" t="str">
            <v>Commissions - share RI</v>
          </cell>
          <cell r="Y5853" t="str">
            <v>UNITED KINGDOM</v>
          </cell>
        </row>
        <row r="5854">
          <cell r="L5854"/>
          <cell r="S5854">
            <v>-9193.06</v>
          </cell>
          <cell r="X5854" t="str">
            <v>Commissions - share RI</v>
          </cell>
          <cell r="Y5854" t="str">
            <v>UNITED KINGDOM</v>
          </cell>
        </row>
        <row r="5855">
          <cell r="L5855"/>
          <cell r="S5855">
            <v>337.81</v>
          </cell>
          <cell r="X5855" t="str">
            <v>Commissions - share RI</v>
          </cell>
          <cell r="Y5855" t="str">
            <v>UNITED KINGDOM</v>
          </cell>
        </row>
        <row r="5856">
          <cell r="L5856"/>
          <cell r="S5856">
            <v>189.27</v>
          </cell>
          <cell r="X5856" t="str">
            <v>Commissions - share RI</v>
          </cell>
          <cell r="Y5856" t="str">
            <v>UNITED KINGDOM</v>
          </cell>
        </row>
        <row r="5857">
          <cell r="L5857"/>
          <cell r="S5857">
            <v>-408.54</v>
          </cell>
          <cell r="X5857" t="str">
            <v>Commissions - share RI</v>
          </cell>
          <cell r="Y5857" t="str">
            <v>UNITED KINGDOM</v>
          </cell>
        </row>
        <row r="5858">
          <cell r="L5858"/>
          <cell r="S5858">
            <v>-151.28</v>
          </cell>
          <cell r="X5858" t="str">
            <v>Commissions - share RI</v>
          </cell>
          <cell r="Y5858" t="str">
            <v>UNITED KINGDOM</v>
          </cell>
        </row>
        <row r="5859">
          <cell r="L5859"/>
          <cell r="S5859">
            <v>540</v>
          </cell>
          <cell r="X5859" t="str">
            <v>Commissions - share RI</v>
          </cell>
          <cell r="Y5859" t="str">
            <v>UNITED KINGDOM</v>
          </cell>
        </row>
        <row r="5860">
          <cell r="L5860"/>
          <cell r="S5860">
            <v>75.64</v>
          </cell>
          <cell r="X5860" t="str">
            <v>Commissions - share RI</v>
          </cell>
          <cell r="Y5860" t="str">
            <v>UNITED KINGDOM</v>
          </cell>
        </row>
        <row r="5861">
          <cell r="L5861"/>
          <cell r="S5861">
            <v>-540</v>
          </cell>
          <cell r="X5861" t="str">
            <v>Commissions - share RI</v>
          </cell>
          <cell r="Y5861" t="str">
            <v>UNITED KINGDOM</v>
          </cell>
        </row>
        <row r="5862">
          <cell r="L5862"/>
          <cell r="S5862">
            <v>-805.2</v>
          </cell>
          <cell r="X5862" t="str">
            <v>Commissions - share RI</v>
          </cell>
          <cell r="Y5862" t="str">
            <v>UNITED KINGDOM</v>
          </cell>
        </row>
        <row r="5863">
          <cell r="L5863"/>
          <cell r="S5863">
            <v>-1652.05</v>
          </cell>
          <cell r="X5863" t="str">
            <v>Commissions - share RI</v>
          </cell>
          <cell r="Y5863" t="str">
            <v>UNITED KINGDOM</v>
          </cell>
        </row>
        <row r="5864">
          <cell r="L5864"/>
          <cell r="S5864">
            <v>-11932.73</v>
          </cell>
          <cell r="X5864" t="str">
            <v>Commissions - share RI</v>
          </cell>
          <cell r="Y5864" t="str">
            <v>UNITED KINGDOM</v>
          </cell>
        </row>
        <row r="5865">
          <cell r="L5865"/>
          <cell r="S5865">
            <v>-675.61</v>
          </cell>
          <cell r="X5865" t="str">
            <v>Commissions - share RI</v>
          </cell>
          <cell r="Y5865" t="str">
            <v>UNITED KINGDOM</v>
          </cell>
        </row>
        <row r="5866">
          <cell r="L5866"/>
          <cell r="S5866">
            <v>540</v>
          </cell>
          <cell r="X5866" t="str">
            <v>Commissions - share RI</v>
          </cell>
          <cell r="Y5866" t="str">
            <v>UNITED KINGDOM</v>
          </cell>
        </row>
        <row r="5867">
          <cell r="L5867"/>
          <cell r="S5867">
            <v>-805.2</v>
          </cell>
          <cell r="X5867" t="str">
            <v>Commissions - share RI</v>
          </cell>
          <cell r="Y5867" t="str">
            <v>UNITED KINGDOM</v>
          </cell>
        </row>
        <row r="5868">
          <cell r="L5868"/>
          <cell r="S5868">
            <v>-1351.22</v>
          </cell>
          <cell r="X5868" t="str">
            <v>Commissions - share RI</v>
          </cell>
          <cell r="Y5868" t="str">
            <v>UNITED KINGDOM</v>
          </cell>
        </row>
        <row r="5869">
          <cell r="L5869"/>
          <cell r="S5869">
            <v>-302.7</v>
          </cell>
          <cell r="X5869" t="str">
            <v>Commissions - share RI</v>
          </cell>
          <cell r="Y5869" t="str">
            <v>UNITED KINGDOM</v>
          </cell>
        </row>
        <row r="5870">
          <cell r="L5870"/>
          <cell r="S5870">
            <v>-675.6</v>
          </cell>
          <cell r="X5870" t="str">
            <v>Commissions - share RI</v>
          </cell>
          <cell r="Y5870" t="str">
            <v>UNITED KINGDOM</v>
          </cell>
        </row>
        <row r="5871">
          <cell r="L5871"/>
          <cell r="S5871">
            <v>-757.16</v>
          </cell>
          <cell r="X5871" t="str">
            <v>Commissions - share RI</v>
          </cell>
          <cell r="Y5871" t="str">
            <v>UNITED KINGDOM</v>
          </cell>
        </row>
        <row r="5872">
          <cell r="L5872"/>
          <cell r="S5872">
            <v>549.13</v>
          </cell>
          <cell r="X5872" t="str">
            <v>Commissions - share RI</v>
          </cell>
          <cell r="Y5872" t="str">
            <v>UNITED KINGDOM</v>
          </cell>
        </row>
        <row r="5873">
          <cell r="L5873"/>
          <cell r="S5873">
            <v>-8835.91</v>
          </cell>
          <cell r="X5873" t="str">
            <v>Commissions - share RI</v>
          </cell>
          <cell r="Y5873" t="str">
            <v>UNITED KINGDOM</v>
          </cell>
        </row>
        <row r="5874">
          <cell r="L5874"/>
          <cell r="S5874">
            <v>-2208.9699999999998</v>
          </cell>
          <cell r="X5874" t="str">
            <v>Commissions - share RI</v>
          </cell>
          <cell r="Y5874" t="str">
            <v>UNITED KINGDOM</v>
          </cell>
        </row>
        <row r="5875">
          <cell r="L5875"/>
          <cell r="S5875">
            <v>337.81</v>
          </cell>
          <cell r="X5875" t="str">
            <v>Commissions - share RI</v>
          </cell>
          <cell r="Y5875" t="str">
            <v>UNITED KINGDOM</v>
          </cell>
        </row>
        <row r="5876">
          <cell r="L5876"/>
          <cell r="S5876">
            <v>-517.37</v>
          </cell>
          <cell r="X5876" t="str">
            <v>Commissions - share RI</v>
          </cell>
          <cell r="Y5876" t="str">
            <v>UNITED KINGDOM</v>
          </cell>
        </row>
        <row r="5877">
          <cell r="L5877"/>
          <cell r="S5877">
            <v>-2983.22</v>
          </cell>
          <cell r="X5877" t="str">
            <v>Commissions - share RI</v>
          </cell>
          <cell r="Y5877" t="str">
            <v>UNITED KINGDOM</v>
          </cell>
        </row>
        <row r="5878">
          <cell r="L5878"/>
          <cell r="S5878">
            <v>-378.54</v>
          </cell>
          <cell r="X5878" t="str">
            <v>Commissions - share RI</v>
          </cell>
          <cell r="Y5878" t="str">
            <v>UNITED KINGDOM</v>
          </cell>
        </row>
        <row r="5879">
          <cell r="L5879"/>
          <cell r="S5879">
            <v>-1634.15</v>
          </cell>
          <cell r="X5879" t="str">
            <v>Commissions - share RI</v>
          </cell>
          <cell r="Y5879" t="str">
            <v>UNITED KINGDOM</v>
          </cell>
        </row>
        <row r="5880">
          <cell r="L5880"/>
          <cell r="S5880">
            <v>1610.4</v>
          </cell>
          <cell r="X5880" t="str">
            <v>Commissions - share RI</v>
          </cell>
          <cell r="Y5880" t="str">
            <v>UNITED KINGDOM</v>
          </cell>
        </row>
        <row r="5881">
          <cell r="L5881"/>
          <cell r="S5881">
            <v>675.61</v>
          </cell>
          <cell r="X5881" t="str">
            <v>Commissions - share RI</v>
          </cell>
          <cell r="Y5881" t="str">
            <v>UNITED KINGDOM</v>
          </cell>
        </row>
        <row r="5882">
          <cell r="L5882"/>
          <cell r="S5882">
            <v>-4665.8999999999996</v>
          </cell>
          <cell r="X5882" t="str">
            <v>Commissions - share RI</v>
          </cell>
          <cell r="Y5882" t="str">
            <v>UNITED KINGDOM</v>
          </cell>
        </row>
        <row r="5883">
          <cell r="L5883"/>
          <cell r="S5883">
            <v>1311.5</v>
          </cell>
          <cell r="X5883" t="str">
            <v>Commissions - share RI</v>
          </cell>
          <cell r="Y5883" t="str">
            <v>UNITED KINGDOM</v>
          </cell>
        </row>
        <row r="5884">
          <cell r="L5884"/>
          <cell r="S5884">
            <v>-238.15</v>
          </cell>
          <cell r="X5884" t="str">
            <v>Commissions - share RI</v>
          </cell>
          <cell r="Y5884" t="str">
            <v>UNITED KINGDOM</v>
          </cell>
        </row>
        <row r="5885">
          <cell r="L5885"/>
          <cell r="S5885">
            <v>-2332.9499999999998</v>
          </cell>
          <cell r="X5885" t="str">
            <v>Commissions - share RI</v>
          </cell>
          <cell r="Y5885" t="str">
            <v>UNITED KINGDOM</v>
          </cell>
        </row>
        <row r="5886">
          <cell r="L5886"/>
          <cell r="S5886">
            <v>-1311.5</v>
          </cell>
          <cell r="X5886" t="str">
            <v>Commissions - share RI</v>
          </cell>
          <cell r="Y5886" t="str">
            <v>UNITED KINGDOM</v>
          </cell>
        </row>
        <row r="5887">
          <cell r="L5887"/>
          <cell r="S5887">
            <v>-779.84</v>
          </cell>
          <cell r="X5887" t="str">
            <v>Commissions - share RI</v>
          </cell>
          <cell r="Y5887" t="str">
            <v>UNITED KINGDOM</v>
          </cell>
        </row>
        <row r="5888">
          <cell r="L5888"/>
          <cell r="S5888">
            <v>-1866.36</v>
          </cell>
          <cell r="X5888" t="str">
            <v>Commissions - share RI</v>
          </cell>
          <cell r="Y5888" t="str">
            <v>UNITED KINGDOM</v>
          </cell>
        </row>
        <row r="5889">
          <cell r="L5889"/>
          <cell r="S5889">
            <v>2332.9499999999998</v>
          </cell>
          <cell r="X5889" t="str">
            <v>Commissions - share RI</v>
          </cell>
          <cell r="Y5889" t="str">
            <v>UNITED KINGDOM</v>
          </cell>
        </row>
        <row r="5890">
          <cell r="L5890"/>
          <cell r="S5890">
            <v>176.55</v>
          </cell>
          <cell r="X5890" t="str">
            <v>Commissions - share RI</v>
          </cell>
          <cell r="Y5890" t="str">
            <v>UNITED KINGDOM</v>
          </cell>
        </row>
        <row r="5891">
          <cell r="L5891"/>
          <cell r="S5891">
            <v>-1351.22</v>
          </cell>
          <cell r="X5891" t="str">
            <v>Commissions - share RI</v>
          </cell>
          <cell r="Y5891" t="str">
            <v>UNITED KINGDOM</v>
          </cell>
        </row>
        <row r="5892">
          <cell r="L5892"/>
          <cell r="S5892">
            <v>1866.36</v>
          </cell>
          <cell r="X5892" t="str">
            <v>Commissions - share RI</v>
          </cell>
          <cell r="Y5892" t="str">
            <v>UNITED KINGDOM</v>
          </cell>
        </row>
        <row r="5893">
          <cell r="L5893"/>
          <cell r="S5893">
            <v>4665.8999999999996</v>
          </cell>
          <cell r="X5893" t="str">
            <v>Commissions - share RI</v>
          </cell>
          <cell r="Y5893" t="str">
            <v>UNITED KINGDOM</v>
          </cell>
        </row>
        <row r="5894">
          <cell r="L5894"/>
          <cell r="S5894">
            <v>238.15</v>
          </cell>
          <cell r="X5894" t="str">
            <v>Commissions - share RI</v>
          </cell>
          <cell r="Y5894" t="str">
            <v>UNITED KINGDOM</v>
          </cell>
        </row>
        <row r="5895">
          <cell r="L5895"/>
          <cell r="S5895">
            <v>-540</v>
          </cell>
          <cell r="X5895" t="str">
            <v>Commissions - share RI</v>
          </cell>
          <cell r="Y5895" t="str">
            <v>UNITED KINGDOM</v>
          </cell>
        </row>
        <row r="5896">
          <cell r="L5896"/>
          <cell r="S5896">
            <v>807.08</v>
          </cell>
          <cell r="X5896" t="str">
            <v>Commissions - share RI</v>
          </cell>
          <cell r="Y5896" t="str">
            <v>UNITED KINGDOM</v>
          </cell>
        </row>
        <row r="5897">
          <cell r="L5897"/>
          <cell r="S5897">
            <v>779.84</v>
          </cell>
          <cell r="X5897" t="str">
            <v>Commissions - share RI</v>
          </cell>
          <cell r="Y5897" t="str">
            <v>UNITED KINGDOM</v>
          </cell>
        </row>
        <row r="5898">
          <cell r="L5898"/>
          <cell r="S5898">
            <v>-359.57</v>
          </cell>
          <cell r="X5898" t="str">
            <v>Commissions - share RI</v>
          </cell>
          <cell r="Y5898" t="str">
            <v>UNITED KINGDOM</v>
          </cell>
        </row>
        <row r="5899">
          <cell r="L5899"/>
          <cell r="S5899">
            <v>359.57</v>
          </cell>
          <cell r="X5899" t="str">
            <v>Commissions - share RI</v>
          </cell>
          <cell r="Y5899" t="str">
            <v>UNITED KINGDOM</v>
          </cell>
        </row>
        <row r="5900">
          <cell r="L5900"/>
          <cell r="S5900">
            <v>-504.42</v>
          </cell>
          <cell r="X5900" t="str">
            <v>Commissions - share RI</v>
          </cell>
          <cell r="Y5900" t="str">
            <v>UNITED KINGDOM</v>
          </cell>
        </row>
        <row r="5901">
          <cell r="L5901"/>
          <cell r="S5901">
            <v>2702.45</v>
          </cell>
          <cell r="X5901" t="str">
            <v>Commissions - share RI</v>
          </cell>
          <cell r="Y5901" t="str">
            <v>UNITED KINGDOM</v>
          </cell>
        </row>
        <row r="5902">
          <cell r="L5902"/>
          <cell r="S5902">
            <v>-176.55</v>
          </cell>
          <cell r="X5902" t="str">
            <v>Commissions - share RI</v>
          </cell>
          <cell r="Y5902" t="str">
            <v>UNITED KINGDOM</v>
          </cell>
        </row>
        <row r="5903">
          <cell r="L5903"/>
          <cell r="S5903">
            <v>-807.08</v>
          </cell>
          <cell r="X5903" t="str">
            <v>Commissions - share RI</v>
          </cell>
          <cell r="Y5903" t="str">
            <v>UNITED KINGDOM</v>
          </cell>
        </row>
        <row r="5904">
          <cell r="L5904"/>
          <cell r="S5904">
            <v>504.42</v>
          </cell>
          <cell r="X5904" t="str">
            <v>Commissions - share RI</v>
          </cell>
          <cell r="Y5904" t="str">
            <v>UNITED KINGDOM</v>
          </cell>
        </row>
        <row r="5905">
          <cell r="L5905"/>
          <cell r="S5905">
            <v>106.4</v>
          </cell>
          <cell r="X5905" t="str">
            <v>Commissions - share RI</v>
          </cell>
          <cell r="Y5905" t="str">
            <v>UNITED KINGDOM</v>
          </cell>
        </row>
        <row r="5906">
          <cell r="L5906"/>
          <cell r="S5906">
            <v>433.64</v>
          </cell>
          <cell r="X5906" t="str">
            <v>Commissions - share RI</v>
          </cell>
          <cell r="Y5906" t="str">
            <v>UNITED KINGDOM</v>
          </cell>
        </row>
        <row r="5907">
          <cell r="L5907"/>
          <cell r="S5907">
            <v>-433.64</v>
          </cell>
          <cell r="X5907" t="str">
            <v>Commissions - share RI</v>
          </cell>
          <cell r="Y5907" t="str">
            <v>UNITED KINGDOM</v>
          </cell>
        </row>
        <row r="5908">
          <cell r="L5908"/>
          <cell r="S5908">
            <v>-106.4</v>
          </cell>
          <cell r="X5908" t="str">
            <v>Commissions - share RI</v>
          </cell>
          <cell r="Y5908" t="str">
            <v>UNITED KINGDOM</v>
          </cell>
        </row>
        <row r="5909">
          <cell r="L5909"/>
          <cell r="S5909">
            <v>6202.53</v>
          </cell>
          <cell r="X5909" t="str">
            <v>Commissions - share RI</v>
          </cell>
          <cell r="Y5909" t="str">
            <v>UNITED KINGDOM</v>
          </cell>
        </row>
        <row r="5910">
          <cell r="L5910"/>
          <cell r="S5910">
            <v>-7753.2</v>
          </cell>
          <cell r="X5910" t="str">
            <v>Commissions - share RI</v>
          </cell>
          <cell r="Y5910" t="str">
            <v>UNITED KINGDOM</v>
          </cell>
        </row>
        <row r="5911">
          <cell r="L5911"/>
          <cell r="S5911">
            <v>19212.41</v>
          </cell>
          <cell r="X5911" t="str">
            <v>Commissions - share RI</v>
          </cell>
          <cell r="Y5911" t="str">
            <v>UNITED KINGDOM</v>
          </cell>
        </row>
        <row r="5912">
          <cell r="L5912"/>
          <cell r="S5912">
            <v>151486.94</v>
          </cell>
          <cell r="X5912" t="str">
            <v>Commissions - share RI</v>
          </cell>
          <cell r="Y5912" t="str">
            <v>UNITED KINGDOM</v>
          </cell>
        </row>
        <row r="5913">
          <cell r="L5913"/>
          <cell r="S5913">
            <v>-151486.94</v>
          </cell>
          <cell r="X5913" t="str">
            <v>Commissions - share RI</v>
          </cell>
          <cell r="Y5913" t="str">
            <v>UNITED KINGDOM</v>
          </cell>
        </row>
        <row r="5914">
          <cell r="L5914"/>
          <cell r="S5914">
            <v>15148.69</v>
          </cell>
          <cell r="X5914" t="str">
            <v>Commissions - share RI</v>
          </cell>
          <cell r="Y5914" t="str">
            <v>UNITED KINGDOM</v>
          </cell>
        </row>
        <row r="5915">
          <cell r="L5915"/>
          <cell r="S5915">
            <v>-15148.69</v>
          </cell>
          <cell r="X5915" t="str">
            <v>Commissions - share RI</v>
          </cell>
          <cell r="Y5915" t="str">
            <v>UNITED KINGDOM</v>
          </cell>
        </row>
        <row r="5916">
          <cell r="L5916"/>
          <cell r="S5916">
            <v>-19212.41</v>
          </cell>
          <cell r="X5916" t="str">
            <v>Commissions - share RI</v>
          </cell>
          <cell r="Y5916" t="str">
            <v>UNITED KINGDOM</v>
          </cell>
        </row>
        <row r="5917">
          <cell r="L5917"/>
          <cell r="S5917">
            <v>-6202.53</v>
          </cell>
          <cell r="X5917" t="str">
            <v>Commissions - share RI</v>
          </cell>
          <cell r="Y5917" t="str">
            <v>UNITED KINGDOM</v>
          </cell>
        </row>
        <row r="5918">
          <cell r="L5918"/>
          <cell r="S5918">
            <v>-15148.69</v>
          </cell>
          <cell r="X5918" t="str">
            <v>Commissions - share RI</v>
          </cell>
          <cell r="Y5918" t="str">
            <v>UNITED KINGDOM</v>
          </cell>
        </row>
        <row r="5919">
          <cell r="L5919"/>
          <cell r="S5919">
            <v>-18935.86</v>
          </cell>
          <cell r="X5919" t="str">
            <v>Commissions - share RI</v>
          </cell>
          <cell r="Y5919" t="str">
            <v>UNITED KINGDOM</v>
          </cell>
        </row>
        <row r="5920">
          <cell r="L5920"/>
          <cell r="S5920">
            <v>-151486.94</v>
          </cell>
          <cell r="X5920" t="str">
            <v>Commissions - share RI</v>
          </cell>
          <cell r="Y5920" t="str">
            <v>UNITED KINGDOM</v>
          </cell>
        </row>
        <row r="5921">
          <cell r="L5921"/>
          <cell r="S5921">
            <v>-15148.69</v>
          </cell>
          <cell r="X5921" t="str">
            <v>Commissions - share RI</v>
          </cell>
          <cell r="Y5921" t="str">
            <v>UNITED KINGDOM</v>
          </cell>
        </row>
        <row r="5922">
          <cell r="L5922"/>
          <cell r="S5922">
            <v>15148.69</v>
          </cell>
          <cell r="X5922" t="str">
            <v>Commissions - share RI</v>
          </cell>
          <cell r="Y5922" t="str">
            <v>UNITED KINGDOM</v>
          </cell>
        </row>
        <row r="5923">
          <cell r="L5923"/>
          <cell r="S5923">
            <v>-19212.41</v>
          </cell>
          <cell r="X5923" t="str">
            <v>Commissions - share RI</v>
          </cell>
          <cell r="Y5923" t="str">
            <v>UNITED KINGDOM</v>
          </cell>
        </row>
        <row r="5924">
          <cell r="L5924"/>
          <cell r="S5924">
            <v>15148.69</v>
          </cell>
          <cell r="X5924" t="str">
            <v>Commissions - share RI</v>
          </cell>
          <cell r="Y5924" t="str">
            <v>UNITED KINGDOM</v>
          </cell>
        </row>
        <row r="5925">
          <cell r="L5925"/>
          <cell r="S5925">
            <v>-6202.53</v>
          </cell>
          <cell r="X5925" t="str">
            <v>Commissions - share RI</v>
          </cell>
          <cell r="Y5925" t="str">
            <v>UNITED KINGDOM</v>
          </cell>
        </row>
        <row r="5926">
          <cell r="L5926"/>
          <cell r="S5926">
            <v>19212.41</v>
          </cell>
          <cell r="X5926" t="str">
            <v>Commissions - share RI</v>
          </cell>
          <cell r="Y5926" t="str">
            <v>UNITED KINGDOM</v>
          </cell>
        </row>
        <row r="5927">
          <cell r="L5927"/>
          <cell r="S5927">
            <v>6202.53</v>
          </cell>
          <cell r="X5927" t="str">
            <v>Commissions - share RI</v>
          </cell>
          <cell r="Y5927" t="str">
            <v>UNITED KINGDOM</v>
          </cell>
        </row>
        <row r="5928">
          <cell r="L5928"/>
          <cell r="S5928">
            <v>-24015.54</v>
          </cell>
          <cell r="X5928" t="str">
            <v>Commissions - share RI</v>
          </cell>
          <cell r="Y5928" t="str">
            <v>UNITED KINGDOM</v>
          </cell>
        </row>
        <row r="5929">
          <cell r="L5929"/>
          <cell r="S5929">
            <v>151486.94</v>
          </cell>
          <cell r="X5929" t="str">
            <v>Commissions - share RI</v>
          </cell>
          <cell r="Y5929" t="str">
            <v>UNITED KINGDOM</v>
          </cell>
        </row>
        <row r="5930">
          <cell r="L5930"/>
          <cell r="S5930">
            <v>40104.17</v>
          </cell>
          <cell r="X5930" t="str">
            <v>Commissions - share RI</v>
          </cell>
          <cell r="Y5930" t="str">
            <v>GERMANY</v>
          </cell>
        </row>
        <row r="5931">
          <cell r="L5931"/>
          <cell r="S5931">
            <v>42968.75</v>
          </cell>
          <cell r="X5931" t="str">
            <v>Commissions - share RI</v>
          </cell>
          <cell r="Y5931" t="str">
            <v>GERMANY</v>
          </cell>
        </row>
        <row r="5932">
          <cell r="L5932"/>
          <cell r="S5932">
            <v>-4010.42</v>
          </cell>
          <cell r="X5932" t="str">
            <v>Commissions - share RI</v>
          </cell>
          <cell r="Y5932" t="str">
            <v>GERMANY</v>
          </cell>
        </row>
        <row r="5933">
          <cell r="L5933"/>
          <cell r="S5933">
            <v>-4296.87</v>
          </cell>
          <cell r="X5933" t="str">
            <v>Commissions - share RI</v>
          </cell>
          <cell r="Y5933" t="str">
            <v>GERMANY</v>
          </cell>
        </row>
        <row r="5934">
          <cell r="L5934"/>
          <cell r="S5934">
            <v>651190.43000000005</v>
          </cell>
          <cell r="X5934" t="str">
            <v>Commissions - share RI</v>
          </cell>
          <cell r="Y5934" t="str">
            <v>UNITED KINGDOM</v>
          </cell>
        </row>
        <row r="5935">
          <cell r="L5935"/>
          <cell r="S5935">
            <v>88665.91</v>
          </cell>
          <cell r="X5935" t="str">
            <v>Commissions - share RI</v>
          </cell>
          <cell r="Y5935" t="str">
            <v>UNITED KINGDOM</v>
          </cell>
        </row>
        <row r="5936">
          <cell r="L5936"/>
          <cell r="S5936">
            <v>-36093.75</v>
          </cell>
          <cell r="X5936" t="str">
            <v>Commissions - share RI</v>
          </cell>
          <cell r="Y5936" t="str">
            <v>GERMANY</v>
          </cell>
        </row>
        <row r="5937">
          <cell r="L5937"/>
          <cell r="S5937">
            <v>-38671.879999999997</v>
          </cell>
          <cell r="X5937" t="str">
            <v>Commissions - share RI</v>
          </cell>
          <cell r="Y5937" t="str">
            <v>GERMANY</v>
          </cell>
        </row>
        <row r="5938">
          <cell r="L5938"/>
          <cell r="S5938">
            <v>-35632.29</v>
          </cell>
          <cell r="X5938" t="str">
            <v>Commissions - share RI</v>
          </cell>
          <cell r="Y5938" t="str">
            <v>UNITED KINGDOM</v>
          </cell>
        </row>
        <row r="5939">
          <cell r="L5939"/>
          <cell r="S5939">
            <v>-10526.47</v>
          </cell>
          <cell r="X5939" t="str">
            <v>Commissions - share RI</v>
          </cell>
          <cell r="Y5939" t="str">
            <v>UNITED KINGDOM</v>
          </cell>
        </row>
        <row r="5940">
          <cell r="L5940"/>
          <cell r="S5940">
            <v>-7402.43</v>
          </cell>
          <cell r="X5940" t="str">
            <v>Commissions - share RI</v>
          </cell>
          <cell r="Y5940" t="str">
            <v>UNITED KINGDOM</v>
          </cell>
        </row>
        <row r="5941">
          <cell r="L5941"/>
          <cell r="S5941">
            <v>-25576.41</v>
          </cell>
          <cell r="X5941" t="str">
            <v>Commissions - share RI</v>
          </cell>
          <cell r="Y5941" t="str">
            <v>UNITED KINGDOM</v>
          </cell>
        </row>
        <row r="5942">
          <cell r="L5942"/>
          <cell r="S5942">
            <v>-2421.8200000000002</v>
          </cell>
          <cell r="X5942" t="str">
            <v>Commissions - share RI</v>
          </cell>
          <cell r="Y5942" t="str">
            <v>UNITED KINGDOM</v>
          </cell>
        </row>
        <row r="5943">
          <cell r="L5943"/>
          <cell r="S5943">
            <v>638.07000000000005</v>
          </cell>
          <cell r="X5943" t="str">
            <v>Commissions - share RI</v>
          </cell>
          <cell r="Y5943" t="str">
            <v>UNITED KINGDOM</v>
          </cell>
        </row>
        <row r="5944">
          <cell r="L5944"/>
          <cell r="S5944">
            <v>-319.04000000000002</v>
          </cell>
          <cell r="X5944" t="str">
            <v>Commissions - share RI</v>
          </cell>
          <cell r="Y5944" t="str">
            <v>UNITED KINGDOM</v>
          </cell>
        </row>
        <row r="5945">
          <cell r="L5945"/>
          <cell r="S5945">
            <v>-9626.34</v>
          </cell>
          <cell r="X5945" t="str">
            <v>Commissions - share RI</v>
          </cell>
          <cell r="Y5945" t="str">
            <v>UNITED KINGDOM</v>
          </cell>
        </row>
        <row r="5946">
          <cell r="L5946"/>
          <cell r="S5946">
            <v>-65847.42</v>
          </cell>
          <cell r="X5946" t="str">
            <v>Commissions - share RI</v>
          </cell>
          <cell r="Y5946" t="str">
            <v>UNITED KINGDOM</v>
          </cell>
        </row>
        <row r="5947">
          <cell r="L5947"/>
          <cell r="S5947">
            <v>-21562.84</v>
          </cell>
          <cell r="X5947" t="str">
            <v>Commissions - share RI</v>
          </cell>
          <cell r="Y5947" t="str">
            <v>UNITED KINGDOM</v>
          </cell>
        </row>
        <row r="5948">
          <cell r="L5948"/>
          <cell r="S5948">
            <v>9485.1299999999992</v>
          </cell>
          <cell r="X5948" t="str">
            <v>Commissions - share RI</v>
          </cell>
          <cell r="Y5948" t="str">
            <v>UNITED KINGDOM</v>
          </cell>
        </row>
        <row r="5949">
          <cell r="L5949"/>
          <cell r="S5949">
            <v>28232.29</v>
          </cell>
          <cell r="X5949" t="str">
            <v>Commissions - share RI</v>
          </cell>
          <cell r="Y5949" t="str">
            <v>UNITED KINGDOM</v>
          </cell>
        </row>
        <row r="5950">
          <cell r="L5950"/>
          <cell r="S5950">
            <v>-344.37</v>
          </cell>
          <cell r="X5950" t="str">
            <v>Commissions - share RI</v>
          </cell>
          <cell r="Y5950" t="str">
            <v>UNITED KINGDOM</v>
          </cell>
        </row>
        <row r="5951">
          <cell r="L5951"/>
          <cell r="S5951">
            <v>-11248.87</v>
          </cell>
          <cell r="X5951" t="str">
            <v>Commissions - share RI</v>
          </cell>
          <cell r="Y5951" t="str">
            <v>UNITED KINGDOM</v>
          </cell>
        </row>
        <row r="5952">
          <cell r="L5952"/>
          <cell r="S5952">
            <v>-36919.29</v>
          </cell>
          <cell r="X5952" t="str">
            <v>Commissions - share RI</v>
          </cell>
          <cell r="Y5952" t="str">
            <v>UNITED KINGDOM</v>
          </cell>
        </row>
        <row r="5953">
          <cell r="L5953"/>
          <cell r="S5953">
            <v>-227.82</v>
          </cell>
          <cell r="X5953" t="str">
            <v>Commissions - share RI</v>
          </cell>
          <cell r="Y5953" t="str">
            <v>UNITED KINGDOM</v>
          </cell>
        </row>
        <row r="5954">
          <cell r="L5954"/>
          <cell r="S5954">
            <v>-11248.87</v>
          </cell>
          <cell r="X5954" t="str">
            <v>Commissions - share RI</v>
          </cell>
          <cell r="Y5954" t="str">
            <v>UNITED KINGDOM</v>
          </cell>
        </row>
        <row r="5955">
          <cell r="L5955"/>
          <cell r="S5955">
            <v>-341.16</v>
          </cell>
          <cell r="X5955" t="str">
            <v>Commissions - share RI</v>
          </cell>
          <cell r="Y5955" t="str">
            <v>UNITED KINGDOM</v>
          </cell>
        </row>
        <row r="5956">
          <cell r="L5956"/>
          <cell r="S5956">
            <v>-227.82</v>
          </cell>
          <cell r="X5956" t="str">
            <v>Commissions - share RI</v>
          </cell>
          <cell r="Y5956" t="str">
            <v>UNITED KINGDOM</v>
          </cell>
        </row>
        <row r="5957">
          <cell r="L5957"/>
          <cell r="S5957">
            <v>-35928.980000000003</v>
          </cell>
          <cell r="X5957" t="str">
            <v>Commissions - share RI</v>
          </cell>
          <cell r="Y5957" t="str">
            <v>UNITED KINGDOM</v>
          </cell>
        </row>
        <row r="5958">
          <cell r="L5958"/>
          <cell r="S5958">
            <v>-343.66</v>
          </cell>
          <cell r="X5958" t="str">
            <v>Commissions - share RI</v>
          </cell>
          <cell r="Y5958" t="str">
            <v>UNITED KINGDOM</v>
          </cell>
        </row>
        <row r="5959">
          <cell r="L5959"/>
          <cell r="S5959">
            <v>-36871.699999999997</v>
          </cell>
          <cell r="X5959" t="str">
            <v>Commissions - share RI</v>
          </cell>
          <cell r="Y5959" t="str">
            <v>UNITED KINGDOM</v>
          </cell>
        </row>
        <row r="5960">
          <cell r="L5960"/>
          <cell r="S5960">
            <v>-227.82</v>
          </cell>
          <cell r="X5960" t="str">
            <v>Commissions - share RI</v>
          </cell>
          <cell r="Y5960" t="str">
            <v>UNITED KINGDOM</v>
          </cell>
        </row>
        <row r="5961">
          <cell r="L5961"/>
          <cell r="S5961">
            <v>-11248.87</v>
          </cell>
          <cell r="X5961" t="str">
            <v>Commissions - share RI</v>
          </cell>
          <cell r="Y5961" t="str">
            <v>UNITED KINGDOM</v>
          </cell>
        </row>
        <row r="5962">
          <cell r="L5962"/>
          <cell r="S5962">
            <v>-227.82</v>
          </cell>
          <cell r="X5962" t="str">
            <v>Commissions - share RI</v>
          </cell>
          <cell r="Y5962" t="str">
            <v>UNITED KINGDOM</v>
          </cell>
        </row>
        <row r="5963">
          <cell r="L5963"/>
          <cell r="S5963">
            <v>-36981.56</v>
          </cell>
          <cell r="X5963" t="str">
            <v>Commissions - share RI</v>
          </cell>
          <cell r="Y5963" t="str">
            <v>UNITED KINGDOM</v>
          </cell>
        </row>
        <row r="5964">
          <cell r="L5964"/>
          <cell r="S5964">
            <v>-344.68</v>
          </cell>
          <cell r="X5964" t="str">
            <v>Commissions - share RI</v>
          </cell>
          <cell r="Y5964" t="str">
            <v>UNITED KINGDOM</v>
          </cell>
        </row>
        <row r="5965">
          <cell r="L5965"/>
          <cell r="S5965">
            <v>-11248.87</v>
          </cell>
          <cell r="X5965" t="str">
            <v>Commissions - share RI</v>
          </cell>
          <cell r="Y5965" t="str">
            <v>UNITED KINGDOM</v>
          </cell>
        </row>
        <row r="5966">
          <cell r="L5966"/>
          <cell r="S5966">
            <v>33803.07</v>
          </cell>
          <cell r="X5966" t="str">
            <v>Commissions - share RI</v>
          </cell>
          <cell r="Y5966" t="str">
            <v>UNITED KINGDOM</v>
          </cell>
        </row>
        <row r="5967">
          <cell r="L5967" t="str">
            <v>Non-proportional</v>
          </cell>
          <cell r="S5967">
            <v>-999.53</v>
          </cell>
          <cell r="X5967" t="str">
            <v>Commissions - share RI</v>
          </cell>
        </row>
        <row r="5968">
          <cell r="L5968" t="str">
            <v>Non-proportional</v>
          </cell>
          <cell r="S5968">
            <v>999.53</v>
          </cell>
          <cell r="X5968" t="str">
            <v>Commissions - share RI</v>
          </cell>
        </row>
        <row r="5969">
          <cell r="L5969" t="str">
            <v>Non-proportional</v>
          </cell>
          <cell r="S5969">
            <v>999.53</v>
          </cell>
          <cell r="X5969" t="str">
            <v>Commissions - share RI</v>
          </cell>
        </row>
        <row r="5970">
          <cell r="L5970" t="str">
            <v>Non-proportional</v>
          </cell>
          <cell r="S5970">
            <v>-999.53</v>
          </cell>
          <cell r="X5970" t="str">
            <v>Commissions - share RI</v>
          </cell>
        </row>
        <row r="5971">
          <cell r="L5971"/>
          <cell r="S5971">
            <v>-913.45</v>
          </cell>
          <cell r="X5971" t="str">
            <v>Commissions - share RI</v>
          </cell>
          <cell r="Y5971" t="str">
            <v>UNITED KINGDOM</v>
          </cell>
        </row>
        <row r="5972">
          <cell r="L5972"/>
          <cell r="S5972">
            <v>-48808.45</v>
          </cell>
          <cell r="X5972" t="str">
            <v>Commissions - share RI</v>
          </cell>
          <cell r="Y5972" t="str">
            <v>UNITED KINGDOM</v>
          </cell>
        </row>
        <row r="5973">
          <cell r="L5973"/>
          <cell r="S5973">
            <v>-10779.77</v>
          </cell>
          <cell r="X5973" t="str">
            <v>Commissions - share RI</v>
          </cell>
          <cell r="Y5973" t="str">
            <v>UNITED KINGDOM</v>
          </cell>
        </row>
        <row r="5974">
          <cell r="L5974"/>
          <cell r="S5974">
            <v>-290117.71999999997</v>
          </cell>
          <cell r="X5974" t="str">
            <v>Commissions - share RI</v>
          </cell>
          <cell r="Y5974" t="str">
            <v>UNITED KINGDOM</v>
          </cell>
        </row>
        <row r="5975">
          <cell r="L5975"/>
          <cell r="S5975">
            <v>-140.81</v>
          </cell>
          <cell r="X5975" t="str">
            <v>Commissions - share RI</v>
          </cell>
          <cell r="Y5975" t="str">
            <v>UNITED KINGDOM</v>
          </cell>
        </row>
        <row r="5976">
          <cell r="L5976"/>
          <cell r="S5976">
            <v>-72568.149999999994</v>
          </cell>
          <cell r="X5976" t="str">
            <v>Commissions - share RI</v>
          </cell>
          <cell r="Y5976" t="str">
            <v>UNITED KINGDOM</v>
          </cell>
        </row>
        <row r="5977">
          <cell r="L5977"/>
          <cell r="S5977">
            <v>663.01</v>
          </cell>
          <cell r="X5977" t="str">
            <v>Commissions - share RI</v>
          </cell>
          <cell r="Y5977" t="str">
            <v>UNITED KINGDOM</v>
          </cell>
        </row>
        <row r="5978">
          <cell r="L5978"/>
          <cell r="S5978">
            <v>-1012.2</v>
          </cell>
          <cell r="X5978" t="str">
            <v>Commissions - share RI</v>
          </cell>
          <cell r="Y5978" t="str">
            <v>UNITED KINGDOM</v>
          </cell>
        </row>
        <row r="5979">
          <cell r="L5979"/>
          <cell r="S5979">
            <v>-1360.8</v>
          </cell>
          <cell r="X5979" t="str">
            <v>Commissions - share RI</v>
          </cell>
          <cell r="Y5979" t="str">
            <v>UNITED KINGDOM</v>
          </cell>
        </row>
        <row r="5980">
          <cell r="L5980"/>
          <cell r="S5980">
            <v>1012.2</v>
          </cell>
          <cell r="X5980" t="str">
            <v>Commissions - share RI</v>
          </cell>
          <cell r="Y5980" t="str">
            <v>UNITED KINGDOM</v>
          </cell>
        </row>
        <row r="5981">
          <cell r="L5981"/>
          <cell r="S5981">
            <v>81.03</v>
          </cell>
          <cell r="X5981" t="str">
            <v>Commissions - share RI</v>
          </cell>
          <cell r="Y5981" t="str">
            <v>UNITED KINGDOM</v>
          </cell>
        </row>
        <row r="5982">
          <cell r="L5982"/>
          <cell r="S5982">
            <v>293.63</v>
          </cell>
          <cell r="X5982" t="str">
            <v>Commissions - share RI</v>
          </cell>
          <cell r="Y5982" t="str">
            <v>UNITED KINGDOM</v>
          </cell>
        </row>
        <row r="5983">
          <cell r="L5983"/>
          <cell r="S5983">
            <v>-165.76</v>
          </cell>
          <cell r="X5983" t="str">
            <v>Commissions - share RI</v>
          </cell>
          <cell r="Y5983" t="str">
            <v>UNITED KINGDOM</v>
          </cell>
        </row>
        <row r="5984">
          <cell r="L5984"/>
          <cell r="S5984">
            <v>393.63</v>
          </cell>
          <cell r="X5984" t="str">
            <v>Commissions - share RI</v>
          </cell>
          <cell r="Y5984" t="str">
            <v>UNITED KINGDOM</v>
          </cell>
        </row>
        <row r="5985">
          <cell r="L5985"/>
          <cell r="S5985">
            <v>-1275.75</v>
          </cell>
          <cell r="X5985" t="str">
            <v>Commissions - share RI</v>
          </cell>
          <cell r="Y5985" t="str">
            <v>UNITED KINGDOM</v>
          </cell>
        </row>
        <row r="5986">
          <cell r="L5986"/>
          <cell r="S5986">
            <v>-234.9</v>
          </cell>
          <cell r="X5986" t="str">
            <v>Commissions - share RI</v>
          </cell>
          <cell r="Y5986" t="str">
            <v>UNITED KINGDOM</v>
          </cell>
        </row>
        <row r="5987">
          <cell r="L5987"/>
          <cell r="S5987">
            <v>-497.26</v>
          </cell>
          <cell r="X5987" t="str">
            <v>Commissions - share RI</v>
          </cell>
          <cell r="Y5987" t="str">
            <v>UNITED KINGDOM</v>
          </cell>
        </row>
        <row r="5988">
          <cell r="L5988"/>
          <cell r="S5988">
            <v>497.26</v>
          </cell>
          <cell r="X5988" t="str">
            <v>Commissions - share RI</v>
          </cell>
          <cell r="Y5988" t="str">
            <v>UNITED KINGDOM</v>
          </cell>
        </row>
        <row r="5989">
          <cell r="L5989"/>
          <cell r="S5989">
            <v>-81.03</v>
          </cell>
          <cell r="X5989" t="str">
            <v>Commissions - share RI</v>
          </cell>
          <cell r="Y5989" t="str">
            <v>UNITED KINGDOM</v>
          </cell>
        </row>
        <row r="5990">
          <cell r="L5990"/>
          <cell r="S5990">
            <v>-552.51</v>
          </cell>
          <cell r="X5990" t="str">
            <v>Commissions - share RI</v>
          </cell>
          <cell r="Y5990" t="str">
            <v>UNITED KINGDOM</v>
          </cell>
        </row>
        <row r="5991">
          <cell r="L5991"/>
          <cell r="S5991">
            <v>-1360.8</v>
          </cell>
          <cell r="X5991" t="str">
            <v>Commissions - share RI</v>
          </cell>
          <cell r="Y5991" t="str">
            <v>UNITED KINGDOM</v>
          </cell>
        </row>
        <row r="5992">
          <cell r="L5992"/>
          <cell r="S5992">
            <v>1360.8</v>
          </cell>
          <cell r="X5992" t="str">
            <v>Commissions - share RI</v>
          </cell>
          <cell r="Y5992" t="str">
            <v>UNITED KINGDOM</v>
          </cell>
        </row>
        <row r="5993">
          <cell r="L5993"/>
          <cell r="S5993">
            <v>-393.63</v>
          </cell>
          <cell r="X5993" t="str">
            <v>Commissions - share RI</v>
          </cell>
          <cell r="Y5993" t="str">
            <v>UNITED KINGDOM</v>
          </cell>
        </row>
        <row r="5994">
          <cell r="L5994"/>
          <cell r="S5994">
            <v>-234.9</v>
          </cell>
          <cell r="X5994" t="str">
            <v>Commissions - share RI</v>
          </cell>
          <cell r="Y5994" t="str">
            <v>UNITED KINGDOM</v>
          </cell>
        </row>
        <row r="5995">
          <cell r="L5995"/>
          <cell r="S5995">
            <v>-293.63</v>
          </cell>
          <cell r="X5995" t="str">
            <v>Commissions - share RI</v>
          </cell>
          <cell r="Y5995" t="str">
            <v>UNITED KINGDOM</v>
          </cell>
        </row>
        <row r="5996">
          <cell r="L5996"/>
          <cell r="S5996">
            <v>-220.22</v>
          </cell>
          <cell r="X5996" t="str">
            <v>Commissions - share RI</v>
          </cell>
          <cell r="Y5996" t="str">
            <v>UNITED KINGDOM</v>
          </cell>
        </row>
        <row r="5997">
          <cell r="L5997"/>
          <cell r="S5997">
            <v>552.51</v>
          </cell>
          <cell r="X5997" t="str">
            <v>Commissions - share RI</v>
          </cell>
          <cell r="Y5997" t="str">
            <v>UNITED KINGDOM</v>
          </cell>
        </row>
        <row r="5998">
          <cell r="L5998"/>
          <cell r="S5998">
            <v>1701</v>
          </cell>
          <cell r="X5998" t="str">
            <v>Commissions - share RI</v>
          </cell>
          <cell r="Y5998" t="str">
            <v>UNITED KINGDOM</v>
          </cell>
        </row>
        <row r="5999">
          <cell r="L5999"/>
          <cell r="S5999">
            <v>234.9</v>
          </cell>
          <cell r="X5999" t="str">
            <v>Commissions - share RI</v>
          </cell>
          <cell r="Y5999" t="str">
            <v>UNITED KINGDOM</v>
          </cell>
        </row>
        <row r="6000">
          <cell r="L6000"/>
          <cell r="S6000">
            <v>402.81</v>
          </cell>
          <cell r="X6000" t="str">
            <v>Commissions - share RI</v>
          </cell>
          <cell r="Y6000" t="str">
            <v>UNITED KINGDOM</v>
          </cell>
        </row>
        <row r="6001">
          <cell r="L6001"/>
          <cell r="S6001">
            <v>165.76</v>
          </cell>
          <cell r="X6001" t="str">
            <v>Commissions - share RI</v>
          </cell>
          <cell r="Y6001" t="str">
            <v>UNITED KINGDOM</v>
          </cell>
        </row>
        <row r="6002">
          <cell r="L6002"/>
          <cell r="S6002">
            <v>1360.8</v>
          </cell>
          <cell r="X6002" t="str">
            <v>Commissions - share RI</v>
          </cell>
          <cell r="Y6002" t="str">
            <v>UNITED KINGDOM</v>
          </cell>
        </row>
        <row r="6003">
          <cell r="L6003"/>
          <cell r="S6003">
            <v>192.96</v>
          </cell>
          <cell r="X6003" t="str">
            <v>Commissions - share RI</v>
          </cell>
          <cell r="Y6003" t="str">
            <v>UNITED KINGDOM</v>
          </cell>
        </row>
        <row r="6004">
          <cell r="L6004"/>
          <cell r="S6004">
            <v>234.9</v>
          </cell>
          <cell r="X6004" t="str">
            <v>Commissions - share RI</v>
          </cell>
          <cell r="Y6004" t="str">
            <v>UNITED KINGDOM</v>
          </cell>
        </row>
        <row r="6005">
          <cell r="L6005"/>
          <cell r="S6005">
            <v>-192.96</v>
          </cell>
          <cell r="X6005" t="str">
            <v>Commissions - share RI</v>
          </cell>
          <cell r="Y6005" t="str">
            <v>UNITED KINGDOM</v>
          </cell>
        </row>
        <row r="6006">
          <cell r="L6006"/>
          <cell r="S6006">
            <v>-1701</v>
          </cell>
          <cell r="X6006" t="str">
            <v>Commissions - share RI</v>
          </cell>
          <cell r="Y6006" t="str">
            <v>UNITED KINGDOM</v>
          </cell>
        </row>
        <row r="6007">
          <cell r="L6007"/>
          <cell r="S6007">
            <v>-1118.92</v>
          </cell>
          <cell r="X6007" t="str">
            <v>Commissions - share RI</v>
          </cell>
          <cell r="Y6007" t="str">
            <v>UNITED KINGDOM</v>
          </cell>
        </row>
        <row r="6008">
          <cell r="L6008"/>
          <cell r="S6008">
            <v>-402.81</v>
          </cell>
          <cell r="X6008" t="str">
            <v>Commissions - share RI</v>
          </cell>
          <cell r="Y6008" t="str">
            <v>UNITED KINGDOM</v>
          </cell>
        </row>
        <row r="6009">
          <cell r="L6009"/>
          <cell r="S6009">
            <v>1118.92</v>
          </cell>
          <cell r="X6009" t="str">
            <v>Commissions - share RI</v>
          </cell>
          <cell r="Y6009" t="str">
            <v>UNITED KINGDOM</v>
          </cell>
        </row>
        <row r="6010">
          <cell r="L6010"/>
          <cell r="S6010">
            <v>-663.01</v>
          </cell>
          <cell r="X6010" t="str">
            <v>Commissions - share RI</v>
          </cell>
          <cell r="Y6010" t="str">
            <v>UNITED KINGDOM</v>
          </cell>
        </row>
        <row r="6011">
          <cell r="L6011"/>
          <cell r="S6011">
            <v>-9878.42</v>
          </cell>
          <cell r="X6011" t="str">
            <v>Commissions - share RI</v>
          </cell>
          <cell r="Y6011" t="str">
            <v>UNITED KINGDOM</v>
          </cell>
        </row>
        <row r="6012">
          <cell r="L6012"/>
          <cell r="S6012">
            <v>-30037.62</v>
          </cell>
          <cell r="X6012" t="str">
            <v>Commissions - share RI</v>
          </cell>
          <cell r="Y6012" t="str">
            <v>UNITED KINGDOM</v>
          </cell>
        </row>
        <row r="6013">
          <cell r="L6013"/>
          <cell r="S6013">
            <v>-4541.16</v>
          </cell>
          <cell r="X6013" t="str">
            <v>Commissions - share RI</v>
          </cell>
          <cell r="Y6013" t="str">
            <v>UNITED KINGDOM</v>
          </cell>
        </row>
        <row r="6014">
          <cell r="L6014"/>
          <cell r="S6014">
            <v>1293.7</v>
          </cell>
          <cell r="X6014" t="str">
            <v>Commissions - share RI</v>
          </cell>
          <cell r="Y6014" t="str">
            <v>UNITED KINGDOM</v>
          </cell>
        </row>
        <row r="6015">
          <cell r="L6015"/>
          <cell r="S6015">
            <v>-1014.63</v>
          </cell>
          <cell r="X6015" t="str">
            <v>Commissions - share RI</v>
          </cell>
          <cell r="Y6015" t="str">
            <v>UNITED KINGDOM</v>
          </cell>
        </row>
        <row r="6016">
          <cell r="L6016"/>
          <cell r="S6016">
            <v>-404.26</v>
          </cell>
          <cell r="X6016" t="str">
            <v>Commissions - share RI</v>
          </cell>
          <cell r="Y6016" t="str">
            <v>UNITED KINGDOM</v>
          </cell>
        </row>
        <row r="6017">
          <cell r="L6017"/>
          <cell r="S6017">
            <v>-2354.94</v>
          </cell>
          <cell r="X6017" t="str">
            <v>Commissions - share RI</v>
          </cell>
          <cell r="Y6017" t="str">
            <v>UNITED KINGDOM</v>
          </cell>
        </row>
        <row r="6018">
          <cell r="L6018"/>
          <cell r="S6018">
            <v>-4596.53</v>
          </cell>
          <cell r="X6018" t="str">
            <v>Commissions - share RI</v>
          </cell>
          <cell r="Y6018" t="str">
            <v>UNITED KINGDOM</v>
          </cell>
        </row>
        <row r="6019">
          <cell r="L6019"/>
          <cell r="S6019">
            <v>-10.29</v>
          </cell>
          <cell r="X6019" t="str">
            <v>Commissions - share RI</v>
          </cell>
          <cell r="Y6019" t="str">
            <v>UNITED KINGDOM</v>
          </cell>
        </row>
        <row r="6020">
          <cell r="L6020"/>
          <cell r="S6020">
            <v>-627.82000000000005</v>
          </cell>
          <cell r="X6020" t="str">
            <v>Commissions - share RI</v>
          </cell>
          <cell r="Y6020" t="str">
            <v>UNITED KINGDOM</v>
          </cell>
        </row>
        <row r="6021">
          <cell r="L6021"/>
          <cell r="S6021">
            <v>19.82</v>
          </cell>
          <cell r="X6021" t="str">
            <v>Commissions - share RI</v>
          </cell>
          <cell r="Y6021" t="str">
            <v>UNITED KINGDOM</v>
          </cell>
        </row>
        <row r="6022">
          <cell r="L6022"/>
          <cell r="S6022">
            <v>-27.54</v>
          </cell>
          <cell r="X6022" t="str">
            <v>Commissions - share RI</v>
          </cell>
          <cell r="Y6022" t="str">
            <v>UNITED KINGDOM</v>
          </cell>
        </row>
        <row r="6023">
          <cell r="L6023"/>
          <cell r="S6023">
            <v>-175.19</v>
          </cell>
          <cell r="X6023" t="str">
            <v>Commissions - share RI</v>
          </cell>
          <cell r="Y6023" t="str">
            <v>UNITED KINGDOM</v>
          </cell>
        </row>
        <row r="6024">
          <cell r="L6024"/>
          <cell r="S6024">
            <v>-2221.33</v>
          </cell>
          <cell r="X6024" t="str">
            <v>Commissions - share RI</v>
          </cell>
          <cell r="Y6024" t="str">
            <v>UNITED KINGDOM</v>
          </cell>
        </row>
        <row r="6025">
          <cell r="L6025"/>
          <cell r="S6025">
            <v>-1236.3699999999999</v>
          </cell>
          <cell r="X6025" t="str">
            <v>Commissions - share RI</v>
          </cell>
          <cell r="Y6025" t="str">
            <v>UNITED KINGDOM</v>
          </cell>
        </row>
        <row r="6026">
          <cell r="L6026"/>
          <cell r="S6026">
            <v>-504.42</v>
          </cell>
          <cell r="X6026" t="str">
            <v>Commissions - share RI</v>
          </cell>
          <cell r="Y6026" t="str">
            <v>UNITED KINGDOM</v>
          </cell>
        </row>
        <row r="6027">
          <cell r="L6027"/>
          <cell r="S6027">
            <v>319.04000000000002</v>
          </cell>
          <cell r="X6027" t="str">
            <v>Commissions - share RI</v>
          </cell>
          <cell r="Y6027" t="str">
            <v>UNITED KINGDOM</v>
          </cell>
        </row>
        <row r="6028">
          <cell r="L6028"/>
          <cell r="S6028">
            <v>-211.15</v>
          </cell>
          <cell r="X6028" t="str">
            <v>Commissions - share RI</v>
          </cell>
          <cell r="Y6028" t="str">
            <v>UNITED KINGDOM</v>
          </cell>
        </row>
        <row r="6029">
          <cell r="L6029"/>
          <cell r="S6029">
            <v>6.54</v>
          </cell>
          <cell r="X6029" t="str">
            <v>Commissions - share RI</v>
          </cell>
          <cell r="Y6029" t="str">
            <v>UNITED KINGDOM</v>
          </cell>
        </row>
        <row r="6030">
          <cell r="L6030"/>
          <cell r="S6030">
            <v>80.849999999999994</v>
          </cell>
          <cell r="X6030" t="str">
            <v>Commissions - share RI</v>
          </cell>
          <cell r="Y6030" t="str">
            <v>UNITED KINGDOM</v>
          </cell>
        </row>
        <row r="6031">
          <cell r="L6031"/>
          <cell r="S6031">
            <v>-159.52000000000001</v>
          </cell>
          <cell r="X6031" t="str">
            <v>Commissions - share RI</v>
          </cell>
          <cell r="Y6031" t="str">
            <v>UNITED KINGDOM</v>
          </cell>
        </row>
        <row r="6032">
          <cell r="L6032"/>
          <cell r="S6032">
            <v>-62.25</v>
          </cell>
          <cell r="X6032" t="str">
            <v>Commissions - share RI</v>
          </cell>
          <cell r="Y6032" t="str">
            <v>UNITED KINGDOM</v>
          </cell>
        </row>
        <row r="6033">
          <cell r="L6033"/>
          <cell r="S6033">
            <v>-784.78</v>
          </cell>
          <cell r="X6033" t="str">
            <v>Commissions - share RI</v>
          </cell>
          <cell r="Y6033" t="str">
            <v>UNITED KINGDOM</v>
          </cell>
        </row>
        <row r="6034">
          <cell r="L6034"/>
          <cell r="S6034">
            <v>-142.80000000000001</v>
          </cell>
          <cell r="X6034" t="str">
            <v>Commissions - share RI</v>
          </cell>
          <cell r="Y6034" t="str">
            <v>UNITED KINGDOM</v>
          </cell>
        </row>
        <row r="6035">
          <cell r="L6035"/>
          <cell r="S6035">
            <v>989.09</v>
          </cell>
          <cell r="X6035" t="str">
            <v>Commissions - share RI</v>
          </cell>
          <cell r="Y6035" t="str">
            <v>UNITED KINGDOM</v>
          </cell>
        </row>
        <row r="6036">
          <cell r="L6036"/>
          <cell r="S6036">
            <v>-19.5</v>
          </cell>
          <cell r="X6036" t="str">
            <v>Commissions - share RI</v>
          </cell>
          <cell r="Y6036" t="str">
            <v>UNITED KINGDOM</v>
          </cell>
        </row>
        <row r="6037">
          <cell r="L6037"/>
          <cell r="S6037">
            <v>175.19</v>
          </cell>
          <cell r="X6037" t="str">
            <v>Commissions - share RI</v>
          </cell>
          <cell r="Y6037" t="str">
            <v>UNITED KINGDOM</v>
          </cell>
        </row>
        <row r="6038">
          <cell r="L6038"/>
          <cell r="S6038">
            <v>240</v>
          </cell>
          <cell r="X6038" t="str">
            <v>Commissions - share RI</v>
          </cell>
          <cell r="Y6038" t="str">
            <v>UNITED KINGDOM</v>
          </cell>
        </row>
        <row r="6039">
          <cell r="L6039"/>
          <cell r="S6039">
            <v>129.4</v>
          </cell>
          <cell r="X6039" t="str">
            <v>Commissions - share RI</v>
          </cell>
          <cell r="Y6039" t="str">
            <v>UNITED KINGDOM</v>
          </cell>
        </row>
        <row r="6040">
          <cell r="L6040"/>
          <cell r="S6040">
            <v>189.26</v>
          </cell>
          <cell r="X6040" t="str">
            <v>Commissions - share RI</v>
          </cell>
          <cell r="Y6040" t="str">
            <v>UNITED KINGDOM</v>
          </cell>
        </row>
        <row r="6041">
          <cell r="L6041"/>
          <cell r="S6041">
            <v>-383.98</v>
          </cell>
          <cell r="X6041" t="str">
            <v>Commissions - share RI</v>
          </cell>
          <cell r="Y6041" t="str">
            <v>UNITED KINGDOM</v>
          </cell>
        </row>
        <row r="6042">
          <cell r="L6042"/>
          <cell r="S6042">
            <v>-182.25</v>
          </cell>
          <cell r="X6042" t="str">
            <v>Commissions - share RI</v>
          </cell>
          <cell r="Y6042" t="str">
            <v>UNITED KINGDOM</v>
          </cell>
        </row>
        <row r="6043">
          <cell r="L6043"/>
          <cell r="S6043">
            <v>-4681.32</v>
          </cell>
          <cell r="X6043" t="str">
            <v>Commissions - share RI</v>
          </cell>
          <cell r="Y6043" t="str">
            <v>UNITED KINGDOM</v>
          </cell>
        </row>
        <row r="6044">
          <cell r="L6044"/>
          <cell r="S6044">
            <v>-351.67</v>
          </cell>
          <cell r="X6044" t="str">
            <v>Commissions - share RI</v>
          </cell>
          <cell r="Y6044" t="str">
            <v>UNITED KINGDOM</v>
          </cell>
        </row>
        <row r="6045">
          <cell r="L6045"/>
          <cell r="S6045">
            <v>272.89</v>
          </cell>
          <cell r="X6045" t="str">
            <v>Commissions - share RI</v>
          </cell>
          <cell r="Y6045" t="str">
            <v>UNITED KINGDOM</v>
          </cell>
        </row>
        <row r="6046">
          <cell r="L6046"/>
          <cell r="S6046">
            <v>111.86</v>
          </cell>
          <cell r="X6046" t="str">
            <v>Commissions - share RI</v>
          </cell>
          <cell r="Y6046" t="str">
            <v>UNITED KINGDOM</v>
          </cell>
        </row>
        <row r="6047">
          <cell r="L6047"/>
          <cell r="S6047">
            <v>-563.79999999999995</v>
          </cell>
          <cell r="X6047" t="str">
            <v>Commissions - share RI</v>
          </cell>
          <cell r="Y6047" t="str">
            <v>UNITED KINGDOM</v>
          </cell>
        </row>
        <row r="6048">
          <cell r="L6048"/>
          <cell r="S6048">
            <v>-189.26</v>
          </cell>
          <cell r="X6048" t="str">
            <v>Commissions - share RI</v>
          </cell>
          <cell r="Y6048" t="str">
            <v>UNITED KINGDOM</v>
          </cell>
        </row>
        <row r="6049">
          <cell r="L6049"/>
          <cell r="S6049">
            <v>0.35</v>
          </cell>
          <cell r="X6049" t="str">
            <v>Commissions - share RI</v>
          </cell>
          <cell r="Y6049" t="str">
            <v>UNITED KINGDOM</v>
          </cell>
        </row>
        <row r="6050">
          <cell r="L6050"/>
          <cell r="S6050">
            <v>182.25</v>
          </cell>
          <cell r="X6050" t="str">
            <v>Commissions - share RI</v>
          </cell>
          <cell r="Y6050" t="str">
            <v>UNITED KINGDOM</v>
          </cell>
        </row>
        <row r="6051">
          <cell r="L6051"/>
          <cell r="S6051">
            <v>105.69</v>
          </cell>
          <cell r="X6051" t="str">
            <v>Commissions - share RI</v>
          </cell>
          <cell r="Y6051" t="str">
            <v>UNITED KINGDOM</v>
          </cell>
        </row>
        <row r="6052">
          <cell r="L6052"/>
          <cell r="S6052">
            <v>62.25</v>
          </cell>
          <cell r="X6052" t="str">
            <v>Commissions - share RI</v>
          </cell>
          <cell r="Y6052" t="str">
            <v>UNITED KINGDOM</v>
          </cell>
        </row>
        <row r="6053">
          <cell r="L6053"/>
          <cell r="S6053">
            <v>168.9</v>
          </cell>
          <cell r="X6053" t="str">
            <v>Commissions - share RI</v>
          </cell>
          <cell r="Y6053" t="str">
            <v>UNITED KINGDOM</v>
          </cell>
        </row>
        <row r="6054">
          <cell r="L6054"/>
          <cell r="S6054">
            <v>-240</v>
          </cell>
          <cell r="X6054" t="str">
            <v>Commissions - share RI</v>
          </cell>
          <cell r="Y6054" t="str">
            <v>UNITED KINGDOM</v>
          </cell>
        </row>
        <row r="6055">
          <cell r="L6055"/>
          <cell r="S6055">
            <v>10.29</v>
          </cell>
          <cell r="X6055" t="str">
            <v>Commissions - share RI</v>
          </cell>
          <cell r="Y6055" t="str">
            <v>UNITED KINGDOM</v>
          </cell>
        </row>
        <row r="6056">
          <cell r="L6056"/>
          <cell r="S6056">
            <v>-6.54</v>
          </cell>
          <cell r="X6056" t="str">
            <v>Commissions - share RI</v>
          </cell>
          <cell r="Y6056" t="str">
            <v>UNITED KINGDOM</v>
          </cell>
        </row>
        <row r="6057">
          <cell r="L6057"/>
          <cell r="S6057">
            <v>-15.65</v>
          </cell>
          <cell r="X6057" t="str">
            <v>Commissions - share RI</v>
          </cell>
          <cell r="Y6057" t="str">
            <v>UNITED KINGDOM</v>
          </cell>
        </row>
        <row r="6058">
          <cell r="L6058"/>
          <cell r="S6058">
            <v>62.25</v>
          </cell>
          <cell r="X6058" t="str">
            <v>Commissions - share RI</v>
          </cell>
          <cell r="Y6058" t="str">
            <v>UNITED KINGDOM</v>
          </cell>
        </row>
        <row r="6059">
          <cell r="L6059"/>
          <cell r="S6059">
            <v>-451.05</v>
          </cell>
          <cell r="X6059" t="str">
            <v>Commissions - share RI</v>
          </cell>
          <cell r="Y6059" t="str">
            <v>UNITED KINGDOM</v>
          </cell>
        </row>
        <row r="6060">
          <cell r="L6060"/>
          <cell r="S6060">
            <v>-215.61</v>
          </cell>
          <cell r="X6060" t="str">
            <v>Commissions - share RI</v>
          </cell>
          <cell r="Y6060" t="str">
            <v>UNITED KINGDOM</v>
          </cell>
        </row>
        <row r="6061">
          <cell r="L6061"/>
          <cell r="S6061">
            <v>351.67</v>
          </cell>
          <cell r="X6061" t="str">
            <v>Commissions - share RI</v>
          </cell>
          <cell r="Y6061" t="str">
            <v>UNITED KINGDOM</v>
          </cell>
        </row>
        <row r="6062">
          <cell r="L6062"/>
          <cell r="S6062">
            <v>2.2200000000000002</v>
          </cell>
          <cell r="X6062" t="str">
            <v>Commissions - share RI</v>
          </cell>
          <cell r="Y6062" t="str">
            <v>UNITED KINGDOM</v>
          </cell>
        </row>
        <row r="6063">
          <cell r="L6063"/>
          <cell r="S6063">
            <v>-236.57</v>
          </cell>
          <cell r="X6063" t="str">
            <v>Commissions - share RI</v>
          </cell>
          <cell r="Y6063" t="str">
            <v>UNITED KINGDOM</v>
          </cell>
        </row>
        <row r="6064">
          <cell r="L6064"/>
          <cell r="S6064">
            <v>2221.33</v>
          </cell>
          <cell r="X6064" t="str">
            <v>Commissions - share RI</v>
          </cell>
          <cell r="Y6064" t="str">
            <v>UNITED KINGDOM</v>
          </cell>
        </row>
        <row r="6065">
          <cell r="L6065"/>
          <cell r="S6065">
            <v>-19.82</v>
          </cell>
          <cell r="X6065" t="str">
            <v>Commissions - share RI</v>
          </cell>
          <cell r="Y6065" t="str">
            <v>UNITED KINGDOM</v>
          </cell>
        </row>
        <row r="6066">
          <cell r="L6066"/>
          <cell r="S6066">
            <v>-270</v>
          </cell>
          <cell r="X6066" t="str">
            <v>Commissions - share RI</v>
          </cell>
          <cell r="Y6066" t="str">
            <v>UNITED KINGDOM</v>
          </cell>
        </row>
        <row r="6067">
          <cell r="L6067"/>
          <cell r="S6067">
            <v>1186.92</v>
          </cell>
          <cell r="X6067" t="str">
            <v>Commissions - share RI</v>
          </cell>
          <cell r="Y6067" t="str">
            <v>UNITED KINGDOM</v>
          </cell>
        </row>
        <row r="6068">
          <cell r="L6068"/>
          <cell r="S6068">
            <v>-62.25</v>
          </cell>
          <cell r="X6068" t="str">
            <v>Commissions - share RI</v>
          </cell>
          <cell r="Y6068" t="str">
            <v>UNITED KINGDOM</v>
          </cell>
        </row>
        <row r="6069">
          <cell r="L6069"/>
          <cell r="S6069">
            <v>-819.69</v>
          </cell>
          <cell r="X6069" t="str">
            <v>Commissions - share RI</v>
          </cell>
          <cell r="Y6069" t="str">
            <v>UNITED KINGDOM</v>
          </cell>
        </row>
        <row r="6070">
          <cell r="L6070"/>
          <cell r="S6070">
            <v>168.9</v>
          </cell>
          <cell r="X6070" t="str">
            <v>Commissions - share RI</v>
          </cell>
          <cell r="Y6070" t="str">
            <v>UNITED KINGDOM</v>
          </cell>
        </row>
        <row r="6071">
          <cell r="L6071"/>
          <cell r="S6071">
            <v>-77.37</v>
          </cell>
          <cell r="X6071" t="str">
            <v>Commissions - share RI</v>
          </cell>
          <cell r="Y6071" t="str">
            <v>UNITED KINGDOM</v>
          </cell>
        </row>
        <row r="6072">
          <cell r="L6072"/>
          <cell r="S6072">
            <v>-467.61</v>
          </cell>
          <cell r="X6072" t="str">
            <v>Commissions - share RI</v>
          </cell>
          <cell r="Y6072" t="str">
            <v>UNITED KINGDOM</v>
          </cell>
        </row>
        <row r="6073">
          <cell r="L6073"/>
          <cell r="S6073">
            <v>-80.849999999999994</v>
          </cell>
          <cell r="X6073" t="str">
            <v>Commissions - share RI</v>
          </cell>
          <cell r="Y6073" t="str">
            <v>UNITED KINGDOM</v>
          </cell>
        </row>
        <row r="6074">
          <cell r="L6074"/>
          <cell r="S6074">
            <v>-3745.03</v>
          </cell>
          <cell r="X6074" t="str">
            <v>Commissions - share RI</v>
          </cell>
          <cell r="Y6074" t="str">
            <v>UNITED KINGDOM</v>
          </cell>
        </row>
        <row r="6075">
          <cell r="L6075"/>
          <cell r="S6075">
            <v>146.41</v>
          </cell>
          <cell r="X6075" t="str">
            <v>Commissions - share RI</v>
          </cell>
          <cell r="Y6075" t="str">
            <v>UNITED KINGDOM</v>
          </cell>
        </row>
        <row r="6076">
          <cell r="L6076"/>
          <cell r="S6076">
            <v>-989.09</v>
          </cell>
          <cell r="X6076" t="str">
            <v>Commissions - share RI</v>
          </cell>
          <cell r="Y6076" t="str">
            <v>UNITED KINGDOM</v>
          </cell>
        </row>
        <row r="6077">
          <cell r="L6077"/>
          <cell r="S6077">
            <v>270</v>
          </cell>
          <cell r="X6077" t="str">
            <v>Commissions - share RI</v>
          </cell>
          <cell r="Y6077" t="str">
            <v>UNITED KINGDOM</v>
          </cell>
        </row>
        <row r="6078">
          <cell r="L6078"/>
          <cell r="S6078">
            <v>-168.9</v>
          </cell>
          <cell r="X6078" t="str">
            <v>Commissions - share RI</v>
          </cell>
          <cell r="Y6078" t="str">
            <v>UNITED KINGDOM</v>
          </cell>
        </row>
        <row r="6079">
          <cell r="L6079"/>
          <cell r="S6079">
            <v>627.82000000000005</v>
          </cell>
          <cell r="X6079" t="str">
            <v>Commissions - share RI</v>
          </cell>
          <cell r="Y6079" t="str">
            <v>UNITED KINGDOM</v>
          </cell>
        </row>
        <row r="6080">
          <cell r="L6080"/>
          <cell r="S6080">
            <v>-110.34</v>
          </cell>
          <cell r="X6080" t="str">
            <v>Commissions - share RI</v>
          </cell>
          <cell r="Y6080" t="str">
            <v>UNITED KINGDOM</v>
          </cell>
        </row>
        <row r="6081">
          <cell r="L6081"/>
          <cell r="S6081">
            <v>-39.49</v>
          </cell>
          <cell r="X6081" t="str">
            <v>Commissions - share RI</v>
          </cell>
          <cell r="Y6081" t="str">
            <v>UNITED KINGDOM</v>
          </cell>
        </row>
        <row r="6082">
          <cell r="L6082"/>
          <cell r="S6082">
            <v>270</v>
          </cell>
          <cell r="X6082" t="str">
            <v>Commissions - share RI</v>
          </cell>
          <cell r="Y6082" t="str">
            <v>UNITED KINGDOM</v>
          </cell>
        </row>
        <row r="6083">
          <cell r="L6083"/>
          <cell r="S6083">
            <v>-129.4</v>
          </cell>
          <cell r="X6083" t="str">
            <v>Commissions - share RI</v>
          </cell>
          <cell r="Y6083" t="str">
            <v>UNITED KINGDOM</v>
          </cell>
        </row>
        <row r="6084">
          <cell r="L6084"/>
          <cell r="S6084">
            <v>-1483.64</v>
          </cell>
          <cell r="X6084" t="str">
            <v>Commissions - share RI</v>
          </cell>
          <cell r="Y6084" t="str">
            <v>UNITED KINGDOM</v>
          </cell>
        </row>
        <row r="6085">
          <cell r="L6085"/>
          <cell r="S6085">
            <v>-270</v>
          </cell>
          <cell r="X6085" t="str">
            <v>Commissions - share RI</v>
          </cell>
          <cell r="Y6085" t="str">
            <v>UNITED KINGDOM</v>
          </cell>
        </row>
        <row r="6086">
          <cell r="L6086"/>
          <cell r="S6086">
            <v>39.49</v>
          </cell>
          <cell r="X6086" t="str">
            <v>Commissions - share RI</v>
          </cell>
          <cell r="Y6086" t="str">
            <v>UNITED KINGDOM</v>
          </cell>
        </row>
        <row r="6087">
          <cell r="L6087"/>
          <cell r="S6087">
            <v>-1166.48</v>
          </cell>
          <cell r="X6087" t="str">
            <v>Commissions - share RI</v>
          </cell>
          <cell r="Y6087" t="str">
            <v>UNITED KINGDOM</v>
          </cell>
        </row>
        <row r="6088">
          <cell r="L6088"/>
          <cell r="S6088">
            <v>337.81</v>
          </cell>
          <cell r="X6088" t="str">
            <v>Commissions - share RI</v>
          </cell>
          <cell r="Y6088" t="str">
            <v>UNITED KINGDOM</v>
          </cell>
        </row>
        <row r="6089">
          <cell r="L6089"/>
          <cell r="S6089">
            <v>1890.28</v>
          </cell>
          <cell r="X6089" t="str">
            <v>Commissions - share RI</v>
          </cell>
          <cell r="Y6089" t="str">
            <v>UNITED KINGDOM</v>
          </cell>
        </row>
        <row r="6090">
          <cell r="L6090"/>
          <cell r="S6090">
            <v>-14.55</v>
          </cell>
          <cell r="X6090" t="str">
            <v>Commissions - share RI</v>
          </cell>
          <cell r="Y6090" t="str">
            <v>UNITED KINGDOM</v>
          </cell>
        </row>
        <row r="6091">
          <cell r="L6091"/>
          <cell r="S6091">
            <v>15.65</v>
          </cell>
          <cell r="X6091" t="str">
            <v>Commissions - share RI</v>
          </cell>
          <cell r="Y6091" t="str">
            <v>UNITED KINGDOM</v>
          </cell>
        </row>
        <row r="6092">
          <cell r="L6092"/>
          <cell r="S6092">
            <v>-111.86</v>
          </cell>
          <cell r="X6092" t="str">
            <v>Commissions - share RI</v>
          </cell>
          <cell r="Y6092" t="str">
            <v>UNITED KINGDOM</v>
          </cell>
        </row>
        <row r="6093">
          <cell r="L6093"/>
          <cell r="S6093">
            <v>-1186.92</v>
          </cell>
          <cell r="X6093" t="str">
            <v>Commissions - share RI</v>
          </cell>
          <cell r="Y6093" t="str">
            <v>UNITED KINGDOM</v>
          </cell>
        </row>
        <row r="6094">
          <cell r="L6094"/>
          <cell r="S6094">
            <v>-2776.67</v>
          </cell>
          <cell r="X6094" t="str">
            <v>Commissions - share RI</v>
          </cell>
          <cell r="Y6094" t="str">
            <v>UNITED KINGDOM</v>
          </cell>
        </row>
        <row r="6095">
          <cell r="L6095"/>
          <cell r="S6095">
            <v>-1890.28</v>
          </cell>
          <cell r="X6095" t="str">
            <v>Commissions - share RI</v>
          </cell>
          <cell r="Y6095" t="str">
            <v>UNITED KINGDOM</v>
          </cell>
        </row>
        <row r="6096">
          <cell r="L6096"/>
          <cell r="S6096">
            <v>-2.2200000000000002</v>
          </cell>
          <cell r="X6096" t="str">
            <v>Commissions - share RI</v>
          </cell>
          <cell r="Y6096" t="str">
            <v>UNITED KINGDOM</v>
          </cell>
        </row>
        <row r="6097">
          <cell r="L6097"/>
          <cell r="S6097">
            <v>-168.9</v>
          </cell>
          <cell r="X6097" t="str">
            <v>Commissions - share RI</v>
          </cell>
          <cell r="Y6097" t="str">
            <v>UNITED KINGDOM</v>
          </cell>
        </row>
        <row r="6098">
          <cell r="L6098"/>
          <cell r="S6098">
            <v>-0.35</v>
          </cell>
          <cell r="X6098" t="str">
            <v>Commissions - share RI</v>
          </cell>
          <cell r="Y6098" t="str">
            <v>UNITED KINGDOM</v>
          </cell>
        </row>
        <row r="6099">
          <cell r="L6099"/>
          <cell r="S6099">
            <v>-105.69</v>
          </cell>
          <cell r="X6099" t="str">
            <v>Commissions - share RI</v>
          </cell>
          <cell r="Y6099" t="str">
            <v>UNITED KINGDOM</v>
          </cell>
        </row>
        <row r="6100">
          <cell r="L6100"/>
          <cell r="S6100">
            <v>-146.41</v>
          </cell>
          <cell r="X6100" t="str">
            <v>Commissions - share RI</v>
          </cell>
          <cell r="Y6100" t="str">
            <v>UNITED KINGDOM</v>
          </cell>
        </row>
        <row r="6101">
          <cell r="L6101"/>
          <cell r="S6101">
            <v>19.5</v>
          </cell>
          <cell r="X6101" t="str">
            <v>Commissions - share RI</v>
          </cell>
          <cell r="Y6101" t="str">
            <v>UNITED KINGDOM</v>
          </cell>
        </row>
        <row r="6102">
          <cell r="L6102"/>
          <cell r="S6102">
            <v>-315.26</v>
          </cell>
          <cell r="X6102" t="str">
            <v>Commissions - share RI</v>
          </cell>
          <cell r="Y6102" t="str">
            <v>UNITED KINGDOM</v>
          </cell>
        </row>
        <row r="6103">
          <cell r="L6103"/>
          <cell r="S6103">
            <v>-218.99</v>
          </cell>
          <cell r="X6103" t="str">
            <v>Commissions - share RI</v>
          </cell>
          <cell r="Y6103" t="str">
            <v>UNITED KINGDOM</v>
          </cell>
        </row>
        <row r="6104">
          <cell r="L6104"/>
          <cell r="S6104">
            <v>-2362.84</v>
          </cell>
          <cell r="X6104" t="str">
            <v>Commissions - share RI</v>
          </cell>
          <cell r="Y6104" t="str">
            <v>UNITED KINGDOM</v>
          </cell>
        </row>
        <row r="6105">
          <cell r="L6105"/>
          <cell r="S6105">
            <v>-325</v>
          </cell>
          <cell r="X6105" t="str">
            <v>Commissions - share RI</v>
          </cell>
          <cell r="Y6105" t="str">
            <v>UNITED KINGDOM</v>
          </cell>
        </row>
        <row r="6106">
          <cell r="L6106"/>
          <cell r="S6106">
            <v>451.05</v>
          </cell>
          <cell r="X6106" t="str">
            <v>Commissions - share RI</v>
          </cell>
          <cell r="Y6106" t="str">
            <v>UNITED KINGDOM</v>
          </cell>
        </row>
        <row r="6107">
          <cell r="L6107"/>
          <cell r="S6107">
            <v>3745.03</v>
          </cell>
          <cell r="X6107" t="str">
            <v>Commissions - share RI</v>
          </cell>
          <cell r="Y6107" t="str">
            <v>UNITED KINGDOM</v>
          </cell>
        </row>
        <row r="6108">
          <cell r="L6108"/>
          <cell r="S6108">
            <v>-439.6</v>
          </cell>
          <cell r="X6108" t="str">
            <v>Commissions - share RI</v>
          </cell>
          <cell r="Y6108" t="str">
            <v>UNITED KINGDOM</v>
          </cell>
        </row>
        <row r="6109">
          <cell r="L6109"/>
          <cell r="S6109">
            <v>77.37</v>
          </cell>
          <cell r="X6109" t="str">
            <v>Commissions - share RI</v>
          </cell>
          <cell r="Y6109" t="str">
            <v>UNITED KINGDOM</v>
          </cell>
        </row>
        <row r="6110">
          <cell r="L6110"/>
          <cell r="S6110">
            <v>14.55</v>
          </cell>
          <cell r="X6110" t="str">
            <v>Commissions - share RI</v>
          </cell>
          <cell r="Y6110" t="str">
            <v>UNITED KINGDOM</v>
          </cell>
        </row>
        <row r="6111">
          <cell r="L6111"/>
          <cell r="S6111">
            <v>270</v>
          </cell>
          <cell r="X6111" t="str">
            <v>Commissions - share RI</v>
          </cell>
          <cell r="Y6111" t="str">
            <v>UNITED KINGDOM</v>
          </cell>
        </row>
        <row r="6112">
          <cell r="L6112"/>
          <cell r="S6112">
            <v>-272.89</v>
          </cell>
          <cell r="X6112" t="str">
            <v>Commissions - share RI</v>
          </cell>
          <cell r="Y6112" t="str">
            <v>UNITED KINGDOM</v>
          </cell>
        </row>
        <row r="6113">
          <cell r="L6113"/>
          <cell r="S6113">
            <v>-337.81</v>
          </cell>
          <cell r="X6113" t="str">
            <v>Commissions - share RI</v>
          </cell>
          <cell r="Y6113" t="str">
            <v>UNITED KINGDOM</v>
          </cell>
        </row>
        <row r="6114">
          <cell r="L6114"/>
          <cell r="S6114">
            <v>-933.18</v>
          </cell>
          <cell r="X6114" t="str">
            <v>Commissions - share RI</v>
          </cell>
          <cell r="Y6114" t="str">
            <v>UNITED KINGDOM</v>
          </cell>
        </row>
        <row r="6115">
          <cell r="L6115"/>
          <cell r="S6115">
            <v>88.27</v>
          </cell>
          <cell r="X6115" t="str">
            <v>Commissions - share RI</v>
          </cell>
          <cell r="Y6115" t="str">
            <v>UNITED KINGDOM</v>
          </cell>
        </row>
        <row r="6116">
          <cell r="L6116"/>
          <cell r="S6116">
            <v>-389.92</v>
          </cell>
          <cell r="X6116" t="str">
            <v>Commissions - share RI</v>
          </cell>
          <cell r="Y6116" t="str">
            <v>UNITED KINGDOM</v>
          </cell>
        </row>
        <row r="6117">
          <cell r="L6117"/>
          <cell r="S6117">
            <v>-88.27</v>
          </cell>
          <cell r="X6117" t="str">
            <v>Commissions - share RI</v>
          </cell>
          <cell r="Y6117" t="str">
            <v>UNITED KINGDOM</v>
          </cell>
        </row>
        <row r="6118">
          <cell r="L6118"/>
          <cell r="S6118">
            <v>-403.54</v>
          </cell>
          <cell r="X6118" t="str">
            <v>Commissions - share RI</v>
          </cell>
          <cell r="Y6118" t="str">
            <v>UNITED KINGDOM</v>
          </cell>
        </row>
        <row r="6119">
          <cell r="L6119"/>
          <cell r="S6119">
            <v>-119.08</v>
          </cell>
          <cell r="X6119" t="str">
            <v>Commissions - share RI</v>
          </cell>
          <cell r="Y6119" t="str">
            <v>UNITED KINGDOM</v>
          </cell>
        </row>
        <row r="6120">
          <cell r="L6120"/>
          <cell r="S6120">
            <v>-655.75</v>
          </cell>
          <cell r="X6120" t="str">
            <v>Commissions - share RI</v>
          </cell>
          <cell r="Y6120" t="str">
            <v>UNITED KINGDOM</v>
          </cell>
        </row>
        <row r="6121">
          <cell r="L6121"/>
          <cell r="S6121">
            <v>252.21</v>
          </cell>
          <cell r="X6121" t="str">
            <v>Commissions - share RI</v>
          </cell>
          <cell r="Y6121" t="str">
            <v>UNITED KINGDOM</v>
          </cell>
        </row>
        <row r="6122">
          <cell r="L6122"/>
          <cell r="S6122">
            <v>211.15</v>
          </cell>
          <cell r="X6122" t="str">
            <v>Commissions - share RI</v>
          </cell>
          <cell r="Y6122" t="str">
            <v>UNITED KINGDOM</v>
          </cell>
        </row>
        <row r="6123">
          <cell r="L6123"/>
          <cell r="S6123">
            <v>389.92</v>
          </cell>
          <cell r="X6123" t="str">
            <v>Commissions - share RI</v>
          </cell>
          <cell r="Y6123" t="str">
            <v>UNITED KINGDOM</v>
          </cell>
        </row>
        <row r="6124">
          <cell r="L6124"/>
          <cell r="S6124">
            <v>-270</v>
          </cell>
          <cell r="X6124" t="str">
            <v>Commissions - share RI</v>
          </cell>
          <cell r="Y6124" t="str">
            <v>UNITED KINGDOM</v>
          </cell>
        </row>
        <row r="6125">
          <cell r="L6125"/>
          <cell r="S6125">
            <v>-1166.48</v>
          </cell>
          <cell r="X6125" t="str">
            <v>Commissions - share RI</v>
          </cell>
          <cell r="Y6125" t="str">
            <v>UNITED KINGDOM</v>
          </cell>
        </row>
        <row r="6126">
          <cell r="L6126"/>
          <cell r="S6126">
            <v>119.08</v>
          </cell>
          <cell r="X6126" t="str">
            <v>Commissions - share RI</v>
          </cell>
          <cell r="Y6126" t="str">
            <v>UNITED KINGDOM</v>
          </cell>
        </row>
        <row r="6127">
          <cell r="L6127"/>
          <cell r="S6127">
            <v>933.18</v>
          </cell>
          <cell r="X6127" t="str">
            <v>Commissions - share RI</v>
          </cell>
          <cell r="Y6127" t="str">
            <v>UNITED KINGDOM</v>
          </cell>
        </row>
        <row r="6128">
          <cell r="L6128"/>
          <cell r="S6128">
            <v>403.54</v>
          </cell>
          <cell r="X6128" t="str">
            <v>Commissions - share RI</v>
          </cell>
          <cell r="Y6128" t="str">
            <v>UNITED KINGDOM</v>
          </cell>
        </row>
        <row r="6129">
          <cell r="L6129"/>
          <cell r="S6129">
            <v>655.75</v>
          </cell>
          <cell r="X6129" t="str">
            <v>Commissions - share RI</v>
          </cell>
          <cell r="Y6129" t="str">
            <v>UNITED KINGDOM</v>
          </cell>
        </row>
        <row r="6130">
          <cell r="L6130"/>
          <cell r="S6130">
            <v>179.78</v>
          </cell>
          <cell r="X6130" t="str">
            <v>Commissions - share RI</v>
          </cell>
          <cell r="Y6130" t="str">
            <v>UNITED KINGDOM</v>
          </cell>
        </row>
        <row r="6131">
          <cell r="L6131"/>
          <cell r="S6131">
            <v>-179.78</v>
          </cell>
          <cell r="X6131" t="str">
            <v>Commissions - share RI</v>
          </cell>
          <cell r="Y6131" t="str">
            <v>UNITED KINGDOM</v>
          </cell>
        </row>
        <row r="6132">
          <cell r="L6132"/>
          <cell r="S6132">
            <v>1166.48</v>
          </cell>
          <cell r="X6132" t="str">
            <v>Commissions - share RI</v>
          </cell>
          <cell r="Y6132" t="str">
            <v>UNITED KINGDOM</v>
          </cell>
        </row>
        <row r="6133">
          <cell r="L6133"/>
          <cell r="S6133">
            <v>2332.9499999999998</v>
          </cell>
          <cell r="X6133" t="str">
            <v>Commissions - share RI</v>
          </cell>
          <cell r="Y6133" t="str">
            <v>UNITED KINGDOM</v>
          </cell>
        </row>
        <row r="6134">
          <cell r="L6134"/>
          <cell r="S6134">
            <v>-252.21</v>
          </cell>
          <cell r="X6134" t="str">
            <v>Commissions - share RI</v>
          </cell>
          <cell r="Y6134" t="str">
            <v>UNITED KINGDOM</v>
          </cell>
        </row>
        <row r="6135">
          <cell r="L6135"/>
          <cell r="S6135">
            <v>-2332.9499999999998</v>
          </cell>
          <cell r="X6135" t="str">
            <v>Commissions - share RI</v>
          </cell>
          <cell r="Y6135" t="str">
            <v>UNITED KINGDOM</v>
          </cell>
        </row>
        <row r="6136">
          <cell r="L6136"/>
          <cell r="S6136">
            <v>-216.82</v>
          </cell>
          <cell r="X6136" t="str">
            <v>Commissions - share RI</v>
          </cell>
          <cell r="Y6136" t="str">
            <v>UNITED KINGDOM</v>
          </cell>
        </row>
        <row r="6137">
          <cell r="L6137"/>
          <cell r="S6137">
            <v>-53.2</v>
          </cell>
          <cell r="X6137" t="str">
            <v>Commissions - share RI</v>
          </cell>
          <cell r="Y6137" t="str">
            <v>UNITED KINGDOM</v>
          </cell>
        </row>
        <row r="6138">
          <cell r="L6138"/>
          <cell r="S6138">
            <v>53.2</v>
          </cell>
          <cell r="X6138" t="str">
            <v>Commissions - share RI</v>
          </cell>
          <cell r="Y6138" t="str">
            <v>UNITED KINGDOM</v>
          </cell>
        </row>
        <row r="6139">
          <cell r="L6139"/>
          <cell r="S6139">
            <v>216.82</v>
          </cell>
          <cell r="X6139" t="str">
            <v>Commissions - share RI</v>
          </cell>
          <cell r="Y6139" t="str">
            <v>UNITED KINGDOM</v>
          </cell>
        </row>
        <row r="6140">
          <cell r="L6140"/>
          <cell r="S6140">
            <v>3101.27</v>
          </cell>
          <cell r="X6140" t="str">
            <v>Commissions - share RI</v>
          </cell>
          <cell r="Y6140" t="str">
            <v>UNITED KINGDOM</v>
          </cell>
        </row>
        <row r="6141">
          <cell r="L6141"/>
          <cell r="S6141">
            <v>-3876.6</v>
          </cell>
          <cell r="X6141" t="str">
            <v>Commissions - share RI</v>
          </cell>
          <cell r="Y6141" t="str">
            <v>UNITED KINGDOM</v>
          </cell>
        </row>
        <row r="6142">
          <cell r="L6142"/>
          <cell r="S6142">
            <v>-3101.27</v>
          </cell>
          <cell r="X6142" t="str">
            <v>Commissions - share RI</v>
          </cell>
          <cell r="Y6142" t="str">
            <v>UNITED KINGDOM</v>
          </cell>
        </row>
        <row r="6143">
          <cell r="L6143"/>
          <cell r="S6143">
            <v>9606.2099999999991</v>
          </cell>
          <cell r="X6143" t="str">
            <v>Commissions - share RI</v>
          </cell>
          <cell r="Y6143" t="str">
            <v>UNITED KINGDOM</v>
          </cell>
        </row>
        <row r="6144">
          <cell r="L6144"/>
          <cell r="S6144">
            <v>-7574.35</v>
          </cell>
          <cell r="X6144" t="str">
            <v>Commissions - share RI</v>
          </cell>
          <cell r="Y6144" t="str">
            <v>UNITED KINGDOM</v>
          </cell>
        </row>
        <row r="6145">
          <cell r="L6145"/>
          <cell r="S6145">
            <v>3101.27</v>
          </cell>
          <cell r="X6145" t="str">
            <v>Commissions - share RI</v>
          </cell>
          <cell r="Y6145" t="str">
            <v>UNITED KINGDOM</v>
          </cell>
        </row>
        <row r="6146">
          <cell r="L6146"/>
          <cell r="S6146">
            <v>-12007.77</v>
          </cell>
          <cell r="X6146" t="str">
            <v>Commissions - share RI</v>
          </cell>
          <cell r="Y6146" t="str">
            <v>UNITED KINGDOM</v>
          </cell>
        </row>
        <row r="6147">
          <cell r="L6147"/>
          <cell r="S6147">
            <v>7574.35</v>
          </cell>
          <cell r="X6147" t="str">
            <v>Commissions - share RI</v>
          </cell>
          <cell r="Y6147" t="str">
            <v>UNITED KINGDOM</v>
          </cell>
        </row>
        <row r="6148">
          <cell r="L6148"/>
          <cell r="S6148">
            <v>7574.35</v>
          </cell>
          <cell r="X6148" t="str">
            <v>Commissions - share RI</v>
          </cell>
          <cell r="Y6148" t="str">
            <v>UNITED KINGDOM</v>
          </cell>
        </row>
        <row r="6149">
          <cell r="L6149"/>
          <cell r="S6149">
            <v>9606.2099999999991</v>
          </cell>
          <cell r="X6149" t="str">
            <v>Commissions - share RI</v>
          </cell>
          <cell r="Y6149" t="str">
            <v>UNITED KINGDOM</v>
          </cell>
        </row>
        <row r="6150">
          <cell r="L6150"/>
          <cell r="S6150">
            <v>-7574.35</v>
          </cell>
          <cell r="X6150" t="str">
            <v>Commissions - share RI</v>
          </cell>
          <cell r="Y6150" t="str">
            <v>UNITED KINGDOM</v>
          </cell>
        </row>
        <row r="6151">
          <cell r="L6151"/>
          <cell r="S6151">
            <v>-3101.27</v>
          </cell>
          <cell r="X6151" t="str">
            <v>Commissions - share RI</v>
          </cell>
          <cell r="Y6151" t="str">
            <v>UNITED KINGDOM</v>
          </cell>
        </row>
        <row r="6152">
          <cell r="L6152"/>
          <cell r="S6152">
            <v>-9467.93</v>
          </cell>
          <cell r="X6152" t="str">
            <v>Commissions - share RI</v>
          </cell>
          <cell r="Y6152" t="str">
            <v>UNITED KINGDOM</v>
          </cell>
        </row>
        <row r="6153">
          <cell r="L6153"/>
          <cell r="S6153">
            <v>-9606.2099999999991</v>
          </cell>
          <cell r="X6153" t="str">
            <v>Commissions - share RI</v>
          </cell>
          <cell r="Y6153" t="str">
            <v>UNITED KINGDOM</v>
          </cell>
        </row>
        <row r="6154">
          <cell r="L6154"/>
          <cell r="S6154">
            <v>-9606.2099999999991</v>
          </cell>
          <cell r="X6154" t="str">
            <v>Commissions - share RI</v>
          </cell>
          <cell r="Y6154" t="str">
            <v>UNITED KINGDOM</v>
          </cell>
        </row>
        <row r="6155">
          <cell r="L6155"/>
          <cell r="S6155">
            <v>299.83</v>
          </cell>
          <cell r="X6155" t="str">
            <v>Commissions - share RI</v>
          </cell>
          <cell r="Y6155" t="str">
            <v>UNITED KINGDOM</v>
          </cell>
        </row>
        <row r="6156">
          <cell r="L6156"/>
          <cell r="S6156">
            <v>994.3</v>
          </cell>
          <cell r="X6156" t="str">
            <v>Commissions - share RI</v>
          </cell>
          <cell r="Y6156" t="str">
            <v>UNITED KINGDOM</v>
          </cell>
        </row>
        <row r="6157">
          <cell r="L6157"/>
          <cell r="S6157">
            <v>-3616.82</v>
          </cell>
          <cell r="X6157" t="str">
            <v>Commissions - share RI</v>
          </cell>
          <cell r="Y6157" t="str">
            <v>UNITED KINGDOM</v>
          </cell>
        </row>
        <row r="6158">
          <cell r="L6158"/>
          <cell r="S6158">
            <v>-13314.14</v>
          </cell>
          <cell r="X6158" t="str">
            <v>Commissions - share RI</v>
          </cell>
          <cell r="Y6158" t="str">
            <v>UNITED KINGDOM</v>
          </cell>
        </row>
        <row r="6159">
          <cell r="L6159"/>
          <cell r="S6159">
            <v>191413.37</v>
          </cell>
          <cell r="X6159" t="str">
            <v>Commissions - share RI</v>
          </cell>
          <cell r="Y6159" t="str">
            <v>UNITED KINGDOM</v>
          </cell>
        </row>
        <row r="6160">
          <cell r="L6160"/>
          <cell r="S6160">
            <v>34324.769999999997</v>
          </cell>
          <cell r="X6160" t="str">
            <v>Commissions - share RI</v>
          </cell>
          <cell r="Y6160" t="str">
            <v>UNITED KINGDOM</v>
          </cell>
        </row>
        <row r="6161">
          <cell r="L6161"/>
          <cell r="S6161">
            <v>-91.03</v>
          </cell>
          <cell r="X6161" t="str">
            <v>Commissions - share RI</v>
          </cell>
          <cell r="Y6161" t="str">
            <v>UNITED KINGDOM</v>
          </cell>
        </row>
        <row r="6162">
          <cell r="L6162"/>
          <cell r="S6162">
            <v>-12598.55</v>
          </cell>
          <cell r="X6162" t="str">
            <v>Commissions - share RI</v>
          </cell>
          <cell r="Y6162" t="str">
            <v>UNITED KINGDOM</v>
          </cell>
        </row>
        <row r="6163">
          <cell r="L6163"/>
          <cell r="S6163">
            <v>-3665.51</v>
          </cell>
          <cell r="X6163" t="str">
            <v>Commissions - share RI</v>
          </cell>
          <cell r="Y6163" t="str">
            <v>UNITED KINGDOM</v>
          </cell>
        </row>
        <row r="6164">
          <cell r="L6164"/>
          <cell r="S6164">
            <v>-98.14</v>
          </cell>
          <cell r="X6164" t="str">
            <v>Commissions - share RI</v>
          </cell>
          <cell r="Y6164" t="str">
            <v>UNITED KINGDOM</v>
          </cell>
        </row>
        <row r="6165">
          <cell r="L6165"/>
          <cell r="S6165">
            <v>141723.26</v>
          </cell>
          <cell r="X6165" t="str">
            <v>Commissions - share RI</v>
          </cell>
          <cell r="Y6165" t="str">
            <v>UNITED KINGDOM</v>
          </cell>
        </row>
        <row r="6166">
          <cell r="L6166"/>
          <cell r="S6166">
            <v>-89.74</v>
          </cell>
          <cell r="X6166" t="str">
            <v>Commissions - share RI</v>
          </cell>
          <cell r="Y6166" t="str">
            <v>UNITED KINGDOM</v>
          </cell>
        </row>
        <row r="6167">
          <cell r="L6167"/>
          <cell r="S6167">
            <v>-12698.47</v>
          </cell>
          <cell r="X6167" t="str">
            <v>Commissions - share RI</v>
          </cell>
          <cell r="Y6167" t="str">
            <v>UNITED KINGDOM</v>
          </cell>
        </row>
        <row r="6168">
          <cell r="L6168"/>
          <cell r="S6168">
            <v>-3663.38</v>
          </cell>
          <cell r="X6168" t="str">
            <v>Commissions - share RI</v>
          </cell>
          <cell r="Y6168" t="str">
            <v>UNITED KINGDOM</v>
          </cell>
        </row>
        <row r="6169">
          <cell r="L6169"/>
          <cell r="S6169">
            <v>-98.14</v>
          </cell>
          <cell r="X6169" t="str">
            <v>Commissions - share RI</v>
          </cell>
          <cell r="Y6169" t="str">
            <v>UNITED KINGDOM</v>
          </cell>
        </row>
        <row r="6170">
          <cell r="L6170"/>
          <cell r="S6170">
            <v>11885.89</v>
          </cell>
          <cell r="X6170" t="str">
            <v>Commissions - share RI</v>
          </cell>
          <cell r="Y6170" t="str">
            <v>UNITED KINGDOM</v>
          </cell>
        </row>
        <row r="6171">
          <cell r="L6171"/>
          <cell r="S6171">
            <v>-184.07</v>
          </cell>
          <cell r="X6171" t="str">
            <v>Commissions - share RI</v>
          </cell>
          <cell r="Y6171" t="str">
            <v>UNITED KINGDOM</v>
          </cell>
        </row>
        <row r="6172">
          <cell r="L6172"/>
          <cell r="S6172">
            <v>14.96</v>
          </cell>
          <cell r="X6172" t="str">
            <v>Commissions - share RI</v>
          </cell>
          <cell r="Y6172" t="str">
            <v>UNITED KINGDOM</v>
          </cell>
        </row>
        <row r="6173">
          <cell r="L6173"/>
          <cell r="S6173">
            <v>-5660.64</v>
          </cell>
          <cell r="X6173" t="str">
            <v>Commissions - share RI</v>
          </cell>
          <cell r="Y6173" t="str">
            <v>UNITED KINGDOM</v>
          </cell>
        </row>
        <row r="6174">
          <cell r="L6174"/>
          <cell r="S6174">
            <v>847.47</v>
          </cell>
          <cell r="X6174" t="str">
            <v>Commissions - share RI</v>
          </cell>
          <cell r="Y6174" t="str">
            <v>UNITED KINGDOM</v>
          </cell>
        </row>
        <row r="6175">
          <cell r="L6175"/>
          <cell r="S6175">
            <v>-5766.41</v>
          </cell>
          <cell r="X6175" t="str">
            <v>Commissions - share RI</v>
          </cell>
          <cell r="Y6175" t="str">
            <v>UNITED KINGDOM</v>
          </cell>
        </row>
        <row r="6176">
          <cell r="L6176"/>
          <cell r="S6176">
            <v>-18633.759999999998</v>
          </cell>
          <cell r="X6176" t="str">
            <v>Commissions - share RI</v>
          </cell>
          <cell r="Y6176" t="str">
            <v>UNITED KINGDOM</v>
          </cell>
        </row>
        <row r="6177">
          <cell r="L6177"/>
          <cell r="S6177">
            <v>-113.91</v>
          </cell>
          <cell r="X6177" t="str">
            <v>Commissions - share RI</v>
          </cell>
          <cell r="Y6177" t="str">
            <v>UNITED KINGDOM</v>
          </cell>
        </row>
        <row r="6178">
          <cell r="L6178"/>
          <cell r="S6178">
            <v>-173.8</v>
          </cell>
          <cell r="X6178" t="str">
            <v>Commissions - share RI</v>
          </cell>
          <cell r="Y6178" t="str">
            <v>UNITED KINGDOM</v>
          </cell>
        </row>
        <row r="6179">
          <cell r="L6179"/>
          <cell r="S6179">
            <v>-113.91</v>
          </cell>
          <cell r="X6179" t="str">
            <v>Commissions - share RI</v>
          </cell>
          <cell r="Y6179" t="str">
            <v>UNITED KINGDOM</v>
          </cell>
        </row>
        <row r="6180">
          <cell r="L6180"/>
          <cell r="S6180">
            <v>-172.18</v>
          </cell>
          <cell r="X6180" t="str">
            <v>Commissions - share RI</v>
          </cell>
          <cell r="Y6180" t="str">
            <v>UNITED KINGDOM</v>
          </cell>
        </row>
        <row r="6181">
          <cell r="L6181"/>
          <cell r="S6181">
            <v>-18459.650000000001</v>
          </cell>
          <cell r="X6181" t="str">
            <v>Commissions - share RI</v>
          </cell>
          <cell r="Y6181" t="str">
            <v>UNITED KINGDOM</v>
          </cell>
        </row>
        <row r="6182">
          <cell r="L6182"/>
          <cell r="S6182">
            <v>-5749.74</v>
          </cell>
          <cell r="X6182" t="str">
            <v>Commissions - share RI</v>
          </cell>
          <cell r="Y6182" t="str">
            <v>UNITED KINGDOM</v>
          </cell>
        </row>
        <row r="6183">
          <cell r="L6183"/>
          <cell r="S6183">
            <v>-5749.74</v>
          </cell>
          <cell r="X6183" t="str">
            <v>Commissions - share RI</v>
          </cell>
          <cell r="Y6183" t="str">
            <v>UNITED KINGDOM</v>
          </cell>
        </row>
        <row r="6184">
          <cell r="L6184"/>
          <cell r="S6184">
            <v>-17964.5</v>
          </cell>
          <cell r="X6184" t="str">
            <v>Commissions - share RI</v>
          </cell>
          <cell r="Y6184" t="str">
            <v>UNITED KINGDOM</v>
          </cell>
        </row>
        <row r="6185">
          <cell r="L6185"/>
          <cell r="S6185">
            <v>-113.91</v>
          </cell>
          <cell r="X6185" t="str">
            <v>Commissions - share RI</v>
          </cell>
          <cell r="Y6185" t="str">
            <v>UNITED KINGDOM</v>
          </cell>
        </row>
        <row r="6186">
          <cell r="L6186"/>
          <cell r="S6186">
            <v>-170.58</v>
          </cell>
          <cell r="X6186" t="str">
            <v>Commissions - share RI</v>
          </cell>
          <cell r="Y6186" t="str">
            <v>UNITED KINGDOM</v>
          </cell>
        </row>
        <row r="6187">
          <cell r="L6187"/>
          <cell r="S6187">
            <v>-171.82</v>
          </cell>
          <cell r="X6187" t="str">
            <v>Commissions - share RI</v>
          </cell>
          <cell r="Y6187" t="str">
            <v>UNITED KINGDOM</v>
          </cell>
        </row>
        <row r="6188">
          <cell r="L6188"/>
          <cell r="S6188">
            <v>-18435.849999999999</v>
          </cell>
          <cell r="X6188" t="str">
            <v>Commissions - share RI</v>
          </cell>
          <cell r="Y6188" t="str">
            <v>UNITED KINGDOM</v>
          </cell>
        </row>
        <row r="6189">
          <cell r="L6189"/>
          <cell r="S6189">
            <v>-113.91</v>
          </cell>
          <cell r="X6189" t="str">
            <v>Commissions - share RI</v>
          </cell>
          <cell r="Y6189" t="str">
            <v>UNITED KINGDOM</v>
          </cell>
        </row>
        <row r="6190">
          <cell r="L6190"/>
          <cell r="S6190">
            <v>-5749.74</v>
          </cell>
          <cell r="X6190" t="str">
            <v>Commissions - share RI</v>
          </cell>
          <cell r="Y6190" t="str">
            <v>UNITED KINGDOM</v>
          </cell>
        </row>
        <row r="6191">
          <cell r="L6191"/>
          <cell r="S6191">
            <v>-113.91</v>
          </cell>
          <cell r="X6191" t="str">
            <v>Commissions - share RI</v>
          </cell>
          <cell r="Y6191" t="str">
            <v>UNITED KINGDOM</v>
          </cell>
        </row>
        <row r="6192">
          <cell r="L6192"/>
          <cell r="S6192">
            <v>-172.34</v>
          </cell>
          <cell r="X6192" t="str">
            <v>Commissions - share RI</v>
          </cell>
          <cell r="Y6192" t="str">
            <v>UNITED KINGDOM</v>
          </cell>
        </row>
        <row r="6193">
          <cell r="L6193"/>
          <cell r="S6193">
            <v>-602110.19999999995</v>
          </cell>
          <cell r="X6193" t="str">
            <v>Commissions - share RI</v>
          </cell>
          <cell r="Y6193" t="str">
            <v>UNITED KINGDOM</v>
          </cell>
        </row>
        <row r="6194">
          <cell r="L6194"/>
          <cell r="S6194">
            <v>-206337.21</v>
          </cell>
          <cell r="X6194" t="str">
            <v>Commissions - share RI</v>
          </cell>
          <cell r="Y6194" t="str">
            <v>UNITED KINGDOM</v>
          </cell>
        </row>
        <row r="6195">
          <cell r="L6195"/>
          <cell r="S6195">
            <v>-18490.79</v>
          </cell>
          <cell r="X6195" t="str">
            <v>Commissions - share RI</v>
          </cell>
          <cell r="Y6195" t="str">
            <v>UNITED KINGDOM</v>
          </cell>
        </row>
        <row r="6196">
          <cell r="L6196"/>
          <cell r="S6196">
            <v>-5749.74</v>
          </cell>
          <cell r="X6196" t="str">
            <v>Commissions - share RI</v>
          </cell>
          <cell r="Y6196" t="str">
            <v>UNITED KINGDOM</v>
          </cell>
        </row>
        <row r="6197">
          <cell r="L6197"/>
          <cell r="S6197">
            <v>2487841.41</v>
          </cell>
          <cell r="X6197" t="str">
            <v>Commissions - share RI</v>
          </cell>
          <cell r="Y6197" t="str">
            <v>UNITED KINGDOM</v>
          </cell>
        </row>
        <row r="6198">
          <cell r="L6198"/>
          <cell r="S6198">
            <v>206337.21</v>
          </cell>
          <cell r="X6198" t="str">
            <v>Commissions - share RI</v>
          </cell>
          <cell r="Y6198" t="str">
            <v>UNITED KINGDOM</v>
          </cell>
        </row>
        <row r="6199">
          <cell r="L6199"/>
          <cell r="S6199">
            <v>-1868829.67</v>
          </cell>
          <cell r="X6199" t="str">
            <v>Commissions - share RI</v>
          </cell>
          <cell r="Y6199" t="str">
            <v>UNITED KINGDOM</v>
          </cell>
        </row>
        <row r="6200">
          <cell r="L6200"/>
          <cell r="S6200">
            <v>-206337.22</v>
          </cell>
          <cell r="X6200" t="str">
            <v>Commissions - share RI</v>
          </cell>
          <cell r="Y6200" t="str">
            <v>UNITED KINGDOM</v>
          </cell>
        </row>
        <row r="6201">
          <cell r="L6201"/>
          <cell r="S6201">
            <v>37514.68</v>
          </cell>
          <cell r="X6201" t="str">
            <v>Expenses</v>
          </cell>
        </row>
        <row r="6202">
          <cell r="L6202"/>
          <cell r="S6202">
            <v>-875.98</v>
          </cell>
          <cell r="X6202" t="str">
            <v>Expenses</v>
          </cell>
        </row>
        <row r="6203">
          <cell r="L6203"/>
          <cell r="S6203">
            <v>37379.18</v>
          </cell>
          <cell r="X6203" t="str">
            <v>Expenses</v>
          </cell>
        </row>
        <row r="6204">
          <cell r="L6204"/>
          <cell r="S6204">
            <v>-875.98</v>
          </cell>
          <cell r="X6204" t="str">
            <v>Expenses</v>
          </cell>
        </row>
        <row r="6205">
          <cell r="L6205"/>
          <cell r="S6205">
            <v>37504.14</v>
          </cell>
          <cell r="X6205" t="str">
            <v>Expenses</v>
          </cell>
        </row>
        <row r="6206">
          <cell r="L6206"/>
          <cell r="S6206">
            <v>-875.98</v>
          </cell>
          <cell r="X6206" t="str">
            <v>Expenses</v>
          </cell>
        </row>
        <row r="6207">
          <cell r="L6207"/>
          <cell r="S6207">
            <v>36687.980000000003</v>
          </cell>
          <cell r="X6207" t="str">
            <v>Expenses</v>
          </cell>
        </row>
        <row r="6208">
          <cell r="L6208"/>
          <cell r="S6208">
            <v>-875.98</v>
          </cell>
          <cell r="X6208" t="str">
            <v>Expenses</v>
          </cell>
        </row>
        <row r="6209">
          <cell r="L6209"/>
          <cell r="S6209">
            <v>37401.99</v>
          </cell>
          <cell r="X6209" t="str">
            <v>Expenses</v>
          </cell>
        </row>
        <row r="6210">
          <cell r="L6210"/>
          <cell r="S6210">
            <v>-875.98</v>
          </cell>
          <cell r="X6210" t="str">
            <v>Expenses</v>
          </cell>
        </row>
        <row r="6211">
          <cell r="L6211"/>
          <cell r="S6211">
            <v>37594.36</v>
          </cell>
          <cell r="X6211" t="str">
            <v>Expenses</v>
          </cell>
        </row>
        <row r="6212">
          <cell r="L6212"/>
          <cell r="S6212">
            <v>-875.98</v>
          </cell>
          <cell r="X6212" t="str">
            <v>Expenses</v>
          </cell>
        </row>
        <row r="6213">
          <cell r="L6213"/>
          <cell r="S6213">
            <v>37487.99</v>
          </cell>
          <cell r="X6213" t="str">
            <v>Expenses</v>
          </cell>
        </row>
        <row r="6214">
          <cell r="L6214"/>
          <cell r="S6214">
            <v>-875.98</v>
          </cell>
          <cell r="X6214" t="str">
            <v>Expenses</v>
          </cell>
        </row>
        <row r="6215">
          <cell r="L6215"/>
          <cell r="S6215">
            <v>37553.99</v>
          </cell>
          <cell r="X6215" t="str">
            <v>Expenses</v>
          </cell>
        </row>
        <row r="6216">
          <cell r="L6216"/>
          <cell r="S6216">
            <v>-875.98</v>
          </cell>
          <cell r="X6216" t="str">
            <v>Expenses</v>
          </cell>
        </row>
        <row r="6217">
          <cell r="L6217"/>
          <cell r="S6217">
            <v>37618.58</v>
          </cell>
          <cell r="X6217" t="str">
            <v>Expenses</v>
          </cell>
        </row>
        <row r="6218">
          <cell r="L6218"/>
          <cell r="S6218">
            <v>-875.98</v>
          </cell>
          <cell r="X6218" t="str">
            <v>Expenses</v>
          </cell>
        </row>
        <row r="6219">
          <cell r="L6219"/>
          <cell r="S6219">
            <v>513.41999999999996</v>
          </cell>
          <cell r="X6219" t="str">
            <v>Expenses</v>
          </cell>
        </row>
        <row r="6220">
          <cell r="L6220"/>
          <cell r="S6220">
            <v>513.41999999999996</v>
          </cell>
          <cell r="X6220" t="str">
            <v>Expenses</v>
          </cell>
        </row>
        <row r="6221">
          <cell r="L6221"/>
          <cell r="S6221">
            <v>517</v>
          </cell>
          <cell r="X6221" t="str">
            <v>Expenses</v>
          </cell>
        </row>
        <row r="6222">
          <cell r="L6222"/>
          <cell r="S6222">
            <v>515.13</v>
          </cell>
          <cell r="X6222" t="str">
            <v>Expenses</v>
          </cell>
        </row>
        <row r="6223">
          <cell r="L6223"/>
          <cell r="S6223">
            <v>522.51</v>
          </cell>
          <cell r="X6223" t="str">
            <v>Expenses</v>
          </cell>
        </row>
        <row r="6224">
          <cell r="L6224"/>
          <cell r="S6224">
            <v>2916.36</v>
          </cell>
          <cell r="X6224" t="str">
            <v>Expenses</v>
          </cell>
        </row>
        <row r="6225">
          <cell r="L6225"/>
          <cell r="S6225">
            <v>518.5</v>
          </cell>
          <cell r="X6225" t="str">
            <v>Expenses</v>
          </cell>
        </row>
        <row r="6226">
          <cell r="L6226"/>
          <cell r="S6226">
            <v>322.23</v>
          </cell>
          <cell r="X6226" t="str">
            <v>Expenses</v>
          </cell>
        </row>
        <row r="6227">
          <cell r="L6227"/>
          <cell r="S6227">
            <v>728.75</v>
          </cell>
          <cell r="X6227" t="str">
            <v>Expenses</v>
          </cell>
        </row>
        <row r="6228">
          <cell r="L6228"/>
          <cell r="S6228">
            <v>3978.05</v>
          </cell>
          <cell r="X6228" t="str">
            <v>Expenses</v>
          </cell>
        </row>
        <row r="6229">
          <cell r="L6229"/>
          <cell r="S6229">
            <v>2799.57</v>
          </cell>
          <cell r="X6229" t="str">
            <v>Expenses</v>
          </cell>
        </row>
        <row r="6230">
          <cell r="L6230"/>
          <cell r="S6230">
            <v>226.76</v>
          </cell>
          <cell r="X6230" t="str">
            <v>Expenses</v>
          </cell>
        </row>
        <row r="6231">
          <cell r="L6231"/>
          <cell r="S6231">
            <v>934.08</v>
          </cell>
          <cell r="X6231" t="str">
            <v>Expenses</v>
          </cell>
        </row>
        <row r="6232">
          <cell r="L6232"/>
          <cell r="S6232">
            <v>243.15</v>
          </cell>
          <cell r="X6232" t="str">
            <v>Expenses</v>
          </cell>
        </row>
        <row r="6233">
          <cell r="L6233"/>
          <cell r="S6233">
            <v>1327.29</v>
          </cell>
          <cell r="X6233" t="str">
            <v>Expenses</v>
          </cell>
        </row>
        <row r="6234">
          <cell r="L6234"/>
          <cell r="S6234">
            <v>934.08</v>
          </cell>
          <cell r="X6234" t="str">
            <v>Expenses</v>
          </cell>
        </row>
        <row r="6235">
          <cell r="L6235"/>
          <cell r="S6235">
            <v>243.14</v>
          </cell>
          <cell r="X6235" t="str">
            <v>Expenses</v>
          </cell>
        </row>
        <row r="6236">
          <cell r="L6236"/>
          <cell r="S6236">
            <v>1327.28</v>
          </cell>
          <cell r="X6236" t="str">
            <v>Expenses</v>
          </cell>
        </row>
        <row r="6237">
          <cell r="L6237"/>
          <cell r="S6237">
            <v>460.99</v>
          </cell>
          <cell r="X6237" t="str">
            <v>Expenses</v>
          </cell>
        </row>
        <row r="6238">
          <cell r="L6238"/>
          <cell r="S6238">
            <v>3977.16</v>
          </cell>
          <cell r="X6238" t="str">
            <v>Expenses</v>
          </cell>
        </row>
        <row r="6239">
          <cell r="L6239"/>
          <cell r="S6239">
            <v>322.14999999999998</v>
          </cell>
          <cell r="X6239" t="str">
            <v>Expenses</v>
          </cell>
        </row>
        <row r="6240">
          <cell r="L6240"/>
          <cell r="S6240">
            <v>226.71</v>
          </cell>
          <cell r="X6240" t="str">
            <v>Expenses</v>
          </cell>
        </row>
        <row r="6241">
          <cell r="L6241"/>
          <cell r="S6241">
            <v>728.58</v>
          </cell>
          <cell r="X6241" t="str">
            <v>Expenses</v>
          </cell>
        </row>
        <row r="6242">
          <cell r="L6242"/>
          <cell r="S6242">
            <v>5691.22</v>
          </cell>
          <cell r="X6242" t="str">
            <v>Expenses</v>
          </cell>
        </row>
        <row r="6243">
          <cell r="L6243"/>
          <cell r="S6243">
            <v>3794.15</v>
          </cell>
          <cell r="X6243" t="str">
            <v>Expenses</v>
          </cell>
        </row>
        <row r="6244">
          <cell r="L6244"/>
          <cell r="S6244">
            <v>2798.93</v>
          </cell>
          <cell r="X6244" t="str">
            <v>Expenses</v>
          </cell>
        </row>
        <row r="6245">
          <cell r="L6245"/>
          <cell r="S6245">
            <v>1277.77</v>
          </cell>
          <cell r="X6245" t="str">
            <v>Expenses</v>
          </cell>
        </row>
        <row r="6246">
          <cell r="L6246"/>
          <cell r="S6246">
            <v>15774.92</v>
          </cell>
          <cell r="X6246" t="str">
            <v>Expenses</v>
          </cell>
        </row>
        <row r="6247">
          <cell r="L6247"/>
          <cell r="S6247">
            <v>307.32</v>
          </cell>
          <cell r="X6247" t="str">
            <v>Expenses</v>
          </cell>
        </row>
        <row r="6248">
          <cell r="L6248"/>
          <cell r="S6248">
            <v>24.88</v>
          </cell>
          <cell r="X6248" t="str">
            <v>to check</v>
          </cell>
        </row>
        <row r="6249">
          <cell r="L6249"/>
          <cell r="S6249">
            <v>307.20999999999998</v>
          </cell>
          <cell r="X6249" t="str">
            <v>to check</v>
          </cell>
        </row>
        <row r="6250">
          <cell r="L6250"/>
          <cell r="S6250">
            <v>721.98</v>
          </cell>
          <cell r="X6250" t="str">
            <v>Expenses</v>
          </cell>
        </row>
        <row r="6251">
          <cell r="L6251"/>
          <cell r="S6251">
            <v>694.79</v>
          </cell>
          <cell r="X6251" t="str">
            <v>Expenses</v>
          </cell>
        </row>
        <row r="6252">
          <cell r="L6252"/>
          <cell r="S6252">
            <v>72.3</v>
          </cell>
          <cell r="X6252" t="str">
            <v>Expenses</v>
          </cell>
        </row>
        <row r="6253">
          <cell r="L6253"/>
          <cell r="S6253">
            <v>56.28</v>
          </cell>
          <cell r="X6253" t="str">
            <v>Expenses</v>
          </cell>
        </row>
        <row r="6254">
          <cell r="L6254"/>
          <cell r="S6254">
            <v>892.66</v>
          </cell>
          <cell r="X6254" t="str">
            <v>Expenses</v>
          </cell>
        </row>
        <row r="6255">
          <cell r="L6255"/>
          <cell r="S6255">
            <v>286.02999999999997</v>
          </cell>
          <cell r="X6255" t="str">
            <v>Expenses</v>
          </cell>
        </row>
        <row r="6256">
          <cell r="L6256"/>
          <cell r="S6256">
            <v>11.72</v>
          </cell>
          <cell r="X6256" t="str">
            <v>Expenses</v>
          </cell>
        </row>
        <row r="6257">
          <cell r="L6257"/>
          <cell r="S6257">
            <v>56.95</v>
          </cell>
          <cell r="X6257" t="str">
            <v>Expenses</v>
          </cell>
        </row>
        <row r="6258">
          <cell r="L6258"/>
          <cell r="S6258">
            <v>703.13</v>
          </cell>
          <cell r="X6258" t="str">
            <v>Expenses</v>
          </cell>
        </row>
        <row r="6259">
          <cell r="L6259"/>
          <cell r="S6259">
            <v>144.66</v>
          </cell>
          <cell r="X6259" t="str">
            <v>Expenses</v>
          </cell>
        </row>
        <row r="6260">
          <cell r="L6260"/>
          <cell r="S6260">
            <v>129.77000000000001</v>
          </cell>
          <cell r="X6260" t="str">
            <v>Expenses</v>
          </cell>
        </row>
        <row r="6261">
          <cell r="L6261"/>
          <cell r="S6261">
            <v>864.17</v>
          </cell>
          <cell r="X6261" t="str">
            <v>Expenses</v>
          </cell>
        </row>
        <row r="6262">
          <cell r="L6262"/>
          <cell r="S6262">
            <v>351.16</v>
          </cell>
          <cell r="X6262" t="str">
            <v>Expenses</v>
          </cell>
        </row>
        <row r="6263">
          <cell r="L6263"/>
          <cell r="S6263">
            <v>1602.17</v>
          </cell>
          <cell r="X6263" t="str">
            <v>Expenses</v>
          </cell>
        </row>
        <row r="6264">
          <cell r="L6264"/>
          <cell r="S6264">
            <v>70</v>
          </cell>
          <cell r="X6264" t="str">
            <v>Expenses</v>
          </cell>
        </row>
        <row r="6265">
          <cell r="L6265"/>
          <cell r="S6265">
            <v>639.54999999999995</v>
          </cell>
          <cell r="X6265" t="str">
            <v>Expenses</v>
          </cell>
        </row>
        <row r="6266">
          <cell r="L6266"/>
          <cell r="S6266">
            <v>42.03</v>
          </cell>
          <cell r="X6266" t="str">
            <v>Expenses</v>
          </cell>
        </row>
        <row r="6267">
          <cell r="L6267"/>
          <cell r="S6267">
            <v>518.83000000000004</v>
          </cell>
          <cell r="X6267" t="str">
            <v>Expenses</v>
          </cell>
        </row>
        <row r="6268">
          <cell r="L6268"/>
          <cell r="S6268">
            <v>51.81</v>
          </cell>
          <cell r="X6268" t="str">
            <v>Expenses</v>
          </cell>
        </row>
        <row r="6269">
          <cell r="L6269"/>
          <cell r="S6269">
            <v>185.49</v>
          </cell>
          <cell r="X6269" t="str">
            <v>Expenses</v>
          </cell>
        </row>
        <row r="6270">
          <cell r="L6270"/>
          <cell r="S6270">
            <v>1355.94</v>
          </cell>
          <cell r="X6270" t="str">
            <v>Expenses</v>
          </cell>
        </row>
        <row r="6271">
          <cell r="L6271"/>
          <cell r="S6271">
            <v>2289.98</v>
          </cell>
          <cell r="X6271" t="str">
            <v>Expenses</v>
          </cell>
        </row>
        <row r="6272">
          <cell r="L6272"/>
          <cell r="S6272">
            <v>637.6</v>
          </cell>
          <cell r="X6272" t="str">
            <v>Expenses</v>
          </cell>
        </row>
        <row r="6273">
          <cell r="L6273"/>
          <cell r="S6273">
            <v>937.8</v>
          </cell>
          <cell r="X6273" t="str">
            <v>Expenses</v>
          </cell>
        </row>
        <row r="6274">
          <cell r="L6274"/>
          <cell r="S6274">
            <v>51.64</v>
          </cell>
          <cell r="X6274" t="str">
            <v>Expenses</v>
          </cell>
        </row>
        <row r="6275">
          <cell r="L6275"/>
          <cell r="S6275">
            <v>146.86000000000001</v>
          </cell>
          <cell r="X6275" t="str">
            <v>Expenses</v>
          </cell>
        </row>
        <row r="6276">
          <cell r="L6276"/>
          <cell r="S6276">
            <v>11.9</v>
          </cell>
          <cell r="X6276" t="str">
            <v>Expenses</v>
          </cell>
        </row>
        <row r="6277">
          <cell r="L6277"/>
          <cell r="S6277">
            <v>1879.52</v>
          </cell>
          <cell r="X6277" t="str">
            <v>Expenses</v>
          </cell>
        </row>
        <row r="6278">
          <cell r="L6278"/>
          <cell r="S6278">
            <v>694.79</v>
          </cell>
          <cell r="X6278" t="str">
            <v>Expenses</v>
          </cell>
        </row>
        <row r="6279">
          <cell r="L6279"/>
          <cell r="S6279">
            <v>55.18</v>
          </cell>
          <cell r="X6279" t="str">
            <v>Expenses</v>
          </cell>
        </row>
        <row r="6280">
          <cell r="L6280"/>
          <cell r="S6280">
            <v>681.24</v>
          </cell>
          <cell r="X6280" t="str">
            <v>Expenses</v>
          </cell>
        </row>
        <row r="6281">
          <cell r="L6281"/>
          <cell r="S6281">
            <v>56.28</v>
          </cell>
          <cell r="X6281" t="str">
            <v>Expenses</v>
          </cell>
        </row>
        <row r="6282">
          <cell r="L6282"/>
          <cell r="S6282">
            <v>410.61</v>
          </cell>
          <cell r="X6282" t="str">
            <v>Expenses</v>
          </cell>
        </row>
        <row r="6283">
          <cell r="L6283"/>
          <cell r="S6283">
            <v>530.09</v>
          </cell>
          <cell r="X6283" t="str">
            <v>Expenses</v>
          </cell>
        </row>
        <row r="6284">
          <cell r="L6284"/>
          <cell r="S6284">
            <v>696.77</v>
          </cell>
          <cell r="X6284" t="str">
            <v>Expenses</v>
          </cell>
        </row>
        <row r="6285">
          <cell r="L6285"/>
          <cell r="S6285">
            <v>410.61</v>
          </cell>
          <cell r="X6285" t="str">
            <v>Expenses</v>
          </cell>
        </row>
        <row r="6286">
          <cell r="L6286"/>
          <cell r="S6286">
            <v>56.44</v>
          </cell>
          <cell r="X6286" t="str">
            <v>Expenses</v>
          </cell>
        </row>
        <row r="6287">
          <cell r="L6287"/>
          <cell r="S6287">
            <v>820.03</v>
          </cell>
          <cell r="X6287" t="str">
            <v>Expenses</v>
          </cell>
        </row>
        <row r="6288">
          <cell r="L6288"/>
          <cell r="S6288">
            <v>410.61</v>
          </cell>
          <cell r="X6288" t="str">
            <v>Expenses</v>
          </cell>
        </row>
        <row r="6289">
          <cell r="L6289"/>
          <cell r="S6289">
            <v>12.09</v>
          </cell>
          <cell r="X6289" t="str">
            <v>Expenses</v>
          </cell>
        </row>
        <row r="6290">
          <cell r="L6290"/>
          <cell r="S6290">
            <v>66.430000000000007</v>
          </cell>
          <cell r="X6290" t="str">
            <v>Expenses</v>
          </cell>
        </row>
        <row r="6291">
          <cell r="L6291"/>
          <cell r="S6291">
            <v>617.15</v>
          </cell>
          <cell r="X6291" t="str">
            <v>Expenses</v>
          </cell>
        </row>
        <row r="6292">
          <cell r="L6292"/>
          <cell r="S6292">
            <v>149.16</v>
          </cell>
          <cell r="X6292" t="str">
            <v>Expenses</v>
          </cell>
        </row>
        <row r="6293">
          <cell r="L6293"/>
          <cell r="S6293">
            <v>451.91</v>
          </cell>
          <cell r="X6293" t="str">
            <v>Expenses</v>
          </cell>
        </row>
        <row r="6294">
          <cell r="L6294"/>
          <cell r="S6294">
            <v>106.18</v>
          </cell>
          <cell r="X6294" t="str">
            <v>Expenses</v>
          </cell>
        </row>
        <row r="6295">
          <cell r="L6295"/>
          <cell r="S6295">
            <v>9.82</v>
          </cell>
          <cell r="X6295" t="str">
            <v>Expenses</v>
          </cell>
        </row>
        <row r="6296">
          <cell r="L6296"/>
          <cell r="S6296">
            <v>121.18</v>
          </cell>
          <cell r="X6296" t="str">
            <v>Expenses</v>
          </cell>
        </row>
        <row r="6297">
          <cell r="L6297"/>
          <cell r="S6297">
            <v>121.18</v>
          </cell>
          <cell r="X6297" t="str">
            <v>Expenses</v>
          </cell>
        </row>
        <row r="6298">
          <cell r="L6298"/>
          <cell r="S6298">
            <v>9.82</v>
          </cell>
          <cell r="X6298" t="str">
            <v>Expenses</v>
          </cell>
        </row>
        <row r="6299">
          <cell r="L6299"/>
          <cell r="S6299">
            <v>11.03</v>
          </cell>
          <cell r="X6299" t="str">
            <v>Expenses</v>
          </cell>
        </row>
        <row r="6300">
          <cell r="L6300"/>
          <cell r="S6300">
            <v>136.15</v>
          </cell>
          <cell r="X6300" t="str">
            <v>Expenses</v>
          </cell>
        </row>
        <row r="6301">
          <cell r="L6301"/>
          <cell r="S6301">
            <v>782.13</v>
          </cell>
          <cell r="X6301" t="str">
            <v>Expenses</v>
          </cell>
        </row>
        <row r="6302">
          <cell r="L6302"/>
          <cell r="S6302">
            <v>811.94</v>
          </cell>
          <cell r="X6302" t="str">
            <v>Expenses</v>
          </cell>
        </row>
        <row r="6303">
          <cell r="L6303"/>
          <cell r="S6303">
            <v>1432.96</v>
          </cell>
          <cell r="X6303" t="str">
            <v>Expenses</v>
          </cell>
        </row>
        <row r="6304">
          <cell r="L6304"/>
          <cell r="S6304">
            <v>6047.16</v>
          </cell>
          <cell r="X6304" t="str">
            <v>Expenses</v>
          </cell>
        </row>
        <row r="6305">
          <cell r="L6305"/>
          <cell r="S6305">
            <v>23.96</v>
          </cell>
          <cell r="X6305" t="str">
            <v>Expenses</v>
          </cell>
        </row>
        <row r="6306">
          <cell r="L6306"/>
          <cell r="S6306">
            <v>363.3</v>
          </cell>
          <cell r="X6306" t="str">
            <v>Expenses</v>
          </cell>
        </row>
        <row r="6307">
          <cell r="L6307"/>
          <cell r="S6307">
            <v>9.4499999999999993</v>
          </cell>
          <cell r="X6307" t="str">
            <v>Expenses</v>
          </cell>
        </row>
        <row r="6308">
          <cell r="L6308"/>
          <cell r="S6308">
            <v>9.27</v>
          </cell>
          <cell r="X6308" t="str">
            <v>Expenses</v>
          </cell>
        </row>
        <row r="6309">
          <cell r="L6309"/>
          <cell r="S6309">
            <v>356.54</v>
          </cell>
          <cell r="X6309" t="str">
            <v>Expenses</v>
          </cell>
        </row>
        <row r="6310">
          <cell r="L6310"/>
          <cell r="S6310">
            <v>542.83000000000004</v>
          </cell>
          <cell r="X6310" t="str">
            <v>Expenses</v>
          </cell>
        </row>
        <row r="6311">
          <cell r="L6311"/>
          <cell r="S6311">
            <v>8.0500000000000007</v>
          </cell>
          <cell r="X6311" t="str">
            <v>Expenses</v>
          </cell>
        </row>
        <row r="6312">
          <cell r="L6312"/>
          <cell r="S6312">
            <v>6476.82</v>
          </cell>
          <cell r="X6312" t="str">
            <v>Expenses</v>
          </cell>
        </row>
        <row r="6313">
          <cell r="L6313"/>
          <cell r="S6313">
            <v>378.25</v>
          </cell>
          <cell r="X6313" t="str">
            <v>Expenses</v>
          </cell>
        </row>
        <row r="6314">
          <cell r="L6314"/>
          <cell r="S6314">
            <v>18.850000000000001</v>
          </cell>
          <cell r="X6314" t="str">
            <v>Expenses</v>
          </cell>
        </row>
        <row r="6315">
          <cell r="L6315"/>
          <cell r="S6315">
            <v>641.1</v>
          </cell>
          <cell r="X6315" t="str">
            <v>Expenses</v>
          </cell>
        </row>
        <row r="6316">
          <cell r="L6316"/>
          <cell r="S6316">
            <v>1725.54</v>
          </cell>
          <cell r="X6316" t="str">
            <v>Expenses</v>
          </cell>
        </row>
        <row r="6317">
          <cell r="L6317"/>
          <cell r="S6317">
            <v>57.68</v>
          </cell>
          <cell r="X6317" t="str">
            <v>Expenses</v>
          </cell>
        </row>
        <row r="6318">
          <cell r="L6318"/>
          <cell r="S6318">
            <v>39.42</v>
          </cell>
          <cell r="X6318" t="str">
            <v>Expenses</v>
          </cell>
        </row>
        <row r="6319">
          <cell r="L6319"/>
          <cell r="S6319">
            <v>37.880000000000003</v>
          </cell>
          <cell r="X6319" t="str">
            <v>Expenses</v>
          </cell>
        </row>
        <row r="6320">
          <cell r="L6320"/>
          <cell r="S6320">
            <v>-19.170000000000002</v>
          </cell>
          <cell r="X6320" t="str">
            <v>Expenses</v>
          </cell>
        </row>
        <row r="6321">
          <cell r="L6321"/>
          <cell r="S6321">
            <v>85.45</v>
          </cell>
          <cell r="X6321" t="str">
            <v>Expenses</v>
          </cell>
        </row>
        <row r="6322">
          <cell r="L6322"/>
          <cell r="S6322">
            <v>-42.52</v>
          </cell>
          <cell r="X6322" t="str">
            <v>Expenses</v>
          </cell>
        </row>
        <row r="6323">
          <cell r="L6323"/>
          <cell r="S6323">
            <v>336.49</v>
          </cell>
          <cell r="X6323" t="str">
            <v>Expenses</v>
          </cell>
        </row>
        <row r="6324">
          <cell r="L6324"/>
          <cell r="S6324">
            <v>19.170000000000002</v>
          </cell>
          <cell r="X6324" t="str">
            <v>Expenses</v>
          </cell>
        </row>
        <row r="6325">
          <cell r="L6325"/>
          <cell r="S6325">
            <v>4700.53</v>
          </cell>
          <cell r="X6325" t="str">
            <v>Expenses</v>
          </cell>
        </row>
        <row r="6326">
          <cell r="L6326"/>
          <cell r="S6326">
            <v>28.79</v>
          </cell>
          <cell r="X6326" t="str">
            <v>Expenses</v>
          </cell>
        </row>
        <row r="6327">
          <cell r="L6327"/>
          <cell r="S6327">
            <v>-37.880000000000003</v>
          </cell>
          <cell r="X6327" t="str">
            <v>Expenses</v>
          </cell>
        </row>
        <row r="6328">
          <cell r="L6328"/>
          <cell r="S6328">
            <v>-39.42</v>
          </cell>
          <cell r="X6328" t="str">
            <v>Expenses</v>
          </cell>
        </row>
        <row r="6329">
          <cell r="L6329"/>
          <cell r="S6329">
            <v>-28.79</v>
          </cell>
          <cell r="X6329" t="str">
            <v>Expenses</v>
          </cell>
        </row>
        <row r="6330">
          <cell r="L6330"/>
          <cell r="S6330">
            <v>42.52</v>
          </cell>
          <cell r="X6330" t="str">
            <v>Expenses</v>
          </cell>
        </row>
        <row r="6331">
          <cell r="L6331"/>
          <cell r="S6331">
            <v>-85.45</v>
          </cell>
          <cell r="X6331" t="str">
            <v>Expenses</v>
          </cell>
        </row>
        <row r="6332">
          <cell r="L6332"/>
          <cell r="S6332">
            <v>418.73</v>
          </cell>
          <cell r="X6332" t="str">
            <v>Expenses</v>
          </cell>
        </row>
        <row r="6333">
          <cell r="L6333"/>
          <cell r="S6333">
            <v>19.260000000000002</v>
          </cell>
          <cell r="X6333" t="str">
            <v>Expenses</v>
          </cell>
        </row>
        <row r="6334">
          <cell r="L6334"/>
          <cell r="S6334">
            <v>54.49</v>
          </cell>
          <cell r="X6334" t="str">
            <v>Expenses</v>
          </cell>
        </row>
        <row r="6335">
          <cell r="L6335"/>
          <cell r="S6335">
            <v>3.21</v>
          </cell>
          <cell r="X6335" t="str">
            <v>Expenses</v>
          </cell>
        </row>
        <row r="6336">
          <cell r="L6336"/>
          <cell r="S6336">
            <v>15.06</v>
          </cell>
          <cell r="X6336" t="str">
            <v>Expenses</v>
          </cell>
        </row>
        <row r="6337">
          <cell r="L6337"/>
          <cell r="S6337">
            <v>7.7</v>
          </cell>
          <cell r="X6337" t="str">
            <v>Expenses</v>
          </cell>
        </row>
        <row r="6338">
          <cell r="L6338"/>
          <cell r="S6338">
            <v>135.79</v>
          </cell>
          <cell r="X6338" t="str">
            <v>Expenses</v>
          </cell>
        </row>
        <row r="6339">
          <cell r="L6339"/>
          <cell r="S6339">
            <v>32.49</v>
          </cell>
          <cell r="X6339" t="str">
            <v>Expenses</v>
          </cell>
        </row>
        <row r="6340">
          <cell r="L6340"/>
          <cell r="S6340">
            <v>6.32</v>
          </cell>
          <cell r="X6340" t="str">
            <v>Expenses</v>
          </cell>
        </row>
        <row r="6341">
          <cell r="L6341"/>
          <cell r="S6341">
            <v>32.25</v>
          </cell>
          <cell r="X6341" t="str">
            <v>Expenses</v>
          </cell>
        </row>
        <row r="6342">
          <cell r="L6342"/>
          <cell r="S6342">
            <v>14.7</v>
          </cell>
          <cell r="X6342" t="str">
            <v>Expenses</v>
          </cell>
        </row>
        <row r="6343">
          <cell r="L6343"/>
          <cell r="S6343">
            <v>125.45</v>
          </cell>
          <cell r="X6343" t="str">
            <v>Expenses</v>
          </cell>
        </row>
        <row r="6344">
          <cell r="L6344"/>
          <cell r="S6344">
            <v>27.22</v>
          </cell>
          <cell r="X6344" t="str">
            <v>Expenses</v>
          </cell>
        </row>
        <row r="6345">
          <cell r="L6345"/>
          <cell r="S6345">
            <v>212.52</v>
          </cell>
          <cell r="X6345" t="str">
            <v>Expenses</v>
          </cell>
        </row>
        <row r="6346">
          <cell r="L6346"/>
          <cell r="S6346">
            <v>32.549999999999997</v>
          </cell>
          <cell r="X6346" t="str">
            <v>Expenses</v>
          </cell>
        </row>
        <row r="6347">
          <cell r="L6347"/>
          <cell r="S6347">
            <v>57.71</v>
          </cell>
          <cell r="X6347" t="str">
            <v>Expenses</v>
          </cell>
        </row>
        <row r="6348">
          <cell r="L6348"/>
          <cell r="S6348">
            <v>8.86</v>
          </cell>
          <cell r="X6348" t="str">
            <v>Expenses</v>
          </cell>
        </row>
        <row r="6349">
          <cell r="L6349"/>
          <cell r="S6349">
            <v>133.38999999999999</v>
          </cell>
          <cell r="X6349" t="str">
            <v>Expenses</v>
          </cell>
        </row>
        <row r="6350">
          <cell r="L6350"/>
          <cell r="S6350">
            <v>129.54</v>
          </cell>
          <cell r="X6350" t="str">
            <v>Expenses</v>
          </cell>
        </row>
        <row r="6351">
          <cell r="L6351"/>
          <cell r="S6351">
            <v>71.599999999999994</v>
          </cell>
          <cell r="X6351" t="str">
            <v>Expenses</v>
          </cell>
        </row>
        <row r="6352">
          <cell r="L6352"/>
          <cell r="S6352">
            <v>192.13</v>
          </cell>
          <cell r="X6352" t="str">
            <v>Expenses</v>
          </cell>
        </row>
        <row r="6353">
          <cell r="L6353"/>
          <cell r="S6353">
            <v>36.6</v>
          </cell>
          <cell r="X6353" t="str">
            <v>Expenses</v>
          </cell>
        </row>
        <row r="6354">
          <cell r="L6354"/>
          <cell r="S6354">
            <v>32.299999999999997</v>
          </cell>
          <cell r="X6354" t="str">
            <v>Expenses</v>
          </cell>
        </row>
        <row r="6355">
          <cell r="L6355"/>
          <cell r="S6355">
            <v>22.16</v>
          </cell>
          <cell r="X6355" t="str">
            <v>Expenses</v>
          </cell>
        </row>
        <row r="6356">
          <cell r="L6356"/>
          <cell r="S6356">
            <v>16.440000000000001</v>
          </cell>
          <cell r="X6356" t="str">
            <v>Expenses</v>
          </cell>
        </row>
        <row r="6357">
          <cell r="L6357"/>
          <cell r="S6357">
            <v>49.45</v>
          </cell>
          <cell r="X6357" t="str">
            <v>Expenses</v>
          </cell>
        </row>
        <row r="6358">
          <cell r="L6358"/>
          <cell r="S6358">
            <v>33.49</v>
          </cell>
          <cell r="X6358" t="str">
            <v>Expenses</v>
          </cell>
        </row>
        <row r="6359">
          <cell r="L6359"/>
          <cell r="S6359">
            <v>95.01</v>
          </cell>
          <cell r="X6359" t="str">
            <v>Expenses</v>
          </cell>
        </row>
        <row r="6360">
          <cell r="L6360"/>
          <cell r="S6360">
            <v>25.88</v>
          </cell>
          <cell r="X6360" t="str">
            <v>Expenses</v>
          </cell>
        </row>
        <row r="6361">
          <cell r="L6361"/>
          <cell r="S6361">
            <v>45</v>
          </cell>
          <cell r="X6361" t="str">
            <v>Expenses</v>
          </cell>
        </row>
        <row r="6362">
          <cell r="L6362"/>
          <cell r="S6362">
            <v>14.7</v>
          </cell>
          <cell r="X6362" t="str">
            <v>Expenses</v>
          </cell>
        </row>
        <row r="6363">
          <cell r="L6363"/>
          <cell r="S6363">
            <v>32.5</v>
          </cell>
          <cell r="X6363" t="str">
            <v>Expenses</v>
          </cell>
        </row>
        <row r="6364">
          <cell r="L6364"/>
          <cell r="S6364">
            <v>8.4499999999999993</v>
          </cell>
          <cell r="X6364" t="str">
            <v>Expenses</v>
          </cell>
        </row>
        <row r="6365">
          <cell r="L6365"/>
          <cell r="S6365">
            <v>24.52</v>
          </cell>
          <cell r="X6365" t="str">
            <v>Expenses</v>
          </cell>
        </row>
        <row r="6366">
          <cell r="L6366"/>
          <cell r="S6366">
            <v>33</v>
          </cell>
          <cell r="X6366" t="str">
            <v>Expenses</v>
          </cell>
        </row>
        <row r="6367">
          <cell r="L6367"/>
          <cell r="S6367">
            <v>41.92</v>
          </cell>
          <cell r="X6367" t="str">
            <v>Expenses</v>
          </cell>
        </row>
        <row r="6368">
          <cell r="L6368"/>
          <cell r="S6368">
            <v>46.49</v>
          </cell>
          <cell r="X6368" t="str">
            <v>Expenses</v>
          </cell>
        </row>
        <row r="6369">
          <cell r="L6369"/>
          <cell r="S6369">
            <v>21.59</v>
          </cell>
          <cell r="X6369" t="str">
            <v>Expenses</v>
          </cell>
        </row>
        <row r="6370">
          <cell r="L6370"/>
          <cell r="S6370">
            <v>17.57</v>
          </cell>
          <cell r="X6370" t="str">
            <v>Expenses</v>
          </cell>
        </row>
        <row r="6371">
          <cell r="L6371"/>
          <cell r="S6371">
            <v>12.91</v>
          </cell>
          <cell r="X6371" t="str">
            <v>Expenses</v>
          </cell>
        </row>
        <row r="6372">
          <cell r="L6372"/>
          <cell r="S6372">
            <v>625.07000000000005</v>
          </cell>
          <cell r="X6372" t="str">
            <v>Expenses</v>
          </cell>
        </row>
        <row r="6373">
          <cell r="L6373"/>
          <cell r="S6373">
            <v>52.98</v>
          </cell>
          <cell r="X6373" t="str">
            <v>Expenses</v>
          </cell>
        </row>
        <row r="6374">
          <cell r="L6374"/>
          <cell r="S6374">
            <v>1441.86</v>
          </cell>
          <cell r="X6374" t="str">
            <v>Expenses</v>
          </cell>
        </row>
        <row r="6375">
          <cell r="L6375"/>
          <cell r="S6375">
            <v>50.64</v>
          </cell>
          <cell r="X6375" t="str">
            <v>Expenses</v>
          </cell>
        </row>
        <row r="6376">
          <cell r="L6376"/>
          <cell r="S6376">
            <v>10.41</v>
          </cell>
          <cell r="X6376" t="str">
            <v>Expenses</v>
          </cell>
        </row>
        <row r="6377">
          <cell r="L6377"/>
          <cell r="S6377">
            <v>50.99</v>
          </cell>
          <cell r="X6377" t="str">
            <v>Expenses</v>
          </cell>
        </row>
        <row r="6378">
          <cell r="L6378"/>
          <cell r="S6378">
            <v>21.06</v>
          </cell>
          <cell r="X6378" t="str">
            <v>Expenses</v>
          </cell>
        </row>
        <row r="6379">
          <cell r="L6379"/>
          <cell r="S6379">
            <v>308.49</v>
          </cell>
          <cell r="X6379" t="str">
            <v>Expenses</v>
          </cell>
        </row>
        <row r="6380">
          <cell r="L6380"/>
          <cell r="S6380">
            <v>24.93</v>
          </cell>
          <cell r="X6380" t="str">
            <v>Expenses</v>
          </cell>
        </row>
        <row r="6381">
          <cell r="L6381"/>
          <cell r="S6381">
            <v>45.71</v>
          </cell>
          <cell r="X6381" t="str">
            <v>Expenses</v>
          </cell>
        </row>
        <row r="6382">
          <cell r="L6382"/>
          <cell r="S6382">
            <v>25.99</v>
          </cell>
          <cell r="X6382" t="str">
            <v>Expenses</v>
          </cell>
        </row>
        <row r="6383">
          <cell r="L6383"/>
          <cell r="S6383">
            <v>307.67</v>
          </cell>
          <cell r="X6383" t="str">
            <v>Expenses</v>
          </cell>
        </row>
        <row r="6384">
          <cell r="L6384"/>
          <cell r="S6384">
            <v>1020.73</v>
          </cell>
          <cell r="X6384" t="str">
            <v>Expenses</v>
          </cell>
        </row>
        <row r="6385">
          <cell r="L6385"/>
          <cell r="S6385">
            <v>19.7</v>
          </cell>
          <cell r="X6385" t="str">
            <v>Expenses</v>
          </cell>
        </row>
        <row r="6386">
          <cell r="L6386"/>
          <cell r="S6386">
            <v>49.95</v>
          </cell>
          <cell r="X6386" t="str">
            <v>Expenses</v>
          </cell>
        </row>
        <row r="6387">
          <cell r="L6387"/>
          <cell r="S6387">
            <v>10.64</v>
          </cell>
          <cell r="X6387" t="str">
            <v>Expenses</v>
          </cell>
        </row>
        <row r="6388">
          <cell r="L6388"/>
          <cell r="S6388">
            <v>90.87</v>
          </cell>
          <cell r="X6388" t="str">
            <v>Expenses</v>
          </cell>
        </row>
        <row r="6389">
          <cell r="L6389"/>
          <cell r="S6389">
            <v>5.35</v>
          </cell>
          <cell r="X6389" t="str">
            <v>Expenses</v>
          </cell>
        </row>
        <row r="6390">
          <cell r="L6390"/>
          <cell r="S6390">
            <v>36.54</v>
          </cell>
          <cell r="X6390" t="str">
            <v>Expenses</v>
          </cell>
        </row>
        <row r="6391">
          <cell r="L6391"/>
          <cell r="S6391">
            <v>57.81</v>
          </cell>
          <cell r="X6391" t="str">
            <v>Expenses</v>
          </cell>
        </row>
        <row r="6392">
          <cell r="L6392"/>
          <cell r="S6392">
            <v>64.34</v>
          </cell>
          <cell r="X6392" t="str">
            <v>Expenses</v>
          </cell>
        </row>
        <row r="6393">
          <cell r="L6393"/>
          <cell r="S6393">
            <v>53.99</v>
          </cell>
          <cell r="X6393" t="str">
            <v>Expenses</v>
          </cell>
        </row>
        <row r="6394">
          <cell r="L6394"/>
          <cell r="S6394">
            <v>73.510000000000005</v>
          </cell>
          <cell r="X6394" t="str">
            <v>Expenses</v>
          </cell>
        </row>
        <row r="6395">
          <cell r="L6395"/>
          <cell r="S6395">
            <v>224.26</v>
          </cell>
          <cell r="X6395" t="str">
            <v>Expenses</v>
          </cell>
        </row>
        <row r="6396">
          <cell r="L6396"/>
          <cell r="S6396">
            <v>17.54</v>
          </cell>
          <cell r="X6396" t="str">
            <v>Expenses</v>
          </cell>
        </row>
        <row r="6397">
          <cell r="L6397"/>
          <cell r="S6397">
            <v>907.48</v>
          </cell>
          <cell r="X6397" t="str">
            <v>Expenses</v>
          </cell>
        </row>
        <row r="6398">
          <cell r="L6398"/>
          <cell r="S6398">
            <v>3798.43</v>
          </cell>
          <cell r="X6398" t="str">
            <v>Expenses</v>
          </cell>
        </row>
        <row r="6399">
          <cell r="L6399"/>
          <cell r="S6399">
            <v>25.62</v>
          </cell>
          <cell r="X6399" t="str">
            <v>Expenses</v>
          </cell>
        </row>
        <row r="6400">
          <cell r="L6400"/>
          <cell r="S6400">
            <v>54.31</v>
          </cell>
          <cell r="X6400" t="str">
            <v>Expenses</v>
          </cell>
        </row>
        <row r="6401">
          <cell r="L6401"/>
          <cell r="S6401">
            <v>58.13</v>
          </cell>
          <cell r="X6401" t="str">
            <v>Expenses</v>
          </cell>
        </row>
        <row r="6402">
          <cell r="L6402"/>
          <cell r="S6402">
            <v>4.71</v>
          </cell>
          <cell r="X6402" t="str">
            <v>Expenses</v>
          </cell>
        </row>
        <row r="6403">
          <cell r="L6403"/>
          <cell r="S6403">
            <v>9.42</v>
          </cell>
          <cell r="X6403" t="str">
            <v>Expenses</v>
          </cell>
        </row>
        <row r="6404">
          <cell r="L6404"/>
          <cell r="S6404">
            <v>116.21</v>
          </cell>
          <cell r="X6404" t="str">
            <v>Expenses</v>
          </cell>
        </row>
        <row r="6405">
          <cell r="L6405"/>
          <cell r="S6405">
            <v>9.2899999999999991</v>
          </cell>
          <cell r="X6405" t="str">
            <v>Expenses</v>
          </cell>
        </row>
        <row r="6406">
          <cell r="L6406"/>
          <cell r="S6406">
            <v>114.6</v>
          </cell>
          <cell r="X6406" t="str">
            <v>Expenses</v>
          </cell>
        </row>
        <row r="6407">
          <cell r="L6407"/>
          <cell r="S6407">
            <v>9.5299999999999994</v>
          </cell>
          <cell r="X6407" t="str">
            <v>Expenses</v>
          </cell>
        </row>
        <row r="6408">
          <cell r="L6408"/>
          <cell r="S6408">
            <v>117.57</v>
          </cell>
          <cell r="X6408" t="str">
            <v>Expenses</v>
          </cell>
        </row>
        <row r="6409">
          <cell r="L6409"/>
          <cell r="S6409">
            <v>9.4600000000000009</v>
          </cell>
          <cell r="X6409" t="str">
            <v>Expenses</v>
          </cell>
        </row>
        <row r="6410">
          <cell r="L6410"/>
          <cell r="S6410">
            <v>116.72</v>
          </cell>
          <cell r="X6410" t="str">
            <v>Expenses</v>
          </cell>
        </row>
        <row r="6411">
          <cell r="L6411"/>
          <cell r="S6411">
            <v>9.43</v>
          </cell>
          <cell r="X6411" t="str">
            <v>Expenses</v>
          </cell>
        </row>
        <row r="6412">
          <cell r="L6412"/>
          <cell r="S6412">
            <v>116.34</v>
          </cell>
          <cell r="X6412" t="str">
            <v>Expenses</v>
          </cell>
        </row>
        <row r="6413">
          <cell r="L6413"/>
          <cell r="S6413">
            <v>9.49</v>
          </cell>
          <cell r="X6413" t="str">
            <v>Expenses</v>
          </cell>
        </row>
        <row r="6414">
          <cell r="L6414"/>
          <cell r="S6414">
            <v>117.13</v>
          </cell>
          <cell r="X6414" t="str">
            <v>Expenses</v>
          </cell>
        </row>
        <row r="6415">
          <cell r="L6415"/>
          <cell r="S6415">
            <v>9.51</v>
          </cell>
          <cell r="X6415" t="str">
            <v>Expenses</v>
          </cell>
        </row>
        <row r="6416">
          <cell r="L6416"/>
          <cell r="S6416">
            <v>117.3</v>
          </cell>
          <cell r="X6416" t="str">
            <v>Expenses</v>
          </cell>
        </row>
        <row r="6417">
          <cell r="L6417"/>
          <cell r="S6417">
            <v>9.4600000000000009</v>
          </cell>
          <cell r="X6417" t="str">
            <v>Expenses</v>
          </cell>
        </row>
        <row r="6418">
          <cell r="L6418"/>
          <cell r="S6418">
            <v>116.7</v>
          </cell>
          <cell r="X6418" t="str">
            <v>Expenses</v>
          </cell>
        </row>
        <row r="6419">
          <cell r="L6419"/>
          <cell r="S6419">
            <v>37.729999999999997</v>
          </cell>
          <cell r="X6419" t="str">
            <v>Expenses</v>
          </cell>
        </row>
        <row r="6420">
          <cell r="L6420"/>
          <cell r="S6420">
            <v>24.57</v>
          </cell>
          <cell r="X6420" t="str">
            <v>Expenses</v>
          </cell>
        </row>
        <row r="6421">
          <cell r="L6421"/>
          <cell r="S6421">
            <v>71.2</v>
          </cell>
          <cell r="X6421" t="str">
            <v>Expenses</v>
          </cell>
        </row>
        <row r="6422">
          <cell r="L6422"/>
          <cell r="S6422">
            <v>42.71</v>
          </cell>
          <cell r="X6422" t="str">
            <v>Expenses</v>
          </cell>
        </row>
        <row r="6423">
          <cell r="L6423"/>
          <cell r="S6423">
            <v>1.91</v>
          </cell>
          <cell r="X6423" t="str">
            <v>Expenses</v>
          </cell>
        </row>
        <row r="6424">
          <cell r="L6424"/>
          <cell r="S6424">
            <v>676.99</v>
          </cell>
          <cell r="X6424" t="str">
            <v>Expenses</v>
          </cell>
        </row>
        <row r="6425">
          <cell r="L6425"/>
          <cell r="S6425">
            <v>580.32000000000005</v>
          </cell>
          <cell r="X6425" t="str">
            <v>Expenses</v>
          </cell>
        </row>
        <row r="6426">
          <cell r="L6426"/>
          <cell r="S6426">
            <v>681.32</v>
          </cell>
          <cell r="X6426" t="str">
            <v>Expenses</v>
          </cell>
        </row>
        <row r="6427">
          <cell r="L6427"/>
          <cell r="S6427">
            <v>730.03</v>
          </cell>
          <cell r="X6427" t="str">
            <v>Expenses</v>
          </cell>
        </row>
        <row r="6428">
          <cell r="L6428"/>
          <cell r="S6428">
            <v>764.19</v>
          </cell>
          <cell r="X6428" t="str">
            <v>Expenses</v>
          </cell>
        </row>
        <row r="6429">
          <cell r="L6429"/>
          <cell r="S6429">
            <v>855.44</v>
          </cell>
          <cell r="X6429" t="str">
            <v>Expenses</v>
          </cell>
        </row>
        <row r="6430">
          <cell r="L6430"/>
          <cell r="S6430">
            <v>855.62</v>
          </cell>
          <cell r="X6430" t="str">
            <v>Expenses</v>
          </cell>
        </row>
        <row r="6431">
          <cell r="L6431"/>
          <cell r="S6431">
            <v>853.55</v>
          </cell>
          <cell r="X6431" t="str">
            <v>Expenses</v>
          </cell>
        </row>
        <row r="6432">
          <cell r="L6432"/>
          <cell r="S6432">
            <v>20.149999999999999</v>
          </cell>
          <cell r="X6432" t="str">
            <v>Expenses</v>
          </cell>
        </row>
        <row r="6433">
          <cell r="L6433"/>
          <cell r="S6433">
            <v>-20.149999999999999</v>
          </cell>
          <cell r="X6433" t="str">
            <v>Expenses</v>
          </cell>
        </row>
        <row r="6434">
          <cell r="L6434"/>
          <cell r="S6434">
            <v>-853.55</v>
          </cell>
          <cell r="X6434" t="str">
            <v>Expenses</v>
          </cell>
        </row>
        <row r="6435">
          <cell r="L6435"/>
          <cell r="S6435">
            <v>853.55</v>
          </cell>
          <cell r="X6435" t="str">
            <v>Expenses</v>
          </cell>
        </row>
        <row r="6436">
          <cell r="L6436"/>
          <cell r="S6436">
            <v>1255.6099999999999</v>
          </cell>
          <cell r="X6436" t="str">
            <v>Expenses</v>
          </cell>
        </row>
        <row r="6437">
          <cell r="L6437"/>
          <cell r="S6437">
            <v>1224.3399999999999</v>
          </cell>
          <cell r="X6437" t="str">
            <v>Expenses</v>
          </cell>
        </row>
        <row r="6438">
          <cell r="L6438"/>
          <cell r="S6438">
            <v>1222.58</v>
          </cell>
          <cell r="X6438" t="str">
            <v>Expenses</v>
          </cell>
        </row>
        <row r="6439">
          <cell r="L6439"/>
          <cell r="S6439">
            <v>703.77</v>
          </cell>
          <cell r="X6439" t="str">
            <v>Expenses</v>
          </cell>
        </row>
        <row r="6440">
          <cell r="L6440"/>
          <cell r="S6440">
            <v>11.66</v>
          </cell>
          <cell r="X6440" t="str">
            <v>Expenses</v>
          </cell>
        </row>
        <row r="6441">
          <cell r="L6441"/>
          <cell r="S6441">
            <v>143.91999999999999</v>
          </cell>
          <cell r="X6441" t="str">
            <v>Expenses</v>
          </cell>
        </row>
        <row r="6442">
          <cell r="L6442"/>
          <cell r="S6442">
            <v>13.52</v>
          </cell>
          <cell r="X6442" t="str">
            <v>Expenses</v>
          </cell>
        </row>
        <row r="6443">
          <cell r="L6443"/>
          <cell r="S6443">
            <v>166.89</v>
          </cell>
          <cell r="X6443" t="str">
            <v>Expenses</v>
          </cell>
        </row>
        <row r="6444">
          <cell r="L6444"/>
          <cell r="S6444">
            <v>219.48</v>
          </cell>
          <cell r="X6444" t="str">
            <v>Expenses</v>
          </cell>
        </row>
        <row r="6445">
          <cell r="L6445"/>
          <cell r="S6445">
            <v>7.22</v>
          </cell>
          <cell r="X6445" t="str">
            <v>Expenses</v>
          </cell>
        </row>
        <row r="6446">
          <cell r="L6446"/>
          <cell r="S6446">
            <v>89.23</v>
          </cell>
          <cell r="X6446" t="str">
            <v>Expenses</v>
          </cell>
        </row>
        <row r="6447">
          <cell r="L6447"/>
          <cell r="S6447">
            <v>17.78</v>
          </cell>
          <cell r="X6447" t="str">
            <v>Expenses</v>
          </cell>
        </row>
        <row r="6448">
          <cell r="L6448"/>
          <cell r="S6448">
            <v>79.180000000000007</v>
          </cell>
          <cell r="X6448" t="str">
            <v>Expenses</v>
          </cell>
        </row>
        <row r="6449">
          <cell r="L6449"/>
          <cell r="S6449">
            <v>410.84</v>
          </cell>
          <cell r="X6449" t="str">
            <v>Expenses</v>
          </cell>
        </row>
        <row r="6450">
          <cell r="L6450"/>
          <cell r="S6450">
            <v>79.180000000000007</v>
          </cell>
          <cell r="X6450" t="str">
            <v>Expenses</v>
          </cell>
        </row>
        <row r="6451">
          <cell r="L6451"/>
          <cell r="S6451">
            <v>78.42</v>
          </cell>
          <cell r="X6451" t="str">
            <v>Expenses</v>
          </cell>
        </row>
        <row r="6452">
          <cell r="L6452"/>
          <cell r="S6452">
            <v>80.59</v>
          </cell>
          <cell r="X6452" t="str">
            <v>Expenses</v>
          </cell>
        </row>
        <row r="6453">
          <cell r="L6453"/>
          <cell r="S6453">
            <v>80.08</v>
          </cell>
          <cell r="X6453" t="str">
            <v>Expenses</v>
          </cell>
        </row>
        <row r="6454">
          <cell r="L6454"/>
          <cell r="S6454">
            <v>79.53</v>
          </cell>
          <cell r="X6454" t="str">
            <v>Expenses</v>
          </cell>
        </row>
        <row r="6455">
          <cell r="L6455"/>
          <cell r="S6455">
            <v>80.599999999999994</v>
          </cell>
          <cell r="X6455" t="str">
            <v>Expenses</v>
          </cell>
        </row>
        <row r="6456">
          <cell r="L6456"/>
          <cell r="S6456">
            <v>81.040000000000006</v>
          </cell>
          <cell r="X6456" t="str">
            <v>Expenses</v>
          </cell>
        </row>
        <row r="6457">
          <cell r="L6457"/>
          <cell r="S6457">
            <v>-29.81</v>
          </cell>
          <cell r="X6457" t="str">
            <v>Expenses</v>
          </cell>
        </row>
        <row r="6458">
          <cell r="L6458"/>
          <cell r="S6458">
            <v>80.069999999999993</v>
          </cell>
          <cell r="X6458" t="str">
            <v>Expenses</v>
          </cell>
        </row>
        <row r="6459">
          <cell r="L6459"/>
          <cell r="S6459">
            <v>145.13999999999999</v>
          </cell>
          <cell r="X6459" t="str">
            <v>Expenses</v>
          </cell>
        </row>
        <row r="6460">
          <cell r="L6460"/>
          <cell r="S6460">
            <v>1791.9</v>
          </cell>
          <cell r="X6460" t="str">
            <v>Expenses</v>
          </cell>
        </row>
        <row r="6461">
          <cell r="L6461"/>
          <cell r="S6461">
            <v>436.47</v>
          </cell>
          <cell r="X6461" t="str">
            <v>Expenses</v>
          </cell>
        </row>
        <row r="6462">
          <cell r="L6462"/>
          <cell r="S6462">
            <v>22500</v>
          </cell>
          <cell r="X6462" t="str">
            <v>Expenses</v>
          </cell>
        </row>
        <row r="6463">
          <cell r="L6463"/>
          <cell r="S6463">
            <v>1761.15</v>
          </cell>
          <cell r="X6463" t="str">
            <v>Expenses</v>
          </cell>
        </row>
        <row r="6464">
          <cell r="L6464"/>
          <cell r="S6464">
            <v>15000</v>
          </cell>
          <cell r="X6464" t="str">
            <v>Expenses</v>
          </cell>
        </row>
        <row r="6465">
          <cell r="L6465"/>
          <cell r="S6465">
            <v>41800</v>
          </cell>
          <cell r="X6465" t="str">
            <v>Expenses</v>
          </cell>
        </row>
        <row r="6466">
          <cell r="L6466"/>
          <cell r="S6466">
            <v>3385.8</v>
          </cell>
          <cell r="X6466" t="str">
            <v>Expenses</v>
          </cell>
        </row>
        <row r="6467">
          <cell r="L6467"/>
          <cell r="S6467">
            <v>10109.709999999999</v>
          </cell>
          <cell r="X6467" t="str">
            <v>Expenses</v>
          </cell>
        </row>
        <row r="6468">
          <cell r="L6468"/>
          <cell r="S6468">
            <v>10907.54</v>
          </cell>
          <cell r="X6468" t="str">
            <v>Expenses</v>
          </cell>
        </row>
        <row r="6469">
          <cell r="L6469"/>
          <cell r="S6469">
            <v>762.16</v>
          </cell>
          <cell r="X6469" t="str">
            <v>Expenses</v>
          </cell>
        </row>
        <row r="6470">
          <cell r="L6470"/>
          <cell r="S6470">
            <v>22.69</v>
          </cell>
          <cell r="X6470" t="str">
            <v>Expenses</v>
          </cell>
        </row>
        <row r="6471">
          <cell r="L6471"/>
          <cell r="S6471">
            <v>280.2</v>
          </cell>
          <cell r="X6471" t="str">
            <v>Expenses</v>
          </cell>
        </row>
        <row r="6472">
          <cell r="L6472"/>
          <cell r="S6472">
            <v>9409.35</v>
          </cell>
          <cell r="X6472" t="str">
            <v>Expenses</v>
          </cell>
        </row>
        <row r="6473">
          <cell r="L6473"/>
          <cell r="S6473">
            <v>58049.41</v>
          </cell>
          <cell r="X6473" t="str">
            <v>Expenses</v>
          </cell>
        </row>
        <row r="6474">
          <cell r="L6474"/>
          <cell r="S6474">
            <v>4702.01</v>
          </cell>
          <cell r="X6474" t="str">
            <v>Expenses</v>
          </cell>
        </row>
        <row r="6475">
          <cell r="L6475"/>
          <cell r="S6475">
            <v>15455.43</v>
          </cell>
          <cell r="X6475" t="str">
            <v>Expenses</v>
          </cell>
        </row>
        <row r="6476">
          <cell r="L6476"/>
          <cell r="S6476">
            <v>-25000</v>
          </cell>
          <cell r="X6476" t="str">
            <v>Expenses</v>
          </cell>
        </row>
        <row r="6477">
          <cell r="L6477"/>
          <cell r="S6477">
            <v>1251.8900000000001</v>
          </cell>
          <cell r="X6477" t="str">
            <v>Expenses</v>
          </cell>
        </row>
        <row r="6478">
          <cell r="L6478"/>
          <cell r="S6478">
            <v>-100000</v>
          </cell>
          <cell r="X6478" t="str">
            <v>Expenses</v>
          </cell>
        </row>
        <row r="6479">
          <cell r="L6479"/>
          <cell r="S6479">
            <v>22.13</v>
          </cell>
          <cell r="X6479" t="str">
            <v>Expenses</v>
          </cell>
        </row>
        <row r="6480">
          <cell r="L6480"/>
          <cell r="S6480">
            <v>273.14</v>
          </cell>
          <cell r="X6480" t="str">
            <v>Expenses</v>
          </cell>
        </row>
        <row r="6481">
          <cell r="L6481"/>
          <cell r="S6481">
            <v>201.88</v>
          </cell>
          <cell r="X6481" t="str">
            <v>Expenses</v>
          </cell>
        </row>
        <row r="6482">
          <cell r="L6482"/>
          <cell r="S6482">
            <v>16.350000000000001</v>
          </cell>
          <cell r="X6482" t="str">
            <v>Expenses</v>
          </cell>
        </row>
        <row r="6483">
          <cell r="L6483"/>
          <cell r="S6483">
            <v>53928.78</v>
          </cell>
          <cell r="X6483" t="str">
            <v>Expenses</v>
          </cell>
        </row>
        <row r="6484">
          <cell r="L6484"/>
          <cell r="S6484">
            <v>16565.7</v>
          </cell>
          <cell r="X6484" t="str">
            <v>Expenses</v>
          </cell>
        </row>
        <row r="6485">
          <cell r="L6485"/>
          <cell r="S6485">
            <v>4368.24</v>
          </cell>
          <cell r="X6485" t="str">
            <v>Expenses</v>
          </cell>
        </row>
        <row r="6486">
          <cell r="L6486"/>
          <cell r="S6486">
            <v>1341.83</v>
          </cell>
          <cell r="X6486" t="str">
            <v>Expenses</v>
          </cell>
        </row>
        <row r="6487">
          <cell r="L6487"/>
          <cell r="S6487">
            <v>774.54</v>
          </cell>
          <cell r="X6487" t="str">
            <v>Expenses</v>
          </cell>
        </row>
        <row r="6488">
          <cell r="L6488"/>
          <cell r="S6488">
            <v>9562.23</v>
          </cell>
          <cell r="X6488" t="str">
            <v>Expenses</v>
          </cell>
        </row>
        <row r="6489">
          <cell r="L6489"/>
          <cell r="S6489">
            <v>1062.47</v>
          </cell>
          <cell r="X6489" t="str">
            <v>Expenses</v>
          </cell>
        </row>
        <row r="6490">
          <cell r="L6490"/>
          <cell r="S6490">
            <v>4249.88</v>
          </cell>
          <cell r="X6490" t="str">
            <v>Expenses</v>
          </cell>
        </row>
        <row r="6491">
          <cell r="L6491"/>
          <cell r="S6491">
            <v>499.22</v>
          </cell>
          <cell r="X6491" t="str">
            <v>Expenses</v>
          </cell>
        </row>
        <row r="6492">
          <cell r="L6492"/>
          <cell r="S6492">
            <v>6163.24</v>
          </cell>
          <cell r="X6492" t="str">
            <v>Expenses</v>
          </cell>
        </row>
        <row r="6493">
          <cell r="L6493"/>
          <cell r="S6493">
            <v>41.64</v>
          </cell>
          <cell r="X6493" t="str">
            <v>Expenses</v>
          </cell>
        </row>
        <row r="6494">
          <cell r="L6494"/>
          <cell r="S6494">
            <v>2705.35</v>
          </cell>
          <cell r="X6494" t="str">
            <v>Expenses</v>
          </cell>
        </row>
        <row r="6495">
          <cell r="L6495"/>
          <cell r="S6495">
            <v>514.02</v>
          </cell>
          <cell r="X6495" t="str">
            <v>Expenses</v>
          </cell>
        </row>
        <row r="6496">
          <cell r="L6496"/>
          <cell r="S6496">
            <v>40781.279999999999</v>
          </cell>
          <cell r="X6496" t="str">
            <v>Expenses</v>
          </cell>
        </row>
        <row r="6497">
          <cell r="L6497"/>
          <cell r="S6497">
            <v>10266.75</v>
          </cell>
          <cell r="X6497" t="str">
            <v>Expenses</v>
          </cell>
        </row>
        <row r="6498">
          <cell r="L6498"/>
          <cell r="S6498">
            <v>11490.76</v>
          </cell>
          <cell r="X6498" t="str">
            <v>Expenses</v>
          </cell>
        </row>
        <row r="6499">
          <cell r="L6499"/>
          <cell r="S6499">
            <v>3303.28</v>
          </cell>
          <cell r="X6499" t="str">
            <v>Expenses</v>
          </cell>
        </row>
        <row r="6500">
          <cell r="L6500"/>
          <cell r="S6500">
            <v>930.75</v>
          </cell>
          <cell r="X6500" t="str">
            <v>Expenses</v>
          </cell>
        </row>
        <row r="6501">
          <cell r="L6501"/>
          <cell r="S6501">
            <v>4881.6000000000004</v>
          </cell>
          <cell r="X6501" t="str">
            <v>Expenses</v>
          </cell>
        </row>
        <row r="6502">
          <cell r="L6502"/>
          <cell r="S6502">
            <v>831.61</v>
          </cell>
          <cell r="X6502" t="str">
            <v>Expenses</v>
          </cell>
        </row>
        <row r="6503">
          <cell r="L6503"/>
          <cell r="S6503">
            <v>7480.62</v>
          </cell>
          <cell r="X6503" t="str">
            <v>Expenses</v>
          </cell>
        </row>
        <row r="6504">
          <cell r="L6504"/>
          <cell r="S6504">
            <v>1483.89</v>
          </cell>
          <cell r="X6504" t="str">
            <v>Expenses</v>
          </cell>
        </row>
        <row r="6505">
          <cell r="L6505"/>
          <cell r="S6505">
            <v>1646.95</v>
          </cell>
          <cell r="X6505" t="str">
            <v>Expenses</v>
          </cell>
        </row>
        <row r="6506">
          <cell r="L6506"/>
          <cell r="S6506">
            <v>53682.63</v>
          </cell>
          <cell r="X6506" t="str">
            <v>Expenses</v>
          </cell>
        </row>
        <row r="6507">
          <cell r="L6507"/>
          <cell r="S6507">
            <v>18319.599999999999</v>
          </cell>
          <cell r="X6507" t="str">
            <v>Expenses</v>
          </cell>
        </row>
        <row r="6508">
          <cell r="L6508"/>
          <cell r="S6508">
            <v>664.81</v>
          </cell>
          <cell r="X6508" t="str">
            <v>Expenses</v>
          </cell>
        </row>
        <row r="6509">
          <cell r="L6509"/>
          <cell r="S6509">
            <v>811.64</v>
          </cell>
          <cell r="X6509" t="str">
            <v>Expenses</v>
          </cell>
        </row>
        <row r="6510">
          <cell r="L6510"/>
          <cell r="S6510">
            <v>10020.15</v>
          </cell>
          <cell r="X6510" t="str">
            <v>Expenses</v>
          </cell>
        </row>
        <row r="6511">
          <cell r="L6511"/>
          <cell r="S6511">
            <v>20332.66</v>
          </cell>
          <cell r="X6511" t="str">
            <v>Expenses</v>
          </cell>
        </row>
        <row r="6512">
          <cell r="L6512"/>
          <cell r="S6512">
            <v>3800.41</v>
          </cell>
          <cell r="X6512" t="str">
            <v>Expenses</v>
          </cell>
        </row>
        <row r="6513">
          <cell r="L6513"/>
          <cell r="S6513">
            <v>53682.63</v>
          </cell>
          <cell r="X6513" t="str">
            <v>Expenses</v>
          </cell>
        </row>
        <row r="6514">
          <cell r="L6514"/>
          <cell r="S6514">
            <v>107365.26</v>
          </cell>
          <cell r="X6514" t="str">
            <v>Expenses</v>
          </cell>
        </row>
        <row r="6515">
          <cell r="L6515"/>
          <cell r="S6515">
            <v>53.85</v>
          </cell>
          <cell r="X6515" t="str">
            <v>Expenses</v>
          </cell>
        </row>
        <row r="6516">
          <cell r="L6516"/>
          <cell r="S6516">
            <v>46918.62</v>
          </cell>
          <cell r="X6516" t="str">
            <v>Expenses</v>
          </cell>
        </row>
        <row r="6517">
          <cell r="L6517"/>
          <cell r="S6517">
            <v>7930.71</v>
          </cell>
          <cell r="X6517" t="str">
            <v>Expenses</v>
          </cell>
        </row>
        <row r="6518">
          <cell r="L6518"/>
          <cell r="S6518">
            <v>224.78</v>
          </cell>
          <cell r="X6518" t="str">
            <v>Expenses</v>
          </cell>
        </row>
        <row r="6519">
          <cell r="L6519"/>
          <cell r="S6519">
            <v>2775</v>
          </cell>
          <cell r="X6519" t="str">
            <v>Expenses</v>
          </cell>
        </row>
        <row r="6520">
          <cell r="L6520"/>
          <cell r="S6520">
            <v>7.35</v>
          </cell>
          <cell r="X6520" t="str">
            <v>Expenses</v>
          </cell>
        </row>
        <row r="6521">
          <cell r="L6521"/>
          <cell r="S6521">
            <v>90.75</v>
          </cell>
          <cell r="X6521" t="str">
            <v>Expenses</v>
          </cell>
        </row>
        <row r="6522">
          <cell r="L6522"/>
          <cell r="S6522">
            <v>402.1</v>
          </cell>
          <cell r="X6522" t="str">
            <v>Expenses</v>
          </cell>
        </row>
        <row r="6523">
          <cell r="L6523"/>
          <cell r="S6523">
            <v>2588.19</v>
          </cell>
          <cell r="X6523" t="str">
            <v>Expenses</v>
          </cell>
        </row>
        <row r="6524">
          <cell r="L6524"/>
          <cell r="S6524">
            <v>3106.32</v>
          </cell>
          <cell r="X6524" t="str">
            <v>Expenses</v>
          </cell>
        </row>
        <row r="6525">
          <cell r="L6525"/>
          <cell r="S6525">
            <v>2619.7600000000002</v>
          </cell>
          <cell r="X6525" t="str">
            <v>Expenses</v>
          </cell>
        </row>
        <row r="6526">
          <cell r="L6526"/>
          <cell r="S6526">
            <v>3145.06</v>
          </cell>
          <cell r="X6526" t="str">
            <v>Expenses</v>
          </cell>
        </row>
        <row r="6527">
          <cell r="L6527"/>
          <cell r="S6527">
            <v>819.9</v>
          </cell>
          <cell r="X6527" t="str">
            <v>to check</v>
          </cell>
        </row>
        <row r="6528">
          <cell r="L6528"/>
          <cell r="S6528">
            <v>0.3</v>
          </cell>
          <cell r="X6528" t="str">
            <v>to check</v>
          </cell>
        </row>
        <row r="6529">
          <cell r="L6529"/>
          <cell r="S6529">
            <v>11.62</v>
          </cell>
          <cell r="X6529" t="str">
            <v>to check</v>
          </cell>
        </row>
        <row r="6530">
          <cell r="L6530"/>
          <cell r="S6530">
            <v>8909.85</v>
          </cell>
          <cell r="X6530" t="str">
            <v>Expenses</v>
          </cell>
        </row>
        <row r="6531">
          <cell r="L6531"/>
          <cell r="S6531">
            <v>9423.9500000000007</v>
          </cell>
          <cell r="X6531" t="str">
            <v>Expenses</v>
          </cell>
        </row>
        <row r="6532">
          <cell r="L6532"/>
          <cell r="S6532">
            <v>-8909.85</v>
          </cell>
          <cell r="X6532" t="str">
            <v>Expenses</v>
          </cell>
        </row>
        <row r="6533">
          <cell r="L6533"/>
          <cell r="S6533">
            <v>14.23</v>
          </cell>
          <cell r="X6533" t="str">
            <v>Expenses</v>
          </cell>
        </row>
        <row r="6534">
          <cell r="L6534"/>
          <cell r="S6534">
            <v>42.68</v>
          </cell>
          <cell r="X6534" t="str">
            <v>Expenses</v>
          </cell>
        </row>
        <row r="6535">
          <cell r="L6535"/>
          <cell r="S6535">
            <v>41.28</v>
          </cell>
          <cell r="X6535" t="str">
            <v>Expenses</v>
          </cell>
        </row>
        <row r="6536">
          <cell r="L6536"/>
          <cell r="S6536">
            <v>526.13</v>
          </cell>
          <cell r="X6536" t="str">
            <v>Expenses</v>
          </cell>
        </row>
        <row r="6537">
          <cell r="L6537"/>
          <cell r="S6537">
            <v>22</v>
          </cell>
          <cell r="X6537" t="str">
            <v>Expenses</v>
          </cell>
        </row>
        <row r="6538">
          <cell r="L6538"/>
          <cell r="S6538">
            <v>824.48</v>
          </cell>
          <cell r="X6538" t="str">
            <v>Expenses</v>
          </cell>
        </row>
        <row r="6539">
          <cell r="L6539"/>
          <cell r="S6539">
            <v>3.53</v>
          </cell>
          <cell r="X6539" t="str">
            <v>Expenses</v>
          </cell>
        </row>
        <row r="6540">
          <cell r="L6540"/>
          <cell r="S6540">
            <v>792.55</v>
          </cell>
          <cell r="X6540" t="str">
            <v>Expenses</v>
          </cell>
        </row>
        <row r="6541">
          <cell r="L6541"/>
          <cell r="S6541">
            <v>335.65</v>
          </cell>
          <cell r="X6541" t="str">
            <v>Expenses</v>
          </cell>
        </row>
        <row r="6542">
          <cell r="L6542"/>
          <cell r="S6542">
            <v>349.23</v>
          </cell>
          <cell r="X6542" t="str">
            <v>Expenses</v>
          </cell>
        </row>
        <row r="6543">
          <cell r="L6543"/>
          <cell r="S6543">
            <v>27.59</v>
          </cell>
          <cell r="X6543" t="str">
            <v>Expenses</v>
          </cell>
        </row>
        <row r="6544">
          <cell r="L6544"/>
          <cell r="S6544">
            <v>9615.5</v>
          </cell>
          <cell r="X6544" t="str">
            <v>Expenses</v>
          </cell>
        </row>
        <row r="6545">
          <cell r="L6545"/>
          <cell r="S6545">
            <v>28.81</v>
          </cell>
          <cell r="X6545" t="str">
            <v>Expenses</v>
          </cell>
        </row>
        <row r="6546">
          <cell r="L6546"/>
          <cell r="S6546">
            <v>19.09</v>
          </cell>
          <cell r="X6546" t="str">
            <v>Expenses</v>
          </cell>
        </row>
        <row r="6547">
          <cell r="L6547"/>
          <cell r="S6547">
            <v>239.84</v>
          </cell>
          <cell r="X6547" t="str">
            <v>Expenses</v>
          </cell>
        </row>
        <row r="6548">
          <cell r="L6548"/>
          <cell r="S6548">
            <v>676.48</v>
          </cell>
          <cell r="X6548" t="str">
            <v>Expenses</v>
          </cell>
        </row>
        <row r="6549">
          <cell r="L6549"/>
          <cell r="S6549">
            <v>11</v>
          </cell>
          <cell r="X6549" t="str">
            <v>Expenses</v>
          </cell>
        </row>
        <row r="6550">
          <cell r="L6550"/>
          <cell r="S6550">
            <v>3195.97</v>
          </cell>
          <cell r="X6550" t="str">
            <v>Expenses</v>
          </cell>
        </row>
        <row r="6551">
          <cell r="L6551"/>
          <cell r="S6551">
            <v>52</v>
          </cell>
          <cell r="X6551" t="str">
            <v>Expenses</v>
          </cell>
        </row>
        <row r="6552">
          <cell r="L6552"/>
          <cell r="S6552">
            <v>364.18</v>
          </cell>
          <cell r="X6552" t="str">
            <v>Expenses</v>
          </cell>
        </row>
        <row r="6553">
          <cell r="L6553"/>
          <cell r="S6553">
            <v>11.2</v>
          </cell>
          <cell r="X6553" t="str">
            <v>Expenses</v>
          </cell>
        </row>
        <row r="6554">
          <cell r="L6554"/>
          <cell r="S6554">
            <v>23.99</v>
          </cell>
          <cell r="X6554" t="str">
            <v>Expenses</v>
          </cell>
        </row>
        <row r="6555">
          <cell r="L6555"/>
          <cell r="S6555">
            <v>189.47</v>
          </cell>
          <cell r="X6555" t="str">
            <v>Expenses</v>
          </cell>
        </row>
        <row r="6556">
          <cell r="L6556"/>
          <cell r="S6556">
            <v>14641.68</v>
          </cell>
          <cell r="X6556" t="str">
            <v>Expenses</v>
          </cell>
        </row>
        <row r="6557">
          <cell r="L6557"/>
          <cell r="S6557">
            <v>75.040000000000006</v>
          </cell>
          <cell r="X6557" t="str">
            <v>Expenses</v>
          </cell>
        </row>
        <row r="6558">
          <cell r="L6558"/>
          <cell r="S6558">
            <v>150.4</v>
          </cell>
          <cell r="X6558" t="str">
            <v>Expenses</v>
          </cell>
        </row>
        <row r="6559">
          <cell r="L6559"/>
          <cell r="S6559">
            <v>215.67</v>
          </cell>
          <cell r="X6559" t="str">
            <v>Expenses</v>
          </cell>
        </row>
        <row r="6560">
          <cell r="L6560"/>
          <cell r="S6560">
            <v>50.68</v>
          </cell>
          <cell r="X6560" t="str">
            <v>Expenses</v>
          </cell>
        </row>
        <row r="6561">
          <cell r="L6561"/>
          <cell r="S6561">
            <v>532.21</v>
          </cell>
          <cell r="X6561" t="str">
            <v>Expenses</v>
          </cell>
        </row>
        <row r="6562">
          <cell r="L6562"/>
          <cell r="S6562">
            <v>25503.13</v>
          </cell>
          <cell r="X6562" t="str">
            <v>Expenses</v>
          </cell>
        </row>
        <row r="6563">
          <cell r="L6563"/>
          <cell r="S6563">
            <v>-4.5</v>
          </cell>
          <cell r="X6563" t="str">
            <v>Expenses</v>
          </cell>
        </row>
        <row r="6564">
          <cell r="L6564"/>
          <cell r="S6564">
            <v>4.5</v>
          </cell>
          <cell r="X6564" t="str">
            <v>Expenses</v>
          </cell>
        </row>
        <row r="6565">
          <cell r="L6565"/>
          <cell r="S6565">
            <v>14.37</v>
          </cell>
          <cell r="X6565" t="str">
            <v>Expenses</v>
          </cell>
        </row>
        <row r="6566">
          <cell r="L6566"/>
          <cell r="S6566">
            <v>4.5</v>
          </cell>
          <cell r="X6566" t="str">
            <v>Expenses</v>
          </cell>
        </row>
        <row r="6567">
          <cell r="L6567"/>
          <cell r="S6567">
            <v>31.6</v>
          </cell>
          <cell r="X6567" t="str">
            <v>Expenses</v>
          </cell>
        </row>
        <row r="6568">
          <cell r="L6568"/>
          <cell r="S6568">
            <v>-11.2</v>
          </cell>
          <cell r="X6568" t="str">
            <v>Expenses</v>
          </cell>
        </row>
        <row r="6569">
          <cell r="L6569"/>
          <cell r="S6569">
            <v>213.58</v>
          </cell>
          <cell r="X6569" t="str">
            <v>Expenses</v>
          </cell>
        </row>
        <row r="6570">
          <cell r="L6570"/>
          <cell r="S6570">
            <v>44.8</v>
          </cell>
          <cell r="X6570" t="str">
            <v>Expenses</v>
          </cell>
        </row>
        <row r="6571">
          <cell r="L6571"/>
          <cell r="S6571">
            <v>-44.8</v>
          </cell>
          <cell r="X6571" t="str">
            <v>Expenses</v>
          </cell>
        </row>
        <row r="6572">
          <cell r="L6572"/>
          <cell r="S6572">
            <v>-14.37</v>
          </cell>
          <cell r="X6572" t="str">
            <v>Expenses</v>
          </cell>
        </row>
        <row r="6573">
          <cell r="L6573"/>
          <cell r="S6573">
            <v>76.8</v>
          </cell>
          <cell r="X6573" t="str">
            <v>Expenses</v>
          </cell>
        </row>
        <row r="6574">
          <cell r="L6574"/>
          <cell r="S6574">
            <v>11.2</v>
          </cell>
          <cell r="X6574" t="str">
            <v>Expenses</v>
          </cell>
        </row>
        <row r="6575">
          <cell r="L6575"/>
          <cell r="S6575">
            <v>-11.2</v>
          </cell>
          <cell r="X6575" t="str">
            <v>Expenses</v>
          </cell>
        </row>
        <row r="6576">
          <cell r="L6576"/>
          <cell r="S6576">
            <v>44.8</v>
          </cell>
          <cell r="X6576" t="str">
            <v>Expenses</v>
          </cell>
        </row>
        <row r="6577">
          <cell r="L6577"/>
          <cell r="S6577">
            <v>7.46</v>
          </cell>
          <cell r="X6577" t="str">
            <v>Expenses</v>
          </cell>
        </row>
        <row r="6578">
          <cell r="L6578"/>
          <cell r="S6578">
            <v>-179.48</v>
          </cell>
          <cell r="X6578" t="str">
            <v>Expenses</v>
          </cell>
        </row>
        <row r="6579">
          <cell r="L6579"/>
          <cell r="S6579">
            <v>-7.46</v>
          </cell>
          <cell r="X6579" t="str">
            <v>Expenses</v>
          </cell>
        </row>
        <row r="6580">
          <cell r="L6580"/>
          <cell r="S6580">
            <v>11.7</v>
          </cell>
          <cell r="X6580" t="str">
            <v>Expenses</v>
          </cell>
        </row>
        <row r="6581">
          <cell r="L6581"/>
          <cell r="S6581">
            <v>12.13</v>
          </cell>
          <cell r="X6581" t="str">
            <v>Expenses</v>
          </cell>
        </row>
        <row r="6582">
          <cell r="L6582"/>
          <cell r="S6582">
            <v>11.2</v>
          </cell>
          <cell r="X6582" t="str">
            <v>Expenses</v>
          </cell>
        </row>
        <row r="6583">
          <cell r="L6583"/>
          <cell r="S6583">
            <v>29.61</v>
          </cell>
          <cell r="X6583" t="str">
            <v>Expenses</v>
          </cell>
        </row>
        <row r="6584">
          <cell r="L6584"/>
          <cell r="S6584">
            <v>1944.71</v>
          </cell>
          <cell r="X6584" t="str">
            <v>Expenses</v>
          </cell>
        </row>
        <row r="6585">
          <cell r="L6585"/>
          <cell r="S6585">
            <v>-11.7</v>
          </cell>
          <cell r="X6585" t="str">
            <v>Expenses</v>
          </cell>
        </row>
        <row r="6586">
          <cell r="L6586"/>
          <cell r="S6586">
            <v>-76.8</v>
          </cell>
          <cell r="X6586" t="str">
            <v>Expenses</v>
          </cell>
        </row>
        <row r="6587">
          <cell r="L6587"/>
          <cell r="S6587">
            <v>9.83</v>
          </cell>
          <cell r="X6587" t="str">
            <v>Expenses</v>
          </cell>
        </row>
        <row r="6588">
          <cell r="L6588"/>
          <cell r="S6588">
            <v>343.05</v>
          </cell>
          <cell r="X6588" t="str">
            <v>Expenses</v>
          </cell>
        </row>
        <row r="6589">
          <cell r="L6589"/>
          <cell r="S6589">
            <v>-11.2</v>
          </cell>
          <cell r="X6589" t="str">
            <v>Expenses</v>
          </cell>
        </row>
        <row r="6590">
          <cell r="L6590"/>
          <cell r="S6590">
            <v>1420.98</v>
          </cell>
          <cell r="X6590" t="str">
            <v>Expenses</v>
          </cell>
        </row>
        <row r="6591">
          <cell r="L6591"/>
          <cell r="S6591">
            <v>-12.13</v>
          </cell>
          <cell r="X6591" t="str">
            <v>Expenses</v>
          </cell>
        </row>
        <row r="6592">
          <cell r="L6592"/>
          <cell r="S6592">
            <v>179.48</v>
          </cell>
          <cell r="X6592" t="str">
            <v>Expenses</v>
          </cell>
        </row>
        <row r="6593">
          <cell r="L6593"/>
          <cell r="S6593">
            <v>11.2</v>
          </cell>
          <cell r="X6593" t="str">
            <v>Expenses</v>
          </cell>
        </row>
        <row r="6594">
          <cell r="L6594"/>
          <cell r="S6594">
            <v>17513.759999999998</v>
          </cell>
          <cell r="X6594" t="str">
            <v>Expenses</v>
          </cell>
        </row>
        <row r="6595">
          <cell r="L6595"/>
          <cell r="S6595">
            <v>21.54</v>
          </cell>
          <cell r="X6595" t="str">
            <v>Expenses</v>
          </cell>
        </row>
        <row r="6596">
          <cell r="L6596"/>
          <cell r="S6596">
            <v>2070.87</v>
          </cell>
          <cell r="X6596" t="str">
            <v>Expenses</v>
          </cell>
        </row>
        <row r="6597">
          <cell r="L6597"/>
          <cell r="S6597">
            <v>981.32</v>
          </cell>
          <cell r="X6597" t="str">
            <v>Expenses</v>
          </cell>
        </row>
        <row r="6598">
          <cell r="L6598"/>
          <cell r="S6598">
            <v>3.81</v>
          </cell>
          <cell r="X6598" t="str">
            <v>Expenses</v>
          </cell>
        </row>
        <row r="6599">
          <cell r="L6599"/>
          <cell r="S6599">
            <v>4.92</v>
          </cell>
          <cell r="X6599" t="str">
            <v>Expenses</v>
          </cell>
        </row>
        <row r="6600">
          <cell r="L6600"/>
          <cell r="S6600">
            <v>281.43</v>
          </cell>
          <cell r="X6600" t="str">
            <v>Expenses</v>
          </cell>
        </row>
        <row r="6601">
          <cell r="L6601"/>
          <cell r="S6601">
            <v>5.45</v>
          </cell>
          <cell r="X6601" t="str">
            <v>Expenses</v>
          </cell>
        </row>
        <row r="6602">
          <cell r="L6602"/>
          <cell r="S6602">
            <v>18.64</v>
          </cell>
          <cell r="X6602" t="str">
            <v>Expenses</v>
          </cell>
        </row>
        <row r="6603">
          <cell r="L6603"/>
          <cell r="S6603">
            <v>85.01</v>
          </cell>
          <cell r="X6603" t="str">
            <v>Expenses</v>
          </cell>
        </row>
        <row r="6604">
          <cell r="L6604"/>
          <cell r="S6604">
            <v>12.82</v>
          </cell>
          <cell r="X6604" t="str">
            <v>Expenses</v>
          </cell>
        </row>
        <row r="6605">
          <cell r="L6605"/>
          <cell r="S6605">
            <v>472.31</v>
          </cell>
          <cell r="X6605" t="str">
            <v>Expenses</v>
          </cell>
        </row>
        <row r="6606">
          <cell r="L6606"/>
          <cell r="S6606">
            <v>4.08</v>
          </cell>
          <cell r="X6606" t="str">
            <v>Expenses</v>
          </cell>
        </row>
        <row r="6607">
          <cell r="L6607"/>
          <cell r="S6607">
            <v>4.08</v>
          </cell>
          <cell r="X6607" t="str">
            <v>Expenses</v>
          </cell>
        </row>
        <row r="6608">
          <cell r="L6608"/>
          <cell r="S6608">
            <v>12.9</v>
          </cell>
          <cell r="X6608" t="str">
            <v>Expenses</v>
          </cell>
        </row>
        <row r="6609">
          <cell r="L6609"/>
          <cell r="S6609">
            <v>66.63</v>
          </cell>
          <cell r="X6609" t="str">
            <v>Expenses</v>
          </cell>
        </row>
        <row r="6610">
          <cell r="L6610"/>
          <cell r="S6610">
            <v>85.01</v>
          </cell>
          <cell r="X6610" t="str">
            <v>Expenses</v>
          </cell>
        </row>
        <row r="6611">
          <cell r="L6611"/>
          <cell r="S6611">
            <v>393.2</v>
          </cell>
          <cell r="X6611" t="str">
            <v>Expenses</v>
          </cell>
        </row>
        <row r="6612">
          <cell r="L6612"/>
          <cell r="S6612">
            <v>3.6</v>
          </cell>
          <cell r="X6612" t="str">
            <v>Expenses</v>
          </cell>
        </row>
        <row r="6613">
          <cell r="L6613"/>
          <cell r="S6613">
            <v>3.6</v>
          </cell>
          <cell r="X6613" t="str">
            <v>Expenses</v>
          </cell>
        </row>
        <row r="6614">
          <cell r="L6614"/>
          <cell r="S6614">
            <v>88.26</v>
          </cell>
          <cell r="X6614" t="str">
            <v>Expenses</v>
          </cell>
        </row>
        <row r="6615">
          <cell r="L6615"/>
          <cell r="S6615">
            <v>3.82</v>
          </cell>
          <cell r="X6615" t="str">
            <v>Expenses</v>
          </cell>
        </row>
        <row r="6616">
          <cell r="L6616"/>
          <cell r="S6616">
            <v>3.42</v>
          </cell>
          <cell r="X6616" t="str">
            <v>Expenses</v>
          </cell>
        </row>
        <row r="6617">
          <cell r="L6617"/>
          <cell r="S6617">
            <v>23.52</v>
          </cell>
          <cell r="X6617" t="str">
            <v>Expenses</v>
          </cell>
        </row>
        <row r="6618">
          <cell r="L6618"/>
          <cell r="S6618">
            <v>2.5</v>
          </cell>
          <cell r="X6618" t="str">
            <v>Expenses</v>
          </cell>
        </row>
        <row r="6619">
          <cell r="L6619"/>
          <cell r="S6619">
            <v>3.52</v>
          </cell>
          <cell r="X6619" t="str">
            <v>Expenses</v>
          </cell>
        </row>
        <row r="6620">
          <cell r="L6620"/>
          <cell r="S6620">
            <v>104.42</v>
          </cell>
          <cell r="X6620" t="str">
            <v>Expenses</v>
          </cell>
        </row>
        <row r="6621">
          <cell r="L6621"/>
          <cell r="S6621">
            <v>3.53</v>
          </cell>
          <cell r="X6621" t="str">
            <v>Expenses</v>
          </cell>
        </row>
        <row r="6622">
          <cell r="L6622"/>
          <cell r="S6622">
            <v>3.5</v>
          </cell>
          <cell r="X6622" t="str">
            <v>Expenses</v>
          </cell>
        </row>
        <row r="6623">
          <cell r="L6623"/>
          <cell r="S6623">
            <v>187</v>
          </cell>
          <cell r="X6623" t="str">
            <v>Expenses</v>
          </cell>
        </row>
        <row r="6624">
          <cell r="L6624"/>
          <cell r="S6624">
            <v>4.93</v>
          </cell>
          <cell r="X6624" t="str">
            <v>Expenses</v>
          </cell>
        </row>
        <row r="6625">
          <cell r="L6625"/>
          <cell r="S6625">
            <v>3.48</v>
          </cell>
          <cell r="X6625" t="str">
            <v>Expenses</v>
          </cell>
        </row>
        <row r="6626">
          <cell r="L6626"/>
          <cell r="S6626">
            <v>124.38</v>
          </cell>
          <cell r="X6626" t="str">
            <v>Expenses</v>
          </cell>
        </row>
        <row r="6627">
          <cell r="L6627"/>
          <cell r="S6627">
            <v>11.2</v>
          </cell>
          <cell r="X6627" t="str">
            <v>Expenses</v>
          </cell>
        </row>
        <row r="6628">
          <cell r="L6628"/>
          <cell r="S6628">
            <v>11.2</v>
          </cell>
          <cell r="X6628" t="str">
            <v>Expenses</v>
          </cell>
        </row>
        <row r="6629">
          <cell r="L6629"/>
          <cell r="S6629">
            <v>17958.68</v>
          </cell>
          <cell r="X6629" t="str">
            <v>Expenses</v>
          </cell>
        </row>
        <row r="6630">
          <cell r="L6630"/>
          <cell r="S6630">
            <v>9256.25</v>
          </cell>
          <cell r="X6630" t="str">
            <v>Expenses</v>
          </cell>
        </row>
        <row r="6631">
          <cell r="L6631"/>
          <cell r="S6631">
            <v>328.88</v>
          </cell>
          <cell r="X6631" t="str">
            <v>Expenses</v>
          </cell>
        </row>
        <row r="6632">
          <cell r="L6632"/>
          <cell r="S6632">
            <v>953.39</v>
          </cell>
          <cell r="X6632" t="str">
            <v>Expenses</v>
          </cell>
        </row>
        <row r="6633">
          <cell r="L6633"/>
          <cell r="S6633">
            <v>5037.88</v>
          </cell>
          <cell r="X6633" t="str">
            <v>Expenses</v>
          </cell>
        </row>
        <row r="6634">
          <cell r="L6634"/>
          <cell r="S6634">
            <v>16436.080000000002</v>
          </cell>
          <cell r="X6634" t="str">
            <v>Expenses</v>
          </cell>
        </row>
        <row r="6635">
          <cell r="L6635"/>
          <cell r="S6635">
            <v>53.7</v>
          </cell>
          <cell r="X6635" t="str">
            <v>Expenses</v>
          </cell>
        </row>
        <row r="6636">
          <cell r="L6636"/>
          <cell r="S6636">
            <v>1186.3499999999999</v>
          </cell>
          <cell r="X6636" t="str">
            <v>Expenses</v>
          </cell>
        </row>
        <row r="6637">
          <cell r="L6637"/>
          <cell r="S6637">
            <v>11358.24</v>
          </cell>
          <cell r="X6637" t="str">
            <v>Expenses</v>
          </cell>
        </row>
        <row r="6638">
          <cell r="L6638"/>
          <cell r="S6638">
            <v>27.89</v>
          </cell>
          <cell r="X6638" t="str">
            <v>Expenses</v>
          </cell>
        </row>
        <row r="6639">
          <cell r="L6639"/>
          <cell r="S6639">
            <v>14.31</v>
          </cell>
          <cell r="X6639" t="str">
            <v>Expenses</v>
          </cell>
        </row>
        <row r="6640">
          <cell r="L6640"/>
          <cell r="S6640">
            <v>22.4</v>
          </cell>
          <cell r="X6640" t="str">
            <v>Expenses</v>
          </cell>
        </row>
        <row r="6641">
          <cell r="L6641"/>
          <cell r="S6641">
            <v>53.43</v>
          </cell>
          <cell r="X6641" t="str">
            <v>Expenses</v>
          </cell>
        </row>
        <row r="6642">
          <cell r="L6642"/>
          <cell r="S6642">
            <v>3.79</v>
          </cell>
          <cell r="X6642" t="str">
            <v>Expenses</v>
          </cell>
        </row>
        <row r="6643">
          <cell r="L6643"/>
          <cell r="S6643">
            <v>18.28</v>
          </cell>
          <cell r="X6643" t="str">
            <v>Expenses</v>
          </cell>
        </row>
        <row r="6644">
          <cell r="L6644"/>
          <cell r="S6644">
            <v>11.2</v>
          </cell>
          <cell r="X6644" t="str">
            <v>Expenses</v>
          </cell>
        </row>
        <row r="6645">
          <cell r="L6645"/>
          <cell r="S6645">
            <v>11.2</v>
          </cell>
          <cell r="X6645" t="str">
            <v>Expenses</v>
          </cell>
        </row>
        <row r="6646">
          <cell r="L6646"/>
          <cell r="S6646">
            <v>14.3</v>
          </cell>
          <cell r="X6646" t="str">
            <v>Expenses</v>
          </cell>
        </row>
        <row r="6647">
          <cell r="L6647"/>
          <cell r="S6647">
            <v>2.5</v>
          </cell>
          <cell r="X6647" t="str">
            <v>Expenses</v>
          </cell>
        </row>
        <row r="6648">
          <cell r="L6648"/>
          <cell r="S6648">
            <v>3.79</v>
          </cell>
          <cell r="X6648" t="str">
            <v>Expenses</v>
          </cell>
        </row>
        <row r="6649">
          <cell r="L6649"/>
          <cell r="S6649">
            <v>53682.63</v>
          </cell>
          <cell r="X6649" t="str">
            <v>Expenses</v>
          </cell>
        </row>
        <row r="6650">
          <cell r="L6650"/>
          <cell r="S6650">
            <v>11.2</v>
          </cell>
          <cell r="X6650" t="str">
            <v>Expenses</v>
          </cell>
        </row>
        <row r="6651">
          <cell r="L6651"/>
          <cell r="S6651">
            <v>170.19</v>
          </cell>
          <cell r="X6651" t="str">
            <v>Expenses</v>
          </cell>
        </row>
        <row r="6652">
          <cell r="L6652"/>
          <cell r="S6652">
            <v>11.2</v>
          </cell>
          <cell r="X6652" t="str">
            <v>Expenses</v>
          </cell>
        </row>
        <row r="6653">
          <cell r="L6653"/>
          <cell r="S6653">
            <v>25.8</v>
          </cell>
          <cell r="X6653" t="str">
            <v>Expenses</v>
          </cell>
        </row>
        <row r="6654">
          <cell r="L6654"/>
          <cell r="S6654">
            <v>16666.52</v>
          </cell>
          <cell r="X6654" t="str">
            <v>Expenses</v>
          </cell>
        </row>
        <row r="6655">
          <cell r="L6655"/>
          <cell r="S6655">
            <v>125</v>
          </cell>
          <cell r="X6655" t="str">
            <v>Expenses</v>
          </cell>
        </row>
        <row r="6656">
          <cell r="L6656"/>
          <cell r="S6656">
            <v>425.83</v>
          </cell>
          <cell r="X6656" t="str">
            <v>Expenses</v>
          </cell>
        </row>
        <row r="6657">
          <cell r="L6657"/>
          <cell r="S6657">
            <v>213.52</v>
          </cell>
          <cell r="X6657" t="str">
            <v>Expenses</v>
          </cell>
        </row>
        <row r="6658">
          <cell r="L6658"/>
          <cell r="S6658">
            <v>127.9</v>
          </cell>
          <cell r="X6658" t="str">
            <v>Expenses</v>
          </cell>
        </row>
        <row r="6659">
          <cell r="L6659"/>
          <cell r="S6659">
            <v>193.76</v>
          </cell>
          <cell r="X6659" t="str">
            <v>Expenses</v>
          </cell>
        </row>
        <row r="6660">
          <cell r="L6660"/>
          <cell r="S6660">
            <v>17.600000000000001</v>
          </cell>
          <cell r="X6660" t="str">
            <v>Expenses</v>
          </cell>
        </row>
        <row r="6661">
          <cell r="L6661"/>
          <cell r="S6661">
            <v>202.49</v>
          </cell>
          <cell r="X6661" t="str">
            <v>Expenses</v>
          </cell>
        </row>
        <row r="6662">
          <cell r="L6662"/>
          <cell r="S6662">
            <v>846.27</v>
          </cell>
          <cell r="X6662" t="str">
            <v>Expenses</v>
          </cell>
        </row>
        <row r="6663">
          <cell r="L6663"/>
          <cell r="S6663">
            <v>56.9</v>
          </cell>
          <cell r="X6663" t="str">
            <v>Expenses</v>
          </cell>
        </row>
        <row r="6664">
          <cell r="L6664"/>
          <cell r="S6664">
            <v>479.99</v>
          </cell>
          <cell r="X6664" t="str">
            <v>Expenses</v>
          </cell>
        </row>
        <row r="6665">
          <cell r="L6665"/>
          <cell r="S6665">
            <v>54</v>
          </cell>
          <cell r="X6665" t="str">
            <v>Expenses</v>
          </cell>
        </row>
        <row r="6666">
          <cell r="L6666"/>
          <cell r="S6666">
            <v>944.51</v>
          </cell>
          <cell r="X6666" t="str">
            <v>Expenses</v>
          </cell>
        </row>
        <row r="6667">
          <cell r="L6667"/>
          <cell r="S6667">
            <v>191.47</v>
          </cell>
          <cell r="X6667" t="str">
            <v>Expenses</v>
          </cell>
        </row>
        <row r="6668">
          <cell r="L6668"/>
          <cell r="S6668">
            <v>54</v>
          </cell>
          <cell r="X6668" t="str">
            <v>Expenses</v>
          </cell>
        </row>
        <row r="6669">
          <cell r="L6669"/>
          <cell r="S6669">
            <v>28.13</v>
          </cell>
          <cell r="X6669" t="str">
            <v>Expenses</v>
          </cell>
        </row>
        <row r="6670">
          <cell r="L6670"/>
          <cell r="S6670">
            <v>263.85000000000002</v>
          </cell>
          <cell r="X6670" t="str">
            <v>Expenses</v>
          </cell>
        </row>
        <row r="6671">
          <cell r="L6671"/>
          <cell r="S6671">
            <v>646.01</v>
          </cell>
          <cell r="X6671" t="str">
            <v>Expenses</v>
          </cell>
        </row>
        <row r="6672">
          <cell r="L6672"/>
          <cell r="S6672">
            <v>639.54999999999995</v>
          </cell>
          <cell r="X6672" t="str">
            <v>Expenses</v>
          </cell>
        </row>
        <row r="6673">
          <cell r="L6673"/>
          <cell r="S6673">
            <v>353.05</v>
          </cell>
          <cell r="X6673" t="str">
            <v>Expenses</v>
          </cell>
        </row>
        <row r="6674">
          <cell r="L6674"/>
          <cell r="S6674">
            <v>64.010000000000005</v>
          </cell>
          <cell r="X6674" t="str">
            <v>Expenses</v>
          </cell>
        </row>
        <row r="6675">
          <cell r="L6675"/>
          <cell r="S6675">
            <v>268.37</v>
          </cell>
          <cell r="X6675" t="str">
            <v>Expenses</v>
          </cell>
        </row>
        <row r="6676">
          <cell r="L6676"/>
          <cell r="S6676">
            <v>-17</v>
          </cell>
          <cell r="X6676" t="str">
            <v>Expenses</v>
          </cell>
        </row>
        <row r="6677">
          <cell r="L6677"/>
          <cell r="S6677">
            <v>-20.36</v>
          </cell>
          <cell r="X6677" t="str">
            <v>Expenses</v>
          </cell>
        </row>
        <row r="6678">
          <cell r="L6678"/>
          <cell r="S6678">
            <v>15.95</v>
          </cell>
          <cell r="X6678" t="str">
            <v>Expenses</v>
          </cell>
        </row>
        <row r="6679">
          <cell r="L6679"/>
          <cell r="S6679">
            <v>-15</v>
          </cell>
          <cell r="X6679" t="str">
            <v>Expenses</v>
          </cell>
        </row>
        <row r="6680">
          <cell r="L6680"/>
          <cell r="S6680">
            <v>185.21</v>
          </cell>
          <cell r="X6680" t="str">
            <v>Expenses</v>
          </cell>
        </row>
        <row r="6681">
          <cell r="L6681"/>
          <cell r="S6681">
            <v>-14.3</v>
          </cell>
          <cell r="X6681" t="str">
            <v>Expenses</v>
          </cell>
        </row>
        <row r="6682">
          <cell r="L6682"/>
          <cell r="S6682">
            <v>18.079999999999998</v>
          </cell>
          <cell r="X6682" t="str">
            <v>Expenses</v>
          </cell>
        </row>
        <row r="6683">
          <cell r="L6683"/>
          <cell r="S6683">
            <v>25.74</v>
          </cell>
          <cell r="X6683" t="str">
            <v>Expenses</v>
          </cell>
        </row>
        <row r="6684">
          <cell r="L6684"/>
          <cell r="S6684">
            <v>26.91</v>
          </cell>
          <cell r="X6684" t="str">
            <v>Expenses</v>
          </cell>
        </row>
        <row r="6685">
          <cell r="L6685"/>
          <cell r="S6685">
            <v>-12.65</v>
          </cell>
          <cell r="X6685" t="str">
            <v>Expenses</v>
          </cell>
        </row>
        <row r="6686">
          <cell r="L6686"/>
          <cell r="S6686">
            <v>-44.06</v>
          </cell>
          <cell r="X6686" t="str">
            <v>Expenses</v>
          </cell>
        </row>
        <row r="6687">
          <cell r="L6687"/>
          <cell r="S6687">
            <v>16.98</v>
          </cell>
          <cell r="X6687" t="str">
            <v>Expenses</v>
          </cell>
        </row>
        <row r="6688">
          <cell r="L6688"/>
          <cell r="S6688">
            <v>-13</v>
          </cell>
          <cell r="X6688" t="str">
            <v>Expenses</v>
          </cell>
        </row>
        <row r="6689">
          <cell r="L6689"/>
          <cell r="S6689">
            <v>4.45</v>
          </cell>
          <cell r="X6689" t="str">
            <v>Expenses</v>
          </cell>
        </row>
        <row r="6690">
          <cell r="L6690"/>
          <cell r="S6690">
            <v>44.06</v>
          </cell>
          <cell r="X6690" t="str">
            <v>Expenses</v>
          </cell>
        </row>
        <row r="6691">
          <cell r="L6691"/>
          <cell r="S6691">
            <v>11</v>
          </cell>
          <cell r="X6691" t="str">
            <v>Expenses</v>
          </cell>
        </row>
        <row r="6692">
          <cell r="L6692"/>
          <cell r="S6692">
            <v>110.1</v>
          </cell>
          <cell r="X6692" t="str">
            <v>Expenses</v>
          </cell>
        </row>
        <row r="6693">
          <cell r="L6693"/>
          <cell r="S6693">
            <v>14.87</v>
          </cell>
          <cell r="X6693" t="str">
            <v>Expenses</v>
          </cell>
        </row>
        <row r="6694">
          <cell r="L6694"/>
          <cell r="S6694">
            <v>-25.74</v>
          </cell>
          <cell r="X6694" t="str">
            <v>Expenses</v>
          </cell>
        </row>
        <row r="6695">
          <cell r="L6695"/>
          <cell r="S6695">
            <v>-14.16</v>
          </cell>
          <cell r="X6695" t="str">
            <v>Expenses</v>
          </cell>
        </row>
        <row r="6696">
          <cell r="L6696"/>
          <cell r="S6696">
            <v>33.61</v>
          </cell>
          <cell r="X6696" t="str">
            <v>Expenses</v>
          </cell>
        </row>
        <row r="6697">
          <cell r="L6697"/>
          <cell r="S6697">
            <v>-14.87</v>
          </cell>
          <cell r="X6697" t="str">
            <v>Expenses</v>
          </cell>
        </row>
        <row r="6698">
          <cell r="L6698"/>
          <cell r="S6698">
            <v>-36</v>
          </cell>
          <cell r="X6698" t="str">
            <v>Expenses</v>
          </cell>
        </row>
        <row r="6699">
          <cell r="L6699"/>
          <cell r="S6699">
            <v>-10</v>
          </cell>
          <cell r="X6699" t="str">
            <v>Expenses</v>
          </cell>
        </row>
        <row r="6700">
          <cell r="L6700"/>
          <cell r="S6700">
            <v>9</v>
          </cell>
          <cell r="X6700" t="str">
            <v>Expenses</v>
          </cell>
        </row>
        <row r="6701">
          <cell r="L6701"/>
          <cell r="S6701">
            <v>36</v>
          </cell>
          <cell r="X6701" t="str">
            <v>Expenses</v>
          </cell>
        </row>
        <row r="6702">
          <cell r="L6702"/>
          <cell r="S6702">
            <v>-14.25</v>
          </cell>
          <cell r="X6702" t="str">
            <v>Expenses</v>
          </cell>
        </row>
        <row r="6703">
          <cell r="L6703"/>
          <cell r="S6703">
            <v>-15.95</v>
          </cell>
          <cell r="X6703" t="str">
            <v>Expenses</v>
          </cell>
        </row>
        <row r="6704">
          <cell r="L6704"/>
          <cell r="S6704">
            <v>-48.39</v>
          </cell>
          <cell r="X6704" t="str">
            <v>Expenses</v>
          </cell>
        </row>
        <row r="6705">
          <cell r="L6705"/>
          <cell r="S6705">
            <v>-26.91</v>
          </cell>
          <cell r="X6705" t="str">
            <v>Expenses</v>
          </cell>
        </row>
        <row r="6706">
          <cell r="L6706"/>
          <cell r="S6706">
            <v>10</v>
          </cell>
          <cell r="X6706" t="str">
            <v>Expenses</v>
          </cell>
        </row>
        <row r="6707">
          <cell r="L6707"/>
          <cell r="S6707">
            <v>490.24</v>
          </cell>
          <cell r="X6707" t="str">
            <v>Expenses</v>
          </cell>
        </row>
        <row r="6708">
          <cell r="L6708"/>
          <cell r="S6708">
            <v>390.56</v>
          </cell>
          <cell r="X6708" t="str">
            <v>Expenses</v>
          </cell>
        </row>
        <row r="6709">
          <cell r="L6709"/>
          <cell r="S6709">
            <v>14.16</v>
          </cell>
          <cell r="X6709" t="str">
            <v>Expenses</v>
          </cell>
        </row>
        <row r="6710">
          <cell r="L6710"/>
          <cell r="S6710">
            <v>-10.68</v>
          </cell>
          <cell r="X6710" t="str">
            <v>Expenses</v>
          </cell>
        </row>
        <row r="6711">
          <cell r="L6711"/>
          <cell r="S6711">
            <v>27.1</v>
          </cell>
          <cell r="X6711" t="str">
            <v>Expenses</v>
          </cell>
        </row>
        <row r="6712">
          <cell r="L6712"/>
          <cell r="S6712">
            <v>14.1</v>
          </cell>
          <cell r="X6712" t="str">
            <v>Expenses</v>
          </cell>
        </row>
        <row r="6713">
          <cell r="L6713"/>
          <cell r="S6713">
            <v>48.39</v>
          </cell>
          <cell r="X6713" t="str">
            <v>Expenses</v>
          </cell>
        </row>
        <row r="6714">
          <cell r="L6714"/>
          <cell r="S6714">
            <v>-16.07</v>
          </cell>
          <cell r="X6714" t="str">
            <v>Expenses</v>
          </cell>
        </row>
        <row r="6715">
          <cell r="L6715"/>
          <cell r="S6715">
            <v>17</v>
          </cell>
          <cell r="X6715" t="str">
            <v>Expenses</v>
          </cell>
        </row>
        <row r="6716">
          <cell r="L6716"/>
          <cell r="S6716">
            <v>-11.5</v>
          </cell>
          <cell r="X6716" t="str">
            <v>Expenses</v>
          </cell>
        </row>
        <row r="6717">
          <cell r="L6717"/>
          <cell r="S6717">
            <v>-11</v>
          </cell>
          <cell r="X6717" t="str">
            <v>Expenses</v>
          </cell>
        </row>
        <row r="6718">
          <cell r="L6718"/>
          <cell r="S6718">
            <v>-33.61</v>
          </cell>
          <cell r="X6718" t="str">
            <v>Expenses</v>
          </cell>
        </row>
        <row r="6719">
          <cell r="L6719"/>
          <cell r="S6719">
            <v>-9</v>
          </cell>
          <cell r="X6719" t="str">
            <v>Expenses</v>
          </cell>
        </row>
        <row r="6720">
          <cell r="L6720"/>
          <cell r="S6720">
            <v>20.36</v>
          </cell>
          <cell r="X6720" t="str">
            <v>Expenses</v>
          </cell>
        </row>
        <row r="6721">
          <cell r="L6721"/>
          <cell r="S6721">
            <v>-16.98</v>
          </cell>
          <cell r="X6721" t="str">
            <v>Expenses</v>
          </cell>
        </row>
        <row r="6722">
          <cell r="L6722"/>
          <cell r="S6722">
            <v>15.95</v>
          </cell>
          <cell r="X6722" t="str">
            <v>Expenses</v>
          </cell>
        </row>
        <row r="6723">
          <cell r="L6723"/>
          <cell r="S6723">
            <v>-14.1</v>
          </cell>
          <cell r="X6723" t="str">
            <v>Expenses</v>
          </cell>
        </row>
        <row r="6724">
          <cell r="L6724"/>
          <cell r="S6724">
            <v>10</v>
          </cell>
          <cell r="X6724" t="str">
            <v>Expenses</v>
          </cell>
        </row>
        <row r="6725">
          <cell r="L6725"/>
          <cell r="S6725">
            <v>14.25</v>
          </cell>
          <cell r="X6725" t="str">
            <v>Expenses</v>
          </cell>
        </row>
        <row r="6726">
          <cell r="L6726"/>
          <cell r="S6726">
            <v>-15.95</v>
          </cell>
          <cell r="X6726" t="str">
            <v>Expenses</v>
          </cell>
        </row>
        <row r="6727">
          <cell r="L6727"/>
          <cell r="S6727">
            <v>13</v>
          </cell>
          <cell r="X6727" t="str">
            <v>Expenses</v>
          </cell>
        </row>
        <row r="6728">
          <cell r="L6728"/>
          <cell r="S6728">
            <v>15</v>
          </cell>
          <cell r="X6728" t="str">
            <v>Expenses</v>
          </cell>
        </row>
        <row r="6729">
          <cell r="L6729"/>
          <cell r="S6729">
            <v>-18.079999999999998</v>
          </cell>
          <cell r="X6729" t="str">
            <v>Expenses</v>
          </cell>
        </row>
        <row r="6730">
          <cell r="L6730"/>
          <cell r="S6730">
            <v>-4.45</v>
          </cell>
          <cell r="X6730" t="str">
            <v>Expenses</v>
          </cell>
        </row>
        <row r="6731">
          <cell r="L6731"/>
          <cell r="S6731">
            <v>14.3</v>
          </cell>
          <cell r="X6731" t="str">
            <v>Expenses</v>
          </cell>
        </row>
        <row r="6732">
          <cell r="L6732"/>
          <cell r="S6732">
            <v>10.68</v>
          </cell>
          <cell r="X6732" t="str">
            <v>Expenses</v>
          </cell>
        </row>
        <row r="6733">
          <cell r="L6733"/>
          <cell r="S6733">
            <v>12.65</v>
          </cell>
          <cell r="X6733" t="str">
            <v>Expenses</v>
          </cell>
        </row>
        <row r="6734">
          <cell r="L6734"/>
          <cell r="S6734">
            <v>16.07</v>
          </cell>
          <cell r="X6734" t="str">
            <v>Expenses</v>
          </cell>
        </row>
        <row r="6735">
          <cell r="L6735"/>
          <cell r="S6735">
            <v>11.5</v>
          </cell>
          <cell r="X6735" t="str">
            <v>Expenses</v>
          </cell>
        </row>
        <row r="6736">
          <cell r="L6736"/>
          <cell r="S6736">
            <v>-10</v>
          </cell>
          <cell r="X6736" t="str">
            <v>Expenses</v>
          </cell>
        </row>
        <row r="6737">
          <cell r="L6737"/>
          <cell r="S6737">
            <v>-27.1</v>
          </cell>
          <cell r="X6737" t="str">
            <v>Expenses</v>
          </cell>
        </row>
        <row r="6738">
          <cell r="L6738"/>
          <cell r="S6738">
            <v>426.17</v>
          </cell>
          <cell r="X6738" t="str">
            <v>Expenses</v>
          </cell>
        </row>
        <row r="6739">
          <cell r="L6739"/>
          <cell r="S6739">
            <v>193.84</v>
          </cell>
          <cell r="X6739" t="str">
            <v>Expenses</v>
          </cell>
        </row>
        <row r="6740">
          <cell r="L6740"/>
          <cell r="S6740">
            <v>28</v>
          </cell>
          <cell r="X6740" t="str">
            <v>Expenses</v>
          </cell>
        </row>
        <row r="6741">
          <cell r="L6741"/>
          <cell r="S6741">
            <v>48.89</v>
          </cell>
          <cell r="X6741" t="str">
            <v>Expenses</v>
          </cell>
        </row>
        <row r="6742">
          <cell r="L6742"/>
          <cell r="S6742">
            <v>55</v>
          </cell>
          <cell r="X6742" t="str">
            <v>Expenses</v>
          </cell>
        </row>
        <row r="6743">
          <cell r="L6743"/>
          <cell r="S6743">
            <v>18</v>
          </cell>
          <cell r="X6743" t="str">
            <v>Expenses</v>
          </cell>
        </row>
        <row r="6744">
          <cell r="L6744"/>
          <cell r="S6744">
            <v>31.04</v>
          </cell>
          <cell r="X6744" t="str">
            <v>Expenses</v>
          </cell>
        </row>
        <row r="6745">
          <cell r="L6745"/>
          <cell r="S6745">
            <v>175.19</v>
          </cell>
          <cell r="X6745" t="str">
            <v>Expenses</v>
          </cell>
        </row>
        <row r="6746">
          <cell r="L6746"/>
          <cell r="S6746">
            <v>14.87</v>
          </cell>
          <cell r="X6746" t="str">
            <v>Expenses</v>
          </cell>
        </row>
        <row r="6747">
          <cell r="L6747"/>
          <cell r="S6747">
            <v>29</v>
          </cell>
          <cell r="X6747" t="str">
            <v>Expenses</v>
          </cell>
        </row>
        <row r="6748">
          <cell r="L6748"/>
          <cell r="S6748">
            <v>45</v>
          </cell>
          <cell r="X6748" t="str">
            <v>Expenses</v>
          </cell>
        </row>
        <row r="6749">
          <cell r="L6749"/>
          <cell r="S6749">
            <v>20</v>
          </cell>
          <cell r="X6749" t="str">
            <v>Expenses</v>
          </cell>
        </row>
        <row r="6750">
          <cell r="L6750"/>
          <cell r="S6750">
            <v>55</v>
          </cell>
          <cell r="X6750" t="str">
            <v>Expenses</v>
          </cell>
        </row>
        <row r="6751">
          <cell r="L6751"/>
          <cell r="S6751">
            <v>18.62</v>
          </cell>
          <cell r="X6751" t="str">
            <v>Expenses</v>
          </cell>
        </row>
        <row r="6752">
          <cell r="L6752"/>
          <cell r="S6752">
            <v>26.86</v>
          </cell>
          <cell r="X6752" t="str">
            <v>Expenses</v>
          </cell>
        </row>
        <row r="6753">
          <cell r="L6753"/>
          <cell r="S6753">
            <v>35</v>
          </cell>
          <cell r="X6753" t="str">
            <v>Expenses</v>
          </cell>
        </row>
        <row r="6754">
          <cell r="L6754"/>
          <cell r="S6754">
            <v>10.65</v>
          </cell>
          <cell r="X6754" t="str">
            <v>Expenses</v>
          </cell>
        </row>
        <row r="6755">
          <cell r="L6755"/>
          <cell r="S6755">
            <v>103.73</v>
          </cell>
          <cell r="X6755" t="str">
            <v>Expenses</v>
          </cell>
        </row>
        <row r="6756">
          <cell r="L6756"/>
          <cell r="S6756">
            <v>34.53</v>
          </cell>
          <cell r="X6756" t="str">
            <v>Expenses</v>
          </cell>
        </row>
        <row r="6757">
          <cell r="L6757"/>
          <cell r="S6757">
            <v>18.690000000000001</v>
          </cell>
          <cell r="X6757" t="str">
            <v>Expenses</v>
          </cell>
        </row>
        <row r="6758">
          <cell r="L6758"/>
          <cell r="S6758">
            <v>24.8</v>
          </cell>
          <cell r="X6758" t="str">
            <v>Expenses</v>
          </cell>
        </row>
        <row r="6759">
          <cell r="L6759"/>
          <cell r="S6759">
            <v>16.48</v>
          </cell>
          <cell r="X6759" t="str">
            <v>Expenses</v>
          </cell>
        </row>
        <row r="6760">
          <cell r="L6760"/>
          <cell r="S6760">
            <v>44.89</v>
          </cell>
          <cell r="X6760" t="str">
            <v>Expenses</v>
          </cell>
        </row>
        <row r="6761">
          <cell r="L6761"/>
          <cell r="S6761">
            <v>26.61</v>
          </cell>
          <cell r="X6761" t="str">
            <v>Expenses</v>
          </cell>
        </row>
        <row r="6762">
          <cell r="L6762"/>
          <cell r="S6762">
            <v>109.04</v>
          </cell>
          <cell r="X6762" t="str">
            <v>Expenses</v>
          </cell>
        </row>
        <row r="6763">
          <cell r="L6763"/>
          <cell r="S6763">
            <v>28.95</v>
          </cell>
          <cell r="X6763" t="str">
            <v>Expenses</v>
          </cell>
        </row>
        <row r="6764">
          <cell r="L6764"/>
          <cell r="S6764">
            <v>58.1</v>
          </cell>
          <cell r="X6764" t="str">
            <v>Expenses</v>
          </cell>
        </row>
        <row r="6765">
          <cell r="L6765"/>
          <cell r="S6765">
            <v>107.32</v>
          </cell>
          <cell r="X6765" t="str">
            <v>Expenses</v>
          </cell>
        </row>
        <row r="6766">
          <cell r="L6766"/>
          <cell r="S6766">
            <v>184.28</v>
          </cell>
          <cell r="X6766" t="str">
            <v>Expenses</v>
          </cell>
        </row>
        <row r="6767">
          <cell r="L6767"/>
          <cell r="S6767">
            <v>3.19</v>
          </cell>
          <cell r="X6767" t="str">
            <v>Expenses</v>
          </cell>
        </row>
        <row r="6768">
          <cell r="L6768"/>
          <cell r="S6768">
            <v>21</v>
          </cell>
          <cell r="X6768" t="str">
            <v>Expenses</v>
          </cell>
        </row>
        <row r="6769">
          <cell r="L6769"/>
          <cell r="S6769">
            <v>16.149999999999999</v>
          </cell>
          <cell r="X6769" t="str">
            <v>Expenses</v>
          </cell>
        </row>
        <row r="6770">
          <cell r="L6770"/>
          <cell r="S6770">
            <v>278.83</v>
          </cell>
          <cell r="X6770" t="str">
            <v>Expenses</v>
          </cell>
        </row>
        <row r="6771">
          <cell r="L6771"/>
          <cell r="S6771">
            <v>57.16</v>
          </cell>
          <cell r="X6771" t="str">
            <v>Expenses</v>
          </cell>
        </row>
        <row r="6772">
          <cell r="L6772"/>
          <cell r="S6772">
            <v>8.67</v>
          </cell>
          <cell r="X6772" t="str">
            <v>Expenses</v>
          </cell>
        </row>
        <row r="6773">
          <cell r="L6773"/>
          <cell r="S6773">
            <v>46.97</v>
          </cell>
          <cell r="X6773" t="str">
            <v>Expenses</v>
          </cell>
        </row>
        <row r="6774">
          <cell r="L6774"/>
          <cell r="S6774">
            <v>4.55</v>
          </cell>
          <cell r="X6774" t="str">
            <v>Expenses</v>
          </cell>
        </row>
        <row r="6775">
          <cell r="L6775"/>
          <cell r="S6775">
            <v>8.5</v>
          </cell>
          <cell r="X6775" t="str">
            <v>Expenses</v>
          </cell>
        </row>
        <row r="6776">
          <cell r="L6776"/>
          <cell r="S6776">
            <v>30.43</v>
          </cell>
          <cell r="X6776" t="str">
            <v>Expenses</v>
          </cell>
        </row>
        <row r="6777">
          <cell r="L6777"/>
          <cell r="S6777">
            <v>12.05</v>
          </cell>
          <cell r="X6777" t="str">
            <v>Expenses</v>
          </cell>
        </row>
        <row r="6778">
          <cell r="L6778"/>
          <cell r="S6778">
            <v>56.54</v>
          </cell>
          <cell r="X6778" t="str">
            <v>Expenses</v>
          </cell>
        </row>
        <row r="6779">
          <cell r="L6779"/>
          <cell r="S6779">
            <v>33.92</v>
          </cell>
          <cell r="X6779" t="str">
            <v>Expenses</v>
          </cell>
        </row>
        <row r="6780">
          <cell r="L6780"/>
          <cell r="S6780">
            <v>279.14999999999998</v>
          </cell>
          <cell r="X6780" t="str">
            <v>Expenses</v>
          </cell>
        </row>
        <row r="6781">
          <cell r="L6781"/>
          <cell r="S6781">
            <v>48.7</v>
          </cell>
          <cell r="X6781" t="str">
            <v>Expenses</v>
          </cell>
        </row>
        <row r="6782">
          <cell r="L6782"/>
          <cell r="S6782">
            <v>7.75</v>
          </cell>
          <cell r="X6782" t="str">
            <v>Expenses</v>
          </cell>
        </row>
        <row r="6783">
          <cell r="L6783"/>
          <cell r="S6783">
            <v>20.69</v>
          </cell>
          <cell r="X6783" t="str">
            <v>Expenses</v>
          </cell>
        </row>
        <row r="6784">
          <cell r="L6784"/>
          <cell r="S6784">
            <v>3.85</v>
          </cell>
          <cell r="X6784" t="str">
            <v>Expenses</v>
          </cell>
        </row>
        <row r="6785">
          <cell r="L6785"/>
          <cell r="S6785">
            <v>56.66</v>
          </cell>
          <cell r="X6785" t="str">
            <v>Expenses</v>
          </cell>
        </row>
        <row r="6786">
          <cell r="L6786"/>
          <cell r="S6786">
            <v>51.57</v>
          </cell>
          <cell r="X6786" t="str">
            <v>Expenses</v>
          </cell>
        </row>
        <row r="6787">
          <cell r="L6787"/>
          <cell r="S6787">
            <v>103.43</v>
          </cell>
          <cell r="X6787" t="str">
            <v>Expenses</v>
          </cell>
        </row>
        <row r="6788">
          <cell r="L6788"/>
          <cell r="S6788">
            <v>10.210000000000001</v>
          </cell>
          <cell r="X6788" t="str">
            <v>Expenses</v>
          </cell>
        </row>
        <row r="6789">
          <cell r="L6789"/>
          <cell r="S6789">
            <v>11.97</v>
          </cell>
          <cell r="X6789" t="str">
            <v>Expenses</v>
          </cell>
        </row>
        <row r="6790">
          <cell r="L6790"/>
          <cell r="S6790">
            <v>54.4</v>
          </cell>
          <cell r="X6790" t="str">
            <v>Expenses</v>
          </cell>
        </row>
        <row r="6791">
          <cell r="L6791"/>
          <cell r="S6791">
            <v>40.229999999999997</v>
          </cell>
          <cell r="X6791" t="str">
            <v>Expenses</v>
          </cell>
        </row>
        <row r="6792">
          <cell r="L6792"/>
          <cell r="S6792">
            <v>133.88999999999999</v>
          </cell>
          <cell r="X6792" t="str">
            <v>Expenses</v>
          </cell>
        </row>
        <row r="6793">
          <cell r="L6793"/>
          <cell r="S6793">
            <v>10.86</v>
          </cell>
          <cell r="X6793" t="str">
            <v>Expenses</v>
          </cell>
        </row>
        <row r="6794">
          <cell r="L6794"/>
          <cell r="S6794">
            <v>41.1</v>
          </cell>
          <cell r="X6794" t="str">
            <v>Expenses</v>
          </cell>
        </row>
        <row r="6795">
          <cell r="L6795"/>
          <cell r="S6795">
            <v>20.14</v>
          </cell>
          <cell r="X6795" t="str">
            <v>Expenses</v>
          </cell>
        </row>
        <row r="6796">
          <cell r="L6796"/>
          <cell r="S6796">
            <v>9.94</v>
          </cell>
          <cell r="X6796" t="str">
            <v>Expenses</v>
          </cell>
        </row>
        <row r="6797">
          <cell r="L6797"/>
          <cell r="S6797">
            <v>11.22</v>
          </cell>
          <cell r="X6797" t="str">
            <v>Expenses</v>
          </cell>
        </row>
        <row r="6798">
          <cell r="L6798"/>
          <cell r="S6798">
            <v>51.16</v>
          </cell>
          <cell r="X6798" t="str">
            <v>Expenses</v>
          </cell>
        </row>
        <row r="6799">
          <cell r="L6799"/>
          <cell r="S6799">
            <v>8.27</v>
          </cell>
          <cell r="X6799" t="str">
            <v>Expenses</v>
          </cell>
        </row>
        <row r="6800">
          <cell r="L6800"/>
          <cell r="S6800">
            <v>13.9</v>
          </cell>
          <cell r="X6800" t="str">
            <v>Expenses</v>
          </cell>
        </row>
        <row r="6801">
          <cell r="L6801"/>
          <cell r="S6801">
            <v>23.2</v>
          </cell>
          <cell r="X6801" t="str">
            <v>Expenses</v>
          </cell>
        </row>
        <row r="6802">
          <cell r="L6802"/>
          <cell r="S6802">
            <v>505.58</v>
          </cell>
          <cell r="X6802" t="str">
            <v>Expenses</v>
          </cell>
        </row>
        <row r="6803">
          <cell r="L6803"/>
          <cell r="S6803">
            <v>2965.2</v>
          </cell>
          <cell r="X6803" t="str">
            <v>Expenses</v>
          </cell>
        </row>
        <row r="6804">
          <cell r="L6804"/>
          <cell r="S6804">
            <v>218.24</v>
          </cell>
          <cell r="X6804" t="str">
            <v>Expenses</v>
          </cell>
        </row>
        <row r="6805">
          <cell r="L6805"/>
          <cell r="S6805">
            <v>1280.6400000000001</v>
          </cell>
          <cell r="X6805" t="str">
            <v>Expenses</v>
          </cell>
        </row>
        <row r="6806">
          <cell r="L6806"/>
          <cell r="S6806">
            <v>765.16</v>
          </cell>
          <cell r="X6806" t="str">
            <v>Expenses</v>
          </cell>
        </row>
        <row r="6807">
          <cell r="L6807"/>
          <cell r="S6807">
            <v>1147.74</v>
          </cell>
          <cell r="X6807" t="str">
            <v>Expenses</v>
          </cell>
        </row>
        <row r="6808">
          <cell r="L6808"/>
          <cell r="S6808">
            <v>218.24</v>
          </cell>
          <cell r="X6808" t="str">
            <v>Expenses</v>
          </cell>
        </row>
        <row r="6809">
          <cell r="L6809"/>
          <cell r="S6809">
            <v>2514.9899999999998</v>
          </cell>
          <cell r="X6809" t="str">
            <v>Expenses</v>
          </cell>
        </row>
        <row r="6810">
          <cell r="L6810"/>
          <cell r="S6810">
            <v>3943.43</v>
          </cell>
          <cell r="X6810" t="str">
            <v>Expenses</v>
          </cell>
        </row>
        <row r="6811">
          <cell r="L6811"/>
          <cell r="S6811">
            <v>951.2</v>
          </cell>
          <cell r="X6811" t="str">
            <v>Expenses</v>
          </cell>
        </row>
        <row r="6812">
          <cell r="L6812"/>
          <cell r="S6812">
            <v>1082.27</v>
          </cell>
          <cell r="X6812" t="str">
            <v>Expenses</v>
          </cell>
        </row>
        <row r="6813">
          <cell r="L6813"/>
          <cell r="S6813">
            <v>621.65</v>
          </cell>
          <cell r="X6813" t="str">
            <v>Expenses</v>
          </cell>
        </row>
        <row r="6814">
          <cell r="L6814"/>
          <cell r="S6814">
            <v>552.16</v>
          </cell>
          <cell r="X6814" t="str">
            <v>Expenses</v>
          </cell>
        </row>
        <row r="6815">
          <cell r="L6815"/>
          <cell r="S6815">
            <v>1073.8</v>
          </cell>
          <cell r="X6815" t="str">
            <v>Expenses</v>
          </cell>
        </row>
        <row r="6816">
          <cell r="L6816"/>
          <cell r="S6816">
            <v>732.72</v>
          </cell>
          <cell r="X6816" t="str">
            <v>Expenses</v>
          </cell>
        </row>
        <row r="6817">
          <cell r="L6817"/>
          <cell r="S6817">
            <v>267.47000000000003</v>
          </cell>
          <cell r="X6817" t="str">
            <v>Expenses</v>
          </cell>
        </row>
        <row r="6818">
          <cell r="L6818"/>
          <cell r="S6818">
            <v>579.23</v>
          </cell>
          <cell r="X6818" t="str">
            <v>Expenses</v>
          </cell>
        </row>
        <row r="6819">
          <cell r="L6819"/>
          <cell r="S6819">
            <v>1841.47</v>
          </cell>
          <cell r="X6819" t="str">
            <v>Expenses</v>
          </cell>
        </row>
        <row r="6820">
          <cell r="L6820"/>
          <cell r="S6820">
            <v>723.74</v>
          </cell>
          <cell r="X6820" t="str">
            <v>Expenses</v>
          </cell>
        </row>
        <row r="6821">
          <cell r="L6821"/>
          <cell r="S6821">
            <v>317.24</v>
          </cell>
          <cell r="X6821" t="str">
            <v>Expenses</v>
          </cell>
        </row>
        <row r="6822">
          <cell r="L6822"/>
          <cell r="S6822">
            <v>-369.02</v>
          </cell>
          <cell r="X6822" t="str">
            <v>Expenses</v>
          </cell>
        </row>
        <row r="6823">
          <cell r="L6823"/>
          <cell r="S6823">
            <v>-212.64</v>
          </cell>
          <cell r="X6823" t="str">
            <v>Expenses</v>
          </cell>
        </row>
        <row r="6824">
          <cell r="L6824"/>
          <cell r="S6824">
            <v>549.94000000000005</v>
          </cell>
          <cell r="X6824" t="str">
            <v>Expenses</v>
          </cell>
        </row>
        <row r="6825">
          <cell r="L6825"/>
          <cell r="S6825">
            <v>1228.25</v>
          </cell>
          <cell r="X6825" t="str">
            <v>Expenses</v>
          </cell>
        </row>
        <row r="6826">
          <cell r="L6826"/>
          <cell r="S6826">
            <v>664.11</v>
          </cell>
          <cell r="X6826" t="str">
            <v>Expenses</v>
          </cell>
        </row>
        <row r="6827">
          <cell r="L6827"/>
          <cell r="S6827">
            <v>294.39999999999998</v>
          </cell>
          <cell r="X6827" t="str">
            <v>Expenses</v>
          </cell>
        </row>
        <row r="6828">
          <cell r="L6828"/>
          <cell r="S6828">
            <v>2002.59</v>
          </cell>
          <cell r="X6828" t="str">
            <v>Expenses</v>
          </cell>
        </row>
        <row r="6829">
          <cell r="L6829"/>
          <cell r="S6829">
            <v>212.64</v>
          </cell>
          <cell r="X6829" t="str">
            <v>Expenses</v>
          </cell>
        </row>
        <row r="6830">
          <cell r="L6830"/>
          <cell r="S6830">
            <v>169.2</v>
          </cell>
          <cell r="X6830" t="str">
            <v>Expenses</v>
          </cell>
        </row>
        <row r="6831">
          <cell r="L6831"/>
          <cell r="S6831">
            <v>868.28</v>
          </cell>
          <cell r="X6831" t="str">
            <v>Expenses</v>
          </cell>
        </row>
        <row r="6832">
          <cell r="L6832"/>
          <cell r="S6832">
            <v>-664.11</v>
          </cell>
          <cell r="X6832" t="str">
            <v>Expenses</v>
          </cell>
        </row>
        <row r="6833">
          <cell r="L6833"/>
          <cell r="S6833">
            <v>369.02</v>
          </cell>
          <cell r="X6833" t="str">
            <v>Expenses</v>
          </cell>
        </row>
        <row r="6834">
          <cell r="L6834"/>
          <cell r="S6834">
            <v>-549.94000000000005</v>
          </cell>
          <cell r="X6834" t="str">
            <v>Expenses</v>
          </cell>
        </row>
        <row r="6835">
          <cell r="L6835"/>
          <cell r="S6835">
            <v>-317.61</v>
          </cell>
          <cell r="X6835" t="str">
            <v>Expenses</v>
          </cell>
        </row>
        <row r="6836">
          <cell r="L6836"/>
          <cell r="S6836">
            <v>808.23</v>
          </cell>
          <cell r="X6836" t="str">
            <v>Expenses</v>
          </cell>
        </row>
        <row r="6837">
          <cell r="L6837"/>
          <cell r="S6837">
            <v>-808.23</v>
          </cell>
          <cell r="X6837" t="str">
            <v>Expenses</v>
          </cell>
        </row>
        <row r="6838">
          <cell r="L6838"/>
          <cell r="S6838">
            <v>369.02</v>
          </cell>
          <cell r="X6838" t="str">
            <v>Expenses</v>
          </cell>
        </row>
        <row r="6839">
          <cell r="L6839"/>
          <cell r="S6839">
            <v>671.57</v>
          </cell>
          <cell r="X6839" t="str">
            <v>Expenses</v>
          </cell>
        </row>
        <row r="6840">
          <cell r="L6840"/>
          <cell r="S6840">
            <v>306.14</v>
          </cell>
          <cell r="X6840" t="str">
            <v>Expenses</v>
          </cell>
        </row>
        <row r="6841">
          <cell r="L6841"/>
          <cell r="S6841">
            <v>-306.14</v>
          </cell>
          <cell r="X6841" t="str">
            <v>Expenses</v>
          </cell>
        </row>
        <row r="6842">
          <cell r="L6842"/>
          <cell r="S6842">
            <v>399.98</v>
          </cell>
          <cell r="X6842" t="str">
            <v>Expenses</v>
          </cell>
        </row>
        <row r="6843">
          <cell r="L6843"/>
          <cell r="S6843">
            <v>317.61</v>
          </cell>
          <cell r="X6843" t="str">
            <v>Expenses</v>
          </cell>
        </row>
        <row r="6844">
          <cell r="L6844"/>
          <cell r="S6844">
            <v>470</v>
          </cell>
          <cell r="X6844" t="str">
            <v>Expenses</v>
          </cell>
        </row>
        <row r="6845">
          <cell r="L6845"/>
          <cell r="S6845">
            <v>180</v>
          </cell>
          <cell r="X6845" t="str">
            <v>Expenses</v>
          </cell>
        </row>
        <row r="6846">
          <cell r="L6846"/>
          <cell r="S6846">
            <v>304.16000000000003</v>
          </cell>
          <cell r="X6846" t="str">
            <v>Expenses</v>
          </cell>
        </row>
        <row r="6847">
          <cell r="L6847"/>
          <cell r="S6847">
            <v>386.38</v>
          </cell>
          <cell r="X6847" t="str">
            <v>Expenses</v>
          </cell>
        </row>
        <row r="6848">
          <cell r="L6848"/>
          <cell r="S6848">
            <v>910.5</v>
          </cell>
          <cell r="X6848" t="str">
            <v>Expenses</v>
          </cell>
        </row>
        <row r="6849">
          <cell r="L6849"/>
          <cell r="S6849">
            <v>490</v>
          </cell>
          <cell r="X6849" t="str">
            <v>Expenses</v>
          </cell>
        </row>
        <row r="6850">
          <cell r="L6850"/>
          <cell r="S6850">
            <v>825</v>
          </cell>
          <cell r="X6850" t="str">
            <v>Expenses</v>
          </cell>
        </row>
        <row r="6851">
          <cell r="L6851"/>
          <cell r="S6851">
            <v>373.88</v>
          </cell>
          <cell r="X6851" t="str">
            <v>Expenses</v>
          </cell>
        </row>
        <row r="6852">
          <cell r="L6852"/>
          <cell r="S6852">
            <v>767.26</v>
          </cell>
          <cell r="X6852" t="str">
            <v>Expenses</v>
          </cell>
        </row>
        <row r="6853">
          <cell r="L6853"/>
          <cell r="S6853">
            <v>374.85</v>
          </cell>
          <cell r="X6853" t="str">
            <v>Expenses</v>
          </cell>
        </row>
        <row r="6854">
          <cell r="L6854"/>
          <cell r="S6854">
            <v>11.4</v>
          </cell>
          <cell r="X6854" t="str">
            <v>Expenses</v>
          </cell>
        </row>
        <row r="6855">
          <cell r="L6855"/>
          <cell r="S6855">
            <v>305</v>
          </cell>
          <cell r="X6855" t="str">
            <v>Expenses</v>
          </cell>
        </row>
        <row r="6856">
          <cell r="L6856"/>
          <cell r="S6856">
            <v>468</v>
          </cell>
          <cell r="X6856" t="str">
            <v>Expenses</v>
          </cell>
        </row>
        <row r="6857">
          <cell r="L6857"/>
          <cell r="S6857">
            <v>371.9</v>
          </cell>
          <cell r="X6857" t="str">
            <v>Expenses</v>
          </cell>
        </row>
        <row r="6858">
          <cell r="L6858"/>
          <cell r="S6858">
            <v>621.98</v>
          </cell>
          <cell r="X6858" t="str">
            <v>Expenses</v>
          </cell>
        </row>
        <row r="6859">
          <cell r="L6859"/>
          <cell r="S6859">
            <v>495.73</v>
          </cell>
          <cell r="X6859" t="str">
            <v>Expenses</v>
          </cell>
        </row>
        <row r="6860">
          <cell r="L6860"/>
          <cell r="S6860">
            <v>2218.9499999999998</v>
          </cell>
          <cell r="X6860" t="str">
            <v>Expenses</v>
          </cell>
        </row>
        <row r="6861">
          <cell r="L6861"/>
          <cell r="S6861">
            <v>218.24</v>
          </cell>
          <cell r="X6861" t="str">
            <v>Expenses</v>
          </cell>
        </row>
        <row r="6862">
          <cell r="L6862"/>
          <cell r="S6862">
            <v>903.61</v>
          </cell>
          <cell r="X6862" t="str">
            <v>Expenses</v>
          </cell>
        </row>
        <row r="6863">
          <cell r="L6863"/>
          <cell r="S6863">
            <v>693.32</v>
          </cell>
          <cell r="X6863" t="str">
            <v>Expenses</v>
          </cell>
        </row>
        <row r="6864">
          <cell r="L6864"/>
          <cell r="S6864">
            <v>910.5</v>
          </cell>
          <cell r="X6864" t="str">
            <v>Expenses</v>
          </cell>
        </row>
        <row r="6865">
          <cell r="L6865"/>
          <cell r="S6865">
            <v>575</v>
          </cell>
          <cell r="X6865" t="str">
            <v>Expenses</v>
          </cell>
        </row>
        <row r="6866">
          <cell r="L6866"/>
          <cell r="S6866">
            <v>364.26</v>
          </cell>
          <cell r="X6866" t="str">
            <v>Expenses</v>
          </cell>
        </row>
        <row r="6867">
          <cell r="L6867"/>
          <cell r="S6867">
            <v>1136.17</v>
          </cell>
          <cell r="X6867" t="str">
            <v>Expenses</v>
          </cell>
        </row>
        <row r="6868">
          <cell r="L6868"/>
          <cell r="S6868">
            <v>260.55</v>
          </cell>
          <cell r="X6868" t="str">
            <v>Expenses</v>
          </cell>
        </row>
        <row r="6869">
          <cell r="L6869"/>
          <cell r="S6869">
            <v>793.53</v>
          </cell>
          <cell r="X6869" t="str">
            <v>Expenses</v>
          </cell>
        </row>
        <row r="6870">
          <cell r="L6870"/>
          <cell r="S6870">
            <v>193.17</v>
          </cell>
          <cell r="X6870" t="str">
            <v>Expenses</v>
          </cell>
        </row>
        <row r="6871">
          <cell r="L6871"/>
          <cell r="S6871">
            <v>828.61</v>
          </cell>
          <cell r="X6871" t="str">
            <v>Expenses</v>
          </cell>
        </row>
        <row r="6872">
          <cell r="L6872"/>
          <cell r="S6872">
            <v>781.2</v>
          </cell>
          <cell r="X6872" t="str">
            <v>Expenses</v>
          </cell>
        </row>
        <row r="6873">
          <cell r="L6873"/>
          <cell r="S6873">
            <v>285</v>
          </cell>
          <cell r="X6873" t="str">
            <v>Expenses</v>
          </cell>
        </row>
        <row r="6874">
          <cell r="L6874"/>
          <cell r="S6874">
            <v>695</v>
          </cell>
          <cell r="X6874" t="str">
            <v>Expenses</v>
          </cell>
        </row>
        <row r="6875">
          <cell r="L6875"/>
          <cell r="S6875">
            <v>241.94</v>
          </cell>
          <cell r="X6875" t="str">
            <v>Expenses</v>
          </cell>
        </row>
        <row r="6876">
          <cell r="L6876"/>
          <cell r="S6876">
            <v>271.83</v>
          </cell>
          <cell r="X6876" t="str">
            <v>Expenses</v>
          </cell>
        </row>
        <row r="6877">
          <cell r="L6877"/>
          <cell r="S6877">
            <v>321.35000000000002</v>
          </cell>
          <cell r="X6877" t="str">
            <v>Expenses</v>
          </cell>
        </row>
        <row r="6878">
          <cell r="L6878"/>
          <cell r="S6878">
            <v>436.48</v>
          </cell>
          <cell r="X6878" t="str">
            <v>Expenses</v>
          </cell>
        </row>
        <row r="6879">
          <cell r="L6879"/>
          <cell r="S6879">
            <v>-790.55</v>
          </cell>
          <cell r="X6879" t="str">
            <v>Expenses</v>
          </cell>
        </row>
        <row r="6880">
          <cell r="L6880"/>
          <cell r="S6880">
            <v>218</v>
          </cell>
          <cell r="X6880" t="str">
            <v>Expenses</v>
          </cell>
        </row>
        <row r="6881">
          <cell r="L6881"/>
          <cell r="S6881">
            <v>5.44</v>
          </cell>
          <cell r="X6881" t="str">
            <v>Expenses</v>
          </cell>
        </row>
        <row r="6882">
          <cell r="L6882"/>
          <cell r="S6882">
            <v>1882.39</v>
          </cell>
          <cell r="X6882" t="str">
            <v>Expenses</v>
          </cell>
        </row>
        <row r="6883">
          <cell r="L6883"/>
          <cell r="S6883">
            <v>341.24</v>
          </cell>
          <cell r="X6883" t="str">
            <v>Expenses</v>
          </cell>
        </row>
        <row r="6884">
          <cell r="L6884"/>
          <cell r="S6884">
            <v>639.52</v>
          </cell>
          <cell r="X6884" t="str">
            <v>Expenses</v>
          </cell>
        </row>
        <row r="6885">
          <cell r="L6885"/>
          <cell r="S6885">
            <v>59.96</v>
          </cell>
          <cell r="X6885" t="str">
            <v>Expenses</v>
          </cell>
        </row>
        <row r="6886">
          <cell r="L6886"/>
          <cell r="S6886">
            <v>5.5</v>
          </cell>
          <cell r="X6886" t="str">
            <v>Expenses</v>
          </cell>
        </row>
        <row r="6887">
          <cell r="L6887"/>
          <cell r="S6887">
            <v>12</v>
          </cell>
          <cell r="X6887" t="str">
            <v>Expenses</v>
          </cell>
        </row>
        <row r="6888">
          <cell r="L6888"/>
          <cell r="S6888">
            <v>8.5</v>
          </cell>
          <cell r="X6888" t="str">
            <v>Expenses</v>
          </cell>
        </row>
        <row r="6889">
          <cell r="L6889"/>
          <cell r="S6889">
            <v>18.5</v>
          </cell>
          <cell r="X6889" t="str">
            <v>Expenses</v>
          </cell>
        </row>
        <row r="6890">
          <cell r="L6890"/>
          <cell r="S6890">
            <v>8</v>
          </cell>
          <cell r="X6890" t="str">
            <v>Expenses</v>
          </cell>
        </row>
        <row r="6891">
          <cell r="L6891"/>
          <cell r="S6891">
            <v>15</v>
          </cell>
          <cell r="X6891" t="str">
            <v>Expenses</v>
          </cell>
        </row>
        <row r="6892">
          <cell r="L6892"/>
          <cell r="S6892">
            <v>6</v>
          </cell>
          <cell r="X6892" t="str">
            <v>Expenses</v>
          </cell>
        </row>
        <row r="6893">
          <cell r="L6893"/>
          <cell r="S6893">
            <v>13</v>
          </cell>
          <cell r="X6893" t="str">
            <v>Expenses</v>
          </cell>
        </row>
        <row r="6894">
          <cell r="L6894"/>
          <cell r="S6894">
            <v>87.32</v>
          </cell>
          <cell r="X6894" t="str">
            <v>Expenses</v>
          </cell>
        </row>
        <row r="6895">
          <cell r="L6895"/>
          <cell r="S6895">
            <v>60</v>
          </cell>
          <cell r="X6895" t="str">
            <v>Expenses</v>
          </cell>
        </row>
        <row r="6896">
          <cell r="L6896"/>
          <cell r="S6896">
            <v>296.41000000000003</v>
          </cell>
          <cell r="X6896" t="str">
            <v>Expenses</v>
          </cell>
        </row>
        <row r="6897">
          <cell r="L6897"/>
          <cell r="S6897">
            <v>200.75</v>
          </cell>
          <cell r="X6897" t="str">
            <v>Expenses</v>
          </cell>
        </row>
        <row r="6898">
          <cell r="L6898"/>
          <cell r="S6898">
            <v>34.39</v>
          </cell>
          <cell r="X6898" t="str">
            <v>Expenses</v>
          </cell>
        </row>
        <row r="6899">
          <cell r="L6899"/>
          <cell r="S6899">
            <v>84.18</v>
          </cell>
          <cell r="X6899" t="str">
            <v>Expenses</v>
          </cell>
        </row>
        <row r="6900">
          <cell r="L6900"/>
          <cell r="S6900">
            <v>12.5</v>
          </cell>
          <cell r="X6900" t="str">
            <v>Expenses</v>
          </cell>
        </row>
        <row r="6901">
          <cell r="L6901"/>
          <cell r="S6901">
            <v>54.83</v>
          </cell>
          <cell r="X6901" t="str">
            <v>Expenses</v>
          </cell>
        </row>
        <row r="6902">
          <cell r="L6902"/>
          <cell r="S6902">
            <v>12.37</v>
          </cell>
          <cell r="X6902" t="str">
            <v>Expenses</v>
          </cell>
        </row>
        <row r="6903">
          <cell r="L6903"/>
          <cell r="S6903">
            <v>12.37</v>
          </cell>
          <cell r="X6903" t="str">
            <v>Expenses</v>
          </cell>
        </row>
        <row r="6904">
          <cell r="L6904"/>
          <cell r="S6904">
            <v>437.9</v>
          </cell>
          <cell r="X6904" t="str">
            <v>Expenses</v>
          </cell>
        </row>
        <row r="6905">
          <cell r="L6905"/>
          <cell r="S6905">
            <v>6</v>
          </cell>
          <cell r="X6905" t="str">
            <v>Expenses</v>
          </cell>
        </row>
        <row r="6906">
          <cell r="L6906"/>
          <cell r="S6906">
            <v>10000</v>
          </cell>
          <cell r="X6906" t="str">
            <v>Expenses</v>
          </cell>
        </row>
        <row r="6907">
          <cell r="L6907"/>
          <cell r="S6907">
            <v>6.24</v>
          </cell>
          <cell r="X6907" t="str">
            <v>Expenses</v>
          </cell>
        </row>
        <row r="6908">
          <cell r="L6908"/>
          <cell r="S6908">
            <v>35.979999999999997</v>
          </cell>
          <cell r="X6908" t="str">
            <v>Expenses</v>
          </cell>
        </row>
        <row r="6909">
          <cell r="L6909"/>
          <cell r="S6909">
            <v>200</v>
          </cell>
          <cell r="X6909" t="str">
            <v>Expenses</v>
          </cell>
        </row>
        <row r="6910">
          <cell r="L6910"/>
          <cell r="S6910">
            <v>200</v>
          </cell>
          <cell r="X6910" t="str">
            <v>Expenses</v>
          </cell>
        </row>
        <row r="6911">
          <cell r="L6911"/>
          <cell r="S6911">
            <v>515.74</v>
          </cell>
          <cell r="X6911" t="str">
            <v>Expenses</v>
          </cell>
        </row>
        <row r="6912">
          <cell r="L6912"/>
          <cell r="S6912">
            <v>652.32000000000005</v>
          </cell>
          <cell r="X6912" t="str">
            <v>Expenses</v>
          </cell>
        </row>
        <row r="6913">
          <cell r="L6913"/>
          <cell r="S6913">
            <v>200</v>
          </cell>
          <cell r="X6913" t="str">
            <v>Expenses</v>
          </cell>
        </row>
        <row r="6914">
          <cell r="L6914"/>
          <cell r="S6914">
            <v>-200</v>
          </cell>
          <cell r="X6914" t="str">
            <v>Expenses</v>
          </cell>
        </row>
        <row r="6915">
          <cell r="L6915"/>
          <cell r="S6915">
            <v>15.76</v>
          </cell>
          <cell r="X6915" t="str">
            <v>Expenses</v>
          </cell>
        </row>
        <row r="6916">
          <cell r="L6916"/>
          <cell r="S6916">
            <v>200</v>
          </cell>
          <cell r="X6916" t="str">
            <v>Expenses</v>
          </cell>
        </row>
        <row r="6917">
          <cell r="L6917"/>
          <cell r="S6917">
            <v>430.3</v>
          </cell>
          <cell r="X6917" t="str">
            <v>Expenses</v>
          </cell>
        </row>
        <row r="6918">
          <cell r="L6918"/>
          <cell r="S6918">
            <v>1159.52</v>
          </cell>
          <cell r="X6918" t="str">
            <v>Expenses</v>
          </cell>
        </row>
        <row r="6919">
          <cell r="L6919"/>
          <cell r="S6919">
            <v>14315</v>
          </cell>
          <cell r="X6919" t="str">
            <v>Expenses</v>
          </cell>
        </row>
        <row r="6920">
          <cell r="L6920"/>
          <cell r="S6920">
            <v>5312.35</v>
          </cell>
          <cell r="X6920" t="str">
            <v>Expenses</v>
          </cell>
        </row>
        <row r="6921">
          <cell r="L6921"/>
          <cell r="S6921">
            <v>1292.1300000000001</v>
          </cell>
          <cell r="X6921" t="str">
            <v>Expenses</v>
          </cell>
        </row>
        <row r="6922">
          <cell r="L6922"/>
          <cell r="S6922">
            <v>104.66</v>
          </cell>
          <cell r="X6922" t="str">
            <v>Expenses</v>
          </cell>
        </row>
        <row r="6923">
          <cell r="L6923"/>
          <cell r="S6923">
            <v>21.5</v>
          </cell>
          <cell r="X6923" t="str">
            <v>Expenses</v>
          </cell>
        </row>
        <row r="6924">
          <cell r="L6924"/>
          <cell r="S6924">
            <v>83.32</v>
          </cell>
          <cell r="X6924" t="str">
            <v>Expenses</v>
          </cell>
        </row>
        <row r="6925">
          <cell r="L6925"/>
          <cell r="S6925">
            <v>39.54</v>
          </cell>
          <cell r="X6925" t="str">
            <v>Expenses</v>
          </cell>
        </row>
        <row r="6926">
          <cell r="L6926"/>
          <cell r="S6926">
            <v>50000</v>
          </cell>
          <cell r="X6926" t="str">
            <v>Expenses</v>
          </cell>
        </row>
        <row r="6927">
          <cell r="L6927"/>
          <cell r="S6927">
            <v>395.42</v>
          </cell>
          <cell r="X6927" t="str">
            <v>Expenses</v>
          </cell>
        </row>
        <row r="6928">
          <cell r="L6928"/>
          <cell r="S6928">
            <v>679.88</v>
          </cell>
          <cell r="X6928" t="str">
            <v>Expenses</v>
          </cell>
        </row>
        <row r="6929">
          <cell r="L6929"/>
          <cell r="S6929">
            <v>257.39</v>
          </cell>
          <cell r="X6929" t="str">
            <v>Expenses</v>
          </cell>
        </row>
        <row r="6930">
          <cell r="L6930"/>
          <cell r="S6930">
            <v>3177.69</v>
          </cell>
          <cell r="X6930" t="str">
            <v>Expenses</v>
          </cell>
        </row>
        <row r="6931">
          <cell r="L6931"/>
          <cell r="S6931">
            <v>241.37</v>
          </cell>
          <cell r="X6931" t="str">
            <v>Expenses</v>
          </cell>
        </row>
        <row r="6932">
          <cell r="L6932"/>
          <cell r="S6932">
            <v>1498.22</v>
          </cell>
          <cell r="X6932" t="str">
            <v>Expenses</v>
          </cell>
        </row>
        <row r="6933">
          <cell r="L6933"/>
          <cell r="S6933">
            <v>359.2</v>
          </cell>
          <cell r="X6933" t="str">
            <v>Expenses</v>
          </cell>
        </row>
        <row r="6934">
          <cell r="L6934"/>
          <cell r="S6934">
            <v>4.8899999999999997</v>
          </cell>
          <cell r="X6934" t="str">
            <v>Expenses</v>
          </cell>
        </row>
        <row r="6935">
          <cell r="L6935"/>
          <cell r="S6935">
            <v>188.23</v>
          </cell>
          <cell r="X6935" t="str">
            <v>Expenses</v>
          </cell>
        </row>
        <row r="6936">
          <cell r="L6936"/>
          <cell r="S6936">
            <v>2257.1</v>
          </cell>
          <cell r="X6936" t="str">
            <v>Expenses</v>
          </cell>
        </row>
        <row r="6937">
          <cell r="L6937"/>
          <cell r="S6937">
            <v>182.83</v>
          </cell>
          <cell r="X6937" t="str">
            <v>Expenses</v>
          </cell>
        </row>
        <row r="6938">
          <cell r="L6938"/>
          <cell r="S6938">
            <v>119.14</v>
          </cell>
          <cell r="X6938" t="str">
            <v>Expenses</v>
          </cell>
        </row>
        <row r="6939">
          <cell r="L6939"/>
          <cell r="S6939">
            <v>40.65</v>
          </cell>
          <cell r="X6939" t="str">
            <v>Expenses</v>
          </cell>
        </row>
        <row r="6940">
          <cell r="L6940"/>
          <cell r="S6940">
            <v>56.56</v>
          </cell>
          <cell r="X6940" t="str">
            <v>Expenses</v>
          </cell>
        </row>
        <row r="6941">
          <cell r="L6941"/>
          <cell r="S6941">
            <v>122.26</v>
          </cell>
          <cell r="X6941" t="str">
            <v>Expenses</v>
          </cell>
        </row>
        <row r="6942">
          <cell r="L6942"/>
          <cell r="S6942">
            <v>12.87</v>
          </cell>
          <cell r="X6942" t="str">
            <v>Expenses</v>
          </cell>
        </row>
        <row r="6943">
          <cell r="L6943"/>
          <cell r="S6943">
            <v>816.43</v>
          </cell>
          <cell r="X6943" t="str">
            <v>Expenses</v>
          </cell>
        </row>
        <row r="6944">
          <cell r="L6944"/>
          <cell r="S6944">
            <v>56.4</v>
          </cell>
          <cell r="X6944" t="str">
            <v>Expenses</v>
          </cell>
        </row>
        <row r="6945">
          <cell r="L6945"/>
          <cell r="S6945">
            <v>52.56</v>
          </cell>
          <cell r="X6945" t="str">
            <v>Expenses</v>
          </cell>
        </row>
        <row r="6946">
          <cell r="L6946"/>
          <cell r="S6946">
            <v>909.71</v>
          </cell>
          <cell r="X6946" t="str">
            <v>Expenses</v>
          </cell>
        </row>
        <row r="6947">
          <cell r="L6947"/>
          <cell r="S6947">
            <v>194.3</v>
          </cell>
          <cell r="X6947" t="str">
            <v>Expenses</v>
          </cell>
        </row>
        <row r="6948">
          <cell r="L6948"/>
          <cell r="S6948">
            <v>95.63</v>
          </cell>
          <cell r="X6948" t="str">
            <v>Expenses</v>
          </cell>
        </row>
        <row r="6949">
          <cell r="L6949"/>
          <cell r="S6949">
            <v>77.45</v>
          </cell>
          <cell r="X6949" t="str">
            <v>Expenses</v>
          </cell>
        </row>
        <row r="6950">
          <cell r="L6950"/>
          <cell r="S6950">
            <v>511.99</v>
          </cell>
          <cell r="X6950" t="str">
            <v>Expenses</v>
          </cell>
        </row>
        <row r="6951">
          <cell r="L6951"/>
          <cell r="S6951">
            <v>513.13</v>
          </cell>
          <cell r="X6951" t="str">
            <v>Expenses</v>
          </cell>
        </row>
        <row r="6952">
          <cell r="L6952"/>
          <cell r="S6952">
            <v>149.25</v>
          </cell>
          <cell r="X6952" t="str">
            <v>Expenses</v>
          </cell>
        </row>
        <row r="6953">
          <cell r="L6953"/>
          <cell r="S6953">
            <v>10.73</v>
          </cell>
          <cell r="X6953" t="str">
            <v>Expenses</v>
          </cell>
        </row>
        <row r="6954">
          <cell r="L6954"/>
          <cell r="S6954">
            <v>46.92</v>
          </cell>
          <cell r="X6954" t="str">
            <v>Expenses</v>
          </cell>
        </row>
        <row r="6955">
          <cell r="L6955"/>
          <cell r="S6955">
            <v>81.08</v>
          </cell>
          <cell r="X6955" t="str">
            <v>Expenses</v>
          </cell>
        </row>
        <row r="6956">
          <cell r="L6956"/>
          <cell r="S6956">
            <v>630.45000000000005</v>
          </cell>
          <cell r="X6956" t="str">
            <v>Expenses</v>
          </cell>
        </row>
        <row r="6957">
          <cell r="L6957"/>
          <cell r="S6957">
            <v>62.43</v>
          </cell>
          <cell r="X6957" t="str">
            <v>Expenses</v>
          </cell>
        </row>
        <row r="6958">
          <cell r="L6958"/>
          <cell r="S6958">
            <v>755.27</v>
          </cell>
          <cell r="X6958" t="str">
            <v>Expenses</v>
          </cell>
        </row>
        <row r="6959">
          <cell r="L6959"/>
          <cell r="S6959">
            <v>23.14</v>
          </cell>
          <cell r="X6959" t="str">
            <v>Expenses</v>
          </cell>
        </row>
        <row r="6960">
          <cell r="L6960"/>
          <cell r="S6960">
            <v>1234.0999999999999</v>
          </cell>
          <cell r="X6960" t="str">
            <v>Expenses</v>
          </cell>
        </row>
        <row r="6961">
          <cell r="L6961"/>
          <cell r="S6961">
            <v>739.54</v>
          </cell>
          <cell r="X6961" t="str">
            <v>Expenses</v>
          </cell>
        </row>
        <row r="6962">
          <cell r="L6962"/>
          <cell r="S6962">
            <v>255.38</v>
          </cell>
          <cell r="X6962" t="str">
            <v>Expenses</v>
          </cell>
        </row>
        <row r="6963">
          <cell r="L6963"/>
          <cell r="S6963">
            <v>172.51</v>
          </cell>
          <cell r="X6963" t="str">
            <v>Expenses</v>
          </cell>
        </row>
        <row r="6964">
          <cell r="L6964"/>
          <cell r="S6964">
            <v>1854.83</v>
          </cell>
          <cell r="X6964" t="str">
            <v>Expenses</v>
          </cell>
        </row>
        <row r="6965">
          <cell r="L6965"/>
          <cell r="S6965">
            <v>93.85</v>
          </cell>
          <cell r="X6965" t="str">
            <v>Expenses</v>
          </cell>
        </row>
        <row r="6966">
          <cell r="L6966"/>
          <cell r="S6966">
            <v>-6.5</v>
          </cell>
          <cell r="X6966" t="str">
            <v>Expenses</v>
          </cell>
        </row>
        <row r="6967">
          <cell r="L6967"/>
          <cell r="S6967">
            <v>172.94</v>
          </cell>
          <cell r="X6967" t="str">
            <v>Expenses</v>
          </cell>
        </row>
        <row r="6968">
          <cell r="L6968"/>
          <cell r="S6968">
            <v>21.32</v>
          </cell>
          <cell r="X6968" t="str">
            <v>Expenses</v>
          </cell>
        </row>
        <row r="6969">
          <cell r="L6969"/>
          <cell r="S6969">
            <v>42.9</v>
          </cell>
          <cell r="X6969" t="str">
            <v>Expenses</v>
          </cell>
        </row>
        <row r="6970">
          <cell r="L6970"/>
          <cell r="S6970">
            <v>-13.91</v>
          </cell>
          <cell r="X6970" t="str">
            <v>Expenses</v>
          </cell>
        </row>
        <row r="6971">
          <cell r="L6971"/>
          <cell r="S6971">
            <v>67.099999999999994</v>
          </cell>
          <cell r="X6971" t="str">
            <v>Expenses</v>
          </cell>
        </row>
        <row r="6972">
          <cell r="L6972"/>
          <cell r="S6972">
            <v>-9.61</v>
          </cell>
          <cell r="X6972" t="str">
            <v>Expenses</v>
          </cell>
        </row>
        <row r="6973">
          <cell r="L6973"/>
          <cell r="S6973">
            <v>-42.9</v>
          </cell>
          <cell r="X6973" t="str">
            <v>Expenses</v>
          </cell>
        </row>
        <row r="6974">
          <cell r="L6974"/>
          <cell r="S6974">
            <v>-35.799999999999997</v>
          </cell>
          <cell r="X6974" t="str">
            <v>Expenses</v>
          </cell>
        </row>
        <row r="6975">
          <cell r="L6975"/>
          <cell r="S6975">
            <v>-130.91999999999999</v>
          </cell>
          <cell r="X6975" t="str">
            <v>Expenses</v>
          </cell>
        </row>
        <row r="6976">
          <cell r="L6976"/>
          <cell r="S6976">
            <v>159.79</v>
          </cell>
          <cell r="X6976" t="str">
            <v>Expenses</v>
          </cell>
        </row>
        <row r="6977">
          <cell r="L6977"/>
          <cell r="S6977">
            <v>-32.869999999999997</v>
          </cell>
          <cell r="X6977" t="str">
            <v>Expenses</v>
          </cell>
        </row>
        <row r="6978">
          <cell r="L6978"/>
          <cell r="S6978">
            <v>9.85</v>
          </cell>
          <cell r="X6978" t="str">
            <v>Expenses</v>
          </cell>
        </row>
        <row r="6979">
          <cell r="L6979"/>
          <cell r="S6979">
            <v>35.799999999999997</v>
          </cell>
          <cell r="X6979" t="str">
            <v>Expenses</v>
          </cell>
        </row>
        <row r="6980">
          <cell r="L6980"/>
          <cell r="S6980">
            <v>312.12</v>
          </cell>
          <cell r="X6980" t="str">
            <v>Expenses</v>
          </cell>
        </row>
        <row r="6981">
          <cell r="L6981"/>
          <cell r="S6981">
            <v>127.96</v>
          </cell>
          <cell r="X6981" t="str">
            <v>Expenses</v>
          </cell>
        </row>
        <row r="6982">
          <cell r="L6982"/>
          <cell r="S6982">
            <v>-3.9</v>
          </cell>
          <cell r="X6982" t="str">
            <v>Expenses</v>
          </cell>
        </row>
        <row r="6983">
          <cell r="L6983"/>
          <cell r="S6983">
            <v>13.91</v>
          </cell>
          <cell r="X6983" t="str">
            <v>Expenses</v>
          </cell>
        </row>
        <row r="6984">
          <cell r="L6984"/>
          <cell r="S6984">
            <v>130.91999999999999</v>
          </cell>
          <cell r="X6984" t="str">
            <v>Expenses</v>
          </cell>
        </row>
        <row r="6985">
          <cell r="L6985"/>
          <cell r="S6985">
            <v>92.94</v>
          </cell>
          <cell r="X6985" t="str">
            <v>Expenses</v>
          </cell>
        </row>
        <row r="6986">
          <cell r="L6986"/>
          <cell r="S6986">
            <v>-9.85</v>
          </cell>
          <cell r="X6986" t="str">
            <v>Expenses</v>
          </cell>
        </row>
        <row r="6987">
          <cell r="L6987"/>
          <cell r="S6987">
            <v>6.5</v>
          </cell>
          <cell r="X6987" t="str">
            <v>Expenses</v>
          </cell>
        </row>
        <row r="6988">
          <cell r="L6988"/>
          <cell r="S6988">
            <v>413.16</v>
          </cell>
          <cell r="X6988" t="str">
            <v>Expenses</v>
          </cell>
        </row>
        <row r="6989">
          <cell r="L6989"/>
          <cell r="S6989">
            <v>32.869999999999997</v>
          </cell>
          <cell r="X6989" t="str">
            <v>Expenses</v>
          </cell>
        </row>
        <row r="6990">
          <cell r="L6990"/>
          <cell r="S6990">
            <v>-67.099999999999994</v>
          </cell>
          <cell r="X6990" t="str">
            <v>Expenses</v>
          </cell>
        </row>
        <row r="6991">
          <cell r="L6991"/>
          <cell r="S6991">
            <v>9.61</v>
          </cell>
          <cell r="X6991" t="str">
            <v>Expenses</v>
          </cell>
        </row>
        <row r="6992">
          <cell r="L6992"/>
          <cell r="S6992">
            <v>198.02</v>
          </cell>
          <cell r="X6992" t="str">
            <v>Expenses</v>
          </cell>
        </row>
        <row r="6993">
          <cell r="L6993"/>
          <cell r="S6993">
            <v>3.9</v>
          </cell>
          <cell r="X6993" t="str">
            <v>Expenses</v>
          </cell>
        </row>
        <row r="6994">
          <cell r="L6994"/>
          <cell r="S6994">
            <v>53.3</v>
          </cell>
          <cell r="X6994" t="str">
            <v>Expenses</v>
          </cell>
        </row>
        <row r="6995">
          <cell r="L6995"/>
          <cell r="S6995">
            <v>-21.32</v>
          </cell>
          <cell r="X6995" t="str">
            <v>Expenses</v>
          </cell>
        </row>
        <row r="6996">
          <cell r="L6996"/>
          <cell r="S6996">
            <v>9.85</v>
          </cell>
          <cell r="X6996" t="str">
            <v>Expenses</v>
          </cell>
        </row>
        <row r="6997">
          <cell r="L6997"/>
          <cell r="S6997">
            <v>8.76</v>
          </cell>
          <cell r="X6997" t="str">
            <v>Expenses</v>
          </cell>
        </row>
        <row r="6998">
          <cell r="L6998"/>
          <cell r="S6998">
            <v>336.77</v>
          </cell>
          <cell r="X6998" t="str">
            <v>Expenses</v>
          </cell>
        </row>
        <row r="6999">
          <cell r="L6999"/>
          <cell r="S6999">
            <v>255.61</v>
          </cell>
          <cell r="X6999" t="str">
            <v>Expenses</v>
          </cell>
        </row>
        <row r="7000">
          <cell r="L7000"/>
          <cell r="S7000">
            <v>73.650000000000006</v>
          </cell>
          <cell r="X7000" t="str">
            <v>Expenses</v>
          </cell>
        </row>
        <row r="7001">
          <cell r="L7001"/>
          <cell r="S7001">
            <v>9.1</v>
          </cell>
          <cell r="X7001" t="str">
            <v>Expenses</v>
          </cell>
        </row>
        <row r="7002">
          <cell r="L7002"/>
          <cell r="S7002">
            <v>104.15</v>
          </cell>
          <cell r="X7002" t="str">
            <v>Expenses</v>
          </cell>
        </row>
        <row r="7003">
          <cell r="L7003"/>
          <cell r="S7003">
            <v>8.4</v>
          </cell>
          <cell r="X7003" t="str">
            <v>Expenses</v>
          </cell>
        </row>
        <row r="7004">
          <cell r="L7004"/>
          <cell r="S7004">
            <v>39</v>
          </cell>
          <cell r="X7004" t="str">
            <v>Expenses</v>
          </cell>
        </row>
        <row r="7005">
          <cell r="L7005"/>
          <cell r="S7005">
            <v>29.46</v>
          </cell>
          <cell r="X7005" t="str">
            <v>Expenses</v>
          </cell>
        </row>
        <row r="7006">
          <cell r="L7006"/>
          <cell r="S7006">
            <v>7.2</v>
          </cell>
          <cell r="X7006" t="str">
            <v>Expenses</v>
          </cell>
        </row>
        <row r="7007">
          <cell r="L7007"/>
          <cell r="S7007">
            <v>4.8</v>
          </cell>
          <cell r="X7007" t="str">
            <v>Expenses</v>
          </cell>
        </row>
        <row r="7008">
          <cell r="L7008"/>
          <cell r="S7008">
            <v>4.4000000000000004</v>
          </cell>
          <cell r="X7008" t="str">
            <v>Expenses</v>
          </cell>
        </row>
        <row r="7009">
          <cell r="L7009"/>
          <cell r="S7009">
            <v>6.54</v>
          </cell>
          <cell r="X7009" t="str">
            <v>Expenses</v>
          </cell>
        </row>
        <row r="7010">
          <cell r="L7010"/>
          <cell r="S7010">
            <v>9.9</v>
          </cell>
          <cell r="X7010" t="str">
            <v>Expenses</v>
          </cell>
        </row>
        <row r="7011">
          <cell r="L7011"/>
          <cell r="S7011">
            <v>104.6</v>
          </cell>
          <cell r="X7011" t="str">
            <v>Expenses</v>
          </cell>
        </row>
        <row r="7012">
          <cell r="L7012"/>
          <cell r="S7012">
            <v>4.0999999999999996</v>
          </cell>
          <cell r="X7012" t="str">
            <v>Expenses</v>
          </cell>
        </row>
        <row r="7013">
          <cell r="L7013"/>
          <cell r="S7013">
            <v>26.26</v>
          </cell>
          <cell r="X7013" t="str">
            <v>Expenses</v>
          </cell>
        </row>
        <row r="7014">
          <cell r="L7014"/>
          <cell r="S7014">
            <v>6.94</v>
          </cell>
          <cell r="X7014" t="str">
            <v>Expenses</v>
          </cell>
        </row>
        <row r="7015">
          <cell r="L7015"/>
          <cell r="S7015">
            <v>4</v>
          </cell>
          <cell r="X7015" t="str">
            <v>Expenses</v>
          </cell>
        </row>
        <row r="7016">
          <cell r="L7016"/>
          <cell r="S7016">
            <v>38.200000000000003</v>
          </cell>
          <cell r="X7016" t="str">
            <v>Expenses</v>
          </cell>
        </row>
        <row r="7017">
          <cell r="L7017"/>
          <cell r="S7017">
            <v>37.520000000000003</v>
          </cell>
          <cell r="X7017" t="str">
            <v>Expenses</v>
          </cell>
        </row>
        <row r="7018">
          <cell r="L7018"/>
          <cell r="S7018">
            <v>11.6</v>
          </cell>
          <cell r="X7018" t="str">
            <v>Expenses</v>
          </cell>
        </row>
        <row r="7019">
          <cell r="L7019"/>
          <cell r="S7019">
            <v>95</v>
          </cell>
          <cell r="X7019" t="str">
            <v>Expenses</v>
          </cell>
        </row>
        <row r="7020">
          <cell r="L7020"/>
          <cell r="S7020">
            <v>290</v>
          </cell>
          <cell r="X7020" t="str">
            <v>Expenses</v>
          </cell>
        </row>
        <row r="7021">
          <cell r="L7021"/>
          <cell r="S7021">
            <v>14.35</v>
          </cell>
          <cell r="X7021" t="str">
            <v>Expenses</v>
          </cell>
        </row>
        <row r="7022">
          <cell r="L7022"/>
          <cell r="S7022">
            <v>6.95</v>
          </cell>
          <cell r="X7022" t="str">
            <v>Expenses</v>
          </cell>
        </row>
        <row r="7023">
          <cell r="L7023"/>
          <cell r="S7023">
            <v>92</v>
          </cell>
          <cell r="X7023" t="str">
            <v>Expenses</v>
          </cell>
        </row>
        <row r="7024">
          <cell r="L7024"/>
          <cell r="S7024">
            <v>4.05</v>
          </cell>
          <cell r="X7024" t="str">
            <v>Expenses</v>
          </cell>
        </row>
        <row r="7025">
          <cell r="L7025"/>
          <cell r="S7025">
            <v>38.520000000000003</v>
          </cell>
          <cell r="X7025" t="str">
            <v>Expenses</v>
          </cell>
        </row>
        <row r="7026">
          <cell r="L7026"/>
          <cell r="S7026">
            <v>3.6</v>
          </cell>
          <cell r="X7026" t="str">
            <v>Expenses</v>
          </cell>
        </row>
        <row r="7027">
          <cell r="L7027"/>
          <cell r="S7027">
            <v>8.1</v>
          </cell>
          <cell r="X7027" t="str">
            <v>Expenses</v>
          </cell>
        </row>
        <row r="7028">
          <cell r="L7028"/>
          <cell r="S7028">
            <v>8</v>
          </cell>
          <cell r="X7028" t="str">
            <v>Expenses</v>
          </cell>
        </row>
        <row r="7029">
          <cell r="L7029"/>
          <cell r="S7029">
            <v>17</v>
          </cell>
          <cell r="X7029" t="str">
            <v>Expenses</v>
          </cell>
        </row>
        <row r="7030">
          <cell r="L7030"/>
          <cell r="S7030">
            <v>10.61</v>
          </cell>
          <cell r="X7030" t="str">
            <v>Expenses</v>
          </cell>
        </row>
        <row r="7031">
          <cell r="L7031"/>
          <cell r="S7031">
            <v>110</v>
          </cell>
          <cell r="X7031" t="str">
            <v>Expenses</v>
          </cell>
        </row>
        <row r="7032">
          <cell r="L7032"/>
          <cell r="S7032">
            <v>600</v>
          </cell>
          <cell r="X7032" t="str">
            <v>Expenses</v>
          </cell>
        </row>
        <row r="7033">
          <cell r="L7033"/>
          <cell r="S7033">
            <v>6.4</v>
          </cell>
          <cell r="X7033" t="str">
            <v>Expenses</v>
          </cell>
        </row>
        <row r="7034">
          <cell r="L7034"/>
          <cell r="S7034">
            <v>7.68</v>
          </cell>
          <cell r="X7034" t="str">
            <v>Expenses</v>
          </cell>
        </row>
        <row r="7035">
          <cell r="L7035"/>
          <cell r="S7035">
            <v>3.65</v>
          </cell>
          <cell r="X7035" t="str">
            <v>Expenses</v>
          </cell>
        </row>
        <row r="7036">
          <cell r="L7036"/>
          <cell r="S7036">
            <v>600.6</v>
          </cell>
          <cell r="X7036" t="str">
            <v>Expenses</v>
          </cell>
        </row>
        <row r="7037">
          <cell r="L7037"/>
          <cell r="S7037">
            <v>130</v>
          </cell>
          <cell r="X7037" t="str">
            <v>Expenses</v>
          </cell>
        </row>
        <row r="7038">
          <cell r="L7038"/>
          <cell r="S7038">
            <v>4.46</v>
          </cell>
          <cell r="X7038" t="str">
            <v>Expenses</v>
          </cell>
        </row>
        <row r="7039">
          <cell r="L7039"/>
          <cell r="S7039">
            <v>13.77</v>
          </cell>
          <cell r="X7039" t="str">
            <v>Expenses</v>
          </cell>
        </row>
        <row r="7040">
          <cell r="L7040"/>
          <cell r="S7040">
            <v>112.02</v>
          </cell>
          <cell r="X7040" t="str">
            <v>Expenses</v>
          </cell>
        </row>
        <row r="7041">
          <cell r="L7041"/>
          <cell r="S7041">
            <v>11.8</v>
          </cell>
          <cell r="X7041" t="str">
            <v>Expenses</v>
          </cell>
        </row>
        <row r="7042">
          <cell r="L7042"/>
          <cell r="S7042">
            <v>8.3000000000000007</v>
          </cell>
          <cell r="X7042" t="str">
            <v>Expenses</v>
          </cell>
        </row>
        <row r="7043">
          <cell r="L7043"/>
          <cell r="S7043">
            <v>59.02</v>
          </cell>
          <cell r="X7043" t="str">
            <v>Expenses</v>
          </cell>
        </row>
        <row r="7044">
          <cell r="L7044"/>
          <cell r="S7044">
            <v>7.2</v>
          </cell>
          <cell r="X7044" t="str">
            <v>Expenses</v>
          </cell>
        </row>
        <row r="7045">
          <cell r="L7045"/>
          <cell r="S7045">
            <v>22.95</v>
          </cell>
          <cell r="X7045" t="str">
            <v>Expenses</v>
          </cell>
        </row>
        <row r="7046">
          <cell r="L7046"/>
          <cell r="S7046">
            <v>3.9</v>
          </cell>
          <cell r="X7046" t="str">
            <v>Expenses</v>
          </cell>
        </row>
        <row r="7047">
          <cell r="L7047"/>
          <cell r="S7047">
            <v>2.8</v>
          </cell>
          <cell r="X7047" t="str">
            <v>Expenses</v>
          </cell>
        </row>
        <row r="7048">
          <cell r="L7048"/>
          <cell r="S7048">
            <v>40.729999999999997</v>
          </cell>
          <cell r="X7048" t="str">
            <v>Expenses</v>
          </cell>
        </row>
        <row r="7049">
          <cell r="L7049"/>
          <cell r="S7049">
            <v>15.84</v>
          </cell>
          <cell r="X7049" t="str">
            <v>Expenses</v>
          </cell>
        </row>
        <row r="7050">
          <cell r="L7050"/>
          <cell r="S7050">
            <v>130.21</v>
          </cell>
          <cell r="X7050" t="str">
            <v>Expenses</v>
          </cell>
        </row>
        <row r="7051">
          <cell r="L7051"/>
          <cell r="S7051">
            <v>1498.2</v>
          </cell>
          <cell r="X7051" t="str">
            <v>Expenses</v>
          </cell>
        </row>
        <row r="7052">
          <cell r="L7052"/>
          <cell r="S7052">
            <v>851.25</v>
          </cell>
          <cell r="X7052" t="str">
            <v>Expenses</v>
          </cell>
        </row>
        <row r="7053">
          <cell r="L7053"/>
          <cell r="S7053">
            <v>7.2</v>
          </cell>
          <cell r="X7053" t="str">
            <v>Expenses</v>
          </cell>
        </row>
        <row r="7054">
          <cell r="L7054"/>
          <cell r="S7054">
            <v>7.27</v>
          </cell>
          <cell r="X7054" t="str">
            <v>Expenses</v>
          </cell>
        </row>
        <row r="7055">
          <cell r="L7055"/>
          <cell r="S7055">
            <v>4</v>
          </cell>
          <cell r="X7055" t="str">
            <v>Expenses</v>
          </cell>
        </row>
        <row r="7056">
          <cell r="L7056"/>
          <cell r="S7056">
            <v>140</v>
          </cell>
          <cell r="X7056" t="str">
            <v>Expenses</v>
          </cell>
        </row>
        <row r="7057">
          <cell r="L7057"/>
          <cell r="S7057">
            <v>24</v>
          </cell>
          <cell r="X7057" t="str">
            <v>Expenses</v>
          </cell>
        </row>
        <row r="7058">
          <cell r="L7058"/>
          <cell r="S7058">
            <v>20</v>
          </cell>
          <cell r="X7058" t="str">
            <v>Expenses</v>
          </cell>
        </row>
        <row r="7059">
          <cell r="L7059"/>
          <cell r="S7059">
            <v>30.29</v>
          </cell>
          <cell r="X7059" t="str">
            <v>Expenses</v>
          </cell>
        </row>
        <row r="7060">
          <cell r="L7060"/>
          <cell r="S7060">
            <v>5.31</v>
          </cell>
          <cell r="X7060" t="str">
            <v>Expenses</v>
          </cell>
        </row>
        <row r="7061">
          <cell r="L7061"/>
          <cell r="S7061">
            <v>40.98</v>
          </cell>
          <cell r="X7061" t="str">
            <v>Expenses</v>
          </cell>
        </row>
        <row r="7062">
          <cell r="L7062"/>
          <cell r="S7062">
            <v>5.52</v>
          </cell>
          <cell r="X7062" t="str">
            <v>Expenses</v>
          </cell>
        </row>
        <row r="7063">
          <cell r="L7063"/>
          <cell r="S7063">
            <v>223.57</v>
          </cell>
          <cell r="X7063" t="str">
            <v>Expenses</v>
          </cell>
        </row>
        <row r="7064">
          <cell r="L7064"/>
          <cell r="S7064">
            <v>34.9</v>
          </cell>
          <cell r="X7064" t="str">
            <v>Expenses</v>
          </cell>
        </row>
        <row r="7065">
          <cell r="L7065"/>
          <cell r="S7065">
            <v>28.79</v>
          </cell>
          <cell r="X7065" t="str">
            <v>Expenses</v>
          </cell>
        </row>
        <row r="7066">
          <cell r="L7066"/>
          <cell r="S7066">
            <v>12.32</v>
          </cell>
          <cell r="X7066" t="str">
            <v>Expenses</v>
          </cell>
        </row>
        <row r="7067">
          <cell r="L7067"/>
          <cell r="S7067">
            <v>39.880000000000003</v>
          </cell>
          <cell r="X7067" t="str">
            <v>Expenses</v>
          </cell>
        </row>
        <row r="7068">
          <cell r="L7068"/>
          <cell r="S7068">
            <v>9.94</v>
          </cell>
          <cell r="X7068" t="str">
            <v>Expenses</v>
          </cell>
        </row>
        <row r="7069">
          <cell r="L7069"/>
          <cell r="S7069">
            <v>7.21</v>
          </cell>
          <cell r="X7069" t="str">
            <v>Expenses</v>
          </cell>
        </row>
        <row r="7070">
          <cell r="L7070"/>
          <cell r="S7070">
            <v>45.63</v>
          </cell>
          <cell r="X7070" t="str">
            <v>Expenses</v>
          </cell>
        </row>
        <row r="7071">
          <cell r="L7071"/>
          <cell r="S7071">
            <v>13.82</v>
          </cell>
          <cell r="X7071" t="str">
            <v>Expenses</v>
          </cell>
        </row>
        <row r="7072">
          <cell r="L7072"/>
          <cell r="S7072">
            <v>4</v>
          </cell>
          <cell r="X7072" t="str">
            <v>Expenses</v>
          </cell>
        </row>
        <row r="7073">
          <cell r="L7073"/>
          <cell r="S7073">
            <v>10.6</v>
          </cell>
          <cell r="X7073" t="str">
            <v>Expenses</v>
          </cell>
        </row>
        <row r="7074">
          <cell r="L7074"/>
          <cell r="S7074">
            <v>85</v>
          </cell>
          <cell r="X7074" t="str">
            <v>Expenses</v>
          </cell>
        </row>
        <row r="7075">
          <cell r="L7075"/>
          <cell r="S7075">
            <v>48.1</v>
          </cell>
          <cell r="X7075" t="str">
            <v>Expenses</v>
          </cell>
        </row>
        <row r="7076">
          <cell r="L7076"/>
          <cell r="S7076">
            <v>232.61</v>
          </cell>
          <cell r="X7076" t="str">
            <v>Expenses</v>
          </cell>
        </row>
        <row r="7077">
          <cell r="L7077"/>
          <cell r="S7077">
            <v>84.63</v>
          </cell>
          <cell r="X7077" t="str">
            <v>Expenses</v>
          </cell>
        </row>
        <row r="7078">
          <cell r="L7078"/>
          <cell r="S7078">
            <v>4.7699999999999996</v>
          </cell>
          <cell r="X7078" t="str">
            <v>Expenses</v>
          </cell>
        </row>
        <row r="7079">
          <cell r="L7079"/>
          <cell r="S7079">
            <v>6.99</v>
          </cell>
          <cell r="X7079" t="str">
            <v>Expenses</v>
          </cell>
        </row>
        <row r="7080">
          <cell r="L7080"/>
          <cell r="S7080">
            <v>49.9</v>
          </cell>
          <cell r="X7080" t="str">
            <v>Expenses</v>
          </cell>
        </row>
        <row r="7081">
          <cell r="L7081"/>
          <cell r="S7081">
            <v>2.83</v>
          </cell>
          <cell r="X7081" t="str">
            <v>Expenses</v>
          </cell>
        </row>
        <row r="7082">
          <cell r="L7082"/>
          <cell r="S7082">
            <v>49.62</v>
          </cell>
          <cell r="X7082" t="str">
            <v>Expenses</v>
          </cell>
        </row>
        <row r="7083">
          <cell r="L7083"/>
          <cell r="S7083">
            <v>5.12</v>
          </cell>
          <cell r="X7083" t="str">
            <v>Expenses</v>
          </cell>
        </row>
        <row r="7084">
          <cell r="L7084"/>
          <cell r="S7084">
            <v>23.9</v>
          </cell>
          <cell r="X7084" t="str">
            <v>Expenses</v>
          </cell>
        </row>
        <row r="7085">
          <cell r="L7085"/>
          <cell r="S7085">
            <v>6.78</v>
          </cell>
          <cell r="X7085" t="str">
            <v>Expenses</v>
          </cell>
        </row>
        <row r="7086">
          <cell r="L7086"/>
          <cell r="S7086">
            <v>8.16</v>
          </cell>
          <cell r="X7086" t="str">
            <v>Expenses</v>
          </cell>
        </row>
        <row r="7087">
          <cell r="L7087"/>
          <cell r="S7087">
            <v>8.65</v>
          </cell>
          <cell r="X7087" t="str">
            <v>Expenses</v>
          </cell>
        </row>
        <row r="7088">
          <cell r="L7088"/>
          <cell r="S7088">
            <v>5.18</v>
          </cell>
          <cell r="X7088" t="str">
            <v>Expenses</v>
          </cell>
        </row>
        <row r="7089">
          <cell r="L7089"/>
          <cell r="S7089">
            <v>5.51</v>
          </cell>
          <cell r="X7089" t="str">
            <v>Expenses</v>
          </cell>
        </row>
        <row r="7090">
          <cell r="L7090"/>
          <cell r="S7090">
            <v>8.31</v>
          </cell>
          <cell r="X7090" t="str">
            <v>Expenses</v>
          </cell>
        </row>
        <row r="7091">
          <cell r="L7091"/>
          <cell r="S7091">
            <v>10.36</v>
          </cell>
          <cell r="X7091" t="str">
            <v>Expenses</v>
          </cell>
        </row>
        <row r="7092">
          <cell r="L7092"/>
          <cell r="S7092">
            <v>17.3</v>
          </cell>
          <cell r="X7092" t="str">
            <v>Expenses</v>
          </cell>
        </row>
        <row r="7093">
          <cell r="L7093"/>
          <cell r="S7093">
            <v>72</v>
          </cell>
          <cell r="X7093" t="str">
            <v>Expenses</v>
          </cell>
        </row>
        <row r="7094">
          <cell r="L7094"/>
          <cell r="S7094">
            <v>9.44</v>
          </cell>
          <cell r="X7094" t="str">
            <v>Expenses</v>
          </cell>
        </row>
        <row r="7095">
          <cell r="L7095"/>
          <cell r="S7095">
            <v>46.3</v>
          </cell>
          <cell r="X7095" t="str">
            <v>Expenses</v>
          </cell>
        </row>
        <row r="7096">
          <cell r="L7096"/>
          <cell r="S7096">
            <v>4.41</v>
          </cell>
          <cell r="X7096" t="str">
            <v>Expenses</v>
          </cell>
        </row>
        <row r="7097">
          <cell r="L7097"/>
          <cell r="S7097">
            <v>5.6</v>
          </cell>
          <cell r="X7097" t="str">
            <v>Expenses</v>
          </cell>
        </row>
        <row r="7098">
          <cell r="L7098"/>
          <cell r="S7098">
            <v>3.8</v>
          </cell>
          <cell r="X7098" t="str">
            <v>Expenses</v>
          </cell>
        </row>
        <row r="7099">
          <cell r="L7099"/>
          <cell r="S7099">
            <v>16</v>
          </cell>
          <cell r="X7099" t="str">
            <v>Expenses</v>
          </cell>
        </row>
        <row r="7100">
          <cell r="L7100"/>
          <cell r="S7100">
            <v>40</v>
          </cell>
          <cell r="X7100" t="str">
            <v>Expenses</v>
          </cell>
        </row>
        <row r="7101">
          <cell r="L7101"/>
          <cell r="S7101">
            <v>18.600000000000001</v>
          </cell>
          <cell r="X7101" t="str">
            <v>Expenses</v>
          </cell>
        </row>
        <row r="7102">
          <cell r="L7102"/>
          <cell r="S7102">
            <v>22</v>
          </cell>
          <cell r="X7102" t="str">
            <v>Expenses</v>
          </cell>
        </row>
        <row r="7103">
          <cell r="L7103"/>
          <cell r="S7103">
            <v>2.56</v>
          </cell>
          <cell r="X7103" t="str">
            <v>Expenses</v>
          </cell>
        </row>
        <row r="7104">
          <cell r="L7104"/>
          <cell r="S7104">
            <v>50</v>
          </cell>
          <cell r="X7104" t="str">
            <v>Expenses</v>
          </cell>
        </row>
        <row r="7105">
          <cell r="L7105"/>
          <cell r="S7105">
            <v>36.729999999999997</v>
          </cell>
          <cell r="X7105" t="str">
            <v>Expenses</v>
          </cell>
        </row>
        <row r="7106">
          <cell r="L7106"/>
          <cell r="S7106">
            <v>13.9</v>
          </cell>
          <cell r="X7106" t="str">
            <v>Expenses</v>
          </cell>
        </row>
        <row r="7107">
          <cell r="L7107"/>
          <cell r="S7107">
            <v>8.75</v>
          </cell>
          <cell r="X7107" t="str">
            <v>Expenses</v>
          </cell>
        </row>
        <row r="7108">
          <cell r="L7108"/>
          <cell r="S7108">
            <v>105.33</v>
          </cell>
          <cell r="X7108" t="str">
            <v>Expenses</v>
          </cell>
        </row>
        <row r="7109">
          <cell r="L7109"/>
          <cell r="S7109">
            <v>6.71</v>
          </cell>
          <cell r="X7109" t="str">
            <v>Expenses</v>
          </cell>
        </row>
        <row r="7110">
          <cell r="L7110"/>
          <cell r="S7110">
            <v>7</v>
          </cell>
          <cell r="X7110" t="str">
            <v>Expenses</v>
          </cell>
        </row>
        <row r="7111">
          <cell r="L7111"/>
          <cell r="S7111">
            <v>4.0999999999999996</v>
          </cell>
          <cell r="X7111" t="str">
            <v>Expenses</v>
          </cell>
        </row>
        <row r="7112">
          <cell r="L7112"/>
          <cell r="S7112">
            <v>28.12</v>
          </cell>
          <cell r="X7112" t="str">
            <v>Expenses</v>
          </cell>
        </row>
        <row r="7113">
          <cell r="L7113"/>
          <cell r="S7113">
            <v>15.3</v>
          </cell>
          <cell r="X7113" t="str">
            <v>Expenses</v>
          </cell>
        </row>
        <row r="7114">
          <cell r="L7114"/>
          <cell r="S7114">
            <v>2.61</v>
          </cell>
          <cell r="X7114" t="str">
            <v>Expenses</v>
          </cell>
        </row>
        <row r="7115">
          <cell r="L7115"/>
          <cell r="S7115">
            <v>32.58</v>
          </cell>
          <cell r="X7115" t="str">
            <v>Expenses</v>
          </cell>
        </row>
        <row r="7116">
          <cell r="L7116"/>
          <cell r="S7116">
            <v>232</v>
          </cell>
          <cell r="X7116" t="str">
            <v>Expenses</v>
          </cell>
        </row>
        <row r="7117">
          <cell r="L7117"/>
          <cell r="S7117">
            <v>9.85</v>
          </cell>
          <cell r="X7117" t="str">
            <v>Expenses</v>
          </cell>
        </row>
        <row r="7118">
          <cell r="L7118"/>
          <cell r="S7118">
            <v>43.99</v>
          </cell>
          <cell r="X7118" t="str">
            <v>Expenses</v>
          </cell>
        </row>
        <row r="7119">
          <cell r="L7119"/>
          <cell r="S7119">
            <v>2.9</v>
          </cell>
          <cell r="X7119" t="str">
            <v>Expenses</v>
          </cell>
        </row>
        <row r="7120">
          <cell r="L7120"/>
          <cell r="S7120">
            <v>124.06</v>
          </cell>
          <cell r="X7120" t="str">
            <v>Expenses</v>
          </cell>
        </row>
        <row r="7121">
          <cell r="L7121"/>
          <cell r="S7121">
            <v>11</v>
          </cell>
          <cell r="X7121" t="str">
            <v>Expenses</v>
          </cell>
        </row>
        <row r="7122">
          <cell r="L7122"/>
          <cell r="S7122">
            <v>7.37</v>
          </cell>
          <cell r="X7122" t="str">
            <v>Expenses</v>
          </cell>
        </row>
        <row r="7123">
          <cell r="L7123"/>
          <cell r="S7123">
            <v>108.37</v>
          </cell>
          <cell r="X7123" t="str">
            <v>Expenses</v>
          </cell>
        </row>
        <row r="7124">
          <cell r="L7124"/>
          <cell r="S7124">
            <v>40.06</v>
          </cell>
          <cell r="X7124" t="str">
            <v>Expenses</v>
          </cell>
        </row>
        <row r="7125">
          <cell r="L7125"/>
          <cell r="S7125">
            <v>5.77</v>
          </cell>
          <cell r="X7125" t="str">
            <v>Expenses</v>
          </cell>
        </row>
        <row r="7126">
          <cell r="L7126"/>
          <cell r="S7126">
            <v>29.72</v>
          </cell>
          <cell r="X7126" t="str">
            <v>Expenses</v>
          </cell>
        </row>
        <row r="7127">
          <cell r="L7127"/>
          <cell r="S7127">
            <v>3.1</v>
          </cell>
          <cell r="X7127" t="str">
            <v>Expenses</v>
          </cell>
        </row>
        <row r="7128">
          <cell r="L7128"/>
          <cell r="S7128">
            <v>15.3</v>
          </cell>
          <cell r="X7128" t="str">
            <v>Expenses</v>
          </cell>
        </row>
        <row r="7129">
          <cell r="L7129"/>
          <cell r="S7129">
            <v>6.78</v>
          </cell>
          <cell r="X7129" t="str">
            <v>Expenses</v>
          </cell>
        </row>
        <row r="7130">
          <cell r="L7130"/>
          <cell r="S7130">
            <v>18.39</v>
          </cell>
          <cell r="X7130" t="str">
            <v>Expenses</v>
          </cell>
        </row>
        <row r="7131">
          <cell r="L7131"/>
          <cell r="S7131">
            <v>28</v>
          </cell>
          <cell r="X7131" t="str">
            <v>Expenses</v>
          </cell>
        </row>
        <row r="7132">
          <cell r="L7132"/>
          <cell r="S7132">
            <v>3.09</v>
          </cell>
          <cell r="X7132" t="str">
            <v>Expenses</v>
          </cell>
        </row>
        <row r="7133">
          <cell r="L7133"/>
          <cell r="S7133">
            <v>543.26</v>
          </cell>
          <cell r="X7133" t="str">
            <v>Expenses</v>
          </cell>
        </row>
        <row r="7134">
          <cell r="L7134"/>
          <cell r="S7134">
            <v>3.68</v>
          </cell>
          <cell r="X7134" t="str">
            <v>Expenses</v>
          </cell>
        </row>
        <row r="7135">
          <cell r="L7135"/>
          <cell r="S7135">
            <v>9.94</v>
          </cell>
          <cell r="X7135" t="str">
            <v>Expenses</v>
          </cell>
        </row>
        <row r="7136">
          <cell r="L7136"/>
          <cell r="S7136">
            <v>7.48</v>
          </cell>
          <cell r="X7136" t="str">
            <v>Expenses</v>
          </cell>
        </row>
        <row r="7137">
          <cell r="L7137"/>
          <cell r="S7137">
            <v>22.93</v>
          </cell>
          <cell r="X7137" t="str">
            <v>Expenses</v>
          </cell>
        </row>
        <row r="7138">
          <cell r="L7138"/>
          <cell r="S7138">
            <v>2.85</v>
          </cell>
          <cell r="X7138" t="str">
            <v>Expenses</v>
          </cell>
        </row>
        <row r="7139">
          <cell r="L7139"/>
          <cell r="S7139">
            <v>20.91</v>
          </cell>
          <cell r="X7139" t="str">
            <v>Expenses</v>
          </cell>
        </row>
        <row r="7140">
          <cell r="L7140"/>
          <cell r="S7140">
            <v>30.9</v>
          </cell>
          <cell r="X7140" t="str">
            <v>Expenses</v>
          </cell>
        </row>
        <row r="7141">
          <cell r="L7141"/>
          <cell r="S7141">
            <v>7.09</v>
          </cell>
          <cell r="X7141" t="str">
            <v>Expenses</v>
          </cell>
        </row>
        <row r="7142">
          <cell r="L7142"/>
          <cell r="S7142">
            <v>8.86</v>
          </cell>
          <cell r="X7142" t="str">
            <v>Expenses</v>
          </cell>
        </row>
        <row r="7143">
          <cell r="L7143"/>
          <cell r="S7143">
            <v>13.26</v>
          </cell>
          <cell r="X7143" t="str">
            <v>Expenses</v>
          </cell>
        </row>
        <row r="7144">
          <cell r="L7144"/>
          <cell r="S7144">
            <v>6.37</v>
          </cell>
          <cell r="X7144" t="str">
            <v>Expenses</v>
          </cell>
        </row>
        <row r="7145">
          <cell r="L7145"/>
          <cell r="S7145">
            <v>6.64</v>
          </cell>
          <cell r="X7145" t="str">
            <v>Expenses</v>
          </cell>
        </row>
        <row r="7146">
          <cell r="L7146"/>
          <cell r="S7146">
            <v>20.47</v>
          </cell>
          <cell r="X7146" t="str">
            <v>Expenses</v>
          </cell>
        </row>
        <row r="7147">
          <cell r="L7147"/>
          <cell r="S7147">
            <v>138.47999999999999</v>
          </cell>
          <cell r="X7147" t="str">
            <v>Expenses</v>
          </cell>
        </row>
        <row r="7148">
          <cell r="L7148"/>
          <cell r="S7148">
            <v>517.28</v>
          </cell>
          <cell r="X7148" t="str">
            <v>to check</v>
          </cell>
        </row>
        <row r="7149">
          <cell r="L7149"/>
          <cell r="S7149">
            <v>41.9</v>
          </cell>
          <cell r="X7149" t="str">
            <v>to check</v>
          </cell>
        </row>
        <row r="7150">
          <cell r="L7150"/>
          <cell r="S7150">
            <v>160.9</v>
          </cell>
          <cell r="X7150" t="str">
            <v>to check</v>
          </cell>
        </row>
        <row r="7151">
          <cell r="L7151"/>
          <cell r="S7151">
            <v>192.86</v>
          </cell>
          <cell r="X7151" t="str">
            <v>to check</v>
          </cell>
        </row>
        <row r="7152">
          <cell r="L7152"/>
          <cell r="S7152">
            <v>71.400000000000006</v>
          </cell>
          <cell r="X7152" t="str">
            <v>to check</v>
          </cell>
        </row>
        <row r="7153">
          <cell r="L7153"/>
          <cell r="S7153">
            <v>13.03</v>
          </cell>
          <cell r="X7153" t="str">
            <v>to check</v>
          </cell>
        </row>
        <row r="7154">
          <cell r="L7154"/>
          <cell r="S7154">
            <v>2.34</v>
          </cell>
          <cell r="X7154" t="str">
            <v>to check</v>
          </cell>
        </row>
        <row r="7155">
          <cell r="L7155"/>
          <cell r="S7155">
            <v>15.62</v>
          </cell>
          <cell r="X7155" t="str">
            <v>to check</v>
          </cell>
        </row>
        <row r="7156">
          <cell r="L7156"/>
          <cell r="S7156">
            <v>319.25</v>
          </cell>
          <cell r="X7156" t="str">
            <v>Expenses</v>
          </cell>
        </row>
        <row r="7157">
          <cell r="L7157"/>
          <cell r="S7157">
            <v>25.86</v>
          </cell>
          <cell r="X7157" t="str">
            <v>Expenses</v>
          </cell>
        </row>
        <row r="7158">
          <cell r="L7158"/>
          <cell r="S7158">
            <v>395.67</v>
          </cell>
          <cell r="X7158" t="str">
            <v>to check</v>
          </cell>
        </row>
        <row r="7159">
          <cell r="L7159"/>
          <cell r="S7159">
            <v>791.33</v>
          </cell>
          <cell r="X7159" t="str">
            <v>to check</v>
          </cell>
        </row>
        <row r="7160">
          <cell r="L7160"/>
          <cell r="S7160">
            <v>64.099999999999994</v>
          </cell>
          <cell r="X7160" t="str">
            <v>to check</v>
          </cell>
        </row>
        <row r="7161">
          <cell r="L7161"/>
          <cell r="S7161">
            <v>-593.5</v>
          </cell>
          <cell r="X7161" t="str">
            <v>to check</v>
          </cell>
        </row>
        <row r="7162">
          <cell r="L7162"/>
          <cell r="S7162">
            <v>57500</v>
          </cell>
          <cell r="X7162" t="str">
            <v>Expenses</v>
          </cell>
        </row>
        <row r="7163">
          <cell r="L7163"/>
          <cell r="S7163">
            <v>52500</v>
          </cell>
          <cell r="X7163" t="str">
            <v>Expenses</v>
          </cell>
        </row>
        <row r="7164">
          <cell r="L7164"/>
          <cell r="S7164">
            <v>15750</v>
          </cell>
          <cell r="X7164" t="str">
            <v>Expenses</v>
          </cell>
        </row>
        <row r="7165">
          <cell r="L7165"/>
          <cell r="S7165">
            <v>15750</v>
          </cell>
          <cell r="X7165" t="str">
            <v>Expenses</v>
          </cell>
        </row>
        <row r="7166">
          <cell r="L7166"/>
          <cell r="S7166">
            <v>2300</v>
          </cell>
          <cell r="X7166" t="str">
            <v>Expenses</v>
          </cell>
        </row>
        <row r="7167">
          <cell r="L7167"/>
          <cell r="S7167">
            <v>-57500</v>
          </cell>
          <cell r="X7167" t="str">
            <v>Expenses</v>
          </cell>
        </row>
        <row r="7168">
          <cell r="L7168"/>
          <cell r="S7168">
            <v>-15750</v>
          </cell>
          <cell r="X7168" t="str">
            <v>Expenses</v>
          </cell>
        </row>
        <row r="7169">
          <cell r="L7169"/>
          <cell r="S7169">
            <v>31500</v>
          </cell>
          <cell r="X7169" t="str">
            <v>Expenses</v>
          </cell>
        </row>
        <row r="7170">
          <cell r="L7170"/>
          <cell r="S7170">
            <v>-2300</v>
          </cell>
          <cell r="X7170" t="str">
            <v>Expenses</v>
          </cell>
        </row>
        <row r="7171">
          <cell r="L7171"/>
          <cell r="S7171">
            <v>4600</v>
          </cell>
          <cell r="X7171" t="str">
            <v>Expenses</v>
          </cell>
        </row>
        <row r="7172">
          <cell r="L7172"/>
          <cell r="S7172">
            <v>1008</v>
          </cell>
          <cell r="X7172" t="str">
            <v>Expenses</v>
          </cell>
        </row>
        <row r="7173">
          <cell r="L7173"/>
          <cell r="S7173">
            <v>105000</v>
          </cell>
          <cell r="X7173" t="str">
            <v>Expenses</v>
          </cell>
        </row>
        <row r="7174">
          <cell r="L7174"/>
          <cell r="S7174">
            <v>-52500</v>
          </cell>
          <cell r="X7174" t="str">
            <v>Expenses</v>
          </cell>
        </row>
        <row r="7175">
          <cell r="L7175"/>
          <cell r="S7175">
            <v>115000</v>
          </cell>
          <cell r="X7175" t="str">
            <v>Expenses</v>
          </cell>
        </row>
        <row r="7176">
          <cell r="L7176"/>
          <cell r="S7176">
            <v>-15750</v>
          </cell>
          <cell r="X7176" t="str">
            <v>Expenses</v>
          </cell>
        </row>
        <row r="7177">
          <cell r="L7177"/>
          <cell r="S7177">
            <v>31500</v>
          </cell>
          <cell r="X7177" t="str">
            <v>Expenses</v>
          </cell>
        </row>
        <row r="7178">
          <cell r="L7178"/>
          <cell r="S7178">
            <v>-47250</v>
          </cell>
          <cell r="X7178" t="str">
            <v>Expenses</v>
          </cell>
        </row>
        <row r="7179">
          <cell r="L7179"/>
          <cell r="S7179">
            <v>-47250</v>
          </cell>
          <cell r="X7179" t="str">
            <v>Expenses</v>
          </cell>
        </row>
        <row r="7180">
          <cell r="L7180"/>
          <cell r="S7180">
            <v>52500</v>
          </cell>
          <cell r="X7180" t="str">
            <v>Expenses</v>
          </cell>
        </row>
        <row r="7181">
          <cell r="L7181"/>
          <cell r="S7181">
            <v>-3175.2</v>
          </cell>
          <cell r="X7181" t="str">
            <v>Expenses</v>
          </cell>
        </row>
        <row r="7182">
          <cell r="L7182"/>
          <cell r="S7182">
            <v>6350.4</v>
          </cell>
          <cell r="X7182" t="str">
            <v>Expenses</v>
          </cell>
        </row>
        <row r="7183">
          <cell r="L7183"/>
          <cell r="S7183">
            <v>2300</v>
          </cell>
          <cell r="X7183" t="str">
            <v>Expenses</v>
          </cell>
        </row>
        <row r="7184">
          <cell r="L7184"/>
          <cell r="S7184">
            <v>375946</v>
          </cell>
          <cell r="X7184" t="str">
            <v>Expenses</v>
          </cell>
        </row>
        <row r="7185">
          <cell r="L7185"/>
          <cell r="S7185">
            <v>-6900</v>
          </cell>
          <cell r="X7185" t="str">
            <v>Expenses</v>
          </cell>
        </row>
        <row r="7186">
          <cell r="L7186"/>
          <cell r="S7186">
            <v>15750</v>
          </cell>
          <cell r="X7186" t="str">
            <v>Expenses</v>
          </cell>
        </row>
        <row r="7187">
          <cell r="L7187"/>
          <cell r="S7187">
            <v>15750</v>
          </cell>
          <cell r="X7187" t="str">
            <v>Expenses</v>
          </cell>
        </row>
        <row r="7188">
          <cell r="L7188"/>
          <cell r="S7188">
            <v>30451.63</v>
          </cell>
          <cell r="X7188" t="str">
            <v>Expenses</v>
          </cell>
        </row>
        <row r="7189">
          <cell r="L7189"/>
          <cell r="S7189">
            <v>514.38</v>
          </cell>
          <cell r="X7189" t="str">
            <v>Expenses</v>
          </cell>
        </row>
        <row r="7190">
          <cell r="L7190"/>
          <cell r="S7190">
            <v>-157500</v>
          </cell>
          <cell r="X7190" t="str">
            <v>Expenses</v>
          </cell>
        </row>
        <row r="7191">
          <cell r="L7191"/>
          <cell r="S7191">
            <v>-172500</v>
          </cell>
          <cell r="X7191" t="str">
            <v>Expenses</v>
          </cell>
        </row>
        <row r="7192">
          <cell r="L7192"/>
          <cell r="S7192">
            <v>57500</v>
          </cell>
          <cell r="X7192" t="str">
            <v>Expenses</v>
          </cell>
        </row>
        <row r="7193">
          <cell r="L7193"/>
          <cell r="S7193">
            <v>18017.48</v>
          </cell>
          <cell r="X7193" t="str">
            <v>to check</v>
          </cell>
        </row>
        <row r="7194">
          <cell r="L7194"/>
          <cell r="S7194">
            <v>2626.95</v>
          </cell>
          <cell r="X7194" t="str">
            <v>to check</v>
          </cell>
        </row>
        <row r="7195">
          <cell r="L7195"/>
          <cell r="S7195">
            <v>-27026.21</v>
          </cell>
          <cell r="X7195" t="str">
            <v>to check</v>
          </cell>
        </row>
        <row r="7196">
          <cell r="L7196"/>
          <cell r="S7196">
            <v>32431.46</v>
          </cell>
          <cell r="X7196" t="str">
            <v>to check</v>
          </cell>
        </row>
        <row r="7197">
          <cell r="L7197"/>
          <cell r="S7197">
            <v>15782</v>
          </cell>
          <cell r="X7197" t="str">
            <v>to check</v>
          </cell>
        </row>
        <row r="7198">
          <cell r="L7198"/>
          <cell r="S7198">
            <v>-23673.01</v>
          </cell>
          <cell r="X7198" t="str">
            <v>to check</v>
          </cell>
        </row>
        <row r="7199">
          <cell r="L7199"/>
          <cell r="S7199">
            <v>29591.26</v>
          </cell>
          <cell r="X7199" t="str">
            <v>to check</v>
          </cell>
        </row>
        <row r="7200">
          <cell r="L7200"/>
          <cell r="S7200">
            <v>2396.89</v>
          </cell>
          <cell r="X7200" t="str">
            <v>to check</v>
          </cell>
        </row>
        <row r="7201">
          <cell r="L7201"/>
          <cell r="S7201">
            <v>1125</v>
          </cell>
          <cell r="X7201" t="str">
            <v>Expenses</v>
          </cell>
        </row>
        <row r="7202">
          <cell r="L7202"/>
          <cell r="S7202">
            <v>-1125</v>
          </cell>
          <cell r="X7202" t="str">
            <v>Expenses</v>
          </cell>
        </row>
        <row r="7203">
          <cell r="L7203"/>
          <cell r="S7203">
            <v>7590.59</v>
          </cell>
          <cell r="X7203" t="str">
            <v>Expenses</v>
          </cell>
        </row>
        <row r="7204">
          <cell r="L7204"/>
          <cell r="S7204">
            <v>93711</v>
          </cell>
          <cell r="X7204" t="str">
            <v>Expenses</v>
          </cell>
        </row>
        <row r="7205">
          <cell r="L7205"/>
          <cell r="S7205">
            <v>8625</v>
          </cell>
          <cell r="X7205" t="str">
            <v>Expenses</v>
          </cell>
        </row>
        <row r="7206">
          <cell r="L7206"/>
          <cell r="S7206">
            <v>-8625</v>
          </cell>
          <cell r="X7206" t="str">
            <v>Expenses</v>
          </cell>
        </row>
        <row r="7207">
          <cell r="L7207"/>
          <cell r="S7207">
            <v>17250</v>
          </cell>
          <cell r="X7207" t="str">
            <v>Expenses</v>
          </cell>
        </row>
        <row r="7208">
          <cell r="L7208"/>
          <cell r="S7208">
            <v>8625</v>
          </cell>
          <cell r="X7208" t="str">
            <v>Expenses</v>
          </cell>
        </row>
        <row r="7209">
          <cell r="L7209"/>
          <cell r="S7209">
            <v>-25875</v>
          </cell>
          <cell r="X7209" t="str">
            <v>Expenses</v>
          </cell>
        </row>
        <row r="7210">
          <cell r="L7210"/>
          <cell r="S7210">
            <v>22500</v>
          </cell>
          <cell r="X7210" t="str">
            <v>Expenses</v>
          </cell>
        </row>
        <row r="7211">
          <cell r="L7211"/>
          <cell r="S7211">
            <v>-22500</v>
          </cell>
          <cell r="X7211" t="str">
            <v>Expenses</v>
          </cell>
        </row>
        <row r="7212">
          <cell r="L7212"/>
          <cell r="S7212">
            <v>4888</v>
          </cell>
          <cell r="X7212" t="str">
            <v>Expenses</v>
          </cell>
        </row>
        <row r="7213">
          <cell r="L7213"/>
          <cell r="S7213">
            <v>7875</v>
          </cell>
          <cell r="X7213" t="str">
            <v>Expenses</v>
          </cell>
        </row>
        <row r="7214">
          <cell r="L7214"/>
          <cell r="S7214">
            <v>14375</v>
          </cell>
          <cell r="X7214" t="str">
            <v>Expenses</v>
          </cell>
        </row>
        <row r="7215">
          <cell r="L7215"/>
          <cell r="S7215">
            <v>7875</v>
          </cell>
          <cell r="X7215" t="str">
            <v>Expenses</v>
          </cell>
        </row>
        <row r="7216">
          <cell r="L7216"/>
          <cell r="S7216">
            <v>11500</v>
          </cell>
          <cell r="X7216" t="str">
            <v>Expenses</v>
          </cell>
        </row>
        <row r="7217">
          <cell r="L7217"/>
          <cell r="S7217">
            <v>28750</v>
          </cell>
          <cell r="X7217" t="str">
            <v>Expenses</v>
          </cell>
        </row>
        <row r="7218">
          <cell r="L7218"/>
          <cell r="S7218">
            <v>15750</v>
          </cell>
          <cell r="X7218" t="str">
            <v>Expenses</v>
          </cell>
        </row>
        <row r="7219">
          <cell r="L7219"/>
          <cell r="S7219">
            <v>-11500</v>
          </cell>
          <cell r="X7219" t="str">
            <v>Expenses</v>
          </cell>
        </row>
        <row r="7220">
          <cell r="L7220"/>
          <cell r="S7220">
            <v>-4888</v>
          </cell>
          <cell r="X7220" t="str">
            <v>Expenses</v>
          </cell>
        </row>
        <row r="7221">
          <cell r="L7221"/>
          <cell r="S7221">
            <v>-7875</v>
          </cell>
          <cell r="X7221" t="str">
            <v>Expenses</v>
          </cell>
        </row>
        <row r="7222">
          <cell r="L7222"/>
          <cell r="S7222">
            <v>9775</v>
          </cell>
          <cell r="X7222" t="str">
            <v>Expenses</v>
          </cell>
        </row>
        <row r="7223">
          <cell r="L7223"/>
          <cell r="S7223">
            <v>47250</v>
          </cell>
          <cell r="X7223" t="str">
            <v>Expenses</v>
          </cell>
        </row>
        <row r="7224">
          <cell r="L7224"/>
          <cell r="S7224">
            <v>-7875</v>
          </cell>
          <cell r="X7224" t="str">
            <v>Expenses</v>
          </cell>
        </row>
        <row r="7225">
          <cell r="L7225"/>
          <cell r="S7225">
            <v>15750</v>
          </cell>
          <cell r="X7225" t="str">
            <v>Expenses</v>
          </cell>
        </row>
        <row r="7226">
          <cell r="L7226"/>
          <cell r="S7226">
            <v>-14375</v>
          </cell>
          <cell r="X7226" t="str">
            <v>Expenses</v>
          </cell>
        </row>
        <row r="7227">
          <cell r="L7227"/>
          <cell r="S7227">
            <v>23000</v>
          </cell>
          <cell r="X7227" t="str">
            <v>Expenses</v>
          </cell>
        </row>
        <row r="7228">
          <cell r="L7228"/>
          <cell r="S7228">
            <v>4888</v>
          </cell>
          <cell r="X7228" t="str">
            <v>Expenses</v>
          </cell>
        </row>
        <row r="7229">
          <cell r="L7229"/>
          <cell r="S7229">
            <v>266237</v>
          </cell>
          <cell r="X7229" t="str">
            <v>Expenses</v>
          </cell>
        </row>
        <row r="7230">
          <cell r="L7230"/>
          <cell r="S7230">
            <v>-23625</v>
          </cell>
          <cell r="X7230" t="str">
            <v>Expenses</v>
          </cell>
        </row>
        <row r="7231">
          <cell r="L7231"/>
          <cell r="S7231">
            <v>-23625</v>
          </cell>
          <cell r="X7231" t="str">
            <v>Expenses</v>
          </cell>
        </row>
        <row r="7232">
          <cell r="L7232"/>
          <cell r="S7232">
            <v>14375</v>
          </cell>
          <cell r="X7232" t="str">
            <v>Expenses</v>
          </cell>
        </row>
        <row r="7233">
          <cell r="L7233"/>
          <cell r="S7233">
            <v>7875</v>
          </cell>
          <cell r="X7233" t="str">
            <v>Expenses</v>
          </cell>
        </row>
        <row r="7234">
          <cell r="L7234"/>
          <cell r="S7234">
            <v>11500</v>
          </cell>
          <cell r="X7234" t="str">
            <v>Expenses</v>
          </cell>
        </row>
        <row r="7235">
          <cell r="L7235"/>
          <cell r="S7235">
            <v>7875</v>
          </cell>
          <cell r="X7235" t="str">
            <v>Expenses</v>
          </cell>
        </row>
        <row r="7236">
          <cell r="L7236"/>
          <cell r="S7236">
            <v>-14663</v>
          </cell>
          <cell r="X7236" t="str">
            <v>Expenses</v>
          </cell>
        </row>
        <row r="7237">
          <cell r="L7237"/>
          <cell r="S7237">
            <v>23625</v>
          </cell>
          <cell r="X7237" t="str">
            <v>Expenses</v>
          </cell>
        </row>
        <row r="7238">
          <cell r="L7238"/>
          <cell r="S7238">
            <v>21565.200000000001</v>
          </cell>
          <cell r="X7238" t="str">
            <v>Expenses</v>
          </cell>
        </row>
        <row r="7239">
          <cell r="L7239"/>
          <cell r="S7239">
            <v>-70875</v>
          </cell>
          <cell r="X7239" t="str">
            <v>Expenses</v>
          </cell>
        </row>
        <row r="7240">
          <cell r="L7240"/>
          <cell r="S7240">
            <v>-34500</v>
          </cell>
          <cell r="X7240" t="str">
            <v>Expenses</v>
          </cell>
        </row>
        <row r="7241">
          <cell r="L7241"/>
          <cell r="S7241">
            <v>-43125</v>
          </cell>
          <cell r="X7241" t="str">
            <v>Expenses</v>
          </cell>
        </row>
        <row r="7242">
          <cell r="L7242"/>
          <cell r="S7242">
            <v>125973.54</v>
          </cell>
          <cell r="X7242" t="str">
            <v>Expenses</v>
          </cell>
        </row>
        <row r="7243">
          <cell r="L7243"/>
          <cell r="S7243">
            <v>128728.94</v>
          </cell>
          <cell r="X7243" t="str">
            <v>Expenses</v>
          </cell>
        </row>
        <row r="7244">
          <cell r="L7244"/>
          <cell r="S7244">
            <v>144160.5</v>
          </cell>
          <cell r="X7244" t="str">
            <v>Expenses</v>
          </cell>
        </row>
        <row r="7245">
          <cell r="L7245"/>
          <cell r="S7245">
            <v>154668.14000000001</v>
          </cell>
          <cell r="X7245" t="str">
            <v>Expenses</v>
          </cell>
        </row>
        <row r="7246">
          <cell r="L7246"/>
          <cell r="S7246">
            <v>175249.34</v>
          </cell>
          <cell r="X7246" t="str">
            <v>Expenses</v>
          </cell>
        </row>
        <row r="7247">
          <cell r="L7247"/>
          <cell r="S7247">
            <v>175285.36</v>
          </cell>
          <cell r="X7247" t="str">
            <v>Expenses</v>
          </cell>
        </row>
        <row r="7248">
          <cell r="L7248"/>
          <cell r="S7248">
            <v>212307.7</v>
          </cell>
          <cell r="X7248" t="str">
            <v>Expenses</v>
          </cell>
        </row>
        <row r="7249">
          <cell r="L7249"/>
          <cell r="S7249">
            <v>236159.27</v>
          </cell>
          <cell r="X7249" t="str">
            <v>Expenses</v>
          </cell>
        </row>
        <row r="7250">
          <cell r="L7250"/>
          <cell r="S7250">
            <v>237643.97</v>
          </cell>
          <cell r="X7250" t="str">
            <v>Expenses</v>
          </cell>
        </row>
        <row r="7251">
          <cell r="L7251"/>
          <cell r="S7251">
            <v>117.68</v>
          </cell>
          <cell r="X7251" t="str">
            <v>Expenses</v>
          </cell>
        </row>
        <row r="7252">
          <cell r="L7252"/>
          <cell r="S7252">
            <v>118.43</v>
          </cell>
          <cell r="X7252" t="str">
            <v>Expenses</v>
          </cell>
        </row>
        <row r="7253">
          <cell r="L7253"/>
          <cell r="S7253">
            <v>116.56</v>
          </cell>
          <cell r="X7253" t="str">
            <v>Expenses</v>
          </cell>
        </row>
        <row r="7254">
          <cell r="L7254"/>
          <cell r="S7254">
            <v>118.08</v>
          </cell>
          <cell r="X7254" t="str">
            <v>Expenses</v>
          </cell>
        </row>
        <row r="7255">
          <cell r="L7255"/>
          <cell r="S7255">
            <v>143.02000000000001</v>
          </cell>
          <cell r="X7255" t="str">
            <v>Expenses</v>
          </cell>
        </row>
        <row r="7256">
          <cell r="L7256"/>
          <cell r="S7256">
            <v>143.05000000000001</v>
          </cell>
          <cell r="X7256" t="str">
            <v>Expenses</v>
          </cell>
        </row>
        <row r="7257">
          <cell r="L7257"/>
          <cell r="S7257">
            <v>144.77000000000001</v>
          </cell>
          <cell r="X7257" t="str">
            <v>Expenses</v>
          </cell>
        </row>
        <row r="7258">
          <cell r="L7258"/>
          <cell r="S7258">
            <v>167.81</v>
          </cell>
          <cell r="X7258" t="str">
            <v>Expenses</v>
          </cell>
        </row>
        <row r="7259">
          <cell r="L7259"/>
          <cell r="S7259">
            <v>167.57</v>
          </cell>
          <cell r="X7259" t="str">
            <v>Expenses</v>
          </cell>
        </row>
        <row r="7260">
          <cell r="L7260"/>
          <cell r="S7260">
            <v>79.47</v>
          </cell>
          <cell r="X7260" t="str">
            <v>Expenses</v>
          </cell>
        </row>
        <row r="7261">
          <cell r="L7261"/>
          <cell r="S7261">
            <v>43.52</v>
          </cell>
          <cell r="X7261" t="str">
            <v>Expenses</v>
          </cell>
        </row>
        <row r="7262">
          <cell r="L7262"/>
          <cell r="S7262">
            <v>589640.97</v>
          </cell>
          <cell r="X7262" t="str">
            <v>Expenses</v>
          </cell>
        </row>
        <row r="7263">
          <cell r="L7263"/>
          <cell r="S7263">
            <v>282.11</v>
          </cell>
          <cell r="X7263" t="str">
            <v>Expenses</v>
          </cell>
        </row>
        <row r="7264">
          <cell r="L7264"/>
          <cell r="S7264">
            <v>277.66000000000003</v>
          </cell>
          <cell r="X7264" t="str">
            <v>Expenses</v>
          </cell>
        </row>
        <row r="7265">
          <cell r="L7265"/>
          <cell r="S7265">
            <v>281.26</v>
          </cell>
          <cell r="X7265" t="str">
            <v>Expenses</v>
          </cell>
        </row>
        <row r="7266">
          <cell r="L7266"/>
          <cell r="S7266">
            <v>1830.86</v>
          </cell>
          <cell r="X7266" t="str">
            <v>Expenses</v>
          </cell>
        </row>
        <row r="7267">
          <cell r="L7267"/>
          <cell r="S7267">
            <v>856.69</v>
          </cell>
          <cell r="X7267" t="str">
            <v>Expenses</v>
          </cell>
        </row>
        <row r="7268">
          <cell r="L7268"/>
          <cell r="S7268">
            <v>2963.61</v>
          </cell>
          <cell r="X7268" t="str">
            <v>Expenses</v>
          </cell>
        </row>
        <row r="7269">
          <cell r="L7269"/>
          <cell r="S7269">
            <v>1593.79</v>
          </cell>
          <cell r="X7269" t="str">
            <v>Expenses</v>
          </cell>
        </row>
        <row r="7270">
          <cell r="L7270"/>
          <cell r="S7270">
            <v>1591.5</v>
          </cell>
          <cell r="X7270" t="str">
            <v>Expenses</v>
          </cell>
        </row>
        <row r="7271">
          <cell r="L7271"/>
          <cell r="S7271">
            <v>43488.89</v>
          </cell>
          <cell r="X7271" t="str">
            <v>Expenses</v>
          </cell>
        </row>
        <row r="7272">
          <cell r="L7272"/>
          <cell r="S7272">
            <v>43488.89</v>
          </cell>
          <cell r="X7272" t="str">
            <v>Expenses</v>
          </cell>
        </row>
        <row r="7273">
          <cell r="L7273"/>
          <cell r="S7273">
            <v>43488.89</v>
          </cell>
          <cell r="X7273" t="str">
            <v>Expenses</v>
          </cell>
        </row>
        <row r="7274">
          <cell r="L7274"/>
          <cell r="S7274">
            <v>43488.89</v>
          </cell>
          <cell r="X7274" t="str">
            <v>Expenses</v>
          </cell>
        </row>
        <row r="7275">
          <cell r="L7275"/>
          <cell r="S7275">
            <v>-244693.45</v>
          </cell>
          <cell r="X7275" t="str">
            <v>Expenses</v>
          </cell>
        </row>
        <row r="7276">
          <cell r="L7276"/>
          <cell r="S7276">
            <v>43488.89</v>
          </cell>
          <cell r="X7276" t="str">
            <v>Expenses</v>
          </cell>
        </row>
        <row r="7277">
          <cell r="L7277"/>
          <cell r="S7277">
            <v>-50000</v>
          </cell>
          <cell r="X7277" t="str">
            <v>Expenses</v>
          </cell>
        </row>
        <row r="7278">
          <cell r="L7278"/>
          <cell r="S7278">
            <v>43488.89</v>
          </cell>
          <cell r="X7278" t="str">
            <v>Expenses</v>
          </cell>
        </row>
        <row r="7279">
          <cell r="L7279"/>
          <cell r="S7279">
            <v>43488.89</v>
          </cell>
          <cell r="X7279" t="str">
            <v>Expenses</v>
          </cell>
        </row>
        <row r="7280">
          <cell r="L7280"/>
          <cell r="S7280">
            <v>43488.89</v>
          </cell>
          <cell r="X7280" t="str">
            <v>Expenses</v>
          </cell>
        </row>
        <row r="7281">
          <cell r="L7281"/>
          <cell r="S7281">
            <v>43488.89</v>
          </cell>
          <cell r="X7281" t="str">
            <v>Expenses</v>
          </cell>
        </row>
        <row r="7282">
          <cell r="L7282"/>
          <cell r="S7282">
            <v>620000</v>
          </cell>
          <cell r="X7282" t="str">
            <v>Expenses</v>
          </cell>
        </row>
        <row r="7283">
          <cell r="L7283"/>
          <cell r="S7283">
            <v>1024.77</v>
          </cell>
          <cell r="X7283" t="str">
            <v>Expenses</v>
          </cell>
        </row>
        <row r="7284">
          <cell r="L7284"/>
          <cell r="S7284">
            <v>-1024.77</v>
          </cell>
          <cell r="X7284" t="str">
            <v>Expenses</v>
          </cell>
        </row>
        <row r="7285">
          <cell r="L7285"/>
          <cell r="S7285">
            <v>9244.0300000000007</v>
          </cell>
          <cell r="X7285" t="str">
            <v>Expenses</v>
          </cell>
        </row>
        <row r="7286">
          <cell r="L7286"/>
          <cell r="S7286">
            <v>9455.9500000000007</v>
          </cell>
          <cell r="X7286" t="str">
            <v>Expenses</v>
          </cell>
        </row>
        <row r="7287">
          <cell r="L7287"/>
          <cell r="S7287">
            <v>10468.379999999999</v>
          </cell>
          <cell r="X7287" t="str">
            <v>Expenses</v>
          </cell>
        </row>
        <row r="7288">
          <cell r="L7288"/>
          <cell r="S7288">
            <v>11257.21</v>
          </cell>
          <cell r="X7288" t="str">
            <v>Expenses</v>
          </cell>
        </row>
        <row r="7289">
          <cell r="L7289"/>
          <cell r="S7289">
            <v>38323.25</v>
          </cell>
          <cell r="X7289" t="str">
            <v>Expenses</v>
          </cell>
        </row>
        <row r="7290">
          <cell r="L7290"/>
          <cell r="S7290">
            <v>12735.2</v>
          </cell>
          <cell r="X7290" t="str">
            <v>Expenses</v>
          </cell>
        </row>
        <row r="7291">
          <cell r="L7291"/>
          <cell r="S7291">
            <v>12828.22</v>
          </cell>
          <cell r="X7291" t="str">
            <v>Expenses</v>
          </cell>
        </row>
        <row r="7292">
          <cell r="L7292"/>
          <cell r="S7292">
            <v>15364.25</v>
          </cell>
          <cell r="X7292" t="str">
            <v>Expenses</v>
          </cell>
        </row>
        <row r="7293">
          <cell r="L7293"/>
          <cell r="S7293">
            <v>-1848.99</v>
          </cell>
          <cell r="X7293" t="str">
            <v>Expenses</v>
          </cell>
        </row>
        <row r="7294">
          <cell r="L7294"/>
          <cell r="S7294">
            <v>17041.11</v>
          </cell>
          <cell r="X7294" t="str">
            <v>Expenses</v>
          </cell>
        </row>
        <row r="7295">
          <cell r="L7295"/>
          <cell r="S7295">
            <v>-1336</v>
          </cell>
          <cell r="X7295" t="str">
            <v>Expenses</v>
          </cell>
        </row>
        <row r="7296">
          <cell r="L7296"/>
          <cell r="S7296">
            <v>17195.18</v>
          </cell>
          <cell r="X7296" t="str">
            <v>Expenses</v>
          </cell>
        </row>
        <row r="7297">
          <cell r="L7297"/>
          <cell r="S7297">
            <v>-1319.99</v>
          </cell>
          <cell r="X7297" t="str">
            <v>Expenses</v>
          </cell>
        </row>
        <row r="7298">
          <cell r="L7298"/>
          <cell r="S7298">
            <v>74424.7</v>
          </cell>
          <cell r="X7298" t="str">
            <v>Expenses</v>
          </cell>
        </row>
        <row r="7299">
          <cell r="L7299"/>
          <cell r="S7299">
            <v>-74424.7</v>
          </cell>
          <cell r="X7299" t="str">
            <v>Expenses</v>
          </cell>
        </row>
        <row r="7300">
          <cell r="L7300"/>
          <cell r="S7300">
            <v>80768.14</v>
          </cell>
          <cell r="X7300" t="str">
            <v>Expenses</v>
          </cell>
        </row>
        <row r="7301">
          <cell r="L7301"/>
          <cell r="S7301">
            <v>113102.63</v>
          </cell>
          <cell r="X7301" t="str">
            <v>Expenses</v>
          </cell>
        </row>
        <row r="7302">
          <cell r="L7302"/>
          <cell r="S7302">
            <v>135840.04999999999</v>
          </cell>
          <cell r="X7302" t="str">
            <v>Expenses</v>
          </cell>
        </row>
        <row r="7303">
          <cell r="L7303"/>
          <cell r="S7303">
            <v>49669.93</v>
          </cell>
          <cell r="X7303" t="str">
            <v>Expenses</v>
          </cell>
        </row>
        <row r="7304">
          <cell r="L7304"/>
          <cell r="S7304">
            <v>946.34</v>
          </cell>
          <cell r="X7304" t="str">
            <v>Expenses</v>
          </cell>
        </row>
        <row r="7305">
          <cell r="L7305"/>
          <cell r="S7305">
            <v>-690.39</v>
          </cell>
          <cell r="X7305" t="str">
            <v>Expenses</v>
          </cell>
        </row>
        <row r="7306">
          <cell r="L7306"/>
          <cell r="S7306">
            <v>25551.62</v>
          </cell>
          <cell r="X7306" t="str">
            <v>Expenses</v>
          </cell>
        </row>
        <row r="7307">
          <cell r="L7307"/>
          <cell r="S7307">
            <v>-74424.7</v>
          </cell>
          <cell r="X7307" t="str">
            <v>Expenses</v>
          </cell>
        </row>
        <row r="7308">
          <cell r="L7308"/>
          <cell r="S7308">
            <v>-8530.9699999999993</v>
          </cell>
          <cell r="X7308" t="str">
            <v>Expenses</v>
          </cell>
        </row>
        <row r="7309">
          <cell r="L7309"/>
          <cell r="S7309">
            <v>-10365.73</v>
          </cell>
          <cell r="X7309" t="str">
            <v>Expenses</v>
          </cell>
        </row>
        <row r="7310">
          <cell r="L7310"/>
          <cell r="S7310">
            <v>-10755.15</v>
          </cell>
          <cell r="X7310" t="str">
            <v>Expenses</v>
          </cell>
        </row>
        <row r="7311">
          <cell r="L7311"/>
          <cell r="S7311">
            <v>-11540.86</v>
          </cell>
          <cell r="X7311" t="str">
            <v>Expenses</v>
          </cell>
        </row>
        <row r="7312">
          <cell r="L7312"/>
          <cell r="S7312">
            <v>-12973.71</v>
          </cell>
          <cell r="X7312" t="str">
            <v>Expenses</v>
          </cell>
        </row>
        <row r="7313">
          <cell r="L7313"/>
          <cell r="S7313">
            <v>-12976.38</v>
          </cell>
          <cell r="X7313" t="str">
            <v>Expenses</v>
          </cell>
        </row>
        <row r="7314">
          <cell r="L7314"/>
          <cell r="S7314">
            <v>-15213.74</v>
          </cell>
          <cell r="X7314" t="str">
            <v>Expenses</v>
          </cell>
        </row>
        <row r="7315">
          <cell r="L7315"/>
          <cell r="S7315">
            <v>-17184.37</v>
          </cell>
          <cell r="X7315" t="str">
            <v>Expenses</v>
          </cell>
        </row>
        <row r="7316">
          <cell r="L7316"/>
          <cell r="S7316">
            <v>-17311.060000000001</v>
          </cell>
          <cell r="X7316" t="str">
            <v>Expenses</v>
          </cell>
        </row>
        <row r="7317">
          <cell r="L7317"/>
          <cell r="S7317">
            <v>15086.2</v>
          </cell>
          <cell r="X7317" t="str">
            <v>Expenses</v>
          </cell>
        </row>
        <row r="7318">
          <cell r="L7318"/>
          <cell r="S7318">
            <v>43760.76</v>
          </cell>
          <cell r="X7318" t="str">
            <v>Expenses</v>
          </cell>
        </row>
        <row r="7319">
          <cell r="L7319"/>
          <cell r="S7319">
            <v>1269.3499999999999</v>
          </cell>
          <cell r="X7319" t="str">
            <v>Expenses</v>
          </cell>
        </row>
        <row r="7320">
          <cell r="L7320"/>
          <cell r="S7320">
            <v>1277.47</v>
          </cell>
          <cell r="X7320" t="str">
            <v>Expenses</v>
          </cell>
        </row>
        <row r="7321">
          <cell r="L7321"/>
          <cell r="S7321">
            <v>1368.85</v>
          </cell>
          <cell r="X7321" t="str">
            <v>Expenses</v>
          </cell>
        </row>
        <row r="7322">
          <cell r="L7322"/>
          <cell r="S7322">
            <v>1432.85</v>
          </cell>
          <cell r="X7322" t="str">
            <v>Expenses</v>
          </cell>
        </row>
        <row r="7323">
          <cell r="L7323"/>
          <cell r="S7323">
            <v>1603.95</v>
          </cell>
          <cell r="X7323" t="str">
            <v>Expenses</v>
          </cell>
        </row>
        <row r="7324">
          <cell r="L7324"/>
          <cell r="S7324">
            <v>1604.28</v>
          </cell>
          <cell r="X7324" t="str">
            <v>Expenses</v>
          </cell>
        </row>
        <row r="7325">
          <cell r="L7325"/>
          <cell r="S7325">
            <v>1948.36</v>
          </cell>
          <cell r="X7325" t="str">
            <v>Expenses</v>
          </cell>
        </row>
        <row r="7326">
          <cell r="L7326"/>
          <cell r="S7326">
            <v>2094.2600000000002</v>
          </cell>
          <cell r="X7326" t="str">
            <v>Expenses</v>
          </cell>
        </row>
        <row r="7327">
          <cell r="L7327"/>
          <cell r="S7327">
            <v>2091.2600000000002</v>
          </cell>
          <cell r="X7327" t="str">
            <v>Expenses</v>
          </cell>
        </row>
        <row r="7328">
          <cell r="L7328"/>
          <cell r="S7328">
            <v>213.52</v>
          </cell>
          <cell r="X7328" t="str">
            <v>to check</v>
          </cell>
        </row>
        <row r="7329">
          <cell r="L7329"/>
          <cell r="S7329">
            <v>1573.82</v>
          </cell>
          <cell r="X7329" t="str">
            <v>Expenses</v>
          </cell>
        </row>
        <row r="7330">
          <cell r="L7330"/>
          <cell r="S7330">
            <v>799.44</v>
          </cell>
          <cell r="X7330" t="str">
            <v>Expenses</v>
          </cell>
        </row>
        <row r="7331">
          <cell r="L7331"/>
          <cell r="S7331">
            <v>799.44</v>
          </cell>
          <cell r="X7331" t="str">
            <v>Expenses</v>
          </cell>
        </row>
        <row r="7332">
          <cell r="L7332"/>
          <cell r="S7332">
            <v>74.94</v>
          </cell>
          <cell r="X7332" t="str">
            <v>Expenses</v>
          </cell>
        </row>
        <row r="7333">
          <cell r="L7333"/>
          <cell r="S7333">
            <v>336.12</v>
          </cell>
          <cell r="X7333" t="str">
            <v>Expenses</v>
          </cell>
        </row>
        <row r="7334">
          <cell r="L7334"/>
          <cell r="S7334">
            <v>1549.66</v>
          </cell>
          <cell r="X7334" t="str">
            <v>Expenses</v>
          </cell>
        </row>
        <row r="7335">
          <cell r="L7335"/>
          <cell r="S7335">
            <v>1277.47</v>
          </cell>
          <cell r="X7335" t="str">
            <v>Expenses</v>
          </cell>
        </row>
        <row r="7336">
          <cell r="L7336"/>
          <cell r="S7336">
            <v>636.82000000000005</v>
          </cell>
          <cell r="X7336" t="str">
            <v>Expenses</v>
          </cell>
        </row>
        <row r="7337">
          <cell r="L7337"/>
          <cell r="S7337">
            <v>643.46</v>
          </cell>
          <cell r="X7337" t="str">
            <v>Expenses</v>
          </cell>
        </row>
        <row r="7338">
          <cell r="L7338"/>
          <cell r="S7338">
            <v>179.82</v>
          </cell>
          <cell r="X7338" t="str">
            <v>Expenses</v>
          </cell>
        </row>
        <row r="7339">
          <cell r="L7339"/>
          <cell r="S7339">
            <v>180.98</v>
          </cell>
          <cell r="X7339" t="str">
            <v>Expenses</v>
          </cell>
        </row>
        <row r="7340">
          <cell r="L7340"/>
          <cell r="S7340">
            <v>1876</v>
          </cell>
          <cell r="X7340" t="str">
            <v>Expenses</v>
          </cell>
        </row>
        <row r="7341">
          <cell r="L7341"/>
          <cell r="S7341">
            <v>1876</v>
          </cell>
          <cell r="X7341" t="str">
            <v>Expenses</v>
          </cell>
        </row>
        <row r="7342">
          <cell r="L7342"/>
          <cell r="S7342">
            <v>5932</v>
          </cell>
          <cell r="X7342" t="str">
            <v>Expenses</v>
          </cell>
        </row>
        <row r="7343">
          <cell r="L7343"/>
          <cell r="S7343">
            <v>1876</v>
          </cell>
          <cell r="X7343" t="str">
            <v>Expenses</v>
          </cell>
        </row>
        <row r="7344">
          <cell r="L7344"/>
          <cell r="S7344">
            <v>2214</v>
          </cell>
          <cell r="X7344" t="str">
            <v>Expenses</v>
          </cell>
        </row>
        <row r="7345">
          <cell r="L7345"/>
          <cell r="S7345">
            <v>3752</v>
          </cell>
          <cell r="X7345" t="str">
            <v>Expenses</v>
          </cell>
        </row>
        <row r="7346">
          <cell r="L7346"/>
          <cell r="S7346">
            <v>2356</v>
          </cell>
          <cell r="X7346" t="str">
            <v>Expenses</v>
          </cell>
        </row>
        <row r="7347">
          <cell r="L7347"/>
          <cell r="S7347">
            <v>2356</v>
          </cell>
          <cell r="X7347" t="str">
            <v>Expenses</v>
          </cell>
        </row>
        <row r="7348">
          <cell r="L7348"/>
          <cell r="S7348">
            <v>3112</v>
          </cell>
          <cell r="X7348" t="str">
            <v>Expenses</v>
          </cell>
        </row>
        <row r="7349">
          <cell r="L7349"/>
          <cell r="S7349">
            <v>2155.6</v>
          </cell>
          <cell r="X7349" t="str">
            <v>to check</v>
          </cell>
        </row>
        <row r="7350">
          <cell r="L7350"/>
          <cell r="S7350">
            <v>2075.6</v>
          </cell>
          <cell r="X7350" t="str">
            <v>to check</v>
          </cell>
        </row>
        <row r="7351">
          <cell r="L7351"/>
          <cell r="S7351">
            <v>2344.9299999999998</v>
          </cell>
          <cell r="X7351" t="str">
            <v>to check</v>
          </cell>
        </row>
        <row r="7352">
          <cell r="L7352"/>
          <cell r="S7352">
            <v>2251.29</v>
          </cell>
          <cell r="X7352" t="str">
            <v>to check</v>
          </cell>
        </row>
        <row r="7353">
          <cell r="L7353"/>
          <cell r="S7353">
            <v>2251.29</v>
          </cell>
          <cell r="X7353" t="str">
            <v>to check</v>
          </cell>
        </row>
        <row r="7354">
          <cell r="L7354"/>
          <cell r="S7354">
            <v>2560.89</v>
          </cell>
          <cell r="X7354" t="str">
            <v>to check</v>
          </cell>
        </row>
        <row r="7355">
          <cell r="L7355"/>
          <cell r="S7355">
            <v>1217.1099999999999</v>
          </cell>
          <cell r="X7355" t="str">
            <v>Expenses</v>
          </cell>
        </row>
        <row r="7356">
          <cell r="L7356"/>
          <cell r="S7356">
            <v>327.08999999999997</v>
          </cell>
          <cell r="X7356" t="str">
            <v>Expenses</v>
          </cell>
        </row>
        <row r="7357">
          <cell r="L7357"/>
          <cell r="S7357">
            <v>6.21</v>
          </cell>
          <cell r="X7357" t="str">
            <v>Expenses</v>
          </cell>
        </row>
        <row r="7358">
          <cell r="L7358"/>
          <cell r="S7358">
            <v>452.93</v>
          </cell>
          <cell r="X7358" t="str">
            <v>Expenses</v>
          </cell>
        </row>
        <row r="7359">
          <cell r="L7359"/>
          <cell r="S7359">
            <v>7.78</v>
          </cell>
          <cell r="X7359" t="str">
            <v>Expenses</v>
          </cell>
        </row>
        <row r="7360">
          <cell r="L7360"/>
          <cell r="S7360">
            <v>58.66</v>
          </cell>
          <cell r="X7360" t="str">
            <v>Expenses</v>
          </cell>
        </row>
        <row r="7361">
          <cell r="L7361"/>
          <cell r="S7361">
            <v>85.86</v>
          </cell>
          <cell r="X7361" t="str">
            <v>Expenses</v>
          </cell>
        </row>
        <row r="7362">
          <cell r="L7362"/>
          <cell r="S7362">
            <v>19.84</v>
          </cell>
          <cell r="X7362" t="str">
            <v>Expenses</v>
          </cell>
        </row>
        <row r="7363">
          <cell r="L7363"/>
          <cell r="S7363">
            <v>386.86</v>
          </cell>
          <cell r="X7363" t="str">
            <v>Expenses</v>
          </cell>
        </row>
        <row r="7364">
          <cell r="L7364"/>
          <cell r="S7364">
            <v>251.54</v>
          </cell>
          <cell r="X7364" t="str">
            <v>Expenses</v>
          </cell>
        </row>
        <row r="7365">
          <cell r="L7365"/>
          <cell r="S7365">
            <v>157.21</v>
          </cell>
          <cell r="X7365" t="str">
            <v>Expenses</v>
          </cell>
        </row>
        <row r="7366">
          <cell r="L7366"/>
          <cell r="S7366">
            <v>184.47</v>
          </cell>
          <cell r="X7366" t="str">
            <v>Expenses</v>
          </cell>
        </row>
        <row r="7367">
          <cell r="L7367"/>
          <cell r="S7367">
            <v>207.99</v>
          </cell>
          <cell r="X7367" t="str">
            <v>Expenses</v>
          </cell>
        </row>
        <row r="7368">
          <cell r="L7368"/>
          <cell r="S7368">
            <v>84553</v>
          </cell>
          <cell r="X7368" t="str">
            <v>Expenses</v>
          </cell>
        </row>
        <row r="7369">
          <cell r="L7369"/>
          <cell r="S7369">
            <v>-84553</v>
          </cell>
          <cell r="X7369" t="str">
            <v>Expenses</v>
          </cell>
        </row>
        <row r="7370">
          <cell r="L7370"/>
          <cell r="S7370">
            <v>169106</v>
          </cell>
          <cell r="X7370" t="str">
            <v>Expenses</v>
          </cell>
        </row>
        <row r="7371">
          <cell r="L7371"/>
          <cell r="S7371">
            <v>64528</v>
          </cell>
          <cell r="X7371" t="str">
            <v>Expenses</v>
          </cell>
        </row>
        <row r="7372">
          <cell r="L7372"/>
          <cell r="S7372">
            <v>-253659</v>
          </cell>
          <cell r="X7372" t="str">
            <v>Expenses</v>
          </cell>
        </row>
        <row r="7373">
          <cell r="L7373"/>
          <cell r="S7373">
            <v>1519581</v>
          </cell>
          <cell r="X7373" t="str">
            <v>Expenses</v>
          </cell>
        </row>
        <row r="7374">
          <cell r="L7374"/>
          <cell r="S7374">
            <v>383147</v>
          </cell>
          <cell r="X7374" t="str">
            <v>Expenses</v>
          </cell>
        </row>
        <row r="7375">
          <cell r="L7375"/>
          <cell r="S7375">
            <v>8.18</v>
          </cell>
          <cell r="X7375" t="str">
            <v>Expenses</v>
          </cell>
        </row>
        <row r="7376">
          <cell r="L7376"/>
          <cell r="S7376">
            <v>245.43</v>
          </cell>
          <cell r="X7376" t="str">
            <v>Expenses</v>
          </cell>
        </row>
        <row r="7377">
          <cell r="L7377"/>
          <cell r="S7377">
            <v>245.43</v>
          </cell>
          <cell r="X7377" t="str">
            <v>Expenses</v>
          </cell>
        </row>
        <row r="7378">
          <cell r="L7378"/>
          <cell r="S7378">
            <v>245.43</v>
          </cell>
          <cell r="X7378" t="str">
            <v>Expenses</v>
          </cell>
        </row>
        <row r="7379">
          <cell r="L7379"/>
          <cell r="S7379">
            <v>245.43</v>
          </cell>
          <cell r="X7379" t="str">
            <v>Expenses</v>
          </cell>
        </row>
        <row r="7380">
          <cell r="L7380"/>
          <cell r="S7380">
            <v>245.43</v>
          </cell>
          <cell r="X7380" t="str">
            <v>Expenses</v>
          </cell>
        </row>
        <row r="7381">
          <cell r="L7381"/>
          <cell r="S7381">
            <v>245.43</v>
          </cell>
          <cell r="X7381" t="str">
            <v>Expenses</v>
          </cell>
        </row>
        <row r="7382">
          <cell r="L7382"/>
          <cell r="S7382">
            <v>245.43</v>
          </cell>
          <cell r="X7382" t="str">
            <v>Expenses</v>
          </cell>
        </row>
        <row r="7383">
          <cell r="L7383"/>
          <cell r="S7383">
            <v>245.43</v>
          </cell>
          <cell r="X7383" t="str">
            <v>Expenses</v>
          </cell>
        </row>
        <row r="7384">
          <cell r="L7384"/>
          <cell r="S7384">
            <v>30.35</v>
          </cell>
          <cell r="X7384" t="str">
            <v>Expenses</v>
          </cell>
        </row>
        <row r="7385">
          <cell r="L7385"/>
          <cell r="S7385">
            <v>17.61</v>
          </cell>
          <cell r="X7385" t="str">
            <v>Expenses</v>
          </cell>
        </row>
        <row r="7386">
          <cell r="L7386"/>
          <cell r="S7386">
            <v>240.89</v>
          </cell>
          <cell r="X7386" t="str">
            <v>Expenses</v>
          </cell>
        </row>
        <row r="7387">
          <cell r="L7387"/>
          <cell r="S7387">
            <v>528.28</v>
          </cell>
          <cell r="X7387" t="str">
            <v>Expenses</v>
          </cell>
        </row>
        <row r="7388">
          <cell r="L7388"/>
          <cell r="S7388">
            <v>240.89</v>
          </cell>
          <cell r="X7388" t="str">
            <v>Expenses</v>
          </cell>
        </row>
        <row r="7389">
          <cell r="L7389"/>
          <cell r="S7389">
            <v>528.28</v>
          </cell>
          <cell r="X7389" t="str">
            <v>Expenses</v>
          </cell>
        </row>
        <row r="7390">
          <cell r="L7390"/>
          <cell r="S7390">
            <v>240.89</v>
          </cell>
          <cell r="X7390" t="str">
            <v>Expenses</v>
          </cell>
        </row>
        <row r="7391">
          <cell r="L7391"/>
          <cell r="S7391">
            <v>247.48</v>
          </cell>
          <cell r="X7391" t="str">
            <v>Expenses</v>
          </cell>
        </row>
        <row r="7392">
          <cell r="L7392"/>
          <cell r="S7392">
            <v>528.28</v>
          </cell>
          <cell r="X7392" t="str">
            <v>Expenses</v>
          </cell>
        </row>
        <row r="7393">
          <cell r="L7393"/>
          <cell r="S7393">
            <v>528.28</v>
          </cell>
          <cell r="X7393" t="str">
            <v>Expenses</v>
          </cell>
        </row>
        <row r="7394">
          <cell r="L7394"/>
          <cell r="S7394">
            <v>438.72</v>
          </cell>
          <cell r="X7394" t="str">
            <v>Expenses</v>
          </cell>
        </row>
        <row r="7395">
          <cell r="L7395"/>
          <cell r="S7395">
            <v>438.72</v>
          </cell>
          <cell r="X7395" t="str">
            <v>Expenses</v>
          </cell>
        </row>
        <row r="7396">
          <cell r="L7396"/>
          <cell r="S7396">
            <v>528.28</v>
          </cell>
          <cell r="X7396" t="str">
            <v>Expenses</v>
          </cell>
        </row>
        <row r="7397">
          <cell r="L7397"/>
          <cell r="S7397">
            <v>379.71</v>
          </cell>
          <cell r="X7397" t="str">
            <v>Expenses</v>
          </cell>
        </row>
        <row r="7398">
          <cell r="L7398"/>
          <cell r="S7398">
            <v>197.83</v>
          </cell>
          <cell r="X7398" t="str">
            <v>Expenses</v>
          </cell>
        </row>
        <row r="7399">
          <cell r="L7399"/>
          <cell r="S7399">
            <v>528.28</v>
          </cell>
          <cell r="X7399" t="str">
            <v>Expenses</v>
          </cell>
        </row>
        <row r="7400">
          <cell r="L7400"/>
          <cell r="S7400">
            <v>380.18</v>
          </cell>
          <cell r="X7400" t="str">
            <v>Expenses</v>
          </cell>
        </row>
        <row r="7401">
          <cell r="L7401"/>
          <cell r="S7401">
            <v>528.28</v>
          </cell>
          <cell r="X7401" t="str">
            <v>Expenses</v>
          </cell>
        </row>
        <row r="7402">
          <cell r="L7402"/>
          <cell r="S7402">
            <v>197.83</v>
          </cell>
          <cell r="X7402" t="str">
            <v>Expenses</v>
          </cell>
        </row>
        <row r="7403">
          <cell r="L7403"/>
          <cell r="S7403">
            <v>197.83</v>
          </cell>
          <cell r="X7403" t="str">
            <v>Expenses</v>
          </cell>
        </row>
        <row r="7404">
          <cell r="L7404"/>
          <cell r="S7404">
            <v>528.28</v>
          </cell>
          <cell r="X7404" t="str">
            <v>Expenses</v>
          </cell>
        </row>
        <row r="7405">
          <cell r="L7405"/>
          <cell r="S7405">
            <v>393.77</v>
          </cell>
          <cell r="X7405" t="str">
            <v>Expenses</v>
          </cell>
        </row>
        <row r="7406">
          <cell r="L7406"/>
          <cell r="S7406">
            <v>1.19</v>
          </cell>
          <cell r="X7406" t="str">
            <v>Expenses</v>
          </cell>
        </row>
        <row r="7407">
          <cell r="L7407"/>
          <cell r="S7407">
            <v>35.700000000000003</v>
          </cell>
          <cell r="X7407" t="str">
            <v>Expenses</v>
          </cell>
        </row>
        <row r="7408">
          <cell r="L7408"/>
          <cell r="S7408">
            <v>35.700000000000003</v>
          </cell>
          <cell r="X7408" t="str">
            <v>Expenses</v>
          </cell>
        </row>
        <row r="7409">
          <cell r="L7409"/>
          <cell r="S7409">
            <v>2.21</v>
          </cell>
          <cell r="X7409" t="str">
            <v>Expenses</v>
          </cell>
        </row>
        <row r="7410">
          <cell r="L7410"/>
          <cell r="S7410">
            <v>35.700000000000003</v>
          </cell>
          <cell r="X7410" t="str">
            <v>Expenses</v>
          </cell>
        </row>
        <row r="7411">
          <cell r="L7411"/>
          <cell r="S7411">
            <v>35.700000000000003</v>
          </cell>
          <cell r="X7411" t="str">
            <v>Expenses</v>
          </cell>
        </row>
        <row r="7412">
          <cell r="L7412"/>
          <cell r="S7412">
            <v>66.44</v>
          </cell>
          <cell r="X7412" t="str">
            <v>Expenses</v>
          </cell>
        </row>
        <row r="7413">
          <cell r="L7413"/>
          <cell r="S7413">
            <v>35.700000000000003</v>
          </cell>
          <cell r="X7413" t="str">
            <v>Expenses</v>
          </cell>
        </row>
        <row r="7414">
          <cell r="L7414"/>
          <cell r="S7414">
            <v>66.44</v>
          </cell>
          <cell r="X7414" t="str">
            <v>Expenses</v>
          </cell>
        </row>
        <row r="7415">
          <cell r="L7415"/>
          <cell r="S7415">
            <v>66.44</v>
          </cell>
          <cell r="X7415" t="str">
            <v>Expenses</v>
          </cell>
        </row>
        <row r="7416">
          <cell r="L7416"/>
          <cell r="S7416">
            <v>11.62</v>
          </cell>
          <cell r="X7416" t="str">
            <v>Expenses</v>
          </cell>
        </row>
        <row r="7417">
          <cell r="L7417"/>
          <cell r="S7417">
            <v>35.700000000000003</v>
          </cell>
          <cell r="X7417" t="str">
            <v>Expenses</v>
          </cell>
        </row>
        <row r="7418">
          <cell r="L7418"/>
          <cell r="S7418">
            <v>348.48</v>
          </cell>
          <cell r="X7418" t="str">
            <v>Expenses</v>
          </cell>
        </row>
        <row r="7419">
          <cell r="L7419"/>
          <cell r="S7419">
            <v>66.44</v>
          </cell>
          <cell r="X7419" t="str">
            <v>Expenses</v>
          </cell>
        </row>
        <row r="7420">
          <cell r="L7420"/>
          <cell r="S7420">
            <v>35.700000000000003</v>
          </cell>
          <cell r="X7420" t="str">
            <v>Expenses</v>
          </cell>
        </row>
        <row r="7421">
          <cell r="L7421"/>
          <cell r="S7421">
            <v>66.44</v>
          </cell>
          <cell r="X7421" t="str">
            <v>Expenses</v>
          </cell>
        </row>
        <row r="7422">
          <cell r="L7422"/>
          <cell r="S7422">
            <v>348.48</v>
          </cell>
          <cell r="X7422" t="str">
            <v>Expenses</v>
          </cell>
        </row>
        <row r="7423">
          <cell r="L7423"/>
          <cell r="S7423">
            <v>35.700000000000003</v>
          </cell>
          <cell r="X7423" t="str">
            <v>Expenses</v>
          </cell>
        </row>
        <row r="7424">
          <cell r="L7424"/>
          <cell r="S7424">
            <v>71.36</v>
          </cell>
          <cell r="X7424" t="str">
            <v>Expenses</v>
          </cell>
        </row>
        <row r="7425">
          <cell r="L7425"/>
          <cell r="S7425">
            <v>192.27</v>
          </cell>
          <cell r="X7425" t="str">
            <v>Expenses</v>
          </cell>
        </row>
        <row r="7426">
          <cell r="L7426"/>
          <cell r="S7426">
            <v>192.38</v>
          </cell>
          <cell r="X7426" t="str">
            <v>Expenses</v>
          </cell>
        </row>
        <row r="7427">
          <cell r="L7427"/>
          <cell r="S7427">
            <v>60.54</v>
          </cell>
          <cell r="X7427" t="str">
            <v>Expenses</v>
          </cell>
        </row>
        <row r="7428">
          <cell r="L7428"/>
          <cell r="S7428">
            <v>12.22</v>
          </cell>
          <cell r="X7428" t="str">
            <v>Expenses</v>
          </cell>
        </row>
        <row r="7429">
          <cell r="L7429"/>
          <cell r="S7429">
            <v>150.91</v>
          </cell>
          <cell r="X7429" t="str">
            <v>Expenses</v>
          </cell>
        </row>
        <row r="7430">
          <cell r="L7430" t="str">
            <v>Non-proportional</v>
          </cell>
          <cell r="S7430">
            <v>-58.2</v>
          </cell>
          <cell r="X7430" t="str">
            <v>Expenses</v>
          </cell>
          <cell r="Y7430" t="str">
            <v>AUSTRALIA</v>
          </cell>
        </row>
        <row r="7431">
          <cell r="L7431" t="str">
            <v>Non-proportional</v>
          </cell>
          <cell r="S7431">
            <v>1.39</v>
          </cell>
          <cell r="X7431" t="str">
            <v>Expenses</v>
          </cell>
          <cell r="Y7431" t="str">
            <v>AUSTRALIA</v>
          </cell>
        </row>
        <row r="7432">
          <cell r="L7432" t="str">
            <v>Non-proportional</v>
          </cell>
          <cell r="S7432">
            <v>-517.59</v>
          </cell>
          <cell r="X7432" t="str">
            <v>Expenses</v>
          </cell>
          <cell r="Y7432" t="str">
            <v>AUSTRALIA</v>
          </cell>
        </row>
        <row r="7433">
          <cell r="L7433" t="str">
            <v>Non-proportional</v>
          </cell>
          <cell r="S7433">
            <v>-1804.18</v>
          </cell>
          <cell r="X7433" t="str">
            <v>Expenses</v>
          </cell>
          <cell r="Y7433" t="str">
            <v>AUSTRALIA</v>
          </cell>
        </row>
        <row r="7434">
          <cell r="L7434" t="str">
            <v>Non-proportional</v>
          </cell>
          <cell r="S7434">
            <v>1804.18</v>
          </cell>
          <cell r="X7434" t="str">
            <v>Expenses</v>
          </cell>
          <cell r="Y7434" t="str">
            <v>AUSTRALIA</v>
          </cell>
        </row>
        <row r="7435">
          <cell r="L7435" t="str">
            <v>Non-proportional</v>
          </cell>
          <cell r="S7435">
            <v>1535.94</v>
          </cell>
          <cell r="X7435" t="str">
            <v>Expenses</v>
          </cell>
          <cell r="Y7435" t="str">
            <v>AUSTRALIA</v>
          </cell>
        </row>
        <row r="7436">
          <cell r="L7436" t="str">
            <v>Non-proportional</v>
          </cell>
          <cell r="S7436">
            <v>110.16</v>
          </cell>
          <cell r="X7436" t="str">
            <v>Expenses</v>
          </cell>
          <cell r="Y7436" t="str">
            <v>AUSTRALIA</v>
          </cell>
        </row>
        <row r="7437">
          <cell r="L7437" t="str">
            <v>Non-proportional</v>
          </cell>
          <cell r="S7437">
            <v>728.99</v>
          </cell>
          <cell r="X7437" t="str">
            <v>Expenses</v>
          </cell>
          <cell r="Y7437" t="str">
            <v>AUSTRALIA</v>
          </cell>
        </row>
        <row r="7438">
          <cell r="L7438" t="str">
            <v>Non-proportional</v>
          </cell>
          <cell r="S7438">
            <v>2255.23</v>
          </cell>
          <cell r="X7438" t="str">
            <v>Expenses</v>
          </cell>
          <cell r="Y7438" t="str">
            <v>AUSTRALIA</v>
          </cell>
        </row>
        <row r="7439">
          <cell r="L7439" t="str">
            <v>Non-proportional</v>
          </cell>
          <cell r="S7439">
            <v>8.86</v>
          </cell>
          <cell r="X7439" t="str">
            <v>Expenses</v>
          </cell>
          <cell r="Y7439" t="str">
            <v>AUSTRALIA</v>
          </cell>
        </row>
        <row r="7440">
          <cell r="L7440" t="str">
            <v>Non-proportional</v>
          </cell>
          <cell r="S7440">
            <v>700.77</v>
          </cell>
          <cell r="X7440" t="str">
            <v>Expenses</v>
          </cell>
          <cell r="Y7440" t="str">
            <v>AUSTRALIA</v>
          </cell>
        </row>
        <row r="7441">
          <cell r="L7441" t="str">
            <v>Non-proportional</v>
          </cell>
          <cell r="S7441">
            <v>-700.77</v>
          </cell>
          <cell r="X7441" t="str">
            <v>Expenses</v>
          </cell>
          <cell r="Y7441" t="str">
            <v>AUSTRALIA</v>
          </cell>
        </row>
        <row r="7442">
          <cell r="L7442" t="str">
            <v>Non-proportional</v>
          </cell>
          <cell r="S7442">
            <v>-26.13</v>
          </cell>
          <cell r="X7442" t="str">
            <v>Expenses</v>
          </cell>
          <cell r="Y7442" t="str">
            <v>AUSTRALIA</v>
          </cell>
        </row>
        <row r="7443">
          <cell r="L7443" t="str">
            <v>Non-proportional</v>
          </cell>
          <cell r="S7443">
            <v>1300</v>
          </cell>
          <cell r="X7443" t="str">
            <v>Expenses</v>
          </cell>
          <cell r="Y7443" t="str">
            <v>AUSTRALIA</v>
          </cell>
        </row>
        <row r="7444">
          <cell r="L7444" t="str">
            <v>Non-proportional</v>
          </cell>
          <cell r="S7444">
            <v>585.65</v>
          </cell>
          <cell r="X7444" t="str">
            <v>Expenses</v>
          </cell>
          <cell r="Y7444" t="str">
            <v>AUSTRALIA</v>
          </cell>
        </row>
        <row r="7445">
          <cell r="L7445" t="str">
            <v>Non-proportional</v>
          </cell>
          <cell r="S7445">
            <v>-1.39</v>
          </cell>
          <cell r="X7445" t="str">
            <v>Expenses</v>
          </cell>
          <cell r="Y7445" t="str">
            <v>AUSTRALIA</v>
          </cell>
        </row>
        <row r="7446">
          <cell r="L7446" t="str">
            <v>Non-proportional</v>
          </cell>
          <cell r="S7446">
            <v>-79.260000000000005</v>
          </cell>
          <cell r="X7446" t="str">
            <v>Expenses</v>
          </cell>
          <cell r="Y7446" t="str">
            <v>AUSTRALIA</v>
          </cell>
        </row>
        <row r="7447">
          <cell r="L7447" t="str">
            <v>Non-proportional</v>
          </cell>
          <cell r="S7447">
            <v>-309.49</v>
          </cell>
          <cell r="X7447" t="str">
            <v>Expenses</v>
          </cell>
          <cell r="Y7447" t="str">
            <v>AUSTRALIA</v>
          </cell>
        </row>
        <row r="7448">
          <cell r="L7448" t="str">
            <v>Non-proportional</v>
          </cell>
          <cell r="S7448">
            <v>79.260000000000005</v>
          </cell>
          <cell r="X7448" t="str">
            <v>Expenses</v>
          </cell>
          <cell r="Y7448" t="str">
            <v>AUSTRALIA</v>
          </cell>
        </row>
        <row r="7449">
          <cell r="L7449" t="str">
            <v>Non-proportional</v>
          </cell>
          <cell r="S7449">
            <v>309.49</v>
          </cell>
          <cell r="X7449" t="str">
            <v>Expenses</v>
          </cell>
          <cell r="Y7449" t="str">
            <v>AUSTRALIA</v>
          </cell>
        </row>
        <row r="7450">
          <cell r="L7450" t="str">
            <v>Non-proportional</v>
          </cell>
          <cell r="S7450">
            <v>-8.86</v>
          </cell>
          <cell r="X7450" t="str">
            <v>Expenses</v>
          </cell>
          <cell r="Y7450" t="str">
            <v>AUSTRALIA</v>
          </cell>
        </row>
        <row r="7451">
          <cell r="L7451" t="str">
            <v>Non-proportional</v>
          </cell>
          <cell r="S7451">
            <v>41.17</v>
          </cell>
          <cell r="X7451" t="str">
            <v>Expenses</v>
          </cell>
          <cell r="Y7451" t="str">
            <v>AUSTRALIA</v>
          </cell>
        </row>
        <row r="7452">
          <cell r="L7452" t="str">
            <v>Non-proportional</v>
          </cell>
          <cell r="S7452">
            <v>-728.99</v>
          </cell>
          <cell r="X7452" t="str">
            <v>Expenses</v>
          </cell>
          <cell r="Y7452" t="str">
            <v>AUSTRALIA</v>
          </cell>
        </row>
        <row r="7453">
          <cell r="L7453" t="str">
            <v>Non-proportional</v>
          </cell>
          <cell r="S7453">
            <v>517.59</v>
          </cell>
          <cell r="X7453" t="str">
            <v>Expenses</v>
          </cell>
          <cell r="Y7453" t="str">
            <v>AUSTRALIA</v>
          </cell>
        </row>
        <row r="7454">
          <cell r="L7454" t="str">
            <v>Non-proportional</v>
          </cell>
          <cell r="S7454">
            <v>-41.17</v>
          </cell>
          <cell r="X7454" t="str">
            <v>Expenses</v>
          </cell>
          <cell r="Y7454" t="str">
            <v>AUSTRALIA</v>
          </cell>
        </row>
        <row r="7455">
          <cell r="L7455" t="str">
            <v>Non-proportional</v>
          </cell>
          <cell r="S7455">
            <v>875.97</v>
          </cell>
          <cell r="X7455" t="str">
            <v>Expenses</v>
          </cell>
          <cell r="Y7455" t="str">
            <v>AUSTRALIA</v>
          </cell>
        </row>
        <row r="7456">
          <cell r="L7456" t="str">
            <v>Non-proportional</v>
          </cell>
          <cell r="S7456">
            <v>-585.65</v>
          </cell>
          <cell r="X7456" t="str">
            <v>Expenses</v>
          </cell>
          <cell r="Y7456" t="str">
            <v>AUSTRALIA</v>
          </cell>
        </row>
        <row r="7457">
          <cell r="L7457" t="str">
            <v>Non-proportional</v>
          </cell>
          <cell r="S7457">
            <v>26.13</v>
          </cell>
          <cell r="X7457" t="str">
            <v>Expenses</v>
          </cell>
          <cell r="Y7457" t="str">
            <v>AUSTRALIA</v>
          </cell>
        </row>
        <row r="7458">
          <cell r="L7458" t="str">
            <v>Non-proportional</v>
          </cell>
          <cell r="S7458">
            <v>58.2</v>
          </cell>
          <cell r="X7458" t="str">
            <v>Expenses</v>
          </cell>
          <cell r="Y7458" t="str">
            <v>AUSTRALIA</v>
          </cell>
        </row>
        <row r="7459">
          <cell r="L7459" t="str">
            <v>Non-proportional</v>
          </cell>
          <cell r="S7459">
            <v>-175.86</v>
          </cell>
          <cell r="X7459" t="str">
            <v>Expenses</v>
          </cell>
          <cell r="Y7459" t="str">
            <v>WORLDWIDE</v>
          </cell>
        </row>
        <row r="7460">
          <cell r="L7460" t="str">
            <v>Non-proportional</v>
          </cell>
          <cell r="S7460">
            <v>63.13</v>
          </cell>
          <cell r="X7460" t="str">
            <v>Expenses</v>
          </cell>
          <cell r="Y7460" t="str">
            <v>WORLDWIDE</v>
          </cell>
        </row>
        <row r="7461">
          <cell r="L7461" t="str">
            <v>Non-proportional</v>
          </cell>
          <cell r="S7461">
            <v>175.86</v>
          </cell>
          <cell r="X7461" t="str">
            <v>Expenses</v>
          </cell>
          <cell r="Y7461" t="str">
            <v>WORLDWIDE</v>
          </cell>
        </row>
        <row r="7462">
          <cell r="L7462" t="str">
            <v>Non-proportional</v>
          </cell>
          <cell r="S7462">
            <v>57</v>
          </cell>
          <cell r="X7462" t="str">
            <v>Expenses</v>
          </cell>
          <cell r="Y7462" t="str">
            <v>WORLDWIDE</v>
          </cell>
        </row>
        <row r="7463">
          <cell r="L7463" t="str">
            <v>Non-proportional</v>
          </cell>
          <cell r="S7463">
            <v>130.36000000000001</v>
          </cell>
          <cell r="X7463" t="str">
            <v>Expenses</v>
          </cell>
          <cell r="Y7463" t="str">
            <v>WORLDWIDE</v>
          </cell>
        </row>
        <row r="7464">
          <cell r="L7464" t="str">
            <v>Non-proportional</v>
          </cell>
          <cell r="S7464">
            <v>427.48</v>
          </cell>
          <cell r="X7464" t="str">
            <v>Expenses</v>
          </cell>
          <cell r="Y7464" t="str">
            <v>WORLDWIDE</v>
          </cell>
        </row>
        <row r="7465">
          <cell r="L7465" t="str">
            <v>Non-proportional</v>
          </cell>
          <cell r="S7465">
            <v>-427.48</v>
          </cell>
          <cell r="X7465" t="str">
            <v>Expenses</v>
          </cell>
          <cell r="Y7465" t="str">
            <v>WORLDWIDE</v>
          </cell>
        </row>
        <row r="7466">
          <cell r="L7466" t="str">
            <v>Non-proportional</v>
          </cell>
          <cell r="S7466">
            <v>194.79</v>
          </cell>
          <cell r="X7466" t="str">
            <v>Expenses</v>
          </cell>
          <cell r="Y7466" t="str">
            <v>WORLDWIDE</v>
          </cell>
        </row>
        <row r="7467">
          <cell r="L7467" t="str">
            <v>Non-proportional</v>
          </cell>
          <cell r="S7467">
            <v>-57</v>
          </cell>
          <cell r="X7467" t="str">
            <v>Expenses</v>
          </cell>
          <cell r="Y7467" t="str">
            <v>WORLDWIDE</v>
          </cell>
        </row>
        <row r="7468">
          <cell r="L7468" t="str">
            <v>Non-proportional</v>
          </cell>
          <cell r="S7468">
            <v>473.47</v>
          </cell>
          <cell r="X7468" t="str">
            <v>Expenses</v>
          </cell>
          <cell r="Y7468" t="str">
            <v>WORLDWIDE</v>
          </cell>
        </row>
        <row r="7469">
          <cell r="L7469" t="str">
            <v>Non-proportional</v>
          </cell>
          <cell r="S7469">
            <v>-129.94999999999999</v>
          </cell>
          <cell r="X7469" t="str">
            <v>Expenses</v>
          </cell>
          <cell r="Y7469" t="str">
            <v>WORLDWIDE</v>
          </cell>
        </row>
        <row r="7470">
          <cell r="L7470" t="str">
            <v>Non-proportional</v>
          </cell>
          <cell r="S7470">
            <v>129.94999999999999</v>
          </cell>
          <cell r="X7470" t="str">
            <v>Expenses</v>
          </cell>
          <cell r="Y7470" t="str">
            <v>WORLDWIDE</v>
          </cell>
        </row>
        <row r="7471">
          <cell r="L7471" t="str">
            <v>Non-proportional</v>
          </cell>
          <cell r="S7471">
            <v>505.08</v>
          </cell>
          <cell r="X7471" t="str">
            <v>Expenses</v>
          </cell>
          <cell r="Y7471" t="str">
            <v>UNITED STATES</v>
          </cell>
        </row>
        <row r="7472">
          <cell r="L7472" t="str">
            <v>Non-proportional</v>
          </cell>
          <cell r="S7472">
            <v>505.08</v>
          </cell>
          <cell r="X7472" t="str">
            <v>Expenses</v>
          </cell>
          <cell r="Y7472" t="str">
            <v>UNITED STATES</v>
          </cell>
        </row>
        <row r="7473">
          <cell r="L7473" t="str">
            <v>Non-proportional</v>
          </cell>
          <cell r="S7473">
            <v>381.44</v>
          </cell>
          <cell r="X7473" t="str">
            <v>Expenses</v>
          </cell>
          <cell r="Y7473" t="str">
            <v>UNITED STATES</v>
          </cell>
        </row>
        <row r="7474">
          <cell r="L7474" t="str">
            <v>Non-proportional</v>
          </cell>
          <cell r="S7474">
            <v>-505.08</v>
          </cell>
          <cell r="X7474" t="str">
            <v>Expenses</v>
          </cell>
          <cell r="Y7474" t="str">
            <v>UNITED STATES</v>
          </cell>
        </row>
        <row r="7475">
          <cell r="L7475" t="str">
            <v>Non-proportional</v>
          </cell>
          <cell r="S7475">
            <v>381.33</v>
          </cell>
          <cell r="X7475" t="str">
            <v>Expenses</v>
          </cell>
          <cell r="Y7475" t="str">
            <v>UNITED STATES</v>
          </cell>
        </row>
        <row r="7476">
          <cell r="L7476" t="str">
            <v>Non-proportional</v>
          </cell>
          <cell r="S7476">
            <v>505.08</v>
          </cell>
          <cell r="X7476" t="str">
            <v>Expenses</v>
          </cell>
          <cell r="Y7476" t="str">
            <v>UNITED STATES</v>
          </cell>
        </row>
        <row r="7477">
          <cell r="L7477" t="str">
            <v>Non-proportional</v>
          </cell>
          <cell r="S7477">
            <v>-381.33</v>
          </cell>
          <cell r="X7477" t="str">
            <v>Expenses</v>
          </cell>
          <cell r="Y7477" t="str">
            <v>UNITED STATES</v>
          </cell>
        </row>
        <row r="7478">
          <cell r="L7478" t="str">
            <v>Non-proportional</v>
          </cell>
          <cell r="S7478">
            <v>-505.08</v>
          </cell>
          <cell r="X7478" t="str">
            <v>Expenses</v>
          </cell>
          <cell r="Y7478" t="str">
            <v>UNITED STATES</v>
          </cell>
        </row>
        <row r="7479">
          <cell r="L7479" t="str">
            <v>Non-proportional</v>
          </cell>
          <cell r="S7479">
            <v>-1399.36</v>
          </cell>
          <cell r="X7479" t="str">
            <v>Expenses</v>
          </cell>
          <cell r="Y7479" t="str">
            <v>AUSTRALIA</v>
          </cell>
        </row>
        <row r="7480">
          <cell r="L7480" t="str">
            <v>Non-proportional</v>
          </cell>
          <cell r="S7480">
            <v>-798.08</v>
          </cell>
          <cell r="X7480" t="str">
            <v>Expenses</v>
          </cell>
          <cell r="Y7480" t="str">
            <v>AUSTRALIA</v>
          </cell>
        </row>
        <row r="7481">
          <cell r="L7481" t="str">
            <v>Non-proportional</v>
          </cell>
          <cell r="S7481">
            <v>-100.36</v>
          </cell>
          <cell r="X7481" t="str">
            <v>Expenses</v>
          </cell>
          <cell r="Y7481" t="str">
            <v>AUSTRALIA</v>
          </cell>
        </row>
        <row r="7482">
          <cell r="L7482" t="str">
            <v>Non-proportional</v>
          </cell>
          <cell r="S7482">
            <v>186.79</v>
          </cell>
          <cell r="X7482" t="str">
            <v>Expenses</v>
          </cell>
          <cell r="Y7482" t="str">
            <v>AUSTRALIA</v>
          </cell>
        </row>
        <row r="7483">
          <cell r="L7483" t="str">
            <v>Non-proportional</v>
          </cell>
          <cell r="S7483">
            <v>-1184.4000000000001</v>
          </cell>
          <cell r="X7483" t="str">
            <v>Expenses</v>
          </cell>
          <cell r="Y7483" t="str">
            <v>AUSTRALIA</v>
          </cell>
        </row>
        <row r="7484">
          <cell r="L7484" t="str">
            <v>Non-proportional</v>
          </cell>
          <cell r="S7484">
            <v>107.67</v>
          </cell>
          <cell r="X7484" t="str">
            <v>Expenses</v>
          </cell>
          <cell r="Y7484" t="str">
            <v>AUSTRALIA</v>
          </cell>
        </row>
        <row r="7485">
          <cell r="L7485" t="str">
            <v>Non-proportional</v>
          </cell>
          <cell r="S7485">
            <v>-2054.69</v>
          </cell>
          <cell r="X7485" t="str">
            <v>Expenses</v>
          </cell>
          <cell r="Y7485" t="str">
            <v>AUSTRALIA</v>
          </cell>
        </row>
        <row r="7486">
          <cell r="L7486" t="str">
            <v>Non-proportional</v>
          </cell>
          <cell r="S7486">
            <v>9.1300000000000008</v>
          </cell>
          <cell r="X7486" t="str">
            <v>Expenses</v>
          </cell>
          <cell r="Y7486" t="str">
            <v>AUSTRALIA</v>
          </cell>
        </row>
        <row r="7487">
          <cell r="L7487" t="str">
            <v>Non-proportional</v>
          </cell>
          <cell r="S7487">
            <v>127.21</v>
          </cell>
          <cell r="X7487" t="str">
            <v>Expenses</v>
          </cell>
          <cell r="Y7487" t="str">
            <v>AUSTRALIA</v>
          </cell>
        </row>
        <row r="7488">
          <cell r="L7488" t="str">
            <v>Non-proportional</v>
          </cell>
          <cell r="S7488">
            <v>72.55</v>
          </cell>
          <cell r="X7488" t="str">
            <v>Expenses</v>
          </cell>
          <cell r="Y7488" t="str">
            <v>AUSTRALIA</v>
          </cell>
        </row>
        <row r="7489">
          <cell r="L7489" t="str">
            <v>Non-proportional</v>
          </cell>
          <cell r="S7489">
            <v>108.34</v>
          </cell>
          <cell r="X7489" t="str">
            <v>Expenses</v>
          </cell>
          <cell r="Y7489" t="str">
            <v>AUSTRALIA</v>
          </cell>
        </row>
        <row r="7490">
          <cell r="L7490" t="str">
            <v>Non-proportional</v>
          </cell>
          <cell r="S7490">
            <v>128.01</v>
          </cell>
          <cell r="X7490" t="str">
            <v>Expenses</v>
          </cell>
          <cell r="Y7490" t="str">
            <v>AUSTRALIA</v>
          </cell>
        </row>
        <row r="7491">
          <cell r="L7491" t="str">
            <v>Non-proportional</v>
          </cell>
          <cell r="S7491">
            <v>187.96</v>
          </cell>
          <cell r="X7491" t="str">
            <v>Expenses</v>
          </cell>
          <cell r="Y7491" t="str">
            <v>AUSTRALIA</v>
          </cell>
        </row>
        <row r="7492">
          <cell r="L7492" t="str">
            <v>Non-proportional</v>
          </cell>
          <cell r="S7492">
            <v>9.18</v>
          </cell>
          <cell r="X7492" t="str">
            <v>Expenses</v>
          </cell>
          <cell r="Y7492" t="str">
            <v>AUSTRALIA</v>
          </cell>
        </row>
        <row r="7493">
          <cell r="L7493" t="str">
            <v>Non-proportional</v>
          </cell>
          <cell r="S7493">
            <v>73.010000000000005</v>
          </cell>
          <cell r="X7493" t="str">
            <v>Expenses</v>
          </cell>
          <cell r="Y7493" t="str">
            <v>AUSTRALIA</v>
          </cell>
        </row>
        <row r="7494">
          <cell r="L7494" t="str">
            <v>Non-proportional</v>
          </cell>
          <cell r="S7494">
            <v>9.23</v>
          </cell>
          <cell r="X7494" t="str">
            <v>Expenses</v>
          </cell>
          <cell r="Y7494" t="str">
            <v>AUSTRALIA</v>
          </cell>
        </row>
        <row r="7495">
          <cell r="L7495" t="str">
            <v>Non-proportional</v>
          </cell>
          <cell r="S7495">
            <v>-36.83</v>
          </cell>
          <cell r="X7495" t="str">
            <v>Expenses</v>
          </cell>
          <cell r="Y7495" t="str">
            <v>WORLDWIDE</v>
          </cell>
        </row>
        <row r="7496">
          <cell r="L7496" t="str">
            <v>Non-proportional</v>
          </cell>
          <cell r="S7496">
            <v>-76.040000000000006</v>
          </cell>
          <cell r="X7496" t="str">
            <v>Expenses</v>
          </cell>
          <cell r="Y7496" t="str">
            <v>WORLDWIDE</v>
          </cell>
        </row>
        <row r="7497">
          <cell r="L7497" t="str">
            <v>Non-proportional</v>
          </cell>
          <cell r="S7497">
            <v>-113.62</v>
          </cell>
          <cell r="X7497" t="str">
            <v>Expenses</v>
          </cell>
          <cell r="Y7497" t="str">
            <v>WORLDWIDE</v>
          </cell>
        </row>
        <row r="7498">
          <cell r="L7498" t="str">
            <v>Non-proportional</v>
          </cell>
          <cell r="S7498">
            <v>73.37</v>
          </cell>
          <cell r="X7498" t="str">
            <v>Expenses</v>
          </cell>
          <cell r="Y7498" t="str">
            <v>AUSTRALIA</v>
          </cell>
        </row>
        <row r="7499">
          <cell r="L7499" t="str">
            <v>Non-proportional</v>
          </cell>
          <cell r="S7499">
            <v>188.89</v>
          </cell>
          <cell r="X7499" t="str">
            <v>Expenses</v>
          </cell>
          <cell r="Y7499" t="str">
            <v>AUSTRALIA</v>
          </cell>
        </row>
        <row r="7500">
          <cell r="L7500" t="str">
            <v>Non-proportional</v>
          </cell>
          <cell r="S7500">
            <v>108.88</v>
          </cell>
          <cell r="X7500" t="str">
            <v>Expenses</v>
          </cell>
          <cell r="Y7500" t="str">
            <v>AUSTRALIA</v>
          </cell>
        </row>
        <row r="7501">
          <cell r="L7501" t="str">
            <v>Non-proportional</v>
          </cell>
          <cell r="S7501">
            <v>-276.19</v>
          </cell>
          <cell r="X7501" t="str">
            <v>Expenses</v>
          </cell>
          <cell r="Y7501" t="str">
            <v>WORLDWIDE</v>
          </cell>
        </row>
        <row r="7502">
          <cell r="L7502" t="str">
            <v>Non-proportional</v>
          </cell>
          <cell r="S7502">
            <v>128.63999999999999</v>
          </cell>
          <cell r="X7502" t="str">
            <v>Expenses</v>
          </cell>
          <cell r="Y7502" t="str">
            <v>AUSTRALIA</v>
          </cell>
        </row>
        <row r="7503">
          <cell r="L7503" t="str">
            <v>Non-proportional</v>
          </cell>
          <cell r="S7503">
            <v>-420.9</v>
          </cell>
          <cell r="X7503" t="str">
            <v>Expenses</v>
          </cell>
          <cell r="Y7503" t="str">
            <v>UNITED STATES</v>
          </cell>
        </row>
        <row r="7504">
          <cell r="L7504" t="str">
            <v>Non-proportional</v>
          </cell>
          <cell r="S7504">
            <v>128.29</v>
          </cell>
          <cell r="X7504" t="str">
            <v>Expenses</v>
          </cell>
          <cell r="Y7504" t="str">
            <v>AUSTRALIA</v>
          </cell>
        </row>
        <row r="7505">
          <cell r="L7505" t="str">
            <v>Non-proportional</v>
          </cell>
          <cell r="S7505">
            <v>16.21</v>
          </cell>
          <cell r="X7505" t="str">
            <v>Expenses</v>
          </cell>
          <cell r="Y7505" t="str">
            <v>WORLDWIDE</v>
          </cell>
        </row>
        <row r="7506">
          <cell r="L7506" t="str">
            <v>Non-proportional</v>
          </cell>
          <cell r="S7506">
            <v>-317.86</v>
          </cell>
          <cell r="X7506" t="str">
            <v>Expenses</v>
          </cell>
          <cell r="Y7506" t="str">
            <v>UNITED STATES</v>
          </cell>
        </row>
        <row r="7507">
          <cell r="L7507" t="str">
            <v>Non-proportional</v>
          </cell>
          <cell r="S7507">
            <v>108.58</v>
          </cell>
          <cell r="X7507" t="str">
            <v>Expenses</v>
          </cell>
          <cell r="Y7507" t="str">
            <v>AUSTRALIA</v>
          </cell>
        </row>
        <row r="7508">
          <cell r="L7508" t="str">
            <v>Non-proportional</v>
          </cell>
          <cell r="S7508">
            <v>39.42</v>
          </cell>
          <cell r="X7508" t="str">
            <v>Expenses</v>
          </cell>
          <cell r="Y7508" t="str">
            <v>WORLDWIDE</v>
          </cell>
        </row>
        <row r="7509">
          <cell r="L7509" t="str">
            <v>Non-proportional</v>
          </cell>
          <cell r="S7509">
            <v>9.1999999999999993</v>
          </cell>
          <cell r="X7509" t="str">
            <v>Expenses</v>
          </cell>
          <cell r="Y7509" t="str">
            <v>AUSTRALIA</v>
          </cell>
        </row>
        <row r="7510">
          <cell r="L7510" t="str">
            <v>Non-proportional</v>
          </cell>
          <cell r="S7510">
            <v>73.17</v>
          </cell>
          <cell r="X7510" t="str">
            <v>Expenses</v>
          </cell>
          <cell r="Y7510" t="str">
            <v>AUSTRALIA</v>
          </cell>
        </row>
        <row r="7511">
          <cell r="L7511" t="str">
            <v>Non-proportional</v>
          </cell>
          <cell r="S7511">
            <v>5.26</v>
          </cell>
          <cell r="X7511" t="str">
            <v>Expenses</v>
          </cell>
          <cell r="Y7511" t="str">
            <v>WORLDWIDE</v>
          </cell>
        </row>
        <row r="7512">
          <cell r="L7512" t="str">
            <v>Non-proportional</v>
          </cell>
          <cell r="S7512">
            <v>10.85</v>
          </cell>
          <cell r="X7512" t="str">
            <v>Expenses</v>
          </cell>
          <cell r="Y7512" t="str">
            <v>WORLDWIDE</v>
          </cell>
        </row>
        <row r="7513">
          <cell r="L7513" t="str">
            <v>Non-proportional</v>
          </cell>
          <cell r="S7513">
            <v>188.37</v>
          </cell>
          <cell r="X7513" t="str">
            <v>Expenses</v>
          </cell>
          <cell r="Y7513" t="str">
            <v>AUSTRALIA</v>
          </cell>
        </row>
        <row r="7514">
          <cell r="L7514" t="str">
            <v>Non-proportional</v>
          </cell>
          <cell r="S7514">
            <v>9.2799999999999994</v>
          </cell>
          <cell r="X7514" t="str">
            <v>Expenses</v>
          </cell>
          <cell r="Y7514" t="str">
            <v>AUSTRALIA</v>
          </cell>
        </row>
        <row r="7515">
          <cell r="L7515" t="str">
            <v>Non-proportional</v>
          </cell>
          <cell r="S7515">
            <v>31.29</v>
          </cell>
          <cell r="X7515" t="str">
            <v>Expenses</v>
          </cell>
          <cell r="Y7515" t="str">
            <v>UNITED STATES</v>
          </cell>
        </row>
        <row r="7516">
          <cell r="L7516" t="str">
            <v>Non-proportional</v>
          </cell>
          <cell r="S7516">
            <v>109.45</v>
          </cell>
          <cell r="X7516" t="str">
            <v>Expenses</v>
          </cell>
          <cell r="Y7516" t="str">
            <v>AUSTRALIA</v>
          </cell>
        </row>
        <row r="7517">
          <cell r="L7517" t="str">
            <v>Non-proportional</v>
          </cell>
          <cell r="S7517">
            <v>129.31</v>
          </cell>
          <cell r="X7517" t="str">
            <v>Expenses</v>
          </cell>
          <cell r="Y7517" t="str">
            <v>AUSTRALIA</v>
          </cell>
        </row>
        <row r="7518">
          <cell r="L7518" t="str">
            <v>Non-proportional</v>
          </cell>
          <cell r="S7518">
            <v>15.96</v>
          </cell>
          <cell r="X7518" t="str">
            <v>Expenses</v>
          </cell>
          <cell r="Y7518" t="str">
            <v>WORLDWIDE</v>
          </cell>
        </row>
        <row r="7519">
          <cell r="L7519" t="str">
            <v>Non-proportional</v>
          </cell>
          <cell r="S7519">
            <v>41.43</v>
          </cell>
          <cell r="X7519" t="str">
            <v>Expenses</v>
          </cell>
          <cell r="Y7519" t="str">
            <v>UNITED STATES</v>
          </cell>
        </row>
        <row r="7520">
          <cell r="L7520" t="str">
            <v>Non-proportional</v>
          </cell>
          <cell r="S7520">
            <v>73.75</v>
          </cell>
          <cell r="X7520" t="str">
            <v>Expenses</v>
          </cell>
          <cell r="Y7520" t="str">
            <v>AUSTRALIA</v>
          </cell>
        </row>
        <row r="7521">
          <cell r="L7521" t="str">
            <v>Non-proportional</v>
          </cell>
          <cell r="S7521">
            <v>10.68</v>
          </cell>
          <cell r="X7521" t="str">
            <v>Expenses</v>
          </cell>
          <cell r="Y7521" t="str">
            <v>WORLDWIDE</v>
          </cell>
        </row>
        <row r="7522">
          <cell r="L7522" t="str">
            <v>Non-proportional</v>
          </cell>
          <cell r="S7522">
            <v>5.17</v>
          </cell>
          <cell r="X7522" t="str">
            <v>Expenses</v>
          </cell>
          <cell r="Y7522" t="str">
            <v>WORLDWIDE</v>
          </cell>
        </row>
        <row r="7523">
          <cell r="L7523" t="str">
            <v>Non-proportional</v>
          </cell>
          <cell r="S7523">
            <v>38.799999999999997</v>
          </cell>
          <cell r="X7523" t="str">
            <v>Expenses</v>
          </cell>
          <cell r="Y7523" t="str">
            <v>WORLDWIDE</v>
          </cell>
        </row>
        <row r="7524">
          <cell r="L7524" t="str">
            <v>Non-proportional</v>
          </cell>
          <cell r="S7524">
            <v>189.87</v>
          </cell>
          <cell r="X7524" t="str">
            <v>Expenses</v>
          </cell>
          <cell r="Y7524" t="str">
            <v>AUSTRALIA</v>
          </cell>
        </row>
        <row r="7525">
          <cell r="L7525"/>
          <cell r="S7525">
            <v>-75.180000000000007</v>
          </cell>
          <cell r="X7525" t="str">
            <v>Expenses</v>
          </cell>
          <cell r="Y7525" t="str">
            <v>UNITED KINGDOM</v>
          </cell>
        </row>
        <row r="7526">
          <cell r="L7526"/>
          <cell r="S7526">
            <v>661.56</v>
          </cell>
          <cell r="X7526" t="str">
            <v>Expenses</v>
          </cell>
          <cell r="Y7526" t="str">
            <v>UNITED KINGDOM</v>
          </cell>
        </row>
        <row r="7527">
          <cell r="L7527"/>
          <cell r="S7527">
            <v>165.41</v>
          </cell>
          <cell r="X7527" t="str">
            <v>Expenses</v>
          </cell>
          <cell r="Y7527" t="str">
            <v>UNITED KINGDOM</v>
          </cell>
        </row>
        <row r="7528">
          <cell r="L7528"/>
          <cell r="S7528">
            <v>-75.180000000000007</v>
          </cell>
          <cell r="X7528" t="str">
            <v>Expenses</v>
          </cell>
          <cell r="Y7528" t="str">
            <v>UNITED KINGDOM</v>
          </cell>
        </row>
        <row r="7529">
          <cell r="L7529"/>
          <cell r="S7529">
            <v>-75.180000000000007</v>
          </cell>
          <cell r="X7529" t="str">
            <v>Expenses</v>
          </cell>
          <cell r="Y7529" t="str">
            <v>UNITED KINGDOM</v>
          </cell>
        </row>
        <row r="7530">
          <cell r="L7530"/>
          <cell r="S7530">
            <v>-75.180000000000007</v>
          </cell>
          <cell r="X7530" t="str">
            <v>Expenses</v>
          </cell>
          <cell r="Y7530" t="str">
            <v>UNITED KINGDOM</v>
          </cell>
        </row>
        <row r="7531">
          <cell r="L7531"/>
          <cell r="S7531">
            <v>-75.180000000000007</v>
          </cell>
          <cell r="X7531" t="str">
            <v>Expenses</v>
          </cell>
          <cell r="Y7531" t="str">
            <v>UNITED KINGDOM</v>
          </cell>
        </row>
        <row r="7532">
          <cell r="L7532"/>
          <cell r="S7532">
            <v>0.15</v>
          </cell>
          <cell r="X7532" t="str">
            <v>to check</v>
          </cell>
        </row>
        <row r="7533">
          <cell r="L7533"/>
          <cell r="S7533">
            <v>0.15</v>
          </cell>
          <cell r="X7533" t="str">
            <v>to check</v>
          </cell>
        </row>
        <row r="7534">
          <cell r="L7534"/>
          <cell r="S7534">
            <v>0.15</v>
          </cell>
          <cell r="X7534" t="str">
            <v>to check</v>
          </cell>
        </row>
        <row r="7535">
          <cell r="L7535"/>
          <cell r="S7535">
            <v>1.4</v>
          </cell>
          <cell r="X7535" t="str">
            <v>Financial income</v>
          </cell>
        </row>
        <row r="7536">
          <cell r="L7536"/>
          <cell r="S7536">
            <v>1.29</v>
          </cell>
          <cell r="X7536" t="str">
            <v>Financial income</v>
          </cell>
        </row>
        <row r="7537">
          <cell r="L7537"/>
          <cell r="S7537">
            <v>255.48</v>
          </cell>
          <cell r="X7537" t="str">
            <v>Financial income</v>
          </cell>
        </row>
        <row r="7538">
          <cell r="L7538"/>
          <cell r="S7538">
            <v>8.7200000000000006</v>
          </cell>
          <cell r="X7538" t="str">
            <v>Financial income</v>
          </cell>
        </row>
        <row r="7539">
          <cell r="L7539"/>
          <cell r="S7539">
            <v>2.21</v>
          </cell>
          <cell r="X7539" t="str">
            <v>Financial income</v>
          </cell>
        </row>
        <row r="7540">
          <cell r="L7540"/>
          <cell r="S7540">
            <v>6.26</v>
          </cell>
          <cell r="X7540" t="str">
            <v>Financial income</v>
          </cell>
        </row>
        <row r="7541">
          <cell r="L7541"/>
          <cell r="S7541">
            <v>0.14000000000000001</v>
          </cell>
          <cell r="X7541" t="str">
            <v>Financial income</v>
          </cell>
        </row>
        <row r="7542">
          <cell r="L7542"/>
          <cell r="S7542">
            <v>0.08</v>
          </cell>
          <cell r="X7542" t="str">
            <v>Financial income</v>
          </cell>
        </row>
        <row r="7543">
          <cell r="L7543"/>
          <cell r="S7543">
            <v>0.04</v>
          </cell>
          <cell r="X7543" t="str">
            <v>Financial income</v>
          </cell>
        </row>
        <row r="7544">
          <cell r="L7544"/>
          <cell r="S7544">
            <v>0.15</v>
          </cell>
          <cell r="X7544" t="str">
            <v>Financial income</v>
          </cell>
        </row>
        <row r="7545">
          <cell r="L7545"/>
          <cell r="S7545">
            <v>0.57999999999999996</v>
          </cell>
          <cell r="X7545" t="str">
            <v>Financial income</v>
          </cell>
        </row>
        <row r="7546">
          <cell r="L7546"/>
          <cell r="S7546">
            <v>0.02</v>
          </cell>
          <cell r="X7546" t="str">
            <v>Financial income</v>
          </cell>
        </row>
        <row r="7547">
          <cell r="L7547"/>
          <cell r="S7547">
            <v>0.48</v>
          </cell>
          <cell r="X7547" t="str">
            <v>Financial income</v>
          </cell>
        </row>
        <row r="7548">
          <cell r="L7548"/>
          <cell r="S7548">
            <v>0.28000000000000003</v>
          </cell>
          <cell r="X7548" t="str">
            <v>Financial income</v>
          </cell>
        </row>
        <row r="7549">
          <cell r="L7549"/>
          <cell r="S7549">
            <v>4.25</v>
          </cell>
          <cell r="X7549" t="str">
            <v>Financial income</v>
          </cell>
        </row>
        <row r="7550">
          <cell r="L7550"/>
          <cell r="S7550">
            <v>89.81</v>
          </cell>
          <cell r="X7550" t="str">
            <v>Financial income</v>
          </cell>
        </row>
        <row r="7551">
          <cell r="L7551"/>
          <cell r="S7551">
            <v>6.06</v>
          </cell>
          <cell r="X7551" t="str">
            <v>Financial income</v>
          </cell>
        </row>
        <row r="7552">
          <cell r="L7552"/>
          <cell r="S7552">
            <v>16.27</v>
          </cell>
          <cell r="X7552" t="str">
            <v>Financial income</v>
          </cell>
        </row>
        <row r="7553">
          <cell r="L7553"/>
          <cell r="S7553">
            <v>129.66</v>
          </cell>
          <cell r="X7553" t="str">
            <v>Financial income</v>
          </cell>
        </row>
        <row r="7554">
          <cell r="L7554"/>
          <cell r="S7554">
            <v>2.57</v>
          </cell>
          <cell r="X7554" t="str">
            <v>Financial income</v>
          </cell>
        </row>
        <row r="7555">
          <cell r="L7555"/>
          <cell r="S7555">
            <v>22</v>
          </cell>
          <cell r="X7555" t="str">
            <v>Financial income</v>
          </cell>
        </row>
        <row r="7556">
          <cell r="L7556"/>
          <cell r="S7556">
            <v>6.05</v>
          </cell>
          <cell r="X7556" t="str">
            <v>Financial income</v>
          </cell>
        </row>
        <row r="7557">
          <cell r="L7557"/>
          <cell r="S7557">
            <v>2.9</v>
          </cell>
          <cell r="X7557" t="str">
            <v>Financial income</v>
          </cell>
        </row>
        <row r="7558">
          <cell r="L7558"/>
          <cell r="S7558">
            <v>1.25</v>
          </cell>
          <cell r="X7558" t="str">
            <v>Financial income</v>
          </cell>
        </row>
        <row r="7559">
          <cell r="L7559"/>
          <cell r="S7559">
            <v>439.95</v>
          </cell>
          <cell r="X7559" t="str">
            <v>Financial income</v>
          </cell>
        </row>
        <row r="7560">
          <cell r="L7560"/>
          <cell r="S7560">
            <v>2.4700000000000002</v>
          </cell>
          <cell r="X7560" t="str">
            <v>Financial income</v>
          </cell>
        </row>
        <row r="7561">
          <cell r="L7561"/>
          <cell r="S7561">
            <v>3.3</v>
          </cell>
          <cell r="X7561" t="str">
            <v>Financial income</v>
          </cell>
        </row>
        <row r="7562">
          <cell r="L7562"/>
          <cell r="S7562">
            <v>129.66</v>
          </cell>
          <cell r="X7562" t="str">
            <v>Financial income</v>
          </cell>
        </row>
        <row r="7563">
          <cell r="L7563"/>
          <cell r="S7563">
            <v>4.1100000000000003</v>
          </cell>
          <cell r="X7563" t="str">
            <v>Financial income</v>
          </cell>
        </row>
        <row r="7564">
          <cell r="L7564"/>
          <cell r="S7564">
            <v>1.1399999999999999</v>
          </cell>
          <cell r="X7564" t="str">
            <v>Financial income</v>
          </cell>
        </row>
        <row r="7565">
          <cell r="L7565"/>
          <cell r="S7565">
            <v>7.45</v>
          </cell>
          <cell r="X7565" t="str">
            <v>Financial income</v>
          </cell>
        </row>
        <row r="7566">
          <cell r="L7566"/>
          <cell r="S7566">
            <v>40.44</v>
          </cell>
          <cell r="X7566" t="str">
            <v>Financial income</v>
          </cell>
        </row>
        <row r="7567">
          <cell r="L7567"/>
          <cell r="S7567">
            <v>0.65</v>
          </cell>
          <cell r="X7567" t="str">
            <v>Financial income</v>
          </cell>
        </row>
        <row r="7568">
          <cell r="L7568"/>
          <cell r="S7568">
            <v>-70945.27</v>
          </cell>
          <cell r="X7568" t="str">
            <v>Financial income</v>
          </cell>
        </row>
        <row r="7569">
          <cell r="L7569"/>
          <cell r="S7569">
            <v>70190.179999999993</v>
          </cell>
          <cell r="X7569" t="str">
            <v>Financial income</v>
          </cell>
        </row>
        <row r="7570">
          <cell r="L7570"/>
          <cell r="S7570">
            <v>15.01</v>
          </cell>
          <cell r="X7570" t="str">
            <v>Financial income</v>
          </cell>
        </row>
        <row r="7571">
          <cell r="L7571"/>
          <cell r="S7571">
            <v>44.62</v>
          </cell>
          <cell r="X7571" t="str">
            <v>Financial income</v>
          </cell>
        </row>
        <row r="7572">
          <cell r="L7572"/>
          <cell r="S7572">
            <v>449.06</v>
          </cell>
          <cell r="X7572" t="str">
            <v>Financial income</v>
          </cell>
        </row>
        <row r="7573">
          <cell r="L7573"/>
          <cell r="S7573">
            <v>42.96</v>
          </cell>
          <cell r="X7573" t="str">
            <v>Financial income</v>
          </cell>
        </row>
        <row r="7574">
          <cell r="L7574"/>
          <cell r="S7574">
            <v>3.42</v>
          </cell>
          <cell r="X7574" t="str">
            <v>Financial income</v>
          </cell>
        </row>
        <row r="7575">
          <cell r="L7575"/>
          <cell r="S7575">
            <v>5.39</v>
          </cell>
          <cell r="X7575" t="str">
            <v>Financial income</v>
          </cell>
        </row>
        <row r="7576">
          <cell r="L7576"/>
          <cell r="S7576">
            <v>53.55</v>
          </cell>
          <cell r="X7576" t="str">
            <v>Financial income</v>
          </cell>
        </row>
        <row r="7577">
          <cell r="L7577"/>
          <cell r="S7577">
            <v>66.88</v>
          </cell>
          <cell r="X7577" t="str">
            <v>Financial income</v>
          </cell>
        </row>
        <row r="7578">
          <cell r="L7578"/>
          <cell r="S7578">
            <v>12.42</v>
          </cell>
          <cell r="X7578" t="str">
            <v>Financial income</v>
          </cell>
        </row>
        <row r="7579">
          <cell r="L7579"/>
          <cell r="S7579">
            <v>75.8</v>
          </cell>
          <cell r="X7579" t="str">
            <v>Financial income</v>
          </cell>
        </row>
        <row r="7580">
          <cell r="L7580"/>
          <cell r="S7580">
            <v>3.25</v>
          </cell>
          <cell r="X7580" t="str">
            <v>Financial income</v>
          </cell>
        </row>
        <row r="7581">
          <cell r="L7581"/>
          <cell r="S7581">
            <v>4.6900000000000004</v>
          </cell>
          <cell r="X7581" t="str">
            <v>Financial income</v>
          </cell>
        </row>
        <row r="7582">
          <cell r="L7582"/>
          <cell r="S7582">
            <v>87.25</v>
          </cell>
          <cell r="X7582" t="str">
            <v>Financial income</v>
          </cell>
        </row>
        <row r="7583">
          <cell r="L7583"/>
          <cell r="S7583">
            <v>0.64</v>
          </cell>
          <cell r="X7583" t="str">
            <v>Financial income</v>
          </cell>
        </row>
        <row r="7584">
          <cell r="L7584"/>
          <cell r="S7584">
            <v>27.29</v>
          </cell>
          <cell r="X7584" t="str">
            <v>Financial income</v>
          </cell>
        </row>
        <row r="7585">
          <cell r="L7585"/>
          <cell r="S7585">
            <v>7.0000000000000007E-2</v>
          </cell>
          <cell r="X7585" t="str">
            <v>Financial income</v>
          </cell>
        </row>
        <row r="7586">
          <cell r="L7586"/>
          <cell r="S7586">
            <v>0.74</v>
          </cell>
          <cell r="X7586" t="str">
            <v>Financial income</v>
          </cell>
        </row>
        <row r="7587">
          <cell r="L7587"/>
          <cell r="S7587">
            <v>0.41</v>
          </cell>
          <cell r="X7587" t="str">
            <v>Financial income</v>
          </cell>
        </row>
        <row r="7588">
          <cell r="L7588"/>
          <cell r="S7588">
            <v>0.16</v>
          </cell>
          <cell r="X7588" t="str">
            <v>Financial income</v>
          </cell>
        </row>
        <row r="7589">
          <cell r="L7589"/>
          <cell r="S7589">
            <v>3.7</v>
          </cell>
          <cell r="X7589" t="str">
            <v>Financial income</v>
          </cell>
        </row>
        <row r="7590">
          <cell r="L7590"/>
          <cell r="S7590">
            <v>311.87</v>
          </cell>
          <cell r="X7590" t="str">
            <v>Financial income</v>
          </cell>
        </row>
        <row r="7591">
          <cell r="L7591"/>
          <cell r="S7591">
            <v>0.04</v>
          </cell>
          <cell r="X7591" t="str">
            <v>Financial income</v>
          </cell>
        </row>
        <row r="7592">
          <cell r="L7592"/>
          <cell r="S7592">
            <v>7.58</v>
          </cell>
          <cell r="X7592" t="str">
            <v>Financial income</v>
          </cell>
        </row>
        <row r="7593">
          <cell r="L7593"/>
          <cell r="S7593">
            <v>0.12</v>
          </cell>
          <cell r="X7593" t="str">
            <v>Financial income</v>
          </cell>
        </row>
        <row r="7594">
          <cell r="L7594"/>
          <cell r="S7594">
            <v>1.24</v>
          </cell>
          <cell r="X7594" t="str">
            <v>Financial income</v>
          </cell>
        </row>
        <row r="7595">
          <cell r="L7595"/>
          <cell r="S7595">
            <v>0.51</v>
          </cell>
          <cell r="X7595" t="str">
            <v>Financial income</v>
          </cell>
        </row>
        <row r="7596">
          <cell r="L7596"/>
          <cell r="S7596">
            <v>25.05</v>
          </cell>
          <cell r="X7596" t="str">
            <v>Financial income</v>
          </cell>
        </row>
        <row r="7597">
          <cell r="L7597"/>
          <cell r="S7597">
            <v>27.05</v>
          </cell>
          <cell r="X7597" t="str">
            <v>Financial income</v>
          </cell>
        </row>
        <row r="7598">
          <cell r="L7598"/>
          <cell r="S7598">
            <v>0.97</v>
          </cell>
          <cell r="X7598" t="str">
            <v>Financial income</v>
          </cell>
        </row>
        <row r="7599">
          <cell r="L7599"/>
          <cell r="S7599">
            <v>0.44</v>
          </cell>
          <cell r="X7599" t="str">
            <v>Financial income</v>
          </cell>
        </row>
        <row r="7600">
          <cell r="L7600"/>
          <cell r="S7600">
            <v>5.24</v>
          </cell>
          <cell r="X7600" t="str">
            <v>Financial income</v>
          </cell>
        </row>
        <row r="7601">
          <cell r="L7601"/>
          <cell r="S7601">
            <v>49.2</v>
          </cell>
          <cell r="X7601" t="str">
            <v>Financial income</v>
          </cell>
        </row>
        <row r="7602">
          <cell r="L7602"/>
          <cell r="S7602">
            <v>3.88</v>
          </cell>
          <cell r="X7602" t="str">
            <v>Financial income</v>
          </cell>
        </row>
        <row r="7603">
          <cell r="L7603"/>
          <cell r="S7603">
            <v>133.18</v>
          </cell>
          <cell r="X7603" t="str">
            <v>Financial income</v>
          </cell>
        </row>
        <row r="7604">
          <cell r="L7604"/>
          <cell r="S7604">
            <v>22266.61</v>
          </cell>
          <cell r="X7604" t="str">
            <v>Financial income</v>
          </cell>
        </row>
        <row r="7605">
          <cell r="L7605"/>
          <cell r="S7605">
            <v>1.03</v>
          </cell>
          <cell r="X7605" t="str">
            <v>Financial income</v>
          </cell>
        </row>
        <row r="7606">
          <cell r="L7606"/>
          <cell r="S7606">
            <v>21.3</v>
          </cell>
          <cell r="X7606" t="str">
            <v>Financial income</v>
          </cell>
        </row>
        <row r="7607">
          <cell r="L7607"/>
          <cell r="S7607">
            <v>37.549999999999997</v>
          </cell>
          <cell r="X7607" t="str">
            <v>Financial income</v>
          </cell>
        </row>
        <row r="7608">
          <cell r="L7608"/>
          <cell r="S7608">
            <v>6.84</v>
          </cell>
          <cell r="X7608" t="str">
            <v>Financial income</v>
          </cell>
        </row>
        <row r="7609">
          <cell r="L7609"/>
          <cell r="S7609">
            <v>0.83</v>
          </cell>
          <cell r="X7609" t="str">
            <v>Financial income</v>
          </cell>
        </row>
        <row r="7610">
          <cell r="L7610"/>
          <cell r="S7610">
            <v>6.84</v>
          </cell>
          <cell r="X7610" t="str">
            <v>Financial income</v>
          </cell>
        </row>
        <row r="7611">
          <cell r="L7611"/>
          <cell r="S7611">
            <v>61.27</v>
          </cell>
          <cell r="X7611" t="str">
            <v>Financial income</v>
          </cell>
        </row>
        <row r="7612">
          <cell r="L7612"/>
          <cell r="S7612">
            <v>3.9</v>
          </cell>
          <cell r="X7612" t="str">
            <v>Financial income</v>
          </cell>
        </row>
        <row r="7613">
          <cell r="L7613"/>
          <cell r="S7613">
            <v>100.75</v>
          </cell>
          <cell r="X7613" t="str">
            <v>Financial income</v>
          </cell>
        </row>
        <row r="7614">
          <cell r="L7614"/>
          <cell r="S7614">
            <v>66.7</v>
          </cell>
          <cell r="X7614" t="str">
            <v>Financial income</v>
          </cell>
        </row>
        <row r="7615">
          <cell r="L7615"/>
          <cell r="S7615">
            <v>0.92</v>
          </cell>
          <cell r="X7615" t="str">
            <v>Financial income</v>
          </cell>
        </row>
        <row r="7616">
          <cell r="L7616"/>
          <cell r="S7616">
            <v>-41178.449999999997</v>
          </cell>
          <cell r="X7616" t="str">
            <v>Financial income</v>
          </cell>
        </row>
        <row r="7617">
          <cell r="L7617"/>
          <cell r="S7617">
            <v>0.14000000000000001</v>
          </cell>
          <cell r="X7617" t="str">
            <v>Financial income</v>
          </cell>
        </row>
        <row r="7618">
          <cell r="L7618"/>
          <cell r="S7618">
            <v>0.1</v>
          </cell>
          <cell r="X7618" t="str">
            <v>Financial income</v>
          </cell>
        </row>
        <row r="7619">
          <cell r="L7619"/>
          <cell r="S7619">
            <v>3.72</v>
          </cell>
          <cell r="X7619" t="str">
            <v>Financial income</v>
          </cell>
        </row>
        <row r="7620">
          <cell r="L7620"/>
          <cell r="S7620">
            <v>108.23</v>
          </cell>
          <cell r="X7620" t="str">
            <v>Financial income</v>
          </cell>
        </row>
        <row r="7621">
          <cell r="L7621"/>
          <cell r="S7621">
            <v>1.06</v>
          </cell>
          <cell r="X7621" t="str">
            <v>Financial income</v>
          </cell>
        </row>
        <row r="7622">
          <cell r="L7622"/>
          <cell r="S7622">
            <v>0.98</v>
          </cell>
          <cell r="X7622" t="str">
            <v>Financial income</v>
          </cell>
        </row>
        <row r="7623">
          <cell r="L7623"/>
          <cell r="S7623">
            <v>0.4</v>
          </cell>
          <cell r="X7623" t="str">
            <v>Financial income</v>
          </cell>
        </row>
        <row r="7624">
          <cell r="L7624"/>
          <cell r="S7624">
            <v>41618.5</v>
          </cell>
          <cell r="X7624" t="str">
            <v>Financial income</v>
          </cell>
        </row>
        <row r="7625">
          <cell r="L7625"/>
          <cell r="S7625">
            <v>0.28999999999999998</v>
          </cell>
          <cell r="X7625" t="str">
            <v>Financial income</v>
          </cell>
        </row>
        <row r="7626">
          <cell r="L7626"/>
          <cell r="S7626">
            <v>777.21</v>
          </cell>
          <cell r="X7626" t="str">
            <v>Financial income</v>
          </cell>
        </row>
        <row r="7627">
          <cell r="L7627"/>
          <cell r="S7627">
            <v>10.51</v>
          </cell>
          <cell r="X7627" t="str">
            <v>Financial income</v>
          </cell>
        </row>
        <row r="7628">
          <cell r="L7628"/>
          <cell r="S7628">
            <v>4.07</v>
          </cell>
          <cell r="X7628" t="str">
            <v>Financial income</v>
          </cell>
        </row>
        <row r="7629">
          <cell r="L7629"/>
          <cell r="S7629">
            <v>3.6</v>
          </cell>
          <cell r="X7629" t="str">
            <v>Financial income</v>
          </cell>
        </row>
        <row r="7630">
          <cell r="L7630"/>
          <cell r="S7630">
            <v>178.58</v>
          </cell>
          <cell r="X7630" t="str">
            <v>Financial income</v>
          </cell>
        </row>
        <row r="7631">
          <cell r="L7631"/>
          <cell r="S7631">
            <v>139.72999999999999</v>
          </cell>
          <cell r="X7631" t="str">
            <v>Financial income</v>
          </cell>
        </row>
        <row r="7632">
          <cell r="L7632"/>
          <cell r="S7632">
            <v>2.39</v>
          </cell>
          <cell r="X7632" t="str">
            <v>Financial income</v>
          </cell>
        </row>
        <row r="7633">
          <cell r="L7633"/>
          <cell r="S7633">
            <v>3.2</v>
          </cell>
          <cell r="X7633" t="str">
            <v>Financial income</v>
          </cell>
        </row>
        <row r="7634">
          <cell r="L7634"/>
          <cell r="S7634">
            <v>0.39</v>
          </cell>
          <cell r="X7634" t="str">
            <v>Financial income</v>
          </cell>
        </row>
        <row r="7635">
          <cell r="L7635"/>
          <cell r="S7635">
            <v>0.08</v>
          </cell>
          <cell r="X7635" t="str">
            <v>Financial income</v>
          </cell>
        </row>
        <row r="7636">
          <cell r="L7636"/>
          <cell r="S7636">
            <v>95.18</v>
          </cell>
          <cell r="X7636" t="str">
            <v>Financial income</v>
          </cell>
        </row>
        <row r="7637">
          <cell r="L7637"/>
          <cell r="S7637">
            <v>0.28000000000000003</v>
          </cell>
          <cell r="X7637" t="str">
            <v>Financial income</v>
          </cell>
        </row>
        <row r="7638">
          <cell r="L7638"/>
          <cell r="S7638">
            <v>27.94</v>
          </cell>
          <cell r="X7638" t="str">
            <v>Financial income</v>
          </cell>
        </row>
        <row r="7639">
          <cell r="L7639"/>
          <cell r="S7639">
            <v>5.35</v>
          </cell>
          <cell r="X7639" t="str">
            <v>Financial income</v>
          </cell>
        </row>
        <row r="7640">
          <cell r="L7640"/>
          <cell r="S7640">
            <v>1.36</v>
          </cell>
          <cell r="X7640" t="str">
            <v>Financial income</v>
          </cell>
        </row>
        <row r="7641">
          <cell r="L7641"/>
          <cell r="S7641">
            <v>10.08</v>
          </cell>
          <cell r="X7641" t="str">
            <v>Financial income</v>
          </cell>
        </row>
        <row r="7642">
          <cell r="L7642"/>
          <cell r="S7642">
            <v>800.05</v>
          </cell>
          <cell r="X7642" t="str">
            <v>Financial income</v>
          </cell>
        </row>
        <row r="7643">
          <cell r="L7643"/>
          <cell r="S7643">
            <v>23.57</v>
          </cell>
          <cell r="X7643" t="str">
            <v>Financial income</v>
          </cell>
        </row>
        <row r="7644">
          <cell r="L7644"/>
          <cell r="S7644">
            <v>0.16</v>
          </cell>
          <cell r="X7644" t="str">
            <v>Financial income</v>
          </cell>
        </row>
        <row r="7645">
          <cell r="L7645"/>
          <cell r="S7645">
            <v>6609.28</v>
          </cell>
          <cell r="X7645" t="str">
            <v>Financial income</v>
          </cell>
        </row>
        <row r="7646">
          <cell r="L7646"/>
          <cell r="S7646">
            <v>3.99</v>
          </cell>
          <cell r="X7646" t="str">
            <v>Financial income</v>
          </cell>
        </row>
        <row r="7647">
          <cell r="L7647"/>
          <cell r="S7647">
            <v>16.52</v>
          </cell>
          <cell r="X7647" t="str">
            <v>Financial income</v>
          </cell>
        </row>
        <row r="7648">
          <cell r="L7648"/>
          <cell r="S7648">
            <v>3.49</v>
          </cell>
          <cell r="X7648" t="str">
            <v>Financial income</v>
          </cell>
        </row>
        <row r="7649">
          <cell r="L7649"/>
          <cell r="S7649">
            <v>16.59</v>
          </cell>
          <cell r="X7649" t="str">
            <v>Financial income</v>
          </cell>
        </row>
        <row r="7650">
          <cell r="L7650"/>
          <cell r="S7650">
            <v>0.92</v>
          </cell>
          <cell r="X7650" t="str">
            <v>Financial income</v>
          </cell>
        </row>
        <row r="7651">
          <cell r="L7651"/>
          <cell r="S7651">
            <v>1.45</v>
          </cell>
          <cell r="X7651" t="str">
            <v>Financial income</v>
          </cell>
        </row>
        <row r="7652">
          <cell r="L7652"/>
          <cell r="S7652">
            <v>27.31</v>
          </cell>
          <cell r="X7652" t="str">
            <v>Financial income</v>
          </cell>
        </row>
        <row r="7653">
          <cell r="L7653"/>
          <cell r="S7653">
            <v>5.14</v>
          </cell>
          <cell r="X7653" t="str">
            <v>Financial income</v>
          </cell>
        </row>
        <row r="7654">
          <cell r="L7654"/>
          <cell r="S7654">
            <v>0.7</v>
          </cell>
          <cell r="X7654" t="str">
            <v>Financial income</v>
          </cell>
        </row>
        <row r="7655">
          <cell r="L7655"/>
          <cell r="S7655">
            <v>6.72</v>
          </cell>
          <cell r="X7655" t="str">
            <v>Financial income</v>
          </cell>
        </row>
        <row r="7656">
          <cell r="L7656"/>
          <cell r="S7656">
            <v>-1147.3699999999999</v>
          </cell>
          <cell r="X7656" t="str">
            <v>Financial income</v>
          </cell>
        </row>
        <row r="7657">
          <cell r="L7657"/>
          <cell r="S7657">
            <v>2853.03</v>
          </cell>
          <cell r="X7657" t="str">
            <v>Financial income</v>
          </cell>
        </row>
        <row r="7658">
          <cell r="L7658"/>
          <cell r="S7658">
            <v>7751.05</v>
          </cell>
          <cell r="X7658" t="str">
            <v>Financial income</v>
          </cell>
        </row>
        <row r="7659">
          <cell r="L7659"/>
          <cell r="S7659">
            <v>-2853.03</v>
          </cell>
          <cell r="X7659" t="str">
            <v>Financial income</v>
          </cell>
        </row>
        <row r="7660">
          <cell r="L7660"/>
          <cell r="S7660">
            <v>-7751.05</v>
          </cell>
          <cell r="X7660" t="str">
            <v>Financial income</v>
          </cell>
        </row>
        <row r="7661">
          <cell r="L7661"/>
          <cell r="S7661">
            <v>1824</v>
          </cell>
          <cell r="X7661" t="str">
            <v>Financial income</v>
          </cell>
        </row>
        <row r="7662">
          <cell r="L7662"/>
          <cell r="S7662">
            <v>-1824</v>
          </cell>
          <cell r="X7662" t="str">
            <v>Financial income</v>
          </cell>
        </row>
        <row r="7663">
          <cell r="L7663"/>
          <cell r="S7663">
            <v>71312.570000000007</v>
          </cell>
          <cell r="X7663" t="str">
            <v>Financial income</v>
          </cell>
        </row>
        <row r="7664">
          <cell r="L7664"/>
          <cell r="S7664">
            <v>2883.11</v>
          </cell>
          <cell r="X7664" t="str">
            <v>Financial income</v>
          </cell>
        </row>
        <row r="7665">
          <cell r="L7665"/>
          <cell r="S7665">
            <v>291399.5</v>
          </cell>
          <cell r="X7665" t="str">
            <v>Financial income</v>
          </cell>
        </row>
        <row r="7666">
          <cell r="L7666"/>
          <cell r="S7666">
            <v>-291399.5</v>
          </cell>
          <cell r="X7666" t="str">
            <v>Financial income</v>
          </cell>
        </row>
        <row r="7667">
          <cell r="L7667"/>
          <cell r="S7667">
            <v>-2883.11</v>
          </cell>
          <cell r="X7667" t="str">
            <v>Financial income</v>
          </cell>
        </row>
        <row r="7668">
          <cell r="L7668"/>
          <cell r="S7668">
            <v>-71312.570000000007</v>
          </cell>
          <cell r="X7668" t="str">
            <v>Financial income</v>
          </cell>
        </row>
        <row r="7669">
          <cell r="L7669"/>
          <cell r="S7669">
            <v>7446.81</v>
          </cell>
          <cell r="X7669" t="str">
            <v>Financial income</v>
          </cell>
        </row>
        <row r="7670">
          <cell r="L7670"/>
          <cell r="S7670">
            <v>-7446.81</v>
          </cell>
          <cell r="X7670" t="str">
            <v>Financial income</v>
          </cell>
        </row>
        <row r="7671">
          <cell r="L7671"/>
          <cell r="S7671">
            <v>61854.2</v>
          </cell>
          <cell r="X7671" t="str">
            <v>Financial income</v>
          </cell>
        </row>
        <row r="7672">
          <cell r="L7672"/>
          <cell r="S7672">
            <v>-61854.2</v>
          </cell>
          <cell r="X7672" t="str">
            <v>Financial income</v>
          </cell>
        </row>
        <row r="7673">
          <cell r="L7673"/>
          <cell r="S7673">
            <v>1043655.86</v>
          </cell>
          <cell r="X7673" t="str">
            <v>Financial income</v>
          </cell>
        </row>
        <row r="7674">
          <cell r="L7674"/>
          <cell r="S7674">
            <v>196942.78</v>
          </cell>
          <cell r="X7674" t="str">
            <v>Financial income</v>
          </cell>
        </row>
        <row r="7675">
          <cell r="L7675"/>
          <cell r="S7675">
            <v>-1043655.86</v>
          </cell>
          <cell r="X7675" t="str">
            <v>Financial income</v>
          </cell>
        </row>
        <row r="7676">
          <cell r="L7676"/>
          <cell r="S7676">
            <v>1835606.88</v>
          </cell>
          <cell r="X7676" t="str">
            <v>Financial income</v>
          </cell>
        </row>
        <row r="7677">
          <cell r="L7677"/>
          <cell r="S7677">
            <v>644.29999999999995</v>
          </cell>
          <cell r="X7677" t="str">
            <v>Financial income</v>
          </cell>
        </row>
        <row r="7678">
          <cell r="L7678"/>
          <cell r="S7678">
            <v>577112.75</v>
          </cell>
          <cell r="X7678" t="str">
            <v>Financial income</v>
          </cell>
        </row>
        <row r="7679">
          <cell r="L7679"/>
          <cell r="S7679">
            <v>258083.35</v>
          </cell>
          <cell r="X7679" t="str">
            <v>Financial income</v>
          </cell>
        </row>
        <row r="7680">
          <cell r="L7680"/>
          <cell r="S7680">
            <v>-341627.48</v>
          </cell>
          <cell r="X7680" t="str">
            <v>Financial income</v>
          </cell>
        </row>
        <row r="7681">
          <cell r="L7681"/>
          <cell r="S7681">
            <v>-1835606.88</v>
          </cell>
          <cell r="X7681" t="str">
            <v>Financial income</v>
          </cell>
        </row>
        <row r="7682">
          <cell r="L7682"/>
          <cell r="S7682">
            <v>341627.48</v>
          </cell>
          <cell r="X7682" t="str">
            <v>Financial income</v>
          </cell>
        </row>
        <row r="7683">
          <cell r="L7683"/>
          <cell r="S7683">
            <v>-258083.35</v>
          </cell>
          <cell r="X7683" t="str">
            <v>Financial income</v>
          </cell>
        </row>
        <row r="7684">
          <cell r="L7684"/>
          <cell r="S7684">
            <v>-2649.39</v>
          </cell>
          <cell r="X7684" t="str">
            <v>Financial income</v>
          </cell>
        </row>
        <row r="7685">
          <cell r="L7685"/>
          <cell r="S7685">
            <v>-644.29999999999995</v>
          </cell>
          <cell r="X7685" t="str">
            <v>Financial income</v>
          </cell>
        </row>
        <row r="7686">
          <cell r="L7686"/>
          <cell r="S7686">
            <v>-577112.75</v>
          </cell>
          <cell r="X7686" t="str">
            <v>Financial income</v>
          </cell>
        </row>
        <row r="7687">
          <cell r="L7687"/>
          <cell r="S7687">
            <v>2113650.46</v>
          </cell>
          <cell r="X7687" t="str">
            <v>Financial income</v>
          </cell>
        </row>
        <row r="7688">
          <cell r="L7688"/>
          <cell r="S7688">
            <v>1659.43</v>
          </cell>
          <cell r="X7688" t="str">
            <v>Financial income</v>
          </cell>
        </row>
        <row r="7689">
          <cell r="L7689"/>
          <cell r="S7689">
            <v>236734.22</v>
          </cell>
          <cell r="X7689" t="str">
            <v>Financial income</v>
          </cell>
        </row>
        <row r="7690">
          <cell r="L7690"/>
          <cell r="S7690">
            <v>-430249.23</v>
          </cell>
          <cell r="X7690" t="str">
            <v>Financial income</v>
          </cell>
        </row>
        <row r="7691">
          <cell r="L7691"/>
          <cell r="S7691">
            <v>133.36000000000001</v>
          </cell>
          <cell r="X7691" t="str">
            <v>Financial income</v>
          </cell>
        </row>
        <row r="7692">
          <cell r="L7692"/>
          <cell r="S7692">
            <v>1085.25</v>
          </cell>
          <cell r="X7692" t="str">
            <v>Financial income</v>
          </cell>
        </row>
        <row r="7693">
          <cell r="L7693"/>
          <cell r="S7693">
            <v>911865</v>
          </cell>
          <cell r="X7693" t="str">
            <v>Financial income</v>
          </cell>
        </row>
        <row r="7694">
          <cell r="L7694"/>
          <cell r="S7694">
            <v>-1085.25</v>
          </cell>
          <cell r="X7694" t="str">
            <v>Financial income</v>
          </cell>
        </row>
        <row r="7695">
          <cell r="L7695"/>
          <cell r="S7695">
            <v>-133.36000000000001</v>
          </cell>
          <cell r="X7695" t="str">
            <v>Financial income</v>
          </cell>
        </row>
        <row r="7696">
          <cell r="L7696"/>
          <cell r="S7696">
            <v>-1659.43</v>
          </cell>
          <cell r="X7696" t="str">
            <v>Financial income</v>
          </cell>
        </row>
        <row r="7697">
          <cell r="L7697"/>
          <cell r="S7697">
            <v>430249.23</v>
          </cell>
          <cell r="X7697" t="str">
            <v>Financial income</v>
          </cell>
        </row>
        <row r="7698">
          <cell r="L7698"/>
          <cell r="S7698">
            <v>-911865</v>
          </cell>
          <cell r="X7698" t="str">
            <v>Financial income</v>
          </cell>
        </row>
        <row r="7699">
          <cell r="L7699"/>
          <cell r="S7699">
            <v>-236734.22</v>
          </cell>
          <cell r="X7699" t="str">
            <v>Financial income</v>
          </cell>
        </row>
        <row r="7700">
          <cell r="L7700"/>
          <cell r="S7700">
            <v>-2113650.46</v>
          </cell>
          <cell r="X7700" t="str">
            <v>Financial income</v>
          </cell>
        </row>
        <row r="7701">
          <cell r="L7701"/>
          <cell r="S7701">
            <v>-366457.86</v>
          </cell>
          <cell r="X7701" t="str">
            <v>Financial income</v>
          </cell>
        </row>
        <row r="7702">
          <cell r="L7702"/>
          <cell r="S7702">
            <v>243150.67</v>
          </cell>
          <cell r="X7702" t="str">
            <v>Financial income</v>
          </cell>
        </row>
        <row r="7703">
          <cell r="L7703"/>
          <cell r="S7703">
            <v>1893593.16</v>
          </cell>
          <cell r="X7703" t="str">
            <v>Financial income</v>
          </cell>
        </row>
        <row r="7704">
          <cell r="L7704"/>
          <cell r="S7704">
            <v>189.63</v>
          </cell>
          <cell r="X7704" t="str">
            <v>Financial income</v>
          </cell>
        </row>
        <row r="7705">
          <cell r="L7705"/>
          <cell r="S7705">
            <v>686248.88</v>
          </cell>
          <cell r="X7705" t="str">
            <v>Financial income</v>
          </cell>
        </row>
        <row r="7706">
          <cell r="L7706"/>
          <cell r="S7706">
            <v>1222.76</v>
          </cell>
          <cell r="X7706" t="str">
            <v>Financial income</v>
          </cell>
        </row>
        <row r="7707">
          <cell r="L7707"/>
          <cell r="S7707">
            <v>-243150.67</v>
          </cell>
          <cell r="X7707" t="str">
            <v>Financial income</v>
          </cell>
        </row>
        <row r="7708">
          <cell r="L7708"/>
          <cell r="S7708">
            <v>366457.86</v>
          </cell>
          <cell r="X7708" t="str">
            <v>Financial income</v>
          </cell>
        </row>
        <row r="7709">
          <cell r="L7709"/>
          <cell r="S7709">
            <v>-686248.88</v>
          </cell>
          <cell r="X7709" t="str">
            <v>Financial income</v>
          </cell>
        </row>
        <row r="7710">
          <cell r="L7710"/>
          <cell r="S7710">
            <v>-1893593.16</v>
          </cell>
          <cell r="X7710" t="str">
            <v>Financial income</v>
          </cell>
        </row>
        <row r="7711">
          <cell r="L7711"/>
          <cell r="S7711">
            <v>-1222.76</v>
          </cell>
          <cell r="X7711" t="str">
            <v>Financial income</v>
          </cell>
        </row>
        <row r="7712">
          <cell r="L7712"/>
          <cell r="S7712">
            <v>-189.63</v>
          </cell>
          <cell r="X7712" t="str">
            <v>Financial income</v>
          </cell>
        </row>
        <row r="7713">
          <cell r="L7713"/>
          <cell r="S7713">
            <v>1283.83</v>
          </cell>
          <cell r="X7713" t="str">
            <v>Financial income</v>
          </cell>
        </row>
        <row r="7714">
          <cell r="L7714"/>
          <cell r="S7714">
            <v>2007898.81</v>
          </cell>
          <cell r="X7714" t="str">
            <v>Financial income</v>
          </cell>
        </row>
        <row r="7715">
          <cell r="L7715"/>
          <cell r="S7715">
            <v>72.14</v>
          </cell>
          <cell r="X7715" t="str">
            <v>Financial income</v>
          </cell>
        </row>
        <row r="7716">
          <cell r="L7716"/>
          <cell r="S7716">
            <v>-14856.34</v>
          </cell>
          <cell r="X7716" t="str">
            <v>Financial income</v>
          </cell>
        </row>
        <row r="7717">
          <cell r="L7717"/>
          <cell r="S7717">
            <v>229346.02</v>
          </cell>
          <cell r="X7717" t="str">
            <v>Financial income</v>
          </cell>
        </row>
        <row r="7718">
          <cell r="L7718"/>
          <cell r="S7718">
            <v>617649.32999999996</v>
          </cell>
          <cell r="X7718" t="str">
            <v>Financial income</v>
          </cell>
        </row>
        <row r="7719">
          <cell r="L7719"/>
          <cell r="S7719">
            <v>-357789.38</v>
          </cell>
          <cell r="X7719" t="str">
            <v>Financial income</v>
          </cell>
        </row>
        <row r="7720">
          <cell r="L7720"/>
          <cell r="S7720">
            <v>-1.21</v>
          </cell>
          <cell r="X7720" t="str">
            <v>Financial income</v>
          </cell>
        </row>
        <row r="7721">
          <cell r="L7721"/>
          <cell r="S7721">
            <v>-1.06</v>
          </cell>
          <cell r="X7721" t="str">
            <v>Financial income</v>
          </cell>
        </row>
        <row r="7722">
          <cell r="L7722"/>
          <cell r="S7722">
            <v>0.02</v>
          </cell>
          <cell r="X7722" t="str">
            <v>Financial income</v>
          </cell>
        </row>
        <row r="7723">
          <cell r="L7723"/>
          <cell r="S7723">
            <v>-0.01</v>
          </cell>
          <cell r="X7723" t="str">
            <v>Financial income</v>
          </cell>
        </row>
        <row r="7724">
          <cell r="L7724"/>
          <cell r="S7724">
            <v>0.01</v>
          </cell>
          <cell r="X7724" t="str">
            <v>Financial income</v>
          </cell>
        </row>
        <row r="7725">
          <cell r="L7725"/>
          <cell r="S7725">
            <v>-0.02</v>
          </cell>
          <cell r="X7725" t="str">
            <v>Financial income</v>
          </cell>
        </row>
        <row r="7726">
          <cell r="L7726"/>
          <cell r="S7726">
            <v>0.01</v>
          </cell>
          <cell r="X7726" t="str">
            <v>Financial income</v>
          </cell>
        </row>
        <row r="7727">
          <cell r="L7727"/>
          <cell r="S7727">
            <v>0.01</v>
          </cell>
          <cell r="X7727" t="str">
            <v>Financial income</v>
          </cell>
        </row>
        <row r="7728">
          <cell r="L7728"/>
          <cell r="S7728">
            <v>-0.01</v>
          </cell>
          <cell r="X7728" t="str">
            <v>Financial income</v>
          </cell>
        </row>
        <row r="7729">
          <cell r="L7729"/>
          <cell r="S7729">
            <v>0.01</v>
          </cell>
          <cell r="X7729" t="str">
            <v>Financial income</v>
          </cell>
        </row>
        <row r="7730">
          <cell r="L7730"/>
          <cell r="S7730">
            <v>-0.01</v>
          </cell>
          <cell r="X7730" t="str">
            <v>Financial income</v>
          </cell>
        </row>
        <row r="7731">
          <cell r="L7731"/>
          <cell r="S7731">
            <v>-0.01</v>
          </cell>
          <cell r="X7731" t="str">
            <v>Financial income</v>
          </cell>
        </row>
        <row r="7732">
          <cell r="L7732"/>
          <cell r="S7732">
            <v>-0.01</v>
          </cell>
          <cell r="X7732" t="str">
            <v>Financial income</v>
          </cell>
        </row>
        <row r="7733">
          <cell r="L7733"/>
          <cell r="S7733">
            <v>-0.01</v>
          </cell>
          <cell r="X7733" t="str">
            <v>Financial income</v>
          </cell>
        </row>
        <row r="7734">
          <cell r="L7734"/>
          <cell r="S7734">
            <v>-0.01</v>
          </cell>
          <cell r="X7734" t="str">
            <v>Financial income</v>
          </cell>
        </row>
        <row r="7735">
          <cell r="L7735"/>
          <cell r="S7735">
            <v>-0.01</v>
          </cell>
          <cell r="X7735" t="str">
            <v>Financial income</v>
          </cell>
        </row>
        <row r="7736">
          <cell r="L7736"/>
          <cell r="S7736">
            <v>0.01</v>
          </cell>
          <cell r="X7736" t="str">
            <v>Financial income</v>
          </cell>
        </row>
        <row r="7737">
          <cell r="L7737"/>
          <cell r="S7737">
            <v>0.01</v>
          </cell>
          <cell r="X7737" t="str">
            <v>Financial income</v>
          </cell>
        </row>
        <row r="7738">
          <cell r="L7738"/>
          <cell r="S7738">
            <v>0.01</v>
          </cell>
          <cell r="X7738" t="str">
            <v>Financial income</v>
          </cell>
        </row>
        <row r="7739">
          <cell r="L7739"/>
          <cell r="S7739">
            <v>0.01</v>
          </cell>
          <cell r="X7739" t="str">
            <v>Financial income</v>
          </cell>
        </row>
        <row r="7740">
          <cell r="L7740"/>
          <cell r="S7740">
            <v>-0.01</v>
          </cell>
          <cell r="X7740" t="str">
            <v>Financial income</v>
          </cell>
        </row>
        <row r="7741">
          <cell r="L7741"/>
          <cell r="S7741">
            <v>-0.01</v>
          </cell>
          <cell r="X7741" t="str">
            <v>Financial income</v>
          </cell>
        </row>
        <row r="7742">
          <cell r="L7742"/>
          <cell r="S7742">
            <v>0.01</v>
          </cell>
          <cell r="X7742" t="str">
            <v>Financial income</v>
          </cell>
        </row>
        <row r="7743">
          <cell r="L7743"/>
          <cell r="S7743">
            <v>-0.01</v>
          </cell>
          <cell r="X7743" t="str">
            <v>Financial income</v>
          </cell>
        </row>
        <row r="7744">
          <cell r="L7744"/>
          <cell r="S7744">
            <v>0.01</v>
          </cell>
          <cell r="X7744" t="str">
            <v>Financial income</v>
          </cell>
        </row>
        <row r="7745">
          <cell r="L7745"/>
          <cell r="S7745">
            <v>-0.01</v>
          </cell>
          <cell r="X7745" t="str">
            <v>Financial income</v>
          </cell>
        </row>
        <row r="7746">
          <cell r="L7746"/>
          <cell r="S7746">
            <v>0.01</v>
          </cell>
          <cell r="X7746" t="str">
            <v>Financial income</v>
          </cell>
        </row>
        <row r="7747">
          <cell r="L7747"/>
          <cell r="S7747">
            <v>-0.01</v>
          </cell>
          <cell r="X7747" t="str">
            <v>Financial income</v>
          </cell>
        </row>
        <row r="7748">
          <cell r="L7748"/>
          <cell r="S7748">
            <v>0.01</v>
          </cell>
          <cell r="X7748" t="str">
            <v>Financial income</v>
          </cell>
        </row>
        <row r="7749">
          <cell r="L7749"/>
          <cell r="S7749">
            <v>0.01</v>
          </cell>
          <cell r="X7749" t="str">
            <v>Financial income</v>
          </cell>
        </row>
        <row r="7750">
          <cell r="L7750"/>
          <cell r="S7750">
            <v>0.01</v>
          </cell>
          <cell r="X7750" t="str">
            <v>Financial income</v>
          </cell>
        </row>
        <row r="7751">
          <cell r="L7751"/>
          <cell r="S7751">
            <v>-0.01</v>
          </cell>
          <cell r="X7751" t="str">
            <v>Financial income</v>
          </cell>
        </row>
        <row r="7752">
          <cell r="L7752"/>
          <cell r="S7752">
            <v>-0.01</v>
          </cell>
          <cell r="X7752" t="str">
            <v>Financial income</v>
          </cell>
        </row>
        <row r="7753">
          <cell r="L7753"/>
          <cell r="S7753">
            <v>-0.01</v>
          </cell>
          <cell r="X7753" t="str">
            <v>Financial income</v>
          </cell>
        </row>
        <row r="7754">
          <cell r="L7754"/>
          <cell r="S7754">
            <v>-0.01</v>
          </cell>
          <cell r="X7754" t="str">
            <v>Financial income</v>
          </cell>
        </row>
        <row r="7755">
          <cell r="L7755"/>
          <cell r="S7755">
            <v>-0.01</v>
          </cell>
          <cell r="X7755" t="str">
            <v>Financial income</v>
          </cell>
        </row>
        <row r="7756">
          <cell r="L7756"/>
          <cell r="S7756">
            <v>-0.01</v>
          </cell>
          <cell r="X7756" t="str">
            <v>Financial income</v>
          </cell>
        </row>
        <row r="7757">
          <cell r="L7757"/>
          <cell r="S7757">
            <v>0.01</v>
          </cell>
          <cell r="X7757" t="str">
            <v>Financial income</v>
          </cell>
        </row>
        <row r="7758">
          <cell r="L7758"/>
          <cell r="S7758">
            <v>-0.01</v>
          </cell>
          <cell r="X7758" t="str">
            <v>Financial income</v>
          </cell>
        </row>
        <row r="7759">
          <cell r="L7759"/>
          <cell r="S7759">
            <v>-0.01</v>
          </cell>
          <cell r="X7759" t="str">
            <v>Financial income</v>
          </cell>
        </row>
        <row r="7760">
          <cell r="L7760"/>
          <cell r="S7760">
            <v>0.01</v>
          </cell>
          <cell r="X7760" t="str">
            <v>Financial income</v>
          </cell>
        </row>
        <row r="7761">
          <cell r="L7761"/>
          <cell r="S7761">
            <v>0.01</v>
          </cell>
          <cell r="X7761" t="str">
            <v>Financial income</v>
          </cell>
        </row>
        <row r="7762">
          <cell r="L7762"/>
          <cell r="S7762">
            <v>-0.01</v>
          </cell>
          <cell r="X7762" t="str">
            <v>Financial income</v>
          </cell>
        </row>
        <row r="7763">
          <cell r="L7763"/>
          <cell r="S7763">
            <v>-0.01</v>
          </cell>
          <cell r="X7763" t="str">
            <v>Financial income</v>
          </cell>
        </row>
        <row r="7764">
          <cell r="L7764"/>
          <cell r="S7764">
            <v>-0.01</v>
          </cell>
          <cell r="X7764" t="str">
            <v>Financial income</v>
          </cell>
        </row>
        <row r="7765">
          <cell r="L7765"/>
          <cell r="S7765">
            <v>0.01</v>
          </cell>
          <cell r="X7765" t="str">
            <v>Financial income</v>
          </cell>
        </row>
        <row r="7766">
          <cell r="L7766"/>
          <cell r="S7766">
            <v>0.01</v>
          </cell>
          <cell r="X7766" t="str">
            <v>Financial income</v>
          </cell>
        </row>
        <row r="7767">
          <cell r="L7767"/>
          <cell r="S7767">
            <v>0.01</v>
          </cell>
          <cell r="X7767" t="str">
            <v>Financial income</v>
          </cell>
        </row>
        <row r="7768">
          <cell r="L7768"/>
          <cell r="S7768">
            <v>-0.01</v>
          </cell>
          <cell r="X7768" t="str">
            <v>Financial income</v>
          </cell>
        </row>
        <row r="7769">
          <cell r="L7769"/>
          <cell r="S7769">
            <v>-0.14000000000000001</v>
          </cell>
          <cell r="X7769" t="str">
            <v>Financial income</v>
          </cell>
        </row>
        <row r="7770">
          <cell r="L7770"/>
          <cell r="S7770">
            <v>-0.01</v>
          </cell>
          <cell r="X7770" t="str">
            <v>Financial income</v>
          </cell>
        </row>
        <row r="7771">
          <cell r="L7771"/>
          <cell r="S7771">
            <v>-0.01</v>
          </cell>
          <cell r="X7771" t="str">
            <v>Financial income</v>
          </cell>
        </row>
        <row r="7772">
          <cell r="L7772"/>
          <cell r="S7772">
            <v>-0.01</v>
          </cell>
          <cell r="X7772" t="str">
            <v>Financial income</v>
          </cell>
        </row>
        <row r="7773">
          <cell r="L7773"/>
          <cell r="S7773">
            <v>-0.01</v>
          </cell>
          <cell r="X7773" t="str">
            <v>Financial income</v>
          </cell>
        </row>
        <row r="7774">
          <cell r="L7774"/>
          <cell r="S7774">
            <v>0.01</v>
          </cell>
          <cell r="X7774" t="str">
            <v>Financial income</v>
          </cell>
        </row>
        <row r="7775">
          <cell r="L7775"/>
          <cell r="S7775">
            <v>0.01</v>
          </cell>
          <cell r="X7775" t="str">
            <v>Financial income</v>
          </cell>
        </row>
        <row r="7776">
          <cell r="L7776"/>
          <cell r="S7776">
            <v>0.01</v>
          </cell>
          <cell r="X7776" t="str">
            <v>Financial income</v>
          </cell>
        </row>
        <row r="7777">
          <cell r="L7777"/>
          <cell r="S7777">
            <v>0.01</v>
          </cell>
          <cell r="X7777" t="str">
            <v>Financial income</v>
          </cell>
        </row>
        <row r="7778">
          <cell r="L7778"/>
          <cell r="S7778">
            <v>-0.01</v>
          </cell>
          <cell r="X7778" t="str">
            <v>Financial income</v>
          </cell>
        </row>
        <row r="7779">
          <cell r="L7779"/>
          <cell r="S7779">
            <v>-0.01</v>
          </cell>
          <cell r="X7779" t="str">
            <v>Financial income</v>
          </cell>
        </row>
        <row r="7780">
          <cell r="L7780"/>
          <cell r="S7780">
            <v>0.01</v>
          </cell>
          <cell r="X7780" t="str">
            <v>Financial income</v>
          </cell>
        </row>
        <row r="7781">
          <cell r="L7781"/>
          <cell r="S7781">
            <v>0.02</v>
          </cell>
          <cell r="X7781" t="str">
            <v>Financial income</v>
          </cell>
        </row>
        <row r="7782">
          <cell r="L7782"/>
          <cell r="S7782">
            <v>0.01</v>
          </cell>
          <cell r="X7782" t="str">
            <v>Financial income</v>
          </cell>
        </row>
        <row r="7783">
          <cell r="L7783"/>
          <cell r="S7783">
            <v>0.01</v>
          </cell>
          <cell r="X7783" t="str">
            <v>Financial income</v>
          </cell>
        </row>
        <row r="7784">
          <cell r="L7784"/>
          <cell r="S7784">
            <v>-0.01</v>
          </cell>
          <cell r="X7784" t="str">
            <v>Financial income</v>
          </cell>
        </row>
        <row r="7785">
          <cell r="L7785"/>
          <cell r="S7785">
            <v>90</v>
          </cell>
          <cell r="X7785" t="str">
            <v>Financial income</v>
          </cell>
        </row>
        <row r="7786">
          <cell r="L7786"/>
          <cell r="S7786">
            <v>90</v>
          </cell>
          <cell r="X7786" t="str">
            <v>Financial income</v>
          </cell>
        </row>
        <row r="7787">
          <cell r="L7787"/>
          <cell r="S7787">
            <v>32</v>
          </cell>
          <cell r="X7787" t="str">
            <v>Financial income</v>
          </cell>
        </row>
        <row r="7788">
          <cell r="L7788"/>
          <cell r="S7788">
            <v>-23.94</v>
          </cell>
          <cell r="X7788" t="str">
            <v>Financial income</v>
          </cell>
        </row>
        <row r="7789">
          <cell r="L7789"/>
          <cell r="S7789">
            <v>6.02</v>
          </cell>
          <cell r="X7789" t="str">
            <v>Financial income</v>
          </cell>
        </row>
        <row r="7790">
          <cell r="L7790"/>
          <cell r="S7790">
            <v>120</v>
          </cell>
          <cell r="X7790" t="str">
            <v>Financial income</v>
          </cell>
        </row>
        <row r="7791">
          <cell r="L7791"/>
          <cell r="S7791">
            <v>260</v>
          </cell>
          <cell r="X7791" t="str">
            <v>Financial income</v>
          </cell>
        </row>
        <row r="7792">
          <cell r="L7792"/>
          <cell r="S7792">
            <v>20</v>
          </cell>
          <cell r="X7792" t="str">
            <v>Financial income</v>
          </cell>
        </row>
        <row r="7793">
          <cell r="L7793"/>
          <cell r="S7793">
            <v>120</v>
          </cell>
          <cell r="X7793" t="str">
            <v>Financial income</v>
          </cell>
        </row>
        <row r="7794">
          <cell r="L7794"/>
          <cell r="S7794">
            <v>120</v>
          </cell>
          <cell r="X7794" t="str">
            <v>Financial income</v>
          </cell>
        </row>
        <row r="7795">
          <cell r="L7795"/>
          <cell r="S7795">
            <v>8</v>
          </cell>
          <cell r="X7795" t="str">
            <v>Financial income</v>
          </cell>
        </row>
        <row r="7796">
          <cell r="L7796"/>
          <cell r="S7796">
            <v>120</v>
          </cell>
          <cell r="X7796" t="str">
            <v>Financial income</v>
          </cell>
        </row>
        <row r="7797">
          <cell r="L7797"/>
          <cell r="S7797">
            <v>35.04</v>
          </cell>
          <cell r="X7797" t="str">
            <v>Financial income</v>
          </cell>
        </row>
        <row r="7798">
          <cell r="L7798"/>
          <cell r="S7798">
            <v>26.88</v>
          </cell>
          <cell r="X7798" t="str">
            <v>Financial income</v>
          </cell>
        </row>
        <row r="7799">
          <cell r="L7799"/>
          <cell r="S7799">
            <v>120</v>
          </cell>
          <cell r="X7799" t="str">
            <v>Financial income</v>
          </cell>
        </row>
        <row r="7800">
          <cell r="L7800"/>
          <cell r="S7800">
            <v>250.97</v>
          </cell>
          <cell r="X7800" t="str">
            <v>Financial income</v>
          </cell>
        </row>
        <row r="7801">
          <cell r="L7801"/>
          <cell r="S7801">
            <v>49.38</v>
          </cell>
          <cell r="X7801" t="str">
            <v>Financial income</v>
          </cell>
        </row>
        <row r="7802">
          <cell r="L7802"/>
          <cell r="S7802">
            <v>7.44</v>
          </cell>
          <cell r="X7802" t="str">
            <v>Financial income</v>
          </cell>
        </row>
        <row r="7803">
          <cell r="L7803"/>
          <cell r="S7803">
            <v>68.16</v>
          </cell>
          <cell r="X7803" t="str">
            <v>Financial income</v>
          </cell>
        </row>
        <row r="7804">
          <cell r="L7804"/>
          <cell r="S7804">
            <v>130</v>
          </cell>
          <cell r="X7804" t="str">
            <v>Financial income</v>
          </cell>
        </row>
        <row r="7805">
          <cell r="L7805"/>
          <cell r="S7805">
            <v>73.91</v>
          </cell>
          <cell r="X7805" t="str">
            <v>Financial income</v>
          </cell>
        </row>
        <row r="7806">
          <cell r="L7806"/>
          <cell r="S7806">
            <v>120</v>
          </cell>
          <cell r="X7806" t="str">
            <v>Financial income</v>
          </cell>
        </row>
        <row r="7807">
          <cell r="L7807"/>
          <cell r="S7807">
            <v>125</v>
          </cell>
          <cell r="X7807" t="str">
            <v>Financial income</v>
          </cell>
        </row>
        <row r="7808">
          <cell r="L7808"/>
          <cell r="S7808">
            <v>120</v>
          </cell>
          <cell r="X7808" t="str">
            <v>Financial income</v>
          </cell>
        </row>
        <row r="7809">
          <cell r="L7809"/>
          <cell r="S7809">
            <v>41.75</v>
          </cell>
          <cell r="X7809" t="str">
            <v>Financial income</v>
          </cell>
        </row>
        <row r="7810">
          <cell r="L7810"/>
          <cell r="S7810">
            <v>4.2</v>
          </cell>
          <cell r="X7810" t="str">
            <v>Financial income</v>
          </cell>
        </row>
        <row r="7811">
          <cell r="L7811"/>
          <cell r="S7811">
            <v>240</v>
          </cell>
          <cell r="X7811" t="str">
            <v>Financial income</v>
          </cell>
        </row>
        <row r="7812">
          <cell r="L7812"/>
          <cell r="S7812">
            <v>48.72</v>
          </cell>
          <cell r="X7812" t="str">
            <v>Financial income</v>
          </cell>
        </row>
        <row r="7813">
          <cell r="L7813"/>
          <cell r="S7813">
            <v>120</v>
          </cell>
          <cell r="X7813" t="str">
            <v>Financial income</v>
          </cell>
        </row>
        <row r="7814">
          <cell r="L7814"/>
          <cell r="S7814">
            <v>7.31</v>
          </cell>
          <cell r="X7814" t="str">
            <v>Financial income</v>
          </cell>
        </row>
        <row r="7815">
          <cell r="L7815"/>
          <cell r="S7815">
            <v>8</v>
          </cell>
          <cell r="X7815" t="str">
            <v>Financial income</v>
          </cell>
        </row>
        <row r="7816">
          <cell r="L7816"/>
          <cell r="S7816">
            <v>90</v>
          </cell>
          <cell r="X7816" t="str">
            <v>Financial income</v>
          </cell>
        </row>
        <row r="7817">
          <cell r="L7817"/>
          <cell r="S7817">
            <v>98</v>
          </cell>
          <cell r="X7817" t="str">
            <v>Financial income</v>
          </cell>
        </row>
        <row r="7818">
          <cell r="L7818"/>
          <cell r="S7818">
            <v>57.28</v>
          </cell>
          <cell r="X7818" t="str">
            <v>Financial income</v>
          </cell>
        </row>
        <row r="7819">
          <cell r="L7819"/>
          <cell r="S7819">
            <v>130</v>
          </cell>
          <cell r="X7819" t="str">
            <v>Financial income</v>
          </cell>
        </row>
        <row r="7820">
          <cell r="L7820"/>
          <cell r="S7820">
            <v>120</v>
          </cell>
          <cell r="X7820" t="str">
            <v>Financial income</v>
          </cell>
        </row>
        <row r="7821">
          <cell r="L7821"/>
          <cell r="S7821">
            <v>52.66</v>
          </cell>
          <cell r="X7821" t="str">
            <v>Financial income</v>
          </cell>
        </row>
        <row r="7822">
          <cell r="L7822"/>
          <cell r="S7822">
            <v>95.94</v>
          </cell>
          <cell r="X7822" t="str">
            <v>Financial income</v>
          </cell>
        </row>
        <row r="7823">
          <cell r="L7823"/>
          <cell r="S7823">
            <v>165.95</v>
          </cell>
          <cell r="X7823" t="str">
            <v>Financial income</v>
          </cell>
        </row>
        <row r="7824">
          <cell r="L7824"/>
          <cell r="S7824">
            <v>120</v>
          </cell>
          <cell r="X7824" t="str">
            <v>Financial income</v>
          </cell>
        </row>
        <row r="7825">
          <cell r="L7825"/>
          <cell r="S7825">
            <v>260</v>
          </cell>
          <cell r="X7825" t="str">
            <v>Financial income</v>
          </cell>
        </row>
        <row r="7826">
          <cell r="L7826"/>
          <cell r="S7826">
            <v>23.94</v>
          </cell>
          <cell r="X7826" t="str">
            <v>Financial income</v>
          </cell>
        </row>
        <row r="7827">
          <cell r="L7827"/>
          <cell r="S7827">
            <v>32</v>
          </cell>
          <cell r="X7827" t="str">
            <v>Financial income</v>
          </cell>
        </row>
        <row r="7828">
          <cell r="L7828"/>
          <cell r="S7828">
            <v>73.599999999999994</v>
          </cell>
          <cell r="X7828" t="str">
            <v>Financial income</v>
          </cell>
        </row>
        <row r="7829">
          <cell r="L7829"/>
          <cell r="S7829">
            <v>7.49</v>
          </cell>
          <cell r="X7829" t="str">
            <v>Financial income</v>
          </cell>
        </row>
        <row r="7830">
          <cell r="L7830"/>
          <cell r="S7830">
            <v>88.24</v>
          </cell>
          <cell r="X7830" t="str">
            <v>Financial income</v>
          </cell>
        </row>
        <row r="7831">
          <cell r="L7831"/>
          <cell r="S7831">
            <v>40</v>
          </cell>
          <cell r="X7831" t="str">
            <v>Financial income</v>
          </cell>
        </row>
        <row r="7832">
          <cell r="L7832"/>
          <cell r="S7832">
            <v>120</v>
          </cell>
          <cell r="X7832" t="str">
            <v>Financial income</v>
          </cell>
        </row>
        <row r="7833">
          <cell r="L7833"/>
          <cell r="S7833">
            <v>24</v>
          </cell>
          <cell r="X7833" t="str">
            <v>Financial income</v>
          </cell>
        </row>
        <row r="7834">
          <cell r="L7834"/>
          <cell r="S7834">
            <v>34.69</v>
          </cell>
          <cell r="X7834" t="str">
            <v>Financial income</v>
          </cell>
        </row>
        <row r="7835">
          <cell r="L7835"/>
          <cell r="S7835">
            <v>91.85</v>
          </cell>
          <cell r="X7835" t="str">
            <v>Financial income</v>
          </cell>
        </row>
        <row r="7836">
          <cell r="L7836"/>
          <cell r="S7836">
            <v>120</v>
          </cell>
          <cell r="X7836" t="str">
            <v>Financial income</v>
          </cell>
        </row>
        <row r="7837">
          <cell r="L7837" t="str">
            <v>Non-proportional</v>
          </cell>
          <cell r="S7837">
            <v>-8.0500000000000007</v>
          </cell>
          <cell r="X7837" t="str">
            <v>Financial income</v>
          </cell>
          <cell r="Y7837" t="str">
            <v>SWITZERLAND</v>
          </cell>
        </row>
        <row r="7838">
          <cell r="L7838"/>
          <cell r="S7838">
            <v>-39.03</v>
          </cell>
          <cell r="X7838" t="str">
            <v>Financial income</v>
          </cell>
        </row>
        <row r="7839">
          <cell r="L7839" t="str">
            <v>Non-proportional</v>
          </cell>
          <cell r="S7839">
            <v>-8.0500000000000007</v>
          </cell>
          <cell r="X7839" t="str">
            <v>Financial income</v>
          </cell>
          <cell r="Y7839" t="str">
            <v>SWITZERLAND</v>
          </cell>
        </row>
        <row r="7840">
          <cell r="L7840" t="str">
            <v>Non-proportional</v>
          </cell>
          <cell r="S7840">
            <v>-8.0500000000000007</v>
          </cell>
          <cell r="X7840" t="str">
            <v>Financial income</v>
          </cell>
          <cell r="Y7840" t="str">
            <v>SWITZERLAND</v>
          </cell>
        </row>
        <row r="7841">
          <cell r="L7841" t="str">
            <v>Non-proportional</v>
          </cell>
          <cell r="S7841">
            <v>-8.0500000000000007</v>
          </cell>
          <cell r="X7841" t="str">
            <v>Financial income</v>
          </cell>
          <cell r="Y7841" t="str">
            <v>SWITZERLAND</v>
          </cell>
        </row>
        <row r="7842">
          <cell r="L7842"/>
          <cell r="S7842">
            <v>71.23</v>
          </cell>
          <cell r="X7842" t="str">
            <v>Financial income</v>
          </cell>
        </row>
        <row r="7843">
          <cell r="L7843"/>
          <cell r="S7843">
            <v>49.62</v>
          </cell>
          <cell r="X7843" t="str">
            <v>Financial income</v>
          </cell>
        </row>
        <row r="7844">
          <cell r="L7844"/>
          <cell r="S7844">
            <v>7.49</v>
          </cell>
          <cell r="X7844" t="str">
            <v>Financial income</v>
          </cell>
        </row>
        <row r="7845">
          <cell r="L7845"/>
          <cell r="S7845">
            <v>48</v>
          </cell>
          <cell r="X7845" t="str">
            <v>Financial income</v>
          </cell>
        </row>
        <row r="7846">
          <cell r="L7846"/>
          <cell r="S7846">
            <v>17.809999999999999</v>
          </cell>
          <cell r="X7846" t="str">
            <v>Financial income</v>
          </cell>
        </row>
        <row r="7847">
          <cell r="L7847"/>
          <cell r="S7847">
            <v>16</v>
          </cell>
          <cell r="X7847" t="str">
            <v>Financial income</v>
          </cell>
        </row>
        <row r="7848">
          <cell r="L7848"/>
          <cell r="S7848">
            <v>125</v>
          </cell>
          <cell r="X7848" t="str">
            <v>Financial income</v>
          </cell>
        </row>
        <row r="7849">
          <cell r="L7849"/>
          <cell r="S7849">
            <v>8</v>
          </cell>
          <cell r="X7849" t="str">
            <v>Financial income</v>
          </cell>
        </row>
        <row r="7850">
          <cell r="L7850"/>
          <cell r="S7850">
            <v>88</v>
          </cell>
          <cell r="X7850" t="str">
            <v>Financial income</v>
          </cell>
        </row>
        <row r="7851">
          <cell r="L7851"/>
          <cell r="S7851">
            <v>160</v>
          </cell>
          <cell r="X7851" t="str">
            <v>Financial income</v>
          </cell>
        </row>
        <row r="7852">
          <cell r="L7852"/>
          <cell r="S7852">
            <v>7.47</v>
          </cell>
          <cell r="X7852" t="str">
            <v>Financial income</v>
          </cell>
        </row>
        <row r="7853">
          <cell r="L7853"/>
          <cell r="S7853">
            <v>130</v>
          </cell>
          <cell r="X7853" t="str">
            <v>Financial income</v>
          </cell>
        </row>
        <row r="7854">
          <cell r="L7854"/>
          <cell r="S7854">
            <v>-39.03</v>
          </cell>
          <cell r="X7854" t="str">
            <v>Financial income</v>
          </cell>
        </row>
        <row r="7855">
          <cell r="L7855"/>
          <cell r="S7855">
            <v>39.03</v>
          </cell>
          <cell r="X7855" t="str">
            <v>Financial income</v>
          </cell>
        </row>
        <row r="7856">
          <cell r="L7856"/>
          <cell r="S7856">
            <v>49.58</v>
          </cell>
          <cell r="X7856" t="str">
            <v>Financial income</v>
          </cell>
        </row>
        <row r="7857">
          <cell r="L7857"/>
          <cell r="S7857">
            <v>360</v>
          </cell>
          <cell r="X7857" t="str">
            <v>Financial income</v>
          </cell>
        </row>
        <row r="7858">
          <cell r="L7858"/>
          <cell r="S7858">
            <v>6.42</v>
          </cell>
          <cell r="X7858" t="str">
            <v>Financial income</v>
          </cell>
        </row>
        <row r="7859">
          <cell r="L7859"/>
          <cell r="S7859">
            <v>240</v>
          </cell>
          <cell r="X7859" t="str">
            <v>Financial income</v>
          </cell>
        </row>
        <row r="7860">
          <cell r="L7860"/>
          <cell r="S7860">
            <v>90.5</v>
          </cell>
          <cell r="X7860" t="str">
            <v>Financial income</v>
          </cell>
        </row>
        <row r="7861">
          <cell r="L7861"/>
          <cell r="S7861">
            <v>120</v>
          </cell>
          <cell r="X7861" t="str">
            <v>Financial income</v>
          </cell>
        </row>
        <row r="7862">
          <cell r="L7862"/>
          <cell r="S7862">
            <v>34.61</v>
          </cell>
          <cell r="X7862" t="str">
            <v>Financial income</v>
          </cell>
        </row>
        <row r="7863">
          <cell r="L7863"/>
          <cell r="S7863">
            <v>120</v>
          </cell>
          <cell r="X7863" t="str">
            <v>Financial income</v>
          </cell>
        </row>
        <row r="7864">
          <cell r="L7864" t="str">
            <v>Non-proportional</v>
          </cell>
          <cell r="S7864">
            <v>-8</v>
          </cell>
          <cell r="X7864" t="str">
            <v>Financial income</v>
          </cell>
          <cell r="Y7864" t="str">
            <v>SWITZERLAND</v>
          </cell>
        </row>
        <row r="7865">
          <cell r="L7865" t="str">
            <v>Non-proportional</v>
          </cell>
          <cell r="S7865">
            <v>-8</v>
          </cell>
          <cell r="X7865" t="str">
            <v>Financial income</v>
          </cell>
          <cell r="Y7865" t="str">
            <v>SWITZERLAND</v>
          </cell>
        </row>
        <row r="7866">
          <cell r="L7866" t="str">
            <v>Non-proportional</v>
          </cell>
          <cell r="S7866">
            <v>-8</v>
          </cell>
          <cell r="X7866" t="str">
            <v>Financial income</v>
          </cell>
          <cell r="Y7866" t="str">
            <v>SWITZERLAND</v>
          </cell>
        </row>
        <row r="7867">
          <cell r="L7867"/>
          <cell r="S7867">
            <v>32</v>
          </cell>
          <cell r="X7867" t="str">
            <v>Financial income</v>
          </cell>
        </row>
        <row r="7868">
          <cell r="L7868" t="str">
            <v>Non-proportional</v>
          </cell>
          <cell r="S7868">
            <v>-8</v>
          </cell>
          <cell r="X7868" t="str">
            <v>Financial income</v>
          </cell>
          <cell r="Y7868" t="str">
            <v>SWITZERLAND</v>
          </cell>
        </row>
        <row r="7869">
          <cell r="L7869"/>
          <cell r="S7869">
            <v>152</v>
          </cell>
          <cell r="X7869" t="str">
            <v>Financial income</v>
          </cell>
        </row>
        <row r="7870">
          <cell r="L7870"/>
          <cell r="S7870">
            <v>257</v>
          </cell>
          <cell r="X7870" t="str">
            <v>Financial income</v>
          </cell>
        </row>
        <row r="7871">
          <cell r="L7871"/>
          <cell r="S7871">
            <v>28.25</v>
          </cell>
          <cell r="X7871" t="str">
            <v>Financial income</v>
          </cell>
        </row>
        <row r="7872">
          <cell r="L7872"/>
          <cell r="S7872">
            <v>40</v>
          </cell>
          <cell r="X7872" t="str">
            <v>Financial income</v>
          </cell>
        </row>
        <row r="7873">
          <cell r="L7873"/>
          <cell r="S7873">
            <v>110.6</v>
          </cell>
          <cell r="X7873" t="str">
            <v>Financial income</v>
          </cell>
        </row>
        <row r="7874">
          <cell r="L7874"/>
          <cell r="S7874">
            <v>52.14</v>
          </cell>
          <cell r="X7874" t="str">
            <v>Financial income</v>
          </cell>
        </row>
        <row r="7875">
          <cell r="L7875"/>
          <cell r="S7875">
            <v>16</v>
          </cell>
          <cell r="X7875" t="str">
            <v>Financial income</v>
          </cell>
        </row>
        <row r="7876">
          <cell r="L7876"/>
          <cell r="S7876">
            <v>120</v>
          </cell>
          <cell r="X7876" t="str">
            <v>Financial income</v>
          </cell>
        </row>
        <row r="7877">
          <cell r="L7877"/>
          <cell r="S7877">
            <v>24.26</v>
          </cell>
          <cell r="X7877" t="str">
            <v>Financial income</v>
          </cell>
        </row>
        <row r="7878">
          <cell r="L7878"/>
          <cell r="S7878">
            <v>8</v>
          </cell>
          <cell r="X7878" t="str">
            <v>Financial income</v>
          </cell>
        </row>
        <row r="7879">
          <cell r="L7879"/>
          <cell r="S7879">
            <v>-23.89</v>
          </cell>
          <cell r="X7879" t="str">
            <v>Financial income</v>
          </cell>
        </row>
        <row r="7880">
          <cell r="L7880"/>
          <cell r="S7880">
            <v>23.88</v>
          </cell>
          <cell r="X7880" t="str">
            <v>Financial income</v>
          </cell>
        </row>
        <row r="7881">
          <cell r="L7881"/>
          <cell r="S7881">
            <v>240</v>
          </cell>
          <cell r="X7881" t="str">
            <v>Financial income</v>
          </cell>
        </row>
        <row r="7882">
          <cell r="L7882"/>
          <cell r="S7882">
            <v>81.599999999999994</v>
          </cell>
          <cell r="X7882" t="str">
            <v>Financial income</v>
          </cell>
        </row>
        <row r="7883">
          <cell r="L7883"/>
          <cell r="S7883">
            <v>44.71</v>
          </cell>
          <cell r="X7883" t="str">
            <v>Financial income</v>
          </cell>
        </row>
        <row r="7884">
          <cell r="L7884"/>
          <cell r="S7884">
            <v>106</v>
          </cell>
          <cell r="X7884" t="str">
            <v>Financial income</v>
          </cell>
        </row>
        <row r="7885">
          <cell r="L7885"/>
          <cell r="S7885">
            <v>48.76</v>
          </cell>
          <cell r="X7885" t="str">
            <v>Financial income</v>
          </cell>
        </row>
        <row r="7886">
          <cell r="L7886"/>
          <cell r="S7886">
            <v>210.5</v>
          </cell>
          <cell r="X7886" t="str">
            <v>Financial income</v>
          </cell>
        </row>
        <row r="7887">
          <cell r="L7887"/>
          <cell r="S7887">
            <v>160</v>
          </cell>
          <cell r="X7887" t="str">
            <v>Financial income</v>
          </cell>
        </row>
        <row r="7888">
          <cell r="L7888"/>
          <cell r="S7888">
            <v>175.17</v>
          </cell>
          <cell r="X7888" t="str">
            <v>Financial income</v>
          </cell>
        </row>
        <row r="7889">
          <cell r="L7889"/>
          <cell r="S7889">
            <v>240</v>
          </cell>
          <cell r="X7889" t="str">
            <v>Financial income</v>
          </cell>
        </row>
        <row r="7890">
          <cell r="L7890"/>
          <cell r="S7890">
            <v>64</v>
          </cell>
          <cell r="X7890" t="str">
            <v>Financial income</v>
          </cell>
        </row>
        <row r="7891">
          <cell r="L7891"/>
          <cell r="S7891">
            <v>255</v>
          </cell>
          <cell r="X7891" t="str">
            <v>Financial income</v>
          </cell>
        </row>
        <row r="7892">
          <cell r="L7892"/>
          <cell r="S7892">
            <v>245.38</v>
          </cell>
          <cell r="X7892" t="str">
            <v>Financial income</v>
          </cell>
        </row>
        <row r="7893">
          <cell r="L7893"/>
          <cell r="S7893">
            <v>48</v>
          </cell>
          <cell r="X7893" t="str">
            <v>Financial income</v>
          </cell>
        </row>
        <row r="7894">
          <cell r="L7894"/>
          <cell r="S7894">
            <v>59.62</v>
          </cell>
          <cell r="X7894" t="str">
            <v>Financial income</v>
          </cell>
        </row>
        <row r="7895">
          <cell r="L7895"/>
          <cell r="S7895">
            <v>7.54</v>
          </cell>
          <cell r="X7895" t="str">
            <v>Financial income</v>
          </cell>
        </row>
        <row r="7896">
          <cell r="L7896"/>
          <cell r="S7896">
            <v>32</v>
          </cell>
          <cell r="X7896" t="str">
            <v>Financial income</v>
          </cell>
        </row>
        <row r="7897">
          <cell r="L7897"/>
          <cell r="S7897">
            <v>55.88</v>
          </cell>
          <cell r="X7897" t="str">
            <v>Financial income</v>
          </cell>
        </row>
        <row r="7898">
          <cell r="L7898"/>
          <cell r="S7898">
            <v>-32</v>
          </cell>
          <cell r="X7898" t="str">
            <v>Financial income</v>
          </cell>
        </row>
        <row r="7899">
          <cell r="L7899"/>
          <cell r="S7899">
            <v>49.8</v>
          </cell>
          <cell r="X7899" t="str">
            <v>Financial income</v>
          </cell>
        </row>
        <row r="7900">
          <cell r="L7900"/>
          <cell r="S7900">
            <v>152</v>
          </cell>
          <cell r="X7900" t="str">
            <v>Financial income</v>
          </cell>
        </row>
        <row r="7901">
          <cell r="L7901"/>
          <cell r="S7901">
            <v>24.43</v>
          </cell>
          <cell r="X7901" t="str">
            <v>Financial income</v>
          </cell>
        </row>
        <row r="7902">
          <cell r="L7902"/>
          <cell r="S7902">
            <v>132.01</v>
          </cell>
          <cell r="X7902" t="str">
            <v>Financial income</v>
          </cell>
        </row>
        <row r="7903">
          <cell r="L7903"/>
          <cell r="S7903">
            <v>8.5</v>
          </cell>
          <cell r="X7903" t="str">
            <v>Financial income</v>
          </cell>
        </row>
        <row r="7904">
          <cell r="L7904"/>
          <cell r="S7904">
            <v>24</v>
          </cell>
          <cell r="X7904" t="str">
            <v>Financial income</v>
          </cell>
        </row>
        <row r="7905">
          <cell r="L7905"/>
          <cell r="S7905">
            <v>55.76</v>
          </cell>
          <cell r="X7905" t="str">
            <v>Financial income</v>
          </cell>
        </row>
        <row r="7906">
          <cell r="L7906"/>
          <cell r="S7906">
            <v>33.58</v>
          </cell>
          <cell r="X7906" t="str">
            <v>Financial income</v>
          </cell>
        </row>
        <row r="7907">
          <cell r="L7907"/>
          <cell r="S7907">
            <v>8</v>
          </cell>
          <cell r="X7907" t="str">
            <v>Financial income</v>
          </cell>
        </row>
        <row r="7908">
          <cell r="L7908"/>
          <cell r="S7908">
            <v>45.57</v>
          </cell>
          <cell r="X7908" t="str">
            <v>Financial income</v>
          </cell>
        </row>
        <row r="7909">
          <cell r="L7909"/>
          <cell r="S7909">
            <v>60</v>
          </cell>
          <cell r="X7909" t="str">
            <v>Financial income</v>
          </cell>
        </row>
        <row r="7910">
          <cell r="L7910"/>
          <cell r="S7910">
            <v>43.49</v>
          </cell>
          <cell r="X7910" t="str">
            <v>Financial income</v>
          </cell>
        </row>
        <row r="7911">
          <cell r="L7911"/>
          <cell r="S7911">
            <v>7.51</v>
          </cell>
          <cell r="X7911" t="str">
            <v>Financial income</v>
          </cell>
        </row>
        <row r="7912">
          <cell r="L7912"/>
          <cell r="S7912">
            <v>49.64</v>
          </cell>
          <cell r="X7912" t="str">
            <v>Financial income</v>
          </cell>
        </row>
        <row r="7913">
          <cell r="L7913"/>
          <cell r="S7913">
            <v>100.23</v>
          </cell>
          <cell r="X7913" t="str">
            <v>Financial income</v>
          </cell>
        </row>
        <row r="7914">
          <cell r="L7914"/>
          <cell r="S7914">
            <v>120</v>
          </cell>
          <cell r="X7914" t="str">
            <v>Financial income</v>
          </cell>
        </row>
        <row r="7915">
          <cell r="L7915"/>
          <cell r="S7915">
            <v>51.79</v>
          </cell>
          <cell r="X7915" t="str">
            <v>Financial income</v>
          </cell>
        </row>
        <row r="7916">
          <cell r="L7916"/>
          <cell r="S7916">
            <v>120</v>
          </cell>
          <cell r="X7916" t="str">
            <v>Financial income</v>
          </cell>
        </row>
        <row r="7917">
          <cell r="L7917"/>
          <cell r="S7917">
            <v>140</v>
          </cell>
          <cell r="X7917" t="str">
            <v>Financial income</v>
          </cell>
        </row>
        <row r="7918">
          <cell r="L7918"/>
          <cell r="S7918">
            <v>128.13</v>
          </cell>
          <cell r="X7918" t="str">
            <v>Financial income</v>
          </cell>
        </row>
        <row r="7919">
          <cell r="L7919"/>
          <cell r="S7919">
            <v>51.66</v>
          </cell>
          <cell r="X7919" t="str">
            <v>Financial income</v>
          </cell>
        </row>
        <row r="7920">
          <cell r="L7920"/>
          <cell r="S7920">
            <v>120</v>
          </cell>
          <cell r="X7920" t="str">
            <v>Financial income</v>
          </cell>
        </row>
        <row r="7921">
          <cell r="L7921"/>
          <cell r="S7921">
            <v>120</v>
          </cell>
          <cell r="X7921" t="str">
            <v>Financial income</v>
          </cell>
        </row>
        <row r="7922">
          <cell r="L7922"/>
          <cell r="S7922">
            <v>120</v>
          </cell>
          <cell r="X7922" t="str">
            <v>Financial income</v>
          </cell>
        </row>
        <row r="7923">
          <cell r="L7923"/>
          <cell r="S7923">
            <v>7.53</v>
          </cell>
          <cell r="X7923" t="str">
            <v>Financial income</v>
          </cell>
        </row>
        <row r="7924">
          <cell r="L7924"/>
          <cell r="S7924">
            <v>233.95</v>
          </cell>
          <cell r="X7924" t="str">
            <v>Financial income</v>
          </cell>
        </row>
        <row r="7925">
          <cell r="L7925"/>
          <cell r="S7925">
            <v>38.5</v>
          </cell>
          <cell r="X7925" t="str">
            <v>Expenses</v>
          </cell>
        </row>
        <row r="7926">
          <cell r="L7926"/>
          <cell r="S7926">
            <v>8.5</v>
          </cell>
          <cell r="X7926" t="str">
            <v>Expenses</v>
          </cell>
        </row>
        <row r="7927">
          <cell r="L7927"/>
          <cell r="S7927">
            <v>70.5</v>
          </cell>
          <cell r="X7927" t="str">
            <v>Expenses</v>
          </cell>
        </row>
        <row r="7928">
          <cell r="L7928"/>
          <cell r="S7928">
            <v>250</v>
          </cell>
          <cell r="X7928" t="str">
            <v>Expenses</v>
          </cell>
        </row>
        <row r="7929">
          <cell r="L7929"/>
          <cell r="S7929">
            <v>108.75</v>
          </cell>
          <cell r="X7929" t="str">
            <v>Expenses</v>
          </cell>
        </row>
        <row r="7930">
          <cell r="L7930"/>
          <cell r="S7930">
            <v>170</v>
          </cell>
          <cell r="X7930" t="str">
            <v>Expenses</v>
          </cell>
        </row>
        <row r="7931">
          <cell r="L7931"/>
          <cell r="S7931">
            <v>170</v>
          </cell>
          <cell r="X7931" t="str">
            <v>Expenses</v>
          </cell>
        </row>
        <row r="7932">
          <cell r="L7932"/>
          <cell r="S7932">
            <v>170</v>
          </cell>
          <cell r="X7932" t="str">
            <v>Expenses</v>
          </cell>
        </row>
        <row r="7933">
          <cell r="L7933"/>
          <cell r="S7933">
            <v>8.5</v>
          </cell>
          <cell r="X7933" t="str">
            <v>Expenses</v>
          </cell>
        </row>
        <row r="7934">
          <cell r="L7934"/>
          <cell r="S7934">
            <v>332.62</v>
          </cell>
          <cell r="X7934" t="str">
            <v>to check</v>
          </cell>
        </row>
        <row r="7935">
          <cell r="L7935"/>
          <cell r="S7935">
            <v>3409.62</v>
          </cell>
          <cell r="X7935" t="str">
            <v>to check</v>
          </cell>
        </row>
        <row r="7936">
          <cell r="L7936"/>
          <cell r="S7936">
            <v>5355.55</v>
          </cell>
          <cell r="X7936" t="str">
            <v>to check</v>
          </cell>
        </row>
        <row r="7937">
          <cell r="L7937"/>
          <cell r="S7937">
            <v>785.06</v>
          </cell>
          <cell r="X7937" t="str">
            <v>to check</v>
          </cell>
        </row>
        <row r="7938">
          <cell r="L7938"/>
          <cell r="S7938">
            <v>28482.38</v>
          </cell>
          <cell r="X7938" t="str">
            <v>to check</v>
          </cell>
        </row>
        <row r="7939">
          <cell r="L7939"/>
          <cell r="S7939">
            <v>766752</v>
          </cell>
          <cell r="X7939" t="str">
            <v>Expenses</v>
          </cell>
        </row>
        <row r="7940">
          <cell r="L7940"/>
          <cell r="S7940">
            <v>-766752</v>
          </cell>
          <cell r="X7940" t="str">
            <v>Expenses</v>
          </cell>
        </row>
        <row r="7941">
          <cell r="L7941"/>
          <cell r="S7941">
            <v>-2300256</v>
          </cell>
          <cell r="X7941" t="str">
            <v>Expenses</v>
          </cell>
        </row>
        <row r="7942">
          <cell r="L7942" t="str">
            <v>Non-proportional</v>
          </cell>
          <cell r="S7942">
            <v>-1316</v>
          </cell>
          <cell r="X7942" t="str">
            <v>GWP - gross</v>
          </cell>
          <cell r="Y7942" t="str">
            <v>FRANCE</v>
          </cell>
        </row>
        <row r="7943">
          <cell r="L7943" t="str">
            <v>Non-proportional</v>
          </cell>
          <cell r="S7943">
            <v>127139.25</v>
          </cell>
          <cell r="X7943" t="str">
            <v>GWP - gross</v>
          </cell>
          <cell r="Y7943" t="str">
            <v>SWITZERLAND</v>
          </cell>
        </row>
        <row r="7944">
          <cell r="L7944" t="str">
            <v>Non-proportional</v>
          </cell>
          <cell r="S7944">
            <v>-990958.67</v>
          </cell>
          <cell r="X7944" t="str">
            <v>GWP - gross</v>
          </cell>
          <cell r="Y7944" t="str">
            <v>UNITED KINGDOM</v>
          </cell>
        </row>
        <row r="7945">
          <cell r="L7945" t="str">
            <v>Non-proportional</v>
          </cell>
          <cell r="S7945">
            <v>78920.259999999995</v>
          </cell>
          <cell r="X7945" t="str">
            <v>GWP - gross</v>
          </cell>
          <cell r="Y7945" t="str">
            <v>FAROE ISLANDS</v>
          </cell>
        </row>
        <row r="7946">
          <cell r="L7946" t="str">
            <v>Non-proportional</v>
          </cell>
          <cell r="S7946">
            <v>127139.25</v>
          </cell>
          <cell r="X7946" t="str">
            <v>GWP - gross</v>
          </cell>
          <cell r="Y7946" t="str">
            <v>SWITZERLAND</v>
          </cell>
        </row>
        <row r="7947">
          <cell r="L7947" t="str">
            <v>Non-proportional</v>
          </cell>
          <cell r="S7947">
            <v>-178112.25</v>
          </cell>
          <cell r="X7947" t="str">
            <v>GWP - gross</v>
          </cell>
          <cell r="Y7947" t="str">
            <v>SWITZERLAND</v>
          </cell>
        </row>
        <row r="7948">
          <cell r="L7948" t="str">
            <v>Non-proportional</v>
          </cell>
          <cell r="S7948">
            <v>-40001</v>
          </cell>
          <cell r="X7948" t="str">
            <v>GWP - gross</v>
          </cell>
          <cell r="Y7948" t="str">
            <v>ITALY</v>
          </cell>
        </row>
        <row r="7949">
          <cell r="L7949" t="str">
            <v>Non-proportional</v>
          </cell>
          <cell r="S7949">
            <v>-36596.129999999997</v>
          </cell>
          <cell r="X7949" t="str">
            <v>GWP - gross</v>
          </cell>
          <cell r="Y7949" t="str">
            <v>SWITZERLAND</v>
          </cell>
        </row>
        <row r="7950">
          <cell r="L7950" t="str">
            <v>Non-proportional</v>
          </cell>
          <cell r="S7950">
            <v>-7803375.7300000004</v>
          </cell>
          <cell r="X7950" t="str">
            <v>GWP - gross</v>
          </cell>
          <cell r="Y7950" t="str">
            <v>UNITED KINGDOM</v>
          </cell>
        </row>
        <row r="7951">
          <cell r="L7951" t="str">
            <v>Non-proportional</v>
          </cell>
          <cell r="S7951">
            <v>-198000</v>
          </cell>
          <cell r="X7951" t="str">
            <v>GWP - gross</v>
          </cell>
          <cell r="Y7951" t="str">
            <v>GERMANY</v>
          </cell>
        </row>
        <row r="7952">
          <cell r="L7952" t="str">
            <v>Non-proportional</v>
          </cell>
          <cell r="S7952">
            <v>-67900</v>
          </cell>
          <cell r="X7952" t="str">
            <v>GWP - gross</v>
          </cell>
          <cell r="Y7952" t="str">
            <v>AUSTRIA</v>
          </cell>
        </row>
        <row r="7953">
          <cell r="L7953" t="str">
            <v>Non-proportional</v>
          </cell>
          <cell r="S7953">
            <v>-61800</v>
          </cell>
          <cell r="X7953" t="str">
            <v>GWP - gross</v>
          </cell>
          <cell r="Y7953" t="str">
            <v>GERMANY</v>
          </cell>
        </row>
        <row r="7954">
          <cell r="L7954" t="str">
            <v>Non-proportional</v>
          </cell>
          <cell r="S7954">
            <v>-10480.540000000001</v>
          </cell>
          <cell r="X7954" t="str">
            <v>GWP - gross</v>
          </cell>
          <cell r="Y7954" t="str">
            <v>GERMANY</v>
          </cell>
        </row>
        <row r="7955">
          <cell r="L7955" t="str">
            <v>Non-proportional</v>
          </cell>
          <cell r="S7955">
            <v>67700</v>
          </cell>
          <cell r="X7955" t="str">
            <v>GWP - gross</v>
          </cell>
          <cell r="Y7955" t="str">
            <v>EUROPE</v>
          </cell>
        </row>
        <row r="7956">
          <cell r="L7956" t="str">
            <v>Non-proportional</v>
          </cell>
          <cell r="S7956">
            <v>-168699.7</v>
          </cell>
          <cell r="X7956" t="str">
            <v>GWP - gross</v>
          </cell>
          <cell r="Y7956" t="str">
            <v>SWITZERLAND</v>
          </cell>
        </row>
        <row r="7957">
          <cell r="L7957" t="str">
            <v>Non-proportional</v>
          </cell>
          <cell r="S7957">
            <v>-145543.87</v>
          </cell>
          <cell r="X7957" t="str">
            <v>GWP - gross</v>
          </cell>
          <cell r="Y7957" t="str">
            <v>UNITED KINGDOM</v>
          </cell>
        </row>
        <row r="7958">
          <cell r="L7958" t="str">
            <v>Non-proportional</v>
          </cell>
          <cell r="S7958">
            <v>145543.87</v>
          </cell>
          <cell r="X7958" t="str">
            <v>GWP - gross</v>
          </cell>
          <cell r="Y7958" t="str">
            <v>UNITED KINGDOM</v>
          </cell>
        </row>
        <row r="7959">
          <cell r="L7959" t="str">
            <v>Non-proportional</v>
          </cell>
          <cell r="S7959">
            <v>39150</v>
          </cell>
          <cell r="X7959" t="str">
            <v>GWP - gross</v>
          </cell>
          <cell r="Y7959" t="str">
            <v>ROMANIA</v>
          </cell>
        </row>
        <row r="7960">
          <cell r="L7960" t="str">
            <v>Non-proportional</v>
          </cell>
          <cell r="S7960">
            <v>-125109.41</v>
          </cell>
          <cell r="X7960" t="str">
            <v>GWP - gross</v>
          </cell>
          <cell r="Y7960" t="str">
            <v>FRANCE</v>
          </cell>
        </row>
        <row r="7961">
          <cell r="L7961" t="str">
            <v>Non-proportional</v>
          </cell>
          <cell r="S7961">
            <v>-87131.53</v>
          </cell>
          <cell r="X7961" t="str">
            <v>GWP - gross</v>
          </cell>
          <cell r="Y7961" t="str">
            <v>NORWAY</v>
          </cell>
        </row>
        <row r="7962">
          <cell r="L7962" t="str">
            <v>Non-proportional</v>
          </cell>
          <cell r="S7962">
            <v>-48129.89</v>
          </cell>
          <cell r="X7962" t="str">
            <v>GWP - gross</v>
          </cell>
          <cell r="Y7962" t="str">
            <v>SWITZERLAND</v>
          </cell>
        </row>
        <row r="7963">
          <cell r="L7963" t="str">
            <v>Non-proportional</v>
          </cell>
          <cell r="S7963">
            <v>-323647.52</v>
          </cell>
          <cell r="X7963" t="str">
            <v>GWP - gross</v>
          </cell>
          <cell r="Y7963" t="str">
            <v>UNITED KINGDOM</v>
          </cell>
        </row>
        <row r="7964">
          <cell r="L7964" t="str">
            <v>Non-proportional</v>
          </cell>
          <cell r="S7964">
            <v>-8621.25</v>
          </cell>
          <cell r="X7964" t="str">
            <v>GWP - gross</v>
          </cell>
          <cell r="Y7964" t="str">
            <v>ITALY</v>
          </cell>
        </row>
        <row r="7965">
          <cell r="L7965" t="str">
            <v>Non-proportional</v>
          </cell>
          <cell r="S7965">
            <v>-4873.5</v>
          </cell>
          <cell r="X7965" t="str">
            <v>GWP - gross</v>
          </cell>
          <cell r="Y7965" t="str">
            <v>ITALY</v>
          </cell>
        </row>
        <row r="7966">
          <cell r="L7966" t="str">
            <v>Non-proportional</v>
          </cell>
          <cell r="S7966">
            <v>-77500</v>
          </cell>
          <cell r="X7966" t="str">
            <v>GWP - gross</v>
          </cell>
          <cell r="Y7966" t="str">
            <v>AUSTRIA</v>
          </cell>
        </row>
        <row r="7967">
          <cell r="L7967" t="str">
            <v>Non-proportional</v>
          </cell>
          <cell r="S7967">
            <v>178112.25</v>
          </cell>
          <cell r="X7967" t="str">
            <v>GWP - gross</v>
          </cell>
          <cell r="Y7967" t="str">
            <v>SWITZERLAND</v>
          </cell>
        </row>
        <row r="7968">
          <cell r="L7968" t="str">
            <v>Non-proportional</v>
          </cell>
          <cell r="S7968">
            <v>-59657.78</v>
          </cell>
          <cell r="X7968" t="str">
            <v>GWP - gross</v>
          </cell>
          <cell r="Y7968" t="str">
            <v>SWITZERLAND</v>
          </cell>
        </row>
        <row r="7969">
          <cell r="L7969" t="str">
            <v>Non-proportional</v>
          </cell>
          <cell r="S7969">
            <v>225256.94</v>
          </cell>
          <cell r="X7969" t="str">
            <v>GWP - gross</v>
          </cell>
          <cell r="Y7969" t="str">
            <v>UNITED KINGDOM</v>
          </cell>
        </row>
        <row r="7970">
          <cell r="L7970" t="str">
            <v>Non-proportional</v>
          </cell>
          <cell r="S7970">
            <v>112466.24000000001</v>
          </cell>
          <cell r="X7970" t="str">
            <v>GWP - gross</v>
          </cell>
          <cell r="Y7970" t="str">
            <v>UNITED KINGDOM</v>
          </cell>
        </row>
        <row r="7971">
          <cell r="L7971" t="str">
            <v>Non-proportional</v>
          </cell>
          <cell r="S7971">
            <v>10480.540000000001</v>
          </cell>
          <cell r="X7971" t="str">
            <v>GWP - gross</v>
          </cell>
          <cell r="Y7971" t="str">
            <v>SWITZERLAND</v>
          </cell>
        </row>
        <row r="7972">
          <cell r="L7972" t="str">
            <v>Non-proportional</v>
          </cell>
          <cell r="S7972">
            <v>-36596.129999999997</v>
          </cell>
          <cell r="X7972" t="str">
            <v>GWP - gross</v>
          </cell>
          <cell r="Y7972" t="str">
            <v>SWITZERLAND</v>
          </cell>
        </row>
        <row r="7973">
          <cell r="L7973" t="str">
            <v>Non-proportional</v>
          </cell>
          <cell r="S7973">
            <v>-11610.28</v>
          </cell>
          <cell r="X7973" t="str">
            <v>GWP - gross</v>
          </cell>
          <cell r="Y7973" t="str">
            <v>SWITZERLAND</v>
          </cell>
        </row>
        <row r="7974">
          <cell r="L7974" t="str">
            <v>Non-proportional</v>
          </cell>
          <cell r="S7974">
            <v>14776.72</v>
          </cell>
          <cell r="X7974" t="str">
            <v>GWP - gross</v>
          </cell>
          <cell r="Y7974" t="str">
            <v>SWITZERLAND</v>
          </cell>
        </row>
        <row r="7975">
          <cell r="L7975" t="str">
            <v>Non-proportional</v>
          </cell>
          <cell r="S7975">
            <v>14248.98</v>
          </cell>
          <cell r="X7975" t="str">
            <v>GWP - gross</v>
          </cell>
          <cell r="Y7975" t="str">
            <v>SWITZERLAND</v>
          </cell>
        </row>
        <row r="7976">
          <cell r="L7976" t="str">
            <v>Non-proportional</v>
          </cell>
          <cell r="S7976">
            <v>-1208284.1399999999</v>
          </cell>
          <cell r="X7976" t="str">
            <v>GWP - gross</v>
          </cell>
          <cell r="Y7976" t="str">
            <v>UNITED KINGDOM</v>
          </cell>
        </row>
        <row r="7977">
          <cell r="L7977" t="str">
            <v>Non-proportional</v>
          </cell>
          <cell r="S7977">
            <v>76506.48</v>
          </cell>
          <cell r="X7977" t="str">
            <v>GWP - gross</v>
          </cell>
          <cell r="Y7977" t="str">
            <v>NORWAY</v>
          </cell>
        </row>
        <row r="7978">
          <cell r="L7978" t="str">
            <v>Non-proportional</v>
          </cell>
          <cell r="S7978">
            <v>-263870</v>
          </cell>
          <cell r="X7978" t="str">
            <v>GWP - gross</v>
          </cell>
          <cell r="Y7978" t="str">
            <v>SWITZERLAND</v>
          </cell>
        </row>
        <row r="7979">
          <cell r="L7979" t="str">
            <v>Non-proportional</v>
          </cell>
          <cell r="S7979">
            <v>-135233.38</v>
          </cell>
          <cell r="X7979" t="str">
            <v>GWP - gross</v>
          </cell>
          <cell r="Y7979" t="str">
            <v>SWITZERLAND</v>
          </cell>
        </row>
        <row r="7980">
          <cell r="L7980" t="str">
            <v>Non-proportional</v>
          </cell>
          <cell r="S7980">
            <v>36008.239999999998</v>
          </cell>
          <cell r="X7980" t="str">
            <v>GWP - gross</v>
          </cell>
          <cell r="Y7980" t="str">
            <v>GERMANY</v>
          </cell>
        </row>
        <row r="7981">
          <cell r="L7981" t="str">
            <v>Non-proportional</v>
          </cell>
          <cell r="S7981">
            <v>-1291454.1299999999</v>
          </cell>
          <cell r="X7981" t="str">
            <v>GWP - gross</v>
          </cell>
          <cell r="Y7981" t="str">
            <v>UNITED KINGDOM</v>
          </cell>
        </row>
        <row r="7982">
          <cell r="L7982" t="str">
            <v>Non-proportional</v>
          </cell>
          <cell r="S7982">
            <v>10480.540000000001</v>
          </cell>
          <cell r="X7982" t="str">
            <v>GWP - gross</v>
          </cell>
          <cell r="Y7982" t="str">
            <v>SWITZERLAND</v>
          </cell>
        </row>
        <row r="7983">
          <cell r="L7983" t="str">
            <v>Non-proportional</v>
          </cell>
          <cell r="S7983">
            <v>217746.83</v>
          </cell>
          <cell r="X7983" t="str">
            <v>GWP - gross</v>
          </cell>
          <cell r="Y7983" t="str">
            <v>UNITED KINGDOM</v>
          </cell>
        </row>
        <row r="7984">
          <cell r="L7984" t="str">
            <v>Non-proportional</v>
          </cell>
          <cell r="S7984">
            <v>-3480</v>
          </cell>
          <cell r="X7984" t="str">
            <v>GWP - gross</v>
          </cell>
          <cell r="Y7984" t="str">
            <v>FRANCE</v>
          </cell>
        </row>
        <row r="7985">
          <cell r="L7985" t="str">
            <v>Non-proportional</v>
          </cell>
          <cell r="S7985">
            <v>54877.599999999999</v>
          </cell>
          <cell r="X7985" t="str">
            <v>GWP - gross</v>
          </cell>
          <cell r="Y7985" t="str">
            <v>EUROPE</v>
          </cell>
        </row>
        <row r="7986">
          <cell r="L7986" t="str">
            <v>Non-proportional</v>
          </cell>
          <cell r="S7986">
            <v>-107224.66</v>
          </cell>
          <cell r="X7986" t="str">
            <v>GWP - gross</v>
          </cell>
          <cell r="Y7986" t="str">
            <v>UNITED KINGDOM</v>
          </cell>
        </row>
        <row r="7987">
          <cell r="L7987" t="str">
            <v>Non-proportional</v>
          </cell>
          <cell r="S7987">
            <v>516051.03</v>
          </cell>
          <cell r="X7987" t="str">
            <v>GWP - gross</v>
          </cell>
          <cell r="Y7987" t="str">
            <v>UNITED KINGDOM</v>
          </cell>
        </row>
        <row r="7988">
          <cell r="L7988" t="str">
            <v>Non-proportional</v>
          </cell>
          <cell r="S7988">
            <v>-313884</v>
          </cell>
          <cell r="X7988" t="str">
            <v>GWP - gross</v>
          </cell>
          <cell r="Y7988" t="str">
            <v>UNITED KINGDOM</v>
          </cell>
        </row>
        <row r="7989">
          <cell r="L7989" t="str">
            <v>Non-proportional</v>
          </cell>
          <cell r="S7989">
            <v>-202652.16</v>
          </cell>
          <cell r="X7989" t="str">
            <v>GWP - gross</v>
          </cell>
          <cell r="Y7989" t="str">
            <v>SWITZERLAND</v>
          </cell>
        </row>
        <row r="7990">
          <cell r="L7990" t="str">
            <v>Non-proportional</v>
          </cell>
          <cell r="S7990">
            <v>-2102.1</v>
          </cell>
          <cell r="X7990" t="str">
            <v>GWP - gross</v>
          </cell>
          <cell r="Y7990" t="str">
            <v>ITALY</v>
          </cell>
        </row>
        <row r="7991">
          <cell r="L7991" t="str">
            <v>Non-proportional</v>
          </cell>
          <cell r="S7991">
            <v>-76506.48</v>
          </cell>
          <cell r="X7991" t="str">
            <v>GWP - gross</v>
          </cell>
          <cell r="Y7991" t="str">
            <v>NORWAY</v>
          </cell>
        </row>
        <row r="7992">
          <cell r="L7992" t="str">
            <v>Non-proportional</v>
          </cell>
          <cell r="S7992">
            <v>-178112.25</v>
          </cell>
          <cell r="X7992" t="str">
            <v>GWP - gross</v>
          </cell>
          <cell r="Y7992" t="str">
            <v>SWITZERLAND</v>
          </cell>
        </row>
        <row r="7993">
          <cell r="L7993" t="str">
            <v>Non-proportional</v>
          </cell>
          <cell r="S7993">
            <v>-97500</v>
          </cell>
          <cell r="X7993" t="str">
            <v>GWP - gross</v>
          </cell>
          <cell r="Y7993" t="str">
            <v>CZECH REPUBLIC</v>
          </cell>
        </row>
        <row r="7994">
          <cell r="L7994" t="str">
            <v>Non-proportional</v>
          </cell>
          <cell r="S7994">
            <v>-211745.38</v>
          </cell>
          <cell r="X7994" t="str">
            <v>GWP - gross</v>
          </cell>
          <cell r="Y7994" t="str">
            <v>FRANCE</v>
          </cell>
        </row>
        <row r="7995">
          <cell r="L7995" t="str">
            <v>Non-proportional</v>
          </cell>
          <cell r="S7995">
            <v>6855422.4500000002</v>
          </cell>
          <cell r="X7995" t="str">
            <v>GWP - gross</v>
          </cell>
          <cell r="Y7995" t="str">
            <v>UNITED KINGDOM</v>
          </cell>
        </row>
        <row r="7996">
          <cell r="L7996" t="str">
            <v>Non-proportional</v>
          </cell>
          <cell r="S7996">
            <v>3325043.42</v>
          </cell>
          <cell r="X7996" t="str">
            <v>GWP - gross</v>
          </cell>
          <cell r="Y7996" t="str">
            <v>UNITED KINGDOM</v>
          </cell>
        </row>
        <row r="7997">
          <cell r="L7997" t="str">
            <v>Non-proportional</v>
          </cell>
          <cell r="S7997">
            <v>9300</v>
          </cell>
          <cell r="X7997" t="str">
            <v>GWP - gross</v>
          </cell>
          <cell r="Y7997" t="str">
            <v>GERMANY</v>
          </cell>
        </row>
        <row r="7998">
          <cell r="L7998" t="str">
            <v>Non-proportional</v>
          </cell>
          <cell r="S7998">
            <v>967392.84</v>
          </cell>
          <cell r="X7998" t="str">
            <v>GWP - gross</v>
          </cell>
          <cell r="Y7998" t="str">
            <v>UNITED KINGDOM</v>
          </cell>
        </row>
        <row r="7999">
          <cell r="L7999" t="str">
            <v>Non-proportional</v>
          </cell>
          <cell r="S7999">
            <v>90495.87</v>
          </cell>
          <cell r="X7999" t="str">
            <v>GWP - gross</v>
          </cell>
          <cell r="Y7999" t="str">
            <v>NORWAY</v>
          </cell>
        </row>
        <row r="8000">
          <cell r="L8000" t="str">
            <v>Non-proportional</v>
          </cell>
          <cell r="S8000">
            <v>-226800</v>
          </cell>
          <cell r="X8000" t="str">
            <v>GWP - gross</v>
          </cell>
          <cell r="Y8000" t="str">
            <v>ROMANIA</v>
          </cell>
        </row>
        <row r="8001">
          <cell r="L8001" t="str">
            <v>Non-proportional</v>
          </cell>
          <cell r="S8001">
            <v>-323430.88</v>
          </cell>
          <cell r="X8001" t="str">
            <v>GWP - gross</v>
          </cell>
          <cell r="Y8001" t="str">
            <v>UNITED KINGDOM</v>
          </cell>
        </row>
        <row r="8002">
          <cell r="L8002" t="str">
            <v>Non-proportional</v>
          </cell>
          <cell r="S8002">
            <v>-6923.56</v>
          </cell>
          <cell r="X8002" t="str">
            <v>GWP - gross</v>
          </cell>
          <cell r="Y8002" t="str">
            <v>SWITZERLAND</v>
          </cell>
        </row>
        <row r="8003">
          <cell r="L8003" t="str">
            <v>Non-proportional</v>
          </cell>
          <cell r="S8003">
            <v>-251731.98</v>
          </cell>
          <cell r="X8003" t="str">
            <v>GWP - gross</v>
          </cell>
          <cell r="Y8003" t="str">
            <v>SWITZERLAND</v>
          </cell>
        </row>
        <row r="8004">
          <cell r="L8004" t="str">
            <v>Non-proportional</v>
          </cell>
          <cell r="S8004">
            <v>-14040</v>
          </cell>
          <cell r="X8004" t="str">
            <v>GWP - gross</v>
          </cell>
          <cell r="Y8004" t="str">
            <v>GERMANY</v>
          </cell>
        </row>
        <row r="8005">
          <cell r="L8005" t="str">
            <v>Non-proportional</v>
          </cell>
          <cell r="S8005">
            <v>-65809.440000000002</v>
          </cell>
          <cell r="X8005" t="str">
            <v>GWP - gross</v>
          </cell>
          <cell r="Y8005" t="str">
            <v>EUROPE</v>
          </cell>
        </row>
        <row r="8006">
          <cell r="L8006" t="str">
            <v>Non-proportional</v>
          </cell>
          <cell r="S8006">
            <v>-175584</v>
          </cell>
          <cell r="X8006" t="str">
            <v>GWP - gross</v>
          </cell>
          <cell r="Y8006" t="str">
            <v>GERMANY</v>
          </cell>
        </row>
        <row r="8007">
          <cell r="L8007" t="str">
            <v>Non-proportional</v>
          </cell>
          <cell r="S8007">
            <v>-95580</v>
          </cell>
          <cell r="X8007" t="str">
            <v>GWP - gross</v>
          </cell>
          <cell r="Y8007" t="str">
            <v>GERMANY</v>
          </cell>
        </row>
        <row r="8008">
          <cell r="L8008" t="str">
            <v>Non-proportional</v>
          </cell>
          <cell r="S8008">
            <v>-280821.58</v>
          </cell>
          <cell r="X8008" t="str">
            <v>GWP - gross</v>
          </cell>
          <cell r="Y8008" t="str">
            <v>GERMANY</v>
          </cell>
        </row>
        <row r="8009">
          <cell r="L8009" t="str">
            <v>Non-proportional</v>
          </cell>
          <cell r="S8009">
            <v>-785621.01</v>
          </cell>
          <cell r="X8009" t="str">
            <v>GWP - gross</v>
          </cell>
          <cell r="Y8009" t="str">
            <v>UNITED KINGDOM</v>
          </cell>
        </row>
        <row r="8010">
          <cell r="L8010" t="str">
            <v>Non-proportional</v>
          </cell>
          <cell r="S8010">
            <v>-232024.33</v>
          </cell>
          <cell r="X8010" t="str">
            <v>GWP - gross</v>
          </cell>
          <cell r="Y8010" t="str">
            <v>UNITED KINGDOM</v>
          </cell>
        </row>
        <row r="8011">
          <cell r="L8011" t="str">
            <v>Non-proportional</v>
          </cell>
          <cell r="S8011">
            <v>14248.98</v>
          </cell>
          <cell r="X8011" t="str">
            <v>GWP - gross</v>
          </cell>
          <cell r="Y8011" t="str">
            <v>SWITZERLAND</v>
          </cell>
        </row>
        <row r="8012">
          <cell r="L8012" t="str">
            <v>Non-proportional</v>
          </cell>
          <cell r="S8012">
            <v>-65582.61</v>
          </cell>
          <cell r="X8012" t="str">
            <v>GWP - gross</v>
          </cell>
          <cell r="Y8012" t="str">
            <v>DENMARK</v>
          </cell>
        </row>
        <row r="8013">
          <cell r="L8013" t="str">
            <v>Non-proportional</v>
          </cell>
          <cell r="S8013">
            <v>92969</v>
          </cell>
          <cell r="X8013" t="str">
            <v>GWP - gross</v>
          </cell>
          <cell r="Y8013" t="str">
            <v>SWITZERLAND</v>
          </cell>
        </row>
        <row r="8014">
          <cell r="L8014" t="str">
            <v>Non-proportional</v>
          </cell>
          <cell r="S8014">
            <v>-369.57</v>
          </cell>
          <cell r="X8014" t="str">
            <v>GWP - gross</v>
          </cell>
          <cell r="Y8014" t="str">
            <v>NORWAY</v>
          </cell>
        </row>
        <row r="8015">
          <cell r="L8015" t="str">
            <v>Non-proportional</v>
          </cell>
          <cell r="S8015">
            <v>-8971.58</v>
          </cell>
          <cell r="X8015" t="str">
            <v>GWP - gross</v>
          </cell>
          <cell r="Y8015" t="str">
            <v>SWITZERLAND</v>
          </cell>
        </row>
        <row r="8016">
          <cell r="L8016" t="str">
            <v>Non-proportional</v>
          </cell>
          <cell r="S8016">
            <v>-8971.58</v>
          </cell>
          <cell r="X8016" t="str">
            <v>GWP - gross</v>
          </cell>
          <cell r="Y8016" t="str">
            <v>SWITZERLAND</v>
          </cell>
        </row>
        <row r="8017">
          <cell r="L8017" t="str">
            <v>Non-proportional</v>
          </cell>
          <cell r="S8017">
            <v>-199496.3</v>
          </cell>
          <cell r="X8017" t="str">
            <v>GWP - gross</v>
          </cell>
          <cell r="Y8017" t="str">
            <v>SWITZERLAND</v>
          </cell>
        </row>
        <row r="8018">
          <cell r="L8018" t="str">
            <v>Non-proportional</v>
          </cell>
          <cell r="S8018">
            <v>-54136.85</v>
          </cell>
          <cell r="X8018" t="str">
            <v>GWP - gross</v>
          </cell>
          <cell r="Y8018" t="str">
            <v>AUSTRIA</v>
          </cell>
        </row>
        <row r="8019">
          <cell r="L8019" t="str">
            <v>Non-proportional</v>
          </cell>
          <cell r="S8019">
            <v>-529252.55000000005</v>
          </cell>
          <cell r="X8019" t="str">
            <v>GWP - gross</v>
          </cell>
          <cell r="Y8019" t="str">
            <v>UNITED KINGDOM</v>
          </cell>
        </row>
        <row r="8020">
          <cell r="L8020" t="str">
            <v>Non-proportional</v>
          </cell>
          <cell r="S8020">
            <v>36639</v>
          </cell>
          <cell r="X8020" t="str">
            <v>GWP - gross</v>
          </cell>
          <cell r="Y8020" t="str">
            <v>ITALY</v>
          </cell>
        </row>
        <row r="8021">
          <cell r="L8021" t="str">
            <v>Non-proportional</v>
          </cell>
          <cell r="S8021">
            <v>-36639</v>
          </cell>
          <cell r="X8021" t="str">
            <v>GWP - gross</v>
          </cell>
          <cell r="Y8021" t="str">
            <v>ITALY</v>
          </cell>
        </row>
        <row r="8022">
          <cell r="L8022" t="str">
            <v>Non-proportional</v>
          </cell>
          <cell r="S8022">
            <v>258918.03</v>
          </cell>
          <cell r="X8022" t="str">
            <v>GWP - gross</v>
          </cell>
          <cell r="Y8022" t="str">
            <v>UNITED KINGDOM</v>
          </cell>
        </row>
        <row r="8023">
          <cell r="L8023" t="str">
            <v>Non-proportional</v>
          </cell>
          <cell r="S8023">
            <v>-149091.45000000001</v>
          </cell>
          <cell r="X8023" t="str">
            <v>GWP - gross</v>
          </cell>
          <cell r="Y8023" t="str">
            <v>EUROPE</v>
          </cell>
        </row>
        <row r="8024">
          <cell r="L8024" t="str">
            <v>Non-proportional</v>
          </cell>
          <cell r="S8024">
            <v>-692626.69</v>
          </cell>
          <cell r="X8024" t="str">
            <v>GWP - gross</v>
          </cell>
          <cell r="Y8024" t="str">
            <v>UNITED KINGDOM</v>
          </cell>
        </row>
        <row r="8025">
          <cell r="L8025" t="str">
            <v>Non-proportional</v>
          </cell>
          <cell r="S8025">
            <v>-147414.29999999999</v>
          </cell>
          <cell r="X8025" t="str">
            <v>GWP - gross</v>
          </cell>
          <cell r="Y8025" t="str">
            <v>DENMARK</v>
          </cell>
        </row>
        <row r="8026">
          <cell r="L8026" t="str">
            <v>Non-proportional</v>
          </cell>
          <cell r="S8026">
            <v>50855.7</v>
          </cell>
          <cell r="X8026" t="str">
            <v>GWP - gross</v>
          </cell>
          <cell r="Y8026" t="str">
            <v>SWITZERLAND</v>
          </cell>
        </row>
        <row r="8027">
          <cell r="L8027" t="str">
            <v>Non-proportional</v>
          </cell>
          <cell r="S8027">
            <v>-79661.03</v>
          </cell>
          <cell r="X8027" t="str">
            <v>GWP - gross</v>
          </cell>
          <cell r="Y8027" t="str">
            <v>EUROPE</v>
          </cell>
        </row>
        <row r="8028">
          <cell r="L8028" t="str">
            <v>Non-proportional</v>
          </cell>
          <cell r="S8028">
            <v>-384164.98</v>
          </cell>
          <cell r="X8028" t="str">
            <v>GWP - gross</v>
          </cell>
          <cell r="Y8028" t="str">
            <v>FRANCE</v>
          </cell>
        </row>
        <row r="8029">
          <cell r="L8029" t="str">
            <v>Non-proportional</v>
          </cell>
          <cell r="S8029">
            <v>87131.53</v>
          </cell>
          <cell r="X8029" t="str">
            <v>GWP - gross</v>
          </cell>
          <cell r="Y8029" t="str">
            <v>NORWAY</v>
          </cell>
        </row>
        <row r="8030">
          <cell r="L8030" t="str">
            <v>Non-proportional</v>
          </cell>
          <cell r="S8030">
            <v>71021.179999999993</v>
          </cell>
          <cell r="X8030" t="str">
            <v>GWP - gross</v>
          </cell>
          <cell r="Y8030" t="str">
            <v>SWITZERLAND</v>
          </cell>
        </row>
        <row r="8031">
          <cell r="L8031" t="str">
            <v>Non-proportional</v>
          </cell>
          <cell r="S8031">
            <v>48794.84</v>
          </cell>
          <cell r="X8031" t="str">
            <v>GWP - gross</v>
          </cell>
          <cell r="Y8031" t="str">
            <v>SWITZERLAND</v>
          </cell>
        </row>
        <row r="8032">
          <cell r="L8032" t="str">
            <v>Non-proportional</v>
          </cell>
          <cell r="S8032">
            <v>-14248.98</v>
          </cell>
          <cell r="X8032" t="str">
            <v>GWP - gross</v>
          </cell>
          <cell r="Y8032" t="str">
            <v>SWITZERLAND</v>
          </cell>
        </row>
        <row r="8033">
          <cell r="L8033" t="str">
            <v>Non-proportional</v>
          </cell>
          <cell r="S8033">
            <v>-10480.540000000001</v>
          </cell>
          <cell r="X8033" t="str">
            <v>GWP - gross</v>
          </cell>
          <cell r="Y8033" t="str">
            <v>SWITZERLAND</v>
          </cell>
        </row>
        <row r="8034">
          <cell r="L8034" t="str">
            <v>Non-proportional</v>
          </cell>
          <cell r="S8034">
            <v>-6210</v>
          </cell>
          <cell r="X8034" t="str">
            <v>GWP - gross</v>
          </cell>
          <cell r="Y8034" t="str">
            <v>ITALY</v>
          </cell>
        </row>
        <row r="8035">
          <cell r="L8035" t="str">
            <v>Non-proportional</v>
          </cell>
          <cell r="S8035">
            <v>78419.14</v>
          </cell>
          <cell r="X8035" t="str">
            <v>GWP - gross</v>
          </cell>
          <cell r="Y8035" t="str">
            <v>NORWAY</v>
          </cell>
        </row>
        <row r="8036">
          <cell r="L8036" t="str">
            <v>Non-proportional</v>
          </cell>
          <cell r="S8036">
            <v>-194604.13</v>
          </cell>
          <cell r="X8036" t="str">
            <v>GWP - gross</v>
          </cell>
          <cell r="Y8036" t="str">
            <v>SWITZERLAND</v>
          </cell>
        </row>
        <row r="8037">
          <cell r="L8037" t="str">
            <v>Non-proportional</v>
          </cell>
          <cell r="S8037">
            <v>77500</v>
          </cell>
          <cell r="X8037" t="str">
            <v>GWP - gross</v>
          </cell>
          <cell r="Y8037" t="str">
            <v>AUSTRIA</v>
          </cell>
        </row>
        <row r="8038">
          <cell r="L8038" t="str">
            <v>Non-proportional</v>
          </cell>
          <cell r="S8038">
            <v>-106052.52</v>
          </cell>
          <cell r="X8038" t="str">
            <v>GWP - gross</v>
          </cell>
          <cell r="Y8038" t="str">
            <v>GERMANY</v>
          </cell>
        </row>
        <row r="8039">
          <cell r="L8039" t="str">
            <v>Non-proportional</v>
          </cell>
          <cell r="S8039">
            <v>11257.09</v>
          </cell>
          <cell r="X8039" t="str">
            <v>GWP - gross</v>
          </cell>
          <cell r="Y8039" t="str">
            <v>DENMARK</v>
          </cell>
        </row>
        <row r="8040">
          <cell r="L8040" t="str">
            <v>Non-proportional</v>
          </cell>
          <cell r="S8040">
            <v>-152153.96</v>
          </cell>
          <cell r="X8040" t="str">
            <v>GWP - gross</v>
          </cell>
          <cell r="Y8040" t="str">
            <v>UNITED KINGDOM</v>
          </cell>
        </row>
        <row r="8041">
          <cell r="L8041" t="str">
            <v>Non-proportional</v>
          </cell>
          <cell r="S8041">
            <v>-84288</v>
          </cell>
          <cell r="X8041" t="str">
            <v>GWP - gross</v>
          </cell>
          <cell r="Y8041" t="str">
            <v>SPAIN</v>
          </cell>
        </row>
        <row r="8042">
          <cell r="L8042" t="str">
            <v>Non-proportional</v>
          </cell>
          <cell r="S8042">
            <v>-117014.81</v>
          </cell>
          <cell r="X8042" t="str">
            <v>GWP - gross</v>
          </cell>
          <cell r="Y8042" t="str">
            <v>GERMANY</v>
          </cell>
        </row>
        <row r="8043">
          <cell r="L8043" t="str">
            <v>Non-proportional</v>
          </cell>
          <cell r="S8043">
            <v>-21100</v>
          </cell>
          <cell r="X8043" t="str">
            <v>GWP - gross</v>
          </cell>
          <cell r="Y8043" t="str">
            <v>EUROPE</v>
          </cell>
        </row>
        <row r="8044">
          <cell r="L8044" t="str">
            <v>Non-proportional</v>
          </cell>
          <cell r="S8044">
            <v>201557.34</v>
          </cell>
          <cell r="X8044" t="str">
            <v>GWP - gross</v>
          </cell>
          <cell r="Y8044" t="str">
            <v>SWITZERLAND</v>
          </cell>
        </row>
        <row r="8045">
          <cell r="L8045" t="str">
            <v>Non-proportional</v>
          </cell>
          <cell r="S8045">
            <v>-1964068.72</v>
          </cell>
          <cell r="X8045" t="str">
            <v>GWP - gross</v>
          </cell>
          <cell r="Y8045" t="str">
            <v>UNITED KINGDOM</v>
          </cell>
        </row>
        <row r="8046">
          <cell r="L8046" t="str">
            <v>Non-proportional</v>
          </cell>
          <cell r="S8046">
            <v>-294028.07</v>
          </cell>
          <cell r="X8046" t="str">
            <v>GWP - gross</v>
          </cell>
          <cell r="Y8046" t="str">
            <v>UNITED KINGDOM</v>
          </cell>
        </row>
        <row r="8047">
          <cell r="L8047" t="str">
            <v>Non-proportional</v>
          </cell>
          <cell r="S8047">
            <v>-353000</v>
          </cell>
          <cell r="X8047" t="str">
            <v>GWP - gross</v>
          </cell>
          <cell r="Y8047" t="str">
            <v>EUROPE</v>
          </cell>
        </row>
        <row r="8048">
          <cell r="L8048" t="str">
            <v>Non-proportional</v>
          </cell>
          <cell r="S8048">
            <v>-144727.99</v>
          </cell>
          <cell r="X8048" t="str">
            <v>GWP - gross</v>
          </cell>
          <cell r="Y8048" t="str">
            <v>UNITED KINGDOM</v>
          </cell>
        </row>
        <row r="8049">
          <cell r="L8049" t="str">
            <v>Non-proportional</v>
          </cell>
          <cell r="S8049">
            <v>415520.09</v>
          </cell>
          <cell r="X8049" t="str">
            <v>GWP - gross</v>
          </cell>
          <cell r="Y8049" t="str">
            <v>UNITED KINGDOM</v>
          </cell>
        </row>
        <row r="8050">
          <cell r="L8050" t="str">
            <v>Non-proportional</v>
          </cell>
          <cell r="S8050">
            <v>242277.85</v>
          </cell>
          <cell r="X8050" t="str">
            <v>GWP - gross</v>
          </cell>
          <cell r="Y8050" t="str">
            <v>UNITED KINGDOM</v>
          </cell>
        </row>
        <row r="8051">
          <cell r="L8051" t="str">
            <v>Non-proportional</v>
          </cell>
          <cell r="S8051">
            <v>-116200.94</v>
          </cell>
          <cell r="X8051" t="str">
            <v>GWP - gross</v>
          </cell>
          <cell r="Y8051" t="str">
            <v>UNITED KINGDOM</v>
          </cell>
        </row>
        <row r="8052">
          <cell r="L8052" t="str">
            <v>Non-proportional</v>
          </cell>
          <cell r="S8052">
            <v>1144756.93</v>
          </cell>
          <cell r="X8052" t="str">
            <v>GWP - gross</v>
          </cell>
          <cell r="Y8052" t="str">
            <v>UNITED KINGDOM</v>
          </cell>
        </row>
        <row r="8053">
          <cell r="L8053" t="str">
            <v>Non-proportional</v>
          </cell>
          <cell r="S8053">
            <v>14776.72</v>
          </cell>
          <cell r="X8053" t="str">
            <v>GWP - gross</v>
          </cell>
          <cell r="Y8053" t="str">
            <v>SWITZERLAND</v>
          </cell>
        </row>
        <row r="8054">
          <cell r="L8054" t="str">
            <v>Non-proportional</v>
          </cell>
          <cell r="S8054">
            <v>11610.28</v>
          </cell>
          <cell r="X8054" t="str">
            <v>GWP - gross</v>
          </cell>
          <cell r="Y8054" t="str">
            <v>SWITZERLAND</v>
          </cell>
        </row>
        <row r="8055">
          <cell r="L8055" t="str">
            <v>Proportional</v>
          </cell>
          <cell r="S8055">
            <v>-576405</v>
          </cell>
          <cell r="X8055" t="str">
            <v>GWP - gross</v>
          </cell>
          <cell r="Y8055" t="str">
            <v>SWITZERLAND</v>
          </cell>
        </row>
        <row r="8056">
          <cell r="L8056" t="str">
            <v>Non-proportional</v>
          </cell>
          <cell r="S8056">
            <v>-376136.63</v>
          </cell>
          <cell r="X8056" t="str">
            <v>GWP - gross</v>
          </cell>
          <cell r="Y8056" t="str">
            <v>UNITED KINGDOM</v>
          </cell>
        </row>
        <row r="8057">
          <cell r="L8057" t="str">
            <v>Non-proportional</v>
          </cell>
          <cell r="S8057">
            <v>-144727.99</v>
          </cell>
          <cell r="X8057" t="str">
            <v>GWP - gross</v>
          </cell>
          <cell r="Y8057" t="str">
            <v>UNITED KINGDOM</v>
          </cell>
        </row>
        <row r="8058">
          <cell r="L8058" t="str">
            <v>Non-proportional</v>
          </cell>
          <cell r="S8058">
            <v>-92969</v>
          </cell>
          <cell r="X8058" t="str">
            <v>GWP - gross</v>
          </cell>
          <cell r="Y8058" t="str">
            <v>SWITZERLAND</v>
          </cell>
        </row>
        <row r="8059">
          <cell r="L8059" t="str">
            <v>Non-proportional</v>
          </cell>
          <cell r="S8059">
            <v>-13296.2</v>
          </cell>
          <cell r="X8059" t="str">
            <v>GWP - gross</v>
          </cell>
          <cell r="Y8059" t="str">
            <v>AUSTRIA</v>
          </cell>
        </row>
        <row r="8060">
          <cell r="L8060" t="str">
            <v>Non-proportional</v>
          </cell>
          <cell r="S8060">
            <v>-103500</v>
          </cell>
          <cell r="X8060" t="str">
            <v>GWP - gross</v>
          </cell>
          <cell r="Y8060" t="str">
            <v>GERMANY</v>
          </cell>
        </row>
        <row r="8061">
          <cell r="L8061" t="str">
            <v>Non-proportional</v>
          </cell>
          <cell r="S8061">
            <v>-41010.660000000003</v>
          </cell>
          <cell r="X8061" t="str">
            <v>GWP - gross</v>
          </cell>
          <cell r="Y8061" t="str">
            <v>ICELAND</v>
          </cell>
        </row>
        <row r="8062">
          <cell r="L8062" t="str">
            <v>Proportional</v>
          </cell>
          <cell r="S8062">
            <v>-207561.2</v>
          </cell>
          <cell r="X8062" t="str">
            <v>GWP - gross</v>
          </cell>
          <cell r="Y8062" t="str">
            <v>GERMANY</v>
          </cell>
        </row>
        <row r="8063">
          <cell r="L8063" t="str">
            <v>Non-proportional</v>
          </cell>
          <cell r="S8063">
            <v>46600</v>
          </cell>
          <cell r="X8063" t="str">
            <v>GWP - gross</v>
          </cell>
          <cell r="Y8063" t="str">
            <v>EUROPE</v>
          </cell>
        </row>
        <row r="8064">
          <cell r="L8064" t="str">
            <v>Non-proportional</v>
          </cell>
          <cell r="S8064">
            <v>1024298.3</v>
          </cell>
          <cell r="X8064" t="str">
            <v>GWP - gross</v>
          </cell>
          <cell r="Y8064" t="str">
            <v>UNITED KINGDOM</v>
          </cell>
        </row>
        <row r="8065">
          <cell r="L8065" t="str">
            <v>Non-proportional</v>
          </cell>
          <cell r="S8065">
            <v>499628.86</v>
          </cell>
          <cell r="X8065" t="str">
            <v>GWP - gross</v>
          </cell>
          <cell r="Y8065" t="str">
            <v>UNITED KINGDOM</v>
          </cell>
        </row>
        <row r="8066">
          <cell r="L8066" t="str">
            <v>Non-proportional</v>
          </cell>
          <cell r="S8066">
            <v>-96873.99</v>
          </cell>
          <cell r="X8066" t="str">
            <v>GWP - gross</v>
          </cell>
          <cell r="Y8066" t="str">
            <v>GERMANY</v>
          </cell>
        </row>
        <row r="8067">
          <cell r="L8067" t="str">
            <v>Non-proportional</v>
          </cell>
          <cell r="S8067">
            <v>13324.03</v>
          </cell>
          <cell r="X8067" t="str">
            <v>GWP - gross</v>
          </cell>
          <cell r="Y8067" t="str">
            <v>UNITED KINGDOM</v>
          </cell>
        </row>
        <row r="8068">
          <cell r="L8068" t="str">
            <v>Non-proportional</v>
          </cell>
          <cell r="S8068">
            <v>23748.3</v>
          </cell>
          <cell r="X8068" t="str">
            <v>GWP - gross</v>
          </cell>
          <cell r="Y8068" t="str">
            <v>SWITZERLAND</v>
          </cell>
        </row>
        <row r="8069">
          <cell r="L8069" t="str">
            <v>Non-proportional</v>
          </cell>
          <cell r="S8069">
            <v>-42219.199999999997</v>
          </cell>
          <cell r="X8069" t="str">
            <v>GWP - gross</v>
          </cell>
          <cell r="Y8069" t="str">
            <v>SWITZERLAND</v>
          </cell>
        </row>
        <row r="8070">
          <cell r="L8070" t="str">
            <v>Non-proportional</v>
          </cell>
          <cell r="S8070">
            <v>-132692.79</v>
          </cell>
          <cell r="X8070" t="str">
            <v>GWP - gross</v>
          </cell>
          <cell r="Y8070" t="str">
            <v>DENMARK</v>
          </cell>
        </row>
        <row r="8071">
          <cell r="L8071" t="str">
            <v>Non-proportional</v>
          </cell>
          <cell r="S8071">
            <v>-98350</v>
          </cell>
          <cell r="X8071" t="str">
            <v>GWP - gross</v>
          </cell>
          <cell r="Y8071" t="str">
            <v>GERMANY</v>
          </cell>
        </row>
        <row r="8072">
          <cell r="L8072" t="str">
            <v>Non-proportional</v>
          </cell>
          <cell r="S8072">
            <v>-37288</v>
          </cell>
          <cell r="X8072" t="str">
            <v>GWP - gross</v>
          </cell>
          <cell r="Y8072" t="str">
            <v>GERMANY</v>
          </cell>
        </row>
        <row r="8073">
          <cell r="L8073" t="str">
            <v>Non-proportional</v>
          </cell>
          <cell r="S8073">
            <v>-353000</v>
          </cell>
          <cell r="X8073" t="str">
            <v>GWP - gross</v>
          </cell>
          <cell r="Y8073" t="str">
            <v>EUROPE</v>
          </cell>
        </row>
        <row r="8074">
          <cell r="L8074" t="str">
            <v>Non-proportional</v>
          </cell>
          <cell r="S8074">
            <v>-1241924.3500000001</v>
          </cell>
          <cell r="X8074" t="str">
            <v>GWP - gross</v>
          </cell>
          <cell r="Y8074" t="str">
            <v>UNITED KINGDOM</v>
          </cell>
        </row>
        <row r="8075">
          <cell r="L8075" t="str">
            <v>Non-proportional</v>
          </cell>
          <cell r="S8075">
            <v>117014.81</v>
          </cell>
          <cell r="X8075" t="str">
            <v>GWP - gross</v>
          </cell>
          <cell r="Y8075" t="str">
            <v>GERMANY</v>
          </cell>
        </row>
        <row r="8076">
          <cell r="L8076" t="str">
            <v>Non-proportional</v>
          </cell>
          <cell r="S8076">
            <v>-569672.31000000006</v>
          </cell>
          <cell r="X8076" t="str">
            <v>GWP - gross</v>
          </cell>
          <cell r="Y8076" t="str">
            <v>UNITED KINGDOM</v>
          </cell>
        </row>
        <row r="8077">
          <cell r="L8077" t="str">
            <v>Non-proportional</v>
          </cell>
          <cell r="S8077">
            <v>-112466.24000000001</v>
          </cell>
          <cell r="X8077" t="str">
            <v>GWP - gross</v>
          </cell>
          <cell r="Y8077" t="str">
            <v>UNITED KINGDOM</v>
          </cell>
        </row>
        <row r="8078">
          <cell r="L8078" t="str">
            <v>Non-proportional</v>
          </cell>
          <cell r="S8078">
            <v>-92969</v>
          </cell>
          <cell r="X8078" t="str">
            <v>GWP - gross</v>
          </cell>
          <cell r="Y8078" t="str">
            <v>SWITZERLAND</v>
          </cell>
        </row>
        <row r="8079">
          <cell r="L8079" t="str">
            <v>Non-proportional</v>
          </cell>
          <cell r="S8079">
            <v>194604.13</v>
          </cell>
          <cell r="X8079" t="str">
            <v>GWP - gross</v>
          </cell>
          <cell r="Y8079" t="str">
            <v>SWITZERLAND</v>
          </cell>
        </row>
        <row r="8080">
          <cell r="L8080" t="str">
            <v>Non-proportional</v>
          </cell>
          <cell r="S8080">
            <v>92354.5</v>
          </cell>
          <cell r="X8080" t="str">
            <v>GWP - gross</v>
          </cell>
          <cell r="Y8080" t="str">
            <v>SWITZERLAND</v>
          </cell>
        </row>
        <row r="8081">
          <cell r="L8081" t="str">
            <v>Non-proportional</v>
          </cell>
          <cell r="S8081">
            <v>-92354.5</v>
          </cell>
          <cell r="X8081" t="str">
            <v>GWP - gross</v>
          </cell>
          <cell r="Y8081" t="str">
            <v>SWITZERLAND</v>
          </cell>
        </row>
        <row r="8082">
          <cell r="L8082" t="str">
            <v>Non-proportional</v>
          </cell>
          <cell r="S8082">
            <v>-32250</v>
          </cell>
          <cell r="X8082" t="str">
            <v>GWP - gross</v>
          </cell>
          <cell r="Y8082" t="str">
            <v>GERMANY</v>
          </cell>
        </row>
        <row r="8083">
          <cell r="L8083" t="str">
            <v>Non-proportional</v>
          </cell>
          <cell r="S8083">
            <v>-211308.35</v>
          </cell>
          <cell r="X8083" t="str">
            <v>GWP - gross</v>
          </cell>
          <cell r="Y8083" t="str">
            <v>AUSTRIA</v>
          </cell>
        </row>
        <row r="8084">
          <cell r="L8084" t="str">
            <v>Non-proportional</v>
          </cell>
          <cell r="S8084">
            <v>3249</v>
          </cell>
          <cell r="X8084" t="str">
            <v>GWP - gross</v>
          </cell>
          <cell r="Y8084" t="str">
            <v>ITALY</v>
          </cell>
        </row>
        <row r="8085">
          <cell r="L8085" t="str">
            <v>Non-proportional</v>
          </cell>
          <cell r="S8085">
            <v>-120130.56</v>
          </cell>
          <cell r="X8085" t="str">
            <v>GWP - gross</v>
          </cell>
          <cell r="Y8085" t="str">
            <v>GERMANY</v>
          </cell>
        </row>
        <row r="8086">
          <cell r="L8086" t="str">
            <v>Proportional</v>
          </cell>
          <cell r="S8086">
            <v>-1951680</v>
          </cell>
          <cell r="X8086" t="str">
            <v>GWP - gross</v>
          </cell>
          <cell r="Y8086" t="str">
            <v>SWITZERLAND</v>
          </cell>
        </row>
        <row r="8087">
          <cell r="L8087" t="str">
            <v>Non-proportional</v>
          </cell>
          <cell r="S8087">
            <v>-499628.86</v>
          </cell>
          <cell r="X8087" t="str">
            <v>GWP - gross</v>
          </cell>
          <cell r="Y8087" t="str">
            <v>UNITED KINGDOM</v>
          </cell>
        </row>
        <row r="8088">
          <cell r="L8088" t="str">
            <v>Non-proportional</v>
          </cell>
          <cell r="S8088">
            <v>-1449940.95</v>
          </cell>
          <cell r="X8088" t="str">
            <v>GWP - gross</v>
          </cell>
          <cell r="Y8088" t="str">
            <v>UNITED KINGDOM</v>
          </cell>
        </row>
        <row r="8089">
          <cell r="L8089" t="str">
            <v>Non-proportional</v>
          </cell>
          <cell r="S8089">
            <v>-27000</v>
          </cell>
          <cell r="X8089" t="str">
            <v>GWP - gross</v>
          </cell>
          <cell r="Y8089" t="str">
            <v>GERMANY</v>
          </cell>
        </row>
        <row r="8090">
          <cell r="L8090" t="str">
            <v>Non-proportional</v>
          </cell>
          <cell r="S8090">
            <v>294028.07</v>
          </cell>
          <cell r="X8090" t="str">
            <v>GWP - gross</v>
          </cell>
          <cell r="Y8090" t="str">
            <v>UNITED KINGDOM</v>
          </cell>
        </row>
        <row r="8091">
          <cell r="L8091" t="str">
            <v>Non-proportional</v>
          </cell>
          <cell r="S8091">
            <v>-137740.14000000001</v>
          </cell>
          <cell r="X8091" t="str">
            <v>GWP - gross</v>
          </cell>
          <cell r="Y8091" t="str">
            <v>SWITZERLAND</v>
          </cell>
        </row>
        <row r="8092">
          <cell r="L8092" t="str">
            <v>Non-proportional</v>
          </cell>
          <cell r="S8092">
            <v>232024.33</v>
          </cell>
          <cell r="X8092" t="str">
            <v>GWP - gross</v>
          </cell>
          <cell r="Y8092" t="str">
            <v>UNITED KINGDOM</v>
          </cell>
        </row>
        <row r="8093">
          <cell r="L8093" t="str">
            <v>Non-proportional</v>
          </cell>
          <cell r="S8093">
            <v>-74750</v>
          </cell>
          <cell r="X8093" t="str">
            <v>GWP - gross</v>
          </cell>
          <cell r="Y8093" t="str">
            <v>GERMANY</v>
          </cell>
        </row>
        <row r="8094">
          <cell r="L8094" t="str">
            <v>Non-proportional</v>
          </cell>
          <cell r="S8094">
            <v>-6900</v>
          </cell>
          <cell r="X8094" t="str">
            <v>GWP - gross</v>
          </cell>
          <cell r="Y8094" t="str">
            <v>ITALY</v>
          </cell>
        </row>
        <row r="8095">
          <cell r="L8095" t="str">
            <v>Non-proportional</v>
          </cell>
          <cell r="S8095">
            <v>-1812426.18</v>
          </cell>
          <cell r="X8095" t="str">
            <v>GWP - gross</v>
          </cell>
          <cell r="Y8095" t="str">
            <v>UNITED KINGDOM</v>
          </cell>
        </row>
        <row r="8096">
          <cell r="L8096" t="str">
            <v>Non-proportional</v>
          </cell>
          <cell r="S8096">
            <v>-39757.730000000003</v>
          </cell>
          <cell r="X8096" t="str">
            <v>GWP - gross</v>
          </cell>
          <cell r="Y8096" t="str">
            <v>EUROPE</v>
          </cell>
        </row>
        <row r="8097">
          <cell r="L8097" t="str">
            <v>Non-proportional</v>
          </cell>
          <cell r="S8097">
            <v>-251098.4</v>
          </cell>
          <cell r="X8097" t="str">
            <v>GWP - gross</v>
          </cell>
          <cell r="Y8097" t="str">
            <v>FRANCE</v>
          </cell>
        </row>
        <row r="8098">
          <cell r="L8098" t="str">
            <v>Non-proportional</v>
          </cell>
          <cell r="S8098">
            <v>104258</v>
          </cell>
          <cell r="X8098" t="str">
            <v>GWP - gross</v>
          </cell>
          <cell r="Y8098" t="str">
            <v>FRANCE</v>
          </cell>
        </row>
        <row r="8099">
          <cell r="L8099" t="str">
            <v>Non-proportional</v>
          </cell>
          <cell r="S8099">
            <v>99735.09</v>
          </cell>
          <cell r="X8099" t="str">
            <v>GWP - gross</v>
          </cell>
          <cell r="Y8099" t="str">
            <v>GERMANY</v>
          </cell>
        </row>
        <row r="8100">
          <cell r="L8100" t="str">
            <v>Non-proportional</v>
          </cell>
          <cell r="S8100">
            <v>-67700</v>
          </cell>
          <cell r="X8100" t="str">
            <v>GWP - gross</v>
          </cell>
          <cell r="Y8100" t="str">
            <v>EUROPE</v>
          </cell>
        </row>
        <row r="8101">
          <cell r="L8101" t="str">
            <v>Non-proportional</v>
          </cell>
          <cell r="S8101">
            <v>69400</v>
          </cell>
          <cell r="X8101" t="str">
            <v>GWP - gross</v>
          </cell>
          <cell r="Y8101" t="str">
            <v>GERMANY</v>
          </cell>
        </row>
        <row r="8102">
          <cell r="L8102" t="str">
            <v>Non-proportional</v>
          </cell>
          <cell r="S8102">
            <v>46600</v>
          </cell>
          <cell r="X8102" t="str">
            <v>GWP - gross</v>
          </cell>
          <cell r="Y8102" t="str">
            <v>EUROPE</v>
          </cell>
        </row>
        <row r="8103">
          <cell r="L8103" t="str">
            <v>Non-proportional</v>
          </cell>
          <cell r="S8103">
            <v>423401.85</v>
          </cell>
          <cell r="X8103" t="str">
            <v>GWP - gross</v>
          </cell>
          <cell r="Y8103" t="str">
            <v>UNITED KINGDOM</v>
          </cell>
        </row>
        <row r="8104">
          <cell r="L8104" t="str">
            <v>Non-proportional</v>
          </cell>
          <cell r="S8104">
            <v>-92969</v>
          </cell>
          <cell r="X8104" t="str">
            <v>GWP - gross</v>
          </cell>
          <cell r="Y8104" t="str">
            <v>GERMANY</v>
          </cell>
        </row>
        <row r="8105">
          <cell r="L8105" t="str">
            <v>Non-proportional</v>
          </cell>
          <cell r="S8105">
            <v>54000</v>
          </cell>
          <cell r="X8105" t="str">
            <v>GWP - gross</v>
          </cell>
          <cell r="Y8105" t="str">
            <v>GERMANY</v>
          </cell>
        </row>
        <row r="8106">
          <cell r="L8106" t="str">
            <v>Non-proportional</v>
          </cell>
          <cell r="S8106">
            <v>-178112.25</v>
          </cell>
          <cell r="X8106" t="str">
            <v>GWP - gross</v>
          </cell>
          <cell r="Y8106" t="str">
            <v>SWITZERLAND</v>
          </cell>
        </row>
        <row r="8107">
          <cell r="L8107" t="str">
            <v>Non-proportional</v>
          </cell>
          <cell r="S8107">
            <v>-137828.67000000001</v>
          </cell>
          <cell r="X8107" t="str">
            <v>GWP - gross</v>
          </cell>
          <cell r="Y8107" t="str">
            <v>UNITED KINGDOM</v>
          </cell>
        </row>
        <row r="8108">
          <cell r="L8108" t="str">
            <v>Non-proportional</v>
          </cell>
          <cell r="S8108">
            <v>-982029.13</v>
          </cell>
          <cell r="X8108" t="str">
            <v>GWP - gross</v>
          </cell>
          <cell r="Y8108" t="str">
            <v>UNITED KINGDOM</v>
          </cell>
        </row>
        <row r="8109">
          <cell r="L8109" t="str">
            <v>Non-proportional</v>
          </cell>
          <cell r="S8109">
            <v>-195998.07</v>
          </cell>
          <cell r="X8109" t="str">
            <v>GWP - gross</v>
          </cell>
          <cell r="Y8109" t="str">
            <v>DENMARK</v>
          </cell>
        </row>
        <row r="8110">
          <cell r="L8110" t="str">
            <v>Non-proportional</v>
          </cell>
          <cell r="S8110">
            <v>-49345.8</v>
          </cell>
          <cell r="X8110" t="str">
            <v>GWP - gross</v>
          </cell>
          <cell r="Y8110" t="str">
            <v>AUSTRIA</v>
          </cell>
        </row>
        <row r="8111">
          <cell r="L8111" t="str">
            <v>Non-proportional</v>
          </cell>
          <cell r="S8111">
            <v>-120180.9</v>
          </cell>
          <cell r="X8111" t="str">
            <v>GWP - gross</v>
          </cell>
          <cell r="Y8111" t="str">
            <v>AUSTRIA</v>
          </cell>
        </row>
        <row r="8112">
          <cell r="L8112" t="str">
            <v>Non-proportional</v>
          </cell>
          <cell r="S8112">
            <v>-85007.2</v>
          </cell>
          <cell r="X8112" t="str">
            <v>GWP - gross</v>
          </cell>
          <cell r="Y8112" t="str">
            <v>NORWAY</v>
          </cell>
        </row>
        <row r="8113">
          <cell r="L8113" t="str">
            <v>Non-proportional</v>
          </cell>
          <cell r="S8113">
            <v>63800.72</v>
          </cell>
          <cell r="X8113" t="str">
            <v>GWP - gross</v>
          </cell>
          <cell r="Y8113" t="str">
            <v>UNITED KINGDOM</v>
          </cell>
        </row>
        <row r="8114">
          <cell r="L8114" t="str">
            <v>Non-proportional</v>
          </cell>
          <cell r="S8114">
            <v>-128103.99</v>
          </cell>
          <cell r="X8114" t="str">
            <v>GWP - gross</v>
          </cell>
          <cell r="Y8114" t="str">
            <v>SWEDEN</v>
          </cell>
        </row>
        <row r="8115">
          <cell r="L8115" t="str">
            <v>Non-proportional</v>
          </cell>
          <cell r="S8115">
            <v>152153.96</v>
          </cell>
          <cell r="X8115" t="str">
            <v>GWP - gross</v>
          </cell>
          <cell r="Y8115" t="str">
            <v>UNITED KINGDOM</v>
          </cell>
        </row>
        <row r="8116">
          <cell r="L8116" t="str">
            <v>Non-proportional</v>
          </cell>
          <cell r="S8116">
            <v>46600</v>
          </cell>
          <cell r="X8116" t="str">
            <v>GWP - gross</v>
          </cell>
          <cell r="Y8116" t="str">
            <v>EUROPE</v>
          </cell>
        </row>
        <row r="8117">
          <cell r="L8117" t="str">
            <v>Non-proportional</v>
          </cell>
          <cell r="S8117">
            <v>131836.38</v>
          </cell>
          <cell r="X8117" t="str">
            <v>GWP - gross</v>
          </cell>
          <cell r="Y8117" t="str">
            <v>SWITZERLAND</v>
          </cell>
        </row>
        <row r="8118">
          <cell r="L8118" t="str">
            <v>Non-proportional</v>
          </cell>
          <cell r="S8118">
            <v>53277.4</v>
          </cell>
          <cell r="X8118" t="str">
            <v>GWP - gross</v>
          </cell>
          <cell r="Y8118" t="str">
            <v>SWITZERLAND</v>
          </cell>
        </row>
        <row r="8119">
          <cell r="L8119" t="str">
            <v>Non-proportional</v>
          </cell>
          <cell r="S8119">
            <v>-54763.8</v>
          </cell>
          <cell r="X8119" t="str">
            <v>GWP - gross</v>
          </cell>
          <cell r="Y8119" t="str">
            <v>GERMANY</v>
          </cell>
        </row>
        <row r="8120">
          <cell r="L8120" t="str">
            <v>Non-proportional</v>
          </cell>
          <cell r="S8120">
            <v>-115819.47</v>
          </cell>
          <cell r="X8120" t="str">
            <v>GWP - gross</v>
          </cell>
          <cell r="Y8120" t="str">
            <v>GERMANY</v>
          </cell>
        </row>
        <row r="8121">
          <cell r="L8121" t="str">
            <v>Non-proportional</v>
          </cell>
          <cell r="S8121">
            <v>-69400</v>
          </cell>
          <cell r="X8121" t="str">
            <v>GWP - gross</v>
          </cell>
          <cell r="Y8121" t="str">
            <v>GERMANY</v>
          </cell>
        </row>
        <row r="8122">
          <cell r="L8122" t="str">
            <v>Non-proportional</v>
          </cell>
          <cell r="S8122">
            <v>-70130.94</v>
          </cell>
          <cell r="X8122" t="str">
            <v>GWP - gross</v>
          </cell>
          <cell r="Y8122" t="str">
            <v>NORWAY</v>
          </cell>
        </row>
        <row r="8123">
          <cell r="L8123" t="str">
            <v>Non-proportional</v>
          </cell>
          <cell r="S8123">
            <v>-14040</v>
          </cell>
          <cell r="X8123" t="str">
            <v>GWP - gross</v>
          </cell>
          <cell r="Y8123" t="str">
            <v>GERMANY</v>
          </cell>
        </row>
        <row r="8124">
          <cell r="L8124" t="str">
            <v>Non-proportional</v>
          </cell>
          <cell r="S8124">
            <v>671914.69</v>
          </cell>
          <cell r="X8124" t="str">
            <v>GWP - gross</v>
          </cell>
          <cell r="Y8124" t="str">
            <v>UNITED KINGDOM</v>
          </cell>
        </row>
        <row r="8125">
          <cell r="L8125" t="str">
            <v>Non-proportional</v>
          </cell>
          <cell r="S8125">
            <v>-692626.69</v>
          </cell>
          <cell r="X8125" t="str">
            <v>GWP - gross</v>
          </cell>
          <cell r="Y8125" t="str">
            <v>UNITED KINGDOM</v>
          </cell>
        </row>
        <row r="8126">
          <cell r="L8126" t="str">
            <v>Non-proportional</v>
          </cell>
          <cell r="S8126">
            <v>49976.639999999999</v>
          </cell>
          <cell r="X8126" t="str">
            <v>GWP - gross</v>
          </cell>
          <cell r="Y8126" t="str">
            <v>SWITZERLAND</v>
          </cell>
        </row>
        <row r="8127">
          <cell r="L8127" t="str">
            <v>Non-proportional</v>
          </cell>
          <cell r="S8127">
            <v>-785621.01</v>
          </cell>
          <cell r="X8127" t="str">
            <v>GWP - gross</v>
          </cell>
          <cell r="Y8127" t="str">
            <v>UNITED KINGDOM</v>
          </cell>
        </row>
        <row r="8128">
          <cell r="L8128" t="str">
            <v>Non-proportional</v>
          </cell>
          <cell r="S8128">
            <v>8971.58</v>
          </cell>
          <cell r="X8128" t="str">
            <v>GWP - gross</v>
          </cell>
          <cell r="Y8128" t="str">
            <v>SWITZERLAND</v>
          </cell>
        </row>
        <row r="8129">
          <cell r="L8129" t="str">
            <v>Non-proportional</v>
          </cell>
          <cell r="S8129">
            <v>-24384.66</v>
          </cell>
          <cell r="X8129" t="str">
            <v>GWP - gross</v>
          </cell>
          <cell r="Y8129" t="str">
            <v>JAPAN</v>
          </cell>
        </row>
        <row r="8130">
          <cell r="L8130" t="str">
            <v>Non-proportional</v>
          </cell>
          <cell r="S8130">
            <v>-70727.179999999993</v>
          </cell>
          <cell r="X8130" t="str">
            <v>GWP - gross</v>
          </cell>
          <cell r="Y8130" t="str">
            <v>AUSTRIA</v>
          </cell>
        </row>
        <row r="8131">
          <cell r="L8131" t="str">
            <v>Non-proportional</v>
          </cell>
          <cell r="S8131">
            <v>-14776.72</v>
          </cell>
          <cell r="X8131" t="str">
            <v>GWP - gross</v>
          </cell>
          <cell r="Y8131" t="str">
            <v>SWITZERLAND</v>
          </cell>
        </row>
        <row r="8132">
          <cell r="L8132" t="str">
            <v>Non-proportional</v>
          </cell>
          <cell r="S8132">
            <v>-13467.6</v>
          </cell>
          <cell r="X8132" t="str">
            <v>GWP - gross</v>
          </cell>
          <cell r="Y8132" t="str">
            <v>ITALY</v>
          </cell>
        </row>
        <row r="8133">
          <cell r="L8133" t="str">
            <v>Non-proportional</v>
          </cell>
          <cell r="S8133">
            <v>-3248</v>
          </cell>
          <cell r="X8133" t="str">
            <v>GWP - gross</v>
          </cell>
          <cell r="Y8133" t="str">
            <v>ITALY</v>
          </cell>
        </row>
        <row r="8134">
          <cell r="L8134" t="str">
            <v>Non-proportional</v>
          </cell>
          <cell r="S8134">
            <v>93000</v>
          </cell>
          <cell r="X8134" t="str">
            <v>GWP - gross</v>
          </cell>
          <cell r="Y8134" t="str">
            <v>GERMANY</v>
          </cell>
        </row>
        <row r="8135">
          <cell r="L8135" t="str">
            <v>Non-proportional</v>
          </cell>
          <cell r="S8135">
            <v>-42381.77</v>
          </cell>
          <cell r="X8135" t="str">
            <v>GWP - gross</v>
          </cell>
          <cell r="Y8135" t="str">
            <v>FAROE ISLANDS</v>
          </cell>
        </row>
        <row r="8136">
          <cell r="L8136" t="str">
            <v>Non-proportional</v>
          </cell>
          <cell r="S8136">
            <v>-75006.23</v>
          </cell>
          <cell r="X8136" t="str">
            <v>GWP - gross</v>
          </cell>
          <cell r="Y8136" t="str">
            <v>GERMANY</v>
          </cell>
        </row>
        <row r="8137">
          <cell r="L8137" t="str">
            <v>Non-proportional</v>
          </cell>
          <cell r="S8137">
            <v>59657.78</v>
          </cell>
          <cell r="X8137" t="str">
            <v>GWP - gross</v>
          </cell>
          <cell r="Y8137" t="str">
            <v>SWITZERLAND</v>
          </cell>
        </row>
        <row r="8138">
          <cell r="L8138" t="str">
            <v>Non-proportional</v>
          </cell>
          <cell r="S8138">
            <v>-55950</v>
          </cell>
          <cell r="X8138" t="str">
            <v>GWP - gross</v>
          </cell>
          <cell r="Y8138" t="str">
            <v>EUROPE</v>
          </cell>
        </row>
        <row r="8139">
          <cell r="L8139" t="str">
            <v>Non-proportional</v>
          </cell>
          <cell r="S8139">
            <v>144734.04</v>
          </cell>
          <cell r="X8139" t="str">
            <v>GWP - gross</v>
          </cell>
          <cell r="Y8139" t="str">
            <v>DENMARK</v>
          </cell>
        </row>
        <row r="8140">
          <cell r="L8140" t="str">
            <v>Non-proportional</v>
          </cell>
          <cell r="S8140">
            <v>323430.88</v>
          </cell>
          <cell r="X8140" t="str">
            <v>GWP - gross</v>
          </cell>
          <cell r="Y8140" t="str">
            <v>UNITED KINGDOM</v>
          </cell>
        </row>
        <row r="8141">
          <cell r="L8141" t="str">
            <v>Non-proportional</v>
          </cell>
          <cell r="S8141">
            <v>-8971.58</v>
          </cell>
          <cell r="X8141" t="str">
            <v>GWP - gross</v>
          </cell>
          <cell r="Y8141" t="str">
            <v>SWITZERLAND</v>
          </cell>
        </row>
        <row r="8142">
          <cell r="L8142" t="str">
            <v>Non-proportional</v>
          </cell>
          <cell r="S8142">
            <v>-2826.95</v>
          </cell>
          <cell r="X8142" t="str">
            <v>GWP - gross</v>
          </cell>
          <cell r="Y8142" t="str">
            <v>FRANCE</v>
          </cell>
        </row>
        <row r="8143">
          <cell r="L8143" t="str">
            <v>Non-proportional</v>
          </cell>
          <cell r="S8143">
            <v>-471365.51</v>
          </cell>
          <cell r="X8143" t="str">
            <v>GWP - gross</v>
          </cell>
          <cell r="Y8143" t="str">
            <v>UNITED KINGDOM</v>
          </cell>
        </row>
        <row r="8144">
          <cell r="L8144" t="str">
            <v>Non-proportional</v>
          </cell>
          <cell r="S8144">
            <v>-78419.14</v>
          </cell>
          <cell r="X8144" t="str">
            <v>GWP - gross</v>
          </cell>
          <cell r="Y8144" t="str">
            <v>NORWAY</v>
          </cell>
        </row>
        <row r="8145">
          <cell r="L8145" t="str">
            <v>Non-proportional</v>
          </cell>
          <cell r="S8145">
            <v>785621.01</v>
          </cell>
          <cell r="X8145" t="str">
            <v>GWP - gross</v>
          </cell>
          <cell r="Y8145" t="str">
            <v>UNITED KINGDOM</v>
          </cell>
        </row>
        <row r="8146">
          <cell r="L8146" t="str">
            <v>Non-proportional</v>
          </cell>
          <cell r="S8146">
            <v>-50855.7</v>
          </cell>
          <cell r="X8146" t="str">
            <v>GWP - gross</v>
          </cell>
          <cell r="Y8146" t="str">
            <v>SWITZERLAND</v>
          </cell>
        </row>
        <row r="8147">
          <cell r="L8147" t="str">
            <v>Non-proportional</v>
          </cell>
          <cell r="S8147">
            <v>113052</v>
          </cell>
          <cell r="X8147" t="str">
            <v>GWP - gross</v>
          </cell>
          <cell r="Y8147" t="str">
            <v>FRANCE</v>
          </cell>
        </row>
        <row r="8148">
          <cell r="L8148" t="str">
            <v>Non-proportional</v>
          </cell>
          <cell r="S8148">
            <v>-58000</v>
          </cell>
          <cell r="X8148" t="str">
            <v>GWP - gross</v>
          </cell>
          <cell r="Y8148" t="str">
            <v>GERMANY</v>
          </cell>
        </row>
        <row r="8149">
          <cell r="L8149" t="str">
            <v>Non-proportional</v>
          </cell>
          <cell r="S8149">
            <v>26250</v>
          </cell>
          <cell r="X8149" t="str">
            <v>GWP - gross</v>
          </cell>
          <cell r="Y8149" t="str">
            <v>SWITZERLAND</v>
          </cell>
        </row>
        <row r="8150">
          <cell r="L8150" t="str">
            <v>Non-proportional</v>
          </cell>
          <cell r="S8150">
            <v>692626.69</v>
          </cell>
          <cell r="X8150" t="str">
            <v>GWP - gross</v>
          </cell>
          <cell r="Y8150" t="str">
            <v>UNITED KINGDOM</v>
          </cell>
        </row>
        <row r="8151">
          <cell r="L8151" t="str">
            <v>Non-proportional</v>
          </cell>
          <cell r="S8151">
            <v>-14776.72</v>
          </cell>
          <cell r="X8151" t="str">
            <v>GWP - gross</v>
          </cell>
          <cell r="Y8151" t="str">
            <v>SWITZERLAND</v>
          </cell>
        </row>
        <row r="8152">
          <cell r="L8152" t="str">
            <v>Non-proportional</v>
          </cell>
          <cell r="S8152">
            <v>-9000</v>
          </cell>
          <cell r="X8152" t="str">
            <v>GWP - gross</v>
          </cell>
          <cell r="Y8152" t="str">
            <v>GERMANY</v>
          </cell>
        </row>
        <row r="8153">
          <cell r="L8153" t="str">
            <v>Non-proportional</v>
          </cell>
          <cell r="S8153">
            <v>-14248.98</v>
          </cell>
          <cell r="X8153" t="str">
            <v>GWP - gross</v>
          </cell>
          <cell r="Y8153" t="str">
            <v>SWITZERLAND</v>
          </cell>
        </row>
        <row r="8154">
          <cell r="L8154" t="str">
            <v>Non-proportional</v>
          </cell>
          <cell r="S8154">
            <v>-107998.63</v>
          </cell>
          <cell r="X8154" t="str">
            <v>GWP - gross</v>
          </cell>
          <cell r="Y8154" t="str">
            <v>GERMANY</v>
          </cell>
        </row>
        <row r="8155">
          <cell r="L8155" t="str">
            <v>Non-proportional</v>
          </cell>
          <cell r="S8155">
            <v>-199723.73</v>
          </cell>
          <cell r="X8155" t="str">
            <v>GWP - gross</v>
          </cell>
          <cell r="Y8155" t="str">
            <v>FRANCE</v>
          </cell>
        </row>
        <row r="8156">
          <cell r="L8156" t="str">
            <v>Non-proportional</v>
          </cell>
          <cell r="S8156">
            <v>-519408.46</v>
          </cell>
          <cell r="X8156" t="str">
            <v>GWP - gross</v>
          </cell>
          <cell r="Y8156" t="str">
            <v>UNITED KINGDOM</v>
          </cell>
        </row>
        <row r="8157">
          <cell r="L8157" t="str">
            <v>Non-proportional</v>
          </cell>
          <cell r="S8157">
            <v>-54877.599999999999</v>
          </cell>
          <cell r="X8157" t="str">
            <v>GWP - gross</v>
          </cell>
          <cell r="Y8157" t="str">
            <v>EUROPE</v>
          </cell>
        </row>
        <row r="8158">
          <cell r="L8158" t="str">
            <v>Non-proportional</v>
          </cell>
          <cell r="S8158">
            <v>-136258.20000000001</v>
          </cell>
          <cell r="X8158" t="str">
            <v>GWP - gross</v>
          </cell>
          <cell r="Y8158" t="str">
            <v>GERMANY</v>
          </cell>
        </row>
        <row r="8159">
          <cell r="L8159" t="str">
            <v>Non-proportional</v>
          </cell>
          <cell r="S8159">
            <v>-74400</v>
          </cell>
          <cell r="X8159" t="str">
            <v>GWP - gross</v>
          </cell>
          <cell r="Y8159" t="str">
            <v>GERMANY</v>
          </cell>
        </row>
        <row r="8160">
          <cell r="L8160" t="str">
            <v>Non-proportional</v>
          </cell>
          <cell r="S8160">
            <v>1432614.84</v>
          </cell>
          <cell r="X8160" t="str">
            <v>GWP - gross</v>
          </cell>
          <cell r="Y8160" t="str">
            <v>UNITED KINGDOM</v>
          </cell>
        </row>
        <row r="8161">
          <cell r="L8161" t="str">
            <v>Non-proportional</v>
          </cell>
          <cell r="S8161">
            <v>353000</v>
          </cell>
          <cell r="X8161" t="str">
            <v>GWP - gross</v>
          </cell>
          <cell r="Y8161" t="str">
            <v>EUROPE</v>
          </cell>
        </row>
        <row r="8162">
          <cell r="L8162" t="str">
            <v>Non-proportional</v>
          </cell>
          <cell r="S8162">
            <v>20000</v>
          </cell>
          <cell r="X8162" t="str">
            <v>GWP - gross</v>
          </cell>
          <cell r="Y8162" t="str">
            <v>SWITZERLAND</v>
          </cell>
        </row>
        <row r="8163">
          <cell r="L8163" t="str">
            <v>Non-proportional</v>
          </cell>
          <cell r="S8163">
            <v>384164.98</v>
          </cell>
          <cell r="X8163" t="str">
            <v>GWP - gross</v>
          </cell>
          <cell r="Y8163" t="str">
            <v>FRANCE</v>
          </cell>
        </row>
        <row r="8164">
          <cell r="L8164" t="str">
            <v>Non-proportional</v>
          </cell>
          <cell r="S8164">
            <v>-1571253.97</v>
          </cell>
          <cell r="X8164" t="str">
            <v>GWP - gross</v>
          </cell>
          <cell r="Y8164" t="str">
            <v>UNITED KINGDOM</v>
          </cell>
        </row>
        <row r="8165">
          <cell r="L8165" t="str">
            <v>Non-proportional</v>
          </cell>
          <cell r="S8165">
            <v>785621.01</v>
          </cell>
          <cell r="X8165" t="str">
            <v>GWP - gross</v>
          </cell>
          <cell r="Y8165" t="str">
            <v>UNITED KINGDOM</v>
          </cell>
        </row>
        <row r="8166">
          <cell r="L8166" t="str">
            <v>Non-proportional</v>
          </cell>
          <cell r="S8166">
            <v>-194604.13</v>
          </cell>
          <cell r="X8166" t="str">
            <v>GWP - gross</v>
          </cell>
          <cell r="Y8166" t="str">
            <v>SWITZERLAND</v>
          </cell>
        </row>
        <row r="8167">
          <cell r="L8167" t="str">
            <v>Non-proportional</v>
          </cell>
          <cell r="S8167">
            <v>-145543.87</v>
          </cell>
          <cell r="X8167" t="str">
            <v>GWP - gross</v>
          </cell>
          <cell r="Y8167" t="str">
            <v>UNITED KINGDOM</v>
          </cell>
        </row>
        <row r="8168">
          <cell r="L8168" t="str">
            <v>Non-proportional</v>
          </cell>
          <cell r="S8168">
            <v>-3610</v>
          </cell>
          <cell r="X8168" t="str">
            <v>GWP - gross</v>
          </cell>
          <cell r="Y8168" t="str">
            <v>ITALY</v>
          </cell>
        </row>
        <row r="8169">
          <cell r="L8169" t="str">
            <v>Non-proportional</v>
          </cell>
          <cell r="S8169">
            <v>-16081.3</v>
          </cell>
          <cell r="X8169" t="str">
            <v>GWP - gross</v>
          </cell>
          <cell r="Y8169" t="str">
            <v>DENMARK</v>
          </cell>
        </row>
        <row r="8170">
          <cell r="L8170" t="str">
            <v>Non-proportional</v>
          </cell>
          <cell r="S8170">
            <v>216769.57</v>
          </cell>
          <cell r="X8170" t="str">
            <v>GWP - gross</v>
          </cell>
          <cell r="Y8170" t="str">
            <v>UNITED KINGDOM</v>
          </cell>
        </row>
        <row r="8171">
          <cell r="L8171" t="str">
            <v>Non-proportional</v>
          </cell>
          <cell r="S8171">
            <v>-160810.22</v>
          </cell>
          <cell r="X8171" t="str">
            <v>GWP - gross</v>
          </cell>
          <cell r="Y8171" t="str">
            <v>DENMARK</v>
          </cell>
        </row>
        <row r="8172">
          <cell r="L8172" t="str">
            <v>Non-proportional</v>
          </cell>
          <cell r="S8172">
            <v>76021.63</v>
          </cell>
          <cell r="X8172" t="str">
            <v>GWP - gross</v>
          </cell>
          <cell r="Y8172" t="str">
            <v>GERMANY</v>
          </cell>
        </row>
        <row r="8173">
          <cell r="L8173" t="str">
            <v>Non-proportional</v>
          </cell>
          <cell r="S8173">
            <v>-537533</v>
          </cell>
          <cell r="X8173" t="str">
            <v>GWP - gross</v>
          </cell>
          <cell r="Y8173" t="str">
            <v>UNITED KINGDOM</v>
          </cell>
        </row>
        <row r="8174">
          <cell r="L8174" t="str">
            <v>Non-proportional</v>
          </cell>
          <cell r="S8174">
            <v>-34950</v>
          </cell>
          <cell r="X8174" t="str">
            <v>GWP - gross</v>
          </cell>
          <cell r="Y8174" t="str">
            <v>EUROPE</v>
          </cell>
        </row>
        <row r="8175">
          <cell r="L8175" t="str">
            <v>Non-proportional</v>
          </cell>
          <cell r="S8175">
            <v>115819.47</v>
          </cell>
          <cell r="X8175" t="str">
            <v>GWP - gross</v>
          </cell>
          <cell r="Y8175" t="str">
            <v>GERMANY</v>
          </cell>
        </row>
        <row r="8176">
          <cell r="L8176" t="str">
            <v>Non-proportional</v>
          </cell>
          <cell r="S8176">
            <v>258223.25</v>
          </cell>
          <cell r="X8176" t="str">
            <v>GWP - gross</v>
          </cell>
          <cell r="Y8176" t="str">
            <v>UNITED KINGDOM</v>
          </cell>
        </row>
        <row r="8177">
          <cell r="L8177" t="str">
            <v>Non-proportional</v>
          </cell>
          <cell r="S8177">
            <v>-179685</v>
          </cell>
          <cell r="X8177" t="str">
            <v>GWP - gross</v>
          </cell>
          <cell r="Y8177" t="str">
            <v>ITALY</v>
          </cell>
        </row>
        <row r="8178">
          <cell r="L8178" t="str">
            <v>Non-proportional</v>
          </cell>
          <cell r="S8178">
            <v>9300</v>
          </cell>
          <cell r="X8178" t="str">
            <v>GWP - gross</v>
          </cell>
          <cell r="Y8178" t="str">
            <v>SWITZERLAND</v>
          </cell>
        </row>
        <row r="8179">
          <cell r="L8179" t="str">
            <v>Non-proportional</v>
          </cell>
          <cell r="S8179">
            <v>284527.31</v>
          </cell>
          <cell r="X8179" t="str">
            <v>GWP - gross</v>
          </cell>
          <cell r="Y8179" t="str">
            <v>UNITED KINGDOM</v>
          </cell>
        </row>
        <row r="8180">
          <cell r="L8180" t="str">
            <v>Non-proportional</v>
          </cell>
          <cell r="S8180">
            <v>-85007.2</v>
          </cell>
          <cell r="X8180" t="str">
            <v>GWP - gross</v>
          </cell>
          <cell r="Y8180" t="str">
            <v>NORWAY</v>
          </cell>
        </row>
        <row r="8181">
          <cell r="L8181" t="str">
            <v>Non-proportional</v>
          </cell>
          <cell r="S8181">
            <v>-85002.63</v>
          </cell>
          <cell r="X8181" t="str">
            <v>GWP - gross</v>
          </cell>
          <cell r="Y8181" t="str">
            <v>UNITED KINGDOM</v>
          </cell>
        </row>
        <row r="8182">
          <cell r="L8182" t="str">
            <v>Non-proportional</v>
          </cell>
          <cell r="S8182">
            <v>-240029.65</v>
          </cell>
          <cell r="X8182" t="str">
            <v>GWP - gross</v>
          </cell>
          <cell r="Y8182" t="str">
            <v>CZECH REPUBLIC</v>
          </cell>
        </row>
        <row r="8183">
          <cell r="L8183" t="str">
            <v>Non-proportional</v>
          </cell>
          <cell r="S8183">
            <v>150380.59</v>
          </cell>
          <cell r="X8183" t="str">
            <v>GWP - gross</v>
          </cell>
          <cell r="Y8183" t="str">
            <v>UNITED KINGDOM</v>
          </cell>
        </row>
        <row r="8184">
          <cell r="L8184" t="str">
            <v>Non-proportional</v>
          </cell>
          <cell r="S8184">
            <v>-42381.77</v>
          </cell>
          <cell r="X8184" t="str">
            <v>GWP - gross</v>
          </cell>
          <cell r="Y8184" t="str">
            <v>FAROE ISLANDS</v>
          </cell>
        </row>
        <row r="8185">
          <cell r="L8185" t="str">
            <v>Non-proportional</v>
          </cell>
          <cell r="S8185">
            <v>15679.52</v>
          </cell>
          <cell r="X8185" t="str">
            <v>GWP - gross</v>
          </cell>
          <cell r="Y8185" t="str">
            <v>DENMARK</v>
          </cell>
        </row>
        <row r="8186">
          <cell r="L8186" t="str">
            <v>Non-proportional</v>
          </cell>
          <cell r="S8186">
            <v>-258223.25</v>
          </cell>
          <cell r="X8186" t="str">
            <v>GWP - gross</v>
          </cell>
          <cell r="Y8186" t="str">
            <v>UNITED KINGDOM</v>
          </cell>
        </row>
        <row r="8187">
          <cell r="L8187" t="str">
            <v>Non-proportional</v>
          </cell>
          <cell r="S8187">
            <v>72868.899999999994</v>
          </cell>
          <cell r="X8187" t="str">
            <v>GWP - gross</v>
          </cell>
          <cell r="Y8187" t="str">
            <v>DENMARK</v>
          </cell>
        </row>
        <row r="8188">
          <cell r="L8188" t="str">
            <v>Non-proportional</v>
          </cell>
          <cell r="S8188">
            <v>-126453.6</v>
          </cell>
          <cell r="X8188" t="str">
            <v>GWP - gross</v>
          </cell>
          <cell r="Y8188" t="str">
            <v>GERMANY</v>
          </cell>
        </row>
        <row r="8189">
          <cell r="L8189" t="str">
            <v>Non-proportional</v>
          </cell>
          <cell r="S8189">
            <v>194604.13</v>
          </cell>
          <cell r="X8189" t="str">
            <v>GWP - gross</v>
          </cell>
          <cell r="Y8189" t="str">
            <v>SWITZERLAND</v>
          </cell>
        </row>
        <row r="8190">
          <cell r="L8190" t="str">
            <v>Non-proportional</v>
          </cell>
          <cell r="S8190">
            <v>92354.5</v>
          </cell>
          <cell r="X8190" t="str">
            <v>GWP - gross</v>
          </cell>
          <cell r="Y8190" t="str">
            <v>SWITZERLAND</v>
          </cell>
        </row>
        <row r="8191">
          <cell r="L8191" t="str">
            <v>Non-proportional</v>
          </cell>
          <cell r="S8191">
            <v>-404716.73</v>
          </cell>
          <cell r="X8191" t="str">
            <v>GWP - gross</v>
          </cell>
          <cell r="Y8191" t="str">
            <v>FRANCE</v>
          </cell>
        </row>
        <row r="8192">
          <cell r="L8192" t="str">
            <v>Non-proportional</v>
          </cell>
          <cell r="S8192">
            <v>-12692.43</v>
          </cell>
          <cell r="X8192" t="str">
            <v>GWP - gross</v>
          </cell>
          <cell r="Y8192" t="str">
            <v>NORWAY</v>
          </cell>
        </row>
        <row r="8193">
          <cell r="L8193" t="str">
            <v>Non-proportional</v>
          </cell>
          <cell r="S8193">
            <v>-94682.19</v>
          </cell>
          <cell r="X8193" t="str">
            <v>GWP - gross</v>
          </cell>
          <cell r="Y8193" t="str">
            <v>DENMARK</v>
          </cell>
        </row>
        <row r="8194">
          <cell r="L8194" t="str">
            <v>Non-proportional</v>
          </cell>
          <cell r="S8194">
            <v>-87131.53</v>
          </cell>
          <cell r="X8194" t="str">
            <v>GWP - gross</v>
          </cell>
          <cell r="Y8194" t="str">
            <v>NORWAY</v>
          </cell>
        </row>
        <row r="8195">
          <cell r="L8195" t="str">
            <v>Non-proportional</v>
          </cell>
          <cell r="S8195">
            <v>-41243.589999999997</v>
          </cell>
          <cell r="X8195" t="str">
            <v>GWP - gross</v>
          </cell>
          <cell r="Y8195" t="str">
            <v>EUROPE</v>
          </cell>
        </row>
        <row r="8196">
          <cell r="L8196" t="str">
            <v>Non-proportional</v>
          </cell>
          <cell r="S8196">
            <v>-68002.06</v>
          </cell>
          <cell r="X8196" t="str">
            <v>GWP - gross</v>
          </cell>
          <cell r="Y8196" t="str">
            <v>UNITED KINGDOM</v>
          </cell>
        </row>
        <row r="8197">
          <cell r="L8197" t="str">
            <v>Non-proportional</v>
          </cell>
          <cell r="S8197">
            <v>-131836.38</v>
          </cell>
          <cell r="X8197" t="str">
            <v>GWP - gross</v>
          </cell>
          <cell r="Y8197" t="str">
            <v>FRANCE</v>
          </cell>
        </row>
        <row r="8198">
          <cell r="L8198" t="str">
            <v>Non-proportional</v>
          </cell>
          <cell r="S8198">
            <v>-48129.89</v>
          </cell>
          <cell r="X8198" t="str">
            <v>GWP - gross</v>
          </cell>
          <cell r="Y8198" t="str">
            <v>SWITZERLAND</v>
          </cell>
        </row>
        <row r="8199">
          <cell r="L8199" t="str">
            <v>Non-proportional</v>
          </cell>
          <cell r="S8199">
            <v>-3143350.62</v>
          </cell>
          <cell r="X8199" t="str">
            <v>GWP - gross</v>
          </cell>
          <cell r="Y8199" t="str">
            <v>UNITED KINGDOM</v>
          </cell>
        </row>
        <row r="8200">
          <cell r="L8200" t="str">
            <v>Non-proportional</v>
          </cell>
          <cell r="S8200">
            <v>-2685577.36</v>
          </cell>
          <cell r="X8200" t="str">
            <v>GWP - gross</v>
          </cell>
          <cell r="Y8200" t="str">
            <v>UNITED KINGDOM</v>
          </cell>
        </row>
        <row r="8201">
          <cell r="L8201" t="str">
            <v>Non-proportional</v>
          </cell>
          <cell r="S8201">
            <v>107224.66</v>
          </cell>
          <cell r="X8201" t="str">
            <v>GWP - gross</v>
          </cell>
          <cell r="Y8201" t="str">
            <v>UNITED KINGDOM</v>
          </cell>
        </row>
        <row r="8202">
          <cell r="L8202" t="str">
            <v>Non-proportional</v>
          </cell>
          <cell r="S8202">
            <v>-92354.5</v>
          </cell>
          <cell r="X8202" t="str">
            <v>GWP - gross</v>
          </cell>
          <cell r="Y8202" t="str">
            <v>SWITZERLAND</v>
          </cell>
        </row>
        <row r="8203">
          <cell r="L8203" t="str">
            <v>Non-proportional</v>
          </cell>
          <cell r="S8203">
            <v>14776.72</v>
          </cell>
          <cell r="X8203" t="str">
            <v>GWP - gross</v>
          </cell>
          <cell r="Y8203" t="str">
            <v>SWITZERLAND</v>
          </cell>
        </row>
        <row r="8204">
          <cell r="L8204" t="str">
            <v>Non-proportional</v>
          </cell>
          <cell r="S8204">
            <v>399704.33</v>
          </cell>
          <cell r="X8204" t="str">
            <v>GWP - gross</v>
          </cell>
          <cell r="Y8204" t="str">
            <v>UNITED KINGDOM</v>
          </cell>
        </row>
        <row r="8205">
          <cell r="L8205" t="str">
            <v>Non-proportional</v>
          </cell>
          <cell r="S8205">
            <v>-107380</v>
          </cell>
          <cell r="X8205" t="str">
            <v>GWP - gross</v>
          </cell>
          <cell r="Y8205" t="str">
            <v>GERMANY</v>
          </cell>
        </row>
        <row r="8206">
          <cell r="L8206" t="str">
            <v>Non-proportional</v>
          </cell>
          <cell r="S8206">
            <v>-229507.1</v>
          </cell>
          <cell r="X8206" t="str">
            <v>GWP - gross</v>
          </cell>
          <cell r="Y8206" t="str">
            <v>UNITED KINGDOM</v>
          </cell>
        </row>
        <row r="8207">
          <cell r="L8207" t="str">
            <v>Non-proportional</v>
          </cell>
          <cell r="S8207">
            <v>63117.85</v>
          </cell>
          <cell r="X8207" t="str">
            <v>GWP - gross</v>
          </cell>
          <cell r="Y8207" t="str">
            <v>NORWAY</v>
          </cell>
        </row>
        <row r="8208">
          <cell r="L8208" t="str">
            <v>Non-proportional</v>
          </cell>
          <cell r="S8208">
            <v>-286250</v>
          </cell>
          <cell r="X8208" t="str">
            <v>GWP - gross</v>
          </cell>
          <cell r="Y8208" t="str">
            <v>AUSTRIA</v>
          </cell>
        </row>
        <row r="8209">
          <cell r="L8209" t="str">
            <v>Non-proportional</v>
          </cell>
          <cell r="S8209">
            <v>-178112.25</v>
          </cell>
          <cell r="X8209" t="str">
            <v>GWP - gross</v>
          </cell>
          <cell r="Y8209" t="str">
            <v>SWITZERLAND</v>
          </cell>
        </row>
        <row r="8210">
          <cell r="L8210" t="str">
            <v>Non-proportional</v>
          </cell>
          <cell r="S8210">
            <v>-3240818.83</v>
          </cell>
          <cell r="X8210" t="str">
            <v>GWP - gross</v>
          </cell>
          <cell r="Y8210" t="str">
            <v>UNITED KINGDOM</v>
          </cell>
        </row>
        <row r="8211">
          <cell r="L8211" t="str">
            <v>Non-proportional</v>
          </cell>
          <cell r="S8211">
            <v>39480</v>
          </cell>
          <cell r="X8211" t="str">
            <v>GWP - gross</v>
          </cell>
          <cell r="Y8211" t="str">
            <v>AUSTRIA</v>
          </cell>
        </row>
        <row r="8212">
          <cell r="L8212" t="str">
            <v>Non-proportional</v>
          </cell>
          <cell r="S8212">
            <v>3143350.62</v>
          </cell>
          <cell r="X8212" t="str">
            <v>GWP - gross</v>
          </cell>
          <cell r="Y8212" t="str">
            <v>UNITED KINGDOM</v>
          </cell>
        </row>
        <row r="8213">
          <cell r="L8213" t="str">
            <v>Proportional</v>
          </cell>
          <cell r="S8213">
            <v>1951680</v>
          </cell>
          <cell r="X8213" t="str">
            <v>GWP - gross</v>
          </cell>
          <cell r="Y8213" t="str">
            <v>SWITZERLAND</v>
          </cell>
        </row>
        <row r="8214">
          <cell r="L8214" t="str">
            <v>Non-proportional</v>
          </cell>
          <cell r="S8214">
            <v>569672.31000000006</v>
          </cell>
          <cell r="X8214" t="str">
            <v>GWP - gross</v>
          </cell>
          <cell r="Y8214" t="str">
            <v>UNITED KINGDOM</v>
          </cell>
        </row>
        <row r="8215">
          <cell r="L8215" t="str">
            <v>Non-proportional</v>
          </cell>
          <cell r="S8215">
            <v>-9000</v>
          </cell>
          <cell r="X8215" t="str">
            <v>GWP - gross</v>
          </cell>
          <cell r="Y8215" t="str">
            <v>GERMANY</v>
          </cell>
        </row>
        <row r="8216">
          <cell r="L8216" t="str">
            <v>Non-proportional</v>
          </cell>
          <cell r="S8216">
            <v>9300</v>
          </cell>
          <cell r="X8216" t="str">
            <v>GWP - gross</v>
          </cell>
          <cell r="Y8216" t="str">
            <v>SWITZERLAND</v>
          </cell>
        </row>
        <row r="8217">
          <cell r="L8217" t="str">
            <v>Non-proportional</v>
          </cell>
          <cell r="S8217">
            <v>178112.25</v>
          </cell>
          <cell r="X8217" t="str">
            <v>GWP - gross</v>
          </cell>
          <cell r="Y8217" t="str">
            <v>SWITZERLAND</v>
          </cell>
        </row>
        <row r="8218">
          <cell r="L8218" t="str">
            <v>Non-proportional</v>
          </cell>
          <cell r="S8218">
            <v>-14248.98</v>
          </cell>
          <cell r="X8218" t="str">
            <v>GWP - gross</v>
          </cell>
          <cell r="Y8218" t="str">
            <v>SWITZERLAND</v>
          </cell>
        </row>
        <row r="8219">
          <cell r="L8219" t="str">
            <v>Non-proportional</v>
          </cell>
          <cell r="S8219">
            <v>-301082.03999999998</v>
          </cell>
          <cell r="X8219" t="str">
            <v>GWP - gross</v>
          </cell>
          <cell r="Y8219" t="str">
            <v>UNITED KINGDOM</v>
          </cell>
        </row>
        <row r="8220">
          <cell r="L8220" t="str">
            <v>Non-proportional</v>
          </cell>
          <cell r="S8220">
            <v>-258918.03</v>
          </cell>
          <cell r="X8220" t="str">
            <v>GWP - gross</v>
          </cell>
          <cell r="Y8220" t="str">
            <v>UNITED KINGDOM</v>
          </cell>
        </row>
        <row r="8221">
          <cell r="L8221" t="str">
            <v>Non-proportional</v>
          </cell>
          <cell r="S8221">
            <v>-101933.81</v>
          </cell>
          <cell r="X8221" t="str">
            <v>GWP - gross</v>
          </cell>
          <cell r="Y8221" t="str">
            <v>GERMANY</v>
          </cell>
        </row>
        <row r="8222">
          <cell r="L8222" t="str">
            <v>Non-proportional</v>
          </cell>
          <cell r="S8222">
            <v>-224474.02</v>
          </cell>
          <cell r="X8222" t="str">
            <v>GWP - gross</v>
          </cell>
          <cell r="Y8222" t="str">
            <v>GERMANY</v>
          </cell>
        </row>
        <row r="8223">
          <cell r="L8223" t="str">
            <v>Non-proportional</v>
          </cell>
          <cell r="S8223">
            <v>-24783.43</v>
          </cell>
          <cell r="X8223" t="str">
            <v>GWP - gross</v>
          </cell>
          <cell r="Y8223" t="str">
            <v>EUROPE</v>
          </cell>
        </row>
        <row r="8224">
          <cell r="L8224" t="str">
            <v>Non-proportional</v>
          </cell>
          <cell r="S8224">
            <v>-104372.01</v>
          </cell>
          <cell r="X8224" t="str">
            <v>GWP - gross</v>
          </cell>
          <cell r="Y8224" t="str">
            <v>GERMANY</v>
          </cell>
        </row>
        <row r="8225">
          <cell r="L8225" t="str">
            <v>Non-proportional</v>
          </cell>
          <cell r="S8225">
            <v>-51306.06</v>
          </cell>
          <cell r="X8225" t="str">
            <v>GWP - gross</v>
          </cell>
          <cell r="Y8225" t="str">
            <v>GERMANY</v>
          </cell>
        </row>
        <row r="8226">
          <cell r="L8226" t="str">
            <v>Non-proportional</v>
          </cell>
          <cell r="S8226">
            <v>4156306.83</v>
          </cell>
          <cell r="X8226" t="str">
            <v>GWP - gross</v>
          </cell>
          <cell r="Y8226" t="str">
            <v>UNITED KINGDOM</v>
          </cell>
        </row>
        <row r="8227">
          <cell r="L8227" t="str">
            <v>Non-proportional</v>
          </cell>
          <cell r="S8227">
            <v>63283.82</v>
          </cell>
          <cell r="X8227" t="str">
            <v>GWP - gross</v>
          </cell>
          <cell r="Y8227" t="str">
            <v>NORWAY</v>
          </cell>
        </row>
        <row r="8228">
          <cell r="L8228" t="str">
            <v>Non-proportional</v>
          </cell>
          <cell r="S8228">
            <v>-9300</v>
          </cell>
          <cell r="X8228" t="str">
            <v>GWP - gross</v>
          </cell>
          <cell r="Y8228" t="str">
            <v>SWITZERLAND</v>
          </cell>
        </row>
        <row r="8229">
          <cell r="L8229" t="str">
            <v>Non-proportional</v>
          </cell>
          <cell r="S8229">
            <v>-112590</v>
          </cell>
          <cell r="X8229" t="str">
            <v>GWP - gross</v>
          </cell>
          <cell r="Y8229" t="str">
            <v>FRANCE</v>
          </cell>
        </row>
        <row r="8230">
          <cell r="L8230" t="str">
            <v>Non-proportional</v>
          </cell>
          <cell r="S8230">
            <v>-377092.4</v>
          </cell>
          <cell r="X8230" t="str">
            <v>GWP - gross</v>
          </cell>
          <cell r="Y8230" t="str">
            <v>UNITED KINGDOM</v>
          </cell>
        </row>
        <row r="8231">
          <cell r="L8231" t="str">
            <v>Non-proportional</v>
          </cell>
          <cell r="S8231">
            <v>211745.38</v>
          </cell>
          <cell r="X8231" t="str">
            <v>GWP - gross</v>
          </cell>
          <cell r="Y8231" t="str">
            <v>FRANCE</v>
          </cell>
        </row>
        <row r="8232">
          <cell r="L8232" t="str">
            <v>Non-proportional</v>
          </cell>
          <cell r="S8232">
            <v>-728.33</v>
          </cell>
          <cell r="X8232" t="str">
            <v>GWP - gross</v>
          </cell>
          <cell r="Y8232" t="str">
            <v>UNITED KINGDOM</v>
          </cell>
        </row>
        <row r="8233">
          <cell r="L8233" t="str">
            <v>Non-proportional</v>
          </cell>
          <cell r="S8233">
            <v>-194604.13</v>
          </cell>
          <cell r="X8233" t="str">
            <v>GWP - gross</v>
          </cell>
          <cell r="Y8233" t="str">
            <v>SWITZERLAND</v>
          </cell>
        </row>
        <row r="8234">
          <cell r="L8234" t="str">
            <v>Non-proportional</v>
          </cell>
          <cell r="S8234">
            <v>-263870</v>
          </cell>
          <cell r="X8234" t="str">
            <v>GWP - gross</v>
          </cell>
          <cell r="Y8234" t="str">
            <v>SWITZERLAND</v>
          </cell>
        </row>
        <row r="8235">
          <cell r="L8235" t="str">
            <v>Non-proportional</v>
          </cell>
          <cell r="S8235">
            <v>-202652.16</v>
          </cell>
          <cell r="X8235" t="str">
            <v>GWP - gross</v>
          </cell>
          <cell r="Y8235" t="str">
            <v>SWITZERLAND</v>
          </cell>
        </row>
        <row r="8236">
          <cell r="L8236" t="str">
            <v>Non-proportional</v>
          </cell>
          <cell r="S8236">
            <v>-294028.07</v>
          </cell>
          <cell r="X8236" t="str">
            <v>GWP - gross</v>
          </cell>
          <cell r="Y8236" t="str">
            <v>UNITED KINGDOM</v>
          </cell>
        </row>
        <row r="8237">
          <cell r="L8237" t="str">
            <v>Non-proportional</v>
          </cell>
          <cell r="S8237">
            <v>-31647.21</v>
          </cell>
          <cell r="X8237" t="str">
            <v>GWP - gross</v>
          </cell>
          <cell r="Y8237" t="str">
            <v>GERMANY</v>
          </cell>
        </row>
        <row r="8238">
          <cell r="L8238" t="str">
            <v>Non-proportional</v>
          </cell>
          <cell r="S8238">
            <v>-10387</v>
          </cell>
          <cell r="X8238" t="str">
            <v>GWP - gross</v>
          </cell>
          <cell r="Y8238" t="str">
            <v>ITALY</v>
          </cell>
        </row>
        <row r="8239">
          <cell r="L8239" t="str">
            <v>Non-proportional</v>
          </cell>
          <cell r="S8239">
            <v>-2685577.36</v>
          </cell>
          <cell r="X8239" t="str">
            <v>GWP - gross</v>
          </cell>
          <cell r="Y8239" t="str">
            <v>UNITED KINGDOM</v>
          </cell>
        </row>
        <row r="8240">
          <cell r="L8240" t="str">
            <v>Non-proportional</v>
          </cell>
          <cell r="S8240">
            <v>-104258</v>
          </cell>
          <cell r="X8240" t="str">
            <v>GWP - gross</v>
          </cell>
          <cell r="Y8240" t="str">
            <v>FRANCE</v>
          </cell>
        </row>
        <row r="8241">
          <cell r="L8241" t="str">
            <v>Non-proportional</v>
          </cell>
          <cell r="S8241">
            <v>-107485.56</v>
          </cell>
          <cell r="X8241" t="str">
            <v>GWP - gross</v>
          </cell>
          <cell r="Y8241" t="str">
            <v>GERMANY</v>
          </cell>
        </row>
        <row r="8242">
          <cell r="L8242" t="str">
            <v>Non-proportional</v>
          </cell>
          <cell r="S8242">
            <v>-136258.20000000001</v>
          </cell>
          <cell r="X8242" t="str">
            <v>GWP - gross</v>
          </cell>
          <cell r="Y8242" t="str">
            <v>GERMANY</v>
          </cell>
        </row>
        <row r="8243">
          <cell r="L8243" t="str">
            <v>Non-proportional</v>
          </cell>
          <cell r="S8243">
            <v>61800</v>
          </cell>
          <cell r="X8243" t="str">
            <v>GWP - gross</v>
          </cell>
          <cell r="Y8243" t="str">
            <v>GERMANY</v>
          </cell>
        </row>
        <row r="8244">
          <cell r="L8244" t="str">
            <v>Non-proportional</v>
          </cell>
          <cell r="S8244">
            <v>-178112.25</v>
          </cell>
          <cell r="X8244" t="str">
            <v>GWP - gross</v>
          </cell>
          <cell r="Y8244" t="str">
            <v>SWITZERLAND</v>
          </cell>
        </row>
        <row r="8245">
          <cell r="L8245" t="str">
            <v>Non-proportional</v>
          </cell>
          <cell r="S8245">
            <v>-186500.25</v>
          </cell>
          <cell r="X8245" t="str">
            <v>GWP - gross</v>
          </cell>
          <cell r="Y8245" t="str">
            <v>SWITZERLAND</v>
          </cell>
        </row>
        <row r="8246">
          <cell r="L8246" t="str">
            <v>Non-proportional</v>
          </cell>
          <cell r="S8246">
            <v>14776.72</v>
          </cell>
          <cell r="X8246" t="str">
            <v>GWP - gross</v>
          </cell>
          <cell r="Y8246" t="str">
            <v>SWITZERLAND</v>
          </cell>
        </row>
        <row r="8247">
          <cell r="L8247" t="str">
            <v>Non-proportional</v>
          </cell>
          <cell r="S8247">
            <v>-76021.63</v>
          </cell>
          <cell r="X8247" t="str">
            <v>GWP - gross</v>
          </cell>
          <cell r="Y8247" t="str">
            <v>GERMANY</v>
          </cell>
        </row>
        <row r="8248">
          <cell r="L8248" t="str">
            <v>Non-proportional</v>
          </cell>
          <cell r="S8248">
            <v>-23266.73</v>
          </cell>
          <cell r="X8248" t="str">
            <v>GWP - gross</v>
          </cell>
          <cell r="Y8248" t="str">
            <v>REPUBLIC OF IRELAND</v>
          </cell>
        </row>
        <row r="8249">
          <cell r="L8249" t="str">
            <v>Non-proportional</v>
          </cell>
          <cell r="S8249">
            <v>-645071.77</v>
          </cell>
          <cell r="X8249" t="str">
            <v>GWP - gross</v>
          </cell>
          <cell r="Y8249" t="str">
            <v>UNITED KINGDOM</v>
          </cell>
        </row>
        <row r="8250">
          <cell r="L8250" t="str">
            <v>Non-proportional</v>
          </cell>
          <cell r="S8250">
            <v>-127139.25</v>
          </cell>
          <cell r="X8250" t="str">
            <v>GWP - gross</v>
          </cell>
          <cell r="Y8250" t="str">
            <v>SWITZERLAND</v>
          </cell>
        </row>
        <row r="8251">
          <cell r="L8251" t="str">
            <v>Non-proportional</v>
          </cell>
          <cell r="S8251">
            <v>-66490.06</v>
          </cell>
          <cell r="X8251" t="str">
            <v>GWP - gross</v>
          </cell>
          <cell r="Y8251" t="str">
            <v>GERMANY</v>
          </cell>
        </row>
        <row r="8252">
          <cell r="L8252" t="str">
            <v>Non-proportional</v>
          </cell>
          <cell r="S8252">
            <v>64428</v>
          </cell>
          <cell r="X8252" t="str">
            <v>GWP - gross</v>
          </cell>
          <cell r="Y8252" t="str">
            <v>GERMANY</v>
          </cell>
        </row>
        <row r="8253">
          <cell r="L8253" t="str">
            <v>Non-proportional</v>
          </cell>
          <cell r="S8253">
            <v>-72450</v>
          </cell>
          <cell r="X8253" t="str">
            <v>GWP - gross</v>
          </cell>
          <cell r="Y8253" t="str">
            <v>GERMANY</v>
          </cell>
        </row>
        <row r="8254">
          <cell r="L8254" t="str">
            <v>Non-proportional</v>
          </cell>
          <cell r="S8254">
            <v>-92354.5</v>
          </cell>
          <cell r="X8254" t="str">
            <v>GWP - gross</v>
          </cell>
          <cell r="Y8254" t="str">
            <v>SWITZERLAND</v>
          </cell>
        </row>
        <row r="8255">
          <cell r="L8255" t="str">
            <v>Non-proportional</v>
          </cell>
          <cell r="S8255">
            <v>-276707.59999999998</v>
          </cell>
          <cell r="X8255" t="str">
            <v>GWP - gross</v>
          </cell>
          <cell r="Y8255" t="str">
            <v>FRANCE</v>
          </cell>
        </row>
        <row r="8256">
          <cell r="L8256" t="str">
            <v>Non-proportional</v>
          </cell>
          <cell r="S8256">
            <v>-304723.20000000001</v>
          </cell>
          <cell r="X8256" t="str">
            <v>GWP - gross</v>
          </cell>
          <cell r="Y8256" t="str">
            <v>GERMANY</v>
          </cell>
        </row>
        <row r="8257">
          <cell r="L8257" t="str">
            <v>Non-proportional</v>
          </cell>
          <cell r="S8257">
            <v>-101080</v>
          </cell>
          <cell r="X8257" t="str">
            <v>GWP - gross</v>
          </cell>
          <cell r="Y8257" t="str">
            <v>ITALY</v>
          </cell>
        </row>
        <row r="8258">
          <cell r="L8258" t="str">
            <v>Non-proportional</v>
          </cell>
          <cell r="S8258">
            <v>-104362.5</v>
          </cell>
          <cell r="X8258" t="str">
            <v>GWP - gross</v>
          </cell>
          <cell r="Y8258" t="str">
            <v>GERMANY</v>
          </cell>
        </row>
        <row r="8259">
          <cell r="L8259" t="str">
            <v>Non-proportional</v>
          </cell>
          <cell r="S8259">
            <v>-77500</v>
          </cell>
          <cell r="X8259" t="str">
            <v>GWP - gross</v>
          </cell>
          <cell r="Y8259" t="str">
            <v>AUSTRIA</v>
          </cell>
        </row>
        <row r="8260">
          <cell r="L8260" t="str">
            <v>Non-proportional</v>
          </cell>
          <cell r="S8260">
            <v>-5652.6</v>
          </cell>
          <cell r="X8260" t="str">
            <v>GWP - gross</v>
          </cell>
          <cell r="Y8260" t="str">
            <v>UNITED KINGDOM</v>
          </cell>
        </row>
        <row r="8261">
          <cell r="L8261" t="str">
            <v>Non-proportional</v>
          </cell>
          <cell r="S8261">
            <v>-134040.92000000001</v>
          </cell>
          <cell r="X8261" t="str">
            <v>GWP - gross</v>
          </cell>
          <cell r="Y8261" t="str">
            <v>UNITED KINGDOM</v>
          </cell>
        </row>
        <row r="8262">
          <cell r="L8262" t="str">
            <v>Non-proportional</v>
          </cell>
          <cell r="S8262">
            <v>85500</v>
          </cell>
          <cell r="X8262" t="str">
            <v>GWP - gross</v>
          </cell>
          <cell r="Y8262" t="str">
            <v>GERMANY</v>
          </cell>
        </row>
        <row r="8263">
          <cell r="L8263" t="str">
            <v>Non-proportional</v>
          </cell>
          <cell r="S8263">
            <v>-168699.7</v>
          </cell>
          <cell r="X8263" t="str">
            <v>GWP - gross</v>
          </cell>
          <cell r="Y8263" t="str">
            <v>EIRE</v>
          </cell>
        </row>
        <row r="8264">
          <cell r="L8264" t="str">
            <v>Non-proportional</v>
          </cell>
          <cell r="S8264">
            <v>-174016</v>
          </cell>
          <cell r="X8264" t="str">
            <v>GWP - gross</v>
          </cell>
          <cell r="Y8264" t="str">
            <v>EUROPE</v>
          </cell>
        </row>
        <row r="8265">
          <cell r="L8265" t="str">
            <v>Non-proportional</v>
          </cell>
          <cell r="S8265">
            <v>-341144.52</v>
          </cell>
          <cell r="X8265" t="str">
            <v>GWP - gross</v>
          </cell>
          <cell r="Y8265" t="str">
            <v>UNITED KINGDOM</v>
          </cell>
        </row>
        <row r="8266">
          <cell r="L8266" t="str">
            <v>Proportional</v>
          </cell>
          <cell r="S8266">
            <v>-1921350</v>
          </cell>
          <cell r="X8266" t="str">
            <v>GWP - gross</v>
          </cell>
          <cell r="Y8266" t="str">
            <v>AUSTRIA</v>
          </cell>
        </row>
        <row r="8267">
          <cell r="L8267" t="str">
            <v>Non-proportional</v>
          </cell>
          <cell r="S8267">
            <v>-785621.01</v>
          </cell>
          <cell r="X8267" t="str">
            <v>GWP - gross</v>
          </cell>
          <cell r="Y8267" t="str">
            <v>UNITED KINGDOM</v>
          </cell>
        </row>
        <row r="8268">
          <cell r="L8268" t="str">
            <v>Non-proportional</v>
          </cell>
          <cell r="S8268">
            <v>137828.67000000001</v>
          </cell>
          <cell r="X8268" t="str">
            <v>GWP - gross</v>
          </cell>
          <cell r="Y8268" t="str">
            <v>UNITED KINGDOM</v>
          </cell>
        </row>
        <row r="8269">
          <cell r="L8269" t="str">
            <v>Non-proportional</v>
          </cell>
          <cell r="S8269">
            <v>-263870</v>
          </cell>
          <cell r="X8269" t="str">
            <v>GWP - gross</v>
          </cell>
          <cell r="Y8269" t="str">
            <v>SWITZERLAND</v>
          </cell>
        </row>
        <row r="8270">
          <cell r="L8270" t="str">
            <v>Non-proportional</v>
          </cell>
          <cell r="S8270">
            <v>-63117.85</v>
          </cell>
          <cell r="X8270" t="str">
            <v>GWP - gross</v>
          </cell>
          <cell r="Y8270" t="str">
            <v>NORWAY</v>
          </cell>
        </row>
        <row r="8271">
          <cell r="L8271" t="str">
            <v>Non-proportional</v>
          </cell>
          <cell r="S8271">
            <v>-11456.85</v>
          </cell>
          <cell r="X8271" t="str">
            <v>GWP - gross</v>
          </cell>
          <cell r="Y8271" t="str">
            <v>NORWAY</v>
          </cell>
        </row>
        <row r="8272">
          <cell r="L8272" t="str">
            <v>Non-proportional</v>
          </cell>
          <cell r="S8272">
            <v>-141906</v>
          </cell>
          <cell r="X8272" t="str">
            <v>GWP - gross</v>
          </cell>
          <cell r="Y8272" t="str">
            <v>AUSTRIA</v>
          </cell>
        </row>
        <row r="8273">
          <cell r="L8273" t="str">
            <v>Non-proportional</v>
          </cell>
          <cell r="S8273">
            <v>-712092.18</v>
          </cell>
          <cell r="X8273" t="str">
            <v>GWP - gross</v>
          </cell>
          <cell r="Y8273" t="str">
            <v>UNITED KINGDOM</v>
          </cell>
        </row>
        <row r="8274">
          <cell r="L8274" t="str">
            <v>Non-proportional</v>
          </cell>
          <cell r="S8274">
            <v>-46600</v>
          </cell>
          <cell r="X8274" t="str">
            <v>GWP - gross</v>
          </cell>
          <cell r="Y8274" t="str">
            <v>EUROPE</v>
          </cell>
        </row>
        <row r="8275">
          <cell r="L8275" t="str">
            <v>Non-proportional</v>
          </cell>
          <cell r="S8275">
            <v>-64428</v>
          </cell>
          <cell r="X8275" t="str">
            <v>GWP - gross</v>
          </cell>
          <cell r="Y8275" t="str">
            <v>GERMANY</v>
          </cell>
        </row>
        <row r="8276">
          <cell r="L8276" t="str">
            <v>Non-proportional</v>
          </cell>
          <cell r="S8276">
            <v>-3325043.42</v>
          </cell>
          <cell r="X8276" t="str">
            <v>GWP - gross</v>
          </cell>
          <cell r="Y8276" t="str">
            <v>UNITED KINGDOM</v>
          </cell>
        </row>
        <row r="8277">
          <cell r="L8277" t="str">
            <v>Non-proportional</v>
          </cell>
          <cell r="S8277">
            <v>53277.4</v>
          </cell>
          <cell r="X8277" t="str">
            <v>GWP - gross</v>
          </cell>
          <cell r="Y8277" t="str">
            <v>SWITZERLAND</v>
          </cell>
        </row>
        <row r="8278">
          <cell r="L8278" t="str">
            <v>Non-proportional</v>
          </cell>
          <cell r="S8278">
            <v>50855.7</v>
          </cell>
          <cell r="X8278" t="str">
            <v>GWP - gross</v>
          </cell>
          <cell r="Y8278" t="str">
            <v>SWITZERLAND</v>
          </cell>
        </row>
        <row r="8279">
          <cell r="L8279" t="str">
            <v>Non-proportional</v>
          </cell>
          <cell r="S8279">
            <v>-53277.4</v>
          </cell>
          <cell r="X8279" t="str">
            <v>GWP - gross</v>
          </cell>
          <cell r="Y8279" t="str">
            <v>SWITZERLAND</v>
          </cell>
        </row>
        <row r="8280">
          <cell r="L8280" t="str">
            <v>Non-proportional</v>
          </cell>
          <cell r="S8280">
            <v>107485.56</v>
          </cell>
          <cell r="X8280" t="str">
            <v>GWP - gross</v>
          </cell>
          <cell r="Y8280" t="str">
            <v>GERMANY</v>
          </cell>
        </row>
        <row r="8281">
          <cell r="L8281" t="str">
            <v>Non-proportional</v>
          </cell>
          <cell r="S8281">
            <v>66490.06</v>
          </cell>
          <cell r="X8281" t="str">
            <v>GWP - gross</v>
          </cell>
          <cell r="Y8281" t="str">
            <v>GERMANY</v>
          </cell>
        </row>
        <row r="8282">
          <cell r="L8282" t="str">
            <v>Non-proportional</v>
          </cell>
          <cell r="S8282">
            <v>-9300</v>
          </cell>
          <cell r="X8282" t="str">
            <v>GWP - gross</v>
          </cell>
          <cell r="Y8282" t="str">
            <v>GERMANY</v>
          </cell>
        </row>
        <row r="8283">
          <cell r="L8283" t="str">
            <v>Non-proportional</v>
          </cell>
          <cell r="S8283">
            <v>-160810.22</v>
          </cell>
          <cell r="X8283" t="str">
            <v>GWP - gross</v>
          </cell>
          <cell r="Y8283" t="str">
            <v>DENMARK</v>
          </cell>
        </row>
        <row r="8284">
          <cell r="L8284" t="str">
            <v>Non-proportional</v>
          </cell>
          <cell r="S8284">
            <v>-31718</v>
          </cell>
          <cell r="X8284" t="str">
            <v>GWP - gross</v>
          </cell>
          <cell r="Y8284" t="str">
            <v>FRANCE</v>
          </cell>
        </row>
        <row r="8285">
          <cell r="L8285" t="str">
            <v>Non-proportional</v>
          </cell>
          <cell r="S8285">
            <v>178112.25</v>
          </cell>
          <cell r="X8285" t="str">
            <v>GWP - gross</v>
          </cell>
          <cell r="Y8285" t="str">
            <v>SWITZERLAND</v>
          </cell>
        </row>
        <row r="8286">
          <cell r="L8286" t="str">
            <v>Non-proportional</v>
          </cell>
          <cell r="S8286">
            <v>-11610.28</v>
          </cell>
          <cell r="X8286" t="str">
            <v>GWP - gross</v>
          </cell>
          <cell r="Y8286" t="str">
            <v>SWITZERLAND</v>
          </cell>
        </row>
        <row r="8287">
          <cell r="L8287" t="str">
            <v>Non-proportional</v>
          </cell>
          <cell r="S8287">
            <v>-162500</v>
          </cell>
          <cell r="X8287" t="str">
            <v>GWP - gross</v>
          </cell>
          <cell r="Y8287" t="str">
            <v>GERMANY</v>
          </cell>
        </row>
        <row r="8288">
          <cell r="L8288" t="str">
            <v>Non-proportional</v>
          </cell>
          <cell r="S8288">
            <v>-25000</v>
          </cell>
          <cell r="X8288" t="str">
            <v>GWP - gross</v>
          </cell>
          <cell r="Y8288" t="str">
            <v>GERMANY</v>
          </cell>
        </row>
        <row r="8289">
          <cell r="L8289" t="str">
            <v>Non-proportional</v>
          </cell>
          <cell r="S8289">
            <v>-48794.84</v>
          </cell>
          <cell r="X8289" t="str">
            <v>GWP - gross</v>
          </cell>
          <cell r="Y8289" t="str">
            <v>SWITZERLAND</v>
          </cell>
        </row>
        <row r="8290">
          <cell r="L8290" t="str">
            <v>Non-proportional</v>
          </cell>
          <cell r="S8290">
            <v>-44250</v>
          </cell>
          <cell r="X8290" t="str">
            <v>GWP - gross</v>
          </cell>
          <cell r="Y8290" t="str">
            <v>GERMANY</v>
          </cell>
        </row>
        <row r="8291">
          <cell r="L8291" t="str">
            <v>Non-proportional</v>
          </cell>
          <cell r="S8291">
            <v>-74400</v>
          </cell>
          <cell r="X8291" t="str">
            <v>GWP - gross</v>
          </cell>
          <cell r="Y8291" t="str">
            <v>SWITZERLAND</v>
          </cell>
        </row>
        <row r="8292">
          <cell r="L8292" t="str">
            <v>Non-proportional</v>
          </cell>
          <cell r="S8292">
            <v>-6855422.5099999998</v>
          </cell>
          <cell r="X8292" t="str">
            <v>GWP - gross</v>
          </cell>
          <cell r="Y8292" t="str">
            <v>UNITED KINGDOM</v>
          </cell>
        </row>
        <row r="8293">
          <cell r="L8293" t="str">
            <v>Non-proportional</v>
          </cell>
          <cell r="S8293">
            <v>-58262.5</v>
          </cell>
          <cell r="X8293" t="str">
            <v>GWP - gross</v>
          </cell>
          <cell r="Y8293" t="str">
            <v>SWITZERLAND</v>
          </cell>
        </row>
        <row r="8294">
          <cell r="L8294" t="str">
            <v>Non-proportional</v>
          </cell>
          <cell r="S8294">
            <v>9300</v>
          </cell>
          <cell r="X8294" t="str">
            <v>GWP - gross</v>
          </cell>
          <cell r="Y8294" t="str">
            <v>SWITZERLAND</v>
          </cell>
        </row>
        <row r="8295">
          <cell r="L8295" t="str">
            <v>Non-proportional</v>
          </cell>
          <cell r="S8295">
            <v>1291454.1299999999</v>
          </cell>
          <cell r="X8295" t="str">
            <v>GWP - gross</v>
          </cell>
          <cell r="Y8295" t="str">
            <v>UNITED KINGDOM</v>
          </cell>
        </row>
        <row r="8296">
          <cell r="L8296" t="str">
            <v>Non-proportional</v>
          </cell>
          <cell r="S8296">
            <v>-10</v>
          </cell>
          <cell r="X8296" t="str">
            <v>GWP - gross</v>
          </cell>
          <cell r="Y8296" t="str">
            <v>FRANCE</v>
          </cell>
        </row>
        <row r="8297">
          <cell r="L8297" t="str">
            <v>Non-proportional</v>
          </cell>
          <cell r="S8297">
            <v>-117014.81</v>
          </cell>
          <cell r="X8297" t="str">
            <v>GWP - gross</v>
          </cell>
          <cell r="Y8297" t="str">
            <v>GERMANY</v>
          </cell>
        </row>
        <row r="8298">
          <cell r="L8298" t="str">
            <v>Non-proportional</v>
          </cell>
          <cell r="S8298">
            <v>-60069.62</v>
          </cell>
          <cell r="X8298" t="str">
            <v>GWP - gross</v>
          </cell>
          <cell r="Y8298" t="str">
            <v>FRANCE</v>
          </cell>
        </row>
        <row r="8299">
          <cell r="L8299" t="str">
            <v>Non-proportional</v>
          </cell>
          <cell r="S8299">
            <v>84565.16</v>
          </cell>
          <cell r="X8299" t="str">
            <v>GWP - gross</v>
          </cell>
          <cell r="Y8299" t="str">
            <v>NORWAY</v>
          </cell>
        </row>
        <row r="8300">
          <cell r="L8300" t="str">
            <v>Non-proportional</v>
          </cell>
          <cell r="S8300">
            <v>85007.2</v>
          </cell>
          <cell r="X8300" t="str">
            <v>GWP - gross</v>
          </cell>
          <cell r="Y8300" t="str">
            <v>NORWAY</v>
          </cell>
        </row>
        <row r="8301">
          <cell r="L8301" t="str">
            <v>Non-proportional</v>
          </cell>
          <cell r="S8301">
            <v>-189989.13</v>
          </cell>
          <cell r="X8301" t="str">
            <v>GWP - gross</v>
          </cell>
          <cell r="Y8301" t="str">
            <v>GERMANY</v>
          </cell>
        </row>
        <row r="8302">
          <cell r="L8302" t="str">
            <v>Non-proportional</v>
          </cell>
          <cell r="S8302">
            <v>215250</v>
          </cell>
          <cell r="X8302" t="str">
            <v>GWP - gross</v>
          </cell>
          <cell r="Y8302" t="str">
            <v>AUSTRIA</v>
          </cell>
        </row>
        <row r="8303">
          <cell r="L8303" t="str">
            <v>Non-proportional</v>
          </cell>
          <cell r="S8303">
            <v>-106138.75</v>
          </cell>
          <cell r="X8303" t="str">
            <v>GWP - gross</v>
          </cell>
          <cell r="Y8303" t="str">
            <v>GERMANY</v>
          </cell>
        </row>
        <row r="8304">
          <cell r="L8304" t="str">
            <v>Non-proportional</v>
          </cell>
          <cell r="S8304">
            <v>-127139.25</v>
          </cell>
          <cell r="X8304" t="str">
            <v>GWP - gross</v>
          </cell>
          <cell r="Y8304" t="str">
            <v>GERMANY</v>
          </cell>
        </row>
        <row r="8305">
          <cell r="L8305" t="str">
            <v>Non-proportional</v>
          </cell>
          <cell r="S8305">
            <v>107485.56</v>
          </cell>
          <cell r="X8305" t="str">
            <v>GWP - gross</v>
          </cell>
          <cell r="Y8305" t="str">
            <v>GERMANY</v>
          </cell>
        </row>
        <row r="8306">
          <cell r="L8306" t="str">
            <v>Non-proportional</v>
          </cell>
          <cell r="S8306">
            <v>31718</v>
          </cell>
          <cell r="X8306" t="str">
            <v>GWP - gross</v>
          </cell>
          <cell r="Y8306" t="str">
            <v>FRANCE</v>
          </cell>
        </row>
        <row r="8307">
          <cell r="L8307" t="str">
            <v>Non-proportional</v>
          </cell>
          <cell r="S8307">
            <v>65582.61</v>
          </cell>
          <cell r="X8307" t="str">
            <v>GWP - gross</v>
          </cell>
          <cell r="Y8307" t="str">
            <v>DENMARK</v>
          </cell>
        </row>
        <row r="8308">
          <cell r="L8308" t="str">
            <v>Non-proportional</v>
          </cell>
          <cell r="S8308">
            <v>-5652.6</v>
          </cell>
          <cell r="X8308" t="str">
            <v>GWP - gross</v>
          </cell>
          <cell r="Y8308" t="str">
            <v>UNITED KINGDOM</v>
          </cell>
        </row>
        <row r="8309">
          <cell r="L8309" t="str">
            <v>Non-proportional</v>
          </cell>
          <cell r="S8309">
            <v>-1144756.93</v>
          </cell>
          <cell r="X8309" t="str">
            <v>GWP - gross</v>
          </cell>
          <cell r="Y8309" t="str">
            <v>UNITED KINGDOM</v>
          </cell>
        </row>
        <row r="8310">
          <cell r="L8310" t="str">
            <v>Non-proportional</v>
          </cell>
          <cell r="S8310">
            <v>-537533</v>
          </cell>
          <cell r="X8310" t="str">
            <v>GWP - gross</v>
          </cell>
          <cell r="Y8310" t="str">
            <v>UNITED KINGDOM</v>
          </cell>
        </row>
        <row r="8311">
          <cell r="L8311" t="str">
            <v>Non-proportional</v>
          </cell>
          <cell r="S8311">
            <v>11610.28</v>
          </cell>
          <cell r="X8311" t="str">
            <v>GWP - gross</v>
          </cell>
          <cell r="Y8311" t="str">
            <v>SWITZERLAND</v>
          </cell>
        </row>
        <row r="8312">
          <cell r="L8312" t="str">
            <v>Non-proportional</v>
          </cell>
          <cell r="S8312">
            <v>-692626.69</v>
          </cell>
          <cell r="X8312" t="str">
            <v>GWP - gross</v>
          </cell>
          <cell r="Y8312" t="str">
            <v>UNITED KINGDOM</v>
          </cell>
        </row>
        <row r="8313">
          <cell r="L8313" t="str">
            <v>Non-proportional</v>
          </cell>
          <cell r="S8313">
            <v>-23748.3</v>
          </cell>
          <cell r="X8313" t="str">
            <v>GWP - gross</v>
          </cell>
          <cell r="Y8313" t="str">
            <v>SWITZERLAND</v>
          </cell>
        </row>
        <row r="8314">
          <cell r="L8314" t="str">
            <v>Non-proportional</v>
          </cell>
          <cell r="S8314">
            <v>11610.28</v>
          </cell>
          <cell r="X8314" t="str">
            <v>GWP - gross</v>
          </cell>
          <cell r="Y8314" t="str">
            <v>SWITZERLAND</v>
          </cell>
        </row>
        <row r="8315">
          <cell r="L8315" t="str">
            <v>Non-proportional</v>
          </cell>
          <cell r="S8315">
            <v>-109547.55</v>
          </cell>
          <cell r="X8315" t="str">
            <v>GWP - gross</v>
          </cell>
          <cell r="Y8315" t="str">
            <v>GERMANY</v>
          </cell>
        </row>
        <row r="8316">
          <cell r="L8316" t="str">
            <v>Non-proportional</v>
          </cell>
          <cell r="S8316">
            <v>-86819.08</v>
          </cell>
          <cell r="X8316" t="str">
            <v>GWP - gross</v>
          </cell>
          <cell r="Y8316" t="str">
            <v>SWITZERLAND</v>
          </cell>
        </row>
        <row r="8317">
          <cell r="L8317" t="str">
            <v>Non-proportional</v>
          </cell>
          <cell r="S8317">
            <v>-966627.28</v>
          </cell>
          <cell r="X8317" t="str">
            <v>GWP - gross</v>
          </cell>
          <cell r="Y8317" t="str">
            <v>UNITED KINGDOM</v>
          </cell>
        </row>
        <row r="8318">
          <cell r="L8318" t="str">
            <v>Non-proportional</v>
          </cell>
          <cell r="S8318">
            <v>558</v>
          </cell>
          <cell r="X8318" t="str">
            <v>GWP - gross</v>
          </cell>
          <cell r="Y8318" t="str">
            <v>SWITZERLAND</v>
          </cell>
        </row>
        <row r="8319">
          <cell r="L8319" t="str">
            <v>Non-proportional</v>
          </cell>
          <cell r="S8319">
            <v>-96140</v>
          </cell>
          <cell r="X8319" t="str">
            <v>GWP - gross</v>
          </cell>
          <cell r="Y8319" t="str">
            <v>AUSTRIA</v>
          </cell>
        </row>
        <row r="8320">
          <cell r="L8320" t="str">
            <v>Non-proportional</v>
          </cell>
          <cell r="S8320">
            <v>168699.7</v>
          </cell>
          <cell r="X8320" t="str">
            <v>GWP - gross</v>
          </cell>
          <cell r="Y8320" t="str">
            <v>SWITZERLAND</v>
          </cell>
        </row>
        <row r="8321">
          <cell r="L8321" t="str">
            <v>Non-proportional</v>
          </cell>
          <cell r="S8321">
            <v>48129.89</v>
          </cell>
          <cell r="X8321" t="str">
            <v>GWP - gross</v>
          </cell>
          <cell r="Y8321" t="str">
            <v>SWITZERLAND</v>
          </cell>
        </row>
        <row r="8322">
          <cell r="L8322" t="str">
            <v>Non-proportional</v>
          </cell>
          <cell r="S8322">
            <v>-239042.93</v>
          </cell>
          <cell r="X8322" t="str">
            <v>GWP - gross</v>
          </cell>
          <cell r="Y8322" t="str">
            <v>FRANCE</v>
          </cell>
        </row>
        <row r="8323">
          <cell r="L8323" t="str">
            <v>Non-proportional</v>
          </cell>
          <cell r="S8323">
            <v>2685577.36</v>
          </cell>
          <cell r="X8323" t="str">
            <v>GWP - gross</v>
          </cell>
          <cell r="Y8323" t="str">
            <v>UNITED KINGDOM</v>
          </cell>
        </row>
        <row r="8324">
          <cell r="L8324" t="str">
            <v>Proportional</v>
          </cell>
          <cell r="S8324">
            <v>-49976.639999999999</v>
          </cell>
          <cell r="X8324" t="str">
            <v>GWP - gross</v>
          </cell>
          <cell r="Y8324" t="str">
            <v>SWITZERLAND</v>
          </cell>
        </row>
        <row r="8325">
          <cell r="L8325" t="str">
            <v>Non-proportional</v>
          </cell>
          <cell r="S8325">
            <v>-11610.28</v>
          </cell>
          <cell r="X8325" t="str">
            <v>GWP - gross</v>
          </cell>
          <cell r="Y8325" t="str">
            <v>SWITZERLAND</v>
          </cell>
        </row>
        <row r="8326">
          <cell r="L8326" t="str">
            <v>Non-proportional</v>
          </cell>
          <cell r="S8326">
            <v>8971.58</v>
          </cell>
          <cell r="X8326" t="str">
            <v>GWP - gross</v>
          </cell>
          <cell r="Y8326" t="str">
            <v>SWITZERLAND</v>
          </cell>
        </row>
        <row r="8327">
          <cell r="L8327" t="str">
            <v>Non-proportional</v>
          </cell>
          <cell r="S8327">
            <v>-80377.14</v>
          </cell>
          <cell r="X8327" t="str">
            <v>GWP - gross</v>
          </cell>
          <cell r="Y8327" t="str">
            <v>DENMARK</v>
          </cell>
        </row>
        <row r="8328">
          <cell r="L8328" t="str">
            <v>Non-proportional</v>
          </cell>
          <cell r="S8328">
            <v>-2423.2399999999998</v>
          </cell>
          <cell r="X8328" t="str">
            <v>GWP - gross</v>
          </cell>
          <cell r="Y8328" t="str">
            <v>SWITZERLAND</v>
          </cell>
        </row>
        <row r="8329">
          <cell r="L8329" t="str">
            <v>Non-proportional</v>
          </cell>
          <cell r="S8329">
            <v>-13500</v>
          </cell>
          <cell r="X8329" t="str">
            <v>GWP - gross</v>
          </cell>
          <cell r="Y8329" t="str">
            <v>GERMANY</v>
          </cell>
        </row>
        <row r="8330">
          <cell r="L8330" t="str">
            <v>Non-proportional</v>
          </cell>
          <cell r="S8330">
            <v>-490842</v>
          </cell>
          <cell r="X8330" t="str">
            <v>GWP - gross</v>
          </cell>
          <cell r="Y8330" t="str">
            <v>GERMANY</v>
          </cell>
        </row>
        <row r="8331">
          <cell r="L8331" t="str">
            <v>Non-proportional</v>
          </cell>
          <cell r="S8331">
            <v>-1929.79</v>
          </cell>
          <cell r="X8331" t="str">
            <v>GWP - gross</v>
          </cell>
          <cell r="Y8331" t="str">
            <v>DENMARK</v>
          </cell>
        </row>
        <row r="8332">
          <cell r="L8332" t="str">
            <v>Non-proportional</v>
          </cell>
          <cell r="S8332">
            <v>-240865.63</v>
          </cell>
          <cell r="X8332" t="str">
            <v>GWP - gross</v>
          </cell>
          <cell r="Y8332" t="str">
            <v>UNITED KINGDOM</v>
          </cell>
        </row>
        <row r="8333">
          <cell r="L8333" t="str">
            <v>Non-proportional</v>
          </cell>
          <cell r="S8333">
            <v>-14070.99</v>
          </cell>
          <cell r="X8333" t="str">
            <v>GWP - gross</v>
          </cell>
          <cell r="Y8333" t="str">
            <v>DENMARK</v>
          </cell>
        </row>
        <row r="8334">
          <cell r="L8334" t="str">
            <v>Non-proportional</v>
          </cell>
          <cell r="S8334">
            <v>71021.179999999993</v>
          </cell>
          <cell r="X8334" t="str">
            <v>GWP - gross</v>
          </cell>
          <cell r="Y8334" t="str">
            <v>SWITZERLAND</v>
          </cell>
        </row>
        <row r="8335">
          <cell r="L8335" t="str">
            <v>Non-proportional</v>
          </cell>
          <cell r="S8335">
            <v>76021.63</v>
          </cell>
          <cell r="X8335" t="str">
            <v>GWP - gross</v>
          </cell>
          <cell r="Y8335" t="str">
            <v>GERMANY</v>
          </cell>
        </row>
        <row r="8336">
          <cell r="L8336" t="str">
            <v>Non-proportional</v>
          </cell>
          <cell r="S8336">
            <v>-14248.98</v>
          </cell>
          <cell r="X8336" t="str">
            <v>GWP - gross</v>
          </cell>
          <cell r="Y8336" t="str">
            <v>SWITZERLAND</v>
          </cell>
        </row>
        <row r="8337">
          <cell r="L8337" t="str">
            <v>Non-proportional</v>
          </cell>
          <cell r="S8337">
            <v>-210756</v>
          </cell>
          <cell r="X8337" t="str">
            <v>GWP - gross</v>
          </cell>
          <cell r="Y8337" t="str">
            <v>GERMANY</v>
          </cell>
        </row>
        <row r="8338">
          <cell r="L8338" t="str">
            <v>Non-proportional</v>
          </cell>
          <cell r="S8338">
            <v>-9846.48</v>
          </cell>
          <cell r="X8338" t="str">
            <v>GWP - gross</v>
          </cell>
          <cell r="Y8338" t="str">
            <v>GERMANY</v>
          </cell>
        </row>
        <row r="8339">
          <cell r="L8339" t="str">
            <v>Non-proportional</v>
          </cell>
          <cell r="S8339">
            <v>-59816.68</v>
          </cell>
          <cell r="X8339" t="str">
            <v>GWP - gross</v>
          </cell>
          <cell r="Y8339" t="str">
            <v>GERMANY</v>
          </cell>
        </row>
        <row r="8340">
          <cell r="L8340" t="str">
            <v>Non-proportional</v>
          </cell>
          <cell r="S8340">
            <v>-693662.65</v>
          </cell>
          <cell r="X8340" t="str">
            <v>GWP - gross</v>
          </cell>
          <cell r="Y8340" t="str">
            <v>UNITED KINGDOM</v>
          </cell>
        </row>
        <row r="8341">
          <cell r="L8341" t="str">
            <v>Non-proportional</v>
          </cell>
          <cell r="S8341">
            <v>1449940.95</v>
          </cell>
          <cell r="X8341" t="str">
            <v>GWP - gross</v>
          </cell>
          <cell r="Y8341" t="str">
            <v>UNITED KINGDOM</v>
          </cell>
        </row>
        <row r="8342">
          <cell r="L8342" t="str">
            <v>Non-proportional</v>
          </cell>
          <cell r="S8342">
            <v>137828.67000000001</v>
          </cell>
          <cell r="X8342" t="str">
            <v>GWP - gross</v>
          </cell>
          <cell r="Y8342" t="str">
            <v>UNITED KINGDOM</v>
          </cell>
        </row>
        <row r="8343">
          <cell r="L8343" t="str">
            <v>Non-proportional</v>
          </cell>
          <cell r="S8343">
            <v>-225256.94</v>
          </cell>
          <cell r="X8343" t="str">
            <v>GWP - gross</v>
          </cell>
          <cell r="Y8343" t="str">
            <v>UNITED KINGDOM</v>
          </cell>
        </row>
        <row r="8344">
          <cell r="L8344" t="str">
            <v>Non-proportional</v>
          </cell>
          <cell r="S8344">
            <v>-74400</v>
          </cell>
          <cell r="X8344" t="str">
            <v>GWP - gross</v>
          </cell>
          <cell r="Y8344" t="str">
            <v>SWITZERLAND</v>
          </cell>
        </row>
        <row r="8345">
          <cell r="L8345" t="str">
            <v>Non-proportional</v>
          </cell>
          <cell r="S8345">
            <v>354468.55</v>
          </cell>
          <cell r="X8345" t="str">
            <v>GWP - gross</v>
          </cell>
          <cell r="Y8345" t="str">
            <v>UNITED KINGDOM</v>
          </cell>
        </row>
        <row r="8346">
          <cell r="L8346" t="str">
            <v>Non-proportional</v>
          </cell>
          <cell r="S8346">
            <v>54062.58</v>
          </cell>
          <cell r="X8346" t="str">
            <v>GWP - gross</v>
          </cell>
          <cell r="Y8346" t="str">
            <v>FRANCE</v>
          </cell>
        </row>
        <row r="8347">
          <cell r="L8347" t="str">
            <v>Non-proportional</v>
          </cell>
          <cell r="S8347">
            <v>186500.25</v>
          </cell>
          <cell r="X8347" t="str">
            <v>GWP - gross</v>
          </cell>
          <cell r="Y8347" t="str">
            <v>SWITZERLAND</v>
          </cell>
        </row>
        <row r="8348">
          <cell r="L8348" t="str">
            <v>Non-proportional</v>
          </cell>
          <cell r="S8348">
            <v>-8971.58</v>
          </cell>
          <cell r="X8348" t="str">
            <v>GWP - gross</v>
          </cell>
          <cell r="Y8348" t="str">
            <v>SWITZERLAND</v>
          </cell>
        </row>
        <row r="8349">
          <cell r="L8349" t="str">
            <v>Non-proportional</v>
          </cell>
          <cell r="S8349">
            <v>-10480.540000000001</v>
          </cell>
          <cell r="X8349" t="str">
            <v>GWP - gross</v>
          </cell>
          <cell r="Y8349" t="str">
            <v>SWITZERLAND</v>
          </cell>
        </row>
        <row r="8350">
          <cell r="L8350" t="str">
            <v>Non-proportional</v>
          </cell>
          <cell r="S8350">
            <v>-5415</v>
          </cell>
          <cell r="X8350" t="str">
            <v>GWP - gross</v>
          </cell>
          <cell r="Y8350" t="str">
            <v>ITALY</v>
          </cell>
        </row>
        <row r="8351">
          <cell r="L8351" t="str">
            <v>Non-proportional</v>
          </cell>
          <cell r="S8351">
            <v>-119015.07</v>
          </cell>
          <cell r="X8351" t="str">
            <v>GWP - gross</v>
          </cell>
          <cell r="Y8351" t="str">
            <v>CZECH REPUBLIC</v>
          </cell>
        </row>
        <row r="8352">
          <cell r="L8352" t="str">
            <v>Non-proportional</v>
          </cell>
          <cell r="S8352">
            <v>-135233.38</v>
          </cell>
          <cell r="X8352" t="str">
            <v>GWP - gross</v>
          </cell>
          <cell r="Y8352" t="str">
            <v>SWITZERLAND</v>
          </cell>
        </row>
        <row r="8353">
          <cell r="L8353" t="str">
            <v>Non-proportional</v>
          </cell>
          <cell r="S8353">
            <v>-201557.34</v>
          </cell>
          <cell r="X8353" t="str">
            <v>GWP - gross</v>
          </cell>
          <cell r="Y8353" t="str">
            <v>SWITZERLAND</v>
          </cell>
        </row>
        <row r="8354">
          <cell r="L8354" t="str">
            <v>Non-proportional</v>
          </cell>
          <cell r="S8354">
            <v>80998.97</v>
          </cell>
          <cell r="X8354" t="str">
            <v>GWP - gross</v>
          </cell>
          <cell r="Y8354" t="str">
            <v>GERMANY</v>
          </cell>
        </row>
        <row r="8355">
          <cell r="L8355" t="str">
            <v>Non-proportional</v>
          </cell>
          <cell r="S8355">
            <v>-967392.84</v>
          </cell>
          <cell r="X8355" t="str">
            <v>GWP - gross</v>
          </cell>
          <cell r="Y8355" t="str">
            <v>UNITED KINGDOM</v>
          </cell>
        </row>
        <row r="8356">
          <cell r="L8356" t="str">
            <v>Non-proportional</v>
          </cell>
          <cell r="S8356">
            <v>3900</v>
          </cell>
          <cell r="X8356" t="str">
            <v>GWP - gross</v>
          </cell>
          <cell r="Y8356" t="str">
            <v>GERMANY</v>
          </cell>
        </row>
        <row r="8357">
          <cell r="L8357" t="str">
            <v>Non-proportional</v>
          </cell>
          <cell r="S8357">
            <v>-14776.72</v>
          </cell>
          <cell r="X8357" t="str">
            <v>GWP - gross</v>
          </cell>
          <cell r="Y8357" t="str">
            <v>SWITZERLAND</v>
          </cell>
        </row>
        <row r="8358">
          <cell r="L8358" t="str">
            <v>Non-proportional</v>
          </cell>
          <cell r="S8358">
            <v>135233.38</v>
          </cell>
          <cell r="X8358" t="str">
            <v>GWP - gross</v>
          </cell>
          <cell r="Y8358" t="str">
            <v>SWITZERLAND</v>
          </cell>
        </row>
        <row r="8359">
          <cell r="L8359" t="str">
            <v>Non-proportional</v>
          </cell>
          <cell r="S8359">
            <v>-39150</v>
          </cell>
          <cell r="X8359" t="str">
            <v>GWP - gross</v>
          </cell>
          <cell r="Y8359" t="str">
            <v>ROMANIA</v>
          </cell>
        </row>
        <row r="8360">
          <cell r="L8360" t="str">
            <v>Non-proportional</v>
          </cell>
          <cell r="S8360">
            <v>-93000</v>
          </cell>
          <cell r="X8360" t="str">
            <v>GWP - gross</v>
          </cell>
          <cell r="Y8360" t="str">
            <v>GERMANY</v>
          </cell>
        </row>
        <row r="8361">
          <cell r="L8361" t="str">
            <v>Non-proportional</v>
          </cell>
          <cell r="S8361">
            <v>-1112750.43</v>
          </cell>
          <cell r="X8361" t="str">
            <v>GWP - gross</v>
          </cell>
          <cell r="Y8361" t="str">
            <v>UNITED KINGDOM</v>
          </cell>
        </row>
        <row r="8362">
          <cell r="L8362" t="str">
            <v>Non-proportional</v>
          </cell>
          <cell r="S8362">
            <v>-179842.75</v>
          </cell>
          <cell r="X8362" t="str">
            <v>GWP - gross</v>
          </cell>
          <cell r="Y8362" t="str">
            <v>UNITED KINGDOM</v>
          </cell>
        </row>
        <row r="8363">
          <cell r="L8363" t="str">
            <v>Non-proportional</v>
          </cell>
          <cell r="S8363">
            <v>-43229.42</v>
          </cell>
          <cell r="X8363" t="str">
            <v>GWP - gross</v>
          </cell>
          <cell r="Y8363" t="str">
            <v>FAROE ISLANDS</v>
          </cell>
        </row>
        <row r="8364">
          <cell r="L8364" t="str">
            <v>Non-proportional</v>
          </cell>
          <cell r="S8364">
            <v>227097</v>
          </cell>
          <cell r="X8364" t="str">
            <v>GWP - gross</v>
          </cell>
          <cell r="Y8364" t="str">
            <v>GERMANY</v>
          </cell>
        </row>
        <row r="8365">
          <cell r="L8365" t="str">
            <v>Non-proportional</v>
          </cell>
          <cell r="S8365">
            <v>-66490.06</v>
          </cell>
          <cell r="X8365" t="str">
            <v>GWP - gross</v>
          </cell>
          <cell r="Y8365" t="str">
            <v>GERMANY</v>
          </cell>
        </row>
        <row r="8366">
          <cell r="L8366" t="str">
            <v>Non-proportional</v>
          </cell>
          <cell r="S8366">
            <v>14040</v>
          </cell>
          <cell r="X8366" t="str">
            <v>GWP - gross</v>
          </cell>
          <cell r="Y8366" t="str">
            <v>GERMANY</v>
          </cell>
        </row>
        <row r="8367">
          <cell r="L8367" t="str">
            <v>Non-proportional</v>
          </cell>
          <cell r="S8367">
            <v>58000</v>
          </cell>
          <cell r="X8367" t="str">
            <v>GWP - gross</v>
          </cell>
          <cell r="Y8367" t="str">
            <v>GERMANY</v>
          </cell>
        </row>
        <row r="8368">
          <cell r="L8368" t="str">
            <v>Non-proportional</v>
          </cell>
          <cell r="S8368">
            <v>41600</v>
          </cell>
          <cell r="X8368" t="str">
            <v>GWP - gross</v>
          </cell>
          <cell r="Y8368" t="str">
            <v>GERMANY</v>
          </cell>
        </row>
        <row r="8369">
          <cell r="L8369" t="str">
            <v>Non-proportional</v>
          </cell>
          <cell r="S8369">
            <v>-300909.25</v>
          </cell>
          <cell r="X8369" t="str">
            <v>GWP - gross</v>
          </cell>
          <cell r="Y8369" t="str">
            <v>UNITED KINGDOM</v>
          </cell>
        </row>
        <row r="8370">
          <cell r="L8370" t="str">
            <v>Non-proportional</v>
          </cell>
          <cell r="S8370">
            <v>-54062.58</v>
          </cell>
          <cell r="X8370" t="str">
            <v>GWP - gross</v>
          </cell>
          <cell r="Y8370" t="str">
            <v>FRANCE</v>
          </cell>
        </row>
        <row r="8371">
          <cell r="L8371" t="str">
            <v>Non-proportional</v>
          </cell>
          <cell r="S8371">
            <v>174018.25</v>
          </cell>
          <cell r="X8371" t="str">
            <v>GWP - gross</v>
          </cell>
          <cell r="Y8371" t="str">
            <v>UNITED KINGDOM</v>
          </cell>
        </row>
        <row r="8372">
          <cell r="L8372" t="str">
            <v>Non-proportional</v>
          </cell>
          <cell r="S8372">
            <v>-63283.82</v>
          </cell>
          <cell r="X8372" t="str">
            <v>GWP - gross</v>
          </cell>
          <cell r="Y8372" t="str">
            <v>NORWAY</v>
          </cell>
        </row>
        <row r="8373">
          <cell r="L8373" t="str">
            <v>Non-proportional</v>
          </cell>
          <cell r="S8373">
            <v>-8971.58</v>
          </cell>
          <cell r="X8373" t="str">
            <v>GWP - gross</v>
          </cell>
          <cell r="Y8373" t="str">
            <v>SWITZERLAND</v>
          </cell>
        </row>
        <row r="8374">
          <cell r="L8374" t="str">
            <v>Non-proportional</v>
          </cell>
          <cell r="S8374">
            <v>-67035.929999999993</v>
          </cell>
          <cell r="X8374" t="str">
            <v>GWP - gross</v>
          </cell>
          <cell r="Y8374" t="str">
            <v>GERMANY</v>
          </cell>
        </row>
        <row r="8375">
          <cell r="L8375" t="str">
            <v>Non-proportional</v>
          </cell>
          <cell r="S8375">
            <v>-34090.129999999997</v>
          </cell>
          <cell r="X8375" t="str">
            <v>GWP - gross</v>
          </cell>
          <cell r="Y8375" t="str">
            <v>SWITZERLAND</v>
          </cell>
        </row>
        <row r="8376">
          <cell r="L8376" t="str">
            <v>Non-proportional</v>
          </cell>
          <cell r="S8376">
            <v>53277.4</v>
          </cell>
          <cell r="X8376" t="str">
            <v>GWP - gross</v>
          </cell>
          <cell r="Y8376" t="str">
            <v>SWITZERLAND</v>
          </cell>
        </row>
        <row r="8377">
          <cell r="L8377" t="str">
            <v>Non-proportional</v>
          </cell>
          <cell r="S8377">
            <v>5484339.29</v>
          </cell>
          <cell r="X8377" t="str">
            <v>GWP - gross</v>
          </cell>
          <cell r="Y8377" t="str">
            <v>UNITED KINGDOM</v>
          </cell>
        </row>
        <row r="8378">
          <cell r="L8378" t="str">
            <v>Non-proportional</v>
          </cell>
          <cell r="S8378">
            <v>-482407.13</v>
          </cell>
          <cell r="X8378" t="str">
            <v>GWP - gross</v>
          </cell>
          <cell r="Y8378" t="str">
            <v>SWITZERLAND</v>
          </cell>
        </row>
        <row r="8379">
          <cell r="L8379" t="str">
            <v>Non-proportional</v>
          </cell>
          <cell r="S8379">
            <v>-8614.2900000000009</v>
          </cell>
          <cell r="X8379" t="str">
            <v>GWP - gross</v>
          </cell>
          <cell r="Y8379" t="str">
            <v>UNITED KINGDOM</v>
          </cell>
        </row>
        <row r="8380">
          <cell r="L8380" t="str">
            <v>Non-proportional</v>
          </cell>
          <cell r="S8380">
            <v>-50855.7</v>
          </cell>
          <cell r="X8380" t="str">
            <v>GWP - gross</v>
          </cell>
          <cell r="Y8380" t="str">
            <v>GERMANY</v>
          </cell>
        </row>
        <row r="8381">
          <cell r="L8381" t="str">
            <v>Non-proportional</v>
          </cell>
          <cell r="S8381">
            <v>178055.74</v>
          </cell>
          <cell r="X8381" t="str">
            <v>GWP - gross</v>
          </cell>
          <cell r="Y8381" t="str">
            <v>SWITZERLAND</v>
          </cell>
        </row>
        <row r="8382">
          <cell r="L8382" t="str">
            <v>Non-proportional</v>
          </cell>
          <cell r="S8382">
            <v>71021.179999999993</v>
          </cell>
          <cell r="X8382" t="str">
            <v>GWP - gross</v>
          </cell>
          <cell r="Y8382" t="str">
            <v>SWITZERLAND</v>
          </cell>
        </row>
        <row r="8383">
          <cell r="L8383" t="str">
            <v>Non-proportional</v>
          </cell>
          <cell r="S8383">
            <v>-537533</v>
          </cell>
          <cell r="X8383" t="str">
            <v>GWP - gross</v>
          </cell>
          <cell r="Y8383" t="str">
            <v>UNITED KINGDOM</v>
          </cell>
        </row>
        <row r="8384">
          <cell r="L8384" t="str">
            <v>Non-proportional</v>
          </cell>
          <cell r="S8384">
            <v>137828.67000000001</v>
          </cell>
          <cell r="X8384" t="str">
            <v>GWP - gross</v>
          </cell>
          <cell r="Y8384" t="str">
            <v>UNITED KINGDOM</v>
          </cell>
        </row>
        <row r="8385">
          <cell r="L8385" t="str">
            <v>Non-proportional</v>
          </cell>
          <cell r="S8385">
            <v>-48794.84</v>
          </cell>
          <cell r="X8385" t="str">
            <v>GWP - gross</v>
          </cell>
          <cell r="Y8385" t="str">
            <v>SWITZERLAND</v>
          </cell>
        </row>
        <row r="8386">
          <cell r="L8386" t="str">
            <v>Non-proportional</v>
          </cell>
          <cell r="S8386">
            <v>-354468.55</v>
          </cell>
          <cell r="X8386" t="str">
            <v>GWP - gross</v>
          </cell>
          <cell r="Y8386" t="str">
            <v>UNITED KINGDOM</v>
          </cell>
        </row>
        <row r="8387">
          <cell r="L8387" t="str">
            <v>Non-proportional</v>
          </cell>
          <cell r="S8387">
            <v>-119995.95</v>
          </cell>
          <cell r="X8387" t="str">
            <v>GWP - gross</v>
          </cell>
          <cell r="Y8387" t="str">
            <v>GERMANY</v>
          </cell>
        </row>
        <row r="8388">
          <cell r="L8388" t="str">
            <v>Non-proportional</v>
          </cell>
          <cell r="S8388">
            <v>-75751</v>
          </cell>
          <cell r="X8388" t="str">
            <v>GWP - gross</v>
          </cell>
          <cell r="Y8388" t="str">
            <v>GERMANY</v>
          </cell>
        </row>
        <row r="8389">
          <cell r="L8389" t="str">
            <v>Non-proportional</v>
          </cell>
          <cell r="S8389">
            <v>10480.540000000001</v>
          </cell>
          <cell r="X8389" t="str">
            <v>GWP - gross</v>
          </cell>
          <cell r="Y8389" t="str">
            <v>SWITZERLAND</v>
          </cell>
        </row>
        <row r="8390">
          <cell r="L8390" t="str">
            <v>Non-proportional</v>
          </cell>
          <cell r="S8390">
            <v>-10640</v>
          </cell>
          <cell r="X8390" t="str">
            <v>GWP - gross</v>
          </cell>
          <cell r="Y8390" t="str">
            <v>AUSTRIA</v>
          </cell>
        </row>
        <row r="8391">
          <cell r="L8391" t="str">
            <v>Non-proportional</v>
          </cell>
          <cell r="S8391">
            <v>-5484339.29</v>
          </cell>
          <cell r="X8391" t="str">
            <v>GWP - gross</v>
          </cell>
          <cell r="Y8391" t="str">
            <v>UNITED KINGDOM</v>
          </cell>
        </row>
        <row r="8392">
          <cell r="L8392" t="str">
            <v>Non-proportional</v>
          </cell>
          <cell r="S8392">
            <v>179685</v>
          </cell>
          <cell r="X8392" t="str">
            <v>GWP - gross</v>
          </cell>
          <cell r="Y8392" t="str">
            <v>ITALY</v>
          </cell>
        </row>
        <row r="8393">
          <cell r="L8393" t="str">
            <v>Non-proportional</v>
          </cell>
          <cell r="S8393">
            <v>-195998.07</v>
          </cell>
          <cell r="X8393" t="str">
            <v>GWP - gross</v>
          </cell>
          <cell r="Y8393" t="str">
            <v>DENMARK</v>
          </cell>
        </row>
        <row r="8394">
          <cell r="L8394" t="str">
            <v>Non-proportional</v>
          </cell>
          <cell r="S8394">
            <v>85007.2</v>
          </cell>
          <cell r="X8394" t="str">
            <v>GWP - gross</v>
          </cell>
          <cell r="Y8394" t="str">
            <v>NORWAY</v>
          </cell>
        </row>
        <row r="8395">
          <cell r="L8395" t="str">
            <v>Non-proportional</v>
          </cell>
          <cell r="S8395">
            <v>8614.2900000000009</v>
          </cell>
          <cell r="X8395" t="str">
            <v>GWP - gross</v>
          </cell>
          <cell r="Y8395" t="str">
            <v>UNITED KINGDOM</v>
          </cell>
        </row>
        <row r="8396">
          <cell r="L8396" t="str">
            <v>Non-proportional</v>
          </cell>
          <cell r="S8396">
            <v>263870</v>
          </cell>
          <cell r="X8396" t="str">
            <v>GWP - gross</v>
          </cell>
          <cell r="Y8396" t="str">
            <v>SWITZERLAND</v>
          </cell>
        </row>
        <row r="8397">
          <cell r="L8397" t="str">
            <v>Non-proportional</v>
          </cell>
          <cell r="S8397">
            <v>90972</v>
          </cell>
          <cell r="X8397" t="str">
            <v>GWP - gross</v>
          </cell>
          <cell r="Y8397" t="str">
            <v>ITALY</v>
          </cell>
        </row>
        <row r="8398">
          <cell r="L8398" t="str">
            <v>Non-proportional</v>
          </cell>
          <cell r="S8398">
            <v>-107485.56</v>
          </cell>
          <cell r="X8398" t="str">
            <v>GWP - gross</v>
          </cell>
          <cell r="Y8398" t="str">
            <v>GERMANY</v>
          </cell>
        </row>
        <row r="8399">
          <cell r="L8399" t="str">
            <v>Non-proportional</v>
          </cell>
          <cell r="S8399">
            <v>-63537.5</v>
          </cell>
          <cell r="X8399" t="str">
            <v>GWP - gross</v>
          </cell>
          <cell r="Y8399" t="str">
            <v>GERMANY</v>
          </cell>
        </row>
        <row r="8400">
          <cell r="L8400" t="str">
            <v>Non-proportional</v>
          </cell>
          <cell r="S8400">
            <v>-90495.87</v>
          </cell>
          <cell r="X8400" t="str">
            <v>GWP - gross</v>
          </cell>
          <cell r="Y8400" t="str">
            <v>NORWAY</v>
          </cell>
        </row>
        <row r="8401">
          <cell r="L8401" t="str">
            <v>Non-proportional</v>
          </cell>
          <cell r="S8401">
            <v>136258.20000000001</v>
          </cell>
          <cell r="X8401" t="str">
            <v>GWP - gross</v>
          </cell>
          <cell r="Y8401" t="str">
            <v>GERMANY</v>
          </cell>
        </row>
        <row r="8402">
          <cell r="L8402" t="str">
            <v>Non-proportional</v>
          </cell>
          <cell r="S8402">
            <v>-263870</v>
          </cell>
          <cell r="X8402" t="str">
            <v>GWP - gross</v>
          </cell>
          <cell r="Y8402" t="str">
            <v>SWITZERLAND</v>
          </cell>
        </row>
        <row r="8403">
          <cell r="L8403" t="str">
            <v>Non-proportional</v>
          </cell>
          <cell r="S8403">
            <v>92354.5</v>
          </cell>
          <cell r="X8403" t="str">
            <v>GWP - gross</v>
          </cell>
          <cell r="Y8403" t="str">
            <v>SWITZERLAND</v>
          </cell>
        </row>
        <row r="8404">
          <cell r="L8404" t="str">
            <v>Non-proportional</v>
          </cell>
          <cell r="S8404">
            <v>-1998.35</v>
          </cell>
          <cell r="X8404" t="str">
            <v>GWP - gross</v>
          </cell>
          <cell r="Y8404" t="str">
            <v>FRANCE</v>
          </cell>
        </row>
        <row r="8405">
          <cell r="L8405" t="str">
            <v>Non-proportional</v>
          </cell>
          <cell r="S8405">
            <v>-190326.86</v>
          </cell>
          <cell r="X8405" t="str">
            <v>GWP - gross</v>
          </cell>
          <cell r="Y8405" t="str">
            <v>UNITED KINGDOM</v>
          </cell>
        </row>
        <row r="8406">
          <cell r="L8406" t="str">
            <v>Non-proportional</v>
          </cell>
          <cell r="S8406">
            <v>3726</v>
          </cell>
          <cell r="X8406" t="str">
            <v>GWP - gross</v>
          </cell>
          <cell r="Y8406" t="str">
            <v>ITALY</v>
          </cell>
        </row>
        <row r="8407">
          <cell r="L8407" t="str">
            <v>Non-proportional</v>
          </cell>
          <cell r="S8407">
            <v>6210</v>
          </cell>
          <cell r="X8407" t="str">
            <v>GWP - gross</v>
          </cell>
          <cell r="Y8407" t="str">
            <v>ITALY</v>
          </cell>
        </row>
        <row r="8408">
          <cell r="L8408" t="str">
            <v>Non-proportional</v>
          </cell>
          <cell r="S8408">
            <v>-141791.29999999999</v>
          </cell>
          <cell r="X8408" t="str">
            <v>GWP - gross</v>
          </cell>
          <cell r="Y8408" t="str">
            <v>GERMANY</v>
          </cell>
        </row>
        <row r="8409">
          <cell r="L8409" t="str">
            <v>Non-proportional</v>
          </cell>
          <cell r="S8409">
            <v>-58262.5</v>
          </cell>
          <cell r="X8409" t="str">
            <v>GWP - gross</v>
          </cell>
          <cell r="Y8409" t="str">
            <v>SWITZERLAND</v>
          </cell>
        </row>
        <row r="8410">
          <cell r="L8410" t="str">
            <v>Non-proportional</v>
          </cell>
          <cell r="S8410">
            <v>-225687.3</v>
          </cell>
          <cell r="X8410" t="str">
            <v>GWP - gross</v>
          </cell>
          <cell r="Y8410" t="str">
            <v>REPUBLIC OF IRELAND</v>
          </cell>
        </row>
        <row r="8411">
          <cell r="L8411" t="str">
            <v>Non-proportional</v>
          </cell>
          <cell r="S8411">
            <v>-36909.589999999997</v>
          </cell>
          <cell r="X8411" t="str">
            <v>GWP - gross</v>
          </cell>
          <cell r="Y8411" t="str">
            <v>ICELAND</v>
          </cell>
        </row>
        <row r="8412">
          <cell r="L8412" t="str">
            <v>Non-proportional</v>
          </cell>
          <cell r="S8412">
            <v>-12061.17</v>
          </cell>
          <cell r="X8412" t="str">
            <v>GWP - gross</v>
          </cell>
          <cell r="Y8412" t="str">
            <v>DENMARK</v>
          </cell>
        </row>
        <row r="8413">
          <cell r="L8413" t="str">
            <v>Non-proportional</v>
          </cell>
          <cell r="S8413">
            <v>-867078.28</v>
          </cell>
          <cell r="X8413" t="str">
            <v>GWP - gross</v>
          </cell>
          <cell r="Y8413" t="str">
            <v>UNITED KINGDOM</v>
          </cell>
        </row>
        <row r="8414">
          <cell r="L8414" t="str">
            <v>Non-proportional</v>
          </cell>
          <cell r="S8414">
            <v>-126453.6</v>
          </cell>
          <cell r="X8414" t="str">
            <v>GWP - gross</v>
          </cell>
          <cell r="Y8414" t="str">
            <v>GERMANY</v>
          </cell>
        </row>
        <row r="8415">
          <cell r="L8415" t="str">
            <v>Non-proportional</v>
          </cell>
          <cell r="S8415">
            <v>-284527.31</v>
          </cell>
          <cell r="X8415" t="str">
            <v>GWP - gross</v>
          </cell>
          <cell r="Y8415" t="str">
            <v>UNITED KINGDOM</v>
          </cell>
        </row>
        <row r="8416">
          <cell r="L8416" t="str">
            <v>Non-proportional</v>
          </cell>
          <cell r="S8416">
            <v>-46600</v>
          </cell>
          <cell r="X8416" t="str">
            <v>GWP - gross</v>
          </cell>
          <cell r="Y8416" t="str">
            <v>EUROPE</v>
          </cell>
        </row>
        <row r="8417">
          <cell r="L8417" t="str">
            <v>Non-proportional</v>
          </cell>
          <cell r="S8417">
            <v>86819.08</v>
          </cell>
          <cell r="X8417" t="str">
            <v>GWP - gross</v>
          </cell>
          <cell r="Y8417" t="str">
            <v>SWITZERLAND</v>
          </cell>
        </row>
        <row r="8418">
          <cell r="L8418" t="str">
            <v>Non-proportional</v>
          </cell>
          <cell r="S8418">
            <v>369.57</v>
          </cell>
          <cell r="X8418" t="str">
            <v>GWP - gross</v>
          </cell>
          <cell r="Y8418" t="str">
            <v>NORWAY</v>
          </cell>
        </row>
        <row r="8419">
          <cell r="L8419" t="str">
            <v>Non-proportional</v>
          </cell>
          <cell r="S8419">
            <v>-186500.25</v>
          </cell>
          <cell r="X8419" t="str">
            <v>GWP - gross</v>
          </cell>
          <cell r="Y8419" t="str">
            <v>FRANCE</v>
          </cell>
        </row>
        <row r="8420">
          <cell r="L8420" t="str">
            <v>Non-proportional</v>
          </cell>
          <cell r="S8420">
            <v>-10480.540000000001</v>
          </cell>
          <cell r="X8420" t="str">
            <v>GWP - gross</v>
          </cell>
          <cell r="Y8420" t="str">
            <v>SWITZERLAND</v>
          </cell>
        </row>
        <row r="8421">
          <cell r="L8421" t="str">
            <v>Non-proportional</v>
          </cell>
          <cell r="S8421">
            <v>-66661.19</v>
          </cell>
          <cell r="X8421" t="str">
            <v>GWP - gross</v>
          </cell>
          <cell r="Y8421" t="str">
            <v>SWEDEN</v>
          </cell>
        </row>
        <row r="8422">
          <cell r="L8422" t="str">
            <v>Non-proportional</v>
          </cell>
          <cell r="S8422">
            <v>-227685</v>
          </cell>
          <cell r="X8422" t="str">
            <v>GWP - gross</v>
          </cell>
          <cell r="Y8422" t="str">
            <v>AUSTRIA</v>
          </cell>
        </row>
        <row r="8423">
          <cell r="L8423" t="str">
            <v>Non-proportional</v>
          </cell>
          <cell r="S8423">
            <v>-235272.7</v>
          </cell>
          <cell r="X8423" t="str">
            <v>GWP - gross</v>
          </cell>
          <cell r="Y8423" t="str">
            <v>FRANCE</v>
          </cell>
        </row>
        <row r="8424">
          <cell r="L8424" t="str">
            <v>Non-proportional</v>
          </cell>
          <cell r="S8424">
            <v>-87683.19</v>
          </cell>
          <cell r="X8424" t="str">
            <v>GWP - gross</v>
          </cell>
          <cell r="Y8424" t="str">
            <v>FAROE ISLANDS</v>
          </cell>
        </row>
        <row r="8425">
          <cell r="L8425" t="str">
            <v>Non-proportional</v>
          </cell>
          <cell r="S8425">
            <v>693662.65</v>
          </cell>
          <cell r="X8425" t="str">
            <v>GWP - gross</v>
          </cell>
          <cell r="Y8425" t="str">
            <v>UNITED KINGDOM</v>
          </cell>
        </row>
        <row r="8426">
          <cell r="L8426" t="str">
            <v>Non-proportional</v>
          </cell>
          <cell r="S8426">
            <v>-46600</v>
          </cell>
          <cell r="X8426" t="str">
            <v>GWP - gross</v>
          </cell>
          <cell r="Y8426" t="str">
            <v>EUROPE</v>
          </cell>
        </row>
        <row r="8427">
          <cell r="L8427" t="str">
            <v>Non-proportional</v>
          </cell>
          <cell r="S8427">
            <v>76021.63</v>
          </cell>
          <cell r="X8427" t="str">
            <v>GWP - gross</v>
          </cell>
          <cell r="Y8427" t="str">
            <v>GERMANY</v>
          </cell>
        </row>
        <row r="8428">
          <cell r="L8428" t="str">
            <v>Non-proportional</v>
          </cell>
          <cell r="S8428">
            <v>-121200</v>
          </cell>
          <cell r="X8428" t="str">
            <v>GWP - gross</v>
          </cell>
          <cell r="Y8428" t="str">
            <v>EUROPE</v>
          </cell>
        </row>
        <row r="8429">
          <cell r="L8429" t="str">
            <v>Non-proportional</v>
          </cell>
          <cell r="S8429">
            <v>127139.25</v>
          </cell>
          <cell r="X8429" t="str">
            <v>GWP - gross</v>
          </cell>
          <cell r="Y8429" t="str">
            <v>SWITZERLAND</v>
          </cell>
        </row>
        <row r="8430">
          <cell r="L8430" t="str">
            <v>Non-proportional</v>
          </cell>
          <cell r="S8430">
            <v>11934</v>
          </cell>
          <cell r="X8430" t="str">
            <v>GWP - gross</v>
          </cell>
          <cell r="Y8430" t="str">
            <v>GERMANY</v>
          </cell>
        </row>
        <row r="8431">
          <cell r="L8431" t="str">
            <v>Non-proportional</v>
          </cell>
          <cell r="S8431">
            <v>-213433.65</v>
          </cell>
          <cell r="X8431" t="str">
            <v>GWP - gross</v>
          </cell>
          <cell r="Y8431" t="str">
            <v>FRANCE</v>
          </cell>
        </row>
        <row r="8432">
          <cell r="L8432" t="str">
            <v>Non-proportional</v>
          </cell>
          <cell r="S8432">
            <v>-1241924.3500000001</v>
          </cell>
          <cell r="X8432" t="str">
            <v>GWP - gross</v>
          </cell>
          <cell r="Y8432" t="str">
            <v>UNITED KINGDOM</v>
          </cell>
        </row>
        <row r="8433">
          <cell r="L8433" t="str">
            <v>Non-proportional</v>
          </cell>
          <cell r="S8433">
            <v>263870</v>
          </cell>
          <cell r="X8433" t="str">
            <v>GWP - gross</v>
          </cell>
          <cell r="Y8433" t="str">
            <v>SWITZERLAND</v>
          </cell>
        </row>
        <row r="8434">
          <cell r="L8434" t="str">
            <v>Non-proportional</v>
          </cell>
          <cell r="S8434">
            <v>-227097</v>
          </cell>
          <cell r="X8434" t="str">
            <v>GWP - gross</v>
          </cell>
          <cell r="Y8434" t="str">
            <v>GERMANY</v>
          </cell>
        </row>
        <row r="8435">
          <cell r="L8435" t="str">
            <v>Non-proportional</v>
          </cell>
          <cell r="S8435">
            <v>-310635.98</v>
          </cell>
          <cell r="X8435" t="str">
            <v>GWP - gross</v>
          </cell>
          <cell r="Y8435" t="str">
            <v>CZECH REPUBLIC</v>
          </cell>
        </row>
        <row r="8436">
          <cell r="L8436" t="str">
            <v>Non-proportional</v>
          </cell>
          <cell r="S8436">
            <v>-11610.28</v>
          </cell>
          <cell r="X8436" t="str">
            <v>GWP - gross</v>
          </cell>
          <cell r="Y8436" t="str">
            <v>SWITZERLAND</v>
          </cell>
        </row>
        <row r="8437">
          <cell r="L8437" t="str">
            <v>Proportional</v>
          </cell>
          <cell r="S8437">
            <v>576405</v>
          </cell>
          <cell r="X8437" t="str">
            <v>GWP - gross</v>
          </cell>
          <cell r="Y8437" t="str">
            <v>SWITZERLAND</v>
          </cell>
        </row>
        <row r="8438">
          <cell r="L8438" t="str">
            <v>Non-proportional</v>
          </cell>
          <cell r="S8438">
            <v>-65605.45</v>
          </cell>
          <cell r="X8438" t="str">
            <v>GWP - gross</v>
          </cell>
          <cell r="Y8438" t="str">
            <v>SWITZERLAND</v>
          </cell>
        </row>
        <row r="8439">
          <cell r="L8439" t="str">
            <v>Non-proportional</v>
          </cell>
          <cell r="S8439">
            <v>-172285.83</v>
          </cell>
          <cell r="X8439" t="str">
            <v>GWP - gross</v>
          </cell>
          <cell r="Y8439" t="str">
            <v>UNITED KINGDOM</v>
          </cell>
        </row>
        <row r="8440">
          <cell r="L8440" t="str">
            <v>Non-proportional</v>
          </cell>
          <cell r="S8440">
            <v>-39480</v>
          </cell>
          <cell r="X8440" t="str">
            <v>GWP - gross</v>
          </cell>
          <cell r="Y8440" t="str">
            <v>AUSTRIA</v>
          </cell>
        </row>
        <row r="8441">
          <cell r="L8441" t="str">
            <v>Non-proportional</v>
          </cell>
          <cell r="S8441">
            <v>399704.33</v>
          </cell>
          <cell r="X8441" t="str">
            <v>GWP - gross</v>
          </cell>
          <cell r="Y8441" t="str">
            <v>UNITED KINGDOM</v>
          </cell>
        </row>
        <row r="8442">
          <cell r="L8442" t="str">
            <v>Non-proportional</v>
          </cell>
          <cell r="S8442">
            <v>107485.56</v>
          </cell>
          <cell r="X8442" t="str">
            <v>GWP - gross</v>
          </cell>
          <cell r="Y8442" t="str">
            <v>GERMANY</v>
          </cell>
        </row>
        <row r="8443">
          <cell r="L8443" t="str">
            <v>Non-proportional</v>
          </cell>
          <cell r="S8443">
            <v>-99735.09</v>
          </cell>
          <cell r="X8443" t="str">
            <v>GWP - gross</v>
          </cell>
          <cell r="Y8443" t="str">
            <v>GERMANY</v>
          </cell>
        </row>
        <row r="8444">
          <cell r="L8444" t="str">
            <v>Non-proportional</v>
          </cell>
          <cell r="S8444">
            <v>-11934</v>
          </cell>
          <cell r="X8444" t="str">
            <v>GWP - gross</v>
          </cell>
          <cell r="Y8444" t="str">
            <v>GERMANY</v>
          </cell>
        </row>
        <row r="8445">
          <cell r="L8445" t="str">
            <v>Non-proportional</v>
          </cell>
          <cell r="S8445">
            <v>-72868.899999999994</v>
          </cell>
          <cell r="X8445" t="str">
            <v>GWP - gross</v>
          </cell>
          <cell r="Y8445" t="str">
            <v>DENMARK</v>
          </cell>
        </row>
        <row r="8446">
          <cell r="L8446" t="str">
            <v>Non-proportional</v>
          </cell>
          <cell r="S8446">
            <v>74750</v>
          </cell>
          <cell r="X8446" t="str">
            <v>GWP - gross</v>
          </cell>
          <cell r="Y8446" t="str">
            <v>GERMANY</v>
          </cell>
        </row>
        <row r="8447">
          <cell r="L8447" t="str">
            <v>Non-proportional</v>
          </cell>
          <cell r="S8447">
            <v>126453.6</v>
          </cell>
          <cell r="X8447" t="str">
            <v>GWP - gross</v>
          </cell>
          <cell r="Y8447" t="str">
            <v>GERMANY</v>
          </cell>
        </row>
        <row r="8448">
          <cell r="L8448" t="str">
            <v>Non-proportional</v>
          </cell>
          <cell r="S8448">
            <v>-4219.92</v>
          </cell>
          <cell r="X8448" t="str">
            <v>GWP - gross</v>
          </cell>
          <cell r="Y8448" t="str">
            <v>GERMANY</v>
          </cell>
        </row>
        <row r="8449">
          <cell r="L8449" t="str">
            <v>Non-proportional</v>
          </cell>
          <cell r="S8449">
            <v>-82850.09</v>
          </cell>
          <cell r="X8449" t="str">
            <v>GWP - gross</v>
          </cell>
          <cell r="Y8449" t="str">
            <v>FRANCE</v>
          </cell>
        </row>
        <row r="8450">
          <cell r="L8450" t="str">
            <v>Non-proportional</v>
          </cell>
          <cell r="S8450">
            <v>9300</v>
          </cell>
          <cell r="X8450" t="str">
            <v>GWP - gross</v>
          </cell>
          <cell r="Y8450" t="str">
            <v>SWITZERLAND</v>
          </cell>
        </row>
        <row r="8451">
          <cell r="L8451" t="str">
            <v>Non-proportional</v>
          </cell>
          <cell r="S8451">
            <v>-194604.13</v>
          </cell>
          <cell r="X8451" t="str">
            <v>GWP - gross</v>
          </cell>
          <cell r="Y8451" t="str">
            <v>SWITZERLAND</v>
          </cell>
        </row>
        <row r="8452">
          <cell r="L8452" t="str">
            <v>Non-proportional</v>
          </cell>
          <cell r="S8452">
            <v>-263870</v>
          </cell>
          <cell r="X8452" t="str">
            <v>GWP - gross</v>
          </cell>
          <cell r="Y8452" t="str">
            <v>SWITZERLAND</v>
          </cell>
        </row>
        <row r="8453">
          <cell r="L8453" t="str">
            <v>Non-proportional</v>
          </cell>
          <cell r="S8453">
            <v>-14248.98</v>
          </cell>
          <cell r="X8453" t="str">
            <v>GWP - gross</v>
          </cell>
          <cell r="Y8453" t="str">
            <v>SWITZERLAND</v>
          </cell>
        </row>
        <row r="8454">
          <cell r="L8454" t="str">
            <v>Non-proportional</v>
          </cell>
          <cell r="S8454">
            <v>-179685</v>
          </cell>
          <cell r="X8454" t="str">
            <v>GWP - gross</v>
          </cell>
          <cell r="Y8454" t="str">
            <v>ITALY</v>
          </cell>
        </row>
        <row r="8455">
          <cell r="L8455" t="str">
            <v>Non-proportional</v>
          </cell>
          <cell r="S8455">
            <v>-226800</v>
          </cell>
          <cell r="X8455" t="str">
            <v>GWP - gross</v>
          </cell>
          <cell r="Y8455" t="str">
            <v>ROMANIA</v>
          </cell>
        </row>
        <row r="8456">
          <cell r="L8456" t="str">
            <v>Non-proportional</v>
          </cell>
          <cell r="S8456">
            <v>-300.07</v>
          </cell>
          <cell r="X8456" t="str">
            <v>GWP - gross</v>
          </cell>
          <cell r="Y8456" t="str">
            <v>GERMANY</v>
          </cell>
        </row>
        <row r="8457">
          <cell r="L8457" t="str">
            <v>Non-proportional</v>
          </cell>
          <cell r="S8457">
            <v>8971.58</v>
          </cell>
          <cell r="X8457" t="str">
            <v>GWP - gross</v>
          </cell>
          <cell r="Y8457" t="str">
            <v>SWITZERLAND</v>
          </cell>
        </row>
        <row r="8458">
          <cell r="L8458" t="str">
            <v>Non-proportional</v>
          </cell>
          <cell r="S8458">
            <v>-78920.259999999995</v>
          </cell>
          <cell r="X8458" t="str">
            <v>GWP - gross</v>
          </cell>
          <cell r="Y8458" t="str">
            <v>FAROE ISLANDS</v>
          </cell>
        </row>
        <row r="8459">
          <cell r="L8459" t="str">
            <v>Non-proportional</v>
          </cell>
          <cell r="S8459">
            <v>-46200</v>
          </cell>
          <cell r="X8459" t="str">
            <v>GWP - gross</v>
          </cell>
          <cell r="Y8459" t="str">
            <v>GERMANY</v>
          </cell>
        </row>
        <row r="8460">
          <cell r="L8460" t="str">
            <v>Non-proportional</v>
          </cell>
          <cell r="S8460">
            <v>-77000</v>
          </cell>
          <cell r="X8460" t="str">
            <v>GWP - gross</v>
          </cell>
          <cell r="Y8460" t="str">
            <v>GERMANY</v>
          </cell>
        </row>
        <row r="8461">
          <cell r="L8461" t="str">
            <v>Non-proportional</v>
          </cell>
          <cell r="S8461">
            <v>-982029.13</v>
          </cell>
          <cell r="X8461" t="str">
            <v>GWP - gross</v>
          </cell>
          <cell r="Y8461" t="str">
            <v>UNITED KINGDOM</v>
          </cell>
        </row>
        <row r="8462">
          <cell r="L8462" t="str">
            <v>Non-proportional</v>
          </cell>
          <cell r="S8462">
            <v>498404.26</v>
          </cell>
          <cell r="X8462" t="str">
            <v>GWP - gross</v>
          </cell>
          <cell r="Y8462" t="str">
            <v>UNITED KINGDOM</v>
          </cell>
        </row>
        <row r="8463">
          <cell r="L8463" t="str">
            <v>Non-proportional</v>
          </cell>
          <cell r="S8463">
            <v>558</v>
          </cell>
          <cell r="X8463" t="str">
            <v>GWP - gross</v>
          </cell>
          <cell r="Y8463" t="str">
            <v>SWITZERLAND</v>
          </cell>
        </row>
        <row r="8464">
          <cell r="L8464" t="str">
            <v>Non-proportional</v>
          </cell>
          <cell r="S8464">
            <v>263870</v>
          </cell>
          <cell r="X8464" t="str">
            <v>GWP - gross</v>
          </cell>
          <cell r="Y8464" t="str">
            <v>SWITZERLAND</v>
          </cell>
        </row>
        <row r="8465">
          <cell r="L8465" t="str">
            <v>Non-proportional</v>
          </cell>
          <cell r="S8465">
            <v>-302848.90999999997</v>
          </cell>
          <cell r="X8465" t="str">
            <v>GWP - gross</v>
          </cell>
          <cell r="Y8465" t="str">
            <v>UNITED KINGDOM</v>
          </cell>
        </row>
        <row r="8466">
          <cell r="L8466" t="str">
            <v>Non-proportional</v>
          </cell>
          <cell r="S8466">
            <v>12865.25</v>
          </cell>
          <cell r="X8466" t="str">
            <v>GWP - gross</v>
          </cell>
          <cell r="Y8466" t="str">
            <v>DENMARK</v>
          </cell>
        </row>
        <row r="8467">
          <cell r="L8467" t="str">
            <v>Non-proportional</v>
          </cell>
          <cell r="S8467">
            <v>102150</v>
          </cell>
          <cell r="X8467" t="str">
            <v>GWP - gross</v>
          </cell>
          <cell r="Y8467" t="str">
            <v>GERMANY</v>
          </cell>
        </row>
        <row r="8468">
          <cell r="L8468" t="str">
            <v>Non-proportional</v>
          </cell>
          <cell r="S8468">
            <v>-71021.179999999993</v>
          </cell>
          <cell r="X8468" t="str">
            <v>GWP - gross</v>
          </cell>
          <cell r="Y8468" t="str">
            <v>SWITZERLAND</v>
          </cell>
        </row>
        <row r="8469">
          <cell r="L8469" t="str">
            <v>Non-proportional</v>
          </cell>
          <cell r="S8469">
            <v>-99873.85</v>
          </cell>
          <cell r="X8469" t="str">
            <v>GWP - gross</v>
          </cell>
          <cell r="Y8469" t="str">
            <v>GERMANY</v>
          </cell>
        </row>
        <row r="8470">
          <cell r="L8470" t="str">
            <v>Non-proportional</v>
          </cell>
          <cell r="S8470">
            <v>-216769.57</v>
          </cell>
          <cell r="X8470" t="str">
            <v>GWP - gross</v>
          </cell>
          <cell r="Y8470" t="str">
            <v>UNITED KINGDOM</v>
          </cell>
        </row>
        <row r="8471">
          <cell r="L8471" t="str">
            <v>Non-proportional</v>
          </cell>
          <cell r="S8471">
            <v>-82462.84</v>
          </cell>
          <cell r="X8471" t="str">
            <v>GWP - gross</v>
          </cell>
          <cell r="Y8471" t="str">
            <v>GERMANY</v>
          </cell>
        </row>
        <row r="8472">
          <cell r="L8472" t="str">
            <v>Non-proportional</v>
          </cell>
          <cell r="S8472">
            <v>50855.7</v>
          </cell>
          <cell r="X8472" t="str">
            <v>GWP - gross</v>
          </cell>
          <cell r="Y8472" t="str">
            <v>SWITZERLAND</v>
          </cell>
        </row>
        <row r="8473">
          <cell r="L8473" t="str">
            <v>Non-proportional</v>
          </cell>
          <cell r="S8473">
            <v>34950</v>
          </cell>
          <cell r="X8473" t="str">
            <v>GWP - gross</v>
          </cell>
          <cell r="Y8473" t="str">
            <v>EUROPE</v>
          </cell>
        </row>
        <row r="8474">
          <cell r="L8474" t="str">
            <v>Non-proportional</v>
          </cell>
          <cell r="S8474">
            <v>-967392.84</v>
          </cell>
          <cell r="X8474" t="str">
            <v>GWP - gross</v>
          </cell>
          <cell r="Y8474" t="str">
            <v>UNITED KINGDOM</v>
          </cell>
        </row>
        <row r="8475">
          <cell r="L8475" t="str">
            <v>Non-proportional</v>
          </cell>
          <cell r="S8475">
            <v>58262.5</v>
          </cell>
          <cell r="X8475" t="str">
            <v>GWP - gross</v>
          </cell>
          <cell r="Y8475" t="str">
            <v>SWITZERLAND</v>
          </cell>
        </row>
        <row r="8476">
          <cell r="L8476" t="str">
            <v>Non-proportional</v>
          </cell>
          <cell r="S8476">
            <v>-38140.1</v>
          </cell>
          <cell r="X8476" t="str">
            <v>GWP - gross</v>
          </cell>
          <cell r="Y8476" t="str">
            <v>FAROE ISLANDS</v>
          </cell>
        </row>
        <row r="8477">
          <cell r="L8477" t="str">
            <v>Non-proportional</v>
          </cell>
          <cell r="S8477">
            <v>403336.89</v>
          </cell>
          <cell r="X8477" t="str">
            <v>GWP - gross</v>
          </cell>
          <cell r="Y8477" t="str">
            <v>FRANCE</v>
          </cell>
        </row>
        <row r="8478">
          <cell r="L8478" t="str">
            <v>Non-proportional</v>
          </cell>
          <cell r="S8478">
            <v>-172285.83</v>
          </cell>
          <cell r="X8478" t="str">
            <v>GWP - gross</v>
          </cell>
          <cell r="Y8478" t="str">
            <v>UNITED KINGDOM</v>
          </cell>
        </row>
        <row r="8479">
          <cell r="L8479" t="str">
            <v>Non-proportional</v>
          </cell>
          <cell r="S8479">
            <v>135233.38</v>
          </cell>
          <cell r="X8479" t="str">
            <v>GWP - gross</v>
          </cell>
          <cell r="Y8479" t="str">
            <v>SWITZERLAND</v>
          </cell>
        </row>
        <row r="8480">
          <cell r="L8480" t="str">
            <v>Non-proportional</v>
          </cell>
          <cell r="S8480">
            <v>-67588.58</v>
          </cell>
          <cell r="X8480" t="str">
            <v>GWP - gross</v>
          </cell>
          <cell r="Y8480" t="str">
            <v>FRANCE</v>
          </cell>
        </row>
        <row r="8481">
          <cell r="L8481" t="str">
            <v>Non-proportional</v>
          </cell>
          <cell r="S8481">
            <v>-131836.38</v>
          </cell>
          <cell r="X8481" t="str">
            <v>GWP - gross</v>
          </cell>
          <cell r="Y8481" t="str">
            <v>SWITZERLAND</v>
          </cell>
        </row>
        <row r="8482">
          <cell r="L8482" t="str">
            <v>Non-proportional</v>
          </cell>
          <cell r="S8482">
            <v>-75994.559999999998</v>
          </cell>
          <cell r="X8482" t="str">
            <v>GWP - gross</v>
          </cell>
          <cell r="Y8482" t="str">
            <v>SWITZERLAND</v>
          </cell>
        </row>
        <row r="8483">
          <cell r="L8483" t="str">
            <v>Non-proportional</v>
          </cell>
          <cell r="S8483">
            <v>-194604.13</v>
          </cell>
          <cell r="X8483" t="str">
            <v>GWP - gross</v>
          </cell>
          <cell r="Y8483" t="str">
            <v>SWITZERLAND</v>
          </cell>
        </row>
        <row r="8484">
          <cell r="L8484" t="str">
            <v>Non-proportional</v>
          </cell>
          <cell r="S8484">
            <v>-244260</v>
          </cell>
          <cell r="X8484" t="str">
            <v>GWP - gross</v>
          </cell>
          <cell r="Y8484" t="str">
            <v>GERMANY</v>
          </cell>
        </row>
        <row r="8485">
          <cell r="L8485" t="str">
            <v>Non-proportional</v>
          </cell>
          <cell r="S8485">
            <v>-91904.83</v>
          </cell>
          <cell r="X8485" t="str">
            <v>GWP - gross</v>
          </cell>
          <cell r="Y8485" t="str">
            <v>GERMANY</v>
          </cell>
        </row>
        <row r="8486">
          <cell r="L8486" t="str">
            <v>Non-proportional</v>
          </cell>
          <cell r="S8486">
            <v>0</v>
          </cell>
          <cell r="X8486" t="str">
            <v>GWP - gross</v>
          </cell>
          <cell r="Y8486" t="str">
            <v>SWEDEN</v>
          </cell>
        </row>
        <row r="8487">
          <cell r="L8487" t="str">
            <v>Non-proportional</v>
          </cell>
          <cell r="S8487">
            <v>-779435.63</v>
          </cell>
          <cell r="X8487" t="str">
            <v>GWP - gross</v>
          </cell>
          <cell r="Y8487" t="str">
            <v>REPUBLIC OF IRELAND</v>
          </cell>
        </row>
        <row r="8488">
          <cell r="L8488" t="str">
            <v>Non-proportional</v>
          </cell>
          <cell r="S8488">
            <v>-14776.72</v>
          </cell>
          <cell r="X8488" t="str">
            <v>GWP - gross</v>
          </cell>
          <cell r="Y8488" t="str">
            <v>SWITZERLAND</v>
          </cell>
        </row>
        <row r="8489">
          <cell r="L8489" t="str">
            <v>Non-proportional</v>
          </cell>
          <cell r="S8489">
            <v>-270961.95</v>
          </cell>
          <cell r="X8489" t="str">
            <v>GWP - gross</v>
          </cell>
          <cell r="Y8489" t="str">
            <v>UNITED KINGDOM</v>
          </cell>
        </row>
        <row r="8490">
          <cell r="L8490" t="str">
            <v>Non-proportional</v>
          </cell>
          <cell r="S8490">
            <v>67900</v>
          </cell>
          <cell r="X8490" t="str">
            <v>GWP - gross</v>
          </cell>
          <cell r="Y8490" t="str">
            <v>AUSTRIA</v>
          </cell>
        </row>
        <row r="8491">
          <cell r="L8491" t="str">
            <v>Non-proportional</v>
          </cell>
          <cell r="S8491">
            <v>65605.45</v>
          </cell>
          <cell r="X8491" t="str">
            <v>GWP - gross</v>
          </cell>
          <cell r="Y8491" t="str">
            <v>SWITZERLAND</v>
          </cell>
        </row>
        <row r="8492">
          <cell r="L8492" t="str">
            <v>Non-proportional</v>
          </cell>
          <cell r="S8492">
            <v>3240818.83</v>
          </cell>
          <cell r="X8492" t="str">
            <v>GWP - gross</v>
          </cell>
          <cell r="Y8492" t="str">
            <v>UNITED KINGDOM</v>
          </cell>
        </row>
        <row r="8493">
          <cell r="L8493" t="str">
            <v>Non-proportional</v>
          </cell>
          <cell r="S8493">
            <v>92354.5</v>
          </cell>
          <cell r="X8493" t="str">
            <v>GWP - gross</v>
          </cell>
          <cell r="Y8493" t="str">
            <v>SWITZERLAND</v>
          </cell>
        </row>
        <row r="8494">
          <cell r="L8494" t="str">
            <v>Non-proportional</v>
          </cell>
          <cell r="S8494">
            <v>-399704.33</v>
          </cell>
          <cell r="X8494" t="str">
            <v>GWP - gross</v>
          </cell>
          <cell r="Y8494" t="str">
            <v>UNITED KINGDOM</v>
          </cell>
        </row>
        <row r="8495">
          <cell r="L8495" t="str">
            <v>Non-proportional</v>
          </cell>
          <cell r="S8495">
            <v>-49976.639999999999</v>
          </cell>
          <cell r="X8495" t="str">
            <v>GWP - gross</v>
          </cell>
          <cell r="Y8495" t="str">
            <v>SWITZERLAND</v>
          </cell>
        </row>
        <row r="8496">
          <cell r="L8496" t="str">
            <v>Non-proportional</v>
          </cell>
          <cell r="S8496">
            <v>-42603.08</v>
          </cell>
          <cell r="X8496" t="str">
            <v>GWP - gross</v>
          </cell>
          <cell r="Y8496" t="str">
            <v>JAPAN</v>
          </cell>
        </row>
        <row r="8497">
          <cell r="L8497" t="str">
            <v>Non-proportional</v>
          </cell>
          <cell r="S8497">
            <v>-51487.18</v>
          </cell>
          <cell r="X8497" t="str">
            <v>GWP - gross</v>
          </cell>
          <cell r="Y8497" t="str">
            <v>SWITZERLAND</v>
          </cell>
        </row>
        <row r="8498">
          <cell r="L8498" t="str">
            <v>Non-proportional</v>
          </cell>
          <cell r="S8498">
            <v>-168103.69</v>
          </cell>
          <cell r="X8498" t="str">
            <v>GWP - gross</v>
          </cell>
          <cell r="Y8498" t="str">
            <v>GERMANY</v>
          </cell>
        </row>
        <row r="8499">
          <cell r="L8499" t="str">
            <v>Non-proportional</v>
          </cell>
          <cell r="S8499">
            <v>-76021.63</v>
          </cell>
          <cell r="X8499" t="str">
            <v>GWP - gross</v>
          </cell>
          <cell r="Y8499" t="str">
            <v>GERMANY</v>
          </cell>
        </row>
        <row r="8500">
          <cell r="L8500" t="str">
            <v>Non-proportional</v>
          </cell>
          <cell r="S8500">
            <v>-127139.25</v>
          </cell>
          <cell r="X8500" t="str">
            <v>GWP - gross</v>
          </cell>
          <cell r="Y8500" t="str">
            <v>SWITZERLAND</v>
          </cell>
        </row>
        <row r="8501">
          <cell r="L8501" t="str">
            <v>Non-proportional</v>
          </cell>
          <cell r="S8501">
            <v>-1024298.3</v>
          </cell>
          <cell r="X8501" t="str">
            <v>GWP - gross</v>
          </cell>
          <cell r="Y8501" t="str">
            <v>UNITED KINGDOM</v>
          </cell>
        </row>
        <row r="8502">
          <cell r="L8502" t="str">
            <v>Non-proportional</v>
          </cell>
          <cell r="S8502">
            <v>-76021.63</v>
          </cell>
          <cell r="X8502" t="str">
            <v>GWP - gross</v>
          </cell>
          <cell r="Y8502" t="str">
            <v>GERMANY</v>
          </cell>
        </row>
        <row r="8503">
          <cell r="L8503" t="str">
            <v>Non-proportional</v>
          </cell>
          <cell r="S8503">
            <v>112590</v>
          </cell>
          <cell r="X8503" t="str">
            <v>GWP - gross</v>
          </cell>
          <cell r="Y8503" t="str">
            <v>FRANCE</v>
          </cell>
        </row>
        <row r="8504">
          <cell r="L8504" t="str">
            <v>Non-proportional</v>
          </cell>
          <cell r="S8504">
            <v>11610.28</v>
          </cell>
          <cell r="X8504" t="str">
            <v>GWP - gross</v>
          </cell>
          <cell r="Y8504" t="str">
            <v>SWITZERLAND</v>
          </cell>
        </row>
        <row r="8505">
          <cell r="L8505" t="str">
            <v>Non-proportional</v>
          </cell>
          <cell r="S8505">
            <v>-297621.27</v>
          </cell>
          <cell r="X8505" t="str">
            <v>GWP - gross</v>
          </cell>
          <cell r="Y8505" t="str">
            <v>SWITZERLAND</v>
          </cell>
        </row>
        <row r="8506">
          <cell r="L8506" t="str">
            <v>Non-proportional</v>
          </cell>
          <cell r="S8506">
            <v>-150380.59</v>
          </cell>
          <cell r="X8506" t="str">
            <v>GWP - gross</v>
          </cell>
          <cell r="Y8506" t="str">
            <v>UNITED KINGDOM</v>
          </cell>
        </row>
        <row r="8507">
          <cell r="L8507" t="str">
            <v>Non-proportional</v>
          </cell>
          <cell r="S8507">
            <v>240865.63</v>
          </cell>
          <cell r="X8507" t="str">
            <v>GWP - gross</v>
          </cell>
          <cell r="Y8507" t="str">
            <v>UNITED KINGDOM</v>
          </cell>
        </row>
        <row r="8508">
          <cell r="L8508" t="str">
            <v>Non-proportional</v>
          </cell>
          <cell r="S8508">
            <v>10640</v>
          </cell>
          <cell r="X8508" t="str">
            <v>GWP - gross</v>
          </cell>
          <cell r="Y8508" t="str">
            <v>AUSTRIA</v>
          </cell>
        </row>
        <row r="8509">
          <cell r="L8509" t="str">
            <v>Non-proportional</v>
          </cell>
          <cell r="S8509">
            <v>-71021.179999999993</v>
          </cell>
          <cell r="X8509" t="str">
            <v>GWP - gross</v>
          </cell>
          <cell r="Y8509" t="str">
            <v>SWITZERLAND</v>
          </cell>
        </row>
        <row r="8510">
          <cell r="L8510" t="str">
            <v>Non-proportional</v>
          </cell>
          <cell r="S8510">
            <v>54763.8</v>
          </cell>
          <cell r="X8510" t="str">
            <v>GWP - gross</v>
          </cell>
          <cell r="Y8510" t="str">
            <v>GERMANY</v>
          </cell>
        </row>
        <row r="8511">
          <cell r="L8511" t="str">
            <v>Non-proportional</v>
          </cell>
          <cell r="S8511">
            <v>-85500</v>
          </cell>
          <cell r="X8511" t="str">
            <v>GWP - gross</v>
          </cell>
          <cell r="Y8511" t="str">
            <v>GERMANY</v>
          </cell>
        </row>
        <row r="8512">
          <cell r="L8512" t="str">
            <v>Non-proportional</v>
          </cell>
          <cell r="S8512">
            <v>-41600</v>
          </cell>
          <cell r="X8512" t="str">
            <v>GWP - gross</v>
          </cell>
          <cell r="Y8512" t="str">
            <v>GERMANY</v>
          </cell>
        </row>
        <row r="8513">
          <cell r="L8513" t="str">
            <v>Non-proportional</v>
          </cell>
          <cell r="S8513">
            <v>-353000</v>
          </cell>
          <cell r="X8513" t="str">
            <v>GWP - gross</v>
          </cell>
          <cell r="Y8513" t="str">
            <v>EUROPE</v>
          </cell>
        </row>
        <row r="8514">
          <cell r="L8514" t="str">
            <v>Non-proportional</v>
          </cell>
          <cell r="S8514">
            <v>-3900</v>
          </cell>
          <cell r="X8514" t="str">
            <v>GWP - gross</v>
          </cell>
          <cell r="Y8514" t="str">
            <v>GERMANY</v>
          </cell>
        </row>
        <row r="8515">
          <cell r="L8515" t="str">
            <v>Non-proportional</v>
          </cell>
          <cell r="S8515">
            <v>213433.65</v>
          </cell>
          <cell r="X8515" t="str">
            <v>GWP - gross</v>
          </cell>
          <cell r="Y8515" t="str">
            <v>FRANCE</v>
          </cell>
        </row>
        <row r="8516">
          <cell r="L8516" t="str">
            <v>Non-proportional</v>
          </cell>
          <cell r="S8516">
            <v>-527223.32999999996</v>
          </cell>
          <cell r="X8516" t="str">
            <v>GWP - gross</v>
          </cell>
          <cell r="Y8516" t="str">
            <v>UNITED KINGDOM</v>
          </cell>
        </row>
        <row r="8517">
          <cell r="L8517" t="str">
            <v>Non-proportional</v>
          </cell>
          <cell r="S8517">
            <v>38140.1</v>
          </cell>
          <cell r="X8517" t="str">
            <v>GWP - gross</v>
          </cell>
          <cell r="Y8517" t="str">
            <v>FAROE ISLANDS</v>
          </cell>
        </row>
        <row r="8518">
          <cell r="L8518" t="str">
            <v>Non-proportional</v>
          </cell>
          <cell r="S8518">
            <v>-9300</v>
          </cell>
          <cell r="X8518" t="str">
            <v>GWP - gross</v>
          </cell>
          <cell r="Y8518" t="str">
            <v>SWITZERLAND</v>
          </cell>
        </row>
        <row r="8519">
          <cell r="L8519" t="str">
            <v>Non-proportional</v>
          </cell>
          <cell r="S8519">
            <v>537533</v>
          </cell>
          <cell r="X8519" t="str">
            <v>GWP - gross</v>
          </cell>
          <cell r="Y8519" t="str">
            <v>UNITED KINGDOM</v>
          </cell>
        </row>
        <row r="8520">
          <cell r="L8520" t="str">
            <v>Non-proportional</v>
          </cell>
          <cell r="S8520">
            <v>-92354.5</v>
          </cell>
          <cell r="X8520" t="str">
            <v>GWP - gross</v>
          </cell>
          <cell r="Y8520" t="str">
            <v>SWITZERLAND</v>
          </cell>
        </row>
        <row r="8521">
          <cell r="L8521" t="str">
            <v>Non-proportional</v>
          </cell>
          <cell r="S8521">
            <v>-399704.33</v>
          </cell>
          <cell r="X8521" t="str">
            <v>GWP - gross</v>
          </cell>
          <cell r="Y8521" t="str">
            <v>UNITED KINGDOM</v>
          </cell>
        </row>
        <row r="8522">
          <cell r="L8522" t="str">
            <v>Non-proportional</v>
          </cell>
          <cell r="S8522">
            <v>-86376.74</v>
          </cell>
          <cell r="X8522" t="str">
            <v>GWP - gross</v>
          </cell>
          <cell r="Y8522" t="str">
            <v>DENMARK</v>
          </cell>
        </row>
        <row r="8523">
          <cell r="L8523" t="str">
            <v>Non-proportional</v>
          </cell>
          <cell r="S8523">
            <v>-28819.07</v>
          </cell>
          <cell r="X8523" t="str">
            <v>GWP - gross</v>
          </cell>
          <cell r="Y8523" t="str">
            <v>UNITED KINGDOM</v>
          </cell>
        </row>
        <row r="8524">
          <cell r="L8524" t="str">
            <v>Non-proportional</v>
          </cell>
          <cell r="S8524">
            <v>-1432614.84</v>
          </cell>
          <cell r="X8524" t="str">
            <v>GWP - gross</v>
          </cell>
          <cell r="Y8524" t="str">
            <v>UNITED KINGDOM</v>
          </cell>
        </row>
        <row r="8525">
          <cell r="L8525" t="str">
            <v>Non-proportional</v>
          </cell>
          <cell r="S8525">
            <v>-28290</v>
          </cell>
          <cell r="X8525" t="str">
            <v>GWP - gross</v>
          </cell>
          <cell r="Y8525" t="str">
            <v>GERMANY</v>
          </cell>
        </row>
        <row r="8526">
          <cell r="L8526" t="str">
            <v>Non-proportional</v>
          </cell>
          <cell r="S8526">
            <v>68002.06</v>
          </cell>
          <cell r="X8526" t="str">
            <v>GWP - gross</v>
          </cell>
          <cell r="Y8526" t="str">
            <v>UNITED KINGDOM</v>
          </cell>
        </row>
        <row r="8527">
          <cell r="L8527" t="str">
            <v>Non-proportional</v>
          </cell>
          <cell r="S8527">
            <v>107380</v>
          </cell>
          <cell r="X8527" t="str">
            <v>GWP - gross</v>
          </cell>
          <cell r="Y8527" t="str">
            <v>GERMANY</v>
          </cell>
        </row>
        <row r="8528">
          <cell r="L8528" t="str">
            <v>Non-proportional</v>
          </cell>
          <cell r="S8528">
            <v>27000</v>
          </cell>
          <cell r="X8528" t="str">
            <v>GWP - gross</v>
          </cell>
          <cell r="Y8528" t="str">
            <v>GERMANY</v>
          </cell>
        </row>
        <row r="8529">
          <cell r="L8529" t="str">
            <v>Non-proportional</v>
          </cell>
          <cell r="S8529">
            <v>-201557.34</v>
          </cell>
          <cell r="X8529" t="str">
            <v>GWP - gross</v>
          </cell>
          <cell r="Y8529" t="str">
            <v>SWITZERLAND</v>
          </cell>
        </row>
        <row r="8530">
          <cell r="L8530" t="str">
            <v>Non-proportional</v>
          </cell>
          <cell r="S8530">
            <v>-249103.4</v>
          </cell>
          <cell r="X8530" t="str">
            <v>GWP - gross</v>
          </cell>
          <cell r="Y8530" t="str">
            <v>EIRE</v>
          </cell>
        </row>
        <row r="8531">
          <cell r="L8531" t="str">
            <v>Non-proportional</v>
          </cell>
          <cell r="S8531">
            <v>7803375.7300000004</v>
          </cell>
          <cell r="X8531" t="str">
            <v>GWP - gross</v>
          </cell>
          <cell r="Y8531" t="str">
            <v>UNITED KINGDOM</v>
          </cell>
        </row>
        <row r="8532">
          <cell r="L8532" t="str">
            <v>Proportional</v>
          </cell>
          <cell r="S8532">
            <v>1951680</v>
          </cell>
          <cell r="X8532" t="str">
            <v>GWP - gross</v>
          </cell>
          <cell r="Y8532" t="str">
            <v>AUSTRIA</v>
          </cell>
        </row>
        <row r="8533">
          <cell r="L8533" t="str">
            <v>Non-proportional</v>
          </cell>
          <cell r="S8533">
            <v>-86819.08</v>
          </cell>
          <cell r="X8533" t="str">
            <v>GWP - gross</v>
          </cell>
          <cell r="Y8533" t="str">
            <v>FRANCE</v>
          </cell>
        </row>
        <row r="8534">
          <cell r="L8534" t="str">
            <v>Non-proportional</v>
          </cell>
          <cell r="S8534">
            <v>-14776.72</v>
          </cell>
          <cell r="X8534" t="str">
            <v>GWP - gross</v>
          </cell>
          <cell r="Y8534" t="str">
            <v>SWITZERLAND</v>
          </cell>
        </row>
        <row r="8535">
          <cell r="L8535" t="str">
            <v>Non-proportional</v>
          </cell>
          <cell r="S8535">
            <v>-671914.69</v>
          </cell>
          <cell r="X8535" t="str">
            <v>GWP - gross</v>
          </cell>
          <cell r="Y8535" t="str">
            <v>UNITED KINGDOM</v>
          </cell>
        </row>
        <row r="8536">
          <cell r="L8536" t="str">
            <v>Non-proportional</v>
          </cell>
          <cell r="S8536">
            <v>-70130.94</v>
          </cell>
          <cell r="X8536" t="str">
            <v>GWP - gross</v>
          </cell>
          <cell r="Y8536" t="str">
            <v>NORWAY</v>
          </cell>
        </row>
        <row r="8537">
          <cell r="L8537" t="str">
            <v>Non-proportional</v>
          </cell>
          <cell r="S8537">
            <v>294028.07</v>
          </cell>
          <cell r="X8537" t="str">
            <v>GWP - gross</v>
          </cell>
          <cell r="Y8537" t="str">
            <v>UNITED KINGDOM</v>
          </cell>
        </row>
        <row r="8538">
          <cell r="L8538" t="str">
            <v>Non-proportional</v>
          </cell>
          <cell r="S8538">
            <v>-39958.050000000003</v>
          </cell>
          <cell r="X8538" t="str">
            <v>GWP - gross</v>
          </cell>
          <cell r="Y8538" t="str">
            <v>SWITZERLAND</v>
          </cell>
        </row>
        <row r="8539">
          <cell r="L8539" t="str">
            <v>Non-proportional</v>
          </cell>
          <cell r="S8539">
            <v>-40710</v>
          </cell>
          <cell r="X8539" t="str">
            <v>GWP - gross</v>
          </cell>
          <cell r="Y8539" t="str">
            <v>ITALY</v>
          </cell>
        </row>
        <row r="8540">
          <cell r="L8540" t="str">
            <v>Non-proportional</v>
          </cell>
          <cell r="S8540">
            <v>-828537.68</v>
          </cell>
          <cell r="X8540" t="str">
            <v>GWP - gross</v>
          </cell>
          <cell r="Y8540" t="str">
            <v>UNITED KINGDOM</v>
          </cell>
        </row>
        <row r="8541">
          <cell r="L8541" t="str">
            <v>Non-proportional</v>
          </cell>
          <cell r="S8541">
            <v>1112750.43</v>
          </cell>
          <cell r="X8541" t="str">
            <v>GWP - gross</v>
          </cell>
          <cell r="Y8541" t="str">
            <v>UNITED KINGDOM</v>
          </cell>
        </row>
        <row r="8542">
          <cell r="L8542" t="str">
            <v>Non-proportional</v>
          </cell>
          <cell r="S8542">
            <v>-89454.9</v>
          </cell>
          <cell r="X8542" t="str">
            <v>GWP - gross</v>
          </cell>
          <cell r="Y8542" t="str">
            <v>EUROPE</v>
          </cell>
        </row>
        <row r="8543">
          <cell r="L8543" t="str">
            <v>Non-proportional</v>
          </cell>
          <cell r="S8543">
            <v>-79661.03</v>
          </cell>
          <cell r="X8543" t="str">
            <v>GWP - gross</v>
          </cell>
          <cell r="Y8543" t="str">
            <v>EUROPE</v>
          </cell>
        </row>
        <row r="8544">
          <cell r="L8544" t="str">
            <v>Non-proportional</v>
          </cell>
          <cell r="S8544">
            <v>-249247.59</v>
          </cell>
          <cell r="X8544" t="str">
            <v>GWP - gross</v>
          </cell>
          <cell r="Y8544" t="str">
            <v>FRANCE</v>
          </cell>
        </row>
        <row r="8545">
          <cell r="L8545" t="str">
            <v>Non-proportional</v>
          </cell>
          <cell r="S8545">
            <v>39958.050000000003</v>
          </cell>
          <cell r="X8545" t="str">
            <v>GWP - gross</v>
          </cell>
          <cell r="Y8545" t="str">
            <v>SWITZERLAND</v>
          </cell>
        </row>
        <row r="8546">
          <cell r="L8546" t="str">
            <v>Non-proportional</v>
          </cell>
          <cell r="S8546">
            <v>121200</v>
          </cell>
          <cell r="X8546" t="str">
            <v>GWP - gross</v>
          </cell>
          <cell r="Y8546" t="str">
            <v>EUROPE</v>
          </cell>
        </row>
        <row r="8547">
          <cell r="L8547" t="str">
            <v>Non-proportional</v>
          </cell>
          <cell r="S8547">
            <v>-63283.82</v>
          </cell>
          <cell r="X8547" t="str">
            <v>GWP - gross</v>
          </cell>
          <cell r="Y8547" t="str">
            <v>NORWAY</v>
          </cell>
        </row>
        <row r="8548">
          <cell r="L8548" t="str">
            <v>Non-proportional</v>
          </cell>
          <cell r="S8548">
            <v>-1291454.1299999999</v>
          </cell>
          <cell r="X8548" t="str">
            <v>GWP - gross</v>
          </cell>
          <cell r="Y8548" t="str">
            <v>UNITED KINGDOM</v>
          </cell>
        </row>
        <row r="8549">
          <cell r="L8549" t="str">
            <v>Non-proportional</v>
          </cell>
          <cell r="S8549">
            <v>9000</v>
          </cell>
          <cell r="X8549" t="str">
            <v>GWP - gross</v>
          </cell>
          <cell r="Y8549" t="str">
            <v>GERMANY</v>
          </cell>
        </row>
        <row r="8550">
          <cell r="L8550" t="str">
            <v>Non-proportional</v>
          </cell>
          <cell r="S8550">
            <v>313884</v>
          </cell>
          <cell r="X8550" t="str">
            <v>GWP - gross</v>
          </cell>
          <cell r="Y8550" t="str">
            <v>UNITED KINGDOM</v>
          </cell>
        </row>
        <row r="8551">
          <cell r="L8551" t="str">
            <v>Non-proportional</v>
          </cell>
          <cell r="S8551">
            <v>-137828.67000000001</v>
          </cell>
          <cell r="X8551" t="str">
            <v>GWP - gross</v>
          </cell>
          <cell r="Y8551" t="str">
            <v>UNITED KINGDOM</v>
          </cell>
        </row>
        <row r="8552">
          <cell r="L8552" t="str">
            <v>Non-proportional</v>
          </cell>
          <cell r="S8552">
            <v>36596.129999999997</v>
          </cell>
          <cell r="X8552" t="str">
            <v>GWP - gross</v>
          </cell>
          <cell r="Y8552" t="str">
            <v>SWITZERLAND</v>
          </cell>
        </row>
        <row r="8553">
          <cell r="L8553" t="str">
            <v>Non-proportional</v>
          </cell>
          <cell r="S8553">
            <v>48129.89</v>
          </cell>
          <cell r="X8553" t="str">
            <v>GWP - gross</v>
          </cell>
          <cell r="Y8553" t="str">
            <v>SWITZERLAND</v>
          </cell>
        </row>
        <row r="8554">
          <cell r="L8554" t="str">
            <v>Non-proportional</v>
          </cell>
          <cell r="S8554">
            <v>-102008.2</v>
          </cell>
          <cell r="X8554" t="str">
            <v>GWP - gross</v>
          </cell>
          <cell r="Y8554" t="str">
            <v>EUROPE</v>
          </cell>
        </row>
        <row r="8555">
          <cell r="L8555" t="str">
            <v>Non-proportional</v>
          </cell>
          <cell r="S8555">
            <v>-11610.28</v>
          </cell>
          <cell r="X8555" t="str">
            <v>GWP - gross</v>
          </cell>
          <cell r="Y8555" t="str">
            <v>SWITZERLAND</v>
          </cell>
        </row>
        <row r="8556">
          <cell r="L8556" t="str">
            <v>Non-proportional</v>
          </cell>
          <cell r="S8556">
            <v>-269944.78999999998</v>
          </cell>
          <cell r="X8556" t="str">
            <v>GWP - gross</v>
          </cell>
          <cell r="Y8556" t="str">
            <v>CZECH REPUBLIC</v>
          </cell>
        </row>
        <row r="8557">
          <cell r="L8557" t="str">
            <v>Non-proportional</v>
          </cell>
          <cell r="S8557">
            <v>-160796.69</v>
          </cell>
          <cell r="X8557" t="str">
            <v>GWP - gross</v>
          </cell>
          <cell r="Y8557" t="str">
            <v>GERMANY</v>
          </cell>
        </row>
        <row r="8558">
          <cell r="L8558" t="str">
            <v>Non-proportional</v>
          </cell>
          <cell r="S8558">
            <v>-63800.72</v>
          </cell>
          <cell r="X8558" t="str">
            <v>GWP - gross</v>
          </cell>
          <cell r="Y8558" t="str">
            <v>UNITED KINGDOM</v>
          </cell>
        </row>
        <row r="8559">
          <cell r="L8559" t="str">
            <v>Non-proportional</v>
          </cell>
          <cell r="S8559">
            <v>-193354.08</v>
          </cell>
          <cell r="X8559" t="str">
            <v>GWP - gross</v>
          </cell>
          <cell r="Y8559" t="str">
            <v>EUROPE</v>
          </cell>
        </row>
        <row r="8560">
          <cell r="L8560" t="str">
            <v>Non-proportional</v>
          </cell>
          <cell r="S8560">
            <v>-4156306.83</v>
          </cell>
          <cell r="X8560" t="str">
            <v>GWP - gross</v>
          </cell>
          <cell r="Y8560" t="str">
            <v>UNITED KINGDOM</v>
          </cell>
        </row>
        <row r="8561">
          <cell r="L8561" t="str">
            <v>Non-proportional</v>
          </cell>
          <cell r="S8561">
            <v>227986.96</v>
          </cell>
          <cell r="X8561" t="str">
            <v>GWP - gross</v>
          </cell>
          <cell r="Y8561" t="str">
            <v>GERMANY</v>
          </cell>
        </row>
        <row r="8562">
          <cell r="L8562" t="str">
            <v>Non-proportional</v>
          </cell>
          <cell r="S8562">
            <v>-392813.73</v>
          </cell>
          <cell r="X8562" t="str">
            <v>GWP - gross</v>
          </cell>
          <cell r="Y8562" t="str">
            <v>UNITED KINGDOM</v>
          </cell>
        </row>
        <row r="8563">
          <cell r="L8563" t="str">
            <v>Non-proportional</v>
          </cell>
          <cell r="S8563">
            <v>-215250</v>
          </cell>
          <cell r="X8563" t="str">
            <v>GWP - gross</v>
          </cell>
          <cell r="Y8563" t="str">
            <v>AUSTRIA</v>
          </cell>
        </row>
        <row r="8564">
          <cell r="L8564" t="str">
            <v>Non-proportional</v>
          </cell>
          <cell r="S8564">
            <v>-1035672.09</v>
          </cell>
          <cell r="X8564" t="str">
            <v>GWP - gross</v>
          </cell>
          <cell r="Y8564" t="str">
            <v>UNITED KINGDOM</v>
          </cell>
        </row>
        <row r="8565">
          <cell r="L8565" t="str">
            <v>Non-proportional</v>
          </cell>
          <cell r="S8565">
            <v>-4156306.83</v>
          </cell>
          <cell r="X8565" t="str">
            <v>GWP - gross</v>
          </cell>
          <cell r="Y8565" t="str">
            <v>UNITED KINGDOM</v>
          </cell>
        </row>
        <row r="8566">
          <cell r="L8566" t="str">
            <v>Non-proportional</v>
          </cell>
          <cell r="S8566">
            <v>-10480.540000000001</v>
          </cell>
          <cell r="X8566" t="str">
            <v>GWP - gross</v>
          </cell>
          <cell r="Y8566" t="str">
            <v>GERMANY</v>
          </cell>
        </row>
        <row r="8567">
          <cell r="L8567" t="str">
            <v>Non-proportional</v>
          </cell>
          <cell r="S8567">
            <v>-9300</v>
          </cell>
          <cell r="X8567" t="str">
            <v>GWP - gross</v>
          </cell>
          <cell r="Y8567" t="str">
            <v>GERMANY</v>
          </cell>
        </row>
        <row r="8568">
          <cell r="L8568" t="str">
            <v>Non-proportional</v>
          </cell>
          <cell r="S8568">
            <v>-3240818.83</v>
          </cell>
          <cell r="X8568" t="str">
            <v>GWP - gross</v>
          </cell>
          <cell r="Y8568" t="str">
            <v>UNITED KINGDOM</v>
          </cell>
        </row>
        <row r="8569">
          <cell r="L8569" t="str">
            <v>Non-proportional</v>
          </cell>
          <cell r="S8569">
            <v>-74750</v>
          </cell>
          <cell r="X8569" t="str">
            <v>GWP - gross</v>
          </cell>
          <cell r="Y8569" t="str">
            <v>GERMANY</v>
          </cell>
        </row>
        <row r="8570">
          <cell r="L8570" t="str">
            <v>Non-proportional</v>
          </cell>
          <cell r="S8570">
            <v>-117014.81</v>
          </cell>
          <cell r="X8570" t="str">
            <v>GWP - gross</v>
          </cell>
          <cell r="Y8570" t="str">
            <v>GERMANY</v>
          </cell>
        </row>
        <row r="8571">
          <cell r="L8571" t="str">
            <v>Non-proportional</v>
          </cell>
          <cell r="S8571">
            <v>-423401.85</v>
          </cell>
          <cell r="X8571" t="str">
            <v>GWP - gross</v>
          </cell>
          <cell r="Y8571" t="str">
            <v>UNITED KINGDOM</v>
          </cell>
        </row>
        <row r="8572">
          <cell r="L8572" t="str">
            <v>Non-proportional</v>
          </cell>
          <cell r="S8572">
            <v>70130.94</v>
          </cell>
          <cell r="X8572" t="str">
            <v>GWP - gross</v>
          </cell>
          <cell r="Y8572" t="str">
            <v>NORWAY</v>
          </cell>
        </row>
        <row r="8573">
          <cell r="L8573" t="str">
            <v>Non-proportional</v>
          </cell>
          <cell r="S8573">
            <v>-54000</v>
          </cell>
          <cell r="X8573" t="str">
            <v>GWP - gross</v>
          </cell>
          <cell r="Y8573" t="str">
            <v>GERMANY</v>
          </cell>
        </row>
        <row r="8574">
          <cell r="L8574" t="str">
            <v>Non-proportional</v>
          </cell>
          <cell r="S8574">
            <v>399704.33</v>
          </cell>
          <cell r="X8574" t="str">
            <v>GWP - gross</v>
          </cell>
          <cell r="Y8574" t="str">
            <v>UNITED KINGDOM</v>
          </cell>
        </row>
        <row r="8575">
          <cell r="L8575" t="str">
            <v>Non-proportional</v>
          </cell>
          <cell r="S8575">
            <v>-23748.3</v>
          </cell>
          <cell r="X8575" t="str">
            <v>GWP - gross</v>
          </cell>
          <cell r="Y8575" t="str">
            <v>SWITZERLAND</v>
          </cell>
        </row>
        <row r="8576">
          <cell r="L8576" t="str">
            <v>Non-proportional</v>
          </cell>
          <cell r="S8576">
            <v>-37720</v>
          </cell>
          <cell r="X8576" t="str">
            <v>GWP - gross</v>
          </cell>
          <cell r="Y8576" t="str">
            <v>GERMANY</v>
          </cell>
        </row>
        <row r="8577">
          <cell r="L8577" t="str">
            <v>Non-proportional</v>
          </cell>
          <cell r="S8577">
            <v>92354.5</v>
          </cell>
          <cell r="X8577" t="str">
            <v>GWP - gross</v>
          </cell>
          <cell r="Y8577" t="str">
            <v>SWITZERLAND</v>
          </cell>
        </row>
        <row r="8578">
          <cell r="L8578" t="str">
            <v>Non-proportional</v>
          </cell>
          <cell r="S8578">
            <v>48794.84</v>
          </cell>
          <cell r="X8578" t="str">
            <v>GWP - gross</v>
          </cell>
          <cell r="Y8578" t="str">
            <v>SWITZERLAND</v>
          </cell>
        </row>
        <row r="8579">
          <cell r="L8579" t="str">
            <v>Non-proportional</v>
          </cell>
          <cell r="S8579">
            <v>692626.69</v>
          </cell>
          <cell r="X8579" t="str">
            <v>GWP - gross</v>
          </cell>
          <cell r="Y8579" t="str">
            <v>UNITED KINGDOM</v>
          </cell>
        </row>
        <row r="8580">
          <cell r="L8580" t="str">
            <v>Non-proportional</v>
          </cell>
          <cell r="S8580">
            <v>828537.68</v>
          </cell>
          <cell r="X8580" t="str">
            <v>GWP - gross</v>
          </cell>
          <cell r="Y8580" t="str">
            <v>UNITED KINGDOM</v>
          </cell>
        </row>
        <row r="8581">
          <cell r="L8581" t="str">
            <v>Non-proportional</v>
          </cell>
          <cell r="S8581">
            <v>-84565.16</v>
          </cell>
          <cell r="X8581" t="str">
            <v>GWP - gross</v>
          </cell>
          <cell r="Y8581" t="str">
            <v>NORWAY</v>
          </cell>
        </row>
        <row r="8582">
          <cell r="L8582" t="str">
            <v>Non-proportional</v>
          </cell>
          <cell r="S8582">
            <v>-1390938.03</v>
          </cell>
          <cell r="X8582" t="str">
            <v>GWP - gross</v>
          </cell>
          <cell r="Y8582" t="str">
            <v>UNITED KINGDOM</v>
          </cell>
        </row>
        <row r="8583">
          <cell r="L8583" t="str">
            <v>Non-proportional</v>
          </cell>
          <cell r="S8583">
            <v>-292752</v>
          </cell>
          <cell r="X8583" t="str">
            <v>GWP - gross</v>
          </cell>
          <cell r="Y8583" t="str">
            <v>GERMANY</v>
          </cell>
        </row>
        <row r="8584">
          <cell r="L8584" t="str">
            <v>Non-proportional</v>
          </cell>
          <cell r="S8584">
            <v>-146580.45000000001</v>
          </cell>
          <cell r="X8584" t="str">
            <v>GWP - gross</v>
          </cell>
          <cell r="Y8584" t="str">
            <v>REPUBLIC OF IRELAND</v>
          </cell>
        </row>
        <row r="8585">
          <cell r="L8585" t="str">
            <v>Non-proportional</v>
          </cell>
          <cell r="S8585">
            <v>-219594.15</v>
          </cell>
          <cell r="X8585" t="str">
            <v>GWP - gross</v>
          </cell>
          <cell r="Y8585" t="str">
            <v>SWEDEN</v>
          </cell>
        </row>
        <row r="8586">
          <cell r="L8586" t="str">
            <v>Non-proportional</v>
          </cell>
          <cell r="S8586">
            <v>14776.72</v>
          </cell>
          <cell r="X8586" t="str">
            <v>GWP - gross</v>
          </cell>
          <cell r="Y8586" t="str">
            <v>SWITZERLAND</v>
          </cell>
        </row>
        <row r="8587">
          <cell r="L8587" t="str">
            <v>Non-proportional</v>
          </cell>
          <cell r="S8587">
            <v>-106260</v>
          </cell>
          <cell r="X8587" t="str">
            <v>GWP - gross</v>
          </cell>
          <cell r="Y8587" t="str">
            <v>GERMANY</v>
          </cell>
        </row>
        <row r="8588">
          <cell r="L8588" t="str">
            <v>Non-proportional</v>
          </cell>
          <cell r="S8588">
            <v>-558</v>
          </cell>
          <cell r="X8588" t="str">
            <v>GWP - gross</v>
          </cell>
          <cell r="Y8588" t="str">
            <v>SWITZERLAND</v>
          </cell>
        </row>
        <row r="8589">
          <cell r="L8589" t="str">
            <v>Non-proportional</v>
          </cell>
          <cell r="S8589">
            <v>-322702.55</v>
          </cell>
          <cell r="X8589" t="str">
            <v>GWP - gross</v>
          </cell>
          <cell r="Y8589" t="str">
            <v>UNITED KINGDOM</v>
          </cell>
        </row>
        <row r="8590">
          <cell r="L8590" t="str">
            <v>Non-proportional</v>
          </cell>
          <cell r="S8590">
            <v>-53277.4</v>
          </cell>
          <cell r="X8590" t="str">
            <v>GWP - gross</v>
          </cell>
          <cell r="Y8590" t="str">
            <v>GERMANY</v>
          </cell>
        </row>
        <row r="8591">
          <cell r="L8591" t="str">
            <v>Non-proportional</v>
          </cell>
          <cell r="S8591">
            <v>135233.38</v>
          </cell>
          <cell r="X8591" t="str">
            <v>GWP - gross</v>
          </cell>
          <cell r="Y8591" t="str">
            <v>SWITZERLAND</v>
          </cell>
        </row>
        <row r="8592">
          <cell r="L8592" t="str">
            <v>Non-proportional</v>
          </cell>
          <cell r="S8592">
            <v>-50855.7</v>
          </cell>
          <cell r="X8592" t="str">
            <v>GWP - gross</v>
          </cell>
          <cell r="Y8592" t="str">
            <v>SWITZERLAND</v>
          </cell>
        </row>
        <row r="8593">
          <cell r="L8593" t="str">
            <v>Non-proportional</v>
          </cell>
          <cell r="S8593">
            <v>1929.79</v>
          </cell>
          <cell r="X8593" t="str">
            <v>GWP - gross</v>
          </cell>
          <cell r="Y8593" t="str">
            <v>DENMARK</v>
          </cell>
        </row>
        <row r="8594">
          <cell r="L8594" t="str">
            <v>Non-proportional</v>
          </cell>
          <cell r="S8594">
            <v>-10480.540000000001</v>
          </cell>
          <cell r="X8594" t="str">
            <v>GWP - gross</v>
          </cell>
          <cell r="Y8594" t="str">
            <v>SWITZERLAND</v>
          </cell>
        </row>
        <row r="8595">
          <cell r="L8595" t="str">
            <v>Non-proportional</v>
          </cell>
          <cell r="S8595">
            <v>297621.27</v>
          </cell>
          <cell r="X8595" t="str">
            <v>GWP - gross</v>
          </cell>
          <cell r="Y8595" t="str">
            <v>SWITZERLAND</v>
          </cell>
        </row>
        <row r="8596">
          <cell r="L8596" t="str">
            <v>Non-proportional</v>
          </cell>
          <cell r="S8596">
            <v>537533</v>
          </cell>
          <cell r="X8596" t="str">
            <v>GWP - gross</v>
          </cell>
          <cell r="Y8596" t="str">
            <v>UNITED KINGDOM</v>
          </cell>
        </row>
        <row r="8597">
          <cell r="L8597" t="str">
            <v>Non-proportional</v>
          </cell>
          <cell r="S8597">
            <v>-75994.559999999998</v>
          </cell>
          <cell r="X8597" t="str">
            <v>GWP - gross</v>
          </cell>
          <cell r="Y8597" t="str">
            <v>SWITZERLAND</v>
          </cell>
        </row>
        <row r="8598">
          <cell r="L8598" t="str">
            <v>Non-proportional</v>
          </cell>
          <cell r="S8598">
            <v>14248.98</v>
          </cell>
          <cell r="X8598" t="str">
            <v>GWP - gross</v>
          </cell>
          <cell r="Y8598" t="str">
            <v>SWITZERLAND</v>
          </cell>
        </row>
        <row r="8599">
          <cell r="L8599" t="str">
            <v>Non-proportional</v>
          </cell>
          <cell r="S8599">
            <v>-78854.820000000007</v>
          </cell>
          <cell r="X8599" t="str">
            <v>GWP - gross</v>
          </cell>
          <cell r="Y8599" t="str">
            <v>UNITED KINGDOM</v>
          </cell>
        </row>
        <row r="8600">
          <cell r="L8600" t="str">
            <v>Non-proportional</v>
          </cell>
          <cell r="S8600">
            <v>-217746.83</v>
          </cell>
          <cell r="X8600" t="str">
            <v>GWP - gross</v>
          </cell>
          <cell r="Y8600" t="str">
            <v>UNITED KINGDOM</v>
          </cell>
        </row>
        <row r="8601">
          <cell r="L8601" t="str">
            <v>Non-proportional</v>
          </cell>
          <cell r="S8601">
            <v>-64450.34</v>
          </cell>
          <cell r="X8601" t="str">
            <v>GWP - gross</v>
          </cell>
          <cell r="Y8601" t="str">
            <v>DENMARK</v>
          </cell>
        </row>
        <row r="8602">
          <cell r="L8602" t="str">
            <v>Non-proportional</v>
          </cell>
          <cell r="S8602">
            <v>302848.90999999997</v>
          </cell>
          <cell r="X8602" t="str">
            <v>GWP - gross</v>
          </cell>
          <cell r="Y8602" t="str">
            <v>UNITED KINGDOM</v>
          </cell>
        </row>
        <row r="8603">
          <cell r="L8603" t="str">
            <v>Non-proportional</v>
          </cell>
          <cell r="S8603">
            <v>-53277.4</v>
          </cell>
          <cell r="X8603" t="str">
            <v>GWP - gross</v>
          </cell>
          <cell r="Y8603" t="str">
            <v>SWITZERLAND</v>
          </cell>
        </row>
        <row r="8604">
          <cell r="L8604" t="str">
            <v>Non-proportional</v>
          </cell>
          <cell r="S8604">
            <v>-71895.7</v>
          </cell>
          <cell r="X8604" t="str">
            <v>GWP - gross</v>
          </cell>
          <cell r="Y8604" t="str">
            <v>SWEDEN</v>
          </cell>
        </row>
        <row r="8605">
          <cell r="L8605" t="str">
            <v>Non-proportional</v>
          </cell>
          <cell r="S8605">
            <v>12061.17</v>
          </cell>
          <cell r="X8605" t="str">
            <v>GWP - gross</v>
          </cell>
          <cell r="Y8605" t="str">
            <v>DENMARK</v>
          </cell>
        </row>
        <row r="8606">
          <cell r="L8606" t="str">
            <v>Non-proportional</v>
          </cell>
          <cell r="S8606">
            <v>-71021.179999999993</v>
          </cell>
          <cell r="X8606" t="str">
            <v>GWP - gross</v>
          </cell>
          <cell r="Y8606" t="str">
            <v>SWITZERLAND</v>
          </cell>
        </row>
        <row r="8607">
          <cell r="L8607" t="str">
            <v>Non-proportional</v>
          </cell>
          <cell r="S8607">
            <v>59657.78</v>
          </cell>
          <cell r="X8607" t="str">
            <v>GWP - gross</v>
          </cell>
          <cell r="Y8607" t="str">
            <v>SWITZERLAND</v>
          </cell>
        </row>
        <row r="8608">
          <cell r="L8608" t="str">
            <v>Non-proportional</v>
          </cell>
          <cell r="S8608">
            <v>-53277.4</v>
          </cell>
          <cell r="X8608" t="str">
            <v>GWP - gross</v>
          </cell>
          <cell r="Y8608" t="str">
            <v>SWITZERLAND</v>
          </cell>
        </row>
        <row r="8609">
          <cell r="L8609" t="str">
            <v>Non-proportional</v>
          </cell>
          <cell r="S8609">
            <v>-251731.98</v>
          </cell>
          <cell r="X8609" t="str">
            <v>GWP - gross</v>
          </cell>
          <cell r="Y8609" t="str">
            <v>SWITZERLAND</v>
          </cell>
        </row>
        <row r="8610">
          <cell r="L8610" t="str">
            <v>Non-proportional</v>
          </cell>
          <cell r="S8610">
            <v>-76021.63</v>
          </cell>
          <cell r="X8610" t="str">
            <v>GWP - gross</v>
          </cell>
          <cell r="Y8610" t="str">
            <v>GERMANY</v>
          </cell>
        </row>
        <row r="8611">
          <cell r="L8611" t="str">
            <v>Non-proportional</v>
          </cell>
          <cell r="S8611">
            <v>-1432614.84</v>
          </cell>
          <cell r="X8611" t="str">
            <v>GWP - gross</v>
          </cell>
          <cell r="Y8611" t="str">
            <v>UNITED KINGDOM</v>
          </cell>
        </row>
        <row r="8612">
          <cell r="L8612" t="str">
            <v>Non-proportional</v>
          </cell>
          <cell r="S8612">
            <v>-7440</v>
          </cell>
          <cell r="X8612" t="str">
            <v>GWP - gross</v>
          </cell>
          <cell r="Y8612" t="str">
            <v>SWITZERLAND</v>
          </cell>
        </row>
        <row r="8613">
          <cell r="L8613" t="str">
            <v>Non-proportional</v>
          </cell>
          <cell r="S8613">
            <v>34090.129999999997</v>
          </cell>
          <cell r="X8613" t="str">
            <v>GWP - gross</v>
          </cell>
          <cell r="Y8613" t="str">
            <v>SWITZERLAND</v>
          </cell>
        </row>
        <row r="8614">
          <cell r="L8614" t="str">
            <v>Non-proportional</v>
          </cell>
          <cell r="S8614">
            <v>10480.540000000001</v>
          </cell>
          <cell r="X8614" t="str">
            <v>GWP - gross</v>
          </cell>
          <cell r="Y8614" t="str">
            <v>SWITZERLAND</v>
          </cell>
        </row>
        <row r="8615">
          <cell r="L8615" t="str">
            <v>Non-proportional</v>
          </cell>
          <cell r="S8615">
            <v>-135233.38</v>
          </cell>
          <cell r="X8615" t="str">
            <v>GWP - gross</v>
          </cell>
          <cell r="Y8615" t="str">
            <v>SWITZERLAND</v>
          </cell>
        </row>
        <row r="8616">
          <cell r="L8616" t="str">
            <v>Non-proportional</v>
          </cell>
          <cell r="S8616">
            <v>-14776.72</v>
          </cell>
          <cell r="X8616" t="str">
            <v>GWP - gross</v>
          </cell>
          <cell r="Y8616" t="str">
            <v>SWITZERLAND</v>
          </cell>
        </row>
        <row r="8617">
          <cell r="L8617" t="str">
            <v>Non-proportional</v>
          </cell>
          <cell r="S8617">
            <v>-58262.5</v>
          </cell>
          <cell r="X8617" t="str">
            <v>GWP - gross</v>
          </cell>
          <cell r="Y8617" t="str">
            <v>SWITZERLAND</v>
          </cell>
        </row>
        <row r="8618">
          <cell r="L8618" t="str">
            <v>Non-proportional</v>
          </cell>
          <cell r="S8618">
            <v>-224736.24</v>
          </cell>
          <cell r="X8618" t="str">
            <v>GWP - gross</v>
          </cell>
          <cell r="Y8618" t="str">
            <v>UNITED KINGDOM</v>
          </cell>
        </row>
        <row r="8619">
          <cell r="L8619" t="str">
            <v>Non-proportional</v>
          </cell>
          <cell r="S8619">
            <v>-53487.13</v>
          </cell>
          <cell r="X8619" t="str">
            <v>GWP - gross</v>
          </cell>
          <cell r="Y8619" t="str">
            <v>DENMARK</v>
          </cell>
        </row>
        <row r="8620">
          <cell r="L8620" t="str">
            <v>Non-proportional</v>
          </cell>
          <cell r="S8620">
            <v>-68611.679999999993</v>
          </cell>
          <cell r="X8620" t="str">
            <v>GWP - gross</v>
          </cell>
          <cell r="Y8620" t="str">
            <v>GERMANY</v>
          </cell>
        </row>
        <row r="8621">
          <cell r="L8621" t="str">
            <v>Non-proportional</v>
          </cell>
          <cell r="S8621">
            <v>227986.96</v>
          </cell>
          <cell r="X8621" t="str">
            <v>GWP - gross</v>
          </cell>
          <cell r="Y8621" t="str">
            <v>GERMANY</v>
          </cell>
        </row>
        <row r="8622">
          <cell r="L8622" t="str">
            <v>Non-proportional</v>
          </cell>
          <cell r="S8622">
            <v>-95001.29</v>
          </cell>
          <cell r="X8622" t="str">
            <v>GWP - gross</v>
          </cell>
          <cell r="Y8622" t="str">
            <v>GERMANY</v>
          </cell>
        </row>
        <row r="8623">
          <cell r="L8623" t="str">
            <v>Non-proportional</v>
          </cell>
          <cell r="S8623">
            <v>-69660.19</v>
          </cell>
          <cell r="X8623" t="str">
            <v>GWP - gross</v>
          </cell>
          <cell r="Y8623" t="str">
            <v>DENMARK</v>
          </cell>
        </row>
        <row r="8624">
          <cell r="L8624" t="str">
            <v>Non-proportional</v>
          </cell>
          <cell r="S8624">
            <v>1241924.3500000001</v>
          </cell>
          <cell r="X8624" t="str">
            <v>GWP - gross</v>
          </cell>
          <cell r="Y8624" t="str">
            <v>UNITED KINGDOM</v>
          </cell>
        </row>
        <row r="8625">
          <cell r="L8625" t="str">
            <v>Non-proportional</v>
          </cell>
          <cell r="S8625">
            <v>96140</v>
          </cell>
          <cell r="X8625" t="str">
            <v>GWP - gross</v>
          </cell>
          <cell r="Y8625" t="str">
            <v>AUSTRIA</v>
          </cell>
        </row>
        <row r="8626">
          <cell r="L8626" t="str">
            <v>Non-proportional</v>
          </cell>
          <cell r="S8626">
            <v>195559</v>
          </cell>
          <cell r="X8626" t="str">
            <v>GWP - gross</v>
          </cell>
          <cell r="Y8626" t="str">
            <v>GERMANY</v>
          </cell>
        </row>
        <row r="8627">
          <cell r="L8627" t="str">
            <v>Non-proportional</v>
          </cell>
          <cell r="S8627">
            <v>226800</v>
          </cell>
          <cell r="X8627" t="str">
            <v>GWP - gross</v>
          </cell>
          <cell r="Y8627" t="str">
            <v>ROMANIA</v>
          </cell>
        </row>
        <row r="8628">
          <cell r="L8628" t="str">
            <v>Non-proportional</v>
          </cell>
          <cell r="S8628">
            <v>-5652.6</v>
          </cell>
          <cell r="X8628" t="str">
            <v>GWP - gross</v>
          </cell>
          <cell r="Y8628" t="str">
            <v>UNITED KINGDOM</v>
          </cell>
        </row>
        <row r="8629">
          <cell r="L8629" t="str">
            <v>Non-proportional</v>
          </cell>
          <cell r="S8629">
            <v>127139.25</v>
          </cell>
          <cell r="X8629" t="str">
            <v>GWP - gross</v>
          </cell>
          <cell r="Y8629" t="str">
            <v>SWITZERLAND</v>
          </cell>
        </row>
        <row r="8630">
          <cell r="L8630" t="str">
            <v>Non-proportional</v>
          </cell>
          <cell r="S8630">
            <v>7440</v>
          </cell>
          <cell r="X8630" t="str">
            <v>GWP - gross</v>
          </cell>
          <cell r="Y8630" t="str">
            <v>SWITZERLAND</v>
          </cell>
        </row>
        <row r="8631">
          <cell r="L8631" t="str">
            <v>Non-proportional</v>
          </cell>
          <cell r="S8631">
            <v>42219.199999999997</v>
          </cell>
          <cell r="X8631" t="str">
            <v>GWP - gross</v>
          </cell>
          <cell r="Y8631" t="str">
            <v>SWITZERLAND</v>
          </cell>
        </row>
        <row r="8632">
          <cell r="L8632" t="str">
            <v>Non-proportional</v>
          </cell>
          <cell r="S8632">
            <v>-107647.44</v>
          </cell>
          <cell r="X8632" t="str">
            <v>GWP - gross</v>
          </cell>
          <cell r="Y8632" t="str">
            <v>GERMANY</v>
          </cell>
        </row>
        <row r="8633">
          <cell r="L8633" t="str">
            <v>Non-proportional</v>
          </cell>
          <cell r="S8633">
            <v>-93682.18</v>
          </cell>
          <cell r="X8633" t="str">
            <v>GWP - gross</v>
          </cell>
          <cell r="Y8633" t="str">
            <v>NORWAY</v>
          </cell>
        </row>
        <row r="8634">
          <cell r="L8634" t="str">
            <v>Non-proportional</v>
          </cell>
          <cell r="S8634">
            <v>-12865.25</v>
          </cell>
          <cell r="X8634" t="str">
            <v>GWP - gross</v>
          </cell>
          <cell r="Y8634" t="str">
            <v>DENMARK</v>
          </cell>
        </row>
        <row r="8635">
          <cell r="L8635" t="str">
            <v>Non-proportional</v>
          </cell>
          <cell r="S8635">
            <v>98350</v>
          </cell>
          <cell r="X8635" t="str">
            <v>GWP - gross</v>
          </cell>
          <cell r="Y8635" t="str">
            <v>GERMANY</v>
          </cell>
        </row>
        <row r="8636">
          <cell r="L8636" t="str">
            <v>Non-proportional</v>
          </cell>
          <cell r="S8636">
            <v>-6855422.4500000002</v>
          </cell>
          <cell r="X8636" t="str">
            <v>GWP - gross</v>
          </cell>
          <cell r="Y8636" t="str">
            <v>UNITED KINGDOM</v>
          </cell>
        </row>
        <row r="8637">
          <cell r="L8637" t="str">
            <v>Non-proportional</v>
          </cell>
          <cell r="S8637">
            <v>-1024298.3</v>
          </cell>
          <cell r="X8637" t="str">
            <v>GWP - gross</v>
          </cell>
          <cell r="Y8637" t="str">
            <v>UNITED KINGDOM</v>
          </cell>
        </row>
        <row r="8638">
          <cell r="L8638" t="str">
            <v>Non-proportional</v>
          </cell>
          <cell r="S8638">
            <v>-143779.03</v>
          </cell>
          <cell r="X8638" t="str">
            <v>GWP - gross</v>
          </cell>
          <cell r="Y8638" t="str">
            <v>SWEDEN</v>
          </cell>
        </row>
        <row r="8639">
          <cell r="L8639" t="str">
            <v>Non-proportional</v>
          </cell>
          <cell r="S8639">
            <v>-110437.43</v>
          </cell>
          <cell r="X8639" t="str">
            <v>GWP - gross</v>
          </cell>
          <cell r="Y8639" t="str">
            <v>GERMANY</v>
          </cell>
        </row>
        <row r="8640">
          <cell r="L8640" t="str">
            <v>Non-proportional</v>
          </cell>
          <cell r="S8640">
            <v>-59657.78</v>
          </cell>
          <cell r="X8640" t="str">
            <v>GWP - gross</v>
          </cell>
          <cell r="Y8640" t="str">
            <v>SWITZERLAND</v>
          </cell>
        </row>
        <row r="8641">
          <cell r="L8641" t="str">
            <v>Non-proportional</v>
          </cell>
          <cell r="S8641">
            <v>179685</v>
          </cell>
          <cell r="X8641" t="str">
            <v>GWP - gross</v>
          </cell>
          <cell r="Y8641" t="str">
            <v>ITALY</v>
          </cell>
        </row>
        <row r="8642">
          <cell r="L8642" t="str">
            <v>Non-proportional</v>
          </cell>
          <cell r="S8642">
            <v>3480</v>
          </cell>
          <cell r="X8642" t="str">
            <v>GWP - gross</v>
          </cell>
          <cell r="Y8642" t="str">
            <v>FRANCE</v>
          </cell>
        </row>
        <row r="8643">
          <cell r="L8643" t="str">
            <v>Non-proportional</v>
          </cell>
          <cell r="S8643">
            <v>-113052</v>
          </cell>
          <cell r="X8643" t="str">
            <v>GWP - gross</v>
          </cell>
          <cell r="Y8643" t="str">
            <v>FRANCE</v>
          </cell>
        </row>
        <row r="8644">
          <cell r="L8644" t="str">
            <v>Non-proportional</v>
          </cell>
          <cell r="S8644">
            <v>174016</v>
          </cell>
          <cell r="X8644" t="str">
            <v>GWP - gross</v>
          </cell>
          <cell r="Y8644" t="str">
            <v>EUROPE</v>
          </cell>
        </row>
        <row r="8645">
          <cell r="L8645" t="str">
            <v>Non-proportional</v>
          </cell>
          <cell r="S8645">
            <v>-39958.050000000003</v>
          </cell>
          <cell r="X8645" t="str">
            <v>GWP - gross</v>
          </cell>
          <cell r="Y8645" t="str">
            <v>GERMANY</v>
          </cell>
        </row>
        <row r="8646">
          <cell r="L8646" t="str">
            <v>Non-proportional</v>
          </cell>
          <cell r="S8646">
            <v>92969</v>
          </cell>
          <cell r="X8646" t="str">
            <v>GWP - gross</v>
          </cell>
          <cell r="Y8646" t="str">
            <v>SWITZERLAND</v>
          </cell>
        </row>
        <row r="8647">
          <cell r="L8647" t="str">
            <v>Non-proportional</v>
          </cell>
          <cell r="S8647">
            <v>-60000</v>
          </cell>
          <cell r="X8647" t="str">
            <v>GWP - gross</v>
          </cell>
          <cell r="Y8647" t="str">
            <v>GERMANY</v>
          </cell>
        </row>
        <row r="8648">
          <cell r="L8648" t="str">
            <v>Non-proportional</v>
          </cell>
          <cell r="S8648">
            <v>-48794.84</v>
          </cell>
          <cell r="X8648" t="str">
            <v>GWP - gross</v>
          </cell>
          <cell r="Y8648" t="str">
            <v>SWITZERLAND</v>
          </cell>
        </row>
        <row r="8649">
          <cell r="L8649" t="str">
            <v>Non-proportional</v>
          </cell>
          <cell r="S8649">
            <v>-23547.88</v>
          </cell>
          <cell r="X8649" t="str">
            <v>GWP - gross</v>
          </cell>
          <cell r="Y8649" t="str">
            <v>GERMANY</v>
          </cell>
        </row>
        <row r="8650">
          <cell r="L8650" t="str">
            <v>Non-proportional</v>
          </cell>
          <cell r="S8650">
            <v>-30706.28</v>
          </cell>
          <cell r="X8650" t="str">
            <v>GWP - gross</v>
          </cell>
          <cell r="Y8650" t="str">
            <v>FRANCE</v>
          </cell>
        </row>
        <row r="8651">
          <cell r="L8651" t="str">
            <v>Non-proportional</v>
          </cell>
          <cell r="S8651">
            <v>-91080</v>
          </cell>
          <cell r="X8651" t="str">
            <v>GWP - gross</v>
          </cell>
          <cell r="Y8651" t="str">
            <v>GERMANY</v>
          </cell>
        </row>
        <row r="8652">
          <cell r="L8652" t="str">
            <v>Non-proportional</v>
          </cell>
          <cell r="S8652">
            <v>-217746.83</v>
          </cell>
          <cell r="X8652" t="str">
            <v>GWP - gross</v>
          </cell>
          <cell r="Y8652" t="str">
            <v>UNITED KINGDOM</v>
          </cell>
        </row>
        <row r="8653">
          <cell r="L8653" t="str">
            <v>Non-proportional</v>
          </cell>
          <cell r="S8653">
            <v>-114804.04</v>
          </cell>
          <cell r="X8653" t="str">
            <v>GWP - gross</v>
          </cell>
          <cell r="Y8653" t="str">
            <v>SLOVENIA</v>
          </cell>
        </row>
        <row r="8654">
          <cell r="L8654" t="str">
            <v>Non-proportional</v>
          </cell>
          <cell r="S8654">
            <v>-482407.13</v>
          </cell>
          <cell r="X8654" t="str">
            <v>GWP - gross</v>
          </cell>
          <cell r="Y8654" t="str">
            <v>SWITZERLAND</v>
          </cell>
        </row>
        <row r="8655">
          <cell r="L8655" t="str">
            <v>Non-proportional</v>
          </cell>
          <cell r="S8655">
            <v>-48129.89</v>
          </cell>
          <cell r="X8655" t="str">
            <v>GWP - gross</v>
          </cell>
          <cell r="Y8655" t="str">
            <v>SWITZERLAND</v>
          </cell>
        </row>
        <row r="8656">
          <cell r="L8656" t="str">
            <v>Non-proportional</v>
          </cell>
          <cell r="S8656">
            <v>-140582.70000000001</v>
          </cell>
          <cell r="X8656" t="str">
            <v>GWP - gross</v>
          </cell>
          <cell r="Y8656" t="str">
            <v>UNITED KINGDOM</v>
          </cell>
        </row>
        <row r="8657">
          <cell r="L8657" t="str">
            <v>Non-proportional</v>
          </cell>
          <cell r="S8657">
            <v>-169440</v>
          </cell>
          <cell r="X8657" t="str">
            <v>GWP - gross</v>
          </cell>
          <cell r="Y8657" t="str">
            <v>AUSTRIA</v>
          </cell>
        </row>
        <row r="8658">
          <cell r="L8658" t="str">
            <v>Non-proportional</v>
          </cell>
          <cell r="S8658">
            <v>-13324.03</v>
          </cell>
          <cell r="X8658" t="str">
            <v>GWP - gross</v>
          </cell>
          <cell r="Y8658" t="str">
            <v>UNITED KINGDOM</v>
          </cell>
        </row>
        <row r="8659">
          <cell r="L8659" t="str">
            <v>Non-proportional</v>
          </cell>
          <cell r="S8659">
            <v>-3143350.62</v>
          </cell>
          <cell r="X8659" t="str">
            <v>GWP - gross</v>
          </cell>
          <cell r="Y8659" t="str">
            <v>UNITED KINGDOM</v>
          </cell>
        </row>
        <row r="8660">
          <cell r="L8660" t="str">
            <v>Non-proportional</v>
          </cell>
          <cell r="S8660">
            <v>-15076.75</v>
          </cell>
          <cell r="X8660" t="str">
            <v>GWP - gross</v>
          </cell>
          <cell r="Y8660" t="str">
            <v>DENMARK</v>
          </cell>
        </row>
        <row r="8661">
          <cell r="L8661" t="str">
            <v>Non-proportional</v>
          </cell>
          <cell r="S8661">
            <v>39958.050000000003</v>
          </cell>
          <cell r="X8661" t="str">
            <v>GWP - gross</v>
          </cell>
          <cell r="Y8661" t="str">
            <v>SWITZERLAND</v>
          </cell>
        </row>
        <row r="8662">
          <cell r="L8662" t="str">
            <v>Non-proportional</v>
          </cell>
          <cell r="S8662">
            <v>-50855.7</v>
          </cell>
          <cell r="X8662" t="str">
            <v>GWP - gross</v>
          </cell>
          <cell r="Y8662" t="str">
            <v>SWITZERLAND</v>
          </cell>
        </row>
        <row r="8663">
          <cell r="L8663" t="str">
            <v>Non-proportional</v>
          </cell>
          <cell r="S8663">
            <v>-176394.61</v>
          </cell>
          <cell r="X8663" t="str">
            <v>GWP - gross</v>
          </cell>
          <cell r="Y8663" t="str">
            <v>DENMARK</v>
          </cell>
        </row>
        <row r="8664">
          <cell r="L8664" t="str">
            <v>Non-proportional</v>
          </cell>
          <cell r="S8664">
            <v>74400</v>
          </cell>
          <cell r="X8664" t="str">
            <v>GWP - gross</v>
          </cell>
          <cell r="Y8664" t="str">
            <v>SWITZERLAND</v>
          </cell>
        </row>
        <row r="8665">
          <cell r="L8665" t="str">
            <v>Non-proportional</v>
          </cell>
          <cell r="S8665">
            <v>195998.07</v>
          </cell>
          <cell r="X8665" t="str">
            <v>GWP - gross</v>
          </cell>
          <cell r="Y8665" t="str">
            <v>DENMARK</v>
          </cell>
        </row>
        <row r="8666">
          <cell r="L8666" t="str">
            <v>Non-proportional</v>
          </cell>
          <cell r="S8666">
            <v>-392813.73</v>
          </cell>
          <cell r="X8666" t="str">
            <v>GWP - gross</v>
          </cell>
          <cell r="Y8666" t="str">
            <v>UNITED KINGDOM</v>
          </cell>
        </row>
        <row r="8667">
          <cell r="L8667" t="str">
            <v>Non-proportional</v>
          </cell>
          <cell r="S8667">
            <v>-64428</v>
          </cell>
          <cell r="X8667" t="str">
            <v>GWP - gross</v>
          </cell>
          <cell r="Y8667" t="str">
            <v>GERMANY</v>
          </cell>
        </row>
        <row r="8668">
          <cell r="L8668" t="str">
            <v>Non-proportional</v>
          </cell>
          <cell r="S8668">
            <v>5652.6</v>
          </cell>
          <cell r="X8668" t="str">
            <v>GWP - gross</v>
          </cell>
          <cell r="Y8668" t="str">
            <v>UNITED KINGDOM</v>
          </cell>
        </row>
        <row r="8669">
          <cell r="L8669" t="str">
            <v>Proportional</v>
          </cell>
          <cell r="S8669">
            <v>-1951680</v>
          </cell>
          <cell r="X8669" t="str">
            <v>GWP - gross</v>
          </cell>
          <cell r="Y8669" t="str">
            <v>AUSTRIA</v>
          </cell>
        </row>
        <row r="8670">
          <cell r="L8670" t="str">
            <v>Non-proportional</v>
          </cell>
          <cell r="S8670">
            <v>-242277.85</v>
          </cell>
          <cell r="X8670" t="str">
            <v>GWP - gross</v>
          </cell>
          <cell r="Y8670" t="str">
            <v>UNITED KINGDOM</v>
          </cell>
        </row>
        <row r="8671">
          <cell r="L8671" t="str">
            <v>Non-proportional</v>
          </cell>
          <cell r="S8671">
            <v>235221.54</v>
          </cell>
          <cell r="X8671" t="str">
            <v>GWP - gross</v>
          </cell>
          <cell r="Y8671" t="str">
            <v>UNITED KINGDOM</v>
          </cell>
        </row>
        <row r="8672">
          <cell r="L8672" t="str">
            <v>Non-proportional</v>
          </cell>
          <cell r="S8672">
            <v>-235221.54</v>
          </cell>
          <cell r="X8672" t="str">
            <v>GWP - gross</v>
          </cell>
          <cell r="Y8672" t="str">
            <v>UNITED KINGDOM</v>
          </cell>
        </row>
        <row r="8673">
          <cell r="L8673" t="str">
            <v>Non-proportional</v>
          </cell>
          <cell r="S8673">
            <v>183605.71</v>
          </cell>
          <cell r="X8673" t="str">
            <v>GWP - gross</v>
          </cell>
          <cell r="Y8673" t="str">
            <v>UNITED KINGDOM</v>
          </cell>
        </row>
        <row r="8674">
          <cell r="L8674" t="str">
            <v>Non-proportional</v>
          </cell>
          <cell r="S8674">
            <v>75994.559999999998</v>
          </cell>
          <cell r="X8674" t="str">
            <v>GWP - gross</v>
          </cell>
          <cell r="Y8674" t="str">
            <v>SWITZERLAND</v>
          </cell>
        </row>
        <row r="8675">
          <cell r="L8675" t="str">
            <v>Non-proportional</v>
          </cell>
          <cell r="S8675">
            <v>482407.13</v>
          </cell>
          <cell r="X8675" t="str">
            <v>GWP - gross</v>
          </cell>
          <cell r="Y8675" t="str">
            <v>SWITZERLAND</v>
          </cell>
        </row>
        <row r="8676">
          <cell r="L8676" t="str">
            <v>Non-proportional</v>
          </cell>
          <cell r="S8676">
            <v>-294028.07</v>
          </cell>
          <cell r="X8676" t="str">
            <v>GWP - gross</v>
          </cell>
          <cell r="Y8676" t="str">
            <v>UNITED KINGDOM</v>
          </cell>
        </row>
        <row r="8677">
          <cell r="L8677" t="str">
            <v>Non-proportional</v>
          </cell>
          <cell r="S8677">
            <v>-102150</v>
          </cell>
          <cell r="X8677" t="str">
            <v>GWP - gross</v>
          </cell>
          <cell r="Y8677" t="str">
            <v>GERMANY</v>
          </cell>
        </row>
        <row r="8678">
          <cell r="L8678" t="str">
            <v>Non-proportional</v>
          </cell>
          <cell r="S8678">
            <v>5652.6</v>
          </cell>
          <cell r="X8678" t="str">
            <v>GWP - gross</v>
          </cell>
          <cell r="Y8678" t="str">
            <v>UNITED KINGDOM</v>
          </cell>
        </row>
        <row r="8679">
          <cell r="L8679" t="str">
            <v>Non-proportional</v>
          </cell>
          <cell r="S8679">
            <v>4873.5</v>
          </cell>
          <cell r="X8679" t="str">
            <v>GWP - gross</v>
          </cell>
          <cell r="Y8679" t="str">
            <v>ITALY</v>
          </cell>
        </row>
        <row r="8680">
          <cell r="L8680" t="str">
            <v>Non-proportional</v>
          </cell>
          <cell r="S8680">
            <v>79661.03</v>
          </cell>
          <cell r="X8680" t="str">
            <v>GWP - gross</v>
          </cell>
          <cell r="Y8680" t="str">
            <v>EUROPE</v>
          </cell>
        </row>
        <row r="8681">
          <cell r="L8681" t="str">
            <v>Non-proportional</v>
          </cell>
          <cell r="S8681">
            <v>-92354.5</v>
          </cell>
          <cell r="X8681" t="str">
            <v>GWP - gross</v>
          </cell>
          <cell r="Y8681" t="str">
            <v>SWITZERLAND</v>
          </cell>
        </row>
        <row r="8682">
          <cell r="L8682" t="str">
            <v>Non-proportional</v>
          </cell>
          <cell r="S8682">
            <v>38903.97</v>
          </cell>
          <cell r="X8682" t="str">
            <v>GWP - gross</v>
          </cell>
          <cell r="Y8682" t="str">
            <v>FAROE ISLANDS</v>
          </cell>
        </row>
        <row r="8683">
          <cell r="L8683" t="str">
            <v>Non-proportional</v>
          </cell>
          <cell r="S8683">
            <v>2936.25</v>
          </cell>
          <cell r="X8683" t="str">
            <v>GWP - gross</v>
          </cell>
          <cell r="Y8683" t="str">
            <v>ROMANIA</v>
          </cell>
        </row>
        <row r="8684">
          <cell r="L8684" t="str">
            <v>Non-proportional</v>
          </cell>
          <cell r="S8684">
            <v>-415520.09</v>
          </cell>
          <cell r="X8684" t="str">
            <v>GWP - gross</v>
          </cell>
          <cell r="Y8684" t="str">
            <v>UNITED KINGDOM</v>
          </cell>
        </row>
        <row r="8685">
          <cell r="L8685" t="str">
            <v>Non-proportional</v>
          </cell>
          <cell r="S8685">
            <v>-448152.12</v>
          </cell>
          <cell r="X8685" t="str">
            <v>GWP - gross</v>
          </cell>
          <cell r="Y8685" t="str">
            <v>FRANCE</v>
          </cell>
        </row>
        <row r="8686">
          <cell r="L8686" t="str">
            <v>Non-proportional</v>
          </cell>
          <cell r="S8686">
            <v>60000</v>
          </cell>
          <cell r="X8686" t="str">
            <v>GWP - gross</v>
          </cell>
          <cell r="Y8686" t="str">
            <v>GERMANY</v>
          </cell>
        </row>
        <row r="8687">
          <cell r="L8687" t="str">
            <v>Non-proportional</v>
          </cell>
          <cell r="S8687">
            <v>-183605.71</v>
          </cell>
          <cell r="X8687" t="str">
            <v>GWP - gross</v>
          </cell>
          <cell r="Y8687" t="str">
            <v>UNITED KINGDOM</v>
          </cell>
        </row>
        <row r="8688">
          <cell r="L8688" t="str">
            <v>Non-proportional</v>
          </cell>
          <cell r="S8688">
            <v>178112.25</v>
          </cell>
          <cell r="X8688" t="str">
            <v>GWP - gross</v>
          </cell>
          <cell r="Y8688" t="str">
            <v>SWITZERLAND</v>
          </cell>
        </row>
        <row r="8689">
          <cell r="L8689" t="str">
            <v>Non-proportional</v>
          </cell>
          <cell r="S8689">
            <v>-414024.17</v>
          </cell>
          <cell r="X8689" t="str">
            <v>GWP - gross</v>
          </cell>
          <cell r="Y8689" t="str">
            <v>CZECH REPUBLIC</v>
          </cell>
        </row>
        <row r="8690">
          <cell r="L8690" t="str">
            <v>Non-proportional</v>
          </cell>
          <cell r="S8690">
            <v>194604.13</v>
          </cell>
          <cell r="X8690" t="str">
            <v>GWP - gross</v>
          </cell>
          <cell r="Y8690" t="str">
            <v>SWITZERLAND</v>
          </cell>
        </row>
        <row r="8691">
          <cell r="L8691" t="str">
            <v>Non-proportional</v>
          </cell>
          <cell r="S8691">
            <v>-80998.97</v>
          </cell>
          <cell r="X8691" t="str">
            <v>GWP - gross</v>
          </cell>
          <cell r="Y8691" t="str">
            <v>GERMANY</v>
          </cell>
        </row>
        <row r="8692">
          <cell r="L8692" t="str">
            <v>Non-proportional</v>
          </cell>
          <cell r="S8692">
            <v>74400</v>
          </cell>
          <cell r="X8692" t="str">
            <v>GWP - gross</v>
          </cell>
          <cell r="Y8692" t="str">
            <v>SWITZERLAND</v>
          </cell>
        </row>
        <row r="8693">
          <cell r="L8693" t="str">
            <v>Non-proportional</v>
          </cell>
          <cell r="S8693">
            <v>-37000.720000000001</v>
          </cell>
          <cell r="X8693" t="str">
            <v>GWP - gross</v>
          </cell>
          <cell r="Y8693" t="str">
            <v>EUROPE</v>
          </cell>
        </row>
        <row r="8694">
          <cell r="L8694" t="str">
            <v>Non-proportional</v>
          </cell>
          <cell r="S8694">
            <v>537533</v>
          </cell>
          <cell r="X8694" t="str">
            <v>GWP - gross</v>
          </cell>
          <cell r="Y8694" t="str">
            <v>UNITED KINGDOM</v>
          </cell>
        </row>
        <row r="8695">
          <cell r="L8695" t="str">
            <v>Non-proportional</v>
          </cell>
          <cell r="S8695">
            <v>160810.22</v>
          </cell>
          <cell r="X8695" t="str">
            <v>GWP - gross</v>
          </cell>
          <cell r="Y8695" t="str">
            <v>DENMARK</v>
          </cell>
        </row>
        <row r="8696">
          <cell r="L8696" t="str">
            <v>Non-proportional</v>
          </cell>
          <cell r="S8696">
            <v>982029.13</v>
          </cell>
          <cell r="X8696" t="str">
            <v>GWP - gross</v>
          </cell>
          <cell r="Y8696" t="str">
            <v>UNITED KINGDOM</v>
          </cell>
        </row>
        <row r="8697">
          <cell r="L8697" t="str">
            <v>Non-proportional</v>
          </cell>
          <cell r="S8697">
            <v>-135233.38</v>
          </cell>
          <cell r="X8697" t="str">
            <v>GWP - gross</v>
          </cell>
          <cell r="Y8697" t="str">
            <v>SWITZERLAND</v>
          </cell>
        </row>
        <row r="8698">
          <cell r="L8698" t="str">
            <v>Non-proportional</v>
          </cell>
          <cell r="S8698">
            <v>263870</v>
          </cell>
          <cell r="X8698" t="str">
            <v>GWP - gross</v>
          </cell>
          <cell r="Y8698" t="str">
            <v>SWITZERLAND</v>
          </cell>
        </row>
        <row r="8699">
          <cell r="L8699" t="str">
            <v>Non-proportional</v>
          </cell>
          <cell r="S8699">
            <v>-3857.42</v>
          </cell>
          <cell r="X8699" t="str">
            <v>GWP - gross</v>
          </cell>
          <cell r="Y8699" t="str">
            <v>FRANCE</v>
          </cell>
        </row>
        <row r="8700">
          <cell r="L8700" t="str">
            <v>Non-proportional</v>
          </cell>
          <cell r="S8700">
            <v>-28009.73</v>
          </cell>
          <cell r="X8700" t="str">
            <v>GWP - gross</v>
          </cell>
          <cell r="Y8700" t="str">
            <v>SWEDEN</v>
          </cell>
        </row>
        <row r="8701">
          <cell r="L8701" t="str">
            <v>Non-proportional</v>
          </cell>
          <cell r="S8701">
            <v>-72868.899999999994</v>
          </cell>
          <cell r="X8701" t="str">
            <v>GWP - gross</v>
          </cell>
          <cell r="Y8701" t="str">
            <v>DENMARK</v>
          </cell>
        </row>
        <row r="8702">
          <cell r="L8702" t="str">
            <v>Non-proportional</v>
          </cell>
          <cell r="S8702">
            <v>179842.75</v>
          </cell>
          <cell r="X8702" t="str">
            <v>GWP - gross</v>
          </cell>
          <cell r="Y8702" t="str">
            <v>UNITED KINGDOM</v>
          </cell>
        </row>
        <row r="8703">
          <cell r="L8703" t="str">
            <v>Non-proportional</v>
          </cell>
          <cell r="S8703">
            <v>-20000</v>
          </cell>
          <cell r="X8703" t="str">
            <v>GWP - gross</v>
          </cell>
          <cell r="Y8703" t="str">
            <v>SWITZERLAND</v>
          </cell>
        </row>
        <row r="8704">
          <cell r="L8704" t="str">
            <v>Non-proportional</v>
          </cell>
          <cell r="S8704">
            <v>-54877.599999999999</v>
          </cell>
          <cell r="X8704" t="str">
            <v>GWP - gross</v>
          </cell>
          <cell r="Y8704" t="str">
            <v>EUROPE</v>
          </cell>
        </row>
        <row r="8705">
          <cell r="L8705" t="str">
            <v>Non-proportional</v>
          </cell>
          <cell r="S8705">
            <v>10</v>
          </cell>
          <cell r="X8705" t="str">
            <v>GWP - gross</v>
          </cell>
          <cell r="Y8705" t="str">
            <v>FRANCE</v>
          </cell>
        </row>
        <row r="8706">
          <cell r="L8706" t="str">
            <v>Non-proportional</v>
          </cell>
          <cell r="S8706">
            <v>377092.4</v>
          </cell>
          <cell r="X8706" t="str">
            <v>GWP - gross</v>
          </cell>
          <cell r="Y8706" t="str">
            <v>UNITED KINGDOM</v>
          </cell>
        </row>
        <row r="8707">
          <cell r="L8707" t="str">
            <v>Non-proportional</v>
          </cell>
          <cell r="S8707">
            <v>-9300</v>
          </cell>
          <cell r="X8707" t="str">
            <v>GWP - gross</v>
          </cell>
          <cell r="Y8707" t="str">
            <v>SWITZERLAND</v>
          </cell>
        </row>
        <row r="8708">
          <cell r="L8708" t="str">
            <v>Non-proportional</v>
          </cell>
          <cell r="S8708">
            <v>-112884</v>
          </cell>
          <cell r="X8708" t="str">
            <v>GWP - gross</v>
          </cell>
          <cell r="Y8708" t="str">
            <v>GERMANY</v>
          </cell>
        </row>
        <row r="8709">
          <cell r="L8709" t="str">
            <v>Non-proportional</v>
          </cell>
          <cell r="S8709">
            <v>-90495.87</v>
          </cell>
          <cell r="X8709" t="str">
            <v>GWP - gross</v>
          </cell>
          <cell r="Y8709" t="str">
            <v>NORWAY</v>
          </cell>
        </row>
        <row r="8710">
          <cell r="L8710" t="str">
            <v>Non-proportional</v>
          </cell>
          <cell r="S8710">
            <v>-85007.2</v>
          </cell>
          <cell r="X8710" t="str">
            <v>GWP - gross</v>
          </cell>
          <cell r="Y8710" t="str">
            <v>NORWAY</v>
          </cell>
        </row>
        <row r="8711">
          <cell r="L8711" t="str">
            <v>Non-proportional</v>
          </cell>
          <cell r="S8711">
            <v>-302848.90999999997</v>
          </cell>
          <cell r="X8711" t="str">
            <v>GWP - gross</v>
          </cell>
          <cell r="Y8711" t="str">
            <v>UNITED KINGDOM</v>
          </cell>
        </row>
        <row r="8712">
          <cell r="L8712" t="str">
            <v>Non-proportional</v>
          </cell>
          <cell r="S8712">
            <v>-127139.25</v>
          </cell>
          <cell r="X8712" t="str">
            <v>GWP - gross</v>
          </cell>
          <cell r="Y8712" t="str">
            <v>SWITZERLAND</v>
          </cell>
        </row>
        <row r="8713">
          <cell r="L8713" t="str">
            <v>Non-proportional</v>
          </cell>
          <cell r="S8713">
            <v>-90972</v>
          </cell>
          <cell r="X8713" t="str">
            <v>GWP - gross</v>
          </cell>
          <cell r="Y8713" t="str">
            <v>ITALY</v>
          </cell>
        </row>
        <row r="8714">
          <cell r="L8714" t="str">
            <v>Non-proportional</v>
          </cell>
          <cell r="S8714">
            <v>300.07</v>
          </cell>
          <cell r="X8714" t="str">
            <v>GWP - gross</v>
          </cell>
          <cell r="Y8714" t="str">
            <v>GERMANY</v>
          </cell>
        </row>
        <row r="8715">
          <cell r="L8715" t="str">
            <v>Non-proportional</v>
          </cell>
          <cell r="S8715">
            <v>-284527.31</v>
          </cell>
          <cell r="X8715" t="str">
            <v>GWP - gross</v>
          </cell>
          <cell r="Y8715" t="str">
            <v>UNITED KINGDOM</v>
          </cell>
        </row>
        <row r="8716">
          <cell r="L8716" t="str">
            <v>Non-proportional</v>
          </cell>
          <cell r="S8716">
            <v>-8530.09</v>
          </cell>
          <cell r="X8716" t="str">
            <v>GWP - gross</v>
          </cell>
          <cell r="Y8716" t="str">
            <v>GERMANY</v>
          </cell>
        </row>
        <row r="8717">
          <cell r="L8717" t="str">
            <v>Non-proportional</v>
          </cell>
          <cell r="S8717">
            <v>55950</v>
          </cell>
          <cell r="X8717" t="str">
            <v>GWP - gross</v>
          </cell>
          <cell r="Y8717" t="str">
            <v>EUROPE</v>
          </cell>
        </row>
        <row r="8718">
          <cell r="L8718" t="str">
            <v>Non-proportional</v>
          </cell>
          <cell r="S8718">
            <v>-39958.050000000003</v>
          </cell>
          <cell r="X8718" t="str">
            <v>GWP - gross</v>
          </cell>
          <cell r="Y8718" t="str">
            <v>SWITZERLAND</v>
          </cell>
        </row>
        <row r="8719">
          <cell r="L8719" t="str">
            <v>Non-proportional</v>
          </cell>
          <cell r="S8719">
            <v>176394.61</v>
          </cell>
          <cell r="X8719" t="str">
            <v>GWP - gross</v>
          </cell>
          <cell r="Y8719" t="str">
            <v>DENMARK</v>
          </cell>
        </row>
        <row r="8720">
          <cell r="L8720" t="str">
            <v>Non-proportional</v>
          </cell>
          <cell r="S8720">
            <v>-65605.45</v>
          </cell>
          <cell r="X8720" t="str">
            <v>GWP - gross</v>
          </cell>
          <cell r="Y8720" t="str">
            <v>EIRE</v>
          </cell>
        </row>
        <row r="8721">
          <cell r="L8721" t="str">
            <v>Non-proportional</v>
          </cell>
          <cell r="S8721">
            <v>-33296</v>
          </cell>
          <cell r="X8721" t="str">
            <v>GWP - gross</v>
          </cell>
          <cell r="Y8721" t="str">
            <v>EUROPE</v>
          </cell>
        </row>
        <row r="8722">
          <cell r="L8722" t="str">
            <v>Non-proportional</v>
          </cell>
          <cell r="S8722">
            <v>194604.13</v>
          </cell>
          <cell r="X8722" t="str">
            <v>GWP - gross</v>
          </cell>
          <cell r="Y8722" t="str">
            <v>SWITZERLAND</v>
          </cell>
        </row>
        <row r="8723">
          <cell r="L8723" t="str">
            <v>Non-proportional</v>
          </cell>
          <cell r="S8723">
            <v>-142587.12</v>
          </cell>
          <cell r="X8723" t="str">
            <v>GWP - gross</v>
          </cell>
          <cell r="Y8723" t="str">
            <v>EUROPE</v>
          </cell>
        </row>
        <row r="8724">
          <cell r="L8724" t="str">
            <v>Non-proportional</v>
          </cell>
          <cell r="S8724">
            <v>-4140</v>
          </cell>
          <cell r="X8724" t="str">
            <v>GWP - gross</v>
          </cell>
          <cell r="Y8724" t="str">
            <v>ITALY</v>
          </cell>
        </row>
        <row r="8725">
          <cell r="L8725" t="str">
            <v>Non-proportional</v>
          </cell>
          <cell r="S8725">
            <v>-122512.5</v>
          </cell>
          <cell r="X8725" t="str">
            <v>GWP - gross</v>
          </cell>
          <cell r="Y8725" t="str">
            <v>GERMANY</v>
          </cell>
        </row>
        <row r="8726">
          <cell r="L8726" t="str">
            <v>Non-proportional</v>
          </cell>
          <cell r="S8726">
            <v>135233.38</v>
          </cell>
          <cell r="X8726" t="str">
            <v>GWP - gross</v>
          </cell>
          <cell r="Y8726" t="str">
            <v>SWITZERLAND</v>
          </cell>
        </row>
        <row r="8727">
          <cell r="L8727" t="str">
            <v>Non-proportional</v>
          </cell>
          <cell r="S8727">
            <v>-245000</v>
          </cell>
          <cell r="X8727" t="str">
            <v>GWP - gross</v>
          </cell>
          <cell r="Y8727" t="str">
            <v>GERMANY</v>
          </cell>
        </row>
        <row r="8728">
          <cell r="L8728" t="str">
            <v>Non-proportional</v>
          </cell>
          <cell r="S8728">
            <v>-227986.96</v>
          </cell>
          <cell r="X8728" t="str">
            <v>GWP - gross</v>
          </cell>
          <cell r="Y8728" t="str">
            <v>GERMANY</v>
          </cell>
        </row>
        <row r="8729">
          <cell r="L8729" t="str">
            <v>Non-proportional</v>
          </cell>
          <cell r="S8729">
            <v>-15679.52</v>
          </cell>
          <cell r="X8729" t="str">
            <v>GWP - gross</v>
          </cell>
          <cell r="Y8729" t="str">
            <v>DENMARK</v>
          </cell>
        </row>
        <row r="8730">
          <cell r="L8730" t="str">
            <v>Non-proportional</v>
          </cell>
          <cell r="S8730">
            <v>-76021.63</v>
          </cell>
          <cell r="X8730" t="str">
            <v>GWP - gross</v>
          </cell>
          <cell r="Y8730" t="str">
            <v>GERMANY</v>
          </cell>
        </row>
        <row r="8731">
          <cell r="L8731" t="str">
            <v>Non-proportional</v>
          </cell>
          <cell r="S8731">
            <v>76021.63</v>
          </cell>
          <cell r="X8731" t="str">
            <v>GWP - gross</v>
          </cell>
          <cell r="Y8731" t="str">
            <v>GERMANY</v>
          </cell>
        </row>
        <row r="8732">
          <cell r="L8732" t="str">
            <v>Non-proportional</v>
          </cell>
          <cell r="S8732">
            <v>-127139.25</v>
          </cell>
          <cell r="X8732" t="str">
            <v>GWP - gross</v>
          </cell>
          <cell r="Y8732" t="str">
            <v>SWITZERLAND</v>
          </cell>
        </row>
        <row r="8733">
          <cell r="L8733" t="str">
            <v>Non-proportional</v>
          </cell>
          <cell r="S8733">
            <v>21100</v>
          </cell>
          <cell r="X8733" t="str">
            <v>GWP - gross</v>
          </cell>
          <cell r="Y8733" t="str">
            <v>EUROPE</v>
          </cell>
        </row>
        <row r="8734">
          <cell r="L8734" t="str">
            <v>Non-proportional</v>
          </cell>
          <cell r="S8734">
            <v>66490.06</v>
          </cell>
          <cell r="X8734" t="str">
            <v>GWP - gross</v>
          </cell>
          <cell r="Y8734" t="str">
            <v>GERMANY</v>
          </cell>
        </row>
        <row r="8735">
          <cell r="L8735" t="str">
            <v>Non-proportional</v>
          </cell>
          <cell r="S8735">
            <v>-516051.03</v>
          </cell>
          <cell r="X8735" t="str">
            <v>GWP - gross</v>
          </cell>
          <cell r="Y8735" t="str">
            <v>UNITED KINGDOM</v>
          </cell>
        </row>
        <row r="8736">
          <cell r="L8736" t="str">
            <v>Non-proportional</v>
          </cell>
          <cell r="S8736">
            <v>116200.94</v>
          </cell>
          <cell r="X8736" t="str">
            <v>GWP - gross</v>
          </cell>
          <cell r="Y8736" t="str">
            <v>UNITED KINGDOM</v>
          </cell>
        </row>
        <row r="8737">
          <cell r="L8737" t="str">
            <v>Non-proportional</v>
          </cell>
          <cell r="S8737">
            <v>2423.2399999999998</v>
          </cell>
          <cell r="X8737" t="str">
            <v>GWP - gross</v>
          </cell>
          <cell r="Y8737" t="str">
            <v>SWITZERLAND</v>
          </cell>
        </row>
        <row r="8738">
          <cell r="L8738" t="str">
            <v>Non-proportional</v>
          </cell>
          <cell r="S8738">
            <v>-3762.37</v>
          </cell>
          <cell r="X8738" t="str">
            <v>GWP - gross</v>
          </cell>
          <cell r="Y8738" t="str">
            <v>DENMARK</v>
          </cell>
        </row>
        <row r="8739">
          <cell r="L8739" t="str">
            <v>Non-proportional</v>
          </cell>
          <cell r="S8739">
            <v>-281571.21000000002</v>
          </cell>
          <cell r="X8739" t="str">
            <v>GWP - gross</v>
          </cell>
          <cell r="Y8739" t="str">
            <v>UNITED KINGDOM</v>
          </cell>
        </row>
        <row r="8740">
          <cell r="L8740" t="str">
            <v>Non-proportional</v>
          </cell>
          <cell r="S8740">
            <v>11456.85</v>
          </cell>
          <cell r="X8740" t="str">
            <v>GWP - gross</v>
          </cell>
          <cell r="Y8740" t="str">
            <v>NORWAY</v>
          </cell>
        </row>
        <row r="8741">
          <cell r="L8741" t="str">
            <v>Non-proportional</v>
          </cell>
          <cell r="S8741">
            <v>-178055.74</v>
          </cell>
          <cell r="X8741" t="str">
            <v>GWP - gross</v>
          </cell>
          <cell r="Y8741" t="str">
            <v>SWITZERLAND</v>
          </cell>
        </row>
        <row r="8742">
          <cell r="L8742" t="str">
            <v>Non-proportional</v>
          </cell>
          <cell r="S8742">
            <v>42381.77</v>
          </cell>
          <cell r="X8742" t="str">
            <v>GWP - gross</v>
          </cell>
          <cell r="Y8742" t="str">
            <v>FAROE ISLANDS</v>
          </cell>
        </row>
        <row r="8743">
          <cell r="L8743" t="str">
            <v>Non-proportional</v>
          </cell>
          <cell r="S8743">
            <v>-91250.48</v>
          </cell>
          <cell r="X8743" t="str">
            <v>GWP - gross</v>
          </cell>
          <cell r="Y8743" t="str">
            <v>GERMANY</v>
          </cell>
        </row>
        <row r="8744">
          <cell r="L8744" t="str">
            <v>Non-proportional</v>
          </cell>
          <cell r="S8744">
            <v>-131698</v>
          </cell>
          <cell r="X8744" t="str">
            <v>GWP - gross</v>
          </cell>
          <cell r="Y8744" t="str">
            <v>GERMANY</v>
          </cell>
        </row>
        <row r="8745">
          <cell r="L8745" t="str">
            <v>Non-proportional</v>
          </cell>
          <cell r="S8745">
            <v>990958.67</v>
          </cell>
          <cell r="X8745" t="str">
            <v>GWP - gross</v>
          </cell>
          <cell r="Y8745" t="str">
            <v>UNITED KINGDOM</v>
          </cell>
        </row>
        <row r="8746">
          <cell r="L8746" t="str">
            <v>Non-proportional</v>
          </cell>
          <cell r="S8746">
            <v>-144734.04</v>
          </cell>
          <cell r="X8746" t="str">
            <v>GWP - gross</v>
          </cell>
          <cell r="Y8746" t="str">
            <v>DENMARK</v>
          </cell>
        </row>
        <row r="8747">
          <cell r="L8747" t="str">
            <v>Non-proportional</v>
          </cell>
          <cell r="S8747">
            <v>74400</v>
          </cell>
          <cell r="X8747" t="str">
            <v>GWP - gross</v>
          </cell>
          <cell r="Y8747" t="str">
            <v>GERMANY</v>
          </cell>
        </row>
        <row r="8748">
          <cell r="L8748" t="str">
            <v>Non-proportional</v>
          </cell>
          <cell r="S8748">
            <v>1571253.97</v>
          </cell>
          <cell r="X8748" t="str">
            <v>GWP - gross</v>
          </cell>
          <cell r="Y8748" t="str">
            <v>UNITED KINGDOM</v>
          </cell>
        </row>
        <row r="8749">
          <cell r="L8749" t="str">
            <v>Non-proportional</v>
          </cell>
          <cell r="S8749">
            <v>785621.01</v>
          </cell>
          <cell r="X8749" t="str">
            <v>GWP - gross</v>
          </cell>
          <cell r="Y8749" t="str">
            <v>UNITED KINGDOM</v>
          </cell>
        </row>
        <row r="8750">
          <cell r="L8750" t="str">
            <v>Non-proportional</v>
          </cell>
          <cell r="S8750">
            <v>-137828.67000000001</v>
          </cell>
          <cell r="X8750" t="str">
            <v>GWP - gross</v>
          </cell>
          <cell r="Y8750" t="str">
            <v>UNITED KINGDOM</v>
          </cell>
        </row>
        <row r="8751">
          <cell r="L8751" t="str">
            <v>Non-proportional</v>
          </cell>
          <cell r="S8751">
            <v>14248.98</v>
          </cell>
          <cell r="X8751" t="str">
            <v>GWP - gross</v>
          </cell>
          <cell r="Y8751" t="str">
            <v>SWITZERLAND</v>
          </cell>
        </row>
        <row r="8752">
          <cell r="L8752" t="str">
            <v>Non-proportional</v>
          </cell>
          <cell r="S8752">
            <v>202652.16</v>
          </cell>
          <cell r="X8752" t="str">
            <v>GWP - gross</v>
          </cell>
          <cell r="Y8752" t="str">
            <v>SWITZERLAND</v>
          </cell>
        </row>
        <row r="8753">
          <cell r="L8753" t="str">
            <v>Non-proportional</v>
          </cell>
          <cell r="S8753">
            <v>-174018.25</v>
          </cell>
          <cell r="X8753" t="str">
            <v>GWP - gross</v>
          </cell>
          <cell r="Y8753" t="str">
            <v>UNITED KINGDOM</v>
          </cell>
        </row>
        <row r="8754">
          <cell r="L8754" t="str">
            <v>Non-proportional</v>
          </cell>
          <cell r="S8754">
            <v>-137740.14000000001</v>
          </cell>
          <cell r="X8754" t="str">
            <v>GWP - gross</v>
          </cell>
          <cell r="Y8754" t="str">
            <v>SWITZERLAND</v>
          </cell>
        </row>
        <row r="8755">
          <cell r="L8755" t="str">
            <v>Non-proportional</v>
          </cell>
          <cell r="S8755">
            <v>-195559</v>
          </cell>
          <cell r="X8755" t="str">
            <v>GWP - gross</v>
          </cell>
          <cell r="Y8755" t="str">
            <v>GERMANY</v>
          </cell>
        </row>
        <row r="8756">
          <cell r="L8756" t="str">
            <v>Non-proportional</v>
          </cell>
          <cell r="S8756">
            <v>-32553.05</v>
          </cell>
          <cell r="X8756" t="str">
            <v>GWP - gross</v>
          </cell>
          <cell r="Y8756" t="str">
            <v>GERMANY</v>
          </cell>
        </row>
        <row r="8757">
          <cell r="L8757" t="str">
            <v>Non-proportional</v>
          </cell>
          <cell r="S8757">
            <v>-30006.87</v>
          </cell>
          <cell r="X8757" t="str">
            <v>GWP - gross</v>
          </cell>
          <cell r="Y8757" t="str">
            <v>GERMANY</v>
          </cell>
        </row>
        <row r="8758">
          <cell r="L8758" t="str">
            <v>Non-proportional</v>
          </cell>
          <cell r="S8758">
            <v>-11257.09</v>
          </cell>
          <cell r="X8758" t="str">
            <v>GWP - gross</v>
          </cell>
          <cell r="Y8758" t="str">
            <v>DENMARK</v>
          </cell>
        </row>
        <row r="8759">
          <cell r="L8759" t="str">
            <v>Non-proportional</v>
          </cell>
          <cell r="S8759">
            <v>-90018.82</v>
          </cell>
          <cell r="X8759" t="str">
            <v>GWP - gross</v>
          </cell>
          <cell r="Y8759" t="str">
            <v>GERMANY</v>
          </cell>
        </row>
        <row r="8760">
          <cell r="L8760" t="str">
            <v>Non-proportional</v>
          </cell>
          <cell r="S8760">
            <v>-91080</v>
          </cell>
          <cell r="X8760" t="str">
            <v>GWP - gross</v>
          </cell>
          <cell r="Y8760" t="str">
            <v>GERMANY</v>
          </cell>
        </row>
        <row r="8761">
          <cell r="L8761" t="str">
            <v>Non-proportional</v>
          </cell>
          <cell r="S8761">
            <v>-399704.33</v>
          </cell>
          <cell r="X8761" t="str">
            <v>GWP - gross</v>
          </cell>
          <cell r="Y8761" t="str">
            <v>UNITED KINGDOM</v>
          </cell>
        </row>
        <row r="8762">
          <cell r="L8762" t="str">
            <v>Non-proportional</v>
          </cell>
          <cell r="S8762">
            <v>201557.34</v>
          </cell>
          <cell r="X8762" t="str">
            <v>GWP - gross</v>
          </cell>
          <cell r="Y8762" t="str">
            <v>SWITZERLAND</v>
          </cell>
        </row>
        <row r="8763">
          <cell r="L8763" t="str">
            <v>Non-proportional</v>
          </cell>
          <cell r="S8763">
            <v>392813.73</v>
          </cell>
          <cell r="X8763" t="str">
            <v>GWP - gross</v>
          </cell>
          <cell r="Y8763" t="str">
            <v>UNITED KINGDOM</v>
          </cell>
        </row>
        <row r="8764">
          <cell r="L8764" t="str">
            <v>Non-proportional</v>
          </cell>
          <cell r="S8764">
            <v>172285.83</v>
          </cell>
          <cell r="X8764" t="str">
            <v>GWP - gross</v>
          </cell>
          <cell r="Y8764" t="str">
            <v>UNITED KINGDOM</v>
          </cell>
        </row>
        <row r="8765">
          <cell r="L8765" t="str">
            <v>Non-proportional</v>
          </cell>
          <cell r="S8765">
            <v>-2936.25</v>
          </cell>
          <cell r="X8765" t="str">
            <v>GWP - gross</v>
          </cell>
          <cell r="Y8765" t="str">
            <v>ROMANIA</v>
          </cell>
        </row>
        <row r="8766">
          <cell r="L8766" t="str">
            <v>Non-proportional</v>
          </cell>
          <cell r="S8766">
            <v>-426843.86</v>
          </cell>
          <cell r="X8766" t="str">
            <v>GWP - gross</v>
          </cell>
          <cell r="Y8766" t="str">
            <v>FRANCE</v>
          </cell>
        </row>
        <row r="8767">
          <cell r="L8767" t="str">
            <v>Non-proportional</v>
          </cell>
          <cell r="S8767">
            <v>-1344625.02</v>
          </cell>
          <cell r="X8767" t="str">
            <v>GWP - gross</v>
          </cell>
          <cell r="Y8767" t="str">
            <v>FRANCE</v>
          </cell>
        </row>
        <row r="8768">
          <cell r="L8768" t="str">
            <v>Non-proportional</v>
          </cell>
          <cell r="S8768">
            <v>137740.14000000001</v>
          </cell>
          <cell r="X8768" t="str">
            <v>GWP - gross</v>
          </cell>
          <cell r="Y8768" t="str">
            <v>SWITZERLAND</v>
          </cell>
        </row>
        <row r="8769">
          <cell r="L8769" t="str">
            <v>Non-proportional</v>
          </cell>
          <cell r="S8769">
            <v>-16819.919999999998</v>
          </cell>
          <cell r="X8769" t="str">
            <v>GWP - gross</v>
          </cell>
          <cell r="Y8769" t="str">
            <v>GERMANY</v>
          </cell>
        </row>
        <row r="8770">
          <cell r="L8770" t="str">
            <v>Non-proportional</v>
          </cell>
          <cell r="S8770">
            <v>-175230</v>
          </cell>
          <cell r="X8770" t="str">
            <v>GWP - gross</v>
          </cell>
          <cell r="Y8770" t="str">
            <v>GERMANY</v>
          </cell>
        </row>
        <row r="8771">
          <cell r="L8771" t="str">
            <v>Non-proportional</v>
          </cell>
          <cell r="S8771">
            <v>-137828.67000000001</v>
          </cell>
          <cell r="X8771" t="str">
            <v>GWP - gross</v>
          </cell>
          <cell r="Y8771" t="str">
            <v>UNITED KINGDOM</v>
          </cell>
        </row>
        <row r="8772">
          <cell r="L8772" t="str">
            <v>Non-proportional</v>
          </cell>
          <cell r="S8772">
            <v>-104372.01</v>
          </cell>
          <cell r="X8772" t="str">
            <v>GWP - gross</v>
          </cell>
          <cell r="Y8772" t="str">
            <v>GERMANY</v>
          </cell>
        </row>
        <row r="8773">
          <cell r="L8773" t="str">
            <v>Non-proportional</v>
          </cell>
          <cell r="S8773">
            <v>33296</v>
          </cell>
          <cell r="X8773" t="str">
            <v>GWP - gross</v>
          </cell>
          <cell r="Y8773" t="str">
            <v>EUROPE</v>
          </cell>
        </row>
        <row r="8774">
          <cell r="L8774" t="str">
            <v>Non-proportional</v>
          </cell>
          <cell r="S8774">
            <v>-127139.25</v>
          </cell>
          <cell r="X8774" t="str">
            <v>GWP - gross</v>
          </cell>
          <cell r="Y8774" t="str">
            <v>SWITZERLAND</v>
          </cell>
        </row>
        <row r="8775">
          <cell r="L8775" t="str">
            <v>Non-proportional</v>
          </cell>
          <cell r="S8775">
            <v>6923.56</v>
          </cell>
          <cell r="X8775" t="str">
            <v>GWP - gross</v>
          </cell>
          <cell r="Y8775" t="str">
            <v>SWITZERLAND</v>
          </cell>
        </row>
        <row r="8776">
          <cell r="L8776" t="str">
            <v>Non-proportional</v>
          </cell>
          <cell r="S8776">
            <v>8971.58</v>
          </cell>
          <cell r="X8776" t="str">
            <v>GWP - gross</v>
          </cell>
          <cell r="Y8776" t="str">
            <v>SWITZERLAND</v>
          </cell>
        </row>
        <row r="8777">
          <cell r="L8777" t="str">
            <v>Non-proportional</v>
          </cell>
          <cell r="S8777">
            <v>-28290</v>
          </cell>
          <cell r="X8777" t="str">
            <v>GWP - gross</v>
          </cell>
          <cell r="Y8777" t="str">
            <v>GERMANY</v>
          </cell>
        </row>
        <row r="8778">
          <cell r="L8778" t="str">
            <v>Non-proportional</v>
          </cell>
          <cell r="S8778">
            <v>-9249.35</v>
          </cell>
          <cell r="X8778" t="str">
            <v>GWP - gross</v>
          </cell>
          <cell r="Y8778" t="str">
            <v>JAPAN</v>
          </cell>
        </row>
        <row r="8779">
          <cell r="L8779" t="str">
            <v>Non-proportional</v>
          </cell>
          <cell r="S8779">
            <v>-3249</v>
          </cell>
          <cell r="X8779" t="str">
            <v>GWP - gross</v>
          </cell>
          <cell r="Y8779" t="str">
            <v>ITALY</v>
          </cell>
        </row>
        <row r="8780">
          <cell r="L8780" t="str">
            <v>Non-proportional</v>
          </cell>
          <cell r="S8780">
            <v>199496.3</v>
          </cell>
          <cell r="X8780" t="str">
            <v>GWP - gross</v>
          </cell>
          <cell r="Y8780" t="str">
            <v>SWITZERLAND</v>
          </cell>
        </row>
        <row r="8781">
          <cell r="L8781" t="str">
            <v>Non-proportional</v>
          </cell>
          <cell r="S8781">
            <v>51487.18</v>
          </cell>
          <cell r="X8781" t="str">
            <v>GWP - gross</v>
          </cell>
          <cell r="Y8781" t="str">
            <v>SWITZERLAND</v>
          </cell>
        </row>
        <row r="8782">
          <cell r="L8782" t="str">
            <v>Non-proportional</v>
          </cell>
          <cell r="S8782">
            <v>353000</v>
          </cell>
          <cell r="X8782" t="str">
            <v>GWP - gross</v>
          </cell>
          <cell r="Y8782" t="str">
            <v>EUROPE</v>
          </cell>
        </row>
        <row r="8783">
          <cell r="L8783" t="str">
            <v>Non-proportional</v>
          </cell>
          <cell r="S8783">
            <v>-9300</v>
          </cell>
          <cell r="X8783" t="str">
            <v>GWP - gross</v>
          </cell>
          <cell r="Y8783" t="str">
            <v>SWITZERLAND</v>
          </cell>
        </row>
        <row r="8784">
          <cell r="L8784" t="str">
            <v>Non-proportional</v>
          </cell>
          <cell r="S8784">
            <v>-403336.89</v>
          </cell>
          <cell r="X8784" t="str">
            <v>GWP - gross</v>
          </cell>
          <cell r="Y8784" t="str">
            <v>FRANCE</v>
          </cell>
        </row>
        <row r="8785">
          <cell r="L8785" t="str">
            <v>Non-proportional</v>
          </cell>
          <cell r="S8785">
            <v>-558</v>
          </cell>
          <cell r="X8785" t="str">
            <v>GWP - gross</v>
          </cell>
          <cell r="Y8785" t="str">
            <v>SWITZERLAND</v>
          </cell>
        </row>
        <row r="8786">
          <cell r="L8786" t="str">
            <v>Non-proportional</v>
          </cell>
          <cell r="S8786">
            <v>-3726</v>
          </cell>
          <cell r="X8786" t="str">
            <v>GWP - gross</v>
          </cell>
          <cell r="Y8786" t="str">
            <v>ITALY</v>
          </cell>
        </row>
        <row r="8787">
          <cell r="L8787" t="str">
            <v>Non-proportional</v>
          </cell>
          <cell r="S8787">
            <v>-248485.73</v>
          </cell>
          <cell r="X8787" t="str">
            <v>GWP - gross</v>
          </cell>
          <cell r="Y8787" t="str">
            <v>EUROPE</v>
          </cell>
        </row>
        <row r="8788">
          <cell r="L8788" t="str">
            <v>Non-proportional</v>
          </cell>
          <cell r="S8788">
            <v>-36008.239999999998</v>
          </cell>
          <cell r="X8788" t="str">
            <v>GWP - gross</v>
          </cell>
          <cell r="Y8788" t="str">
            <v>GERMANY</v>
          </cell>
        </row>
        <row r="8789">
          <cell r="L8789" t="str">
            <v>Non-proportional</v>
          </cell>
          <cell r="S8789">
            <v>-227986.96</v>
          </cell>
          <cell r="X8789" t="str">
            <v>GWP - gross</v>
          </cell>
          <cell r="Y8789" t="str">
            <v>GERMANY</v>
          </cell>
        </row>
        <row r="8790">
          <cell r="L8790" t="str">
            <v>Non-proportional</v>
          </cell>
          <cell r="S8790">
            <v>9300</v>
          </cell>
          <cell r="X8790" t="str">
            <v>GWP - gross</v>
          </cell>
          <cell r="Y8790" t="str">
            <v>GERMANY</v>
          </cell>
        </row>
        <row r="8791">
          <cell r="L8791" t="str">
            <v>Non-proportional</v>
          </cell>
          <cell r="S8791">
            <v>-671914.69</v>
          </cell>
          <cell r="X8791" t="str">
            <v>GWP - gross</v>
          </cell>
          <cell r="Y8791" t="str">
            <v>UNITED KINGDOM</v>
          </cell>
        </row>
        <row r="8792">
          <cell r="L8792" t="str">
            <v>Non-proportional</v>
          </cell>
          <cell r="S8792">
            <v>-39150</v>
          </cell>
          <cell r="X8792" t="str">
            <v>GWP - gross</v>
          </cell>
          <cell r="Y8792" t="str">
            <v>ROMANIA</v>
          </cell>
        </row>
        <row r="8793">
          <cell r="L8793" t="str">
            <v>Non-proportional</v>
          </cell>
          <cell r="S8793">
            <v>-26250</v>
          </cell>
          <cell r="X8793" t="str">
            <v>GWP - gross</v>
          </cell>
          <cell r="Y8793" t="str">
            <v>SWITZERLAND</v>
          </cell>
        </row>
        <row r="8794">
          <cell r="L8794" t="str">
            <v>Non-proportional</v>
          </cell>
          <cell r="S8794">
            <v>-135233.38</v>
          </cell>
          <cell r="X8794" t="str">
            <v>GWP - gross</v>
          </cell>
          <cell r="Y8794" t="str">
            <v>SWITZERLAND</v>
          </cell>
        </row>
        <row r="8795">
          <cell r="L8795" t="str">
            <v>Non-proportional</v>
          </cell>
          <cell r="S8795">
            <v>-66324.62</v>
          </cell>
          <cell r="X8795" t="str">
            <v>GWP - gross</v>
          </cell>
          <cell r="Y8795" t="str">
            <v>GERMANY</v>
          </cell>
        </row>
        <row r="8796">
          <cell r="L8796" t="str">
            <v>Non-proportional</v>
          </cell>
          <cell r="S8796">
            <v>-498404.26</v>
          </cell>
          <cell r="X8796" t="str">
            <v>GWP - gross</v>
          </cell>
          <cell r="Y8796" t="str">
            <v>UNITED KINGDOM</v>
          </cell>
        </row>
        <row r="8797">
          <cell r="L8797" t="str">
            <v>Non-proportional</v>
          </cell>
          <cell r="S8797">
            <v>-38903.97</v>
          </cell>
          <cell r="X8797" t="str">
            <v>GWP - gross</v>
          </cell>
          <cell r="Y8797" t="str">
            <v>FAROE ISLANDS</v>
          </cell>
        </row>
        <row r="8798">
          <cell r="L8798" t="str">
            <v>Non-proportional</v>
          </cell>
          <cell r="S8798">
            <v>127139.25</v>
          </cell>
          <cell r="X8798" t="str">
            <v>GWP - gross</v>
          </cell>
          <cell r="Y8798" t="str">
            <v>SWITZERLAND</v>
          </cell>
        </row>
        <row r="8799">
          <cell r="L8799" t="str">
            <v>Non-proportional</v>
          </cell>
          <cell r="S8799">
            <v>210756</v>
          </cell>
          <cell r="X8799" t="str">
            <v>GWP - gross</v>
          </cell>
          <cell r="Y8799" t="str">
            <v>GERMANY</v>
          </cell>
        </row>
        <row r="8800">
          <cell r="L8800" t="str">
            <v>Non-proportional</v>
          </cell>
          <cell r="S8800">
            <v>-183950.25</v>
          </cell>
          <cell r="X8800" t="str">
            <v>GWP - gross</v>
          </cell>
          <cell r="Y8800" t="str">
            <v>ITALY</v>
          </cell>
        </row>
        <row r="8801">
          <cell r="L8801" t="str">
            <v>Non-proportional</v>
          </cell>
          <cell r="S8801">
            <v>63537.5</v>
          </cell>
          <cell r="X8801" t="str">
            <v>GWP - gross</v>
          </cell>
          <cell r="Y8801" t="str">
            <v>GERMANY</v>
          </cell>
        </row>
        <row r="8802">
          <cell r="L8802" t="str">
            <v>Non-proportional</v>
          </cell>
          <cell r="S8802">
            <v>1964068.72</v>
          </cell>
          <cell r="X8802" t="str">
            <v>GWP - gross</v>
          </cell>
          <cell r="Y8802" t="str">
            <v>UNITED KINGDOM</v>
          </cell>
        </row>
        <row r="8803">
          <cell r="L8803" t="str">
            <v>Non-proportional</v>
          </cell>
          <cell r="S8803">
            <v>117014.81</v>
          </cell>
          <cell r="X8803" t="str">
            <v>GWP - gross</v>
          </cell>
          <cell r="Y8803" t="str">
            <v>GERMANY</v>
          </cell>
        </row>
        <row r="8804">
          <cell r="L8804" t="str">
            <v>Non-proportional</v>
          </cell>
          <cell r="S8804">
            <v>300909.25</v>
          </cell>
          <cell r="X8804" t="str">
            <v>GWP - gross</v>
          </cell>
          <cell r="Y8804" t="str">
            <v>UNITED KINGDOM</v>
          </cell>
        </row>
        <row r="8805">
          <cell r="L8805" t="str">
            <v>Non-proportional</v>
          </cell>
          <cell r="S8805">
            <v>150380.59</v>
          </cell>
          <cell r="X8805" t="str">
            <v>GWP - gross</v>
          </cell>
          <cell r="Y8805" t="str">
            <v>UNITED KINGDOM</v>
          </cell>
        </row>
        <row r="8806">
          <cell r="L8806" t="str">
            <v>Non-proportional</v>
          </cell>
          <cell r="S8806">
            <v>28819.07</v>
          </cell>
          <cell r="X8806" t="str">
            <v>GWP - gross</v>
          </cell>
          <cell r="Y8806" t="str">
            <v>UNITED KINGDOM</v>
          </cell>
        </row>
        <row r="8807">
          <cell r="L8807" t="str">
            <v>Non-proportional</v>
          </cell>
          <cell r="S8807">
            <v>137828.67000000001</v>
          </cell>
          <cell r="X8807" t="str">
            <v>GWP - gross</v>
          </cell>
          <cell r="Y8807" t="str">
            <v>UNITED KINGDOM</v>
          </cell>
        </row>
        <row r="8808">
          <cell r="L8808" t="str">
            <v>Non-proportional</v>
          </cell>
          <cell r="S8808">
            <v>251731.98</v>
          </cell>
          <cell r="X8808" t="str">
            <v>GWP - gross</v>
          </cell>
          <cell r="Y8808" t="str">
            <v>SWITZERLAND</v>
          </cell>
        </row>
        <row r="8809">
          <cell r="L8809" t="str">
            <v>Non-proportional</v>
          </cell>
          <cell r="S8809">
            <v>58262.5</v>
          </cell>
          <cell r="X8809" t="str">
            <v>GWP - gross</v>
          </cell>
          <cell r="Y8809" t="str">
            <v>SWITZERLAND</v>
          </cell>
        </row>
        <row r="8810">
          <cell r="L8810" t="str">
            <v>Non-proportional</v>
          </cell>
          <cell r="S8810">
            <v>-144898.6</v>
          </cell>
          <cell r="X8810" t="str">
            <v>GWP - gross</v>
          </cell>
          <cell r="Y8810" t="str">
            <v>FRANCE</v>
          </cell>
        </row>
        <row r="8811">
          <cell r="L8811" t="str">
            <v>Non-proportional</v>
          </cell>
          <cell r="S8811">
            <v>-40500</v>
          </cell>
          <cell r="X8811" t="str">
            <v>GWP - gross</v>
          </cell>
          <cell r="Y8811" t="str">
            <v>GERMANY</v>
          </cell>
        </row>
        <row r="8812">
          <cell r="L8812" t="str">
            <v>Non-proportional</v>
          </cell>
          <cell r="S8812">
            <v>-525000</v>
          </cell>
          <cell r="X8812" t="str">
            <v>GWP - gross</v>
          </cell>
          <cell r="Y8812" t="str">
            <v>GERMANY</v>
          </cell>
        </row>
        <row r="8813">
          <cell r="L8813" t="str">
            <v>Non-proportional</v>
          </cell>
          <cell r="S8813">
            <v>-64350</v>
          </cell>
          <cell r="X8813" t="str">
            <v>GWP - gross</v>
          </cell>
          <cell r="Y8813" t="str">
            <v>GERMANY</v>
          </cell>
        </row>
        <row r="8814">
          <cell r="L8814" t="str">
            <v>Non-proportional</v>
          </cell>
          <cell r="S8814">
            <v>966627.28</v>
          </cell>
          <cell r="X8814" t="str">
            <v>GWP - gross</v>
          </cell>
          <cell r="Y8814" t="str">
            <v>UNITED KINGDOM</v>
          </cell>
        </row>
        <row r="8815">
          <cell r="L8815" t="str">
            <v>Non-proportional</v>
          </cell>
          <cell r="S8815">
            <v>-107485.56</v>
          </cell>
          <cell r="X8815" t="str">
            <v>GWP - gross</v>
          </cell>
          <cell r="Y8815" t="str">
            <v>GERMANY</v>
          </cell>
        </row>
        <row r="8816">
          <cell r="L8816" t="str">
            <v>Non-proportional</v>
          </cell>
          <cell r="S8816">
            <v>-499628.86</v>
          </cell>
          <cell r="X8816" t="str">
            <v>GWP - gross</v>
          </cell>
          <cell r="Y8816" t="str">
            <v>UNITED KINGDOM</v>
          </cell>
        </row>
        <row r="8817">
          <cell r="L8817" t="str">
            <v>Non-proportional</v>
          </cell>
          <cell r="S8817">
            <v>-7803375.7300000004</v>
          </cell>
          <cell r="X8817" t="str">
            <v>GWP - gross</v>
          </cell>
          <cell r="Y8817" t="str">
            <v>UNITED KINGDOM</v>
          </cell>
        </row>
        <row r="8818">
          <cell r="L8818" t="str">
            <v>Non-proportional</v>
          </cell>
          <cell r="S8818">
            <v>104372.01</v>
          </cell>
          <cell r="X8818" t="str">
            <v>GWP - gross</v>
          </cell>
          <cell r="Y8818" t="str">
            <v>GERMANY</v>
          </cell>
        </row>
        <row r="8819">
          <cell r="L8819" t="str">
            <v>Non-proportional</v>
          </cell>
          <cell r="S8819">
            <v>-92354.5</v>
          </cell>
          <cell r="X8819" t="str">
            <v>GWP - gross</v>
          </cell>
          <cell r="Y8819" t="str">
            <v>SWITZERLAND</v>
          </cell>
        </row>
        <row r="8820">
          <cell r="L8820" t="str">
            <v>Non-proportional</v>
          </cell>
          <cell r="S8820">
            <v>-42219.199999999997</v>
          </cell>
          <cell r="X8820" t="str">
            <v>GWP - gross</v>
          </cell>
          <cell r="Y8820" t="str">
            <v>SWITZERLAND</v>
          </cell>
        </row>
        <row r="8821">
          <cell r="L8821" t="str">
            <v>Non-proportional</v>
          </cell>
          <cell r="S8821">
            <v>-83976</v>
          </cell>
          <cell r="X8821" t="str">
            <v>GWP - gross</v>
          </cell>
          <cell r="Y8821" t="str">
            <v>AUSTRIA</v>
          </cell>
        </row>
        <row r="8822">
          <cell r="L8822" t="str">
            <v>Non-proportional</v>
          </cell>
          <cell r="S8822">
            <v>-92273.99</v>
          </cell>
          <cell r="X8822" t="str">
            <v>GWP - gross</v>
          </cell>
          <cell r="Y8822" t="str">
            <v>ICELAND</v>
          </cell>
        </row>
        <row r="8823">
          <cell r="L8823" t="str">
            <v>Non-proportional</v>
          </cell>
          <cell r="S8823">
            <v>-1964068.72</v>
          </cell>
          <cell r="X8823" t="str">
            <v>GWP - gross</v>
          </cell>
          <cell r="Y8823" t="str">
            <v>UNITED KINGDOM</v>
          </cell>
        </row>
        <row r="8824">
          <cell r="L8824" t="str">
            <v>Non-proportional</v>
          </cell>
          <cell r="S8824">
            <v>-24122.560000000001</v>
          </cell>
          <cell r="X8824" t="str">
            <v>GWP - gross</v>
          </cell>
          <cell r="Y8824" t="str">
            <v>DENMARK</v>
          </cell>
        </row>
        <row r="8825">
          <cell r="L8825" t="str">
            <v>Non-proportional</v>
          </cell>
          <cell r="S8825">
            <v>-19599.650000000001</v>
          </cell>
          <cell r="X8825" t="str">
            <v>GWP - gross</v>
          </cell>
          <cell r="Y8825" t="str">
            <v>DENMARK</v>
          </cell>
        </row>
        <row r="8826">
          <cell r="L8826" t="str">
            <v>Non-proportional</v>
          </cell>
          <cell r="S8826">
            <v>-48674.35</v>
          </cell>
          <cell r="X8826" t="str">
            <v>GWP - gross</v>
          </cell>
          <cell r="Y8826" t="str">
            <v>SWITZERLAND</v>
          </cell>
        </row>
        <row r="8827">
          <cell r="L8827" t="str">
            <v>Non-proportional</v>
          </cell>
          <cell r="S8827">
            <v>186500.25</v>
          </cell>
          <cell r="X8827" t="str">
            <v>GWP - gross</v>
          </cell>
          <cell r="Y8827" t="str">
            <v>FRANCE</v>
          </cell>
        </row>
        <row r="8828">
          <cell r="L8828" t="str">
            <v>Non-proportional</v>
          </cell>
          <cell r="S8828">
            <v>108000</v>
          </cell>
          <cell r="X8828" t="str">
            <v>GWP - gross</v>
          </cell>
          <cell r="Y8828" t="str">
            <v>GERMANY</v>
          </cell>
        </row>
        <row r="8829">
          <cell r="L8829" t="str">
            <v>Non-proportional</v>
          </cell>
          <cell r="S8829">
            <v>279550</v>
          </cell>
          <cell r="X8829" t="str">
            <v>GWP - gross</v>
          </cell>
          <cell r="Y8829" t="str">
            <v>CZECH REPUBLIC</v>
          </cell>
        </row>
        <row r="8830">
          <cell r="L8830" t="str">
            <v>Non-proportional</v>
          </cell>
          <cell r="S8830">
            <v>364243</v>
          </cell>
          <cell r="X8830" t="str">
            <v>GWP - gross</v>
          </cell>
          <cell r="Y8830" t="str">
            <v>FRANCE</v>
          </cell>
        </row>
        <row r="8831">
          <cell r="L8831" t="str">
            <v>Non-proportional</v>
          </cell>
          <cell r="S8831">
            <v>15200</v>
          </cell>
          <cell r="X8831" t="str">
            <v>GWP - gross</v>
          </cell>
          <cell r="Y8831" t="str">
            <v>GERMANY</v>
          </cell>
        </row>
        <row r="8832">
          <cell r="L8832" t="str">
            <v>Non-proportional</v>
          </cell>
          <cell r="S8832">
            <v>181440</v>
          </cell>
          <cell r="X8832" t="str">
            <v>GWP - gross</v>
          </cell>
          <cell r="Y8832" t="str">
            <v>ROMANIA</v>
          </cell>
        </row>
        <row r="8833">
          <cell r="L8833" t="str">
            <v>Non-proportional</v>
          </cell>
          <cell r="S8833">
            <v>-202875.32</v>
          </cell>
          <cell r="X8833" t="str">
            <v>GWP - gross</v>
          </cell>
          <cell r="Y8833" t="str">
            <v>SWEDEN</v>
          </cell>
        </row>
        <row r="8834">
          <cell r="L8834" t="str">
            <v>Non-proportional</v>
          </cell>
          <cell r="S8834">
            <v>66417.52</v>
          </cell>
          <cell r="X8834" t="str">
            <v>GWP - gross</v>
          </cell>
          <cell r="Y8834" t="str">
            <v>SWEDEN</v>
          </cell>
        </row>
        <row r="8835">
          <cell r="L8835" t="str">
            <v>Non-proportional</v>
          </cell>
          <cell r="S8835">
            <v>32000</v>
          </cell>
          <cell r="X8835" t="str">
            <v>GWP - gross</v>
          </cell>
          <cell r="Y8835" t="str">
            <v>GERMANY</v>
          </cell>
        </row>
        <row r="8836">
          <cell r="L8836" t="str">
            <v>Non-proportional</v>
          </cell>
          <cell r="S8836">
            <v>-150000</v>
          </cell>
          <cell r="X8836" t="str">
            <v>GWP - gross</v>
          </cell>
          <cell r="Y8836" t="str">
            <v>GERMANY</v>
          </cell>
        </row>
        <row r="8837">
          <cell r="L8837" t="str">
            <v>Non-proportional</v>
          </cell>
          <cell r="S8837">
            <v>-57278.9</v>
          </cell>
          <cell r="X8837" t="str">
            <v>GWP - gross</v>
          </cell>
          <cell r="Y8837" t="str">
            <v>NORWAY</v>
          </cell>
        </row>
        <row r="8838">
          <cell r="L8838" t="str">
            <v>Non-proportional</v>
          </cell>
          <cell r="S8838">
            <v>-144030</v>
          </cell>
          <cell r="X8838" t="str">
            <v>GWP - gross</v>
          </cell>
          <cell r="Y8838" t="str">
            <v>AUSTRIA</v>
          </cell>
        </row>
        <row r="8839">
          <cell r="L8839" t="str">
            <v>Non-proportional</v>
          </cell>
          <cell r="S8839">
            <v>-40500</v>
          </cell>
          <cell r="X8839" t="str">
            <v>GWP - gross</v>
          </cell>
          <cell r="Y8839" t="str">
            <v>GERMANY</v>
          </cell>
        </row>
        <row r="8840">
          <cell r="L8840" t="str">
            <v>Non-proportional</v>
          </cell>
          <cell r="S8840">
            <v>-120630</v>
          </cell>
          <cell r="X8840" t="str">
            <v>GWP - gross</v>
          </cell>
          <cell r="Y8840" t="str">
            <v>AUSTRIA</v>
          </cell>
        </row>
        <row r="8841">
          <cell r="L8841" t="str">
            <v>Non-proportional</v>
          </cell>
          <cell r="S8841">
            <v>203118.6</v>
          </cell>
          <cell r="X8841" t="str">
            <v>GWP - gross</v>
          </cell>
          <cell r="Y8841" t="str">
            <v>REPUBLIC OF IRELAND</v>
          </cell>
        </row>
        <row r="8842">
          <cell r="L8842" t="str">
            <v>Non-proportional</v>
          </cell>
          <cell r="S8842">
            <v>1998.35</v>
          </cell>
          <cell r="X8842" t="str">
            <v>GWP - gross</v>
          </cell>
          <cell r="Y8842" t="str">
            <v>FRANCE</v>
          </cell>
        </row>
        <row r="8843">
          <cell r="L8843" t="str">
            <v>Non-proportional</v>
          </cell>
          <cell r="S8843">
            <v>-211860</v>
          </cell>
          <cell r="X8843" t="str">
            <v>GWP - gross</v>
          </cell>
          <cell r="Y8843" t="str">
            <v>FRANCE</v>
          </cell>
        </row>
        <row r="8844">
          <cell r="L8844" t="str">
            <v>Non-proportional</v>
          </cell>
          <cell r="S8844">
            <v>45360</v>
          </cell>
          <cell r="X8844" t="str">
            <v>GWP - gross</v>
          </cell>
          <cell r="Y8844" t="str">
            <v>ROMANIA</v>
          </cell>
        </row>
        <row r="8845">
          <cell r="L8845" t="str">
            <v>Non-proportional</v>
          </cell>
          <cell r="S8845">
            <v>-54809.34</v>
          </cell>
          <cell r="X8845" t="str">
            <v>GWP - gross</v>
          </cell>
          <cell r="Y8845" t="str">
            <v>DENMARK</v>
          </cell>
        </row>
        <row r="8846">
          <cell r="L8846" t="str">
            <v>Non-proportional</v>
          </cell>
          <cell r="S8846">
            <v>-41293.919999999998</v>
          </cell>
          <cell r="X8846" t="str">
            <v>GWP - gross</v>
          </cell>
          <cell r="Y8846" t="str">
            <v>ICELAND</v>
          </cell>
        </row>
        <row r="8847">
          <cell r="L8847" t="str">
            <v>Non-proportional</v>
          </cell>
          <cell r="S8847">
            <v>48674.35</v>
          </cell>
          <cell r="X8847" t="str">
            <v>GWP - gross</v>
          </cell>
          <cell r="Y8847" t="str">
            <v>SWITZERLAND</v>
          </cell>
        </row>
        <row r="8848">
          <cell r="L8848" t="str">
            <v>Non-proportional</v>
          </cell>
          <cell r="S8848">
            <v>-131922.38</v>
          </cell>
          <cell r="X8848" t="str">
            <v>GWP - gross</v>
          </cell>
          <cell r="Y8848" t="str">
            <v>REPUBLIC OF IRELAND</v>
          </cell>
        </row>
        <row r="8849">
          <cell r="L8849" t="str">
            <v>Non-proportional</v>
          </cell>
          <cell r="S8849">
            <v>33623.730000000003</v>
          </cell>
          <cell r="X8849" t="str">
            <v>GWP - gross</v>
          </cell>
          <cell r="Y8849" t="str">
            <v>SWITZERLAND</v>
          </cell>
        </row>
        <row r="8850">
          <cell r="L8850" t="str">
            <v>Non-proportional</v>
          </cell>
          <cell r="S8850">
            <v>-240029.65</v>
          </cell>
          <cell r="X8850" t="str">
            <v>GWP - gross</v>
          </cell>
          <cell r="Y8850" t="str">
            <v>CZECH REPUBLIC</v>
          </cell>
        </row>
        <row r="8851">
          <cell r="L8851" t="str">
            <v>Proportional</v>
          </cell>
          <cell r="S8851">
            <v>49976.639999999999</v>
          </cell>
          <cell r="X8851" t="str">
            <v>GWP - gross</v>
          </cell>
          <cell r="Y8851" t="str">
            <v>SWITZERLAND</v>
          </cell>
        </row>
        <row r="8852">
          <cell r="L8852" t="str">
            <v>Non-proportional</v>
          </cell>
          <cell r="S8852">
            <v>202875.32</v>
          </cell>
          <cell r="X8852" t="str">
            <v>GWP - gross</v>
          </cell>
          <cell r="Y8852" t="str">
            <v>SWEDEN</v>
          </cell>
        </row>
        <row r="8853">
          <cell r="L8853" t="str">
            <v>Non-proportional</v>
          </cell>
          <cell r="S8853">
            <v>-26100</v>
          </cell>
          <cell r="X8853" t="str">
            <v>GWP - gross</v>
          </cell>
          <cell r="Y8853" t="str">
            <v>FRANCE</v>
          </cell>
        </row>
        <row r="8854">
          <cell r="L8854" t="str">
            <v>Non-proportional</v>
          </cell>
          <cell r="S8854">
            <v>77500</v>
          </cell>
          <cell r="X8854" t="str">
            <v>GWP - gross</v>
          </cell>
          <cell r="Y8854" t="str">
            <v>AUSTRIA</v>
          </cell>
        </row>
        <row r="8855">
          <cell r="L8855" t="str">
            <v>Non-proportional</v>
          </cell>
          <cell r="S8855">
            <v>11934</v>
          </cell>
          <cell r="X8855" t="str">
            <v>GWP - gross</v>
          </cell>
          <cell r="Y8855" t="str">
            <v>GERMANY</v>
          </cell>
        </row>
        <row r="8856">
          <cell r="L8856" t="str">
            <v>Non-proportional</v>
          </cell>
          <cell r="S8856">
            <v>-63537.5</v>
          </cell>
          <cell r="X8856" t="str">
            <v>GWP - gross</v>
          </cell>
          <cell r="Y8856" t="str">
            <v>GERMANY</v>
          </cell>
        </row>
        <row r="8857">
          <cell r="L8857" t="str">
            <v>Non-proportional</v>
          </cell>
          <cell r="S8857">
            <v>132835.03</v>
          </cell>
          <cell r="X8857" t="str">
            <v>GWP - gross</v>
          </cell>
          <cell r="Y8857" t="str">
            <v>SWEDEN</v>
          </cell>
        </row>
        <row r="8858">
          <cell r="L8858" t="str">
            <v>Non-proportional</v>
          </cell>
          <cell r="S8858">
            <v>30706.28</v>
          </cell>
          <cell r="X8858" t="str">
            <v>GWP - gross</v>
          </cell>
          <cell r="Y8858" t="str">
            <v>FRANCE</v>
          </cell>
        </row>
        <row r="8859">
          <cell r="L8859" t="str">
            <v>Non-proportional</v>
          </cell>
          <cell r="S8859">
            <v>21200</v>
          </cell>
          <cell r="X8859" t="str">
            <v>GWP - gross</v>
          </cell>
          <cell r="Y8859" t="str">
            <v>GERMANY</v>
          </cell>
        </row>
        <row r="8860">
          <cell r="L8860" t="str">
            <v>Non-proportional</v>
          </cell>
          <cell r="S8860">
            <v>-2630608.44</v>
          </cell>
          <cell r="X8860" t="str">
            <v>GWP - gross</v>
          </cell>
          <cell r="Y8860" t="str">
            <v>UNITED KINGDOM</v>
          </cell>
        </row>
        <row r="8861">
          <cell r="L8861" t="str">
            <v>Non-proportional</v>
          </cell>
          <cell r="S8861">
            <v>427953</v>
          </cell>
          <cell r="X8861" t="str">
            <v>GWP - gross</v>
          </cell>
          <cell r="Y8861" t="str">
            <v>UNITED KINGDOM</v>
          </cell>
        </row>
        <row r="8862">
          <cell r="L8862" t="str">
            <v>Non-proportional</v>
          </cell>
          <cell r="S8862">
            <v>107100</v>
          </cell>
          <cell r="X8862" t="str">
            <v>GWP - gross</v>
          </cell>
          <cell r="Y8862" t="str">
            <v>CZECH REPUBLIC</v>
          </cell>
        </row>
        <row r="8863">
          <cell r="L8863" t="str">
            <v>Non-proportional</v>
          </cell>
          <cell r="S8863">
            <v>81908.83</v>
          </cell>
          <cell r="X8863" t="str">
            <v>GWP - gross</v>
          </cell>
          <cell r="Y8863" t="str">
            <v>NORWAY</v>
          </cell>
        </row>
        <row r="8864">
          <cell r="L8864" t="str">
            <v>Non-proportional</v>
          </cell>
          <cell r="S8864">
            <v>20000</v>
          </cell>
          <cell r="X8864" t="str">
            <v>GWP - gross</v>
          </cell>
          <cell r="Y8864" t="str">
            <v>SWITZERLAND</v>
          </cell>
        </row>
        <row r="8865">
          <cell r="L8865" t="str">
            <v>Non-proportional</v>
          </cell>
          <cell r="S8865">
            <v>-80518.600000000006</v>
          </cell>
          <cell r="X8865" t="str">
            <v>GWP - gross</v>
          </cell>
          <cell r="Y8865" t="str">
            <v>DENMARK</v>
          </cell>
        </row>
        <row r="8866">
          <cell r="L8866" t="str">
            <v>Non-proportional</v>
          </cell>
          <cell r="S8866">
            <v>144030</v>
          </cell>
          <cell r="X8866" t="str">
            <v>GWP - gross</v>
          </cell>
          <cell r="Y8866" t="str">
            <v>AUSTRIA</v>
          </cell>
        </row>
        <row r="8867">
          <cell r="L8867" t="str">
            <v>Non-proportional</v>
          </cell>
          <cell r="S8867">
            <v>-56575</v>
          </cell>
          <cell r="X8867" t="str">
            <v>GWP - gross</v>
          </cell>
          <cell r="Y8867" t="str">
            <v>AUSTRIA</v>
          </cell>
        </row>
        <row r="8868">
          <cell r="L8868" t="str">
            <v>Non-proportional</v>
          </cell>
          <cell r="S8868">
            <v>54809.34</v>
          </cell>
          <cell r="X8868" t="str">
            <v>GWP - gross</v>
          </cell>
          <cell r="Y8868" t="str">
            <v>DENMARK</v>
          </cell>
        </row>
        <row r="8869">
          <cell r="L8869" t="str">
            <v>Non-proportional</v>
          </cell>
          <cell r="S8869">
            <v>37164.53</v>
          </cell>
          <cell r="X8869" t="str">
            <v>GWP - gross</v>
          </cell>
          <cell r="Y8869" t="str">
            <v>ICELAND</v>
          </cell>
        </row>
        <row r="8870">
          <cell r="L8870" t="str">
            <v>Non-proportional</v>
          </cell>
          <cell r="S8870">
            <v>-785244.45</v>
          </cell>
          <cell r="X8870" t="str">
            <v>GWP - gross</v>
          </cell>
          <cell r="Y8870" t="str">
            <v>UNITED KINGDOM</v>
          </cell>
        </row>
        <row r="8871">
          <cell r="L8871" t="str">
            <v>Non-proportional</v>
          </cell>
          <cell r="S8871">
            <v>276910.76</v>
          </cell>
          <cell r="X8871" t="str">
            <v>GWP - gross</v>
          </cell>
          <cell r="Y8871" t="str">
            <v>UNITED KINGDOM</v>
          </cell>
        </row>
        <row r="8872">
          <cell r="L8872" t="str">
            <v>Non-proportional</v>
          </cell>
          <cell r="S8872">
            <v>96800</v>
          </cell>
          <cell r="X8872" t="str">
            <v>GWP - gross</v>
          </cell>
          <cell r="Y8872" t="str">
            <v>GERMANY</v>
          </cell>
        </row>
        <row r="8873">
          <cell r="L8873" t="str">
            <v>Non-proportional</v>
          </cell>
          <cell r="S8873">
            <v>-11934</v>
          </cell>
          <cell r="X8873" t="str">
            <v>GWP - gross</v>
          </cell>
          <cell r="Y8873" t="str">
            <v>GERMANY</v>
          </cell>
        </row>
        <row r="8874">
          <cell r="L8874" t="str">
            <v>Non-proportional</v>
          </cell>
          <cell r="S8874">
            <v>82500</v>
          </cell>
          <cell r="X8874" t="str">
            <v>GWP - gross</v>
          </cell>
          <cell r="Y8874" t="str">
            <v>GERMANY</v>
          </cell>
        </row>
        <row r="8875">
          <cell r="L8875" t="str">
            <v>Non-proportional</v>
          </cell>
          <cell r="S8875">
            <v>-87187.5</v>
          </cell>
          <cell r="X8875" t="str">
            <v>GWP - gross</v>
          </cell>
          <cell r="Y8875" t="str">
            <v>GERMANY</v>
          </cell>
        </row>
        <row r="8876">
          <cell r="L8876" t="str">
            <v>Non-proportional</v>
          </cell>
          <cell r="S8876">
            <v>-139298.31</v>
          </cell>
          <cell r="X8876" t="str">
            <v>GWP - gross</v>
          </cell>
          <cell r="Y8876" t="str">
            <v>SWITZERLAND</v>
          </cell>
        </row>
        <row r="8877">
          <cell r="L8877" t="str">
            <v>Non-proportional</v>
          </cell>
          <cell r="S8877">
            <v>-46000</v>
          </cell>
          <cell r="X8877" t="str">
            <v>GWP - gross</v>
          </cell>
          <cell r="Y8877" t="str">
            <v>GERMANY</v>
          </cell>
        </row>
        <row r="8878">
          <cell r="L8878" t="str">
            <v>Non-proportional</v>
          </cell>
          <cell r="S8878">
            <v>-181440</v>
          </cell>
          <cell r="X8878" t="str">
            <v>GWP - gross</v>
          </cell>
          <cell r="Y8878" t="str">
            <v>ROMANIA</v>
          </cell>
        </row>
        <row r="8879">
          <cell r="L8879" t="str">
            <v>Non-proportional</v>
          </cell>
          <cell r="S8879">
            <v>25000</v>
          </cell>
          <cell r="X8879" t="str">
            <v>GWP - gross</v>
          </cell>
          <cell r="Y8879" t="str">
            <v>GERMANY</v>
          </cell>
        </row>
        <row r="8880">
          <cell r="L8880" t="str">
            <v>Non-proportional</v>
          </cell>
          <cell r="S8880">
            <v>63537.5</v>
          </cell>
          <cell r="X8880" t="str">
            <v>GWP - gross</v>
          </cell>
          <cell r="Y8880" t="str">
            <v>GERMANY</v>
          </cell>
        </row>
        <row r="8881">
          <cell r="L8881" t="str">
            <v>Non-proportional</v>
          </cell>
          <cell r="S8881">
            <v>87187.5</v>
          </cell>
          <cell r="X8881" t="str">
            <v>GWP - gross</v>
          </cell>
          <cell r="Y8881" t="str">
            <v>GERMANY</v>
          </cell>
        </row>
        <row r="8882">
          <cell r="L8882" t="str">
            <v>Non-proportional</v>
          </cell>
          <cell r="S8882">
            <v>-49976.639999999999</v>
          </cell>
          <cell r="X8882" t="str">
            <v>GWP - gross</v>
          </cell>
          <cell r="Y8882" t="str">
            <v>GERMANY</v>
          </cell>
        </row>
        <row r="8883">
          <cell r="L8883" t="str">
            <v>Non-proportional</v>
          </cell>
          <cell r="S8883">
            <v>169050</v>
          </cell>
          <cell r="X8883" t="str">
            <v>GWP - gross</v>
          </cell>
          <cell r="Y8883" t="str">
            <v>AUSTRIA</v>
          </cell>
        </row>
        <row r="8884">
          <cell r="L8884" t="str">
            <v>Non-proportional</v>
          </cell>
          <cell r="S8884">
            <v>-831434.58</v>
          </cell>
          <cell r="X8884" t="str">
            <v>GWP - gross</v>
          </cell>
          <cell r="Y8884" t="str">
            <v>UNITED KINGDOM</v>
          </cell>
        </row>
        <row r="8885">
          <cell r="L8885" t="str">
            <v>Non-proportional</v>
          </cell>
          <cell r="S8885">
            <v>92330.17</v>
          </cell>
          <cell r="X8885" t="str">
            <v>GWP - gross</v>
          </cell>
          <cell r="Y8885" t="str">
            <v>EUROPE</v>
          </cell>
        </row>
        <row r="8886">
          <cell r="L8886" t="str">
            <v>Non-proportional</v>
          </cell>
          <cell r="S8886">
            <v>158524.98000000001</v>
          </cell>
          <cell r="X8886" t="str">
            <v>GWP - gross</v>
          </cell>
          <cell r="Y8886" t="str">
            <v>FRANCE</v>
          </cell>
        </row>
        <row r="8887">
          <cell r="L8887" t="str">
            <v>Non-proportional</v>
          </cell>
          <cell r="S8887">
            <v>-6334086.2599999998</v>
          </cell>
          <cell r="X8887" t="str">
            <v>GWP - gross</v>
          </cell>
          <cell r="Y8887" t="str">
            <v>UNITED KINGDOM</v>
          </cell>
        </row>
        <row r="8888">
          <cell r="L8888" t="str">
            <v>Non-proportional</v>
          </cell>
          <cell r="S8888">
            <v>-58921.58</v>
          </cell>
          <cell r="X8888" t="str">
            <v>GWP - gross</v>
          </cell>
          <cell r="Y8888" t="str">
            <v>SWITZERLAND</v>
          </cell>
        </row>
        <row r="8889">
          <cell r="L8889" t="str">
            <v>Non-proportional</v>
          </cell>
          <cell r="S8889">
            <v>-279550</v>
          </cell>
          <cell r="X8889" t="str">
            <v>GWP - gross</v>
          </cell>
          <cell r="Y8889" t="str">
            <v>CZECH REPUBLIC</v>
          </cell>
        </row>
        <row r="8890">
          <cell r="L8890" t="str">
            <v>Non-proportional</v>
          </cell>
          <cell r="S8890">
            <v>-130410.5</v>
          </cell>
          <cell r="X8890" t="str">
            <v>GWP - gross</v>
          </cell>
          <cell r="Y8890" t="str">
            <v>FRANCE</v>
          </cell>
        </row>
        <row r="8891">
          <cell r="L8891" t="str">
            <v>Non-proportional</v>
          </cell>
          <cell r="S8891">
            <v>-82500</v>
          </cell>
          <cell r="X8891" t="str">
            <v>GWP - gross</v>
          </cell>
          <cell r="Y8891" t="str">
            <v>GERMANY</v>
          </cell>
        </row>
        <row r="8892">
          <cell r="L8892" t="str">
            <v>Non-proportional</v>
          </cell>
          <cell r="S8892">
            <v>57450</v>
          </cell>
          <cell r="X8892" t="str">
            <v>GWP - gross</v>
          </cell>
          <cell r="Y8892" t="str">
            <v>FRANCE</v>
          </cell>
        </row>
        <row r="8893">
          <cell r="L8893" t="str">
            <v>Non-proportional</v>
          </cell>
          <cell r="S8893">
            <v>-1700</v>
          </cell>
          <cell r="X8893" t="str">
            <v>GWP - gross</v>
          </cell>
          <cell r="Y8893" t="str">
            <v>FRANCE</v>
          </cell>
        </row>
        <row r="8894">
          <cell r="L8894" t="str">
            <v>Non-proportional</v>
          </cell>
          <cell r="S8894">
            <v>26100</v>
          </cell>
          <cell r="X8894" t="str">
            <v>GWP - gross</v>
          </cell>
          <cell r="Y8894" t="str">
            <v>FRANCE</v>
          </cell>
        </row>
        <row r="8895">
          <cell r="L8895" t="str">
            <v>Non-proportional</v>
          </cell>
          <cell r="S8895">
            <v>-120630</v>
          </cell>
          <cell r="X8895" t="str">
            <v>GWP - gross</v>
          </cell>
          <cell r="Y8895" t="str">
            <v>AUSTRIA</v>
          </cell>
        </row>
        <row r="8896">
          <cell r="L8896" t="str">
            <v>Non-proportional</v>
          </cell>
          <cell r="S8896">
            <v>3199.54</v>
          </cell>
          <cell r="X8896" t="str">
            <v>GWP - gross</v>
          </cell>
          <cell r="Y8896" t="str">
            <v>DENMARK</v>
          </cell>
        </row>
        <row r="8897">
          <cell r="L8897" t="str">
            <v>Non-proportional</v>
          </cell>
          <cell r="S8897">
            <v>-26083.97</v>
          </cell>
          <cell r="X8897" t="str">
            <v>GWP - gross</v>
          </cell>
          <cell r="Y8897" t="str">
            <v>SWEDEN</v>
          </cell>
        </row>
        <row r="8898">
          <cell r="L8898" t="str">
            <v>Non-proportional</v>
          </cell>
          <cell r="S8898">
            <v>210000</v>
          </cell>
          <cell r="X8898" t="str">
            <v>GWP - gross</v>
          </cell>
          <cell r="Y8898" t="str">
            <v>GERMANY</v>
          </cell>
        </row>
        <row r="8899">
          <cell r="L8899" t="str">
            <v>Non-proportional</v>
          </cell>
          <cell r="S8899">
            <v>92911.32</v>
          </cell>
          <cell r="X8899" t="str">
            <v>GWP - gross</v>
          </cell>
          <cell r="Y8899" t="str">
            <v>ICELAND</v>
          </cell>
        </row>
        <row r="8900">
          <cell r="L8900" t="str">
            <v>Non-proportional</v>
          </cell>
          <cell r="S8900">
            <v>372600</v>
          </cell>
          <cell r="X8900" t="str">
            <v>GWP - gross</v>
          </cell>
          <cell r="Y8900" t="str">
            <v>CZECH REPUBLIC</v>
          </cell>
        </row>
        <row r="8901">
          <cell r="L8901" t="str">
            <v>Non-proportional</v>
          </cell>
          <cell r="S8901">
            <v>93937.5</v>
          </cell>
          <cell r="X8901" t="str">
            <v>GWP - gross</v>
          </cell>
          <cell r="Y8901" t="str">
            <v>GERMANY</v>
          </cell>
        </row>
        <row r="8902">
          <cell r="L8902" t="str">
            <v>Non-proportional</v>
          </cell>
          <cell r="S8902">
            <v>67400</v>
          </cell>
          <cell r="X8902" t="str">
            <v>GWP - gross</v>
          </cell>
          <cell r="Y8902" t="str">
            <v>SPAIN</v>
          </cell>
        </row>
        <row r="8903">
          <cell r="L8903" t="str">
            <v>Non-proportional</v>
          </cell>
          <cell r="S8903">
            <v>203175</v>
          </cell>
          <cell r="X8903" t="str">
            <v>GWP - gross</v>
          </cell>
          <cell r="Y8903" t="str">
            <v>FRANCE</v>
          </cell>
        </row>
        <row r="8904">
          <cell r="L8904" t="str">
            <v>Non-proportional</v>
          </cell>
          <cell r="S8904">
            <v>-2400</v>
          </cell>
          <cell r="X8904" t="str">
            <v>GWP - gross</v>
          </cell>
          <cell r="Y8904" t="str">
            <v>FRANCE</v>
          </cell>
        </row>
        <row r="8905">
          <cell r="L8905" t="str">
            <v>Non-proportional</v>
          </cell>
          <cell r="S8905">
            <v>45485.62</v>
          </cell>
          <cell r="X8905" t="str">
            <v>GWP - gross</v>
          </cell>
          <cell r="Y8905" t="str">
            <v>DENMARK</v>
          </cell>
        </row>
        <row r="8906">
          <cell r="L8906" t="str">
            <v>Non-proportional</v>
          </cell>
          <cell r="S8906">
            <v>12871.39</v>
          </cell>
          <cell r="X8906" t="str">
            <v>GWP - gross</v>
          </cell>
          <cell r="Y8906" t="str">
            <v>DENMARK</v>
          </cell>
        </row>
        <row r="8907">
          <cell r="L8907" t="str">
            <v>Non-proportional</v>
          </cell>
          <cell r="S8907">
            <v>-279550</v>
          </cell>
          <cell r="X8907" t="str">
            <v>GWP - gross</v>
          </cell>
          <cell r="Y8907" t="str">
            <v>CZECH REPUBLIC</v>
          </cell>
        </row>
        <row r="8908">
          <cell r="L8908" t="str">
            <v>Non-proportional</v>
          </cell>
          <cell r="S8908">
            <v>-162500</v>
          </cell>
          <cell r="X8908" t="str">
            <v>GWP - gross</v>
          </cell>
          <cell r="Y8908" t="str">
            <v>GERMANY</v>
          </cell>
        </row>
        <row r="8909">
          <cell r="L8909" t="str">
            <v>Non-proportional</v>
          </cell>
          <cell r="S8909">
            <v>-43847.64</v>
          </cell>
          <cell r="X8909" t="str">
            <v>GWP - gross</v>
          </cell>
          <cell r="Y8909" t="str">
            <v>JAPAN</v>
          </cell>
        </row>
        <row r="8910">
          <cell r="L8910" t="str">
            <v>Non-proportional</v>
          </cell>
          <cell r="S8910">
            <v>-72401.58</v>
          </cell>
          <cell r="X8910" t="str">
            <v>GWP - gross</v>
          </cell>
          <cell r="Y8910" t="str">
            <v>DENMARK</v>
          </cell>
        </row>
        <row r="8911">
          <cell r="L8911" t="str">
            <v>Non-proportional</v>
          </cell>
          <cell r="S8911">
            <v>9519.39</v>
          </cell>
          <cell r="X8911" t="str">
            <v>GWP - gross</v>
          </cell>
          <cell r="Y8911" t="str">
            <v>JAPAN</v>
          </cell>
        </row>
        <row r="8912">
          <cell r="L8912" t="str">
            <v>Non-proportional</v>
          </cell>
          <cell r="S8912">
            <v>-1100</v>
          </cell>
          <cell r="X8912" t="str">
            <v>GWP - gross</v>
          </cell>
          <cell r="Y8912" t="str">
            <v>FRANCE</v>
          </cell>
        </row>
        <row r="8913">
          <cell r="L8913" t="str">
            <v>Non-proportional</v>
          </cell>
          <cell r="S8913">
            <v>-73800</v>
          </cell>
          <cell r="X8913" t="str">
            <v>GWP - gross</v>
          </cell>
          <cell r="Y8913" t="str">
            <v>FRANCE</v>
          </cell>
        </row>
        <row r="8914">
          <cell r="L8914" t="str">
            <v>Non-proportional</v>
          </cell>
          <cell r="S8914">
            <v>-1316</v>
          </cell>
          <cell r="X8914" t="str">
            <v>GWP - gross</v>
          </cell>
          <cell r="Y8914" t="str">
            <v>FRANCE</v>
          </cell>
        </row>
        <row r="8915">
          <cell r="L8915" t="str">
            <v>Non-proportional</v>
          </cell>
          <cell r="S8915">
            <v>-230953.71</v>
          </cell>
          <cell r="X8915" t="str">
            <v>GWP - gross</v>
          </cell>
          <cell r="Y8915" t="str">
            <v>UNITED KINGDOM</v>
          </cell>
        </row>
        <row r="8916">
          <cell r="L8916" t="str">
            <v>Non-proportional</v>
          </cell>
          <cell r="S8916">
            <v>75000</v>
          </cell>
          <cell r="X8916" t="str">
            <v>GWP - gross</v>
          </cell>
          <cell r="Y8916" t="str">
            <v>GERMANY</v>
          </cell>
        </row>
        <row r="8917">
          <cell r="L8917" t="str">
            <v>Non-proportional</v>
          </cell>
          <cell r="S8917">
            <v>63537.5</v>
          </cell>
          <cell r="X8917" t="str">
            <v>GWP - gross</v>
          </cell>
          <cell r="Y8917" t="str">
            <v>GERMANY</v>
          </cell>
        </row>
        <row r="8918">
          <cell r="L8918" t="str">
            <v>Non-proportional</v>
          </cell>
          <cell r="S8918">
            <v>-131836.38</v>
          </cell>
          <cell r="X8918" t="str">
            <v>GWP - gross</v>
          </cell>
          <cell r="Y8918" t="str">
            <v>FRANCE</v>
          </cell>
        </row>
        <row r="8919">
          <cell r="L8919" t="str">
            <v>Non-proportional</v>
          </cell>
          <cell r="S8919">
            <v>-1930.71</v>
          </cell>
          <cell r="X8919" t="str">
            <v>GWP - gross</v>
          </cell>
          <cell r="Y8919" t="str">
            <v>DENMARK</v>
          </cell>
        </row>
        <row r="8920">
          <cell r="L8920" t="str">
            <v>Non-proportional</v>
          </cell>
          <cell r="S8920">
            <v>73455.429999999993</v>
          </cell>
          <cell r="X8920" t="str">
            <v>GWP - gross</v>
          </cell>
          <cell r="Y8920" t="str">
            <v>DENMARK</v>
          </cell>
        </row>
        <row r="8921">
          <cell r="L8921" t="str">
            <v>Non-proportional</v>
          </cell>
          <cell r="S8921">
            <v>-33623.730000000003</v>
          </cell>
          <cell r="X8921" t="str">
            <v>GWP - gross</v>
          </cell>
          <cell r="Y8921" t="str">
            <v>SWITZERLAND</v>
          </cell>
        </row>
        <row r="8922">
          <cell r="L8922" t="str">
            <v>Non-proportional</v>
          </cell>
          <cell r="S8922">
            <v>-75000</v>
          </cell>
          <cell r="X8922" t="str">
            <v>GWP - gross</v>
          </cell>
          <cell r="Y8922" t="str">
            <v>GERMANY</v>
          </cell>
        </row>
        <row r="8923">
          <cell r="L8923" t="str">
            <v>Non-proportional</v>
          </cell>
          <cell r="S8923">
            <v>-92330.17</v>
          </cell>
          <cell r="X8923" t="str">
            <v>GWP - gross</v>
          </cell>
          <cell r="Y8923" t="str">
            <v>EUROPE</v>
          </cell>
        </row>
        <row r="8924">
          <cell r="L8924" t="str">
            <v>Non-proportional</v>
          </cell>
          <cell r="S8924">
            <v>193530</v>
          </cell>
          <cell r="X8924" t="str">
            <v>GWP - gross</v>
          </cell>
          <cell r="Y8924" t="str">
            <v>AUSTRIA</v>
          </cell>
        </row>
        <row r="8925">
          <cell r="L8925" t="str">
            <v>Non-proportional</v>
          </cell>
          <cell r="S8925">
            <v>42696.800000000003</v>
          </cell>
          <cell r="X8925" t="str">
            <v>GWP - gross</v>
          </cell>
          <cell r="Y8925" t="str">
            <v>SWITZERLAND</v>
          </cell>
        </row>
        <row r="8926">
          <cell r="L8926" t="str">
            <v>Non-proportional</v>
          </cell>
          <cell r="S8926">
            <v>-1048287.58</v>
          </cell>
          <cell r="X8926" t="str">
            <v>GWP - gross</v>
          </cell>
          <cell r="Y8926" t="str">
            <v>UNITED KINGDOM</v>
          </cell>
        </row>
        <row r="8927">
          <cell r="L8927" t="str">
            <v>Non-proportional</v>
          </cell>
          <cell r="S8927">
            <v>-11934</v>
          </cell>
          <cell r="X8927" t="str">
            <v>GWP - gross</v>
          </cell>
          <cell r="Y8927" t="str">
            <v>GERMANY</v>
          </cell>
        </row>
        <row r="8928">
          <cell r="L8928" t="str">
            <v>Non-proportional</v>
          </cell>
          <cell r="S8928">
            <v>82125</v>
          </cell>
          <cell r="X8928" t="str">
            <v>GWP - gross</v>
          </cell>
          <cell r="Y8928" t="str">
            <v>GERMANY</v>
          </cell>
        </row>
        <row r="8929">
          <cell r="L8929" t="str">
            <v>Non-proportional</v>
          </cell>
          <cell r="S8929">
            <v>46000</v>
          </cell>
          <cell r="X8929" t="str">
            <v>GWP - gross</v>
          </cell>
          <cell r="Y8929" t="str">
            <v>GERMANY</v>
          </cell>
        </row>
        <row r="8930">
          <cell r="L8930" t="str">
            <v>Non-proportional</v>
          </cell>
          <cell r="S8930">
            <v>-18109.02</v>
          </cell>
          <cell r="X8930" t="str">
            <v>GWP - gross</v>
          </cell>
          <cell r="Y8930" t="str">
            <v>GERMANY</v>
          </cell>
        </row>
        <row r="8931">
          <cell r="L8931" t="str">
            <v>Non-proportional</v>
          </cell>
          <cell r="S8931">
            <v>12871.39</v>
          </cell>
          <cell r="X8931" t="str">
            <v>GWP - gross</v>
          </cell>
          <cell r="Y8931" t="str">
            <v>DENMARK</v>
          </cell>
        </row>
        <row r="8932">
          <cell r="L8932" t="str">
            <v>Non-proportional</v>
          </cell>
          <cell r="S8932">
            <v>785244.45</v>
          </cell>
          <cell r="X8932" t="str">
            <v>GWP - gross</v>
          </cell>
          <cell r="Y8932" t="str">
            <v>UNITED KINGDOM</v>
          </cell>
        </row>
        <row r="8933">
          <cell r="L8933" t="str">
            <v>Non-proportional</v>
          </cell>
          <cell r="S8933">
            <v>204944.64000000001</v>
          </cell>
          <cell r="X8933" t="str">
            <v>GWP - gross</v>
          </cell>
          <cell r="Y8933" t="str">
            <v>SWITZERLAND</v>
          </cell>
        </row>
        <row r="8934">
          <cell r="L8934" t="str">
            <v>Non-proportional</v>
          </cell>
          <cell r="S8934">
            <v>-132835.03</v>
          </cell>
          <cell r="X8934" t="str">
            <v>GWP - gross</v>
          </cell>
          <cell r="Y8934" t="str">
            <v>SWEDEN</v>
          </cell>
        </row>
        <row r="8935">
          <cell r="L8935" t="str">
            <v>Non-proportional</v>
          </cell>
          <cell r="S8935">
            <v>13500</v>
          </cell>
          <cell r="X8935" t="str">
            <v>GWP - gross</v>
          </cell>
          <cell r="Y8935" t="str">
            <v>GERMANY</v>
          </cell>
        </row>
        <row r="8936">
          <cell r="L8936" t="str">
            <v>Non-proportional</v>
          </cell>
          <cell r="S8936">
            <v>73800</v>
          </cell>
          <cell r="X8936" t="str">
            <v>GWP - gross</v>
          </cell>
          <cell r="Y8936" t="str">
            <v>FRANCE</v>
          </cell>
        </row>
        <row r="8937">
          <cell r="L8937" t="str">
            <v>Non-proportional</v>
          </cell>
          <cell r="S8937">
            <v>86819.08</v>
          </cell>
          <cell r="X8937" t="str">
            <v>GWP - gross</v>
          </cell>
          <cell r="Y8937" t="str">
            <v>FRANCE</v>
          </cell>
        </row>
        <row r="8938">
          <cell r="L8938" t="str">
            <v>Non-proportional</v>
          </cell>
          <cell r="S8938">
            <v>-91837.2</v>
          </cell>
          <cell r="X8938" t="str">
            <v>GWP - gross</v>
          </cell>
          <cell r="Y8938" t="str">
            <v>SLOVENIA</v>
          </cell>
        </row>
        <row r="8939">
          <cell r="L8939" t="str">
            <v>Non-proportional</v>
          </cell>
          <cell r="S8939">
            <v>245000</v>
          </cell>
          <cell r="X8939" t="str">
            <v>GWP - gross</v>
          </cell>
          <cell r="Y8939" t="str">
            <v>GERMANY</v>
          </cell>
        </row>
        <row r="8940">
          <cell r="L8940" t="str">
            <v>Non-proportional</v>
          </cell>
          <cell r="S8940">
            <v>-41293.919999999998</v>
          </cell>
          <cell r="X8940" t="str">
            <v>GWP - gross</v>
          </cell>
          <cell r="Y8940" t="str">
            <v>ICELAND</v>
          </cell>
        </row>
        <row r="8941">
          <cell r="L8941" t="str">
            <v>Non-proportional</v>
          </cell>
          <cell r="S8941">
            <v>6334086.2599999998</v>
          </cell>
          <cell r="X8941" t="str">
            <v>GWP - gross</v>
          </cell>
          <cell r="Y8941" t="str">
            <v>UNITED KINGDOM</v>
          </cell>
        </row>
        <row r="8942">
          <cell r="L8942" t="str">
            <v>Non-proportional</v>
          </cell>
          <cell r="S8942">
            <v>-181440</v>
          </cell>
          <cell r="X8942" t="str">
            <v>GWP - gross</v>
          </cell>
          <cell r="Y8942" t="str">
            <v>ROMANIA</v>
          </cell>
        </row>
        <row r="8943">
          <cell r="L8943" t="str">
            <v>Non-proportional</v>
          </cell>
          <cell r="S8943">
            <v>-276910.76</v>
          </cell>
          <cell r="X8943" t="str">
            <v>GWP - gross</v>
          </cell>
          <cell r="Y8943" t="str">
            <v>UNITED KINGDOM</v>
          </cell>
        </row>
        <row r="8944">
          <cell r="L8944" t="str">
            <v>Non-proportional</v>
          </cell>
          <cell r="S8944">
            <v>279550</v>
          </cell>
          <cell r="X8944" t="str">
            <v>GWP - gross</v>
          </cell>
          <cell r="Y8944" t="str">
            <v>CZECH REPUBLIC</v>
          </cell>
        </row>
        <row r="8945">
          <cell r="L8945" t="str">
            <v>Non-proportional</v>
          </cell>
          <cell r="S8945">
            <v>9000</v>
          </cell>
          <cell r="X8945" t="str">
            <v>GWP - gross</v>
          </cell>
          <cell r="Y8945" t="str">
            <v>GERMANY</v>
          </cell>
        </row>
        <row r="8946">
          <cell r="L8946" t="str">
            <v>Non-proportional</v>
          </cell>
          <cell r="S8946">
            <v>-20940.080000000002</v>
          </cell>
          <cell r="X8946" t="str">
            <v>GWP - gross</v>
          </cell>
          <cell r="Y8946" t="str">
            <v>REPUBLIC OF IRELAND</v>
          </cell>
        </row>
        <row r="8947">
          <cell r="L8947" t="str">
            <v>Non-proportional</v>
          </cell>
          <cell r="S8947">
            <v>-24016.95</v>
          </cell>
          <cell r="X8947" t="str">
            <v>GWP - gross</v>
          </cell>
          <cell r="Y8947" t="str">
            <v>SWITZERLAND</v>
          </cell>
        </row>
        <row r="8948">
          <cell r="L8948" t="str">
            <v>Non-proportional</v>
          </cell>
          <cell r="S8948">
            <v>211860</v>
          </cell>
          <cell r="X8948" t="str">
            <v>GWP - gross</v>
          </cell>
          <cell r="Y8948" t="str">
            <v>FRANCE</v>
          </cell>
        </row>
        <row r="8949">
          <cell r="L8949" t="str">
            <v>Non-proportional</v>
          </cell>
          <cell r="S8949">
            <v>-372600</v>
          </cell>
          <cell r="X8949" t="str">
            <v>GWP - gross</v>
          </cell>
          <cell r="Y8949" t="str">
            <v>CZECH REPUBLIC</v>
          </cell>
        </row>
        <row r="8950">
          <cell r="L8950" t="str">
            <v>Non-proportional</v>
          </cell>
          <cell r="S8950">
            <v>37164.53</v>
          </cell>
          <cell r="X8950" t="str">
            <v>GWP - gross</v>
          </cell>
          <cell r="Y8950" t="str">
            <v>ICELAND</v>
          </cell>
        </row>
        <row r="8951">
          <cell r="L8951" t="str">
            <v>Non-proportional</v>
          </cell>
          <cell r="S8951">
            <v>-427953</v>
          </cell>
          <cell r="X8951" t="str">
            <v>GWP - gross</v>
          </cell>
          <cell r="Y8951" t="str">
            <v>UNITED KINGDOM</v>
          </cell>
        </row>
        <row r="8952">
          <cell r="L8952" t="str">
            <v>Non-proportional</v>
          </cell>
          <cell r="S8952">
            <v>-82125</v>
          </cell>
          <cell r="X8952" t="str">
            <v>GWP - gross</v>
          </cell>
          <cell r="Y8952" t="str">
            <v>GERMANY</v>
          </cell>
        </row>
        <row r="8953">
          <cell r="L8953" t="str">
            <v>Non-proportional</v>
          </cell>
          <cell r="S8953">
            <v>-67400</v>
          </cell>
          <cell r="X8953" t="str">
            <v>GWP - gross</v>
          </cell>
          <cell r="Y8953" t="str">
            <v>SPAIN</v>
          </cell>
        </row>
        <row r="8954">
          <cell r="L8954" t="str">
            <v>Non-proportional</v>
          </cell>
          <cell r="S8954">
            <v>25096.97</v>
          </cell>
          <cell r="X8954" t="str">
            <v>GWP - gross</v>
          </cell>
          <cell r="Y8954" t="str">
            <v>JAPAN</v>
          </cell>
        </row>
        <row r="8955">
          <cell r="L8955" t="str">
            <v>Non-proportional</v>
          </cell>
          <cell r="S8955">
            <v>181440</v>
          </cell>
          <cell r="X8955" t="str">
            <v>GWP - gross</v>
          </cell>
          <cell r="Y8955" t="str">
            <v>ROMANIA</v>
          </cell>
        </row>
        <row r="8956">
          <cell r="L8956" t="str">
            <v>Non-proportional</v>
          </cell>
          <cell r="S8956">
            <v>-42696.800000000003</v>
          </cell>
          <cell r="X8956" t="str">
            <v>GWP - gross</v>
          </cell>
          <cell r="Y8956" t="str">
            <v>SWITZERLAND</v>
          </cell>
        </row>
        <row r="8957">
          <cell r="L8957" t="str">
            <v>Non-proportional</v>
          </cell>
          <cell r="S8957">
            <v>-108000</v>
          </cell>
          <cell r="X8957" t="str">
            <v>GWP - gross</v>
          </cell>
          <cell r="Y8957" t="str">
            <v>GERMANY</v>
          </cell>
        </row>
        <row r="8958">
          <cell r="L8958" t="str">
            <v>Non-proportional</v>
          </cell>
          <cell r="S8958">
            <v>-181440</v>
          </cell>
          <cell r="X8958" t="str">
            <v>GWP - gross</v>
          </cell>
          <cell r="Y8958" t="str">
            <v>ROMANIA</v>
          </cell>
        </row>
        <row r="8959">
          <cell r="L8959" t="str">
            <v>Non-proportional</v>
          </cell>
          <cell r="S8959">
            <v>57278.9</v>
          </cell>
          <cell r="X8959" t="str">
            <v>GWP - gross</v>
          </cell>
          <cell r="Y8959" t="str">
            <v>NORWAY</v>
          </cell>
        </row>
        <row r="8960">
          <cell r="L8960" t="str">
            <v>Non-proportional</v>
          </cell>
          <cell r="S8960">
            <v>1048287.58</v>
          </cell>
          <cell r="X8960" t="str">
            <v>GWP - gross</v>
          </cell>
          <cell r="Y8960" t="str">
            <v>UNITED KINGDOM</v>
          </cell>
        </row>
        <row r="8961">
          <cell r="L8961" t="str">
            <v>Non-proportional</v>
          </cell>
          <cell r="S8961">
            <v>2551492.4</v>
          </cell>
          <cell r="X8961" t="str">
            <v>GWP - gross</v>
          </cell>
          <cell r="Y8961" t="str">
            <v>UNITED KINGDOM</v>
          </cell>
        </row>
        <row r="8962">
          <cell r="L8962" t="str">
            <v>Non-proportional</v>
          </cell>
          <cell r="S8962">
            <v>-2551492.4</v>
          </cell>
          <cell r="X8962" t="str">
            <v>GWP - gross</v>
          </cell>
          <cell r="Y8962" t="str">
            <v>UNITED KINGDOM</v>
          </cell>
        </row>
        <row r="8963">
          <cell r="L8963" t="str">
            <v>Non-proportional</v>
          </cell>
          <cell r="S8963">
            <v>-67500</v>
          </cell>
          <cell r="X8963" t="str">
            <v>GWP - gross</v>
          </cell>
          <cell r="Y8963" t="str">
            <v>GERMANY</v>
          </cell>
        </row>
        <row r="8964">
          <cell r="L8964" t="str">
            <v>Non-proportional</v>
          </cell>
          <cell r="S8964">
            <v>43300</v>
          </cell>
          <cell r="X8964" t="str">
            <v>GWP - gross</v>
          </cell>
          <cell r="Y8964" t="str">
            <v>AUSTRIA</v>
          </cell>
        </row>
        <row r="8965">
          <cell r="L8965" t="str">
            <v>Non-proportional</v>
          </cell>
          <cell r="S8965">
            <v>-62748.04</v>
          </cell>
          <cell r="X8965" t="str">
            <v>GWP - gross</v>
          </cell>
          <cell r="Y8965" t="str">
            <v>DENMARK</v>
          </cell>
        </row>
        <row r="8966">
          <cell r="L8966" t="str">
            <v>Non-proportional</v>
          </cell>
          <cell r="S8966">
            <v>2630608.44</v>
          </cell>
          <cell r="X8966" t="str">
            <v>GWP - gross</v>
          </cell>
          <cell r="Y8966" t="str">
            <v>UNITED KINGDOM</v>
          </cell>
        </row>
        <row r="8967">
          <cell r="L8967" t="str">
            <v>Non-proportional</v>
          </cell>
          <cell r="S8967">
            <v>120630</v>
          </cell>
          <cell r="X8967" t="str">
            <v>GWP - gross</v>
          </cell>
          <cell r="Y8967" t="str">
            <v>AUSTRIA</v>
          </cell>
        </row>
        <row r="8968">
          <cell r="L8968" t="str">
            <v>Non-proportional</v>
          </cell>
          <cell r="S8968">
            <v>-2179912.84</v>
          </cell>
          <cell r="X8968" t="str">
            <v>GWP - gross</v>
          </cell>
          <cell r="Y8968" t="str">
            <v>UNITED KINGDOM</v>
          </cell>
        </row>
        <row r="8969">
          <cell r="L8969" t="str">
            <v>Non-proportional</v>
          </cell>
          <cell r="S8969">
            <v>-20000</v>
          </cell>
          <cell r="X8969" t="str">
            <v>GWP - gross</v>
          </cell>
          <cell r="Y8969" t="str">
            <v>GERMANY</v>
          </cell>
        </row>
        <row r="8970">
          <cell r="L8970" t="str">
            <v>Non-proportional</v>
          </cell>
          <cell r="S8970">
            <v>-9000</v>
          </cell>
          <cell r="X8970" t="str">
            <v>GWP - gross</v>
          </cell>
          <cell r="Y8970" t="str">
            <v>GERMANY</v>
          </cell>
        </row>
        <row r="8971">
          <cell r="L8971" t="str">
            <v>Non-proportional</v>
          </cell>
          <cell r="S8971">
            <v>-92911.32</v>
          </cell>
          <cell r="X8971" t="str">
            <v>GWP - gross</v>
          </cell>
          <cell r="Y8971" t="str">
            <v>ICELAND</v>
          </cell>
        </row>
        <row r="8972">
          <cell r="L8972" t="str">
            <v>Non-proportional</v>
          </cell>
          <cell r="S8972">
            <v>-61587.15</v>
          </cell>
          <cell r="X8972" t="str">
            <v>GWP - gross</v>
          </cell>
          <cell r="Y8972" t="str">
            <v>SWEDEN</v>
          </cell>
        </row>
        <row r="8973">
          <cell r="L8973" t="str">
            <v>Non-proportional</v>
          </cell>
          <cell r="S8973">
            <v>-203118.6</v>
          </cell>
          <cell r="X8973" t="str">
            <v>GWP - gross</v>
          </cell>
          <cell r="Y8973" t="str">
            <v>REPUBLIC OF IRELAND</v>
          </cell>
        </row>
        <row r="8974">
          <cell r="L8974" t="str">
            <v>Non-proportional</v>
          </cell>
          <cell r="S8974">
            <v>-158524.98000000001</v>
          </cell>
          <cell r="X8974" t="str">
            <v>GWP - gross</v>
          </cell>
          <cell r="Y8974" t="str">
            <v>FRANCE</v>
          </cell>
        </row>
        <row r="8975">
          <cell r="L8975" t="str">
            <v>Non-proportional</v>
          </cell>
          <cell r="S8975">
            <v>-119596.68</v>
          </cell>
          <cell r="X8975" t="str">
            <v>GWP - gross</v>
          </cell>
          <cell r="Y8975" t="str">
            <v>DENMARK</v>
          </cell>
        </row>
        <row r="8976">
          <cell r="L8976" t="str">
            <v>Non-proportional</v>
          </cell>
          <cell r="S8976">
            <v>31320</v>
          </cell>
          <cell r="X8976" t="str">
            <v>GWP - gross</v>
          </cell>
          <cell r="Y8976" t="str">
            <v>ROMANIA</v>
          </cell>
        </row>
        <row r="8977">
          <cell r="L8977" t="str">
            <v>Non-proportional</v>
          </cell>
          <cell r="S8977">
            <v>-234000</v>
          </cell>
          <cell r="X8977" t="str">
            <v>GWP - gross</v>
          </cell>
          <cell r="Y8977" t="str">
            <v>GERMANY</v>
          </cell>
        </row>
        <row r="8978">
          <cell r="L8978" t="str">
            <v>Non-proportional</v>
          </cell>
          <cell r="S8978">
            <v>-279550</v>
          </cell>
          <cell r="X8978" t="str">
            <v>GWP - gross</v>
          </cell>
          <cell r="Y8978" t="str">
            <v>CZECH REPUBLIC</v>
          </cell>
        </row>
        <row r="8979">
          <cell r="L8979" t="str">
            <v>Non-proportional</v>
          </cell>
          <cell r="S8979">
            <v>372600</v>
          </cell>
          <cell r="X8979" t="str">
            <v>GWP - gross</v>
          </cell>
          <cell r="Y8979" t="str">
            <v>CZECH REPUBLIC</v>
          </cell>
        </row>
        <row r="8980">
          <cell r="L8980" t="str">
            <v>Non-proportional</v>
          </cell>
          <cell r="S8980">
            <v>45360</v>
          </cell>
          <cell r="X8980" t="str">
            <v>GWP - gross</v>
          </cell>
          <cell r="Y8980" t="str">
            <v>ROMANIA</v>
          </cell>
        </row>
        <row r="8981">
          <cell r="L8981" t="str">
            <v>Non-proportional</v>
          </cell>
          <cell r="S8981">
            <v>11934</v>
          </cell>
          <cell r="X8981" t="str">
            <v>GWP - gross</v>
          </cell>
          <cell r="Y8981" t="str">
            <v>GERMANY</v>
          </cell>
        </row>
        <row r="8982">
          <cell r="L8982" t="str">
            <v>Non-proportional</v>
          </cell>
          <cell r="S8982">
            <v>701492.1</v>
          </cell>
          <cell r="X8982" t="str">
            <v>GWP - gross</v>
          </cell>
          <cell r="Y8982" t="str">
            <v>REPUBLIC OF IRELAND</v>
          </cell>
        </row>
        <row r="8983">
          <cell r="L8983" t="str">
            <v>Non-proportional</v>
          </cell>
          <cell r="S8983">
            <v>-25000</v>
          </cell>
          <cell r="X8983" t="str">
            <v>GWP - gross</v>
          </cell>
          <cell r="Y8983" t="str">
            <v>GERMANY</v>
          </cell>
        </row>
        <row r="8984">
          <cell r="L8984" t="str">
            <v>Non-proportional</v>
          </cell>
          <cell r="S8984">
            <v>-9519.39</v>
          </cell>
          <cell r="X8984" t="str">
            <v>GWP - gross</v>
          </cell>
          <cell r="Y8984" t="str">
            <v>JAPAN</v>
          </cell>
        </row>
        <row r="8985">
          <cell r="L8985" t="str">
            <v>Non-proportional</v>
          </cell>
          <cell r="S8985">
            <v>-25097.27</v>
          </cell>
          <cell r="X8985" t="str">
            <v>GWP - gross</v>
          </cell>
          <cell r="Y8985" t="str">
            <v>JAPAN</v>
          </cell>
        </row>
        <row r="8986">
          <cell r="L8986" t="str">
            <v>Non-proportional</v>
          </cell>
          <cell r="S8986">
            <v>41293.919999999998</v>
          </cell>
          <cell r="X8986" t="str">
            <v>GWP - gross</v>
          </cell>
          <cell r="Y8986" t="str">
            <v>ICELAND</v>
          </cell>
        </row>
        <row r="8987">
          <cell r="L8987" t="str">
            <v>Non-proportional</v>
          </cell>
          <cell r="S8987">
            <v>119596.68</v>
          </cell>
          <cell r="X8987" t="str">
            <v>GWP - gross</v>
          </cell>
          <cell r="Y8987" t="str">
            <v>DENMARK</v>
          </cell>
        </row>
        <row r="8988">
          <cell r="L8988" t="str">
            <v>Non-proportional</v>
          </cell>
          <cell r="S8988">
            <v>-242950</v>
          </cell>
          <cell r="X8988" t="str">
            <v>GWP - gross</v>
          </cell>
          <cell r="Y8988" t="str">
            <v>CZECH REPUBLIC</v>
          </cell>
        </row>
        <row r="8989">
          <cell r="L8989" t="str">
            <v>Non-proportional</v>
          </cell>
          <cell r="S8989">
            <v>-226800</v>
          </cell>
          <cell r="X8989" t="str">
            <v>GWP - gross</v>
          </cell>
          <cell r="Y8989" t="str">
            <v>ROMANIA</v>
          </cell>
        </row>
        <row r="8990">
          <cell r="L8990" t="str">
            <v>Non-proportional</v>
          </cell>
          <cell r="S8990">
            <v>76854.240000000005</v>
          </cell>
          <cell r="X8990" t="str">
            <v>GWP - gross</v>
          </cell>
          <cell r="Y8990" t="str">
            <v>SWITZERLAND</v>
          </cell>
        </row>
        <row r="8991">
          <cell r="L8991" t="str">
            <v>Non-proportional</v>
          </cell>
          <cell r="S8991">
            <v>-32000</v>
          </cell>
          <cell r="X8991" t="str">
            <v>GWP - gross</v>
          </cell>
          <cell r="Y8991" t="str">
            <v>GERMANY</v>
          </cell>
        </row>
        <row r="8992">
          <cell r="L8992" t="str">
            <v>Non-proportional</v>
          </cell>
          <cell r="S8992">
            <v>-20000</v>
          </cell>
          <cell r="X8992" t="str">
            <v>GWP - gross</v>
          </cell>
          <cell r="Y8992" t="str">
            <v>SWITZERLAND</v>
          </cell>
        </row>
        <row r="8993">
          <cell r="L8993" t="str">
            <v>Non-proportional</v>
          </cell>
          <cell r="S8993">
            <v>-45485.62</v>
          </cell>
          <cell r="X8993" t="str">
            <v>GWP - gross</v>
          </cell>
          <cell r="Y8993" t="str">
            <v>DENMARK</v>
          </cell>
        </row>
        <row r="8994">
          <cell r="L8994" t="str">
            <v>Non-proportional</v>
          </cell>
          <cell r="S8994">
            <v>181440</v>
          </cell>
          <cell r="X8994" t="str">
            <v>GWP - gross</v>
          </cell>
          <cell r="Y8994" t="str">
            <v>ROMANIA</v>
          </cell>
        </row>
        <row r="8995">
          <cell r="L8995" t="str">
            <v>Proportional</v>
          </cell>
          <cell r="S8995">
            <v>270127.15000000002</v>
          </cell>
          <cell r="X8995" t="str">
            <v>GWP - gross</v>
          </cell>
          <cell r="Y8995" t="str">
            <v>AUSTRIA</v>
          </cell>
        </row>
        <row r="8996">
          <cell r="L8996" t="str">
            <v>Non-proportional</v>
          </cell>
          <cell r="S8996">
            <v>-2826.95</v>
          </cell>
          <cell r="X8996" t="str">
            <v>GWP - gross</v>
          </cell>
          <cell r="Y8996" t="str">
            <v>FRANCE</v>
          </cell>
        </row>
        <row r="8997">
          <cell r="L8997" t="str">
            <v>Non-proportional</v>
          </cell>
          <cell r="S8997">
            <v>117477.3</v>
          </cell>
          <cell r="X8997" t="str">
            <v>GWP - gross</v>
          </cell>
          <cell r="Y8997" t="str">
            <v>UNITED KINGDOM</v>
          </cell>
        </row>
        <row r="8998">
          <cell r="L8998" t="str">
            <v>Non-proportional</v>
          </cell>
          <cell r="S8998">
            <v>279550</v>
          </cell>
          <cell r="X8998" t="str">
            <v>GWP - gross</v>
          </cell>
          <cell r="Y8998" t="str">
            <v>CZECH REPUBLIC</v>
          </cell>
        </row>
        <row r="8999">
          <cell r="L8999" t="str">
            <v>Non-proportional</v>
          </cell>
          <cell r="S8999">
            <v>-13500</v>
          </cell>
          <cell r="X8999" t="str">
            <v>GWP - gross</v>
          </cell>
          <cell r="Y8999" t="str">
            <v>GERMANY</v>
          </cell>
        </row>
        <row r="9000">
          <cell r="L9000" t="str">
            <v>Non-proportional</v>
          </cell>
          <cell r="S9000">
            <v>-169050</v>
          </cell>
          <cell r="X9000" t="str">
            <v>GWP - gross</v>
          </cell>
          <cell r="Y9000" t="str">
            <v>AUSTRIA</v>
          </cell>
        </row>
        <row r="9001">
          <cell r="L9001" t="str">
            <v>Non-proportional</v>
          </cell>
          <cell r="S9001">
            <v>2400</v>
          </cell>
          <cell r="X9001" t="str">
            <v>GWP - gross</v>
          </cell>
          <cell r="Y9001" t="str">
            <v>FRANCE</v>
          </cell>
        </row>
        <row r="9002">
          <cell r="L9002" t="str">
            <v>Non-proportional</v>
          </cell>
          <cell r="S9002">
            <v>61587.15</v>
          </cell>
          <cell r="X9002" t="str">
            <v>GWP - gross</v>
          </cell>
          <cell r="Y9002" t="str">
            <v>SWEDEN</v>
          </cell>
        </row>
        <row r="9003">
          <cell r="L9003" t="str">
            <v>Non-proportional</v>
          </cell>
          <cell r="S9003">
            <v>216000</v>
          </cell>
          <cell r="X9003" t="str">
            <v>GWP - gross</v>
          </cell>
          <cell r="Y9003" t="str">
            <v>CZECH REPUBLIC</v>
          </cell>
        </row>
        <row r="9004">
          <cell r="L9004" t="str">
            <v>Non-proportional</v>
          </cell>
          <cell r="S9004">
            <v>-75000</v>
          </cell>
          <cell r="X9004" t="str">
            <v>GWP - gross</v>
          </cell>
          <cell r="Y9004" t="str">
            <v>GERMANY</v>
          </cell>
        </row>
        <row r="9005">
          <cell r="L9005" t="str">
            <v>Non-proportional</v>
          </cell>
          <cell r="S9005">
            <v>-70425</v>
          </cell>
          <cell r="X9005" t="str">
            <v>GWP - gross</v>
          </cell>
          <cell r="Y9005" t="str">
            <v>FRANCE</v>
          </cell>
        </row>
        <row r="9006">
          <cell r="L9006" t="str">
            <v>Non-proportional</v>
          </cell>
          <cell r="S9006">
            <v>-48000</v>
          </cell>
          <cell r="X9006" t="str">
            <v>GWP - gross</v>
          </cell>
          <cell r="Y9006" t="str">
            <v>GERMANY</v>
          </cell>
        </row>
        <row r="9007">
          <cell r="L9007" t="str">
            <v>Non-proportional</v>
          </cell>
          <cell r="S9007">
            <v>-44831.64</v>
          </cell>
          <cell r="X9007" t="str">
            <v>GWP - gross</v>
          </cell>
          <cell r="Y9007" t="str">
            <v>SWITZERLAND</v>
          </cell>
        </row>
        <row r="9008">
          <cell r="L9008" t="str">
            <v>Non-proportional</v>
          </cell>
          <cell r="S9008">
            <v>45360</v>
          </cell>
          <cell r="X9008" t="str">
            <v>GWP - gross</v>
          </cell>
          <cell r="Y9008" t="str">
            <v>ROMANIA</v>
          </cell>
        </row>
        <row r="9009">
          <cell r="L9009" t="str">
            <v>Non-proportional</v>
          </cell>
          <cell r="S9009">
            <v>162500</v>
          </cell>
          <cell r="X9009" t="str">
            <v>GWP - gross</v>
          </cell>
          <cell r="Y9009" t="str">
            <v>GERMANY</v>
          </cell>
        </row>
        <row r="9010">
          <cell r="L9010" t="str">
            <v>Non-proportional</v>
          </cell>
          <cell r="S9010">
            <v>-37500</v>
          </cell>
          <cell r="X9010" t="str">
            <v>GWP - gross</v>
          </cell>
          <cell r="Y9010" t="str">
            <v>GERMANY</v>
          </cell>
        </row>
        <row r="9011">
          <cell r="L9011" t="str">
            <v>Non-proportional</v>
          </cell>
          <cell r="S9011">
            <v>70425</v>
          </cell>
          <cell r="X9011" t="str">
            <v>GWP - gross</v>
          </cell>
          <cell r="Y9011" t="str">
            <v>FRANCE</v>
          </cell>
        </row>
        <row r="9012">
          <cell r="L9012" t="str">
            <v>Non-proportional</v>
          </cell>
          <cell r="S9012">
            <v>58921.58</v>
          </cell>
          <cell r="X9012" t="str">
            <v>GWP - gross</v>
          </cell>
          <cell r="Y9012" t="str">
            <v>SWITZERLAND</v>
          </cell>
        </row>
        <row r="9013">
          <cell r="L9013" t="str">
            <v>Non-proportional</v>
          </cell>
          <cell r="S9013">
            <v>-93937.5</v>
          </cell>
          <cell r="X9013" t="str">
            <v>GWP - gross</v>
          </cell>
          <cell r="Y9013" t="str">
            <v>GERMANY</v>
          </cell>
        </row>
        <row r="9014">
          <cell r="L9014" t="str">
            <v>Non-proportional</v>
          </cell>
          <cell r="S9014">
            <v>-216000</v>
          </cell>
          <cell r="X9014" t="str">
            <v>GWP - gross</v>
          </cell>
          <cell r="Y9014" t="str">
            <v>CZECH REPUBLIC</v>
          </cell>
        </row>
        <row r="9015">
          <cell r="L9015" t="str">
            <v>Non-proportional</v>
          </cell>
          <cell r="S9015">
            <v>44831.64</v>
          </cell>
          <cell r="X9015" t="str">
            <v>GWP - gross</v>
          </cell>
          <cell r="Y9015" t="str">
            <v>SWITZERLAND</v>
          </cell>
        </row>
        <row r="9016">
          <cell r="L9016" t="str">
            <v>Non-proportional</v>
          </cell>
          <cell r="S9016">
            <v>20000</v>
          </cell>
          <cell r="X9016" t="str">
            <v>GWP - gross</v>
          </cell>
          <cell r="Y9016" t="str">
            <v>GERMANY</v>
          </cell>
        </row>
        <row r="9017">
          <cell r="L9017" t="str">
            <v>Non-proportional</v>
          </cell>
          <cell r="S9017">
            <v>-118343.94</v>
          </cell>
          <cell r="X9017" t="str">
            <v>GWP - gross</v>
          </cell>
          <cell r="Y9017" t="str">
            <v>SWEDEN</v>
          </cell>
        </row>
        <row r="9018">
          <cell r="L9018" t="str">
            <v>Non-proportional</v>
          </cell>
          <cell r="S9018">
            <v>56575</v>
          </cell>
          <cell r="X9018" t="str">
            <v>GWP - gross</v>
          </cell>
          <cell r="Y9018" t="str">
            <v>AUSTRIA</v>
          </cell>
        </row>
        <row r="9019">
          <cell r="L9019" t="str">
            <v>Non-proportional</v>
          </cell>
          <cell r="S9019">
            <v>1700</v>
          </cell>
          <cell r="X9019" t="str">
            <v>GWP - gross</v>
          </cell>
          <cell r="Y9019" t="str">
            <v>FRANCE</v>
          </cell>
        </row>
        <row r="9020">
          <cell r="L9020" t="str">
            <v>Non-proportional</v>
          </cell>
          <cell r="S9020">
            <v>-77500</v>
          </cell>
          <cell r="X9020" t="str">
            <v>GWP - gross</v>
          </cell>
          <cell r="Y9020" t="str">
            <v>AUSTRIA</v>
          </cell>
        </row>
        <row r="9021">
          <cell r="L9021" t="str">
            <v>Non-proportional</v>
          </cell>
          <cell r="S9021">
            <v>-92911.32</v>
          </cell>
          <cell r="X9021" t="str">
            <v>GWP - gross</v>
          </cell>
          <cell r="Y9021" t="str">
            <v>ICELAND</v>
          </cell>
        </row>
        <row r="9022">
          <cell r="L9022" t="str">
            <v>Non-proportional</v>
          </cell>
          <cell r="S9022">
            <v>-120630</v>
          </cell>
          <cell r="X9022" t="str">
            <v>GWP - gross</v>
          </cell>
          <cell r="Y9022" t="str">
            <v>AUSTRIA</v>
          </cell>
        </row>
        <row r="9023">
          <cell r="L9023" t="str">
            <v>Non-proportional</v>
          </cell>
          <cell r="S9023">
            <v>181440</v>
          </cell>
          <cell r="X9023" t="str">
            <v>GWP - gross</v>
          </cell>
          <cell r="Y9023" t="str">
            <v>ROMANIA</v>
          </cell>
        </row>
        <row r="9024">
          <cell r="L9024" t="str">
            <v>Non-proportional</v>
          </cell>
          <cell r="S9024">
            <v>-372600</v>
          </cell>
          <cell r="X9024" t="str">
            <v>GWP - gross</v>
          </cell>
          <cell r="Y9024" t="str">
            <v>CZECH REPUBLIC</v>
          </cell>
        </row>
        <row r="9025">
          <cell r="L9025" t="str">
            <v>Non-proportional</v>
          </cell>
          <cell r="S9025">
            <v>139298.31</v>
          </cell>
          <cell r="X9025" t="str">
            <v>GWP - gross</v>
          </cell>
          <cell r="Y9025" t="str">
            <v>SWITZERLAND</v>
          </cell>
        </row>
        <row r="9026">
          <cell r="L9026" t="str">
            <v>Non-proportional</v>
          </cell>
          <cell r="S9026">
            <v>-186500.25</v>
          </cell>
          <cell r="X9026" t="str">
            <v>GWP - gross</v>
          </cell>
          <cell r="Y9026" t="str">
            <v>FRANCE</v>
          </cell>
        </row>
        <row r="9027">
          <cell r="L9027" t="str">
            <v>Non-proportional</v>
          </cell>
          <cell r="S9027">
            <v>562212.73</v>
          </cell>
          <cell r="X9027" t="str">
            <v>GWP - gross</v>
          </cell>
          <cell r="Y9027" t="str">
            <v>UNITED KINGDOM</v>
          </cell>
        </row>
        <row r="9028">
          <cell r="L9028" t="str">
            <v>Non-proportional</v>
          </cell>
          <cell r="S9028">
            <v>240029.65</v>
          </cell>
          <cell r="X9028" t="str">
            <v>GWP - gross</v>
          </cell>
          <cell r="Y9028" t="str">
            <v>CZECH REPUBLIC</v>
          </cell>
        </row>
        <row r="9029">
          <cell r="L9029" t="str">
            <v>Non-proportional</v>
          </cell>
          <cell r="S9029">
            <v>-76854.240000000005</v>
          </cell>
          <cell r="X9029" t="str">
            <v>GWP - gross</v>
          </cell>
          <cell r="Y9029" t="str">
            <v>SWITZERLAND</v>
          </cell>
        </row>
        <row r="9030">
          <cell r="L9030" t="str">
            <v>Non-proportional</v>
          </cell>
          <cell r="S9030">
            <v>43847.57</v>
          </cell>
          <cell r="X9030" t="str">
            <v>GWP - gross</v>
          </cell>
          <cell r="Y9030" t="str">
            <v>JAPAN</v>
          </cell>
        </row>
        <row r="9031">
          <cell r="L9031" t="str">
            <v>Non-proportional</v>
          </cell>
          <cell r="S9031">
            <v>-114000</v>
          </cell>
          <cell r="X9031" t="str">
            <v>GWP - gross</v>
          </cell>
          <cell r="Y9031" t="str">
            <v>GERMANY</v>
          </cell>
        </row>
        <row r="9032">
          <cell r="L9032" t="str">
            <v>Non-proportional</v>
          </cell>
          <cell r="S9032">
            <v>-12871.39</v>
          </cell>
          <cell r="X9032" t="str">
            <v>GWP - gross</v>
          </cell>
          <cell r="Y9032" t="str">
            <v>DENMARK</v>
          </cell>
        </row>
        <row r="9033">
          <cell r="L9033" t="str">
            <v>Non-proportional</v>
          </cell>
          <cell r="S9033">
            <v>41293.919999999998</v>
          </cell>
          <cell r="X9033" t="str">
            <v>GWP - gross</v>
          </cell>
          <cell r="Y9033" t="str">
            <v>ICELAND</v>
          </cell>
        </row>
        <row r="9034">
          <cell r="L9034" t="str">
            <v>Non-proportional</v>
          </cell>
          <cell r="S9034">
            <v>-1998.35</v>
          </cell>
          <cell r="X9034" t="str">
            <v>GWP - gross</v>
          </cell>
          <cell r="Y9034" t="str">
            <v>FRANCE</v>
          </cell>
        </row>
        <row r="9035">
          <cell r="L9035" t="str">
            <v>Non-proportional</v>
          </cell>
          <cell r="S9035">
            <v>67588.58</v>
          </cell>
          <cell r="X9035" t="str">
            <v>GWP - gross</v>
          </cell>
          <cell r="Y9035" t="str">
            <v>FRANCE</v>
          </cell>
        </row>
        <row r="9036">
          <cell r="L9036" t="str">
            <v>Non-proportional</v>
          </cell>
          <cell r="S9036">
            <v>-117477.3</v>
          </cell>
          <cell r="X9036" t="str">
            <v>GWP - gross</v>
          </cell>
          <cell r="Y9036" t="str">
            <v>UNITED KINGDOM</v>
          </cell>
        </row>
        <row r="9037">
          <cell r="L9037" t="str">
            <v>Non-proportional</v>
          </cell>
          <cell r="S9037">
            <v>-107100</v>
          </cell>
          <cell r="X9037" t="str">
            <v>GWP - gross</v>
          </cell>
          <cell r="Y9037" t="str">
            <v>CZECH REPUBLIC</v>
          </cell>
        </row>
        <row r="9038">
          <cell r="L9038" t="str">
            <v>Non-proportional</v>
          </cell>
          <cell r="S9038">
            <v>1930.71</v>
          </cell>
          <cell r="X9038" t="str">
            <v>GWP - gross</v>
          </cell>
          <cell r="Y9038" t="str">
            <v>DENMARK</v>
          </cell>
        </row>
        <row r="9039">
          <cell r="L9039" t="str">
            <v>Non-proportional</v>
          </cell>
          <cell r="S9039">
            <v>-31320</v>
          </cell>
          <cell r="X9039" t="str">
            <v>GWP - gross</v>
          </cell>
          <cell r="Y9039" t="str">
            <v>ROMANIA</v>
          </cell>
        </row>
        <row r="9040">
          <cell r="L9040" t="str">
            <v>Non-proportional</v>
          </cell>
          <cell r="S9040">
            <v>120630</v>
          </cell>
          <cell r="X9040" t="str">
            <v>GWP - gross</v>
          </cell>
          <cell r="Y9040" t="str">
            <v>AUSTRIA</v>
          </cell>
        </row>
        <row r="9041">
          <cell r="L9041" t="str">
            <v>Non-proportional</v>
          </cell>
          <cell r="S9041">
            <v>75751</v>
          </cell>
          <cell r="X9041" t="str">
            <v>GWP - gross</v>
          </cell>
          <cell r="Y9041" t="str">
            <v>GERMANY</v>
          </cell>
        </row>
        <row r="9042">
          <cell r="L9042" t="str">
            <v>Non-proportional</v>
          </cell>
          <cell r="S9042">
            <v>1100</v>
          </cell>
          <cell r="X9042" t="str">
            <v>GWP - gross</v>
          </cell>
          <cell r="Y9042" t="str">
            <v>FRANCE</v>
          </cell>
        </row>
        <row r="9043">
          <cell r="L9043" t="str">
            <v>Non-proportional</v>
          </cell>
          <cell r="S9043">
            <v>10480.540000000001</v>
          </cell>
          <cell r="X9043" t="str">
            <v>GWP - gross</v>
          </cell>
          <cell r="Y9043" t="str">
            <v>GERMANY</v>
          </cell>
        </row>
        <row r="9044">
          <cell r="L9044" t="str">
            <v>Non-proportional</v>
          </cell>
          <cell r="S9044">
            <v>2826.95</v>
          </cell>
          <cell r="X9044" t="str">
            <v>GWP - gross</v>
          </cell>
          <cell r="Y9044" t="str">
            <v>FRANCE</v>
          </cell>
        </row>
        <row r="9045">
          <cell r="L9045" t="str">
            <v>Non-proportional</v>
          </cell>
          <cell r="S9045">
            <v>-15200</v>
          </cell>
          <cell r="X9045" t="str">
            <v>GWP - gross</v>
          </cell>
          <cell r="Y9045" t="str">
            <v>GERMANY</v>
          </cell>
        </row>
        <row r="9046">
          <cell r="L9046" t="str">
            <v>Non-proportional</v>
          </cell>
          <cell r="S9046">
            <v>118343.94</v>
          </cell>
          <cell r="X9046" t="str">
            <v>GWP - gross</v>
          </cell>
          <cell r="Y9046" t="str">
            <v>SWEDEN</v>
          </cell>
        </row>
        <row r="9047">
          <cell r="L9047" t="str">
            <v>Non-proportional</v>
          </cell>
          <cell r="S9047">
            <v>-66417.52</v>
          </cell>
          <cell r="X9047" t="str">
            <v>GWP - gross</v>
          </cell>
          <cell r="Y9047" t="str">
            <v>SWEDEN</v>
          </cell>
        </row>
        <row r="9048">
          <cell r="L9048" t="str">
            <v>Non-proportional</v>
          </cell>
          <cell r="S9048">
            <v>-203175</v>
          </cell>
          <cell r="X9048" t="str">
            <v>GWP - gross</v>
          </cell>
          <cell r="Y9048" t="str">
            <v>FRANCE</v>
          </cell>
        </row>
        <row r="9049">
          <cell r="L9049" t="str">
            <v>Non-proportional</v>
          </cell>
          <cell r="S9049">
            <v>24016.95</v>
          </cell>
          <cell r="X9049" t="str">
            <v>GWP - gross</v>
          </cell>
          <cell r="Y9049" t="str">
            <v>SWITZERLAND</v>
          </cell>
        </row>
        <row r="9050">
          <cell r="L9050" t="str">
            <v>Non-proportional</v>
          </cell>
          <cell r="S9050">
            <v>-31320</v>
          </cell>
          <cell r="X9050" t="str">
            <v>GWP - gross</v>
          </cell>
          <cell r="Y9050" t="str">
            <v>ROMANIA</v>
          </cell>
        </row>
        <row r="9051">
          <cell r="L9051" t="str">
            <v>Non-proportional</v>
          </cell>
          <cell r="S9051">
            <v>114000</v>
          </cell>
          <cell r="X9051" t="str">
            <v>GWP - gross</v>
          </cell>
          <cell r="Y9051" t="str">
            <v>GERMANY</v>
          </cell>
        </row>
        <row r="9052">
          <cell r="L9052" t="str">
            <v>Non-proportional</v>
          </cell>
          <cell r="S9052">
            <v>-112050</v>
          </cell>
          <cell r="X9052" t="str">
            <v>GWP - gross</v>
          </cell>
          <cell r="Y9052" t="str">
            <v>FRANCE</v>
          </cell>
        </row>
        <row r="9053">
          <cell r="L9053" t="str">
            <v>Non-proportional</v>
          </cell>
          <cell r="S9053">
            <v>-193530</v>
          </cell>
          <cell r="X9053" t="str">
            <v>GWP - gross</v>
          </cell>
          <cell r="Y9053" t="str">
            <v>AUSTRIA</v>
          </cell>
        </row>
        <row r="9054">
          <cell r="L9054" t="str">
            <v>Non-proportional</v>
          </cell>
          <cell r="S9054">
            <v>-364243</v>
          </cell>
          <cell r="X9054" t="str">
            <v>GWP - gross</v>
          </cell>
          <cell r="Y9054" t="str">
            <v>FRANCE</v>
          </cell>
        </row>
        <row r="9055">
          <cell r="L9055" t="str">
            <v>Non-proportional</v>
          </cell>
          <cell r="S9055">
            <v>67500</v>
          </cell>
          <cell r="X9055" t="str">
            <v>GWP - gross</v>
          </cell>
          <cell r="Y9055" t="str">
            <v>GERMANY</v>
          </cell>
        </row>
        <row r="9056">
          <cell r="L9056" t="str">
            <v>Non-proportional</v>
          </cell>
          <cell r="S9056">
            <v>181440</v>
          </cell>
          <cell r="X9056" t="str">
            <v>GWP - gross</v>
          </cell>
          <cell r="Y9056" t="str">
            <v>ROMANIA</v>
          </cell>
        </row>
        <row r="9057">
          <cell r="L9057" t="str">
            <v>Non-proportional</v>
          </cell>
          <cell r="S9057">
            <v>-12871.39</v>
          </cell>
          <cell r="X9057" t="str">
            <v>GWP - gross</v>
          </cell>
          <cell r="Y9057" t="str">
            <v>DENMARK</v>
          </cell>
        </row>
        <row r="9058">
          <cell r="L9058" t="str">
            <v>Non-proportional</v>
          </cell>
          <cell r="S9058">
            <v>131836.38</v>
          </cell>
          <cell r="X9058" t="str">
            <v>GWP - gross</v>
          </cell>
          <cell r="Y9058" t="str">
            <v>FRANCE</v>
          </cell>
        </row>
        <row r="9059">
          <cell r="L9059" t="str">
            <v>Non-proportional</v>
          </cell>
          <cell r="S9059">
            <v>242950</v>
          </cell>
          <cell r="X9059" t="str">
            <v>GWP - gross</v>
          </cell>
          <cell r="Y9059" t="str">
            <v>CZECH REPUBLIC</v>
          </cell>
        </row>
        <row r="9060">
          <cell r="L9060" t="str">
            <v>Non-proportional</v>
          </cell>
          <cell r="S9060">
            <v>-272160</v>
          </cell>
          <cell r="X9060" t="str">
            <v>GWP - gross</v>
          </cell>
          <cell r="Y9060" t="str">
            <v>ROMANIA</v>
          </cell>
        </row>
        <row r="9061">
          <cell r="L9061" t="str">
            <v>Non-proportional</v>
          </cell>
          <cell r="S9061">
            <v>7830</v>
          </cell>
          <cell r="X9061" t="str">
            <v>GWP - gross</v>
          </cell>
          <cell r="Y9061" t="str">
            <v>ROMANIA</v>
          </cell>
        </row>
        <row r="9062">
          <cell r="L9062" t="str">
            <v>Non-proportional</v>
          </cell>
          <cell r="S9062">
            <v>-43300</v>
          </cell>
          <cell r="X9062" t="str">
            <v>GWP - gross</v>
          </cell>
          <cell r="Y9062" t="str">
            <v>AUSTRIA</v>
          </cell>
        </row>
        <row r="9063">
          <cell r="L9063" t="str">
            <v>Non-proportional</v>
          </cell>
          <cell r="S9063">
            <v>230953.71</v>
          </cell>
          <cell r="X9063" t="str">
            <v>GWP - gross</v>
          </cell>
          <cell r="Y9063" t="str">
            <v>UNITED KINGDOM</v>
          </cell>
        </row>
        <row r="9064">
          <cell r="L9064" t="str">
            <v>Non-proportional</v>
          </cell>
          <cell r="S9064">
            <v>-562212.73</v>
          </cell>
          <cell r="X9064" t="str">
            <v>GWP - gross</v>
          </cell>
          <cell r="Y9064" t="str">
            <v>UNITED KINGDOM</v>
          </cell>
        </row>
        <row r="9065">
          <cell r="L9065" t="str">
            <v>Non-proportional</v>
          </cell>
          <cell r="S9065">
            <v>-701492.1</v>
          </cell>
          <cell r="X9065" t="str">
            <v>GWP - gross</v>
          </cell>
          <cell r="Y9065" t="str">
            <v>REPUBLIC OF IRELAND</v>
          </cell>
        </row>
        <row r="9066">
          <cell r="L9066" t="str">
            <v>Non-proportional</v>
          </cell>
          <cell r="S9066">
            <v>1316</v>
          </cell>
          <cell r="X9066" t="str">
            <v>GWP - gross</v>
          </cell>
          <cell r="Y9066" t="str">
            <v>FRANCE</v>
          </cell>
        </row>
        <row r="9067">
          <cell r="L9067" t="str">
            <v>Non-proportional</v>
          </cell>
          <cell r="S9067">
            <v>-81908.83</v>
          </cell>
          <cell r="X9067" t="str">
            <v>GWP - gross</v>
          </cell>
          <cell r="Y9067" t="str">
            <v>NORWAY</v>
          </cell>
        </row>
        <row r="9068">
          <cell r="L9068" t="str">
            <v>Non-proportional</v>
          </cell>
          <cell r="S9068">
            <v>36000</v>
          </cell>
          <cell r="X9068" t="str">
            <v>GWP - gross</v>
          </cell>
          <cell r="Y9068" t="str">
            <v>GERMANY</v>
          </cell>
        </row>
        <row r="9069">
          <cell r="L9069" t="str">
            <v>Non-proportional</v>
          </cell>
          <cell r="S9069">
            <v>-73455.429999999993</v>
          </cell>
          <cell r="X9069" t="str">
            <v>GWP - gross</v>
          </cell>
          <cell r="Y9069" t="str">
            <v>DENMARK</v>
          </cell>
        </row>
        <row r="9070">
          <cell r="L9070" t="str">
            <v>Non-proportional</v>
          </cell>
          <cell r="S9070">
            <v>-67588.58</v>
          </cell>
          <cell r="X9070" t="str">
            <v>GWP - gross</v>
          </cell>
          <cell r="Y9070" t="str">
            <v>FRANCE</v>
          </cell>
        </row>
        <row r="9071">
          <cell r="L9071" t="str">
            <v>Non-proportional</v>
          </cell>
          <cell r="S9071">
            <v>-12871.39</v>
          </cell>
          <cell r="X9071" t="str">
            <v>GWP - gross</v>
          </cell>
          <cell r="Y9071" t="str">
            <v>DENMARK</v>
          </cell>
        </row>
        <row r="9072">
          <cell r="L9072" t="str">
            <v>Non-proportional</v>
          </cell>
          <cell r="S9072">
            <v>-21200</v>
          </cell>
          <cell r="X9072" t="str">
            <v>GWP - gross</v>
          </cell>
          <cell r="Y9072" t="str">
            <v>GERMANY</v>
          </cell>
        </row>
        <row r="9073">
          <cell r="L9073" t="str">
            <v>Non-proportional</v>
          </cell>
          <cell r="S9073">
            <v>-3199.54</v>
          </cell>
          <cell r="X9073" t="str">
            <v>GWP - gross</v>
          </cell>
          <cell r="Y9073" t="str">
            <v>DENMARK</v>
          </cell>
        </row>
        <row r="9074">
          <cell r="L9074" t="str">
            <v>Non-proportional</v>
          </cell>
          <cell r="S9074">
            <v>62748.04</v>
          </cell>
          <cell r="X9074" t="str">
            <v>GWP - gross</v>
          </cell>
          <cell r="Y9074" t="str">
            <v>DENMARK</v>
          </cell>
        </row>
        <row r="9075">
          <cell r="L9075" t="str">
            <v>Non-proportional</v>
          </cell>
          <cell r="S9075">
            <v>-12871.39</v>
          </cell>
          <cell r="X9075" t="str">
            <v>GWP - gross</v>
          </cell>
          <cell r="Y9075" t="str">
            <v>DENMARK</v>
          </cell>
        </row>
        <row r="9076">
          <cell r="L9076" t="str">
            <v>Non-proportional</v>
          </cell>
          <cell r="S9076">
            <v>-204944.64000000001</v>
          </cell>
          <cell r="X9076" t="str">
            <v>GWP - gross</v>
          </cell>
          <cell r="Y9076" t="str">
            <v>SWITZERLAND</v>
          </cell>
        </row>
        <row r="9077">
          <cell r="L9077" t="str">
            <v>Non-proportional</v>
          </cell>
          <cell r="S9077">
            <v>130410.5</v>
          </cell>
          <cell r="X9077" t="str">
            <v>GWP - gross</v>
          </cell>
          <cell r="Y9077" t="str">
            <v>FRANCE</v>
          </cell>
        </row>
        <row r="9078">
          <cell r="L9078" t="str">
            <v>Non-proportional</v>
          </cell>
          <cell r="S9078">
            <v>48000</v>
          </cell>
          <cell r="X9078" t="str">
            <v>GWP - gross</v>
          </cell>
          <cell r="Y9078" t="str">
            <v>GERMANY</v>
          </cell>
        </row>
        <row r="9079">
          <cell r="L9079" t="str">
            <v>Non-proportional</v>
          </cell>
          <cell r="S9079">
            <v>-30706.28</v>
          </cell>
          <cell r="X9079" t="str">
            <v>GWP - gross</v>
          </cell>
          <cell r="Y9079" t="str">
            <v>FRANCE</v>
          </cell>
        </row>
        <row r="9080">
          <cell r="L9080" t="str">
            <v>Non-proportional</v>
          </cell>
          <cell r="S9080">
            <v>31320</v>
          </cell>
          <cell r="X9080" t="str">
            <v>GWP - gross</v>
          </cell>
          <cell r="Y9080" t="str">
            <v>ROMANIA</v>
          </cell>
        </row>
        <row r="9081">
          <cell r="L9081" t="str">
            <v>Non-proportional</v>
          </cell>
          <cell r="S9081">
            <v>40500</v>
          </cell>
          <cell r="X9081" t="str">
            <v>GWP - gross</v>
          </cell>
          <cell r="Y9081" t="str">
            <v>GERMANY</v>
          </cell>
        </row>
        <row r="9082">
          <cell r="L9082" t="str">
            <v>Non-proportional</v>
          </cell>
          <cell r="S9082">
            <v>150000</v>
          </cell>
          <cell r="X9082" t="str">
            <v>GWP - gross</v>
          </cell>
          <cell r="Y9082" t="str">
            <v>GERMANY</v>
          </cell>
        </row>
        <row r="9083">
          <cell r="L9083" t="str">
            <v>Non-proportional</v>
          </cell>
          <cell r="S9083">
            <v>-37164.53</v>
          </cell>
          <cell r="X9083" t="str">
            <v>GWP - gross</v>
          </cell>
          <cell r="Y9083" t="str">
            <v>ICELAND</v>
          </cell>
        </row>
        <row r="9084">
          <cell r="L9084" t="str">
            <v>Non-proportional</v>
          </cell>
          <cell r="S9084">
            <v>77500</v>
          </cell>
          <cell r="X9084" t="str">
            <v>GWP - gross</v>
          </cell>
          <cell r="Y9084" t="str">
            <v>AUSTRIA</v>
          </cell>
        </row>
        <row r="9085">
          <cell r="L9085" t="str">
            <v>Non-proportional</v>
          </cell>
          <cell r="S9085">
            <v>12871.39</v>
          </cell>
          <cell r="X9085" t="str">
            <v>GWP - gross</v>
          </cell>
          <cell r="Y9085" t="str">
            <v>DENMARK</v>
          </cell>
        </row>
        <row r="9086">
          <cell r="L9086" t="str">
            <v>Non-proportional</v>
          </cell>
          <cell r="S9086">
            <v>26083.97</v>
          </cell>
          <cell r="X9086" t="str">
            <v>GWP - gross</v>
          </cell>
          <cell r="Y9086" t="str">
            <v>SWEDEN</v>
          </cell>
        </row>
        <row r="9087">
          <cell r="L9087" t="str">
            <v>Non-proportional</v>
          </cell>
          <cell r="S9087">
            <v>-57450</v>
          </cell>
          <cell r="X9087" t="str">
            <v>GWP - gross</v>
          </cell>
          <cell r="Y9087" t="str">
            <v>FRANCE</v>
          </cell>
        </row>
        <row r="9088">
          <cell r="L9088" t="str">
            <v>Non-proportional</v>
          </cell>
          <cell r="S9088">
            <v>-77500</v>
          </cell>
          <cell r="X9088" t="str">
            <v>GWP - gross</v>
          </cell>
          <cell r="Y9088" t="str">
            <v>AUSTRIA</v>
          </cell>
        </row>
        <row r="9089">
          <cell r="L9089" t="str">
            <v>Non-proportional</v>
          </cell>
          <cell r="S9089">
            <v>20940.080000000002</v>
          </cell>
          <cell r="X9089" t="str">
            <v>GWP - gross</v>
          </cell>
          <cell r="Y9089" t="str">
            <v>REPUBLIC OF IRELAND</v>
          </cell>
        </row>
        <row r="9090">
          <cell r="L9090" t="str">
            <v>Non-proportional</v>
          </cell>
          <cell r="S9090">
            <v>831434.58</v>
          </cell>
          <cell r="X9090" t="str">
            <v>GWP - gross</v>
          </cell>
          <cell r="Y9090" t="str">
            <v>UNITED KINGDOM</v>
          </cell>
        </row>
        <row r="9091">
          <cell r="L9091" t="str">
            <v>Non-proportional</v>
          </cell>
          <cell r="S9091">
            <v>-63537.5</v>
          </cell>
          <cell r="X9091" t="str">
            <v>GWP - gross</v>
          </cell>
          <cell r="Y9091" t="str">
            <v>GERMANY</v>
          </cell>
        </row>
        <row r="9092">
          <cell r="L9092" t="str">
            <v>Non-proportional</v>
          </cell>
          <cell r="S9092">
            <v>-39150</v>
          </cell>
          <cell r="X9092" t="str">
            <v>GWP - gross</v>
          </cell>
          <cell r="Y9092" t="str">
            <v>ROMANIA</v>
          </cell>
        </row>
        <row r="9093">
          <cell r="L9093" t="str">
            <v>Non-proportional</v>
          </cell>
          <cell r="S9093">
            <v>-86819.08</v>
          </cell>
          <cell r="X9093" t="str">
            <v>GWP - gross</v>
          </cell>
          <cell r="Y9093" t="str">
            <v>FRANCE</v>
          </cell>
        </row>
        <row r="9094">
          <cell r="L9094" t="str">
            <v>Non-proportional</v>
          </cell>
          <cell r="S9094">
            <v>12871.39</v>
          </cell>
          <cell r="X9094" t="str">
            <v>GWP - gross</v>
          </cell>
          <cell r="Y9094" t="str">
            <v>DENMARK</v>
          </cell>
        </row>
        <row r="9095">
          <cell r="L9095" t="str">
            <v>Non-proportional</v>
          </cell>
          <cell r="S9095">
            <v>131922.38</v>
          </cell>
          <cell r="X9095" t="str">
            <v>GWP - gross</v>
          </cell>
          <cell r="Y9095" t="str">
            <v>REPUBLIC OF IRELAND</v>
          </cell>
        </row>
        <row r="9096">
          <cell r="L9096" t="str">
            <v>Non-proportional</v>
          </cell>
          <cell r="S9096">
            <v>31320</v>
          </cell>
          <cell r="X9096" t="str">
            <v>GWP - gross</v>
          </cell>
          <cell r="Y9096" t="str">
            <v>ROMANIA</v>
          </cell>
        </row>
        <row r="9097">
          <cell r="L9097" t="str">
            <v>Non-proportional</v>
          </cell>
          <cell r="S9097">
            <v>-245000</v>
          </cell>
          <cell r="X9097" t="str">
            <v>GWP - gross</v>
          </cell>
          <cell r="Y9097" t="str">
            <v>GERMANY</v>
          </cell>
        </row>
        <row r="9098">
          <cell r="L9098" t="str">
            <v>Non-proportional</v>
          </cell>
          <cell r="S9098">
            <v>-210000</v>
          </cell>
          <cell r="X9098" t="str">
            <v>GWP - gross</v>
          </cell>
          <cell r="Y9098" t="str">
            <v>GERMANY</v>
          </cell>
        </row>
        <row r="9099">
          <cell r="L9099" t="str">
            <v>Non-proportional</v>
          </cell>
          <cell r="S9099">
            <v>-36000</v>
          </cell>
          <cell r="X9099" t="str">
            <v>GWP - gross</v>
          </cell>
          <cell r="Y9099" t="str">
            <v>GERMANY</v>
          </cell>
        </row>
        <row r="9100">
          <cell r="L9100" t="str">
            <v>Non-proportional</v>
          </cell>
          <cell r="S9100">
            <v>80518.600000000006</v>
          </cell>
          <cell r="X9100" t="str">
            <v>GWP - gross</v>
          </cell>
          <cell r="Y9100" t="str">
            <v>DENMARK</v>
          </cell>
        </row>
        <row r="9101">
          <cell r="L9101" t="str">
            <v>Non-proportional</v>
          </cell>
          <cell r="S9101">
            <v>-19307.09</v>
          </cell>
          <cell r="X9101" t="str">
            <v>GWP - gross</v>
          </cell>
          <cell r="Y9101" t="str">
            <v>DENMARK</v>
          </cell>
        </row>
        <row r="9102">
          <cell r="L9102" t="str">
            <v>Non-proportional</v>
          </cell>
          <cell r="S9102">
            <v>-96800</v>
          </cell>
          <cell r="X9102" t="str">
            <v>GWP - gross</v>
          </cell>
          <cell r="Y9102" t="str">
            <v>GERMANY</v>
          </cell>
        </row>
        <row r="9103">
          <cell r="L9103" t="str">
            <v>Non-proportional</v>
          </cell>
          <cell r="S9103">
            <v>181440</v>
          </cell>
          <cell r="X9103" t="str">
            <v>GWP - gross</v>
          </cell>
          <cell r="Y9103" t="str">
            <v>ROMANIA</v>
          </cell>
        </row>
        <row r="9104">
          <cell r="L9104" t="str">
            <v>Non-proportional</v>
          </cell>
          <cell r="S9104">
            <v>92911.32</v>
          </cell>
          <cell r="X9104" t="str">
            <v>GWP - gross</v>
          </cell>
          <cell r="Y9104" t="str">
            <v>ICELAND</v>
          </cell>
        </row>
        <row r="9105">
          <cell r="L9105" t="str">
            <v>Non-proportional</v>
          </cell>
          <cell r="S9105">
            <v>120630</v>
          </cell>
          <cell r="X9105" t="str">
            <v>GWP - gross</v>
          </cell>
          <cell r="Y9105" t="str">
            <v>AUSTRIA</v>
          </cell>
        </row>
        <row r="9106">
          <cell r="L9106" t="str">
            <v>Non-proportional</v>
          </cell>
          <cell r="S9106">
            <v>91837.2</v>
          </cell>
          <cell r="X9106" t="str">
            <v>GWP - gross</v>
          </cell>
          <cell r="Y9106" t="str">
            <v>SLOVENIA</v>
          </cell>
        </row>
        <row r="9107">
          <cell r="L9107" t="str">
            <v>Non-proportional</v>
          </cell>
          <cell r="S9107">
            <v>-181440</v>
          </cell>
          <cell r="X9107" t="str">
            <v>GWP - gross</v>
          </cell>
          <cell r="Y9107" t="str">
            <v>ROMANIA</v>
          </cell>
        </row>
        <row r="9108">
          <cell r="L9108" t="str">
            <v>Non-proportional</v>
          </cell>
          <cell r="S9108">
            <v>-37164.53</v>
          </cell>
          <cell r="X9108" t="str">
            <v>GWP - gross</v>
          </cell>
          <cell r="Y9108" t="str">
            <v>ICELAND</v>
          </cell>
        </row>
        <row r="9109">
          <cell r="L9109" t="str">
            <v>Non-proportional</v>
          </cell>
          <cell r="S9109">
            <v>2179912.84</v>
          </cell>
          <cell r="X9109" t="str">
            <v>GWP - gross</v>
          </cell>
          <cell r="Y9109" t="str">
            <v>UNITED KINGDOM</v>
          </cell>
        </row>
        <row r="9110">
          <cell r="L9110" t="str">
            <v>Non-proportional</v>
          </cell>
          <cell r="S9110">
            <v>234000</v>
          </cell>
          <cell r="X9110" t="str">
            <v>GWP - gross</v>
          </cell>
          <cell r="Y9110" t="str">
            <v>GERMANY</v>
          </cell>
        </row>
        <row r="9111">
          <cell r="L9111" t="str">
            <v>Non-proportional</v>
          </cell>
          <cell r="S9111">
            <v>37500</v>
          </cell>
          <cell r="X9111" t="str">
            <v>GWP - gross</v>
          </cell>
          <cell r="Y9111" t="str">
            <v>GERMANY</v>
          </cell>
        </row>
        <row r="9112">
          <cell r="L9112" t="str">
            <v>Non-proportional</v>
          </cell>
          <cell r="S9112">
            <v>112050</v>
          </cell>
          <cell r="X9112" t="str">
            <v>GWP - gross</v>
          </cell>
          <cell r="Y9112" t="str">
            <v>FRANCE</v>
          </cell>
        </row>
        <row r="9113">
          <cell r="L9113" t="str">
            <v>Non-proportional</v>
          </cell>
          <cell r="S9113">
            <v>72401.58</v>
          </cell>
          <cell r="X9113" t="str">
            <v>GWP - gross</v>
          </cell>
          <cell r="Y9113" t="str">
            <v>DENMARK</v>
          </cell>
        </row>
        <row r="9114">
          <cell r="L9114" t="str">
            <v>Non-proportional</v>
          </cell>
          <cell r="S9114">
            <v>32250</v>
          </cell>
          <cell r="X9114" t="str">
            <v>GWP - gross</v>
          </cell>
          <cell r="Y9114" t="str">
            <v>GERMANY</v>
          </cell>
        </row>
        <row r="9115">
          <cell r="L9115" t="str">
            <v>Non-proportional</v>
          </cell>
          <cell r="S9115">
            <v>11934</v>
          </cell>
          <cell r="X9115" t="str">
            <v>GWP - gross</v>
          </cell>
          <cell r="Y9115" t="str">
            <v>GERMANY</v>
          </cell>
        </row>
        <row r="9116">
          <cell r="L9116" t="str">
            <v>Non-proportional</v>
          </cell>
          <cell r="S9116">
            <v>-7759.13</v>
          </cell>
          <cell r="X9116" t="str">
            <v>GWP - gross</v>
          </cell>
          <cell r="Y9116" t="str">
            <v>ITALY</v>
          </cell>
        </row>
        <row r="9117">
          <cell r="L9117" t="str">
            <v>Non-proportional</v>
          </cell>
          <cell r="S9117">
            <v>96800</v>
          </cell>
          <cell r="X9117" t="str">
            <v>GWP - gross</v>
          </cell>
          <cell r="Y9117" t="str">
            <v>GERMANY</v>
          </cell>
        </row>
        <row r="9118">
          <cell r="L9118" t="str">
            <v>Non-proportional</v>
          </cell>
          <cell r="S9118">
            <v>78240</v>
          </cell>
          <cell r="X9118" t="str">
            <v>GWP - gross</v>
          </cell>
          <cell r="Y9118" t="str">
            <v>GERMANY</v>
          </cell>
        </row>
        <row r="9119">
          <cell r="L9119" t="str">
            <v>Non-proportional</v>
          </cell>
          <cell r="S9119">
            <v>199282.7</v>
          </cell>
          <cell r="X9119" t="str">
            <v>GWP - gross</v>
          </cell>
          <cell r="Y9119" t="str">
            <v>EIRE</v>
          </cell>
        </row>
        <row r="9120">
          <cell r="L9120" t="str">
            <v>Non-proportional</v>
          </cell>
          <cell r="S9120">
            <v>-199282.7</v>
          </cell>
          <cell r="X9120" t="str">
            <v>GWP - gross</v>
          </cell>
          <cell r="Y9120" t="str">
            <v>EIRE</v>
          </cell>
        </row>
        <row r="9121">
          <cell r="L9121" t="str">
            <v>Non-proportional</v>
          </cell>
          <cell r="S9121">
            <v>24360</v>
          </cell>
          <cell r="X9121" t="str">
            <v>GWP - gross</v>
          </cell>
          <cell r="Y9121" t="str">
            <v>GERMANY</v>
          </cell>
        </row>
        <row r="9122">
          <cell r="L9122" t="str">
            <v>Non-proportional</v>
          </cell>
          <cell r="S9122">
            <v>81950</v>
          </cell>
          <cell r="X9122" t="str">
            <v>GWP - gross</v>
          </cell>
          <cell r="Y9122" t="str">
            <v>GERMANY</v>
          </cell>
        </row>
        <row r="9123">
          <cell r="L9123" t="str">
            <v>Non-proportional</v>
          </cell>
          <cell r="S9123">
            <v>80562.53</v>
          </cell>
          <cell r="X9123" t="str">
            <v>GWP - gross</v>
          </cell>
          <cell r="Y9123" t="str">
            <v>EUROPE</v>
          </cell>
        </row>
        <row r="9124">
          <cell r="L9124" t="str">
            <v>Non-proportional</v>
          </cell>
          <cell r="S9124">
            <v>-170990.22</v>
          </cell>
          <cell r="X9124" t="str">
            <v>GWP - gross</v>
          </cell>
          <cell r="Y9124" t="str">
            <v>GERMANY</v>
          </cell>
        </row>
        <row r="9125">
          <cell r="L9125" t="str">
            <v>Non-proportional</v>
          </cell>
          <cell r="S9125">
            <v>1075680</v>
          </cell>
          <cell r="X9125" t="str">
            <v>GWP - gross</v>
          </cell>
          <cell r="Y9125" t="str">
            <v>FRANCE</v>
          </cell>
        </row>
        <row r="9126">
          <cell r="L9126" t="str">
            <v>Non-proportional</v>
          </cell>
          <cell r="S9126">
            <v>-15200</v>
          </cell>
          <cell r="X9126" t="str">
            <v>GWP - gross</v>
          </cell>
          <cell r="Y9126" t="str">
            <v>GERMANY</v>
          </cell>
        </row>
        <row r="9127">
          <cell r="L9127" t="str">
            <v>Non-proportional</v>
          </cell>
          <cell r="S9127">
            <v>92500</v>
          </cell>
          <cell r="X9127" t="str">
            <v>GWP - gross</v>
          </cell>
          <cell r="Y9127" t="str">
            <v>GERMANY</v>
          </cell>
        </row>
        <row r="9128">
          <cell r="L9128" t="str">
            <v>Non-proportional</v>
          </cell>
          <cell r="S9128">
            <v>127500</v>
          </cell>
          <cell r="X9128" t="str">
            <v>GWP - gross</v>
          </cell>
          <cell r="Y9128" t="str">
            <v>GERMANY</v>
          </cell>
        </row>
        <row r="9129">
          <cell r="L9129" t="str">
            <v>Non-proportional</v>
          </cell>
          <cell r="S9129">
            <v>97200</v>
          </cell>
          <cell r="X9129" t="str">
            <v>GWP - gross</v>
          </cell>
          <cell r="Y9129" t="str">
            <v>GERMANY</v>
          </cell>
        </row>
        <row r="9130">
          <cell r="L9130" t="str">
            <v>Non-proportional</v>
          </cell>
          <cell r="S9130">
            <v>-29297.75</v>
          </cell>
          <cell r="X9130" t="str">
            <v>GWP - gross</v>
          </cell>
          <cell r="Y9130" t="str">
            <v>GERMANY</v>
          </cell>
        </row>
        <row r="9131">
          <cell r="L9131" t="str">
            <v>Non-proportional</v>
          </cell>
          <cell r="S9131">
            <v>-19299.59</v>
          </cell>
          <cell r="X9131" t="str">
            <v>GWP - gross</v>
          </cell>
          <cell r="Y9131" t="str">
            <v>DENMARK</v>
          </cell>
        </row>
        <row r="9132">
          <cell r="L9132" t="str">
            <v>Non-proportional</v>
          </cell>
          <cell r="S9132">
            <v>-1075680</v>
          </cell>
          <cell r="X9132" t="str">
            <v>GWP - gross</v>
          </cell>
          <cell r="Y9132" t="str">
            <v>FRANCE</v>
          </cell>
        </row>
        <row r="9133">
          <cell r="L9133" t="str">
            <v>Non-proportional</v>
          </cell>
          <cell r="S9133">
            <v>46000</v>
          </cell>
          <cell r="X9133" t="str">
            <v>GWP - gross</v>
          </cell>
          <cell r="Y9133" t="str">
            <v>GERMANY</v>
          </cell>
        </row>
        <row r="9134">
          <cell r="L9134" t="str">
            <v>Non-proportional</v>
          </cell>
          <cell r="S9134">
            <v>147427.39000000001</v>
          </cell>
          <cell r="X9134" t="str">
            <v>GWP - gross</v>
          </cell>
          <cell r="Y9134" t="str">
            <v>DENMARK</v>
          </cell>
        </row>
        <row r="9135">
          <cell r="L9135" t="str">
            <v>Non-proportional</v>
          </cell>
          <cell r="S9135">
            <v>88350</v>
          </cell>
          <cell r="X9135" t="str">
            <v>GWP - gross</v>
          </cell>
          <cell r="Y9135" t="str">
            <v>GERMANY</v>
          </cell>
        </row>
        <row r="9136">
          <cell r="L9136" t="str">
            <v>Non-proportional</v>
          </cell>
          <cell r="S9136">
            <v>-252080</v>
          </cell>
          <cell r="X9136" t="str">
            <v>GWP - gross</v>
          </cell>
          <cell r="Y9136" t="str">
            <v>GERMANY</v>
          </cell>
        </row>
        <row r="9137">
          <cell r="L9137" t="str">
            <v>Non-proportional</v>
          </cell>
          <cell r="S9137">
            <v>23547.88</v>
          </cell>
          <cell r="X9137" t="str">
            <v>GWP - gross</v>
          </cell>
          <cell r="Y9137" t="str">
            <v>GERMANY</v>
          </cell>
        </row>
        <row r="9138">
          <cell r="L9138" t="str">
            <v>Non-proportional</v>
          </cell>
          <cell r="S9138">
            <v>74000</v>
          </cell>
          <cell r="X9138" t="str">
            <v>GWP - gross</v>
          </cell>
          <cell r="Y9138" t="str">
            <v>GERMANY</v>
          </cell>
        </row>
        <row r="9139">
          <cell r="L9139" t="str">
            <v>Non-proportional</v>
          </cell>
          <cell r="S9139">
            <v>-65200</v>
          </cell>
          <cell r="X9139" t="str">
            <v>GWP - gross</v>
          </cell>
          <cell r="Y9139" t="str">
            <v>GERMANY</v>
          </cell>
        </row>
        <row r="9140">
          <cell r="L9140" t="str">
            <v>Non-proportional</v>
          </cell>
          <cell r="S9140">
            <v>19299.59</v>
          </cell>
          <cell r="X9140" t="str">
            <v>GWP - gross</v>
          </cell>
          <cell r="Y9140" t="str">
            <v>DENMARK</v>
          </cell>
        </row>
        <row r="9141">
          <cell r="L9141" t="str">
            <v>Non-proportional</v>
          </cell>
          <cell r="S9141">
            <v>-92500</v>
          </cell>
          <cell r="X9141" t="str">
            <v>GWP - gross</v>
          </cell>
          <cell r="Y9141" t="str">
            <v>GERMANY</v>
          </cell>
        </row>
        <row r="9142">
          <cell r="L9142" t="str">
            <v>Non-proportional</v>
          </cell>
          <cell r="S9142">
            <v>29297.75</v>
          </cell>
          <cell r="X9142" t="str">
            <v>GWP - gross</v>
          </cell>
          <cell r="Y9142" t="str">
            <v>GERMANY</v>
          </cell>
        </row>
        <row r="9143">
          <cell r="L9143" t="str">
            <v>Non-proportional</v>
          </cell>
          <cell r="S9143">
            <v>91490</v>
          </cell>
          <cell r="X9143" t="str">
            <v>GWP - gross</v>
          </cell>
          <cell r="Y9143" t="str">
            <v>GERMANY</v>
          </cell>
        </row>
        <row r="9144">
          <cell r="L9144" t="str">
            <v>Non-proportional</v>
          </cell>
          <cell r="S9144">
            <v>-198000</v>
          </cell>
          <cell r="X9144" t="str">
            <v>GWP - gross</v>
          </cell>
          <cell r="Y9144" t="str">
            <v>GERMANY</v>
          </cell>
        </row>
        <row r="9145">
          <cell r="L9145" t="str">
            <v>Non-proportional</v>
          </cell>
          <cell r="S9145">
            <v>165555.23000000001</v>
          </cell>
          <cell r="X9145" t="str">
            <v>GWP - gross</v>
          </cell>
          <cell r="Y9145" t="str">
            <v>ITALY</v>
          </cell>
        </row>
        <row r="9146">
          <cell r="L9146" t="str">
            <v>Non-proportional</v>
          </cell>
          <cell r="S9146">
            <v>-81000</v>
          </cell>
          <cell r="X9146" t="str">
            <v>GWP - gross</v>
          </cell>
          <cell r="Y9146" t="str">
            <v>GERMANY</v>
          </cell>
        </row>
        <row r="9147">
          <cell r="L9147" t="str">
            <v>Non-proportional</v>
          </cell>
          <cell r="S9147">
            <v>-28080</v>
          </cell>
          <cell r="X9147" t="str">
            <v>GWP - gross</v>
          </cell>
          <cell r="Y9147" t="str">
            <v>GERMANY</v>
          </cell>
        </row>
        <row r="9148">
          <cell r="L9148" t="str">
            <v>Non-proportional</v>
          </cell>
          <cell r="S9148">
            <v>25470</v>
          </cell>
          <cell r="X9148" t="str">
            <v>GWP - gross</v>
          </cell>
          <cell r="Y9148" t="str">
            <v>GERMANY</v>
          </cell>
        </row>
        <row r="9149">
          <cell r="L9149" t="str">
            <v>Non-proportional</v>
          </cell>
          <cell r="S9149">
            <v>-91740.43</v>
          </cell>
          <cell r="X9149" t="str">
            <v>GWP - gross</v>
          </cell>
          <cell r="Y9149" t="str">
            <v>GERMANY</v>
          </cell>
        </row>
        <row r="9150">
          <cell r="L9150" t="str">
            <v>Non-proportional</v>
          </cell>
          <cell r="S9150">
            <v>95180</v>
          </cell>
          <cell r="X9150" t="str">
            <v>GWP - gross</v>
          </cell>
          <cell r="Y9150" t="str">
            <v>GERMANY</v>
          </cell>
        </row>
        <row r="9151">
          <cell r="L9151" t="str">
            <v>Non-proportional</v>
          </cell>
          <cell r="S9151">
            <v>19299.59</v>
          </cell>
          <cell r="X9151" t="str">
            <v>GWP - gross</v>
          </cell>
          <cell r="Y9151" t="str">
            <v>DENMARK</v>
          </cell>
        </row>
        <row r="9152">
          <cell r="L9152" t="str">
            <v>Non-proportional</v>
          </cell>
          <cell r="S9152">
            <v>140800</v>
          </cell>
          <cell r="X9152" t="str">
            <v>GWP - gross</v>
          </cell>
          <cell r="Y9152" t="str">
            <v>GERMANY</v>
          </cell>
        </row>
        <row r="9153">
          <cell r="L9153" t="str">
            <v>Non-proportional</v>
          </cell>
          <cell r="S9153">
            <v>74750</v>
          </cell>
          <cell r="X9153" t="str">
            <v>GWP - gross</v>
          </cell>
          <cell r="Y9153" t="str">
            <v>GERMANY</v>
          </cell>
        </row>
        <row r="9154">
          <cell r="L9154" t="str">
            <v>Non-proportional</v>
          </cell>
          <cell r="S9154">
            <v>-15200</v>
          </cell>
          <cell r="X9154" t="str">
            <v>GWP - gross</v>
          </cell>
          <cell r="Y9154" t="str">
            <v>GERMANY</v>
          </cell>
        </row>
        <row r="9155">
          <cell r="L9155" t="str">
            <v>Non-proportional</v>
          </cell>
          <cell r="S9155">
            <v>-223784.85</v>
          </cell>
          <cell r="X9155" t="str">
            <v>GWP - gross</v>
          </cell>
          <cell r="Y9155" t="str">
            <v>EUROPE</v>
          </cell>
        </row>
        <row r="9156">
          <cell r="L9156" t="str">
            <v>Non-proportional</v>
          </cell>
          <cell r="S9156">
            <v>223784.85</v>
          </cell>
          <cell r="X9156" t="str">
            <v>GWP - gross</v>
          </cell>
          <cell r="Y9156" t="str">
            <v>EUROPE</v>
          </cell>
        </row>
        <row r="9157">
          <cell r="L9157" t="str">
            <v>Non-proportional</v>
          </cell>
          <cell r="S9157">
            <v>-81950</v>
          </cell>
          <cell r="X9157" t="str">
            <v>GWP - gross</v>
          </cell>
          <cell r="Y9157" t="str">
            <v>GERMANY</v>
          </cell>
        </row>
        <row r="9158">
          <cell r="L9158" t="str">
            <v>Non-proportional</v>
          </cell>
          <cell r="S9158">
            <v>35805.599999999999</v>
          </cell>
          <cell r="X9158" t="str">
            <v>GWP - gross</v>
          </cell>
          <cell r="Y9158" t="str">
            <v>EUROPE</v>
          </cell>
        </row>
        <row r="9159">
          <cell r="L9159" t="str">
            <v>Non-proportional</v>
          </cell>
          <cell r="S9159">
            <v>201500</v>
          </cell>
          <cell r="X9159" t="str">
            <v>GWP - gross</v>
          </cell>
          <cell r="Y9159" t="str">
            <v>GERMANY</v>
          </cell>
        </row>
        <row r="9160">
          <cell r="L9160" t="str">
            <v>Non-proportional</v>
          </cell>
          <cell r="S9160">
            <v>-46000</v>
          </cell>
          <cell r="X9160" t="str">
            <v>GWP - gross</v>
          </cell>
          <cell r="Y9160" t="str">
            <v>GERMANY</v>
          </cell>
        </row>
        <row r="9161">
          <cell r="L9161" t="str">
            <v>Non-proportional</v>
          </cell>
          <cell r="S9161">
            <v>103500</v>
          </cell>
          <cell r="X9161" t="str">
            <v>GWP - gross</v>
          </cell>
          <cell r="Y9161" t="str">
            <v>GERMANY</v>
          </cell>
        </row>
        <row r="9162">
          <cell r="L9162" t="str">
            <v>Non-proportional</v>
          </cell>
          <cell r="S9162">
            <v>-63537.5</v>
          </cell>
          <cell r="X9162" t="str">
            <v>GWP - gross</v>
          </cell>
          <cell r="Y9162" t="str">
            <v>GERMANY</v>
          </cell>
        </row>
        <row r="9163">
          <cell r="L9163" t="str">
            <v>Non-proportional</v>
          </cell>
          <cell r="S9163">
            <v>-16819.919999999998</v>
          </cell>
          <cell r="X9163" t="str">
            <v>GWP - gross</v>
          </cell>
          <cell r="Y9163" t="str">
            <v>GERMANY</v>
          </cell>
        </row>
        <row r="9164">
          <cell r="L9164" t="str">
            <v>Non-proportional</v>
          </cell>
          <cell r="S9164">
            <v>-27006.18</v>
          </cell>
          <cell r="X9164" t="str">
            <v>GWP - gross</v>
          </cell>
          <cell r="Y9164" t="str">
            <v>GERMANY</v>
          </cell>
        </row>
        <row r="9165">
          <cell r="L9165" t="str">
            <v>Non-proportional</v>
          </cell>
          <cell r="S9165">
            <v>91740.43</v>
          </cell>
          <cell r="X9165" t="str">
            <v>GWP - gross</v>
          </cell>
          <cell r="Y9165" t="str">
            <v>GERMANY</v>
          </cell>
        </row>
        <row r="9166">
          <cell r="L9166" t="str">
            <v>Non-proportional</v>
          </cell>
          <cell r="S9166">
            <v>-79900</v>
          </cell>
          <cell r="X9166" t="str">
            <v>GWP - gross</v>
          </cell>
          <cell r="Y9166" t="str">
            <v>GERMANY</v>
          </cell>
        </row>
        <row r="9167">
          <cell r="L9167" t="str">
            <v>Non-proportional</v>
          </cell>
          <cell r="S9167">
            <v>-59400</v>
          </cell>
          <cell r="X9167" t="str">
            <v>GWP - gross</v>
          </cell>
          <cell r="Y9167" t="str">
            <v>GERMANY</v>
          </cell>
        </row>
        <row r="9168">
          <cell r="L9168" t="str">
            <v>Non-proportional</v>
          </cell>
          <cell r="S9168">
            <v>-110000</v>
          </cell>
          <cell r="X9168" t="str">
            <v>GWP - gross</v>
          </cell>
          <cell r="Y9168" t="str">
            <v>GERMANY</v>
          </cell>
        </row>
        <row r="9169">
          <cell r="L9169" t="str">
            <v>Non-proportional</v>
          </cell>
          <cell r="S9169">
            <v>81000</v>
          </cell>
          <cell r="X9169" t="str">
            <v>GWP - gross</v>
          </cell>
          <cell r="Y9169" t="str">
            <v>GERMANY</v>
          </cell>
        </row>
        <row r="9170">
          <cell r="L9170" t="str">
            <v>Non-proportional</v>
          </cell>
          <cell r="S9170">
            <v>-91490</v>
          </cell>
          <cell r="X9170" t="str">
            <v>GWP - gross</v>
          </cell>
          <cell r="Y9170" t="str">
            <v>GERMANY</v>
          </cell>
        </row>
        <row r="9171">
          <cell r="L9171" t="str">
            <v>Non-proportional</v>
          </cell>
          <cell r="S9171">
            <v>68000</v>
          </cell>
          <cell r="X9171" t="str">
            <v>GWP - gross</v>
          </cell>
          <cell r="Y9171" t="str">
            <v>GERMANY</v>
          </cell>
        </row>
        <row r="9172">
          <cell r="L9172" t="str">
            <v>Non-proportional</v>
          </cell>
          <cell r="S9172">
            <v>59400</v>
          </cell>
          <cell r="X9172" t="str">
            <v>GWP - gross</v>
          </cell>
          <cell r="Y9172" t="str">
            <v>GERMANY</v>
          </cell>
        </row>
        <row r="9173">
          <cell r="L9173" t="str">
            <v>Non-proportional</v>
          </cell>
          <cell r="S9173">
            <v>-23868</v>
          </cell>
          <cell r="X9173" t="str">
            <v>GWP - gross</v>
          </cell>
          <cell r="Y9173" t="str">
            <v>GERMANY</v>
          </cell>
        </row>
        <row r="9174">
          <cell r="L9174" t="str">
            <v>Non-proportional</v>
          </cell>
          <cell r="S9174">
            <v>134270.93</v>
          </cell>
          <cell r="X9174" t="str">
            <v>GWP - gross</v>
          </cell>
          <cell r="Y9174" t="str">
            <v>EUROPE</v>
          </cell>
        </row>
        <row r="9175">
          <cell r="L9175" t="str">
            <v>Non-proportional</v>
          </cell>
          <cell r="S9175">
            <v>27006.18</v>
          </cell>
          <cell r="X9175" t="str">
            <v>GWP - gross</v>
          </cell>
          <cell r="Y9175" t="str">
            <v>GERMANY</v>
          </cell>
        </row>
        <row r="9176">
          <cell r="L9176" t="str">
            <v>Non-proportional</v>
          </cell>
          <cell r="S9176">
            <v>97500</v>
          </cell>
          <cell r="X9176" t="str">
            <v>GWP - gross</v>
          </cell>
          <cell r="Y9176" t="str">
            <v>CZECH REPUBLIC</v>
          </cell>
        </row>
        <row r="9177">
          <cell r="L9177" t="str">
            <v>Non-proportional</v>
          </cell>
          <cell r="S9177">
            <v>-97198.77</v>
          </cell>
          <cell r="X9177" t="str">
            <v>GWP - gross</v>
          </cell>
          <cell r="Y9177" t="str">
            <v>GERMANY</v>
          </cell>
        </row>
        <row r="9178">
          <cell r="L9178" t="str">
            <v>Non-proportional</v>
          </cell>
          <cell r="S9178">
            <v>16819.919999999998</v>
          </cell>
          <cell r="X9178" t="str">
            <v>GWP - gross</v>
          </cell>
          <cell r="Y9178" t="str">
            <v>GERMANY</v>
          </cell>
        </row>
        <row r="9179">
          <cell r="L9179" t="str">
            <v>Non-proportional</v>
          </cell>
          <cell r="S9179">
            <v>-113400</v>
          </cell>
          <cell r="X9179" t="str">
            <v>GWP - gross</v>
          </cell>
          <cell r="Y9179" t="str">
            <v>GERMANY</v>
          </cell>
        </row>
        <row r="9180">
          <cell r="L9180" t="str">
            <v>Non-proportional</v>
          </cell>
          <cell r="S9180">
            <v>-23547.88</v>
          </cell>
          <cell r="X9180" t="str">
            <v>GWP - gross</v>
          </cell>
          <cell r="Y9180" t="str">
            <v>GERMANY</v>
          </cell>
        </row>
        <row r="9181">
          <cell r="L9181" t="str">
            <v>Non-proportional</v>
          </cell>
          <cell r="S9181">
            <v>-35805.599999999999</v>
          </cell>
          <cell r="X9181" t="str">
            <v>GWP - gross</v>
          </cell>
          <cell r="Y9181" t="str">
            <v>EUROPE</v>
          </cell>
        </row>
        <row r="9182">
          <cell r="L9182" t="str">
            <v>Non-proportional</v>
          </cell>
          <cell r="S9182">
            <v>15200</v>
          </cell>
          <cell r="X9182" t="str">
            <v>GWP - gross</v>
          </cell>
          <cell r="Y9182" t="str">
            <v>GERMANY</v>
          </cell>
        </row>
        <row r="9183">
          <cell r="L9183" t="str">
            <v>Non-proportional</v>
          </cell>
          <cell r="S9183">
            <v>-32480</v>
          </cell>
          <cell r="X9183" t="str">
            <v>GWP - gross</v>
          </cell>
          <cell r="Y9183" t="str">
            <v>GERMANY</v>
          </cell>
        </row>
        <row r="9184">
          <cell r="L9184" t="str">
            <v>Non-proportional</v>
          </cell>
          <cell r="S9184">
            <v>-78240</v>
          </cell>
          <cell r="X9184" t="str">
            <v>GWP - gross</v>
          </cell>
          <cell r="Y9184" t="str">
            <v>GERMANY</v>
          </cell>
        </row>
        <row r="9185">
          <cell r="L9185" t="str">
            <v>Non-proportional</v>
          </cell>
          <cell r="S9185">
            <v>1906.89</v>
          </cell>
          <cell r="X9185" t="str">
            <v>GWP - gross</v>
          </cell>
          <cell r="Y9185" t="str">
            <v>ITALY</v>
          </cell>
        </row>
        <row r="9186">
          <cell r="L9186" t="str">
            <v>Non-proportional</v>
          </cell>
          <cell r="S9186">
            <v>-147427.39000000001</v>
          </cell>
          <cell r="X9186" t="str">
            <v>GWP - gross</v>
          </cell>
          <cell r="Y9186" t="str">
            <v>DENMARK</v>
          </cell>
        </row>
        <row r="9187">
          <cell r="L9187" t="str">
            <v>Non-proportional</v>
          </cell>
          <cell r="S9187">
            <v>-11934</v>
          </cell>
          <cell r="X9187" t="str">
            <v>GWP - gross</v>
          </cell>
          <cell r="Y9187" t="str">
            <v>GERMANY</v>
          </cell>
        </row>
        <row r="9188">
          <cell r="L9188" t="str">
            <v>Non-proportional</v>
          </cell>
          <cell r="S9188">
            <v>-82714.34</v>
          </cell>
          <cell r="X9188" t="str">
            <v>GWP - gross</v>
          </cell>
          <cell r="Y9188" t="str">
            <v>GERMANY</v>
          </cell>
        </row>
        <row r="9189">
          <cell r="L9189" t="str">
            <v>Non-proportional</v>
          </cell>
          <cell r="S9189">
            <v>-1906.89</v>
          </cell>
          <cell r="X9189" t="str">
            <v>GWP - gross</v>
          </cell>
          <cell r="Y9189" t="str">
            <v>ITALY</v>
          </cell>
        </row>
        <row r="9190">
          <cell r="L9190" t="str">
            <v>Non-proportional</v>
          </cell>
          <cell r="S9190">
            <v>-144340</v>
          </cell>
          <cell r="X9190" t="str">
            <v>GWP - gross</v>
          </cell>
          <cell r="Y9190" t="str">
            <v>GERMANY</v>
          </cell>
        </row>
        <row r="9191">
          <cell r="L9191" t="str">
            <v>Non-proportional</v>
          </cell>
          <cell r="S9191">
            <v>-244000</v>
          </cell>
          <cell r="X9191" t="str">
            <v>GWP - gross</v>
          </cell>
          <cell r="Y9191" t="str">
            <v>GERMANY</v>
          </cell>
        </row>
        <row r="9192">
          <cell r="L9192" t="str">
            <v>Non-proportional</v>
          </cell>
          <cell r="S9192">
            <v>21200</v>
          </cell>
          <cell r="X9192" t="str">
            <v>GWP - gross</v>
          </cell>
          <cell r="Y9192" t="str">
            <v>GERMANY</v>
          </cell>
        </row>
        <row r="9193">
          <cell r="L9193" t="str">
            <v>Non-proportional</v>
          </cell>
          <cell r="S9193">
            <v>-107647.4</v>
          </cell>
          <cell r="X9193" t="str">
            <v>GWP - gross</v>
          </cell>
          <cell r="Y9193" t="str">
            <v>GERMANY</v>
          </cell>
        </row>
        <row r="9194">
          <cell r="L9194" t="str">
            <v>Non-proportional</v>
          </cell>
          <cell r="S9194">
            <v>-68000</v>
          </cell>
          <cell r="X9194" t="str">
            <v>GWP - gross</v>
          </cell>
          <cell r="Y9194" t="str">
            <v>GERMANY</v>
          </cell>
        </row>
        <row r="9195">
          <cell r="L9195" t="str">
            <v>Non-proportional</v>
          </cell>
          <cell r="S9195">
            <v>53708.35</v>
          </cell>
          <cell r="X9195" t="str">
            <v>GWP - gross</v>
          </cell>
          <cell r="Y9195" t="str">
            <v>EIRE</v>
          </cell>
        </row>
        <row r="9196">
          <cell r="L9196" t="str">
            <v>Non-proportional</v>
          </cell>
          <cell r="S9196">
            <v>-95180</v>
          </cell>
          <cell r="X9196" t="str">
            <v>GWP - gross</v>
          </cell>
          <cell r="Y9196" t="str">
            <v>GERMANY</v>
          </cell>
        </row>
        <row r="9197">
          <cell r="L9197" t="str">
            <v>Non-proportional</v>
          </cell>
          <cell r="S9197">
            <v>-0.38</v>
          </cell>
          <cell r="X9197" t="str">
            <v>GWP - gross</v>
          </cell>
          <cell r="Y9197" t="str">
            <v>GERMANY</v>
          </cell>
        </row>
        <row r="9198">
          <cell r="L9198" t="str">
            <v>Non-proportional</v>
          </cell>
          <cell r="S9198">
            <v>-127500</v>
          </cell>
          <cell r="X9198" t="str">
            <v>GWP - gross</v>
          </cell>
          <cell r="Y9198" t="str">
            <v>GERMANY</v>
          </cell>
        </row>
        <row r="9199">
          <cell r="L9199" t="str">
            <v>Non-proportional</v>
          </cell>
          <cell r="S9199">
            <v>63537.5</v>
          </cell>
          <cell r="X9199" t="str">
            <v>GWP - gross</v>
          </cell>
          <cell r="Y9199" t="str">
            <v>GERMANY</v>
          </cell>
        </row>
        <row r="9200">
          <cell r="L9200" t="str">
            <v>Non-proportional</v>
          </cell>
          <cell r="S9200">
            <v>127075</v>
          </cell>
          <cell r="X9200" t="str">
            <v>GWP - gross</v>
          </cell>
          <cell r="Y9200" t="str">
            <v>GERMANY</v>
          </cell>
        </row>
        <row r="9201">
          <cell r="L9201" t="str">
            <v>Non-proportional</v>
          </cell>
          <cell r="S9201">
            <v>170990.22</v>
          </cell>
          <cell r="X9201" t="str">
            <v>GWP - gross</v>
          </cell>
          <cell r="Y9201" t="str">
            <v>GERMANY</v>
          </cell>
        </row>
        <row r="9202">
          <cell r="L9202" t="str">
            <v>Non-proportional</v>
          </cell>
          <cell r="S9202">
            <v>15200</v>
          </cell>
          <cell r="X9202" t="str">
            <v>GWP - gross</v>
          </cell>
          <cell r="Y9202" t="str">
            <v>GERMANY</v>
          </cell>
        </row>
        <row r="9203">
          <cell r="L9203" t="str">
            <v>Non-proportional</v>
          </cell>
          <cell r="S9203">
            <v>-96800</v>
          </cell>
          <cell r="X9203" t="str">
            <v>GWP - gross</v>
          </cell>
          <cell r="Y9203" t="str">
            <v>GERMANY</v>
          </cell>
        </row>
        <row r="9204">
          <cell r="L9204" t="str">
            <v>Non-proportional</v>
          </cell>
          <cell r="S9204">
            <v>-97200</v>
          </cell>
          <cell r="X9204" t="str">
            <v>GWP - gross</v>
          </cell>
          <cell r="Y9204" t="str">
            <v>GERMANY</v>
          </cell>
        </row>
        <row r="9205">
          <cell r="L9205" t="str">
            <v>Non-proportional</v>
          </cell>
          <cell r="S9205">
            <v>-80562.53</v>
          </cell>
          <cell r="X9205" t="str">
            <v>GWP - gross</v>
          </cell>
          <cell r="Y9205" t="str">
            <v>EUROPE</v>
          </cell>
        </row>
        <row r="9206">
          <cell r="L9206" t="str">
            <v>Non-proportional</v>
          </cell>
          <cell r="S9206">
            <v>-74000</v>
          </cell>
          <cell r="X9206" t="str">
            <v>GWP - gross</v>
          </cell>
          <cell r="Y9206" t="str">
            <v>GERMANY</v>
          </cell>
        </row>
        <row r="9207">
          <cell r="L9207" t="str">
            <v>Non-proportional</v>
          </cell>
          <cell r="S9207">
            <v>110000</v>
          </cell>
          <cell r="X9207" t="str">
            <v>GWP - gross</v>
          </cell>
          <cell r="Y9207" t="str">
            <v>GERMANY</v>
          </cell>
        </row>
        <row r="9208">
          <cell r="L9208" t="str">
            <v>Non-proportional</v>
          </cell>
          <cell r="S9208">
            <v>-1.9</v>
          </cell>
          <cell r="X9208" t="str">
            <v>GWP - gross</v>
          </cell>
          <cell r="Y9208" t="str">
            <v>GERMANY</v>
          </cell>
        </row>
        <row r="9209">
          <cell r="L9209" t="str">
            <v>Non-proportional</v>
          </cell>
          <cell r="S9209">
            <v>97198.77</v>
          </cell>
          <cell r="X9209" t="str">
            <v>GWP - gross</v>
          </cell>
          <cell r="Y9209" t="str">
            <v>GERMANY</v>
          </cell>
        </row>
        <row r="9210">
          <cell r="L9210" t="str">
            <v>Non-proportional</v>
          </cell>
          <cell r="S9210">
            <v>-151205.26</v>
          </cell>
          <cell r="X9210" t="str">
            <v>GWP - gross</v>
          </cell>
          <cell r="Y9210" t="str">
            <v>GERMANY</v>
          </cell>
        </row>
        <row r="9211">
          <cell r="L9211" t="str">
            <v>Non-proportional</v>
          </cell>
          <cell r="S9211">
            <v>-525000</v>
          </cell>
          <cell r="X9211" t="str">
            <v>GWP - gross</v>
          </cell>
          <cell r="Y9211" t="str">
            <v>GERMANY</v>
          </cell>
        </row>
        <row r="9212">
          <cell r="L9212" t="str">
            <v>Non-proportional</v>
          </cell>
          <cell r="S9212">
            <v>21200</v>
          </cell>
          <cell r="X9212" t="str">
            <v>GWP - gross</v>
          </cell>
          <cell r="Y9212" t="str">
            <v>GERMANY</v>
          </cell>
        </row>
        <row r="9213">
          <cell r="L9213" t="str">
            <v>Non-proportional</v>
          </cell>
          <cell r="S9213">
            <v>-21200</v>
          </cell>
          <cell r="X9213" t="str">
            <v>GWP - gross</v>
          </cell>
          <cell r="Y9213" t="str">
            <v>GERMANY</v>
          </cell>
        </row>
        <row r="9214">
          <cell r="L9214" t="str">
            <v>Non-proportional</v>
          </cell>
          <cell r="S9214">
            <v>-96800</v>
          </cell>
          <cell r="X9214" t="str">
            <v>GWP - gross</v>
          </cell>
          <cell r="Y9214" t="str">
            <v>GERMANY</v>
          </cell>
        </row>
        <row r="9215">
          <cell r="L9215" t="str">
            <v>Non-proportional</v>
          </cell>
          <cell r="S9215">
            <v>65200</v>
          </cell>
          <cell r="X9215" t="str">
            <v>GWP - gross</v>
          </cell>
          <cell r="Y9215" t="str">
            <v>GERMANY</v>
          </cell>
        </row>
        <row r="9216">
          <cell r="L9216" t="str">
            <v>Non-proportional</v>
          </cell>
          <cell r="S9216">
            <v>120108.83</v>
          </cell>
          <cell r="X9216" t="str">
            <v>GWP - gross</v>
          </cell>
          <cell r="Y9216" t="str">
            <v>FRANCE</v>
          </cell>
        </row>
        <row r="9217">
          <cell r="L9217" t="str">
            <v>Non-proportional</v>
          </cell>
          <cell r="S9217">
            <v>14040</v>
          </cell>
          <cell r="X9217" t="str">
            <v>GWP - gross</v>
          </cell>
          <cell r="Y9217" t="str">
            <v>GERMANY</v>
          </cell>
        </row>
        <row r="9218">
          <cell r="L9218" t="str">
            <v>Non-proportional</v>
          </cell>
          <cell r="S9218">
            <v>-120108.83</v>
          </cell>
          <cell r="X9218" t="str">
            <v>GWP - gross</v>
          </cell>
          <cell r="Y9218" t="str">
            <v>FRANCE</v>
          </cell>
        </row>
        <row r="9219">
          <cell r="L9219" t="str">
            <v>Non-proportional</v>
          </cell>
          <cell r="S9219">
            <v>244000</v>
          </cell>
          <cell r="X9219" t="str">
            <v>GWP - gross</v>
          </cell>
          <cell r="Y9219" t="str">
            <v>GERMANY</v>
          </cell>
        </row>
        <row r="9220">
          <cell r="L9220" t="str">
            <v>Non-proportional</v>
          </cell>
          <cell r="S9220">
            <v>-21200</v>
          </cell>
          <cell r="X9220" t="str">
            <v>GWP - gross</v>
          </cell>
          <cell r="Y9220" t="str">
            <v>GERMANY</v>
          </cell>
        </row>
        <row r="9221">
          <cell r="L9221" t="str">
            <v>Non-proportional</v>
          </cell>
          <cell r="S9221">
            <v>198000</v>
          </cell>
          <cell r="X9221" t="str">
            <v>GWP - gross</v>
          </cell>
          <cell r="Y9221" t="str">
            <v>GERMANY</v>
          </cell>
        </row>
        <row r="9222">
          <cell r="L9222" t="str">
            <v>Non-proportional</v>
          </cell>
          <cell r="S9222">
            <v>96800</v>
          </cell>
          <cell r="X9222" t="str">
            <v>GWP - gross</v>
          </cell>
          <cell r="Y9222" t="str">
            <v>GERMANY</v>
          </cell>
        </row>
        <row r="9223">
          <cell r="L9223" t="str">
            <v>Non-proportional</v>
          </cell>
          <cell r="S9223">
            <v>32480</v>
          </cell>
          <cell r="X9223" t="str">
            <v>GWP - gross</v>
          </cell>
          <cell r="Y9223" t="str">
            <v>GERMANY</v>
          </cell>
        </row>
        <row r="9224">
          <cell r="L9224" t="str">
            <v>Non-proportional</v>
          </cell>
          <cell r="S9224">
            <v>-25470</v>
          </cell>
          <cell r="X9224" t="str">
            <v>GWP - gross</v>
          </cell>
          <cell r="Y9224" t="str">
            <v>GERMANY</v>
          </cell>
        </row>
        <row r="9225">
          <cell r="L9225" t="str">
            <v>Non-proportional</v>
          </cell>
          <cell r="S9225">
            <v>149189.9</v>
          </cell>
          <cell r="X9225" t="str">
            <v>GWP - gross</v>
          </cell>
          <cell r="Y9225" t="str">
            <v>EIRE</v>
          </cell>
        </row>
        <row r="9226">
          <cell r="L9226" t="str">
            <v>Non-proportional</v>
          </cell>
          <cell r="S9226">
            <v>82714.34</v>
          </cell>
          <cell r="X9226" t="str">
            <v>GWP - gross</v>
          </cell>
          <cell r="Y9226" t="str">
            <v>GERMANY</v>
          </cell>
        </row>
        <row r="9227">
          <cell r="L9227" t="str">
            <v>Non-proportional</v>
          </cell>
          <cell r="S9227">
            <v>-32250</v>
          </cell>
          <cell r="X9227" t="str">
            <v>GWP - gross</v>
          </cell>
          <cell r="Y9227" t="str">
            <v>GERMANY</v>
          </cell>
        </row>
        <row r="9228">
          <cell r="L9228" t="str">
            <v>Non-proportional</v>
          </cell>
          <cell r="S9228">
            <v>-88350</v>
          </cell>
          <cell r="X9228" t="str">
            <v>GWP - gross</v>
          </cell>
          <cell r="Y9228" t="str">
            <v>GERMANY</v>
          </cell>
        </row>
        <row r="9229">
          <cell r="L9229" t="str">
            <v>Non-proportional</v>
          </cell>
          <cell r="S9229">
            <v>-103500</v>
          </cell>
          <cell r="X9229" t="str">
            <v>GWP - gross</v>
          </cell>
          <cell r="Y9229" t="str">
            <v>GERMANY</v>
          </cell>
        </row>
        <row r="9230">
          <cell r="L9230" t="str">
            <v>Non-proportional</v>
          </cell>
          <cell r="S9230">
            <v>-134270.93</v>
          </cell>
          <cell r="X9230" t="str">
            <v>GWP - gross</v>
          </cell>
          <cell r="Y9230" t="str">
            <v>EUROPE</v>
          </cell>
        </row>
        <row r="9231">
          <cell r="L9231" t="str">
            <v>Non-proportional</v>
          </cell>
          <cell r="S9231">
            <v>-97500</v>
          </cell>
          <cell r="X9231" t="str">
            <v>GWP - gross</v>
          </cell>
          <cell r="Y9231" t="str">
            <v>CZECH REPUBLIC</v>
          </cell>
        </row>
        <row r="9232">
          <cell r="L9232" t="str">
            <v>Non-proportional</v>
          </cell>
          <cell r="S9232">
            <v>144340</v>
          </cell>
          <cell r="X9232" t="str">
            <v>GWP - gross</v>
          </cell>
          <cell r="Y9232" t="str">
            <v>GERMANY</v>
          </cell>
        </row>
        <row r="9233">
          <cell r="L9233" t="str">
            <v>Non-proportional</v>
          </cell>
          <cell r="S9233">
            <v>-201500</v>
          </cell>
          <cell r="X9233" t="str">
            <v>GWP - gross</v>
          </cell>
          <cell r="Y9233" t="str">
            <v>GERMANY</v>
          </cell>
        </row>
        <row r="9234">
          <cell r="L9234" t="str">
            <v>Non-proportional</v>
          </cell>
          <cell r="S9234">
            <v>-140800</v>
          </cell>
          <cell r="X9234" t="str">
            <v>GWP - gross</v>
          </cell>
          <cell r="Y9234" t="str">
            <v>GERMANY</v>
          </cell>
        </row>
        <row r="9235">
          <cell r="L9235" t="str">
            <v>Non-proportional</v>
          </cell>
          <cell r="S9235">
            <v>79900</v>
          </cell>
          <cell r="X9235" t="str">
            <v>GWP - gross</v>
          </cell>
          <cell r="Y9235" t="str">
            <v>GERMANY</v>
          </cell>
        </row>
        <row r="9236">
          <cell r="L9236" t="str">
            <v>Non-proportional</v>
          </cell>
          <cell r="S9236">
            <v>525000</v>
          </cell>
          <cell r="X9236" t="str">
            <v>GWP - gross</v>
          </cell>
          <cell r="Y9236" t="str">
            <v>GERMANY</v>
          </cell>
        </row>
        <row r="9237">
          <cell r="L9237" t="str">
            <v>Non-proportional</v>
          </cell>
          <cell r="S9237">
            <v>252080</v>
          </cell>
          <cell r="X9237" t="str">
            <v>GWP - gross</v>
          </cell>
          <cell r="Y9237" t="str">
            <v>GERMANY</v>
          </cell>
        </row>
        <row r="9238">
          <cell r="L9238" t="str">
            <v>Non-proportional</v>
          </cell>
          <cell r="S9238">
            <v>113400</v>
          </cell>
          <cell r="X9238" t="str">
            <v>GWP - gross</v>
          </cell>
          <cell r="Y9238" t="str">
            <v>GERMANY</v>
          </cell>
        </row>
        <row r="9239">
          <cell r="L9239" t="str">
            <v>Non-proportional</v>
          </cell>
          <cell r="S9239">
            <v>107647.44</v>
          </cell>
          <cell r="X9239" t="str">
            <v>GWP - gross</v>
          </cell>
          <cell r="Y9239" t="str">
            <v>GERMANY</v>
          </cell>
        </row>
        <row r="9240">
          <cell r="L9240" t="str">
            <v>Non-proportional</v>
          </cell>
          <cell r="S9240">
            <v>-24360</v>
          </cell>
          <cell r="X9240" t="str">
            <v>GWP - gross</v>
          </cell>
          <cell r="Y9240" t="str">
            <v>GERMANY</v>
          </cell>
        </row>
        <row r="9241">
          <cell r="L9241" t="str">
            <v>Non-proportional</v>
          </cell>
          <cell r="S9241">
            <v>23868</v>
          </cell>
          <cell r="X9241" t="str">
            <v>GWP - gross</v>
          </cell>
          <cell r="Y9241" t="str">
            <v>GERMANY</v>
          </cell>
        </row>
        <row r="9242">
          <cell r="L9242" t="str">
            <v>Non-proportional</v>
          </cell>
          <cell r="S9242">
            <v>-165555.23000000001</v>
          </cell>
          <cell r="X9242" t="str">
            <v>GWP - gross</v>
          </cell>
          <cell r="Y9242" t="str">
            <v>ITALY</v>
          </cell>
        </row>
        <row r="9243">
          <cell r="L9243" t="str">
            <v>Non-proportional</v>
          </cell>
          <cell r="S9243">
            <v>-53708.35</v>
          </cell>
          <cell r="X9243" t="str">
            <v>GWP - gross</v>
          </cell>
          <cell r="Y9243" t="str">
            <v>EIRE</v>
          </cell>
        </row>
        <row r="9244">
          <cell r="L9244" t="str">
            <v>Non-proportional</v>
          </cell>
          <cell r="S9244">
            <v>7759.13</v>
          </cell>
          <cell r="X9244" t="str">
            <v>GWP - gross</v>
          </cell>
          <cell r="Y9244" t="str">
            <v>ITALY</v>
          </cell>
        </row>
        <row r="9245">
          <cell r="L9245" t="str">
            <v>Non-proportional</v>
          </cell>
          <cell r="S9245">
            <v>-149500</v>
          </cell>
          <cell r="X9245" t="str">
            <v>GWP - gross</v>
          </cell>
          <cell r="Y9245" t="str">
            <v>GERMANY</v>
          </cell>
        </row>
        <row r="9246">
          <cell r="L9246" t="str">
            <v>Non-proportional</v>
          </cell>
          <cell r="S9246">
            <v>-149189.9</v>
          </cell>
          <cell r="X9246" t="str">
            <v>GWP - gross</v>
          </cell>
          <cell r="Y9246" t="str">
            <v>EIRE</v>
          </cell>
        </row>
        <row r="9247">
          <cell r="L9247" t="str">
            <v>Non-proportional</v>
          </cell>
          <cell r="S9247">
            <v>-127075</v>
          </cell>
          <cell r="X9247" t="str">
            <v>GWP - gross</v>
          </cell>
          <cell r="Y9247" t="str">
            <v>GERMANY</v>
          </cell>
        </row>
        <row r="9248">
          <cell r="L9248" t="str">
            <v>Non-proportional</v>
          </cell>
          <cell r="S9248">
            <v>151205.26</v>
          </cell>
          <cell r="X9248" t="str">
            <v>GWP - gross</v>
          </cell>
          <cell r="Y9248" t="str">
            <v>GERMANY</v>
          </cell>
        </row>
        <row r="9249">
          <cell r="L9249" t="str">
            <v>Non-proportional</v>
          </cell>
          <cell r="S9249">
            <v>66301.37</v>
          </cell>
          <cell r="X9249" t="str">
            <v>GWP - gross</v>
          </cell>
          <cell r="Y9249" t="str">
            <v>UNITED KINGDOM</v>
          </cell>
        </row>
        <row r="9250">
          <cell r="L9250" t="str">
            <v>Non-proportional</v>
          </cell>
          <cell r="S9250">
            <v>-70418.98</v>
          </cell>
          <cell r="X9250" t="str">
            <v>GWP - gross</v>
          </cell>
          <cell r="Y9250" t="str">
            <v>UNITED KINGDOM</v>
          </cell>
        </row>
        <row r="9251">
          <cell r="L9251" t="str">
            <v>Non-proportional</v>
          </cell>
          <cell r="S9251">
            <v>-32882.730000000003</v>
          </cell>
          <cell r="X9251" t="str">
            <v>GWP - gross</v>
          </cell>
          <cell r="Y9251" t="str">
            <v>JAPAN</v>
          </cell>
        </row>
        <row r="9252">
          <cell r="L9252" t="str">
            <v>Non-proportional</v>
          </cell>
          <cell r="S9252">
            <v>226800</v>
          </cell>
          <cell r="X9252" t="str">
            <v>GWP - gross</v>
          </cell>
          <cell r="Y9252" t="str">
            <v>ROMANIA</v>
          </cell>
        </row>
        <row r="9253">
          <cell r="L9253" t="str">
            <v>Non-proportional</v>
          </cell>
          <cell r="S9253">
            <v>-110502.28</v>
          </cell>
          <cell r="X9253" t="str">
            <v>GWP - gross</v>
          </cell>
          <cell r="Y9253" t="str">
            <v>UNITED KINGDOM</v>
          </cell>
        </row>
        <row r="9254">
          <cell r="L9254" t="str">
            <v>Non-proportional</v>
          </cell>
          <cell r="S9254">
            <v>-226800</v>
          </cell>
          <cell r="X9254" t="str">
            <v>GWP - gross</v>
          </cell>
          <cell r="Y9254" t="str">
            <v>ROMANIA</v>
          </cell>
        </row>
        <row r="9255">
          <cell r="L9255" t="str">
            <v>Non-proportional</v>
          </cell>
          <cell r="S9255">
            <v>64698.68</v>
          </cell>
          <cell r="X9255" t="str">
            <v>GWP - gross</v>
          </cell>
          <cell r="Y9255" t="str">
            <v>UNITED KINGDOM</v>
          </cell>
        </row>
        <row r="9256">
          <cell r="L9256" t="str">
            <v>Non-proportional</v>
          </cell>
          <cell r="S9256">
            <v>25728.19</v>
          </cell>
          <cell r="X9256" t="str">
            <v>GWP - gross</v>
          </cell>
          <cell r="Y9256" t="str">
            <v>JAPAN</v>
          </cell>
        </row>
        <row r="9257">
          <cell r="L9257" t="str">
            <v>Non-proportional</v>
          </cell>
          <cell r="S9257">
            <v>-317700</v>
          </cell>
          <cell r="X9257" t="str">
            <v>GWP - gross</v>
          </cell>
          <cell r="Y9257" t="str">
            <v>EUROPE</v>
          </cell>
        </row>
        <row r="9258">
          <cell r="L9258" t="str">
            <v>Non-proportional</v>
          </cell>
          <cell r="S9258">
            <v>-181440</v>
          </cell>
          <cell r="X9258" t="str">
            <v>GWP - gross</v>
          </cell>
          <cell r="Y9258" t="str">
            <v>ROMANIA</v>
          </cell>
        </row>
        <row r="9259">
          <cell r="L9259" t="str">
            <v>Non-proportional</v>
          </cell>
          <cell r="S9259">
            <v>-31320</v>
          </cell>
          <cell r="X9259" t="str">
            <v>GWP - gross</v>
          </cell>
          <cell r="Y9259" t="str">
            <v>ROMANIA</v>
          </cell>
        </row>
        <row r="9260">
          <cell r="L9260" t="str">
            <v>Non-proportional</v>
          </cell>
          <cell r="S9260">
            <v>-56335.18</v>
          </cell>
          <cell r="X9260" t="str">
            <v>GWP - gross</v>
          </cell>
          <cell r="Y9260" t="str">
            <v>UNITED KINGDOM</v>
          </cell>
        </row>
        <row r="9261">
          <cell r="L9261" t="str">
            <v>Non-proportional</v>
          </cell>
          <cell r="S9261">
            <v>-149189.9</v>
          </cell>
          <cell r="X9261" t="str">
            <v>GWP - gross</v>
          </cell>
          <cell r="Y9261" t="str">
            <v>EIRE</v>
          </cell>
        </row>
        <row r="9262">
          <cell r="L9262" t="str">
            <v>Non-proportional</v>
          </cell>
          <cell r="S9262">
            <v>31320</v>
          </cell>
          <cell r="X9262" t="str">
            <v>GWP - gross</v>
          </cell>
          <cell r="Y9262" t="str">
            <v>ROMANIA</v>
          </cell>
        </row>
        <row r="9263">
          <cell r="L9263" t="str">
            <v>Non-proportional</v>
          </cell>
          <cell r="S9263">
            <v>22100.46</v>
          </cell>
          <cell r="X9263" t="str">
            <v>GWP - gross</v>
          </cell>
          <cell r="Y9263" t="str">
            <v>UNITED KINGDOM</v>
          </cell>
        </row>
        <row r="9264">
          <cell r="L9264" t="str">
            <v>Non-proportional</v>
          </cell>
          <cell r="S9264">
            <v>-64698.68</v>
          </cell>
          <cell r="X9264" t="str">
            <v>GWP - gross</v>
          </cell>
          <cell r="Y9264" t="str">
            <v>UNITED KINGDOM</v>
          </cell>
        </row>
        <row r="9265">
          <cell r="L9265" t="str">
            <v>Non-proportional</v>
          </cell>
          <cell r="S9265">
            <v>-95727.85</v>
          </cell>
          <cell r="X9265" t="str">
            <v>GWP - gross</v>
          </cell>
          <cell r="Y9265" t="str">
            <v>UNITED KINGDOM</v>
          </cell>
        </row>
        <row r="9266">
          <cell r="L9266" t="str">
            <v>Non-proportional</v>
          </cell>
          <cell r="S9266">
            <v>79309.87</v>
          </cell>
          <cell r="X9266" t="str">
            <v>GWP - gross</v>
          </cell>
          <cell r="Y9266" t="str">
            <v>UNITED KINGDOM</v>
          </cell>
        </row>
        <row r="9267">
          <cell r="L9267" t="str">
            <v>Non-proportional</v>
          </cell>
          <cell r="S9267">
            <v>-20069.27</v>
          </cell>
          <cell r="X9267" t="str">
            <v>GWP - gross</v>
          </cell>
          <cell r="Y9267" t="str">
            <v>JAPAN</v>
          </cell>
        </row>
        <row r="9268">
          <cell r="L9268" t="str">
            <v>Non-proportional</v>
          </cell>
          <cell r="S9268">
            <v>10804.06</v>
          </cell>
          <cell r="X9268" t="str">
            <v>GWP - gross</v>
          </cell>
          <cell r="Y9268" t="str">
            <v>JAPAN</v>
          </cell>
        </row>
        <row r="9269">
          <cell r="L9269" t="str">
            <v>Non-proportional</v>
          </cell>
          <cell r="S9269">
            <v>-88401.83</v>
          </cell>
          <cell r="X9269" t="str">
            <v>GWP - gross</v>
          </cell>
          <cell r="Y9269" t="str">
            <v>UNITED KINGDOM</v>
          </cell>
        </row>
        <row r="9270">
          <cell r="L9270" t="str">
            <v>Non-proportional</v>
          </cell>
          <cell r="S9270">
            <v>181440</v>
          </cell>
          <cell r="X9270" t="str">
            <v>GWP - gross</v>
          </cell>
          <cell r="Y9270" t="str">
            <v>ROMANIA</v>
          </cell>
        </row>
        <row r="9271">
          <cell r="L9271" t="str">
            <v>Non-proportional</v>
          </cell>
          <cell r="S9271">
            <v>39150</v>
          </cell>
          <cell r="X9271" t="str">
            <v>GWP - gross</v>
          </cell>
          <cell r="Y9271" t="str">
            <v>ROMANIA</v>
          </cell>
        </row>
        <row r="9272">
          <cell r="L9272" t="str">
            <v>Non-proportional</v>
          </cell>
          <cell r="S9272">
            <v>-71889.710000000006</v>
          </cell>
          <cell r="X9272" t="str">
            <v>GWP - gross</v>
          </cell>
          <cell r="Y9272" t="str">
            <v>UNITED KINGDOM</v>
          </cell>
        </row>
        <row r="9273">
          <cell r="L9273" t="str">
            <v>Non-proportional</v>
          </cell>
          <cell r="S9273">
            <v>56335.18</v>
          </cell>
          <cell r="X9273" t="str">
            <v>GWP - gross</v>
          </cell>
          <cell r="Y9273" t="str">
            <v>UNITED KINGDOM</v>
          </cell>
        </row>
        <row r="9274">
          <cell r="L9274" t="str">
            <v>Non-proportional</v>
          </cell>
          <cell r="S9274">
            <v>20069.27</v>
          </cell>
          <cell r="X9274" t="str">
            <v>GWP - gross</v>
          </cell>
          <cell r="Y9274" t="str">
            <v>JAPAN</v>
          </cell>
        </row>
        <row r="9275">
          <cell r="L9275" t="str">
            <v>Non-proportional</v>
          </cell>
          <cell r="S9275">
            <v>32882.730000000003</v>
          </cell>
          <cell r="X9275" t="str">
            <v>GWP - gross</v>
          </cell>
          <cell r="Y9275" t="str">
            <v>JAPAN</v>
          </cell>
        </row>
        <row r="9276">
          <cell r="L9276" t="str">
            <v>Non-proportional</v>
          </cell>
          <cell r="S9276">
            <v>181440</v>
          </cell>
          <cell r="X9276" t="str">
            <v>GWP - gross</v>
          </cell>
          <cell r="Y9276" t="str">
            <v>ROMANIA</v>
          </cell>
        </row>
        <row r="9277">
          <cell r="L9277" t="str">
            <v>Non-proportional</v>
          </cell>
          <cell r="S9277">
            <v>-22100.46</v>
          </cell>
          <cell r="X9277" t="str">
            <v>GWP - gross</v>
          </cell>
          <cell r="Y9277" t="str">
            <v>UNITED KINGDOM</v>
          </cell>
        </row>
        <row r="9278">
          <cell r="L9278" t="str">
            <v>Non-proportional</v>
          </cell>
          <cell r="S9278">
            <v>-92085.24</v>
          </cell>
          <cell r="X9278" t="str">
            <v>GWP - gross</v>
          </cell>
          <cell r="Y9278" t="str">
            <v>UNITED KINGDOM</v>
          </cell>
        </row>
        <row r="9279">
          <cell r="L9279" t="str">
            <v>Non-proportional</v>
          </cell>
          <cell r="S9279">
            <v>31320</v>
          </cell>
          <cell r="X9279" t="str">
            <v>GWP - gross</v>
          </cell>
          <cell r="Y9279" t="str">
            <v>ROMANIA</v>
          </cell>
        </row>
        <row r="9280">
          <cell r="L9280" t="str">
            <v>Non-proportional</v>
          </cell>
          <cell r="S9280">
            <v>-24478.35</v>
          </cell>
          <cell r="X9280" t="str">
            <v>GWP - gross</v>
          </cell>
          <cell r="Y9280" t="str">
            <v>UNITED KINGDOM</v>
          </cell>
        </row>
        <row r="9281">
          <cell r="L9281" t="str">
            <v>Non-proportional</v>
          </cell>
          <cell r="S9281">
            <v>-30597.94</v>
          </cell>
          <cell r="X9281" t="str">
            <v>GWP - gross</v>
          </cell>
          <cell r="Y9281" t="str">
            <v>UNITED KINGDOM</v>
          </cell>
        </row>
        <row r="9282">
          <cell r="L9282" t="str">
            <v>Non-proportional</v>
          </cell>
          <cell r="S9282">
            <v>88401.83</v>
          </cell>
          <cell r="X9282" t="str">
            <v>GWP - gross</v>
          </cell>
          <cell r="Y9282" t="str">
            <v>UNITED KINGDOM</v>
          </cell>
        </row>
        <row r="9283">
          <cell r="L9283" t="str">
            <v>Non-proportional</v>
          </cell>
          <cell r="S9283">
            <v>-25728.19</v>
          </cell>
          <cell r="X9283" t="str">
            <v>GWP - gross</v>
          </cell>
          <cell r="Y9283" t="str">
            <v>JAPAN</v>
          </cell>
        </row>
        <row r="9284">
          <cell r="L9284" t="str">
            <v>Non-proportional</v>
          </cell>
          <cell r="S9284">
            <v>-134959.79999999999</v>
          </cell>
          <cell r="X9284" t="str">
            <v>GWP - gross</v>
          </cell>
          <cell r="Y9284" t="str">
            <v>EIRE</v>
          </cell>
        </row>
        <row r="9285">
          <cell r="L9285" t="str">
            <v>Non-proportional</v>
          </cell>
          <cell r="S9285">
            <v>52484.35</v>
          </cell>
          <cell r="X9285" t="str">
            <v>GWP - gross</v>
          </cell>
          <cell r="Y9285" t="str">
            <v>EIRE</v>
          </cell>
        </row>
        <row r="9286">
          <cell r="L9286" t="str">
            <v>Non-proportional</v>
          </cell>
          <cell r="S9286">
            <v>-20069.27</v>
          </cell>
          <cell r="X9286" t="str">
            <v>GWP - gross</v>
          </cell>
          <cell r="Y9286" t="str">
            <v>JAPAN</v>
          </cell>
        </row>
        <row r="9287">
          <cell r="L9287" t="str">
            <v>Non-proportional</v>
          </cell>
          <cell r="S9287">
            <v>73668.19</v>
          </cell>
          <cell r="X9287" t="str">
            <v>GWP - gross</v>
          </cell>
          <cell r="Y9287" t="str">
            <v>UNITED KINGDOM</v>
          </cell>
        </row>
        <row r="9288">
          <cell r="L9288" t="str">
            <v>Non-proportional</v>
          </cell>
          <cell r="S9288">
            <v>-39150</v>
          </cell>
          <cell r="X9288" t="str">
            <v>GWP - gross</v>
          </cell>
          <cell r="Y9288" t="str">
            <v>ROMANIA</v>
          </cell>
        </row>
        <row r="9289">
          <cell r="L9289" t="str">
            <v>Non-proportional</v>
          </cell>
          <cell r="S9289">
            <v>-73668.19</v>
          </cell>
          <cell r="X9289" t="str">
            <v>GWP - gross</v>
          </cell>
          <cell r="Y9289" t="str">
            <v>UNITED KINGDOM</v>
          </cell>
        </row>
        <row r="9290">
          <cell r="L9290" t="str">
            <v>Non-proportional</v>
          </cell>
          <cell r="S9290">
            <v>76582.28</v>
          </cell>
          <cell r="X9290" t="str">
            <v>GWP - gross</v>
          </cell>
          <cell r="Y9290" t="str">
            <v>UNITED KINGDOM</v>
          </cell>
        </row>
        <row r="9291">
          <cell r="L9291" t="str">
            <v>Non-proportional</v>
          </cell>
          <cell r="S9291">
            <v>53708.35</v>
          </cell>
          <cell r="X9291" t="str">
            <v>GWP - gross</v>
          </cell>
          <cell r="Y9291" t="str">
            <v>EIRE</v>
          </cell>
        </row>
        <row r="9292">
          <cell r="L9292" t="str">
            <v>Non-proportional</v>
          </cell>
          <cell r="S9292">
            <v>-32882.730000000003</v>
          </cell>
          <cell r="X9292" t="str">
            <v>GWP - gross</v>
          </cell>
          <cell r="Y9292" t="str">
            <v>JAPAN</v>
          </cell>
        </row>
        <row r="9293">
          <cell r="L9293" t="str">
            <v>Non-proportional</v>
          </cell>
          <cell r="S9293">
            <v>-66301.37</v>
          </cell>
          <cell r="X9293" t="str">
            <v>GWP - gross</v>
          </cell>
          <cell r="Y9293" t="str">
            <v>UNITED KINGDOM</v>
          </cell>
        </row>
        <row r="9294">
          <cell r="L9294" t="str">
            <v>Non-proportional</v>
          </cell>
          <cell r="S9294">
            <v>65452.22</v>
          </cell>
          <cell r="X9294" t="str">
            <v>GWP - gross</v>
          </cell>
          <cell r="Y9294" t="str">
            <v>UNITED KINGDOM</v>
          </cell>
        </row>
        <row r="9295">
          <cell r="L9295" t="str">
            <v>Non-proportional</v>
          </cell>
          <cell r="S9295">
            <v>317700</v>
          </cell>
          <cell r="X9295" t="str">
            <v>GWP - gross</v>
          </cell>
          <cell r="Y9295" t="str">
            <v>EUROPE</v>
          </cell>
        </row>
        <row r="9296">
          <cell r="L9296" t="str">
            <v>Non-proportional</v>
          </cell>
          <cell r="S9296">
            <v>-79309.87</v>
          </cell>
          <cell r="X9296" t="str">
            <v>GWP - gross</v>
          </cell>
          <cell r="Y9296" t="str">
            <v>UNITED KINGDOM</v>
          </cell>
        </row>
        <row r="9297">
          <cell r="L9297" t="str">
            <v>Non-proportional</v>
          </cell>
          <cell r="S9297">
            <v>-82876.710000000006</v>
          </cell>
          <cell r="X9297" t="str">
            <v>GWP - gross</v>
          </cell>
          <cell r="Y9297" t="str">
            <v>UNITED KINGDOM</v>
          </cell>
        </row>
        <row r="9298">
          <cell r="L9298" t="str">
            <v>Non-proportional</v>
          </cell>
          <cell r="S9298">
            <v>24478.35</v>
          </cell>
          <cell r="X9298" t="str">
            <v>GWP - gross</v>
          </cell>
          <cell r="Y9298" t="str">
            <v>UNITED KINGDOM</v>
          </cell>
        </row>
        <row r="9299">
          <cell r="L9299" t="str">
            <v>Non-proportional</v>
          </cell>
          <cell r="S9299">
            <v>-76582.28</v>
          </cell>
          <cell r="X9299" t="str">
            <v>GWP - gross</v>
          </cell>
          <cell r="Y9299" t="str">
            <v>UNITED KINGDOM</v>
          </cell>
        </row>
        <row r="9300">
          <cell r="L9300" t="str">
            <v>Non-proportional</v>
          </cell>
          <cell r="S9300">
            <v>134959.79999999999</v>
          </cell>
          <cell r="X9300" t="str">
            <v>GWP - gross</v>
          </cell>
          <cell r="Y9300" t="str">
            <v>EIRE</v>
          </cell>
        </row>
        <row r="9301">
          <cell r="L9301" t="str">
            <v>Non-proportional</v>
          </cell>
          <cell r="S9301">
            <v>-72735.56</v>
          </cell>
          <cell r="X9301" t="str">
            <v>GWP - gross</v>
          </cell>
          <cell r="Y9301" t="str">
            <v>UNITED KINGDOM</v>
          </cell>
        </row>
        <row r="9302">
          <cell r="L9302" t="str">
            <v>Non-proportional</v>
          </cell>
          <cell r="S9302">
            <v>-31320</v>
          </cell>
          <cell r="X9302" t="str">
            <v>GWP - gross</v>
          </cell>
          <cell r="Y9302" t="str">
            <v>ROMANIA</v>
          </cell>
        </row>
        <row r="9303">
          <cell r="L9303" t="str">
            <v>Non-proportional</v>
          </cell>
          <cell r="S9303">
            <v>-181440</v>
          </cell>
          <cell r="X9303" t="str">
            <v>GWP - gross</v>
          </cell>
          <cell r="Y9303" t="str">
            <v>ROMANIA</v>
          </cell>
        </row>
        <row r="9304">
          <cell r="L9304" t="str">
            <v>Non-proportional</v>
          </cell>
          <cell r="S9304">
            <v>-53708.35</v>
          </cell>
          <cell r="X9304" t="str">
            <v>GWP - gross</v>
          </cell>
          <cell r="Y9304" t="str">
            <v>EIRE</v>
          </cell>
        </row>
        <row r="9305">
          <cell r="L9305" t="str">
            <v>Non-proportional</v>
          </cell>
          <cell r="S9305">
            <v>-65452.22</v>
          </cell>
          <cell r="X9305" t="str">
            <v>GWP - gross</v>
          </cell>
          <cell r="Y9305" t="str">
            <v>UNITED KINGDOM</v>
          </cell>
        </row>
        <row r="9306">
          <cell r="L9306" t="str">
            <v>Non-proportional</v>
          </cell>
          <cell r="S9306">
            <v>-10804.06</v>
          </cell>
          <cell r="X9306" t="str">
            <v>GWP - gross</v>
          </cell>
          <cell r="Y9306" t="str">
            <v>JAPAN</v>
          </cell>
        </row>
        <row r="9307">
          <cell r="L9307" t="str">
            <v>Non-proportional</v>
          </cell>
          <cell r="S9307">
            <v>-99137.33</v>
          </cell>
          <cell r="X9307" t="str">
            <v>GWP - gross</v>
          </cell>
          <cell r="Y9307" t="str">
            <v>UNITED KINGDOM</v>
          </cell>
        </row>
        <row r="9308">
          <cell r="L9308" t="str">
            <v>Non-proportional</v>
          </cell>
          <cell r="S9308">
            <v>149189.9</v>
          </cell>
          <cell r="X9308" t="str">
            <v>GWP - gross</v>
          </cell>
          <cell r="Y9308" t="str">
            <v>EIRE</v>
          </cell>
        </row>
        <row r="9309">
          <cell r="L9309" t="str">
            <v>Non-proportional</v>
          </cell>
          <cell r="S9309">
            <v>-52484.35</v>
          </cell>
          <cell r="X9309" t="str">
            <v>GWP - gross</v>
          </cell>
          <cell r="Y9309" t="str">
            <v>EIRE</v>
          </cell>
        </row>
        <row r="9310">
          <cell r="L9310" t="str">
            <v>Non-proportional</v>
          </cell>
          <cell r="S9310">
            <v>-25728.19</v>
          </cell>
          <cell r="X9310" t="str">
            <v>GWP - gross</v>
          </cell>
          <cell r="Y9310" t="str">
            <v>JAPAN</v>
          </cell>
        </row>
        <row r="9311">
          <cell r="L9311" t="str">
            <v>Non-proportional</v>
          </cell>
          <cell r="S9311">
            <v>-10804.06</v>
          </cell>
          <cell r="X9311" t="str">
            <v>GWP - gross</v>
          </cell>
          <cell r="Y9311" t="str">
            <v>JAPAN</v>
          </cell>
        </row>
        <row r="9312">
          <cell r="L9312" t="str">
            <v>Non-proportional</v>
          </cell>
          <cell r="S9312">
            <v>-27625.57</v>
          </cell>
          <cell r="X9312" t="str">
            <v>GWP - gross</v>
          </cell>
          <cell r="Y9312" t="str">
            <v>UNITED KINGDOM</v>
          </cell>
        </row>
        <row r="9313">
          <cell r="L9313" t="str">
            <v>Non-proportional</v>
          </cell>
          <cell r="S9313">
            <v>-78240</v>
          </cell>
          <cell r="X9313" t="str">
            <v>GWP - gross</v>
          </cell>
          <cell r="Y9313" t="str">
            <v>GERMANY</v>
          </cell>
        </row>
        <row r="9314">
          <cell r="L9314" t="str">
            <v>Non-proportional</v>
          </cell>
          <cell r="S9314">
            <v>113400</v>
          </cell>
          <cell r="X9314" t="str">
            <v>GWP - gross</v>
          </cell>
          <cell r="Y9314" t="str">
            <v>GERMANY</v>
          </cell>
        </row>
        <row r="9315">
          <cell r="L9315" t="str">
            <v>Non-proportional</v>
          </cell>
          <cell r="S9315">
            <v>78240</v>
          </cell>
          <cell r="X9315" t="str">
            <v>GWP - gross</v>
          </cell>
          <cell r="Y9315" t="str">
            <v>GERMANY</v>
          </cell>
        </row>
        <row r="9316">
          <cell r="L9316" t="str">
            <v>Non-proportional</v>
          </cell>
          <cell r="S9316">
            <v>32480</v>
          </cell>
          <cell r="X9316" t="str">
            <v>GWP - gross</v>
          </cell>
          <cell r="Y9316" t="str">
            <v>GERMANY</v>
          </cell>
        </row>
        <row r="9317">
          <cell r="L9317" t="str">
            <v>Non-proportional</v>
          </cell>
          <cell r="S9317">
            <v>-91490</v>
          </cell>
          <cell r="X9317" t="str">
            <v>GWP - gross</v>
          </cell>
          <cell r="Y9317" t="str">
            <v>GERMANY</v>
          </cell>
        </row>
        <row r="9318">
          <cell r="L9318" t="str">
            <v>Non-proportional</v>
          </cell>
          <cell r="S9318">
            <v>91490</v>
          </cell>
          <cell r="X9318" t="str">
            <v>GWP - gross</v>
          </cell>
          <cell r="Y9318" t="str">
            <v>GERMANY</v>
          </cell>
        </row>
        <row r="9319">
          <cell r="L9319" t="str">
            <v>Non-proportional</v>
          </cell>
          <cell r="S9319">
            <v>37720</v>
          </cell>
          <cell r="X9319" t="str">
            <v>GWP - gross</v>
          </cell>
          <cell r="Y9319" t="str">
            <v>GERMANY</v>
          </cell>
        </row>
        <row r="9320">
          <cell r="L9320" t="str">
            <v>Non-proportional</v>
          </cell>
          <cell r="S9320">
            <v>131698</v>
          </cell>
          <cell r="X9320" t="str">
            <v>GWP - gross</v>
          </cell>
          <cell r="Y9320" t="str">
            <v>GERMANY</v>
          </cell>
        </row>
        <row r="9321">
          <cell r="L9321" t="str">
            <v>Non-proportional</v>
          </cell>
          <cell r="S9321">
            <v>112884</v>
          </cell>
          <cell r="X9321" t="str">
            <v>GWP - gross</v>
          </cell>
          <cell r="Y9321" t="str">
            <v>GERMANY</v>
          </cell>
        </row>
        <row r="9322">
          <cell r="L9322" t="str">
            <v>Non-proportional</v>
          </cell>
          <cell r="S9322">
            <v>-98799.17</v>
          </cell>
          <cell r="X9322" t="str">
            <v>GWP - gross</v>
          </cell>
          <cell r="Y9322" t="str">
            <v>POLAND</v>
          </cell>
        </row>
        <row r="9323">
          <cell r="L9323" t="str">
            <v>Non-proportional</v>
          </cell>
          <cell r="S9323">
            <v>-113400</v>
          </cell>
          <cell r="X9323" t="str">
            <v>GWP - gross</v>
          </cell>
          <cell r="Y9323" t="str">
            <v>GERMANY</v>
          </cell>
        </row>
        <row r="9324">
          <cell r="L9324" t="str">
            <v>Non-proportional</v>
          </cell>
          <cell r="S9324">
            <v>-97200</v>
          </cell>
          <cell r="X9324" t="str">
            <v>GWP - gross</v>
          </cell>
          <cell r="Y9324" t="str">
            <v>GERMANY</v>
          </cell>
        </row>
        <row r="9325">
          <cell r="L9325" t="str">
            <v>Non-proportional</v>
          </cell>
          <cell r="S9325">
            <v>106260</v>
          </cell>
          <cell r="X9325" t="str">
            <v>GWP - gross</v>
          </cell>
          <cell r="Y9325" t="str">
            <v>GERMANY</v>
          </cell>
        </row>
        <row r="9326">
          <cell r="L9326" t="str">
            <v>Non-proportional</v>
          </cell>
          <cell r="S9326">
            <v>91080</v>
          </cell>
          <cell r="X9326" t="str">
            <v>GWP - gross</v>
          </cell>
          <cell r="Y9326" t="str">
            <v>GERMANY</v>
          </cell>
        </row>
        <row r="9327">
          <cell r="L9327" t="str">
            <v>Non-proportional</v>
          </cell>
          <cell r="S9327">
            <v>28290</v>
          </cell>
          <cell r="X9327" t="str">
            <v>GWP - gross</v>
          </cell>
          <cell r="Y9327" t="str">
            <v>GERMANY</v>
          </cell>
        </row>
        <row r="9328">
          <cell r="L9328" t="str">
            <v>Non-proportional</v>
          </cell>
          <cell r="S9328">
            <v>24360</v>
          </cell>
          <cell r="X9328" t="str">
            <v>GWP - gross</v>
          </cell>
          <cell r="Y9328" t="str">
            <v>GERMANY</v>
          </cell>
        </row>
        <row r="9329">
          <cell r="L9329" t="str">
            <v>Non-proportional</v>
          </cell>
          <cell r="S9329">
            <v>-24360</v>
          </cell>
          <cell r="X9329" t="str">
            <v>GWP - gross</v>
          </cell>
          <cell r="Y9329" t="str">
            <v>GERMANY</v>
          </cell>
        </row>
        <row r="9330">
          <cell r="L9330" t="str">
            <v>Non-proportional</v>
          </cell>
          <cell r="S9330">
            <v>97200</v>
          </cell>
          <cell r="X9330" t="str">
            <v>GWP - gross</v>
          </cell>
          <cell r="Y9330" t="str">
            <v>GERMANY</v>
          </cell>
        </row>
        <row r="9331">
          <cell r="L9331" t="str">
            <v>Non-proportional</v>
          </cell>
          <cell r="S9331">
            <v>-32480</v>
          </cell>
          <cell r="X9331" t="str">
            <v>GWP - gross</v>
          </cell>
          <cell r="Y9331" t="str">
            <v>GERMANY</v>
          </cell>
        </row>
        <row r="9332">
          <cell r="L9332" t="str">
            <v>Non-proportional</v>
          </cell>
          <cell r="S9332">
            <v>-11214.16</v>
          </cell>
          <cell r="X9332" t="str">
            <v>GWP - gross</v>
          </cell>
          <cell r="Y9332" t="str">
            <v>GERMANY</v>
          </cell>
        </row>
        <row r="9333">
          <cell r="L9333" t="str">
            <v>Non-proportional</v>
          </cell>
          <cell r="S9333">
            <v>-60619.45</v>
          </cell>
          <cell r="X9333" t="str">
            <v>GWP - gross</v>
          </cell>
          <cell r="Y9333" t="str">
            <v>SWITZERLAND</v>
          </cell>
        </row>
        <row r="9334">
          <cell r="L9334" t="str">
            <v>Proportional</v>
          </cell>
          <cell r="S9334">
            <v>-1706484.64</v>
          </cell>
          <cell r="X9334" t="str">
            <v>GWP - gross</v>
          </cell>
          <cell r="Y9334" t="str">
            <v>SWITZERLAND</v>
          </cell>
        </row>
        <row r="9335">
          <cell r="L9335" t="str">
            <v>Non-proportional</v>
          </cell>
          <cell r="S9335">
            <v>11214.16</v>
          </cell>
          <cell r="X9335" t="str">
            <v>GWP - gross</v>
          </cell>
          <cell r="Y9335" t="str">
            <v>GERMANY</v>
          </cell>
        </row>
        <row r="9336">
          <cell r="L9336" t="str">
            <v>Non-proportional</v>
          </cell>
          <cell r="S9336">
            <v>11214.16</v>
          </cell>
          <cell r="X9336" t="str">
            <v>GWP - gross</v>
          </cell>
          <cell r="Y9336" t="str">
            <v>GERMANY</v>
          </cell>
        </row>
        <row r="9337">
          <cell r="L9337" t="str">
            <v>Non-proportional</v>
          </cell>
          <cell r="S9337">
            <v>112141.63</v>
          </cell>
          <cell r="X9337" t="str">
            <v>GWP - gross</v>
          </cell>
          <cell r="Y9337" t="str">
            <v>GERMANY</v>
          </cell>
        </row>
        <row r="9338">
          <cell r="L9338" t="str">
            <v>Non-proportional</v>
          </cell>
          <cell r="S9338">
            <v>-8082.59</v>
          </cell>
          <cell r="X9338" t="str">
            <v>GWP - gross</v>
          </cell>
          <cell r="Y9338" t="str">
            <v>SWITZERLAND</v>
          </cell>
        </row>
        <row r="9339">
          <cell r="L9339" t="str">
            <v>Non-proportional</v>
          </cell>
          <cell r="S9339">
            <v>-16638.23</v>
          </cell>
          <cell r="X9339" t="str">
            <v>GWP - gross</v>
          </cell>
          <cell r="Y9339" t="str">
            <v>SWITZERLAND</v>
          </cell>
        </row>
        <row r="9340">
          <cell r="L9340" t="str">
            <v>Non-proportional</v>
          </cell>
          <cell r="S9340">
            <v>-24938.84</v>
          </cell>
          <cell r="X9340" t="str">
            <v>GWP - gross</v>
          </cell>
          <cell r="Y9340" t="str">
            <v>SWITZERLAND</v>
          </cell>
        </row>
        <row r="9341">
          <cell r="L9341" t="str">
            <v>Non-proportional</v>
          </cell>
          <cell r="S9341">
            <v>-112141.63</v>
          </cell>
          <cell r="X9341" t="str">
            <v>GWP - gross</v>
          </cell>
          <cell r="Y9341" t="str">
            <v>GERMANY</v>
          </cell>
        </row>
        <row r="9342">
          <cell r="L9342" t="str">
            <v>Non-proportional</v>
          </cell>
          <cell r="S9342">
            <v>-11214.16</v>
          </cell>
          <cell r="X9342" t="str">
            <v>GWP - gross</v>
          </cell>
          <cell r="Y9342" t="str">
            <v>GERMANY</v>
          </cell>
        </row>
        <row r="9343">
          <cell r="L9343" t="str">
            <v>Non-proportional</v>
          </cell>
          <cell r="S9343">
            <v>-14092.5</v>
          </cell>
          <cell r="X9343" t="str">
            <v>GWP - gross</v>
          </cell>
          <cell r="Y9343" t="str">
            <v>REPUBLIC OF IRELAND</v>
          </cell>
        </row>
        <row r="9344">
          <cell r="L9344" t="str">
            <v>Non-proportional</v>
          </cell>
          <cell r="S9344">
            <v>-36000</v>
          </cell>
          <cell r="X9344" t="str">
            <v>GWP - gross</v>
          </cell>
          <cell r="Y9344" t="str">
            <v>SPAIN</v>
          </cell>
        </row>
        <row r="9345">
          <cell r="L9345" t="str">
            <v>Non-proportional</v>
          </cell>
          <cell r="S9345">
            <v>-100249.91</v>
          </cell>
          <cell r="X9345" t="str">
            <v>GWP - gross</v>
          </cell>
          <cell r="Y9345" t="str">
            <v>DENMARK</v>
          </cell>
        </row>
        <row r="9346">
          <cell r="L9346" t="str">
            <v>Non-proportional</v>
          </cell>
          <cell r="S9346">
            <v>32000</v>
          </cell>
          <cell r="X9346" t="str">
            <v>GWP - gross</v>
          </cell>
          <cell r="Y9346" t="str">
            <v>ITALY</v>
          </cell>
        </row>
        <row r="9347">
          <cell r="L9347" t="str">
            <v>Non-proportional</v>
          </cell>
          <cell r="S9347">
            <v>131878.54</v>
          </cell>
          <cell r="X9347" t="str">
            <v>GWP - gross</v>
          </cell>
          <cell r="Y9347" t="str">
            <v>UNITED KINGDOM</v>
          </cell>
        </row>
        <row r="9348">
          <cell r="L9348" t="str">
            <v>Non-proportional</v>
          </cell>
          <cell r="S9348">
            <v>-155999.97</v>
          </cell>
          <cell r="X9348" t="str">
            <v>GWP - gross</v>
          </cell>
          <cell r="Y9348" t="str">
            <v>ROMANIA</v>
          </cell>
        </row>
        <row r="9349">
          <cell r="L9349" t="str">
            <v>Non-proportional</v>
          </cell>
          <cell r="S9349">
            <v>-25234.13</v>
          </cell>
          <cell r="X9349" t="str">
            <v>GWP - gross</v>
          </cell>
          <cell r="Y9349" t="str">
            <v>UNITED KINGDOM</v>
          </cell>
        </row>
        <row r="9350">
          <cell r="L9350" t="str">
            <v>Non-proportional</v>
          </cell>
          <cell r="S9350">
            <v>24299.58</v>
          </cell>
          <cell r="X9350" t="str">
            <v>GWP - gross</v>
          </cell>
          <cell r="Y9350" t="str">
            <v>AUSTRALIA</v>
          </cell>
        </row>
        <row r="9351">
          <cell r="L9351" t="str">
            <v>Non-proportional</v>
          </cell>
          <cell r="S9351">
            <v>-83709.100000000006</v>
          </cell>
          <cell r="X9351" t="str">
            <v>GWP - gross</v>
          </cell>
          <cell r="Y9351" t="str">
            <v>UNITED KINGDOM</v>
          </cell>
        </row>
        <row r="9352">
          <cell r="L9352" t="str">
            <v>Non-proportional</v>
          </cell>
          <cell r="S9352">
            <v>25234.13</v>
          </cell>
          <cell r="X9352" t="str">
            <v>GWP - gross</v>
          </cell>
          <cell r="Y9352" t="str">
            <v>UNITED KINGDOM</v>
          </cell>
        </row>
        <row r="9353">
          <cell r="L9353" t="str">
            <v>Non-proportional</v>
          </cell>
          <cell r="S9353">
            <v>-168086.5</v>
          </cell>
          <cell r="X9353" t="str">
            <v>GWP - gross</v>
          </cell>
          <cell r="Y9353" t="str">
            <v>POLAND</v>
          </cell>
        </row>
        <row r="9354">
          <cell r="L9354" t="str">
            <v>Non-proportional</v>
          </cell>
          <cell r="S9354">
            <v>22520.400000000001</v>
          </cell>
          <cell r="X9354" t="str">
            <v>GWP - gross</v>
          </cell>
          <cell r="Y9354" t="str">
            <v>SPAIN</v>
          </cell>
        </row>
        <row r="9355">
          <cell r="L9355" t="str">
            <v>Non-proportional</v>
          </cell>
          <cell r="S9355">
            <v>-624175.43000000005</v>
          </cell>
          <cell r="X9355" t="str">
            <v>GWP - gross</v>
          </cell>
          <cell r="Y9355" t="str">
            <v>UNITED KINGDOM</v>
          </cell>
        </row>
        <row r="9356">
          <cell r="L9356" t="str">
            <v>Non-proportional</v>
          </cell>
          <cell r="S9356">
            <v>-32000</v>
          </cell>
          <cell r="X9356" t="str">
            <v>GWP - gross</v>
          </cell>
          <cell r="Y9356" t="str">
            <v>ITALY</v>
          </cell>
        </row>
        <row r="9357">
          <cell r="L9357" t="str">
            <v>Non-proportional</v>
          </cell>
          <cell r="S9357">
            <v>83709.100000000006</v>
          </cell>
          <cell r="X9357" t="str">
            <v>GWP - gross</v>
          </cell>
          <cell r="Y9357" t="str">
            <v>UNITED KINGDOM</v>
          </cell>
        </row>
        <row r="9358">
          <cell r="L9358" t="str">
            <v>Non-proportional</v>
          </cell>
          <cell r="S9358">
            <v>-8300</v>
          </cell>
          <cell r="X9358" t="str">
            <v>GWP - gross</v>
          </cell>
          <cell r="Y9358" t="str">
            <v>ITALY</v>
          </cell>
        </row>
        <row r="9359">
          <cell r="L9359" t="str">
            <v>Non-proportional</v>
          </cell>
          <cell r="S9359">
            <v>-22520.400000000001</v>
          </cell>
          <cell r="X9359" t="str">
            <v>GWP - gross</v>
          </cell>
          <cell r="Y9359" t="str">
            <v>SPAIN</v>
          </cell>
        </row>
        <row r="9360">
          <cell r="L9360" t="str">
            <v>Non-proportional</v>
          </cell>
          <cell r="S9360">
            <v>-10780</v>
          </cell>
          <cell r="X9360" t="str">
            <v>GWP - gross</v>
          </cell>
          <cell r="Y9360" t="str">
            <v>ITALY</v>
          </cell>
        </row>
        <row r="9361">
          <cell r="L9361" t="str">
            <v>Non-proportional</v>
          </cell>
          <cell r="S9361">
            <v>-22520.400000000001</v>
          </cell>
          <cell r="X9361" t="str">
            <v>GWP - gross</v>
          </cell>
          <cell r="Y9361" t="str">
            <v>SPAIN</v>
          </cell>
        </row>
        <row r="9362">
          <cell r="L9362" t="str">
            <v>Non-proportional</v>
          </cell>
          <cell r="S9362">
            <v>295.41000000000003</v>
          </cell>
          <cell r="X9362" t="str">
            <v>GWP - gross</v>
          </cell>
          <cell r="Y9362" t="str">
            <v>AUSTRALIA</v>
          </cell>
        </row>
        <row r="9363">
          <cell r="L9363" t="str">
            <v>Non-proportional</v>
          </cell>
          <cell r="S9363">
            <v>-31542.03</v>
          </cell>
          <cell r="X9363" t="str">
            <v>GWP - gross</v>
          </cell>
          <cell r="Y9363" t="str">
            <v>UNITED KINGDOM</v>
          </cell>
        </row>
        <row r="9364">
          <cell r="L9364" t="str">
            <v>Non-proportional</v>
          </cell>
          <cell r="S9364">
            <v>5265</v>
          </cell>
          <cell r="X9364" t="str">
            <v>GWP - gross</v>
          </cell>
          <cell r="Y9364" t="str">
            <v>REPUBLIC OF IRELAND</v>
          </cell>
        </row>
        <row r="9365">
          <cell r="L9365" t="str">
            <v>Non-proportional</v>
          </cell>
          <cell r="S9365">
            <v>14092.5</v>
          </cell>
          <cell r="X9365" t="str">
            <v>GWP - gross</v>
          </cell>
          <cell r="Y9365" t="str">
            <v>REPUBLIC OF IRELAND</v>
          </cell>
        </row>
        <row r="9366">
          <cell r="L9366" t="str">
            <v>Non-proportional</v>
          </cell>
          <cell r="S9366">
            <v>-22520.400000000001</v>
          </cell>
          <cell r="X9366" t="str">
            <v>GWP - gross</v>
          </cell>
          <cell r="Y9366" t="str">
            <v>SPAIN</v>
          </cell>
        </row>
        <row r="9367">
          <cell r="L9367" t="str">
            <v>Non-proportional</v>
          </cell>
          <cell r="S9367">
            <v>-18642.88</v>
          </cell>
          <cell r="X9367" t="str">
            <v>GWP - gross</v>
          </cell>
          <cell r="Y9367" t="str">
            <v>REPUBLIC OF IRELAND</v>
          </cell>
        </row>
        <row r="9368">
          <cell r="L9368" t="str">
            <v>Non-proportional</v>
          </cell>
          <cell r="S9368">
            <v>2087</v>
          </cell>
          <cell r="X9368" t="str">
            <v>GWP - gross</v>
          </cell>
          <cell r="Y9368" t="str">
            <v>ITALY</v>
          </cell>
        </row>
        <row r="9369">
          <cell r="L9369" t="str">
            <v>Non-proportional</v>
          </cell>
          <cell r="S9369">
            <v>-62348.45</v>
          </cell>
          <cell r="X9369" t="str">
            <v>GWP - gross</v>
          </cell>
          <cell r="Y9369" t="str">
            <v>UNITED ARAB EMIRATES</v>
          </cell>
        </row>
        <row r="9370">
          <cell r="L9370" t="str">
            <v>Non-proportional</v>
          </cell>
          <cell r="S9370">
            <v>102511.19</v>
          </cell>
          <cell r="X9370" t="str">
            <v>GWP - gross</v>
          </cell>
          <cell r="Y9370" t="str">
            <v>DENMARK</v>
          </cell>
        </row>
        <row r="9371">
          <cell r="L9371" t="str">
            <v>Non-proportional</v>
          </cell>
          <cell r="S9371">
            <v>-131878.54</v>
          </cell>
          <cell r="X9371" t="str">
            <v>GWP - gross</v>
          </cell>
          <cell r="Y9371" t="str">
            <v>UNITED KINGDOM</v>
          </cell>
        </row>
        <row r="9372">
          <cell r="L9372" t="str">
            <v>Non-proportional</v>
          </cell>
          <cell r="S9372">
            <v>-45480.13</v>
          </cell>
          <cell r="X9372" t="str">
            <v>GWP - gross</v>
          </cell>
          <cell r="Y9372" t="str">
            <v>REPUBLIC OF IRELAND</v>
          </cell>
        </row>
        <row r="9373">
          <cell r="L9373" t="str">
            <v>Non-proportional</v>
          </cell>
          <cell r="S9373">
            <v>2600</v>
          </cell>
          <cell r="X9373" t="str">
            <v>GWP - gross</v>
          </cell>
          <cell r="Y9373" t="str">
            <v>ITALY</v>
          </cell>
        </row>
        <row r="9374">
          <cell r="L9374" t="str">
            <v>Non-proportional</v>
          </cell>
          <cell r="S9374">
            <v>-14712.32</v>
          </cell>
          <cell r="X9374" t="str">
            <v>GWP - gross</v>
          </cell>
          <cell r="Y9374" t="str">
            <v>REPUBLIC OF IRELAND</v>
          </cell>
        </row>
        <row r="9375">
          <cell r="L9375" t="str">
            <v>Non-proportional</v>
          </cell>
          <cell r="S9375">
            <v>17253.099999999999</v>
          </cell>
          <cell r="X9375" t="str">
            <v>GWP - gross</v>
          </cell>
          <cell r="Y9375" t="str">
            <v>AUSTRALIA</v>
          </cell>
        </row>
        <row r="9376">
          <cell r="L9376" t="str">
            <v>Non-proportional</v>
          </cell>
          <cell r="S9376">
            <v>252037.23</v>
          </cell>
          <cell r="X9376" t="str">
            <v>GWP - gross</v>
          </cell>
          <cell r="Y9376" t="str">
            <v>UNITED KINGDOM</v>
          </cell>
        </row>
        <row r="9377">
          <cell r="L9377" t="str">
            <v>Non-proportional</v>
          </cell>
          <cell r="S9377">
            <v>-14915</v>
          </cell>
          <cell r="X9377" t="str">
            <v>GWP - gross</v>
          </cell>
          <cell r="Y9377" t="str">
            <v>REPUBLIC OF IRELAND</v>
          </cell>
        </row>
        <row r="9378">
          <cell r="L9378" t="str">
            <v>Non-proportional</v>
          </cell>
          <cell r="S9378">
            <v>499338.07</v>
          </cell>
          <cell r="X9378" t="str">
            <v>GWP - gross</v>
          </cell>
          <cell r="Y9378" t="str">
            <v>UNITED KINGDOM</v>
          </cell>
        </row>
        <row r="9379">
          <cell r="L9379" t="str">
            <v>Non-proportional</v>
          </cell>
          <cell r="S9379">
            <v>14915</v>
          </cell>
          <cell r="X9379" t="str">
            <v>GWP - gross</v>
          </cell>
          <cell r="Y9379" t="str">
            <v>REPUBLIC OF IRELAND</v>
          </cell>
        </row>
        <row r="9380">
          <cell r="L9380" t="str">
            <v>Non-proportional</v>
          </cell>
          <cell r="S9380">
            <v>-51197.8</v>
          </cell>
          <cell r="X9380" t="str">
            <v>GWP - gross</v>
          </cell>
          <cell r="Y9380" t="str">
            <v>AUSTRALIA</v>
          </cell>
        </row>
        <row r="9381">
          <cell r="L9381" t="str">
            <v>Non-proportional</v>
          </cell>
          <cell r="S9381">
            <v>23358.93</v>
          </cell>
          <cell r="X9381" t="str">
            <v>GWP - gross</v>
          </cell>
          <cell r="Y9381" t="str">
            <v>AUSTRALIA</v>
          </cell>
        </row>
        <row r="9382">
          <cell r="L9382" t="str">
            <v>Non-proportional</v>
          </cell>
          <cell r="S9382">
            <v>-42035.19</v>
          </cell>
          <cell r="X9382" t="str">
            <v>GWP - gross</v>
          </cell>
          <cell r="Y9382" t="str">
            <v>REPUBLIC OF IRELAND</v>
          </cell>
        </row>
        <row r="9383">
          <cell r="L9383" t="str">
            <v>Non-proportional</v>
          </cell>
          <cell r="S9383">
            <v>-67256.3</v>
          </cell>
          <cell r="X9383" t="str">
            <v>GWP - gross</v>
          </cell>
          <cell r="Y9383" t="str">
            <v>REPUBLIC OF IRELAND</v>
          </cell>
        </row>
        <row r="9384">
          <cell r="L9384" t="str">
            <v>Non-proportional</v>
          </cell>
          <cell r="S9384">
            <v>46.36</v>
          </cell>
          <cell r="X9384" t="str">
            <v>GWP - gross</v>
          </cell>
          <cell r="Y9384" t="str">
            <v>AUSTRALIA</v>
          </cell>
        </row>
        <row r="9385">
          <cell r="L9385" t="str">
            <v>Non-proportional</v>
          </cell>
          <cell r="S9385">
            <v>-93750.03</v>
          </cell>
          <cell r="X9385" t="str">
            <v>GWP - gross</v>
          </cell>
          <cell r="Y9385" t="str">
            <v>ROMANIA</v>
          </cell>
        </row>
        <row r="9386">
          <cell r="L9386" t="str">
            <v>Non-proportional</v>
          </cell>
          <cell r="S9386">
            <v>-499338.07</v>
          </cell>
          <cell r="X9386" t="str">
            <v>GWP - gross</v>
          </cell>
          <cell r="Y9386" t="str">
            <v>UNITED KINGDOM</v>
          </cell>
        </row>
        <row r="9387">
          <cell r="L9387" t="str">
            <v>Non-proportional</v>
          </cell>
          <cell r="S9387">
            <v>36000</v>
          </cell>
          <cell r="X9387" t="str">
            <v>GWP - gross</v>
          </cell>
          <cell r="Y9387" t="str">
            <v>SPAIN</v>
          </cell>
        </row>
        <row r="9388">
          <cell r="L9388" t="str">
            <v>Non-proportional</v>
          </cell>
          <cell r="S9388">
            <v>-43333.43</v>
          </cell>
          <cell r="X9388" t="str">
            <v>GWP - gross</v>
          </cell>
          <cell r="Y9388" t="str">
            <v>AUSTRALIA</v>
          </cell>
        </row>
        <row r="9389">
          <cell r="L9389" t="str">
            <v>Non-proportional</v>
          </cell>
          <cell r="S9389">
            <v>-19040.54</v>
          </cell>
          <cell r="X9389" t="str">
            <v>GWP - gross</v>
          </cell>
          <cell r="Y9389" t="str">
            <v>UNITED ARAB EMIRATES</v>
          </cell>
        </row>
        <row r="9390">
          <cell r="L9390" t="str">
            <v>Non-proportional</v>
          </cell>
          <cell r="S9390">
            <v>67000.78</v>
          </cell>
          <cell r="X9390" t="str">
            <v>GWP - gross</v>
          </cell>
          <cell r="Y9390" t="str">
            <v>DENMARK</v>
          </cell>
        </row>
        <row r="9391">
          <cell r="L9391" t="str">
            <v>Non-proportional</v>
          </cell>
          <cell r="S9391">
            <v>-46888.95</v>
          </cell>
          <cell r="X9391" t="str">
            <v>GWP - gross</v>
          </cell>
          <cell r="Y9391" t="str">
            <v>UNITED KINGDOM</v>
          </cell>
        </row>
        <row r="9392">
          <cell r="L9392" t="str">
            <v>Non-proportional</v>
          </cell>
          <cell r="S9392">
            <v>-23358.93</v>
          </cell>
          <cell r="X9392" t="str">
            <v>GWP - gross</v>
          </cell>
          <cell r="Y9392" t="str">
            <v>AUSTRALIA</v>
          </cell>
        </row>
        <row r="9393">
          <cell r="L9393" t="str">
            <v>Non-proportional</v>
          </cell>
          <cell r="S9393">
            <v>-75174.31</v>
          </cell>
          <cell r="X9393" t="str">
            <v>GWP - gross</v>
          </cell>
          <cell r="Y9393" t="str">
            <v>AUSTRALIA</v>
          </cell>
        </row>
        <row r="9394">
          <cell r="L9394" t="str">
            <v>Non-proportional</v>
          </cell>
          <cell r="S9394">
            <v>-60139.37</v>
          </cell>
          <cell r="X9394" t="str">
            <v>GWP - gross</v>
          </cell>
          <cell r="Y9394" t="str">
            <v>AUSTRALIA</v>
          </cell>
        </row>
        <row r="9395">
          <cell r="L9395" t="str">
            <v>Non-proportional</v>
          </cell>
          <cell r="S9395">
            <v>36000</v>
          </cell>
          <cell r="X9395" t="str">
            <v>GWP - gross</v>
          </cell>
          <cell r="Y9395" t="str">
            <v>SPAIN</v>
          </cell>
        </row>
        <row r="9396">
          <cell r="L9396" t="str">
            <v>Non-proportional</v>
          </cell>
          <cell r="S9396">
            <v>-295.41000000000003</v>
          </cell>
          <cell r="X9396" t="str">
            <v>GWP - gross</v>
          </cell>
          <cell r="Y9396" t="str">
            <v>AUSTRALIA</v>
          </cell>
        </row>
        <row r="9397">
          <cell r="L9397" t="str">
            <v>Non-proportional</v>
          </cell>
          <cell r="S9397">
            <v>-252037.23</v>
          </cell>
          <cell r="X9397" t="str">
            <v>GWP - gross</v>
          </cell>
          <cell r="Y9397" t="str">
            <v>UNITED KINGDOM</v>
          </cell>
        </row>
        <row r="9398">
          <cell r="L9398" t="str">
            <v>Non-proportional</v>
          </cell>
          <cell r="S9398">
            <v>-109291.48</v>
          </cell>
          <cell r="X9398" t="str">
            <v>GWP - gross</v>
          </cell>
          <cell r="Y9398" t="str">
            <v>REPUBLIC OF IRELAND</v>
          </cell>
        </row>
        <row r="9399">
          <cell r="L9399" t="str">
            <v>Non-proportional</v>
          </cell>
          <cell r="S9399">
            <v>1940.04</v>
          </cell>
          <cell r="X9399" t="str">
            <v>GWP - gross</v>
          </cell>
          <cell r="Y9399" t="str">
            <v>AUSTRALIA</v>
          </cell>
        </row>
        <row r="9400">
          <cell r="L9400" t="str">
            <v>Non-proportional</v>
          </cell>
          <cell r="S9400">
            <v>-67000.78</v>
          </cell>
          <cell r="X9400" t="str">
            <v>GWP - gross</v>
          </cell>
          <cell r="Y9400" t="str">
            <v>DENMARK</v>
          </cell>
        </row>
        <row r="9401">
          <cell r="L9401" t="str">
            <v>Proportional</v>
          </cell>
          <cell r="S9401">
            <v>-1632931.62</v>
          </cell>
          <cell r="X9401" t="str">
            <v>GWP - gross</v>
          </cell>
          <cell r="Y9401" t="str">
            <v>UNITED STATES</v>
          </cell>
        </row>
        <row r="9402">
          <cell r="L9402" t="str">
            <v>Non-proportional</v>
          </cell>
          <cell r="S9402">
            <v>-2642.17</v>
          </cell>
          <cell r="X9402" t="str">
            <v>GWP - gross</v>
          </cell>
          <cell r="Y9402" t="str">
            <v>AUSTRALIA</v>
          </cell>
        </row>
        <row r="9403">
          <cell r="L9403" t="str">
            <v>Non-proportional</v>
          </cell>
          <cell r="S9403">
            <v>8300</v>
          </cell>
          <cell r="X9403" t="str">
            <v>GWP - gross</v>
          </cell>
          <cell r="Y9403" t="str">
            <v>ITALY</v>
          </cell>
        </row>
        <row r="9404">
          <cell r="L9404" t="str">
            <v>Non-proportional</v>
          </cell>
          <cell r="S9404">
            <v>-2600</v>
          </cell>
          <cell r="X9404" t="str">
            <v>GWP - gross</v>
          </cell>
          <cell r="Y9404" t="str">
            <v>ITALY</v>
          </cell>
        </row>
        <row r="9405">
          <cell r="L9405" t="str">
            <v>Non-proportional</v>
          </cell>
          <cell r="S9405">
            <v>-104637.22</v>
          </cell>
          <cell r="X9405" t="str">
            <v>GWP - gross</v>
          </cell>
          <cell r="Y9405" t="str">
            <v>UNITED KINGDOM</v>
          </cell>
        </row>
        <row r="9406">
          <cell r="L9406" t="str">
            <v>Non-proportional</v>
          </cell>
          <cell r="S9406">
            <v>-36385</v>
          </cell>
          <cell r="X9406" t="str">
            <v>GWP - gross</v>
          </cell>
          <cell r="Y9406" t="str">
            <v>REPUBLIC OF IRELAND</v>
          </cell>
        </row>
        <row r="9407">
          <cell r="L9407" t="str">
            <v>Non-proportional</v>
          </cell>
          <cell r="S9407">
            <v>-8300</v>
          </cell>
          <cell r="X9407" t="str">
            <v>GWP - gross</v>
          </cell>
          <cell r="Y9407" t="str">
            <v>ITALY</v>
          </cell>
        </row>
        <row r="9408">
          <cell r="L9408" t="str">
            <v>Non-proportional</v>
          </cell>
          <cell r="S9408">
            <v>-45675</v>
          </cell>
          <cell r="X9408" t="str">
            <v>GWP - gross</v>
          </cell>
          <cell r="Y9408" t="str">
            <v>ROMANIA</v>
          </cell>
        </row>
        <row r="9409">
          <cell r="L9409" t="str">
            <v>Non-proportional</v>
          </cell>
          <cell r="S9409">
            <v>-142890.4</v>
          </cell>
          <cell r="X9409" t="str">
            <v>GWP - gross</v>
          </cell>
          <cell r="Y9409" t="str">
            <v>GERMANY</v>
          </cell>
        </row>
        <row r="9410">
          <cell r="L9410" t="str">
            <v>Non-proportional</v>
          </cell>
          <cell r="S9410">
            <v>-10316.36</v>
          </cell>
          <cell r="X9410" t="str">
            <v>GWP - gross</v>
          </cell>
          <cell r="Y9410" t="str">
            <v>AUSTRALIA</v>
          </cell>
        </row>
        <row r="9411">
          <cell r="L9411" t="str">
            <v>Non-proportional</v>
          </cell>
          <cell r="S9411">
            <v>60139.37</v>
          </cell>
          <cell r="X9411" t="str">
            <v>GWP - gross</v>
          </cell>
          <cell r="Y9411" t="str">
            <v>AUSTRALIA</v>
          </cell>
        </row>
        <row r="9412">
          <cell r="L9412" t="str">
            <v>Non-proportional</v>
          </cell>
          <cell r="S9412">
            <v>19521.740000000002</v>
          </cell>
          <cell r="X9412" t="str">
            <v>GWP - gross</v>
          </cell>
          <cell r="Y9412" t="str">
            <v>AUSTRALIA</v>
          </cell>
        </row>
        <row r="9413">
          <cell r="L9413" t="str">
            <v>Non-proportional</v>
          </cell>
          <cell r="S9413">
            <v>-19521.740000000002</v>
          </cell>
          <cell r="X9413" t="str">
            <v>GWP - gross</v>
          </cell>
          <cell r="Y9413" t="str">
            <v>AUSTRALIA</v>
          </cell>
        </row>
        <row r="9414">
          <cell r="L9414" t="str">
            <v>Proportional</v>
          </cell>
          <cell r="S9414">
            <v>-320000</v>
          </cell>
          <cell r="X9414" t="str">
            <v>GWP - gross</v>
          </cell>
          <cell r="Y9414" t="str">
            <v>EUROPE</v>
          </cell>
        </row>
        <row r="9415">
          <cell r="L9415" t="str">
            <v>Non-proportional</v>
          </cell>
          <cell r="S9415">
            <v>-28747.49</v>
          </cell>
          <cell r="X9415" t="str">
            <v>GWP - gross</v>
          </cell>
          <cell r="Y9415" t="str">
            <v>UNITED ARAB EMIRATES</v>
          </cell>
        </row>
        <row r="9416">
          <cell r="L9416" t="str">
            <v>Non-proportional</v>
          </cell>
          <cell r="S9416">
            <v>8300</v>
          </cell>
          <cell r="X9416" t="str">
            <v>GWP - gross</v>
          </cell>
          <cell r="Y9416" t="str">
            <v>ITALY</v>
          </cell>
        </row>
        <row r="9417">
          <cell r="L9417" t="str">
            <v>Non-proportional</v>
          </cell>
          <cell r="S9417">
            <v>46888.95</v>
          </cell>
          <cell r="X9417" t="str">
            <v>GWP - gross</v>
          </cell>
          <cell r="Y9417" t="str">
            <v>UNITED KINGDOM</v>
          </cell>
        </row>
        <row r="9418">
          <cell r="L9418" t="str">
            <v>Non-proportional</v>
          </cell>
          <cell r="S9418">
            <v>-197818.9</v>
          </cell>
          <cell r="X9418" t="str">
            <v>GWP - gross</v>
          </cell>
          <cell r="Y9418" t="str">
            <v>UNITED KINGDOM</v>
          </cell>
        </row>
        <row r="9419">
          <cell r="L9419" t="str">
            <v>Non-proportional</v>
          </cell>
          <cell r="S9419">
            <v>22520.400000000001</v>
          </cell>
          <cell r="X9419" t="str">
            <v>GWP - gross</v>
          </cell>
          <cell r="Y9419" t="str">
            <v>SPAIN</v>
          </cell>
        </row>
        <row r="9420">
          <cell r="L9420" t="str">
            <v>Non-proportional</v>
          </cell>
          <cell r="S9420">
            <v>-46.36</v>
          </cell>
          <cell r="X9420" t="str">
            <v>GWP - gross</v>
          </cell>
          <cell r="Y9420" t="str">
            <v>AUSTRALIA</v>
          </cell>
        </row>
        <row r="9421">
          <cell r="L9421" t="str">
            <v>Non-proportional</v>
          </cell>
          <cell r="S9421">
            <v>-1940.04</v>
          </cell>
          <cell r="X9421" t="str">
            <v>GWP - gross</v>
          </cell>
          <cell r="Y9421" t="str">
            <v>AUSTRALIA</v>
          </cell>
        </row>
        <row r="9422">
          <cell r="L9422" t="str">
            <v>Non-proportional</v>
          </cell>
          <cell r="S9422">
            <v>100249.91</v>
          </cell>
          <cell r="X9422" t="str">
            <v>GWP - gross</v>
          </cell>
          <cell r="Y9422" t="str">
            <v>DENMARK</v>
          </cell>
        </row>
        <row r="9423">
          <cell r="L9423" t="str">
            <v>Non-proportional</v>
          </cell>
          <cell r="S9423">
            <v>871.13</v>
          </cell>
          <cell r="X9423" t="str">
            <v>GWP - gross</v>
          </cell>
          <cell r="Y9423" t="str">
            <v>AUSTRALIA</v>
          </cell>
        </row>
        <row r="9424">
          <cell r="L9424" t="str">
            <v>Non-proportional</v>
          </cell>
          <cell r="S9424">
            <v>2642.17</v>
          </cell>
          <cell r="X9424" t="str">
            <v>GWP - gross</v>
          </cell>
          <cell r="Y9424" t="str">
            <v>AUSTRALIA</v>
          </cell>
        </row>
        <row r="9425">
          <cell r="L9425" t="str">
            <v>Non-proportional</v>
          </cell>
          <cell r="S9425">
            <v>-102511.19</v>
          </cell>
          <cell r="X9425" t="str">
            <v>GWP - gross</v>
          </cell>
          <cell r="Y9425" t="str">
            <v>DENMARK</v>
          </cell>
        </row>
        <row r="9426">
          <cell r="L9426" t="str">
            <v>Non-proportional</v>
          </cell>
          <cell r="S9426">
            <v>-3672.05</v>
          </cell>
          <cell r="X9426" t="str">
            <v>GWP - gross</v>
          </cell>
          <cell r="Y9426" t="str">
            <v>AUSTRALIA</v>
          </cell>
        </row>
        <row r="9427">
          <cell r="L9427" t="str">
            <v>Non-proportional</v>
          </cell>
          <cell r="S9427">
            <v>296177.3</v>
          </cell>
          <cell r="X9427" t="str">
            <v>GWP - gross</v>
          </cell>
          <cell r="Y9427" t="str">
            <v>UNITED KINGDOM</v>
          </cell>
        </row>
        <row r="9428">
          <cell r="L9428" t="str">
            <v>Non-proportional</v>
          </cell>
          <cell r="S9428">
            <v>22520.400000000001</v>
          </cell>
          <cell r="X9428" t="str">
            <v>GWP - gross</v>
          </cell>
          <cell r="Y9428" t="str">
            <v>SPAIN</v>
          </cell>
        </row>
        <row r="9429">
          <cell r="L9429" t="str">
            <v>Non-proportional</v>
          </cell>
          <cell r="S9429">
            <v>-5265</v>
          </cell>
          <cell r="X9429" t="str">
            <v>GWP - gross</v>
          </cell>
          <cell r="Y9429" t="str">
            <v>REPUBLIC OF IRELAND</v>
          </cell>
        </row>
        <row r="9430">
          <cell r="L9430" t="str">
            <v>Non-proportional</v>
          </cell>
          <cell r="S9430">
            <v>10316.36</v>
          </cell>
          <cell r="X9430" t="str">
            <v>GWP - gross</v>
          </cell>
          <cell r="Y9430" t="str">
            <v>AUSTRALIA</v>
          </cell>
        </row>
        <row r="9431">
          <cell r="L9431" t="str">
            <v>Proportional</v>
          </cell>
          <cell r="S9431">
            <v>-131312.26999999999</v>
          </cell>
          <cell r="X9431" t="str">
            <v>GWP - gross</v>
          </cell>
          <cell r="Y9431" t="str">
            <v>UNITED STATES</v>
          </cell>
        </row>
        <row r="9432">
          <cell r="L9432" t="str">
            <v>Non-proportional</v>
          </cell>
          <cell r="S9432">
            <v>-155530.19</v>
          </cell>
          <cell r="X9432" t="str">
            <v>GWP - gross</v>
          </cell>
          <cell r="Y9432" t="str">
            <v>REPUBLIC OF IRELAND</v>
          </cell>
        </row>
        <row r="9433">
          <cell r="L9433" t="str">
            <v>Non-proportional</v>
          </cell>
          <cell r="S9433">
            <v>-296177.3</v>
          </cell>
          <cell r="X9433" t="str">
            <v>GWP - gross</v>
          </cell>
          <cell r="Y9433" t="str">
            <v>UNITED KINGDOM</v>
          </cell>
        </row>
        <row r="9434">
          <cell r="L9434" t="str">
            <v>Non-proportional</v>
          </cell>
          <cell r="S9434">
            <v>-100249.91</v>
          </cell>
          <cell r="X9434" t="str">
            <v>GWP - gross</v>
          </cell>
          <cell r="Y9434" t="str">
            <v>DENMARK</v>
          </cell>
        </row>
        <row r="9435">
          <cell r="L9435" t="str">
            <v>Proportional</v>
          </cell>
          <cell r="S9435">
            <v>-305783.67999999999</v>
          </cell>
          <cell r="X9435" t="str">
            <v>GWP - gross</v>
          </cell>
          <cell r="Y9435" t="str">
            <v>UNITED STATES</v>
          </cell>
        </row>
        <row r="9436">
          <cell r="L9436" t="str">
            <v>Non-proportional</v>
          </cell>
          <cell r="S9436">
            <v>-164849.07999999999</v>
          </cell>
          <cell r="X9436" t="str">
            <v>GWP - gross</v>
          </cell>
          <cell r="Y9436" t="str">
            <v>UNITED KINGDOM</v>
          </cell>
        </row>
        <row r="9437">
          <cell r="L9437" t="str">
            <v>Non-proportional</v>
          </cell>
          <cell r="S9437">
            <v>-871.13</v>
          </cell>
          <cell r="X9437" t="str">
            <v>GWP - gross</v>
          </cell>
          <cell r="Y9437" t="str">
            <v>AUSTRALIA</v>
          </cell>
        </row>
        <row r="9438">
          <cell r="L9438" t="str">
            <v>Non-proportional</v>
          </cell>
          <cell r="S9438">
            <v>-17253.099999999999</v>
          </cell>
          <cell r="X9438" t="str">
            <v>GWP - gross</v>
          </cell>
          <cell r="Y9438" t="str">
            <v>AUSTRALIA</v>
          </cell>
        </row>
        <row r="9439">
          <cell r="L9439" t="str">
            <v>Non-proportional</v>
          </cell>
          <cell r="S9439">
            <v>1372.26</v>
          </cell>
          <cell r="X9439" t="str">
            <v>GWP - gross</v>
          </cell>
          <cell r="Y9439" t="str">
            <v>AUSTRALIA</v>
          </cell>
        </row>
        <row r="9440">
          <cell r="L9440" t="str">
            <v>Non-proportional</v>
          </cell>
          <cell r="S9440">
            <v>-28152.799999999999</v>
          </cell>
          <cell r="X9440" t="str">
            <v>GWP - gross</v>
          </cell>
          <cell r="Y9440" t="str">
            <v>SPAIN</v>
          </cell>
        </row>
        <row r="9441">
          <cell r="L9441" t="str">
            <v>Non-proportional</v>
          </cell>
          <cell r="S9441">
            <v>158256.16</v>
          </cell>
          <cell r="X9441" t="str">
            <v>GWP - gross</v>
          </cell>
          <cell r="Y9441" t="str">
            <v>UNITED KINGDOM</v>
          </cell>
        </row>
        <row r="9442">
          <cell r="L9442" t="str">
            <v>Non-proportional</v>
          </cell>
          <cell r="S9442">
            <v>-36000</v>
          </cell>
          <cell r="X9442" t="str">
            <v>GWP - gross</v>
          </cell>
          <cell r="Y9442" t="str">
            <v>SPAIN</v>
          </cell>
        </row>
        <row r="9443">
          <cell r="L9443" t="str">
            <v>Non-proportional</v>
          </cell>
          <cell r="S9443">
            <v>45040.800000000003</v>
          </cell>
          <cell r="X9443" t="str">
            <v>GWP - gross</v>
          </cell>
          <cell r="Y9443" t="str">
            <v>SPAIN</v>
          </cell>
        </row>
        <row r="9444">
          <cell r="L9444" t="str">
            <v>Non-proportional</v>
          </cell>
          <cell r="S9444">
            <v>-370221.69</v>
          </cell>
          <cell r="X9444" t="str">
            <v>GWP - gross</v>
          </cell>
          <cell r="Y9444" t="str">
            <v>UNITED KINGDOM</v>
          </cell>
        </row>
        <row r="9445">
          <cell r="L9445" t="str">
            <v>Non-proportional</v>
          </cell>
          <cell r="S9445">
            <v>-56066.69</v>
          </cell>
          <cell r="X9445" t="str">
            <v>GWP - gross</v>
          </cell>
          <cell r="Y9445" t="str">
            <v>POLAND</v>
          </cell>
        </row>
        <row r="9446">
          <cell r="L9446" t="str">
            <v>Non-proportional</v>
          </cell>
          <cell r="S9446">
            <v>-45040.800000000003</v>
          </cell>
          <cell r="X9446" t="str">
            <v>GWP - gross</v>
          </cell>
          <cell r="Y9446" t="str">
            <v>SPAIN</v>
          </cell>
        </row>
        <row r="9447">
          <cell r="L9447" t="str">
            <v>Non-proportional</v>
          </cell>
          <cell r="S9447">
            <v>-17615.330000000002</v>
          </cell>
          <cell r="X9447" t="str">
            <v>GWP - gross</v>
          </cell>
          <cell r="Y9447" t="str">
            <v>REPUBLIC OF IRELAND</v>
          </cell>
        </row>
        <row r="9448">
          <cell r="L9448" t="str">
            <v>Non-proportional</v>
          </cell>
          <cell r="S9448">
            <v>-158256.16</v>
          </cell>
          <cell r="X9448" t="str">
            <v>GWP - gross</v>
          </cell>
          <cell r="Y9448" t="str">
            <v>UNITED KINGDOM</v>
          </cell>
        </row>
        <row r="9449">
          <cell r="L9449" t="str">
            <v>Non-proportional</v>
          </cell>
          <cell r="S9449">
            <v>-6579.83</v>
          </cell>
          <cell r="X9449" t="str">
            <v>GWP - gross</v>
          </cell>
          <cell r="Y9449" t="str">
            <v>REPUBLIC OF IRELAND</v>
          </cell>
        </row>
        <row r="9450">
          <cell r="L9450" t="str">
            <v>Non-proportional</v>
          </cell>
          <cell r="S9450">
            <v>-67000.78</v>
          </cell>
          <cell r="X9450" t="str">
            <v>GWP - gross</v>
          </cell>
          <cell r="Y9450" t="str">
            <v>DENMARK</v>
          </cell>
        </row>
        <row r="9451">
          <cell r="L9451" t="str">
            <v>Non-proportional</v>
          </cell>
          <cell r="S9451">
            <v>-102511.19</v>
          </cell>
          <cell r="X9451" t="str">
            <v>GWP - gross</v>
          </cell>
          <cell r="Y9451" t="str">
            <v>DENMARK</v>
          </cell>
        </row>
        <row r="9452">
          <cell r="L9452" t="str">
            <v>Non-proportional</v>
          </cell>
          <cell r="S9452">
            <v>10780</v>
          </cell>
          <cell r="X9452" t="str">
            <v>GWP - gross</v>
          </cell>
          <cell r="Y9452" t="str">
            <v>ITALY</v>
          </cell>
        </row>
        <row r="9453">
          <cell r="L9453" t="str">
            <v>Non-proportional</v>
          </cell>
          <cell r="S9453">
            <v>-2087</v>
          </cell>
          <cell r="X9453" t="str">
            <v>GWP - gross</v>
          </cell>
          <cell r="Y9453" t="str">
            <v>ITALY</v>
          </cell>
        </row>
        <row r="9454">
          <cell r="L9454" t="str">
            <v>Non-proportional</v>
          </cell>
          <cell r="S9454">
            <v>-1372.26</v>
          </cell>
          <cell r="X9454" t="str">
            <v>GWP - gross</v>
          </cell>
          <cell r="Y9454" t="str">
            <v>AUSTRALIA</v>
          </cell>
        </row>
        <row r="9455">
          <cell r="L9455" t="str">
            <v>Non-proportional</v>
          </cell>
          <cell r="S9455">
            <v>36385</v>
          </cell>
          <cell r="X9455" t="str">
            <v>GWP - gross</v>
          </cell>
          <cell r="Y9455" t="str">
            <v>REPUBLIC OF IRELAND</v>
          </cell>
        </row>
        <row r="9456">
          <cell r="L9456" t="str">
            <v>Non-proportional</v>
          </cell>
          <cell r="S9456">
            <v>-24299.58</v>
          </cell>
          <cell r="X9456" t="str">
            <v>GWP - gross</v>
          </cell>
          <cell r="Y9456" t="str">
            <v>AUSTRALIA</v>
          </cell>
        </row>
        <row r="9457">
          <cell r="L9457" t="str">
            <v>Non-proportional</v>
          </cell>
          <cell r="S9457">
            <v>-29198.78</v>
          </cell>
          <cell r="X9457" t="str">
            <v>GWP - gross</v>
          </cell>
          <cell r="Y9457" t="str">
            <v>AUSTRALIA</v>
          </cell>
        </row>
        <row r="9458">
          <cell r="L9458" t="str">
            <v>Non-proportional</v>
          </cell>
          <cell r="S9458">
            <v>-58613.01</v>
          </cell>
          <cell r="X9458" t="str">
            <v>GWP - gross</v>
          </cell>
          <cell r="Y9458" t="str">
            <v>UNITED KINGDOM</v>
          </cell>
        </row>
        <row r="9459">
          <cell r="L9459" t="str">
            <v>Non-proportional</v>
          </cell>
          <cell r="S9459">
            <v>-315044.92</v>
          </cell>
          <cell r="X9459" t="str">
            <v>GWP - gross</v>
          </cell>
          <cell r="Y9459" t="str">
            <v>UNITED KINGDOM</v>
          </cell>
        </row>
        <row r="9460">
          <cell r="L9460" t="str">
            <v>Non-proportional</v>
          </cell>
          <cell r="S9460">
            <v>36000</v>
          </cell>
          <cell r="X9460" t="str">
            <v>GWP - gross</v>
          </cell>
          <cell r="Y9460" t="str">
            <v>SPAIN</v>
          </cell>
        </row>
        <row r="9461">
          <cell r="L9461" t="str">
            <v>Non-proportional</v>
          </cell>
          <cell r="S9461">
            <v>-75000</v>
          </cell>
          <cell r="X9461" t="str">
            <v>GWP - gross</v>
          </cell>
          <cell r="Y9461" t="str">
            <v>ROMANIA</v>
          </cell>
        </row>
        <row r="9462">
          <cell r="L9462" t="str">
            <v>Non-proportional</v>
          </cell>
          <cell r="S9462">
            <v>151417.4</v>
          </cell>
          <cell r="X9462" t="str">
            <v>GWP - gross</v>
          </cell>
          <cell r="Y9462" t="str">
            <v>POLAND</v>
          </cell>
        </row>
        <row r="9463">
          <cell r="L9463" t="str">
            <v>Non-proportional</v>
          </cell>
          <cell r="S9463">
            <v>-36000</v>
          </cell>
          <cell r="X9463" t="str">
            <v>GWP - gross</v>
          </cell>
          <cell r="Y9463" t="str">
            <v>SPAIN</v>
          </cell>
        </row>
        <row r="9464">
          <cell r="L9464" t="str">
            <v>Non-proportional</v>
          </cell>
          <cell r="S9464">
            <v>-15876.95</v>
          </cell>
          <cell r="X9464" t="str">
            <v>GWP - gross</v>
          </cell>
          <cell r="Y9464" t="str">
            <v>UNITED ARAB EMIRATES</v>
          </cell>
        </row>
        <row r="9465">
          <cell r="L9465" t="str">
            <v>Non-proportional</v>
          </cell>
          <cell r="S9465">
            <v>-23971.08</v>
          </cell>
          <cell r="X9465" t="str">
            <v>GWP - gross</v>
          </cell>
          <cell r="Y9465" t="str">
            <v>UNITED ARAB EMIRATES</v>
          </cell>
        </row>
        <row r="9466">
          <cell r="L9466" t="str">
            <v>Non-proportional</v>
          </cell>
          <cell r="S9466">
            <v>-50648.33</v>
          </cell>
          <cell r="X9466" t="str">
            <v>GWP - gross</v>
          </cell>
          <cell r="Y9466" t="str">
            <v>POLAND</v>
          </cell>
        </row>
        <row r="9467">
          <cell r="L9467" t="str">
            <v>Non-proportional</v>
          </cell>
          <cell r="S9467">
            <v>142500</v>
          </cell>
          <cell r="X9467" t="str">
            <v>GWP - gross</v>
          </cell>
          <cell r="Y9467" t="str">
            <v>GERMANY</v>
          </cell>
        </row>
        <row r="9468">
          <cell r="L9468" t="str">
            <v>Non-proportional</v>
          </cell>
          <cell r="S9468">
            <v>-311060.31</v>
          </cell>
          <cell r="X9468" t="str">
            <v>GWP - gross</v>
          </cell>
          <cell r="Y9468" t="str">
            <v>REPUBLIC OF IRELAND</v>
          </cell>
        </row>
        <row r="9469">
          <cell r="L9469" t="str">
            <v>Non-proportional</v>
          </cell>
          <cell r="S9469">
            <v>311060.31</v>
          </cell>
          <cell r="X9469" t="str">
            <v>GWP - gross</v>
          </cell>
          <cell r="Y9469" t="str">
            <v>REPUBLIC OF IRELAND</v>
          </cell>
        </row>
        <row r="9470">
          <cell r="L9470" t="str">
            <v>Proportional</v>
          </cell>
          <cell r="S9470">
            <v>-48585.31</v>
          </cell>
          <cell r="X9470" t="str">
            <v>GWP - gross</v>
          </cell>
          <cell r="Y9470" t="str">
            <v>GERMANY</v>
          </cell>
        </row>
        <row r="9471">
          <cell r="L9471" t="str">
            <v>Non-proportional</v>
          </cell>
          <cell r="S9471">
            <v>-124424.1</v>
          </cell>
          <cell r="X9471" t="str">
            <v>GWP - gross</v>
          </cell>
          <cell r="Y9471" t="str">
            <v>REPUBLIC OF IRELAND</v>
          </cell>
        </row>
        <row r="9472">
          <cell r="L9472" t="str">
            <v>Non-proportional</v>
          </cell>
          <cell r="S9472">
            <v>124800</v>
          </cell>
          <cell r="X9472" t="str">
            <v>GWP - gross</v>
          </cell>
          <cell r="Y9472" t="str">
            <v>ROMANIA</v>
          </cell>
        </row>
        <row r="9473">
          <cell r="L9473" t="str">
            <v>Proportional</v>
          </cell>
          <cell r="S9473">
            <v>-207561.2</v>
          </cell>
          <cell r="X9473" t="str">
            <v>GWP - gross</v>
          </cell>
          <cell r="Y9473" t="str">
            <v>GERMANY</v>
          </cell>
        </row>
        <row r="9474">
          <cell r="L9474" t="str">
            <v>Non-proportional</v>
          </cell>
          <cell r="S9474">
            <v>53805</v>
          </cell>
          <cell r="X9474" t="str">
            <v>GWP - gross</v>
          </cell>
          <cell r="Y9474" t="str">
            <v>REPUBLIC OF IRELAND</v>
          </cell>
        </row>
        <row r="9475">
          <cell r="L9475" t="str">
            <v>Non-proportional</v>
          </cell>
          <cell r="S9475">
            <v>23971.08</v>
          </cell>
          <cell r="X9475" t="str">
            <v>GWP - gross</v>
          </cell>
          <cell r="Y9475" t="str">
            <v>UNITED ARAB EMIRATES</v>
          </cell>
        </row>
        <row r="9476">
          <cell r="L9476" t="str">
            <v>Proportional</v>
          </cell>
          <cell r="S9476">
            <v>207561.2</v>
          </cell>
          <cell r="X9476" t="str">
            <v>GWP - gross</v>
          </cell>
          <cell r="Y9476" t="str">
            <v>GERMANY</v>
          </cell>
        </row>
        <row r="9477">
          <cell r="L9477" t="str">
            <v>Non-proportional</v>
          </cell>
          <cell r="S9477">
            <v>-33628.1</v>
          </cell>
          <cell r="X9477" t="str">
            <v>GWP - gross</v>
          </cell>
          <cell r="Y9477" t="str">
            <v>REPUBLIC OF IRELAND</v>
          </cell>
        </row>
        <row r="9478">
          <cell r="L9478" t="str">
            <v>Non-proportional</v>
          </cell>
          <cell r="S9478">
            <v>33628.1</v>
          </cell>
          <cell r="X9478" t="str">
            <v>GWP - gross</v>
          </cell>
          <cell r="Y9478" t="str">
            <v>REPUBLIC OF IRELAND</v>
          </cell>
        </row>
        <row r="9479">
          <cell r="L9479" t="str">
            <v>Non-proportional</v>
          </cell>
          <cell r="S9479">
            <v>-151417.4</v>
          </cell>
          <cell r="X9479" t="str">
            <v>GWP - gross</v>
          </cell>
          <cell r="Y9479" t="str">
            <v>POLAND</v>
          </cell>
        </row>
        <row r="9480">
          <cell r="L9480" t="str">
            <v>Non-proportional</v>
          </cell>
          <cell r="S9480">
            <v>36540</v>
          </cell>
          <cell r="X9480" t="str">
            <v>GWP - gross</v>
          </cell>
          <cell r="Y9480" t="str">
            <v>ROMANIA</v>
          </cell>
        </row>
        <row r="9481">
          <cell r="L9481" t="str">
            <v>Non-proportional</v>
          </cell>
          <cell r="S9481">
            <v>-142500</v>
          </cell>
          <cell r="X9481" t="str">
            <v>GWP - gross</v>
          </cell>
          <cell r="Y9481" t="str">
            <v>GERMANY</v>
          </cell>
        </row>
        <row r="9482">
          <cell r="L9482" t="str">
            <v>Non-proportional</v>
          </cell>
          <cell r="S9482">
            <v>11769.9</v>
          </cell>
          <cell r="X9482" t="str">
            <v>GWP - gross</v>
          </cell>
          <cell r="Y9482" t="str">
            <v>REPUBLIC OF IRELAND</v>
          </cell>
        </row>
        <row r="9483">
          <cell r="L9483" t="str">
            <v>Non-proportional</v>
          </cell>
          <cell r="S9483">
            <v>-155530.19</v>
          </cell>
          <cell r="X9483" t="str">
            <v>GWP - gross</v>
          </cell>
          <cell r="Y9483" t="str">
            <v>REPUBLIC OF IRELAND</v>
          </cell>
        </row>
        <row r="9484">
          <cell r="L9484" t="str">
            <v>Non-proportional</v>
          </cell>
          <cell r="S9484">
            <v>-11769.9</v>
          </cell>
          <cell r="X9484" t="str">
            <v>GWP - gross</v>
          </cell>
          <cell r="Y9484" t="str">
            <v>REPUBLIC OF IRELAND</v>
          </cell>
        </row>
        <row r="9485">
          <cell r="L9485" t="str">
            <v>Non-proportional</v>
          </cell>
          <cell r="S9485">
            <v>51989.22</v>
          </cell>
          <cell r="X9485" t="str">
            <v>GWP - gross</v>
          </cell>
          <cell r="Y9485" t="str">
            <v>UNITED ARAB EMIRATES</v>
          </cell>
        </row>
        <row r="9486">
          <cell r="L9486" t="str">
            <v>Non-proportional</v>
          </cell>
          <cell r="S9486">
            <v>-51989.22</v>
          </cell>
          <cell r="X9486" t="str">
            <v>GWP - gross</v>
          </cell>
          <cell r="Y9486" t="str">
            <v>UNITED ARAB EMIRATES</v>
          </cell>
        </row>
        <row r="9487">
          <cell r="L9487" t="str">
            <v>Non-proportional</v>
          </cell>
          <cell r="S9487">
            <v>50648.33</v>
          </cell>
          <cell r="X9487" t="str">
            <v>GWP - gross</v>
          </cell>
          <cell r="Y9487" t="str">
            <v>POLAND</v>
          </cell>
        </row>
        <row r="9488">
          <cell r="L9488" t="str">
            <v>Non-proportional</v>
          </cell>
          <cell r="S9488">
            <v>124424.1</v>
          </cell>
          <cell r="X9488" t="str">
            <v>GWP - gross</v>
          </cell>
          <cell r="Y9488" t="str">
            <v>REPUBLIC OF IRELAND</v>
          </cell>
        </row>
        <row r="9489">
          <cell r="L9489" t="str">
            <v>Non-proportional</v>
          </cell>
          <cell r="S9489">
            <v>75000</v>
          </cell>
          <cell r="X9489" t="str">
            <v>GWP - gross</v>
          </cell>
          <cell r="Y9489" t="str">
            <v>ROMANIA</v>
          </cell>
        </row>
        <row r="9490">
          <cell r="L9490" t="str">
            <v>Proportional</v>
          </cell>
          <cell r="S9490">
            <v>48585.31</v>
          </cell>
          <cell r="X9490" t="str">
            <v>GWP - gross</v>
          </cell>
          <cell r="Y9490" t="str">
            <v>GERMANY</v>
          </cell>
        </row>
        <row r="9491">
          <cell r="L9491" t="str">
            <v>Non-proportional</v>
          </cell>
          <cell r="S9491">
            <v>15876.95</v>
          </cell>
          <cell r="X9491" t="str">
            <v>GWP - gross</v>
          </cell>
          <cell r="Y9491" t="str">
            <v>UNITED ARAB EMIRATES</v>
          </cell>
        </row>
        <row r="9492">
          <cell r="L9492" t="str">
            <v>Non-proportional</v>
          </cell>
          <cell r="S9492">
            <v>155530.19</v>
          </cell>
          <cell r="X9492" t="str">
            <v>GWP - gross</v>
          </cell>
          <cell r="Y9492" t="str">
            <v>REPUBLIC OF IRELAND</v>
          </cell>
        </row>
        <row r="9493">
          <cell r="L9493" t="str">
            <v>Non-proportional</v>
          </cell>
          <cell r="S9493">
            <v>-36540</v>
          </cell>
          <cell r="X9493" t="str">
            <v>GWP - gross</v>
          </cell>
          <cell r="Y9493" t="str">
            <v>ROMANIA</v>
          </cell>
        </row>
        <row r="9494">
          <cell r="L9494" t="str">
            <v>Non-proportional</v>
          </cell>
          <cell r="S9494">
            <v>-87433.2</v>
          </cell>
          <cell r="X9494" t="str">
            <v>GWP - gross</v>
          </cell>
          <cell r="Y9494" t="str">
            <v>REPUBLIC OF IRELAND</v>
          </cell>
        </row>
        <row r="9495">
          <cell r="L9495" t="str">
            <v>Non-proportional</v>
          </cell>
          <cell r="S9495">
            <v>28152.799999999999</v>
          </cell>
          <cell r="X9495" t="str">
            <v>GWP - gross</v>
          </cell>
          <cell r="Y9495" t="str">
            <v>SPAIN</v>
          </cell>
        </row>
        <row r="9496">
          <cell r="L9496" t="str">
            <v>Non-proportional</v>
          </cell>
          <cell r="S9496">
            <v>-53805</v>
          </cell>
          <cell r="X9496" t="str">
            <v>GWP - gross</v>
          </cell>
          <cell r="Y9496" t="str">
            <v>REPUBLIC OF IRELAND</v>
          </cell>
        </row>
        <row r="9497">
          <cell r="L9497" t="str">
            <v>Non-proportional</v>
          </cell>
          <cell r="S9497">
            <v>87433.2</v>
          </cell>
          <cell r="X9497" t="str">
            <v>GWP - gross</v>
          </cell>
          <cell r="Y9497" t="str">
            <v>REPUBLIC OF IRELAND</v>
          </cell>
        </row>
        <row r="9498">
          <cell r="L9498" t="str">
            <v>Non-proportional</v>
          </cell>
          <cell r="S9498">
            <v>-124800</v>
          </cell>
          <cell r="X9498" t="str">
            <v>GWP - gross</v>
          </cell>
          <cell r="Y9498" t="str">
            <v>ROMANIA</v>
          </cell>
        </row>
        <row r="9499">
          <cell r="L9499" t="str">
            <v>Non-proportional</v>
          </cell>
          <cell r="S9499">
            <v>125955.92</v>
          </cell>
          <cell r="X9499" t="str">
            <v>GWP - gross</v>
          </cell>
          <cell r="Y9499" t="str">
            <v>GERMANY</v>
          </cell>
        </row>
        <row r="9500">
          <cell r="L9500" t="str">
            <v>Proportional</v>
          </cell>
          <cell r="S9500">
            <v>1097291.32</v>
          </cell>
          <cell r="X9500" t="str">
            <v>GWP - gross</v>
          </cell>
          <cell r="Y9500" t="str">
            <v>AUSTRIA</v>
          </cell>
        </row>
        <row r="9501">
          <cell r="L9501" t="str">
            <v>Non-proportional</v>
          </cell>
          <cell r="S9501">
            <v>-390.4</v>
          </cell>
          <cell r="X9501" t="str">
            <v>GWP - gross</v>
          </cell>
          <cell r="Y9501" t="str">
            <v>GERMANY</v>
          </cell>
        </row>
        <row r="9502">
          <cell r="L9502" t="str">
            <v>Proportional</v>
          </cell>
          <cell r="S9502">
            <v>-1097291.32</v>
          </cell>
          <cell r="X9502" t="str">
            <v>GWP - gross</v>
          </cell>
          <cell r="Y9502" t="str">
            <v>AUSTRIA</v>
          </cell>
        </row>
        <row r="9503">
          <cell r="L9503" t="str">
            <v>Non-proportional</v>
          </cell>
          <cell r="S9503">
            <v>-88526.52</v>
          </cell>
          <cell r="X9503" t="str">
            <v>GWP - gross</v>
          </cell>
          <cell r="Y9503" t="str">
            <v>POLAND</v>
          </cell>
        </row>
        <row r="9504">
          <cell r="L9504" t="str">
            <v>Proportional</v>
          </cell>
          <cell r="S9504">
            <v>-965002.58</v>
          </cell>
          <cell r="X9504" t="str">
            <v>GWP - gross</v>
          </cell>
          <cell r="Y9504" t="str">
            <v>UNITED KINGDOM</v>
          </cell>
        </row>
        <row r="9505">
          <cell r="L9505" t="str">
            <v>Non-proportional</v>
          </cell>
          <cell r="S9505">
            <v>88526.52</v>
          </cell>
          <cell r="X9505" t="str">
            <v>GWP - gross</v>
          </cell>
          <cell r="Y9505" t="str">
            <v>POLAND</v>
          </cell>
        </row>
        <row r="9506">
          <cell r="L9506" t="str">
            <v>Non-proportional</v>
          </cell>
          <cell r="S9506">
            <v>-125955.92</v>
          </cell>
          <cell r="X9506" t="str">
            <v>GWP - gross</v>
          </cell>
          <cell r="Y9506" t="str">
            <v>GERMANY</v>
          </cell>
        </row>
        <row r="9507">
          <cell r="L9507" t="str">
            <v>Non-proportional</v>
          </cell>
          <cell r="S9507">
            <v>-93474.12</v>
          </cell>
          <cell r="X9507" t="str">
            <v>GWP - gross</v>
          </cell>
          <cell r="Y9507" t="str">
            <v>UNITED STATES</v>
          </cell>
        </row>
        <row r="9508">
          <cell r="L9508" t="str">
            <v>Non-proportional</v>
          </cell>
          <cell r="S9508">
            <v>-61490.39</v>
          </cell>
          <cell r="X9508" t="str">
            <v>GWP - gross</v>
          </cell>
          <cell r="Y9508" t="str">
            <v>SWITZERLAND</v>
          </cell>
        </row>
        <row r="9509">
          <cell r="L9509" t="str">
            <v>Non-proportional</v>
          </cell>
          <cell r="S9509">
            <v>-8865.98</v>
          </cell>
          <cell r="X9509" t="str">
            <v>GWP - gross</v>
          </cell>
          <cell r="Y9509" t="str">
            <v>UNITED KINGDOM</v>
          </cell>
        </row>
        <row r="9510">
          <cell r="L9510" t="str">
            <v>Non-proportional</v>
          </cell>
          <cell r="S9510">
            <v>7378.85</v>
          </cell>
          <cell r="X9510" t="str">
            <v>GWP - gross</v>
          </cell>
          <cell r="Y9510" t="str">
            <v>SWITZERLAND</v>
          </cell>
        </row>
        <row r="9511">
          <cell r="L9511" t="str">
            <v>Non-proportional</v>
          </cell>
          <cell r="S9511">
            <v>-8198.7199999999993</v>
          </cell>
          <cell r="X9511" t="str">
            <v>GWP - gross</v>
          </cell>
          <cell r="Y9511" t="str">
            <v>SWITZERLAND</v>
          </cell>
        </row>
        <row r="9512">
          <cell r="L9512" t="str">
            <v>Non-proportional</v>
          </cell>
          <cell r="S9512">
            <v>22767.43</v>
          </cell>
          <cell r="X9512" t="str">
            <v>GWP - gross</v>
          </cell>
          <cell r="Y9512" t="str">
            <v>SWITZERLAND</v>
          </cell>
        </row>
        <row r="9513">
          <cell r="L9513" t="str">
            <v>Proportional</v>
          </cell>
          <cell r="S9513">
            <v>-8114073.0899999999</v>
          </cell>
          <cell r="X9513" t="str">
            <v>GWP - gross</v>
          </cell>
          <cell r="Y9513" t="str">
            <v>UNITED STATES</v>
          </cell>
        </row>
        <row r="9514">
          <cell r="L9514" t="str">
            <v>Non-proportional</v>
          </cell>
          <cell r="S9514">
            <v>8198.7199999999993</v>
          </cell>
          <cell r="X9514" t="str">
            <v>GWP - gross</v>
          </cell>
          <cell r="Y9514" t="str">
            <v>SWITZERLAND</v>
          </cell>
        </row>
        <row r="9515">
          <cell r="L9515" t="str">
            <v>Non-proportional</v>
          </cell>
          <cell r="S9515">
            <v>-70572.960000000006</v>
          </cell>
          <cell r="X9515" t="str">
            <v>GWP - gross</v>
          </cell>
          <cell r="Y9515" t="str">
            <v>UNITED STATES</v>
          </cell>
        </row>
        <row r="9516">
          <cell r="L9516" t="str">
            <v>Non-proportional</v>
          </cell>
          <cell r="S9516">
            <v>16877.27</v>
          </cell>
          <cell r="X9516" t="str">
            <v>GWP - gross</v>
          </cell>
          <cell r="Y9516" t="str">
            <v>SWITZERLAND</v>
          </cell>
        </row>
        <row r="9517">
          <cell r="L9517" t="str">
            <v>Non-proportional</v>
          </cell>
          <cell r="S9517">
            <v>-1249503.47</v>
          </cell>
          <cell r="X9517" t="str">
            <v>GWP - gross</v>
          </cell>
          <cell r="Y9517" t="str">
            <v>UNITED KINGDOM</v>
          </cell>
        </row>
        <row r="9518">
          <cell r="L9518" t="str">
            <v>Non-proportional</v>
          </cell>
          <cell r="S9518">
            <v>-55341.35</v>
          </cell>
          <cell r="X9518" t="str">
            <v>GWP - gross</v>
          </cell>
          <cell r="Y9518" t="str">
            <v>SWITZERLAND</v>
          </cell>
        </row>
        <row r="9519">
          <cell r="L9519" t="str">
            <v>Non-proportional</v>
          </cell>
          <cell r="S9519">
            <v>-1584691.61</v>
          </cell>
          <cell r="X9519" t="str">
            <v>GWP - gross</v>
          </cell>
          <cell r="Y9519" t="str">
            <v>UNITED KINGDOM</v>
          </cell>
        </row>
        <row r="9520">
          <cell r="L9520" t="str">
            <v>Non-proportional</v>
          </cell>
          <cell r="S9520">
            <v>-16877.27</v>
          </cell>
          <cell r="X9520" t="str">
            <v>GWP - gross</v>
          </cell>
          <cell r="Y9520" t="str">
            <v>SWITZERLAND</v>
          </cell>
        </row>
        <row r="9521">
          <cell r="L9521" t="str">
            <v>Non-proportional</v>
          </cell>
          <cell r="S9521">
            <v>-7092.79</v>
          </cell>
          <cell r="X9521" t="str">
            <v>GWP - gross</v>
          </cell>
          <cell r="Y9521" t="str">
            <v>UNITED KINGDOM</v>
          </cell>
        </row>
        <row r="9522">
          <cell r="L9522" t="str">
            <v>Non-proportional</v>
          </cell>
          <cell r="S9522">
            <v>-56591.88</v>
          </cell>
          <cell r="X9522" t="str">
            <v>GWP - gross</v>
          </cell>
          <cell r="Y9522" t="str">
            <v>UNITED KINGDOM</v>
          </cell>
        </row>
        <row r="9523">
          <cell r="L9523" t="str">
            <v>Non-proportional</v>
          </cell>
          <cell r="S9523">
            <v>61490.39</v>
          </cell>
          <cell r="X9523" t="str">
            <v>GWP - gross</v>
          </cell>
          <cell r="Y9523" t="str">
            <v>SWITZERLAND</v>
          </cell>
        </row>
        <row r="9524">
          <cell r="L9524" t="str">
            <v>Non-proportional</v>
          </cell>
          <cell r="S9524">
            <v>-25297.14</v>
          </cell>
          <cell r="X9524" t="str">
            <v>GWP - gross</v>
          </cell>
          <cell r="Y9524" t="str">
            <v>SWITZERLAND</v>
          </cell>
        </row>
        <row r="9525">
          <cell r="L9525" t="str">
            <v>Proportional</v>
          </cell>
          <cell r="S9525">
            <v>52672.47</v>
          </cell>
          <cell r="X9525" t="str">
            <v>GWP - gross</v>
          </cell>
          <cell r="Y9525" t="str">
            <v>GERMANY</v>
          </cell>
        </row>
        <row r="9526">
          <cell r="L9526" t="str">
            <v>Non-proportional</v>
          </cell>
          <cell r="S9526">
            <v>55341.35</v>
          </cell>
          <cell r="X9526" t="str">
            <v>GWP - gross</v>
          </cell>
          <cell r="Y9526" t="str">
            <v>SWITZERLAND</v>
          </cell>
        </row>
        <row r="9527">
          <cell r="L9527" t="str">
            <v>Non-proportional</v>
          </cell>
          <cell r="S9527">
            <v>-22767.43</v>
          </cell>
          <cell r="X9527" t="str">
            <v>GWP - gross</v>
          </cell>
          <cell r="Y9527" t="str">
            <v>SWITZERLAND</v>
          </cell>
        </row>
        <row r="9528">
          <cell r="L9528" t="str">
            <v>Non-proportional</v>
          </cell>
          <cell r="S9528">
            <v>-45273.37</v>
          </cell>
          <cell r="X9528" t="str">
            <v>GWP - gross</v>
          </cell>
          <cell r="Y9528" t="str">
            <v>UNITED KINGDOM</v>
          </cell>
        </row>
        <row r="9529">
          <cell r="L9529" t="str">
            <v>Non-proportional</v>
          </cell>
          <cell r="S9529">
            <v>25297.14</v>
          </cell>
          <cell r="X9529" t="str">
            <v>GWP - gross</v>
          </cell>
          <cell r="Y9529" t="str">
            <v>SWITZERLAND</v>
          </cell>
        </row>
        <row r="9530">
          <cell r="L9530" t="str">
            <v>Non-proportional</v>
          </cell>
          <cell r="S9530">
            <v>-511602.9</v>
          </cell>
          <cell r="X9530" t="str">
            <v>GWP - gross</v>
          </cell>
          <cell r="Y9530" t="str">
            <v>UNITED KINGDOM</v>
          </cell>
        </row>
        <row r="9531">
          <cell r="L9531" t="str">
            <v>Non-proportional</v>
          </cell>
          <cell r="S9531">
            <v>-16877.27</v>
          </cell>
          <cell r="X9531" t="str">
            <v>GWP - gross</v>
          </cell>
          <cell r="Y9531" t="str">
            <v>SWITZERLAND</v>
          </cell>
        </row>
        <row r="9532">
          <cell r="L9532" t="str">
            <v>Non-proportional</v>
          </cell>
          <cell r="S9532">
            <v>28909.37</v>
          </cell>
          <cell r="X9532" t="str">
            <v>GWP - gross</v>
          </cell>
          <cell r="Y9532" t="str">
            <v>UNITED KINGDOM</v>
          </cell>
        </row>
        <row r="9533">
          <cell r="L9533" t="str">
            <v>Non-proportional</v>
          </cell>
          <cell r="S9533">
            <v>-28909.37</v>
          </cell>
          <cell r="X9533" t="str">
            <v>GWP - gross</v>
          </cell>
          <cell r="Y9533" t="str">
            <v>UNITED KINGDOM</v>
          </cell>
        </row>
        <row r="9534">
          <cell r="L9534" t="str">
            <v>Non-proportional</v>
          </cell>
          <cell r="S9534">
            <v>-36136.97</v>
          </cell>
          <cell r="X9534" t="str">
            <v>GWP - gross</v>
          </cell>
          <cell r="Y9534" t="str">
            <v>UNITED KINGDOM</v>
          </cell>
        </row>
        <row r="9535">
          <cell r="L9535" t="str">
            <v>Non-proportional</v>
          </cell>
          <cell r="S9535">
            <v>-7378.85</v>
          </cell>
          <cell r="X9535" t="str">
            <v>GWP - gross</v>
          </cell>
          <cell r="Y9535" t="str">
            <v>SWITZERLAND</v>
          </cell>
        </row>
        <row r="9536">
          <cell r="L9536" t="str">
            <v>Non-proportional</v>
          </cell>
          <cell r="S9536">
            <v>45273.37</v>
          </cell>
          <cell r="X9536" t="str">
            <v>GWP - gross</v>
          </cell>
          <cell r="Y9536" t="str">
            <v>UNITED KINGDOM</v>
          </cell>
        </row>
        <row r="9537">
          <cell r="L9537" t="str">
            <v>Non-proportional</v>
          </cell>
          <cell r="S9537">
            <v>7092.79</v>
          </cell>
          <cell r="X9537" t="str">
            <v>GWP - gross</v>
          </cell>
          <cell r="Y9537" t="str">
            <v>UNITED KINGDOM</v>
          </cell>
        </row>
        <row r="9538">
          <cell r="L9538" t="str">
            <v>Proportional</v>
          </cell>
          <cell r="S9538">
            <v>-52672.47</v>
          </cell>
          <cell r="X9538" t="str">
            <v>GWP - gross</v>
          </cell>
          <cell r="Y9538" t="str">
            <v>GERMANY</v>
          </cell>
        </row>
        <row r="9539">
          <cell r="L9539" t="str">
            <v>Non-proportional</v>
          </cell>
          <cell r="S9539">
            <v>16877.27</v>
          </cell>
          <cell r="X9539" t="str">
            <v>GWP - gross</v>
          </cell>
          <cell r="Y9539" t="str">
            <v>SWITZERLAND</v>
          </cell>
        </row>
        <row r="9540">
          <cell r="L9540" t="str">
            <v>Non-proportional</v>
          </cell>
          <cell r="S9540">
            <v>50507.7</v>
          </cell>
          <cell r="X9540" t="str">
            <v>GWP - gross</v>
          </cell>
          <cell r="Y9540" t="str">
            <v>UNITED STATES</v>
          </cell>
        </row>
        <row r="9541">
          <cell r="L9541" t="str">
            <v>Non-proportional</v>
          </cell>
          <cell r="S9541">
            <v>-42869.45</v>
          </cell>
          <cell r="X9541" t="str">
            <v>GWP - gross</v>
          </cell>
          <cell r="Y9541" t="str">
            <v>UNITED STATES</v>
          </cell>
        </row>
        <row r="9542">
          <cell r="L9542" t="str">
            <v>Non-proportional</v>
          </cell>
          <cell r="S9542">
            <v>-38143.839999999997</v>
          </cell>
          <cell r="X9542" t="str">
            <v>GWP - gross</v>
          </cell>
          <cell r="Y9542" t="str">
            <v>UNITED STATES</v>
          </cell>
        </row>
        <row r="9543">
          <cell r="L9543" t="str">
            <v>Non-proportional</v>
          </cell>
          <cell r="S9543">
            <v>42869.45</v>
          </cell>
          <cell r="X9543" t="str">
            <v>GWP - gross</v>
          </cell>
          <cell r="Y9543" t="str">
            <v>UNITED STATES</v>
          </cell>
        </row>
        <row r="9544">
          <cell r="L9544" t="str">
            <v>Non-proportional</v>
          </cell>
          <cell r="S9544">
            <v>-42869.45</v>
          </cell>
          <cell r="X9544" t="str">
            <v>GWP - gross</v>
          </cell>
          <cell r="Y9544" t="str">
            <v>UNITED STATES</v>
          </cell>
        </row>
        <row r="9545">
          <cell r="L9545" t="str">
            <v>Non-proportional</v>
          </cell>
          <cell r="S9545">
            <v>70499.740000000005</v>
          </cell>
          <cell r="X9545" t="str">
            <v>GWP - gross</v>
          </cell>
          <cell r="Y9545" t="str">
            <v>UNITED STATES</v>
          </cell>
        </row>
        <row r="9546">
          <cell r="L9546" t="str">
            <v>Non-proportional</v>
          </cell>
          <cell r="S9546">
            <v>-50507.7</v>
          </cell>
          <cell r="X9546" t="str">
            <v>GWP - gross</v>
          </cell>
          <cell r="Y9546" t="str">
            <v>UNITED STATES</v>
          </cell>
        </row>
        <row r="9547">
          <cell r="L9547" t="str">
            <v>Non-proportional</v>
          </cell>
          <cell r="S9547">
            <v>-32375.360000000001</v>
          </cell>
          <cell r="X9547" t="str">
            <v>GWP - gross</v>
          </cell>
          <cell r="Y9547" t="str">
            <v>UNITED STATES</v>
          </cell>
        </row>
        <row r="9548">
          <cell r="L9548" t="str">
            <v>Non-proportional</v>
          </cell>
          <cell r="S9548">
            <v>93377.14</v>
          </cell>
          <cell r="X9548" t="str">
            <v>GWP - gross</v>
          </cell>
          <cell r="Y9548" t="str">
            <v>UNITED STATES</v>
          </cell>
        </row>
        <row r="9549">
          <cell r="L9549" t="str">
            <v>Non-proportional</v>
          </cell>
          <cell r="S9549">
            <v>-50507.7</v>
          </cell>
          <cell r="X9549" t="str">
            <v>GWP - gross</v>
          </cell>
          <cell r="Y9549" t="str">
            <v>UNITED STATES</v>
          </cell>
        </row>
        <row r="9550">
          <cell r="L9550" t="str">
            <v>Non-proportional</v>
          </cell>
          <cell r="S9550">
            <v>-1009912.91</v>
          </cell>
          <cell r="X9550" t="str">
            <v>GWP - gross</v>
          </cell>
          <cell r="Y9550" t="str">
            <v>UNITED KINGDOM</v>
          </cell>
        </row>
        <row r="9551">
          <cell r="L9551" t="str">
            <v>Non-proportional</v>
          </cell>
          <cell r="S9551">
            <v>1280827.4099999999</v>
          </cell>
          <cell r="X9551" t="str">
            <v>GWP - gross</v>
          </cell>
          <cell r="Y9551" t="str">
            <v>UNITED KINGDOM</v>
          </cell>
        </row>
        <row r="9552">
          <cell r="L9552" t="str">
            <v>Non-proportional</v>
          </cell>
          <cell r="S9552">
            <v>780.8</v>
          </cell>
          <cell r="X9552" t="str">
            <v>GWP - gross</v>
          </cell>
          <cell r="Y9552" t="str">
            <v>GERMANY</v>
          </cell>
        </row>
        <row r="9553">
          <cell r="L9553" t="str">
            <v>Non-proportional</v>
          </cell>
          <cell r="S9553">
            <v>-1280827.4099999999</v>
          </cell>
          <cell r="X9553" t="str">
            <v>GWP - gross</v>
          </cell>
          <cell r="Y9553" t="str">
            <v>UNITED KINGDOM</v>
          </cell>
        </row>
        <row r="9554">
          <cell r="L9554" t="str">
            <v>Non-proportional</v>
          </cell>
          <cell r="S9554">
            <v>-413502.18</v>
          </cell>
          <cell r="X9554" t="str">
            <v>GWP - gross</v>
          </cell>
          <cell r="Y9554" t="str">
            <v>UNITED KINGDOM</v>
          </cell>
        </row>
        <row r="9555">
          <cell r="L9555" t="str">
            <v>Non-proportional</v>
          </cell>
          <cell r="S9555">
            <v>-413502.18</v>
          </cell>
          <cell r="X9555" t="str">
            <v>GWP - gross</v>
          </cell>
          <cell r="Y9555" t="str">
            <v>UNITED KINGDOM</v>
          </cell>
        </row>
        <row r="9556">
          <cell r="L9556" t="str">
            <v>Non-proportional</v>
          </cell>
          <cell r="S9556">
            <v>-1280827.4099999999</v>
          </cell>
          <cell r="X9556" t="str">
            <v>GWP - gross</v>
          </cell>
          <cell r="Y9556" t="str">
            <v>UNITED KINGDOM</v>
          </cell>
        </row>
        <row r="9557">
          <cell r="L9557" t="str">
            <v>Non-proportional</v>
          </cell>
          <cell r="S9557">
            <v>1601036.12</v>
          </cell>
          <cell r="X9557" t="str">
            <v>GWP - gross</v>
          </cell>
          <cell r="Y9557" t="str">
            <v>UNITED KINGDOM</v>
          </cell>
        </row>
        <row r="9558">
          <cell r="L9558" t="str">
            <v>Non-proportional</v>
          </cell>
          <cell r="S9558">
            <v>-516879.58</v>
          </cell>
          <cell r="X9558" t="str">
            <v>GWP - gross</v>
          </cell>
          <cell r="Y9558" t="str">
            <v>UNITED KINGDOM</v>
          </cell>
        </row>
        <row r="9559">
          <cell r="L9559" t="str">
            <v>Non-proportional</v>
          </cell>
          <cell r="S9559">
            <v>120878.7</v>
          </cell>
          <cell r="X9559" t="str">
            <v>GWP - gross</v>
          </cell>
          <cell r="Y9559" t="str">
            <v>GERMANY</v>
          </cell>
        </row>
        <row r="9560">
          <cell r="L9560" t="str">
            <v>Non-proportional</v>
          </cell>
          <cell r="S9560">
            <v>1262390.8600000001</v>
          </cell>
          <cell r="X9560" t="str">
            <v>GWP - gross</v>
          </cell>
          <cell r="Y9560" t="str">
            <v>UNITED KINGDOM</v>
          </cell>
        </row>
        <row r="9561">
          <cell r="L9561" t="str">
            <v>Non-proportional</v>
          </cell>
          <cell r="S9561">
            <v>-120878.7</v>
          </cell>
          <cell r="X9561" t="str">
            <v>GWP - gross</v>
          </cell>
          <cell r="Y9561" t="str">
            <v>GERMANY</v>
          </cell>
        </row>
        <row r="9562">
          <cell r="L9562" t="str">
            <v>Non-proportional</v>
          </cell>
          <cell r="S9562">
            <v>-1601036.12</v>
          </cell>
          <cell r="X9562" t="str">
            <v>GWP - gross</v>
          </cell>
          <cell r="Y9562" t="str">
            <v>UNITED KINGDOM</v>
          </cell>
        </row>
        <row r="9563">
          <cell r="L9563" t="str">
            <v>Non-proportional</v>
          </cell>
          <cell r="S9563">
            <v>1280827.4099999999</v>
          </cell>
          <cell r="X9563" t="str">
            <v>GWP - gross</v>
          </cell>
          <cell r="Y9563" t="str">
            <v>UNITED KINGDOM</v>
          </cell>
        </row>
        <row r="9564">
          <cell r="L9564" t="str">
            <v>Non-proportional</v>
          </cell>
          <cell r="S9564">
            <v>413502.18</v>
          </cell>
          <cell r="X9564" t="str">
            <v>GWP - gross</v>
          </cell>
          <cell r="Y9564" t="str">
            <v>UNITED KINGDOM</v>
          </cell>
        </row>
        <row r="9565">
          <cell r="L9565" t="str">
            <v>Non-proportional</v>
          </cell>
          <cell r="S9565">
            <v>-1262390.8600000001</v>
          </cell>
          <cell r="X9565" t="str">
            <v>GWP - gross</v>
          </cell>
          <cell r="Y9565" t="str">
            <v>UNITED KINGDOM</v>
          </cell>
        </row>
        <row r="9566">
          <cell r="L9566" t="str">
            <v>Non-proportional</v>
          </cell>
          <cell r="S9566">
            <v>413502.18</v>
          </cell>
          <cell r="X9566" t="str">
            <v>GWP - gross</v>
          </cell>
          <cell r="Y9566" t="str">
            <v>UNITED KINGDOM</v>
          </cell>
        </row>
        <row r="9567">
          <cell r="L9567" t="str">
            <v>Non-proportional</v>
          </cell>
          <cell r="S9567">
            <v>1009912.91</v>
          </cell>
          <cell r="X9567" t="str">
            <v>GWP - gross</v>
          </cell>
          <cell r="Y9567" t="str">
            <v>UNITED KINGDOM</v>
          </cell>
        </row>
        <row r="9568">
          <cell r="L9568" t="str">
            <v>Non-proportional</v>
          </cell>
          <cell r="S9568">
            <v>1009912.91</v>
          </cell>
          <cell r="X9568" t="str">
            <v>GWP - gross</v>
          </cell>
          <cell r="Y9568" t="str">
            <v>UNITED KINGDOM</v>
          </cell>
        </row>
        <row r="9569">
          <cell r="L9569" t="str">
            <v>Non-proportional</v>
          </cell>
          <cell r="S9569">
            <v>516879.58</v>
          </cell>
          <cell r="X9569" t="str">
            <v>GWP - gross</v>
          </cell>
          <cell r="Y9569" t="str">
            <v>UNITED KINGDOM</v>
          </cell>
        </row>
        <row r="9570">
          <cell r="L9570" t="str">
            <v>Non-proportional</v>
          </cell>
          <cell r="S9570">
            <v>-1009912.91</v>
          </cell>
          <cell r="X9570" t="str">
            <v>GWP - gross</v>
          </cell>
          <cell r="Y9570" t="str">
            <v>UNITED KINGDOM</v>
          </cell>
        </row>
        <row r="9571">
          <cell r="L9571" t="str">
            <v>Non-proportional</v>
          </cell>
          <cell r="S9571">
            <v>93507.520000000004</v>
          </cell>
          <cell r="X9571" t="str">
            <v>Variation UPR - gross</v>
          </cell>
          <cell r="Y9571" t="str">
            <v>EUROPE</v>
          </cell>
        </row>
        <row r="9572">
          <cell r="L9572" t="str">
            <v>Non-proportional</v>
          </cell>
          <cell r="S9572">
            <v>21327.84</v>
          </cell>
          <cell r="X9572" t="str">
            <v>Variation UPR - gross</v>
          </cell>
          <cell r="Y9572" t="str">
            <v>REPUBLIC OF IRELAND</v>
          </cell>
        </row>
        <row r="9573">
          <cell r="L9573" t="str">
            <v>Non-proportional</v>
          </cell>
          <cell r="S9573">
            <v>309954.59000000003</v>
          </cell>
          <cell r="X9573" t="str">
            <v>Variation UPR - gross</v>
          </cell>
          <cell r="Y9573" t="str">
            <v>UNITED KINGDOM</v>
          </cell>
        </row>
        <row r="9574">
          <cell r="L9574" t="str">
            <v>Non-proportional</v>
          </cell>
          <cell r="S9574">
            <v>290230.21000000002</v>
          </cell>
          <cell r="X9574" t="str">
            <v>Variation UPR - gross</v>
          </cell>
          <cell r="Y9574" t="str">
            <v>UNITED KINGDOM</v>
          </cell>
        </row>
        <row r="9575">
          <cell r="L9575" t="str">
            <v>Non-proportional</v>
          </cell>
          <cell r="S9575">
            <v>497766.44</v>
          </cell>
          <cell r="X9575" t="str">
            <v>Variation UPR - gross</v>
          </cell>
          <cell r="Y9575" t="str">
            <v>UNITED KINGDOM</v>
          </cell>
        </row>
        <row r="9576">
          <cell r="L9576" t="str">
            <v>Non-proportional</v>
          </cell>
          <cell r="S9576">
            <v>95665.63</v>
          </cell>
          <cell r="X9576" t="str">
            <v>Variation UPR - gross</v>
          </cell>
          <cell r="Y9576" t="str">
            <v>GERMANY</v>
          </cell>
        </row>
        <row r="9577">
          <cell r="L9577" t="str">
            <v>Proportional</v>
          </cell>
          <cell r="S9577">
            <v>1761237.5</v>
          </cell>
          <cell r="X9577" t="str">
            <v>Variation UPR - gross</v>
          </cell>
          <cell r="Y9577" t="str">
            <v>AUSTRIA</v>
          </cell>
        </row>
        <row r="9578">
          <cell r="L9578" t="str">
            <v>Non-proportional</v>
          </cell>
          <cell r="S9578">
            <v>830950.03</v>
          </cell>
          <cell r="X9578" t="str">
            <v>Variation UPR - gross</v>
          </cell>
          <cell r="Y9578" t="str">
            <v>UNITED KINGDOM</v>
          </cell>
        </row>
        <row r="9579">
          <cell r="L9579" t="str">
            <v>Non-proportional</v>
          </cell>
          <cell r="S9579">
            <v>941111.25</v>
          </cell>
          <cell r="X9579" t="str">
            <v>Variation UPR - gross</v>
          </cell>
          <cell r="Y9579" t="str">
            <v>UNITED KINGDOM</v>
          </cell>
        </row>
        <row r="9580">
          <cell r="L9580" t="str">
            <v>Non-proportional</v>
          </cell>
          <cell r="S9580">
            <v>92656.67</v>
          </cell>
          <cell r="X9580" t="str">
            <v>Variation UPR - gross</v>
          </cell>
          <cell r="Y9580" t="str">
            <v>ITALY</v>
          </cell>
        </row>
        <row r="9581">
          <cell r="L9581" t="str">
            <v>Non-proportional</v>
          </cell>
          <cell r="S9581">
            <v>160627.5</v>
          </cell>
          <cell r="X9581" t="str">
            <v>Variation UPR - gross</v>
          </cell>
          <cell r="Y9581" t="str">
            <v>GERMANY</v>
          </cell>
        </row>
        <row r="9582">
          <cell r="L9582" t="str">
            <v>Non-proportional</v>
          </cell>
          <cell r="S9582">
            <v>201294.64</v>
          </cell>
          <cell r="X9582" t="str">
            <v>Variation UPR - gross</v>
          </cell>
          <cell r="Y9582" t="str">
            <v>SWEDEN</v>
          </cell>
        </row>
        <row r="9583">
          <cell r="L9583" t="str">
            <v>Non-proportional</v>
          </cell>
          <cell r="S9583">
            <v>38849.96</v>
          </cell>
          <cell r="X9583" t="str">
            <v>Variation UPR - gross</v>
          </cell>
          <cell r="Y9583" t="str">
            <v>FAROE ISLANDS</v>
          </cell>
        </row>
        <row r="9584">
          <cell r="L9584" t="str">
            <v>Non-proportional</v>
          </cell>
          <cell r="S9584">
            <v>85221.58</v>
          </cell>
          <cell r="X9584" t="str">
            <v>Variation UPR - gross</v>
          </cell>
          <cell r="Y9584" t="str">
            <v>GERMANY</v>
          </cell>
        </row>
        <row r="9585">
          <cell r="L9585" t="str">
            <v>Non-proportional</v>
          </cell>
          <cell r="S9585">
            <v>65904.39</v>
          </cell>
          <cell r="X9585" t="str">
            <v>Variation UPR - gross</v>
          </cell>
          <cell r="Y9585" t="str">
            <v>SWEDEN</v>
          </cell>
        </row>
        <row r="9586">
          <cell r="L9586" t="str">
            <v>Non-proportional</v>
          </cell>
          <cell r="S9586">
            <v>115915.8</v>
          </cell>
          <cell r="X9586" t="str">
            <v>Variation UPR - gross</v>
          </cell>
          <cell r="Y9586" t="str">
            <v>GERMANY</v>
          </cell>
        </row>
        <row r="9587">
          <cell r="L9587" t="str">
            <v>Non-proportional</v>
          </cell>
          <cell r="S9587">
            <v>2709.16</v>
          </cell>
          <cell r="X9587" t="str">
            <v>Variation UPR - gross</v>
          </cell>
          <cell r="Y9587" t="str">
            <v>FRANCE</v>
          </cell>
        </row>
        <row r="9588">
          <cell r="L9588" t="str">
            <v>Non-proportional</v>
          </cell>
          <cell r="S9588">
            <v>193699.32</v>
          </cell>
          <cell r="X9588" t="str">
            <v>Variation UPR - gross</v>
          </cell>
          <cell r="Y9588" t="str">
            <v>AUSTRIA</v>
          </cell>
        </row>
        <row r="9589">
          <cell r="L9589" t="str">
            <v>Non-proportional</v>
          </cell>
          <cell r="S9589">
            <v>22352.61</v>
          </cell>
          <cell r="X9589" t="str">
            <v>Variation UPR - gross</v>
          </cell>
          <cell r="Y9589" t="str">
            <v>JAPAN</v>
          </cell>
        </row>
        <row r="9590">
          <cell r="L9590" t="str">
            <v>Non-proportional</v>
          </cell>
          <cell r="S9590">
            <v>97214.81</v>
          </cell>
          <cell r="X9590" t="str">
            <v>Variation UPR - gross</v>
          </cell>
          <cell r="Y9590" t="str">
            <v>GERMANY</v>
          </cell>
        </row>
        <row r="9591">
          <cell r="L9591" t="str">
            <v>Non-proportional</v>
          </cell>
          <cell r="S9591">
            <v>1915.09</v>
          </cell>
          <cell r="X9591" t="str">
            <v>Variation UPR - gross</v>
          </cell>
          <cell r="Y9591" t="str">
            <v>FRANCE</v>
          </cell>
        </row>
        <row r="9592">
          <cell r="L9592" t="str">
            <v>Non-proportional</v>
          </cell>
          <cell r="S9592">
            <v>6325</v>
          </cell>
          <cell r="X9592" t="str">
            <v>Variation UPR - gross</v>
          </cell>
          <cell r="Y9592" t="str">
            <v>ITALY</v>
          </cell>
        </row>
        <row r="9593">
          <cell r="L9593" t="str">
            <v>Non-proportional</v>
          </cell>
          <cell r="S9593">
            <v>241880.84</v>
          </cell>
          <cell r="X9593" t="str">
            <v>Variation UPR - gross</v>
          </cell>
          <cell r="Y9593" t="str">
            <v>SWITZERLAND</v>
          </cell>
        </row>
        <row r="9594">
          <cell r="L9594" t="str">
            <v>Non-proportional</v>
          </cell>
          <cell r="S9594">
            <v>179664.9</v>
          </cell>
          <cell r="X9594" t="str">
            <v>Variation UPR - gross</v>
          </cell>
          <cell r="Y9594" t="str">
            <v>DENMARK</v>
          </cell>
        </row>
        <row r="9595">
          <cell r="L9595" t="str">
            <v>Non-proportional</v>
          </cell>
          <cell r="S9595">
            <v>1157938.97</v>
          </cell>
          <cell r="X9595" t="str">
            <v>Variation UPR - gross</v>
          </cell>
          <cell r="Y9595" t="str">
            <v>UNITED KINGDOM</v>
          </cell>
        </row>
        <row r="9596">
          <cell r="L9596" t="str">
            <v>Non-proportional</v>
          </cell>
          <cell r="S9596">
            <v>83490</v>
          </cell>
          <cell r="X9596" t="str">
            <v>Variation UPR - gross</v>
          </cell>
          <cell r="Y9596" t="str">
            <v>GERMANY</v>
          </cell>
        </row>
        <row r="9597">
          <cell r="L9597" t="str">
            <v>Non-proportional</v>
          </cell>
          <cell r="S9597">
            <v>49029.87</v>
          </cell>
          <cell r="X9597" t="str">
            <v>Variation UPR - gross</v>
          </cell>
          <cell r="Y9597" t="str">
            <v>DENMARK</v>
          </cell>
        </row>
        <row r="9598">
          <cell r="L9598" t="str">
            <v>Proportional</v>
          </cell>
          <cell r="S9598">
            <v>49801.72</v>
          </cell>
          <cell r="X9598" t="str">
            <v>Variation UPR - gross</v>
          </cell>
          <cell r="Y9598" t="str">
            <v>SWITZERLAND</v>
          </cell>
        </row>
        <row r="9599">
          <cell r="L9599" t="str">
            <v>Non-proportional</v>
          </cell>
          <cell r="S9599">
            <v>70583.33</v>
          </cell>
          <cell r="X9599" t="str">
            <v>Variation UPR - gross</v>
          </cell>
          <cell r="Y9599" t="str">
            <v>GERMANY</v>
          </cell>
        </row>
        <row r="9600">
          <cell r="L9600" t="str">
            <v>Non-proportional</v>
          </cell>
          <cell r="S9600">
            <v>95674.34</v>
          </cell>
          <cell r="X9600" t="str">
            <v>Variation UPR - gross</v>
          </cell>
          <cell r="Y9600" t="str">
            <v>GERMANY</v>
          </cell>
        </row>
        <row r="9601">
          <cell r="L9601" t="str">
            <v>Non-proportional</v>
          </cell>
          <cell r="S9601">
            <v>36667.58</v>
          </cell>
          <cell r="X9601" t="str">
            <v>Variation UPR - gross</v>
          </cell>
          <cell r="Y9601" t="str">
            <v>ITALY</v>
          </cell>
        </row>
        <row r="9602">
          <cell r="L9602" t="str">
            <v>Non-proportional</v>
          </cell>
          <cell r="S9602">
            <v>8478.58</v>
          </cell>
          <cell r="X9602" t="str">
            <v>Variation UPR - gross</v>
          </cell>
          <cell r="Y9602" t="str">
            <v>JAPAN</v>
          </cell>
        </row>
        <row r="9603">
          <cell r="L9603" t="str">
            <v>Non-proportional</v>
          </cell>
          <cell r="S9603">
            <v>45233.65</v>
          </cell>
          <cell r="X9603" t="str">
            <v>Variation UPR - gross</v>
          </cell>
          <cell r="Y9603" t="str">
            <v>AUSTRIA</v>
          </cell>
        </row>
        <row r="9604">
          <cell r="L9604" t="str">
            <v>Non-proportional</v>
          </cell>
          <cell r="S9604">
            <v>79870.559999999998</v>
          </cell>
          <cell r="X9604" t="str">
            <v>Variation UPR - gross</v>
          </cell>
          <cell r="Y9604" t="str">
            <v>NORWAY</v>
          </cell>
        </row>
        <row r="9605">
          <cell r="L9605" t="str">
            <v>Non-proportional</v>
          </cell>
          <cell r="S9605">
            <v>73679.05</v>
          </cell>
          <cell r="X9605" t="str">
            <v>Variation UPR - gross</v>
          </cell>
          <cell r="Y9605" t="str">
            <v>DENMARK</v>
          </cell>
        </row>
        <row r="9606">
          <cell r="L9606" t="str">
            <v>Non-proportional</v>
          </cell>
          <cell r="S9606">
            <v>147409.35999999999</v>
          </cell>
          <cell r="X9606" t="str">
            <v>Variation UPR - gross</v>
          </cell>
          <cell r="Y9606" t="str">
            <v>DENMARK</v>
          </cell>
        </row>
        <row r="9607">
          <cell r="L9607" t="str">
            <v>Non-proportional</v>
          </cell>
          <cell r="S9607">
            <v>3448.84</v>
          </cell>
          <cell r="X9607" t="str">
            <v>Variation UPR - gross</v>
          </cell>
          <cell r="Y9607" t="str">
            <v>DENMARK</v>
          </cell>
        </row>
        <row r="9608">
          <cell r="L9608" t="str">
            <v>Non-proportional</v>
          </cell>
          <cell r="S9608">
            <v>87084.52</v>
          </cell>
          <cell r="X9608" t="str">
            <v>Variation UPR - gross</v>
          </cell>
          <cell r="Y9608" t="str">
            <v>GERMANY</v>
          </cell>
        </row>
        <row r="9609">
          <cell r="L9609" t="str">
            <v>Non-proportional</v>
          </cell>
          <cell r="S9609">
            <v>485148.17</v>
          </cell>
          <cell r="X9609" t="str">
            <v>Variation UPR - gross</v>
          </cell>
          <cell r="Y9609" t="str">
            <v>UNITED KINGDOM</v>
          </cell>
        </row>
        <row r="9610">
          <cell r="L9610" t="str">
            <v>Non-proportional</v>
          </cell>
          <cell r="S9610">
            <v>136667.16</v>
          </cell>
          <cell r="X9610" t="str">
            <v>Variation UPR - gross</v>
          </cell>
          <cell r="Y9610" t="str">
            <v>EUROPE</v>
          </cell>
        </row>
        <row r="9611">
          <cell r="L9611" t="str">
            <v>Non-proportional</v>
          </cell>
          <cell r="S9611">
            <v>8223.9500000000007</v>
          </cell>
          <cell r="X9611" t="str">
            <v>Variation UPR - gross</v>
          </cell>
          <cell r="Y9611" t="str">
            <v>SWITZERLAND</v>
          </cell>
        </row>
        <row r="9612">
          <cell r="L9612" t="str">
            <v>Non-proportional</v>
          </cell>
          <cell r="S9612">
            <v>75590.94</v>
          </cell>
          <cell r="X9612" t="str">
            <v>Variation UPR - gross</v>
          </cell>
          <cell r="Y9612" t="str">
            <v>GERMANY</v>
          </cell>
        </row>
        <row r="9613">
          <cell r="L9613" t="str">
            <v>Non-proportional</v>
          </cell>
          <cell r="S9613">
            <v>44728.6</v>
          </cell>
          <cell r="X9613" t="str">
            <v>Variation UPR - gross</v>
          </cell>
          <cell r="Y9613" t="str">
            <v>SWITZERLAND</v>
          </cell>
        </row>
        <row r="9614">
          <cell r="L9614" t="str">
            <v>Non-proportional</v>
          </cell>
          <cell r="S9614">
            <v>230173.53</v>
          </cell>
          <cell r="X9614" t="str">
            <v>Variation UPR - gross</v>
          </cell>
          <cell r="Y9614" t="str">
            <v>FRANCE</v>
          </cell>
        </row>
        <row r="9615">
          <cell r="L9615" t="str">
            <v>Non-proportional</v>
          </cell>
          <cell r="S9615">
            <v>223905</v>
          </cell>
          <cell r="X9615" t="str">
            <v>Variation UPR - gross</v>
          </cell>
          <cell r="Y9615" t="str">
            <v>GERMANY</v>
          </cell>
        </row>
        <row r="9616">
          <cell r="L9616" t="str">
            <v>Non-proportional</v>
          </cell>
          <cell r="S9616">
            <v>34180.67</v>
          </cell>
          <cell r="X9616" t="str">
            <v>Variation UPR - gross</v>
          </cell>
          <cell r="Y9616" t="str">
            <v>GERMANY</v>
          </cell>
        </row>
        <row r="9617">
          <cell r="L9617" t="str">
            <v>Non-proportional</v>
          </cell>
          <cell r="S9617">
            <v>110165.82</v>
          </cell>
          <cell r="X9617" t="str">
            <v>Variation UPR - gross</v>
          </cell>
          <cell r="Y9617" t="str">
            <v>AUSTRIA</v>
          </cell>
        </row>
        <row r="9618">
          <cell r="L9618" t="str">
            <v>Non-proportional</v>
          </cell>
          <cell r="S9618">
            <v>13545.32</v>
          </cell>
          <cell r="X9618" t="str">
            <v>Variation UPR - gross</v>
          </cell>
          <cell r="Y9618" t="str">
            <v>SWITZERLAND</v>
          </cell>
        </row>
        <row r="9619">
          <cell r="L9619" t="str">
            <v>Non-proportional</v>
          </cell>
          <cell r="S9619">
            <v>160952</v>
          </cell>
          <cell r="X9619" t="str">
            <v>Variation UPR - gross</v>
          </cell>
          <cell r="Y9619" t="str">
            <v>GERMANY</v>
          </cell>
        </row>
        <row r="9620">
          <cell r="L9620" t="str">
            <v>Non-proportional</v>
          </cell>
          <cell r="S9620">
            <v>29426.85</v>
          </cell>
          <cell r="X9620" t="str">
            <v>Variation UPR - gross</v>
          </cell>
          <cell r="Y9620" t="str">
            <v>FRANCE</v>
          </cell>
        </row>
        <row r="9621">
          <cell r="L9621" t="str">
            <v>Non-proportional</v>
          </cell>
          <cell r="S9621">
            <v>29009.94</v>
          </cell>
          <cell r="X9621" t="str">
            <v>Variation UPR - gross</v>
          </cell>
          <cell r="Y9621" t="str">
            <v>GERMANY</v>
          </cell>
        </row>
        <row r="9622">
          <cell r="L9622" t="str">
            <v>Non-proportional</v>
          </cell>
          <cell r="S9622">
            <v>27506.3</v>
          </cell>
          <cell r="X9622" t="str">
            <v>Variation UPR - gross</v>
          </cell>
          <cell r="Y9622" t="str">
            <v>GERMANY</v>
          </cell>
        </row>
        <row r="9623">
          <cell r="L9623" t="str">
            <v>Non-proportional</v>
          </cell>
          <cell r="S9623">
            <v>210381.51</v>
          </cell>
          <cell r="X9623" t="str">
            <v>Variation UPR - gross</v>
          </cell>
          <cell r="Y9623" t="str">
            <v>UNITED KINGDOM</v>
          </cell>
        </row>
        <row r="9624">
          <cell r="L9624" t="str">
            <v>Non-proportional</v>
          </cell>
          <cell r="S9624">
            <v>12188.18</v>
          </cell>
          <cell r="X9624" t="str">
            <v>Variation UPR - gross</v>
          </cell>
          <cell r="Y9624" t="str">
            <v>AUSTRIA</v>
          </cell>
        </row>
        <row r="9625">
          <cell r="L9625" t="str">
            <v>Non-proportional</v>
          </cell>
          <cell r="S9625">
            <v>163269.56</v>
          </cell>
          <cell r="X9625" t="str">
            <v>Variation UPR - gross</v>
          </cell>
          <cell r="Y9625" t="str">
            <v>SWITZERLAND</v>
          </cell>
        </row>
        <row r="9626">
          <cell r="L9626" t="str">
            <v>Non-proportional</v>
          </cell>
          <cell r="S9626">
            <v>8250</v>
          </cell>
          <cell r="X9626" t="str">
            <v>Variation UPR - gross</v>
          </cell>
          <cell r="Y9626" t="str">
            <v>GERMANY</v>
          </cell>
        </row>
        <row r="9627">
          <cell r="L9627" t="str">
            <v>Non-proportional</v>
          </cell>
          <cell r="S9627">
            <v>-0.06</v>
          </cell>
          <cell r="X9627" t="str">
            <v>Variation UPR - gross</v>
          </cell>
          <cell r="Y9627" t="str">
            <v>ICELAND</v>
          </cell>
        </row>
        <row r="9628">
          <cell r="L9628" t="str">
            <v>Non-proportional</v>
          </cell>
          <cell r="S9628">
            <v>98998.74</v>
          </cell>
          <cell r="X9628" t="str">
            <v>Variation UPR - gross</v>
          </cell>
          <cell r="Y9628" t="str">
            <v>GERMANY</v>
          </cell>
        </row>
        <row r="9629">
          <cell r="L9629" t="str">
            <v>Non-proportional</v>
          </cell>
          <cell r="S9629">
            <v>1736908.43</v>
          </cell>
          <cell r="X9629" t="str">
            <v>Variation UPR - gross</v>
          </cell>
          <cell r="Y9629" t="str">
            <v>UNITED KINGDOM</v>
          </cell>
        </row>
        <row r="9630">
          <cell r="L9630" t="str">
            <v>Non-proportional</v>
          </cell>
          <cell r="S9630">
            <v>60138.33</v>
          </cell>
          <cell r="X9630" t="str">
            <v>Variation UPR - gross</v>
          </cell>
          <cell r="Y9630" t="str">
            <v>EIRE</v>
          </cell>
        </row>
        <row r="9631">
          <cell r="L9631" t="str">
            <v>Non-proportional</v>
          </cell>
          <cell r="S9631">
            <v>66412.5</v>
          </cell>
          <cell r="X9631" t="str">
            <v>Variation UPR - gross</v>
          </cell>
          <cell r="Y9631" t="str">
            <v>GERMANY</v>
          </cell>
        </row>
        <row r="9632">
          <cell r="L9632" t="str">
            <v>Non-proportional</v>
          </cell>
          <cell r="S9632">
            <v>1882232.52</v>
          </cell>
          <cell r="X9632" t="str">
            <v>Variation UPR - gross</v>
          </cell>
          <cell r="Y9632" t="str">
            <v>UNITED KINGDOM</v>
          </cell>
        </row>
        <row r="9633">
          <cell r="L9633" t="str">
            <v>Non-proportional</v>
          </cell>
          <cell r="S9633">
            <v>58987.5</v>
          </cell>
          <cell r="X9633" t="str">
            <v>Variation UPR - gross</v>
          </cell>
          <cell r="Y9633" t="str">
            <v>GERMANY</v>
          </cell>
        </row>
        <row r="9634">
          <cell r="L9634" t="str">
            <v>Non-proportional</v>
          </cell>
          <cell r="S9634">
            <v>86792.01</v>
          </cell>
          <cell r="X9634" t="str">
            <v>Variation UPR - gross</v>
          </cell>
          <cell r="Y9634" t="str">
            <v>DENMARK</v>
          </cell>
        </row>
        <row r="9635">
          <cell r="L9635" t="str">
            <v>Non-proportional</v>
          </cell>
          <cell r="S9635">
            <v>37317.5</v>
          </cell>
          <cell r="X9635" t="str">
            <v>Variation UPR - gross</v>
          </cell>
          <cell r="Y9635" t="str">
            <v>ITALY</v>
          </cell>
        </row>
        <row r="9636">
          <cell r="L9636" t="str">
            <v>Non-proportional</v>
          </cell>
          <cell r="S9636">
            <v>168621.06</v>
          </cell>
          <cell r="X9636" t="str">
            <v>Variation UPR - gross</v>
          </cell>
          <cell r="Y9636" t="str">
            <v>ITALY</v>
          </cell>
        </row>
        <row r="9637">
          <cell r="L9637" t="str">
            <v>Non-proportional</v>
          </cell>
          <cell r="S9637">
            <v>126261.8</v>
          </cell>
          <cell r="X9637" t="str">
            <v>Variation UPR - gross</v>
          </cell>
          <cell r="Y9637" t="str">
            <v>SWITZERLAND</v>
          </cell>
        </row>
        <row r="9638">
          <cell r="L9638" t="str">
            <v>Non-proportional</v>
          </cell>
          <cell r="S9638">
            <v>3309.17</v>
          </cell>
          <cell r="X9638" t="str">
            <v>Variation UPR - gross</v>
          </cell>
          <cell r="Y9638" t="str">
            <v>ITALY</v>
          </cell>
        </row>
        <row r="9639">
          <cell r="L9639" t="str">
            <v>Non-proportional</v>
          </cell>
          <cell r="S9639">
            <v>39626.97</v>
          </cell>
          <cell r="X9639" t="str">
            <v>Variation UPR - gross</v>
          </cell>
          <cell r="Y9639" t="str">
            <v>FAROE ISLANDS</v>
          </cell>
        </row>
        <row r="9640">
          <cell r="L9640" t="str">
            <v>Non-proportional</v>
          </cell>
          <cell r="S9640">
            <v>1261.17</v>
          </cell>
          <cell r="X9640" t="str">
            <v>Variation UPR - gross</v>
          </cell>
          <cell r="Y9640" t="str">
            <v>FRANCE</v>
          </cell>
        </row>
        <row r="9641">
          <cell r="L9641" t="str">
            <v>Non-proportional</v>
          </cell>
          <cell r="S9641">
            <v>-0.1</v>
          </cell>
          <cell r="X9641" t="str">
            <v>Variation UPR - gross</v>
          </cell>
          <cell r="Y9641" t="str">
            <v>SWEDEN</v>
          </cell>
        </row>
        <row r="9642">
          <cell r="L9642" t="str">
            <v>Non-proportional</v>
          </cell>
          <cell r="S9642">
            <v>177241.24</v>
          </cell>
          <cell r="X9642" t="str">
            <v>Variation UPR - gross</v>
          </cell>
          <cell r="Y9642" t="str">
            <v>EUROPE</v>
          </cell>
        </row>
        <row r="9643">
          <cell r="L9643" t="str">
            <v>Non-proportional</v>
          </cell>
          <cell r="S9643">
            <v>257419.78</v>
          </cell>
          <cell r="X9643" t="str">
            <v>Variation UPR - gross</v>
          </cell>
          <cell r="Y9643" t="str">
            <v>GERMANY</v>
          </cell>
        </row>
        <row r="9644">
          <cell r="L9644" t="str">
            <v>Non-proportional</v>
          </cell>
          <cell r="S9644">
            <v>181500</v>
          </cell>
          <cell r="X9644" t="str">
            <v>Variation UPR - gross</v>
          </cell>
          <cell r="Y9644" t="str">
            <v>GERMANY</v>
          </cell>
        </row>
        <row r="9645">
          <cell r="L9645" t="str">
            <v>Non-proportional</v>
          </cell>
          <cell r="S9645">
            <v>3105784.72</v>
          </cell>
          <cell r="X9645" t="str">
            <v>Variation UPR - gross</v>
          </cell>
          <cell r="Y9645" t="str">
            <v>UNITED KINGDOM</v>
          </cell>
        </row>
        <row r="9646">
          <cell r="L9646" t="str">
            <v>Non-proportional</v>
          </cell>
          <cell r="S9646">
            <v>76978</v>
          </cell>
          <cell r="X9646" t="str">
            <v>Variation UPR - gross</v>
          </cell>
          <cell r="Y9646" t="str">
            <v>AUSTRIA</v>
          </cell>
        </row>
        <row r="9647">
          <cell r="L9647" t="str">
            <v>Non-proportional</v>
          </cell>
          <cell r="S9647">
            <v>61106.09</v>
          </cell>
          <cell r="X9647" t="str">
            <v>Variation UPR - gross</v>
          </cell>
          <cell r="Y9647" t="str">
            <v>SWEDEN</v>
          </cell>
        </row>
        <row r="9648">
          <cell r="L9648" t="str">
            <v>Non-proportional</v>
          </cell>
          <cell r="S9648">
            <v>215372.23</v>
          </cell>
          <cell r="X9648" t="str">
            <v>Variation UPR - gross</v>
          </cell>
          <cell r="Y9648" t="str">
            <v>UNITED KINGDOM</v>
          </cell>
        </row>
        <row r="9649">
          <cell r="L9649" t="str">
            <v>Non-proportional</v>
          </cell>
          <cell r="S9649">
            <v>39052.83</v>
          </cell>
          <cell r="X9649" t="str">
            <v>Variation UPR - gross</v>
          </cell>
          <cell r="Y9649" t="str">
            <v>JAPAN</v>
          </cell>
        </row>
        <row r="9650">
          <cell r="L9650" t="str">
            <v>Non-proportional</v>
          </cell>
          <cell r="S9650">
            <v>376446.49</v>
          </cell>
          <cell r="X9650" t="str">
            <v>Variation UPR - gross</v>
          </cell>
          <cell r="Y9650" t="str">
            <v>UNITED KINGDOM</v>
          </cell>
        </row>
        <row r="9651">
          <cell r="L9651" t="str">
            <v>Non-proportional</v>
          </cell>
          <cell r="S9651">
            <v>10642.75</v>
          </cell>
          <cell r="X9651" t="str">
            <v>Variation UPR - gross</v>
          </cell>
          <cell r="Y9651" t="str">
            <v>SWITZERLAND</v>
          </cell>
        </row>
        <row r="9652">
          <cell r="L9652" t="str">
            <v>Non-proportional</v>
          </cell>
          <cell r="S9652">
            <v>71041.67</v>
          </cell>
          <cell r="X9652" t="str">
            <v>Variation UPR - gross</v>
          </cell>
          <cell r="Y9652" t="str">
            <v>AUSTRIA</v>
          </cell>
        </row>
        <row r="9653">
          <cell r="L9653" t="str">
            <v>Non-proportional</v>
          </cell>
          <cell r="S9653">
            <v>219122.69</v>
          </cell>
          <cell r="X9653" t="str">
            <v>Variation UPR - gross</v>
          </cell>
          <cell r="Y9653" t="str">
            <v>FRANCE</v>
          </cell>
        </row>
        <row r="9654">
          <cell r="L9654" t="str">
            <v>Non-proportional</v>
          </cell>
          <cell r="S9654">
            <v>21769.279999999999</v>
          </cell>
          <cell r="X9654" t="str">
            <v>Variation UPR - gross</v>
          </cell>
          <cell r="Y9654" t="str">
            <v>SWITZERLAND</v>
          </cell>
        </row>
        <row r="9655">
          <cell r="L9655" t="str">
            <v>Non-proportional</v>
          </cell>
          <cell r="S9655">
            <v>15187.89</v>
          </cell>
          <cell r="X9655" t="str">
            <v>Variation UPR - gross</v>
          </cell>
          <cell r="Y9655" t="str">
            <v>DENMARK</v>
          </cell>
        </row>
        <row r="9656">
          <cell r="L9656" t="str">
            <v>Non-proportional</v>
          </cell>
          <cell r="S9656">
            <v>6569779.9100000001</v>
          </cell>
          <cell r="X9656" t="str">
            <v>Variation UPR - gross</v>
          </cell>
          <cell r="Y9656" t="str">
            <v>UNITED KINGDOM</v>
          </cell>
        </row>
        <row r="9657">
          <cell r="L9657" t="str">
            <v>Non-proportional</v>
          </cell>
          <cell r="S9657">
            <v>442206.54</v>
          </cell>
          <cell r="X9657" t="str">
            <v>Variation UPR - gross</v>
          </cell>
          <cell r="Y9657" t="str">
            <v>SWITZERLAND</v>
          </cell>
        </row>
        <row r="9658">
          <cell r="L9658" t="str">
            <v>Non-proportional</v>
          </cell>
          <cell r="S9658">
            <v>12345.3</v>
          </cell>
          <cell r="X9658" t="str">
            <v>Variation UPR - gross</v>
          </cell>
          <cell r="Y9658" t="str">
            <v>ITALY</v>
          </cell>
        </row>
        <row r="9659">
          <cell r="L9659" t="str">
            <v>Non-proportional</v>
          </cell>
          <cell r="S9659">
            <v>9025.94</v>
          </cell>
          <cell r="X9659" t="str">
            <v>Variation UPR - gross</v>
          </cell>
          <cell r="Y9659" t="str">
            <v>GERMANY</v>
          </cell>
        </row>
        <row r="9660">
          <cell r="L9660" t="str">
            <v>Non-proportional</v>
          </cell>
          <cell r="S9660">
            <v>97405</v>
          </cell>
          <cell r="X9660" t="str">
            <v>Variation UPR - gross</v>
          </cell>
          <cell r="Y9660" t="str">
            <v>GERMANY</v>
          </cell>
        </row>
        <row r="9661">
          <cell r="L9661" t="str">
            <v>Non-proportional</v>
          </cell>
          <cell r="S9661">
            <v>2573678.31</v>
          </cell>
          <cell r="X9661" t="str">
            <v>Variation UPR - gross</v>
          </cell>
          <cell r="Y9661" t="str">
            <v>UNITED KINGDOM</v>
          </cell>
        </row>
        <row r="9662">
          <cell r="L9662" t="str">
            <v>Non-proportional</v>
          </cell>
          <cell r="S9662">
            <v>63855.18</v>
          </cell>
          <cell r="X9662" t="str">
            <v>Variation UPR - gross</v>
          </cell>
          <cell r="Y9662" t="str">
            <v>DENMARK</v>
          </cell>
        </row>
        <row r="9663">
          <cell r="L9663" t="str">
            <v>Non-proportional</v>
          </cell>
          <cell r="S9663">
            <v>121635.06</v>
          </cell>
          <cell r="X9663" t="str">
            <v>Variation UPR - gross</v>
          </cell>
          <cell r="Y9663" t="str">
            <v>DENMARK</v>
          </cell>
        </row>
        <row r="9664">
          <cell r="L9664" t="str">
            <v>Non-proportional</v>
          </cell>
          <cell r="S9664">
            <v>101234.31</v>
          </cell>
          <cell r="X9664" t="str">
            <v>Variation UPR - gross</v>
          </cell>
          <cell r="Y9664" t="str">
            <v>GERMANY</v>
          </cell>
        </row>
        <row r="9665">
          <cell r="L9665" t="str">
            <v>Non-proportional</v>
          </cell>
          <cell r="S9665">
            <v>21585.56</v>
          </cell>
          <cell r="X9665" t="str">
            <v>Variation UPR - gross</v>
          </cell>
          <cell r="Y9665" t="str">
            <v>GERMANY</v>
          </cell>
        </row>
        <row r="9666">
          <cell r="L9666" t="str">
            <v>Non-proportional</v>
          </cell>
          <cell r="S9666">
            <v>220027.18</v>
          </cell>
          <cell r="X9666" t="str">
            <v>Variation UPR - gross</v>
          </cell>
          <cell r="Y9666" t="str">
            <v>CZECH REPUBLIC</v>
          </cell>
        </row>
        <row r="9667">
          <cell r="L9667" t="str">
            <v>Non-proportional</v>
          </cell>
          <cell r="S9667">
            <v>12163.57</v>
          </cell>
          <cell r="X9667" t="str">
            <v>Variation UPR - gross</v>
          </cell>
          <cell r="Y9667" t="str">
            <v>NORWAY</v>
          </cell>
        </row>
        <row r="9668">
          <cell r="L9668" t="str">
            <v>Non-proportional</v>
          </cell>
          <cell r="S9668">
            <v>206880.02</v>
          </cell>
          <cell r="X9668" t="str">
            <v>Variation UPR - gross</v>
          </cell>
          <cell r="Y9668" t="str">
            <v>REPUBLIC OF IRELAND</v>
          </cell>
        </row>
        <row r="9669">
          <cell r="L9669" t="str">
            <v>Non-proportional</v>
          </cell>
          <cell r="S9669">
            <v>105237.04</v>
          </cell>
          <cell r="X9669" t="str">
            <v>Variation UPR - gross</v>
          </cell>
          <cell r="Y9669" t="str">
            <v>SLOVENIA</v>
          </cell>
        </row>
        <row r="9670">
          <cell r="L9670" t="str">
            <v>Non-proportional</v>
          </cell>
          <cell r="S9670">
            <v>379522.16</v>
          </cell>
          <cell r="X9670" t="str">
            <v>Variation UPR - gross</v>
          </cell>
          <cell r="Y9670" t="str">
            <v>CZECH REPUBLIC</v>
          </cell>
        </row>
        <row r="9671">
          <cell r="L9671" t="str">
            <v>Non-proportional</v>
          </cell>
          <cell r="S9671">
            <v>230754.32</v>
          </cell>
          <cell r="X9671" t="str">
            <v>Variation UPR - gross</v>
          </cell>
          <cell r="Y9671" t="str">
            <v>SWITZERLAND</v>
          </cell>
        </row>
        <row r="9672">
          <cell r="L9672" t="str">
            <v>Non-proportional</v>
          </cell>
          <cell r="S9672">
            <v>89778.76</v>
          </cell>
          <cell r="X9672" t="str">
            <v>Variation UPR - gross</v>
          </cell>
          <cell r="Y9672" t="str">
            <v>NORWAY</v>
          </cell>
        </row>
        <row r="9673">
          <cell r="L9673" t="str">
            <v>Non-proportional</v>
          </cell>
          <cell r="S9673">
            <v>12870</v>
          </cell>
          <cell r="X9673" t="str">
            <v>Variation UPR - gross</v>
          </cell>
          <cell r="Y9673" t="str">
            <v>GERMANY</v>
          </cell>
        </row>
        <row r="9674">
          <cell r="L9674" t="str">
            <v>Non-proportional</v>
          </cell>
          <cell r="S9674">
            <v>682421.67</v>
          </cell>
          <cell r="X9674" t="str">
            <v>Variation UPR - gross</v>
          </cell>
          <cell r="Y9674" t="str">
            <v>UNITED KINGDOM</v>
          </cell>
        </row>
        <row r="9675">
          <cell r="L9675" t="str">
            <v>Non-proportional</v>
          </cell>
          <cell r="S9675">
            <v>228476.96</v>
          </cell>
          <cell r="X9675" t="str">
            <v>Variation UPR - gross</v>
          </cell>
          <cell r="Y9675" t="str">
            <v>FRANCE</v>
          </cell>
        </row>
        <row r="9676">
          <cell r="L9676" t="str">
            <v>Non-proportional</v>
          </cell>
          <cell r="S9676">
            <v>80376.259999999995</v>
          </cell>
          <cell r="X9676" t="str">
            <v>Variation UPR - gross</v>
          </cell>
          <cell r="Y9676" t="str">
            <v>FAROE ISLANDS</v>
          </cell>
        </row>
        <row r="9677">
          <cell r="L9677" t="str">
            <v>Non-proportional</v>
          </cell>
          <cell r="S9677">
            <v>54831.96</v>
          </cell>
          <cell r="X9677" t="str">
            <v>Variation UPR - gross</v>
          </cell>
          <cell r="Y9677" t="str">
            <v>GERMANY</v>
          </cell>
        </row>
        <row r="9678">
          <cell r="L9678" t="str">
            <v>Non-proportional</v>
          </cell>
          <cell r="S9678">
            <v>117428.65</v>
          </cell>
          <cell r="X9678" t="str">
            <v>Variation UPR - gross</v>
          </cell>
          <cell r="Y9678" t="str">
            <v>SWEDEN</v>
          </cell>
        </row>
        <row r="9679">
          <cell r="L9679" t="str">
            <v>Non-proportional</v>
          </cell>
          <cell r="S9679">
            <v>634907.80000000005</v>
          </cell>
          <cell r="X9679" t="str">
            <v>Variation UPR - gross</v>
          </cell>
          <cell r="Y9679" t="str">
            <v>UNITED KINGDOM</v>
          </cell>
        </row>
        <row r="9680">
          <cell r="L9680" t="str">
            <v>Non-proportional</v>
          </cell>
          <cell r="S9680">
            <v>154641.39000000001</v>
          </cell>
          <cell r="X9680" t="str">
            <v>Variation UPR - gross</v>
          </cell>
          <cell r="Y9680" t="str">
            <v>EIRE</v>
          </cell>
        </row>
        <row r="9681">
          <cell r="L9681" t="str">
            <v>Non-proportional</v>
          </cell>
          <cell r="S9681">
            <v>2977.33</v>
          </cell>
          <cell r="X9681" t="str">
            <v>Variation UPR - gross</v>
          </cell>
          <cell r="Y9681" t="str">
            <v>ITALY</v>
          </cell>
        </row>
        <row r="9682">
          <cell r="L9682" t="str">
            <v>Non-proportional</v>
          </cell>
          <cell r="S9682">
            <v>35887.5</v>
          </cell>
          <cell r="X9682" t="str">
            <v>Variation UPR - gross</v>
          </cell>
          <cell r="Y9682" t="str">
            <v>ROMANIA</v>
          </cell>
        </row>
        <row r="9683">
          <cell r="L9683" t="str">
            <v>Non-proportional</v>
          </cell>
          <cell r="S9683">
            <v>247449.39</v>
          </cell>
          <cell r="X9683" t="str">
            <v>Variation UPR - gross</v>
          </cell>
          <cell r="Y9683" t="str">
            <v>CZECH REPUBLIC</v>
          </cell>
        </row>
        <row r="9684">
          <cell r="L9684" t="str">
            <v>Non-proportional</v>
          </cell>
          <cell r="S9684">
            <v>449938.5</v>
          </cell>
          <cell r="X9684" t="str">
            <v>Variation UPR - gross</v>
          </cell>
          <cell r="Y9684" t="str">
            <v>GERMANY</v>
          </cell>
        </row>
        <row r="9685">
          <cell r="L9685" t="str">
            <v>Non-proportional</v>
          </cell>
          <cell r="S9685">
            <v>154095.04999999999</v>
          </cell>
          <cell r="X9685" t="str">
            <v>Variation UPR - gross</v>
          </cell>
          <cell r="Y9685" t="str">
            <v>GERMANY</v>
          </cell>
        </row>
        <row r="9686">
          <cell r="L9686" t="str">
            <v>Non-proportional</v>
          </cell>
          <cell r="S9686">
            <v>120723.17</v>
          </cell>
          <cell r="X9686" t="str">
            <v>Variation UPR - gross</v>
          </cell>
          <cell r="Y9686" t="str">
            <v>GERMANY</v>
          </cell>
        </row>
        <row r="9687">
          <cell r="L9687" t="str">
            <v>Non-proportional</v>
          </cell>
          <cell r="S9687">
            <v>258106.94</v>
          </cell>
          <cell r="X9687" t="str">
            <v>Variation UPR - gross</v>
          </cell>
          <cell r="Y9687" t="str">
            <v>UNITED KINGDOM</v>
          </cell>
        </row>
        <row r="9688">
          <cell r="L9688" t="str">
            <v>Non-proportional</v>
          </cell>
          <cell r="S9688">
            <v>344791.91</v>
          </cell>
          <cell r="X9688" t="str">
            <v>Variation UPR - gross</v>
          </cell>
          <cell r="Y9688" t="str">
            <v>UNITED KINGDOM</v>
          </cell>
        </row>
        <row r="9689">
          <cell r="L9689" t="str">
            <v>Non-proportional</v>
          </cell>
          <cell r="S9689">
            <v>64286.7</v>
          </cell>
          <cell r="X9689" t="str">
            <v>Variation UPR - gross</v>
          </cell>
          <cell r="Y9689" t="str">
            <v>NORWAY</v>
          </cell>
        </row>
        <row r="9690">
          <cell r="L9690" t="str">
            <v>Non-proportional</v>
          </cell>
          <cell r="S9690">
            <v>1332982.28</v>
          </cell>
          <cell r="X9690" t="str">
            <v>Variation UPR - gross</v>
          </cell>
          <cell r="Y9690" t="str">
            <v>UNITED KINGDOM</v>
          </cell>
        </row>
        <row r="9691">
          <cell r="L9691" t="str">
            <v>Non-proportional</v>
          </cell>
          <cell r="S9691">
            <v>60797.57</v>
          </cell>
          <cell r="X9691" t="str">
            <v>Variation UPR - gross</v>
          </cell>
          <cell r="Y9691" t="str">
            <v>GERMANY</v>
          </cell>
        </row>
        <row r="9692">
          <cell r="L9692" t="str">
            <v>Non-proportional</v>
          </cell>
          <cell r="S9692">
            <v>124903.35</v>
          </cell>
          <cell r="X9692" t="str">
            <v>Variation UPR - gross</v>
          </cell>
          <cell r="Y9692" t="str">
            <v>GERMANY</v>
          </cell>
        </row>
        <row r="9693">
          <cell r="L9693" t="str">
            <v>Non-proportional</v>
          </cell>
          <cell r="S9693">
            <v>64833.25</v>
          </cell>
          <cell r="X9693" t="str">
            <v>Variation UPR - gross</v>
          </cell>
          <cell r="Y9693" t="str">
            <v>AUSTRIA</v>
          </cell>
        </row>
        <row r="9694">
          <cell r="L9694" t="str">
            <v>Non-proportional</v>
          </cell>
          <cell r="S9694">
            <v>643918.24</v>
          </cell>
          <cell r="X9694" t="str">
            <v>Variation UPR - gross</v>
          </cell>
          <cell r="Y9694" t="str">
            <v>UNITED KINGDOM</v>
          </cell>
        </row>
        <row r="9695">
          <cell r="L9695" t="str">
            <v>Non-proportional</v>
          </cell>
          <cell r="S9695">
            <v>25932.5</v>
          </cell>
          <cell r="X9695" t="str">
            <v>Variation UPR - gross</v>
          </cell>
          <cell r="Y9695" t="str">
            <v>GERMANY</v>
          </cell>
        </row>
        <row r="9696">
          <cell r="L9696" t="str">
            <v>Non-proportional</v>
          </cell>
          <cell r="S9696">
            <v>77923.27</v>
          </cell>
          <cell r="X9696" t="str">
            <v>Variation UPR - gross</v>
          </cell>
          <cell r="Y9696" t="str">
            <v>NORWAY</v>
          </cell>
        </row>
        <row r="9697">
          <cell r="L9697" t="str">
            <v>Non-proportional</v>
          </cell>
          <cell r="S9697">
            <v>208674.05</v>
          </cell>
          <cell r="X9697" t="str">
            <v>Variation UPR - gross</v>
          </cell>
          <cell r="Y9697" t="str">
            <v>UNITED KINGDOM</v>
          </cell>
        </row>
        <row r="9698">
          <cell r="L9698" t="str">
            <v>Non-proportional</v>
          </cell>
          <cell r="S9698">
            <v>132823.72</v>
          </cell>
          <cell r="X9698" t="str">
            <v>Variation UPR - gross</v>
          </cell>
          <cell r="Y9698" t="str">
            <v>FRANCE</v>
          </cell>
        </row>
        <row r="9699">
          <cell r="L9699" t="str">
            <v>Non-proportional</v>
          </cell>
          <cell r="S9699">
            <v>69438.42</v>
          </cell>
          <cell r="X9699" t="str">
            <v>Variation UPR - gross</v>
          </cell>
          <cell r="Y9699" t="str">
            <v>GERMANY</v>
          </cell>
        </row>
        <row r="9700">
          <cell r="L9700" t="str">
            <v>Non-proportional</v>
          </cell>
          <cell r="S9700">
            <v>123963.93</v>
          </cell>
          <cell r="X9700" t="str">
            <v>Variation UPR - gross</v>
          </cell>
          <cell r="Y9700" t="str">
            <v>SWITZERLAND</v>
          </cell>
        </row>
        <row r="9701">
          <cell r="L9701" t="str">
            <v>Non-proportional</v>
          </cell>
          <cell r="S9701">
            <v>1926.92</v>
          </cell>
          <cell r="X9701" t="str">
            <v>Variation UPR - gross</v>
          </cell>
          <cell r="Y9701" t="str">
            <v>ITALY</v>
          </cell>
        </row>
        <row r="9702">
          <cell r="L9702" t="str">
            <v>Non-proportional</v>
          </cell>
          <cell r="S9702">
            <v>148958.32999999999</v>
          </cell>
          <cell r="X9702" t="str">
            <v>Variation UPR - gross</v>
          </cell>
          <cell r="Y9702" t="str">
            <v>GERMANY</v>
          </cell>
        </row>
        <row r="9703">
          <cell r="L9703" t="str">
            <v>Non-proportional</v>
          </cell>
          <cell r="S9703">
            <v>40562.5</v>
          </cell>
          <cell r="X9703" t="str">
            <v>Variation UPR - gross</v>
          </cell>
          <cell r="Y9703" t="str">
            <v>GERMANY</v>
          </cell>
        </row>
        <row r="9704">
          <cell r="L9704" t="str">
            <v>Non-proportional</v>
          </cell>
          <cell r="S9704">
            <v>37125</v>
          </cell>
          <cell r="X9704" t="str">
            <v>Variation UPR - gross</v>
          </cell>
          <cell r="Y9704" t="str">
            <v>GERMANY</v>
          </cell>
        </row>
        <row r="9705">
          <cell r="L9705" t="str">
            <v>Non-proportional</v>
          </cell>
          <cell r="S9705">
            <v>391273.54</v>
          </cell>
          <cell r="X9705" t="str">
            <v>Variation UPR - gross</v>
          </cell>
          <cell r="Y9705" t="str">
            <v>FRANCE</v>
          </cell>
        </row>
        <row r="9706">
          <cell r="L9706" t="str">
            <v>Non-proportional</v>
          </cell>
          <cell r="S9706">
            <v>112303.13</v>
          </cell>
          <cell r="X9706" t="str">
            <v>Variation UPR - gross</v>
          </cell>
          <cell r="Y9706" t="str">
            <v>GERMANY</v>
          </cell>
        </row>
        <row r="9707">
          <cell r="L9707" t="str">
            <v>Non-proportional</v>
          </cell>
          <cell r="S9707">
            <v>1372922.55</v>
          </cell>
          <cell r="X9707" t="str">
            <v>Variation UPR - gross</v>
          </cell>
          <cell r="Y9707" t="str">
            <v>UNITED KINGDOM</v>
          </cell>
        </row>
        <row r="9708">
          <cell r="L9708" t="str">
            <v>Non-proportional</v>
          </cell>
          <cell r="S9708">
            <v>88801.16</v>
          </cell>
          <cell r="X9708" t="str">
            <v>Variation UPR - gross</v>
          </cell>
          <cell r="Y9708" t="str">
            <v>GERMANY</v>
          </cell>
        </row>
        <row r="9709">
          <cell r="L9709" t="str">
            <v>Non-proportional</v>
          </cell>
          <cell r="S9709">
            <v>91551.03</v>
          </cell>
          <cell r="X9709" t="str">
            <v>Variation UPR - gross</v>
          </cell>
          <cell r="Y9709" t="str">
            <v>GERMANY</v>
          </cell>
        </row>
        <row r="9710">
          <cell r="L9710" t="str">
            <v>Non-proportional</v>
          </cell>
          <cell r="S9710">
            <v>36444.589999999997</v>
          </cell>
          <cell r="X9710" t="str">
            <v>Variation UPR - gross</v>
          </cell>
          <cell r="Y9710" t="str">
            <v>EUROPE</v>
          </cell>
        </row>
        <row r="9711">
          <cell r="L9711" t="str">
            <v>Non-proportional</v>
          </cell>
          <cell r="S9711">
            <v>83646.27</v>
          </cell>
          <cell r="X9711" t="str">
            <v>Variation UPR - gross</v>
          </cell>
          <cell r="Y9711" t="str">
            <v>GERMANY</v>
          </cell>
        </row>
        <row r="9712">
          <cell r="L9712" t="str">
            <v>Non-proportional</v>
          </cell>
          <cell r="S9712">
            <v>93439.33</v>
          </cell>
          <cell r="X9712" t="str">
            <v>Variation UPR - gross</v>
          </cell>
          <cell r="Y9712" t="str">
            <v>GERMANY</v>
          </cell>
        </row>
        <row r="9713">
          <cell r="L9713" t="str">
            <v>Non-proportional</v>
          </cell>
          <cell r="S9713">
            <v>83490</v>
          </cell>
          <cell r="X9713" t="str">
            <v>Variation UPR - gross</v>
          </cell>
          <cell r="Y9713" t="str">
            <v>GERMANY</v>
          </cell>
        </row>
        <row r="9714">
          <cell r="L9714" t="str">
            <v>Non-proportional</v>
          </cell>
          <cell r="S9714">
            <v>481250</v>
          </cell>
          <cell r="X9714" t="str">
            <v>Variation UPR - gross</v>
          </cell>
          <cell r="Y9714" t="str">
            <v>GERMANY</v>
          </cell>
        </row>
        <row r="9715">
          <cell r="L9715" t="str">
            <v>Non-proportional</v>
          </cell>
          <cell r="S9715">
            <v>82517.25</v>
          </cell>
          <cell r="X9715" t="str">
            <v>Variation UPR - gross</v>
          </cell>
          <cell r="Y9715" t="str">
            <v>GERMANY</v>
          </cell>
        </row>
        <row r="9716">
          <cell r="L9716" t="str">
            <v>Non-proportional</v>
          </cell>
          <cell r="S9716">
            <v>13061.57</v>
          </cell>
          <cell r="X9716" t="str">
            <v>Variation UPR - gross</v>
          </cell>
          <cell r="Y9716" t="str">
            <v>SWITZERLAND</v>
          </cell>
        </row>
        <row r="9717">
          <cell r="L9717" t="str">
            <v>Non-proportional</v>
          </cell>
          <cell r="S9717">
            <v>3795</v>
          </cell>
          <cell r="X9717" t="str">
            <v>Variation UPR - gross</v>
          </cell>
          <cell r="Y9717" t="str">
            <v>ITALY</v>
          </cell>
        </row>
        <row r="9718">
          <cell r="L9718" t="str">
            <v>Non-proportional</v>
          </cell>
          <cell r="S9718">
            <v>53407.29</v>
          </cell>
          <cell r="X9718" t="str">
            <v>Variation UPR - gross</v>
          </cell>
          <cell r="Y9718" t="str">
            <v>SWITZERLAND</v>
          </cell>
        </row>
        <row r="9719">
          <cell r="L9719" t="str">
            <v>Non-proportional</v>
          </cell>
          <cell r="S9719">
            <v>14239.15</v>
          </cell>
          <cell r="X9719" t="str">
            <v>Variation UPR - gross</v>
          </cell>
          <cell r="Y9719" t="str">
            <v>DENMARK</v>
          </cell>
        </row>
        <row r="9720">
          <cell r="L9720" t="str">
            <v>Non-proportional</v>
          </cell>
          <cell r="S9720">
            <v>12375</v>
          </cell>
          <cell r="X9720" t="str">
            <v>Variation UPR - gross</v>
          </cell>
          <cell r="Y9720" t="str">
            <v>GERMANY</v>
          </cell>
        </row>
        <row r="9721">
          <cell r="L9721" t="str">
            <v>Non-proportional</v>
          </cell>
          <cell r="S9721">
            <v>64772.39</v>
          </cell>
          <cell r="X9721" t="str">
            <v>Variation UPR - gross</v>
          </cell>
          <cell r="Y9721" t="str">
            <v>FRANCE</v>
          </cell>
        </row>
        <row r="9722">
          <cell r="L9722" t="str">
            <v>Non-proportional</v>
          </cell>
          <cell r="S9722">
            <v>174156.7</v>
          </cell>
          <cell r="X9722" t="str">
            <v>Variation UPR - gross</v>
          </cell>
          <cell r="Y9722" t="str">
            <v>GERMANY</v>
          </cell>
        </row>
        <row r="9723">
          <cell r="L9723" t="str">
            <v>Non-proportional</v>
          </cell>
          <cell r="S9723">
            <v>29562.5</v>
          </cell>
          <cell r="X9723" t="str">
            <v>Variation UPR - gross</v>
          </cell>
          <cell r="Y9723" t="str">
            <v>GERMANY</v>
          </cell>
        </row>
        <row r="9724">
          <cell r="L9724" t="str">
            <v>Non-proportional</v>
          </cell>
          <cell r="S9724">
            <v>992519.08</v>
          </cell>
          <cell r="X9724" t="str">
            <v>Variation UPR - gross</v>
          </cell>
          <cell r="Y9724" t="str">
            <v>UNITED KINGDOM</v>
          </cell>
        </row>
        <row r="9725">
          <cell r="L9725" t="str">
            <v>Non-proportional</v>
          </cell>
          <cell r="S9725">
            <v>-0.03</v>
          </cell>
          <cell r="X9725" t="str">
            <v>Variation UPR - gross</v>
          </cell>
          <cell r="Y9725" t="str">
            <v>JAPAN</v>
          </cell>
        </row>
        <row r="9726">
          <cell r="L9726" t="str">
            <v>Non-proportional</v>
          </cell>
          <cell r="S9726">
            <v>126343.2</v>
          </cell>
          <cell r="X9726" t="str">
            <v>Variation UPR - gross</v>
          </cell>
          <cell r="Y9726" t="str">
            <v>FRANCE</v>
          </cell>
        </row>
        <row r="9727">
          <cell r="L9727" t="str">
            <v>Non-proportional</v>
          </cell>
          <cell r="S9727">
            <v>7902.81</v>
          </cell>
          <cell r="X9727" t="str">
            <v>Variation UPR - gross</v>
          </cell>
          <cell r="Y9727" t="str">
            <v>ITALY</v>
          </cell>
        </row>
        <row r="9728">
          <cell r="L9728" t="str">
            <v>Non-proportional</v>
          </cell>
          <cell r="S9728">
            <v>109996.29</v>
          </cell>
          <cell r="X9728" t="str">
            <v>Variation UPR - gross</v>
          </cell>
          <cell r="Y9728" t="str">
            <v>GERMANY</v>
          </cell>
        </row>
        <row r="9729">
          <cell r="L9729" t="str">
            <v>Non-proportional</v>
          </cell>
          <cell r="S9729">
            <v>84584.49</v>
          </cell>
          <cell r="X9729" t="str">
            <v>Variation UPR - gross</v>
          </cell>
          <cell r="Y9729" t="str">
            <v>ICELAND</v>
          </cell>
        </row>
        <row r="9730">
          <cell r="L9730" t="str">
            <v>Non-proportional</v>
          </cell>
          <cell r="S9730">
            <v>4963.75</v>
          </cell>
          <cell r="X9730" t="str">
            <v>Variation UPR - gross</v>
          </cell>
          <cell r="Y9730" t="str">
            <v>ITALY</v>
          </cell>
        </row>
        <row r="9731">
          <cell r="L9731" t="str">
            <v>Non-proportional</v>
          </cell>
          <cell r="S9731">
            <v>77919.08</v>
          </cell>
          <cell r="X9731" t="str">
            <v>Variation UPR - gross</v>
          </cell>
          <cell r="Y9731" t="str">
            <v>UNITED KINGDOM</v>
          </cell>
        </row>
        <row r="9732">
          <cell r="L9732" t="str">
            <v>Non-proportional</v>
          </cell>
          <cell r="S9732">
            <v>432085.05</v>
          </cell>
          <cell r="X9732" t="str">
            <v>Variation UPR - gross</v>
          </cell>
          <cell r="Y9732" t="str">
            <v>UNITED KINGDOM</v>
          </cell>
        </row>
        <row r="9733">
          <cell r="L9733" t="str">
            <v>Non-proportional</v>
          </cell>
          <cell r="S9733">
            <v>312715.8</v>
          </cell>
          <cell r="X9733" t="str">
            <v>Variation UPR - gross</v>
          </cell>
          <cell r="Y9733" t="str">
            <v>UNITED KINGDOM</v>
          </cell>
        </row>
        <row r="9734">
          <cell r="L9734" t="str">
            <v>Non-proportional</v>
          </cell>
          <cell r="S9734">
            <v>139479.54</v>
          </cell>
          <cell r="X9734" t="str">
            <v>Variation UPR - gross</v>
          </cell>
          <cell r="Y9734" t="str">
            <v>UNITED KINGDOM</v>
          </cell>
        </row>
        <row r="9735">
          <cell r="L9735" t="str">
            <v>Non-proportional</v>
          </cell>
          <cell r="S9735">
            <v>42350</v>
          </cell>
          <cell r="X9735" t="str">
            <v>Variation UPR - gross</v>
          </cell>
          <cell r="Y9735" t="str">
            <v>GERMANY</v>
          </cell>
        </row>
        <row r="9736">
          <cell r="L9736" t="str">
            <v>Non-proportional</v>
          </cell>
          <cell r="S9736">
            <v>13289.27</v>
          </cell>
          <cell r="X9736" t="str">
            <v>Variation UPR - gross</v>
          </cell>
          <cell r="Y9736" t="str">
            <v>DENMARK</v>
          </cell>
        </row>
        <row r="9737">
          <cell r="L9737" t="str">
            <v>Non-proportional</v>
          </cell>
          <cell r="S9737">
            <v>410806.11</v>
          </cell>
          <cell r="X9737" t="str">
            <v>Variation UPR - gross</v>
          </cell>
          <cell r="Y9737" t="str">
            <v>FRANCE</v>
          </cell>
        </row>
        <row r="9738">
          <cell r="L9738" t="str">
            <v>Non-proportional</v>
          </cell>
          <cell r="S9738">
            <v>33546.46</v>
          </cell>
          <cell r="X9738" t="str">
            <v>Variation UPR - gross</v>
          </cell>
          <cell r="Y9738" t="str">
            <v>SWITZERLAND</v>
          </cell>
        </row>
        <row r="9739">
          <cell r="L9739" t="str">
            <v>Non-proportional</v>
          </cell>
          <cell r="S9739">
            <v>981619.21</v>
          </cell>
          <cell r="X9739" t="str">
            <v>Variation UPR - gross</v>
          </cell>
          <cell r="Y9739" t="str">
            <v>UNITED KINGDOM</v>
          </cell>
        </row>
        <row r="9740">
          <cell r="L9740" t="str">
            <v>Non-proportional</v>
          </cell>
          <cell r="S9740">
            <v>130704.86</v>
          </cell>
          <cell r="X9740" t="str">
            <v>Variation UPR - gross</v>
          </cell>
          <cell r="Y9740" t="str">
            <v>EUROPE</v>
          </cell>
        </row>
        <row r="9741">
          <cell r="L9741" t="str">
            <v>Non-proportional</v>
          </cell>
          <cell r="S9741">
            <v>114683.63</v>
          </cell>
          <cell r="X9741" t="str">
            <v>Variation UPR - gross</v>
          </cell>
          <cell r="Y9741" t="str">
            <v>FRANCE</v>
          </cell>
        </row>
        <row r="9742">
          <cell r="L9742" t="str">
            <v>Non-proportional</v>
          </cell>
          <cell r="S9742">
            <v>69661.679999999993</v>
          </cell>
          <cell r="X9742" t="str">
            <v>Variation UPR - gross</v>
          </cell>
          <cell r="Y9742" t="str">
            <v>SWITZERLAND</v>
          </cell>
        </row>
        <row r="9743">
          <cell r="L9743" t="str">
            <v>Non-proportional</v>
          </cell>
          <cell r="S9743">
            <v>22718.14</v>
          </cell>
          <cell r="X9743" t="str">
            <v>Variation UPR - gross</v>
          </cell>
          <cell r="Y9743" t="str">
            <v>EUROPE</v>
          </cell>
        </row>
        <row r="9744">
          <cell r="L9744" t="str">
            <v>Non-proportional</v>
          </cell>
          <cell r="S9744">
            <v>927084.8</v>
          </cell>
          <cell r="X9744" t="str">
            <v>Variation UPR - gross</v>
          </cell>
          <cell r="Y9744" t="str">
            <v>UNITED KINGDOM</v>
          </cell>
        </row>
        <row r="9745">
          <cell r="L9745" t="str">
            <v>Non-proportional</v>
          </cell>
          <cell r="S9745">
            <v>9607.16</v>
          </cell>
          <cell r="X9745" t="str">
            <v>Variation UPR - gross</v>
          </cell>
          <cell r="Y9745" t="str">
            <v>GERMANY</v>
          </cell>
        </row>
        <row r="9746">
          <cell r="L9746" t="str">
            <v>Non-proportional</v>
          </cell>
          <cell r="S9746">
            <v>59059</v>
          </cell>
          <cell r="X9746" t="str">
            <v>Variation UPR - gross</v>
          </cell>
          <cell r="Y9746" t="str">
            <v>GERMANY</v>
          </cell>
        </row>
        <row r="9747">
          <cell r="L9747" t="str">
            <v>Non-proportional</v>
          </cell>
          <cell r="S9747">
            <v>-0.02</v>
          </cell>
          <cell r="X9747" t="str">
            <v>Variation UPR - gross</v>
          </cell>
          <cell r="Y9747" t="str">
            <v>JAPAN</v>
          </cell>
        </row>
        <row r="9748">
          <cell r="L9748" t="str">
            <v>Non-proportional</v>
          </cell>
          <cell r="S9748">
            <v>9521.42</v>
          </cell>
          <cell r="X9748" t="str">
            <v>Variation UPR - gross</v>
          </cell>
          <cell r="Y9748" t="str">
            <v>ITALY</v>
          </cell>
        </row>
        <row r="9749">
          <cell r="L9749" t="str">
            <v>Non-proportional</v>
          </cell>
          <cell r="S9749">
            <v>478811</v>
          </cell>
          <cell r="X9749" t="str">
            <v>Variation UPR - gross</v>
          </cell>
          <cell r="Y9749" t="str">
            <v>UNITED KINGDOM</v>
          </cell>
        </row>
        <row r="9750">
          <cell r="L9750" t="str">
            <v>Non-proportional</v>
          </cell>
          <cell r="S9750">
            <v>131797.44</v>
          </cell>
          <cell r="X9750" t="str">
            <v>Variation UPR - gross</v>
          </cell>
          <cell r="Y9750" t="str">
            <v>SWEDEN</v>
          </cell>
        </row>
        <row r="9751">
          <cell r="L9751" t="str">
            <v>Non-proportional</v>
          </cell>
          <cell r="S9751">
            <v>60325.32</v>
          </cell>
          <cell r="X9751" t="str">
            <v>Variation UPR - gross</v>
          </cell>
          <cell r="Y9751" t="str">
            <v>EUROPE</v>
          </cell>
        </row>
        <row r="9752">
          <cell r="L9752" t="str">
            <v>Non-proportional</v>
          </cell>
          <cell r="S9752">
            <v>100418.59</v>
          </cell>
          <cell r="X9752" t="str">
            <v>Variation UPR - gross</v>
          </cell>
          <cell r="Y9752" t="str">
            <v>GERMANY</v>
          </cell>
        </row>
        <row r="9753">
          <cell r="L9753" t="str">
            <v>Non-proportional</v>
          </cell>
          <cell r="S9753">
            <v>130080.5</v>
          </cell>
          <cell r="X9753" t="str">
            <v>Variation UPR - gross</v>
          </cell>
          <cell r="Y9753" t="str">
            <v>AUSTRIA</v>
          </cell>
        </row>
        <row r="9754">
          <cell r="L9754" t="str">
            <v>Non-proportional</v>
          </cell>
          <cell r="S9754">
            <v>89375</v>
          </cell>
          <cell r="X9754" t="str">
            <v>Variation UPR - gross</v>
          </cell>
          <cell r="Y9754" t="str">
            <v>CZECH REPUBLIC</v>
          </cell>
        </row>
        <row r="9755">
          <cell r="L9755" t="str">
            <v>Non-proportional</v>
          </cell>
          <cell r="S9755">
            <v>59079.47</v>
          </cell>
          <cell r="X9755" t="str">
            <v>Variation UPR - gross</v>
          </cell>
          <cell r="Y9755" t="str">
            <v>DENMARK</v>
          </cell>
        </row>
        <row r="9756">
          <cell r="L9756" t="str">
            <v>Non-proportional</v>
          </cell>
          <cell r="S9756">
            <v>205767.85</v>
          </cell>
          <cell r="X9756" t="str">
            <v>Variation UPR - gross</v>
          </cell>
          <cell r="Y9756" t="str">
            <v>GERMANY</v>
          </cell>
        </row>
        <row r="9757">
          <cell r="L9757" t="str">
            <v>Non-proportional</v>
          </cell>
          <cell r="S9757">
            <v>83201.62</v>
          </cell>
          <cell r="X9757" t="str">
            <v>Variation UPR - gross</v>
          </cell>
          <cell r="Y9757" t="str">
            <v>FRANCE</v>
          </cell>
        </row>
        <row r="9758">
          <cell r="L9758" t="str">
            <v>Non-proportional</v>
          </cell>
          <cell r="S9758">
            <v>178387.12</v>
          </cell>
          <cell r="X9758" t="str">
            <v>Variation UPR - gross</v>
          </cell>
          <cell r="Y9758" t="str">
            <v>SWITZERLAND</v>
          </cell>
        </row>
        <row r="9759">
          <cell r="L9759" t="str">
            <v>Non-proportional</v>
          </cell>
          <cell r="S9759">
            <v>44119.06</v>
          </cell>
          <cell r="X9759" t="str">
            <v>Variation UPR - gross</v>
          </cell>
          <cell r="Y9759" t="str">
            <v>SWITZERLAND</v>
          </cell>
        </row>
        <row r="9760">
          <cell r="L9760" t="str">
            <v>Non-proportional</v>
          </cell>
          <cell r="S9760">
            <v>18510.78</v>
          </cell>
          <cell r="X9760" t="str">
            <v>Variation UPR - gross</v>
          </cell>
          <cell r="Y9760" t="str">
            <v>DENMARK</v>
          </cell>
        </row>
        <row r="9761">
          <cell r="L9761" t="str">
            <v>Non-proportional</v>
          </cell>
          <cell r="S9761">
            <v>207900</v>
          </cell>
          <cell r="X9761" t="str">
            <v>Variation UPR - gross</v>
          </cell>
          <cell r="Y9761" t="str">
            <v>ROMANIA</v>
          </cell>
        </row>
        <row r="9762">
          <cell r="L9762" t="str">
            <v>Non-proportional</v>
          </cell>
          <cell r="S9762">
            <v>183080.09</v>
          </cell>
          <cell r="X9762" t="str">
            <v>Variation UPR - gross</v>
          </cell>
          <cell r="Y9762" t="str">
            <v>FRANCE</v>
          </cell>
        </row>
        <row r="9763">
          <cell r="L9763" t="str">
            <v>Non-proportional</v>
          </cell>
          <cell r="S9763">
            <v>7478235.0800000001</v>
          </cell>
          <cell r="X9763" t="str">
            <v>Variation UPR - gross</v>
          </cell>
          <cell r="Y9763" t="str">
            <v>UNITED KINGDOM</v>
          </cell>
        </row>
        <row r="9764">
          <cell r="L9764" t="str">
            <v>Non-proportional</v>
          </cell>
          <cell r="S9764">
            <v>185764.48000000001</v>
          </cell>
          <cell r="X9764" t="str">
            <v>Variation UPR - gross</v>
          </cell>
          <cell r="Y9764" t="str">
            <v>SWITZERLAND</v>
          </cell>
        </row>
        <row r="9765">
          <cell r="L9765" t="str">
            <v>Non-proportional</v>
          </cell>
          <cell r="S9765">
            <v>75945.919999999998</v>
          </cell>
          <cell r="X9765" t="str">
            <v>Variation UPR - gross</v>
          </cell>
          <cell r="Y9765" t="str">
            <v>FRANCE</v>
          </cell>
        </row>
        <row r="9766">
          <cell r="L9766" t="str">
            <v>Non-proportional</v>
          </cell>
          <cell r="S9766">
            <v>147396.97</v>
          </cell>
          <cell r="X9766" t="str">
            <v>Variation UPR - gross</v>
          </cell>
          <cell r="Y9766" t="str">
            <v>GERMANY</v>
          </cell>
        </row>
        <row r="9767">
          <cell r="L9767" t="str">
            <v>Non-proportional</v>
          </cell>
          <cell r="S9767">
            <v>182396.58</v>
          </cell>
          <cell r="X9767" t="str">
            <v>Variation UPR - gross</v>
          </cell>
          <cell r="Y9767" t="str">
            <v>UNITED KINGDOM</v>
          </cell>
        </row>
        <row r="9768">
          <cell r="L9768" t="str">
            <v>Non-proportional</v>
          </cell>
          <cell r="S9768">
            <v>58010.17</v>
          </cell>
          <cell r="X9768" t="str">
            <v>Variation UPR - gross</v>
          </cell>
          <cell r="Y9768" t="str">
            <v>NORWAY</v>
          </cell>
        </row>
        <row r="9769">
          <cell r="L9769" t="str">
            <v>Non-proportional</v>
          </cell>
          <cell r="S9769">
            <v>55063.82</v>
          </cell>
          <cell r="X9769" t="str">
            <v>Variation UPR - gross</v>
          </cell>
          <cell r="Y9769" t="str">
            <v>FRANCE</v>
          </cell>
        </row>
        <row r="9770">
          <cell r="L9770" t="str">
            <v>Non-proportional</v>
          </cell>
          <cell r="S9770">
            <v>215666.64</v>
          </cell>
          <cell r="X9770" t="str">
            <v>Variation UPR - gross</v>
          </cell>
          <cell r="Y9770" t="str">
            <v>FRANCE</v>
          </cell>
        </row>
        <row r="9771">
          <cell r="L9771" t="str">
            <v>Non-proportional</v>
          </cell>
          <cell r="S9771">
            <v>37806.620000000003</v>
          </cell>
          <cell r="X9771" t="str">
            <v>Variation UPR - gross</v>
          </cell>
          <cell r="Y9771" t="str">
            <v>EUROPE</v>
          </cell>
        </row>
        <row r="9772">
          <cell r="L9772" t="str">
            <v>Non-proportional</v>
          </cell>
          <cell r="S9772">
            <v>3012377.68</v>
          </cell>
          <cell r="X9772" t="str">
            <v>Variation UPR - gross</v>
          </cell>
          <cell r="Y9772" t="str">
            <v>UNITED KINGDOM</v>
          </cell>
        </row>
        <row r="9773">
          <cell r="L9773" t="str">
            <v>Non-proportional</v>
          </cell>
          <cell r="S9773">
            <v>33833.79</v>
          </cell>
          <cell r="X9773" t="str">
            <v>Variation UPR - gross</v>
          </cell>
          <cell r="Y9773" t="str">
            <v>ICELAND</v>
          </cell>
        </row>
        <row r="9774">
          <cell r="L9774" t="str">
            <v>Non-proportional</v>
          </cell>
          <cell r="S9774">
            <v>253648.63</v>
          </cell>
          <cell r="X9774" t="str">
            <v>Variation UPR - gross</v>
          </cell>
          <cell r="Y9774" t="str">
            <v>FRANCE</v>
          </cell>
        </row>
        <row r="9775">
          <cell r="L9775" t="str">
            <v>Non-proportional</v>
          </cell>
          <cell r="S9775">
            <v>103477</v>
          </cell>
          <cell r="X9775" t="str">
            <v>Variation UPR - gross</v>
          </cell>
          <cell r="Y9775" t="str">
            <v>GERMANY</v>
          </cell>
        </row>
        <row r="9776">
          <cell r="L9776" t="str">
            <v>Non-proportional</v>
          </cell>
          <cell r="S9776">
            <v>1190177.5</v>
          </cell>
          <cell r="X9776" t="str">
            <v>Variation UPR - gross</v>
          </cell>
          <cell r="Y9776" t="str">
            <v>UNITED KINGDOM</v>
          </cell>
        </row>
        <row r="9777">
          <cell r="L9777" t="str">
            <v>Non-proportional</v>
          </cell>
          <cell r="S9777">
            <v>-0.15</v>
          </cell>
          <cell r="X9777" t="str">
            <v>Variation UPR - gross</v>
          </cell>
          <cell r="Y9777" t="str">
            <v>SWEDEN</v>
          </cell>
        </row>
        <row r="9778">
          <cell r="L9778" t="str">
            <v>Non-proportional</v>
          </cell>
          <cell r="S9778">
            <v>281776.90000000002</v>
          </cell>
          <cell r="X9778" t="str">
            <v>Variation UPR - gross</v>
          </cell>
          <cell r="Y9778" t="str">
            <v>UNITED KINGDOM</v>
          </cell>
        </row>
        <row r="9779">
          <cell r="L9779" t="str">
            <v>Non-proportional</v>
          </cell>
          <cell r="S9779">
            <v>75569.2</v>
          </cell>
          <cell r="X9779" t="str">
            <v>Variation UPR - gross</v>
          </cell>
          <cell r="Y9779" t="str">
            <v>UNITED KINGDOM</v>
          </cell>
        </row>
        <row r="9780">
          <cell r="L9780" t="str">
            <v>Non-proportional</v>
          </cell>
          <cell r="S9780">
            <v>1237643.54</v>
          </cell>
          <cell r="X9780" t="str">
            <v>Variation UPR - gross</v>
          </cell>
          <cell r="Y9780" t="str">
            <v>UNITED KINGDOM</v>
          </cell>
        </row>
        <row r="9781">
          <cell r="L9781" t="str">
            <v>Non-proportional</v>
          </cell>
          <cell r="S9781">
            <v>3868.26</v>
          </cell>
          <cell r="X9781" t="str">
            <v>Variation UPR - gross</v>
          </cell>
          <cell r="Y9781" t="str">
            <v>GERMANY</v>
          </cell>
        </row>
        <row r="9782">
          <cell r="L9782" t="str">
            <v>Non-proportional</v>
          </cell>
          <cell r="S9782">
            <v>84658.29</v>
          </cell>
          <cell r="X9782" t="str">
            <v>Variation UPR - gross</v>
          </cell>
          <cell r="Y9782" t="str">
            <v>SWITZERLAND</v>
          </cell>
        </row>
        <row r="9783">
          <cell r="L9783" t="str">
            <v>Non-proportional</v>
          </cell>
          <cell r="S9783">
            <v>50304.47</v>
          </cell>
          <cell r="X9783" t="str">
            <v>Variation UPR - gross</v>
          </cell>
          <cell r="Y9783" t="str">
            <v>EUROPE</v>
          </cell>
        </row>
        <row r="9784">
          <cell r="L9784" t="str">
            <v>Non-proportional</v>
          </cell>
          <cell r="S9784">
            <v>268356</v>
          </cell>
          <cell r="X9784" t="str">
            <v>Variation UPR - gross</v>
          </cell>
          <cell r="Y9784" t="str">
            <v>GERMANY</v>
          </cell>
        </row>
        <row r="9785">
          <cell r="L9785" t="str">
            <v>Non-proportional</v>
          </cell>
          <cell r="S9785">
            <v>259671.86</v>
          </cell>
          <cell r="X9785" t="str">
            <v>Variation UPR - gross</v>
          </cell>
          <cell r="Y9785" t="str">
            <v>UNITED KINGDOM</v>
          </cell>
        </row>
        <row r="9786">
          <cell r="L9786" t="str">
            <v>Non-proportional</v>
          </cell>
          <cell r="S9786">
            <v>128867.47</v>
          </cell>
          <cell r="X9786" t="str">
            <v>Variation UPR - gross</v>
          </cell>
          <cell r="Y9786" t="str">
            <v>UNITED KINGDOM</v>
          </cell>
        </row>
        <row r="9787">
          <cell r="L9787" t="str">
            <v>Non-proportional</v>
          </cell>
          <cell r="S9787">
            <v>25675.58</v>
          </cell>
          <cell r="X9787" t="str">
            <v>Variation UPR - gross</v>
          </cell>
          <cell r="Y9787" t="str">
            <v>SWEDEN</v>
          </cell>
        </row>
        <row r="9788">
          <cell r="L9788" t="str">
            <v>Non-proportional</v>
          </cell>
          <cell r="S9788">
            <v>98676.82</v>
          </cell>
          <cell r="X9788" t="str">
            <v>Variation UPR - gross</v>
          </cell>
          <cell r="Y9788" t="str">
            <v>GERMANY</v>
          </cell>
        </row>
        <row r="9789">
          <cell r="L9789" t="str">
            <v>Proportional</v>
          </cell>
          <cell r="S9789">
            <v>190264.43</v>
          </cell>
          <cell r="X9789" t="str">
            <v>Variation UPR - gross</v>
          </cell>
          <cell r="Y9789" t="str">
            <v>GERMANY</v>
          </cell>
        </row>
        <row r="9790">
          <cell r="L9790" t="str">
            <v>Non-proportional</v>
          </cell>
          <cell r="S9790">
            <v>22916.67</v>
          </cell>
          <cell r="X9790" t="str">
            <v>Variation UPR - gross</v>
          </cell>
          <cell r="Y9790" t="str">
            <v>GERMANY</v>
          </cell>
        </row>
        <row r="9791">
          <cell r="L9791" t="str">
            <v>Non-proportional</v>
          </cell>
          <cell r="S9791">
            <v>3535.97</v>
          </cell>
          <cell r="X9791" t="str">
            <v>Variation UPR - gross</v>
          </cell>
          <cell r="Y9791" t="str">
            <v>FRANCE</v>
          </cell>
        </row>
        <row r="9792">
          <cell r="L9792" t="str">
            <v>Non-proportional</v>
          </cell>
          <cell r="S9792">
            <v>262395.83</v>
          </cell>
          <cell r="X9792" t="str">
            <v>Variation UPR - gross</v>
          </cell>
          <cell r="Y9792" t="str">
            <v>AUSTRIA</v>
          </cell>
        </row>
        <row r="9793">
          <cell r="L9793" t="str">
            <v>Non-proportional</v>
          </cell>
          <cell r="S9793">
            <v>15418.26</v>
          </cell>
          <cell r="X9793" t="str">
            <v>Variation UPR - gross</v>
          </cell>
          <cell r="Y9793" t="str">
            <v>GERMANY</v>
          </cell>
        </row>
        <row r="9794">
          <cell r="L9794" t="str">
            <v>Non-proportional</v>
          </cell>
          <cell r="S9794">
            <v>62894.04</v>
          </cell>
          <cell r="X9794" t="str">
            <v>Variation UPR - gross</v>
          </cell>
          <cell r="Y9794" t="str">
            <v>GERMANY</v>
          </cell>
        </row>
        <row r="9795">
          <cell r="L9795" t="str">
            <v>Non-proportional</v>
          </cell>
          <cell r="S9795">
            <v>208711.25</v>
          </cell>
          <cell r="X9795" t="str">
            <v>Variation UPR - gross</v>
          </cell>
          <cell r="Y9795" t="str">
            <v>AUSTRIA</v>
          </cell>
        </row>
        <row r="9796">
          <cell r="L9796" t="str">
            <v>Non-proportional</v>
          </cell>
          <cell r="S9796">
            <v>1232572.94</v>
          </cell>
          <cell r="X9796" t="str">
            <v>Variation UPR - gross</v>
          </cell>
          <cell r="Y9796" t="str">
            <v>FRANCE</v>
          </cell>
        </row>
        <row r="9797">
          <cell r="L9797" t="str">
            <v>Non-proportional</v>
          </cell>
          <cell r="S9797">
            <v>284749.65000000002</v>
          </cell>
          <cell r="X9797" t="str">
            <v>Variation UPR - gross</v>
          </cell>
          <cell r="Y9797" t="str">
            <v>CZECH REPUBLIC</v>
          </cell>
        </row>
        <row r="9798">
          <cell r="L9798" t="str">
            <v>Non-proportional</v>
          </cell>
          <cell r="S9798">
            <v>9607.16</v>
          </cell>
          <cell r="X9798" t="str">
            <v>Variation UPR - gross</v>
          </cell>
          <cell r="Y9798" t="str">
            <v>GERMANY</v>
          </cell>
        </row>
        <row r="9799">
          <cell r="L9799" t="str">
            <v>Non-proportional</v>
          </cell>
          <cell r="S9799">
            <v>-0.03</v>
          </cell>
          <cell r="X9799" t="str">
            <v>Variation UPR - gross</v>
          </cell>
          <cell r="Y9799" t="str">
            <v>ICELAND</v>
          </cell>
        </row>
        <row r="9800">
          <cell r="L9800" t="str">
            <v>Non-proportional</v>
          </cell>
          <cell r="S9800">
            <v>370990.34</v>
          </cell>
          <cell r="X9800" t="str">
            <v>Variation UPR - gross</v>
          </cell>
          <cell r="Y9800" t="str">
            <v>FRANCE</v>
          </cell>
        </row>
        <row r="9801">
          <cell r="L9801" t="str">
            <v>Non-proportional</v>
          </cell>
          <cell r="S9801">
            <v>61449.599999999999</v>
          </cell>
          <cell r="X9801" t="str">
            <v>Variation UPR - gross</v>
          </cell>
          <cell r="Y9801" t="str">
            <v>GERMANY</v>
          </cell>
        </row>
        <row r="9802">
          <cell r="L9802" t="str">
            <v>Non-proportional</v>
          </cell>
          <cell r="S9802">
            <v>94875</v>
          </cell>
          <cell r="X9802" t="str">
            <v>Variation UPR - gross</v>
          </cell>
          <cell r="Y9802" t="str">
            <v>GERMANY</v>
          </cell>
        </row>
        <row r="9803">
          <cell r="L9803" t="str">
            <v>Non-proportional</v>
          </cell>
          <cell r="S9803">
            <v>49625.45</v>
          </cell>
          <cell r="X9803" t="str">
            <v>Variation UPR - gross</v>
          </cell>
          <cell r="Y9803" t="str">
            <v>AUSTRIA</v>
          </cell>
        </row>
        <row r="9804">
          <cell r="L9804" t="str">
            <v>Non-proportional</v>
          </cell>
          <cell r="S9804">
            <v>714482.66</v>
          </cell>
          <cell r="X9804" t="str">
            <v>Variation UPR - gross</v>
          </cell>
          <cell r="Y9804" t="str">
            <v>REPUBLIC OF IRELAND</v>
          </cell>
        </row>
        <row r="9805">
          <cell r="L9805" t="str">
            <v>Non-proportional</v>
          </cell>
          <cell r="S9805">
            <v>128455.89</v>
          </cell>
          <cell r="X9805" t="str">
            <v>Variation UPR - gross</v>
          </cell>
          <cell r="Y9805" t="str">
            <v>UNITED KINGDOM</v>
          </cell>
        </row>
        <row r="9806">
          <cell r="L9806" t="str">
            <v>Non-proportional</v>
          </cell>
          <cell r="S9806">
            <v>178729.41</v>
          </cell>
          <cell r="X9806" t="str">
            <v>Variation UPR - gross</v>
          </cell>
          <cell r="Y9806" t="str">
            <v>FRANCE</v>
          </cell>
        </row>
        <row r="9807">
          <cell r="L9807" t="str">
            <v>Non-proportional</v>
          </cell>
          <cell r="S9807">
            <v>132667.32</v>
          </cell>
          <cell r="X9807" t="str">
            <v>Variation UPR - gross</v>
          </cell>
          <cell r="Y9807" t="str">
            <v>UNITED KINGDOM</v>
          </cell>
        </row>
        <row r="9808">
          <cell r="L9808" t="str">
            <v>Non-proportional</v>
          </cell>
          <cell r="S9808">
            <v>82954.539999999994</v>
          </cell>
          <cell r="X9808" t="str">
            <v>Variation UPR - gross</v>
          </cell>
          <cell r="Y9808" t="str">
            <v>NORWAY</v>
          </cell>
        </row>
        <row r="9809">
          <cell r="L9809" t="str">
            <v>Non-proportional</v>
          </cell>
          <cell r="S9809">
            <v>80776</v>
          </cell>
          <cell r="X9809" t="str">
            <v>Variation UPR - gross</v>
          </cell>
          <cell r="Y9809" t="str">
            <v>SPAIN</v>
          </cell>
        </row>
        <row r="9810">
          <cell r="L9810" t="str">
            <v>Non-proportional</v>
          </cell>
          <cell r="S9810">
            <v>29840.3</v>
          </cell>
          <cell r="X9810" t="str">
            <v>Variation UPR - gross</v>
          </cell>
          <cell r="Y9810" t="str">
            <v>GERMANY</v>
          </cell>
        </row>
        <row r="9811">
          <cell r="L9811" t="str">
            <v>Non-proportional</v>
          </cell>
          <cell r="S9811">
            <v>37593.11</v>
          </cell>
          <cell r="X9811" t="str">
            <v>Variation UPR - gross</v>
          </cell>
          <cell r="Y9811" t="str">
            <v>ICELAND</v>
          </cell>
        </row>
        <row r="9812">
          <cell r="L9812" t="str">
            <v>Non-proportional</v>
          </cell>
          <cell r="S9812">
            <v>165107.26</v>
          </cell>
          <cell r="X9812" t="str">
            <v>Variation UPR - gross</v>
          </cell>
          <cell r="Y9812" t="str">
            <v>UNITED KINGDOM</v>
          </cell>
        </row>
        <row r="9813">
          <cell r="L9813" t="str">
            <v>Non-proportional</v>
          </cell>
          <cell r="S9813">
            <v>134365.41</v>
          </cell>
          <cell r="X9813" t="str">
            <v>Variation UPR - gross</v>
          </cell>
          <cell r="Y9813" t="str">
            <v>REPUBLIC OF IRELAND</v>
          </cell>
        </row>
        <row r="9814">
          <cell r="L9814" t="str">
            <v>Non-proportional</v>
          </cell>
          <cell r="S9814">
            <v>129975.36</v>
          </cell>
          <cell r="X9814" t="str">
            <v>Variation UPR - gross</v>
          </cell>
          <cell r="Y9814" t="str">
            <v>GERMANY</v>
          </cell>
        </row>
        <row r="9815">
          <cell r="L9815" t="str">
            <v>Non-proportional</v>
          </cell>
          <cell r="S9815">
            <v>279329.59999999998</v>
          </cell>
          <cell r="X9815" t="str">
            <v>Variation UPR - gross</v>
          </cell>
          <cell r="Y9815" t="str">
            <v>GERMANY</v>
          </cell>
        </row>
        <row r="9816">
          <cell r="L9816" t="str">
            <v>Non-proportional</v>
          </cell>
          <cell r="S9816">
            <v>-0.01</v>
          </cell>
          <cell r="X9816" t="str">
            <v>Variation UPR - gross</v>
          </cell>
          <cell r="Y9816" t="str">
            <v>JAPAN</v>
          </cell>
        </row>
        <row r="9817">
          <cell r="L9817" t="str">
            <v>Non-proportional</v>
          </cell>
          <cell r="S9817">
            <v>66796.490000000005</v>
          </cell>
          <cell r="X9817" t="str">
            <v>Variation UPR - gross</v>
          </cell>
          <cell r="Y9817" t="str">
            <v>DENMARK</v>
          </cell>
        </row>
        <row r="9818">
          <cell r="L9818" t="str">
            <v>Non-proportional</v>
          </cell>
          <cell r="S9818">
            <v>155320</v>
          </cell>
          <cell r="X9818" t="str">
            <v>Variation UPR - gross</v>
          </cell>
          <cell r="Y9818" t="str">
            <v>AUSTRIA</v>
          </cell>
        </row>
        <row r="9819">
          <cell r="L9819" t="str">
            <v>Non-proportional</v>
          </cell>
          <cell r="S9819">
            <v>73022.61</v>
          </cell>
          <cell r="X9819" t="str">
            <v>Variation UPR - gross</v>
          </cell>
          <cell r="Y9819" t="str">
            <v>EUROPE</v>
          </cell>
        </row>
        <row r="9820">
          <cell r="L9820" t="str">
            <v>Non-proportional</v>
          </cell>
          <cell r="S9820">
            <v>79178.679999999993</v>
          </cell>
          <cell r="X9820" t="str">
            <v>Variation UPR - gross</v>
          </cell>
          <cell r="Y9820" t="str">
            <v>DENMARK</v>
          </cell>
        </row>
        <row r="9821">
          <cell r="L9821" t="str">
            <v>Non-proportional</v>
          </cell>
          <cell r="S9821">
            <v>483288.05</v>
          </cell>
          <cell r="X9821" t="str">
            <v>Variation UPR - gross</v>
          </cell>
          <cell r="Y9821" t="str">
            <v>UNITED KINGDOM</v>
          </cell>
        </row>
        <row r="9822">
          <cell r="L9822" t="str">
            <v>Non-proportional</v>
          </cell>
          <cell r="S9822">
            <v>-0.03</v>
          </cell>
          <cell r="X9822" t="str">
            <v>Variation UPR - gross</v>
          </cell>
          <cell r="Y9822" t="str">
            <v>ICELAND</v>
          </cell>
        </row>
        <row r="9823">
          <cell r="L9823" t="str">
            <v>Non-proportional</v>
          </cell>
          <cell r="S9823">
            <v>97293.85</v>
          </cell>
          <cell r="X9823" t="str">
            <v>Variation UPR - gross</v>
          </cell>
          <cell r="Y9823" t="str">
            <v>GERMANY</v>
          </cell>
        </row>
        <row r="9824">
          <cell r="L9824" t="str">
            <v>Non-proportional</v>
          </cell>
          <cell r="S9824">
            <v>3983127.38</v>
          </cell>
          <cell r="X9824" t="str">
            <v>Variation UPR - gross</v>
          </cell>
          <cell r="Y9824" t="str">
            <v>UNITED KINGDOM</v>
          </cell>
        </row>
        <row r="9825">
          <cell r="L9825" t="str">
            <v>Non-proportional</v>
          </cell>
          <cell r="S9825">
            <v>227778.59</v>
          </cell>
          <cell r="X9825" t="str">
            <v>Variation UPR - gross</v>
          </cell>
          <cell r="Y9825" t="str">
            <v>EUROPE</v>
          </cell>
        </row>
        <row r="9826">
          <cell r="L9826" t="str">
            <v>Non-proportional</v>
          </cell>
          <cell r="S9826">
            <v>618193.78</v>
          </cell>
          <cell r="X9826" t="str">
            <v>Variation UPR - gross</v>
          </cell>
          <cell r="Y9826" t="str">
            <v>UNITED KINGDOM</v>
          </cell>
        </row>
        <row r="9827">
          <cell r="L9827" t="str">
            <v>Non-proportional</v>
          </cell>
          <cell r="S9827">
            <v>310162.21000000002</v>
          </cell>
          <cell r="X9827" t="str">
            <v>Variation UPR - gross</v>
          </cell>
          <cell r="Y9827" t="str">
            <v>UNITED KINGDOM</v>
          </cell>
        </row>
        <row r="9828">
          <cell r="L9828" t="str">
            <v>Non-proportional</v>
          </cell>
          <cell r="S9828">
            <v>323583.33</v>
          </cell>
          <cell r="X9828" t="str">
            <v>Variation UPR - gross</v>
          </cell>
          <cell r="Y9828" t="str">
            <v>EUROPE</v>
          </cell>
        </row>
        <row r="9829">
          <cell r="L9829" t="str">
            <v>Non-proportional</v>
          </cell>
          <cell r="S9829">
            <v>68755.710000000006</v>
          </cell>
          <cell r="X9829" t="str">
            <v>Variation UPR - gross</v>
          </cell>
          <cell r="Y9829" t="str">
            <v>GERMANY</v>
          </cell>
        </row>
        <row r="9830">
          <cell r="L9830" t="str">
            <v>Non-proportional</v>
          </cell>
          <cell r="S9830">
            <v>82000.320000000007</v>
          </cell>
          <cell r="X9830" t="str">
            <v>Variation UPR - gross</v>
          </cell>
          <cell r="Y9830" t="str">
            <v>EUROPE</v>
          </cell>
        </row>
        <row r="9831">
          <cell r="L9831" t="str">
            <v>Non-proportional</v>
          </cell>
          <cell r="S9831">
            <v>288536.96000000002</v>
          </cell>
          <cell r="X9831" t="str">
            <v>Variation UPR - gross</v>
          </cell>
          <cell r="Y9831" t="str">
            <v>UNITED KINGDOM</v>
          </cell>
        </row>
        <row r="9832">
          <cell r="L9832" t="str">
            <v>Non-proportional</v>
          </cell>
          <cell r="S9832">
            <v>38700.94</v>
          </cell>
          <cell r="X9832" t="str">
            <v>Variation UPR - gross</v>
          </cell>
          <cell r="Y9832" t="str">
            <v>SWITZERLAND</v>
          </cell>
        </row>
        <row r="9833">
          <cell r="L9833" t="str">
            <v>Non-proportional</v>
          </cell>
          <cell r="S9833">
            <v>272672</v>
          </cell>
          <cell r="X9833" t="str">
            <v>Variation UPR - gross</v>
          </cell>
          <cell r="Y9833" t="str">
            <v>UNITED KINGDOM</v>
          </cell>
        </row>
        <row r="9834">
          <cell r="L9834" t="str">
            <v>Non-proportional</v>
          </cell>
          <cell r="S9834">
            <v>92065.34</v>
          </cell>
          <cell r="X9834" t="str">
            <v>Variation UPR - gross</v>
          </cell>
          <cell r="Y9834" t="str">
            <v>GERMANY</v>
          </cell>
        </row>
        <row r="9835">
          <cell r="L9835" t="str">
            <v>Non-proportional</v>
          </cell>
          <cell r="S9835">
            <v>87615</v>
          </cell>
          <cell r="X9835" t="str">
            <v>Variation UPR - gross</v>
          </cell>
          <cell r="Y9835" t="str">
            <v>GERMANY</v>
          </cell>
        </row>
        <row r="9836">
          <cell r="L9836" t="str">
            <v>Non-proportional</v>
          </cell>
          <cell r="S9836">
            <v>34576.67</v>
          </cell>
          <cell r="X9836" t="str">
            <v>Variation UPR - gross</v>
          </cell>
          <cell r="Y9836" t="str">
            <v>GERMANY</v>
          </cell>
        </row>
        <row r="9837">
          <cell r="L9837" t="str">
            <v>Non-proportional</v>
          </cell>
          <cell r="S9837">
            <v>69686.490000000005</v>
          </cell>
          <cell r="X9837" t="str">
            <v>Variation UPR - gross</v>
          </cell>
          <cell r="Y9837" t="str">
            <v>GERMANY</v>
          </cell>
        </row>
        <row r="9838">
          <cell r="L9838" t="str">
            <v>Non-proportional</v>
          </cell>
          <cell r="S9838">
            <v>135129.76999999999</v>
          </cell>
          <cell r="X9838" t="str">
            <v>Variation UPR - gross</v>
          </cell>
          <cell r="Y9838" t="str">
            <v>DENMARK</v>
          </cell>
        </row>
        <row r="9839">
          <cell r="L9839" t="str">
            <v>Non-proportional</v>
          </cell>
          <cell r="S9839">
            <v>107263.58</v>
          </cell>
          <cell r="X9839" t="str">
            <v>Variation UPR - gross</v>
          </cell>
          <cell r="Y9839" t="str">
            <v>GERMANY</v>
          </cell>
        </row>
        <row r="9840">
          <cell r="L9840" t="str">
            <v>Non-proportional</v>
          </cell>
          <cell r="S9840">
            <v>68520.83</v>
          </cell>
          <cell r="X9840" t="str">
            <v>Variation UPR - gross</v>
          </cell>
          <cell r="Y9840" t="str">
            <v>GERMANY</v>
          </cell>
        </row>
        <row r="9841">
          <cell r="L9841" t="str">
            <v>Non-proportional</v>
          </cell>
          <cell r="S9841">
            <v>22782.42</v>
          </cell>
          <cell r="X9841" t="str">
            <v>Variation UPR - gross</v>
          </cell>
          <cell r="Y9841" t="str">
            <v>DENMARK</v>
          </cell>
        </row>
        <row r="9842">
          <cell r="L9842" t="str">
            <v>Non-proportional</v>
          </cell>
          <cell r="S9842">
            <v>33917.33</v>
          </cell>
          <cell r="X9842" t="str">
            <v>Variation UPR - gross</v>
          </cell>
          <cell r="Y9842" t="str">
            <v>EUROPE</v>
          </cell>
        </row>
        <row r="9843">
          <cell r="L9843" t="str">
            <v>Non-proportional</v>
          </cell>
          <cell r="S9843">
            <v>47030.559999999998</v>
          </cell>
          <cell r="X9843" t="str">
            <v>Variation UPR - gross</v>
          </cell>
          <cell r="Y9843" t="str">
            <v>GERMANY</v>
          </cell>
        </row>
        <row r="9844">
          <cell r="L9844" t="str">
            <v>Non-proportional</v>
          </cell>
          <cell r="S9844">
            <v>109097.15</v>
          </cell>
          <cell r="X9844" t="str">
            <v>Variation UPR - gross</v>
          </cell>
          <cell r="Y9844" t="str">
            <v>CZECH REPUBLIC</v>
          </cell>
        </row>
        <row r="9845">
          <cell r="L9845" t="str">
            <v>Non-proportional</v>
          </cell>
          <cell r="S9845">
            <v>228344.78</v>
          </cell>
          <cell r="X9845" t="str">
            <v>Variation UPR - gross</v>
          </cell>
          <cell r="Y9845" t="str">
            <v>EIRE</v>
          </cell>
        </row>
        <row r="9846">
          <cell r="L9846" t="str">
            <v>Non-proportional</v>
          </cell>
          <cell r="S9846">
            <v>224583.33</v>
          </cell>
          <cell r="X9846" t="str">
            <v>Variation UPR - gross</v>
          </cell>
          <cell r="Y9846" t="str">
            <v>GERMANY</v>
          </cell>
        </row>
        <row r="9847">
          <cell r="L9847" t="str">
            <v>Non-proportional</v>
          </cell>
          <cell r="S9847">
            <v>25932.5</v>
          </cell>
          <cell r="X9847" t="str">
            <v>Variation UPR - gross</v>
          </cell>
          <cell r="Y9847" t="str">
            <v>GERMANY</v>
          </cell>
        </row>
        <row r="9848">
          <cell r="L9848" t="str">
            <v>Non-proportional</v>
          </cell>
          <cell r="S9848">
            <v>110119.67999999999</v>
          </cell>
          <cell r="X9848" t="str">
            <v>Variation UPR - gross</v>
          </cell>
          <cell r="Y9848" t="str">
            <v>GERMANY</v>
          </cell>
        </row>
        <row r="9849">
          <cell r="L9849" t="str">
            <v>Non-proportional</v>
          </cell>
          <cell r="S9849">
            <v>-9128.9599999999991</v>
          </cell>
          <cell r="X9849" t="str">
            <v>Variation UPR - gross</v>
          </cell>
          <cell r="Y9849" t="str">
            <v>GERMANY</v>
          </cell>
        </row>
        <row r="9850">
          <cell r="L9850" t="str">
            <v>Non-proportional</v>
          </cell>
          <cell r="S9850">
            <v>-20416.669999999998</v>
          </cell>
          <cell r="X9850" t="str">
            <v>Variation UPR - gross</v>
          </cell>
          <cell r="Y9850" t="str">
            <v>GERMANY</v>
          </cell>
        </row>
        <row r="9851">
          <cell r="L9851" t="str">
            <v>Non-proportional</v>
          </cell>
          <cell r="S9851">
            <v>4.71</v>
          </cell>
          <cell r="X9851" t="str">
            <v>Variation UPR - gross</v>
          </cell>
          <cell r="Y9851" t="str">
            <v>SWEDEN</v>
          </cell>
        </row>
        <row r="9852">
          <cell r="L9852" t="str">
            <v>Non-proportional</v>
          </cell>
          <cell r="S9852">
            <v>-1962.32</v>
          </cell>
          <cell r="X9852" t="str">
            <v>Variation UPR - gross</v>
          </cell>
          <cell r="Y9852" t="str">
            <v>GERMANY</v>
          </cell>
        </row>
        <row r="9853">
          <cell r="L9853" t="str">
            <v>Non-proportional</v>
          </cell>
          <cell r="S9853">
            <v>-51082.16</v>
          </cell>
          <cell r="X9853" t="str">
            <v>Variation UPR - gross</v>
          </cell>
          <cell r="Y9853" t="str">
            <v>UNITED KINGDOM</v>
          </cell>
        </row>
        <row r="9854">
          <cell r="L9854" t="str">
            <v>Non-proportional</v>
          </cell>
          <cell r="S9854">
            <v>-10425.780000000001</v>
          </cell>
          <cell r="X9854" t="str">
            <v>Variation UPR - gross</v>
          </cell>
          <cell r="Y9854" t="str">
            <v>FRANCE</v>
          </cell>
        </row>
        <row r="9855">
          <cell r="L9855" t="str">
            <v>Non-proportional</v>
          </cell>
          <cell r="S9855">
            <v>-52504.36</v>
          </cell>
          <cell r="X9855" t="str">
            <v>Variation UPR - gross</v>
          </cell>
          <cell r="Y9855" t="str">
            <v>UNITED KINGDOM</v>
          </cell>
        </row>
        <row r="9856">
          <cell r="L9856" t="str">
            <v>Non-proportional</v>
          </cell>
          <cell r="S9856">
            <v>-5467.12</v>
          </cell>
          <cell r="X9856" t="str">
            <v>Variation UPR - gross</v>
          </cell>
          <cell r="Y9856" t="str">
            <v>EIRE</v>
          </cell>
        </row>
        <row r="9857">
          <cell r="L9857" t="str">
            <v>Non-proportional</v>
          </cell>
          <cell r="S9857">
            <v>-21958.83</v>
          </cell>
          <cell r="X9857" t="str">
            <v>Variation UPR - gross</v>
          </cell>
          <cell r="Y9857" t="str">
            <v>UNITED KINGDOM</v>
          </cell>
        </row>
        <row r="9858">
          <cell r="L9858" t="str">
            <v>Non-proportional</v>
          </cell>
          <cell r="S9858">
            <v>-27271.45</v>
          </cell>
          <cell r="X9858" t="str">
            <v>Variation UPR - gross</v>
          </cell>
          <cell r="Y9858" t="str">
            <v>UNITED KINGDOM</v>
          </cell>
        </row>
        <row r="9859">
          <cell r="L9859" t="str">
            <v>Non-proportional</v>
          </cell>
          <cell r="S9859">
            <v>-7124.24</v>
          </cell>
          <cell r="X9859" t="str">
            <v>Variation UPR - gross</v>
          </cell>
          <cell r="Y9859" t="str">
            <v>NORWAY</v>
          </cell>
        </row>
        <row r="9860">
          <cell r="L9860" t="str">
            <v>Non-proportional</v>
          </cell>
          <cell r="S9860">
            <v>-2712.75</v>
          </cell>
          <cell r="X9860" t="str">
            <v>Variation UPR - gross</v>
          </cell>
          <cell r="Y9860" t="str">
            <v>GERMANY</v>
          </cell>
        </row>
        <row r="9861">
          <cell r="L9861" t="str">
            <v>Non-proportional</v>
          </cell>
          <cell r="S9861">
            <v>-19920.240000000002</v>
          </cell>
          <cell r="X9861" t="str">
            <v>Variation UPR - gross</v>
          </cell>
          <cell r="Y9861" t="str">
            <v>FRANCE</v>
          </cell>
        </row>
        <row r="9862">
          <cell r="L9862" t="str">
            <v>Non-proportional</v>
          </cell>
          <cell r="S9862">
            <v>-12074.88</v>
          </cell>
          <cell r="X9862" t="str">
            <v>Variation UPR - gross</v>
          </cell>
          <cell r="Y9862" t="str">
            <v>FRANCE</v>
          </cell>
        </row>
        <row r="9863">
          <cell r="L9863" t="str">
            <v>Non-proportional</v>
          </cell>
          <cell r="S9863">
            <v>-3059.93</v>
          </cell>
          <cell r="X9863" t="str">
            <v>Variation UPR - gross</v>
          </cell>
          <cell r="Y9863" t="str">
            <v>JAPAN</v>
          </cell>
        </row>
        <row r="9864">
          <cell r="L9864" t="str">
            <v>Non-proportional</v>
          </cell>
          <cell r="S9864">
            <v>-19405.57</v>
          </cell>
          <cell r="X9864" t="str">
            <v>Variation UPR - gross</v>
          </cell>
          <cell r="Y9864" t="str">
            <v>UNITED KINGDOM</v>
          </cell>
        </row>
        <row r="9865">
          <cell r="L9865" t="str">
            <v>Non-proportional</v>
          </cell>
          <cell r="S9865">
            <v>-8999.89</v>
          </cell>
          <cell r="X9865" t="str">
            <v>Variation UPR - gross</v>
          </cell>
          <cell r="Y9865" t="str">
            <v>GERMANY</v>
          </cell>
        </row>
        <row r="9866">
          <cell r="L9866" t="str">
            <v>Non-proportional</v>
          </cell>
          <cell r="S9866">
            <v>-575</v>
          </cell>
          <cell r="X9866" t="str">
            <v>Variation UPR - gross</v>
          </cell>
          <cell r="Y9866" t="str">
            <v>ITALY</v>
          </cell>
        </row>
        <row r="9867">
          <cell r="L9867" t="str">
            <v>Non-proportional</v>
          </cell>
          <cell r="S9867">
            <v>-6416.67</v>
          </cell>
          <cell r="X9867" t="str">
            <v>Variation UPR - gross</v>
          </cell>
          <cell r="Y9867" t="str">
            <v>GERMANY</v>
          </cell>
        </row>
        <row r="9868">
          <cell r="L9868" t="str">
            <v>Non-proportional</v>
          </cell>
          <cell r="S9868">
            <v>-11354.85</v>
          </cell>
          <cell r="X9868" t="str">
            <v>Variation UPR - gross</v>
          </cell>
          <cell r="Y9868" t="str">
            <v>GERMANY</v>
          </cell>
        </row>
        <row r="9869">
          <cell r="L9869" t="str">
            <v>Non-proportional</v>
          </cell>
          <cell r="S9869">
            <v>-9205.6</v>
          </cell>
          <cell r="X9869" t="str">
            <v>Variation UPR - gross</v>
          </cell>
          <cell r="Y9869" t="str">
            <v>UNITED KINGDOM</v>
          </cell>
        </row>
        <row r="9870">
          <cell r="L9870" t="str">
            <v>Non-proportional</v>
          </cell>
          <cell r="S9870">
            <v>-13399.72</v>
          </cell>
          <cell r="X9870" t="str">
            <v>Variation UPR - gross</v>
          </cell>
          <cell r="Y9870" t="str">
            <v>GERMANY</v>
          </cell>
        </row>
        <row r="9871">
          <cell r="L9871" t="str">
            <v>Non-proportional</v>
          </cell>
          <cell r="S9871">
            <v>-28844.87</v>
          </cell>
          <cell r="X9871" t="str">
            <v>Variation UPR - gross</v>
          </cell>
          <cell r="Y9871" t="str">
            <v>UNITED KINGDOM</v>
          </cell>
        </row>
        <row r="9872">
          <cell r="L9872" t="str">
            <v>Non-proportional</v>
          </cell>
          <cell r="S9872">
            <v>-17609.03</v>
          </cell>
          <cell r="X9872" t="str">
            <v>Variation UPR - gross</v>
          </cell>
          <cell r="Y9872" t="str">
            <v>AUSTRIA</v>
          </cell>
        </row>
        <row r="9873">
          <cell r="L9873" t="str">
            <v>Non-proportional</v>
          </cell>
          <cell r="S9873">
            <v>-6458.33</v>
          </cell>
          <cell r="X9873" t="str">
            <v>Variation UPR - gross</v>
          </cell>
          <cell r="Y9873" t="str">
            <v>AUSTRIA</v>
          </cell>
        </row>
        <row r="9874">
          <cell r="L9874" t="str">
            <v>Non-proportional</v>
          </cell>
          <cell r="S9874">
            <v>-6638.42</v>
          </cell>
          <cell r="X9874" t="str">
            <v>Variation UPR - gross</v>
          </cell>
          <cell r="Y9874" t="str">
            <v>EUROPE</v>
          </cell>
        </row>
        <row r="9875">
          <cell r="L9875" t="str">
            <v>Non-proportional</v>
          </cell>
          <cell r="S9875">
            <v>-718.44</v>
          </cell>
          <cell r="X9875" t="str">
            <v>Variation UPR - gross</v>
          </cell>
          <cell r="Y9875" t="str">
            <v>ITALY</v>
          </cell>
        </row>
        <row r="9876">
          <cell r="L9876" t="str">
            <v>Non-proportional</v>
          </cell>
          <cell r="S9876">
            <v>-21122.61</v>
          </cell>
          <cell r="X9876" t="str">
            <v>Variation UPR - gross</v>
          </cell>
          <cell r="Y9876" t="str">
            <v>UNITED KINGDOM</v>
          </cell>
        </row>
        <row r="9877">
          <cell r="L9877" t="str">
            <v>Non-proportional</v>
          </cell>
          <cell r="S9877">
            <v>-16400.46</v>
          </cell>
          <cell r="X9877" t="str">
            <v>Variation UPR - gross</v>
          </cell>
          <cell r="Y9877" t="str">
            <v>SWITZERLAND</v>
          </cell>
        </row>
        <row r="9878">
          <cell r="L9878" t="str">
            <v>Non-proportional</v>
          </cell>
          <cell r="S9878">
            <v>-14602.5</v>
          </cell>
          <cell r="X9878" t="str">
            <v>Variation UPR - gross</v>
          </cell>
          <cell r="Y9878" t="str">
            <v>GERMANY</v>
          </cell>
        </row>
        <row r="9879">
          <cell r="L9879" t="str">
            <v>Non-proportional</v>
          </cell>
          <cell r="S9879">
            <v>-9203.1200000000008</v>
          </cell>
          <cell r="X9879" t="str">
            <v>Variation UPR - gross</v>
          </cell>
          <cell r="Y9879" t="str">
            <v>GERMANY</v>
          </cell>
        </row>
        <row r="9880">
          <cell r="L9880" t="str">
            <v>Non-proportional</v>
          </cell>
          <cell r="S9880">
            <v>-1751.19</v>
          </cell>
          <cell r="X9880" t="str">
            <v>Variation UPR - gross</v>
          </cell>
          <cell r="Y9880" t="str">
            <v>JAPAN</v>
          </cell>
        </row>
        <row r="9881">
          <cell r="L9881" t="str">
            <v>Non-proportional</v>
          </cell>
          <cell r="S9881">
            <v>-20924.87</v>
          </cell>
          <cell r="X9881" t="str">
            <v>Variation UPR - gross</v>
          </cell>
          <cell r="Y9881" t="str">
            <v>FRANCE</v>
          </cell>
        </row>
        <row r="9882">
          <cell r="L9882" t="str">
            <v>Non-proportional</v>
          </cell>
          <cell r="S9882">
            <v>15.68</v>
          </cell>
          <cell r="X9882" t="str">
            <v>Variation UPR - gross</v>
          </cell>
          <cell r="Y9882" t="str">
            <v>SWEDEN</v>
          </cell>
        </row>
        <row r="9883">
          <cell r="L9883" t="str">
            <v>Non-proportional</v>
          </cell>
          <cell r="S9883">
            <v>-2357.5</v>
          </cell>
          <cell r="X9883" t="str">
            <v>Variation UPR - gross</v>
          </cell>
          <cell r="Y9883" t="str">
            <v>GERMANY</v>
          </cell>
        </row>
        <row r="9884">
          <cell r="L9884" t="str">
            <v>Non-proportional</v>
          </cell>
          <cell r="S9884">
            <v>-8125</v>
          </cell>
          <cell r="X9884" t="str">
            <v>Variation UPR - gross</v>
          </cell>
          <cell r="Y9884" t="str">
            <v>CZECH REPUBLIC</v>
          </cell>
        </row>
        <row r="9885">
          <cell r="L9885" t="str">
            <v>Non-proportional</v>
          </cell>
          <cell r="S9885">
            <v>-4461.72</v>
          </cell>
          <cell r="X9885" t="str">
            <v>Variation UPR - gross</v>
          </cell>
          <cell r="Y9885" t="str">
            <v>DENMARK</v>
          </cell>
        </row>
        <row r="9886">
          <cell r="L9886" t="str">
            <v>Non-proportional</v>
          </cell>
          <cell r="S9886">
            <v>105949.38</v>
          </cell>
          <cell r="X9886" t="str">
            <v>Variation UPR - gross</v>
          </cell>
          <cell r="Y9886" t="str">
            <v>GERMANY</v>
          </cell>
        </row>
        <row r="9887">
          <cell r="L9887" t="str">
            <v>Non-proportional</v>
          </cell>
          <cell r="S9887">
            <v>-23058.97</v>
          </cell>
          <cell r="X9887" t="str">
            <v>Variation UPR - gross</v>
          </cell>
          <cell r="Y9887" t="str">
            <v>FRANCE</v>
          </cell>
        </row>
        <row r="9888">
          <cell r="L9888" t="str">
            <v>Non-proportional</v>
          </cell>
          <cell r="S9888">
            <v>-28406.28</v>
          </cell>
          <cell r="X9888" t="str">
            <v>Variation UPR - gross</v>
          </cell>
          <cell r="Y9888" t="str">
            <v>UNITED KINGDOM</v>
          </cell>
        </row>
        <row r="9889">
          <cell r="L9889" t="str">
            <v>Non-proportional</v>
          </cell>
          <cell r="S9889">
            <v>-8494.48</v>
          </cell>
          <cell r="X9889" t="str">
            <v>Variation UPR - gross</v>
          </cell>
          <cell r="Y9889" t="str">
            <v>GERMANY</v>
          </cell>
        </row>
        <row r="9890">
          <cell r="L9890" t="str">
            <v>Non-proportional</v>
          </cell>
          <cell r="S9890">
            <v>-4511.3999999999996</v>
          </cell>
          <cell r="X9890" t="str">
            <v>Variation UPR - gross</v>
          </cell>
          <cell r="Y9890" t="str">
            <v>AUSTRIA</v>
          </cell>
        </row>
        <row r="9891">
          <cell r="L9891" t="str">
            <v>Non-proportional</v>
          </cell>
          <cell r="S9891">
            <v>1.98</v>
          </cell>
          <cell r="X9891" t="str">
            <v>Variation UPR - gross</v>
          </cell>
          <cell r="Y9891" t="str">
            <v>SWEDEN</v>
          </cell>
        </row>
        <row r="9892">
          <cell r="L9892" t="str">
            <v>Non-proportional</v>
          </cell>
          <cell r="S9892">
            <v>41647.199999999997</v>
          </cell>
          <cell r="X9892" t="str">
            <v>Variation UPR - gross</v>
          </cell>
          <cell r="Y9892" t="str">
            <v>GERMANY</v>
          </cell>
        </row>
        <row r="9893">
          <cell r="L9893" t="str">
            <v>Non-proportional</v>
          </cell>
          <cell r="S9893">
            <v>-2398.08</v>
          </cell>
          <cell r="X9893" t="str">
            <v>Variation UPR - gross</v>
          </cell>
          <cell r="Y9893" t="str">
            <v>SWEDEN</v>
          </cell>
        </row>
        <row r="9894">
          <cell r="L9894" t="str">
            <v>Non-proportional</v>
          </cell>
          <cell r="S9894">
            <v>-12309.76</v>
          </cell>
          <cell r="X9894" t="str">
            <v>Variation UPR - gross</v>
          </cell>
          <cell r="Y9894" t="str">
            <v>SWEDEN</v>
          </cell>
        </row>
        <row r="9895">
          <cell r="L9895" t="str">
            <v>Non-proportional</v>
          </cell>
          <cell r="S9895">
            <v>-113537.12</v>
          </cell>
          <cell r="X9895" t="str">
            <v>Variation UPR - gross</v>
          </cell>
          <cell r="Y9895" t="str">
            <v>UNITED KINGDOM</v>
          </cell>
        </row>
        <row r="9896">
          <cell r="L9896" t="str">
            <v>Non-proportional</v>
          </cell>
          <cell r="S9896">
            <v>-3687.5</v>
          </cell>
          <cell r="X9896" t="str">
            <v>Variation UPR - gross</v>
          </cell>
          <cell r="Y9896" t="str">
            <v>GERMANY</v>
          </cell>
        </row>
        <row r="9897">
          <cell r="L9897" t="str">
            <v>Non-proportional</v>
          </cell>
          <cell r="S9897">
            <v>-3333.42</v>
          </cell>
          <cell r="X9897" t="str">
            <v>Variation UPR - gross</v>
          </cell>
          <cell r="Y9897" t="str">
            <v>ITALY</v>
          </cell>
        </row>
        <row r="9898">
          <cell r="L9898" t="str">
            <v>Non-proportional</v>
          </cell>
          <cell r="S9898">
            <v>-3667.29</v>
          </cell>
          <cell r="X9898" t="str">
            <v>Variation UPR - gross</v>
          </cell>
          <cell r="Y9898" t="str">
            <v>ICELAND</v>
          </cell>
        </row>
        <row r="9899">
          <cell r="L9899" t="str">
            <v>Non-proportional</v>
          </cell>
          <cell r="S9899">
            <v>-13407.25</v>
          </cell>
          <cell r="X9899" t="str">
            <v>Variation UPR - gross</v>
          </cell>
          <cell r="Y9899" t="str">
            <v>DENMARK</v>
          </cell>
        </row>
        <row r="9900">
          <cell r="L9900" t="str">
            <v>Non-proportional</v>
          </cell>
          <cell r="S9900">
            <v>-18900</v>
          </cell>
          <cell r="X9900" t="str">
            <v>Variation UPR - gross</v>
          </cell>
          <cell r="Y9900" t="str">
            <v>ROMANIA</v>
          </cell>
        </row>
        <row r="9901">
          <cell r="L9901" t="str">
            <v>Non-proportional</v>
          </cell>
          <cell r="S9901">
            <v>-8423.33</v>
          </cell>
          <cell r="X9901" t="str">
            <v>Variation UPR - gross</v>
          </cell>
          <cell r="Y9901" t="str">
            <v>ITALY</v>
          </cell>
        </row>
        <row r="9902">
          <cell r="L9902" t="str">
            <v>Non-proportional</v>
          </cell>
          <cell r="S9902">
            <v>-132890.23000000001</v>
          </cell>
          <cell r="X9902" t="str">
            <v>Variation UPR - gross</v>
          </cell>
          <cell r="Y9902" t="str">
            <v>UNITED KINGDOM</v>
          </cell>
        </row>
        <row r="9903">
          <cell r="L9903" t="str">
            <v>Non-proportional</v>
          </cell>
          <cell r="S9903">
            <v>-64952.97</v>
          </cell>
          <cell r="X9903" t="str">
            <v>Variation UPR - gross</v>
          </cell>
          <cell r="Y9903" t="str">
            <v>REPUBLIC OF IRELAND</v>
          </cell>
        </row>
        <row r="9904">
          <cell r="L9904" t="str">
            <v>Non-proportional</v>
          </cell>
          <cell r="S9904">
            <v>-6335.14</v>
          </cell>
          <cell r="X9904" t="str">
            <v>Variation UPR - gross</v>
          </cell>
          <cell r="Y9904" t="str">
            <v>GERMANY</v>
          </cell>
        </row>
        <row r="9905">
          <cell r="L9905" t="str">
            <v>Non-proportional</v>
          </cell>
          <cell r="S9905">
            <v>-593.96</v>
          </cell>
          <cell r="X9905" t="str">
            <v>Variation UPR - gross</v>
          </cell>
          <cell r="Y9905" t="str">
            <v>JAPAN</v>
          </cell>
        </row>
        <row r="9906">
          <cell r="L9906" t="str">
            <v>Non-proportional</v>
          </cell>
          <cell r="S9906">
            <v>42379.75</v>
          </cell>
          <cell r="X9906" t="str">
            <v>Variation UPR - gross</v>
          </cell>
          <cell r="Y9906" t="str">
            <v>GERMANY</v>
          </cell>
        </row>
        <row r="9907">
          <cell r="L9907" t="str">
            <v>Non-proportional</v>
          </cell>
          <cell r="S9907">
            <v>-3533.5</v>
          </cell>
          <cell r="X9907" t="str">
            <v>Variation UPR - gross</v>
          </cell>
          <cell r="Y9907" t="str">
            <v>FAROE ISLANDS</v>
          </cell>
        </row>
        <row r="9908">
          <cell r="L9908" t="str">
            <v>Proportional</v>
          </cell>
          <cell r="S9908">
            <v>-17296.77</v>
          </cell>
          <cell r="X9908" t="str">
            <v>Variation UPR - gross</v>
          </cell>
          <cell r="Y9908" t="str">
            <v>GERMANY</v>
          </cell>
        </row>
        <row r="9909">
          <cell r="L9909" t="str">
            <v>Non-proportional</v>
          </cell>
          <cell r="S9909">
            <v>-33726.39</v>
          </cell>
          <cell r="X9909" t="str">
            <v>Variation UPR - gross</v>
          </cell>
          <cell r="Y9909" t="str">
            <v>FRANCE</v>
          </cell>
        </row>
        <row r="9910">
          <cell r="L9910" t="str">
            <v>Non-proportional</v>
          </cell>
          <cell r="S9910">
            <v>-1938.89</v>
          </cell>
          <cell r="X9910" t="str">
            <v>Variation UPR - gross</v>
          </cell>
          <cell r="Y9910" t="str">
            <v>REPUBLIC OF IRELAND</v>
          </cell>
        </row>
        <row r="9911">
          <cell r="L9911" t="str">
            <v>Non-proportional</v>
          </cell>
          <cell r="S9911">
            <v>-1125</v>
          </cell>
          <cell r="X9911" t="str">
            <v>Variation UPR - gross</v>
          </cell>
          <cell r="Y9911" t="str">
            <v>GERMANY</v>
          </cell>
        </row>
        <row r="9912">
          <cell r="L9912" t="str">
            <v>Non-proportional</v>
          </cell>
          <cell r="S9912">
            <v>-16500</v>
          </cell>
          <cell r="X9912" t="str">
            <v>Variation UPR - gross</v>
          </cell>
          <cell r="Y9912" t="str">
            <v>GERMANY</v>
          </cell>
        </row>
        <row r="9913">
          <cell r="L9913" t="str">
            <v>Non-proportional</v>
          </cell>
          <cell r="S9913">
            <v>-25393.599999999999</v>
          </cell>
          <cell r="X9913" t="str">
            <v>Variation UPR - gross</v>
          </cell>
          <cell r="Y9913" t="str">
            <v>GERMANY</v>
          </cell>
        </row>
        <row r="9914">
          <cell r="L9914" t="str">
            <v>Non-proportional</v>
          </cell>
          <cell r="S9914">
            <v>-321.45</v>
          </cell>
          <cell r="X9914" t="str">
            <v>Variation UPR - gross</v>
          </cell>
          <cell r="Y9914" t="str">
            <v>FRANCE</v>
          </cell>
        </row>
        <row r="9915">
          <cell r="L9915" t="str">
            <v>Non-proportional</v>
          </cell>
          <cell r="S9915">
            <v>-7783.27</v>
          </cell>
          <cell r="X9915" t="str">
            <v>Variation UPR - gross</v>
          </cell>
          <cell r="Y9915" t="str">
            <v>SWITZERLAND</v>
          </cell>
        </row>
        <row r="9916">
          <cell r="L9916" t="str">
            <v>Non-proportional</v>
          </cell>
          <cell r="S9916">
            <v>4.09</v>
          </cell>
          <cell r="X9916" t="str">
            <v>Variation UPR - gross</v>
          </cell>
          <cell r="Y9916" t="str">
            <v>DENMARK</v>
          </cell>
        </row>
        <row r="9917">
          <cell r="L9917" t="str">
            <v>Non-proportional</v>
          </cell>
          <cell r="S9917">
            <v>-1122.3</v>
          </cell>
          <cell r="X9917" t="str">
            <v>Variation UPR - gross</v>
          </cell>
          <cell r="Y9917" t="str">
            <v>ITALY</v>
          </cell>
        </row>
        <row r="9918">
          <cell r="L9918" t="str">
            <v>Non-proportional</v>
          </cell>
          <cell r="S9918">
            <v>-9999.66</v>
          </cell>
          <cell r="X9918" t="str">
            <v>Variation UPR - gross</v>
          </cell>
          <cell r="Y9918" t="str">
            <v>GERMANY</v>
          </cell>
        </row>
        <row r="9919">
          <cell r="L9919" t="str">
            <v>Non-proportional</v>
          </cell>
          <cell r="S9919">
            <v>-7916.77</v>
          </cell>
          <cell r="X9919" t="str">
            <v>Variation UPR - gross</v>
          </cell>
          <cell r="Y9919" t="str">
            <v>GERMANY</v>
          </cell>
        </row>
        <row r="9920">
          <cell r="L9920" t="str">
            <v>Non-proportional</v>
          </cell>
          <cell r="S9920">
            <v>-10209.379999999999</v>
          </cell>
          <cell r="X9920" t="str">
            <v>Variation UPR - gross</v>
          </cell>
          <cell r="Y9920" t="str">
            <v>GERMANY</v>
          </cell>
        </row>
        <row r="9921">
          <cell r="L9921" t="str">
            <v>Non-proportional</v>
          </cell>
          <cell r="S9921">
            <v>5.74</v>
          </cell>
          <cell r="X9921" t="str">
            <v>Variation UPR - gross</v>
          </cell>
          <cell r="Y9921" t="str">
            <v>DENMARK</v>
          </cell>
        </row>
        <row r="9922">
          <cell r="L9922" t="str">
            <v>Non-proportional</v>
          </cell>
          <cell r="S9922">
            <v>-8970.6200000000008</v>
          </cell>
          <cell r="X9922" t="str">
            <v>Variation UPR - gross</v>
          </cell>
          <cell r="Y9922" t="str">
            <v>GERMANY</v>
          </cell>
        </row>
        <row r="9923">
          <cell r="L9923" t="str">
            <v>Non-proportional</v>
          </cell>
          <cell r="S9923">
            <v>-13682.72</v>
          </cell>
          <cell r="X9923" t="str">
            <v>Variation UPR - gross</v>
          </cell>
          <cell r="Y9923" t="str">
            <v>UNITED KINGDOM</v>
          </cell>
        </row>
        <row r="9924">
          <cell r="L9924" t="str">
            <v>Non-proportional</v>
          </cell>
          <cell r="S9924">
            <v>-270.67</v>
          </cell>
          <cell r="X9924" t="str">
            <v>Variation UPR - gross</v>
          </cell>
          <cell r="Y9924" t="str">
            <v>ITALY</v>
          </cell>
        </row>
        <row r="9925">
          <cell r="L9925" t="str">
            <v>Non-proportional</v>
          </cell>
          <cell r="S9925">
            <v>-4275.51</v>
          </cell>
          <cell r="X9925" t="str">
            <v>Variation UPR - gross</v>
          </cell>
          <cell r="Y9925" t="str">
            <v>GERMANY</v>
          </cell>
        </row>
        <row r="9926">
          <cell r="L9926" t="str">
            <v>Non-proportional</v>
          </cell>
          <cell r="S9926">
            <v>-820.54</v>
          </cell>
          <cell r="X9926" t="str">
            <v>Variation UPR - gross</v>
          </cell>
          <cell r="Y9926" t="str">
            <v>GERMANY</v>
          </cell>
        </row>
        <row r="9927">
          <cell r="L9927" t="str">
            <v>Non-proportional</v>
          </cell>
          <cell r="S9927">
            <v>-1108.02</v>
          </cell>
          <cell r="X9927" t="str">
            <v>Variation UPR - gross</v>
          </cell>
          <cell r="Y9927" t="str">
            <v>AUSTRIA</v>
          </cell>
        </row>
        <row r="9928">
          <cell r="L9928" t="str">
            <v>Non-proportional</v>
          </cell>
          <cell r="S9928">
            <v>-7283.66</v>
          </cell>
          <cell r="X9928" t="str">
            <v>Variation UPR - gross</v>
          </cell>
          <cell r="Y9928" t="str">
            <v>UNITED KINGDOM</v>
          </cell>
        </row>
        <row r="9929">
          <cell r="L9929" t="str">
            <v>Non-proportional</v>
          </cell>
          <cell r="S9929">
            <v>-7604.21</v>
          </cell>
          <cell r="X9929" t="str">
            <v>Variation UPR - gross</v>
          </cell>
          <cell r="Y9929" t="str">
            <v>GERMANY</v>
          </cell>
        </row>
        <row r="9930">
          <cell r="L9930" t="str">
            <v>Non-proportional</v>
          </cell>
          <cell r="S9930">
            <v>-4984.72</v>
          </cell>
          <cell r="X9930" t="str">
            <v>Variation UPR - gross</v>
          </cell>
          <cell r="Y9930" t="str">
            <v>GERMANY</v>
          </cell>
        </row>
        <row r="9931">
          <cell r="L9931" t="str">
            <v>Non-proportional</v>
          </cell>
          <cell r="S9931">
            <v>-9168.2099999999991</v>
          </cell>
          <cell r="X9931" t="str">
            <v>Variation UPR - gross</v>
          </cell>
          <cell r="Y9931" t="str">
            <v>ICELAND</v>
          </cell>
        </row>
        <row r="9932">
          <cell r="L9932" t="str">
            <v>Non-proportional</v>
          </cell>
          <cell r="S9932">
            <v>-351.66</v>
          </cell>
          <cell r="X9932" t="str">
            <v>Variation UPR - gross</v>
          </cell>
          <cell r="Y9932" t="str">
            <v>GERMANY</v>
          </cell>
        </row>
        <row r="9933">
          <cell r="L9933" t="str">
            <v>Non-proportional</v>
          </cell>
          <cell r="S9933">
            <v>-3925.64</v>
          </cell>
          <cell r="X9933" t="str">
            <v>Variation UPR - gross</v>
          </cell>
          <cell r="Y9933" t="str">
            <v>NORWAY</v>
          </cell>
        </row>
        <row r="9934">
          <cell r="L9934" t="str">
            <v>Non-proportional</v>
          </cell>
          <cell r="S9934">
            <v>-20770.63</v>
          </cell>
          <cell r="X9934" t="str">
            <v>Variation UPR - gross</v>
          </cell>
          <cell r="Y9934" t="str">
            <v>FRANCE</v>
          </cell>
        </row>
        <row r="9935">
          <cell r="L9935" t="str">
            <v>Non-proportional</v>
          </cell>
          <cell r="S9935">
            <v>-18973.75</v>
          </cell>
          <cell r="X9935" t="str">
            <v>Variation UPR - gross</v>
          </cell>
          <cell r="Y9935" t="str">
            <v>AUSTRIA</v>
          </cell>
        </row>
        <row r="9936">
          <cell r="L9936" t="str">
            <v>Non-proportional</v>
          </cell>
          <cell r="S9936">
            <v>-12728.73</v>
          </cell>
          <cell r="X9936" t="str">
            <v>Variation UPR - gross</v>
          </cell>
          <cell r="Y9936" t="str">
            <v>UNITED KINGDOM</v>
          </cell>
        </row>
        <row r="9937">
          <cell r="L9937" t="str">
            <v>Non-proportional</v>
          </cell>
          <cell r="S9937">
            <v>-6704.8</v>
          </cell>
          <cell r="X9937" t="str">
            <v>Variation UPR - gross</v>
          </cell>
          <cell r="Y9937" t="str">
            <v>DENMARK</v>
          </cell>
        </row>
        <row r="9938">
          <cell r="L9938" t="str">
            <v>Non-proportional</v>
          </cell>
          <cell r="S9938">
            <v>-4910.13</v>
          </cell>
          <cell r="X9938" t="str">
            <v>Variation UPR - gross</v>
          </cell>
          <cell r="Y9938" t="str">
            <v>SWITZERLAND</v>
          </cell>
        </row>
        <row r="9939">
          <cell r="L9939" t="str">
            <v>Non-proportional</v>
          </cell>
          <cell r="S9939">
            <v>-4056.2</v>
          </cell>
          <cell r="X9939" t="str">
            <v>Variation UPR - gross</v>
          </cell>
          <cell r="Y9939" t="str">
            <v>SWITZERLAND</v>
          </cell>
        </row>
        <row r="9940">
          <cell r="L9940" t="str">
            <v>Non-proportional</v>
          </cell>
          <cell r="S9940">
            <v>-11608.19</v>
          </cell>
          <cell r="X9940" t="str">
            <v>Variation UPR - gross</v>
          </cell>
          <cell r="Y9940" t="str">
            <v>SWITZERLAND</v>
          </cell>
        </row>
        <row r="9941">
          <cell r="L9941" t="str">
            <v>Non-proportional</v>
          </cell>
          <cell r="S9941">
            <v>-345</v>
          </cell>
          <cell r="X9941" t="str">
            <v>Variation UPR - gross</v>
          </cell>
          <cell r="Y9941" t="str">
            <v>ITALY</v>
          </cell>
        </row>
        <row r="9942">
          <cell r="L9942" t="str">
            <v>Non-proportional</v>
          </cell>
          <cell r="S9942">
            <v>-2637.27</v>
          </cell>
          <cell r="X9942" t="str">
            <v>Variation UPR - gross</v>
          </cell>
          <cell r="Y9942" t="str">
            <v>GERMANY</v>
          </cell>
        </row>
        <row r="9943">
          <cell r="L9943" t="str">
            <v>Non-proportional</v>
          </cell>
          <cell r="S9943">
            <v>0.45</v>
          </cell>
          <cell r="X9943" t="str">
            <v>Variation UPR - gross</v>
          </cell>
          <cell r="Y9943" t="str">
            <v>DENMARK</v>
          </cell>
        </row>
        <row r="9944">
          <cell r="L9944" t="str">
            <v>Non-proportional</v>
          </cell>
          <cell r="S9944">
            <v>-8072.83</v>
          </cell>
          <cell r="X9944" t="str">
            <v>Variation UPR - gross</v>
          </cell>
          <cell r="Y9944" t="str">
            <v>GERMANY</v>
          </cell>
        </row>
        <row r="9945">
          <cell r="L9945" t="str">
            <v>Non-proportional</v>
          </cell>
          <cell r="S9945">
            <v>-1401.66</v>
          </cell>
          <cell r="X9945" t="str">
            <v>Variation UPR - gross</v>
          </cell>
          <cell r="Y9945" t="str">
            <v>GERMANY</v>
          </cell>
        </row>
        <row r="9946">
          <cell r="L9946" t="str">
            <v>Non-proportional</v>
          </cell>
          <cell r="S9946">
            <v>-5484.12</v>
          </cell>
          <cell r="X9946" t="str">
            <v>Variation UPR - gross</v>
          </cell>
          <cell r="Y9946" t="str">
            <v>EUROPE</v>
          </cell>
        </row>
        <row r="9947">
          <cell r="L9947" t="str">
            <v>Non-proportional</v>
          </cell>
          <cell r="S9947">
            <v>-3436.97</v>
          </cell>
          <cell r="X9947" t="str">
            <v>Variation UPR - gross</v>
          </cell>
          <cell r="Y9947" t="str">
            <v>EUROPE</v>
          </cell>
        </row>
        <row r="9948">
          <cell r="L9948" t="str">
            <v>Non-proportional</v>
          </cell>
          <cell r="S9948">
            <v>-20758.62</v>
          </cell>
          <cell r="X9948" t="str">
            <v>Variation UPR - gross</v>
          </cell>
          <cell r="Y9948" t="str">
            <v>EIRE</v>
          </cell>
        </row>
        <row r="9949">
          <cell r="L9949" t="str">
            <v>Non-proportional</v>
          </cell>
          <cell r="S9949">
            <v>-9501.09</v>
          </cell>
          <cell r="X9949" t="str">
            <v>Variation UPR - gross</v>
          </cell>
          <cell r="Y9949" t="str">
            <v>UNITED KINGDOM</v>
          </cell>
        </row>
        <row r="9950">
          <cell r="L9950" t="str">
            <v>Non-proportional</v>
          </cell>
          <cell r="S9950">
            <v>-313.83999999999997</v>
          </cell>
          <cell r="X9950" t="str">
            <v>Variation UPR - gross</v>
          </cell>
          <cell r="Y9950" t="str">
            <v>DENMARK</v>
          </cell>
        </row>
        <row r="9951">
          <cell r="L9951" t="str">
            <v>Non-proportional</v>
          </cell>
          <cell r="S9951">
            <v>-5893.93</v>
          </cell>
          <cell r="X9951" t="str">
            <v>Variation UPR - gross</v>
          </cell>
          <cell r="Y9951" t="str">
            <v>AUSTRIA</v>
          </cell>
        </row>
        <row r="9952">
          <cell r="L9952" t="str">
            <v>Non-proportional</v>
          </cell>
          <cell r="S9952">
            <v>-117.79</v>
          </cell>
          <cell r="X9952" t="str">
            <v>Variation UPR - gross</v>
          </cell>
          <cell r="Y9952" t="str">
            <v>FRANCE</v>
          </cell>
        </row>
        <row r="9953">
          <cell r="L9953" t="str">
            <v>Non-proportional</v>
          </cell>
          <cell r="S9953">
            <v>-5527.05</v>
          </cell>
          <cell r="X9953" t="str">
            <v>Variation UPR - gross</v>
          </cell>
          <cell r="Y9953" t="str">
            <v>GERMANY</v>
          </cell>
        </row>
        <row r="9954">
          <cell r="L9954" t="str">
            <v>Non-proportional</v>
          </cell>
          <cell r="S9954">
            <v>-40903.5</v>
          </cell>
          <cell r="X9954" t="str">
            <v>Variation UPR - gross</v>
          </cell>
          <cell r="Y9954" t="str">
            <v>GERMANY</v>
          </cell>
        </row>
        <row r="9955">
          <cell r="L9955" t="str">
            <v>Non-proportional</v>
          </cell>
          <cell r="S9955">
            <v>-11882.26</v>
          </cell>
          <cell r="X9955" t="str">
            <v>Variation UPR - gross</v>
          </cell>
          <cell r="Y9955" t="str">
            <v>EUROPE</v>
          </cell>
        </row>
        <row r="9956">
          <cell r="L9956" t="str">
            <v>Non-proportional</v>
          </cell>
          <cell r="S9956">
            <v>-54598.31</v>
          </cell>
          <cell r="X9956" t="str">
            <v>Variation UPR - gross</v>
          </cell>
          <cell r="Y9956" t="str">
            <v>UNITED KINGDOM</v>
          </cell>
        </row>
        <row r="9957">
          <cell r="L9957" t="str">
            <v>Non-proportional</v>
          </cell>
          <cell r="S9957">
            <v>-14058.31</v>
          </cell>
          <cell r="X9957" t="str">
            <v>Variation UPR - gross</v>
          </cell>
          <cell r="Y9957" t="str">
            <v>EIRE</v>
          </cell>
        </row>
        <row r="9958">
          <cell r="L9958" t="str">
            <v>Non-proportional</v>
          </cell>
          <cell r="S9958">
            <v>-175714.59</v>
          </cell>
          <cell r="X9958" t="str">
            <v>Variation UPR - gross</v>
          </cell>
          <cell r="Y9958" t="str">
            <v>UNITED KINGDOM</v>
          </cell>
        </row>
        <row r="9959">
          <cell r="L9959" t="str">
            <v>Non-proportional</v>
          </cell>
          <cell r="S9959">
            <v>-6229.17</v>
          </cell>
          <cell r="X9959" t="str">
            <v>Variation UPR - gross</v>
          </cell>
          <cell r="Y9959" t="str">
            <v>GERMANY</v>
          </cell>
        </row>
        <row r="9960">
          <cell r="L9960" t="str">
            <v>Non-proportional</v>
          </cell>
          <cell r="S9960">
            <v>-3084.18</v>
          </cell>
          <cell r="X9960" t="str">
            <v>Variation UPR - gross</v>
          </cell>
          <cell r="Y9960" t="str">
            <v>SWITZERLAND</v>
          </cell>
        </row>
        <row r="9961">
          <cell r="L9961" t="str">
            <v>Non-proportional</v>
          </cell>
          <cell r="S9961">
            <v>-25886.33</v>
          </cell>
          <cell r="X9961" t="str">
            <v>Variation UPR - gross</v>
          </cell>
          <cell r="Y9961" t="str">
            <v>CZECH REPUBLIC</v>
          </cell>
        </row>
        <row r="9962">
          <cell r="L9962" t="str">
            <v>Non-proportional</v>
          </cell>
          <cell r="S9962">
            <v>-137010.85</v>
          </cell>
          <cell r="X9962" t="str">
            <v>Variation UPR - gross</v>
          </cell>
          <cell r="Y9962" t="str">
            <v>UNITED KINGDOM</v>
          </cell>
        </row>
        <row r="9963">
          <cell r="L9963" t="str">
            <v>Non-proportional</v>
          </cell>
          <cell r="S9963">
            <v>-15832.43</v>
          </cell>
          <cell r="X9963" t="str">
            <v>Variation UPR - gross</v>
          </cell>
          <cell r="Y9963" t="str">
            <v>GERMANY</v>
          </cell>
        </row>
        <row r="9964">
          <cell r="L9964" t="str">
            <v>Non-proportional</v>
          </cell>
          <cell r="S9964">
            <v>0.16</v>
          </cell>
          <cell r="X9964" t="str">
            <v>Variation UPR - gross</v>
          </cell>
          <cell r="Y9964" t="str">
            <v>DENMARK</v>
          </cell>
        </row>
        <row r="9965">
          <cell r="L9965" t="str">
            <v>Non-proportional</v>
          </cell>
          <cell r="S9965">
            <v>-6037.5</v>
          </cell>
          <cell r="X9965" t="str">
            <v>Variation UPR - gross</v>
          </cell>
          <cell r="Y9965" t="str">
            <v>GERMANY</v>
          </cell>
        </row>
        <row r="9966">
          <cell r="L9966" t="str">
            <v>Non-proportional</v>
          </cell>
          <cell r="S9966">
            <v>-1279.43</v>
          </cell>
          <cell r="X9966" t="str">
            <v>Variation UPR - gross</v>
          </cell>
          <cell r="Y9966" t="str">
            <v>FRANCE</v>
          </cell>
        </row>
        <row r="9967">
          <cell r="L9967" t="str">
            <v>Non-proportional</v>
          </cell>
          <cell r="S9967">
            <v>-11455.36</v>
          </cell>
          <cell r="X9967" t="str">
            <v>Variation UPR - gross</v>
          </cell>
          <cell r="Y9967" t="str">
            <v>UNITED KINGDOM</v>
          </cell>
        </row>
        <row r="9968">
          <cell r="L9968" t="str">
            <v>Non-proportional</v>
          </cell>
          <cell r="S9968">
            <v>-20355</v>
          </cell>
          <cell r="X9968" t="str">
            <v>Variation UPR - gross</v>
          </cell>
          <cell r="Y9968" t="str">
            <v>GERMANY</v>
          </cell>
        </row>
        <row r="9969">
          <cell r="L9969" t="str">
            <v>Non-proportional</v>
          </cell>
          <cell r="S9969">
            <v>570.26</v>
          </cell>
          <cell r="X9969" t="str">
            <v>Variation UPR - gross</v>
          </cell>
          <cell r="Y9969" t="str">
            <v>ICELAND</v>
          </cell>
        </row>
        <row r="9970">
          <cell r="L9970" t="str">
            <v>Non-proportional</v>
          </cell>
          <cell r="S9970">
            <v>-12290.39</v>
          </cell>
          <cell r="X9970" t="str">
            <v>Variation UPR - gross</v>
          </cell>
          <cell r="Y9970" t="str">
            <v>DENMARK</v>
          </cell>
        </row>
        <row r="9971">
          <cell r="L9971" t="str">
            <v>Non-proportional</v>
          </cell>
          <cell r="S9971">
            <v>-18807.28</v>
          </cell>
          <cell r="X9971" t="str">
            <v>Variation UPR - gross</v>
          </cell>
          <cell r="Y9971" t="str">
            <v>REPUBLIC OF IRELAND</v>
          </cell>
        </row>
        <row r="9972">
          <cell r="L9972" t="str">
            <v>Non-proportional</v>
          </cell>
          <cell r="S9972">
            <v>-7501.57</v>
          </cell>
          <cell r="X9972" t="str">
            <v>Variation UPR - gross</v>
          </cell>
          <cell r="Y9972" t="str">
            <v>GERMANY</v>
          </cell>
        </row>
        <row r="9973">
          <cell r="L9973" t="str">
            <v>Non-proportional</v>
          </cell>
          <cell r="S9973">
            <v>5483.69</v>
          </cell>
          <cell r="X9973" t="str">
            <v>Variation UPR - gross</v>
          </cell>
          <cell r="Y9973" t="str">
            <v>GERMANY</v>
          </cell>
        </row>
        <row r="9974">
          <cell r="L9974" t="str">
            <v>Non-proportional</v>
          </cell>
          <cell r="S9974">
            <v>-39855.47</v>
          </cell>
          <cell r="X9974" t="str">
            <v>Variation UPR - gross</v>
          </cell>
          <cell r="Y9974" t="str">
            <v>UNITED KINGDOM</v>
          </cell>
        </row>
        <row r="9975">
          <cell r="L9975" t="str">
            <v>Non-proportional</v>
          </cell>
          <cell r="S9975">
            <v>-3333.72</v>
          </cell>
          <cell r="X9975" t="str">
            <v>Variation UPR - gross</v>
          </cell>
          <cell r="Y9975" t="str">
            <v>UNITED KINGDOM</v>
          </cell>
        </row>
        <row r="9976">
          <cell r="L9976" t="str">
            <v>Non-proportional</v>
          </cell>
          <cell r="S9976">
            <v>-12028.86</v>
          </cell>
          <cell r="X9976" t="str">
            <v>Variation UPR - gross</v>
          </cell>
          <cell r="Y9976" t="str">
            <v>UNITED KINGDOM</v>
          </cell>
        </row>
        <row r="9977">
          <cell r="L9977" t="str">
            <v>Non-proportional</v>
          </cell>
          <cell r="S9977">
            <v>-5586.33</v>
          </cell>
          <cell r="X9977" t="str">
            <v>Variation UPR - gross</v>
          </cell>
          <cell r="Y9977" t="str">
            <v>GERMANY</v>
          </cell>
        </row>
        <row r="9978">
          <cell r="L9978" t="str">
            <v>Non-proportional</v>
          </cell>
          <cell r="S9978">
            <v>-3392.5</v>
          </cell>
          <cell r="X9978" t="str">
            <v>Variation UPR - gross</v>
          </cell>
          <cell r="Y9978" t="str">
            <v>ITALY</v>
          </cell>
        </row>
        <row r="9979">
          <cell r="L9979" t="str">
            <v>Non-proportional</v>
          </cell>
          <cell r="S9979">
            <v>-3850</v>
          </cell>
          <cell r="X9979" t="str">
            <v>Variation UPR - gross</v>
          </cell>
          <cell r="Y9979" t="str">
            <v>GERMANY</v>
          </cell>
        </row>
        <row r="9980">
          <cell r="L9980" t="str">
            <v>Non-proportional</v>
          </cell>
          <cell r="S9980">
            <v>-782.1</v>
          </cell>
          <cell r="X9980" t="str">
            <v>Variation UPR - gross</v>
          </cell>
          <cell r="Y9980" t="str">
            <v>DENMARK</v>
          </cell>
        </row>
        <row r="9981">
          <cell r="L9981" t="str">
            <v>Non-proportional</v>
          </cell>
          <cell r="S9981">
            <v>-5717.64</v>
          </cell>
          <cell r="X9981" t="str">
            <v>Variation UPR - gross</v>
          </cell>
          <cell r="Y9981" t="str">
            <v>GERMANY</v>
          </cell>
        </row>
        <row r="9982">
          <cell r="L9982" t="str">
            <v>Non-proportional</v>
          </cell>
          <cell r="S9982">
            <v>-11068.79</v>
          </cell>
          <cell r="X9982" t="str">
            <v>Variation UPR - gross</v>
          </cell>
          <cell r="Y9982" t="str">
            <v>DENMARK</v>
          </cell>
        </row>
        <row r="9983">
          <cell r="L9983" t="str">
            <v>Non-proportional</v>
          </cell>
          <cell r="S9983">
            <v>-12803.43</v>
          </cell>
          <cell r="X9983" t="str">
            <v>Variation UPR - gross</v>
          </cell>
          <cell r="Y9983" t="str">
            <v>UNITED KINGDOM</v>
          </cell>
        </row>
        <row r="9984">
          <cell r="L9984" t="str">
            <v>Non-proportional</v>
          </cell>
          <cell r="S9984">
            <v>-16112.84</v>
          </cell>
          <cell r="X9984" t="str">
            <v>Variation UPR - gross</v>
          </cell>
          <cell r="Y9984" t="str">
            <v>EUROPE</v>
          </cell>
        </row>
        <row r="9985">
          <cell r="L9985" t="str">
            <v>Non-proportional</v>
          </cell>
          <cell r="S9985">
            <v>-14008.64</v>
          </cell>
          <cell r="X9985" t="str">
            <v>Variation UPR - gross</v>
          </cell>
          <cell r="Y9985" t="str">
            <v>GERMANY</v>
          </cell>
        </row>
        <row r="9986">
          <cell r="L9986" t="str">
            <v>Non-proportional</v>
          </cell>
          <cell r="S9986">
            <v>-44750.02</v>
          </cell>
          <cell r="X9986" t="str">
            <v>Variation UPR - gross</v>
          </cell>
          <cell r="Y9986" t="str">
            <v>UNITED KINGDOM</v>
          </cell>
        </row>
        <row r="9987">
          <cell r="L9987" t="str">
            <v>Non-proportional</v>
          </cell>
          <cell r="S9987">
            <v>-12215.04</v>
          </cell>
          <cell r="X9987" t="str">
            <v>Variation UPR - gross</v>
          </cell>
          <cell r="Y9987" t="str">
            <v>REPUBLIC OF IRELAND</v>
          </cell>
        </row>
        <row r="9988">
          <cell r="L9988" t="str">
            <v>Non-proportional</v>
          </cell>
          <cell r="S9988">
            <v>-60566.11</v>
          </cell>
          <cell r="X9988" t="str">
            <v>Variation UPR - gross</v>
          </cell>
          <cell r="Y9988" t="str">
            <v>UNITED KINGDOM</v>
          </cell>
        </row>
        <row r="9989">
          <cell r="L9989" t="str">
            <v>Non-proportional</v>
          </cell>
          <cell r="S9989">
            <v>-6871.9</v>
          </cell>
          <cell r="X9989" t="str">
            <v>Variation UPR - gross</v>
          </cell>
          <cell r="Y9989" t="str">
            <v>GERMANY</v>
          </cell>
        </row>
        <row r="9990">
          <cell r="L9990" t="str">
            <v>Non-proportional</v>
          </cell>
          <cell r="S9990">
            <v>-2687.5</v>
          </cell>
          <cell r="X9990" t="str">
            <v>Variation UPR - gross</v>
          </cell>
          <cell r="Y9990" t="str">
            <v>GERMANY</v>
          </cell>
        </row>
        <row r="9991">
          <cell r="L9991" t="str">
            <v>Non-proportional</v>
          </cell>
          <cell r="S9991">
            <v>-17.899999999999999</v>
          </cell>
          <cell r="X9991" t="str">
            <v>Variation UPR - gross</v>
          </cell>
          <cell r="Y9991" t="str">
            <v>EUROPE</v>
          </cell>
        </row>
        <row r="9992">
          <cell r="L9992" t="str">
            <v>Non-proportional</v>
          </cell>
          <cell r="S9992">
            <v>-23854.17</v>
          </cell>
          <cell r="X9992" t="str">
            <v>Variation UPR - gross</v>
          </cell>
          <cell r="Y9992" t="str">
            <v>AUSTRIA</v>
          </cell>
        </row>
        <row r="9993">
          <cell r="L9993" t="str">
            <v>Non-proportional</v>
          </cell>
          <cell r="S9993">
            <v>-5707.25</v>
          </cell>
          <cell r="X9993" t="str">
            <v>Variation UPR - gross</v>
          </cell>
          <cell r="Y9993" t="str">
            <v>SWEDEN</v>
          </cell>
        </row>
        <row r="9994">
          <cell r="L9994" t="str">
            <v>Non-proportional</v>
          </cell>
          <cell r="S9994">
            <v>-16606.830000000002</v>
          </cell>
          <cell r="X9994" t="str">
            <v>Variation UPR - gross</v>
          </cell>
          <cell r="Y9994" t="str">
            <v>UNITED KINGDOM</v>
          </cell>
        </row>
        <row r="9995">
          <cell r="L9995" t="str">
            <v>Non-proportional</v>
          </cell>
          <cell r="S9995">
            <v>-41516.870000000003</v>
          </cell>
          <cell r="X9995" t="str">
            <v>Variation UPR - gross</v>
          </cell>
          <cell r="Y9995" t="str">
            <v>UNITED KINGDOM</v>
          </cell>
        </row>
        <row r="9996">
          <cell r="L9996" t="str">
            <v>Non-proportional</v>
          </cell>
          <cell r="S9996">
            <v>-3512</v>
          </cell>
          <cell r="X9996" t="str">
            <v>Variation UPR - gross</v>
          </cell>
          <cell r="Y9996" t="str">
            <v>SPAIN</v>
          </cell>
        </row>
        <row r="9997">
          <cell r="L9997" t="str">
            <v>Non-proportional</v>
          </cell>
          <cell r="S9997">
            <v>-31803.57</v>
          </cell>
          <cell r="X9997" t="str">
            <v>Variation UPR - gross</v>
          </cell>
          <cell r="Y9997" t="str">
            <v>UNITED KINGDOM</v>
          </cell>
        </row>
        <row r="9998">
          <cell r="L9998" t="str">
            <v>Non-proportional</v>
          </cell>
          <cell r="S9998">
            <v>-3558.06</v>
          </cell>
          <cell r="X9998" t="str">
            <v>Variation UPR - gross</v>
          </cell>
          <cell r="Y9998" t="str">
            <v>SWITZERLAND</v>
          </cell>
        </row>
        <row r="9999">
          <cell r="L9999" t="str">
            <v>Non-proportional</v>
          </cell>
          <cell r="S9999">
            <v>-7590</v>
          </cell>
          <cell r="X9999" t="str">
            <v>Variation UPR - gross</v>
          </cell>
          <cell r="Y9999" t="str">
            <v>GERMANY</v>
          </cell>
        </row>
        <row r="10000">
          <cell r="L10000" t="str">
            <v>Non-proportional</v>
          </cell>
          <cell r="S10000">
            <v>10.27</v>
          </cell>
          <cell r="X10000" t="str">
            <v>Variation UPR - gross</v>
          </cell>
          <cell r="Y10000" t="str">
            <v>SWEDEN</v>
          </cell>
        </row>
        <row r="10001">
          <cell r="L10001" t="str">
            <v>Non-proportional</v>
          </cell>
          <cell r="S10001">
            <v>-15.88</v>
          </cell>
          <cell r="X10001" t="str">
            <v>Variation UPR - gross</v>
          </cell>
          <cell r="Y10001" t="str">
            <v>NORWAY</v>
          </cell>
        </row>
        <row r="10002">
          <cell r="L10002" t="str">
            <v>Non-proportional</v>
          </cell>
          <cell r="S10002">
            <v>-17078.72</v>
          </cell>
          <cell r="X10002" t="str">
            <v>Variation UPR - gross</v>
          </cell>
          <cell r="Y10002" t="str">
            <v>SWITZERLAND</v>
          </cell>
        </row>
        <row r="10003">
          <cell r="L10003" t="str">
            <v>Non-proportional</v>
          </cell>
          <cell r="S10003">
            <v>-5362.5</v>
          </cell>
          <cell r="X10003" t="str">
            <v>Variation UPR - gross</v>
          </cell>
          <cell r="Y10003" t="str">
            <v>GERMANY</v>
          </cell>
        </row>
        <row r="10004">
          <cell r="L10004" t="str">
            <v>Non-proportional</v>
          </cell>
          <cell r="S10004">
            <v>-37346.01</v>
          </cell>
          <cell r="X10004" t="str">
            <v>Variation UPR - gross</v>
          </cell>
          <cell r="Y10004" t="str">
            <v>FRANCE</v>
          </cell>
        </row>
        <row r="10005">
          <cell r="L10005" t="str">
            <v>Non-proportional</v>
          </cell>
          <cell r="S10005">
            <v>-12424.29</v>
          </cell>
          <cell r="X10005" t="str">
            <v>Variation UPR - gross</v>
          </cell>
          <cell r="Y10005" t="str">
            <v>EUROPE</v>
          </cell>
        </row>
        <row r="10006">
          <cell r="L10006" t="str">
            <v>Non-proportional</v>
          </cell>
          <cell r="S10006">
            <v>-30104.85</v>
          </cell>
          <cell r="X10006" t="str">
            <v>Variation UPR - gross</v>
          </cell>
          <cell r="Y10006" t="str">
            <v>UNITED KINGDOM</v>
          </cell>
        </row>
        <row r="10007">
          <cell r="L10007" t="str">
            <v>Non-proportional</v>
          </cell>
          <cell r="S10007">
            <v>-9917.92</v>
          </cell>
          <cell r="X10007" t="str">
            <v>Variation UPR - gross</v>
          </cell>
          <cell r="Y10007" t="str">
            <v>CZECH REPUBLIC</v>
          </cell>
        </row>
        <row r="10008">
          <cell r="L10008" t="str">
            <v>Non-proportional</v>
          </cell>
          <cell r="S10008">
            <v>-43784.71</v>
          </cell>
          <cell r="X10008" t="str">
            <v>Variation UPR - gross</v>
          </cell>
          <cell r="Y10008" t="str">
            <v>UNITED KINGDOM</v>
          </cell>
        </row>
        <row r="10009">
          <cell r="L10009" t="str">
            <v>Non-proportional</v>
          </cell>
          <cell r="S10009">
            <v>-29416.67</v>
          </cell>
          <cell r="X10009" t="str">
            <v>Variation UPR - gross</v>
          </cell>
          <cell r="Y10009" t="str">
            <v>EUROPE</v>
          </cell>
        </row>
        <row r="10010">
          <cell r="L10010" t="str">
            <v>Non-proportional</v>
          </cell>
          <cell r="S10010">
            <v>-756.09</v>
          </cell>
          <cell r="X10010" t="str">
            <v>Variation UPR - gross</v>
          </cell>
          <cell r="Y10010" t="str">
            <v>SWITZERLAND</v>
          </cell>
        </row>
        <row r="10011">
          <cell r="L10011" t="str">
            <v>Non-proportional</v>
          </cell>
          <cell r="S10011">
            <v>-531.86</v>
          </cell>
          <cell r="X10011" t="str">
            <v>Variation UPR - gross</v>
          </cell>
          <cell r="Y10011" t="str">
            <v>NORWAY</v>
          </cell>
        </row>
        <row r="10012">
          <cell r="L10012" t="str">
            <v>Non-proportional</v>
          </cell>
          <cell r="S10012">
            <v>-7568.38</v>
          </cell>
          <cell r="X10012" t="str">
            <v>Variation UPR - gross</v>
          </cell>
          <cell r="Y10012" t="str">
            <v>NORWAY</v>
          </cell>
        </row>
        <row r="10013">
          <cell r="L10013" t="str">
            <v>Non-proportional</v>
          </cell>
          <cell r="S10013">
            <v>-40655.360000000001</v>
          </cell>
          <cell r="X10013" t="str">
            <v>Variation UPR - gross</v>
          </cell>
          <cell r="Y10013" t="str">
            <v>SWITZERLAND</v>
          </cell>
        </row>
        <row r="10014">
          <cell r="L10014" t="str">
            <v>Non-proportional</v>
          </cell>
          <cell r="S10014">
            <v>-6938.42</v>
          </cell>
          <cell r="X10014" t="str">
            <v>Variation UPR - gross</v>
          </cell>
          <cell r="Y10014" t="str">
            <v>GERMANY</v>
          </cell>
        </row>
        <row r="10015">
          <cell r="L10015" t="str">
            <v>Non-proportional</v>
          </cell>
          <cell r="S10015">
            <v>-2065.29</v>
          </cell>
          <cell r="X10015" t="str">
            <v>Variation UPR - gross</v>
          </cell>
          <cell r="Y10015" t="str">
            <v>EUROPE</v>
          </cell>
        </row>
        <row r="10016">
          <cell r="L10016" t="str">
            <v>Non-proportional</v>
          </cell>
          <cell r="S10016">
            <v>-23401.8</v>
          </cell>
          <cell r="X10016" t="str">
            <v>Variation UPR - gross</v>
          </cell>
          <cell r="Y10016" t="str">
            <v>GERMANY</v>
          </cell>
        </row>
        <row r="10017">
          <cell r="L10017" t="str">
            <v>Non-proportional</v>
          </cell>
          <cell r="S10017">
            <v>-5666.79</v>
          </cell>
          <cell r="X10017" t="str">
            <v>Variation UPR - gross</v>
          </cell>
          <cell r="Y10017" t="str">
            <v>UNITED KINGDOM</v>
          </cell>
        </row>
        <row r="10018">
          <cell r="L10018" t="str">
            <v>Non-proportional</v>
          </cell>
          <cell r="S10018">
            <v>-10015.08</v>
          </cell>
          <cell r="X10018" t="str">
            <v>Variation UPR - gross</v>
          </cell>
          <cell r="Y10018" t="str">
            <v>AUSTRIA</v>
          </cell>
        </row>
        <row r="10019">
          <cell r="L10019" t="str">
            <v>Non-proportional</v>
          </cell>
          <cell r="S10019">
            <v>-14632</v>
          </cell>
          <cell r="X10019" t="str">
            <v>Variation UPR - gross</v>
          </cell>
          <cell r="Y10019" t="str">
            <v>GERMANY</v>
          </cell>
        </row>
        <row r="10020">
          <cell r="L10020" t="str">
            <v>Non-proportional</v>
          </cell>
          <cell r="S10020">
            <v>-76623.25</v>
          </cell>
          <cell r="X10020" t="str">
            <v>Variation UPR - gross</v>
          </cell>
          <cell r="Y10020" t="str">
            <v>UNITED KINGDOM</v>
          </cell>
        </row>
        <row r="10021">
          <cell r="L10021" t="str">
            <v>Non-proportional</v>
          </cell>
          <cell r="S10021">
            <v>-112052.09</v>
          </cell>
          <cell r="X10021" t="str">
            <v>Variation UPR - gross</v>
          </cell>
          <cell r="Y10021" t="str">
            <v>FRANCE</v>
          </cell>
        </row>
        <row r="10022">
          <cell r="L10022" t="str">
            <v>Non-proportional</v>
          </cell>
          <cell r="S10022">
            <v>-11886.72</v>
          </cell>
          <cell r="X10022" t="str">
            <v>Variation UPR - gross</v>
          </cell>
          <cell r="Y10022" t="str">
            <v>UNITED KINGDOM</v>
          </cell>
        </row>
        <row r="10023">
          <cell r="L10023" t="str">
            <v>Non-proportional</v>
          </cell>
          <cell r="S10023">
            <v>-300.83</v>
          </cell>
          <cell r="X10023" t="str">
            <v>Variation UPR - gross</v>
          </cell>
          <cell r="Y10023" t="str">
            <v>ITALY</v>
          </cell>
        </row>
        <row r="10024">
          <cell r="L10024" t="str">
            <v>Non-proportional</v>
          </cell>
          <cell r="S10024">
            <v>-13673.57</v>
          </cell>
          <cell r="X10024" t="str">
            <v>Variation UPR - gross</v>
          </cell>
          <cell r="Y10024" t="str">
            <v>UNITED KINGDOM</v>
          </cell>
        </row>
        <row r="10025">
          <cell r="L10025" t="str">
            <v>Non-proportional</v>
          </cell>
          <cell r="S10025">
            <v>-6250.52</v>
          </cell>
          <cell r="X10025" t="str">
            <v>Variation UPR - gross</v>
          </cell>
          <cell r="Y10025" t="str">
            <v>GERMANY</v>
          </cell>
        </row>
        <row r="10026">
          <cell r="L10026" t="str">
            <v>Non-proportional</v>
          </cell>
          <cell r="S10026">
            <v>-3143.33</v>
          </cell>
          <cell r="X10026" t="str">
            <v>Variation UPR - gross</v>
          </cell>
          <cell r="Y10026" t="str">
            <v>GERMANY</v>
          </cell>
        </row>
        <row r="10027">
          <cell r="L10027" t="str">
            <v>Non-proportional</v>
          </cell>
          <cell r="S10027">
            <v>-58804.15</v>
          </cell>
          <cell r="X10027" t="str">
            <v>Variation UPR - gross</v>
          </cell>
          <cell r="Y10027" t="str">
            <v>UNITED KINGDOM</v>
          </cell>
        </row>
        <row r="10028">
          <cell r="L10028" t="str">
            <v>Non-proportional</v>
          </cell>
          <cell r="S10028">
            <v>-10974.83</v>
          </cell>
          <cell r="X10028" t="str">
            <v>Variation UPR - gross</v>
          </cell>
          <cell r="Y10028" t="str">
            <v>GERMANY</v>
          </cell>
        </row>
        <row r="10029">
          <cell r="L10029" t="str">
            <v>Non-proportional</v>
          </cell>
          <cell r="S10029">
            <v>-16643.64</v>
          </cell>
          <cell r="X10029" t="str">
            <v>Variation UPR - gross</v>
          </cell>
          <cell r="Y10029" t="str">
            <v>FRANCE</v>
          </cell>
        </row>
        <row r="10030">
          <cell r="L10030" t="str">
            <v>Non-proportional</v>
          </cell>
          <cell r="S10030">
            <v>-44578.44</v>
          </cell>
          <cell r="X10030" t="str">
            <v>Variation UPR - gross</v>
          </cell>
          <cell r="Y10030" t="str">
            <v>UNITED KINGDOM</v>
          </cell>
        </row>
        <row r="10031">
          <cell r="L10031" t="str">
            <v>Non-proportional</v>
          </cell>
          <cell r="S10031">
            <v>15820.37</v>
          </cell>
          <cell r="X10031" t="str">
            <v>Variation UPR - gross</v>
          </cell>
          <cell r="Y10031" t="str">
            <v>DENMARK</v>
          </cell>
        </row>
        <row r="10032">
          <cell r="L10032" t="str">
            <v>Non-proportional</v>
          </cell>
          <cell r="S10032">
            <v>-43750</v>
          </cell>
          <cell r="X10032" t="str">
            <v>Variation UPR - gross</v>
          </cell>
          <cell r="Y10032" t="str">
            <v>GERMANY</v>
          </cell>
        </row>
        <row r="10033">
          <cell r="L10033" t="str">
            <v>Non-proportional</v>
          </cell>
          <cell r="S10033">
            <v>0.66</v>
          </cell>
          <cell r="X10033" t="str">
            <v>Variation UPR - gross</v>
          </cell>
          <cell r="Y10033" t="str">
            <v>DENMARK</v>
          </cell>
        </row>
        <row r="10034">
          <cell r="L10034" t="str">
            <v>Non-proportional</v>
          </cell>
          <cell r="S10034">
            <v>-9407</v>
          </cell>
          <cell r="X10034" t="str">
            <v>Variation UPR - gross</v>
          </cell>
          <cell r="Y10034" t="str">
            <v>GERMANY</v>
          </cell>
        </row>
        <row r="10035">
          <cell r="L10035" t="str">
            <v>Non-proportional</v>
          </cell>
          <cell r="S10035">
            <v>1425.63</v>
          </cell>
          <cell r="X10035" t="str">
            <v>Variation UPR - gross</v>
          </cell>
          <cell r="Y10035" t="str">
            <v>ICELAND</v>
          </cell>
        </row>
        <row r="10036">
          <cell r="L10036" t="str">
            <v>Non-proportional</v>
          </cell>
          <cell r="S10036">
            <v>-54.83</v>
          </cell>
          <cell r="X10036" t="str">
            <v>Variation UPR - gross</v>
          </cell>
          <cell r="Y10036" t="str">
            <v>FRANCE</v>
          </cell>
        </row>
        <row r="10037">
          <cell r="L10037" t="str">
            <v>Non-proportional</v>
          </cell>
          <cell r="S10037">
            <v>-6998</v>
          </cell>
          <cell r="X10037" t="str">
            <v>Variation UPR - gross</v>
          </cell>
          <cell r="Y10037" t="str">
            <v>AUSTRIA</v>
          </cell>
        </row>
        <row r="10038">
          <cell r="L10038" t="str">
            <v>Non-proportional</v>
          </cell>
          <cell r="S10038">
            <v>-7898.07</v>
          </cell>
          <cell r="X10038" t="str">
            <v>Variation UPR - gross</v>
          </cell>
          <cell r="Y10038" t="str">
            <v>DENMARK</v>
          </cell>
        </row>
        <row r="10039">
          <cell r="L10039" t="str">
            <v>Non-proportional</v>
          </cell>
          <cell r="S10039">
            <v>-10010.879999999999</v>
          </cell>
          <cell r="X10039" t="str">
            <v>Variation UPR - gross</v>
          </cell>
          <cell r="Y10039" t="str">
            <v>GERMANY</v>
          </cell>
        </row>
        <row r="10040">
          <cell r="L10040" t="str">
            <v>Non-proportional</v>
          </cell>
          <cell r="S10040">
            <v>-838</v>
          </cell>
          <cell r="X10040" t="str">
            <v>Variation UPR - gross</v>
          </cell>
          <cell r="Y10040" t="str">
            <v>DENMARK</v>
          </cell>
        </row>
        <row r="10041">
          <cell r="L10041" t="str">
            <v>Non-proportional</v>
          </cell>
          <cell r="S10041">
            <v>-3107.33</v>
          </cell>
          <cell r="X10041" t="str">
            <v>Variation UPR - gross</v>
          </cell>
          <cell r="Y10041" t="str">
            <v>GERMANY</v>
          </cell>
        </row>
        <row r="10042">
          <cell r="L10042" t="str">
            <v>Non-proportional</v>
          </cell>
          <cell r="S10042">
            <v>5.09</v>
          </cell>
          <cell r="X10042" t="str">
            <v>Variation UPR - gross</v>
          </cell>
          <cell r="Y10042" t="str">
            <v>SWEDEN</v>
          </cell>
        </row>
        <row r="10043">
          <cell r="L10043" t="str">
            <v>Non-proportional</v>
          </cell>
          <cell r="S10043">
            <v>-8046.38</v>
          </cell>
          <cell r="X10043" t="str">
            <v>Variation UPR - gross</v>
          </cell>
          <cell r="Y10043" t="str">
            <v>UNITED KINGDOM</v>
          </cell>
        </row>
        <row r="10044">
          <cell r="L10044" t="str">
            <v>Non-proportional</v>
          </cell>
          <cell r="S10044">
            <v>-7747.42</v>
          </cell>
          <cell r="X10044" t="str">
            <v>Variation UPR - gross</v>
          </cell>
          <cell r="Y10044" t="str">
            <v>GERMANY</v>
          </cell>
        </row>
        <row r="10045">
          <cell r="L10045" t="str">
            <v>Non-proportional</v>
          </cell>
          <cell r="S10045">
            <v>-18706.169999999998</v>
          </cell>
          <cell r="X10045" t="str">
            <v>Variation UPR - gross</v>
          </cell>
          <cell r="Y10045" t="str">
            <v>GERMANY</v>
          </cell>
        </row>
        <row r="10046">
          <cell r="L10046" t="str">
            <v>Non-proportional</v>
          </cell>
          <cell r="S10046">
            <v>-865.58</v>
          </cell>
          <cell r="X10046" t="str">
            <v>Variation UPR - gross</v>
          </cell>
          <cell r="Y10046" t="str">
            <v>ITALY</v>
          </cell>
        </row>
        <row r="10047">
          <cell r="L10047" t="str">
            <v>Non-proportional</v>
          </cell>
          <cell r="S10047">
            <v>-43303.87</v>
          </cell>
          <cell r="X10047" t="str">
            <v>Variation UPR - gross</v>
          </cell>
          <cell r="Y10047" t="str">
            <v>UNITED KINGDOM</v>
          </cell>
        </row>
        <row r="10048">
          <cell r="L10048" t="str">
            <v>Non-proportional</v>
          </cell>
          <cell r="S10048">
            <v>-83.26</v>
          </cell>
          <cell r="X10048" t="str">
            <v>Variation UPR - gross</v>
          </cell>
          <cell r="Y10048" t="str">
            <v>FRANCE</v>
          </cell>
        </row>
        <row r="10049">
          <cell r="L10049" t="str">
            <v>Non-proportional</v>
          </cell>
          <cell r="S10049">
            <v>-4112.1499999999996</v>
          </cell>
          <cell r="X10049" t="str">
            <v>Variation UPR - gross</v>
          </cell>
          <cell r="Y10049" t="str">
            <v>AUSTRIA</v>
          </cell>
        </row>
        <row r="10050">
          <cell r="L10050" t="str">
            <v>Non-proportional</v>
          </cell>
          <cell r="S10050">
            <v>-10967.73</v>
          </cell>
          <cell r="X10050" t="str">
            <v>Variation UPR - gross</v>
          </cell>
          <cell r="Y10050" t="str">
            <v>SWEDEN</v>
          </cell>
        </row>
        <row r="10051">
          <cell r="L10051" t="str">
            <v>Non-proportional</v>
          </cell>
          <cell r="S10051">
            <v>-5376.23</v>
          </cell>
          <cell r="X10051" t="str">
            <v>Variation UPR - gross</v>
          </cell>
          <cell r="Y10051" t="str">
            <v>DENMARK</v>
          </cell>
        </row>
        <row r="10052">
          <cell r="L10052" t="str">
            <v>Non-proportional</v>
          </cell>
          <cell r="S10052">
            <v>-6904.17</v>
          </cell>
          <cell r="X10052" t="str">
            <v>Variation UPR - gross</v>
          </cell>
          <cell r="Y10052" t="str">
            <v>FRANCE</v>
          </cell>
        </row>
        <row r="10053">
          <cell r="L10053" t="str">
            <v>Non-proportional</v>
          </cell>
          <cell r="S10053">
            <v>-7454.57</v>
          </cell>
          <cell r="X10053" t="str">
            <v>Variation UPR - gross</v>
          </cell>
          <cell r="Y10053" t="str">
            <v>EUROPE</v>
          </cell>
        </row>
        <row r="10054">
          <cell r="L10054" t="str">
            <v>Non-proportional</v>
          </cell>
          <cell r="S10054">
            <v>-5005.8</v>
          </cell>
          <cell r="X10054" t="str">
            <v>Variation UPR - gross</v>
          </cell>
          <cell r="Y10054" t="str">
            <v>FRANCE</v>
          </cell>
        </row>
        <row r="10055">
          <cell r="L10055" t="str">
            <v>Non-proportional</v>
          </cell>
          <cell r="S10055">
            <v>-4074.76</v>
          </cell>
          <cell r="X10055" t="str">
            <v>Variation UPR - gross</v>
          </cell>
          <cell r="Y10055" t="str">
            <v>ICELAND</v>
          </cell>
        </row>
        <row r="10056">
          <cell r="L10056" t="str">
            <v>Non-proportional</v>
          </cell>
          <cell r="S10056">
            <v>-978.47</v>
          </cell>
          <cell r="X10056" t="str">
            <v>Variation UPR - gross</v>
          </cell>
          <cell r="Y10056" t="str">
            <v>SWITZERLAND</v>
          </cell>
        </row>
        <row r="10057">
          <cell r="L10057" t="str">
            <v>Non-proportional</v>
          </cell>
          <cell r="S10057">
            <v>-7310.42</v>
          </cell>
          <cell r="X10057" t="str">
            <v>Variation UPR - gross</v>
          </cell>
          <cell r="Y10057" t="str">
            <v>FAROE ISLANDS</v>
          </cell>
        </row>
        <row r="10058">
          <cell r="L10058" t="str">
            <v>Non-proportional</v>
          </cell>
          <cell r="S10058">
            <v>-3083.39</v>
          </cell>
          <cell r="X10058" t="str">
            <v>Variation UPR - gross</v>
          </cell>
          <cell r="Y10058" t="str">
            <v>EUROPE</v>
          </cell>
        </row>
        <row r="10059">
          <cell r="L10059" t="str">
            <v>Non-proportional</v>
          </cell>
          <cell r="S10059">
            <v>-9751.23</v>
          </cell>
          <cell r="X10059" t="str">
            <v>Variation UPR - gross</v>
          </cell>
          <cell r="Y10059" t="str">
            <v>GERMANY</v>
          </cell>
        </row>
        <row r="10060">
          <cell r="L10060" t="str">
            <v>Non-proportional</v>
          </cell>
          <cell r="S10060">
            <v>-22237.91</v>
          </cell>
          <cell r="X10060" t="str">
            <v>Variation UPR - gross</v>
          </cell>
          <cell r="Y10060" t="str">
            <v>SWITZERLAND</v>
          </cell>
        </row>
        <row r="10061">
          <cell r="L10061" t="str">
            <v>Non-proportional</v>
          </cell>
          <cell r="S10061">
            <v>-894.3</v>
          </cell>
          <cell r="X10061" t="str">
            <v>Variation UPR - gross</v>
          </cell>
          <cell r="Y10061" t="str">
            <v>DENMARK</v>
          </cell>
        </row>
        <row r="10062">
          <cell r="L10062" t="str">
            <v>Non-proportional</v>
          </cell>
          <cell r="S10062">
            <v>-22495.4</v>
          </cell>
          <cell r="X10062" t="str">
            <v>Variation UPR - gross</v>
          </cell>
          <cell r="Y10062" t="str">
            <v>CZECH REPUBLIC</v>
          </cell>
        </row>
        <row r="10063">
          <cell r="L10063" t="str">
            <v>Non-proportional</v>
          </cell>
          <cell r="S10063">
            <v>-13541.67</v>
          </cell>
          <cell r="X10063" t="str">
            <v>Variation UPR - gross</v>
          </cell>
          <cell r="Y10063" t="str">
            <v>GERMANY</v>
          </cell>
        </row>
        <row r="10064">
          <cell r="L10064" t="str">
            <v>Non-proportional</v>
          </cell>
          <cell r="S10064">
            <v>-8855</v>
          </cell>
          <cell r="X10064" t="str">
            <v>Variation UPR - gross</v>
          </cell>
          <cell r="Y10064" t="str">
            <v>GERMANY</v>
          </cell>
        </row>
        <row r="10065">
          <cell r="L10065" t="str">
            <v>Non-proportional</v>
          </cell>
          <cell r="S10065">
            <v>-19606.060000000001</v>
          </cell>
          <cell r="X10065" t="str">
            <v>Variation UPR - gross</v>
          </cell>
          <cell r="Y10065" t="str">
            <v>FRANCE</v>
          </cell>
        </row>
        <row r="10066">
          <cell r="L10066" t="str">
            <v>Non-proportional</v>
          </cell>
          <cell r="S10066">
            <v>-6155.41</v>
          </cell>
          <cell r="X10066" t="str">
            <v>Variation UPR - gross</v>
          </cell>
          <cell r="Y10066" t="str">
            <v>SWEDEN</v>
          </cell>
        </row>
        <row r="10067">
          <cell r="L10067" t="str">
            <v>Non-proportional</v>
          </cell>
          <cell r="S10067">
            <v>-2500.5700000000002</v>
          </cell>
          <cell r="X10067" t="str">
            <v>Variation UPR - gross</v>
          </cell>
          <cell r="Y10067" t="str">
            <v>GERMANY</v>
          </cell>
        </row>
        <row r="10068">
          <cell r="L10068" t="str">
            <v>Non-proportional</v>
          </cell>
          <cell r="S10068">
            <v>9.06</v>
          </cell>
          <cell r="X10068" t="str">
            <v>Variation UPR - gross</v>
          </cell>
          <cell r="Y10068" t="str">
            <v>SWEDEN</v>
          </cell>
        </row>
        <row r="10069">
          <cell r="L10069" t="str">
            <v>Non-proportional</v>
          </cell>
          <cell r="S10069">
            <v>-35570.32</v>
          </cell>
          <cell r="X10069" t="str">
            <v>Variation UPR - gross</v>
          </cell>
          <cell r="Y10069" t="str">
            <v>FRANCE</v>
          </cell>
        </row>
        <row r="10070">
          <cell r="L10070" t="str">
            <v>Non-proportional</v>
          </cell>
          <cell r="S10070">
            <v>-8322.82</v>
          </cell>
          <cell r="X10070" t="str">
            <v>Variation UPR - gross</v>
          </cell>
          <cell r="Y10070" t="str">
            <v>GERMANY</v>
          </cell>
        </row>
        <row r="10071">
          <cell r="L10071" t="str">
            <v>Non-proportional</v>
          </cell>
          <cell r="S10071">
            <v>-15010.59</v>
          </cell>
          <cell r="X10071" t="str">
            <v>Variation UPR - gross</v>
          </cell>
          <cell r="Y10071" t="str">
            <v>SWITZERLAND</v>
          </cell>
        </row>
        <row r="10072">
          <cell r="L10072" t="str">
            <v>Non-proportional</v>
          </cell>
          <cell r="S10072">
            <v>-11815.94</v>
          </cell>
          <cell r="X10072" t="str">
            <v>Variation UPR - gross</v>
          </cell>
          <cell r="Y10072" t="str">
            <v>GERMANY</v>
          </cell>
        </row>
        <row r="10073">
          <cell r="L10073" t="str">
            <v>Proportional</v>
          </cell>
          <cell r="S10073">
            <v>160112.5</v>
          </cell>
          <cell r="X10073" t="str">
            <v>Variation UPR - gross</v>
          </cell>
          <cell r="Y10073" t="str">
            <v>SWITZERLAND</v>
          </cell>
        </row>
        <row r="10074">
          <cell r="L10074" t="str">
            <v>Non-proportional</v>
          </cell>
          <cell r="S10074">
            <v>-12237.22</v>
          </cell>
          <cell r="X10074" t="str">
            <v>Variation UPR - gross</v>
          </cell>
          <cell r="Y10074" t="str">
            <v>UNITED KINGDOM</v>
          </cell>
        </row>
        <row r="10075">
          <cell r="L10075" t="str">
            <v>Non-proportional</v>
          </cell>
          <cell r="S10075">
            <v>-8531.18</v>
          </cell>
          <cell r="X10075" t="str">
            <v>Variation UPR - gross</v>
          </cell>
          <cell r="Y10075" t="str">
            <v>EUROPE</v>
          </cell>
        </row>
        <row r="10076">
          <cell r="L10076" t="str">
            <v>Non-proportional</v>
          </cell>
          <cell r="S10076">
            <v>-8625</v>
          </cell>
          <cell r="X10076" t="str">
            <v>Variation UPR - gross</v>
          </cell>
          <cell r="Y10076" t="str">
            <v>GERMANY</v>
          </cell>
        </row>
        <row r="10077">
          <cell r="L10077" t="str">
            <v>Non-proportional</v>
          </cell>
          <cell r="S10077">
            <v>-1245.33</v>
          </cell>
          <cell r="X10077" t="str">
            <v>Variation UPR - gross</v>
          </cell>
          <cell r="Y10077" t="str">
            <v>SWITZERLAND</v>
          </cell>
        </row>
        <row r="10078">
          <cell r="L10078" t="str">
            <v>Non-proportional</v>
          </cell>
          <cell r="S10078">
            <v>-781.57</v>
          </cell>
          <cell r="X10078" t="str">
            <v>Variation UPR - gross</v>
          </cell>
          <cell r="Y10078" t="str">
            <v>JAPAN</v>
          </cell>
        </row>
        <row r="10079">
          <cell r="L10079" t="str">
            <v>Non-proportional</v>
          </cell>
          <cell r="S10079">
            <v>633.61</v>
          </cell>
          <cell r="X10079" t="str">
            <v>Variation UPR - gross</v>
          </cell>
          <cell r="Y10079" t="str">
            <v>ICELAND</v>
          </cell>
        </row>
        <row r="10080">
          <cell r="L10080" t="str">
            <v>Non-proportional</v>
          </cell>
          <cell r="S10080">
            <v>-5369</v>
          </cell>
          <cell r="X10080" t="str">
            <v>Variation UPR - gross</v>
          </cell>
          <cell r="Y10080" t="str">
            <v>GERMANY</v>
          </cell>
        </row>
        <row r="10081">
          <cell r="L10081" t="str">
            <v>Non-proportional</v>
          </cell>
          <cell r="S10081">
            <v>-11825.5</v>
          </cell>
          <cell r="X10081" t="str">
            <v>Variation UPR - gross</v>
          </cell>
          <cell r="Y10081" t="str">
            <v>AUSTRIA</v>
          </cell>
        </row>
        <row r="10082">
          <cell r="L10082" t="str">
            <v>Non-proportional</v>
          </cell>
          <cell r="S10082">
            <v>-175.18</v>
          </cell>
          <cell r="X10082" t="str">
            <v>Variation UPR - gross</v>
          </cell>
          <cell r="Y10082" t="str">
            <v>ITALY</v>
          </cell>
        </row>
        <row r="10083">
          <cell r="L10083" t="str">
            <v>Non-proportional</v>
          </cell>
          <cell r="S10083">
            <v>-329900.33</v>
          </cell>
          <cell r="X10083" t="str">
            <v>Variation UPR - gross</v>
          </cell>
          <cell r="Y10083" t="str">
            <v>UNITED KINGDOM</v>
          </cell>
        </row>
        <row r="10084">
          <cell r="L10084" t="str">
            <v>Non-proportional</v>
          </cell>
          <cell r="S10084">
            <v>-8696.8799999999992</v>
          </cell>
          <cell r="X10084" t="str">
            <v>Variation UPR - gross</v>
          </cell>
          <cell r="Y10084" t="str">
            <v>GERMANY</v>
          </cell>
        </row>
        <row r="10085">
          <cell r="L10085" t="str">
            <v>Non-proportional</v>
          </cell>
          <cell r="S10085">
            <v>3.01</v>
          </cell>
          <cell r="X10085" t="str">
            <v>Variation UPR - gross</v>
          </cell>
          <cell r="Y10085" t="str">
            <v>DENMARK</v>
          </cell>
        </row>
        <row r="10086">
          <cell r="L10086" t="str">
            <v>Non-proportional</v>
          </cell>
          <cell r="S10086">
            <v>3.47</v>
          </cell>
          <cell r="X10086" t="str">
            <v>Variation UPR - gross</v>
          </cell>
          <cell r="Y10086" t="str">
            <v>DENMARK</v>
          </cell>
        </row>
        <row r="10087">
          <cell r="L10087" t="str">
            <v>Non-proportional</v>
          </cell>
          <cell r="S10087">
            <v>-873.38</v>
          </cell>
          <cell r="X10087" t="str">
            <v>Variation UPR - gross</v>
          </cell>
          <cell r="Y10087" t="str">
            <v>GERMANY</v>
          </cell>
        </row>
        <row r="10088">
          <cell r="L10088" t="str">
            <v>Non-proportional</v>
          </cell>
          <cell r="S10088">
            <v>-5292.57</v>
          </cell>
          <cell r="X10088" t="str">
            <v>Variation UPR - gross</v>
          </cell>
          <cell r="Y10088" t="str">
            <v>NORWAY</v>
          </cell>
        </row>
        <row r="10089">
          <cell r="L10089" t="str">
            <v>Non-proportional</v>
          </cell>
          <cell r="S10089">
            <v>-5493.18</v>
          </cell>
          <cell r="X10089" t="str">
            <v>Variation UPR - gross</v>
          </cell>
          <cell r="Y10089" t="str">
            <v>FRANCE</v>
          </cell>
        </row>
        <row r="10090">
          <cell r="L10090" t="str">
            <v>Non-proportional</v>
          </cell>
          <cell r="S10090">
            <v>-4573.13</v>
          </cell>
          <cell r="X10090" t="str">
            <v>Variation UPR - gross</v>
          </cell>
          <cell r="Y10090" t="str">
            <v>EUROPE</v>
          </cell>
        </row>
        <row r="10091">
          <cell r="L10091" t="str">
            <v>Non-proportional</v>
          </cell>
          <cell r="S10091">
            <v>-7187.25</v>
          </cell>
          <cell r="X10091" t="str">
            <v>Variation UPR - gross</v>
          </cell>
          <cell r="Y10091" t="str">
            <v>UNITED KINGDOM</v>
          </cell>
        </row>
        <row r="10092">
          <cell r="L10092" t="str">
            <v>Non-proportional</v>
          </cell>
          <cell r="S10092">
            <v>-12430.51</v>
          </cell>
          <cell r="X10092" t="str">
            <v>Variation UPR - gross</v>
          </cell>
          <cell r="Y10092" t="str">
            <v>UNITED KINGDOM</v>
          </cell>
        </row>
        <row r="10093">
          <cell r="L10093" t="str">
            <v>Non-proportional</v>
          </cell>
          <cell r="S10093">
            <v>-7302.28</v>
          </cell>
          <cell r="X10093" t="str">
            <v>Variation UPR - gross</v>
          </cell>
          <cell r="Y10093" t="str">
            <v>NORWAY</v>
          </cell>
        </row>
        <row r="10094">
          <cell r="L10094" t="str">
            <v>Non-proportional</v>
          </cell>
          <cell r="S10094">
            <v>-20002.47</v>
          </cell>
          <cell r="X10094" t="str">
            <v>Variation UPR - gross</v>
          </cell>
          <cell r="Y10094" t="str">
            <v>CZECH REPUBLIC</v>
          </cell>
        </row>
        <row r="10095">
          <cell r="L10095" t="str">
            <v>Non-proportional</v>
          </cell>
          <cell r="S10095">
            <v>-7965</v>
          </cell>
          <cell r="X10095" t="str">
            <v>Variation UPR - gross</v>
          </cell>
          <cell r="Y10095" t="str">
            <v>GERMANY</v>
          </cell>
        </row>
        <row r="10096">
          <cell r="L10096" t="str">
            <v>Non-proportional</v>
          </cell>
          <cell r="S10096">
            <v>-9567</v>
          </cell>
          <cell r="X10096" t="str">
            <v>Variation UPR - gross</v>
          </cell>
          <cell r="Y10096" t="str">
            <v>SLOVENIA</v>
          </cell>
        </row>
        <row r="10097">
          <cell r="L10097" t="str">
            <v>Non-proportional</v>
          </cell>
          <cell r="S10097">
            <v>-339.96</v>
          </cell>
          <cell r="X10097" t="str">
            <v>Variation UPR - gross</v>
          </cell>
          <cell r="Y10097" t="str">
            <v>JAPAN</v>
          </cell>
        </row>
        <row r="10098">
          <cell r="L10098" t="str">
            <v>Non-proportional</v>
          </cell>
          <cell r="S10098">
            <v>-3262.5</v>
          </cell>
          <cell r="X10098" t="str">
            <v>Variation UPR - gross</v>
          </cell>
          <cell r="Y10098" t="str">
            <v>ROMANIA</v>
          </cell>
        </row>
        <row r="10099">
          <cell r="L10099" t="str">
            <v>Non-proportional</v>
          </cell>
          <cell r="S10099">
            <v>-2816.19</v>
          </cell>
          <cell r="X10099" t="str">
            <v>Variation UPR - gross</v>
          </cell>
          <cell r="Y10099" t="str">
            <v>FRANCE</v>
          </cell>
        </row>
        <row r="10100">
          <cell r="L10100" t="str">
            <v>Non-proportional</v>
          </cell>
          <cell r="S10100">
            <v>-21214.97</v>
          </cell>
          <cell r="X10100" t="str">
            <v>Variation UPR - gross</v>
          </cell>
          <cell r="Y10100" t="str">
            <v>SWITZERLAND</v>
          </cell>
        </row>
        <row r="10101">
          <cell r="L10101" t="str">
            <v>Non-proportional</v>
          </cell>
          <cell r="S10101">
            <v>2.31</v>
          </cell>
          <cell r="X10101" t="str">
            <v>Variation UPR - gross</v>
          </cell>
          <cell r="Y10101" t="str">
            <v>DENMARK</v>
          </cell>
        </row>
        <row r="10102">
          <cell r="L10102" t="str">
            <v>Non-proportional</v>
          </cell>
          <cell r="S10102">
            <v>3.73</v>
          </cell>
          <cell r="X10102" t="str">
            <v>Variation UPR - gross</v>
          </cell>
          <cell r="Y10102" t="str">
            <v>DENMARK</v>
          </cell>
        </row>
        <row r="10103">
          <cell r="L10103" t="str">
            <v>Non-proportional</v>
          </cell>
          <cell r="S10103">
            <v>-6075.31</v>
          </cell>
          <cell r="X10103" t="str">
            <v>Variation UPR - gross</v>
          </cell>
          <cell r="Y10103" t="str">
            <v>DENMARK</v>
          </cell>
        </row>
        <row r="10104">
          <cell r="L10104" t="str">
            <v>Non-proportional</v>
          </cell>
          <cell r="S10104">
            <v>-20707.14</v>
          </cell>
          <cell r="X10104" t="str">
            <v>Variation UPR - gross</v>
          </cell>
          <cell r="Y10104" t="str">
            <v>EUROPE</v>
          </cell>
        </row>
        <row r="10105">
          <cell r="L10105" t="str">
            <v>Non-proportional</v>
          </cell>
          <cell r="S10105">
            <v>-5810.82</v>
          </cell>
          <cell r="X10105" t="str">
            <v>Variation UPR - gross</v>
          </cell>
          <cell r="Y10105" t="str">
            <v>DENMARK</v>
          </cell>
        </row>
        <row r="10106">
          <cell r="L10106" t="str">
            <v>Non-proportional</v>
          </cell>
          <cell r="S10106">
            <v>-23807.759999999998</v>
          </cell>
          <cell r="X10106" t="str">
            <v>Variation UPR - gross</v>
          </cell>
          <cell r="Y10106" t="str">
            <v>UNITED KINGDOM</v>
          </cell>
        </row>
        <row r="10107">
          <cell r="L10107" t="str">
            <v>Non-proportional</v>
          </cell>
          <cell r="S10107">
            <v>-36657.129999999997</v>
          </cell>
          <cell r="X10107" t="str">
            <v>Variation UPR - gross</v>
          </cell>
          <cell r="Y10107" t="str">
            <v>UNITED KINGDOM</v>
          </cell>
        </row>
        <row r="10108">
          <cell r="L10108" t="str">
            <v>Non-proportional</v>
          </cell>
          <cell r="S10108">
            <v>-2083.33</v>
          </cell>
          <cell r="X10108" t="str">
            <v>Variation UPR - gross</v>
          </cell>
          <cell r="Y10108" t="str">
            <v>GERMANY</v>
          </cell>
        </row>
        <row r="10109">
          <cell r="L10109" t="str">
            <v>Non-proportional</v>
          </cell>
          <cell r="S10109">
            <v>-24396</v>
          </cell>
          <cell r="X10109" t="str">
            <v>Variation UPR - gross</v>
          </cell>
          <cell r="Y10109" t="str">
            <v>GERMANY</v>
          </cell>
        </row>
        <row r="10110">
          <cell r="L10110" t="str">
            <v>Non-proportional</v>
          </cell>
          <cell r="S10110">
            <v>-40898.1</v>
          </cell>
          <cell r="X10110" t="str">
            <v>Variation UPR - gross</v>
          </cell>
          <cell r="Y10110" t="str">
            <v>UNITED KINGDOM</v>
          </cell>
        </row>
        <row r="10111">
          <cell r="L10111" t="str">
            <v>Non-proportional</v>
          </cell>
          <cell r="S10111">
            <v>-3375</v>
          </cell>
          <cell r="X10111" t="str">
            <v>Variation UPR - gross</v>
          </cell>
          <cell r="Y10111" t="str">
            <v>GERMANY</v>
          </cell>
        </row>
        <row r="10112">
          <cell r="L10112" t="str">
            <v>Non-proportional</v>
          </cell>
          <cell r="S10112">
            <v>-5877.5</v>
          </cell>
          <cell r="X10112" t="str">
            <v>Variation UPR - gross</v>
          </cell>
          <cell r="Y10112" t="str">
            <v>NORWAY</v>
          </cell>
        </row>
        <row r="10113">
          <cell r="L10113" t="str">
            <v>Non-proportional</v>
          </cell>
          <cell r="S10113">
            <v>-750</v>
          </cell>
          <cell r="X10113" t="str">
            <v>Variation UPR - gross</v>
          </cell>
          <cell r="Y10113" t="str">
            <v>GERMANY</v>
          </cell>
        </row>
        <row r="10114">
          <cell r="L10114" t="str">
            <v>Non-proportional</v>
          </cell>
          <cell r="S10114">
            <v>-2357.5</v>
          </cell>
          <cell r="X10114" t="str">
            <v>Variation UPR - gross</v>
          </cell>
          <cell r="Y10114" t="str">
            <v>GERMANY</v>
          </cell>
        </row>
        <row r="10115">
          <cell r="L10115" t="str">
            <v>Proportional</v>
          </cell>
          <cell r="S10115">
            <v>-160112.5</v>
          </cell>
          <cell r="X10115" t="str">
            <v>Variation UPR - gross</v>
          </cell>
          <cell r="Y10115" t="str">
            <v>AUSTRIA</v>
          </cell>
        </row>
        <row r="10116">
          <cell r="L10116" t="str">
            <v>Non-proportional</v>
          </cell>
          <cell r="S10116">
            <v>-289824.07</v>
          </cell>
          <cell r="X10116" t="str">
            <v>Variation UPR - gross</v>
          </cell>
          <cell r="Y10116" t="str">
            <v>UNITED KINGDOM</v>
          </cell>
        </row>
        <row r="10117">
          <cell r="L10117" t="str">
            <v>Non-proportional</v>
          </cell>
          <cell r="S10117">
            <v>-7590</v>
          </cell>
          <cell r="X10117" t="str">
            <v>Variation UPR - gross</v>
          </cell>
          <cell r="Y10117" t="str">
            <v>GERMANY</v>
          </cell>
        </row>
        <row r="10118">
          <cell r="L10118" t="str">
            <v>Non-proportional</v>
          </cell>
          <cell r="S10118">
            <v>-8837.7099999999991</v>
          </cell>
          <cell r="X10118" t="str">
            <v>Variation UPR - gross</v>
          </cell>
          <cell r="Y10118" t="str">
            <v>GERMANY</v>
          </cell>
        </row>
        <row r="10119">
          <cell r="L10119" t="str">
            <v>Non-proportional</v>
          </cell>
          <cell r="S10119">
            <v>-83034.19</v>
          </cell>
          <cell r="X10119" t="str">
            <v>Variation UPR - gross</v>
          </cell>
          <cell r="Y10119" t="str">
            <v>UNITED KINGDOM</v>
          </cell>
        </row>
        <row r="10120">
          <cell r="L10120" t="str">
            <v>Non-proportional</v>
          </cell>
          <cell r="S10120">
            <v>-7770.84</v>
          </cell>
          <cell r="X10120" t="str">
            <v>Variation UPR - gross</v>
          </cell>
          <cell r="Y10120" t="str">
            <v>FRANCE</v>
          </cell>
        </row>
        <row r="10121">
          <cell r="L10121" t="str">
            <v>Non-proportional</v>
          </cell>
          <cell r="S10121">
            <v>-1170</v>
          </cell>
          <cell r="X10121" t="str">
            <v>Variation UPR - gross</v>
          </cell>
          <cell r="Y10121" t="str">
            <v>GERMANY</v>
          </cell>
        </row>
        <row r="10122">
          <cell r="L10122" t="str">
            <v>Non-proportional</v>
          </cell>
          <cell r="S10122">
            <v>-8697.67</v>
          </cell>
          <cell r="X10122" t="str">
            <v>Variation UPR - gross</v>
          </cell>
          <cell r="Y10122" t="str">
            <v>GERMANY</v>
          </cell>
        </row>
        <row r="10123">
          <cell r="L10123" t="str">
            <v>Non-proportional</v>
          </cell>
          <cell r="S10123">
            <v>-21452.51</v>
          </cell>
          <cell r="X10123" t="str">
            <v>Variation UPR - gross</v>
          </cell>
          <cell r="Y10123" t="str">
            <v>DENMARK</v>
          </cell>
        </row>
        <row r="10124">
          <cell r="L10124" t="str">
            <v>Non-proportional</v>
          </cell>
          <cell r="S10124">
            <v>33298.379999999997</v>
          </cell>
          <cell r="X10124" t="str">
            <v>Variation UPR - gross</v>
          </cell>
          <cell r="Y10124" t="str">
            <v>GERMANY</v>
          </cell>
        </row>
        <row r="10125">
          <cell r="L10125" t="str">
            <v>Non-proportional</v>
          </cell>
          <cell r="S10125">
            <v>-3604.17</v>
          </cell>
          <cell r="X10125" t="str">
            <v>Variation UPR - gross</v>
          </cell>
          <cell r="Y10125" t="str">
            <v>FAROE ISLANDS</v>
          </cell>
        </row>
        <row r="10126">
          <cell r="L10126" t="str">
            <v>Non-proportional</v>
          </cell>
          <cell r="S10126">
            <v>-8844.9</v>
          </cell>
          <cell r="X10126" t="str">
            <v>Variation UPR - gross</v>
          </cell>
          <cell r="Y10126" t="str">
            <v>GERMANY</v>
          </cell>
        </row>
        <row r="10127">
          <cell r="L10127" t="str">
            <v>Non-proportional</v>
          </cell>
          <cell r="S10127">
            <v>-11396.93</v>
          </cell>
          <cell r="X10127" t="str">
            <v>Variation UPR - gross</v>
          </cell>
          <cell r="Y10127" t="str">
            <v>SWITZERLAND</v>
          </cell>
        </row>
        <row r="10128">
          <cell r="L10128" t="str">
            <v>Non-proportional</v>
          </cell>
          <cell r="S10128">
            <v>-8369.58</v>
          </cell>
          <cell r="X10128" t="str">
            <v>Variation UPR - gross</v>
          </cell>
          <cell r="Y10128" t="str">
            <v>GERMANY</v>
          </cell>
        </row>
        <row r="10129">
          <cell r="L10129" t="str">
            <v>Non-proportional</v>
          </cell>
          <cell r="S10129">
            <v>-11.11</v>
          </cell>
          <cell r="X10129" t="str">
            <v>Variation UPR - gross</v>
          </cell>
          <cell r="Y10129" t="str">
            <v>NORWAY</v>
          </cell>
        </row>
        <row r="10130">
          <cell r="L10130" t="str">
            <v>Non-proportional</v>
          </cell>
          <cell r="S10130">
            <v>44397.83</v>
          </cell>
          <cell r="X10130" t="str">
            <v>Variation UPR - gross</v>
          </cell>
          <cell r="Y10130" t="str">
            <v>GERMANY</v>
          </cell>
        </row>
        <row r="10131">
          <cell r="L10131" t="str">
            <v>Non-proportional</v>
          </cell>
          <cell r="S10131">
            <v>-34502.01</v>
          </cell>
          <cell r="X10131" t="str">
            <v>Variation UPR - gross</v>
          </cell>
          <cell r="Y10131" t="str">
            <v>CZECH REPUBLIC</v>
          </cell>
        </row>
        <row r="10132">
          <cell r="L10132" t="str">
            <v>Non-proportional</v>
          </cell>
          <cell r="S10132">
            <v>-6153.1</v>
          </cell>
          <cell r="X10132" t="str">
            <v>Variation UPR - gross</v>
          </cell>
          <cell r="Y10132" t="str">
            <v>UNITED KINGDOM</v>
          </cell>
        </row>
        <row r="10133">
          <cell r="L10133" t="str">
            <v>Non-proportional</v>
          </cell>
          <cell r="S10133">
            <v>-2001.41</v>
          </cell>
          <cell r="X10133" t="str">
            <v>Variation UPR - gross</v>
          </cell>
          <cell r="Y10133" t="str">
            <v>SWITZERLAND</v>
          </cell>
        </row>
        <row r="10134">
          <cell r="L10134" t="str">
            <v>Non-proportional</v>
          </cell>
          <cell r="S10134">
            <v>-1200.8499999999999</v>
          </cell>
          <cell r="X10134" t="str">
            <v>Variation UPR - gross</v>
          </cell>
          <cell r="Y10134" t="str">
            <v>SWITZERLAND</v>
          </cell>
        </row>
        <row r="10135">
          <cell r="L10135" t="str">
            <v>Non-proportional</v>
          </cell>
          <cell r="S10135">
            <v>-10537.8</v>
          </cell>
          <cell r="X10135" t="str">
            <v>Variation UPR - gross</v>
          </cell>
          <cell r="Y10135" t="str">
            <v>GERMANY</v>
          </cell>
        </row>
        <row r="10136">
          <cell r="L10136" t="str">
            <v>Non-proportional</v>
          </cell>
          <cell r="S10136">
            <v>-1089.3900000000001</v>
          </cell>
          <cell r="X10136" t="str">
            <v>Variation UPR - gross</v>
          </cell>
          <cell r="Y10136" t="str">
            <v>DENMARK</v>
          </cell>
        </row>
        <row r="10137">
          <cell r="L10137" t="str">
            <v>Non-proportional</v>
          </cell>
          <cell r="S10137">
            <v>2.79</v>
          </cell>
          <cell r="X10137" t="str">
            <v>Variation UPR - gross</v>
          </cell>
          <cell r="Y10137" t="str">
            <v>DENMARK</v>
          </cell>
        </row>
        <row r="10138">
          <cell r="L10138" t="str">
            <v>Non-proportional</v>
          </cell>
          <cell r="S10138">
            <v>-6404.52</v>
          </cell>
          <cell r="X10138" t="str">
            <v>Variation UPR - gross</v>
          </cell>
          <cell r="Y10138" t="str">
            <v>SWITZERLAND</v>
          </cell>
        </row>
        <row r="10139">
          <cell r="L10139" t="str">
            <v>Non-proportional</v>
          </cell>
          <cell r="S10139">
            <v>-3617.46</v>
          </cell>
          <cell r="X10139" t="str">
            <v>Variation UPR - gross</v>
          </cell>
          <cell r="Y10139" t="str">
            <v>FRANCE</v>
          </cell>
        </row>
        <row r="10140">
          <cell r="L10140" t="str">
            <v>Non-proportional</v>
          </cell>
          <cell r="S10140">
            <v>-3313.14</v>
          </cell>
          <cell r="X10140" t="str">
            <v>Variation UPR - gross</v>
          </cell>
          <cell r="Y10140" t="str">
            <v>EUROPE</v>
          </cell>
        </row>
        <row r="10141">
          <cell r="L10141" t="str">
            <v>Proportional</v>
          </cell>
          <cell r="S10141">
            <v>-49801.72</v>
          </cell>
          <cell r="X10141" t="str">
            <v>Variation UPR - gross</v>
          </cell>
          <cell r="Y10141" t="str">
            <v>SWITZERLAND</v>
          </cell>
        </row>
        <row r="10142">
          <cell r="L10142" t="str">
            <v>Non-proportional</v>
          </cell>
          <cell r="S10142">
            <v>-7205.26</v>
          </cell>
          <cell r="X10142" t="str">
            <v>Variation UPR - gross</v>
          </cell>
          <cell r="Y10142" t="str">
            <v>DENMARK</v>
          </cell>
        </row>
        <row r="10143">
          <cell r="L10143" t="str">
            <v>Non-proportional</v>
          </cell>
          <cell r="S10143">
            <v>-16340.97</v>
          </cell>
          <cell r="X10143" t="str">
            <v>Variation UPR - gross</v>
          </cell>
          <cell r="Y10143" t="str">
            <v>DENMARK</v>
          </cell>
        </row>
        <row r="10144">
          <cell r="L10144" t="str">
            <v>Non-proportional</v>
          </cell>
          <cell r="S10144">
            <v>-14120</v>
          </cell>
          <cell r="X10144" t="str">
            <v>Variation UPR - gross</v>
          </cell>
          <cell r="Y10144" t="str">
            <v>AUSTRIA</v>
          </cell>
        </row>
        <row r="10145">
          <cell r="L10145" t="str">
            <v>Non-proportional</v>
          </cell>
          <cell r="S10145">
            <v>-58563.83</v>
          </cell>
          <cell r="X10145" t="str">
            <v>Variation UPR - gross</v>
          </cell>
          <cell r="Y10145" t="str">
            <v>UNITED KINGDOM</v>
          </cell>
        </row>
        <row r="10146">
          <cell r="L10146" t="str">
            <v>Non-proportional</v>
          </cell>
          <cell r="S10146">
            <v>-4112.24</v>
          </cell>
          <cell r="X10146" t="str">
            <v>Variation UPR - gross</v>
          </cell>
          <cell r="Y10146" t="str">
            <v>SWITZERLAND</v>
          </cell>
        </row>
        <row r="10147">
          <cell r="L10147" t="str">
            <v>Non-proportional</v>
          </cell>
          <cell r="S10147">
            <v>-11.72</v>
          </cell>
          <cell r="X10147" t="str">
            <v>Variation UPR - gross</v>
          </cell>
          <cell r="Y10147" t="str">
            <v>JAPAN</v>
          </cell>
        </row>
        <row r="10148">
          <cell r="L10148" t="str">
            <v>Non-proportional</v>
          </cell>
          <cell r="S10148">
            <v>-18800.73</v>
          </cell>
          <cell r="X10148" t="str">
            <v>Variation UPR - gross</v>
          </cell>
          <cell r="Y10148" t="str">
            <v>SWEDEN</v>
          </cell>
        </row>
        <row r="10149">
          <cell r="L10149" t="str">
            <v>Non-proportional</v>
          </cell>
          <cell r="S10149">
            <v>-15329.19</v>
          </cell>
          <cell r="X10149" t="str">
            <v>Variation UPR - gross</v>
          </cell>
          <cell r="Y10149" t="str">
            <v>ITALY</v>
          </cell>
        </row>
        <row r="10150">
          <cell r="L10150" t="str">
            <v>Proportional</v>
          </cell>
          <cell r="S10150">
            <v>-160112.5</v>
          </cell>
          <cell r="X10150" t="str">
            <v>Variation UPR - gross</v>
          </cell>
          <cell r="Y10150" t="str">
            <v>SWITZERLAND</v>
          </cell>
        </row>
        <row r="10151">
          <cell r="L10151" t="str">
            <v>Non-proportional</v>
          </cell>
          <cell r="S10151">
            <v>-451.25</v>
          </cell>
          <cell r="X10151" t="str">
            <v>Variation UPR - gross</v>
          </cell>
          <cell r="Y10151" t="str">
            <v>ITALY</v>
          </cell>
        </row>
        <row r="10152">
          <cell r="L10152" t="str">
            <v>Non-proportional</v>
          </cell>
          <cell r="S10152">
            <v>-40997.29</v>
          </cell>
          <cell r="X10152" t="str">
            <v>Variation UPR - gross</v>
          </cell>
          <cell r="Y10152" t="str">
            <v>UNITED KINGDOM</v>
          </cell>
        </row>
        <row r="10153">
          <cell r="L10153" t="str">
            <v>Non-proportional</v>
          </cell>
          <cell r="S10153">
            <v>-51847.28</v>
          </cell>
          <cell r="X10153" t="str">
            <v>Variation UPR - gross</v>
          </cell>
          <cell r="Y10153" t="str">
            <v>UNITED KINGDOM</v>
          </cell>
        </row>
        <row r="10154">
          <cell r="L10154" t="str">
            <v>Non-proportional</v>
          </cell>
          <cell r="S10154">
            <v>-7454.57</v>
          </cell>
          <cell r="X10154" t="str">
            <v>Variation UPR - gross</v>
          </cell>
          <cell r="Y10154" t="str">
            <v>EUROPE</v>
          </cell>
        </row>
        <row r="10155">
          <cell r="L10155" t="str">
            <v>Non-proportional</v>
          </cell>
          <cell r="S10155">
            <v>-23509.8</v>
          </cell>
          <cell r="X10155" t="str">
            <v>Variation UPR - gross</v>
          </cell>
          <cell r="Y10155" t="str">
            <v>UNITED KINGDOM</v>
          </cell>
        </row>
        <row r="10156">
          <cell r="L10156" t="str">
            <v>Non-proportional</v>
          </cell>
          <cell r="S10156">
            <v>-58068.22</v>
          </cell>
          <cell r="X10156" t="str">
            <v>Variation UPR - gross</v>
          </cell>
          <cell r="Y10156" t="str">
            <v>UNITED KINGDOM</v>
          </cell>
        </row>
        <row r="10157">
          <cell r="L10157" t="str">
            <v>Non-proportional</v>
          </cell>
          <cell r="S10157">
            <v>-20924.87</v>
          </cell>
          <cell r="X10157" t="str">
            <v>Variation UPR - gross</v>
          </cell>
          <cell r="Y10157" t="str">
            <v>FRANCE</v>
          </cell>
        </row>
        <row r="10158">
          <cell r="L10158" t="str">
            <v>Non-proportional</v>
          </cell>
          <cell r="S10158">
            <v>-7590</v>
          </cell>
          <cell r="X10158" t="str">
            <v>Variation UPR - gross</v>
          </cell>
          <cell r="Y10158" t="str">
            <v>GERMANY</v>
          </cell>
        </row>
        <row r="10159">
          <cell r="L10159" t="str">
            <v>Non-proportional</v>
          </cell>
          <cell r="S10159">
            <v>-8125</v>
          </cell>
          <cell r="X10159" t="str">
            <v>Variation UPR - gross</v>
          </cell>
          <cell r="Y10159" t="str">
            <v>CZECH REPUBLIC</v>
          </cell>
        </row>
        <row r="10160">
          <cell r="L10160" t="str">
            <v>Non-proportional</v>
          </cell>
          <cell r="S10160">
            <v>-20853.009999999998</v>
          </cell>
          <cell r="X10160" t="str">
            <v>Variation UPR - gross</v>
          </cell>
          <cell r="Y10160" t="str">
            <v>SWITZERLAND</v>
          </cell>
        </row>
        <row r="10161">
          <cell r="L10161" t="str">
            <v>Non-proportional</v>
          </cell>
          <cell r="S10161">
            <v>-6904.17</v>
          </cell>
          <cell r="X10161" t="str">
            <v>Variation UPR - gross</v>
          </cell>
          <cell r="Y10161" t="str">
            <v>FRANCE</v>
          </cell>
        </row>
        <row r="10162">
          <cell r="L10162" t="str">
            <v>Non-proportional</v>
          </cell>
          <cell r="S10162">
            <v>3.06</v>
          </cell>
          <cell r="X10162" t="str">
            <v>Variation UPR - gross</v>
          </cell>
          <cell r="Y10162" t="str">
            <v>DENMARK</v>
          </cell>
        </row>
        <row r="10163">
          <cell r="L10163" t="str">
            <v>Non-proportional</v>
          </cell>
          <cell r="S10163">
            <v>-14754.49</v>
          </cell>
          <cell r="X10163" t="str">
            <v>Variation UPR - gross</v>
          </cell>
          <cell r="Y10163" t="str">
            <v>SWITZERLAND</v>
          </cell>
        </row>
        <row r="10164">
          <cell r="L10164" t="str">
            <v>Non-proportional</v>
          </cell>
          <cell r="S10164">
            <v>-6250.52</v>
          </cell>
          <cell r="X10164" t="str">
            <v>Variation UPR - gross</v>
          </cell>
          <cell r="Y10164" t="str">
            <v>GERMANY</v>
          </cell>
        </row>
        <row r="10165">
          <cell r="L10165" t="str">
            <v>Non-proportional</v>
          </cell>
          <cell r="S10165">
            <v>-16500</v>
          </cell>
          <cell r="X10165" t="str">
            <v>Variation UPR - gross</v>
          </cell>
          <cell r="Y10165" t="str">
            <v>GERMANY</v>
          </cell>
        </row>
        <row r="10166">
          <cell r="L10166" t="str">
            <v>Non-proportional</v>
          </cell>
          <cell r="S10166">
            <v>-117.79</v>
          </cell>
          <cell r="X10166" t="str">
            <v>Variation UPR - gross</v>
          </cell>
          <cell r="Y10166" t="str">
            <v>FRANCE</v>
          </cell>
        </row>
        <row r="10167">
          <cell r="L10167" t="str">
            <v>Non-proportional</v>
          </cell>
          <cell r="S10167">
            <v>-54.83</v>
          </cell>
          <cell r="X10167" t="str">
            <v>Variation UPR - gross</v>
          </cell>
          <cell r="Y10167" t="str">
            <v>FRANCE</v>
          </cell>
        </row>
        <row r="10168">
          <cell r="L10168" t="str">
            <v>Non-proportional</v>
          </cell>
          <cell r="S10168">
            <v>-4164.72</v>
          </cell>
          <cell r="X10168" t="str">
            <v>Variation UPR - gross</v>
          </cell>
          <cell r="Y10168" t="str">
            <v>GERMANY</v>
          </cell>
        </row>
        <row r="10169">
          <cell r="L10169" t="str">
            <v>Non-proportional</v>
          </cell>
          <cell r="S10169">
            <v>-300.83</v>
          </cell>
          <cell r="X10169" t="str">
            <v>Variation UPR - gross</v>
          </cell>
          <cell r="Y10169" t="str">
            <v>ITALY</v>
          </cell>
        </row>
        <row r="10170">
          <cell r="L10170" t="str">
            <v>Non-proportional</v>
          </cell>
          <cell r="S10170">
            <v>-5595.87</v>
          </cell>
          <cell r="X10170" t="str">
            <v>Variation UPR - gross</v>
          </cell>
          <cell r="Y10170" t="str">
            <v>UNITED KINGDOM</v>
          </cell>
        </row>
        <row r="10171">
          <cell r="L10171" t="str">
            <v>Non-proportional</v>
          </cell>
          <cell r="S10171">
            <v>-2471.08</v>
          </cell>
          <cell r="X10171" t="str">
            <v>Variation UPR - gross</v>
          </cell>
          <cell r="Y10171" t="str">
            <v>SWEDEN</v>
          </cell>
        </row>
        <row r="10172">
          <cell r="L10172" t="str">
            <v>Non-proportional</v>
          </cell>
          <cell r="S10172">
            <v>-22495.4</v>
          </cell>
          <cell r="X10172" t="str">
            <v>Variation UPR - gross</v>
          </cell>
          <cell r="Y10172" t="str">
            <v>CZECH REPUBLIC</v>
          </cell>
        </row>
        <row r="10173">
          <cell r="L10173" t="str">
            <v>Non-proportional</v>
          </cell>
          <cell r="S10173">
            <v>-7650.48</v>
          </cell>
          <cell r="X10173" t="str">
            <v>Variation UPR - gross</v>
          </cell>
          <cell r="Y10173" t="str">
            <v>SWITZERLAND</v>
          </cell>
        </row>
        <row r="10174">
          <cell r="L10174" t="str">
            <v>Non-proportional</v>
          </cell>
          <cell r="S10174">
            <v>-20355</v>
          </cell>
          <cell r="X10174" t="str">
            <v>Variation UPR - gross</v>
          </cell>
          <cell r="Y10174" t="str">
            <v>GERMANY</v>
          </cell>
        </row>
        <row r="10175">
          <cell r="L10175" t="str">
            <v>Non-proportional</v>
          </cell>
          <cell r="S10175">
            <v>0.16</v>
          </cell>
          <cell r="X10175" t="str">
            <v>Variation UPR - gross</v>
          </cell>
          <cell r="Y10175" t="str">
            <v>DENMARK</v>
          </cell>
        </row>
        <row r="10176">
          <cell r="L10176" t="str">
            <v>Non-proportional</v>
          </cell>
          <cell r="S10176">
            <v>-4573.13</v>
          </cell>
          <cell r="X10176" t="str">
            <v>Variation UPR - gross</v>
          </cell>
          <cell r="Y10176" t="str">
            <v>EUROPE</v>
          </cell>
        </row>
        <row r="10177">
          <cell r="L10177" t="str">
            <v>Non-proportional</v>
          </cell>
          <cell r="S10177">
            <v>-13511.48</v>
          </cell>
          <cell r="X10177" t="str">
            <v>Variation UPR - gross</v>
          </cell>
          <cell r="Y10177" t="str">
            <v>UNITED KINGDOM</v>
          </cell>
        </row>
        <row r="10178">
          <cell r="L10178" t="str">
            <v>Non-proportional</v>
          </cell>
          <cell r="S10178">
            <v>-7202.46</v>
          </cell>
          <cell r="X10178" t="str">
            <v>Variation UPR - gross</v>
          </cell>
          <cell r="Y10178" t="str">
            <v>DENMARK</v>
          </cell>
        </row>
        <row r="10179">
          <cell r="L10179" t="str">
            <v>Non-proportional</v>
          </cell>
          <cell r="S10179">
            <v>-19373.09</v>
          </cell>
          <cell r="X10179" t="str">
            <v>Variation UPR - gross</v>
          </cell>
          <cell r="Y10179" t="str">
            <v>SWEDEN</v>
          </cell>
        </row>
        <row r="10180">
          <cell r="L10180" t="str">
            <v>Non-proportional</v>
          </cell>
          <cell r="S10180">
            <v>2950.17</v>
          </cell>
          <cell r="X10180" t="str">
            <v>Variation UPR - gross</v>
          </cell>
          <cell r="Y10180" t="str">
            <v>DENMARK</v>
          </cell>
        </row>
        <row r="10181">
          <cell r="L10181" t="str">
            <v>Non-proportional</v>
          </cell>
          <cell r="S10181">
            <v>-1125</v>
          </cell>
          <cell r="X10181" t="str">
            <v>Variation UPR - gross</v>
          </cell>
          <cell r="Y10181" t="str">
            <v>GERMANY</v>
          </cell>
        </row>
        <row r="10182">
          <cell r="L10182" t="str">
            <v>Non-proportional</v>
          </cell>
          <cell r="S10182">
            <v>-11312</v>
          </cell>
          <cell r="X10182" t="str">
            <v>Variation UPR - gross</v>
          </cell>
          <cell r="Y10182" t="str">
            <v>UNITED KINGDOM</v>
          </cell>
        </row>
        <row r="10183">
          <cell r="L10183" t="str">
            <v>Non-proportional</v>
          </cell>
          <cell r="S10183">
            <v>-75664.31</v>
          </cell>
          <cell r="X10183" t="str">
            <v>Variation UPR - gross</v>
          </cell>
          <cell r="Y10183" t="str">
            <v>UNITED KINGDOM</v>
          </cell>
        </row>
        <row r="10184">
          <cell r="L10184" t="str">
            <v>Non-proportional</v>
          </cell>
          <cell r="S10184">
            <v>-4237.9799999999996</v>
          </cell>
          <cell r="X10184" t="str">
            <v>Variation UPR - gross</v>
          </cell>
          <cell r="Y10184" t="str">
            <v>GERMANY</v>
          </cell>
        </row>
        <row r="10185">
          <cell r="L10185" t="str">
            <v>Non-proportional</v>
          </cell>
          <cell r="S10185">
            <v>-313.72000000000003</v>
          </cell>
          <cell r="X10185" t="str">
            <v>Variation UPR - gross</v>
          </cell>
          <cell r="Y10185" t="str">
            <v>DENMARK</v>
          </cell>
        </row>
        <row r="10186">
          <cell r="L10186" t="str">
            <v>Non-proportional</v>
          </cell>
          <cell r="S10186">
            <v>-9999.66</v>
          </cell>
          <cell r="X10186" t="str">
            <v>Variation UPR - gross</v>
          </cell>
          <cell r="Y10186" t="str">
            <v>GERMANY</v>
          </cell>
        </row>
        <row r="10187">
          <cell r="L10187" t="str">
            <v>Non-proportional</v>
          </cell>
          <cell r="S10187">
            <v>-1509.09</v>
          </cell>
          <cell r="X10187" t="str">
            <v>Variation UPR - gross</v>
          </cell>
          <cell r="Y10187" t="str">
            <v>GERMANY</v>
          </cell>
        </row>
        <row r="10188">
          <cell r="L10188" t="str">
            <v>Non-proportional</v>
          </cell>
          <cell r="S10188">
            <v>-8625</v>
          </cell>
          <cell r="X10188" t="str">
            <v>Variation UPR - gross</v>
          </cell>
          <cell r="Y10188" t="str">
            <v>GERMANY</v>
          </cell>
        </row>
        <row r="10189">
          <cell r="L10189" t="str">
            <v>Non-proportional</v>
          </cell>
          <cell r="S10189">
            <v>-8999.89</v>
          </cell>
          <cell r="X10189" t="str">
            <v>Variation UPR - gross</v>
          </cell>
          <cell r="Y10189" t="str">
            <v>GERMANY</v>
          </cell>
        </row>
        <row r="10190">
          <cell r="L10190" t="str">
            <v>Non-proportional</v>
          </cell>
          <cell r="S10190">
            <v>-42761.919999999998</v>
          </cell>
          <cell r="X10190" t="str">
            <v>Variation UPR - gross</v>
          </cell>
          <cell r="Y10190" t="str">
            <v>UNITED KINGDOM</v>
          </cell>
        </row>
        <row r="10191">
          <cell r="L10191" t="str">
            <v>Non-proportional</v>
          </cell>
          <cell r="S10191">
            <v>-7192.5</v>
          </cell>
          <cell r="X10191" t="str">
            <v>Variation UPR - gross</v>
          </cell>
          <cell r="Y10191" t="str">
            <v>UNITED KINGDOM</v>
          </cell>
        </row>
        <row r="10192">
          <cell r="L10192" t="str">
            <v>Non-proportional</v>
          </cell>
          <cell r="S10192">
            <v>-2023.82</v>
          </cell>
          <cell r="X10192" t="str">
            <v>Variation UPR - gross</v>
          </cell>
          <cell r="Y10192" t="str">
            <v>JAPAN</v>
          </cell>
        </row>
        <row r="10193">
          <cell r="L10193" t="str">
            <v>Non-proportional</v>
          </cell>
          <cell r="S10193">
            <v>-10974.83</v>
          </cell>
          <cell r="X10193" t="str">
            <v>Variation UPR - gross</v>
          </cell>
          <cell r="Y10193" t="str">
            <v>GERMANY</v>
          </cell>
        </row>
        <row r="10194">
          <cell r="L10194" t="str">
            <v>Non-proportional</v>
          </cell>
          <cell r="S10194">
            <v>-2357.5</v>
          </cell>
          <cell r="X10194" t="str">
            <v>Variation UPR - gross</v>
          </cell>
          <cell r="Y10194" t="str">
            <v>GERMANY</v>
          </cell>
        </row>
        <row r="10195">
          <cell r="L10195" t="str">
            <v>Non-proportional</v>
          </cell>
          <cell r="S10195">
            <v>-3436.97</v>
          </cell>
          <cell r="X10195" t="str">
            <v>Variation UPR - gross</v>
          </cell>
          <cell r="Y10195" t="str">
            <v>EUROPE</v>
          </cell>
        </row>
        <row r="10196">
          <cell r="L10196" t="str">
            <v>Non-proportional</v>
          </cell>
          <cell r="S10196">
            <v>-12215.04</v>
          </cell>
          <cell r="X10196" t="str">
            <v>Variation UPR - gross</v>
          </cell>
          <cell r="Y10196" t="str">
            <v>REPUBLIC OF IRELAND</v>
          </cell>
        </row>
        <row r="10197">
          <cell r="L10197" t="str">
            <v>Non-proportional</v>
          </cell>
          <cell r="S10197">
            <v>-1.41</v>
          </cell>
          <cell r="X10197" t="str">
            <v>Variation UPR - gross</v>
          </cell>
          <cell r="Y10197" t="str">
            <v>DENMARK</v>
          </cell>
        </row>
        <row r="10198">
          <cell r="L10198" t="str">
            <v>Non-proportional</v>
          </cell>
          <cell r="S10198">
            <v>-23854.17</v>
          </cell>
          <cell r="X10198" t="str">
            <v>Variation UPR - gross</v>
          </cell>
          <cell r="Y10198" t="str">
            <v>AUSTRIA</v>
          </cell>
        </row>
        <row r="10199">
          <cell r="L10199" t="str">
            <v>Non-proportional</v>
          </cell>
          <cell r="S10199">
            <v>-2637.27</v>
          </cell>
          <cell r="X10199" t="str">
            <v>Variation UPR - gross</v>
          </cell>
          <cell r="Y10199" t="str">
            <v>GERMANY</v>
          </cell>
        </row>
        <row r="10200">
          <cell r="L10200" t="str">
            <v>Non-proportional</v>
          </cell>
          <cell r="S10200">
            <v>-9751.23</v>
          </cell>
          <cell r="X10200" t="str">
            <v>Variation UPR - gross</v>
          </cell>
          <cell r="Y10200" t="str">
            <v>GERMANY</v>
          </cell>
        </row>
        <row r="10201">
          <cell r="L10201" t="str">
            <v>Non-proportional</v>
          </cell>
          <cell r="S10201">
            <v>112125</v>
          </cell>
          <cell r="X10201" t="str">
            <v>Variation UPR - gross</v>
          </cell>
          <cell r="Y10201" t="str">
            <v>GERMANY</v>
          </cell>
        </row>
        <row r="10202">
          <cell r="L10202" t="str">
            <v>Non-proportional</v>
          </cell>
          <cell r="S10202">
            <v>-3532.13</v>
          </cell>
          <cell r="X10202" t="str">
            <v>Variation UPR - gross</v>
          </cell>
          <cell r="Y10202" t="str">
            <v>FAROE ISLANDS</v>
          </cell>
        </row>
        <row r="10203">
          <cell r="L10203" t="str">
            <v>Non-proportional</v>
          </cell>
          <cell r="S10203">
            <v>-4274.08</v>
          </cell>
          <cell r="X10203" t="str">
            <v>Variation UPR - gross</v>
          </cell>
          <cell r="Y10203" t="str">
            <v>GERMANY</v>
          </cell>
        </row>
        <row r="10204">
          <cell r="L10204" t="str">
            <v>Non-proportional</v>
          </cell>
          <cell r="S10204">
            <v>-10594.94</v>
          </cell>
          <cell r="X10204" t="str">
            <v>Variation UPR - gross</v>
          </cell>
          <cell r="Y10204" t="str">
            <v>GERMANY</v>
          </cell>
        </row>
        <row r="10205">
          <cell r="L10205" t="str">
            <v>Non-proportional</v>
          </cell>
          <cell r="S10205">
            <v>-7501.57</v>
          </cell>
          <cell r="X10205" t="str">
            <v>Variation UPR - gross</v>
          </cell>
          <cell r="Y10205" t="str">
            <v>GERMANY</v>
          </cell>
        </row>
        <row r="10206">
          <cell r="L10206" t="str">
            <v>Non-proportional</v>
          </cell>
          <cell r="S10206">
            <v>-11700</v>
          </cell>
          <cell r="X10206" t="str">
            <v>Variation UPR - gross</v>
          </cell>
          <cell r="Y10206" t="str">
            <v>GERMANY</v>
          </cell>
        </row>
        <row r="10207">
          <cell r="L10207" t="str">
            <v>Non-proportional</v>
          </cell>
          <cell r="S10207">
            <v>-325771.65999999997</v>
          </cell>
          <cell r="X10207" t="str">
            <v>Variation UPR - gross</v>
          </cell>
          <cell r="Y10207" t="str">
            <v>UNITED KINGDOM</v>
          </cell>
        </row>
        <row r="10208">
          <cell r="L10208" t="str">
            <v>Non-proportional</v>
          </cell>
          <cell r="S10208">
            <v>-17609.03</v>
          </cell>
          <cell r="X10208" t="str">
            <v>Variation UPR - gross</v>
          </cell>
          <cell r="Y10208" t="str">
            <v>AUSTRIA</v>
          </cell>
        </row>
        <row r="10209">
          <cell r="L10209" t="str">
            <v>Non-proportional</v>
          </cell>
          <cell r="S10209">
            <v>-112116.21</v>
          </cell>
          <cell r="X10209" t="str">
            <v>Variation UPR - gross</v>
          </cell>
          <cell r="Y10209" t="str">
            <v>UNITED KINGDOM</v>
          </cell>
        </row>
        <row r="10210">
          <cell r="L10210" t="str">
            <v>Non-proportional</v>
          </cell>
          <cell r="S10210">
            <v>-2083.33</v>
          </cell>
          <cell r="X10210" t="str">
            <v>Variation UPR - gross</v>
          </cell>
          <cell r="Y10210" t="str">
            <v>GERMANY</v>
          </cell>
        </row>
        <row r="10211">
          <cell r="L10211" t="str">
            <v>Non-proportional</v>
          </cell>
          <cell r="S10211">
            <v>-1401.66</v>
          </cell>
          <cell r="X10211" t="str">
            <v>Variation UPR - gross</v>
          </cell>
          <cell r="Y10211" t="str">
            <v>GERMANY</v>
          </cell>
        </row>
        <row r="10212">
          <cell r="L10212" t="str">
            <v>Non-proportional</v>
          </cell>
          <cell r="S10212">
            <v>-4023.37</v>
          </cell>
          <cell r="X10212" t="str">
            <v>Variation UPR - gross</v>
          </cell>
          <cell r="Y10212" t="str">
            <v>NORWAY</v>
          </cell>
        </row>
        <row r="10213">
          <cell r="L10213" t="str">
            <v>Non-proportional</v>
          </cell>
          <cell r="S10213">
            <v>-781.79</v>
          </cell>
          <cell r="X10213" t="str">
            <v>Variation UPR - gross</v>
          </cell>
          <cell r="Y10213" t="str">
            <v>DENMARK</v>
          </cell>
        </row>
        <row r="10214">
          <cell r="L10214" t="str">
            <v>Non-proportional</v>
          </cell>
          <cell r="S10214">
            <v>-173515.54</v>
          </cell>
          <cell r="X10214" t="str">
            <v>Variation UPR - gross</v>
          </cell>
          <cell r="Y10214" t="str">
            <v>UNITED KINGDOM</v>
          </cell>
        </row>
        <row r="10215">
          <cell r="L10215" t="str">
            <v>Non-proportional</v>
          </cell>
          <cell r="S10215">
            <v>-3291.99</v>
          </cell>
          <cell r="X10215" t="str">
            <v>Variation UPR - gross</v>
          </cell>
          <cell r="Y10215" t="str">
            <v>UNITED KINGDOM</v>
          </cell>
        </row>
        <row r="10216">
          <cell r="L10216" t="str">
            <v>Non-proportional</v>
          </cell>
          <cell r="S10216">
            <v>-2816.19</v>
          </cell>
          <cell r="X10216" t="str">
            <v>Variation UPR - gross</v>
          </cell>
          <cell r="Y10216" t="str">
            <v>FRANCE</v>
          </cell>
        </row>
        <row r="10217">
          <cell r="L10217" t="str">
            <v>Non-proportional</v>
          </cell>
          <cell r="S10217">
            <v>-11.34</v>
          </cell>
          <cell r="X10217" t="str">
            <v>Variation UPR - gross</v>
          </cell>
          <cell r="Y10217" t="str">
            <v>NORWAY</v>
          </cell>
        </row>
        <row r="10218">
          <cell r="L10218" t="str">
            <v>Non-proportional</v>
          </cell>
          <cell r="S10218">
            <v>-12285.62</v>
          </cell>
          <cell r="X10218" t="str">
            <v>Variation UPR - gross</v>
          </cell>
          <cell r="Y10218" t="str">
            <v>DENMARK</v>
          </cell>
        </row>
        <row r="10219">
          <cell r="L10219" t="str">
            <v>Non-proportional</v>
          </cell>
          <cell r="S10219">
            <v>-750</v>
          </cell>
          <cell r="X10219" t="str">
            <v>Variation UPR - gross</v>
          </cell>
          <cell r="Y10219" t="str">
            <v>GERMANY</v>
          </cell>
        </row>
        <row r="10220">
          <cell r="L10220" t="str">
            <v>Non-proportional</v>
          </cell>
          <cell r="S10220">
            <v>-7604.21</v>
          </cell>
          <cell r="X10220" t="str">
            <v>Variation UPR - gross</v>
          </cell>
          <cell r="Y10220" t="str">
            <v>GERMANY</v>
          </cell>
        </row>
        <row r="10221">
          <cell r="L10221" t="str">
            <v>Non-proportional</v>
          </cell>
          <cell r="S10221">
            <v>-451.25</v>
          </cell>
          <cell r="X10221" t="str">
            <v>Variation UPR - gross</v>
          </cell>
          <cell r="Y10221" t="str">
            <v>ITALY</v>
          </cell>
        </row>
        <row r="10222">
          <cell r="L10222" t="str">
            <v>Non-proportional</v>
          </cell>
          <cell r="S10222">
            <v>-1938.89</v>
          </cell>
          <cell r="X10222" t="str">
            <v>Variation UPR - gross</v>
          </cell>
          <cell r="Y10222" t="str">
            <v>REPUBLIC OF IRELAND</v>
          </cell>
        </row>
        <row r="10223">
          <cell r="L10223" t="str">
            <v>Non-proportional</v>
          </cell>
          <cell r="S10223">
            <v>-12274.95</v>
          </cell>
          <cell r="X10223" t="str">
            <v>Variation UPR - gross</v>
          </cell>
          <cell r="Y10223" t="str">
            <v>UNITED KINGDOM</v>
          </cell>
        </row>
        <row r="10224">
          <cell r="L10224" t="str">
            <v>Non-proportional</v>
          </cell>
          <cell r="S10224">
            <v>-5467.12</v>
          </cell>
          <cell r="X10224" t="str">
            <v>Variation UPR - gross</v>
          </cell>
          <cell r="Y10224" t="str">
            <v>EIRE</v>
          </cell>
        </row>
        <row r="10225">
          <cell r="L10225" t="str">
            <v>Non-proportional</v>
          </cell>
          <cell r="S10225">
            <v>-9382.18</v>
          </cell>
          <cell r="X10225" t="str">
            <v>Variation UPR - gross</v>
          </cell>
          <cell r="Y10225" t="str">
            <v>UNITED KINGDOM</v>
          </cell>
        </row>
        <row r="10226">
          <cell r="L10226" t="str">
            <v>Non-proportional</v>
          </cell>
          <cell r="S10226">
            <v>-3333.42</v>
          </cell>
          <cell r="X10226" t="str">
            <v>Variation UPR - gross</v>
          </cell>
          <cell r="Y10226" t="str">
            <v>ITALY</v>
          </cell>
        </row>
        <row r="10227">
          <cell r="L10227" t="str">
            <v>Non-proportional</v>
          </cell>
          <cell r="S10227">
            <v>-28050.78</v>
          </cell>
          <cell r="X10227" t="str">
            <v>Variation UPR - gross</v>
          </cell>
          <cell r="Y10227" t="str">
            <v>UNITED KINGDOM</v>
          </cell>
        </row>
        <row r="10228">
          <cell r="L10228" t="str">
            <v>Non-proportional</v>
          </cell>
          <cell r="S10228">
            <v>-743.19</v>
          </cell>
          <cell r="X10228" t="str">
            <v>Variation UPR - gross</v>
          </cell>
          <cell r="Y10228" t="str">
            <v>SWITZERLAND</v>
          </cell>
        </row>
        <row r="10229">
          <cell r="L10229" t="str">
            <v>Non-proportional</v>
          </cell>
          <cell r="S10229">
            <v>4.1500000000000004</v>
          </cell>
          <cell r="X10229" t="str">
            <v>Variation UPR - gross</v>
          </cell>
          <cell r="Y10229" t="str">
            <v>DENMARK</v>
          </cell>
        </row>
        <row r="10230">
          <cell r="L10230" t="str">
            <v>Non-proportional</v>
          </cell>
          <cell r="S10230">
            <v>-3375</v>
          </cell>
          <cell r="X10230" t="str">
            <v>Variation UPR - gross</v>
          </cell>
          <cell r="Y10230" t="str">
            <v>GERMANY</v>
          </cell>
        </row>
        <row r="10231">
          <cell r="L10231" t="str">
            <v>Non-proportional</v>
          </cell>
          <cell r="S10231">
            <v>-756.31</v>
          </cell>
          <cell r="X10231" t="str">
            <v>Variation UPR - gross</v>
          </cell>
          <cell r="Y10231" t="str">
            <v>JAPAN</v>
          </cell>
        </row>
        <row r="10232">
          <cell r="L10232" t="str">
            <v>Non-proportional</v>
          </cell>
          <cell r="S10232">
            <v>-3143.33</v>
          </cell>
          <cell r="X10232" t="str">
            <v>Variation UPR - gross</v>
          </cell>
          <cell r="Y10232" t="str">
            <v>GERMANY</v>
          </cell>
        </row>
        <row r="10233">
          <cell r="L10233" t="str">
            <v>Non-proportional</v>
          </cell>
          <cell r="S10233">
            <v>-11882.26</v>
          </cell>
          <cell r="X10233" t="str">
            <v>Variation UPR - gross</v>
          </cell>
          <cell r="Y10233" t="str">
            <v>EUROPE</v>
          </cell>
        </row>
        <row r="10234">
          <cell r="L10234" t="str">
            <v>Non-proportional</v>
          </cell>
          <cell r="S10234">
            <v>-59808.13</v>
          </cell>
          <cell r="X10234" t="str">
            <v>Variation UPR - gross</v>
          </cell>
          <cell r="Y10234" t="str">
            <v>UNITED KINGDOM</v>
          </cell>
        </row>
        <row r="10235">
          <cell r="L10235" t="str">
            <v>Non-proportional</v>
          </cell>
          <cell r="S10235">
            <v>-29728.09</v>
          </cell>
          <cell r="X10235" t="str">
            <v>Variation UPR - gross</v>
          </cell>
          <cell r="Y10235" t="str">
            <v>UNITED KINGDOM</v>
          </cell>
        </row>
        <row r="10236">
          <cell r="L10236" t="str">
            <v>Non-proportional</v>
          </cell>
          <cell r="S10236">
            <v>-26930.15</v>
          </cell>
          <cell r="X10236" t="str">
            <v>Variation UPR - gross</v>
          </cell>
          <cell r="Y10236" t="str">
            <v>UNITED KINGDOM</v>
          </cell>
        </row>
        <row r="10237">
          <cell r="L10237" t="str">
            <v>Non-proportional</v>
          </cell>
          <cell r="S10237">
            <v>-10209.379999999999</v>
          </cell>
          <cell r="X10237" t="str">
            <v>Variation UPR - gross</v>
          </cell>
          <cell r="Y10237" t="str">
            <v>GERMANY</v>
          </cell>
        </row>
        <row r="10238">
          <cell r="L10238" t="str">
            <v>Non-proportional</v>
          </cell>
          <cell r="S10238">
            <v>-12684.51</v>
          </cell>
          <cell r="X10238" t="str">
            <v>Variation UPR - gross</v>
          </cell>
          <cell r="Y10238" t="str">
            <v>SWEDEN</v>
          </cell>
        </row>
        <row r="10239">
          <cell r="L10239" t="str">
            <v>Non-proportional</v>
          </cell>
          <cell r="S10239">
            <v>-1180.3599999999999</v>
          </cell>
          <cell r="X10239" t="str">
            <v>Variation UPR - gross</v>
          </cell>
          <cell r="Y10239" t="str">
            <v>SWITZERLAND</v>
          </cell>
        </row>
        <row r="10240">
          <cell r="L10240" t="str">
            <v>Non-proportional</v>
          </cell>
          <cell r="S10240">
            <v>-6342.8</v>
          </cell>
          <cell r="X10240" t="str">
            <v>Variation UPR - gross</v>
          </cell>
          <cell r="Y10240" t="str">
            <v>SWEDEN</v>
          </cell>
        </row>
        <row r="10241">
          <cell r="L10241" t="str">
            <v>Non-proportional</v>
          </cell>
          <cell r="S10241">
            <v>5.29</v>
          </cell>
          <cell r="X10241" t="str">
            <v>Variation UPR - gross</v>
          </cell>
          <cell r="Y10241" t="str">
            <v>SWEDEN</v>
          </cell>
        </row>
        <row r="10242">
          <cell r="L10242" t="str">
            <v>Non-proportional</v>
          </cell>
          <cell r="S10242">
            <v>-3083.39</v>
          </cell>
          <cell r="X10242" t="str">
            <v>Variation UPR - gross</v>
          </cell>
          <cell r="Y10242" t="str">
            <v>EUROPE</v>
          </cell>
        </row>
        <row r="10243">
          <cell r="L10243" t="str">
            <v>Non-proportional</v>
          </cell>
          <cell r="S10243">
            <v>-12569.43</v>
          </cell>
          <cell r="X10243" t="str">
            <v>Variation UPR - gross</v>
          </cell>
          <cell r="Y10243" t="str">
            <v>UNITED KINGDOM</v>
          </cell>
        </row>
        <row r="10244">
          <cell r="L10244" t="str">
            <v>Non-proportional</v>
          </cell>
          <cell r="S10244">
            <v>-9407</v>
          </cell>
          <cell r="X10244" t="str">
            <v>Variation UPR - gross</v>
          </cell>
          <cell r="Y10244" t="str">
            <v>GERMANY</v>
          </cell>
        </row>
        <row r="10245">
          <cell r="L10245" t="str">
            <v>Non-proportional</v>
          </cell>
          <cell r="S10245">
            <v>-14120</v>
          </cell>
          <cell r="X10245" t="str">
            <v>Variation UPR - gross</v>
          </cell>
          <cell r="Y10245" t="str">
            <v>AUSTRIA</v>
          </cell>
        </row>
        <row r="10246">
          <cell r="L10246" t="str">
            <v>Non-proportional</v>
          </cell>
          <cell r="S10246">
            <v>-21858.49</v>
          </cell>
          <cell r="X10246" t="str">
            <v>Variation UPR - gross</v>
          </cell>
          <cell r="Y10246" t="str">
            <v>SWITZERLAND</v>
          </cell>
        </row>
        <row r="10247">
          <cell r="L10247" t="str">
            <v>Non-proportional</v>
          </cell>
          <cell r="S10247">
            <v>-1279.43</v>
          </cell>
          <cell r="X10247" t="str">
            <v>Variation UPR - gross</v>
          </cell>
          <cell r="Y10247" t="str">
            <v>FRANCE</v>
          </cell>
        </row>
        <row r="10248">
          <cell r="L10248" t="str">
            <v>Non-proportional</v>
          </cell>
          <cell r="S10248">
            <v>-4826.3599999999997</v>
          </cell>
          <cell r="X10248" t="str">
            <v>Variation UPR - gross</v>
          </cell>
          <cell r="Y10248" t="str">
            <v>SWITZERLAND</v>
          </cell>
        </row>
        <row r="10249">
          <cell r="L10249" t="str">
            <v>Non-proportional</v>
          </cell>
          <cell r="S10249">
            <v>-893.95</v>
          </cell>
          <cell r="X10249" t="str">
            <v>Variation UPR - gross</v>
          </cell>
          <cell r="Y10249" t="str">
            <v>DENMARK</v>
          </cell>
        </row>
        <row r="10250">
          <cell r="L10250" t="str">
            <v>Non-proportional</v>
          </cell>
          <cell r="S10250">
            <v>0.01</v>
          </cell>
          <cell r="X10250" t="str">
            <v>Variation UPR - gross</v>
          </cell>
          <cell r="Y10250" t="str">
            <v>ICELAND</v>
          </cell>
        </row>
        <row r="10251">
          <cell r="L10251" t="str">
            <v>Non-proportional</v>
          </cell>
          <cell r="S10251">
            <v>-10425.780000000001</v>
          </cell>
          <cell r="X10251" t="str">
            <v>Variation UPR - gross</v>
          </cell>
          <cell r="Y10251" t="str">
            <v>FRANCE</v>
          </cell>
        </row>
        <row r="10252">
          <cell r="L10252" t="str">
            <v>Non-proportional</v>
          </cell>
          <cell r="S10252">
            <v>-8844.9</v>
          </cell>
          <cell r="X10252" t="str">
            <v>Variation UPR - gross</v>
          </cell>
          <cell r="Y10252" t="str">
            <v>GERMANY</v>
          </cell>
        </row>
        <row r="10253">
          <cell r="L10253" t="str">
            <v>Non-proportional</v>
          </cell>
          <cell r="S10253">
            <v>-3329.84</v>
          </cell>
          <cell r="X10253" t="str">
            <v>Variation UPR - gross</v>
          </cell>
          <cell r="Y10253" t="str">
            <v>GERMANY</v>
          </cell>
        </row>
        <row r="10254">
          <cell r="L10254" t="str">
            <v>Non-proportional</v>
          </cell>
          <cell r="S10254">
            <v>-31405.55</v>
          </cell>
          <cell r="X10254" t="str">
            <v>Variation UPR - gross</v>
          </cell>
          <cell r="Y10254" t="str">
            <v>UNITED KINGDOM</v>
          </cell>
        </row>
        <row r="10255">
          <cell r="L10255" t="str">
            <v>Non-proportional</v>
          </cell>
          <cell r="S10255">
            <v>-18706.169999999998</v>
          </cell>
          <cell r="X10255" t="str">
            <v>Variation UPR - gross</v>
          </cell>
          <cell r="Y10255" t="str">
            <v>GERMANY</v>
          </cell>
        </row>
        <row r="10256">
          <cell r="L10256" t="str">
            <v>Non-proportional</v>
          </cell>
          <cell r="S10256">
            <v>-23058.97</v>
          </cell>
          <cell r="X10256" t="str">
            <v>Variation UPR - gross</v>
          </cell>
          <cell r="Y10256" t="str">
            <v>FRANCE</v>
          </cell>
        </row>
        <row r="10257">
          <cell r="L10257" t="str">
            <v>Non-proportional</v>
          </cell>
          <cell r="S10257">
            <v>-4459.99</v>
          </cell>
          <cell r="X10257" t="str">
            <v>Variation UPR - gross</v>
          </cell>
          <cell r="Y10257" t="str">
            <v>DENMARK</v>
          </cell>
        </row>
        <row r="10258">
          <cell r="L10258" t="str">
            <v>Non-proportional</v>
          </cell>
          <cell r="S10258">
            <v>-9128.9599999999991</v>
          </cell>
          <cell r="X10258" t="str">
            <v>Variation UPR - gross</v>
          </cell>
          <cell r="Y10258" t="str">
            <v>GERMANY</v>
          </cell>
        </row>
        <row r="10259">
          <cell r="L10259" t="str">
            <v>Non-proportional</v>
          </cell>
          <cell r="S10259">
            <v>-16399</v>
          </cell>
          <cell r="X10259" t="str">
            <v>Variation UPR - gross</v>
          </cell>
          <cell r="Y10259" t="str">
            <v>UNITED KINGDOM</v>
          </cell>
        </row>
        <row r="10260">
          <cell r="L10260" t="str">
            <v>Non-proportional</v>
          </cell>
          <cell r="S10260">
            <v>-286196.94</v>
          </cell>
          <cell r="X10260" t="str">
            <v>Variation UPR - gross</v>
          </cell>
          <cell r="Y10260" t="str">
            <v>UNITED KINGDOM</v>
          </cell>
        </row>
        <row r="10261">
          <cell r="L10261" t="str">
            <v>Non-proportional</v>
          </cell>
          <cell r="S10261">
            <v>10.58</v>
          </cell>
          <cell r="X10261" t="str">
            <v>Variation UPR - gross</v>
          </cell>
          <cell r="Y10261" t="str">
            <v>SWEDEN</v>
          </cell>
        </row>
        <row r="10262">
          <cell r="L10262" t="str">
            <v>Non-proportional</v>
          </cell>
          <cell r="S10262">
            <v>-18973.75</v>
          </cell>
          <cell r="X10262" t="str">
            <v>Variation UPR - gross</v>
          </cell>
          <cell r="Y10262" t="str">
            <v>AUSTRIA</v>
          </cell>
        </row>
        <row r="10263">
          <cell r="L10263" t="str">
            <v>Non-proportional</v>
          </cell>
          <cell r="S10263">
            <v>-5717.64</v>
          </cell>
          <cell r="X10263" t="str">
            <v>Variation UPR - gross</v>
          </cell>
          <cell r="Y10263" t="str">
            <v>GERMANY</v>
          </cell>
        </row>
        <row r="10264">
          <cell r="L10264" t="str">
            <v>Non-proportional</v>
          </cell>
          <cell r="S10264">
            <v>-14058.31</v>
          </cell>
          <cell r="X10264" t="str">
            <v>Variation UPR - gross</v>
          </cell>
          <cell r="Y10264" t="str">
            <v>EIRE</v>
          </cell>
        </row>
        <row r="10265">
          <cell r="L10265" t="str">
            <v>Non-proportional</v>
          </cell>
          <cell r="S10265">
            <v>-16787.330000000002</v>
          </cell>
          <cell r="X10265" t="str">
            <v>Variation UPR - gross</v>
          </cell>
          <cell r="Y10265" t="str">
            <v>SWITZERLAND</v>
          </cell>
        </row>
        <row r="10266">
          <cell r="L10266" t="str">
            <v>Non-proportional</v>
          </cell>
          <cell r="S10266">
            <v>-8072.83</v>
          </cell>
          <cell r="X10266" t="str">
            <v>Variation UPR - gross</v>
          </cell>
          <cell r="Y10266" t="str">
            <v>GERMANY</v>
          </cell>
        </row>
        <row r="10267">
          <cell r="L10267" t="str">
            <v>Non-proportional</v>
          </cell>
          <cell r="S10267">
            <v>-5362.5</v>
          </cell>
          <cell r="X10267" t="str">
            <v>Variation UPR - gross</v>
          </cell>
          <cell r="Y10267" t="str">
            <v>GERMANY</v>
          </cell>
        </row>
        <row r="10268">
          <cell r="L10268" t="str">
            <v>Non-proportional</v>
          </cell>
          <cell r="S10268">
            <v>-16.22</v>
          </cell>
          <cell r="X10268" t="str">
            <v>Variation UPR - gross</v>
          </cell>
          <cell r="Y10268" t="str">
            <v>NORWAY</v>
          </cell>
        </row>
        <row r="10269">
          <cell r="L10269" t="str">
            <v>Non-proportional</v>
          </cell>
          <cell r="S10269">
            <v>-28483.88</v>
          </cell>
          <cell r="X10269" t="str">
            <v>Variation UPR - gross</v>
          </cell>
          <cell r="Y10269" t="str">
            <v>UNITED KINGDOM</v>
          </cell>
        </row>
        <row r="10270">
          <cell r="L10270" t="str">
            <v>Non-proportional</v>
          </cell>
          <cell r="S10270">
            <v>-11825.5</v>
          </cell>
          <cell r="X10270" t="str">
            <v>Variation UPR - gross</v>
          </cell>
          <cell r="Y10270" t="str">
            <v>AUSTRIA</v>
          </cell>
        </row>
        <row r="10271">
          <cell r="L10271" t="str">
            <v>Non-proportional</v>
          </cell>
          <cell r="S10271">
            <v>-15329.19</v>
          </cell>
          <cell r="X10271" t="str">
            <v>Variation UPR - gross</v>
          </cell>
          <cell r="Y10271" t="str">
            <v>ITALY</v>
          </cell>
        </row>
        <row r="10272">
          <cell r="L10272" t="str">
            <v>Non-proportional</v>
          </cell>
          <cell r="S10272">
            <v>-11.34</v>
          </cell>
          <cell r="X10272" t="str">
            <v>Variation UPR - gross</v>
          </cell>
          <cell r="Y10272" t="str">
            <v>JAPAN</v>
          </cell>
        </row>
        <row r="10273">
          <cell r="L10273" t="str">
            <v>Non-proportional</v>
          </cell>
          <cell r="S10273">
            <v>-135296.17000000001</v>
          </cell>
          <cell r="X10273" t="str">
            <v>Variation UPR - gross</v>
          </cell>
          <cell r="Y10273" t="str">
            <v>UNITED KINGDOM</v>
          </cell>
        </row>
        <row r="10274">
          <cell r="L10274" t="str">
            <v>Non-proportional</v>
          </cell>
          <cell r="S10274">
            <v>-8696.8799999999992</v>
          </cell>
          <cell r="X10274" t="str">
            <v>Variation UPR - gross</v>
          </cell>
          <cell r="Y10274" t="str">
            <v>GERMANY</v>
          </cell>
        </row>
        <row r="10275">
          <cell r="L10275" t="str">
            <v>Non-proportional</v>
          </cell>
          <cell r="S10275">
            <v>-14632</v>
          </cell>
          <cell r="X10275" t="str">
            <v>Variation UPR - gross</v>
          </cell>
          <cell r="Y10275" t="str">
            <v>GERMANY</v>
          </cell>
        </row>
        <row r="10276">
          <cell r="L10276" t="str">
            <v>Non-proportional</v>
          </cell>
          <cell r="S10276">
            <v>-9090.39</v>
          </cell>
          <cell r="X10276" t="str">
            <v>Variation UPR - gross</v>
          </cell>
          <cell r="Y10276" t="str">
            <v>UNITED KINGDOM</v>
          </cell>
        </row>
        <row r="10277">
          <cell r="L10277" t="str">
            <v>Non-proportional</v>
          </cell>
          <cell r="S10277">
            <v>-40903.5</v>
          </cell>
          <cell r="X10277" t="str">
            <v>Variation UPR - gross</v>
          </cell>
          <cell r="Y10277" t="str">
            <v>GERMANY</v>
          </cell>
        </row>
        <row r="10278">
          <cell r="L10278" t="str">
            <v>Non-proportional</v>
          </cell>
          <cell r="S10278">
            <v>62291.66</v>
          </cell>
          <cell r="X10278" t="str">
            <v>Variation UPR - gross</v>
          </cell>
          <cell r="Y10278" t="str">
            <v>GERMANY</v>
          </cell>
        </row>
        <row r="10279">
          <cell r="L10279" t="str">
            <v>Non-proportional</v>
          </cell>
          <cell r="S10279">
            <v>-13502.44</v>
          </cell>
          <cell r="X10279" t="str">
            <v>Variation UPR - gross</v>
          </cell>
          <cell r="Y10279" t="str">
            <v>UNITED KINGDOM</v>
          </cell>
        </row>
        <row r="10280">
          <cell r="L10280" t="str">
            <v>Non-proportional</v>
          </cell>
          <cell r="S10280">
            <v>-3512</v>
          </cell>
          <cell r="X10280" t="str">
            <v>Variation UPR - gross</v>
          </cell>
          <cell r="Y10280" t="str">
            <v>SPAIN</v>
          </cell>
        </row>
        <row r="10281">
          <cell r="L10281" t="str">
            <v>Non-proportional</v>
          </cell>
          <cell r="S10281">
            <v>-6998</v>
          </cell>
          <cell r="X10281" t="str">
            <v>Variation UPR - gross</v>
          </cell>
          <cell r="Y10281" t="str">
            <v>AUSTRIA</v>
          </cell>
        </row>
        <row r="10282">
          <cell r="L10282" t="str">
            <v>Non-proportional</v>
          </cell>
          <cell r="S10282">
            <v>-16643.64</v>
          </cell>
          <cell r="X10282" t="str">
            <v>Variation UPR - gross</v>
          </cell>
          <cell r="Y10282" t="str">
            <v>FRANCE</v>
          </cell>
        </row>
        <row r="10283">
          <cell r="L10283" t="str">
            <v>Non-proportional</v>
          </cell>
          <cell r="S10283">
            <v>2.35</v>
          </cell>
          <cell r="X10283" t="str">
            <v>Variation UPR - gross</v>
          </cell>
          <cell r="Y10283" t="str">
            <v>DENMARK</v>
          </cell>
        </row>
        <row r="10284">
          <cell r="L10284" t="str">
            <v>Non-proportional</v>
          </cell>
          <cell r="S10284">
            <v>-20707.14</v>
          </cell>
          <cell r="X10284" t="str">
            <v>Variation UPR - gross</v>
          </cell>
          <cell r="Y10284" t="str">
            <v>EUROPE</v>
          </cell>
        </row>
        <row r="10285">
          <cell r="L10285" t="str">
            <v>Non-proportional</v>
          </cell>
          <cell r="S10285">
            <v>3.79</v>
          </cell>
          <cell r="X10285" t="str">
            <v>Variation UPR - gross</v>
          </cell>
          <cell r="Y10285" t="str">
            <v>DENMARK</v>
          </cell>
        </row>
        <row r="10286">
          <cell r="L10286" t="str">
            <v>Non-proportional</v>
          </cell>
          <cell r="S10286">
            <v>-7945.68</v>
          </cell>
          <cell r="X10286" t="str">
            <v>Variation UPR - gross</v>
          </cell>
          <cell r="Y10286" t="str">
            <v>UNITED KINGDOM</v>
          </cell>
        </row>
        <row r="10287">
          <cell r="L10287" t="str">
            <v>Non-proportional</v>
          </cell>
          <cell r="S10287">
            <v>-39961.699999999997</v>
          </cell>
          <cell r="X10287" t="str">
            <v>Variation UPR - gross</v>
          </cell>
          <cell r="Y10287" t="str">
            <v>SWITZERLAND</v>
          </cell>
        </row>
        <row r="10288">
          <cell r="L10288" t="str">
            <v>Non-proportional</v>
          </cell>
          <cell r="S10288">
            <v>-270.67</v>
          </cell>
          <cell r="X10288" t="str">
            <v>Variation UPR - gross</v>
          </cell>
          <cell r="Y10288" t="str">
            <v>ITALY</v>
          </cell>
        </row>
        <row r="10289">
          <cell r="L10289" t="str">
            <v>Non-proportional</v>
          </cell>
          <cell r="S10289">
            <v>-18.28</v>
          </cell>
          <cell r="X10289" t="str">
            <v>Variation UPR - gross</v>
          </cell>
          <cell r="Y10289" t="str">
            <v>EUROPE</v>
          </cell>
        </row>
        <row r="10290">
          <cell r="L10290" t="str">
            <v>Non-proportional</v>
          </cell>
          <cell r="S10290">
            <v>-1122.3</v>
          </cell>
          <cell r="X10290" t="str">
            <v>Variation UPR - gross</v>
          </cell>
          <cell r="Y10290" t="str">
            <v>ITALY</v>
          </cell>
        </row>
        <row r="10291">
          <cell r="L10291" t="str">
            <v>Non-proportional</v>
          </cell>
          <cell r="S10291">
            <v>-3503.86</v>
          </cell>
          <cell r="X10291" t="str">
            <v>Variation UPR - gross</v>
          </cell>
          <cell r="Y10291" t="str">
            <v>ICELAND</v>
          </cell>
        </row>
        <row r="10292">
          <cell r="L10292" t="str">
            <v>Non-proportional</v>
          </cell>
          <cell r="S10292">
            <v>2.83</v>
          </cell>
          <cell r="X10292" t="str">
            <v>Variation UPR - gross</v>
          </cell>
          <cell r="Y10292" t="str">
            <v>DENMARK</v>
          </cell>
        </row>
        <row r="10293">
          <cell r="L10293" t="str">
            <v>Non-proportional</v>
          </cell>
          <cell r="S10293">
            <v>4.91</v>
          </cell>
          <cell r="X10293" t="str">
            <v>Variation UPR - gross</v>
          </cell>
          <cell r="Y10293" t="str">
            <v>SWEDEN</v>
          </cell>
        </row>
        <row r="10294">
          <cell r="L10294" t="str">
            <v>Non-proportional</v>
          </cell>
          <cell r="S10294">
            <v>-40386.26</v>
          </cell>
          <cell r="X10294" t="str">
            <v>Variation UPR - gross</v>
          </cell>
          <cell r="Y10294" t="str">
            <v>UNITED KINGDOM</v>
          </cell>
        </row>
        <row r="10295">
          <cell r="L10295" t="str">
            <v>Non-proportional</v>
          </cell>
          <cell r="S10295">
            <v>-23401.8</v>
          </cell>
          <cell r="X10295" t="str">
            <v>Variation UPR - gross</v>
          </cell>
          <cell r="Y10295" t="str">
            <v>GERMANY</v>
          </cell>
        </row>
        <row r="10296">
          <cell r="L10296" t="str">
            <v>Non-proportional</v>
          </cell>
          <cell r="S10296">
            <v>-12074.88</v>
          </cell>
          <cell r="X10296" t="str">
            <v>Variation UPR - gross</v>
          </cell>
          <cell r="Y10296" t="str">
            <v>FRANCE</v>
          </cell>
        </row>
        <row r="10297">
          <cell r="L10297" t="str">
            <v>Non-proportional</v>
          </cell>
          <cell r="S10297">
            <v>-5369</v>
          </cell>
          <cell r="X10297" t="str">
            <v>Variation UPR - gross</v>
          </cell>
          <cell r="Y10297" t="str">
            <v>GERMANY</v>
          </cell>
        </row>
        <row r="10298">
          <cell r="L10298" t="str">
            <v>Non-proportional</v>
          </cell>
          <cell r="S10298">
            <v>-7747.42</v>
          </cell>
          <cell r="X10298" t="str">
            <v>Variation UPR - gross</v>
          </cell>
          <cell r="Y10298" t="str">
            <v>GERMANY</v>
          </cell>
        </row>
        <row r="10299">
          <cell r="L10299" t="str">
            <v>Non-proportional</v>
          </cell>
          <cell r="S10299">
            <v>-6250</v>
          </cell>
          <cell r="X10299" t="str">
            <v>Variation UPR - gross</v>
          </cell>
          <cell r="Y10299" t="str">
            <v>GERMANY</v>
          </cell>
        </row>
        <row r="10300">
          <cell r="L10300" t="str">
            <v>Non-proportional</v>
          </cell>
          <cell r="S10300">
            <v>0.01</v>
          </cell>
          <cell r="X10300" t="str">
            <v>Variation UPR - gross</v>
          </cell>
          <cell r="Y10300" t="str">
            <v>JAPAN</v>
          </cell>
        </row>
        <row r="10301">
          <cell r="L10301" t="str">
            <v>Non-proportional</v>
          </cell>
          <cell r="S10301">
            <v>-10537.8</v>
          </cell>
          <cell r="X10301" t="str">
            <v>Variation UPR - gross</v>
          </cell>
          <cell r="Y10301" t="str">
            <v>GERMANY</v>
          </cell>
        </row>
        <row r="10302">
          <cell r="L10302" t="str">
            <v>Non-proportional</v>
          </cell>
          <cell r="S10302">
            <v>-20002.47</v>
          </cell>
          <cell r="X10302" t="str">
            <v>Variation UPR - gross</v>
          </cell>
          <cell r="Y10302" t="str">
            <v>CZECH REPUBLIC</v>
          </cell>
        </row>
        <row r="10303">
          <cell r="L10303" t="str">
            <v>Non-proportional</v>
          </cell>
          <cell r="S10303">
            <v>-7895</v>
          </cell>
          <cell r="X10303" t="str">
            <v>Variation UPR - gross</v>
          </cell>
          <cell r="Y10303" t="str">
            <v>DENMARK</v>
          </cell>
        </row>
        <row r="10304">
          <cell r="L10304" t="str">
            <v>Non-proportional</v>
          </cell>
          <cell r="S10304">
            <v>-3497.36</v>
          </cell>
          <cell r="X10304" t="str">
            <v>Variation UPR - gross</v>
          </cell>
          <cell r="Y10304" t="str">
            <v>SWITZERLAND</v>
          </cell>
        </row>
        <row r="10305">
          <cell r="L10305" t="str">
            <v>Non-proportional</v>
          </cell>
          <cell r="S10305">
            <v>-3313.14</v>
          </cell>
          <cell r="X10305" t="str">
            <v>Variation UPR - gross</v>
          </cell>
          <cell r="Y10305" t="str">
            <v>EUROPE</v>
          </cell>
        </row>
        <row r="10306">
          <cell r="L10306" t="str">
            <v>Non-proportional</v>
          </cell>
          <cell r="S10306">
            <v>0.04</v>
          </cell>
          <cell r="X10306" t="str">
            <v>Variation UPR - gross</v>
          </cell>
          <cell r="Y10306" t="str">
            <v>ICELAND</v>
          </cell>
        </row>
        <row r="10307">
          <cell r="L10307" t="str">
            <v>Non-proportional</v>
          </cell>
          <cell r="S10307">
            <v>-11878.32</v>
          </cell>
          <cell r="X10307" t="str">
            <v>Variation UPR - gross</v>
          </cell>
          <cell r="Y10307" t="str">
            <v>UNITED KINGDOM</v>
          </cell>
        </row>
        <row r="10308">
          <cell r="L10308" t="str">
            <v>Non-proportional</v>
          </cell>
          <cell r="S10308">
            <v>-865.58</v>
          </cell>
          <cell r="X10308" t="str">
            <v>Variation UPR - gross</v>
          </cell>
          <cell r="Y10308" t="str">
            <v>ITALY</v>
          </cell>
        </row>
        <row r="10309">
          <cell r="L10309" t="str">
            <v>Non-proportional</v>
          </cell>
          <cell r="S10309">
            <v>-11354.85</v>
          </cell>
          <cell r="X10309" t="str">
            <v>Variation UPR - gross</v>
          </cell>
          <cell r="Y10309" t="str">
            <v>GERMANY</v>
          </cell>
        </row>
        <row r="10310">
          <cell r="L10310" t="str">
            <v>Non-proportional</v>
          </cell>
          <cell r="S10310">
            <v>-8494.48</v>
          </cell>
          <cell r="X10310" t="str">
            <v>Variation UPR - gross</v>
          </cell>
          <cell r="Y10310" t="str">
            <v>GERMANY</v>
          </cell>
        </row>
        <row r="10311">
          <cell r="L10311" t="str">
            <v>Non-proportional</v>
          </cell>
          <cell r="S10311">
            <v>-29416.67</v>
          </cell>
          <cell r="X10311" t="str">
            <v>Variation UPR - gross</v>
          </cell>
          <cell r="Y10311" t="str">
            <v>EUROPE</v>
          </cell>
        </row>
        <row r="10312">
          <cell r="L10312" t="str">
            <v>Non-proportional</v>
          </cell>
          <cell r="S10312">
            <v>-18807.28</v>
          </cell>
          <cell r="X10312" t="str">
            <v>Variation UPR - gross</v>
          </cell>
          <cell r="Y10312" t="str">
            <v>REPUBLIC OF IRELAND</v>
          </cell>
        </row>
        <row r="10313">
          <cell r="L10313" t="str">
            <v>Non-proportional</v>
          </cell>
          <cell r="S10313">
            <v>0.48</v>
          </cell>
          <cell r="X10313" t="str">
            <v>Variation UPR - gross</v>
          </cell>
          <cell r="Y10313" t="str">
            <v>DENMARK</v>
          </cell>
        </row>
        <row r="10314">
          <cell r="L10314" t="str">
            <v>Non-proportional</v>
          </cell>
          <cell r="S10314">
            <v>-81995.02</v>
          </cell>
          <cell r="X10314" t="str">
            <v>Variation UPR - gross</v>
          </cell>
          <cell r="Y10314" t="str">
            <v>UNITED KINGDOM</v>
          </cell>
        </row>
        <row r="10315">
          <cell r="L10315" t="str">
            <v>Non-proportional</v>
          </cell>
          <cell r="S10315">
            <v>2.06</v>
          </cell>
          <cell r="X10315" t="str">
            <v>Variation UPR - gross</v>
          </cell>
          <cell r="Y10315" t="str">
            <v>SWEDEN</v>
          </cell>
        </row>
        <row r="10316">
          <cell r="L10316" t="str">
            <v>Non-proportional</v>
          </cell>
          <cell r="S10316">
            <v>-13399.72</v>
          </cell>
          <cell r="X10316" t="str">
            <v>Variation UPR - gross</v>
          </cell>
          <cell r="Y10316" t="str">
            <v>GERMANY</v>
          </cell>
        </row>
        <row r="10317">
          <cell r="L10317" t="str">
            <v>Non-proportional</v>
          </cell>
          <cell r="S10317">
            <v>-5527.05</v>
          </cell>
          <cell r="X10317" t="str">
            <v>Variation UPR - gross</v>
          </cell>
          <cell r="Y10317" t="str">
            <v>GERMANY</v>
          </cell>
        </row>
        <row r="10318">
          <cell r="L10318" t="str">
            <v>Non-proportional</v>
          </cell>
          <cell r="S10318">
            <v>-10015.08</v>
          </cell>
          <cell r="X10318" t="str">
            <v>Variation UPR - gross</v>
          </cell>
          <cell r="Y10318" t="str">
            <v>AUSTRIA</v>
          </cell>
        </row>
        <row r="10319">
          <cell r="L10319" t="str">
            <v>Non-proportional</v>
          </cell>
          <cell r="S10319">
            <v>-7301.61</v>
          </cell>
          <cell r="X10319" t="str">
            <v>Variation UPR - gross</v>
          </cell>
          <cell r="Y10319" t="str">
            <v>NORWAY</v>
          </cell>
        </row>
        <row r="10320">
          <cell r="L10320" t="str">
            <v>Non-proportional</v>
          </cell>
          <cell r="S10320">
            <v>-5493.18</v>
          </cell>
          <cell r="X10320" t="str">
            <v>Variation UPR - gross</v>
          </cell>
          <cell r="Y10320" t="str">
            <v>FRANCE</v>
          </cell>
        </row>
        <row r="10321">
          <cell r="L10321" t="str">
            <v>Non-proportional</v>
          </cell>
          <cell r="S10321">
            <v>-8322.82</v>
          </cell>
          <cell r="X10321" t="str">
            <v>Variation UPR - gross</v>
          </cell>
          <cell r="Y10321" t="str">
            <v>GERMANY</v>
          </cell>
        </row>
        <row r="10322">
          <cell r="L10322" t="str">
            <v>Non-proportional</v>
          </cell>
          <cell r="S10322">
            <v>-351.66</v>
          </cell>
          <cell r="X10322" t="str">
            <v>Variation UPR - gross</v>
          </cell>
          <cell r="Y10322" t="str">
            <v>GERMANY</v>
          </cell>
        </row>
        <row r="10323">
          <cell r="L10323" t="str">
            <v>Non-proportional</v>
          </cell>
          <cell r="S10323">
            <v>-3107.33</v>
          </cell>
          <cell r="X10323" t="str">
            <v>Variation UPR - gross</v>
          </cell>
          <cell r="Y10323" t="str">
            <v>GERMANY</v>
          </cell>
        </row>
        <row r="10324">
          <cell r="L10324" t="str">
            <v>Non-proportional</v>
          </cell>
          <cell r="S10324">
            <v>-43236.75</v>
          </cell>
          <cell r="X10324" t="str">
            <v>Variation UPR - gross</v>
          </cell>
          <cell r="Y10324" t="str">
            <v>UNITED KINGDOM</v>
          </cell>
        </row>
        <row r="10325">
          <cell r="L10325" t="str">
            <v>Non-proportional</v>
          </cell>
          <cell r="S10325">
            <v>-175.18</v>
          </cell>
          <cell r="X10325" t="str">
            <v>Variation UPR - gross</v>
          </cell>
          <cell r="Y10325" t="str">
            <v>ITALY</v>
          </cell>
        </row>
        <row r="10326">
          <cell r="L10326" t="str">
            <v>Non-proportional</v>
          </cell>
          <cell r="S10326">
            <v>-5005.8</v>
          </cell>
          <cell r="X10326" t="str">
            <v>Variation UPR - gross</v>
          </cell>
          <cell r="Y10326" t="str">
            <v>FRANCE</v>
          </cell>
        </row>
        <row r="10327">
          <cell r="L10327" t="str">
            <v>Non-proportional</v>
          </cell>
          <cell r="S10327">
            <v>-4511.3999999999996</v>
          </cell>
          <cell r="X10327" t="str">
            <v>Variation UPR - gross</v>
          </cell>
          <cell r="Y10327" t="str">
            <v>AUSTRIA</v>
          </cell>
        </row>
        <row r="10328">
          <cell r="L10328" t="str">
            <v>Non-proportional</v>
          </cell>
          <cell r="S10328">
            <v>-3153.47</v>
          </cell>
          <cell r="X10328" t="str">
            <v>Variation UPR - gross</v>
          </cell>
          <cell r="Y10328" t="str">
            <v>ICELAND</v>
          </cell>
        </row>
        <row r="10329">
          <cell r="L10329" t="str">
            <v>Non-proportional</v>
          </cell>
          <cell r="S10329">
            <v>-12643.2</v>
          </cell>
          <cell r="X10329" t="str">
            <v>Variation UPR - gross</v>
          </cell>
          <cell r="Y10329" t="str">
            <v>UNITED KINGDOM</v>
          </cell>
        </row>
        <row r="10330">
          <cell r="L10330" t="str">
            <v>Non-proportional</v>
          </cell>
          <cell r="S10330">
            <v>-50442.87</v>
          </cell>
          <cell r="X10330" t="str">
            <v>Variation UPR - gross</v>
          </cell>
          <cell r="Y10330" t="str">
            <v>UNITED KINGDOM</v>
          </cell>
        </row>
        <row r="10331">
          <cell r="L10331" t="str">
            <v>Non-proportional</v>
          </cell>
          <cell r="S10331">
            <v>-545.1</v>
          </cell>
          <cell r="X10331" t="str">
            <v>Variation UPR - gross</v>
          </cell>
          <cell r="Y10331" t="str">
            <v>NORWAY</v>
          </cell>
        </row>
        <row r="10332">
          <cell r="L10332" t="str">
            <v>Non-proportional</v>
          </cell>
          <cell r="S10332">
            <v>-35570.32</v>
          </cell>
          <cell r="X10332" t="str">
            <v>Variation UPR - gross</v>
          </cell>
          <cell r="Y10332" t="str">
            <v>FRANCE</v>
          </cell>
        </row>
        <row r="10333">
          <cell r="L10333" t="str">
            <v>Non-proportional</v>
          </cell>
          <cell r="S10333">
            <v>-20858.259999999998</v>
          </cell>
          <cell r="X10333" t="str">
            <v>Variation UPR - gross</v>
          </cell>
          <cell r="Y10333" t="str">
            <v>UNITED KINGDOM</v>
          </cell>
        </row>
        <row r="10334">
          <cell r="L10334" t="str">
            <v>Non-proportional</v>
          </cell>
          <cell r="S10334">
            <v>-37346.01</v>
          </cell>
          <cell r="X10334" t="str">
            <v>Variation UPR - gross</v>
          </cell>
          <cell r="Y10334" t="str">
            <v>FRANCE</v>
          </cell>
        </row>
        <row r="10335">
          <cell r="L10335" t="str">
            <v>Non-proportional</v>
          </cell>
          <cell r="S10335">
            <v>-20416.669999999998</v>
          </cell>
          <cell r="X10335" t="str">
            <v>Variation UPR - gross</v>
          </cell>
          <cell r="Y10335" t="str">
            <v>GERMANY</v>
          </cell>
        </row>
        <row r="10336">
          <cell r="L10336" t="str">
            <v>Non-proportional</v>
          </cell>
          <cell r="S10336">
            <v>-6335.14</v>
          </cell>
          <cell r="X10336" t="str">
            <v>Variation UPR - gross</v>
          </cell>
          <cell r="Y10336" t="str">
            <v>GERMANY</v>
          </cell>
        </row>
        <row r="10337">
          <cell r="L10337" t="str">
            <v>Non-proportional</v>
          </cell>
          <cell r="S10337">
            <v>-13541.67</v>
          </cell>
          <cell r="X10337" t="str">
            <v>Variation UPR - gross</v>
          </cell>
          <cell r="Y10337" t="str">
            <v>GERMANY</v>
          </cell>
        </row>
        <row r="10338">
          <cell r="L10338" t="str">
            <v>Non-proportional</v>
          </cell>
          <cell r="S10338">
            <v>-3617.46</v>
          </cell>
          <cell r="X10338" t="str">
            <v>Variation UPR - gross</v>
          </cell>
          <cell r="Y10338" t="str">
            <v>FRANCE</v>
          </cell>
        </row>
        <row r="10339">
          <cell r="L10339" t="str">
            <v>Non-proportional</v>
          </cell>
          <cell r="S10339">
            <v>-8855</v>
          </cell>
          <cell r="X10339" t="str">
            <v>Variation UPR - gross</v>
          </cell>
          <cell r="Y10339" t="str">
            <v>GERMANY</v>
          </cell>
        </row>
        <row r="10340">
          <cell r="L10340" t="str">
            <v>Non-proportional</v>
          </cell>
          <cell r="S10340">
            <v>-6638.42</v>
          </cell>
          <cell r="X10340" t="str">
            <v>Variation UPR - gross</v>
          </cell>
          <cell r="Y10340" t="str">
            <v>EUROPE</v>
          </cell>
        </row>
        <row r="10341">
          <cell r="L10341" t="str">
            <v>Non-proportional</v>
          </cell>
          <cell r="S10341">
            <v>-39356.68</v>
          </cell>
          <cell r="X10341" t="str">
            <v>Variation UPR - gross</v>
          </cell>
          <cell r="Y10341" t="str">
            <v>UNITED KINGDOM</v>
          </cell>
        </row>
        <row r="10342">
          <cell r="L10342" t="str">
            <v>Non-proportional</v>
          </cell>
          <cell r="S10342">
            <v>-11815.66</v>
          </cell>
          <cell r="X10342" t="str">
            <v>Variation UPR - gross</v>
          </cell>
          <cell r="Y10342" t="str">
            <v>GERMANY</v>
          </cell>
        </row>
        <row r="10343">
          <cell r="L10343" t="str">
            <v>Non-proportional</v>
          </cell>
          <cell r="S10343">
            <v>-2500.5700000000002</v>
          </cell>
          <cell r="X10343" t="str">
            <v>Variation UPR - gross</v>
          </cell>
          <cell r="Y10343" t="str">
            <v>GERMANY</v>
          </cell>
        </row>
        <row r="10344">
          <cell r="L10344" t="str">
            <v>Non-proportional</v>
          </cell>
          <cell r="S10344">
            <v>-14008.64</v>
          </cell>
          <cell r="X10344" t="str">
            <v>Variation UPR - gross</v>
          </cell>
          <cell r="Y10344" t="str">
            <v>GERMANY</v>
          </cell>
        </row>
        <row r="10345">
          <cell r="L10345" t="str">
            <v>Non-proportional</v>
          </cell>
          <cell r="S10345">
            <v>-16120.64</v>
          </cell>
          <cell r="X10345" t="str">
            <v>Variation UPR - gross</v>
          </cell>
          <cell r="Y10345" t="str">
            <v>SWITZERLAND</v>
          </cell>
        </row>
        <row r="10346">
          <cell r="L10346" t="str">
            <v>Non-proportional</v>
          </cell>
          <cell r="S10346">
            <v>-33726.39</v>
          </cell>
          <cell r="X10346" t="str">
            <v>Variation UPR - gross</v>
          </cell>
          <cell r="Y10346" t="str">
            <v>FRANCE</v>
          </cell>
        </row>
        <row r="10347">
          <cell r="L10347" t="str">
            <v>Non-proportional</v>
          </cell>
          <cell r="S10347">
            <v>-7590</v>
          </cell>
          <cell r="X10347" t="str">
            <v>Variation UPR - gross</v>
          </cell>
          <cell r="Y10347" t="str">
            <v>GERMANY</v>
          </cell>
        </row>
        <row r="10348">
          <cell r="L10348" t="str">
            <v>Non-proportional</v>
          </cell>
          <cell r="S10348">
            <v>-4439.78</v>
          </cell>
          <cell r="X10348" t="str">
            <v>Variation UPR - gross</v>
          </cell>
          <cell r="Y10348" t="str">
            <v>GERMANY</v>
          </cell>
        </row>
        <row r="10349">
          <cell r="L10349" t="str">
            <v>Non-proportional</v>
          </cell>
          <cell r="S10349">
            <v>-7965</v>
          </cell>
          <cell r="X10349" t="str">
            <v>Variation UPR - gross</v>
          </cell>
          <cell r="Y10349" t="str">
            <v>GERMANY</v>
          </cell>
        </row>
        <row r="10350">
          <cell r="L10350" t="str">
            <v>Non-proportional</v>
          </cell>
          <cell r="S10350">
            <v>21060</v>
          </cell>
          <cell r="X10350" t="str">
            <v>Variation UPR - gross</v>
          </cell>
          <cell r="Y10350" t="str">
            <v>GERMANY</v>
          </cell>
        </row>
        <row r="10351">
          <cell r="L10351" t="str">
            <v>Non-proportional</v>
          </cell>
          <cell r="S10351">
            <v>-837.67</v>
          </cell>
          <cell r="X10351" t="str">
            <v>Variation UPR - gross</v>
          </cell>
          <cell r="Y10351" t="str">
            <v>DENMARK</v>
          </cell>
        </row>
        <row r="10352">
          <cell r="L10352" t="str">
            <v>Non-proportional</v>
          </cell>
          <cell r="S10352">
            <v>-7307.58</v>
          </cell>
          <cell r="X10352" t="str">
            <v>Variation UPR - gross</v>
          </cell>
          <cell r="Y10352" t="str">
            <v>FAROE ISLANDS</v>
          </cell>
        </row>
        <row r="10353">
          <cell r="L10353" t="str">
            <v>Non-proportional</v>
          </cell>
          <cell r="S10353">
            <v>-5881</v>
          </cell>
          <cell r="X10353" t="str">
            <v>Variation UPR - gross</v>
          </cell>
          <cell r="Y10353" t="str">
            <v>SWEDEN</v>
          </cell>
        </row>
        <row r="10354">
          <cell r="L10354" t="str">
            <v>Non-proportional</v>
          </cell>
          <cell r="S10354">
            <v>-11202.48</v>
          </cell>
          <cell r="X10354" t="str">
            <v>Variation UPR - gross</v>
          </cell>
          <cell r="Y10354" t="str">
            <v>SWITZERLAND</v>
          </cell>
        </row>
        <row r="10355">
          <cell r="L10355" t="str">
            <v>Non-proportional</v>
          </cell>
          <cell r="S10355">
            <v>-1967.26</v>
          </cell>
          <cell r="X10355" t="str">
            <v>Variation UPR - gross</v>
          </cell>
          <cell r="Y10355" t="str">
            <v>SWITZERLAND</v>
          </cell>
        </row>
        <row r="10356">
          <cell r="L10356" t="str">
            <v>Non-proportional</v>
          </cell>
          <cell r="S10356">
            <v>-7883.67</v>
          </cell>
          <cell r="X10356" t="str">
            <v>Variation UPR - gross</v>
          </cell>
          <cell r="Y10356" t="str">
            <v>ICELAND</v>
          </cell>
        </row>
        <row r="10357">
          <cell r="L10357" t="str">
            <v>Non-proportional</v>
          </cell>
          <cell r="S10357">
            <v>-11410.14</v>
          </cell>
          <cell r="X10357" t="str">
            <v>Variation UPR - gross</v>
          </cell>
          <cell r="Y10357" t="str">
            <v>SWITZERLAND</v>
          </cell>
        </row>
        <row r="10358">
          <cell r="L10358" t="str">
            <v>Non-proportional</v>
          </cell>
          <cell r="S10358">
            <v>-8837.7099999999991</v>
          </cell>
          <cell r="X10358" t="str">
            <v>Variation UPR - gross</v>
          </cell>
          <cell r="Y10358" t="str">
            <v>GERMANY</v>
          </cell>
        </row>
        <row r="10359">
          <cell r="L10359" t="str">
            <v>Non-proportional</v>
          </cell>
          <cell r="S10359">
            <v>-5374.14</v>
          </cell>
          <cell r="X10359" t="str">
            <v>Variation UPR - gross</v>
          </cell>
          <cell r="Y10359" t="str">
            <v>DENMARK</v>
          </cell>
        </row>
        <row r="10360">
          <cell r="L10360" t="str">
            <v>Non-proportional</v>
          </cell>
          <cell r="S10360">
            <v>-2687.5</v>
          </cell>
          <cell r="X10360" t="str">
            <v>Variation UPR - gross</v>
          </cell>
          <cell r="Y10360" t="str">
            <v>GERMANY</v>
          </cell>
        </row>
        <row r="10361">
          <cell r="L10361" t="str">
            <v>Non-proportional</v>
          </cell>
          <cell r="S10361">
            <v>-34502.01</v>
          </cell>
          <cell r="X10361" t="str">
            <v>Variation UPR - gross</v>
          </cell>
          <cell r="Y10361" t="str">
            <v>CZECH REPUBLIC</v>
          </cell>
        </row>
        <row r="10362">
          <cell r="L10362" t="str">
            <v>Non-proportional</v>
          </cell>
          <cell r="S10362">
            <v>-13402.04</v>
          </cell>
          <cell r="X10362" t="str">
            <v>Variation UPR - gross</v>
          </cell>
          <cell r="Y10362" t="str">
            <v>DENMARK</v>
          </cell>
        </row>
        <row r="10363">
          <cell r="L10363" t="str">
            <v>Non-proportional</v>
          </cell>
          <cell r="S10363">
            <v>-11301.62</v>
          </cell>
          <cell r="X10363" t="str">
            <v>Variation UPR - gross</v>
          </cell>
          <cell r="Y10363" t="str">
            <v>SWEDEN</v>
          </cell>
        </row>
        <row r="10364">
          <cell r="L10364" t="str">
            <v>Proportional</v>
          </cell>
          <cell r="S10364">
            <v>-160112.5</v>
          </cell>
          <cell r="X10364" t="str">
            <v>Variation UPR - gross</v>
          </cell>
          <cell r="Y10364" t="str">
            <v>AUSTRIA</v>
          </cell>
        </row>
        <row r="10365">
          <cell r="L10365" t="str">
            <v>Non-proportional</v>
          </cell>
          <cell r="S10365">
            <v>-53915.02</v>
          </cell>
          <cell r="X10365" t="str">
            <v>Variation UPR - gross</v>
          </cell>
          <cell r="Y10365" t="str">
            <v>UNITED KINGDOM</v>
          </cell>
        </row>
        <row r="10366">
          <cell r="L10366" t="str">
            <v>Non-proportional</v>
          </cell>
          <cell r="S10366">
            <v>-36198.370000000003</v>
          </cell>
          <cell r="X10366" t="str">
            <v>Variation UPR - gross</v>
          </cell>
          <cell r="Y10366" t="str">
            <v>UNITED KINGDOM</v>
          </cell>
        </row>
        <row r="10367">
          <cell r="L10367" t="str">
            <v>Non-proportional</v>
          </cell>
          <cell r="S10367">
            <v>-6072.95</v>
          </cell>
          <cell r="X10367" t="str">
            <v>Variation UPR - gross</v>
          </cell>
          <cell r="Y10367" t="str">
            <v>DENMARK</v>
          </cell>
        </row>
        <row r="10368">
          <cell r="L10368" t="str">
            <v>Non-proportional</v>
          </cell>
          <cell r="S10368">
            <v>-7770.84</v>
          </cell>
          <cell r="X10368" t="str">
            <v>Variation UPR - gross</v>
          </cell>
          <cell r="Y10368" t="str">
            <v>FRANCE</v>
          </cell>
        </row>
        <row r="10369">
          <cell r="L10369" t="str">
            <v>Non-proportional</v>
          </cell>
          <cell r="S10369">
            <v>-1962.32</v>
          </cell>
          <cell r="X10369" t="str">
            <v>Variation UPR - gross</v>
          </cell>
          <cell r="Y10369" t="str">
            <v>GERMANY</v>
          </cell>
        </row>
        <row r="10370">
          <cell r="L10370" t="str">
            <v>Non-proportional</v>
          </cell>
          <cell r="S10370">
            <v>-7097.3</v>
          </cell>
          <cell r="X10370" t="str">
            <v>Variation UPR - gross</v>
          </cell>
          <cell r="Y10370" t="str">
            <v>UNITED KINGDOM</v>
          </cell>
        </row>
        <row r="10371">
          <cell r="L10371" t="str">
            <v>Non-proportional</v>
          </cell>
          <cell r="S10371">
            <v>-16112.84</v>
          </cell>
          <cell r="X10371" t="str">
            <v>Variation UPR - gross</v>
          </cell>
          <cell r="Y10371" t="str">
            <v>EUROPE</v>
          </cell>
        </row>
        <row r="10372">
          <cell r="L10372" t="str">
            <v>Non-proportional</v>
          </cell>
          <cell r="S10372">
            <v>-131227.12</v>
          </cell>
          <cell r="X10372" t="str">
            <v>Variation UPR - gross</v>
          </cell>
          <cell r="Y10372" t="str">
            <v>UNITED KINGDOM</v>
          </cell>
        </row>
        <row r="10373">
          <cell r="L10373" t="str">
            <v>Non-proportional</v>
          </cell>
          <cell r="S10373">
            <v>-9203.1200000000008</v>
          </cell>
          <cell r="X10373" t="str">
            <v>Variation UPR - gross</v>
          </cell>
          <cell r="Y10373" t="str">
            <v>GERMANY</v>
          </cell>
        </row>
        <row r="10374">
          <cell r="L10374" t="str">
            <v>Non-proportional</v>
          </cell>
          <cell r="S10374">
            <v>-3262.5</v>
          </cell>
          <cell r="X10374" t="str">
            <v>Variation UPR - gross</v>
          </cell>
          <cell r="Y10374" t="str">
            <v>ROMANIA</v>
          </cell>
        </row>
        <row r="10375">
          <cell r="L10375" t="str">
            <v>Non-proportional</v>
          </cell>
          <cell r="S10375">
            <v>-3850</v>
          </cell>
          <cell r="X10375" t="str">
            <v>Variation UPR - gross</v>
          </cell>
          <cell r="Y10375" t="str">
            <v>GERMANY</v>
          </cell>
        </row>
        <row r="10376">
          <cell r="L10376" t="str">
            <v>Non-proportional</v>
          </cell>
          <cell r="S10376">
            <v>-5484.12</v>
          </cell>
          <cell r="X10376" t="str">
            <v>Variation UPR - gross</v>
          </cell>
          <cell r="Y10376" t="str">
            <v>EUROPE</v>
          </cell>
        </row>
        <row r="10377">
          <cell r="L10377" t="str">
            <v>Non-proportional</v>
          </cell>
          <cell r="S10377">
            <v>-3687.5</v>
          </cell>
          <cell r="X10377" t="str">
            <v>Variation UPR - gross</v>
          </cell>
          <cell r="Y10377" t="str">
            <v>GERMANY</v>
          </cell>
        </row>
        <row r="10378">
          <cell r="L10378" t="str">
            <v>Non-proportional</v>
          </cell>
          <cell r="S10378">
            <v>-19162.71</v>
          </cell>
          <cell r="X10378" t="str">
            <v>Variation UPR - gross</v>
          </cell>
          <cell r="Y10378" t="str">
            <v>UNITED KINGDOM</v>
          </cell>
        </row>
        <row r="10379">
          <cell r="L10379" t="str">
            <v>Non-proportional</v>
          </cell>
          <cell r="S10379">
            <v>-6702.19</v>
          </cell>
          <cell r="X10379" t="str">
            <v>Variation UPR - gross</v>
          </cell>
          <cell r="Y10379" t="str">
            <v>DENMARK</v>
          </cell>
        </row>
        <row r="10380">
          <cell r="L10380" t="str">
            <v>Non-proportional</v>
          </cell>
          <cell r="S10380">
            <v>-24396</v>
          </cell>
          <cell r="X10380" t="str">
            <v>Variation UPR - gross</v>
          </cell>
          <cell r="Y10380" t="str">
            <v>GERMANY</v>
          </cell>
        </row>
        <row r="10381">
          <cell r="L10381" t="str">
            <v>Non-proportional</v>
          </cell>
          <cell r="S10381">
            <v>-321.45</v>
          </cell>
          <cell r="X10381" t="str">
            <v>Variation UPR - gross</v>
          </cell>
          <cell r="Y10381" t="str">
            <v>FRANCE</v>
          </cell>
        </row>
        <row r="10382">
          <cell r="L10382" t="str">
            <v>Non-proportional</v>
          </cell>
          <cell r="S10382">
            <v>-345</v>
          </cell>
          <cell r="X10382" t="str">
            <v>Variation UPR - gross</v>
          </cell>
          <cell r="Y10382" t="str">
            <v>ITALY</v>
          </cell>
        </row>
        <row r="10383">
          <cell r="L10383" t="str">
            <v>Non-proportional</v>
          </cell>
          <cell r="S10383">
            <v>-1108.02</v>
          </cell>
          <cell r="X10383" t="str">
            <v>Variation UPR - gross</v>
          </cell>
          <cell r="Y10383" t="str">
            <v>AUSTRIA</v>
          </cell>
        </row>
        <row r="10384">
          <cell r="L10384" t="str">
            <v>Non-proportional</v>
          </cell>
          <cell r="S10384">
            <v>-3986.99</v>
          </cell>
          <cell r="X10384" t="str">
            <v>Variation UPR - gross</v>
          </cell>
          <cell r="Y10384" t="str">
            <v>SWITZERLAND</v>
          </cell>
        </row>
        <row r="10385">
          <cell r="L10385" t="str">
            <v>Non-proportional</v>
          </cell>
          <cell r="S10385">
            <v>-2712.75</v>
          </cell>
          <cell r="X10385" t="str">
            <v>Variation UPR - gross</v>
          </cell>
          <cell r="Y10385" t="str">
            <v>GERMANY</v>
          </cell>
        </row>
        <row r="10386">
          <cell r="L10386" t="str">
            <v>Non-proportional</v>
          </cell>
          <cell r="S10386">
            <v>-44189.98</v>
          </cell>
          <cell r="X10386" t="str">
            <v>Variation UPR - gross</v>
          </cell>
          <cell r="Y10386" t="str">
            <v>UNITED KINGDOM</v>
          </cell>
        </row>
        <row r="10387">
          <cell r="L10387" t="str">
            <v>Non-proportional</v>
          </cell>
          <cell r="S10387">
            <v>-8423.33</v>
          </cell>
          <cell r="X10387" t="str">
            <v>Variation UPR - gross</v>
          </cell>
          <cell r="Y10387" t="str">
            <v>ITALY</v>
          </cell>
        </row>
        <row r="10388">
          <cell r="L10388" t="str">
            <v>Non-proportional</v>
          </cell>
          <cell r="S10388">
            <v>-4042.07</v>
          </cell>
          <cell r="X10388" t="str">
            <v>Variation UPR - gross</v>
          </cell>
          <cell r="Y10388" t="str">
            <v>SWITZERLAND</v>
          </cell>
        </row>
        <row r="10389">
          <cell r="L10389" t="str">
            <v>Non-proportional</v>
          </cell>
          <cell r="S10389">
            <v>-5586.33</v>
          </cell>
          <cell r="X10389" t="str">
            <v>Variation UPR - gross</v>
          </cell>
          <cell r="Y10389" t="str">
            <v>GERMANY</v>
          </cell>
        </row>
        <row r="10390">
          <cell r="L10390" t="str">
            <v>Non-proportional</v>
          </cell>
          <cell r="S10390">
            <v>-6037.5</v>
          </cell>
          <cell r="X10390" t="str">
            <v>Variation UPR - gross</v>
          </cell>
          <cell r="Y10390" t="str">
            <v>GERMANY</v>
          </cell>
        </row>
        <row r="10391">
          <cell r="L10391" t="str">
            <v>Non-proportional</v>
          </cell>
          <cell r="S10391">
            <v>-8970.65</v>
          </cell>
          <cell r="X10391" t="str">
            <v>Variation UPR - gross</v>
          </cell>
          <cell r="Y10391" t="str">
            <v>GERMANY</v>
          </cell>
        </row>
        <row r="10392">
          <cell r="L10392" t="str">
            <v>Non-proportional</v>
          </cell>
          <cell r="S10392">
            <v>-8369.58</v>
          </cell>
          <cell r="X10392" t="str">
            <v>Variation UPR - gross</v>
          </cell>
          <cell r="Y10392" t="str">
            <v>GERMANY</v>
          </cell>
        </row>
        <row r="10393">
          <cell r="L10393" t="str">
            <v>Non-proportional</v>
          </cell>
          <cell r="S10393">
            <v>-2065.29</v>
          </cell>
          <cell r="X10393" t="str">
            <v>Variation UPR - gross</v>
          </cell>
          <cell r="Y10393" t="str">
            <v>EUROPE</v>
          </cell>
        </row>
        <row r="10394">
          <cell r="L10394" t="str">
            <v>Non-proportional</v>
          </cell>
          <cell r="S10394">
            <v>-6458.33</v>
          </cell>
          <cell r="X10394" t="str">
            <v>Variation UPR - gross</v>
          </cell>
          <cell r="Y10394" t="str">
            <v>AUSTRIA</v>
          </cell>
        </row>
        <row r="10395">
          <cell r="L10395" t="str">
            <v>Non-proportional</v>
          </cell>
          <cell r="S10395">
            <v>0.01</v>
          </cell>
          <cell r="X10395" t="str">
            <v>Variation UPR - gross</v>
          </cell>
          <cell r="Y10395" t="str">
            <v>JAPAN</v>
          </cell>
        </row>
        <row r="10396">
          <cell r="L10396" t="str">
            <v>Non-proportional</v>
          </cell>
          <cell r="S10396">
            <v>-19920.240000000002</v>
          </cell>
          <cell r="X10396" t="str">
            <v>Variation UPR - gross</v>
          </cell>
          <cell r="Y10396" t="str">
            <v>FRANCE</v>
          </cell>
        </row>
        <row r="10397">
          <cell r="L10397" t="str">
            <v>Non-proportional</v>
          </cell>
          <cell r="S10397">
            <v>-20770.63</v>
          </cell>
          <cell r="X10397" t="str">
            <v>Variation UPR - gross</v>
          </cell>
          <cell r="Y10397" t="str">
            <v>FRANCE</v>
          </cell>
        </row>
        <row r="10398">
          <cell r="L10398" t="str">
            <v>Non-proportional</v>
          </cell>
          <cell r="S10398">
            <v>-19606.060000000001</v>
          </cell>
          <cell r="X10398" t="str">
            <v>Variation UPR - gross</v>
          </cell>
          <cell r="Y10398" t="str">
            <v>FRANCE</v>
          </cell>
        </row>
        <row r="10399">
          <cell r="L10399" t="str">
            <v>Non-proportional</v>
          </cell>
          <cell r="S10399">
            <v>-10010.879999999999</v>
          </cell>
          <cell r="X10399" t="str">
            <v>Variation UPR - gross</v>
          </cell>
          <cell r="Y10399" t="str">
            <v>GERMANY</v>
          </cell>
        </row>
        <row r="10400">
          <cell r="L10400" t="str">
            <v>Non-proportional</v>
          </cell>
          <cell r="S10400">
            <v>-575</v>
          </cell>
          <cell r="X10400" t="str">
            <v>Variation UPR - gross</v>
          </cell>
          <cell r="Y10400" t="str">
            <v>ITALY</v>
          </cell>
        </row>
        <row r="10401">
          <cell r="L10401" t="str">
            <v>Non-proportional</v>
          </cell>
          <cell r="S10401">
            <v>-6023.83</v>
          </cell>
          <cell r="X10401" t="str">
            <v>Variation UPR - gross</v>
          </cell>
          <cell r="Y10401" t="str">
            <v>NORWAY</v>
          </cell>
        </row>
        <row r="10402">
          <cell r="L10402" t="str">
            <v>Non-proportional</v>
          </cell>
          <cell r="S10402">
            <v>-8697.67</v>
          </cell>
          <cell r="X10402" t="str">
            <v>Variation UPR - gross</v>
          </cell>
          <cell r="Y10402" t="str">
            <v>GERMANY</v>
          </cell>
        </row>
        <row r="10403">
          <cell r="L10403" t="str">
            <v>Non-proportional</v>
          </cell>
          <cell r="S10403">
            <v>3.53</v>
          </cell>
          <cell r="X10403" t="str">
            <v>Variation UPR - gross</v>
          </cell>
          <cell r="Y10403" t="str">
            <v>DENMARK</v>
          </cell>
        </row>
        <row r="10404">
          <cell r="L10404" t="str">
            <v>Non-proportional</v>
          </cell>
          <cell r="S10404">
            <v>-6076.1</v>
          </cell>
          <cell r="X10404" t="str">
            <v>Variation UPR - gross</v>
          </cell>
          <cell r="Y10404" t="str">
            <v>UNITED KINGDOM</v>
          </cell>
        </row>
        <row r="10405">
          <cell r="L10405" t="str">
            <v>Non-proportional</v>
          </cell>
          <cell r="S10405">
            <v>-9917.92</v>
          </cell>
          <cell r="X10405" t="str">
            <v>Variation UPR - gross</v>
          </cell>
          <cell r="Y10405" t="str">
            <v>CZECH REPUBLIC</v>
          </cell>
        </row>
        <row r="10406">
          <cell r="L10406" t="str">
            <v>Non-proportional</v>
          </cell>
          <cell r="S10406">
            <v>-18900</v>
          </cell>
          <cell r="X10406" t="str">
            <v>Variation UPR - gross</v>
          </cell>
          <cell r="Y10406" t="str">
            <v>ROMANIA</v>
          </cell>
        </row>
        <row r="10407">
          <cell r="L10407" t="str">
            <v>Non-proportional</v>
          </cell>
          <cell r="S10407">
            <v>-25886.33</v>
          </cell>
          <cell r="X10407" t="str">
            <v>Variation UPR - gross</v>
          </cell>
          <cell r="Y10407" t="str">
            <v>CZECH REPUBLIC</v>
          </cell>
        </row>
        <row r="10408">
          <cell r="L10408" t="str">
            <v>Non-proportional</v>
          </cell>
          <cell r="S10408">
            <v>-961.78</v>
          </cell>
          <cell r="X10408" t="str">
            <v>Variation UPR - gross</v>
          </cell>
          <cell r="Y10408" t="str">
            <v>SWITZERLAND</v>
          </cell>
        </row>
        <row r="10409">
          <cell r="L10409" t="str">
            <v>Non-proportional</v>
          </cell>
          <cell r="S10409">
            <v>-1088.97</v>
          </cell>
          <cell r="X10409" t="str">
            <v>Variation UPR - gross</v>
          </cell>
          <cell r="Y10409" t="str">
            <v>DENMARK</v>
          </cell>
        </row>
        <row r="10410">
          <cell r="L10410" t="str">
            <v>Non-proportional</v>
          </cell>
          <cell r="S10410">
            <v>-7916.77</v>
          </cell>
          <cell r="X10410" t="str">
            <v>Variation UPR - gross</v>
          </cell>
          <cell r="Y10410" t="str">
            <v>GERMANY</v>
          </cell>
        </row>
        <row r="10411">
          <cell r="L10411" t="str">
            <v>Non-proportional</v>
          </cell>
          <cell r="S10411">
            <v>9.43</v>
          </cell>
          <cell r="X10411" t="str">
            <v>Variation UPR - gross</v>
          </cell>
          <cell r="Y10411" t="str">
            <v>SWEDEN</v>
          </cell>
        </row>
        <row r="10412">
          <cell r="L10412" t="str">
            <v>Non-proportional</v>
          </cell>
          <cell r="S10412">
            <v>-21684.02</v>
          </cell>
          <cell r="X10412" t="str">
            <v>Variation UPR - gross</v>
          </cell>
          <cell r="Y10412" t="str">
            <v>UNITED KINGDOM</v>
          </cell>
        </row>
        <row r="10413">
          <cell r="L10413" t="str">
            <v>Non-proportional</v>
          </cell>
          <cell r="S10413">
            <v>16.16</v>
          </cell>
          <cell r="X10413" t="str">
            <v>Variation UPR - gross</v>
          </cell>
          <cell r="Y10413" t="str">
            <v>SWEDEN</v>
          </cell>
        </row>
        <row r="10414">
          <cell r="L10414" t="str">
            <v>Non-proportional</v>
          </cell>
          <cell r="S10414">
            <v>-1224.08</v>
          </cell>
          <cell r="X10414" t="str">
            <v>Variation UPR - gross</v>
          </cell>
          <cell r="Y10414" t="str">
            <v>SWITZERLAND</v>
          </cell>
        </row>
        <row r="10415">
          <cell r="L10415" t="str">
            <v>Non-proportional</v>
          </cell>
          <cell r="S10415">
            <v>-43750</v>
          </cell>
          <cell r="X10415" t="str">
            <v>Variation UPR - gross</v>
          </cell>
          <cell r="Y10415" t="str">
            <v>GERMANY</v>
          </cell>
        </row>
        <row r="10416">
          <cell r="L10416" t="str">
            <v>Non-proportional</v>
          </cell>
          <cell r="S10416">
            <v>-12084.07</v>
          </cell>
          <cell r="X10416" t="str">
            <v>Variation UPR - gross</v>
          </cell>
          <cell r="Y10416" t="str">
            <v>UNITED KINGDOM</v>
          </cell>
        </row>
        <row r="10417">
          <cell r="L10417" t="str">
            <v>Non-proportional</v>
          </cell>
          <cell r="S10417">
            <v>-820.54</v>
          </cell>
          <cell r="X10417" t="str">
            <v>Variation UPR - gross</v>
          </cell>
          <cell r="Y10417" t="str">
            <v>GERMANY</v>
          </cell>
        </row>
        <row r="10418">
          <cell r="L10418" t="str">
            <v>Non-proportional</v>
          </cell>
          <cell r="S10418">
            <v>-6416.67</v>
          </cell>
          <cell r="X10418" t="str">
            <v>Variation UPR - gross</v>
          </cell>
          <cell r="Y10418" t="str">
            <v>GERMANY</v>
          </cell>
        </row>
        <row r="10419">
          <cell r="L10419" t="str">
            <v>Non-proportional</v>
          </cell>
          <cell r="S10419">
            <v>-14602.5</v>
          </cell>
          <cell r="X10419" t="str">
            <v>Variation UPR - gross</v>
          </cell>
          <cell r="Y10419" t="str">
            <v>GERMANY</v>
          </cell>
        </row>
        <row r="10420">
          <cell r="L10420" t="str">
            <v>Non-proportional</v>
          </cell>
          <cell r="S10420">
            <v>-11737.96</v>
          </cell>
          <cell r="X10420" t="str">
            <v>Variation UPR - gross</v>
          </cell>
          <cell r="Y10420" t="str">
            <v>UNITED KINGDOM</v>
          </cell>
        </row>
        <row r="10421">
          <cell r="L10421" t="str">
            <v>Non-proportional</v>
          </cell>
          <cell r="S10421">
            <v>-112052.09</v>
          </cell>
          <cell r="X10421" t="str">
            <v>Variation UPR - gross</v>
          </cell>
          <cell r="Y10421" t="str">
            <v>FRANCE</v>
          </cell>
        </row>
        <row r="10422">
          <cell r="L10422" t="str">
            <v>Non-proportional</v>
          </cell>
          <cell r="S10422">
            <v>-16334.62</v>
          </cell>
          <cell r="X10422" t="str">
            <v>Variation UPR - gross</v>
          </cell>
          <cell r="Y10422" t="str">
            <v>DENMARK</v>
          </cell>
        </row>
        <row r="10423">
          <cell r="L10423" t="str">
            <v>Non-proportional</v>
          </cell>
          <cell r="S10423">
            <v>-7756.81</v>
          </cell>
          <cell r="X10423" t="str">
            <v>Variation UPR - gross</v>
          </cell>
          <cell r="Y10423" t="str">
            <v>NORWAY</v>
          </cell>
        </row>
        <row r="10424">
          <cell r="L10424" t="str">
            <v>Non-proportional</v>
          </cell>
          <cell r="S10424">
            <v>-873.38</v>
          </cell>
          <cell r="X10424" t="str">
            <v>Variation UPR - gross</v>
          </cell>
          <cell r="Y10424" t="str">
            <v>GERMANY</v>
          </cell>
        </row>
        <row r="10425">
          <cell r="L10425" t="str">
            <v>Non-proportional</v>
          </cell>
          <cell r="S10425">
            <v>-9567</v>
          </cell>
          <cell r="X10425" t="str">
            <v>Variation UPR - gross</v>
          </cell>
          <cell r="Y10425" t="str">
            <v>SLOVENIA</v>
          </cell>
        </row>
        <row r="10426">
          <cell r="L10426" t="str">
            <v>Non-proportional</v>
          </cell>
          <cell r="S10426">
            <v>-83.26</v>
          </cell>
          <cell r="X10426" t="str">
            <v>Variation UPR - gross</v>
          </cell>
          <cell r="Y10426" t="str">
            <v>FRANCE</v>
          </cell>
        </row>
        <row r="10427">
          <cell r="L10427" t="str">
            <v>Proportional</v>
          </cell>
          <cell r="S10427">
            <v>-17296.77</v>
          </cell>
          <cell r="X10427" t="str">
            <v>Variation UPR - gross</v>
          </cell>
          <cell r="Y10427" t="str">
            <v>GERMANY</v>
          </cell>
        </row>
        <row r="10428">
          <cell r="L10428" t="str">
            <v>Non-proportional</v>
          </cell>
          <cell r="S10428">
            <v>-44020.54</v>
          </cell>
          <cell r="X10428" t="str">
            <v>Variation UPR - gross</v>
          </cell>
          <cell r="Y10428" t="str">
            <v>UNITED KINGDOM</v>
          </cell>
        </row>
        <row r="10429">
          <cell r="L10429" t="str">
            <v>Non-proportional</v>
          </cell>
          <cell r="S10429">
            <v>-57830.91</v>
          </cell>
          <cell r="X10429" t="str">
            <v>Variation UPR - gross</v>
          </cell>
          <cell r="Y10429" t="str">
            <v>UNITED KINGDOM</v>
          </cell>
        </row>
        <row r="10430">
          <cell r="L10430" t="str">
            <v>Non-proportional</v>
          </cell>
          <cell r="S10430">
            <v>-20758.62</v>
          </cell>
          <cell r="X10430" t="str">
            <v>Variation UPR - gross</v>
          </cell>
          <cell r="Y10430" t="str">
            <v>EIRE</v>
          </cell>
        </row>
        <row r="10431">
          <cell r="L10431" t="str">
            <v>Non-proportional</v>
          </cell>
          <cell r="S10431">
            <v>-5808.56</v>
          </cell>
          <cell r="X10431" t="str">
            <v>Variation UPR - gross</v>
          </cell>
          <cell r="Y10431" t="str">
            <v>DENMARK</v>
          </cell>
        </row>
        <row r="10432">
          <cell r="L10432" t="str">
            <v>Non-proportional</v>
          </cell>
          <cell r="S10432">
            <v>-7484.08</v>
          </cell>
          <cell r="X10432" t="str">
            <v>Variation UPR - gross</v>
          </cell>
          <cell r="Y10432" t="str">
            <v>NORWAY</v>
          </cell>
        </row>
        <row r="10433">
          <cell r="L10433" t="str">
            <v>Non-proportional</v>
          </cell>
          <cell r="S10433">
            <v>-15832.43</v>
          </cell>
          <cell r="X10433" t="str">
            <v>Variation UPR - gross</v>
          </cell>
          <cell r="Y10433" t="str">
            <v>GERMANY</v>
          </cell>
        </row>
        <row r="10434">
          <cell r="L10434" t="str">
            <v>Non-proportional</v>
          </cell>
          <cell r="S10434">
            <v>-8743.58</v>
          </cell>
          <cell r="X10434" t="str">
            <v>Variation UPR - gross</v>
          </cell>
          <cell r="Y10434" t="str">
            <v>EUROPE</v>
          </cell>
        </row>
        <row r="10435">
          <cell r="L10435" t="str">
            <v>Non-proportional</v>
          </cell>
          <cell r="S10435">
            <v>-124583.33</v>
          </cell>
          <cell r="X10435" t="str">
            <v>Variation UPR - gross</v>
          </cell>
          <cell r="Y10435" t="str">
            <v>GERMANY</v>
          </cell>
        </row>
        <row r="10436">
          <cell r="L10436" t="str">
            <v>Non-proportional</v>
          </cell>
          <cell r="S10436">
            <v>-718.44</v>
          </cell>
          <cell r="X10436" t="str">
            <v>Variation UPR - gross</v>
          </cell>
          <cell r="Y10436" t="str">
            <v>ITALY</v>
          </cell>
        </row>
        <row r="10437">
          <cell r="L10437" t="str">
            <v>Non-proportional</v>
          </cell>
          <cell r="S10437">
            <v>-4984.72</v>
          </cell>
          <cell r="X10437" t="str">
            <v>Variation UPR - gross</v>
          </cell>
          <cell r="Y10437" t="str">
            <v>GERMANY</v>
          </cell>
        </row>
        <row r="10438">
          <cell r="L10438" t="str">
            <v>Non-proportional</v>
          </cell>
          <cell r="S10438">
            <v>-3392.5</v>
          </cell>
          <cell r="X10438" t="str">
            <v>Variation UPR - gross</v>
          </cell>
          <cell r="Y10438" t="str">
            <v>ITALY</v>
          </cell>
        </row>
        <row r="10439">
          <cell r="L10439" t="str">
            <v>Non-proportional</v>
          </cell>
          <cell r="S10439">
            <v>-4112.1499999999996</v>
          </cell>
          <cell r="X10439" t="str">
            <v>Variation UPR - gross</v>
          </cell>
          <cell r="Y10439" t="str">
            <v>AUSTRIA</v>
          </cell>
        </row>
        <row r="10440">
          <cell r="L10440" t="str">
            <v>Non-proportional</v>
          </cell>
          <cell r="S10440">
            <v>0.01</v>
          </cell>
          <cell r="X10440" t="str">
            <v>Variation UPR - gross</v>
          </cell>
          <cell r="Y10440" t="str">
            <v>ICELAND</v>
          </cell>
        </row>
        <row r="10441">
          <cell r="L10441" t="str">
            <v>Non-proportional</v>
          </cell>
          <cell r="S10441">
            <v>-12424.29</v>
          </cell>
          <cell r="X10441" t="str">
            <v>Variation UPR - gross</v>
          </cell>
          <cell r="Y10441" t="str">
            <v>EUROPE</v>
          </cell>
        </row>
        <row r="10442">
          <cell r="L10442" t="str">
            <v>Non-proportional</v>
          </cell>
          <cell r="S10442">
            <v>-25393.599999999999</v>
          </cell>
          <cell r="X10442" t="str">
            <v>Variation UPR - gross</v>
          </cell>
          <cell r="Y10442" t="str">
            <v>GERMANY</v>
          </cell>
        </row>
        <row r="10443">
          <cell r="L10443" t="str">
            <v>Non-proportional</v>
          </cell>
          <cell r="S10443">
            <v>-6871.9</v>
          </cell>
          <cell r="X10443" t="str">
            <v>Variation UPR - gross</v>
          </cell>
          <cell r="Y10443" t="str">
            <v>GERMANY</v>
          </cell>
        </row>
        <row r="10444">
          <cell r="L10444" t="str">
            <v>Non-proportional</v>
          </cell>
          <cell r="S10444">
            <v>-3535.84</v>
          </cell>
          <cell r="X10444" t="str">
            <v>Variation UPR - gross</v>
          </cell>
          <cell r="Y10444" t="str">
            <v>JAPAN</v>
          </cell>
        </row>
        <row r="10445">
          <cell r="L10445" t="str">
            <v>Non-proportional</v>
          </cell>
          <cell r="S10445">
            <v>-5893.93</v>
          </cell>
          <cell r="X10445" t="str">
            <v>Variation UPR - gross</v>
          </cell>
          <cell r="Y10445" t="str">
            <v>AUSTRIA</v>
          </cell>
        </row>
        <row r="10446">
          <cell r="L10446" t="str">
            <v>Non-proportional</v>
          </cell>
          <cell r="S10446">
            <v>-2357.5</v>
          </cell>
          <cell r="X10446" t="str">
            <v>Variation UPR - gross</v>
          </cell>
          <cell r="Y10446" t="str">
            <v>GERMANY</v>
          </cell>
        </row>
        <row r="10447">
          <cell r="L10447" t="str">
            <v>Non-proportional</v>
          </cell>
          <cell r="S10447">
            <v>5.82</v>
          </cell>
          <cell r="X10447" t="str">
            <v>Variation UPR - gross</v>
          </cell>
          <cell r="Y10447" t="str">
            <v>DENMARK</v>
          </cell>
        </row>
        <row r="10448">
          <cell r="L10448" t="str">
            <v>Non-proportional</v>
          </cell>
          <cell r="S10448">
            <v>-64952.97</v>
          </cell>
          <cell r="X10448" t="str">
            <v>Variation UPR - gross</v>
          </cell>
          <cell r="Y10448" t="str">
            <v>REPUBLIC OF IRELAND</v>
          </cell>
        </row>
        <row r="10449">
          <cell r="L10449" t="str">
            <v>Non-proportional</v>
          </cell>
          <cell r="S10449">
            <v>-3602.77</v>
          </cell>
          <cell r="X10449" t="str">
            <v>Variation UPR - gross</v>
          </cell>
          <cell r="Y10449" t="str">
            <v>FAROE ISLANDS</v>
          </cell>
        </row>
        <row r="10450">
          <cell r="L10450" t="str">
            <v>Non-proportional</v>
          </cell>
          <cell r="S10450">
            <v>-11064.49</v>
          </cell>
          <cell r="X10450" t="str">
            <v>Variation UPR - gross</v>
          </cell>
          <cell r="Y10450" t="str">
            <v>DENMARK</v>
          </cell>
        </row>
        <row r="10451">
          <cell r="L10451" t="str">
            <v>Non-proportional</v>
          </cell>
          <cell r="S10451">
            <v>-5424.34</v>
          </cell>
          <cell r="X10451" t="str">
            <v>Variation UPR - gross</v>
          </cell>
          <cell r="Y10451" t="str">
            <v>NORWAY</v>
          </cell>
        </row>
        <row r="10452">
          <cell r="L10452" t="str">
            <v>Non-proportional</v>
          </cell>
          <cell r="S10452">
            <v>-3031.56</v>
          </cell>
          <cell r="X10452" t="str">
            <v>Variation UPR - gross</v>
          </cell>
          <cell r="Y10452" t="str">
            <v>SWITZERLAND</v>
          </cell>
        </row>
        <row r="10453">
          <cell r="L10453" t="str">
            <v>Non-proportional</v>
          </cell>
          <cell r="S10453">
            <v>-6295.25</v>
          </cell>
          <cell r="X10453" t="str">
            <v>Variation UPR - gross</v>
          </cell>
          <cell r="Y10453" t="str">
            <v>SWITZERLAND</v>
          </cell>
        </row>
        <row r="10454">
          <cell r="L10454" t="str">
            <v>Non-proportional</v>
          </cell>
          <cell r="S10454">
            <v>-5493.18</v>
          </cell>
          <cell r="X10454" t="str">
            <v>Variation UPR - gross</v>
          </cell>
          <cell r="Y10454" t="str">
            <v>FRANCE</v>
          </cell>
        </row>
        <row r="10455">
          <cell r="L10455" t="str">
            <v>Non-proportional</v>
          </cell>
          <cell r="S10455">
            <v>-8696.8799999999992</v>
          </cell>
          <cell r="X10455" t="str">
            <v>Variation UPR - gross</v>
          </cell>
          <cell r="Y10455" t="str">
            <v>GERMANY</v>
          </cell>
        </row>
        <row r="10456">
          <cell r="L10456" t="str">
            <v>Non-proportional</v>
          </cell>
          <cell r="S10456">
            <v>2.76</v>
          </cell>
          <cell r="X10456" t="str">
            <v>Variation UPR - gross</v>
          </cell>
          <cell r="Y10456" t="str">
            <v>DENMARK</v>
          </cell>
        </row>
        <row r="10457">
          <cell r="L10457" t="str">
            <v>Non-proportional</v>
          </cell>
          <cell r="S10457">
            <v>-17054.72</v>
          </cell>
          <cell r="X10457" t="str">
            <v>Variation UPR - gross</v>
          </cell>
          <cell r="Y10457" t="str">
            <v>SWITZERLAND</v>
          </cell>
        </row>
        <row r="10458">
          <cell r="L10458" t="str">
            <v>Non-proportional</v>
          </cell>
          <cell r="S10458">
            <v>-0.46</v>
          </cell>
          <cell r="X10458" t="str">
            <v>Variation UPR - gross</v>
          </cell>
          <cell r="Y10458" t="str">
            <v>DENMARK</v>
          </cell>
        </row>
        <row r="10459">
          <cell r="L10459" t="str">
            <v>Non-proportional</v>
          </cell>
          <cell r="S10459">
            <v>-3313.14</v>
          </cell>
          <cell r="X10459" t="str">
            <v>Variation UPR - gross</v>
          </cell>
          <cell r="Y10459" t="str">
            <v>EUROPE</v>
          </cell>
        </row>
        <row r="10460">
          <cell r="L10460" t="str">
            <v>Non-proportional</v>
          </cell>
          <cell r="S10460">
            <v>-20758.62</v>
          </cell>
          <cell r="X10460" t="str">
            <v>Variation UPR - gross</v>
          </cell>
          <cell r="Y10460" t="str">
            <v>EIRE</v>
          </cell>
        </row>
        <row r="10461">
          <cell r="L10461" t="str">
            <v>Non-proportional</v>
          </cell>
          <cell r="S10461">
            <v>-110273.16</v>
          </cell>
          <cell r="X10461" t="str">
            <v>Variation UPR - gross</v>
          </cell>
          <cell r="Y10461" t="str">
            <v>UNITED KINGDOM</v>
          </cell>
        </row>
        <row r="10462">
          <cell r="L10462" t="str">
            <v>Non-proportional</v>
          </cell>
          <cell r="S10462">
            <v>-5976.22</v>
          </cell>
          <cell r="X10462" t="str">
            <v>Variation UPR - gross</v>
          </cell>
          <cell r="Y10462" t="str">
            <v>UNITED KINGDOM</v>
          </cell>
        </row>
        <row r="10463">
          <cell r="L10463" t="str">
            <v>Non-proportional</v>
          </cell>
          <cell r="S10463">
            <v>-17.78</v>
          </cell>
          <cell r="X10463" t="str">
            <v>Variation UPR - gross</v>
          </cell>
          <cell r="Y10463" t="str">
            <v>EUROPE</v>
          </cell>
        </row>
        <row r="10464">
          <cell r="L10464" t="str">
            <v>Proportional</v>
          </cell>
          <cell r="S10464">
            <v>-34593.54</v>
          </cell>
          <cell r="X10464" t="str">
            <v>Variation UPR - gross</v>
          </cell>
          <cell r="Y10464" t="str">
            <v>GERMANY</v>
          </cell>
        </row>
        <row r="10465">
          <cell r="L10465" t="str">
            <v>Non-proportional</v>
          </cell>
          <cell r="S10465">
            <v>-50994.97</v>
          </cell>
          <cell r="X10465" t="str">
            <v>Variation UPR - gross</v>
          </cell>
          <cell r="Y10465" t="str">
            <v>UNITED KINGDOM</v>
          </cell>
        </row>
        <row r="10466">
          <cell r="L10466" t="str">
            <v>Non-proportional</v>
          </cell>
          <cell r="S10466">
            <v>-3329.84</v>
          </cell>
          <cell r="X10466" t="str">
            <v>Variation UPR - gross</v>
          </cell>
          <cell r="Y10466" t="str">
            <v>GERMANY</v>
          </cell>
        </row>
        <row r="10467">
          <cell r="L10467" t="str">
            <v>Non-proportional</v>
          </cell>
          <cell r="S10467">
            <v>15.77</v>
          </cell>
          <cell r="X10467" t="str">
            <v>Variation UPR - gross</v>
          </cell>
          <cell r="Y10467" t="str">
            <v>SWEDEN</v>
          </cell>
        </row>
        <row r="10468">
          <cell r="L10468" t="str">
            <v>Non-proportional</v>
          </cell>
          <cell r="S10468">
            <v>-7590</v>
          </cell>
          <cell r="X10468" t="str">
            <v>Variation UPR - gross</v>
          </cell>
          <cell r="Y10468" t="str">
            <v>GERMANY</v>
          </cell>
        </row>
        <row r="10469">
          <cell r="L10469" t="str">
            <v>Non-proportional</v>
          </cell>
          <cell r="S10469">
            <v>-6278.17</v>
          </cell>
          <cell r="X10469" t="str">
            <v>Variation UPR - gross</v>
          </cell>
          <cell r="Y10469" t="str">
            <v>SWEDEN</v>
          </cell>
        </row>
        <row r="10470">
          <cell r="L10470" t="str">
            <v>Non-proportional</v>
          </cell>
          <cell r="S10470">
            <v>-175.18</v>
          </cell>
          <cell r="X10470" t="str">
            <v>Variation UPR - gross</v>
          </cell>
          <cell r="Y10470" t="str">
            <v>ITALY</v>
          </cell>
        </row>
        <row r="10471">
          <cell r="L10471" t="str">
            <v>Non-proportional</v>
          </cell>
          <cell r="S10471">
            <v>-23058.97</v>
          </cell>
          <cell r="X10471" t="str">
            <v>Variation UPR - gross</v>
          </cell>
          <cell r="Y10471" t="str">
            <v>FRANCE</v>
          </cell>
        </row>
        <row r="10472">
          <cell r="L10472" t="str">
            <v>Non-proportional</v>
          </cell>
          <cell r="S10472">
            <v>-12282.14</v>
          </cell>
          <cell r="X10472" t="str">
            <v>Variation UPR - gross</v>
          </cell>
          <cell r="Y10472" t="str">
            <v>DENMARK</v>
          </cell>
        </row>
        <row r="10473">
          <cell r="L10473" t="str">
            <v>Non-proportional</v>
          </cell>
          <cell r="S10473">
            <v>-11354.85</v>
          </cell>
          <cell r="X10473" t="str">
            <v>Variation UPR - gross</v>
          </cell>
          <cell r="Y10473" t="str">
            <v>GERMANY</v>
          </cell>
        </row>
        <row r="10474">
          <cell r="L10474" t="str">
            <v>Non-proportional</v>
          </cell>
          <cell r="S10474">
            <v>-6037.5</v>
          </cell>
          <cell r="X10474" t="str">
            <v>Variation UPR - gross</v>
          </cell>
          <cell r="Y10474" t="str">
            <v>GERMANY</v>
          </cell>
        </row>
        <row r="10475">
          <cell r="L10475" t="str">
            <v>Non-proportional</v>
          </cell>
          <cell r="S10475">
            <v>-11126.04</v>
          </cell>
          <cell r="X10475" t="str">
            <v>Variation UPR - gross</v>
          </cell>
          <cell r="Y10475" t="str">
            <v>UNITED KINGDOM</v>
          </cell>
        </row>
        <row r="10476">
          <cell r="L10476" t="str">
            <v>Non-proportional</v>
          </cell>
          <cell r="S10476">
            <v>-19920.240000000002</v>
          </cell>
          <cell r="X10476" t="str">
            <v>Variation UPR - gross</v>
          </cell>
          <cell r="Y10476" t="str">
            <v>FRANCE</v>
          </cell>
        </row>
        <row r="10477">
          <cell r="L10477" t="str">
            <v>Non-proportional</v>
          </cell>
          <cell r="S10477">
            <v>-20515.38</v>
          </cell>
          <cell r="X10477" t="str">
            <v>Variation UPR - gross</v>
          </cell>
          <cell r="Y10477" t="str">
            <v>UNITED KINGDOM</v>
          </cell>
        </row>
        <row r="10478">
          <cell r="L10478" t="str">
            <v>Non-proportional</v>
          </cell>
          <cell r="S10478">
            <v>-40323.35</v>
          </cell>
          <cell r="X10478" t="str">
            <v>Variation UPR - gross</v>
          </cell>
          <cell r="Y10478" t="str">
            <v>UNITED KINGDOM</v>
          </cell>
        </row>
        <row r="10479">
          <cell r="L10479" t="str">
            <v>Non-proportional</v>
          </cell>
          <cell r="S10479">
            <v>-3333.42</v>
          </cell>
          <cell r="X10479" t="str">
            <v>Variation UPR - gross</v>
          </cell>
          <cell r="Y10479" t="str">
            <v>ITALY</v>
          </cell>
        </row>
        <row r="10480">
          <cell r="L10480" t="str">
            <v>Non-proportional</v>
          </cell>
          <cell r="S10480">
            <v>-0.02</v>
          </cell>
          <cell r="X10480" t="str">
            <v>Variation UPR - gross</v>
          </cell>
          <cell r="Y10480" t="str">
            <v>JAPAN</v>
          </cell>
        </row>
        <row r="10481">
          <cell r="L10481" t="str">
            <v>Non-proportional</v>
          </cell>
          <cell r="S10481">
            <v>-10537.8</v>
          </cell>
          <cell r="X10481" t="str">
            <v>Variation UPR - gross</v>
          </cell>
          <cell r="Y10481" t="str">
            <v>GERMANY</v>
          </cell>
        </row>
        <row r="10482">
          <cell r="L10482" t="str">
            <v>Non-proportional</v>
          </cell>
          <cell r="S10482">
            <v>-8454.4599999999991</v>
          </cell>
          <cell r="X10482" t="str">
            <v>Variation UPR - gross</v>
          </cell>
          <cell r="Y10482" t="str">
            <v>EUROPE</v>
          </cell>
        </row>
        <row r="10483">
          <cell r="L10483" t="str">
            <v>Non-proportional</v>
          </cell>
          <cell r="S10483">
            <v>-750</v>
          </cell>
          <cell r="X10483" t="str">
            <v>Variation UPR - gross</v>
          </cell>
          <cell r="Y10483" t="str">
            <v>GERMANY</v>
          </cell>
        </row>
        <row r="10484">
          <cell r="L10484" t="str">
            <v>Non-proportional</v>
          </cell>
          <cell r="S10484">
            <v>-18706.169999999998</v>
          </cell>
          <cell r="X10484" t="str">
            <v>Variation UPR - gross</v>
          </cell>
          <cell r="Y10484" t="str">
            <v>GERMANY</v>
          </cell>
        </row>
        <row r="10485">
          <cell r="L10485" t="str">
            <v>Non-proportional</v>
          </cell>
          <cell r="S10485">
            <v>-6416.67</v>
          </cell>
          <cell r="X10485" t="str">
            <v>Variation UPR - gross</v>
          </cell>
          <cell r="Y10485" t="str">
            <v>GERMANY</v>
          </cell>
        </row>
        <row r="10486">
          <cell r="L10486" t="str">
            <v>Non-proportional</v>
          </cell>
          <cell r="S10486">
            <v>-10209.379999999999</v>
          </cell>
          <cell r="X10486" t="str">
            <v>Variation UPR - gross</v>
          </cell>
          <cell r="Y10486" t="str">
            <v>GERMANY</v>
          </cell>
        </row>
        <row r="10487">
          <cell r="L10487" t="str">
            <v>Non-proportional</v>
          </cell>
          <cell r="S10487">
            <v>65898.91</v>
          </cell>
          <cell r="X10487" t="str">
            <v>Variation UPR - gross</v>
          </cell>
          <cell r="Y10487" t="str">
            <v>UNITED KINGDOM</v>
          </cell>
        </row>
        <row r="10488">
          <cell r="L10488" t="str">
            <v>Non-proportional</v>
          </cell>
          <cell r="S10488">
            <v>-12458.33</v>
          </cell>
          <cell r="X10488" t="str">
            <v>Variation UPR - gross</v>
          </cell>
          <cell r="Y10488" t="str">
            <v>GERMANY</v>
          </cell>
        </row>
        <row r="10489">
          <cell r="L10489" t="str">
            <v>Non-proportional</v>
          </cell>
          <cell r="S10489">
            <v>-7590</v>
          </cell>
          <cell r="X10489" t="str">
            <v>Variation UPR - gross</v>
          </cell>
          <cell r="Y10489" t="str">
            <v>GERMANY</v>
          </cell>
        </row>
        <row r="10490">
          <cell r="L10490" t="str">
            <v>Non-proportional</v>
          </cell>
          <cell r="S10490">
            <v>-20924.87</v>
          </cell>
          <cell r="X10490" t="str">
            <v>Variation UPR - gross</v>
          </cell>
          <cell r="Y10490" t="str">
            <v>FRANCE</v>
          </cell>
        </row>
        <row r="10491">
          <cell r="L10491" t="str">
            <v>Non-proportional</v>
          </cell>
          <cell r="S10491">
            <v>-7770.84</v>
          </cell>
          <cell r="X10491" t="str">
            <v>Variation UPR - gross</v>
          </cell>
          <cell r="Y10491" t="str">
            <v>FRANCE</v>
          </cell>
        </row>
        <row r="10492">
          <cell r="L10492" t="str">
            <v>Non-proportional</v>
          </cell>
          <cell r="S10492">
            <v>-6980.63</v>
          </cell>
          <cell r="X10492" t="str">
            <v>Variation UPR - gross</v>
          </cell>
          <cell r="Y10492" t="str">
            <v>UNITED KINGDOM</v>
          </cell>
        </row>
        <row r="10493">
          <cell r="L10493" t="str">
            <v>Non-proportional</v>
          </cell>
          <cell r="S10493">
            <v>-2065.29</v>
          </cell>
          <cell r="X10493" t="str">
            <v>Variation UPR - gross</v>
          </cell>
          <cell r="Y10493" t="str">
            <v>EUROPE</v>
          </cell>
        </row>
        <row r="10494">
          <cell r="L10494" t="str">
            <v>Non-proportional</v>
          </cell>
          <cell r="S10494">
            <v>-2357.5</v>
          </cell>
          <cell r="X10494" t="str">
            <v>Variation UPR - gross</v>
          </cell>
          <cell r="Y10494" t="str">
            <v>GERMANY</v>
          </cell>
        </row>
        <row r="10495">
          <cell r="L10495" t="str">
            <v>Non-proportional</v>
          </cell>
          <cell r="S10495">
            <v>-8837.7099999999991</v>
          </cell>
          <cell r="X10495" t="str">
            <v>Variation UPR - gross</v>
          </cell>
          <cell r="Y10495" t="str">
            <v>GERMANY</v>
          </cell>
        </row>
        <row r="10496">
          <cell r="L10496" t="str">
            <v>Non-proportional</v>
          </cell>
          <cell r="S10496">
            <v>-5005.8</v>
          </cell>
          <cell r="X10496" t="str">
            <v>Variation UPR - gross</v>
          </cell>
          <cell r="Y10496" t="str">
            <v>FRANCE</v>
          </cell>
        </row>
        <row r="10497">
          <cell r="L10497" t="str">
            <v>Non-proportional</v>
          </cell>
          <cell r="S10497">
            <v>-14120</v>
          </cell>
          <cell r="X10497" t="str">
            <v>Variation UPR - gross</v>
          </cell>
          <cell r="Y10497" t="str">
            <v>AUSTRIA</v>
          </cell>
        </row>
        <row r="10498">
          <cell r="L10498" t="str">
            <v>Non-proportional</v>
          </cell>
          <cell r="S10498">
            <v>-57113.65</v>
          </cell>
          <cell r="X10498" t="str">
            <v>Variation UPR - gross</v>
          </cell>
          <cell r="Y10498" t="str">
            <v>UNITED KINGDOM</v>
          </cell>
        </row>
        <row r="10499">
          <cell r="L10499" t="str">
            <v>Non-proportional</v>
          </cell>
          <cell r="S10499">
            <v>-23854.17</v>
          </cell>
          <cell r="X10499" t="str">
            <v>Variation UPR - gross</v>
          </cell>
          <cell r="Y10499" t="str">
            <v>AUSTRIA</v>
          </cell>
        </row>
        <row r="10500">
          <cell r="L10500" t="str">
            <v>Non-proportional</v>
          </cell>
          <cell r="S10500">
            <v>-8697.67</v>
          </cell>
          <cell r="X10500" t="str">
            <v>Variation UPR - gross</v>
          </cell>
          <cell r="Y10500" t="str">
            <v>GERMANY</v>
          </cell>
        </row>
        <row r="10501">
          <cell r="L10501" t="str">
            <v>Non-proportional</v>
          </cell>
          <cell r="S10501">
            <v>-11683.05</v>
          </cell>
          <cell r="X10501" t="str">
            <v>Variation UPR - gross</v>
          </cell>
          <cell r="Y10501" t="str">
            <v>UNITED KINGDOM</v>
          </cell>
        </row>
        <row r="10502">
          <cell r="L10502" t="str">
            <v>Non-proportional</v>
          </cell>
          <cell r="S10502">
            <v>3.44</v>
          </cell>
          <cell r="X10502" t="str">
            <v>Variation UPR - gross</v>
          </cell>
          <cell r="Y10502" t="str">
            <v>DENMARK</v>
          </cell>
        </row>
        <row r="10503">
          <cell r="L10503" t="str">
            <v>Non-proportional</v>
          </cell>
          <cell r="S10503">
            <v>-5484.12</v>
          </cell>
          <cell r="X10503" t="str">
            <v>Variation UPR - gross</v>
          </cell>
          <cell r="Y10503" t="str">
            <v>EUROPE</v>
          </cell>
        </row>
        <row r="10504">
          <cell r="L10504" t="str">
            <v>Non-proportional</v>
          </cell>
          <cell r="S10504">
            <v>-1401.66</v>
          </cell>
          <cell r="X10504" t="str">
            <v>Variation UPR - gross</v>
          </cell>
          <cell r="Y10504" t="str">
            <v>GERMANY</v>
          </cell>
        </row>
        <row r="10505">
          <cell r="L10505" t="str">
            <v>Non-proportional</v>
          </cell>
          <cell r="S10505">
            <v>-27589.66</v>
          </cell>
          <cell r="X10505" t="str">
            <v>Variation UPR - gross</v>
          </cell>
          <cell r="Y10505" t="str">
            <v>UNITED KINGDOM</v>
          </cell>
        </row>
        <row r="10506">
          <cell r="L10506" t="str">
            <v>Non-proportional</v>
          </cell>
          <cell r="S10506">
            <v>-53028.72</v>
          </cell>
          <cell r="X10506" t="str">
            <v>Variation UPR - gross</v>
          </cell>
          <cell r="Y10506" t="str">
            <v>UNITED KINGDOM</v>
          </cell>
        </row>
        <row r="10507">
          <cell r="L10507" t="str">
            <v>Non-proportional</v>
          </cell>
          <cell r="S10507">
            <v>-56880.24</v>
          </cell>
          <cell r="X10507" t="str">
            <v>Variation UPR - gross</v>
          </cell>
          <cell r="Y10507" t="str">
            <v>UNITED KINGDOM</v>
          </cell>
        </row>
        <row r="10508">
          <cell r="L10508" t="str">
            <v>Non-proportional</v>
          </cell>
          <cell r="S10508">
            <v>-8072.83</v>
          </cell>
          <cell r="X10508" t="str">
            <v>Variation UPR - gross</v>
          </cell>
          <cell r="Y10508" t="str">
            <v>GERMANY</v>
          </cell>
        </row>
        <row r="10509">
          <cell r="L10509" t="str">
            <v>Non-proportional</v>
          </cell>
          <cell r="S10509">
            <v>-54.83</v>
          </cell>
          <cell r="X10509" t="str">
            <v>Variation UPR - gross</v>
          </cell>
          <cell r="Y10509" t="str">
            <v>FRANCE</v>
          </cell>
        </row>
        <row r="10510">
          <cell r="L10510" t="str">
            <v>Non-proportional</v>
          </cell>
          <cell r="S10510">
            <v>-16112.84</v>
          </cell>
          <cell r="X10510" t="str">
            <v>Variation UPR - gross</v>
          </cell>
          <cell r="Y10510" t="str">
            <v>EUROPE</v>
          </cell>
        </row>
        <row r="10511">
          <cell r="L10511" t="str">
            <v>Non-proportional</v>
          </cell>
          <cell r="S10511">
            <v>-9407</v>
          </cell>
          <cell r="X10511" t="str">
            <v>Variation UPR - gross</v>
          </cell>
          <cell r="Y10511" t="str">
            <v>GERMANY</v>
          </cell>
        </row>
        <row r="10512">
          <cell r="L10512" t="str">
            <v>Non-proportional</v>
          </cell>
          <cell r="S10512">
            <v>0.16</v>
          </cell>
          <cell r="X10512" t="str">
            <v>Variation UPR - gross</v>
          </cell>
          <cell r="Y10512" t="str">
            <v>DENMARK</v>
          </cell>
        </row>
        <row r="10513">
          <cell r="L10513" t="str">
            <v>Non-proportional</v>
          </cell>
          <cell r="S10513">
            <v>-0.03</v>
          </cell>
          <cell r="X10513" t="str">
            <v>Variation UPR - gross</v>
          </cell>
          <cell r="Y10513" t="str">
            <v>ICELAND</v>
          </cell>
        </row>
        <row r="10514">
          <cell r="L10514" t="str">
            <v>Non-proportional</v>
          </cell>
          <cell r="S10514">
            <v>-20002.47</v>
          </cell>
          <cell r="X10514" t="str">
            <v>Variation UPR - gross</v>
          </cell>
          <cell r="Y10514" t="str">
            <v>CZECH REPUBLIC</v>
          </cell>
        </row>
        <row r="10515">
          <cell r="L10515" t="str">
            <v>Non-proportional</v>
          </cell>
          <cell r="S10515">
            <v>-754.72</v>
          </cell>
          <cell r="X10515" t="str">
            <v>Variation UPR - gross</v>
          </cell>
          <cell r="Y10515" t="str">
            <v>JAPAN</v>
          </cell>
        </row>
        <row r="10516">
          <cell r="L10516" t="str">
            <v>Non-proportional</v>
          </cell>
          <cell r="S10516">
            <v>-3512</v>
          </cell>
          <cell r="X10516" t="str">
            <v>Variation UPR - gross</v>
          </cell>
          <cell r="Y10516" t="str">
            <v>SPAIN</v>
          </cell>
        </row>
        <row r="10517">
          <cell r="L10517" t="str">
            <v>Non-proportional</v>
          </cell>
          <cell r="S10517">
            <v>-29416.67</v>
          </cell>
          <cell r="X10517" t="str">
            <v>Variation UPR - gross</v>
          </cell>
          <cell r="Y10517" t="str">
            <v>EUROPE</v>
          </cell>
        </row>
        <row r="10518">
          <cell r="L10518" t="str">
            <v>Non-proportional</v>
          </cell>
          <cell r="S10518">
            <v>-117.79</v>
          </cell>
          <cell r="X10518" t="str">
            <v>Variation UPR - gross</v>
          </cell>
          <cell r="Y10518" t="str">
            <v>FRANCE</v>
          </cell>
        </row>
        <row r="10519">
          <cell r="L10519" t="str">
            <v>Non-proportional</v>
          </cell>
          <cell r="S10519">
            <v>-12555.26</v>
          </cell>
          <cell r="X10519" t="str">
            <v>Variation UPR - gross</v>
          </cell>
          <cell r="Y10519" t="str">
            <v>SWEDEN</v>
          </cell>
        </row>
        <row r="10520">
          <cell r="L10520" t="str">
            <v>Non-proportional</v>
          </cell>
          <cell r="S10520">
            <v>-11825.5</v>
          </cell>
          <cell r="X10520" t="str">
            <v>Variation UPR - gross</v>
          </cell>
          <cell r="Y10520" t="str">
            <v>AUSTRIA</v>
          </cell>
        </row>
        <row r="10521">
          <cell r="L10521" t="str">
            <v>Non-proportional</v>
          </cell>
          <cell r="S10521">
            <v>-18973.75</v>
          </cell>
          <cell r="X10521" t="str">
            <v>Variation UPR - gross</v>
          </cell>
          <cell r="Y10521" t="str">
            <v>AUSTRIA</v>
          </cell>
        </row>
        <row r="10522">
          <cell r="L10522" t="str">
            <v>Non-proportional</v>
          </cell>
          <cell r="S10522">
            <v>-80647.12</v>
          </cell>
          <cell r="X10522" t="str">
            <v>Variation UPR - gross</v>
          </cell>
          <cell r="Y10522" t="str">
            <v>UNITED KINGDOM</v>
          </cell>
        </row>
        <row r="10523">
          <cell r="L10523" t="str">
            <v>Non-proportional</v>
          </cell>
          <cell r="S10523">
            <v>-2712.75</v>
          </cell>
          <cell r="X10523" t="str">
            <v>Variation UPR - gross</v>
          </cell>
          <cell r="Y10523" t="str">
            <v>GERMANY</v>
          </cell>
        </row>
        <row r="10524">
          <cell r="L10524" t="str">
            <v>Non-proportional</v>
          </cell>
          <cell r="S10524">
            <v>-9128.9599999999991</v>
          </cell>
          <cell r="X10524" t="str">
            <v>Variation UPR - gross</v>
          </cell>
          <cell r="Y10524" t="str">
            <v>GERMANY</v>
          </cell>
        </row>
        <row r="10525">
          <cell r="L10525" t="str">
            <v>Non-proportional</v>
          </cell>
          <cell r="S10525">
            <v>-5824.64</v>
          </cell>
          <cell r="X10525" t="str">
            <v>Variation UPR - gross</v>
          </cell>
          <cell r="Y10525" t="str">
            <v>NORWAY</v>
          </cell>
        </row>
        <row r="10526">
          <cell r="L10526" t="str">
            <v>Non-proportional</v>
          </cell>
          <cell r="S10526">
            <v>-7501.57</v>
          </cell>
          <cell r="X10526" t="str">
            <v>Variation UPR - gross</v>
          </cell>
          <cell r="Y10526" t="str">
            <v>GERMANY</v>
          </cell>
        </row>
        <row r="10527">
          <cell r="L10527" t="str">
            <v>Non-proportional</v>
          </cell>
          <cell r="S10527">
            <v>67484.86</v>
          </cell>
          <cell r="X10527" t="str">
            <v>Variation UPR - gross</v>
          </cell>
          <cell r="Y10527" t="str">
            <v>UNITED KINGDOM</v>
          </cell>
        </row>
        <row r="10528">
          <cell r="L10528" t="str">
            <v>Non-proportional</v>
          </cell>
          <cell r="S10528">
            <v>-129069.91</v>
          </cell>
          <cell r="X10528" t="str">
            <v>Variation UPR - gross</v>
          </cell>
          <cell r="Y10528" t="str">
            <v>UNITED KINGDOM</v>
          </cell>
        </row>
        <row r="10529">
          <cell r="L10529" t="str">
            <v>Non-proportional</v>
          </cell>
          <cell r="S10529">
            <v>-3850</v>
          </cell>
          <cell r="X10529" t="str">
            <v>Variation UPR - gross</v>
          </cell>
          <cell r="Y10529" t="str">
            <v>GERMANY</v>
          </cell>
        </row>
        <row r="10530">
          <cell r="L10530" t="str">
            <v>Non-proportional</v>
          </cell>
          <cell r="S10530">
            <v>-15.77</v>
          </cell>
          <cell r="X10530" t="str">
            <v>Variation UPR - gross</v>
          </cell>
          <cell r="Y10530" t="str">
            <v>NORWAY</v>
          </cell>
        </row>
        <row r="10531">
          <cell r="L10531" t="str">
            <v>Non-proportional</v>
          </cell>
          <cell r="S10531">
            <v>-11380.91</v>
          </cell>
          <cell r="X10531" t="str">
            <v>Variation UPR - gross</v>
          </cell>
          <cell r="Y10531" t="str">
            <v>SWITZERLAND</v>
          </cell>
        </row>
        <row r="10532">
          <cell r="L10532" t="str">
            <v>Non-proportional</v>
          </cell>
          <cell r="S10532">
            <v>-3375</v>
          </cell>
          <cell r="X10532" t="str">
            <v>Variation UPR - gross</v>
          </cell>
          <cell r="Y10532" t="str">
            <v>GERMANY</v>
          </cell>
        </row>
        <row r="10533">
          <cell r="L10533" t="str">
            <v>Non-proportional</v>
          </cell>
          <cell r="S10533">
            <v>-58824.959999999999</v>
          </cell>
          <cell r="X10533" t="str">
            <v>Variation UPR - gross</v>
          </cell>
          <cell r="Y10533" t="str">
            <v>UNITED KINGDOM</v>
          </cell>
        </row>
        <row r="10534">
          <cell r="L10534" t="str">
            <v>Non-proportional</v>
          </cell>
          <cell r="S10534">
            <v>-2445.9</v>
          </cell>
          <cell r="X10534" t="str">
            <v>Variation UPR - gross</v>
          </cell>
          <cell r="Y10534" t="str">
            <v>SWEDEN</v>
          </cell>
        </row>
        <row r="10535">
          <cell r="L10535" t="str">
            <v>Non-proportional</v>
          </cell>
          <cell r="S10535">
            <v>-9917.92</v>
          </cell>
          <cell r="X10535" t="str">
            <v>Variation UPR - gross</v>
          </cell>
          <cell r="Y10535" t="str">
            <v>CZECH REPUBLIC</v>
          </cell>
        </row>
        <row r="10536">
          <cell r="L10536" t="str">
            <v>Non-proportional</v>
          </cell>
          <cell r="S10536">
            <v>-3143.33</v>
          </cell>
          <cell r="X10536" t="str">
            <v>Variation UPR - gross</v>
          </cell>
          <cell r="Y10536" t="str">
            <v>GERMANY</v>
          </cell>
        </row>
        <row r="10537">
          <cell r="L10537" t="str">
            <v>Non-proportional</v>
          </cell>
          <cell r="S10537">
            <v>-20355</v>
          </cell>
          <cell r="X10537" t="str">
            <v>Variation UPR - gross</v>
          </cell>
          <cell r="Y10537" t="str">
            <v>GERMANY</v>
          </cell>
        </row>
        <row r="10538">
          <cell r="L10538" t="str">
            <v>Non-proportional</v>
          </cell>
          <cell r="S10538">
            <v>-5372.38</v>
          </cell>
          <cell r="X10538" t="str">
            <v>Variation UPR - gross</v>
          </cell>
          <cell r="Y10538" t="str">
            <v>DENMARK</v>
          </cell>
        </row>
        <row r="10539">
          <cell r="L10539" t="str">
            <v>Non-proportional</v>
          </cell>
          <cell r="S10539">
            <v>23584.17</v>
          </cell>
          <cell r="X10539" t="str">
            <v>Variation UPR - gross</v>
          </cell>
          <cell r="Y10539" t="str">
            <v>JAPAN</v>
          </cell>
        </row>
        <row r="10540">
          <cell r="L10540" t="str">
            <v>Non-proportional</v>
          </cell>
          <cell r="S10540">
            <v>-18847.7</v>
          </cell>
          <cell r="X10540" t="str">
            <v>Variation UPR - gross</v>
          </cell>
          <cell r="Y10540" t="str">
            <v>UNITED KINGDOM</v>
          </cell>
        </row>
        <row r="10541">
          <cell r="L10541" t="str">
            <v>Non-proportional</v>
          </cell>
          <cell r="S10541">
            <v>-1998.6</v>
          </cell>
          <cell r="X10541" t="str">
            <v>Variation UPR - gross</v>
          </cell>
          <cell r="Y10541" t="str">
            <v>SWITZERLAND</v>
          </cell>
        </row>
        <row r="10542">
          <cell r="L10542" t="str">
            <v>Non-proportional</v>
          </cell>
          <cell r="S10542">
            <v>-12073.16</v>
          </cell>
          <cell r="X10542" t="str">
            <v>Variation UPR - gross</v>
          </cell>
          <cell r="Y10542" t="str">
            <v>UNITED KINGDOM</v>
          </cell>
        </row>
        <row r="10543">
          <cell r="L10543" t="str">
            <v>Non-proportional</v>
          </cell>
          <cell r="S10543">
            <v>-2357.5</v>
          </cell>
          <cell r="X10543" t="str">
            <v>Variation UPR - gross</v>
          </cell>
          <cell r="Y10543" t="str">
            <v>GERMANY</v>
          </cell>
        </row>
        <row r="10544">
          <cell r="L10544" t="str">
            <v>Non-proportional</v>
          </cell>
          <cell r="S10544">
            <v>-6250</v>
          </cell>
          <cell r="X10544" t="str">
            <v>Variation UPR - gross</v>
          </cell>
          <cell r="Y10544" t="str">
            <v>GERMANY</v>
          </cell>
        </row>
        <row r="10545">
          <cell r="L10545" t="str">
            <v>Non-proportional</v>
          </cell>
          <cell r="S10545">
            <v>-0.02</v>
          </cell>
          <cell r="X10545" t="str">
            <v>Variation UPR - gross</v>
          </cell>
          <cell r="Y10545" t="str">
            <v>JAPAN</v>
          </cell>
        </row>
        <row r="10546">
          <cell r="L10546" t="str">
            <v>Non-proportional</v>
          </cell>
          <cell r="S10546">
            <v>-34502.01</v>
          </cell>
          <cell r="X10546" t="str">
            <v>Variation UPR - gross</v>
          </cell>
          <cell r="Y10546" t="str">
            <v>CZECH REPUBLIC</v>
          </cell>
        </row>
        <row r="10547">
          <cell r="L10547" t="str">
            <v>Non-proportional</v>
          </cell>
          <cell r="S10547">
            <v>-451.25</v>
          </cell>
          <cell r="X10547" t="str">
            <v>Variation UPR - gross</v>
          </cell>
          <cell r="Y10547" t="str">
            <v>ITALY</v>
          </cell>
        </row>
        <row r="10548">
          <cell r="L10548" t="str">
            <v>Non-proportional</v>
          </cell>
          <cell r="S10548">
            <v>-320416.37</v>
          </cell>
          <cell r="X10548" t="str">
            <v>Variation UPR - gross</v>
          </cell>
          <cell r="Y10548" t="str">
            <v>UNITED KINGDOM</v>
          </cell>
        </row>
        <row r="10549">
          <cell r="L10549" t="str">
            <v>Non-proportional</v>
          </cell>
          <cell r="S10549">
            <v>-6458.33</v>
          </cell>
          <cell r="X10549" t="str">
            <v>Variation UPR - gross</v>
          </cell>
          <cell r="Y10549" t="str">
            <v>AUSTRIA</v>
          </cell>
        </row>
        <row r="10550">
          <cell r="L10550" t="str">
            <v>Non-proportional</v>
          </cell>
          <cell r="S10550">
            <v>-270.67</v>
          </cell>
          <cell r="X10550" t="str">
            <v>Variation UPR - gross</v>
          </cell>
          <cell r="Y10550" t="str">
            <v>ITALY</v>
          </cell>
        </row>
        <row r="10551">
          <cell r="L10551" t="str">
            <v>Non-proportional</v>
          </cell>
          <cell r="S10551">
            <v>-1962.32</v>
          </cell>
          <cell r="X10551" t="str">
            <v>Variation UPR - gross</v>
          </cell>
          <cell r="Y10551" t="str">
            <v>GERMANY</v>
          </cell>
        </row>
        <row r="10552">
          <cell r="L10552" t="str">
            <v>Non-proportional</v>
          </cell>
          <cell r="S10552">
            <v>-19606.060000000001</v>
          </cell>
          <cell r="X10552" t="str">
            <v>Variation UPR - gross</v>
          </cell>
          <cell r="Y10552" t="str">
            <v>FRANCE</v>
          </cell>
        </row>
        <row r="10553">
          <cell r="L10553" t="str">
            <v>Non-proportional</v>
          </cell>
          <cell r="S10553">
            <v>-5244.98</v>
          </cell>
          <cell r="X10553" t="str">
            <v>Variation UPR - gross</v>
          </cell>
          <cell r="Y10553" t="str">
            <v>NORWAY</v>
          </cell>
        </row>
        <row r="10554">
          <cell r="L10554" t="str">
            <v>Non-proportional</v>
          </cell>
          <cell r="S10554">
            <v>-3890.33</v>
          </cell>
          <cell r="X10554" t="str">
            <v>Variation UPR - gross</v>
          </cell>
          <cell r="Y10554" t="str">
            <v>NORWAY</v>
          </cell>
        </row>
        <row r="10555">
          <cell r="L10555" t="str">
            <v>Non-proportional</v>
          </cell>
          <cell r="S10555">
            <v>-7700.13</v>
          </cell>
          <cell r="X10555" t="str">
            <v>Variation UPR - gross</v>
          </cell>
          <cell r="Y10555" t="str">
            <v>ICELAND</v>
          </cell>
        </row>
        <row r="10556">
          <cell r="L10556" t="str">
            <v>Non-proportional</v>
          </cell>
          <cell r="S10556">
            <v>-11.33</v>
          </cell>
          <cell r="X10556" t="str">
            <v>Variation UPR - gross</v>
          </cell>
          <cell r="Y10556" t="str">
            <v>JAPAN</v>
          </cell>
        </row>
        <row r="10557">
          <cell r="L10557" t="str">
            <v>Non-proportional</v>
          </cell>
          <cell r="S10557">
            <v>-1199.1600000000001</v>
          </cell>
          <cell r="X10557" t="str">
            <v>Variation UPR - gross</v>
          </cell>
          <cell r="Y10557" t="str">
            <v>SWITZERLAND</v>
          </cell>
        </row>
        <row r="10558">
          <cell r="L10558" t="str">
            <v>Non-proportional</v>
          </cell>
          <cell r="S10558">
            <v>-14008.64</v>
          </cell>
          <cell r="X10558" t="str">
            <v>Variation UPR - gross</v>
          </cell>
          <cell r="Y10558" t="str">
            <v>GERMANY</v>
          </cell>
        </row>
        <row r="10559">
          <cell r="L10559" t="str">
            <v>Non-proportional</v>
          </cell>
          <cell r="S10559">
            <v>-4237.9799999999996</v>
          </cell>
          <cell r="X10559" t="str">
            <v>Variation UPR - gross</v>
          </cell>
          <cell r="Y10559" t="str">
            <v>GERMANY</v>
          </cell>
        </row>
        <row r="10560">
          <cell r="L10560" t="str">
            <v>Non-proportional</v>
          </cell>
          <cell r="S10560">
            <v>-7604.21</v>
          </cell>
          <cell r="X10560" t="str">
            <v>Variation UPR - gross</v>
          </cell>
          <cell r="Y10560" t="str">
            <v>GERMANY</v>
          </cell>
        </row>
        <row r="10561">
          <cell r="L10561" t="str">
            <v>Non-proportional</v>
          </cell>
          <cell r="S10561">
            <v>-3392.5</v>
          </cell>
          <cell r="X10561" t="str">
            <v>Variation UPR - gross</v>
          </cell>
          <cell r="Y10561" t="str">
            <v>ITALY</v>
          </cell>
        </row>
        <row r="10562">
          <cell r="L10562" t="str">
            <v>Non-proportional</v>
          </cell>
          <cell r="S10562">
            <v>-0.03</v>
          </cell>
          <cell r="X10562" t="str">
            <v>Variation UPR - gross</v>
          </cell>
          <cell r="Y10562" t="str">
            <v>JAPAN</v>
          </cell>
        </row>
        <row r="10563">
          <cell r="L10563" t="str">
            <v>Non-proportional</v>
          </cell>
          <cell r="S10563">
            <v>-16500</v>
          </cell>
          <cell r="X10563" t="str">
            <v>Variation UPR - gross</v>
          </cell>
          <cell r="Y10563" t="str">
            <v>GERMANY</v>
          </cell>
        </row>
        <row r="10564">
          <cell r="L10564" t="str">
            <v>Non-proportional</v>
          </cell>
          <cell r="S10564">
            <v>-7305.19</v>
          </cell>
          <cell r="X10564" t="str">
            <v>Variation UPR - gross</v>
          </cell>
          <cell r="Y10564" t="str">
            <v>FAROE ISLANDS</v>
          </cell>
        </row>
        <row r="10565">
          <cell r="L10565" t="str">
            <v>Non-proportional</v>
          </cell>
          <cell r="S10565">
            <v>29323.03</v>
          </cell>
          <cell r="X10565" t="str">
            <v>Variation UPR - gross</v>
          </cell>
          <cell r="Y10565" t="str">
            <v>UNITED KINGDOM</v>
          </cell>
        </row>
        <row r="10566">
          <cell r="L10566" t="str">
            <v>Non-proportional</v>
          </cell>
          <cell r="S10566">
            <v>-351.66</v>
          </cell>
          <cell r="X10566" t="str">
            <v>Variation UPR - gross</v>
          </cell>
          <cell r="Y10566" t="str">
            <v>GERMANY</v>
          </cell>
        </row>
        <row r="10567">
          <cell r="L10567" t="str">
            <v>Non-proportional</v>
          </cell>
          <cell r="S10567">
            <v>-11591.88</v>
          </cell>
          <cell r="X10567" t="str">
            <v>Variation UPR - gross</v>
          </cell>
          <cell r="Y10567" t="str">
            <v>SWITZERLAND</v>
          </cell>
        </row>
        <row r="10568">
          <cell r="L10568" t="str">
            <v>Proportional</v>
          </cell>
          <cell r="S10568">
            <v>17296.77</v>
          </cell>
          <cell r="X10568" t="str">
            <v>Variation UPR - gross</v>
          </cell>
          <cell r="Y10568" t="str">
            <v>GERMANY</v>
          </cell>
        </row>
        <row r="10569">
          <cell r="L10569" t="str">
            <v>Non-proportional</v>
          </cell>
          <cell r="S10569">
            <v>-345</v>
          </cell>
          <cell r="X10569" t="str">
            <v>Variation UPR - gross</v>
          </cell>
          <cell r="Y10569" t="str">
            <v>ITALY</v>
          </cell>
        </row>
        <row r="10570">
          <cell r="L10570" t="str">
            <v>Non-proportional</v>
          </cell>
          <cell r="S10570">
            <v>-7200.1</v>
          </cell>
          <cell r="X10570" t="str">
            <v>Variation UPR - gross</v>
          </cell>
          <cell r="Y10570" t="str">
            <v>DENMARK</v>
          </cell>
        </row>
        <row r="10571">
          <cell r="L10571" t="str">
            <v>Non-proportional</v>
          </cell>
          <cell r="S10571">
            <v>-64952.97</v>
          </cell>
          <cell r="X10571" t="str">
            <v>Variation UPR - gross</v>
          </cell>
          <cell r="Y10571" t="str">
            <v>REPUBLIC OF IRELAND</v>
          </cell>
        </row>
        <row r="10572">
          <cell r="L10572" t="str">
            <v>Non-proportional</v>
          </cell>
          <cell r="S10572">
            <v>-527.08000000000004</v>
          </cell>
          <cell r="X10572" t="str">
            <v>Variation UPR - gross</v>
          </cell>
          <cell r="Y10572" t="str">
            <v>NORWAY</v>
          </cell>
        </row>
        <row r="10573">
          <cell r="L10573" t="str">
            <v>Non-proportional</v>
          </cell>
          <cell r="S10573">
            <v>-3107.33</v>
          </cell>
          <cell r="X10573" t="str">
            <v>Variation UPR - gross</v>
          </cell>
          <cell r="Y10573" t="str">
            <v>GERMANY</v>
          </cell>
        </row>
        <row r="10574">
          <cell r="L10574" t="str">
            <v>Non-proportional</v>
          </cell>
          <cell r="S10574">
            <v>-1243.58</v>
          </cell>
          <cell r="X10574" t="str">
            <v>Variation UPR - gross</v>
          </cell>
          <cell r="Y10574" t="str">
            <v>SWITZERLAND</v>
          </cell>
        </row>
        <row r="10575">
          <cell r="L10575" t="str">
            <v>Non-proportional</v>
          </cell>
          <cell r="S10575">
            <v>-313.62</v>
          </cell>
          <cell r="X10575" t="str">
            <v>Variation UPR - gross</v>
          </cell>
          <cell r="Y10575" t="str">
            <v>DENMARK</v>
          </cell>
        </row>
        <row r="10576">
          <cell r="L10576" t="str">
            <v>Proportional</v>
          </cell>
          <cell r="S10576">
            <v>-160112.5</v>
          </cell>
          <cell r="X10576" t="str">
            <v>Variation UPR - gross</v>
          </cell>
          <cell r="Y10576" t="str">
            <v>AUSTRIA</v>
          </cell>
        </row>
        <row r="10577">
          <cell r="L10577" t="str">
            <v>Non-proportional</v>
          </cell>
          <cell r="S10577">
            <v>-16377.41</v>
          </cell>
          <cell r="X10577" t="str">
            <v>Variation UPR - gross</v>
          </cell>
          <cell r="Y10577" t="str">
            <v>SWITZERLAND</v>
          </cell>
        </row>
        <row r="10578">
          <cell r="L10578" t="str">
            <v>Non-proportional</v>
          </cell>
          <cell r="S10578">
            <v>5.69</v>
          </cell>
          <cell r="X10578" t="str">
            <v>Variation UPR - gross</v>
          </cell>
          <cell r="Y10578" t="str">
            <v>DENMARK</v>
          </cell>
        </row>
        <row r="10579">
          <cell r="L10579" t="str">
            <v>Non-proportional</v>
          </cell>
          <cell r="S10579">
            <v>-893.66</v>
          </cell>
          <cell r="X10579" t="str">
            <v>Variation UPR - gross</v>
          </cell>
          <cell r="Y10579" t="str">
            <v>DENMARK</v>
          </cell>
        </row>
        <row r="10580">
          <cell r="L10580" t="str">
            <v>Non-proportional</v>
          </cell>
          <cell r="S10580">
            <v>-6699.99</v>
          </cell>
          <cell r="X10580" t="str">
            <v>Variation UPR - gross</v>
          </cell>
          <cell r="Y10580" t="str">
            <v>DENMARK</v>
          </cell>
        </row>
        <row r="10581">
          <cell r="L10581" t="str">
            <v>Non-proportional</v>
          </cell>
          <cell r="S10581">
            <v>-8844.9</v>
          </cell>
          <cell r="X10581" t="str">
            <v>Variation UPR - gross</v>
          </cell>
          <cell r="Y10581" t="str">
            <v>GERMANY</v>
          </cell>
        </row>
        <row r="10582">
          <cell r="L10582" t="str">
            <v>Non-proportional</v>
          </cell>
          <cell r="S10582">
            <v>-13397.65</v>
          </cell>
          <cell r="X10582" t="str">
            <v>Variation UPR - gross</v>
          </cell>
          <cell r="Y10582" t="str">
            <v>DENMARK</v>
          </cell>
        </row>
        <row r="10583">
          <cell r="L10583" t="str">
            <v>Non-proportional</v>
          </cell>
          <cell r="S10583">
            <v>-20707.14</v>
          </cell>
          <cell r="X10583" t="str">
            <v>Variation UPR - gross</v>
          </cell>
          <cell r="Y10583" t="str">
            <v>EUROPE</v>
          </cell>
        </row>
        <row r="10584">
          <cell r="L10584" t="str">
            <v>Non-proportional</v>
          </cell>
          <cell r="S10584">
            <v>-12424.29</v>
          </cell>
          <cell r="X10584" t="str">
            <v>Variation UPR - gross</v>
          </cell>
          <cell r="Y10584" t="str">
            <v>EUROPE</v>
          </cell>
        </row>
        <row r="10585">
          <cell r="L10585" t="str">
            <v>Non-proportional</v>
          </cell>
          <cell r="S10585">
            <v>-4050.5</v>
          </cell>
          <cell r="X10585" t="str">
            <v>Variation UPR - gross</v>
          </cell>
          <cell r="Y10585" t="str">
            <v>SWITZERLAND</v>
          </cell>
        </row>
        <row r="10586">
          <cell r="L10586" t="str">
            <v>Non-proportional</v>
          </cell>
          <cell r="S10586">
            <v>-3687.5</v>
          </cell>
          <cell r="X10586" t="str">
            <v>Variation UPR - gross</v>
          </cell>
          <cell r="Y10586" t="str">
            <v>GERMANY</v>
          </cell>
        </row>
        <row r="10587">
          <cell r="L10587" t="str">
            <v>Non-proportional</v>
          </cell>
          <cell r="S10587">
            <v>-7500.32</v>
          </cell>
          <cell r="X10587" t="str">
            <v>Variation UPR - gross</v>
          </cell>
          <cell r="Y10587" t="str">
            <v>NORWAY</v>
          </cell>
        </row>
        <row r="10588">
          <cell r="L10588" t="str">
            <v>Non-proportional</v>
          </cell>
          <cell r="S10588">
            <v>-10594.94</v>
          </cell>
          <cell r="X10588" t="str">
            <v>Variation UPR - gross</v>
          </cell>
          <cell r="Y10588" t="str">
            <v>GERMANY</v>
          </cell>
        </row>
        <row r="10589">
          <cell r="L10589" t="str">
            <v>Non-proportional</v>
          </cell>
          <cell r="S10589">
            <v>-321.45</v>
          </cell>
          <cell r="X10589" t="str">
            <v>Variation UPR - gross</v>
          </cell>
          <cell r="Y10589" t="str">
            <v>FRANCE</v>
          </cell>
        </row>
        <row r="10590">
          <cell r="L10590" t="str">
            <v>Non-proportional</v>
          </cell>
          <cell r="S10590">
            <v>-11882.26</v>
          </cell>
          <cell r="X10590" t="str">
            <v>Variation UPR - gross</v>
          </cell>
          <cell r="Y10590" t="str">
            <v>EUROPE</v>
          </cell>
        </row>
        <row r="10591">
          <cell r="L10591" t="str">
            <v>Non-proportional</v>
          </cell>
          <cell r="S10591">
            <v>-0.06</v>
          </cell>
          <cell r="X10591" t="str">
            <v>Variation UPR - gross</v>
          </cell>
          <cell r="Y10591" t="str">
            <v>ICELAND</v>
          </cell>
        </row>
        <row r="10592">
          <cell r="L10592" t="str">
            <v>Non-proportional</v>
          </cell>
          <cell r="S10592">
            <v>-781.54</v>
          </cell>
          <cell r="X10592" t="str">
            <v>Variation UPR - gross</v>
          </cell>
          <cell r="Y10592" t="str">
            <v>DENMARK</v>
          </cell>
        </row>
        <row r="10593">
          <cell r="L10593" t="str">
            <v>Non-proportional</v>
          </cell>
          <cell r="S10593">
            <v>-14602.5</v>
          </cell>
          <cell r="X10593" t="str">
            <v>Variation UPR - gross</v>
          </cell>
          <cell r="Y10593" t="str">
            <v>GERMANY</v>
          </cell>
        </row>
        <row r="10594">
          <cell r="L10594" t="str">
            <v>Non-proportional</v>
          </cell>
          <cell r="S10594">
            <v>-5717.64</v>
          </cell>
          <cell r="X10594" t="str">
            <v>Variation UPR - gross</v>
          </cell>
          <cell r="Y10594" t="str">
            <v>GERMANY</v>
          </cell>
        </row>
        <row r="10595">
          <cell r="L10595" t="str">
            <v>Non-proportional</v>
          </cell>
          <cell r="S10595">
            <v>-16329.27</v>
          </cell>
          <cell r="X10595" t="str">
            <v>Variation UPR - gross</v>
          </cell>
          <cell r="Y10595" t="str">
            <v>DENMARK</v>
          </cell>
        </row>
        <row r="10596">
          <cell r="L10596" t="str">
            <v>Non-proportional</v>
          </cell>
          <cell r="S10596">
            <v>-38709.71</v>
          </cell>
          <cell r="X10596" t="str">
            <v>Variation UPR - gross</v>
          </cell>
          <cell r="Y10596" t="str">
            <v>UNITED KINGDOM</v>
          </cell>
        </row>
        <row r="10597">
          <cell r="L10597" t="str">
            <v>Non-proportional</v>
          </cell>
          <cell r="S10597">
            <v>-43296.9</v>
          </cell>
          <cell r="X10597" t="str">
            <v>Variation UPR - gross</v>
          </cell>
          <cell r="Y10597" t="str">
            <v>UNITED KINGDOM</v>
          </cell>
        </row>
        <row r="10598">
          <cell r="L10598" t="str">
            <v>Non-proportional</v>
          </cell>
          <cell r="S10598">
            <v>-13280.48</v>
          </cell>
          <cell r="X10598" t="str">
            <v>Variation UPR - gross</v>
          </cell>
          <cell r="Y10598" t="str">
            <v>UNITED KINGDOM</v>
          </cell>
        </row>
        <row r="10599">
          <cell r="L10599" t="str">
            <v>Non-proportional</v>
          </cell>
          <cell r="S10599">
            <v>-12074.88</v>
          </cell>
          <cell r="X10599" t="str">
            <v>Variation UPR - gross</v>
          </cell>
          <cell r="Y10599" t="str">
            <v>FRANCE</v>
          </cell>
        </row>
        <row r="10600">
          <cell r="L10600" t="str">
            <v>Non-proportional</v>
          </cell>
          <cell r="S10600">
            <v>-7074.27</v>
          </cell>
          <cell r="X10600" t="str">
            <v>Variation UPR - gross</v>
          </cell>
          <cell r="Y10600" t="str">
            <v>UNITED KINGDOM</v>
          </cell>
        </row>
        <row r="10601">
          <cell r="L10601" t="str">
            <v>Non-proportional</v>
          </cell>
          <cell r="S10601">
            <v>-43750</v>
          </cell>
          <cell r="X10601" t="str">
            <v>Variation UPR - gross</v>
          </cell>
          <cell r="Y10601" t="str">
            <v>GERMANY</v>
          </cell>
        </row>
        <row r="10602">
          <cell r="L10602" t="str">
            <v>Non-proportional</v>
          </cell>
          <cell r="S10602">
            <v>4.79</v>
          </cell>
          <cell r="X10602" t="str">
            <v>Variation UPR - gross</v>
          </cell>
          <cell r="Y10602" t="str">
            <v>SWEDEN</v>
          </cell>
        </row>
        <row r="10603">
          <cell r="L10603" t="str">
            <v>Non-proportional</v>
          </cell>
          <cell r="S10603">
            <v>-10015.08</v>
          </cell>
          <cell r="X10603" t="str">
            <v>Variation UPR - gross</v>
          </cell>
          <cell r="Y10603" t="str">
            <v>AUSTRIA</v>
          </cell>
        </row>
        <row r="10604">
          <cell r="L10604" t="str">
            <v>Non-proportional</v>
          </cell>
          <cell r="S10604">
            <v>-12362.81</v>
          </cell>
          <cell r="X10604" t="str">
            <v>Variation UPR - gross</v>
          </cell>
          <cell r="Y10604" t="str">
            <v>UNITED KINGDOM</v>
          </cell>
        </row>
        <row r="10605">
          <cell r="L10605" t="str">
            <v>Non-proportional</v>
          </cell>
          <cell r="S10605">
            <v>-17609.03</v>
          </cell>
          <cell r="X10605" t="str">
            <v>Variation UPR - gross</v>
          </cell>
          <cell r="Y10605" t="str">
            <v>AUSTRIA</v>
          </cell>
        </row>
        <row r="10606">
          <cell r="L10606" t="str">
            <v>Non-proportional</v>
          </cell>
          <cell r="S10606">
            <v>-12435.36</v>
          </cell>
          <cell r="X10606" t="str">
            <v>Variation UPR - gross</v>
          </cell>
          <cell r="Y10606" t="str">
            <v>UNITED KINGDOM</v>
          </cell>
        </row>
        <row r="10607">
          <cell r="L10607" t="str">
            <v>Non-proportional</v>
          </cell>
          <cell r="S10607">
            <v>-3436.97</v>
          </cell>
          <cell r="X10607" t="str">
            <v>Variation UPR - gross</v>
          </cell>
          <cell r="Y10607" t="str">
            <v>EUROPE</v>
          </cell>
        </row>
        <row r="10608">
          <cell r="L10608" t="str">
            <v>Non-proportional</v>
          </cell>
          <cell r="S10608">
            <v>-25886.33</v>
          </cell>
          <cell r="X10608" t="str">
            <v>Variation UPR - gross</v>
          </cell>
          <cell r="Y10608" t="str">
            <v>CZECH REPUBLIC</v>
          </cell>
        </row>
        <row r="10609">
          <cell r="L10609" t="str">
            <v>Non-proportional</v>
          </cell>
          <cell r="S10609">
            <v>-977.1</v>
          </cell>
          <cell r="X10609" t="str">
            <v>Variation UPR - gross</v>
          </cell>
          <cell r="Y10609" t="str">
            <v>SWITZERLAND</v>
          </cell>
        </row>
        <row r="10610">
          <cell r="L10610" t="str">
            <v>Non-proportional</v>
          </cell>
          <cell r="S10610">
            <v>-2019.59</v>
          </cell>
          <cell r="X10610" t="str">
            <v>Variation UPR - gross</v>
          </cell>
          <cell r="Y10610" t="str">
            <v>JAPAN</v>
          </cell>
        </row>
        <row r="10611">
          <cell r="L10611" t="str">
            <v>Non-proportional</v>
          </cell>
          <cell r="S10611">
            <v>26474.51</v>
          </cell>
          <cell r="X10611" t="str">
            <v>Variation UPR - gross</v>
          </cell>
          <cell r="Y10611" t="str">
            <v>UNITED KINGDOM</v>
          </cell>
        </row>
        <row r="10612">
          <cell r="L10612" t="str">
            <v>Non-proportional</v>
          </cell>
          <cell r="S10612">
            <v>-865.58</v>
          </cell>
          <cell r="X10612" t="str">
            <v>Variation UPR - gross</v>
          </cell>
          <cell r="Y10612" t="str">
            <v>ITALY</v>
          </cell>
        </row>
        <row r="10613">
          <cell r="L10613" t="str">
            <v>Non-proportional</v>
          </cell>
          <cell r="S10613">
            <v>-170100</v>
          </cell>
          <cell r="X10613" t="str">
            <v>Variation UPR - gross</v>
          </cell>
          <cell r="Y10613" t="str">
            <v>ROMANIA</v>
          </cell>
        </row>
        <row r="10614">
          <cell r="L10614" t="str">
            <v>Non-proportional</v>
          </cell>
          <cell r="S10614">
            <v>-837.4</v>
          </cell>
          <cell r="X10614" t="str">
            <v>Variation UPR - gross</v>
          </cell>
          <cell r="Y10614" t="str">
            <v>DENMARK</v>
          </cell>
        </row>
        <row r="10615">
          <cell r="L10615" t="str">
            <v>Non-proportional</v>
          </cell>
          <cell r="S10615">
            <v>-40598.230000000003</v>
          </cell>
          <cell r="X10615" t="str">
            <v>Variation UPR - gross</v>
          </cell>
          <cell r="Y10615" t="str">
            <v>SWITZERLAND</v>
          </cell>
        </row>
        <row r="10616">
          <cell r="L10616" t="str">
            <v>Non-proportional</v>
          </cell>
          <cell r="S10616">
            <v>-7454.57</v>
          </cell>
          <cell r="X10616" t="str">
            <v>Variation UPR - gross</v>
          </cell>
          <cell r="Y10616" t="str">
            <v>EUROPE</v>
          </cell>
        </row>
        <row r="10617">
          <cell r="L10617" t="str">
            <v>Non-proportional</v>
          </cell>
          <cell r="S10617">
            <v>-1938.89</v>
          </cell>
          <cell r="X10617" t="str">
            <v>Variation UPR - gross</v>
          </cell>
          <cell r="Y10617" t="str">
            <v>REPUBLIC OF IRELAND</v>
          </cell>
        </row>
        <row r="10618">
          <cell r="L10618" t="str">
            <v>Non-proportional</v>
          </cell>
          <cell r="S10618">
            <v>-873.38</v>
          </cell>
          <cell r="X10618" t="str">
            <v>Variation UPR - gross</v>
          </cell>
          <cell r="Y10618" t="str">
            <v>GERMANY</v>
          </cell>
        </row>
        <row r="10619">
          <cell r="L10619" t="str">
            <v>Non-proportional</v>
          </cell>
          <cell r="S10619">
            <v>-8970.6200000000008</v>
          </cell>
          <cell r="X10619" t="str">
            <v>Variation UPR - gross</v>
          </cell>
          <cell r="Y10619" t="str">
            <v>GERMANY</v>
          </cell>
        </row>
        <row r="10620">
          <cell r="L10620" t="str">
            <v>Non-proportional</v>
          </cell>
          <cell r="S10620">
            <v>-5362.5</v>
          </cell>
          <cell r="X10620" t="str">
            <v>Variation UPR - gross</v>
          </cell>
          <cell r="Y10620" t="str">
            <v>GERMANY</v>
          </cell>
        </row>
        <row r="10621">
          <cell r="L10621" t="str">
            <v>Non-proportional</v>
          </cell>
          <cell r="S10621">
            <v>-22206.66</v>
          </cell>
          <cell r="X10621" t="str">
            <v>Variation UPR - gross</v>
          </cell>
          <cell r="Y10621" t="str">
            <v>SWITZERLAND</v>
          </cell>
        </row>
        <row r="10622">
          <cell r="L10622" t="str">
            <v>Non-proportional</v>
          </cell>
          <cell r="S10622">
            <v>-8940.9599999999991</v>
          </cell>
          <cell r="X10622" t="str">
            <v>Variation UPR - gross</v>
          </cell>
          <cell r="Y10622" t="str">
            <v>UNITED KINGDOM</v>
          </cell>
        </row>
        <row r="10623">
          <cell r="L10623" t="str">
            <v>Non-proportional</v>
          </cell>
          <cell r="S10623">
            <v>-575</v>
          </cell>
          <cell r="X10623" t="str">
            <v>Variation UPR - gross</v>
          </cell>
          <cell r="Y10623" t="str">
            <v>ITALY</v>
          </cell>
        </row>
        <row r="10624">
          <cell r="L10624" t="str">
            <v>Non-proportional</v>
          </cell>
          <cell r="S10624">
            <v>-8125</v>
          </cell>
          <cell r="X10624" t="str">
            <v>Variation UPR - gross</v>
          </cell>
          <cell r="Y10624" t="str">
            <v>CZECH REPUBLIC</v>
          </cell>
        </row>
        <row r="10625">
          <cell r="L10625" t="str">
            <v>Non-proportional</v>
          </cell>
          <cell r="S10625">
            <v>-718.44</v>
          </cell>
          <cell r="X10625" t="str">
            <v>Variation UPR - gross</v>
          </cell>
          <cell r="Y10625" t="str">
            <v>ITALY</v>
          </cell>
        </row>
        <row r="10626">
          <cell r="L10626" t="str">
            <v>Non-proportional</v>
          </cell>
          <cell r="S10626">
            <v>-29362.5</v>
          </cell>
          <cell r="X10626" t="str">
            <v>Variation UPR - gross</v>
          </cell>
          <cell r="Y10626" t="str">
            <v>ROMANIA</v>
          </cell>
        </row>
        <row r="10627">
          <cell r="L10627" t="str">
            <v>Non-proportional</v>
          </cell>
          <cell r="S10627">
            <v>-21185.16</v>
          </cell>
          <cell r="X10627" t="str">
            <v>Variation UPR - gross</v>
          </cell>
          <cell r="Y10627" t="str">
            <v>SWITZERLAND</v>
          </cell>
        </row>
        <row r="10628">
          <cell r="L10628" t="str">
            <v>Proportional</v>
          </cell>
          <cell r="S10628">
            <v>160112.5</v>
          </cell>
          <cell r="X10628" t="str">
            <v>Variation UPR - gross</v>
          </cell>
          <cell r="Y10628" t="str">
            <v>AUSTRIA</v>
          </cell>
        </row>
        <row r="10629">
          <cell r="L10629" t="str">
            <v>Non-proportional</v>
          </cell>
          <cell r="S10629">
            <v>-5806.66</v>
          </cell>
          <cell r="X10629" t="str">
            <v>Variation UPR - gross</v>
          </cell>
          <cell r="Y10629" t="str">
            <v>DENMARK</v>
          </cell>
        </row>
        <row r="10630">
          <cell r="L10630" t="str">
            <v>Non-proportional</v>
          </cell>
          <cell r="S10630">
            <v>-12215.04</v>
          </cell>
          <cell r="X10630" t="str">
            <v>Variation UPR - gross</v>
          </cell>
          <cell r="Y10630" t="str">
            <v>REPUBLIC OF IRELAND</v>
          </cell>
        </row>
        <row r="10631">
          <cell r="L10631" t="str">
            <v>Non-proportional</v>
          </cell>
          <cell r="S10631">
            <v>-281492.21999999997</v>
          </cell>
          <cell r="X10631" t="str">
            <v>Variation UPR - gross</v>
          </cell>
          <cell r="Y10631" t="str">
            <v>UNITED KINGDOM</v>
          </cell>
        </row>
        <row r="10632">
          <cell r="L10632" t="str">
            <v>Non-proportional</v>
          </cell>
          <cell r="S10632">
            <v>-26487.45</v>
          </cell>
          <cell r="X10632" t="str">
            <v>Variation UPR - gross</v>
          </cell>
          <cell r="Y10632" t="str">
            <v>UNITED KINGDOM</v>
          </cell>
        </row>
        <row r="10633">
          <cell r="L10633" t="str">
            <v>Non-proportional</v>
          </cell>
          <cell r="S10633">
            <v>-4106.46</v>
          </cell>
          <cell r="X10633" t="str">
            <v>Variation UPR - gross</v>
          </cell>
          <cell r="Y10633" t="str">
            <v>SWITZERLAND</v>
          </cell>
        </row>
        <row r="10634">
          <cell r="L10634" t="str">
            <v>Non-proportional</v>
          </cell>
          <cell r="S10634">
            <v>-7892.42</v>
          </cell>
          <cell r="X10634" t="str">
            <v>Variation UPR - gross</v>
          </cell>
          <cell r="Y10634" t="str">
            <v>DENMARK</v>
          </cell>
        </row>
        <row r="10635">
          <cell r="L10635" t="str">
            <v>Non-proportional</v>
          </cell>
          <cell r="S10635">
            <v>-16643.64</v>
          </cell>
          <cell r="X10635" t="str">
            <v>Variation UPR - gross</v>
          </cell>
          <cell r="Y10635" t="str">
            <v>FRANCE</v>
          </cell>
        </row>
        <row r="10636">
          <cell r="L10636" t="str">
            <v>Non-proportional</v>
          </cell>
          <cell r="S10636">
            <v>-42525.99</v>
          </cell>
          <cell r="X10636" t="str">
            <v>Variation UPR - gross</v>
          </cell>
          <cell r="Y10636" t="str">
            <v>UNITED KINGDOM</v>
          </cell>
        </row>
        <row r="10637">
          <cell r="L10637" t="str">
            <v>Non-proportional</v>
          </cell>
          <cell r="S10637">
            <v>-6395.52</v>
          </cell>
          <cell r="X10637" t="str">
            <v>Variation UPR - gross</v>
          </cell>
          <cell r="Y10637" t="str">
            <v>SWITZERLAND</v>
          </cell>
        </row>
        <row r="10638">
          <cell r="L10638" t="str">
            <v>Non-proportional</v>
          </cell>
          <cell r="S10638">
            <v>-6998</v>
          </cell>
          <cell r="X10638" t="str">
            <v>Variation UPR - gross</v>
          </cell>
          <cell r="Y10638" t="str">
            <v>AUSTRIA</v>
          </cell>
        </row>
        <row r="10639">
          <cell r="L10639" t="str">
            <v>Non-proportional</v>
          </cell>
          <cell r="S10639">
            <v>-3528.44</v>
          </cell>
          <cell r="X10639" t="str">
            <v>Variation UPR - gross</v>
          </cell>
          <cell r="Y10639" t="str">
            <v>JAPAN</v>
          </cell>
        </row>
        <row r="10640">
          <cell r="L10640" t="str">
            <v>Non-proportional</v>
          </cell>
          <cell r="S10640">
            <v>-133072.07</v>
          </cell>
          <cell r="X10640" t="str">
            <v>Variation UPR - gross</v>
          </cell>
          <cell r="Y10640" t="str">
            <v>UNITED KINGDOM</v>
          </cell>
        </row>
        <row r="10641">
          <cell r="L10641" t="str">
            <v>Non-proportional</v>
          </cell>
          <cell r="S10641">
            <v>2.29</v>
          </cell>
          <cell r="X10641" t="str">
            <v>Variation UPR - gross</v>
          </cell>
          <cell r="Y10641" t="str">
            <v>DENMARK</v>
          </cell>
        </row>
        <row r="10642">
          <cell r="L10642" t="str">
            <v>Non-proportional</v>
          </cell>
          <cell r="S10642">
            <v>-7747.42</v>
          </cell>
          <cell r="X10642" t="str">
            <v>Variation UPR - gross</v>
          </cell>
          <cell r="Y10642" t="str">
            <v>GERMANY</v>
          </cell>
        </row>
        <row r="10643">
          <cell r="L10643" t="str">
            <v>Non-proportional</v>
          </cell>
          <cell r="S10643">
            <v>-9567</v>
          </cell>
          <cell r="X10643" t="str">
            <v>Variation UPR - gross</v>
          </cell>
          <cell r="Y10643" t="str">
            <v>SLOVENIA</v>
          </cell>
        </row>
        <row r="10644">
          <cell r="L10644" t="str">
            <v>Non-proportional</v>
          </cell>
          <cell r="S10644">
            <v>-2687.5</v>
          </cell>
          <cell r="X10644" t="str">
            <v>Variation UPR - gross</v>
          </cell>
          <cell r="Y10644" t="str">
            <v>GERMANY</v>
          </cell>
        </row>
        <row r="10645">
          <cell r="L10645" t="str">
            <v>Non-proportional</v>
          </cell>
          <cell r="S10645">
            <v>-10010.879999999999</v>
          </cell>
          <cell r="X10645" t="str">
            <v>Variation UPR - gross</v>
          </cell>
          <cell r="Y10645" t="str">
            <v>GERMANY</v>
          </cell>
        </row>
        <row r="10646">
          <cell r="L10646" t="str">
            <v>Non-proportional</v>
          </cell>
          <cell r="S10646">
            <v>-7916.77</v>
          </cell>
          <cell r="X10646" t="str">
            <v>Variation UPR - gross</v>
          </cell>
          <cell r="Y10646" t="str">
            <v>GERMANY</v>
          </cell>
        </row>
        <row r="10647">
          <cell r="L10647" t="str">
            <v>Non-proportional</v>
          </cell>
          <cell r="S10647">
            <v>-3553.06</v>
          </cell>
          <cell r="X10647" t="str">
            <v>Variation UPR - gross</v>
          </cell>
          <cell r="Y10647" t="str">
            <v>SWITZERLAND</v>
          </cell>
        </row>
        <row r="10648">
          <cell r="L10648" t="str">
            <v>Non-proportional</v>
          </cell>
          <cell r="S10648">
            <v>-1088.6099999999999</v>
          </cell>
          <cell r="X10648" t="str">
            <v>Variation UPR - gross</v>
          </cell>
          <cell r="Y10648" t="str">
            <v>DENMARK</v>
          </cell>
        </row>
        <row r="10649">
          <cell r="L10649" t="str">
            <v>Non-proportional</v>
          </cell>
          <cell r="S10649">
            <v>-2500.5700000000002</v>
          </cell>
          <cell r="X10649" t="str">
            <v>Variation UPR - gross</v>
          </cell>
          <cell r="Y10649" t="str">
            <v>GERMANY</v>
          </cell>
        </row>
        <row r="10650">
          <cell r="L10650" t="str">
            <v>Non-proportional</v>
          </cell>
          <cell r="S10650">
            <v>-10425.780000000001</v>
          </cell>
          <cell r="X10650" t="str">
            <v>Variation UPR - gross</v>
          </cell>
          <cell r="Y10650" t="str">
            <v>FRANCE</v>
          </cell>
        </row>
        <row r="10651">
          <cell r="L10651" t="str">
            <v>Non-proportional</v>
          </cell>
          <cell r="S10651">
            <v>-9999.66</v>
          </cell>
          <cell r="X10651" t="str">
            <v>Variation UPR - gross</v>
          </cell>
          <cell r="Y10651" t="str">
            <v>GERMANY</v>
          </cell>
        </row>
        <row r="10652">
          <cell r="L10652" t="str">
            <v>Non-proportional</v>
          </cell>
          <cell r="S10652">
            <v>-23123.33</v>
          </cell>
          <cell r="X10652" t="str">
            <v>Variation UPR - gross</v>
          </cell>
          <cell r="Y10652" t="str">
            <v>UNITED KINGDOM</v>
          </cell>
        </row>
        <row r="10653">
          <cell r="L10653" t="str">
            <v>Non-proportional</v>
          </cell>
          <cell r="S10653">
            <v>-4984.72</v>
          </cell>
          <cell r="X10653" t="str">
            <v>Variation UPR - gross</v>
          </cell>
          <cell r="Y10653" t="str">
            <v>GERMANY</v>
          </cell>
        </row>
        <row r="10654">
          <cell r="L10654" t="str">
            <v>Non-proportional</v>
          </cell>
          <cell r="S10654">
            <v>-1279.43</v>
          </cell>
          <cell r="X10654" t="str">
            <v>Variation UPR - gross</v>
          </cell>
          <cell r="Y10654" t="str">
            <v>FRANCE</v>
          </cell>
        </row>
        <row r="10655">
          <cell r="L10655" t="str">
            <v>Non-proportional</v>
          </cell>
          <cell r="S10655">
            <v>-13289.37</v>
          </cell>
          <cell r="X10655" t="str">
            <v>Variation UPR - gross</v>
          </cell>
          <cell r="Y10655" t="str">
            <v>UNITED KINGDOM</v>
          </cell>
        </row>
        <row r="10656">
          <cell r="L10656" t="str">
            <v>Non-proportional</v>
          </cell>
          <cell r="S10656">
            <v>-22495.4</v>
          </cell>
          <cell r="X10656" t="str">
            <v>Variation UPR - gross</v>
          </cell>
          <cell r="Y10656" t="str">
            <v>CZECH REPUBLIC</v>
          </cell>
        </row>
        <row r="10657">
          <cell r="L10657" t="str">
            <v>Non-proportional</v>
          </cell>
          <cell r="S10657">
            <v>-6871.9</v>
          </cell>
          <cell r="X10657" t="str">
            <v>Variation UPR - gross</v>
          </cell>
          <cell r="Y10657" t="str">
            <v>GERMANY</v>
          </cell>
        </row>
        <row r="10658">
          <cell r="L10658" t="str">
            <v>Non-proportional</v>
          </cell>
          <cell r="S10658">
            <v>-5503.89</v>
          </cell>
          <cell r="X10658" t="str">
            <v>Variation UPR - gross</v>
          </cell>
          <cell r="Y10658" t="str">
            <v>UNITED KINGDOM</v>
          </cell>
        </row>
        <row r="10659">
          <cell r="L10659" t="str">
            <v>Non-proportional</v>
          </cell>
          <cell r="S10659">
            <v>4.0599999999999996</v>
          </cell>
          <cell r="X10659" t="str">
            <v>Variation UPR - gross</v>
          </cell>
          <cell r="Y10659" t="str">
            <v>DENMARK</v>
          </cell>
        </row>
        <row r="10660">
          <cell r="L10660" t="str">
            <v>Non-proportional</v>
          </cell>
          <cell r="S10660">
            <v>0.46</v>
          </cell>
          <cell r="X10660" t="str">
            <v>Variation UPR - gross</v>
          </cell>
          <cell r="Y10660" t="str">
            <v>DENMARK</v>
          </cell>
        </row>
        <row r="10661">
          <cell r="L10661" t="str">
            <v>Non-proportional</v>
          </cell>
          <cell r="S10661">
            <v>-25393.599999999999</v>
          </cell>
          <cell r="X10661" t="str">
            <v>Variation UPR - gross</v>
          </cell>
          <cell r="Y10661" t="str">
            <v>GERMANY</v>
          </cell>
        </row>
        <row r="10662">
          <cell r="L10662" t="str">
            <v>Non-proportional</v>
          </cell>
          <cell r="S10662">
            <v>105898.02</v>
          </cell>
          <cell r="X10662" t="str">
            <v>Variation UPR - gross</v>
          </cell>
          <cell r="Y10662" t="str">
            <v>UNITED KINGDOM</v>
          </cell>
        </row>
        <row r="10663">
          <cell r="L10663" t="str">
            <v>Non-proportional</v>
          </cell>
          <cell r="S10663">
            <v>-24396</v>
          </cell>
          <cell r="X10663" t="str">
            <v>Variation UPR - gross</v>
          </cell>
          <cell r="Y10663" t="str">
            <v>GERMANY</v>
          </cell>
        </row>
        <row r="10664">
          <cell r="L10664" t="str">
            <v>Non-proportional</v>
          </cell>
          <cell r="S10664">
            <v>151200</v>
          </cell>
          <cell r="X10664" t="str">
            <v>Variation UPR - gross</v>
          </cell>
          <cell r="Y10664" t="str">
            <v>ROMANIA</v>
          </cell>
        </row>
        <row r="10665">
          <cell r="L10665" t="str">
            <v>Non-proportional</v>
          </cell>
          <cell r="S10665">
            <v>-5893.93</v>
          </cell>
          <cell r="X10665" t="str">
            <v>Variation UPR - gross</v>
          </cell>
          <cell r="Y10665" t="str">
            <v>AUSTRIA</v>
          </cell>
        </row>
        <row r="10666">
          <cell r="L10666" t="str">
            <v>Non-proportional</v>
          </cell>
          <cell r="S10666">
            <v>-2637.27</v>
          </cell>
          <cell r="X10666" t="str">
            <v>Variation UPR - gross</v>
          </cell>
          <cell r="Y10666" t="str">
            <v>GERMANY</v>
          </cell>
        </row>
        <row r="10667">
          <cell r="L10667" t="str">
            <v>Non-proportional</v>
          </cell>
          <cell r="S10667">
            <v>-4903.2299999999996</v>
          </cell>
          <cell r="X10667" t="str">
            <v>Variation UPR - gross</v>
          </cell>
          <cell r="Y10667" t="str">
            <v>SWITZERLAND</v>
          </cell>
        </row>
        <row r="10668">
          <cell r="L10668" t="str">
            <v>Non-proportional</v>
          </cell>
          <cell r="S10668">
            <v>-14632</v>
          </cell>
          <cell r="X10668" t="str">
            <v>Variation UPR - gross</v>
          </cell>
          <cell r="Y10668" t="str">
            <v>GERMANY</v>
          </cell>
        </row>
        <row r="10669">
          <cell r="L10669" t="str">
            <v>Non-proportional</v>
          </cell>
          <cell r="S10669">
            <v>91739.18</v>
          </cell>
          <cell r="X10669" t="str">
            <v>Variation UPR - gross</v>
          </cell>
          <cell r="Y10669" t="str">
            <v>UNITED KINGDOM</v>
          </cell>
        </row>
        <row r="10670">
          <cell r="L10670" t="str">
            <v>Non-proportional</v>
          </cell>
          <cell r="S10670">
            <v>-7815.06</v>
          </cell>
          <cell r="X10670" t="str">
            <v>Variation UPR - gross</v>
          </cell>
          <cell r="Y10670" t="str">
            <v>UNITED KINGDOM</v>
          </cell>
        </row>
        <row r="10671">
          <cell r="L10671" t="str">
            <v>Non-proportional</v>
          </cell>
          <cell r="S10671">
            <v>-3422.28</v>
          </cell>
          <cell r="X10671" t="str">
            <v>Variation UPR - gross</v>
          </cell>
          <cell r="Y10671" t="str">
            <v>ICELAND</v>
          </cell>
        </row>
        <row r="10672">
          <cell r="L10672" t="str">
            <v>Non-proportional</v>
          </cell>
          <cell r="S10672">
            <v>-0.01</v>
          </cell>
          <cell r="X10672" t="str">
            <v>Variation UPR - gross</v>
          </cell>
          <cell r="Y10672" t="str">
            <v>JAPAN</v>
          </cell>
        </row>
        <row r="10673">
          <cell r="L10673" t="str">
            <v>Non-proportional</v>
          </cell>
          <cell r="S10673">
            <v>-11885.42</v>
          </cell>
          <cell r="X10673" t="str">
            <v>Variation UPR - gross</v>
          </cell>
          <cell r="Y10673" t="str">
            <v>UNITED KINGDOM</v>
          </cell>
        </row>
        <row r="10674">
          <cell r="L10674" t="str">
            <v>Non-proportional</v>
          </cell>
          <cell r="S10674">
            <v>-9751.23</v>
          </cell>
          <cell r="X10674" t="str">
            <v>Variation UPR - gross</v>
          </cell>
          <cell r="Y10674" t="str">
            <v>GERMANY</v>
          </cell>
        </row>
        <row r="10675">
          <cell r="L10675" t="str">
            <v>Non-proportional</v>
          </cell>
          <cell r="S10675">
            <v>-74420.479999999996</v>
          </cell>
          <cell r="X10675" t="str">
            <v>Variation UPR - gross</v>
          </cell>
          <cell r="Y10675" t="str">
            <v>UNITED KINGDOM</v>
          </cell>
        </row>
        <row r="10676">
          <cell r="L10676" t="str">
            <v>Non-proportional</v>
          </cell>
          <cell r="S10676">
            <v>-3601.59</v>
          </cell>
          <cell r="X10676" t="str">
            <v>Variation UPR - gross</v>
          </cell>
          <cell r="Y10676" t="str">
            <v>FAROE ISLANDS</v>
          </cell>
        </row>
        <row r="10677">
          <cell r="L10677" t="str">
            <v>Non-proportional</v>
          </cell>
          <cell r="S10677">
            <v>-83.26</v>
          </cell>
          <cell r="X10677" t="str">
            <v>Variation UPR - gross</v>
          </cell>
          <cell r="Y10677" t="str">
            <v>FRANCE</v>
          </cell>
        </row>
        <row r="10678">
          <cell r="L10678" t="str">
            <v>Non-proportional</v>
          </cell>
          <cell r="S10678">
            <v>-49613.66</v>
          </cell>
          <cell r="X10678" t="str">
            <v>Variation UPR - gross</v>
          </cell>
          <cell r="Y10678" t="str">
            <v>UNITED KINGDOM</v>
          </cell>
        </row>
        <row r="10679">
          <cell r="L10679" t="str">
            <v>Non-proportional</v>
          </cell>
          <cell r="S10679">
            <v>-2340</v>
          </cell>
          <cell r="X10679" t="str">
            <v>Variation UPR - gross</v>
          </cell>
          <cell r="Y10679" t="str">
            <v>GERMANY</v>
          </cell>
        </row>
        <row r="10680">
          <cell r="L10680" t="str">
            <v>Proportional</v>
          </cell>
          <cell r="S10680">
            <v>-160112.5</v>
          </cell>
          <cell r="X10680" t="str">
            <v>Variation UPR - gross</v>
          </cell>
          <cell r="Y10680" t="str">
            <v>AUSTRIA</v>
          </cell>
        </row>
        <row r="10681">
          <cell r="L10681" t="str">
            <v>Non-proportional</v>
          </cell>
          <cell r="S10681">
            <v>-15832.43</v>
          </cell>
          <cell r="X10681" t="str">
            <v>Variation UPR - gross</v>
          </cell>
          <cell r="Y10681" t="str">
            <v>GERMANY</v>
          </cell>
        </row>
        <row r="10682">
          <cell r="L10682" t="str">
            <v>Non-proportional</v>
          </cell>
          <cell r="S10682">
            <v>95006.61</v>
          </cell>
          <cell r="X10682" t="str">
            <v>Variation UPR - gross</v>
          </cell>
          <cell r="Y10682" t="str">
            <v>UNITED KINGDOM</v>
          </cell>
        </row>
        <row r="10683">
          <cell r="L10683" t="str">
            <v>Non-proportional</v>
          </cell>
          <cell r="S10683">
            <v>-3617.46</v>
          </cell>
          <cell r="X10683" t="str">
            <v>Variation UPR - gross</v>
          </cell>
          <cell r="Y10683" t="str">
            <v>FRANCE</v>
          </cell>
        </row>
        <row r="10684">
          <cell r="L10684" t="str">
            <v>Non-proportional</v>
          </cell>
          <cell r="S10684">
            <v>-33726.39</v>
          </cell>
          <cell r="X10684" t="str">
            <v>Variation UPR - gross</v>
          </cell>
          <cell r="Y10684" t="str">
            <v>FRANCE</v>
          </cell>
        </row>
        <row r="10685">
          <cell r="L10685" t="str">
            <v>Non-proportional</v>
          </cell>
          <cell r="S10685">
            <v>-4164.72</v>
          </cell>
          <cell r="X10685" t="str">
            <v>Variation UPR - gross</v>
          </cell>
          <cell r="Y10685" t="str">
            <v>GERMANY</v>
          </cell>
        </row>
        <row r="10686">
          <cell r="L10686" t="str">
            <v>Non-proportional</v>
          </cell>
          <cell r="S10686">
            <v>10.32</v>
          </cell>
          <cell r="X10686" t="str">
            <v>Variation UPR - gross</v>
          </cell>
          <cell r="Y10686" t="str">
            <v>SWEDEN</v>
          </cell>
        </row>
        <row r="10687">
          <cell r="L10687" t="str">
            <v>Non-proportional</v>
          </cell>
          <cell r="S10687">
            <v>-7965</v>
          </cell>
          <cell r="X10687" t="str">
            <v>Variation UPR - gross</v>
          </cell>
          <cell r="Y10687" t="str">
            <v>GERMANY</v>
          </cell>
        </row>
        <row r="10688">
          <cell r="L10688" t="str">
            <v>Non-proportional</v>
          </cell>
          <cell r="S10688">
            <v>-20770.63</v>
          </cell>
          <cell r="X10688" t="str">
            <v>Variation UPR - gross</v>
          </cell>
          <cell r="Y10688" t="str">
            <v>FRANCE</v>
          </cell>
        </row>
        <row r="10689">
          <cell r="L10689" t="str">
            <v>Non-proportional</v>
          </cell>
          <cell r="S10689">
            <v>-112052.09</v>
          </cell>
          <cell r="X10689" t="str">
            <v>Variation UPR - gross</v>
          </cell>
          <cell r="Y10689" t="str">
            <v>FRANCE</v>
          </cell>
        </row>
        <row r="10690">
          <cell r="L10690" t="str">
            <v>Non-proportional</v>
          </cell>
          <cell r="S10690">
            <v>-9203.1200000000008</v>
          </cell>
          <cell r="X10690" t="str">
            <v>Variation UPR - gross</v>
          </cell>
          <cell r="Y10690" t="str">
            <v>GERMANY</v>
          </cell>
        </row>
        <row r="10691">
          <cell r="L10691" t="str">
            <v>Non-proportional</v>
          </cell>
          <cell r="S10691">
            <v>-3080.05</v>
          </cell>
          <cell r="X10691" t="str">
            <v>Variation UPR - gross</v>
          </cell>
          <cell r="Y10691" t="str">
            <v>ICELAND</v>
          </cell>
        </row>
        <row r="10692">
          <cell r="L10692" t="str">
            <v>Non-proportional</v>
          </cell>
          <cell r="S10692">
            <v>-820.54</v>
          </cell>
          <cell r="X10692" t="str">
            <v>Variation UPR - gross</v>
          </cell>
          <cell r="Y10692" t="str">
            <v>GERMANY</v>
          </cell>
        </row>
        <row r="10693">
          <cell r="L10693" t="str">
            <v>Non-proportional</v>
          </cell>
          <cell r="S10693">
            <v>-20416.669999999998</v>
          </cell>
          <cell r="X10693" t="str">
            <v>Variation UPR - gross</v>
          </cell>
          <cell r="Y10693" t="str">
            <v>GERMANY</v>
          </cell>
        </row>
        <row r="10694">
          <cell r="L10694" t="str">
            <v>Non-proportional</v>
          </cell>
          <cell r="S10694">
            <v>-43463.55</v>
          </cell>
          <cell r="X10694" t="str">
            <v>Variation UPR - gross</v>
          </cell>
          <cell r="Y10694" t="str">
            <v>UNITED KINGDOM</v>
          </cell>
        </row>
        <row r="10695">
          <cell r="L10695" t="str">
            <v>Non-proportional</v>
          </cell>
          <cell r="S10695">
            <v>-5467.12</v>
          </cell>
          <cell r="X10695" t="str">
            <v>Variation UPR - gross</v>
          </cell>
          <cell r="Y10695" t="str">
            <v>EIRE</v>
          </cell>
        </row>
        <row r="10696">
          <cell r="L10696" t="str">
            <v>Non-proportional</v>
          </cell>
          <cell r="S10696">
            <v>-39722.36</v>
          </cell>
          <cell r="X10696" t="str">
            <v>Variation UPR - gross</v>
          </cell>
          <cell r="Y10696" t="str">
            <v>UNITED KINGDOM</v>
          </cell>
        </row>
        <row r="10697">
          <cell r="L10697" t="str">
            <v>Non-proportional</v>
          </cell>
          <cell r="S10697">
            <v>-3083.39</v>
          </cell>
          <cell r="X10697" t="str">
            <v>Variation UPR - gross</v>
          </cell>
          <cell r="Y10697" t="str">
            <v>EUROPE</v>
          </cell>
        </row>
        <row r="10698">
          <cell r="L10698" t="str">
            <v>Non-proportional</v>
          </cell>
          <cell r="S10698">
            <v>-42058.97</v>
          </cell>
          <cell r="X10698" t="str">
            <v>Variation UPR - gross</v>
          </cell>
          <cell r="Y10698" t="str">
            <v>UNITED KINGDOM</v>
          </cell>
        </row>
        <row r="10699">
          <cell r="L10699" t="str">
            <v>Non-proportional</v>
          </cell>
          <cell r="S10699">
            <v>9.1999999999999993</v>
          </cell>
          <cell r="X10699" t="str">
            <v>Variation UPR - gross</v>
          </cell>
          <cell r="Y10699" t="str">
            <v>SWEDEN</v>
          </cell>
        </row>
        <row r="10700">
          <cell r="L10700" t="str">
            <v>Non-proportional</v>
          </cell>
          <cell r="S10700">
            <v>-35603.31</v>
          </cell>
          <cell r="X10700" t="str">
            <v>Variation UPR - gross</v>
          </cell>
          <cell r="Y10700" t="str">
            <v>UNITED KINGDOM</v>
          </cell>
        </row>
        <row r="10701">
          <cell r="L10701" t="str">
            <v>Non-proportional</v>
          </cell>
          <cell r="S10701">
            <v>-35570.32</v>
          </cell>
          <cell r="X10701" t="str">
            <v>Variation UPR - gross</v>
          </cell>
          <cell r="Y10701" t="str">
            <v>FRANCE</v>
          </cell>
        </row>
        <row r="10702">
          <cell r="L10702" t="str">
            <v>Non-proportional</v>
          </cell>
          <cell r="S10702">
            <v>-19175.689999999999</v>
          </cell>
          <cell r="X10702" t="str">
            <v>Variation UPR - gross</v>
          </cell>
          <cell r="Y10702" t="str">
            <v>SWEDEN</v>
          </cell>
        </row>
        <row r="10703">
          <cell r="L10703" t="str">
            <v>Non-proportional</v>
          </cell>
          <cell r="S10703">
            <v>-5821.08</v>
          </cell>
          <cell r="X10703" t="str">
            <v>Variation UPR - gross</v>
          </cell>
          <cell r="Y10703" t="str">
            <v>SWEDEN</v>
          </cell>
        </row>
        <row r="10704">
          <cell r="L10704" t="str">
            <v>Non-proportional</v>
          </cell>
          <cell r="S10704">
            <v>-14989.5</v>
          </cell>
          <cell r="X10704" t="str">
            <v>Variation UPR - gross</v>
          </cell>
          <cell r="Y10704" t="str">
            <v>SWITZERLAND</v>
          </cell>
        </row>
        <row r="10705">
          <cell r="L10705" t="str">
            <v>Non-proportional</v>
          </cell>
          <cell r="S10705">
            <v>-4275.66</v>
          </cell>
          <cell r="X10705" t="str">
            <v>Variation UPR - gross</v>
          </cell>
          <cell r="Y10705" t="str">
            <v>GERMANY</v>
          </cell>
        </row>
        <row r="10706">
          <cell r="L10706" t="str">
            <v>Non-proportional</v>
          </cell>
          <cell r="S10706">
            <v>-18807.28</v>
          </cell>
          <cell r="X10706" t="str">
            <v>Variation UPR - gross</v>
          </cell>
          <cell r="Y10706" t="str">
            <v>REPUBLIC OF IRELAND</v>
          </cell>
        </row>
        <row r="10707">
          <cell r="L10707" t="str">
            <v>Non-proportional</v>
          </cell>
          <cell r="S10707">
            <v>-16129.42</v>
          </cell>
          <cell r="X10707" t="str">
            <v>Variation UPR - gross</v>
          </cell>
          <cell r="Y10707" t="str">
            <v>UNITED KINGDOM</v>
          </cell>
        </row>
        <row r="10708">
          <cell r="L10708" t="str">
            <v>Non-proportional</v>
          </cell>
          <cell r="S10708">
            <v>2.0099999999999998</v>
          </cell>
          <cell r="X10708" t="str">
            <v>Variation UPR - gross</v>
          </cell>
          <cell r="Y10708" t="str">
            <v>SWEDEN</v>
          </cell>
        </row>
        <row r="10709">
          <cell r="L10709" t="str">
            <v>Non-proportional</v>
          </cell>
          <cell r="S10709">
            <v>-11.03</v>
          </cell>
          <cell r="X10709" t="str">
            <v>Variation UPR - gross</v>
          </cell>
          <cell r="Y10709" t="str">
            <v>NORWAY</v>
          </cell>
        </row>
        <row r="10710">
          <cell r="L10710" t="str">
            <v>Non-proportional</v>
          </cell>
          <cell r="S10710">
            <v>5.16</v>
          </cell>
          <cell r="X10710" t="str">
            <v>Variation UPR - gross</v>
          </cell>
          <cell r="Y10710" t="str">
            <v>SWEDEN</v>
          </cell>
        </row>
        <row r="10711">
          <cell r="L10711" t="str">
            <v>Non-proportional</v>
          </cell>
          <cell r="S10711">
            <v>-7772.34</v>
          </cell>
          <cell r="X10711" t="str">
            <v>Variation UPR - gross</v>
          </cell>
          <cell r="Y10711" t="str">
            <v>SWITZERLAND</v>
          </cell>
        </row>
        <row r="10712">
          <cell r="L10712" t="str">
            <v>Non-proportional</v>
          </cell>
          <cell r="S10712">
            <v>-15329.19</v>
          </cell>
          <cell r="X10712" t="str">
            <v>Variation UPR - gross</v>
          </cell>
          <cell r="Y10712" t="str">
            <v>ITALY</v>
          </cell>
        </row>
        <row r="10713">
          <cell r="L10713" t="str">
            <v>Non-proportional</v>
          </cell>
          <cell r="S10713">
            <v>66674.27</v>
          </cell>
          <cell r="X10713" t="str">
            <v>Variation UPR - gross</v>
          </cell>
          <cell r="Y10713" t="str">
            <v>UNITED KINGDOM</v>
          </cell>
        </row>
        <row r="10714">
          <cell r="L10714" t="str">
            <v>Non-proportional</v>
          </cell>
          <cell r="S10714">
            <v>18396.830000000002</v>
          </cell>
          <cell r="X10714" t="str">
            <v>Variation UPR - gross</v>
          </cell>
          <cell r="Y10714" t="str">
            <v>JAPAN</v>
          </cell>
        </row>
        <row r="10715">
          <cell r="L10715" t="str">
            <v>Non-proportional</v>
          </cell>
          <cell r="S10715">
            <v>-8625</v>
          </cell>
          <cell r="X10715" t="str">
            <v>Variation UPR - gross</v>
          </cell>
          <cell r="Y10715" t="str">
            <v>GERMANY</v>
          </cell>
        </row>
        <row r="10716">
          <cell r="L10716" t="str">
            <v>Non-proportional</v>
          </cell>
          <cell r="S10716">
            <v>-5527.05</v>
          </cell>
          <cell r="X10716" t="str">
            <v>Variation UPR - gross</v>
          </cell>
          <cell r="Y10716" t="str">
            <v>GERMANY</v>
          </cell>
        </row>
        <row r="10717">
          <cell r="L10717" t="str">
            <v>Non-proportional</v>
          </cell>
          <cell r="S10717">
            <v>-11186.47</v>
          </cell>
          <cell r="X10717" t="str">
            <v>Variation UPR - gross</v>
          </cell>
          <cell r="Y10717" t="str">
            <v>SWEDEN</v>
          </cell>
        </row>
        <row r="10718">
          <cell r="L10718" t="str">
            <v>Non-proportional</v>
          </cell>
          <cell r="S10718">
            <v>-29239.4</v>
          </cell>
          <cell r="X10718" t="str">
            <v>Variation UPR - gross</v>
          </cell>
          <cell r="Y10718" t="str">
            <v>UNITED KINGDOM</v>
          </cell>
        </row>
        <row r="10719">
          <cell r="L10719" t="str">
            <v>Non-proportional</v>
          </cell>
          <cell r="S10719">
            <v>-6250.52</v>
          </cell>
          <cell r="X10719" t="str">
            <v>Variation UPR - gross</v>
          </cell>
          <cell r="Y10719" t="str">
            <v>GERMANY</v>
          </cell>
        </row>
        <row r="10720">
          <cell r="L10720" t="str">
            <v>Non-proportional</v>
          </cell>
          <cell r="S10720">
            <v>-5586.33</v>
          </cell>
          <cell r="X10720" t="str">
            <v>Variation UPR - gross</v>
          </cell>
          <cell r="Y10720" t="str">
            <v>GERMANY</v>
          </cell>
        </row>
        <row r="10721">
          <cell r="L10721" t="str">
            <v>Non-proportional</v>
          </cell>
          <cell r="S10721">
            <v>-1125</v>
          </cell>
          <cell r="X10721" t="str">
            <v>Variation UPR - gross</v>
          </cell>
          <cell r="Y10721" t="str">
            <v>GERMANY</v>
          </cell>
        </row>
        <row r="10722">
          <cell r="L10722" t="str">
            <v>Non-proportional</v>
          </cell>
          <cell r="S10722">
            <v>79423.520000000004</v>
          </cell>
          <cell r="X10722" t="str">
            <v>Variation UPR - gross</v>
          </cell>
          <cell r="Y10722" t="str">
            <v>UNITED KINGDOM</v>
          </cell>
        </row>
        <row r="10723">
          <cell r="L10723" t="str">
            <v>Proportional</v>
          </cell>
          <cell r="S10723">
            <v>69187.070000000007</v>
          </cell>
          <cell r="X10723" t="str">
            <v>Variation UPR - gross</v>
          </cell>
          <cell r="Y10723" t="str">
            <v>GERMANY</v>
          </cell>
        </row>
        <row r="10724">
          <cell r="L10724" t="str">
            <v>Non-proportional</v>
          </cell>
          <cell r="S10724">
            <v>-11545</v>
          </cell>
          <cell r="X10724" t="str">
            <v>Variation UPR - gross</v>
          </cell>
          <cell r="Y10724" t="str">
            <v>UNITED KINGDOM</v>
          </cell>
        </row>
        <row r="10725">
          <cell r="L10725" t="str">
            <v>Non-proportional</v>
          </cell>
          <cell r="S10725">
            <v>-8322.82</v>
          </cell>
          <cell r="X10725" t="str">
            <v>Variation UPR - gross</v>
          </cell>
          <cell r="Y10725" t="str">
            <v>GERMANY</v>
          </cell>
        </row>
        <row r="10726">
          <cell r="L10726" t="str">
            <v>Non-proportional</v>
          </cell>
          <cell r="S10726">
            <v>-40903.5</v>
          </cell>
          <cell r="X10726" t="str">
            <v>Variation UPR - gross</v>
          </cell>
          <cell r="Y10726" t="str">
            <v>GERMANY</v>
          </cell>
        </row>
        <row r="10727">
          <cell r="L10727" t="str">
            <v>Non-proportional</v>
          </cell>
          <cell r="S10727">
            <v>-1122.3</v>
          </cell>
          <cell r="X10727" t="str">
            <v>Variation UPR - gross</v>
          </cell>
          <cell r="Y10727" t="str">
            <v>ITALY</v>
          </cell>
        </row>
        <row r="10728">
          <cell r="L10728" t="str">
            <v>Non-proportional</v>
          </cell>
          <cell r="S10728">
            <v>-6904.17</v>
          </cell>
          <cell r="X10728" t="str">
            <v>Variation UPR - gross</v>
          </cell>
          <cell r="Y10728" t="str">
            <v>FRANCE</v>
          </cell>
        </row>
        <row r="10729">
          <cell r="L10729" t="str">
            <v>Non-proportional</v>
          </cell>
          <cell r="S10729">
            <v>-1108.02</v>
          </cell>
          <cell r="X10729" t="str">
            <v>Variation UPR - gross</v>
          </cell>
          <cell r="Y10729" t="str">
            <v>AUSTRIA</v>
          </cell>
        </row>
        <row r="10730">
          <cell r="L10730" t="str">
            <v>Non-proportional</v>
          </cell>
          <cell r="S10730">
            <v>-11815.97</v>
          </cell>
          <cell r="X10730" t="str">
            <v>Variation UPR - gross</v>
          </cell>
          <cell r="Y10730" t="str">
            <v>GERMANY</v>
          </cell>
        </row>
        <row r="10731">
          <cell r="L10731" t="str">
            <v>Non-proportional</v>
          </cell>
          <cell r="S10731">
            <v>-4112.1499999999996</v>
          </cell>
          <cell r="X10731" t="str">
            <v>Variation UPR - gross</v>
          </cell>
          <cell r="Y10731" t="str">
            <v>AUSTRIA</v>
          </cell>
        </row>
        <row r="10732">
          <cell r="L10732" t="str">
            <v>Proportional</v>
          </cell>
          <cell r="S10732">
            <v>276748.24</v>
          </cell>
          <cell r="X10732" t="str">
            <v>Variation UPR - gross</v>
          </cell>
          <cell r="Y10732" t="str">
            <v>GERMANY</v>
          </cell>
        </row>
        <row r="10733">
          <cell r="L10733" t="str">
            <v>Non-proportional</v>
          </cell>
          <cell r="S10733">
            <v>-8369.58</v>
          </cell>
          <cell r="X10733" t="str">
            <v>Variation UPR - gross</v>
          </cell>
          <cell r="Y10733" t="str">
            <v>GERMANY</v>
          </cell>
        </row>
        <row r="10734">
          <cell r="L10734" t="str">
            <v>Non-proportional</v>
          </cell>
          <cell r="S10734">
            <v>-13541.67</v>
          </cell>
          <cell r="X10734" t="str">
            <v>Variation UPR - gross</v>
          </cell>
          <cell r="Y10734" t="str">
            <v>GERMANY</v>
          </cell>
        </row>
        <row r="10735">
          <cell r="L10735" t="str">
            <v>Non-proportional</v>
          </cell>
          <cell r="S10735">
            <v>-8855</v>
          </cell>
          <cell r="X10735" t="str">
            <v>Variation UPR - gross</v>
          </cell>
          <cell r="Y10735" t="str">
            <v>GERMANY</v>
          </cell>
        </row>
        <row r="10736">
          <cell r="L10736" t="str">
            <v>Non-proportional</v>
          </cell>
          <cell r="S10736">
            <v>0.45</v>
          </cell>
          <cell r="X10736" t="str">
            <v>Variation UPR - gross</v>
          </cell>
          <cell r="Y10736" t="str">
            <v>DENMARK</v>
          </cell>
        </row>
        <row r="10737">
          <cell r="L10737" t="str">
            <v>Non-proportional</v>
          </cell>
          <cell r="S10737">
            <v>-6335.14</v>
          </cell>
          <cell r="X10737" t="str">
            <v>Variation UPR - gross</v>
          </cell>
          <cell r="Y10737" t="str">
            <v>GERMANY</v>
          </cell>
        </row>
        <row r="10738">
          <cell r="L10738" t="str">
            <v>Proportional</v>
          </cell>
          <cell r="S10738">
            <v>-138374.12</v>
          </cell>
          <cell r="X10738" t="str">
            <v>Variation UPR - gross</v>
          </cell>
          <cell r="Y10738" t="str">
            <v>GERMANY</v>
          </cell>
        </row>
        <row r="10739">
          <cell r="L10739" t="str">
            <v>Non-proportional</v>
          </cell>
          <cell r="S10739">
            <v>-170663.15</v>
          </cell>
          <cell r="X10739" t="str">
            <v>Variation UPR - gross</v>
          </cell>
          <cell r="Y10739" t="str">
            <v>UNITED KINGDOM</v>
          </cell>
        </row>
        <row r="10740">
          <cell r="L10740" t="str">
            <v>Non-proportional</v>
          </cell>
          <cell r="S10740">
            <v>-4573.13</v>
          </cell>
          <cell r="X10740" t="str">
            <v>Variation UPR - gross</v>
          </cell>
          <cell r="Y10740" t="str">
            <v>EUROPE</v>
          </cell>
        </row>
        <row r="10741">
          <cell r="L10741" t="str">
            <v>Non-proportional</v>
          </cell>
          <cell r="S10741">
            <v>-21327.56</v>
          </cell>
          <cell r="X10741" t="str">
            <v>Variation UPR - gross</v>
          </cell>
          <cell r="Y10741" t="str">
            <v>UNITED KINGDOM</v>
          </cell>
        </row>
        <row r="10742">
          <cell r="L10742" t="str">
            <v>Non-proportional</v>
          </cell>
          <cell r="S10742">
            <v>-3079.85</v>
          </cell>
          <cell r="X10742" t="str">
            <v>Variation UPR - gross</v>
          </cell>
          <cell r="Y10742" t="str">
            <v>SWITZERLAND</v>
          </cell>
        </row>
        <row r="10743">
          <cell r="L10743" t="str">
            <v>Non-proportional</v>
          </cell>
          <cell r="S10743">
            <v>-7236.61</v>
          </cell>
          <cell r="X10743" t="str">
            <v>Variation UPR - gross</v>
          </cell>
          <cell r="Y10743" t="str">
            <v>NORWAY</v>
          </cell>
        </row>
        <row r="10744">
          <cell r="L10744" t="str">
            <v>Non-proportional</v>
          </cell>
          <cell r="S10744">
            <v>-11060.87</v>
          </cell>
          <cell r="X10744" t="str">
            <v>Variation UPR - gross</v>
          </cell>
          <cell r="Y10744" t="str">
            <v>DENMARK</v>
          </cell>
        </row>
        <row r="10745">
          <cell r="L10745" t="str">
            <v>Non-proportional</v>
          </cell>
          <cell r="S10745">
            <v>26100</v>
          </cell>
          <cell r="X10745" t="str">
            <v>Variation UPR - gross</v>
          </cell>
          <cell r="Y10745" t="str">
            <v>ROMANIA</v>
          </cell>
        </row>
        <row r="10746">
          <cell r="L10746" t="str">
            <v>Non-proportional</v>
          </cell>
          <cell r="S10746">
            <v>-6638.42</v>
          </cell>
          <cell r="X10746" t="str">
            <v>Variation UPR - gross</v>
          </cell>
          <cell r="Y10746" t="str">
            <v>EUROPE</v>
          </cell>
        </row>
        <row r="10747">
          <cell r="L10747" t="str">
            <v>Non-proportional</v>
          </cell>
          <cell r="S10747">
            <v>30142.5</v>
          </cell>
          <cell r="X10747" t="str">
            <v>Variation UPR - gross</v>
          </cell>
          <cell r="Y10747" t="str">
            <v>JAPAN</v>
          </cell>
        </row>
        <row r="10748">
          <cell r="L10748" t="str">
            <v>Non-proportional</v>
          </cell>
          <cell r="S10748">
            <v>-5369</v>
          </cell>
          <cell r="X10748" t="str">
            <v>Variation UPR - gross</v>
          </cell>
          <cell r="Y10748" t="str">
            <v>GERMANY</v>
          </cell>
        </row>
        <row r="10749">
          <cell r="L10749" t="str">
            <v>Non-proportional</v>
          </cell>
          <cell r="S10749">
            <v>-1339.37</v>
          </cell>
          <cell r="X10749" t="str">
            <v>Variation UPR - gross</v>
          </cell>
          <cell r="Y10749" t="str">
            <v>DENMARK</v>
          </cell>
        </row>
        <row r="10750">
          <cell r="L10750" t="str">
            <v>Non-proportional</v>
          </cell>
          <cell r="S10750">
            <v>-13399.72</v>
          </cell>
          <cell r="X10750" t="str">
            <v>Variation UPR - gross</v>
          </cell>
          <cell r="Y10750" t="str">
            <v>GERMANY</v>
          </cell>
        </row>
        <row r="10751">
          <cell r="L10751" t="str">
            <v>Non-proportional</v>
          </cell>
          <cell r="S10751">
            <v>-3237.88</v>
          </cell>
          <cell r="X10751" t="str">
            <v>Variation UPR - gross</v>
          </cell>
          <cell r="Y10751" t="str">
            <v>UNITED KINGDOM</v>
          </cell>
        </row>
        <row r="10752">
          <cell r="L10752" t="str">
            <v>Non-proportional</v>
          </cell>
          <cell r="S10752">
            <v>-2083.33</v>
          </cell>
          <cell r="X10752" t="str">
            <v>Variation UPR - gross</v>
          </cell>
          <cell r="Y10752" t="str">
            <v>GERMANY</v>
          </cell>
        </row>
        <row r="10753">
          <cell r="L10753" t="str">
            <v>Non-proportional</v>
          </cell>
          <cell r="S10753">
            <v>2.99</v>
          </cell>
          <cell r="X10753" t="str">
            <v>Variation UPR - gross</v>
          </cell>
          <cell r="Y10753" t="str">
            <v>DENMARK</v>
          </cell>
        </row>
        <row r="10754">
          <cell r="L10754" t="str">
            <v>Non-proportional</v>
          </cell>
          <cell r="S10754">
            <v>88248.35</v>
          </cell>
          <cell r="X10754" t="str">
            <v>Variation UPR - gross</v>
          </cell>
          <cell r="Y10754" t="str">
            <v>UNITED KINGDOM</v>
          </cell>
        </row>
        <row r="10755">
          <cell r="L10755" t="str">
            <v>Non-proportional</v>
          </cell>
          <cell r="S10755">
            <v>-0.01</v>
          </cell>
          <cell r="X10755" t="str">
            <v>Variation UPR - gross</v>
          </cell>
          <cell r="Y10755" t="str">
            <v>JAPAN</v>
          </cell>
        </row>
        <row r="10756">
          <cell r="L10756" t="str">
            <v>Non-proportional</v>
          </cell>
          <cell r="S10756">
            <v>-10974.83</v>
          </cell>
          <cell r="X10756" t="str">
            <v>Variation UPR - gross</v>
          </cell>
          <cell r="Y10756" t="str">
            <v>GERMANY</v>
          </cell>
        </row>
        <row r="10757">
          <cell r="L10757" t="str">
            <v>Non-proportional</v>
          </cell>
          <cell r="S10757">
            <v>-755.02</v>
          </cell>
          <cell r="X10757" t="str">
            <v>Variation UPR - gross</v>
          </cell>
          <cell r="Y10757" t="str">
            <v>SWITZERLAND</v>
          </cell>
        </row>
        <row r="10758">
          <cell r="L10758" t="str">
            <v>Non-proportional</v>
          </cell>
          <cell r="S10758">
            <v>-3530.97</v>
          </cell>
          <cell r="X10758" t="str">
            <v>Variation UPR - gross</v>
          </cell>
          <cell r="Y10758" t="str">
            <v>FAROE ISLANDS</v>
          </cell>
        </row>
        <row r="10759">
          <cell r="L10759" t="str">
            <v>Non-proportional</v>
          </cell>
          <cell r="S10759">
            <v>-14058.31</v>
          </cell>
          <cell r="X10759" t="str">
            <v>Variation UPR - gross</v>
          </cell>
          <cell r="Y10759" t="str">
            <v>EIRE</v>
          </cell>
        </row>
        <row r="10760">
          <cell r="L10760" t="str">
            <v>Non-proportional</v>
          </cell>
          <cell r="S10760">
            <v>3.7</v>
          </cell>
          <cell r="X10760" t="str">
            <v>Variation UPR - gross</v>
          </cell>
          <cell r="Y10760" t="str">
            <v>DENMARK</v>
          </cell>
        </row>
        <row r="10761">
          <cell r="L10761" t="str">
            <v>Non-proportional</v>
          </cell>
          <cell r="S10761">
            <v>-7060.17</v>
          </cell>
          <cell r="X10761" t="str">
            <v>Variation UPR - gross</v>
          </cell>
          <cell r="Y10761" t="str">
            <v>NORWAY</v>
          </cell>
        </row>
        <row r="10762">
          <cell r="L10762" t="str">
            <v>Non-proportional</v>
          </cell>
          <cell r="S10762">
            <v>-8494.48</v>
          </cell>
          <cell r="X10762" t="str">
            <v>Variation UPR - gross</v>
          </cell>
          <cell r="Y10762" t="str">
            <v>GERMANY</v>
          </cell>
        </row>
        <row r="10763">
          <cell r="L10763" t="str">
            <v>Non-proportional</v>
          </cell>
          <cell r="S10763">
            <v>-2816.19</v>
          </cell>
          <cell r="X10763" t="str">
            <v>Variation UPR - gross</v>
          </cell>
          <cell r="Y10763" t="str">
            <v>FRANCE</v>
          </cell>
        </row>
        <row r="10764">
          <cell r="L10764" t="str">
            <v>Non-proportional</v>
          </cell>
          <cell r="S10764">
            <v>-23401.8</v>
          </cell>
          <cell r="X10764" t="str">
            <v>Variation UPR - gross</v>
          </cell>
          <cell r="Y10764" t="str">
            <v>GERMANY</v>
          </cell>
        </row>
        <row r="10765">
          <cell r="L10765" t="str">
            <v>Non-proportional</v>
          </cell>
          <cell r="S10765">
            <v>-300.83</v>
          </cell>
          <cell r="X10765" t="str">
            <v>Variation UPR - gross</v>
          </cell>
          <cell r="Y10765" t="str">
            <v>ITALY</v>
          </cell>
        </row>
        <row r="10766">
          <cell r="L10766" t="str">
            <v>Non-proportional</v>
          </cell>
          <cell r="S10766">
            <v>-4439.78</v>
          </cell>
          <cell r="X10766" t="str">
            <v>Variation UPR - gross</v>
          </cell>
          <cell r="Y10766" t="str">
            <v>GERMANY</v>
          </cell>
        </row>
        <row r="10767">
          <cell r="L10767" t="str">
            <v>Non-proportional</v>
          </cell>
          <cell r="S10767">
            <v>-30889.279999999999</v>
          </cell>
          <cell r="X10767" t="str">
            <v>Variation UPR - gross</v>
          </cell>
          <cell r="Y10767" t="str">
            <v>UNITED KINGDOM</v>
          </cell>
        </row>
        <row r="10768">
          <cell r="L10768" t="str">
            <v>Non-proportional</v>
          </cell>
          <cell r="S10768">
            <v>-28015.63</v>
          </cell>
          <cell r="X10768" t="str">
            <v>Variation UPR - gross</v>
          </cell>
          <cell r="Y10768" t="str">
            <v>UNITED KINGDOM</v>
          </cell>
        </row>
        <row r="10769">
          <cell r="L10769" t="str">
            <v>Non-proportional</v>
          </cell>
          <cell r="S10769">
            <v>9903.7199999999993</v>
          </cell>
          <cell r="X10769" t="str">
            <v>Variation UPR - gross</v>
          </cell>
          <cell r="Y10769" t="str">
            <v>JAPAN</v>
          </cell>
        </row>
        <row r="10770">
          <cell r="L10770" t="str">
            <v>Non-proportional</v>
          </cell>
          <cell r="S10770">
            <v>-0.03</v>
          </cell>
          <cell r="X10770" t="str">
            <v>Variation UPR - gross</v>
          </cell>
          <cell r="Y10770" t="str">
            <v>ICELAND</v>
          </cell>
        </row>
        <row r="10771">
          <cell r="L10771" t="str">
            <v>Non-proportional</v>
          </cell>
          <cell r="S10771">
            <v>-8999.89</v>
          </cell>
          <cell r="X10771" t="str">
            <v>Variation UPR - gross</v>
          </cell>
          <cell r="Y10771" t="str">
            <v>GERMANY</v>
          </cell>
        </row>
        <row r="10772">
          <cell r="L10772" t="str">
            <v>Non-proportional</v>
          </cell>
          <cell r="S10772">
            <v>-6070.96</v>
          </cell>
          <cell r="X10772" t="str">
            <v>Variation UPR - gross</v>
          </cell>
          <cell r="Y10772" t="str">
            <v>DENMARK</v>
          </cell>
        </row>
        <row r="10773">
          <cell r="L10773" t="str">
            <v>Non-proportional</v>
          </cell>
          <cell r="S10773">
            <v>-8423.33</v>
          </cell>
          <cell r="X10773" t="str">
            <v>Variation UPR - gross</v>
          </cell>
          <cell r="Y10773" t="str">
            <v>ITALY</v>
          </cell>
        </row>
        <row r="10774">
          <cell r="L10774" t="str">
            <v>Non-proportional</v>
          </cell>
          <cell r="S10774">
            <v>-9227.9500000000007</v>
          </cell>
          <cell r="X10774" t="str">
            <v>Variation UPR - gross</v>
          </cell>
          <cell r="Y10774" t="str">
            <v>UNITED KINGDOM</v>
          </cell>
        </row>
        <row r="10775">
          <cell r="L10775" t="str">
            <v>Non-proportional</v>
          </cell>
          <cell r="S10775">
            <v>-4511.3999999999996</v>
          </cell>
          <cell r="X10775" t="str">
            <v>Variation UPR - gross</v>
          </cell>
          <cell r="Y10775" t="str">
            <v>AUSTRIA</v>
          </cell>
        </row>
        <row r="10776">
          <cell r="L10776" t="str">
            <v>Non-proportional</v>
          </cell>
          <cell r="S10776">
            <v>-1509.09</v>
          </cell>
          <cell r="X10776" t="str">
            <v>Variation UPR - gross</v>
          </cell>
          <cell r="Y10776" t="str">
            <v>GERMANY</v>
          </cell>
        </row>
        <row r="10777">
          <cell r="L10777" t="str">
            <v>Non-proportional</v>
          </cell>
          <cell r="S10777">
            <v>-4458.5200000000004</v>
          </cell>
          <cell r="X10777" t="str">
            <v>Variation UPR - gross</v>
          </cell>
          <cell r="Y10777" t="str">
            <v>DENMARK</v>
          </cell>
        </row>
        <row r="10778">
          <cell r="L10778" t="str">
            <v>Proportional</v>
          </cell>
          <cell r="S10778">
            <v>-138374.12</v>
          </cell>
          <cell r="X10778" t="str">
            <v>Variation UPR - gross</v>
          </cell>
          <cell r="Y10778" t="str">
            <v>GERMANY</v>
          </cell>
        </row>
        <row r="10779">
          <cell r="L10779" t="str">
            <v>Non-proportional</v>
          </cell>
          <cell r="S10779">
            <v>-37346.01</v>
          </cell>
          <cell r="X10779" t="str">
            <v>Variation UPR - gross</v>
          </cell>
          <cell r="Y10779" t="str">
            <v>FRANCE</v>
          </cell>
        </row>
        <row r="10780">
          <cell r="L10780" t="str">
            <v>Non-proportional</v>
          </cell>
          <cell r="S10780">
            <v>-8322.82</v>
          </cell>
          <cell r="X10780" t="str">
            <v>Variation UPR - gross</v>
          </cell>
          <cell r="Y10780" t="str">
            <v>GERMANY</v>
          </cell>
        </row>
        <row r="10781">
          <cell r="L10781" t="str">
            <v>Non-proportional</v>
          </cell>
          <cell r="S10781">
            <v>-3262.5</v>
          </cell>
          <cell r="X10781" t="str">
            <v>Variation UPR - gross</v>
          </cell>
          <cell r="Y10781" t="str">
            <v>ROMANIA</v>
          </cell>
        </row>
        <row r="10782">
          <cell r="L10782" t="str">
            <v>Non-proportional</v>
          </cell>
          <cell r="S10782">
            <v>-57517.24</v>
          </cell>
          <cell r="X10782" t="str">
            <v>Variation UPR - gross</v>
          </cell>
          <cell r="Y10782" t="str">
            <v>UNITED KINGDOM</v>
          </cell>
        </row>
        <row r="10783">
          <cell r="L10783" t="str">
            <v>Non-proportional</v>
          </cell>
          <cell r="S10783">
            <v>-4068.09</v>
          </cell>
          <cell r="X10783" t="str">
            <v>Variation UPR - gross</v>
          </cell>
          <cell r="Y10783" t="str">
            <v>SWITZERLAND</v>
          </cell>
        </row>
        <row r="10784">
          <cell r="L10784" t="str">
            <v>Non-proportional</v>
          </cell>
          <cell r="S10784">
            <v>-750</v>
          </cell>
          <cell r="X10784" t="str">
            <v>Variation UPR - gross</v>
          </cell>
          <cell r="Y10784" t="str">
            <v>GERMANY</v>
          </cell>
        </row>
        <row r="10785">
          <cell r="L10785" t="str">
            <v>Non-proportional</v>
          </cell>
          <cell r="S10785">
            <v>-43750</v>
          </cell>
          <cell r="X10785" t="str">
            <v>Variation UPR - gross</v>
          </cell>
          <cell r="Y10785" t="str">
            <v>GERMANY</v>
          </cell>
        </row>
        <row r="10786">
          <cell r="L10786" t="str">
            <v>Non-proportional</v>
          </cell>
          <cell r="S10786">
            <v>-20002.47</v>
          </cell>
          <cell r="X10786" t="str">
            <v>Variation UPR - gross</v>
          </cell>
          <cell r="Y10786" t="str">
            <v>CZECH REPUBLIC</v>
          </cell>
        </row>
        <row r="10787">
          <cell r="L10787" t="str">
            <v>Non-proportional</v>
          </cell>
          <cell r="S10787">
            <v>-3333.42</v>
          </cell>
          <cell r="X10787" t="str">
            <v>Variation UPR - gross</v>
          </cell>
          <cell r="Y10787" t="str">
            <v>ITALY</v>
          </cell>
        </row>
        <row r="10788">
          <cell r="L10788" t="str">
            <v>Non-proportional</v>
          </cell>
          <cell r="S10788">
            <v>-321.45</v>
          </cell>
          <cell r="X10788" t="str">
            <v>Variation UPR - gross</v>
          </cell>
          <cell r="Y10788" t="str">
            <v>FRANCE</v>
          </cell>
        </row>
        <row r="10789">
          <cell r="L10789" t="str">
            <v>Non-proportional</v>
          </cell>
          <cell r="S10789">
            <v>-20660.349999999999</v>
          </cell>
          <cell r="X10789" t="str">
            <v>Variation UPR - gross</v>
          </cell>
          <cell r="Y10789" t="str">
            <v>UNITED KINGDOM</v>
          </cell>
        </row>
        <row r="10790">
          <cell r="L10790" t="str">
            <v>Non-proportional</v>
          </cell>
          <cell r="S10790">
            <v>0.48</v>
          </cell>
          <cell r="X10790" t="str">
            <v>Variation UPR - gross</v>
          </cell>
          <cell r="Y10790" t="str">
            <v>DENMARK</v>
          </cell>
        </row>
        <row r="10791">
          <cell r="L10791" t="str">
            <v>Non-proportional</v>
          </cell>
          <cell r="S10791">
            <v>-16338.05</v>
          </cell>
          <cell r="X10791" t="str">
            <v>Variation UPR - gross</v>
          </cell>
          <cell r="Y10791" t="str">
            <v>DENMARK</v>
          </cell>
        </row>
        <row r="10792">
          <cell r="L10792" t="str">
            <v>Non-proportional</v>
          </cell>
          <cell r="S10792">
            <v>-16500</v>
          </cell>
          <cell r="X10792" t="str">
            <v>Variation UPR - gross</v>
          </cell>
          <cell r="Y10792" t="str">
            <v>GERMANY</v>
          </cell>
        </row>
        <row r="10793">
          <cell r="L10793" t="str">
            <v>Non-proportional</v>
          </cell>
          <cell r="S10793">
            <v>-22495.4</v>
          </cell>
          <cell r="X10793" t="str">
            <v>Variation UPR - gross</v>
          </cell>
          <cell r="Y10793" t="str">
            <v>CZECH REPUBLIC</v>
          </cell>
        </row>
        <row r="10794">
          <cell r="L10794" t="str">
            <v>Non-proportional</v>
          </cell>
          <cell r="S10794">
            <v>-15.97</v>
          </cell>
          <cell r="X10794" t="str">
            <v>Variation UPR - gross</v>
          </cell>
          <cell r="Y10794" t="str">
            <v>NORWAY</v>
          </cell>
        </row>
        <row r="10795">
          <cell r="L10795" t="str">
            <v>Non-proportional</v>
          </cell>
          <cell r="S10795">
            <v>-6037.5</v>
          </cell>
          <cell r="X10795" t="str">
            <v>Variation UPR - gross</v>
          </cell>
          <cell r="Y10795" t="str">
            <v>GERMANY</v>
          </cell>
        </row>
        <row r="10796">
          <cell r="L10796" t="str">
            <v>Non-proportional</v>
          </cell>
          <cell r="S10796">
            <v>10.55</v>
          </cell>
          <cell r="X10796" t="str">
            <v>Variation UPR - gross</v>
          </cell>
          <cell r="Y10796" t="str">
            <v>SWEDEN</v>
          </cell>
        </row>
        <row r="10797">
          <cell r="L10797" t="str">
            <v>Non-proportional</v>
          </cell>
          <cell r="S10797">
            <v>-8837.7099999999991</v>
          </cell>
          <cell r="X10797" t="str">
            <v>Variation UPR - gross</v>
          </cell>
          <cell r="Y10797" t="str">
            <v>GERMANY</v>
          </cell>
        </row>
        <row r="10798">
          <cell r="L10798" t="str">
            <v>Non-proportional</v>
          </cell>
          <cell r="S10798">
            <v>-19606.060000000001</v>
          </cell>
          <cell r="X10798" t="str">
            <v>Variation UPR - gross</v>
          </cell>
          <cell r="Y10798" t="str">
            <v>FRANCE</v>
          </cell>
        </row>
        <row r="10799">
          <cell r="L10799" t="str">
            <v>Non-proportional</v>
          </cell>
          <cell r="S10799">
            <v>-4984.72</v>
          </cell>
          <cell r="X10799" t="str">
            <v>Variation UPR - gross</v>
          </cell>
          <cell r="Y10799" t="str">
            <v>GERMANY</v>
          </cell>
        </row>
        <row r="10800">
          <cell r="L10800" t="str">
            <v>Non-proportional</v>
          </cell>
          <cell r="S10800">
            <v>3.79</v>
          </cell>
          <cell r="X10800" t="str">
            <v>Variation UPR - gross</v>
          </cell>
          <cell r="Y10800" t="str">
            <v>DENMARK</v>
          </cell>
        </row>
        <row r="10801">
          <cell r="L10801" t="str">
            <v>Non-proportional</v>
          </cell>
          <cell r="S10801">
            <v>-10209.379999999999</v>
          </cell>
          <cell r="X10801" t="str">
            <v>Variation UPR - gross</v>
          </cell>
          <cell r="Y10801" t="str">
            <v>GERMANY</v>
          </cell>
        </row>
        <row r="10802">
          <cell r="L10802" t="str">
            <v>Non-proportional</v>
          </cell>
          <cell r="S10802">
            <v>-1248.98</v>
          </cell>
          <cell r="X10802" t="str">
            <v>Variation UPR - gross</v>
          </cell>
          <cell r="Y10802" t="str">
            <v>SWITZERLAND</v>
          </cell>
        </row>
        <row r="10803">
          <cell r="L10803" t="str">
            <v>Non-proportional</v>
          </cell>
          <cell r="S10803">
            <v>-7770.84</v>
          </cell>
          <cell r="X10803" t="str">
            <v>Variation UPR - gross</v>
          </cell>
          <cell r="Y10803" t="str">
            <v>FRANCE</v>
          </cell>
        </row>
        <row r="10804">
          <cell r="L10804" t="str">
            <v>Non-proportional</v>
          </cell>
          <cell r="S10804">
            <v>-14602.5</v>
          </cell>
          <cell r="X10804" t="str">
            <v>Variation UPR - gross</v>
          </cell>
          <cell r="Y10804" t="str">
            <v>GERMANY</v>
          </cell>
        </row>
        <row r="10805">
          <cell r="L10805" t="str">
            <v>Non-proportional</v>
          </cell>
          <cell r="S10805">
            <v>-2500.5700000000002</v>
          </cell>
          <cell r="X10805" t="str">
            <v>Variation UPR - gross</v>
          </cell>
          <cell r="Y10805" t="str">
            <v>GERMANY</v>
          </cell>
        </row>
        <row r="10806">
          <cell r="L10806" t="str">
            <v>Non-proportional</v>
          </cell>
          <cell r="S10806">
            <v>-7203.97</v>
          </cell>
          <cell r="X10806" t="str">
            <v>Variation UPR - gross</v>
          </cell>
          <cell r="Y10806" t="str">
            <v>DENMARK</v>
          </cell>
        </row>
        <row r="10807">
          <cell r="L10807" t="str">
            <v>Non-proportional</v>
          </cell>
          <cell r="S10807">
            <v>-747.81</v>
          </cell>
          <cell r="X10807" t="str">
            <v>Variation UPR - gross</v>
          </cell>
          <cell r="Y10807" t="str">
            <v>JAPAN</v>
          </cell>
        </row>
        <row r="10808">
          <cell r="L10808" t="str">
            <v>Non-proportional</v>
          </cell>
          <cell r="S10808">
            <v>-18</v>
          </cell>
          <cell r="X10808" t="str">
            <v>Variation UPR - gross</v>
          </cell>
          <cell r="Y10808" t="str">
            <v>EUROPE</v>
          </cell>
        </row>
        <row r="10809">
          <cell r="L10809" t="str">
            <v>Non-proportional</v>
          </cell>
          <cell r="S10809">
            <v>-40774.57</v>
          </cell>
          <cell r="X10809" t="str">
            <v>Variation UPR - gross</v>
          </cell>
          <cell r="Y10809" t="str">
            <v>SWITZERLAND</v>
          </cell>
        </row>
        <row r="10810">
          <cell r="L10810" t="str">
            <v>Non-proportional</v>
          </cell>
          <cell r="S10810">
            <v>-59240.639999999999</v>
          </cell>
          <cell r="X10810" t="str">
            <v>Variation UPR - gross</v>
          </cell>
          <cell r="Y10810" t="str">
            <v>UNITED KINGDOM</v>
          </cell>
        </row>
        <row r="10811">
          <cell r="L10811" t="str">
            <v>Non-proportional</v>
          </cell>
          <cell r="S10811">
            <v>-112052.09</v>
          </cell>
          <cell r="X10811" t="str">
            <v>Variation UPR - gross</v>
          </cell>
          <cell r="Y10811" t="str">
            <v>FRANCE</v>
          </cell>
        </row>
        <row r="10812">
          <cell r="L10812" t="str">
            <v>Non-proportional</v>
          </cell>
          <cell r="S10812">
            <v>-5586.33</v>
          </cell>
          <cell r="X10812" t="str">
            <v>Variation UPR - gross</v>
          </cell>
          <cell r="Y10812" t="str">
            <v>GERMANY</v>
          </cell>
        </row>
        <row r="10813">
          <cell r="L10813" t="str">
            <v>Non-proportional</v>
          </cell>
          <cell r="S10813">
            <v>-3532.87</v>
          </cell>
          <cell r="X10813" t="str">
            <v>Variation UPR - gross</v>
          </cell>
          <cell r="Y10813" t="str">
            <v>FAROE ISLANDS</v>
          </cell>
        </row>
        <row r="10814">
          <cell r="L10814" t="str">
            <v>Non-proportional</v>
          </cell>
          <cell r="S10814">
            <v>-5864.96</v>
          </cell>
          <cell r="X10814" t="str">
            <v>Variation UPR - gross</v>
          </cell>
          <cell r="Y10814" t="str">
            <v>SWEDEN</v>
          </cell>
        </row>
        <row r="10815">
          <cell r="L10815" t="str">
            <v>Non-proportional</v>
          </cell>
          <cell r="S10815">
            <v>-451.25</v>
          </cell>
          <cell r="X10815" t="str">
            <v>Variation UPR - gross</v>
          </cell>
          <cell r="Y10815" t="str">
            <v>ITALY</v>
          </cell>
        </row>
        <row r="10816">
          <cell r="L10816" t="str">
            <v>Non-proportional</v>
          </cell>
          <cell r="S10816">
            <v>4.1500000000000004</v>
          </cell>
          <cell r="X10816" t="str">
            <v>Variation UPR - gross</v>
          </cell>
          <cell r="Y10816" t="str">
            <v>DENMARK</v>
          </cell>
        </row>
        <row r="10817">
          <cell r="L10817" t="str">
            <v>Non-proportional</v>
          </cell>
          <cell r="S10817">
            <v>-2464.34</v>
          </cell>
          <cell r="X10817" t="str">
            <v>Variation UPR - gross</v>
          </cell>
          <cell r="Y10817" t="str">
            <v>SWEDEN</v>
          </cell>
        </row>
        <row r="10818">
          <cell r="L10818" t="str">
            <v>Non-proportional</v>
          </cell>
          <cell r="S10818">
            <v>-18807.28</v>
          </cell>
          <cell r="X10818" t="str">
            <v>Variation UPR - gross</v>
          </cell>
          <cell r="Y10818" t="str">
            <v>REPUBLIC OF IRELAND</v>
          </cell>
        </row>
        <row r="10819">
          <cell r="L10819" t="str">
            <v>Non-proportional</v>
          </cell>
          <cell r="S10819">
            <v>-16643.64</v>
          </cell>
          <cell r="X10819" t="str">
            <v>Variation UPR - gross</v>
          </cell>
          <cell r="Y10819" t="str">
            <v>FRANCE</v>
          </cell>
        </row>
        <row r="10820">
          <cell r="L10820" t="str">
            <v>Non-proportional</v>
          </cell>
          <cell r="S10820">
            <v>-87798.67</v>
          </cell>
          <cell r="X10820" t="str">
            <v>Variation UPR - gross</v>
          </cell>
          <cell r="Y10820" t="str">
            <v>GERMANY</v>
          </cell>
        </row>
        <row r="10821">
          <cell r="L10821" t="str">
            <v>Non-proportional</v>
          </cell>
          <cell r="S10821">
            <v>-3093.23</v>
          </cell>
          <cell r="X10821" t="str">
            <v>Variation UPR - gross</v>
          </cell>
          <cell r="Y10821" t="str">
            <v>SWITZERLAND</v>
          </cell>
        </row>
        <row r="10822">
          <cell r="L10822" t="str">
            <v>Non-proportional</v>
          </cell>
          <cell r="S10822">
            <v>-2816.19</v>
          </cell>
          <cell r="X10822" t="str">
            <v>Variation UPR - gross</v>
          </cell>
          <cell r="Y10822" t="str">
            <v>FRANCE</v>
          </cell>
        </row>
        <row r="10823">
          <cell r="L10823" t="str">
            <v>Non-proportional</v>
          </cell>
          <cell r="S10823">
            <v>-6703.6</v>
          </cell>
          <cell r="X10823" t="str">
            <v>Variation UPR - gross</v>
          </cell>
          <cell r="Y10823" t="str">
            <v>DENMARK</v>
          </cell>
        </row>
        <row r="10824">
          <cell r="L10824" t="str">
            <v>Non-proportional</v>
          </cell>
          <cell r="S10824">
            <v>-31107.56</v>
          </cell>
          <cell r="X10824" t="str">
            <v>Variation UPR - gross</v>
          </cell>
          <cell r="Y10824" t="str">
            <v>UNITED KINGDOM</v>
          </cell>
        </row>
        <row r="10825">
          <cell r="L10825" t="str">
            <v>Proportional</v>
          </cell>
          <cell r="S10825">
            <v>-138374.14000000001</v>
          </cell>
          <cell r="X10825" t="str">
            <v>Variation UPR - gross</v>
          </cell>
          <cell r="Y10825" t="str">
            <v>GERMANY</v>
          </cell>
        </row>
        <row r="10826">
          <cell r="L10826" t="str">
            <v>Non-proportional</v>
          </cell>
          <cell r="S10826">
            <v>-1125</v>
          </cell>
          <cell r="X10826" t="str">
            <v>Variation UPR - gross</v>
          </cell>
          <cell r="Y10826" t="str">
            <v>GERMANY</v>
          </cell>
        </row>
        <row r="10827">
          <cell r="L10827" t="str">
            <v>Non-proportional</v>
          </cell>
          <cell r="S10827">
            <v>-54.83</v>
          </cell>
          <cell r="X10827" t="str">
            <v>Variation UPR - gross</v>
          </cell>
          <cell r="Y10827" t="str">
            <v>FRANCE</v>
          </cell>
        </row>
        <row r="10828">
          <cell r="L10828" t="str">
            <v>Non-proportional</v>
          </cell>
          <cell r="S10828">
            <v>-83.26</v>
          </cell>
          <cell r="X10828" t="str">
            <v>Variation UPR - gross</v>
          </cell>
          <cell r="Y10828" t="str">
            <v>FRANCE</v>
          </cell>
        </row>
        <row r="10829">
          <cell r="L10829" t="str">
            <v>Non-proportional</v>
          </cell>
          <cell r="S10829">
            <v>-3850</v>
          </cell>
          <cell r="X10829" t="str">
            <v>Variation UPR - gross</v>
          </cell>
          <cell r="Y10829" t="str">
            <v>GERMANY</v>
          </cell>
        </row>
        <row r="10830">
          <cell r="L10830" t="str">
            <v>Non-proportional</v>
          </cell>
          <cell r="S10830">
            <v>-6871.9</v>
          </cell>
          <cell r="X10830" t="str">
            <v>Variation UPR - gross</v>
          </cell>
          <cell r="Y10830" t="str">
            <v>GERMANY</v>
          </cell>
        </row>
        <row r="10831">
          <cell r="L10831" t="str">
            <v>Non-proportional</v>
          </cell>
          <cell r="S10831">
            <v>-11765.61</v>
          </cell>
          <cell r="X10831" t="str">
            <v>Variation UPR - gross</v>
          </cell>
          <cell r="Y10831" t="str">
            <v>UNITED KINGDOM</v>
          </cell>
        </row>
        <row r="10832">
          <cell r="L10832" t="str">
            <v>Non-proportional</v>
          </cell>
          <cell r="S10832">
            <v>-12158.48</v>
          </cell>
          <cell r="X10832" t="str">
            <v>Variation UPR - gross</v>
          </cell>
          <cell r="Y10832" t="str">
            <v>UNITED KINGDOM</v>
          </cell>
        </row>
        <row r="10833">
          <cell r="L10833" t="str">
            <v>Non-proportional</v>
          </cell>
          <cell r="S10833">
            <v>-10537.8</v>
          </cell>
          <cell r="X10833" t="str">
            <v>Variation UPR - gross</v>
          </cell>
          <cell r="Y10833" t="str">
            <v>GERMANY</v>
          </cell>
        </row>
        <row r="10834">
          <cell r="L10834" t="str">
            <v>Non-proportional</v>
          </cell>
          <cell r="S10834">
            <v>4.8899999999999997</v>
          </cell>
          <cell r="X10834" t="str">
            <v>Variation UPR - gross</v>
          </cell>
          <cell r="Y10834" t="str">
            <v>SWEDEN</v>
          </cell>
        </row>
        <row r="10835">
          <cell r="L10835" t="str">
            <v>Proportional</v>
          </cell>
          <cell r="S10835">
            <v>138374.14000000001</v>
          </cell>
          <cell r="X10835" t="str">
            <v>Variation UPR - gross</v>
          </cell>
          <cell r="Y10835" t="str">
            <v>GERMANY</v>
          </cell>
        </row>
        <row r="10836">
          <cell r="L10836" t="str">
            <v>Non-proportional</v>
          </cell>
          <cell r="S10836">
            <v>-134012.4</v>
          </cell>
          <cell r="X10836" t="str">
            <v>Variation UPR - gross</v>
          </cell>
          <cell r="Y10836" t="str">
            <v>UNITED KINGDOM</v>
          </cell>
        </row>
        <row r="10837">
          <cell r="L10837" t="str">
            <v>Non-proportional</v>
          </cell>
          <cell r="S10837">
            <v>-820.54</v>
          </cell>
          <cell r="X10837" t="str">
            <v>Variation UPR - gross</v>
          </cell>
          <cell r="Y10837" t="str">
            <v>GERMANY</v>
          </cell>
        </row>
        <row r="10838">
          <cell r="L10838" t="str">
            <v>Proportional</v>
          </cell>
          <cell r="S10838">
            <v>-17296.77</v>
          </cell>
          <cell r="X10838" t="str">
            <v>Variation UPR - gross</v>
          </cell>
          <cell r="Y10838" t="str">
            <v>GERMANY</v>
          </cell>
        </row>
        <row r="10839">
          <cell r="L10839" t="str">
            <v>Non-proportional</v>
          </cell>
          <cell r="S10839">
            <v>-9203.1200000000008</v>
          </cell>
          <cell r="X10839" t="str">
            <v>Variation UPR - gross</v>
          </cell>
          <cell r="Y10839" t="str">
            <v>GERMANY</v>
          </cell>
        </row>
        <row r="10840">
          <cell r="L10840" t="str">
            <v>Non-proportional</v>
          </cell>
          <cell r="S10840">
            <v>-23854.17</v>
          </cell>
          <cell r="X10840" t="str">
            <v>Variation UPR - gross</v>
          </cell>
          <cell r="Y10840" t="str">
            <v>AUSTRIA</v>
          </cell>
        </row>
        <row r="10841">
          <cell r="L10841" t="str">
            <v>Non-proportional</v>
          </cell>
          <cell r="S10841">
            <v>-171869.12</v>
          </cell>
          <cell r="X10841" t="str">
            <v>Variation UPR - gross</v>
          </cell>
          <cell r="Y10841" t="str">
            <v>UNITED KINGDOM</v>
          </cell>
        </row>
        <row r="10842">
          <cell r="L10842" t="str">
            <v>Non-proportional</v>
          </cell>
          <cell r="S10842">
            <v>-7454.57</v>
          </cell>
          <cell r="X10842" t="str">
            <v>Variation UPR - gross</v>
          </cell>
          <cell r="Y10842" t="str">
            <v>EUROPE</v>
          </cell>
        </row>
        <row r="10843">
          <cell r="L10843" t="str">
            <v>Non-proportional</v>
          </cell>
          <cell r="S10843">
            <v>-43602.85</v>
          </cell>
          <cell r="X10843" t="str">
            <v>Variation UPR - gross</v>
          </cell>
          <cell r="Y10843" t="str">
            <v>UNITED KINGDOM</v>
          </cell>
        </row>
        <row r="10844">
          <cell r="L10844" t="str">
            <v>Non-proportional</v>
          </cell>
          <cell r="S10844">
            <v>-64952.97</v>
          </cell>
          <cell r="X10844" t="str">
            <v>Variation UPR - gross</v>
          </cell>
          <cell r="Y10844" t="str">
            <v>REPUBLIC OF IRELAND</v>
          </cell>
        </row>
        <row r="10845">
          <cell r="L10845" t="str">
            <v>Non-proportional</v>
          </cell>
          <cell r="S10845">
            <v>-7637.13</v>
          </cell>
          <cell r="X10845" t="str">
            <v>Variation UPR - gross</v>
          </cell>
          <cell r="Y10845" t="str">
            <v>NORWAY</v>
          </cell>
        </row>
        <row r="10846">
          <cell r="L10846" t="str">
            <v>Non-proportional</v>
          </cell>
          <cell r="S10846">
            <v>-7309.11</v>
          </cell>
          <cell r="X10846" t="str">
            <v>Variation UPR - gross</v>
          </cell>
          <cell r="Y10846" t="str">
            <v>FAROE ISLANDS</v>
          </cell>
        </row>
        <row r="10847">
          <cell r="L10847" t="str">
            <v>Non-proportional</v>
          </cell>
          <cell r="S10847">
            <v>-8999.89</v>
          </cell>
          <cell r="X10847" t="str">
            <v>Variation UPR - gross</v>
          </cell>
          <cell r="Y10847" t="str">
            <v>GERMANY</v>
          </cell>
        </row>
        <row r="10848">
          <cell r="L10848" t="str">
            <v>Non-proportional</v>
          </cell>
          <cell r="S10848">
            <v>-3436.97</v>
          </cell>
          <cell r="X10848" t="str">
            <v>Variation UPR - gross</v>
          </cell>
          <cell r="Y10848" t="str">
            <v>EUROPE</v>
          </cell>
        </row>
        <row r="10849">
          <cell r="L10849" t="str">
            <v>Non-proportional</v>
          </cell>
          <cell r="S10849">
            <v>-1509.09</v>
          </cell>
          <cell r="X10849" t="str">
            <v>Variation UPR - gross</v>
          </cell>
          <cell r="Y10849" t="str">
            <v>GERMANY</v>
          </cell>
        </row>
        <row r="10850">
          <cell r="L10850" t="str">
            <v>Non-proportional</v>
          </cell>
          <cell r="S10850">
            <v>-16112.84</v>
          </cell>
          <cell r="X10850" t="str">
            <v>Variation UPR - gross</v>
          </cell>
          <cell r="Y10850" t="str">
            <v>EUROPE</v>
          </cell>
        </row>
        <row r="10851">
          <cell r="L10851" t="str">
            <v>Non-proportional</v>
          </cell>
          <cell r="S10851">
            <v>-1340.09</v>
          </cell>
          <cell r="X10851" t="str">
            <v>Variation UPR - gross</v>
          </cell>
          <cell r="Y10851" t="str">
            <v>DENMARK</v>
          </cell>
        </row>
        <row r="10852">
          <cell r="L10852" t="str">
            <v>Non-proportional</v>
          </cell>
          <cell r="S10852">
            <v>-351.66</v>
          </cell>
          <cell r="X10852" t="str">
            <v>Variation UPR - gross</v>
          </cell>
          <cell r="Y10852" t="str">
            <v>GERMANY</v>
          </cell>
        </row>
        <row r="10853">
          <cell r="L10853" t="str">
            <v>Non-proportional</v>
          </cell>
          <cell r="S10853">
            <v>-1108.02</v>
          </cell>
          <cell r="X10853" t="str">
            <v>Variation UPR - gross</v>
          </cell>
          <cell r="Y10853" t="str">
            <v>AUSTRIA</v>
          </cell>
        </row>
        <row r="10854">
          <cell r="L10854" t="str">
            <v>Non-proportional</v>
          </cell>
          <cell r="S10854">
            <v>-3116.64</v>
          </cell>
          <cell r="X10854" t="str">
            <v>Variation UPR - gross</v>
          </cell>
          <cell r="Y10854" t="str">
            <v>ICELAND</v>
          </cell>
        </row>
        <row r="10855">
          <cell r="L10855" t="str">
            <v>Non-proportional</v>
          </cell>
          <cell r="S10855">
            <v>16.12</v>
          </cell>
          <cell r="X10855" t="str">
            <v>Variation UPR - gross</v>
          </cell>
          <cell r="Y10855" t="str">
            <v>SWEDEN</v>
          </cell>
        </row>
        <row r="10856">
          <cell r="L10856" t="str">
            <v>Non-proportional</v>
          </cell>
          <cell r="S10856">
            <v>-6416.67</v>
          </cell>
          <cell r="X10856" t="str">
            <v>Variation UPR - gross</v>
          </cell>
          <cell r="Y10856" t="str">
            <v>GERMANY</v>
          </cell>
        </row>
        <row r="10857">
          <cell r="L10857" t="str">
            <v>Non-proportional</v>
          </cell>
          <cell r="S10857">
            <v>-2637.27</v>
          </cell>
          <cell r="X10857" t="str">
            <v>Variation UPR - gross</v>
          </cell>
          <cell r="Y10857" t="str">
            <v>GERMANY</v>
          </cell>
        </row>
        <row r="10858">
          <cell r="L10858" t="str">
            <v>Non-proportional</v>
          </cell>
          <cell r="S10858">
            <v>-5493.18</v>
          </cell>
          <cell r="X10858" t="str">
            <v>Variation UPR - gross</v>
          </cell>
          <cell r="Y10858" t="str">
            <v>FRANCE</v>
          </cell>
        </row>
        <row r="10859">
          <cell r="L10859" t="str">
            <v>Non-proportional</v>
          </cell>
          <cell r="S10859">
            <v>-3462.94</v>
          </cell>
          <cell r="X10859" t="str">
            <v>Variation UPR - gross</v>
          </cell>
          <cell r="Y10859" t="str">
            <v>ICELAND</v>
          </cell>
        </row>
        <row r="10860">
          <cell r="L10860" t="str">
            <v>Non-proportional</v>
          </cell>
          <cell r="S10860">
            <v>-5930.89</v>
          </cell>
          <cell r="X10860" t="str">
            <v>Variation UPR - gross</v>
          </cell>
          <cell r="Y10860" t="str">
            <v>NORWAY</v>
          </cell>
        </row>
        <row r="10861">
          <cell r="L10861" t="str">
            <v>Non-proportional</v>
          </cell>
          <cell r="S10861">
            <v>-2687.5</v>
          </cell>
          <cell r="X10861" t="str">
            <v>Variation UPR - gross</v>
          </cell>
          <cell r="Y10861" t="str">
            <v>GERMANY</v>
          </cell>
        </row>
        <row r="10862">
          <cell r="L10862" t="str">
            <v>Non-proportional</v>
          </cell>
          <cell r="S10862">
            <v>-17128.8</v>
          </cell>
          <cell r="X10862" t="str">
            <v>Variation UPR - gross</v>
          </cell>
          <cell r="Y10862" t="str">
            <v>SWITZERLAND</v>
          </cell>
        </row>
        <row r="10863">
          <cell r="L10863" t="str">
            <v>Non-proportional</v>
          </cell>
          <cell r="S10863">
            <v>-11066.81</v>
          </cell>
          <cell r="X10863" t="str">
            <v>Variation UPR - gross</v>
          </cell>
          <cell r="Y10863" t="str">
            <v>DENMARK</v>
          </cell>
        </row>
        <row r="10864">
          <cell r="L10864" t="str">
            <v>Non-proportional</v>
          </cell>
          <cell r="S10864">
            <v>-16243.4</v>
          </cell>
          <cell r="X10864" t="str">
            <v>Variation UPR - gross</v>
          </cell>
          <cell r="Y10864" t="str">
            <v>UNITED KINGDOM</v>
          </cell>
        </row>
        <row r="10865">
          <cell r="L10865" t="str">
            <v>Non-proportional</v>
          </cell>
          <cell r="S10865">
            <v>-12523.23</v>
          </cell>
          <cell r="X10865" t="str">
            <v>Variation UPR - gross</v>
          </cell>
          <cell r="Y10865" t="str">
            <v>UNITED KINGDOM</v>
          </cell>
        </row>
        <row r="10866">
          <cell r="L10866" t="str">
            <v>Non-proportional</v>
          </cell>
          <cell r="S10866">
            <v>-2065.29</v>
          </cell>
          <cell r="X10866" t="str">
            <v>Variation UPR - gross</v>
          </cell>
          <cell r="Y10866" t="str">
            <v>EUROPE</v>
          </cell>
        </row>
        <row r="10867">
          <cell r="L10867" t="str">
            <v>Non-proportional</v>
          </cell>
          <cell r="S10867">
            <v>-4016.85</v>
          </cell>
          <cell r="X10867" t="str">
            <v>Variation UPR - gross</v>
          </cell>
          <cell r="Y10867" t="str">
            <v>UNITED KINGDOM</v>
          </cell>
        </row>
        <row r="10868">
          <cell r="L10868" t="str">
            <v>Non-proportional</v>
          </cell>
          <cell r="S10868">
            <v>-4164.72</v>
          </cell>
          <cell r="X10868" t="str">
            <v>Variation UPR - gross</v>
          </cell>
          <cell r="Y10868" t="str">
            <v>GERMANY</v>
          </cell>
        </row>
        <row r="10869">
          <cell r="L10869" t="str">
            <v>Non-proportional</v>
          </cell>
          <cell r="S10869">
            <v>-8970.6200000000008</v>
          </cell>
          <cell r="X10869" t="str">
            <v>Variation UPR - gross</v>
          </cell>
          <cell r="Y10869" t="str">
            <v>GERMANY</v>
          </cell>
        </row>
        <row r="10870">
          <cell r="L10870" t="str">
            <v>Non-proportional</v>
          </cell>
          <cell r="S10870">
            <v>-40608.29</v>
          </cell>
          <cell r="X10870" t="str">
            <v>Variation UPR - gross</v>
          </cell>
          <cell r="Y10870" t="str">
            <v>UNITED KINGDOM</v>
          </cell>
        </row>
        <row r="10871">
          <cell r="L10871" t="str">
            <v>Non-proportional</v>
          </cell>
          <cell r="S10871">
            <v>-19920.240000000002</v>
          </cell>
          <cell r="X10871" t="str">
            <v>Variation UPR - gross</v>
          </cell>
          <cell r="Y10871" t="str">
            <v>FRANCE</v>
          </cell>
        </row>
        <row r="10872">
          <cell r="L10872" t="str">
            <v>Non-proportional</v>
          </cell>
          <cell r="S10872">
            <v>-3568.5</v>
          </cell>
          <cell r="X10872" t="str">
            <v>Variation UPR - gross</v>
          </cell>
          <cell r="Y10872" t="str">
            <v>SWITZERLAND</v>
          </cell>
        </row>
        <row r="10873">
          <cell r="L10873" t="str">
            <v>Non-proportional</v>
          </cell>
          <cell r="S10873">
            <v>-129981.96</v>
          </cell>
          <cell r="X10873" t="str">
            <v>Variation UPR - gross</v>
          </cell>
          <cell r="Y10873" t="str">
            <v>UNITED KINGDOM</v>
          </cell>
        </row>
        <row r="10874">
          <cell r="L10874" t="str">
            <v>Non-proportional</v>
          </cell>
          <cell r="S10874">
            <v>-4460.92</v>
          </cell>
          <cell r="X10874" t="str">
            <v>Variation UPR - gross</v>
          </cell>
          <cell r="Y10874" t="str">
            <v>DENMARK</v>
          </cell>
        </row>
        <row r="10875">
          <cell r="L10875" t="str">
            <v>Non-proportional</v>
          </cell>
          <cell r="S10875">
            <v>-15329.19</v>
          </cell>
          <cell r="X10875" t="str">
            <v>Variation UPR - gross</v>
          </cell>
          <cell r="Y10875" t="str">
            <v>ITALY</v>
          </cell>
        </row>
        <row r="10876">
          <cell r="L10876" t="str">
            <v>Non-proportional</v>
          </cell>
          <cell r="S10876">
            <v>-2001.09</v>
          </cell>
          <cell r="X10876" t="str">
            <v>Variation UPR - gross</v>
          </cell>
          <cell r="Y10876" t="str">
            <v>JAPAN</v>
          </cell>
        </row>
        <row r="10877">
          <cell r="L10877" t="str">
            <v>Non-proportional</v>
          </cell>
          <cell r="S10877">
            <v>-4636.8</v>
          </cell>
          <cell r="X10877" t="str">
            <v>Variation UPR - gross</v>
          </cell>
          <cell r="Y10877" t="str">
            <v>UNITED KINGDOM</v>
          </cell>
        </row>
        <row r="10878">
          <cell r="L10878" t="str">
            <v>Non-proportional</v>
          </cell>
          <cell r="S10878">
            <v>-15832.43</v>
          </cell>
          <cell r="X10878" t="str">
            <v>Variation UPR - gross</v>
          </cell>
          <cell r="Y10878" t="str">
            <v>GERMANY</v>
          </cell>
        </row>
        <row r="10879">
          <cell r="L10879" t="str">
            <v>Non-proportional</v>
          </cell>
          <cell r="S10879">
            <v>-837.85</v>
          </cell>
          <cell r="X10879" t="str">
            <v>Variation UPR - gross</v>
          </cell>
          <cell r="Y10879" t="str">
            <v>DENMARK</v>
          </cell>
        </row>
        <row r="10880">
          <cell r="L10880" t="str">
            <v>Non-proportional</v>
          </cell>
          <cell r="S10880">
            <v>-6033.15</v>
          </cell>
          <cell r="X10880" t="str">
            <v>Variation UPR - gross</v>
          </cell>
          <cell r="Y10880" t="str">
            <v>UNITED KINGDOM</v>
          </cell>
        </row>
        <row r="10881">
          <cell r="L10881" t="str">
            <v>Non-proportional</v>
          </cell>
          <cell r="S10881">
            <v>-7747.42</v>
          </cell>
          <cell r="X10881" t="str">
            <v>Variation UPR - gross</v>
          </cell>
          <cell r="Y10881" t="str">
            <v>GERMANY</v>
          </cell>
        </row>
        <row r="10882">
          <cell r="L10882" t="str">
            <v>Non-proportional</v>
          </cell>
          <cell r="S10882">
            <v>0.01</v>
          </cell>
          <cell r="X10882" t="str">
            <v>Variation UPR - gross</v>
          </cell>
          <cell r="Y10882" t="str">
            <v>ICELAND</v>
          </cell>
        </row>
        <row r="10883">
          <cell r="L10883" t="str">
            <v>Non-proportional</v>
          </cell>
          <cell r="S10883">
            <v>-29446.02</v>
          </cell>
          <cell r="X10883" t="str">
            <v>Variation UPR - gross</v>
          </cell>
          <cell r="Y10883" t="str">
            <v>UNITED KINGDOM</v>
          </cell>
        </row>
        <row r="10884">
          <cell r="L10884" t="str">
            <v>Non-proportional</v>
          </cell>
          <cell r="S10884">
            <v>-8625</v>
          </cell>
          <cell r="X10884" t="str">
            <v>Variation UPR - gross</v>
          </cell>
          <cell r="Y10884" t="str">
            <v>GERMANY</v>
          </cell>
        </row>
        <row r="10885">
          <cell r="L10885" t="str">
            <v>Non-proportional</v>
          </cell>
          <cell r="S10885">
            <v>9.4</v>
          </cell>
          <cell r="X10885" t="str">
            <v>Variation UPR - gross</v>
          </cell>
          <cell r="Y10885" t="str">
            <v>SWEDEN</v>
          </cell>
        </row>
        <row r="10886">
          <cell r="L10886" t="str">
            <v>Non-proportional</v>
          </cell>
          <cell r="S10886">
            <v>-12074.88</v>
          </cell>
          <cell r="X10886" t="str">
            <v>Variation UPR - gross</v>
          </cell>
          <cell r="Y10886" t="str">
            <v>FRANCE</v>
          </cell>
        </row>
        <row r="10887">
          <cell r="L10887" t="str">
            <v>Non-proportional</v>
          </cell>
          <cell r="S10887">
            <v>-6325.5</v>
          </cell>
          <cell r="X10887" t="str">
            <v>Variation UPR - gross</v>
          </cell>
          <cell r="Y10887" t="str">
            <v>SWEDEN</v>
          </cell>
        </row>
        <row r="10888">
          <cell r="L10888" t="str">
            <v>Non-proportional</v>
          </cell>
          <cell r="S10888">
            <v>-981.34</v>
          </cell>
          <cell r="X10888" t="str">
            <v>Variation UPR - gross</v>
          </cell>
          <cell r="Y10888" t="str">
            <v>SWITZERLAND</v>
          </cell>
        </row>
        <row r="10889">
          <cell r="L10889" t="str">
            <v>Non-proportional</v>
          </cell>
          <cell r="S10889">
            <v>-865.58</v>
          </cell>
          <cell r="X10889" t="str">
            <v>Variation UPR - gross</v>
          </cell>
          <cell r="Y10889" t="str">
            <v>ITALY</v>
          </cell>
        </row>
        <row r="10890">
          <cell r="L10890" t="str">
            <v>Non-proportional</v>
          </cell>
          <cell r="S10890">
            <v>-1401.66</v>
          </cell>
          <cell r="X10890" t="str">
            <v>Variation UPR - gross</v>
          </cell>
          <cell r="Y10890" t="str">
            <v>GERMANY</v>
          </cell>
        </row>
        <row r="10891">
          <cell r="L10891" t="str">
            <v>Non-proportional</v>
          </cell>
          <cell r="S10891">
            <v>-3496.12</v>
          </cell>
          <cell r="X10891" t="str">
            <v>Variation UPR - gross</v>
          </cell>
          <cell r="Y10891" t="str">
            <v>JAPAN</v>
          </cell>
        </row>
        <row r="10892">
          <cell r="L10892" t="str">
            <v>Non-proportional</v>
          </cell>
          <cell r="S10892">
            <v>0.6</v>
          </cell>
          <cell r="X10892" t="str">
            <v>Variation UPR - gross</v>
          </cell>
          <cell r="Y10892" t="str">
            <v>DENMARK</v>
          </cell>
        </row>
        <row r="10893">
          <cell r="L10893" t="str">
            <v>Non-proportional</v>
          </cell>
          <cell r="S10893">
            <v>-8369.58</v>
          </cell>
          <cell r="X10893" t="str">
            <v>Variation UPR - gross</v>
          </cell>
          <cell r="Y10893" t="str">
            <v>GERMANY</v>
          </cell>
        </row>
        <row r="10894">
          <cell r="L10894" t="str">
            <v>Non-proportional</v>
          </cell>
          <cell r="S10894">
            <v>-4439.78</v>
          </cell>
          <cell r="X10894" t="str">
            <v>Variation UPR - gross</v>
          </cell>
          <cell r="Y10894" t="str">
            <v>GERMANY</v>
          </cell>
        </row>
        <row r="10895">
          <cell r="L10895" t="str">
            <v>Non-proportional</v>
          </cell>
          <cell r="S10895">
            <v>-8697.67</v>
          </cell>
          <cell r="X10895" t="str">
            <v>Variation UPR - gross</v>
          </cell>
          <cell r="Y10895" t="str">
            <v>GERMANY</v>
          </cell>
        </row>
        <row r="10896">
          <cell r="L10896" t="str">
            <v>Non-proportional</v>
          </cell>
          <cell r="S10896">
            <v>-2712.75</v>
          </cell>
          <cell r="X10896" t="str">
            <v>Variation UPR - gross</v>
          </cell>
          <cell r="Y10896" t="str">
            <v>GERMANY</v>
          </cell>
        </row>
        <row r="10897">
          <cell r="L10897" t="str">
            <v>Non-proportional</v>
          </cell>
          <cell r="S10897">
            <v>2.06</v>
          </cell>
          <cell r="X10897" t="str">
            <v>Variation UPR - gross</v>
          </cell>
          <cell r="Y10897" t="str">
            <v>SWEDEN</v>
          </cell>
        </row>
        <row r="10898">
          <cell r="L10898" t="str">
            <v>Non-proportional</v>
          </cell>
          <cell r="S10898">
            <v>-8072.83</v>
          </cell>
          <cell r="X10898" t="str">
            <v>Variation UPR - gross</v>
          </cell>
          <cell r="Y10898" t="str">
            <v>GERMANY</v>
          </cell>
        </row>
        <row r="10899">
          <cell r="L10899" t="str">
            <v>Non-proportional</v>
          </cell>
          <cell r="S10899">
            <v>-11270.8</v>
          </cell>
          <cell r="X10899" t="str">
            <v>Variation UPR - gross</v>
          </cell>
          <cell r="Y10899" t="str">
            <v>SWEDEN</v>
          </cell>
        </row>
        <row r="10900">
          <cell r="L10900" t="str">
            <v>Non-proportional</v>
          </cell>
          <cell r="S10900">
            <v>-21277.18</v>
          </cell>
          <cell r="X10900" t="str">
            <v>Variation UPR - gross</v>
          </cell>
          <cell r="Y10900" t="str">
            <v>SWITZERLAND</v>
          </cell>
        </row>
        <row r="10901">
          <cell r="L10901" t="str">
            <v>Non-proportional</v>
          </cell>
          <cell r="S10901">
            <v>-18900</v>
          </cell>
          <cell r="X10901" t="str">
            <v>Variation UPR - gross</v>
          </cell>
          <cell r="Y10901" t="str">
            <v>ROMANIA</v>
          </cell>
        </row>
        <row r="10902">
          <cell r="L10902" t="str">
            <v>Non-proportional</v>
          </cell>
          <cell r="S10902">
            <v>-6458.33</v>
          </cell>
          <cell r="X10902" t="str">
            <v>Variation UPR - gross</v>
          </cell>
          <cell r="Y10902" t="str">
            <v>AUSTRIA</v>
          </cell>
        </row>
        <row r="10903">
          <cell r="L10903" t="str">
            <v>Non-proportional</v>
          </cell>
          <cell r="S10903">
            <v>-5340.65</v>
          </cell>
          <cell r="X10903" t="str">
            <v>Variation UPR - gross</v>
          </cell>
          <cell r="Y10903" t="str">
            <v>NORWAY</v>
          </cell>
        </row>
        <row r="10904">
          <cell r="L10904" t="str">
            <v>Non-proportional</v>
          </cell>
          <cell r="S10904">
            <v>-4112.1499999999996</v>
          </cell>
          <cell r="X10904" t="str">
            <v>Variation UPR - gross</v>
          </cell>
          <cell r="Y10904" t="str">
            <v>AUSTRIA</v>
          </cell>
        </row>
        <row r="10905">
          <cell r="L10905" t="str">
            <v>Non-proportional</v>
          </cell>
          <cell r="S10905">
            <v>0.01</v>
          </cell>
          <cell r="X10905" t="str">
            <v>Variation UPR - gross</v>
          </cell>
          <cell r="Y10905" t="str">
            <v>JAPAN</v>
          </cell>
        </row>
        <row r="10906">
          <cell r="L10906" t="str">
            <v>Non-proportional</v>
          </cell>
          <cell r="S10906">
            <v>-7896.66</v>
          </cell>
          <cell r="X10906" t="str">
            <v>Variation UPR - gross</v>
          </cell>
          <cell r="Y10906" t="str">
            <v>DENMARK</v>
          </cell>
        </row>
        <row r="10907">
          <cell r="L10907" t="str">
            <v>Non-proportional</v>
          </cell>
          <cell r="S10907">
            <v>-111052.39</v>
          </cell>
          <cell r="X10907" t="str">
            <v>Variation UPR - gross</v>
          </cell>
          <cell r="Y10907" t="str">
            <v>UNITED KINGDOM</v>
          </cell>
        </row>
        <row r="10908">
          <cell r="L10908" t="str">
            <v>Non-proportional</v>
          </cell>
          <cell r="S10908">
            <v>-5527.05</v>
          </cell>
          <cell r="X10908" t="str">
            <v>Variation UPR - gross</v>
          </cell>
          <cell r="Y10908" t="str">
            <v>GERMANY</v>
          </cell>
        </row>
        <row r="10909">
          <cell r="L10909" t="str">
            <v>Non-proportional</v>
          </cell>
          <cell r="S10909">
            <v>-8423.33</v>
          </cell>
          <cell r="X10909" t="str">
            <v>Variation UPR - gross</v>
          </cell>
          <cell r="Y10909" t="str">
            <v>ITALY</v>
          </cell>
        </row>
        <row r="10910">
          <cell r="L10910" t="str">
            <v>Non-proportional</v>
          </cell>
          <cell r="S10910">
            <v>-11642.23</v>
          </cell>
          <cell r="X10910" t="str">
            <v>Variation UPR - gross</v>
          </cell>
          <cell r="Y10910" t="str">
            <v>SWITZERLAND</v>
          </cell>
        </row>
        <row r="10911">
          <cell r="L10911" t="str">
            <v>Non-proportional</v>
          </cell>
          <cell r="S10911">
            <v>-758.3</v>
          </cell>
          <cell r="X10911" t="str">
            <v>Variation UPR - gross</v>
          </cell>
          <cell r="Y10911" t="str">
            <v>SWITZERLAND</v>
          </cell>
        </row>
        <row r="10912">
          <cell r="L10912" t="str">
            <v>Non-proportional</v>
          </cell>
          <cell r="S10912">
            <v>-6998</v>
          </cell>
          <cell r="X10912" t="str">
            <v>Variation UPR - gross</v>
          </cell>
          <cell r="Y10912" t="str">
            <v>AUSTRIA</v>
          </cell>
        </row>
        <row r="10913">
          <cell r="L10913" t="str">
            <v>Non-proportional</v>
          </cell>
          <cell r="S10913">
            <v>-8844.9</v>
          </cell>
          <cell r="X10913" t="str">
            <v>Variation UPR - gross</v>
          </cell>
          <cell r="Y10913" t="str">
            <v>GERMANY</v>
          </cell>
        </row>
        <row r="10914">
          <cell r="L10914" t="str">
            <v>Non-proportional</v>
          </cell>
          <cell r="S10914">
            <v>-283481.34000000003</v>
          </cell>
          <cell r="X10914" t="str">
            <v>Variation UPR - gross</v>
          </cell>
          <cell r="Y10914" t="str">
            <v>UNITED KINGDOM</v>
          </cell>
        </row>
        <row r="10915">
          <cell r="L10915" t="str">
            <v>Non-proportional</v>
          </cell>
          <cell r="S10915">
            <v>-60720</v>
          </cell>
          <cell r="X10915" t="str">
            <v>Variation UPR - gross</v>
          </cell>
          <cell r="Y10915" t="str">
            <v>GERMANY</v>
          </cell>
        </row>
        <row r="10916">
          <cell r="L10916" t="str">
            <v>Non-proportional</v>
          </cell>
          <cell r="S10916">
            <v>2.35</v>
          </cell>
          <cell r="X10916" t="str">
            <v>Variation UPR - gross</v>
          </cell>
          <cell r="Y10916" t="str">
            <v>DENMARK</v>
          </cell>
        </row>
        <row r="10917">
          <cell r="L10917" t="str">
            <v>Non-proportional</v>
          </cell>
          <cell r="S10917">
            <v>-575</v>
          </cell>
          <cell r="X10917" t="str">
            <v>Variation UPR - gross</v>
          </cell>
          <cell r="Y10917" t="str">
            <v>ITALY</v>
          </cell>
        </row>
        <row r="10918">
          <cell r="L10918" t="str">
            <v>Non-proportional</v>
          </cell>
          <cell r="S10918">
            <v>-10010.879999999999</v>
          </cell>
          <cell r="X10918" t="str">
            <v>Variation UPR - gross</v>
          </cell>
          <cell r="Y10918" t="str">
            <v>GERMANY</v>
          </cell>
        </row>
        <row r="10919">
          <cell r="L10919" t="str">
            <v>Non-proportional</v>
          </cell>
          <cell r="S10919">
            <v>-24396</v>
          </cell>
          <cell r="X10919" t="str">
            <v>Variation UPR - gross</v>
          </cell>
          <cell r="Y10919" t="str">
            <v>GERMANY</v>
          </cell>
        </row>
        <row r="10920">
          <cell r="L10920" t="str">
            <v>Non-proportional</v>
          </cell>
          <cell r="S10920">
            <v>-6074.22</v>
          </cell>
          <cell r="X10920" t="str">
            <v>Variation UPR - gross</v>
          </cell>
          <cell r="Y10920" t="str">
            <v>DENMARK</v>
          </cell>
        </row>
        <row r="10921">
          <cell r="L10921" t="str">
            <v>Non-proportional</v>
          </cell>
          <cell r="S10921">
            <v>-9567</v>
          </cell>
          <cell r="X10921" t="str">
            <v>Variation UPR - gross</v>
          </cell>
          <cell r="Y10921" t="str">
            <v>SLOVENIA</v>
          </cell>
        </row>
        <row r="10922">
          <cell r="L10922" t="str">
            <v>Non-proportional</v>
          </cell>
          <cell r="S10922">
            <v>98799.17</v>
          </cell>
          <cell r="X10922" t="str">
            <v>Variation UPR - gross</v>
          </cell>
          <cell r="Y10922" t="str">
            <v>POLAND</v>
          </cell>
        </row>
        <row r="10923">
          <cell r="L10923" t="str">
            <v>Non-proportional</v>
          </cell>
          <cell r="S10923">
            <v>-6104.13</v>
          </cell>
          <cell r="X10923" t="str">
            <v>Variation UPR - gross</v>
          </cell>
          <cell r="Y10923" t="str">
            <v>UNITED KINGDOM</v>
          </cell>
        </row>
        <row r="10924">
          <cell r="L10924" t="str">
            <v>Non-proportional</v>
          </cell>
          <cell r="S10924">
            <v>-14632</v>
          </cell>
          <cell r="X10924" t="str">
            <v>Variation UPR - gross</v>
          </cell>
          <cell r="Y10924" t="str">
            <v>GERMANY</v>
          </cell>
        </row>
        <row r="10925">
          <cell r="L10925" t="str">
            <v>Non-proportional</v>
          </cell>
          <cell r="S10925">
            <v>-49964.24</v>
          </cell>
          <cell r="X10925" t="str">
            <v>Variation UPR - gross</v>
          </cell>
          <cell r="Y10925" t="str">
            <v>UNITED KINGDOM</v>
          </cell>
        </row>
        <row r="10926">
          <cell r="L10926" t="str">
            <v>Non-proportional</v>
          </cell>
          <cell r="S10926">
            <v>-4124.29</v>
          </cell>
          <cell r="X10926" t="str">
            <v>Variation UPR - gross</v>
          </cell>
          <cell r="Y10926" t="str">
            <v>SWITZERLAND</v>
          </cell>
        </row>
        <row r="10927">
          <cell r="L10927" t="str">
            <v>Non-proportional</v>
          </cell>
          <cell r="S10927">
            <v>0.01</v>
          </cell>
          <cell r="X10927" t="str">
            <v>Variation UPR - gross</v>
          </cell>
          <cell r="Y10927" t="str">
            <v>JAPAN</v>
          </cell>
        </row>
        <row r="10928">
          <cell r="L10928" t="str">
            <v>Non-proportional</v>
          </cell>
          <cell r="S10928">
            <v>-5893.93</v>
          </cell>
          <cell r="X10928" t="str">
            <v>Variation UPR - gross</v>
          </cell>
          <cell r="Y10928" t="str">
            <v>AUSTRIA</v>
          </cell>
        </row>
        <row r="10929">
          <cell r="L10929" t="str">
            <v>Non-proportional</v>
          </cell>
          <cell r="S10929">
            <v>-4924.53</v>
          </cell>
          <cell r="X10929" t="str">
            <v>Variation UPR - gross</v>
          </cell>
          <cell r="Y10929" t="str">
            <v>SWITZERLAND</v>
          </cell>
        </row>
        <row r="10930">
          <cell r="L10930" t="str">
            <v>Non-proportional</v>
          </cell>
          <cell r="S10930">
            <v>-313.79000000000002</v>
          </cell>
          <cell r="X10930" t="str">
            <v>Variation UPR - gross</v>
          </cell>
          <cell r="Y10930" t="str">
            <v>DENMARK</v>
          </cell>
        </row>
        <row r="10931">
          <cell r="L10931" t="str">
            <v>Non-proportional</v>
          </cell>
          <cell r="S10931">
            <v>-175.18</v>
          </cell>
          <cell r="X10931" t="str">
            <v>Variation UPR - gross</v>
          </cell>
          <cell r="Y10931" t="str">
            <v>ITALY</v>
          </cell>
        </row>
        <row r="10932">
          <cell r="L10932" t="str">
            <v>Non-proportional</v>
          </cell>
          <cell r="S10932">
            <v>-1159.21</v>
          </cell>
          <cell r="X10932" t="str">
            <v>Variation UPR - gross</v>
          </cell>
          <cell r="Y10932" t="str">
            <v>UNITED KINGDOM</v>
          </cell>
        </row>
        <row r="10933">
          <cell r="L10933" t="str">
            <v>Non-proportional</v>
          </cell>
          <cell r="S10933">
            <v>-4159.91</v>
          </cell>
          <cell r="X10933" t="str">
            <v>Variation UPR - gross</v>
          </cell>
          <cell r="Y10933" t="str">
            <v>UNITED KINGDOM</v>
          </cell>
        </row>
        <row r="10934">
          <cell r="L10934" t="str">
            <v>Non-proportional</v>
          </cell>
          <cell r="S10934">
            <v>-1938.89</v>
          </cell>
          <cell r="X10934" t="str">
            <v>Variation UPR - gross</v>
          </cell>
          <cell r="Y10934" t="str">
            <v>REPUBLIC OF IRELAND</v>
          </cell>
        </row>
        <row r="10935">
          <cell r="L10935" t="str">
            <v>Non-proportional</v>
          </cell>
          <cell r="S10935">
            <v>-781.96</v>
          </cell>
          <cell r="X10935" t="str">
            <v>Variation UPR - gross</v>
          </cell>
          <cell r="Y10935" t="str">
            <v>DENMARK</v>
          </cell>
        </row>
        <row r="10936">
          <cell r="L10936" t="str">
            <v>Non-proportional</v>
          </cell>
          <cell r="S10936">
            <v>-9128.9599999999991</v>
          </cell>
          <cell r="X10936" t="str">
            <v>Variation UPR - gross</v>
          </cell>
          <cell r="Y10936" t="str">
            <v>GERMANY</v>
          </cell>
        </row>
        <row r="10937">
          <cell r="L10937" t="str">
            <v>Non-proportional</v>
          </cell>
          <cell r="S10937">
            <v>-4573.13</v>
          </cell>
          <cell r="X10937" t="str">
            <v>Variation UPR - gross</v>
          </cell>
          <cell r="Y10937" t="str">
            <v>EUROPE</v>
          </cell>
        </row>
        <row r="10938">
          <cell r="L10938" t="str">
            <v>Non-proportional</v>
          </cell>
          <cell r="S10938">
            <v>-3603.53</v>
          </cell>
          <cell r="X10938" t="str">
            <v>Variation UPR - gross</v>
          </cell>
          <cell r="Y10938" t="str">
            <v>FAROE ISLANDS</v>
          </cell>
        </row>
        <row r="10939">
          <cell r="L10939" t="str">
            <v>Non-proportional</v>
          </cell>
          <cell r="S10939">
            <v>-42356.17</v>
          </cell>
          <cell r="X10939" t="str">
            <v>Variation UPR - gross</v>
          </cell>
          <cell r="Y10939" t="str">
            <v>UNITED KINGDOM</v>
          </cell>
        </row>
        <row r="10940">
          <cell r="L10940" t="str">
            <v>Non-proportional</v>
          </cell>
          <cell r="S10940">
            <v>-75256</v>
          </cell>
          <cell r="X10940" t="str">
            <v>Variation UPR - gross</v>
          </cell>
          <cell r="Y10940" t="str">
            <v>GERMANY</v>
          </cell>
        </row>
        <row r="10941">
          <cell r="L10941" t="str">
            <v>Non-proportional</v>
          </cell>
          <cell r="S10941">
            <v>-345</v>
          </cell>
          <cell r="X10941" t="str">
            <v>Variation UPR - gross</v>
          </cell>
          <cell r="Y10941" t="str">
            <v>ITALY</v>
          </cell>
        </row>
        <row r="10942">
          <cell r="L10942" t="str">
            <v>Non-proportional</v>
          </cell>
          <cell r="S10942">
            <v>-3313.14</v>
          </cell>
          <cell r="X10942" t="str">
            <v>Variation UPR - gross</v>
          </cell>
          <cell r="Y10942" t="str">
            <v>EUROPE</v>
          </cell>
        </row>
        <row r="10943">
          <cell r="L10943" t="str">
            <v>Non-proportional</v>
          </cell>
          <cell r="S10943">
            <v>-40003.06</v>
          </cell>
          <cell r="X10943" t="str">
            <v>Variation UPR - gross</v>
          </cell>
          <cell r="Y10943" t="str">
            <v>UNITED KINGDOM</v>
          </cell>
        </row>
        <row r="10944">
          <cell r="L10944" t="str">
            <v>Non-proportional</v>
          </cell>
          <cell r="S10944">
            <v>-18860</v>
          </cell>
          <cell r="X10944" t="str">
            <v>Variation UPR - gross</v>
          </cell>
          <cell r="Y10944" t="str">
            <v>GERMANY</v>
          </cell>
        </row>
        <row r="10945">
          <cell r="L10945" t="str">
            <v>Non-proportional</v>
          </cell>
          <cell r="S10945">
            <v>-1657.12</v>
          </cell>
          <cell r="X10945" t="str">
            <v>Variation UPR - gross</v>
          </cell>
          <cell r="Y10945" t="str">
            <v>JAPAN</v>
          </cell>
        </row>
        <row r="10946">
          <cell r="L10946" t="str">
            <v>Non-proportional</v>
          </cell>
          <cell r="S10946">
            <v>-11626.58</v>
          </cell>
          <cell r="X10946" t="str">
            <v>Variation UPR - gross</v>
          </cell>
          <cell r="Y10946" t="str">
            <v>UNITED KINGDOM</v>
          </cell>
        </row>
        <row r="10947">
          <cell r="L10947" t="str">
            <v>Non-proportional</v>
          </cell>
          <cell r="S10947">
            <v>-4275.66</v>
          </cell>
          <cell r="X10947" t="str">
            <v>Variation UPR - gross</v>
          </cell>
          <cell r="Y10947" t="str">
            <v>GERMANY</v>
          </cell>
        </row>
        <row r="10948">
          <cell r="L10948" t="str">
            <v>Non-proportional</v>
          </cell>
          <cell r="S10948">
            <v>-13383.28</v>
          </cell>
          <cell r="X10948" t="str">
            <v>Variation UPR - gross</v>
          </cell>
          <cell r="Y10948" t="str">
            <v>UNITED KINGDOM</v>
          </cell>
        </row>
        <row r="10949">
          <cell r="L10949" t="str">
            <v>Non-proportional</v>
          </cell>
          <cell r="S10949">
            <v>-5467.12</v>
          </cell>
          <cell r="X10949" t="str">
            <v>Variation UPR - gross</v>
          </cell>
          <cell r="Y10949" t="str">
            <v>EIRE</v>
          </cell>
        </row>
        <row r="10950">
          <cell r="L10950" t="str">
            <v>Non-proportional</v>
          </cell>
          <cell r="S10950">
            <v>-11.17</v>
          </cell>
          <cell r="X10950" t="str">
            <v>Variation UPR - gross</v>
          </cell>
          <cell r="Y10950" t="str">
            <v>NORWAY</v>
          </cell>
        </row>
        <row r="10951">
          <cell r="L10951" t="str">
            <v>Non-proportional</v>
          </cell>
          <cell r="S10951">
            <v>-10594.94</v>
          </cell>
          <cell r="X10951" t="str">
            <v>Variation UPR - gross</v>
          </cell>
          <cell r="Y10951" t="str">
            <v>GERMANY</v>
          </cell>
        </row>
        <row r="10952">
          <cell r="L10952" t="str">
            <v>Non-proportional</v>
          </cell>
          <cell r="S10952">
            <v>-27784.62</v>
          </cell>
          <cell r="X10952" t="str">
            <v>Variation UPR - gross</v>
          </cell>
          <cell r="Y10952" t="str">
            <v>UNITED KINGDOM</v>
          </cell>
        </row>
        <row r="10953">
          <cell r="L10953" t="str">
            <v>Non-proportional</v>
          </cell>
          <cell r="S10953">
            <v>-11430.35</v>
          </cell>
          <cell r="X10953" t="str">
            <v>Variation UPR - gross</v>
          </cell>
          <cell r="Y10953" t="str">
            <v>SWITZERLAND</v>
          </cell>
        </row>
        <row r="10954">
          <cell r="L10954" t="str">
            <v>Non-proportional</v>
          </cell>
          <cell r="S10954">
            <v>-5542.78</v>
          </cell>
          <cell r="X10954" t="str">
            <v>Variation UPR - gross</v>
          </cell>
          <cell r="Y10954" t="str">
            <v>UNITED KINGDOM</v>
          </cell>
        </row>
        <row r="10955">
          <cell r="L10955" t="str">
            <v>Non-proportional</v>
          </cell>
          <cell r="S10955">
            <v>-536.69000000000005</v>
          </cell>
          <cell r="X10955" t="str">
            <v>Variation UPR - gross</v>
          </cell>
          <cell r="Y10955" t="str">
            <v>NORWAY</v>
          </cell>
        </row>
        <row r="10956">
          <cell r="L10956" t="str">
            <v>Non-proportional</v>
          </cell>
          <cell r="S10956">
            <v>-7604.21</v>
          </cell>
          <cell r="X10956" t="str">
            <v>Variation UPR - gross</v>
          </cell>
          <cell r="Y10956" t="str">
            <v>GERMANY</v>
          </cell>
        </row>
        <row r="10957">
          <cell r="L10957" t="str">
            <v>Non-proportional</v>
          </cell>
          <cell r="S10957">
            <v>-3392.5</v>
          </cell>
          <cell r="X10957" t="str">
            <v>Variation UPR - gross</v>
          </cell>
          <cell r="Y10957" t="str">
            <v>ITALY</v>
          </cell>
        </row>
        <row r="10958">
          <cell r="L10958" t="str">
            <v>Non-proportional</v>
          </cell>
          <cell r="S10958">
            <v>3.06</v>
          </cell>
          <cell r="X10958" t="str">
            <v>Variation UPR - gross</v>
          </cell>
          <cell r="Y10958" t="str">
            <v>DENMARK</v>
          </cell>
        </row>
        <row r="10959">
          <cell r="L10959" t="str">
            <v>Non-proportional</v>
          </cell>
          <cell r="S10959">
            <v>-43770.68</v>
          </cell>
          <cell r="X10959" t="str">
            <v>Variation UPR - gross</v>
          </cell>
          <cell r="Y10959" t="str">
            <v>UNITED KINGDOM</v>
          </cell>
        </row>
        <row r="10960">
          <cell r="L10960" t="str">
            <v>Non-proportional</v>
          </cell>
          <cell r="S10960">
            <v>-20924.87</v>
          </cell>
          <cell r="X10960" t="str">
            <v>Variation UPR - gross</v>
          </cell>
          <cell r="Y10960" t="str">
            <v>FRANCE</v>
          </cell>
        </row>
        <row r="10961">
          <cell r="L10961" t="str">
            <v>Non-proportional</v>
          </cell>
          <cell r="S10961">
            <v>-18980.88</v>
          </cell>
          <cell r="X10961" t="str">
            <v>Variation UPR - gross</v>
          </cell>
          <cell r="Y10961" t="str">
            <v>UNITED KINGDOM</v>
          </cell>
        </row>
        <row r="10962">
          <cell r="L10962" t="str">
            <v>Non-proportional</v>
          </cell>
          <cell r="S10962">
            <v>-7590</v>
          </cell>
          <cell r="X10962" t="str">
            <v>Variation UPR - gross</v>
          </cell>
          <cell r="Y10962" t="str">
            <v>GERMANY</v>
          </cell>
        </row>
        <row r="10963">
          <cell r="L10963" t="str">
            <v>Proportional</v>
          </cell>
          <cell r="S10963">
            <v>-69187.05</v>
          </cell>
          <cell r="X10963" t="str">
            <v>Variation UPR - gross</v>
          </cell>
          <cell r="Y10963" t="str">
            <v>GERMANY</v>
          </cell>
        </row>
        <row r="10964">
          <cell r="L10964" t="str">
            <v>Non-proportional</v>
          </cell>
          <cell r="S10964">
            <v>-4511.3999999999996</v>
          </cell>
          <cell r="X10964" t="str">
            <v>Variation UPR - gross</v>
          </cell>
          <cell r="Y10964" t="str">
            <v>AUSTRIA</v>
          </cell>
        </row>
        <row r="10965">
          <cell r="L10965" t="str">
            <v>Non-proportional</v>
          </cell>
          <cell r="S10965">
            <v>-7870.28</v>
          </cell>
          <cell r="X10965" t="str">
            <v>Variation UPR - gross</v>
          </cell>
          <cell r="Y10965" t="str">
            <v>UNITED KINGDOM</v>
          </cell>
        </row>
        <row r="10966">
          <cell r="L10966" t="str">
            <v>Non-proportional</v>
          </cell>
          <cell r="S10966">
            <v>-5809.78</v>
          </cell>
          <cell r="X10966" t="str">
            <v>Variation UPR - gross</v>
          </cell>
          <cell r="Y10966" t="str">
            <v>DENMARK</v>
          </cell>
        </row>
        <row r="10967">
          <cell r="L10967" t="str">
            <v>Non-proportional</v>
          </cell>
          <cell r="S10967">
            <v>-26674.62</v>
          </cell>
          <cell r="X10967" t="str">
            <v>Variation UPR - gross</v>
          </cell>
          <cell r="Y10967" t="str">
            <v>UNITED KINGDOM</v>
          </cell>
        </row>
        <row r="10968">
          <cell r="L10968" t="str">
            <v>Non-proportional</v>
          </cell>
          <cell r="S10968">
            <v>-1204.3699999999999</v>
          </cell>
          <cell r="X10968" t="str">
            <v>Variation UPR - gross</v>
          </cell>
          <cell r="Y10968" t="str">
            <v>SWITZERLAND</v>
          </cell>
        </row>
        <row r="10969">
          <cell r="L10969" t="str">
            <v>Non-proportional</v>
          </cell>
          <cell r="S10969">
            <v>-11825.5</v>
          </cell>
          <cell r="X10969" t="str">
            <v>Variation UPR - gross</v>
          </cell>
          <cell r="Y10969" t="str">
            <v>AUSTRIA</v>
          </cell>
        </row>
        <row r="10970">
          <cell r="L10970" t="str">
            <v>Non-proportional</v>
          </cell>
          <cell r="S10970">
            <v>-300.83</v>
          </cell>
          <cell r="X10970" t="str">
            <v>Variation UPR - gross</v>
          </cell>
          <cell r="Y10970" t="str">
            <v>ITALY</v>
          </cell>
        </row>
        <row r="10971">
          <cell r="L10971" t="str">
            <v>Non-proportional</v>
          </cell>
          <cell r="S10971">
            <v>-3329.84</v>
          </cell>
          <cell r="X10971" t="str">
            <v>Variation UPR - gross</v>
          </cell>
          <cell r="Y10971" t="str">
            <v>GERMANY</v>
          </cell>
        </row>
        <row r="10972">
          <cell r="L10972" t="str">
            <v>Non-proportional</v>
          </cell>
          <cell r="S10972">
            <v>-5484.12</v>
          </cell>
          <cell r="X10972" t="str">
            <v>Variation UPR - gross</v>
          </cell>
          <cell r="Y10972" t="str">
            <v>EUROPE</v>
          </cell>
        </row>
        <row r="10973">
          <cell r="L10973" t="str">
            <v>Non-proportional</v>
          </cell>
          <cell r="S10973">
            <v>-23058.97</v>
          </cell>
          <cell r="X10973" t="str">
            <v>Variation UPR - gross</v>
          </cell>
          <cell r="Y10973" t="str">
            <v>FRANCE</v>
          </cell>
        </row>
        <row r="10974">
          <cell r="L10974" t="str">
            <v>Non-proportional</v>
          </cell>
          <cell r="S10974">
            <v>-1283.92</v>
          </cell>
          <cell r="X10974" t="str">
            <v>Variation UPR - gross</v>
          </cell>
          <cell r="Y10974" t="str">
            <v>UNITED KINGDOM</v>
          </cell>
        </row>
        <row r="10975">
          <cell r="L10975" t="str">
            <v>Non-proportional</v>
          </cell>
          <cell r="S10975">
            <v>-12424.29</v>
          </cell>
          <cell r="X10975" t="str">
            <v>Variation UPR - gross</v>
          </cell>
          <cell r="Y10975" t="str">
            <v>EUROPE</v>
          </cell>
        </row>
        <row r="10976">
          <cell r="L10976" t="str">
            <v>Non-proportional</v>
          </cell>
          <cell r="S10976">
            <v>-23401.8</v>
          </cell>
          <cell r="X10976" t="str">
            <v>Variation UPR - gross</v>
          </cell>
          <cell r="Y10976" t="str">
            <v>GERMANY</v>
          </cell>
        </row>
        <row r="10977">
          <cell r="L10977" t="str">
            <v>Non-proportional</v>
          </cell>
          <cell r="S10977">
            <v>-28213.599999999999</v>
          </cell>
          <cell r="X10977" t="str">
            <v>Variation UPR - gross</v>
          </cell>
          <cell r="Y10977" t="str">
            <v>UNITED KINGDOM</v>
          </cell>
        </row>
        <row r="10978">
          <cell r="L10978" t="str">
            <v>Non-proportional</v>
          </cell>
          <cell r="S10978">
            <v>-7965</v>
          </cell>
          <cell r="X10978" t="str">
            <v>Variation UPR - gross</v>
          </cell>
          <cell r="Y10978" t="str">
            <v>GERMANY</v>
          </cell>
        </row>
        <row r="10979">
          <cell r="L10979" t="str">
            <v>Non-proportional</v>
          </cell>
          <cell r="S10979">
            <v>-10425.780000000001</v>
          </cell>
          <cell r="X10979" t="str">
            <v>Variation UPR - gross</v>
          </cell>
          <cell r="Y10979" t="str">
            <v>FRANCE</v>
          </cell>
        </row>
        <row r="10980">
          <cell r="L10980" t="str">
            <v>Non-proportional</v>
          </cell>
          <cell r="S10980">
            <v>-40903.5</v>
          </cell>
          <cell r="X10980" t="str">
            <v>Variation UPR - gross</v>
          </cell>
          <cell r="Y10980" t="str">
            <v>GERMANY</v>
          </cell>
        </row>
        <row r="10981">
          <cell r="L10981" t="str">
            <v>Non-proportional</v>
          </cell>
          <cell r="S10981">
            <v>-11882.26</v>
          </cell>
          <cell r="X10981" t="str">
            <v>Variation UPR - gross</v>
          </cell>
          <cell r="Y10981" t="str">
            <v>EUROPE</v>
          </cell>
        </row>
        <row r="10982">
          <cell r="L10982" t="str">
            <v>Non-proportional</v>
          </cell>
          <cell r="S10982">
            <v>0.01</v>
          </cell>
          <cell r="X10982" t="str">
            <v>Variation UPR - gross</v>
          </cell>
          <cell r="Y10982" t="str">
            <v>ICELAND</v>
          </cell>
        </row>
        <row r="10983">
          <cell r="L10983" t="str">
            <v>Non-proportional</v>
          </cell>
          <cell r="S10983">
            <v>-7368.61</v>
          </cell>
          <cell r="X10983" t="str">
            <v>Variation UPR - gross</v>
          </cell>
          <cell r="Y10983" t="str">
            <v>NORWAY</v>
          </cell>
        </row>
        <row r="10984">
          <cell r="L10984" t="str">
            <v>Non-proportional</v>
          </cell>
          <cell r="S10984">
            <v>-12458.33</v>
          </cell>
          <cell r="X10984" t="str">
            <v>Variation UPR - gross</v>
          </cell>
          <cell r="Y10984" t="str">
            <v>GERMANY</v>
          </cell>
        </row>
        <row r="10985">
          <cell r="L10985" t="str">
            <v>Non-proportional</v>
          </cell>
          <cell r="S10985">
            <v>-3512</v>
          </cell>
          <cell r="X10985" t="str">
            <v>Variation UPR - gross</v>
          </cell>
          <cell r="Y10985" t="str">
            <v>SPAIN</v>
          </cell>
        </row>
        <row r="10986">
          <cell r="L10986" t="str">
            <v>Non-proportional</v>
          </cell>
          <cell r="S10986">
            <v>-0.44</v>
          </cell>
          <cell r="X10986" t="str">
            <v>Variation UPR - gross</v>
          </cell>
          <cell r="Y10986" t="str">
            <v>DENMARK</v>
          </cell>
        </row>
        <row r="10987">
          <cell r="L10987" t="str">
            <v>Non-proportional</v>
          </cell>
          <cell r="S10987">
            <v>-6018.45</v>
          </cell>
          <cell r="X10987" t="str">
            <v>Variation UPR - gross</v>
          </cell>
          <cell r="Y10987" t="str">
            <v>UNITED KINGDOM</v>
          </cell>
        </row>
        <row r="10988">
          <cell r="L10988" t="str">
            <v>Non-proportional</v>
          </cell>
          <cell r="S10988">
            <v>-7501.57</v>
          </cell>
          <cell r="X10988" t="str">
            <v>Variation UPR - gross</v>
          </cell>
          <cell r="Y10988" t="str">
            <v>GERMANY</v>
          </cell>
        </row>
        <row r="10989">
          <cell r="L10989" t="str">
            <v>Non-proportional</v>
          </cell>
          <cell r="S10989">
            <v>-12215.04</v>
          </cell>
          <cell r="X10989" t="str">
            <v>Variation UPR - gross</v>
          </cell>
          <cell r="Y10989" t="str">
            <v>REPUBLIC OF IRELAND</v>
          </cell>
        </row>
        <row r="10990">
          <cell r="L10990" t="str">
            <v>Non-proportional</v>
          </cell>
          <cell r="S10990">
            <v>-35570.32</v>
          </cell>
          <cell r="X10990" t="str">
            <v>Variation UPR - gross</v>
          </cell>
          <cell r="Y10990" t="str">
            <v>FRANCE</v>
          </cell>
        </row>
        <row r="10991">
          <cell r="L10991" t="str">
            <v>Non-proportional</v>
          </cell>
          <cell r="S10991">
            <v>-13541.67</v>
          </cell>
          <cell r="X10991" t="str">
            <v>Variation UPR - gross</v>
          </cell>
          <cell r="Y10991" t="str">
            <v>GERMANY</v>
          </cell>
        </row>
        <row r="10992">
          <cell r="L10992" t="str">
            <v>Non-proportional</v>
          </cell>
          <cell r="S10992">
            <v>-3260.76</v>
          </cell>
          <cell r="X10992" t="str">
            <v>Variation UPR - gross</v>
          </cell>
          <cell r="Y10992" t="str">
            <v>UNITED KINGDOM</v>
          </cell>
        </row>
        <row r="10993">
          <cell r="L10993" t="str">
            <v>Non-proportional</v>
          </cell>
          <cell r="S10993">
            <v>-3477.6</v>
          </cell>
          <cell r="X10993" t="str">
            <v>Variation UPR - gross</v>
          </cell>
          <cell r="Y10993" t="str">
            <v>UNITED KINGDOM</v>
          </cell>
        </row>
        <row r="10994">
          <cell r="L10994" t="str">
            <v>Non-proportional</v>
          </cell>
          <cell r="S10994">
            <v>-3617.46</v>
          </cell>
          <cell r="X10994" t="str">
            <v>Variation UPR - gross</v>
          </cell>
          <cell r="Y10994" t="str">
            <v>FRANCE</v>
          </cell>
        </row>
        <row r="10995">
          <cell r="L10995" t="str">
            <v>Non-proportional</v>
          </cell>
          <cell r="S10995">
            <v>-6250.52</v>
          </cell>
          <cell r="X10995" t="str">
            <v>Variation UPR - gross</v>
          </cell>
          <cell r="Y10995" t="str">
            <v>GERMANY</v>
          </cell>
        </row>
        <row r="10996">
          <cell r="L10996" t="str">
            <v>Non-proportional</v>
          </cell>
          <cell r="S10996">
            <v>-2340</v>
          </cell>
          <cell r="X10996" t="str">
            <v>Variation UPR - gross</v>
          </cell>
          <cell r="Y10996" t="str">
            <v>GERMANY</v>
          </cell>
        </row>
        <row r="10997">
          <cell r="L10997" t="str">
            <v>Non-proportional</v>
          </cell>
          <cell r="S10997">
            <v>-7124.26</v>
          </cell>
          <cell r="X10997" t="str">
            <v>Variation UPR - gross</v>
          </cell>
          <cell r="Y10997" t="str">
            <v>UNITED KINGDOM</v>
          </cell>
        </row>
        <row r="10998">
          <cell r="L10998" t="str">
            <v>Non-proportional</v>
          </cell>
          <cell r="S10998">
            <v>-16448.55</v>
          </cell>
          <cell r="X10998" t="str">
            <v>Variation UPR - gross</v>
          </cell>
          <cell r="Y10998" t="str">
            <v>SWITZERLAND</v>
          </cell>
        </row>
        <row r="10999">
          <cell r="L10999" t="str">
            <v>Non-proportional</v>
          </cell>
          <cell r="S10999">
            <v>-53403.44</v>
          </cell>
          <cell r="X10999" t="str">
            <v>Variation UPR - gross</v>
          </cell>
          <cell r="Y10999" t="str">
            <v>UNITED KINGDOM</v>
          </cell>
        </row>
        <row r="11000">
          <cell r="L11000" t="str">
            <v>Non-proportional</v>
          </cell>
          <cell r="S11000">
            <v>-25146.67</v>
          </cell>
          <cell r="X11000" t="str">
            <v>Variation UPR - gross</v>
          </cell>
          <cell r="Y11000" t="str">
            <v>GERMANY</v>
          </cell>
        </row>
        <row r="11001">
          <cell r="L11001" t="str">
            <v>Non-proportional</v>
          </cell>
          <cell r="S11001">
            <v>-1089.19</v>
          </cell>
          <cell r="X11001" t="str">
            <v>Variation UPR - gross</v>
          </cell>
          <cell r="Y11001" t="str">
            <v>DENMARK</v>
          </cell>
        </row>
        <row r="11002">
          <cell r="L11002" t="str">
            <v>Non-proportional</v>
          </cell>
          <cell r="S11002">
            <v>-19320.25</v>
          </cell>
          <cell r="X11002" t="str">
            <v>Variation UPR - gross</v>
          </cell>
          <cell r="Y11002" t="str">
            <v>SWEDEN</v>
          </cell>
        </row>
        <row r="11003">
          <cell r="L11003" t="str">
            <v>Non-proportional</v>
          </cell>
          <cell r="S11003">
            <v>0.01</v>
          </cell>
          <cell r="X11003" t="str">
            <v>Variation UPR - gross</v>
          </cell>
          <cell r="Y11003" t="str">
            <v>JAPAN</v>
          </cell>
        </row>
        <row r="11004">
          <cell r="L11004" t="str">
            <v>Non-proportional</v>
          </cell>
          <cell r="S11004">
            <v>-20416.669999999998</v>
          </cell>
          <cell r="X11004" t="str">
            <v>Variation UPR - gross</v>
          </cell>
          <cell r="Y11004" t="str">
            <v>GERMANY</v>
          </cell>
        </row>
        <row r="11005">
          <cell r="L11005" t="str">
            <v>Non-proportional</v>
          </cell>
          <cell r="S11005">
            <v>-20758.62</v>
          </cell>
          <cell r="X11005" t="str">
            <v>Variation UPR - gross</v>
          </cell>
          <cell r="Y11005" t="str">
            <v>EIRE</v>
          </cell>
        </row>
        <row r="11006">
          <cell r="L11006" t="str">
            <v>Non-proportional</v>
          </cell>
          <cell r="S11006">
            <v>-33726.39</v>
          </cell>
          <cell r="X11006" t="str">
            <v>Variation UPR - gross</v>
          </cell>
          <cell r="Y11006" t="str">
            <v>FRANCE</v>
          </cell>
        </row>
        <row r="11007">
          <cell r="L11007" t="str">
            <v>Non-proportional</v>
          </cell>
          <cell r="S11007">
            <v>-35854.9</v>
          </cell>
          <cell r="X11007" t="str">
            <v>Variation UPR - gross</v>
          </cell>
          <cell r="Y11007" t="str">
            <v>UNITED KINGDOM</v>
          </cell>
        </row>
        <row r="11008">
          <cell r="L11008" t="str">
            <v>Non-proportional</v>
          </cell>
          <cell r="S11008">
            <v>-12450.17</v>
          </cell>
          <cell r="X11008" t="str">
            <v>Variation UPR - gross</v>
          </cell>
          <cell r="Y11008" t="str">
            <v>UNITED KINGDOM</v>
          </cell>
        </row>
        <row r="11009">
          <cell r="L11009" t="str">
            <v>Non-proportional</v>
          </cell>
          <cell r="S11009">
            <v>-37346.01</v>
          </cell>
          <cell r="X11009" t="str">
            <v>Variation UPR - gross</v>
          </cell>
          <cell r="Y11009" t="str">
            <v>FRANCE</v>
          </cell>
        </row>
        <row r="11010">
          <cell r="L11010" t="str">
            <v>Non-proportional</v>
          </cell>
          <cell r="S11010">
            <v>3.53</v>
          </cell>
          <cell r="X11010" t="str">
            <v>Variation UPR - gross</v>
          </cell>
          <cell r="Y11010" t="str">
            <v>DENMARK</v>
          </cell>
        </row>
        <row r="11011">
          <cell r="L11011" t="str">
            <v>Non-proportional</v>
          </cell>
          <cell r="S11011">
            <v>0.01</v>
          </cell>
          <cell r="X11011" t="str">
            <v>Variation UPR - gross</v>
          </cell>
          <cell r="Y11011" t="str">
            <v>JAPAN</v>
          </cell>
        </row>
        <row r="11012">
          <cell r="L11012" t="str">
            <v>Non-proportional</v>
          </cell>
          <cell r="S11012">
            <v>-3107.33</v>
          </cell>
          <cell r="X11012" t="str">
            <v>Variation UPR - gross</v>
          </cell>
          <cell r="Y11012" t="str">
            <v>GERMANY</v>
          </cell>
        </row>
        <row r="11013">
          <cell r="L11013" t="str">
            <v>Non-proportional</v>
          </cell>
          <cell r="S11013">
            <v>-6250</v>
          </cell>
          <cell r="X11013" t="str">
            <v>Variation UPR - gross</v>
          </cell>
          <cell r="Y11013" t="str">
            <v>GERMANY</v>
          </cell>
        </row>
        <row r="11014">
          <cell r="L11014" t="str">
            <v>Non-proportional</v>
          </cell>
          <cell r="S11014">
            <v>-15054.61</v>
          </cell>
          <cell r="X11014" t="str">
            <v>Variation UPR - gross</v>
          </cell>
          <cell r="Y11014" t="str">
            <v>SWITZERLAND</v>
          </cell>
        </row>
        <row r="11015">
          <cell r="L11015" t="str">
            <v>Non-proportional</v>
          </cell>
          <cell r="S11015">
            <v>-38983.25</v>
          </cell>
          <cell r="X11015" t="str">
            <v>Variation UPR - gross</v>
          </cell>
          <cell r="Y11015" t="str">
            <v>UNITED KINGDOM</v>
          </cell>
        </row>
        <row r="11016">
          <cell r="L11016" t="str">
            <v>Non-proportional</v>
          </cell>
          <cell r="S11016">
            <v>-81217</v>
          </cell>
          <cell r="X11016" t="str">
            <v>Variation UPR - gross</v>
          </cell>
          <cell r="Y11016" t="str">
            <v>UNITED KINGDOM</v>
          </cell>
        </row>
        <row r="11017">
          <cell r="L11017" t="str">
            <v>Non-proportional</v>
          </cell>
          <cell r="S11017">
            <v>-9917.92</v>
          </cell>
          <cell r="X11017" t="str">
            <v>Variation UPR - gross</v>
          </cell>
          <cell r="Y11017" t="str">
            <v>CZECH REPUBLIC</v>
          </cell>
        </row>
        <row r="11018">
          <cell r="L11018" t="str">
            <v>Non-proportional</v>
          </cell>
          <cell r="S11018">
            <v>-7029.96</v>
          </cell>
          <cell r="X11018" t="str">
            <v>Variation UPR - gross</v>
          </cell>
          <cell r="Y11018" t="str">
            <v>UNITED KINGDOM</v>
          </cell>
        </row>
        <row r="11019">
          <cell r="L11019" t="str">
            <v>Non-proportional</v>
          </cell>
          <cell r="S11019">
            <v>-70840</v>
          </cell>
          <cell r="X11019" t="str">
            <v>Variation UPR - gross</v>
          </cell>
          <cell r="Y11019" t="str">
            <v>GERMANY</v>
          </cell>
        </row>
        <row r="11020">
          <cell r="L11020" t="str">
            <v>Non-proportional</v>
          </cell>
          <cell r="S11020">
            <v>-7188.96</v>
          </cell>
          <cell r="X11020" t="str">
            <v>Variation UPR - gross</v>
          </cell>
          <cell r="Y11020" t="str">
            <v>NORWAY</v>
          </cell>
        </row>
        <row r="11021">
          <cell r="L11021" t="str">
            <v>Non-proportional</v>
          </cell>
          <cell r="S11021">
            <v>-20355</v>
          </cell>
          <cell r="X11021" t="str">
            <v>Variation UPR - gross</v>
          </cell>
          <cell r="Y11021" t="str">
            <v>GERMANY</v>
          </cell>
        </row>
        <row r="11022">
          <cell r="L11022" t="str">
            <v>Non-proportional</v>
          </cell>
          <cell r="S11022">
            <v>-117.79</v>
          </cell>
          <cell r="X11022" t="str">
            <v>Variation UPR - gross</v>
          </cell>
          <cell r="Y11022" t="str">
            <v>FRANCE</v>
          </cell>
        </row>
        <row r="11023">
          <cell r="L11023" t="str">
            <v>Non-proportional</v>
          </cell>
          <cell r="S11023">
            <v>-3961.3</v>
          </cell>
          <cell r="X11023" t="str">
            <v>Variation UPR - gross</v>
          </cell>
          <cell r="Y11023" t="str">
            <v>NORWAY</v>
          </cell>
        </row>
        <row r="11024">
          <cell r="L11024" t="str">
            <v>Non-proportional</v>
          </cell>
          <cell r="S11024">
            <v>-873.38</v>
          </cell>
          <cell r="X11024" t="str">
            <v>Variation UPR - gross</v>
          </cell>
          <cell r="Y11024" t="str">
            <v>GERMANY</v>
          </cell>
        </row>
        <row r="11025">
          <cell r="L11025" t="str">
            <v>Non-proportional</v>
          </cell>
          <cell r="S11025">
            <v>-5717.64</v>
          </cell>
          <cell r="X11025" t="str">
            <v>Variation UPR - gross</v>
          </cell>
          <cell r="Y11025" t="str">
            <v>GERMANY</v>
          </cell>
        </row>
        <row r="11026">
          <cell r="L11026" t="str">
            <v>Non-proportional</v>
          </cell>
          <cell r="S11026">
            <v>-7806.1</v>
          </cell>
          <cell r="X11026" t="str">
            <v>Variation UPR - gross</v>
          </cell>
          <cell r="Y11026" t="str">
            <v>SWITZERLAND</v>
          </cell>
        </row>
        <row r="11027">
          <cell r="L11027" t="str">
            <v>Non-proportional</v>
          </cell>
          <cell r="S11027">
            <v>-14120</v>
          </cell>
          <cell r="X11027" t="str">
            <v>Variation UPR - gross</v>
          </cell>
          <cell r="Y11027" t="str">
            <v>AUSTRIA</v>
          </cell>
        </row>
        <row r="11028">
          <cell r="L11028" t="str">
            <v>Non-proportional</v>
          </cell>
          <cell r="S11028">
            <v>-11969.41</v>
          </cell>
          <cell r="X11028" t="str">
            <v>Variation UPR - gross</v>
          </cell>
          <cell r="Y11028" t="str">
            <v>UNITED KINGDOM</v>
          </cell>
        </row>
        <row r="11029">
          <cell r="L11029" t="str">
            <v>Non-proportional</v>
          </cell>
          <cell r="S11029">
            <v>-8125</v>
          </cell>
          <cell r="X11029" t="str">
            <v>Variation UPR - gross</v>
          </cell>
          <cell r="Y11029" t="str">
            <v>CZECH REPUBLIC</v>
          </cell>
        </row>
        <row r="11030">
          <cell r="L11030" t="str">
            <v>Non-proportional</v>
          </cell>
          <cell r="S11030">
            <v>-2083.33</v>
          </cell>
          <cell r="X11030" t="str">
            <v>Variation UPR - gross</v>
          </cell>
          <cell r="Y11030" t="str">
            <v>GERMANY</v>
          </cell>
        </row>
        <row r="11031">
          <cell r="L11031" t="str">
            <v>Non-proportional</v>
          </cell>
          <cell r="S11031">
            <v>0.03</v>
          </cell>
          <cell r="X11031" t="str">
            <v>Variation UPR - gross</v>
          </cell>
          <cell r="Y11031" t="str">
            <v>ICELAND</v>
          </cell>
        </row>
        <row r="11032">
          <cell r="L11032" t="str">
            <v>Non-proportional</v>
          </cell>
          <cell r="S11032">
            <v>-6335.14</v>
          </cell>
          <cell r="X11032" t="str">
            <v>Variation UPR - gross</v>
          </cell>
          <cell r="Y11032" t="str">
            <v>GERMANY</v>
          </cell>
        </row>
        <row r="11033">
          <cell r="L11033" t="str">
            <v>Non-proportional</v>
          </cell>
          <cell r="S11033">
            <v>-1962.32</v>
          </cell>
          <cell r="X11033" t="str">
            <v>Variation UPR - gross</v>
          </cell>
          <cell r="Y11033" t="str">
            <v>GERMANY</v>
          </cell>
        </row>
        <row r="11034">
          <cell r="L11034" t="str">
            <v>Non-proportional</v>
          </cell>
          <cell r="S11034">
            <v>-9293.16</v>
          </cell>
          <cell r="X11034" t="str">
            <v>Variation UPR - gross</v>
          </cell>
          <cell r="Y11034" t="str">
            <v>UNITED KINGDOM</v>
          </cell>
        </row>
        <row r="11035">
          <cell r="L11035" t="str">
            <v>Non-proportional</v>
          </cell>
          <cell r="S11035">
            <v>-21478.27</v>
          </cell>
          <cell r="X11035" t="str">
            <v>Variation UPR - gross</v>
          </cell>
          <cell r="Y11035" t="str">
            <v>UNITED KINGDOM</v>
          </cell>
        </row>
        <row r="11036">
          <cell r="L11036" t="str">
            <v>Non-proportional</v>
          </cell>
          <cell r="S11036">
            <v>0.01</v>
          </cell>
          <cell r="X11036" t="str">
            <v>Variation UPR - gross</v>
          </cell>
          <cell r="Y11036" t="str">
            <v>JAPAN</v>
          </cell>
        </row>
        <row r="11037">
          <cell r="L11037" t="str">
            <v>Non-proportional</v>
          </cell>
          <cell r="S11037">
            <v>-718.44</v>
          </cell>
          <cell r="X11037" t="str">
            <v>Variation UPR - gross</v>
          </cell>
          <cell r="Y11037" t="str">
            <v>ITALY</v>
          </cell>
        </row>
        <row r="11038">
          <cell r="L11038" t="str">
            <v>Non-proportional</v>
          </cell>
          <cell r="S11038">
            <v>-1122.3</v>
          </cell>
          <cell r="X11038" t="str">
            <v>Variation UPR - gross</v>
          </cell>
          <cell r="Y11038" t="str">
            <v>ITALY</v>
          </cell>
        </row>
        <row r="11039">
          <cell r="L11039" t="str">
            <v>Non-proportional</v>
          </cell>
          <cell r="S11039">
            <v>-6638.42</v>
          </cell>
          <cell r="X11039" t="str">
            <v>Variation UPR - gross</v>
          </cell>
          <cell r="Y11039" t="str">
            <v>EUROPE</v>
          </cell>
        </row>
        <row r="11040">
          <cell r="L11040" t="str">
            <v>Non-proportional</v>
          </cell>
          <cell r="S11040">
            <v>-57282.18</v>
          </cell>
          <cell r="X11040" t="str">
            <v>Variation UPR - gross</v>
          </cell>
          <cell r="Y11040" t="str">
            <v>UNITED KINGDOM</v>
          </cell>
        </row>
        <row r="11041">
          <cell r="L11041" t="str">
            <v>Non-proportional</v>
          </cell>
          <cell r="S11041">
            <v>5.82</v>
          </cell>
          <cell r="X11041" t="str">
            <v>Variation UPR - gross</v>
          </cell>
          <cell r="Y11041" t="str">
            <v>DENMARK</v>
          </cell>
        </row>
        <row r="11042">
          <cell r="L11042" t="str">
            <v>Non-proportional</v>
          </cell>
          <cell r="S11042">
            <v>-8696.8799999999992</v>
          </cell>
          <cell r="X11042" t="str">
            <v>Variation UPR - gross</v>
          </cell>
          <cell r="Y11042" t="str">
            <v>GERMANY</v>
          </cell>
        </row>
        <row r="11043">
          <cell r="L11043" t="str">
            <v>Non-proportional</v>
          </cell>
          <cell r="S11043">
            <v>-22303.119999999999</v>
          </cell>
          <cell r="X11043" t="str">
            <v>Variation UPR - gross</v>
          </cell>
          <cell r="Y11043" t="str">
            <v>SWITZERLAND</v>
          </cell>
        </row>
        <row r="11044">
          <cell r="L11044" t="str">
            <v>Non-proportional</v>
          </cell>
          <cell r="S11044">
            <v>-13404.85</v>
          </cell>
          <cell r="X11044" t="str">
            <v>Variation UPR - gross</v>
          </cell>
          <cell r="Y11044" t="str">
            <v>DENMARK</v>
          </cell>
        </row>
        <row r="11045">
          <cell r="L11045" t="str">
            <v>Non-proportional</v>
          </cell>
          <cell r="S11045">
            <v>-18973.75</v>
          </cell>
          <cell r="X11045" t="str">
            <v>Variation UPR - gross</v>
          </cell>
          <cell r="Y11045" t="str">
            <v>AUSTRIA</v>
          </cell>
        </row>
        <row r="11046">
          <cell r="L11046" t="str">
            <v>Non-proportional</v>
          </cell>
          <cell r="S11046">
            <v>-20770.63</v>
          </cell>
          <cell r="X11046" t="str">
            <v>Variation UPR - gross</v>
          </cell>
          <cell r="Y11046" t="str">
            <v>FRANCE</v>
          </cell>
        </row>
        <row r="11047">
          <cell r="L11047" t="str">
            <v>Non-proportional</v>
          </cell>
          <cell r="S11047">
            <v>-7916.77</v>
          </cell>
          <cell r="X11047" t="str">
            <v>Variation UPR - gross</v>
          </cell>
          <cell r="Y11047" t="str">
            <v>GERMANY</v>
          </cell>
        </row>
        <row r="11048">
          <cell r="L11048" t="str">
            <v>Non-proportional</v>
          </cell>
          <cell r="S11048">
            <v>-11354.85</v>
          </cell>
          <cell r="X11048" t="str">
            <v>Variation UPR - gross</v>
          </cell>
          <cell r="Y11048" t="str">
            <v>GERMANY</v>
          </cell>
        </row>
        <row r="11049">
          <cell r="L11049" t="str">
            <v>Non-proportional</v>
          </cell>
          <cell r="S11049">
            <v>2.83</v>
          </cell>
          <cell r="X11049" t="str">
            <v>Variation UPR - gross</v>
          </cell>
          <cell r="Y11049" t="str">
            <v>DENMARK</v>
          </cell>
        </row>
        <row r="11050">
          <cell r="L11050" t="str">
            <v>Non-proportional</v>
          </cell>
          <cell r="S11050">
            <v>-9004.14</v>
          </cell>
          <cell r="X11050" t="str">
            <v>Variation UPR - gross</v>
          </cell>
          <cell r="Y11050" t="str">
            <v>UNITED KINGDOM</v>
          </cell>
        </row>
        <row r="11051">
          <cell r="L11051" t="str">
            <v>Non-proportional</v>
          </cell>
          <cell r="S11051">
            <v>-5005.8</v>
          </cell>
          <cell r="X11051" t="str">
            <v>Variation UPR - gross</v>
          </cell>
          <cell r="Y11051" t="str">
            <v>FRANCE</v>
          </cell>
        </row>
        <row r="11052">
          <cell r="L11052" t="str">
            <v>Non-proportional</v>
          </cell>
          <cell r="S11052">
            <v>-23286.73</v>
          </cell>
          <cell r="X11052" t="str">
            <v>Variation UPR - gross</v>
          </cell>
          <cell r="Y11052" t="str">
            <v>UNITED KINGDOM</v>
          </cell>
        </row>
        <row r="11053">
          <cell r="L11053" t="str">
            <v>Non-proportional</v>
          </cell>
          <cell r="S11053">
            <v>-2124.38</v>
          </cell>
          <cell r="X11053" t="str">
            <v>Variation UPR - gross</v>
          </cell>
          <cell r="Y11053" t="str">
            <v>JAPAN</v>
          </cell>
        </row>
        <row r="11054">
          <cell r="L11054" t="str">
            <v>Non-proportional</v>
          </cell>
          <cell r="S11054">
            <v>-9999.66</v>
          </cell>
          <cell r="X11054" t="str">
            <v>Variation UPR - gross</v>
          </cell>
          <cell r="Y11054" t="str">
            <v>GERMANY</v>
          </cell>
        </row>
        <row r="11055">
          <cell r="L11055" t="str">
            <v>Non-proportional</v>
          </cell>
          <cell r="S11055">
            <v>-25886.33</v>
          </cell>
          <cell r="X11055" t="str">
            <v>Variation UPR - gross</v>
          </cell>
          <cell r="Y11055" t="str">
            <v>CZECH REPUBLIC</v>
          </cell>
        </row>
        <row r="11056">
          <cell r="L11056" t="str">
            <v>Non-proportional</v>
          </cell>
          <cell r="S11056">
            <v>-5362.5</v>
          </cell>
          <cell r="X11056" t="str">
            <v>Variation UPR - gross</v>
          </cell>
          <cell r="Y11056" t="str">
            <v>GERMANY</v>
          </cell>
        </row>
        <row r="11057">
          <cell r="L11057" t="str">
            <v>Non-proportional</v>
          </cell>
          <cell r="S11057">
            <v>0.17</v>
          </cell>
          <cell r="X11057" t="str">
            <v>Variation UPR - gross</v>
          </cell>
          <cell r="Y11057" t="str">
            <v>DENMARK</v>
          </cell>
        </row>
        <row r="11058">
          <cell r="L11058" t="str">
            <v>Non-proportional</v>
          </cell>
          <cell r="S11058">
            <v>-20707.14</v>
          </cell>
          <cell r="X11058" t="str">
            <v>Variation UPR - gross</v>
          </cell>
          <cell r="Y11058" t="str">
            <v>EUROPE</v>
          </cell>
        </row>
        <row r="11059">
          <cell r="L11059" t="str">
            <v>Non-proportional</v>
          </cell>
          <cell r="S11059">
            <v>-6904.17</v>
          </cell>
          <cell r="X11059" t="str">
            <v>Variation UPR - gross</v>
          </cell>
          <cell r="Y11059" t="str">
            <v>FRANCE</v>
          </cell>
        </row>
        <row r="11060">
          <cell r="L11060" t="str">
            <v>Non-proportional</v>
          </cell>
          <cell r="S11060">
            <v>-11.22</v>
          </cell>
          <cell r="X11060" t="str">
            <v>Variation UPR - gross</v>
          </cell>
          <cell r="Y11060" t="str">
            <v>JAPAN</v>
          </cell>
        </row>
        <row r="11061">
          <cell r="L11061" t="str">
            <v>Non-proportional</v>
          </cell>
          <cell r="S11061">
            <v>-7791.6</v>
          </cell>
          <cell r="X11061" t="str">
            <v>Variation UPR - gross</v>
          </cell>
          <cell r="Y11061" t="str">
            <v>ICELAND</v>
          </cell>
        </row>
        <row r="11062">
          <cell r="L11062" t="str">
            <v>Non-proportional</v>
          </cell>
          <cell r="S11062">
            <v>-4237.9799999999996</v>
          </cell>
          <cell r="X11062" t="str">
            <v>Variation UPR - gross</v>
          </cell>
          <cell r="Y11062" t="str">
            <v>GERMANY</v>
          </cell>
        </row>
        <row r="11063">
          <cell r="L11063" t="str">
            <v>Non-proportional</v>
          </cell>
          <cell r="S11063">
            <v>-10015.08</v>
          </cell>
          <cell r="X11063" t="str">
            <v>Variation UPR - gross</v>
          </cell>
          <cell r="Y11063" t="str">
            <v>AUSTRIA</v>
          </cell>
        </row>
        <row r="11064">
          <cell r="L11064" t="str">
            <v>Non-proportional</v>
          </cell>
          <cell r="S11064">
            <v>-74946.36</v>
          </cell>
          <cell r="X11064" t="str">
            <v>Variation UPR - gross</v>
          </cell>
          <cell r="Y11064" t="str">
            <v>UNITED KINGDOM</v>
          </cell>
        </row>
        <row r="11065">
          <cell r="L11065" t="str">
            <v>Non-proportional</v>
          </cell>
          <cell r="S11065">
            <v>-12288.74</v>
          </cell>
          <cell r="X11065" t="str">
            <v>Variation UPR - gross</v>
          </cell>
          <cell r="Y11065" t="str">
            <v>DENMARK</v>
          </cell>
        </row>
        <row r="11066">
          <cell r="L11066" t="str">
            <v>Non-proportional</v>
          </cell>
          <cell r="S11066">
            <v>-1279.43</v>
          </cell>
          <cell r="X11066" t="str">
            <v>Variation UPR - gross</v>
          </cell>
          <cell r="Y11066" t="str">
            <v>FRANCE</v>
          </cell>
        </row>
        <row r="11067">
          <cell r="L11067" t="str">
            <v>Non-proportional</v>
          </cell>
          <cell r="S11067">
            <v>-29416.67</v>
          </cell>
          <cell r="X11067" t="str">
            <v>Variation UPR - gross</v>
          </cell>
          <cell r="Y11067" t="str">
            <v>EUROPE</v>
          </cell>
        </row>
        <row r="11068">
          <cell r="L11068" t="str">
            <v>Non-proportional</v>
          </cell>
          <cell r="S11068">
            <v>-5375.27</v>
          </cell>
          <cell r="X11068" t="str">
            <v>Variation UPR - gross</v>
          </cell>
          <cell r="Y11068" t="str">
            <v>DENMARK</v>
          </cell>
        </row>
        <row r="11069">
          <cell r="L11069" t="str">
            <v>Non-proportional</v>
          </cell>
          <cell r="S11069">
            <v>-892.09</v>
          </cell>
          <cell r="X11069" t="str">
            <v>Variation UPR - gross</v>
          </cell>
          <cell r="Y11069" t="str">
            <v>JAPAN</v>
          </cell>
        </row>
        <row r="11070">
          <cell r="L11070" t="str">
            <v>Non-proportional</v>
          </cell>
          <cell r="S11070">
            <v>-8608.68</v>
          </cell>
          <cell r="X11070" t="str">
            <v>Variation UPR - gross</v>
          </cell>
          <cell r="Y11070" t="str">
            <v>EUROPE</v>
          </cell>
        </row>
        <row r="11071">
          <cell r="L11071" t="str">
            <v>Non-proportional</v>
          </cell>
          <cell r="S11071">
            <v>-3864</v>
          </cell>
          <cell r="X11071" t="str">
            <v>Variation UPR - gross</v>
          </cell>
          <cell r="Y11071" t="str">
            <v>UNITED KINGDOM</v>
          </cell>
        </row>
        <row r="11072">
          <cell r="L11072" t="str">
            <v>Non-proportional</v>
          </cell>
          <cell r="S11072">
            <v>5.28</v>
          </cell>
          <cell r="X11072" t="str">
            <v>Variation UPR - gross</v>
          </cell>
          <cell r="Y11072" t="str">
            <v>SWEDEN</v>
          </cell>
        </row>
        <row r="11073">
          <cell r="L11073" t="str">
            <v>Non-proportional</v>
          </cell>
          <cell r="S11073">
            <v>-34502.01</v>
          </cell>
          <cell r="X11073" t="str">
            <v>Variation UPR - gross</v>
          </cell>
          <cell r="Y11073" t="str">
            <v>CZECH REPUBLIC</v>
          </cell>
        </row>
        <row r="11074">
          <cell r="L11074" t="str">
            <v>Non-proportional</v>
          </cell>
          <cell r="S11074">
            <v>-14008.64</v>
          </cell>
          <cell r="X11074" t="str">
            <v>Variation UPR - gross</v>
          </cell>
          <cell r="Y11074" t="str">
            <v>GERMANY</v>
          </cell>
        </row>
        <row r="11075">
          <cell r="L11075" t="str">
            <v>Non-proportional</v>
          </cell>
          <cell r="S11075">
            <v>-6423.3</v>
          </cell>
          <cell r="X11075" t="str">
            <v>Variation UPR - gross</v>
          </cell>
          <cell r="Y11075" t="str">
            <v>SWITZERLAND</v>
          </cell>
        </row>
        <row r="11076">
          <cell r="L11076" t="str">
            <v>Non-proportional</v>
          </cell>
          <cell r="S11076">
            <v>-270.67</v>
          </cell>
          <cell r="X11076" t="str">
            <v>Variation UPR - gross</v>
          </cell>
          <cell r="Y11076" t="str">
            <v>ITALY</v>
          </cell>
        </row>
        <row r="11077">
          <cell r="L11077" t="str">
            <v>Non-proportional</v>
          </cell>
          <cell r="S11077">
            <v>-25393.599999999999</v>
          </cell>
          <cell r="X11077" t="str">
            <v>Variation UPR - gross</v>
          </cell>
          <cell r="Y11077" t="str">
            <v>GERMANY</v>
          </cell>
        </row>
        <row r="11078">
          <cell r="L11078" t="str">
            <v>Non-proportional</v>
          </cell>
          <cell r="S11078">
            <v>-12649.91</v>
          </cell>
          <cell r="X11078" t="str">
            <v>Variation UPR - gross</v>
          </cell>
          <cell r="Y11078" t="str">
            <v>SWEDEN</v>
          </cell>
        </row>
        <row r="11079">
          <cell r="L11079" t="str">
            <v>Non-proportional</v>
          </cell>
          <cell r="S11079">
            <v>-2954.86</v>
          </cell>
          <cell r="X11079" t="str">
            <v>Variation UPR - gross</v>
          </cell>
          <cell r="Y11079" t="str">
            <v>UNITED KINGDOM</v>
          </cell>
        </row>
        <row r="11080">
          <cell r="L11080" t="str">
            <v>Non-proportional</v>
          </cell>
          <cell r="S11080">
            <v>-13399.72</v>
          </cell>
          <cell r="X11080" t="str">
            <v>Variation UPR - gross</v>
          </cell>
          <cell r="Y11080" t="str">
            <v>GERMANY</v>
          </cell>
        </row>
        <row r="11081">
          <cell r="L11081" t="str">
            <v>Non-proportional</v>
          </cell>
          <cell r="S11081">
            <v>-322680.53999999998</v>
          </cell>
          <cell r="X11081" t="str">
            <v>Variation UPR - gross</v>
          </cell>
          <cell r="Y11081" t="str">
            <v>UNITED KINGDOM</v>
          </cell>
        </row>
        <row r="11082">
          <cell r="L11082" t="str">
            <v>Non-proportional</v>
          </cell>
          <cell r="S11082">
            <v>-2715.13</v>
          </cell>
          <cell r="X11082" t="str">
            <v>Variation UPR - gross</v>
          </cell>
          <cell r="Y11082" t="str">
            <v>JAPAN</v>
          </cell>
        </row>
        <row r="11083">
          <cell r="L11083" t="str">
            <v>Non-proportional</v>
          </cell>
          <cell r="S11083">
            <v>-18706.169999999998</v>
          </cell>
          <cell r="X11083" t="str">
            <v>Variation UPR - gross</v>
          </cell>
          <cell r="Y11083" t="str">
            <v>GERMANY</v>
          </cell>
        </row>
        <row r="11084">
          <cell r="L11084" t="str">
            <v>Non-proportional</v>
          </cell>
          <cell r="S11084">
            <v>-2357.5</v>
          </cell>
          <cell r="X11084" t="str">
            <v>Variation UPR - gross</v>
          </cell>
          <cell r="Y11084" t="str">
            <v>GERMANY</v>
          </cell>
        </row>
        <row r="11085">
          <cell r="L11085" t="str">
            <v>Non-proportional</v>
          </cell>
          <cell r="S11085">
            <v>-17609.03</v>
          </cell>
          <cell r="X11085" t="str">
            <v>Variation UPR - gross</v>
          </cell>
          <cell r="Y11085" t="str">
            <v>AUSTRIA</v>
          </cell>
        </row>
        <row r="11086">
          <cell r="L11086" t="str">
            <v>Non-proportional</v>
          </cell>
          <cell r="S11086">
            <v>-2007.28</v>
          </cell>
          <cell r="X11086" t="str">
            <v>Variation UPR - gross</v>
          </cell>
          <cell r="Y11086" t="str">
            <v>SWITZERLAND</v>
          </cell>
        </row>
        <row r="11087">
          <cell r="L11087" t="str">
            <v>Non-proportional</v>
          </cell>
          <cell r="S11087">
            <v>-9751.23</v>
          </cell>
          <cell r="X11087" t="str">
            <v>Variation UPR - gross</v>
          </cell>
          <cell r="Y11087" t="str">
            <v>GERMANY</v>
          </cell>
        </row>
        <row r="11088">
          <cell r="L11088" t="str">
            <v>Non-proportional</v>
          </cell>
          <cell r="S11088">
            <v>-894.14</v>
          </cell>
          <cell r="X11088" t="str">
            <v>Variation UPR - gross</v>
          </cell>
          <cell r="Y11088" t="str">
            <v>DENMARK</v>
          </cell>
        </row>
        <row r="11089">
          <cell r="L11089" t="str">
            <v>Non-proportional</v>
          </cell>
          <cell r="S11089">
            <v>-51355.32</v>
          </cell>
          <cell r="X11089" t="str">
            <v>Variation UPR - gross</v>
          </cell>
          <cell r="Y11089" t="str">
            <v>UNITED KINGDOM</v>
          </cell>
        </row>
        <row r="11090">
          <cell r="L11090" t="str">
            <v>Proportional</v>
          </cell>
          <cell r="S11090">
            <v>-160112.5</v>
          </cell>
          <cell r="X11090" t="str">
            <v>Variation UPR - gross</v>
          </cell>
          <cell r="Y11090" t="str">
            <v>AUSTRIA</v>
          </cell>
        </row>
        <row r="11091">
          <cell r="L11091" t="str">
            <v>Non-proportional</v>
          </cell>
          <cell r="S11091">
            <v>-13374.32</v>
          </cell>
          <cell r="X11091" t="str">
            <v>Variation UPR - gross</v>
          </cell>
          <cell r="Y11091" t="str">
            <v>UNITED KINGDOM</v>
          </cell>
        </row>
        <row r="11092">
          <cell r="L11092" t="str">
            <v>Non-proportional</v>
          </cell>
          <cell r="S11092">
            <v>-3083.39</v>
          </cell>
          <cell r="X11092" t="str">
            <v>Variation UPR - gross</v>
          </cell>
          <cell r="Y11092" t="str">
            <v>EUROPE</v>
          </cell>
        </row>
        <row r="11093">
          <cell r="L11093" t="str">
            <v>Non-proportional</v>
          </cell>
          <cell r="S11093">
            <v>-11204.66</v>
          </cell>
          <cell r="X11093" t="str">
            <v>Variation UPR - gross</v>
          </cell>
          <cell r="Y11093" t="str">
            <v>UNITED KINGDOM</v>
          </cell>
        </row>
        <row r="11094">
          <cell r="L11094" t="str">
            <v>Non-proportional</v>
          </cell>
          <cell r="S11094">
            <v>-8494.48</v>
          </cell>
          <cell r="X11094" t="str">
            <v>Variation UPR - gross</v>
          </cell>
          <cell r="Y11094" t="str">
            <v>GERMANY</v>
          </cell>
        </row>
        <row r="11095">
          <cell r="L11095" t="str">
            <v>Non-proportional</v>
          </cell>
          <cell r="S11095">
            <v>-11815.97</v>
          </cell>
          <cell r="X11095" t="str">
            <v>Variation UPR - gross</v>
          </cell>
          <cell r="Y11095" t="str">
            <v>GERMANY</v>
          </cell>
        </row>
        <row r="11096">
          <cell r="L11096" t="str">
            <v>Non-proportional</v>
          </cell>
          <cell r="S11096">
            <v>-14058.31</v>
          </cell>
          <cell r="X11096" t="str">
            <v>Variation UPR - gross</v>
          </cell>
          <cell r="Y11096" t="str">
            <v>EIRE</v>
          </cell>
        </row>
        <row r="11097">
          <cell r="L11097" t="str">
            <v>Non-proportional</v>
          </cell>
          <cell r="S11097">
            <v>-3375</v>
          </cell>
          <cell r="X11097" t="str">
            <v>Variation UPR - gross</v>
          </cell>
          <cell r="Y11097" t="str">
            <v>GERMANY</v>
          </cell>
        </row>
        <row r="11098">
          <cell r="L11098" t="str">
            <v>Non-proportional</v>
          </cell>
          <cell r="S11098">
            <v>-42826.49</v>
          </cell>
          <cell r="X11098" t="str">
            <v>Variation UPR - gross</v>
          </cell>
          <cell r="Y11098" t="str">
            <v>UNITED KINGDOM</v>
          </cell>
        </row>
        <row r="11099">
          <cell r="L11099" t="str">
            <v>Non-proportional</v>
          </cell>
          <cell r="S11099">
            <v>-5369</v>
          </cell>
          <cell r="X11099" t="str">
            <v>Variation UPR - gross</v>
          </cell>
          <cell r="Y11099" t="str">
            <v>GERMANY</v>
          </cell>
        </row>
        <row r="11100">
          <cell r="L11100" t="str">
            <v>Non-proportional</v>
          </cell>
          <cell r="S11100">
            <v>-3687.5</v>
          </cell>
          <cell r="X11100" t="str">
            <v>Variation UPR - gross</v>
          </cell>
          <cell r="Y11100" t="str">
            <v>GERMANY</v>
          </cell>
        </row>
        <row r="11101">
          <cell r="L11101" t="str">
            <v>Non-proportional</v>
          </cell>
          <cell r="S11101">
            <v>15251.71</v>
          </cell>
          <cell r="X11101" t="str">
            <v>Variation UPR - gross</v>
          </cell>
          <cell r="Y11101" t="str">
            <v>SWITZERLAND</v>
          </cell>
        </row>
        <row r="11102">
          <cell r="L11102" t="str">
            <v>Non-proportional</v>
          </cell>
          <cell r="S11102">
            <v>-11799.59</v>
          </cell>
          <cell r="X11102" t="str">
            <v>Variation UPR - gross</v>
          </cell>
          <cell r="Y11102" t="str">
            <v>UNITED KINGDOM</v>
          </cell>
        </row>
        <row r="11103">
          <cell r="L11103" t="str">
            <v>Non-proportional</v>
          </cell>
          <cell r="S11103">
            <v>-112052.09</v>
          </cell>
          <cell r="X11103" t="str">
            <v>Variation UPR - gross</v>
          </cell>
          <cell r="Y11103" t="str">
            <v>FRANCE</v>
          </cell>
        </row>
        <row r="11104">
          <cell r="L11104" t="str">
            <v>Non-proportional</v>
          </cell>
          <cell r="S11104">
            <v>-2912.94</v>
          </cell>
          <cell r="X11104" t="str">
            <v>Variation UPR - gross</v>
          </cell>
          <cell r="Y11104" t="str">
            <v>UNITED KINGDOM</v>
          </cell>
        </row>
        <row r="11105">
          <cell r="L11105" t="str">
            <v>Non-proportional</v>
          </cell>
          <cell r="S11105">
            <v>-8999.89</v>
          </cell>
          <cell r="X11105" t="str">
            <v>Variation UPR - gross</v>
          </cell>
          <cell r="Y11105" t="str">
            <v>GERMANY</v>
          </cell>
        </row>
        <row r="11106">
          <cell r="L11106" t="str">
            <v>Non-proportional</v>
          </cell>
          <cell r="S11106">
            <v>-12074.88</v>
          </cell>
          <cell r="X11106" t="str">
            <v>Variation UPR - gross</v>
          </cell>
          <cell r="Y11106" t="str">
            <v>FRANCE</v>
          </cell>
        </row>
        <row r="11107">
          <cell r="L11107" t="str">
            <v>Non-proportional</v>
          </cell>
          <cell r="S11107">
            <v>0.6</v>
          </cell>
          <cell r="X11107" t="str">
            <v>Variation UPR - gross</v>
          </cell>
          <cell r="Y11107" t="str">
            <v>DENMARK</v>
          </cell>
        </row>
        <row r="11108">
          <cell r="L11108" t="str">
            <v>Proportional</v>
          </cell>
          <cell r="S11108">
            <v>207561.2</v>
          </cell>
          <cell r="X11108" t="str">
            <v>Variation UPR - gross</v>
          </cell>
          <cell r="Y11108" t="str">
            <v>GERMANY</v>
          </cell>
        </row>
        <row r="11109">
          <cell r="L11109" t="str">
            <v>Non-proportional</v>
          </cell>
          <cell r="S11109">
            <v>-4921.37</v>
          </cell>
          <cell r="X11109" t="str">
            <v>Variation UPR - gross</v>
          </cell>
          <cell r="Y11109" t="str">
            <v>SWITZERLAND</v>
          </cell>
        </row>
        <row r="11110">
          <cell r="L11110" t="str">
            <v>Non-proportional</v>
          </cell>
          <cell r="S11110">
            <v>-7041.56</v>
          </cell>
          <cell r="X11110" t="str">
            <v>Variation UPR - gross</v>
          </cell>
          <cell r="Y11110" t="str">
            <v>NORWAY</v>
          </cell>
        </row>
        <row r="11111">
          <cell r="L11111" t="str">
            <v>Non-proportional</v>
          </cell>
          <cell r="S11111">
            <v>-8625</v>
          </cell>
          <cell r="X11111" t="str">
            <v>Variation UPR - gross</v>
          </cell>
          <cell r="Y11111" t="str">
            <v>GERMANY</v>
          </cell>
        </row>
        <row r="11112">
          <cell r="L11112" t="str">
            <v>Non-proportional</v>
          </cell>
          <cell r="S11112">
            <v>-1108.02</v>
          </cell>
          <cell r="X11112" t="str">
            <v>Variation UPR - gross</v>
          </cell>
          <cell r="Y11112" t="str">
            <v>AUSTRIA</v>
          </cell>
        </row>
        <row r="11113">
          <cell r="L11113" t="str">
            <v>Non-proportional</v>
          </cell>
          <cell r="S11113">
            <v>-14602.5</v>
          </cell>
          <cell r="X11113" t="str">
            <v>Variation UPR - gross</v>
          </cell>
          <cell r="Y11113" t="str">
            <v>GERMANY</v>
          </cell>
        </row>
        <row r="11114">
          <cell r="L11114" t="str">
            <v>Non-proportional</v>
          </cell>
          <cell r="S11114">
            <v>-2500.5700000000002</v>
          </cell>
          <cell r="X11114" t="str">
            <v>Variation UPR - gross</v>
          </cell>
          <cell r="Y11114" t="str">
            <v>GERMANY</v>
          </cell>
        </row>
        <row r="11115">
          <cell r="L11115" t="str">
            <v>Non-proportional</v>
          </cell>
          <cell r="S11115">
            <v>-30666.21</v>
          </cell>
          <cell r="X11115" t="str">
            <v>Variation UPR - gross</v>
          </cell>
          <cell r="Y11115" t="str">
            <v>UNITED KINGDOM</v>
          </cell>
        </row>
        <row r="11116">
          <cell r="L11116" t="str">
            <v>Non-proportional</v>
          </cell>
          <cell r="S11116">
            <v>-722.46</v>
          </cell>
          <cell r="X11116" t="str">
            <v>Variation UPR - gross</v>
          </cell>
          <cell r="Y11116" t="str">
            <v>JAPAN</v>
          </cell>
        </row>
        <row r="11117">
          <cell r="L11117" t="str">
            <v>Non-proportional</v>
          </cell>
          <cell r="S11117">
            <v>-13541.67</v>
          </cell>
          <cell r="X11117" t="str">
            <v>Variation UPR - gross</v>
          </cell>
          <cell r="Y11117" t="str">
            <v>GERMANY</v>
          </cell>
        </row>
        <row r="11118">
          <cell r="L11118" t="str">
            <v>Non-proportional</v>
          </cell>
          <cell r="S11118">
            <v>-8837.7099999999991</v>
          </cell>
          <cell r="X11118" t="str">
            <v>Variation UPR - gross</v>
          </cell>
          <cell r="Y11118" t="str">
            <v>GERMANY</v>
          </cell>
        </row>
        <row r="11119">
          <cell r="L11119" t="str">
            <v>Non-proportional</v>
          </cell>
          <cell r="S11119">
            <v>7409.04</v>
          </cell>
          <cell r="X11119" t="str">
            <v>Variation UPR - gross</v>
          </cell>
          <cell r="Y11119" t="str">
            <v>SWITZERLAND</v>
          </cell>
        </row>
        <row r="11120">
          <cell r="L11120" t="str">
            <v>Non-proportional</v>
          </cell>
          <cell r="S11120">
            <v>-8072.83</v>
          </cell>
          <cell r="X11120" t="str">
            <v>Variation UPR - gross</v>
          </cell>
          <cell r="Y11120" t="str">
            <v>GERMANY</v>
          </cell>
        </row>
        <row r="11121">
          <cell r="L11121" t="str">
            <v>Non-proportional</v>
          </cell>
          <cell r="S11121">
            <v>-3850</v>
          </cell>
          <cell r="X11121" t="str">
            <v>Variation UPR - gross</v>
          </cell>
          <cell r="Y11121" t="str">
            <v>GERMANY</v>
          </cell>
        </row>
        <row r="11122">
          <cell r="L11122" t="str">
            <v>Non-proportional</v>
          </cell>
          <cell r="S11122">
            <v>-16643.64</v>
          </cell>
          <cell r="X11122" t="str">
            <v>Variation UPR - gross</v>
          </cell>
          <cell r="Y11122" t="str">
            <v>FRANCE</v>
          </cell>
        </row>
        <row r="11123">
          <cell r="L11123" t="str">
            <v>Non-proportional</v>
          </cell>
          <cell r="S11123">
            <v>-1265.7</v>
          </cell>
          <cell r="X11123" t="str">
            <v>Variation UPR - gross</v>
          </cell>
          <cell r="Y11123" t="str">
            <v>UNITED KINGDOM</v>
          </cell>
        </row>
        <row r="11124">
          <cell r="L11124" t="str">
            <v>Non-proportional</v>
          </cell>
          <cell r="S11124">
            <v>-1248.18</v>
          </cell>
          <cell r="X11124" t="str">
            <v>Variation UPR - gross</v>
          </cell>
          <cell r="Y11124" t="str">
            <v>SWITZERLAND</v>
          </cell>
        </row>
        <row r="11125">
          <cell r="L11125" t="str">
            <v>Non-proportional</v>
          </cell>
          <cell r="S11125">
            <v>-3516.18</v>
          </cell>
          <cell r="X11125" t="str">
            <v>Variation UPR - gross</v>
          </cell>
          <cell r="Y11125" t="str">
            <v>ICELAND</v>
          </cell>
        </row>
        <row r="11126">
          <cell r="L11126" t="str">
            <v>Non-proportional</v>
          </cell>
          <cell r="S11126">
            <v>-5362.5</v>
          </cell>
          <cell r="X11126" t="str">
            <v>Variation UPR - gross</v>
          </cell>
          <cell r="Y11126" t="str">
            <v>GERMANY</v>
          </cell>
        </row>
        <row r="11127">
          <cell r="L11127" t="str">
            <v>Non-proportional</v>
          </cell>
          <cell r="S11127">
            <v>-8423.33</v>
          </cell>
          <cell r="X11127" t="str">
            <v>Variation UPR - gross</v>
          </cell>
          <cell r="Y11127" t="str">
            <v>ITALY</v>
          </cell>
        </row>
        <row r="11128">
          <cell r="L11128" t="str">
            <v>Non-proportional</v>
          </cell>
          <cell r="S11128">
            <v>-3333.42</v>
          </cell>
          <cell r="X11128" t="str">
            <v>Variation UPR - gross</v>
          </cell>
          <cell r="Y11128" t="str">
            <v>ITALY</v>
          </cell>
        </row>
        <row r="11129">
          <cell r="L11129" t="str">
            <v>Non-proportional</v>
          </cell>
          <cell r="S11129">
            <v>-6930.22</v>
          </cell>
          <cell r="X11129" t="str">
            <v>Variation UPR - gross</v>
          </cell>
          <cell r="Y11129" t="str">
            <v>UNITED KINGDOM</v>
          </cell>
        </row>
        <row r="11130">
          <cell r="L11130" t="str">
            <v>Non-proportional</v>
          </cell>
          <cell r="S11130">
            <v>-12345.55</v>
          </cell>
          <cell r="X11130" t="str">
            <v>Variation UPR - gross</v>
          </cell>
          <cell r="Y11130" t="str">
            <v>UNITED KINGDOM</v>
          </cell>
        </row>
        <row r="11131">
          <cell r="L11131" t="str">
            <v>Non-proportional</v>
          </cell>
          <cell r="S11131">
            <v>-12345.96</v>
          </cell>
          <cell r="X11131" t="str">
            <v>Variation UPR - gross</v>
          </cell>
          <cell r="Y11131" t="str">
            <v>SWEDEN</v>
          </cell>
        </row>
        <row r="11132">
          <cell r="L11132" t="str">
            <v>Non-proportional</v>
          </cell>
          <cell r="S11132">
            <v>-7480.54</v>
          </cell>
          <cell r="X11132" t="str">
            <v>Variation UPR - gross</v>
          </cell>
          <cell r="Y11132" t="str">
            <v>NORWAY</v>
          </cell>
        </row>
        <row r="11133">
          <cell r="L11133" t="str">
            <v>Non-proportional</v>
          </cell>
          <cell r="S11133">
            <v>9.18</v>
          </cell>
          <cell r="X11133" t="str">
            <v>Variation UPR - gross</v>
          </cell>
          <cell r="Y11133" t="str">
            <v>SWEDEN</v>
          </cell>
        </row>
        <row r="11134">
          <cell r="L11134" t="str">
            <v>Non-proportional</v>
          </cell>
          <cell r="S11134">
            <v>15.73</v>
          </cell>
          <cell r="X11134" t="str">
            <v>Variation UPR - gross</v>
          </cell>
          <cell r="Y11134" t="str">
            <v>SWEDEN</v>
          </cell>
        </row>
        <row r="11135">
          <cell r="L11135" t="str">
            <v>Non-proportional</v>
          </cell>
          <cell r="S11135">
            <v>-10.94</v>
          </cell>
          <cell r="X11135" t="str">
            <v>Variation UPR - gross</v>
          </cell>
          <cell r="Y11135" t="str">
            <v>NORWAY</v>
          </cell>
        </row>
        <row r="11136">
          <cell r="L11136" t="str">
            <v>Non-proportional</v>
          </cell>
          <cell r="S11136">
            <v>-1600.95</v>
          </cell>
          <cell r="X11136" t="str">
            <v>Variation UPR - gross</v>
          </cell>
          <cell r="Y11136" t="str">
            <v>JAPAN</v>
          </cell>
        </row>
        <row r="11137">
          <cell r="L11137" t="str">
            <v>Non-proportional</v>
          </cell>
          <cell r="S11137">
            <v>-4164.72</v>
          </cell>
          <cell r="X11137" t="str">
            <v>Variation UPR - gross</v>
          </cell>
          <cell r="Y11137" t="str">
            <v>GERMANY</v>
          </cell>
        </row>
        <row r="11138">
          <cell r="L11138" t="str">
            <v>Non-proportional</v>
          </cell>
          <cell r="S11138">
            <v>-3880.08</v>
          </cell>
          <cell r="X11138" t="str">
            <v>Variation UPR - gross</v>
          </cell>
          <cell r="Y11138" t="str">
            <v>NORWAY</v>
          </cell>
        </row>
        <row r="11139">
          <cell r="L11139" t="str">
            <v>Non-proportional</v>
          </cell>
          <cell r="S11139">
            <v>-20002.47</v>
          </cell>
          <cell r="X11139" t="str">
            <v>Variation UPR - gross</v>
          </cell>
          <cell r="Y11139" t="str">
            <v>CZECH REPUBLIC</v>
          </cell>
        </row>
        <row r="11140">
          <cell r="L11140" t="str">
            <v>Proportional</v>
          </cell>
          <cell r="S11140">
            <v>1700511.94</v>
          </cell>
          <cell r="X11140" t="str">
            <v>Variation UPR - gross</v>
          </cell>
          <cell r="Y11140" t="str">
            <v>SWITZERLAND</v>
          </cell>
        </row>
        <row r="11141">
          <cell r="L11141" t="str">
            <v>Non-proportional</v>
          </cell>
          <cell r="S11141">
            <v>-10594.94</v>
          </cell>
          <cell r="X11141" t="str">
            <v>Variation UPR - gross</v>
          </cell>
          <cell r="Y11141" t="str">
            <v>GERMANY</v>
          </cell>
        </row>
        <row r="11142">
          <cell r="L11142" t="str">
            <v>Non-proportional</v>
          </cell>
          <cell r="S11142">
            <v>-451.25</v>
          </cell>
          <cell r="X11142" t="str">
            <v>Variation UPR - gross</v>
          </cell>
          <cell r="Y11142" t="str">
            <v>ITALY</v>
          </cell>
        </row>
        <row r="11143">
          <cell r="L11143" t="str">
            <v>Non-proportional</v>
          </cell>
          <cell r="S11143">
            <v>-20367.22</v>
          </cell>
          <cell r="X11143" t="str">
            <v>Variation UPR - gross</v>
          </cell>
          <cell r="Y11143" t="str">
            <v>UNITED KINGDOM</v>
          </cell>
        </row>
        <row r="11144">
          <cell r="L11144" t="str">
            <v>Non-proportional</v>
          </cell>
          <cell r="S11144">
            <v>-7501.57</v>
          </cell>
          <cell r="X11144" t="str">
            <v>Variation UPR - gross</v>
          </cell>
          <cell r="Y11144" t="str">
            <v>GERMANY</v>
          </cell>
        </row>
        <row r="11145">
          <cell r="L11145" t="str">
            <v>Non-proportional</v>
          </cell>
          <cell r="S11145">
            <v>-7895.43</v>
          </cell>
          <cell r="X11145" t="str">
            <v>Variation UPR - gross</v>
          </cell>
          <cell r="Y11145" t="str">
            <v>DENMARK</v>
          </cell>
        </row>
        <row r="11146">
          <cell r="L11146" t="str">
            <v>Non-proportional</v>
          </cell>
          <cell r="S11146">
            <v>-16012.94</v>
          </cell>
          <cell r="X11146" t="str">
            <v>Variation UPR - gross</v>
          </cell>
          <cell r="Y11146" t="str">
            <v>UNITED KINGDOM</v>
          </cell>
        </row>
        <row r="11147">
          <cell r="L11147" t="str">
            <v>Non-proportional</v>
          </cell>
          <cell r="S11147">
            <v>-4065.48</v>
          </cell>
          <cell r="X11147" t="str">
            <v>Variation UPR - gross</v>
          </cell>
          <cell r="Y11147" t="str">
            <v>SWITZERLAND</v>
          </cell>
        </row>
        <row r="11148">
          <cell r="L11148" t="str">
            <v>Non-proportional</v>
          </cell>
          <cell r="S11148">
            <v>-8432.17</v>
          </cell>
          <cell r="X11148" t="str">
            <v>Variation UPR - gross</v>
          </cell>
          <cell r="Y11148" t="str">
            <v>EUROPE</v>
          </cell>
        </row>
        <row r="11149">
          <cell r="L11149" t="str">
            <v>Non-proportional</v>
          </cell>
          <cell r="S11149">
            <v>-18807.28</v>
          </cell>
          <cell r="X11149" t="str">
            <v>Variation UPR - gross</v>
          </cell>
          <cell r="Y11149" t="str">
            <v>REPUBLIC OF IRELAND</v>
          </cell>
        </row>
        <row r="11150">
          <cell r="L11150" t="str">
            <v>Non-proportional</v>
          </cell>
          <cell r="S11150">
            <v>-3262.5</v>
          </cell>
          <cell r="X11150" t="str">
            <v>Variation UPR - gross</v>
          </cell>
          <cell r="Y11150" t="str">
            <v>ROMANIA</v>
          </cell>
        </row>
        <row r="11151">
          <cell r="L11151" t="str">
            <v>Non-proportional</v>
          </cell>
          <cell r="S11151">
            <v>-27813.31</v>
          </cell>
          <cell r="X11151" t="str">
            <v>Variation UPR - gross</v>
          </cell>
          <cell r="Y11151" t="str">
            <v>UNITED KINGDOM</v>
          </cell>
        </row>
        <row r="11152">
          <cell r="L11152" t="str">
            <v>Non-proportional</v>
          </cell>
          <cell r="S11152">
            <v>-23058.97</v>
          </cell>
          <cell r="X11152" t="str">
            <v>Variation UPR - gross</v>
          </cell>
          <cell r="Y11152" t="str">
            <v>FRANCE</v>
          </cell>
        </row>
        <row r="11153">
          <cell r="L11153" t="str">
            <v>Non-proportional</v>
          </cell>
          <cell r="S11153">
            <v>-11423</v>
          </cell>
          <cell r="X11153" t="str">
            <v>Variation UPR - gross</v>
          </cell>
          <cell r="Y11153" t="str">
            <v>SWITZERLAND</v>
          </cell>
        </row>
        <row r="11154">
          <cell r="L11154" t="str">
            <v>Non-proportional</v>
          </cell>
          <cell r="S11154">
            <v>-24396</v>
          </cell>
          <cell r="X11154" t="str">
            <v>Variation UPR - gross</v>
          </cell>
          <cell r="Y11154" t="str">
            <v>GERMANY</v>
          </cell>
        </row>
        <row r="11155">
          <cell r="L11155" t="str">
            <v>Non-proportional</v>
          </cell>
          <cell r="S11155">
            <v>-4984.72</v>
          </cell>
          <cell r="X11155" t="str">
            <v>Variation UPR - gross</v>
          </cell>
          <cell r="Y11155" t="str">
            <v>GERMANY</v>
          </cell>
        </row>
        <row r="11156">
          <cell r="L11156" t="str">
            <v>Non-proportional</v>
          </cell>
          <cell r="S11156">
            <v>-7965</v>
          </cell>
          <cell r="X11156" t="str">
            <v>Variation UPR - gross</v>
          </cell>
          <cell r="Y11156" t="str">
            <v>GERMANY</v>
          </cell>
        </row>
        <row r="11157">
          <cell r="L11157" t="str">
            <v>Non-proportional</v>
          </cell>
          <cell r="S11157">
            <v>-757.82</v>
          </cell>
          <cell r="X11157" t="str">
            <v>Variation UPR - gross</v>
          </cell>
          <cell r="Y11157" t="str">
            <v>SWITZERLAND</v>
          </cell>
        </row>
        <row r="11158">
          <cell r="L11158" t="str">
            <v>Non-proportional</v>
          </cell>
          <cell r="S11158">
            <v>-3091.24</v>
          </cell>
          <cell r="X11158" t="str">
            <v>Variation UPR - gross</v>
          </cell>
          <cell r="Y11158" t="str">
            <v>SWITZERLAND</v>
          </cell>
        </row>
        <row r="11159">
          <cell r="L11159" t="str">
            <v>Non-proportional</v>
          </cell>
          <cell r="S11159">
            <v>-4439.78</v>
          </cell>
          <cell r="X11159" t="str">
            <v>Variation UPR - gross</v>
          </cell>
          <cell r="Y11159" t="str">
            <v>GERMANY</v>
          </cell>
        </row>
        <row r="11160">
          <cell r="L11160" t="str">
            <v>Non-proportional</v>
          </cell>
          <cell r="S11160">
            <v>-3377.62</v>
          </cell>
          <cell r="X11160" t="str">
            <v>Variation UPR - gross</v>
          </cell>
          <cell r="Y11160" t="str">
            <v>JAPAN</v>
          </cell>
        </row>
        <row r="11161">
          <cell r="L11161" t="str">
            <v>Non-proportional</v>
          </cell>
          <cell r="S11161">
            <v>-6173.51</v>
          </cell>
          <cell r="X11161" t="str">
            <v>Variation UPR - gross</v>
          </cell>
          <cell r="Y11161" t="str">
            <v>SWEDEN</v>
          </cell>
        </row>
        <row r="11162">
          <cell r="L11162" t="str">
            <v>Non-proportional</v>
          </cell>
          <cell r="S11162">
            <v>-4573.13</v>
          </cell>
          <cell r="X11162" t="str">
            <v>Variation UPR - gross</v>
          </cell>
          <cell r="Y11162" t="str">
            <v>EUROPE</v>
          </cell>
        </row>
        <row r="11163">
          <cell r="L11163" t="str">
            <v>Non-proportional</v>
          </cell>
          <cell r="S11163">
            <v>-5717.64</v>
          </cell>
          <cell r="X11163" t="str">
            <v>Variation UPR - gross</v>
          </cell>
          <cell r="Y11163" t="str">
            <v>GERMANY</v>
          </cell>
        </row>
        <row r="11164">
          <cell r="L11164" t="str">
            <v>Non-proportional</v>
          </cell>
          <cell r="S11164">
            <v>-865.58</v>
          </cell>
          <cell r="X11164" t="str">
            <v>Variation UPR - gross</v>
          </cell>
          <cell r="Y11164" t="str">
            <v>ITALY</v>
          </cell>
        </row>
        <row r="11165">
          <cell r="L11165" t="str">
            <v>Non-proportional</v>
          </cell>
          <cell r="S11165">
            <v>-18706.169999999998</v>
          </cell>
          <cell r="X11165" t="str">
            <v>Variation UPR - gross</v>
          </cell>
          <cell r="Y11165" t="str">
            <v>GERMANY</v>
          </cell>
        </row>
        <row r="11166">
          <cell r="L11166" t="str">
            <v>Non-proportional</v>
          </cell>
          <cell r="S11166">
            <v>-21173.54</v>
          </cell>
          <cell r="X11166" t="str">
            <v>Variation UPR - gross</v>
          </cell>
          <cell r="Y11166" t="str">
            <v>UNITED KINGDOM</v>
          </cell>
        </row>
        <row r="11167">
          <cell r="L11167" t="str">
            <v>Non-proportional</v>
          </cell>
          <cell r="S11167">
            <v>-3809.18</v>
          </cell>
          <cell r="X11167" t="str">
            <v>Variation UPR - gross</v>
          </cell>
          <cell r="Y11167" t="str">
            <v>UNITED KINGDOM</v>
          </cell>
        </row>
        <row r="11168">
          <cell r="L11168" t="str">
            <v>Non-proportional</v>
          </cell>
          <cell r="S11168">
            <v>-6037.5</v>
          </cell>
          <cell r="X11168" t="str">
            <v>Variation UPR - gross</v>
          </cell>
          <cell r="Y11168" t="str">
            <v>GERMANY</v>
          </cell>
        </row>
        <row r="11169">
          <cell r="L11169" t="str">
            <v>Non-proportional</v>
          </cell>
          <cell r="S11169">
            <v>-4460.22</v>
          </cell>
          <cell r="X11169" t="str">
            <v>Variation UPR - gross</v>
          </cell>
          <cell r="Y11169" t="str">
            <v>DENMARK</v>
          </cell>
        </row>
        <row r="11170">
          <cell r="L11170" t="str">
            <v>Non-proportional</v>
          </cell>
          <cell r="S11170">
            <v>0.01</v>
          </cell>
          <cell r="X11170" t="str">
            <v>Variation UPR - gross</v>
          </cell>
          <cell r="Y11170" t="str">
            <v>JAPAN</v>
          </cell>
        </row>
        <row r="11171">
          <cell r="L11171" t="str">
            <v>Non-proportional</v>
          </cell>
          <cell r="S11171">
            <v>-43149.67</v>
          </cell>
          <cell r="X11171" t="str">
            <v>Variation UPR - gross</v>
          </cell>
          <cell r="Y11171" t="str">
            <v>UNITED KINGDOM</v>
          </cell>
        </row>
        <row r="11172">
          <cell r="L11172" t="str">
            <v>Non-proportional</v>
          </cell>
          <cell r="S11172">
            <v>-5724.04</v>
          </cell>
          <cell r="X11172" t="str">
            <v>Variation UPR - gross</v>
          </cell>
          <cell r="Y11172" t="str">
            <v>SWEDEN</v>
          </cell>
        </row>
        <row r="11173">
          <cell r="L11173" t="str">
            <v>Non-proportional</v>
          </cell>
          <cell r="S11173">
            <v>-6250.52</v>
          </cell>
          <cell r="X11173" t="str">
            <v>Variation UPR - gross</v>
          </cell>
          <cell r="Y11173" t="str">
            <v>GERMANY</v>
          </cell>
        </row>
        <row r="11174">
          <cell r="L11174" t="str">
            <v>Non-proportional</v>
          </cell>
          <cell r="S11174">
            <v>-18856.02</v>
          </cell>
          <cell r="X11174" t="str">
            <v>Variation UPR - gross</v>
          </cell>
          <cell r="Y11174" t="str">
            <v>SWEDEN</v>
          </cell>
        </row>
        <row r="11175">
          <cell r="L11175" t="str">
            <v>Non-proportional</v>
          </cell>
          <cell r="S11175">
            <v>-17609.03</v>
          </cell>
          <cell r="X11175" t="str">
            <v>Variation UPR - gross</v>
          </cell>
          <cell r="Y11175" t="str">
            <v>AUSTRIA</v>
          </cell>
        </row>
        <row r="11176">
          <cell r="L11176" t="str">
            <v>Non-proportional</v>
          </cell>
          <cell r="S11176">
            <v>-3107.33</v>
          </cell>
          <cell r="X11176" t="str">
            <v>Variation UPR - gross</v>
          </cell>
          <cell r="Y11176" t="str">
            <v>GERMANY</v>
          </cell>
        </row>
        <row r="11177">
          <cell r="L11177" t="str">
            <v>Non-proportional</v>
          </cell>
          <cell r="S11177">
            <v>-11634.75</v>
          </cell>
          <cell r="X11177" t="str">
            <v>Variation UPR - gross</v>
          </cell>
          <cell r="Y11177" t="str">
            <v>SWITZERLAND</v>
          </cell>
        </row>
        <row r="11178">
          <cell r="L11178" t="str">
            <v>Non-proportional</v>
          </cell>
          <cell r="S11178">
            <v>-27390.41</v>
          </cell>
          <cell r="X11178" t="str">
            <v>Variation UPR - gross</v>
          </cell>
          <cell r="Y11178" t="str">
            <v>UNITED KINGDOM</v>
          </cell>
        </row>
        <row r="11179">
          <cell r="L11179" t="str">
            <v>Non-proportional</v>
          </cell>
          <cell r="S11179">
            <v>-5467.12</v>
          </cell>
          <cell r="X11179" t="str">
            <v>Variation UPR - gross</v>
          </cell>
          <cell r="Y11179" t="str">
            <v>EIRE</v>
          </cell>
        </row>
        <row r="11180">
          <cell r="L11180" t="str">
            <v>Non-proportional</v>
          </cell>
          <cell r="S11180">
            <v>-175.18</v>
          </cell>
          <cell r="X11180" t="str">
            <v>Variation UPR - gross</v>
          </cell>
          <cell r="Y11180" t="str">
            <v>ITALY</v>
          </cell>
        </row>
        <row r="11181">
          <cell r="L11181" t="str">
            <v>Non-proportional</v>
          </cell>
          <cell r="S11181">
            <v>-4571.01</v>
          </cell>
          <cell r="X11181" t="str">
            <v>Variation UPR - gross</v>
          </cell>
          <cell r="Y11181" t="str">
            <v>UNITED KINGDOM</v>
          </cell>
        </row>
        <row r="11182">
          <cell r="L11182" t="str">
            <v>Non-proportional</v>
          </cell>
          <cell r="S11182">
            <v>-8494.48</v>
          </cell>
          <cell r="X11182" t="str">
            <v>Variation UPR - gross</v>
          </cell>
          <cell r="Y11182" t="str">
            <v>GERMANY</v>
          </cell>
        </row>
        <row r="11183">
          <cell r="L11183" t="str">
            <v>Non-proportional</v>
          </cell>
          <cell r="S11183">
            <v>-4511.3999999999996</v>
          </cell>
          <cell r="X11183" t="str">
            <v>Variation UPR - gross</v>
          </cell>
          <cell r="Y11183" t="str">
            <v>AUSTRIA</v>
          </cell>
        </row>
        <row r="11184">
          <cell r="L11184" t="str">
            <v>Non-proportional</v>
          </cell>
          <cell r="S11184">
            <v>-6458.33</v>
          </cell>
          <cell r="X11184" t="str">
            <v>Variation UPR - gross</v>
          </cell>
          <cell r="Y11184" t="str">
            <v>AUSTRIA</v>
          </cell>
        </row>
        <row r="11185">
          <cell r="L11185" t="str">
            <v>Non-proportional</v>
          </cell>
          <cell r="S11185">
            <v>-11882.26</v>
          </cell>
          <cell r="X11185" t="str">
            <v>Variation UPR - gross</v>
          </cell>
          <cell r="Y11185" t="str">
            <v>EUROPE</v>
          </cell>
        </row>
        <row r="11186">
          <cell r="L11186" t="str">
            <v>Non-proportional</v>
          </cell>
          <cell r="S11186">
            <v>-318102.40999999997</v>
          </cell>
          <cell r="X11186" t="str">
            <v>Variation UPR - gross</v>
          </cell>
          <cell r="Y11186" t="str">
            <v>UNITED KINGDOM</v>
          </cell>
        </row>
        <row r="11187">
          <cell r="L11187" t="str">
            <v>Non-proportional</v>
          </cell>
          <cell r="S11187">
            <v>-3214.49</v>
          </cell>
          <cell r="X11187" t="str">
            <v>Variation UPR - gross</v>
          </cell>
          <cell r="Y11187" t="str">
            <v>UNITED KINGDOM</v>
          </cell>
        </row>
        <row r="11188">
          <cell r="L11188" t="str">
            <v>Non-proportional</v>
          </cell>
          <cell r="S11188">
            <v>-6419.17</v>
          </cell>
          <cell r="X11188" t="str">
            <v>Variation UPR - gross</v>
          </cell>
          <cell r="Y11188" t="str">
            <v>SWITZERLAND</v>
          </cell>
        </row>
        <row r="11189">
          <cell r="L11189" t="str">
            <v>Non-proportional</v>
          </cell>
          <cell r="S11189">
            <v>-23854.17</v>
          </cell>
          <cell r="X11189" t="str">
            <v>Variation UPR - gross</v>
          </cell>
          <cell r="Y11189" t="str">
            <v>AUSTRIA</v>
          </cell>
        </row>
        <row r="11190">
          <cell r="L11190" t="str">
            <v>Non-proportional</v>
          </cell>
          <cell r="S11190">
            <v>-1401.66</v>
          </cell>
          <cell r="X11190" t="str">
            <v>Variation UPR - gross</v>
          </cell>
          <cell r="Y11190" t="str">
            <v>GERMANY</v>
          </cell>
        </row>
        <row r="11191">
          <cell r="L11191" t="str">
            <v>Non-proportional</v>
          </cell>
          <cell r="S11191">
            <v>-4237.9799999999996</v>
          </cell>
          <cell r="X11191" t="str">
            <v>Variation UPR - gross</v>
          </cell>
          <cell r="Y11191" t="str">
            <v>GERMANY</v>
          </cell>
        </row>
        <row r="11192">
          <cell r="L11192" t="str">
            <v>Non-proportional</v>
          </cell>
          <cell r="S11192">
            <v>-109476.8</v>
          </cell>
          <cell r="X11192" t="str">
            <v>Variation UPR - gross</v>
          </cell>
          <cell r="Y11192" t="str">
            <v>UNITED KINGDOM</v>
          </cell>
        </row>
        <row r="11193">
          <cell r="L11193" t="str">
            <v>Non-proportional</v>
          </cell>
          <cell r="S11193">
            <v>55567.83</v>
          </cell>
          <cell r="X11193" t="str">
            <v>Variation UPR - gross</v>
          </cell>
          <cell r="Y11193" t="str">
            <v>SWITZERLAND</v>
          </cell>
        </row>
        <row r="11194">
          <cell r="L11194" t="str">
            <v>Non-proportional</v>
          </cell>
          <cell r="S11194">
            <v>-5933.06</v>
          </cell>
          <cell r="X11194" t="str">
            <v>Variation UPR - gross</v>
          </cell>
          <cell r="Y11194" t="str">
            <v>UNITED KINGDOM</v>
          </cell>
        </row>
        <row r="11195">
          <cell r="L11195" t="str">
            <v>Non-proportional</v>
          </cell>
          <cell r="S11195">
            <v>-13193.4</v>
          </cell>
          <cell r="X11195" t="str">
            <v>Variation UPR - gross</v>
          </cell>
          <cell r="Y11195" t="str">
            <v>UNITED KINGDOM</v>
          </cell>
        </row>
        <row r="11196">
          <cell r="L11196" t="str">
            <v>Non-proportional</v>
          </cell>
          <cell r="S11196">
            <v>-42218.879999999997</v>
          </cell>
          <cell r="X11196" t="str">
            <v>Variation UPR - gross</v>
          </cell>
          <cell r="Y11196" t="str">
            <v>UNITED KINGDOM</v>
          </cell>
        </row>
        <row r="11197">
          <cell r="L11197" t="str">
            <v>Non-proportional</v>
          </cell>
          <cell r="S11197">
            <v>-2340</v>
          </cell>
          <cell r="X11197" t="str">
            <v>Variation UPR - gross</v>
          </cell>
          <cell r="Y11197" t="str">
            <v>GERMANY</v>
          </cell>
        </row>
        <row r="11198">
          <cell r="L11198" t="str">
            <v>Non-proportional</v>
          </cell>
          <cell r="S11198">
            <v>-894</v>
          </cell>
          <cell r="X11198" t="str">
            <v>Variation UPR - gross</v>
          </cell>
          <cell r="Y11198" t="str">
            <v>DENMARK</v>
          </cell>
        </row>
        <row r="11199">
          <cell r="L11199" t="str">
            <v>Non-proportional</v>
          </cell>
          <cell r="S11199">
            <v>-750</v>
          </cell>
          <cell r="X11199" t="str">
            <v>Variation UPR - gross</v>
          </cell>
          <cell r="Y11199" t="str">
            <v>GERMANY</v>
          </cell>
        </row>
        <row r="11200">
          <cell r="L11200" t="str">
            <v>Non-proportional</v>
          </cell>
          <cell r="S11200">
            <v>-1203.5899999999999</v>
          </cell>
          <cell r="X11200" t="str">
            <v>Variation UPR - gross</v>
          </cell>
          <cell r="Y11200" t="str">
            <v>SWITZERLAND</v>
          </cell>
        </row>
        <row r="11201">
          <cell r="L11201" t="str">
            <v>Non-proportional</v>
          </cell>
          <cell r="S11201">
            <v>-10015.08</v>
          </cell>
          <cell r="X11201" t="str">
            <v>Variation UPR - gross</v>
          </cell>
          <cell r="Y11201" t="str">
            <v>AUSTRIA</v>
          </cell>
        </row>
        <row r="11202">
          <cell r="L11202" t="str">
            <v>Non-proportional</v>
          </cell>
          <cell r="S11202">
            <v>22860.61</v>
          </cell>
          <cell r="X11202" t="str">
            <v>Variation UPR - gross</v>
          </cell>
          <cell r="Y11202" t="str">
            <v>SWITZERLAND</v>
          </cell>
        </row>
        <row r="11203">
          <cell r="L11203" t="str">
            <v>Non-proportional</v>
          </cell>
          <cell r="S11203">
            <v>-16112.84</v>
          </cell>
          <cell r="X11203" t="str">
            <v>Variation UPR - gross</v>
          </cell>
          <cell r="Y11203" t="str">
            <v>EUROPE</v>
          </cell>
        </row>
        <row r="11204">
          <cell r="L11204" t="str">
            <v>Non-proportional</v>
          </cell>
          <cell r="S11204">
            <v>-73883.039999999994</v>
          </cell>
          <cell r="X11204" t="str">
            <v>Variation UPR - gross</v>
          </cell>
          <cell r="Y11204" t="str">
            <v>UNITED KINGDOM</v>
          </cell>
        </row>
        <row r="11205">
          <cell r="L11205" t="str">
            <v>Non-proportional</v>
          </cell>
          <cell r="S11205">
            <v>-7217.53</v>
          </cell>
          <cell r="X11205" t="str">
            <v>Variation UPR - gross</v>
          </cell>
          <cell r="Y11205" t="str">
            <v>NORWAY</v>
          </cell>
        </row>
        <row r="11206">
          <cell r="L11206" t="str">
            <v>Non-proportional</v>
          </cell>
          <cell r="S11206">
            <v>-10010.879999999999</v>
          </cell>
          <cell r="X11206" t="str">
            <v>Variation UPR - gross</v>
          </cell>
          <cell r="Y11206" t="str">
            <v>GERMANY</v>
          </cell>
        </row>
        <row r="11207">
          <cell r="L11207" t="str">
            <v>Non-proportional</v>
          </cell>
          <cell r="S11207">
            <v>-2687.5</v>
          </cell>
          <cell r="X11207" t="str">
            <v>Variation UPR - gross</v>
          </cell>
          <cell r="Y11207" t="str">
            <v>GERMANY</v>
          </cell>
        </row>
        <row r="11208">
          <cell r="L11208" t="str">
            <v>Non-proportional</v>
          </cell>
          <cell r="S11208">
            <v>-20416.669999999998</v>
          </cell>
          <cell r="X11208" t="str">
            <v>Variation UPR - gross</v>
          </cell>
          <cell r="Y11208" t="str">
            <v>GERMANY</v>
          </cell>
        </row>
        <row r="11209">
          <cell r="L11209" t="str">
            <v>Non-proportional</v>
          </cell>
          <cell r="S11209">
            <v>-18711.580000000002</v>
          </cell>
          <cell r="X11209" t="str">
            <v>Variation UPR - gross</v>
          </cell>
          <cell r="Y11209" t="str">
            <v>UNITED KINGDOM</v>
          </cell>
        </row>
        <row r="11210">
          <cell r="L11210" t="str">
            <v>Non-proportional</v>
          </cell>
          <cell r="S11210">
            <v>0.01</v>
          </cell>
          <cell r="X11210" t="str">
            <v>Variation UPR - gross</v>
          </cell>
          <cell r="Y11210" t="str">
            <v>JAPAN</v>
          </cell>
        </row>
        <row r="11211">
          <cell r="L11211" t="str">
            <v>Non-proportional</v>
          </cell>
          <cell r="S11211">
            <v>-8876.39</v>
          </cell>
          <cell r="X11211" t="str">
            <v>Variation UPR - gross</v>
          </cell>
          <cell r="Y11211" t="str">
            <v>UNITED KINGDOM</v>
          </cell>
        </row>
        <row r="11212">
          <cell r="L11212" t="str">
            <v>Non-proportional</v>
          </cell>
          <cell r="S11212">
            <v>-9751.23</v>
          </cell>
          <cell r="X11212" t="str">
            <v>Variation UPR - gross</v>
          </cell>
          <cell r="Y11212" t="str">
            <v>GERMANY</v>
          </cell>
        </row>
        <row r="11213">
          <cell r="L11213" t="str">
            <v>Non-proportional</v>
          </cell>
          <cell r="S11213">
            <v>-9567</v>
          </cell>
          <cell r="X11213" t="str">
            <v>Variation UPR - gross</v>
          </cell>
          <cell r="Y11213" t="str">
            <v>SLOVENIA</v>
          </cell>
        </row>
        <row r="11214">
          <cell r="L11214" t="str">
            <v>Non-proportional</v>
          </cell>
          <cell r="S11214">
            <v>-39435.5</v>
          </cell>
          <cell r="X11214" t="str">
            <v>Variation UPR - gross</v>
          </cell>
          <cell r="Y11214" t="str">
            <v>UNITED KINGDOM</v>
          </cell>
        </row>
        <row r="11215">
          <cell r="L11215" t="str">
            <v>Non-proportional</v>
          </cell>
          <cell r="S11215">
            <v>-20758.62</v>
          </cell>
          <cell r="X11215" t="str">
            <v>Variation UPR - gross</v>
          </cell>
          <cell r="Y11215" t="str">
            <v>EIRE</v>
          </cell>
        </row>
        <row r="11216">
          <cell r="L11216" t="str">
            <v>Non-proportional</v>
          </cell>
          <cell r="S11216">
            <v>-17.63</v>
          </cell>
          <cell r="X11216" t="str">
            <v>Variation UPR - gross</v>
          </cell>
          <cell r="Y11216" t="str">
            <v>EUROPE</v>
          </cell>
        </row>
        <row r="11217">
          <cell r="L11217" t="str">
            <v>Non-proportional</v>
          </cell>
          <cell r="S11217">
            <v>5.15</v>
          </cell>
          <cell r="X11217" t="str">
            <v>Variation UPR - gross</v>
          </cell>
          <cell r="Y11217" t="str">
            <v>SWEDEN</v>
          </cell>
        </row>
        <row r="11218">
          <cell r="L11218" t="str">
            <v>Non-proportional</v>
          </cell>
          <cell r="S11218">
            <v>-1125</v>
          </cell>
          <cell r="X11218" t="str">
            <v>Variation UPR - gross</v>
          </cell>
          <cell r="Y11218" t="str">
            <v>GERMANY</v>
          </cell>
        </row>
        <row r="11219">
          <cell r="L11219" t="str">
            <v>Non-proportional</v>
          </cell>
          <cell r="S11219">
            <v>-25886.33</v>
          </cell>
          <cell r="X11219" t="str">
            <v>Variation UPR - gross</v>
          </cell>
          <cell r="Y11219" t="str">
            <v>CZECH REPUBLIC</v>
          </cell>
        </row>
        <row r="11220">
          <cell r="L11220" t="str">
            <v>Non-proportional</v>
          </cell>
          <cell r="S11220">
            <v>-5527.05</v>
          </cell>
          <cell r="X11220" t="str">
            <v>Variation UPR - gross</v>
          </cell>
          <cell r="Y11220" t="str">
            <v>GERMANY</v>
          </cell>
        </row>
        <row r="11221">
          <cell r="L11221" t="str">
            <v>Non-proportional</v>
          </cell>
          <cell r="S11221">
            <v>-64952.97</v>
          </cell>
          <cell r="X11221" t="str">
            <v>Variation UPR - gross</v>
          </cell>
          <cell r="Y11221" t="str">
            <v>REPUBLIC OF IRELAND</v>
          </cell>
        </row>
        <row r="11222">
          <cell r="L11222" t="str">
            <v>Non-proportional</v>
          </cell>
          <cell r="S11222">
            <v>-56701.19</v>
          </cell>
          <cell r="X11222" t="str">
            <v>Variation UPR - gross</v>
          </cell>
          <cell r="Y11222" t="str">
            <v>UNITED KINGDOM</v>
          </cell>
        </row>
        <row r="11223">
          <cell r="L11223" t="str">
            <v>Non-proportional</v>
          </cell>
          <cell r="S11223">
            <v>-16437.98</v>
          </cell>
          <cell r="X11223" t="str">
            <v>Variation UPR - gross</v>
          </cell>
          <cell r="Y11223" t="str">
            <v>SWITZERLAND</v>
          </cell>
        </row>
        <row r="11224">
          <cell r="L11224" t="str">
            <v>Non-proportional</v>
          </cell>
          <cell r="S11224">
            <v>-3959.86</v>
          </cell>
          <cell r="X11224" t="str">
            <v>Variation UPR - gross</v>
          </cell>
          <cell r="Y11224" t="str">
            <v>UNITED KINGDOM</v>
          </cell>
        </row>
        <row r="11225">
          <cell r="L11225" t="str">
            <v>Non-proportional</v>
          </cell>
          <cell r="S11225">
            <v>-26296.17</v>
          </cell>
          <cell r="X11225" t="str">
            <v>Variation UPR - gross</v>
          </cell>
          <cell r="Y11225" t="str">
            <v>UNITED KINGDOM</v>
          </cell>
        </row>
        <row r="11226">
          <cell r="L11226" t="str">
            <v>Non-proportional</v>
          </cell>
          <cell r="S11226">
            <v>-35346.199999999997</v>
          </cell>
          <cell r="X11226" t="str">
            <v>Variation UPR - gross</v>
          </cell>
          <cell r="Y11226" t="str">
            <v>UNITED KINGDOM</v>
          </cell>
        </row>
        <row r="11227">
          <cell r="L11227" t="str">
            <v>Non-proportional</v>
          </cell>
          <cell r="S11227">
            <v>-1933.26</v>
          </cell>
          <cell r="X11227" t="str">
            <v>Variation UPR - gross</v>
          </cell>
          <cell r="Y11227" t="str">
            <v>JAPAN</v>
          </cell>
        </row>
        <row r="11228">
          <cell r="L11228" t="str">
            <v>Non-proportional</v>
          </cell>
          <cell r="S11228">
            <v>-279459.36</v>
          </cell>
          <cell r="X11228" t="str">
            <v>Variation UPR - gross</v>
          </cell>
          <cell r="Y11228" t="str">
            <v>UNITED KINGDOM</v>
          </cell>
        </row>
        <row r="11229">
          <cell r="L11229" t="str">
            <v>Non-proportional</v>
          </cell>
          <cell r="S11229">
            <v>-52645.760000000002</v>
          </cell>
          <cell r="X11229" t="str">
            <v>Variation UPR - gross</v>
          </cell>
          <cell r="Y11229" t="str">
            <v>UNITED KINGDOM</v>
          </cell>
        </row>
        <row r="11230">
          <cell r="L11230" t="str">
            <v>Non-proportional</v>
          </cell>
          <cell r="S11230">
            <v>-20355</v>
          </cell>
          <cell r="X11230" t="str">
            <v>Variation UPR - gross</v>
          </cell>
          <cell r="Y11230" t="str">
            <v>GERMANY</v>
          </cell>
        </row>
        <row r="11231">
          <cell r="L11231" t="str">
            <v>Non-proportional</v>
          </cell>
          <cell r="S11231">
            <v>4.1500000000000004</v>
          </cell>
          <cell r="X11231" t="str">
            <v>Variation UPR - gross</v>
          </cell>
          <cell r="Y11231" t="str">
            <v>DENMARK</v>
          </cell>
        </row>
        <row r="11232">
          <cell r="L11232" t="str">
            <v>Non-proportional</v>
          </cell>
          <cell r="S11232">
            <v>-83.26</v>
          </cell>
          <cell r="X11232" t="str">
            <v>Variation UPR - gross</v>
          </cell>
          <cell r="Y11232" t="str">
            <v>FRANCE</v>
          </cell>
        </row>
        <row r="11233">
          <cell r="L11233" t="str">
            <v>Non-proportional</v>
          </cell>
          <cell r="S11233">
            <v>-3313.14</v>
          </cell>
          <cell r="X11233" t="str">
            <v>Variation UPR - gross</v>
          </cell>
          <cell r="Y11233" t="str">
            <v>EUROPE</v>
          </cell>
        </row>
        <row r="11234">
          <cell r="L11234" t="str">
            <v>Non-proportional</v>
          </cell>
          <cell r="S11234">
            <v>-40748.370000000003</v>
          </cell>
          <cell r="X11234" t="str">
            <v>Variation UPR - gross</v>
          </cell>
          <cell r="Y11234" t="str">
            <v>SWITZERLAND</v>
          </cell>
        </row>
        <row r="11235">
          <cell r="L11235" t="str">
            <v>Non-proportional</v>
          </cell>
          <cell r="S11235">
            <v>-5231.1499999999996</v>
          </cell>
          <cell r="X11235" t="str">
            <v>Variation UPR - gross</v>
          </cell>
          <cell r="Y11235" t="str">
            <v>NORWAY</v>
          </cell>
        </row>
        <row r="11236">
          <cell r="L11236" t="str">
            <v>Non-proportional</v>
          </cell>
          <cell r="S11236">
            <v>-6017.52</v>
          </cell>
          <cell r="X11236" t="str">
            <v>Variation UPR - gross</v>
          </cell>
          <cell r="Y11236" t="str">
            <v>UNITED KINGDOM</v>
          </cell>
        </row>
        <row r="11237">
          <cell r="L11237" t="str">
            <v>Non-proportional</v>
          </cell>
          <cell r="S11237">
            <v>-9128.9599999999991</v>
          </cell>
          <cell r="X11237" t="str">
            <v>Variation UPR - gross</v>
          </cell>
          <cell r="Y11237" t="str">
            <v>GERMANY</v>
          </cell>
        </row>
        <row r="11238">
          <cell r="L11238" t="str">
            <v>Non-proportional</v>
          </cell>
          <cell r="S11238">
            <v>-9999.66</v>
          </cell>
          <cell r="X11238" t="str">
            <v>Variation UPR - gross</v>
          </cell>
          <cell r="Y11238" t="str">
            <v>GERMANY</v>
          </cell>
        </row>
        <row r="11239">
          <cell r="L11239" t="str">
            <v>Non-proportional</v>
          </cell>
          <cell r="S11239">
            <v>-41755.230000000003</v>
          </cell>
          <cell r="X11239" t="str">
            <v>Variation UPR - gross</v>
          </cell>
          <cell r="Y11239" t="str">
            <v>UNITED KINGDOM</v>
          </cell>
        </row>
        <row r="11240">
          <cell r="L11240" t="str">
            <v>Non-proportional</v>
          </cell>
          <cell r="S11240">
            <v>-7023.18</v>
          </cell>
          <cell r="X11240" t="str">
            <v>Variation UPR - gross</v>
          </cell>
          <cell r="Y11240" t="str">
            <v>UNITED KINGDOM</v>
          </cell>
        </row>
        <row r="11241">
          <cell r="L11241" t="str">
            <v>Non-proportional</v>
          </cell>
          <cell r="S11241">
            <v>-11065.08</v>
          </cell>
          <cell r="X11241" t="str">
            <v>Variation UPR - gross</v>
          </cell>
          <cell r="Y11241" t="str">
            <v>DENMARK</v>
          </cell>
        </row>
        <row r="11242">
          <cell r="L11242" t="str">
            <v>Non-proportional</v>
          </cell>
          <cell r="S11242">
            <v>4.7699999999999996</v>
          </cell>
          <cell r="X11242" t="str">
            <v>Variation UPR - gross</v>
          </cell>
          <cell r="Y11242" t="str">
            <v>SWEDEN</v>
          </cell>
        </row>
        <row r="11243">
          <cell r="L11243" t="str">
            <v>Non-proportional</v>
          </cell>
          <cell r="S11243">
            <v>3.53</v>
          </cell>
          <cell r="X11243" t="str">
            <v>Variation UPR - gross</v>
          </cell>
          <cell r="Y11243" t="str">
            <v>DENMARK</v>
          </cell>
        </row>
        <row r="11244">
          <cell r="L11244" t="str">
            <v>Non-proportional</v>
          </cell>
          <cell r="S11244">
            <v>-3083.39</v>
          </cell>
          <cell r="X11244" t="str">
            <v>Variation UPR - gross</v>
          </cell>
          <cell r="Y11244" t="str">
            <v>EUROPE</v>
          </cell>
        </row>
        <row r="11245">
          <cell r="L11245" t="str">
            <v>Non-proportional</v>
          </cell>
          <cell r="S11245">
            <v>0.01</v>
          </cell>
          <cell r="X11245" t="str">
            <v>Variation UPR - gross</v>
          </cell>
          <cell r="Y11245" t="str">
            <v>ICELAND</v>
          </cell>
        </row>
        <row r="11246">
          <cell r="L11246" t="str">
            <v>Non-proportional</v>
          </cell>
          <cell r="S11246">
            <v>-14008.64</v>
          </cell>
          <cell r="X11246" t="str">
            <v>Variation UPR - gross</v>
          </cell>
          <cell r="Y11246" t="str">
            <v>GERMANY</v>
          </cell>
        </row>
        <row r="11247">
          <cell r="L11247" t="str">
            <v>Non-proportional</v>
          </cell>
          <cell r="S11247">
            <v>-7911.39</v>
          </cell>
          <cell r="X11247" t="str">
            <v>Variation UPR - gross</v>
          </cell>
          <cell r="Y11247" t="str">
            <v>ICELAND</v>
          </cell>
        </row>
        <row r="11248">
          <cell r="L11248" t="str">
            <v>Non-proportional</v>
          </cell>
          <cell r="S11248">
            <v>-11598.68</v>
          </cell>
          <cell r="X11248" t="str">
            <v>Variation UPR - gross</v>
          </cell>
          <cell r="Y11248" t="str">
            <v>UNITED KINGDOM</v>
          </cell>
        </row>
        <row r="11249">
          <cell r="L11249" t="str">
            <v>Non-proportional</v>
          </cell>
          <cell r="S11249">
            <v>-5464.14</v>
          </cell>
          <cell r="X11249" t="str">
            <v>Variation UPR - gross</v>
          </cell>
          <cell r="Y11249" t="str">
            <v>UNITED KINGDOM</v>
          </cell>
        </row>
        <row r="11250">
          <cell r="L11250" t="str">
            <v>Non-proportional</v>
          </cell>
          <cell r="S11250">
            <v>-25393.599999999999</v>
          </cell>
          <cell r="X11250" t="str">
            <v>Variation UPR - gross</v>
          </cell>
          <cell r="Y11250" t="str">
            <v>GERMANY</v>
          </cell>
        </row>
        <row r="11251">
          <cell r="L11251" t="str">
            <v>Non-proportional</v>
          </cell>
          <cell r="S11251">
            <v>-4121.6400000000003</v>
          </cell>
          <cell r="X11251" t="str">
            <v>Variation UPR - gross</v>
          </cell>
          <cell r="Y11251" t="str">
            <v>SWITZERLAND</v>
          </cell>
        </row>
        <row r="11252">
          <cell r="L11252" t="str">
            <v>Non-proportional</v>
          </cell>
          <cell r="S11252">
            <v>-11461.62</v>
          </cell>
          <cell r="X11252" t="str">
            <v>Variation UPR - gross</v>
          </cell>
          <cell r="Y11252" t="str">
            <v>UNITED KINGDOM</v>
          </cell>
        </row>
        <row r="11253">
          <cell r="L11253" t="str">
            <v>Non-proportional</v>
          </cell>
          <cell r="S11253">
            <v>-9161.31</v>
          </cell>
          <cell r="X11253" t="str">
            <v>Variation UPR - gross</v>
          </cell>
          <cell r="Y11253" t="str">
            <v>UNITED KINGDOM</v>
          </cell>
        </row>
        <row r="11254">
          <cell r="L11254" t="str">
            <v>Non-proportional</v>
          </cell>
          <cell r="S11254">
            <v>-3392.5</v>
          </cell>
          <cell r="X11254" t="str">
            <v>Variation UPR - gross</v>
          </cell>
          <cell r="Y11254" t="str">
            <v>ITALY</v>
          </cell>
        </row>
        <row r="11255">
          <cell r="L11255" t="str">
            <v>Non-proportional</v>
          </cell>
          <cell r="S11255">
            <v>-29028.240000000002</v>
          </cell>
          <cell r="X11255" t="str">
            <v>Variation UPR - gross</v>
          </cell>
          <cell r="Y11255" t="str">
            <v>UNITED KINGDOM</v>
          </cell>
        </row>
        <row r="11256">
          <cell r="L11256" t="str">
            <v>Non-proportional</v>
          </cell>
          <cell r="S11256">
            <v>-43750</v>
          </cell>
          <cell r="X11256" t="str">
            <v>Variation UPR - gross</v>
          </cell>
          <cell r="Y11256" t="str">
            <v>GERMANY</v>
          </cell>
        </row>
        <row r="11257">
          <cell r="L11257" t="str">
            <v>Non-proportional</v>
          </cell>
          <cell r="S11257">
            <v>-50626.7</v>
          </cell>
          <cell r="X11257" t="str">
            <v>Variation UPR - gross</v>
          </cell>
          <cell r="Y11257" t="str">
            <v>UNITED KINGDOM</v>
          </cell>
        </row>
        <row r="11258">
          <cell r="L11258" t="str">
            <v>Non-proportional</v>
          </cell>
          <cell r="S11258">
            <v>-6998</v>
          </cell>
          <cell r="X11258" t="str">
            <v>Variation UPR - gross</v>
          </cell>
          <cell r="Y11258" t="str">
            <v>AUSTRIA</v>
          </cell>
        </row>
        <row r="11259">
          <cell r="L11259" t="str">
            <v>Non-proportional</v>
          </cell>
          <cell r="S11259">
            <v>-2637.27</v>
          </cell>
          <cell r="X11259" t="str">
            <v>Variation UPR - gross</v>
          </cell>
          <cell r="Y11259" t="str">
            <v>GERMANY</v>
          </cell>
        </row>
        <row r="11260">
          <cell r="L11260" t="str">
            <v>Non-proportional</v>
          </cell>
          <cell r="S11260">
            <v>-22956.34</v>
          </cell>
          <cell r="X11260" t="str">
            <v>Variation UPR - gross</v>
          </cell>
          <cell r="Y11260" t="str">
            <v>UNITED KINGDOM</v>
          </cell>
        </row>
        <row r="11261">
          <cell r="L11261" t="str">
            <v>Non-proportional</v>
          </cell>
          <cell r="S11261">
            <v>-5005.8</v>
          </cell>
          <cell r="X11261" t="str">
            <v>Variation UPR - gross</v>
          </cell>
          <cell r="Y11261" t="str">
            <v>FRANCE</v>
          </cell>
        </row>
        <row r="11262">
          <cell r="L11262" t="str">
            <v>Non-proportional</v>
          </cell>
          <cell r="S11262">
            <v>-6871.9</v>
          </cell>
          <cell r="X11262" t="str">
            <v>Variation UPR - gross</v>
          </cell>
          <cell r="Y11262" t="str">
            <v>GERMANY</v>
          </cell>
        </row>
        <row r="11263">
          <cell r="L11263" t="str">
            <v>Non-proportional</v>
          </cell>
          <cell r="S11263">
            <v>-11825.5</v>
          </cell>
          <cell r="X11263" t="str">
            <v>Variation UPR - gross</v>
          </cell>
          <cell r="Y11263" t="str">
            <v>AUSTRIA</v>
          </cell>
        </row>
        <row r="11264">
          <cell r="L11264" t="str">
            <v>Non-proportional</v>
          </cell>
          <cell r="S11264">
            <v>-15329.19</v>
          </cell>
          <cell r="X11264" t="str">
            <v>Variation UPR - gross</v>
          </cell>
          <cell r="Y11264" t="str">
            <v>ITALY</v>
          </cell>
        </row>
        <row r="11265">
          <cell r="L11265" t="str">
            <v>Non-proportional</v>
          </cell>
          <cell r="S11265">
            <v>-781.83</v>
          </cell>
          <cell r="X11265" t="str">
            <v>Variation UPR - gross</v>
          </cell>
          <cell r="Y11265" t="str">
            <v>DENMARK</v>
          </cell>
        </row>
        <row r="11266">
          <cell r="L11266" t="str">
            <v>Non-proportional</v>
          </cell>
          <cell r="S11266">
            <v>-5484.12</v>
          </cell>
          <cell r="X11266" t="str">
            <v>Variation UPR - gross</v>
          </cell>
          <cell r="Y11266" t="str">
            <v>EUROPE</v>
          </cell>
        </row>
        <row r="11267">
          <cell r="L11267" t="str">
            <v>Non-proportional</v>
          </cell>
          <cell r="S11267">
            <v>-18973.75</v>
          </cell>
          <cell r="X11267" t="str">
            <v>Variation UPR - gross</v>
          </cell>
          <cell r="Y11267" t="str">
            <v>AUSTRIA</v>
          </cell>
        </row>
        <row r="11268">
          <cell r="L11268" t="str">
            <v>Non-proportional</v>
          </cell>
          <cell r="S11268">
            <v>-980.71</v>
          </cell>
          <cell r="X11268" t="str">
            <v>Variation UPR - gross</v>
          </cell>
          <cell r="Y11268" t="str">
            <v>SWITZERLAND</v>
          </cell>
        </row>
        <row r="11269">
          <cell r="L11269" t="str">
            <v>Non-proportional</v>
          </cell>
          <cell r="S11269">
            <v>-4112.1499999999996</v>
          </cell>
          <cell r="X11269" t="str">
            <v>Variation UPR - gross</v>
          </cell>
          <cell r="Y11269" t="str">
            <v>AUSTRIA</v>
          </cell>
        </row>
        <row r="11270">
          <cell r="L11270" t="str">
            <v>Non-proportional</v>
          </cell>
          <cell r="S11270">
            <v>3.06</v>
          </cell>
          <cell r="X11270" t="str">
            <v>Variation UPR - gross</v>
          </cell>
          <cell r="Y11270" t="str">
            <v>DENMARK</v>
          </cell>
        </row>
        <row r="11271">
          <cell r="L11271" t="str">
            <v>Non-proportional</v>
          </cell>
          <cell r="S11271">
            <v>-2816.19</v>
          </cell>
          <cell r="X11271" t="str">
            <v>Variation UPR - gross</v>
          </cell>
          <cell r="Y11271" t="str">
            <v>FRANCE</v>
          </cell>
        </row>
        <row r="11272">
          <cell r="L11272" t="str">
            <v>Non-proportional</v>
          </cell>
          <cell r="S11272">
            <v>-33726.39</v>
          </cell>
          <cell r="X11272" t="str">
            <v>Variation UPR - gross</v>
          </cell>
          <cell r="Y11272" t="str">
            <v>FRANCE</v>
          </cell>
        </row>
        <row r="11273">
          <cell r="L11273" t="str">
            <v>Non-proportional</v>
          </cell>
          <cell r="S11273">
            <v>-56469.47</v>
          </cell>
          <cell r="X11273" t="str">
            <v>Variation UPR - gross</v>
          </cell>
          <cell r="Y11273" t="str">
            <v>UNITED KINGDOM</v>
          </cell>
        </row>
        <row r="11274">
          <cell r="L11274" t="str">
            <v>Non-proportional</v>
          </cell>
          <cell r="S11274">
            <v>-1142.76</v>
          </cell>
          <cell r="X11274" t="str">
            <v>Variation UPR - gross</v>
          </cell>
          <cell r="Y11274" t="str">
            <v>UNITED KINGDOM</v>
          </cell>
        </row>
        <row r="11275">
          <cell r="L11275" t="str">
            <v>Non-proportional</v>
          </cell>
          <cell r="S11275">
            <v>-16335.5</v>
          </cell>
          <cell r="X11275" t="str">
            <v>Variation UPR - gross</v>
          </cell>
          <cell r="Y11275" t="str">
            <v>DENMARK</v>
          </cell>
        </row>
        <row r="11276">
          <cell r="L11276" t="str">
            <v>Non-proportional</v>
          </cell>
          <cell r="S11276">
            <v>-34502.01</v>
          </cell>
          <cell r="X11276" t="str">
            <v>Variation UPR - gross</v>
          </cell>
          <cell r="Y11276" t="str">
            <v>CZECH REPUBLIC</v>
          </cell>
        </row>
        <row r="11277">
          <cell r="L11277" t="str">
            <v>Non-proportional</v>
          </cell>
          <cell r="S11277">
            <v>-20707.14</v>
          </cell>
          <cell r="X11277" t="str">
            <v>Variation UPR - gross</v>
          </cell>
          <cell r="Y11277" t="str">
            <v>EUROPE</v>
          </cell>
        </row>
        <row r="11278">
          <cell r="L11278" t="str">
            <v>Non-proportional</v>
          </cell>
          <cell r="S11278">
            <v>-12215.04</v>
          </cell>
          <cell r="X11278" t="str">
            <v>Variation UPR - gross</v>
          </cell>
          <cell r="Y11278" t="str">
            <v>REPUBLIC OF IRELAND</v>
          </cell>
        </row>
        <row r="11279">
          <cell r="L11279" t="str">
            <v>Non-proportional</v>
          </cell>
          <cell r="S11279">
            <v>-5493.18</v>
          </cell>
          <cell r="X11279" t="str">
            <v>Variation UPR - gross</v>
          </cell>
          <cell r="Y11279" t="str">
            <v>FRANCE</v>
          </cell>
        </row>
        <row r="11280">
          <cell r="L11280" t="str">
            <v>Non-proportional</v>
          </cell>
          <cell r="S11280">
            <v>2.0099999999999998</v>
          </cell>
          <cell r="X11280" t="str">
            <v>Variation UPR - gross</v>
          </cell>
          <cell r="Y11280" t="str">
            <v>SWEDEN</v>
          </cell>
        </row>
        <row r="11281">
          <cell r="L11281" t="str">
            <v>Non-proportional</v>
          </cell>
          <cell r="S11281">
            <v>-270.67</v>
          </cell>
          <cell r="X11281" t="str">
            <v>Variation UPR - gross</v>
          </cell>
          <cell r="Y11281" t="str">
            <v>ITALY</v>
          </cell>
        </row>
        <row r="11282">
          <cell r="L11282" t="str">
            <v>Non-proportional</v>
          </cell>
          <cell r="S11282">
            <v>-23401.8</v>
          </cell>
          <cell r="X11282" t="str">
            <v>Variation UPR - gross</v>
          </cell>
          <cell r="Y11282" t="str">
            <v>GERMANY</v>
          </cell>
        </row>
        <row r="11283">
          <cell r="L11283" t="str">
            <v>Non-proportional</v>
          </cell>
          <cell r="S11283">
            <v>-321.45</v>
          </cell>
          <cell r="X11283" t="str">
            <v>Variation UPR - gross</v>
          </cell>
          <cell r="Y11283" t="str">
            <v>FRANCE</v>
          </cell>
        </row>
        <row r="11284">
          <cell r="L11284" t="str">
            <v>Non-proportional</v>
          </cell>
          <cell r="S11284">
            <v>-15044.93</v>
          </cell>
          <cell r="X11284" t="str">
            <v>Variation UPR - gross</v>
          </cell>
          <cell r="Y11284" t="str">
            <v>SWITZERLAND</v>
          </cell>
        </row>
        <row r="11285">
          <cell r="L11285" t="str">
            <v>Non-proportional</v>
          </cell>
          <cell r="S11285">
            <v>-718.44</v>
          </cell>
          <cell r="X11285" t="str">
            <v>Variation UPR - gross</v>
          </cell>
          <cell r="Y11285" t="str">
            <v>ITALY</v>
          </cell>
        </row>
        <row r="11286">
          <cell r="L11286" t="str">
            <v>Non-proportional</v>
          </cell>
          <cell r="S11286">
            <v>-7758.62</v>
          </cell>
          <cell r="X11286" t="str">
            <v>Variation UPR - gross</v>
          </cell>
          <cell r="Y11286" t="str">
            <v>UNITED KINGDOM</v>
          </cell>
        </row>
        <row r="11287">
          <cell r="L11287" t="str">
            <v>Non-proportional</v>
          </cell>
          <cell r="S11287">
            <v>-820.54</v>
          </cell>
          <cell r="X11287" t="str">
            <v>Variation UPR - gross</v>
          </cell>
          <cell r="Y11287" t="str">
            <v>GERMANY</v>
          </cell>
        </row>
        <row r="11288">
          <cell r="L11288" t="str">
            <v>Non-proportional</v>
          </cell>
          <cell r="S11288">
            <v>-16500</v>
          </cell>
          <cell r="X11288" t="str">
            <v>Variation UPR - gross</v>
          </cell>
          <cell r="Y11288" t="str">
            <v>GERMANY</v>
          </cell>
        </row>
        <row r="11289">
          <cell r="L11289" t="str">
            <v>Non-proportional</v>
          </cell>
          <cell r="S11289">
            <v>-17117.79</v>
          </cell>
          <cell r="X11289" t="str">
            <v>Variation UPR - gross</v>
          </cell>
          <cell r="Y11289" t="str">
            <v>SWITZERLAND</v>
          </cell>
        </row>
        <row r="11290">
          <cell r="L11290" t="str">
            <v>Non-proportional</v>
          </cell>
          <cell r="S11290">
            <v>-1938.89</v>
          </cell>
          <cell r="X11290" t="str">
            <v>Variation UPR - gross</v>
          </cell>
          <cell r="Y11290" t="str">
            <v>REPUBLIC OF IRELAND</v>
          </cell>
        </row>
        <row r="11291">
          <cell r="L11291" t="str">
            <v>Non-proportional</v>
          </cell>
          <cell r="S11291">
            <v>-19606.060000000001</v>
          </cell>
          <cell r="X11291" t="str">
            <v>Variation UPR - gross</v>
          </cell>
          <cell r="Y11291" t="str">
            <v>FRANCE</v>
          </cell>
        </row>
        <row r="11292">
          <cell r="L11292" t="str">
            <v>Non-proportional</v>
          </cell>
          <cell r="S11292">
            <v>-6702.55</v>
          </cell>
          <cell r="X11292" t="str">
            <v>Variation UPR - gross</v>
          </cell>
          <cell r="Y11292" t="str">
            <v>DENMARK</v>
          </cell>
        </row>
        <row r="11293">
          <cell r="L11293" t="str">
            <v>Non-proportional</v>
          </cell>
          <cell r="S11293">
            <v>-29416.67</v>
          </cell>
          <cell r="X11293" t="str">
            <v>Variation UPR - gross</v>
          </cell>
          <cell r="Y11293" t="str">
            <v>EUROPE</v>
          </cell>
        </row>
        <row r="11294">
          <cell r="L11294" t="str">
            <v>Non-proportional</v>
          </cell>
          <cell r="S11294">
            <v>-132111.06</v>
          </cell>
          <cell r="X11294" t="str">
            <v>Variation UPR - gross</v>
          </cell>
          <cell r="Y11294" t="str">
            <v>UNITED KINGDOM</v>
          </cell>
        </row>
        <row r="11295">
          <cell r="L11295" t="str">
            <v>Non-proportional</v>
          </cell>
          <cell r="S11295">
            <v>-837.72</v>
          </cell>
          <cell r="X11295" t="str">
            <v>Variation UPR - gross</v>
          </cell>
          <cell r="Y11295" t="str">
            <v>DENMARK</v>
          </cell>
        </row>
        <row r="11296">
          <cell r="L11296" t="str">
            <v>Non-proportional</v>
          </cell>
          <cell r="S11296">
            <v>-3164.56</v>
          </cell>
          <cell r="X11296" t="str">
            <v>Variation UPR - gross</v>
          </cell>
          <cell r="Y11296" t="str">
            <v>ICELAND</v>
          </cell>
        </row>
        <row r="11297">
          <cell r="L11297" t="str">
            <v>Non-proportional</v>
          </cell>
          <cell r="S11297">
            <v>-1509.09</v>
          </cell>
          <cell r="X11297" t="str">
            <v>Variation UPR - gross</v>
          </cell>
          <cell r="Y11297" t="str">
            <v>GERMANY</v>
          </cell>
        </row>
        <row r="11298">
          <cell r="L11298" t="str">
            <v>Non-proportional</v>
          </cell>
          <cell r="S11298">
            <v>-3375</v>
          </cell>
          <cell r="X11298" t="str">
            <v>Variation UPR - gross</v>
          </cell>
          <cell r="Y11298" t="str">
            <v>GERMANY</v>
          </cell>
        </row>
        <row r="11299">
          <cell r="L11299" t="str">
            <v>Non-proportional</v>
          </cell>
          <cell r="S11299">
            <v>-2405.13</v>
          </cell>
          <cell r="X11299" t="str">
            <v>Variation UPR - gross</v>
          </cell>
          <cell r="Y11299" t="str">
            <v>SWEDEN</v>
          </cell>
        </row>
        <row r="11300">
          <cell r="L11300" t="str">
            <v>Non-proportional</v>
          </cell>
          <cell r="S11300">
            <v>-8970.6200000000008</v>
          </cell>
          <cell r="X11300" t="str">
            <v>Variation UPR - gross</v>
          </cell>
          <cell r="Y11300" t="str">
            <v>GERMANY</v>
          </cell>
        </row>
        <row r="11301">
          <cell r="L11301" t="str">
            <v>Non-proportional</v>
          </cell>
          <cell r="S11301">
            <v>-7307.97</v>
          </cell>
          <cell r="X11301" t="str">
            <v>Variation UPR - gross</v>
          </cell>
          <cell r="Y11301" t="str">
            <v>FAROE ISLANDS</v>
          </cell>
        </row>
        <row r="11302">
          <cell r="L11302" t="str">
            <v>Non-proportional</v>
          </cell>
          <cell r="S11302">
            <v>-11045.69</v>
          </cell>
          <cell r="X11302" t="str">
            <v>Variation UPR - gross</v>
          </cell>
          <cell r="Y11302" t="str">
            <v>UNITED KINGDOM</v>
          </cell>
        </row>
        <row r="11303">
          <cell r="L11303" t="str">
            <v>Non-proportional</v>
          </cell>
          <cell r="S11303">
            <v>-12458.33</v>
          </cell>
          <cell r="X11303" t="str">
            <v>Variation UPR - gross</v>
          </cell>
          <cell r="Y11303" t="str">
            <v>GERMANY</v>
          </cell>
        </row>
        <row r="11304">
          <cell r="L11304" t="str">
            <v>Non-proportional</v>
          </cell>
          <cell r="S11304">
            <v>-2083.33</v>
          </cell>
          <cell r="X11304" t="str">
            <v>Variation UPR - gross</v>
          </cell>
          <cell r="Y11304" t="str">
            <v>GERMANY</v>
          </cell>
        </row>
        <row r="11305">
          <cell r="L11305" t="str">
            <v>Non-proportional</v>
          </cell>
          <cell r="S11305">
            <v>-6638.42</v>
          </cell>
          <cell r="X11305" t="str">
            <v>Variation UPR - gross</v>
          </cell>
          <cell r="Y11305" t="str">
            <v>EUROPE</v>
          </cell>
        </row>
        <row r="11306">
          <cell r="L11306" t="str">
            <v>Non-proportional</v>
          </cell>
          <cell r="S11306">
            <v>-58400.14</v>
          </cell>
          <cell r="X11306" t="str">
            <v>Variation UPR - gross</v>
          </cell>
          <cell r="Y11306" t="str">
            <v>UNITED KINGDOM</v>
          </cell>
        </row>
        <row r="11307">
          <cell r="L11307" t="str">
            <v>Non-proportional</v>
          </cell>
          <cell r="S11307">
            <v>-42984.22</v>
          </cell>
          <cell r="X11307" t="str">
            <v>Variation UPR - gross</v>
          </cell>
          <cell r="Y11307" t="str">
            <v>UNITED KINGDOM</v>
          </cell>
        </row>
        <row r="11308">
          <cell r="L11308" t="str">
            <v>Non-proportional</v>
          </cell>
          <cell r="S11308">
            <v>-14120</v>
          </cell>
          <cell r="X11308" t="str">
            <v>Variation UPR - gross</v>
          </cell>
          <cell r="Y11308" t="str">
            <v>AUSTRIA</v>
          </cell>
        </row>
        <row r="11309">
          <cell r="L11309" t="str">
            <v>Non-proportional</v>
          </cell>
          <cell r="S11309">
            <v>-7801.08</v>
          </cell>
          <cell r="X11309" t="str">
            <v>Variation UPR - gross</v>
          </cell>
          <cell r="Y11309" t="str">
            <v>SWITZERLAND</v>
          </cell>
        </row>
        <row r="11310">
          <cell r="L11310" t="str">
            <v>Non-proportional</v>
          </cell>
          <cell r="S11310">
            <v>-5808.88</v>
          </cell>
          <cell r="X11310" t="str">
            <v>Variation UPR - gross</v>
          </cell>
          <cell r="Y11310" t="str">
            <v>DENMARK</v>
          </cell>
        </row>
        <row r="11311">
          <cell r="L11311" t="str">
            <v>Non-proportional</v>
          </cell>
          <cell r="S11311">
            <v>-5809.29</v>
          </cell>
          <cell r="X11311" t="str">
            <v>Variation UPR - gross</v>
          </cell>
          <cell r="Y11311" t="str">
            <v>NORWAY</v>
          </cell>
        </row>
        <row r="11312">
          <cell r="L11312" t="str">
            <v>Non-proportional</v>
          </cell>
          <cell r="S11312">
            <v>-1339.88</v>
          </cell>
          <cell r="X11312" t="str">
            <v>Variation UPR - gross</v>
          </cell>
          <cell r="Y11312" t="str">
            <v>DENMARK</v>
          </cell>
        </row>
        <row r="11313">
          <cell r="L11313" t="str">
            <v>Non-proportional</v>
          </cell>
          <cell r="S11313">
            <v>-8125</v>
          </cell>
          <cell r="X11313" t="str">
            <v>Variation UPR - gross</v>
          </cell>
          <cell r="Y11313" t="str">
            <v>CZECH REPUBLIC</v>
          </cell>
        </row>
        <row r="11314">
          <cell r="L11314" t="str">
            <v>Non-proportional</v>
          </cell>
          <cell r="S11314">
            <v>-22288.79</v>
          </cell>
          <cell r="X11314" t="str">
            <v>Variation UPR - gross</v>
          </cell>
          <cell r="Y11314" t="str">
            <v>SWITZERLAND</v>
          </cell>
        </row>
        <row r="11315">
          <cell r="L11315" t="str">
            <v>Non-proportional</v>
          </cell>
          <cell r="S11315">
            <v>-13402.76</v>
          </cell>
          <cell r="X11315" t="str">
            <v>Variation UPR - gross</v>
          </cell>
          <cell r="Y11315" t="str">
            <v>DENMARK</v>
          </cell>
        </row>
        <row r="11316">
          <cell r="L11316" t="str">
            <v>Non-proportional</v>
          </cell>
          <cell r="S11316">
            <v>-5374.43</v>
          </cell>
          <cell r="X11316" t="str">
            <v>Variation UPR - gross</v>
          </cell>
          <cell r="Y11316" t="str">
            <v>DENMARK</v>
          </cell>
        </row>
        <row r="11317">
          <cell r="L11317" t="str">
            <v>Non-proportional</v>
          </cell>
          <cell r="S11317">
            <v>5.82</v>
          </cell>
          <cell r="X11317" t="str">
            <v>Variation UPR - gross</v>
          </cell>
          <cell r="Y11317" t="str">
            <v>DENMARK</v>
          </cell>
        </row>
        <row r="11318">
          <cell r="L11318" t="str">
            <v>Non-proportional</v>
          </cell>
          <cell r="S11318">
            <v>-21263.51</v>
          </cell>
          <cell r="X11318" t="str">
            <v>Variation UPR - gross</v>
          </cell>
          <cell r="Y11318" t="str">
            <v>SWITZERLAND</v>
          </cell>
        </row>
        <row r="11319">
          <cell r="L11319" t="str">
            <v>Non-proportional</v>
          </cell>
          <cell r="S11319">
            <v>-7202.85</v>
          </cell>
          <cell r="X11319" t="str">
            <v>Variation UPR - gross</v>
          </cell>
          <cell r="Y11319" t="str">
            <v>DENMARK</v>
          </cell>
        </row>
        <row r="11320">
          <cell r="L11320" t="str">
            <v>Non-proportional</v>
          </cell>
          <cell r="S11320">
            <v>-3602.96</v>
          </cell>
          <cell r="X11320" t="str">
            <v>Variation UPR - gross</v>
          </cell>
          <cell r="Y11320" t="str">
            <v>FAROE ISLANDS</v>
          </cell>
        </row>
        <row r="11321">
          <cell r="L11321" t="str">
            <v>Non-proportional</v>
          </cell>
          <cell r="S11321">
            <v>-345</v>
          </cell>
          <cell r="X11321" t="str">
            <v>Variation UPR - gross</v>
          </cell>
          <cell r="Y11321" t="str">
            <v>ITALY</v>
          </cell>
        </row>
        <row r="11322">
          <cell r="L11322" t="str">
            <v>Non-proportional</v>
          </cell>
          <cell r="S11322">
            <v>-6416.67</v>
          </cell>
          <cell r="X11322" t="str">
            <v>Variation UPR - gross</v>
          </cell>
          <cell r="Y11322" t="str">
            <v>GERMANY</v>
          </cell>
        </row>
        <row r="11323">
          <cell r="L11323" t="str">
            <v>Non-proportional</v>
          </cell>
          <cell r="S11323">
            <v>-12286.82</v>
          </cell>
          <cell r="X11323" t="str">
            <v>Variation UPR - gross</v>
          </cell>
          <cell r="Y11323" t="str">
            <v>DENMARK</v>
          </cell>
        </row>
        <row r="11324">
          <cell r="L11324" t="str">
            <v>Non-proportional</v>
          </cell>
          <cell r="S11324">
            <v>-35570.32</v>
          </cell>
          <cell r="X11324" t="str">
            <v>Variation UPR - gross</v>
          </cell>
          <cell r="Y11324" t="str">
            <v>FRANCE</v>
          </cell>
        </row>
        <row r="11325">
          <cell r="L11325" t="str">
            <v>Non-proportional</v>
          </cell>
          <cell r="S11325">
            <v>-22495.4</v>
          </cell>
          <cell r="X11325" t="str">
            <v>Variation UPR - gross</v>
          </cell>
          <cell r="Y11325" t="str">
            <v>CZECH REPUBLIC</v>
          </cell>
        </row>
        <row r="11326">
          <cell r="L11326" t="str">
            <v>Non-proportional</v>
          </cell>
          <cell r="S11326">
            <v>2.35</v>
          </cell>
          <cell r="X11326" t="str">
            <v>Variation UPR - gross</v>
          </cell>
          <cell r="Y11326" t="str">
            <v>DENMARK</v>
          </cell>
        </row>
        <row r="11327">
          <cell r="L11327" t="str">
            <v>Non-proportional</v>
          </cell>
          <cell r="S11327">
            <v>-2052.37</v>
          </cell>
          <cell r="X11327" t="str">
            <v>Variation UPR - gross</v>
          </cell>
          <cell r="Y11327" t="str">
            <v>JAPAN</v>
          </cell>
        </row>
        <row r="11328">
          <cell r="L11328" t="str">
            <v>Non-proportional</v>
          </cell>
          <cell r="S11328">
            <v>-20924.87</v>
          </cell>
          <cell r="X11328" t="str">
            <v>Variation UPR - gross</v>
          </cell>
          <cell r="Y11328" t="str">
            <v>FRANCE</v>
          </cell>
        </row>
        <row r="11329">
          <cell r="L11329" t="str">
            <v>Non-proportional</v>
          </cell>
          <cell r="S11329">
            <v>-8844.9</v>
          </cell>
          <cell r="X11329" t="str">
            <v>Variation UPR - gross</v>
          </cell>
          <cell r="Y11329" t="str">
            <v>GERMANY</v>
          </cell>
        </row>
        <row r="11330">
          <cell r="L11330" t="str">
            <v>Non-proportional</v>
          </cell>
          <cell r="S11330">
            <v>-3687.5</v>
          </cell>
          <cell r="X11330" t="str">
            <v>Variation UPR - gross</v>
          </cell>
          <cell r="Y11330" t="str">
            <v>GERMANY</v>
          </cell>
        </row>
        <row r="11331">
          <cell r="L11331" t="str">
            <v>Non-proportional</v>
          </cell>
          <cell r="S11331">
            <v>10.3</v>
          </cell>
          <cell r="X11331" t="str">
            <v>Variation UPR - gross</v>
          </cell>
          <cell r="Y11331" t="str">
            <v>SWEDEN</v>
          </cell>
        </row>
        <row r="11332">
          <cell r="L11332" t="str">
            <v>Non-proportional</v>
          </cell>
          <cell r="S11332">
            <v>-5369</v>
          </cell>
          <cell r="X11332" t="str">
            <v>Variation UPR - gross</v>
          </cell>
          <cell r="Y11332" t="str">
            <v>GERMANY</v>
          </cell>
        </row>
        <row r="11333">
          <cell r="L11333" t="str">
            <v>Non-proportional</v>
          </cell>
          <cell r="S11333">
            <v>-4100.8900000000003</v>
          </cell>
          <cell r="X11333" t="str">
            <v>Variation UPR - gross</v>
          </cell>
          <cell r="Y11333" t="str">
            <v>UNITED KINGDOM</v>
          </cell>
        </row>
        <row r="11334">
          <cell r="L11334" t="str">
            <v>Non-proportional</v>
          </cell>
          <cell r="S11334">
            <v>2.83</v>
          </cell>
          <cell r="X11334" t="str">
            <v>Variation UPR - gross</v>
          </cell>
          <cell r="Y11334" t="str">
            <v>DENMARK</v>
          </cell>
        </row>
        <row r="11335">
          <cell r="L11335" t="str">
            <v>Non-proportional</v>
          </cell>
          <cell r="S11335">
            <v>-7747.42</v>
          </cell>
          <cell r="X11335" t="str">
            <v>Variation UPR - gross</v>
          </cell>
          <cell r="Y11335" t="str">
            <v>GERMANY</v>
          </cell>
        </row>
        <row r="11336">
          <cell r="L11336" t="str">
            <v>Non-proportional</v>
          </cell>
          <cell r="S11336">
            <v>-3329.84</v>
          </cell>
          <cell r="X11336" t="str">
            <v>Variation UPR - gross</v>
          </cell>
          <cell r="Y11336" t="str">
            <v>GERMANY</v>
          </cell>
        </row>
        <row r="11337">
          <cell r="L11337" t="str">
            <v>Non-proportional</v>
          </cell>
          <cell r="S11337">
            <v>-11354.85</v>
          </cell>
          <cell r="X11337" t="str">
            <v>Variation UPR - gross</v>
          </cell>
          <cell r="Y11337" t="str">
            <v>GERMANY</v>
          </cell>
        </row>
        <row r="11338">
          <cell r="L11338" t="str">
            <v>Non-proportional</v>
          </cell>
          <cell r="S11338">
            <v>-18900</v>
          </cell>
          <cell r="X11338" t="str">
            <v>Variation UPR - gross</v>
          </cell>
          <cell r="Y11338" t="str">
            <v>ROMANIA</v>
          </cell>
        </row>
        <row r="11339">
          <cell r="L11339" t="str">
            <v>Proportional</v>
          </cell>
          <cell r="S11339">
            <v>-160112.5</v>
          </cell>
          <cell r="X11339" t="str">
            <v>Variation UPR - gross</v>
          </cell>
          <cell r="Y11339" t="str">
            <v>AUSTRIA</v>
          </cell>
        </row>
        <row r="11340">
          <cell r="L11340" t="str">
            <v>Non-proportional</v>
          </cell>
          <cell r="S11340">
            <v>-5893.93</v>
          </cell>
          <cell r="X11340" t="str">
            <v>Variation UPR - gross</v>
          </cell>
          <cell r="Y11340" t="str">
            <v>AUSTRIA</v>
          </cell>
        </row>
        <row r="11341">
          <cell r="L11341" t="str">
            <v>Non-proportional</v>
          </cell>
          <cell r="S11341">
            <v>-313.74</v>
          </cell>
          <cell r="X11341" t="str">
            <v>Variation UPR - gross</v>
          </cell>
          <cell r="Y11341" t="str">
            <v>DENMARK</v>
          </cell>
        </row>
        <row r="11342">
          <cell r="L11342" t="str">
            <v>Non-proportional</v>
          </cell>
          <cell r="S11342">
            <v>-2357.5</v>
          </cell>
          <cell r="X11342" t="str">
            <v>Variation UPR - gross</v>
          </cell>
          <cell r="Y11342" t="str">
            <v>GERMANY</v>
          </cell>
        </row>
        <row r="11343">
          <cell r="L11343" t="str">
            <v>Non-proportional</v>
          </cell>
          <cell r="S11343">
            <v>3.79</v>
          </cell>
          <cell r="X11343" t="str">
            <v>Variation UPR - gross</v>
          </cell>
          <cell r="Y11343" t="str">
            <v>DENMARK</v>
          </cell>
        </row>
        <row r="11344">
          <cell r="L11344" t="str">
            <v>Non-proportional</v>
          </cell>
          <cell r="S11344">
            <v>-14632</v>
          </cell>
          <cell r="X11344" t="str">
            <v>Variation UPR - gross</v>
          </cell>
          <cell r="Y11344" t="str">
            <v>GERMANY</v>
          </cell>
        </row>
        <row r="11345">
          <cell r="L11345" t="str">
            <v>Non-proportional</v>
          </cell>
          <cell r="S11345">
            <v>-10425.780000000001</v>
          </cell>
          <cell r="X11345" t="str">
            <v>Variation UPR - gross</v>
          </cell>
          <cell r="Y11345" t="str">
            <v>FRANCE</v>
          </cell>
        </row>
        <row r="11346">
          <cell r="L11346" t="str">
            <v>Non-proportional</v>
          </cell>
          <cell r="S11346">
            <v>-2065.29</v>
          </cell>
          <cell r="X11346" t="str">
            <v>Variation UPR - gross</v>
          </cell>
          <cell r="Y11346" t="str">
            <v>EUROPE</v>
          </cell>
        </row>
        <row r="11347">
          <cell r="L11347" t="str">
            <v>Non-proportional</v>
          </cell>
          <cell r="S11347">
            <v>-40903.5</v>
          </cell>
          <cell r="X11347" t="str">
            <v>Variation UPR - gross</v>
          </cell>
          <cell r="Y11347" t="str">
            <v>GERMANY</v>
          </cell>
        </row>
        <row r="11348">
          <cell r="L11348" t="str">
            <v>Non-proportional</v>
          </cell>
          <cell r="S11348">
            <v>-7454.57</v>
          </cell>
          <cell r="X11348" t="str">
            <v>Variation UPR - gross</v>
          </cell>
          <cell r="Y11348" t="str">
            <v>EUROPE</v>
          </cell>
        </row>
        <row r="11349">
          <cell r="L11349" t="str">
            <v>Non-proportional</v>
          </cell>
          <cell r="S11349">
            <v>-9203.1200000000008</v>
          </cell>
          <cell r="X11349" t="str">
            <v>Variation UPR - gross</v>
          </cell>
          <cell r="Y11349" t="str">
            <v>GERMANY</v>
          </cell>
        </row>
        <row r="11350">
          <cell r="L11350" t="str">
            <v>Non-proportional</v>
          </cell>
          <cell r="S11350">
            <v>-7770.84</v>
          </cell>
          <cell r="X11350" t="str">
            <v>Variation UPR - gross</v>
          </cell>
          <cell r="Y11350" t="str">
            <v>FRANCE</v>
          </cell>
        </row>
        <row r="11351">
          <cell r="L11351" t="str">
            <v>Non-proportional</v>
          </cell>
          <cell r="S11351">
            <v>0.01</v>
          </cell>
          <cell r="X11351" t="str">
            <v>Variation UPR - gross</v>
          </cell>
          <cell r="Y11351" t="str">
            <v>JAPAN</v>
          </cell>
        </row>
        <row r="11352">
          <cell r="L11352" t="str">
            <v>Non-proportional</v>
          </cell>
          <cell r="S11352">
            <v>-8369.58</v>
          </cell>
          <cell r="X11352" t="str">
            <v>Variation UPR - gross</v>
          </cell>
          <cell r="Y11352" t="str">
            <v>GERMANY</v>
          </cell>
        </row>
        <row r="11353">
          <cell r="L11353" t="str">
            <v>Non-proportional</v>
          </cell>
          <cell r="S11353">
            <v>-1962.32</v>
          </cell>
          <cell r="X11353" t="str">
            <v>Variation UPR - gross</v>
          </cell>
          <cell r="Y11353" t="str">
            <v>GERMANY</v>
          </cell>
        </row>
        <row r="11354">
          <cell r="L11354" t="str">
            <v>Non-proportional</v>
          </cell>
          <cell r="S11354">
            <v>0.04</v>
          </cell>
          <cell r="X11354" t="str">
            <v>Variation UPR - gross</v>
          </cell>
          <cell r="Y11354" t="str">
            <v>ICELAND</v>
          </cell>
        </row>
        <row r="11355">
          <cell r="L11355" t="str">
            <v>Non-proportional</v>
          </cell>
          <cell r="S11355">
            <v>-8696.8799999999992</v>
          </cell>
          <cell r="X11355" t="str">
            <v>Variation UPR - gross</v>
          </cell>
          <cell r="Y11355" t="str">
            <v>GERMANY</v>
          </cell>
        </row>
        <row r="11356">
          <cell r="L11356" t="str">
            <v>Non-proportional</v>
          </cell>
          <cell r="S11356">
            <v>-1279.43</v>
          </cell>
          <cell r="X11356" t="str">
            <v>Variation UPR - gross</v>
          </cell>
          <cell r="Y11356" t="str">
            <v>FRANCE</v>
          </cell>
        </row>
        <row r="11357">
          <cell r="L11357" t="str">
            <v>Non-proportional</v>
          </cell>
          <cell r="S11357">
            <v>-12273.52</v>
          </cell>
          <cell r="X11357" t="str">
            <v>Variation UPR - gross</v>
          </cell>
          <cell r="Y11357" t="str">
            <v>UNITED KINGDOM</v>
          </cell>
        </row>
        <row r="11358">
          <cell r="L11358" t="str">
            <v>Non-proportional</v>
          </cell>
          <cell r="S11358">
            <v>-10537.8</v>
          </cell>
          <cell r="X11358" t="str">
            <v>Variation UPR - gross</v>
          </cell>
          <cell r="Y11358" t="str">
            <v>GERMANY</v>
          </cell>
        </row>
        <row r="11359">
          <cell r="L11359" t="str">
            <v>Non-proportional</v>
          </cell>
          <cell r="S11359">
            <v>-6335.14</v>
          </cell>
          <cell r="X11359" t="str">
            <v>Variation UPR - gross</v>
          </cell>
          <cell r="Y11359" t="str">
            <v>GERMANY</v>
          </cell>
        </row>
        <row r="11360">
          <cell r="L11360" t="str">
            <v>Non-proportional</v>
          </cell>
          <cell r="S11360">
            <v>-7916.77</v>
          </cell>
          <cell r="X11360" t="str">
            <v>Variation UPR - gross</v>
          </cell>
          <cell r="Y11360" t="str">
            <v>GERMANY</v>
          </cell>
        </row>
        <row r="11361">
          <cell r="L11361" t="str">
            <v>Non-proportional</v>
          </cell>
          <cell r="S11361">
            <v>-3512</v>
          </cell>
          <cell r="X11361" t="str">
            <v>Variation UPR - gross</v>
          </cell>
          <cell r="Y11361" t="str">
            <v>SPAIN</v>
          </cell>
        </row>
        <row r="11362">
          <cell r="L11362" t="str">
            <v>Non-proportional</v>
          </cell>
          <cell r="S11362">
            <v>-80064.710000000006</v>
          </cell>
          <cell r="X11362" t="str">
            <v>Variation UPR - gross</v>
          </cell>
          <cell r="Y11362" t="str">
            <v>UNITED KINGDOM</v>
          </cell>
        </row>
        <row r="11363">
          <cell r="L11363" t="str">
            <v>Non-proportional</v>
          </cell>
          <cell r="S11363">
            <v>-10999.98</v>
          </cell>
          <cell r="X11363" t="str">
            <v>Variation UPR - gross</v>
          </cell>
          <cell r="Y11363" t="str">
            <v>SWEDEN</v>
          </cell>
        </row>
        <row r="11364">
          <cell r="L11364" t="str">
            <v>Non-proportional</v>
          </cell>
          <cell r="S11364">
            <v>-3532.32</v>
          </cell>
          <cell r="X11364" t="str">
            <v>Variation UPR - gross</v>
          </cell>
          <cell r="Y11364" t="str">
            <v>FAROE ISLANDS</v>
          </cell>
        </row>
        <row r="11365">
          <cell r="L11365" t="str">
            <v>Non-proportional</v>
          </cell>
          <cell r="S11365">
            <v>-1122.3</v>
          </cell>
          <cell r="X11365" t="str">
            <v>Variation UPR - gross</v>
          </cell>
          <cell r="Y11365" t="str">
            <v>ITALY</v>
          </cell>
        </row>
        <row r="11366">
          <cell r="L11366" t="str">
            <v>Non-proportional</v>
          </cell>
          <cell r="S11366">
            <v>-38430.160000000003</v>
          </cell>
          <cell r="X11366" t="str">
            <v>Variation UPR - gross</v>
          </cell>
          <cell r="Y11366" t="str">
            <v>UNITED KINGDOM</v>
          </cell>
        </row>
        <row r="11367">
          <cell r="L11367" t="str">
            <v>Proportional</v>
          </cell>
          <cell r="S11367">
            <v>-86483.83</v>
          </cell>
          <cell r="X11367" t="str">
            <v>Variation UPR - gross</v>
          </cell>
          <cell r="Y11367" t="str">
            <v>GERMANY</v>
          </cell>
        </row>
        <row r="11368">
          <cell r="L11368" t="str">
            <v>Non-proportional</v>
          </cell>
          <cell r="S11368">
            <v>-1089.02</v>
          </cell>
          <cell r="X11368" t="str">
            <v>Variation UPR - gross</v>
          </cell>
          <cell r="Y11368" t="str">
            <v>DENMARK</v>
          </cell>
        </row>
        <row r="11369">
          <cell r="L11369" t="str">
            <v>Non-proportional</v>
          </cell>
          <cell r="S11369">
            <v>-6250</v>
          </cell>
          <cell r="X11369" t="str">
            <v>Variation UPR - gross</v>
          </cell>
          <cell r="Y11369" t="str">
            <v>GERMANY</v>
          </cell>
        </row>
        <row r="11370">
          <cell r="L11370" t="str">
            <v>Non-proportional</v>
          </cell>
          <cell r="S11370">
            <v>-351.66</v>
          </cell>
          <cell r="X11370" t="str">
            <v>Variation UPR - gross</v>
          </cell>
          <cell r="Y11370" t="str">
            <v>GERMANY</v>
          </cell>
        </row>
        <row r="11371">
          <cell r="L11371" t="str">
            <v>Non-proportional</v>
          </cell>
          <cell r="S11371">
            <v>-3436.97</v>
          </cell>
          <cell r="X11371" t="str">
            <v>Variation UPR - gross</v>
          </cell>
          <cell r="Y11371" t="str">
            <v>EUROPE</v>
          </cell>
        </row>
        <row r="11372">
          <cell r="L11372" t="str">
            <v>Non-proportional</v>
          </cell>
          <cell r="S11372">
            <v>-19920.240000000002</v>
          </cell>
          <cell r="X11372" t="str">
            <v>Variation UPR - gross</v>
          </cell>
          <cell r="Y11372" t="str">
            <v>FRANCE</v>
          </cell>
        </row>
        <row r="11373">
          <cell r="L11373" t="str">
            <v>Non-proportional</v>
          </cell>
          <cell r="S11373">
            <v>-0.46</v>
          </cell>
          <cell r="X11373" t="str">
            <v>Variation UPR - gross</v>
          </cell>
          <cell r="Y11373" t="str">
            <v>DENMARK</v>
          </cell>
        </row>
        <row r="11374">
          <cell r="L11374" t="str">
            <v>Non-proportional</v>
          </cell>
          <cell r="S11374">
            <v>-6073.27</v>
          </cell>
          <cell r="X11374" t="str">
            <v>Variation UPR - gross</v>
          </cell>
          <cell r="Y11374" t="str">
            <v>DENMARK</v>
          </cell>
        </row>
        <row r="11375">
          <cell r="L11375" t="str">
            <v>Non-proportional</v>
          </cell>
          <cell r="S11375">
            <v>-2712.75</v>
          </cell>
          <cell r="X11375" t="str">
            <v>Variation UPR - gross</v>
          </cell>
          <cell r="Y11375" t="str">
            <v>GERMANY</v>
          </cell>
        </row>
        <row r="11376">
          <cell r="L11376" t="str">
            <v>Non-proportional</v>
          </cell>
          <cell r="S11376">
            <v>-8250.0300000000007</v>
          </cell>
          <cell r="X11376" t="str">
            <v>Variation UPR - gross</v>
          </cell>
          <cell r="Y11376" t="str">
            <v>POLAND</v>
          </cell>
        </row>
        <row r="11377">
          <cell r="L11377" t="str">
            <v>Non-proportional</v>
          </cell>
          <cell r="S11377">
            <v>-10.84</v>
          </cell>
          <cell r="X11377" t="str">
            <v>Variation UPR - gross</v>
          </cell>
          <cell r="Y11377" t="str">
            <v>JAPAN</v>
          </cell>
        </row>
        <row r="11378">
          <cell r="L11378" t="str">
            <v>Non-proportional</v>
          </cell>
          <cell r="S11378">
            <v>-54.83</v>
          </cell>
          <cell r="X11378" t="str">
            <v>Variation UPR - gross</v>
          </cell>
          <cell r="Y11378" t="str">
            <v>FRANCE</v>
          </cell>
        </row>
        <row r="11379">
          <cell r="L11379" t="str">
            <v>Non-proportional</v>
          </cell>
          <cell r="S11379">
            <v>-20770.63</v>
          </cell>
          <cell r="X11379" t="str">
            <v>Variation UPR - gross</v>
          </cell>
          <cell r="Y11379" t="str">
            <v>FRANCE</v>
          </cell>
        </row>
        <row r="11380">
          <cell r="L11380" t="str">
            <v>Non-proportional</v>
          </cell>
          <cell r="S11380">
            <v>-873.38</v>
          </cell>
          <cell r="X11380" t="str">
            <v>Variation UPR - gross</v>
          </cell>
          <cell r="Y11380" t="str">
            <v>GERMANY</v>
          </cell>
        </row>
        <row r="11381">
          <cell r="L11381" t="str">
            <v>Non-proportional</v>
          </cell>
          <cell r="S11381">
            <v>-8697.67</v>
          </cell>
          <cell r="X11381" t="str">
            <v>Variation UPR - gross</v>
          </cell>
          <cell r="Y11381" t="str">
            <v>GERMANY</v>
          </cell>
        </row>
        <row r="11382">
          <cell r="L11382" t="str">
            <v>Non-proportional</v>
          </cell>
          <cell r="S11382">
            <v>-7604.21</v>
          </cell>
          <cell r="X11382" t="str">
            <v>Variation UPR - gross</v>
          </cell>
          <cell r="Y11382" t="str">
            <v>GERMANY</v>
          </cell>
        </row>
        <row r="11383">
          <cell r="L11383" t="str">
            <v>Non-proportional</v>
          </cell>
          <cell r="S11383">
            <v>-40032.14</v>
          </cell>
          <cell r="X11383" t="str">
            <v>Variation UPR - gross</v>
          </cell>
          <cell r="Y11383" t="str">
            <v>UNITED KINGDOM</v>
          </cell>
        </row>
        <row r="11384">
          <cell r="L11384" t="str">
            <v>Non-proportional</v>
          </cell>
          <cell r="S11384">
            <v>0.16</v>
          </cell>
          <cell r="X11384" t="str">
            <v>Variation UPR - gross</v>
          </cell>
          <cell r="Y11384" t="str">
            <v>DENMARK</v>
          </cell>
        </row>
        <row r="11385">
          <cell r="L11385" t="str">
            <v>Non-proportional</v>
          </cell>
          <cell r="S11385">
            <v>-11815.97</v>
          </cell>
          <cell r="X11385" t="str">
            <v>Variation UPR - gross</v>
          </cell>
          <cell r="Y11385" t="str">
            <v>GERMANY</v>
          </cell>
        </row>
        <row r="11386">
          <cell r="L11386" t="str">
            <v>Non-proportional</v>
          </cell>
          <cell r="S11386">
            <v>-7590</v>
          </cell>
          <cell r="X11386" t="str">
            <v>Variation UPR - gross</v>
          </cell>
          <cell r="Y11386" t="str">
            <v>GERMANY</v>
          </cell>
        </row>
        <row r="11387">
          <cell r="L11387" t="str">
            <v>Non-proportional</v>
          </cell>
          <cell r="S11387">
            <v>-12424.29</v>
          </cell>
          <cell r="X11387" t="str">
            <v>Variation UPR - gross</v>
          </cell>
          <cell r="Y11387" t="str">
            <v>EUROPE</v>
          </cell>
        </row>
        <row r="11388">
          <cell r="L11388" t="str">
            <v>Non-proportional</v>
          </cell>
          <cell r="S11388">
            <v>0.46</v>
          </cell>
          <cell r="X11388" t="str">
            <v>Variation UPR - gross</v>
          </cell>
          <cell r="Y11388" t="str">
            <v>DENMARK</v>
          </cell>
        </row>
        <row r="11389">
          <cell r="L11389" t="str">
            <v>Non-proportional</v>
          </cell>
          <cell r="S11389">
            <v>-9917.92</v>
          </cell>
          <cell r="X11389" t="str">
            <v>Variation UPR - gross</v>
          </cell>
          <cell r="Y11389" t="str">
            <v>CZECH REPUBLIC</v>
          </cell>
        </row>
        <row r="11390">
          <cell r="L11390" t="str">
            <v>Non-proportional</v>
          </cell>
          <cell r="S11390">
            <v>-2005.99</v>
          </cell>
          <cell r="X11390" t="str">
            <v>Variation UPR - gross</v>
          </cell>
          <cell r="Y11390" t="str">
            <v>SWITZERLAND</v>
          </cell>
        </row>
        <row r="11391">
          <cell r="L11391" t="str">
            <v>Non-proportional</v>
          </cell>
          <cell r="S11391">
            <v>-525.69000000000005</v>
          </cell>
          <cell r="X11391" t="str">
            <v>Variation UPR - gross</v>
          </cell>
          <cell r="Y11391" t="str">
            <v>NORWAY</v>
          </cell>
        </row>
        <row r="11392">
          <cell r="L11392" t="str">
            <v>Non-proportional</v>
          </cell>
          <cell r="S11392">
            <v>-13399.72</v>
          </cell>
          <cell r="X11392" t="str">
            <v>Variation UPR - gross</v>
          </cell>
          <cell r="Y11392" t="str">
            <v>GERMANY</v>
          </cell>
        </row>
        <row r="11393">
          <cell r="L11393" t="str">
            <v>Non-proportional</v>
          </cell>
          <cell r="S11393">
            <v>-4275.66</v>
          </cell>
          <cell r="X11393" t="str">
            <v>Variation UPR - gross</v>
          </cell>
          <cell r="Y11393" t="str">
            <v>GERMANY</v>
          </cell>
        </row>
        <row r="11394">
          <cell r="L11394" t="str">
            <v>Non-proportional</v>
          </cell>
          <cell r="S11394">
            <v>-14058.31</v>
          </cell>
          <cell r="X11394" t="str">
            <v>Variation UPR - gross</v>
          </cell>
          <cell r="Y11394" t="str">
            <v>EIRE</v>
          </cell>
        </row>
        <row r="11395">
          <cell r="L11395" t="str">
            <v>Non-proportional</v>
          </cell>
          <cell r="S11395">
            <v>-3428.26</v>
          </cell>
          <cell r="X11395" t="str">
            <v>Variation UPR - gross</v>
          </cell>
          <cell r="Y11395" t="str">
            <v>UNITED KINGDOM</v>
          </cell>
        </row>
        <row r="11396">
          <cell r="L11396" t="str">
            <v>Non-proportional</v>
          </cell>
          <cell r="S11396">
            <v>-15.64</v>
          </cell>
          <cell r="X11396" t="str">
            <v>Variation UPR - gross</v>
          </cell>
          <cell r="Y11396" t="str">
            <v>NORWAY</v>
          </cell>
        </row>
        <row r="11397">
          <cell r="L11397" t="str">
            <v>Non-proportional</v>
          </cell>
          <cell r="S11397">
            <v>0.01</v>
          </cell>
          <cell r="X11397" t="str">
            <v>Variation UPR - gross</v>
          </cell>
          <cell r="Y11397" t="str">
            <v>JAPAN</v>
          </cell>
        </row>
        <row r="11398">
          <cell r="L11398" t="str">
            <v>Non-proportional</v>
          </cell>
          <cell r="S11398">
            <v>-575</v>
          </cell>
          <cell r="X11398" t="str">
            <v>Variation UPR - gross</v>
          </cell>
          <cell r="Y11398" t="str">
            <v>ITALY</v>
          </cell>
        </row>
        <row r="11399">
          <cell r="L11399" t="str">
            <v>Non-proportional</v>
          </cell>
          <cell r="S11399">
            <v>-300.83</v>
          </cell>
          <cell r="X11399" t="str">
            <v>Variation UPR - gross</v>
          </cell>
          <cell r="Y11399" t="str">
            <v>ITALY</v>
          </cell>
        </row>
        <row r="11400">
          <cell r="L11400" t="str">
            <v>Non-proportional</v>
          </cell>
          <cell r="S11400">
            <v>-169430.67</v>
          </cell>
          <cell r="X11400" t="str">
            <v>Variation UPR - gross</v>
          </cell>
          <cell r="Y11400" t="str">
            <v>UNITED KINGDOM</v>
          </cell>
        </row>
        <row r="11401">
          <cell r="L11401" t="str">
            <v>Non-proportional</v>
          </cell>
          <cell r="S11401">
            <v>0.01</v>
          </cell>
          <cell r="X11401" t="str">
            <v>Variation UPR - gross</v>
          </cell>
          <cell r="Y11401" t="str">
            <v>JAPAN</v>
          </cell>
        </row>
        <row r="11402">
          <cell r="L11402" t="str">
            <v>Non-proportional</v>
          </cell>
          <cell r="S11402">
            <v>-5947.55</v>
          </cell>
          <cell r="X11402" t="str">
            <v>Variation UPR - gross</v>
          </cell>
          <cell r="Y11402" t="str">
            <v>UNITED KINGDOM</v>
          </cell>
        </row>
        <row r="11403">
          <cell r="L11403" t="str">
            <v>Non-proportional</v>
          </cell>
          <cell r="S11403">
            <v>-2623.1</v>
          </cell>
          <cell r="X11403" t="str">
            <v>Variation UPR - gross</v>
          </cell>
          <cell r="Y11403" t="str">
            <v>JAPAN</v>
          </cell>
        </row>
        <row r="11404">
          <cell r="L11404" t="str">
            <v>Non-proportional</v>
          </cell>
          <cell r="S11404">
            <v>-11985.97</v>
          </cell>
          <cell r="X11404" t="str">
            <v>Variation UPR - gross</v>
          </cell>
          <cell r="Y11404" t="str">
            <v>UNITED KINGDOM</v>
          </cell>
        </row>
        <row r="11405">
          <cell r="L11405" t="str">
            <v>Non-proportional</v>
          </cell>
          <cell r="S11405">
            <v>-49255.360000000001</v>
          </cell>
          <cell r="X11405" t="str">
            <v>Variation UPR - gross</v>
          </cell>
          <cell r="Y11405" t="str">
            <v>UNITED KINGDOM</v>
          </cell>
        </row>
        <row r="11406">
          <cell r="L11406" t="str">
            <v>Non-proportional</v>
          </cell>
          <cell r="S11406">
            <v>-861.85</v>
          </cell>
          <cell r="X11406" t="str">
            <v>Variation UPR - gross</v>
          </cell>
          <cell r="Y11406" t="str">
            <v>JAPAN</v>
          </cell>
        </row>
        <row r="11407">
          <cell r="L11407" t="str">
            <v>Non-proportional</v>
          </cell>
          <cell r="S11407">
            <v>-3617.46</v>
          </cell>
          <cell r="X11407" t="str">
            <v>Variation UPR - gross</v>
          </cell>
          <cell r="Y11407" t="str">
            <v>FRANCE</v>
          </cell>
        </row>
        <row r="11408">
          <cell r="L11408" t="str">
            <v>Non-proportional</v>
          </cell>
          <cell r="S11408">
            <v>0.01</v>
          </cell>
          <cell r="X11408" t="str">
            <v>Variation UPR - gross</v>
          </cell>
          <cell r="Y11408" t="str">
            <v>ICELAND</v>
          </cell>
        </row>
        <row r="11409">
          <cell r="L11409" t="str">
            <v>Proportional</v>
          </cell>
          <cell r="S11409">
            <v>-138374.14000000001</v>
          </cell>
          <cell r="X11409" t="str">
            <v>Variation UPR - gross</v>
          </cell>
          <cell r="Y11409" t="str">
            <v>GERMANY</v>
          </cell>
        </row>
        <row r="11410">
          <cell r="L11410" t="str">
            <v>Non-proportional</v>
          </cell>
          <cell r="S11410">
            <v>-37346.01</v>
          </cell>
          <cell r="X11410" t="str">
            <v>Variation UPR - gross</v>
          </cell>
          <cell r="Y11410" t="str">
            <v>FRANCE</v>
          </cell>
        </row>
        <row r="11411">
          <cell r="L11411" t="str">
            <v>Non-proportional</v>
          </cell>
          <cell r="S11411">
            <v>-10209.379999999999</v>
          </cell>
          <cell r="X11411" t="str">
            <v>Variation UPR - gross</v>
          </cell>
          <cell r="Y11411" t="str">
            <v>GERMANY</v>
          </cell>
        </row>
        <row r="11412">
          <cell r="L11412" t="str">
            <v>Non-proportional</v>
          </cell>
          <cell r="S11412">
            <v>-13184.57</v>
          </cell>
          <cell r="X11412" t="str">
            <v>Variation UPR - gross</v>
          </cell>
          <cell r="Y11412" t="str">
            <v>UNITED KINGDOM</v>
          </cell>
        </row>
        <row r="11413">
          <cell r="L11413" t="str">
            <v>Non-proportional</v>
          </cell>
          <cell r="S11413">
            <v>-6904.17</v>
          </cell>
          <cell r="X11413" t="str">
            <v>Variation UPR - gross</v>
          </cell>
          <cell r="Y11413" t="str">
            <v>FRANCE</v>
          </cell>
        </row>
        <row r="11414">
          <cell r="L11414" t="str">
            <v>Non-proportional</v>
          </cell>
          <cell r="S11414">
            <v>-8322.82</v>
          </cell>
          <cell r="X11414" t="str">
            <v>Variation UPR - gross</v>
          </cell>
          <cell r="Y11414" t="str">
            <v>GERMANY</v>
          </cell>
        </row>
        <row r="11415">
          <cell r="L11415" t="str">
            <v>Non-proportional</v>
          </cell>
          <cell r="S11415">
            <v>-128137.8</v>
          </cell>
          <cell r="X11415" t="str">
            <v>Variation UPR - gross</v>
          </cell>
          <cell r="Y11415" t="str">
            <v>UNITED KINGDOM</v>
          </cell>
        </row>
        <row r="11416">
          <cell r="L11416" t="str">
            <v>Non-proportional</v>
          </cell>
          <cell r="S11416">
            <v>-15832.43</v>
          </cell>
          <cell r="X11416" t="str">
            <v>Variation UPR - gross</v>
          </cell>
          <cell r="Y11416" t="str">
            <v>GERMANY</v>
          </cell>
        </row>
        <row r="11417">
          <cell r="L11417" t="str">
            <v>Non-proportional</v>
          </cell>
          <cell r="S11417">
            <v>-3566.2</v>
          </cell>
          <cell r="X11417" t="str">
            <v>Variation UPR - gross</v>
          </cell>
          <cell r="Y11417" t="str">
            <v>SWITZERLAND</v>
          </cell>
        </row>
        <row r="11418">
          <cell r="L11418" t="str">
            <v>Non-proportional</v>
          </cell>
          <cell r="S11418">
            <v>-5586.33</v>
          </cell>
          <cell r="X11418" t="str">
            <v>Variation UPR - gross</v>
          </cell>
          <cell r="Y11418" t="str">
            <v>GERMANY</v>
          </cell>
        </row>
        <row r="11419">
          <cell r="L11419" t="str">
            <v>Non-proportional</v>
          </cell>
          <cell r="S11419">
            <v>-117.79</v>
          </cell>
          <cell r="X11419" t="str">
            <v>Variation UPR - gross</v>
          </cell>
          <cell r="Y11419" t="str">
            <v>FRANCE</v>
          </cell>
        </row>
        <row r="11420">
          <cell r="L11420" t="str">
            <v>Non-proportional</v>
          </cell>
          <cell r="S11420">
            <v>-16331.78</v>
          </cell>
          <cell r="X11420" t="str">
            <v>Variation UPR - gross</v>
          </cell>
          <cell r="Y11420" t="str">
            <v>DENMARK</v>
          </cell>
        </row>
        <row r="11421">
          <cell r="L11421" t="str">
            <v>Non-proportional</v>
          </cell>
          <cell r="S11421">
            <v>-0.02</v>
          </cell>
          <cell r="X11421" t="str">
            <v>Variation UPR - gross</v>
          </cell>
          <cell r="Y11421" t="str">
            <v>JAPAN</v>
          </cell>
        </row>
        <row r="11422">
          <cell r="L11422" t="str">
            <v>Non-proportional</v>
          </cell>
          <cell r="S11422">
            <v>-12074.88</v>
          </cell>
          <cell r="X11422" t="str">
            <v>Variation UPR - gross</v>
          </cell>
          <cell r="Y11422" t="str">
            <v>FRANCE</v>
          </cell>
        </row>
        <row r="11423">
          <cell r="L11423" t="str">
            <v>Non-proportional</v>
          </cell>
          <cell r="S11423">
            <v>-4439.78</v>
          </cell>
          <cell r="X11423" t="str">
            <v>Variation UPR - gross</v>
          </cell>
          <cell r="Y11423" t="str">
            <v>GERMANY</v>
          </cell>
        </row>
        <row r="11424">
          <cell r="L11424" t="str">
            <v>Non-proportional</v>
          </cell>
          <cell r="S11424">
            <v>16147.39</v>
          </cell>
          <cell r="X11424" t="str">
            <v>Variation UPR - gross</v>
          </cell>
          <cell r="Y11424" t="str">
            <v>REPUBLIC OF IRELAND</v>
          </cell>
        </row>
        <row r="11425">
          <cell r="L11425" t="str">
            <v>Non-proportional</v>
          </cell>
          <cell r="S11425">
            <v>104737.67</v>
          </cell>
          <cell r="X11425" t="str">
            <v>Variation UPR - gross</v>
          </cell>
          <cell r="Y11425" t="str">
            <v>REPUBLIC OF IRELAND</v>
          </cell>
        </row>
        <row r="11426">
          <cell r="L11426" t="str">
            <v>Non-proportional</v>
          </cell>
          <cell r="S11426">
            <v>-0.02</v>
          </cell>
          <cell r="X11426" t="str">
            <v>Variation UPR - gross</v>
          </cell>
          <cell r="Y11426" t="str">
            <v>JAPAN</v>
          </cell>
        </row>
        <row r="11427">
          <cell r="L11427" t="str">
            <v>Non-proportional</v>
          </cell>
          <cell r="S11427">
            <v>-9203.1200000000008</v>
          </cell>
          <cell r="X11427" t="str">
            <v>Variation UPR - gross</v>
          </cell>
          <cell r="Y11427" t="str">
            <v>GERMANY</v>
          </cell>
        </row>
        <row r="11428">
          <cell r="L11428" t="str">
            <v>Non-proportional</v>
          </cell>
          <cell r="S11428">
            <v>-15125.85</v>
          </cell>
          <cell r="X11428" t="str">
            <v>Variation UPR - gross</v>
          </cell>
          <cell r="Y11428" t="str">
            <v>SWITZERLAND</v>
          </cell>
        </row>
        <row r="11429">
          <cell r="L11429" t="str">
            <v>Non-proportional</v>
          </cell>
          <cell r="S11429">
            <v>68909.78</v>
          </cell>
          <cell r="X11429" t="str">
            <v>Variation UPR - gross</v>
          </cell>
          <cell r="Y11429" t="str">
            <v>AUSTRALIA</v>
          </cell>
        </row>
        <row r="11430">
          <cell r="L11430" t="str">
            <v>Non-proportional</v>
          </cell>
          <cell r="S11430">
            <v>53728.59</v>
          </cell>
          <cell r="X11430" t="str">
            <v>Variation UPR - gross</v>
          </cell>
          <cell r="Y11430" t="str">
            <v>UNITED KINGDOM</v>
          </cell>
        </row>
        <row r="11431">
          <cell r="L11431" t="str">
            <v>Non-proportional</v>
          </cell>
          <cell r="S11431">
            <v>-3850</v>
          </cell>
          <cell r="X11431" t="str">
            <v>Variation UPR - gross</v>
          </cell>
          <cell r="Y11431" t="str">
            <v>GERMANY</v>
          </cell>
        </row>
        <row r="11432">
          <cell r="L11432" t="str">
            <v>Non-proportional</v>
          </cell>
          <cell r="S11432">
            <v>-4947.83</v>
          </cell>
          <cell r="X11432" t="str">
            <v>Variation UPR - gross</v>
          </cell>
          <cell r="Y11432" t="str">
            <v>SWITZERLAND</v>
          </cell>
        </row>
        <row r="11433">
          <cell r="L11433" t="str">
            <v>Non-proportional</v>
          </cell>
          <cell r="S11433">
            <v>-850.05</v>
          </cell>
          <cell r="X11433" t="str">
            <v>Variation UPR - gross</v>
          </cell>
          <cell r="Y11433" t="str">
            <v>JAPAN</v>
          </cell>
        </row>
        <row r="11434">
          <cell r="L11434" t="str">
            <v>Non-proportional</v>
          </cell>
          <cell r="S11434">
            <v>-2083.33</v>
          </cell>
          <cell r="X11434" t="str">
            <v>Variation UPR - gross</v>
          </cell>
          <cell r="Y11434" t="str">
            <v>GERMANY</v>
          </cell>
        </row>
        <row r="11435">
          <cell r="L11435" t="str">
            <v>Non-proportional</v>
          </cell>
          <cell r="S11435">
            <v>-7911.39</v>
          </cell>
          <cell r="X11435" t="str">
            <v>Variation UPR - gross</v>
          </cell>
          <cell r="Y11435" t="str">
            <v>ICELAND</v>
          </cell>
        </row>
        <row r="11436">
          <cell r="L11436" t="str">
            <v>Non-proportional</v>
          </cell>
          <cell r="S11436">
            <v>-8125</v>
          </cell>
          <cell r="X11436" t="str">
            <v>Variation UPR - gross</v>
          </cell>
          <cell r="Y11436" t="str">
            <v>CZECH REPUBLIC</v>
          </cell>
        </row>
        <row r="11437">
          <cell r="L11437" t="str">
            <v>Non-proportional</v>
          </cell>
          <cell r="S11437">
            <v>-3391</v>
          </cell>
          <cell r="X11437" t="str">
            <v>Variation UPR - gross</v>
          </cell>
          <cell r="Y11437" t="str">
            <v>UNITED KINGDOM</v>
          </cell>
        </row>
        <row r="11438">
          <cell r="L11438" t="str">
            <v>Non-proportional</v>
          </cell>
          <cell r="S11438">
            <v>-8475.5</v>
          </cell>
          <cell r="X11438" t="str">
            <v>Variation UPR - gross</v>
          </cell>
          <cell r="Y11438" t="str">
            <v>EUROPE</v>
          </cell>
        </row>
        <row r="11439">
          <cell r="L11439" t="str">
            <v>Non-proportional</v>
          </cell>
          <cell r="S11439">
            <v>-11815.97</v>
          </cell>
          <cell r="X11439" t="str">
            <v>Variation UPR - gross</v>
          </cell>
          <cell r="Y11439" t="str">
            <v>GERMANY</v>
          </cell>
        </row>
        <row r="11440">
          <cell r="L11440" t="str">
            <v>Non-proportional</v>
          </cell>
          <cell r="S11440">
            <v>-3164.56</v>
          </cell>
          <cell r="X11440" t="str">
            <v>Variation UPR - gross</v>
          </cell>
          <cell r="Y11440" t="str">
            <v>ICELAND</v>
          </cell>
        </row>
        <row r="11441">
          <cell r="L11441" t="str">
            <v>Non-proportional</v>
          </cell>
          <cell r="S11441">
            <v>142999.97</v>
          </cell>
          <cell r="X11441" t="str">
            <v>Variation UPR - gross</v>
          </cell>
          <cell r="Y11441" t="str">
            <v>ROMANIA</v>
          </cell>
        </row>
        <row r="11442">
          <cell r="L11442" t="str">
            <v>Non-proportional</v>
          </cell>
          <cell r="S11442">
            <v>-1579.02</v>
          </cell>
          <cell r="X11442" t="str">
            <v>Variation UPR - gross</v>
          </cell>
          <cell r="Y11442" t="str">
            <v>JAPAN</v>
          </cell>
        </row>
        <row r="11443">
          <cell r="L11443" t="str">
            <v>Non-proportional</v>
          </cell>
          <cell r="S11443">
            <v>-6453.69</v>
          </cell>
          <cell r="X11443" t="str">
            <v>Variation UPR - gross</v>
          </cell>
          <cell r="Y11443" t="str">
            <v>SWITZERLAND</v>
          </cell>
        </row>
        <row r="11444">
          <cell r="L11444" t="str">
            <v>Non-proportional</v>
          </cell>
          <cell r="S11444">
            <v>-985.98</v>
          </cell>
          <cell r="X11444" t="str">
            <v>Variation UPR - gross</v>
          </cell>
          <cell r="Y11444" t="str">
            <v>SWITZERLAND</v>
          </cell>
        </row>
        <row r="11445">
          <cell r="L11445" t="str">
            <v>Non-proportional</v>
          </cell>
          <cell r="S11445">
            <v>-1251.95</v>
          </cell>
          <cell r="X11445" t="str">
            <v>Variation UPR - gross</v>
          </cell>
          <cell r="Y11445" t="str">
            <v>UNITED KINGDOM</v>
          </cell>
        </row>
        <row r="11446">
          <cell r="L11446" t="str">
            <v>Non-proportional</v>
          </cell>
          <cell r="S11446">
            <v>-2637.27</v>
          </cell>
          <cell r="X11446" t="str">
            <v>Variation UPR - gross</v>
          </cell>
          <cell r="Y11446" t="str">
            <v>GERMANY</v>
          </cell>
        </row>
        <row r="11447">
          <cell r="L11447" t="str">
            <v>Non-proportional</v>
          </cell>
          <cell r="S11447">
            <v>-25393.599999999999</v>
          </cell>
          <cell r="X11447" t="str">
            <v>Variation UPR - gross</v>
          </cell>
          <cell r="Y11447" t="str">
            <v>GERMANY</v>
          </cell>
        </row>
        <row r="11448">
          <cell r="L11448" t="str">
            <v>Non-proportional</v>
          </cell>
          <cell r="S11448">
            <v>-43750</v>
          </cell>
          <cell r="X11448" t="str">
            <v>Variation UPR - gross</v>
          </cell>
          <cell r="Y11448" t="str">
            <v>GERMANY</v>
          </cell>
        </row>
        <row r="11449">
          <cell r="L11449" t="str">
            <v>Non-proportional</v>
          </cell>
          <cell r="S11449">
            <v>-16112.84</v>
          </cell>
          <cell r="X11449" t="str">
            <v>Variation UPR - gross</v>
          </cell>
          <cell r="Y11449" t="str">
            <v>EUROPE</v>
          </cell>
        </row>
        <row r="11450">
          <cell r="L11450" t="str">
            <v>Non-proportional</v>
          </cell>
          <cell r="S11450">
            <v>-8999.89</v>
          </cell>
          <cell r="X11450" t="str">
            <v>Variation UPR - gross</v>
          </cell>
          <cell r="Y11450" t="str">
            <v>GERMANY</v>
          </cell>
        </row>
        <row r="11451">
          <cell r="L11451" t="str">
            <v>Non-proportional</v>
          </cell>
          <cell r="S11451">
            <v>-6998</v>
          </cell>
          <cell r="X11451" t="str">
            <v>Variation UPR - gross</v>
          </cell>
          <cell r="Y11451" t="str">
            <v>AUSTRIA</v>
          </cell>
        </row>
        <row r="11452">
          <cell r="L11452" t="str">
            <v>Non-proportional</v>
          </cell>
          <cell r="S11452">
            <v>-167589.25</v>
          </cell>
          <cell r="X11452" t="str">
            <v>Variation UPR - gross</v>
          </cell>
          <cell r="Y11452" t="str">
            <v>UNITED KINGDOM</v>
          </cell>
        </row>
        <row r="11453">
          <cell r="L11453" t="str">
            <v>Non-proportional</v>
          </cell>
          <cell r="S11453">
            <v>-2687.5</v>
          </cell>
          <cell r="X11453" t="str">
            <v>Variation UPR - gross</v>
          </cell>
          <cell r="Y11453" t="str">
            <v>GERMANY</v>
          </cell>
        </row>
        <row r="11454">
          <cell r="L11454" t="str">
            <v>Non-proportional</v>
          </cell>
          <cell r="S11454">
            <v>-73080.06</v>
          </cell>
          <cell r="X11454" t="str">
            <v>Variation UPR - gross</v>
          </cell>
          <cell r="Y11454" t="str">
            <v>UNITED KINGDOM</v>
          </cell>
        </row>
        <row r="11455">
          <cell r="L11455" t="str">
            <v>Non-proportional</v>
          </cell>
          <cell r="S11455">
            <v>-0.03</v>
          </cell>
          <cell r="X11455" t="str">
            <v>Variation UPR - gross</v>
          </cell>
          <cell r="Y11455" t="str">
            <v>JAPAN</v>
          </cell>
        </row>
        <row r="11456">
          <cell r="L11456" t="str">
            <v>Non-proportional</v>
          </cell>
          <cell r="S11456">
            <v>-17609.03</v>
          </cell>
          <cell r="X11456" t="str">
            <v>Variation UPR - gross</v>
          </cell>
          <cell r="Y11456" t="str">
            <v>AUSTRIA</v>
          </cell>
        </row>
        <row r="11457">
          <cell r="L11457" t="str">
            <v>Non-proportional</v>
          </cell>
          <cell r="S11457">
            <v>-5484.12</v>
          </cell>
          <cell r="X11457" t="str">
            <v>Variation UPR - gross</v>
          </cell>
          <cell r="Y11457" t="str">
            <v>EUROPE</v>
          </cell>
        </row>
        <row r="11458">
          <cell r="L11458" t="str">
            <v>Non-proportional</v>
          </cell>
          <cell r="S11458">
            <v>-314645.17</v>
          </cell>
          <cell r="X11458" t="str">
            <v>Variation UPR - gross</v>
          </cell>
          <cell r="Y11458" t="str">
            <v>UNITED KINGDOM</v>
          </cell>
        </row>
        <row r="11459">
          <cell r="L11459" t="str">
            <v>Non-proportional</v>
          </cell>
          <cell r="S11459">
            <v>-10425.780000000001</v>
          </cell>
          <cell r="X11459" t="str">
            <v>Variation UPR - gross</v>
          </cell>
          <cell r="Y11459" t="str">
            <v>FRANCE</v>
          </cell>
        </row>
        <row r="11460">
          <cell r="L11460" t="str">
            <v>Non-proportional</v>
          </cell>
          <cell r="S11460">
            <v>-8779.92</v>
          </cell>
          <cell r="X11460" t="str">
            <v>Variation UPR - gross</v>
          </cell>
          <cell r="Y11460" t="str">
            <v>UNITED KINGDOM</v>
          </cell>
        </row>
        <row r="11461">
          <cell r="L11461" t="str">
            <v>Non-proportional</v>
          </cell>
          <cell r="S11461">
            <v>-22706.84</v>
          </cell>
          <cell r="X11461" t="str">
            <v>Variation UPR - gross</v>
          </cell>
          <cell r="Y11461" t="str">
            <v>UNITED KINGDOM</v>
          </cell>
        </row>
        <row r="11462">
          <cell r="L11462" t="str">
            <v>Non-proportional</v>
          </cell>
          <cell r="S11462">
            <v>-20002.47</v>
          </cell>
          <cell r="X11462" t="str">
            <v>Variation UPR - gross</v>
          </cell>
          <cell r="Y11462" t="str">
            <v>CZECH REPUBLIC</v>
          </cell>
        </row>
        <row r="11463">
          <cell r="L11463" t="str">
            <v>Non-proportional</v>
          </cell>
          <cell r="S11463">
            <v>-26010.37</v>
          </cell>
          <cell r="X11463" t="str">
            <v>Variation UPR - gross</v>
          </cell>
          <cell r="Y11463" t="str">
            <v>UNITED KINGDOM</v>
          </cell>
        </row>
        <row r="11464">
          <cell r="L11464" t="str">
            <v>Non-proportional</v>
          </cell>
          <cell r="S11464">
            <v>-2500.5700000000002</v>
          </cell>
          <cell r="X11464" t="str">
            <v>Variation UPR - gross</v>
          </cell>
          <cell r="Y11464" t="str">
            <v>GERMANY</v>
          </cell>
        </row>
        <row r="11465">
          <cell r="L11465" t="str">
            <v>Non-proportional</v>
          </cell>
          <cell r="S11465">
            <v>149049.76999999999</v>
          </cell>
          <cell r="X11465" t="str">
            <v>Variation UPR - gross</v>
          </cell>
          <cell r="Y11465" t="str">
            <v>REPUBLIC OF IRELAND</v>
          </cell>
        </row>
        <row r="11466">
          <cell r="L11466" t="str">
            <v>Non-proportional</v>
          </cell>
          <cell r="S11466">
            <v>-10209.379999999999</v>
          </cell>
          <cell r="X11466" t="str">
            <v>Variation UPR - gross</v>
          </cell>
          <cell r="Y11466" t="str">
            <v>GERMANY</v>
          </cell>
        </row>
        <row r="11467">
          <cell r="L11467" t="str">
            <v>Non-proportional</v>
          </cell>
          <cell r="S11467">
            <v>-54.83</v>
          </cell>
          <cell r="X11467" t="str">
            <v>Variation UPR - gross</v>
          </cell>
          <cell r="Y11467" t="str">
            <v>FRANCE</v>
          </cell>
        </row>
        <row r="11468">
          <cell r="L11468" t="str">
            <v>Non-proportional</v>
          </cell>
          <cell r="S11468">
            <v>-20416.669999999998</v>
          </cell>
          <cell r="X11468" t="str">
            <v>Variation UPR - gross</v>
          </cell>
          <cell r="Y11468" t="str">
            <v>GERMANY</v>
          </cell>
        </row>
        <row r="11469">
          <cell r="L11469" t="str">
            <v>Non-proportional</v>
          </cell>
          <cell r="S11469">
            <v>-6458.33</v>
          </cell>
          <cell r="X11469" t="str">
            <v>Variation UPR - gross</v>
          </cell>
          <cell r="Y11469" t="str">
            <v>AUSTRIA</v>
          </cell>
        </row>
        <row r="11470">
          <cell r="L11470" t="str">
            <v>Non-proportional</v>
          </cell>
          <cell r="S11470">
            <v>-4237.9799999999996</v>
          </cell>
          <cell r="X11470" t="str">
            <v>Variation UPR - gross</v>
          </cell>
          <cell r="Y11470" t="str">
            <v>GERMANY</v>
          </cell>
        </row>
        <row r="11471">
          <cell r="L11471" t="str">
            <v>Non-proportional</v>
          </cell>
          <cell r="S11471">
            <v>-10015.08</v>
          </cell>
          <cell r="X11471" t="str">
            <v>Variation UPR - gross</v>
          </cell>
          <cell r="Y11471" t="str">
            <v>AUSTRIA</v>
          </cell>
        </row>
        <row r="11472">
          <cell r="L11472" t="str">
            <v>Non-proportional</v>
          </cell>
          <cell r="S11472">
            <v>-7201.21</v>
          </cell>
          <cell r="X11472" t="str">
            <v>Variation UPR - gross</v>
          </cell>
          <cell r="Y11472" t="str">
            <v>DENMARK</v>
          </cell>
        </row>
        <row r="11473">
          <cell r="L11473" t="str">
            <v>Non-proportional</v>
          </cell>
          <cell r="S11473">
            <v>-3313.14</v>
          </cell>
          <cell r="X11473" t="str">
            <v>Variation UPR - gross</v>
          </cell>
          <cell r="Y11473" t="str">
            <v>EUROPE</v>
          </cell>
        </row>
        <row r="11474">
          <cell r="L11474" t="str">
            <v>Non-proportional</v>
          </cell>
          <cell r="S11474">
            <v>-1938.89</v>
          </cell>
          <cell r="X11474" t="str">
            <v>Variation UPR - gross</v>
          </cell>
          <cell r="Y11474" t="str">
            <v>REPUBLIC OF IRELAND</v>
          </cell>
        </row>
        <row r="11475">
          <cell r="L11475" t="str">
            <v>Non-proportional</v>
          </cell>
          <cell r="S11475">
            <v>-12215.04</v>
          </cell>
          <cell r="X11475" t="str">
            <v>Variation UPR - gross</v>
          </cell>
          <cell r="Y11475" t="str">
            <v>REPUBLIC OF IRELAND</v>
          </cell>
        </row>
        <row r="11476">
          <cell r="L11476" t="str">
            <v>Non-proportional</v>
          </cell>
          <cell r="S11476">
            <v>-7843.04</v>
          </cell>
          <cell r="X11476" t="str">
            <v>Variation UPR - gross</v>
          </cell>
          <cell r="Y11476" t="str">
            <v>SWITZERLAND</v>
          </cell>
        </row>
        <row r="11477">
          <cell r="L11477" t="str">
            <v>Non-proportional</v>
          </cell>
          <cell r="S11477">
            <v>-6871.9</v>
          </cell>
          <cell r="X11477" t="str">
            <v>Variation UPR - gross</v>
          </cell>
          <cell r="Y11477" t="str">
            <v>GERMANY</v>
          </cell>
        </row>
        <row r="11478">
          <cell r="L11478" t="str">
            <v>Non-proportional</v>
          </cell>
          <cell r="S11478">
            <v>42538.54</v>
          </cell>
          <cell r="X11478" t="str">
            <v>Variation UPR - gross</v>
          </cell>
          <cell r="Y11478" t="str">
            <v>SPAIN</v>
          </cell>
        </row>
        <row r="11479">
          <cell r="L11479" t="str">
            <v>Non-proportional</v>
          </cell>
          <cell r="S11479">
            <v>-10925.64</v>
          </cell>
          <cell r="X11479" t="str">
            <v>Variation UPR - gross</v>
          </cell>
          <cell r="Y11479" t="str">
            <v>UNITED KINGDOM</v>
          </cell>
        </row>
        <row r="11480">
          <cell r="L11480" t="str">
            <v>Non-proportional</v>
          </cell>
          <cell r="S11480">
            <v>3.7</v>
          </cell>
          <cell r="X11480" t="str">
            <v>Variation UPR - gross</v>
          </cell>
          <cell r="Y11480" t="str">
            <v>DENMARK</v>
          </cell>
        </row>
        <row r="11481">
          <cell r="L11481" t="str">
            <v>Non-proportional</v>
          </cell>
          <cell r="S11481">
            <v>-3916.82</v>
          </cell>
          <cell r="X11481" t="str">
            <v>Variation UPR - gross</v>
          </cell>
          <cell r="Y11481" t="str">
            <v>UNITED KINGDOM</v>
          </cell>
        </row>
        <row r="11482">
          <cell r="L11482" t="str">
            <v>Non-proportional</v>
          </cell>
          <cell r="S11482">
            <v>-4056.32</v>
          </cell>
          <cell r="X11482" t="str">
            <v>Variation UPR - gross</v>
          </cell>
          <cell r="Y11482" t="str">
            <v>UNITED KINGDOM</v>
          </cell>
        </row>
        <row r="11483">
          <cell r="L11483" t="str">
            <v>Non-proportional</v>
          </cell>
          <cell r="S11483">
            <v>-893.8</v>
          </cell>
          <cell r="X11483" t="str">
            <v>Variation UPR - gross</v>
          </cell>
          <cell r="Y11483" t="str">
            <v>DENMARK</v>
          </cell>
        </row>
        <row r="11484">
          <cell r="L11484" t="str">
            <v>Non-proportional</v>
          </cell>
          <cell r="S11484">
            <v>-1279.43</v>
          </cell>
          <cell r="X11484" t="str">
            <v>Variation UPR - gross</v>
          </cell>
          <cell r="Y11484" t="str">
            <v>FRANCE</v>
          </cell>
        </row>
        <row r="11485">
          <cell r="L11485" t="str">
            <v>Non-proportional</v>
          </cell>
          <cell r="S11485">
            <v>-5893.93</v>
          </cell>
          <cell r="X11485" t="str">
            <v>Variation UPR - gross</v>
          </cell>
          <cell r="Y11485" t="str">
            <v>AUSTRIA</v>
          </cell>
        </row>
        <row r="11486">
          <cell r="L11486" t="str">
            <v>Non-proportional</v>
          </cell>
          <cell r="S11486">
            <v>-44027.11</v>
          </cell>
          <cell r="X11486" t="str">
            <v>Variation UPR - gross</v>
          </cell>
          <cell r="Y11486" t="str">
            <v>SPAIN</v>
          </cell>
        </row>
        <row r="11487">
          <cell r="L11487" t="str">
            <v>Non-proportional</v>
          </cell>
          <cell r="S11487">
            <v>41868.75</v>
          </cell>
          <cell r="X11487" t="str">
            <v>Variation UPR - gross</v>
          </cell>
          <cell r="Y11487" t="str">
            <v>ROMANIA</v>
          </cell>
        </row>
        <row r="11488">
          <cell r="L11488" t="str">
            <v>Non-proportional</v>
          </cell>
          <cell r="S11488">
            <v>5.07</v>
          </cell>
          <cell r="X11488" t="str">
            <v>Variation UPR - gross</v>
          </cell>
          <cell r="Y11488" t="str">
            <v>SWEDEN</v>
          </cell>
        </row>
        <row r="11489">
          <cell r="L11489" t="str">
            <v>Non-proportional</v>
          </cell>
          <cell r="S11489">
            <v>-9567</v>
          </cell>
          <cell r="X11489" t="str">
            <v>Variation UPR - gross</v>
          </cell>
          <cell r="Y11489" t="str">
            <v>SLOVENIA</v>
          </cell>
        </row>
        <row r="11490">
          <cell r="L11490" t="str">
            <v>Non-proportional</v>
          </cell>
          <cell r="S11490">
            <v>-5005.8</v>
          </cell>
          <cell r="X11490" t="str">
            <v>Variation UPR - gross</v>
          </cell>
          <cell r="Y11490" t="str">
            <v>FRANCE</v>
          </cell>
        </row>
        <row r="11491">
          <cell r="L11491" t="str">
            <v>Non-proportional</v>
          </cell>
          <cell r="S11491">
            <v>-42680.7</v>
          </cell>
          <cell r="X11491" t="str">
            <v>Variation UPR - gross</v>
          </cell>
          <cell r="Y11491" t="str">
            <v>UNITED KINGDOM</v>
          </cell>
        </row>
        <row r="11492">
          <cell r="L11492" t="str">
            <v>Non-proportional</v>
          </cell>
          <cell r="S11492">
            <v>-79194.539999999994</v>
          </cell>
          <cell r="X11492" t="str">
            <v>Variation UPR - gross</v>
          </cell>
          <cell r="Y11492" t="str">
            <v>UNITED KINGDOM</v>
          </cell>
        </row>
        <row r="11493">
          <cell r="L11493" t="str">
            <v>Non-proportional</v>
          </cell>
          <cell r="S11493">
            <v>-50076.47</v>
          </cell>
          <cell r="X11493" t="str">
            <v>Variation UPR - gross</v>
          </cell>
          <cell r="Y11493" t="str">
            <v>UNITED KINGDOM</v>
          </cell>
        </row>
        <row r="11494">
          <cell r="L11494" t="str">
            <v>Non-proportional</v>
          </cell>
          <cell r="S11494">
            <v>-451.25</v>
          </cell>
          <cell r="X11494" t="str">
            <v>Variation UPR - gross</v>
          </cell>
          <cell r="Y11494" t="str">
            <v>ITALY</v>
          </cell>
        </row>
        <row r="11495">
          <cell r="L11495" t="str">
            <v>Non-proportional</v>
          </cell>
          <cell r="S11495">
            <v>-11825.5</v>
          </cell>
          <cell r="X11495" t="str">
            <v>Variation UPR - gross</v>
          </cell>
          <cell r="Y11495" t="str">
            <v>AUSTRIA</v>
          </cell>
        </row>
        <row r="11496">
          <cell r="L11496" t="str">
            <v>Non-proportional</v>
          </cell>
          <cell r="S11496">
            <v>-41760.03</v>
          </cell>
          <cell r="X11496" t="str">
            <v>Variation UPR - gross</v>
          </cell>
          <cell r="Y11496" t="str">
            <v>UNITED KINGDOM</v>
          </cell>
        </row>
        <row r="11497">
          <cell r="L11497" t="str">
            <v>Non-proportional</v>
          </cell>
          <cell r="S11497">
            <v>-2016.78</v>
          </cell>
          <cell r="X11497" t="str">
            <v>Variation UPR - gross</v>
          </cell>
          <cell r="Y11497" t="str">
            <v>SWITZERLAND</v>
          </cell>
        </row>
        <row r="11498">
          <cell r="L11498" t="str">
            <v>Non-proportional</v>
          </cell>
          <cell r="S11498">
            <v>-5882.91</v>
          </cell>
          <cell r="X11498" t="str">
            <v>Variation UPR - gross</v>
          </cell>
          <cell r="Y11498" t="str">
            <v>UNITED KINGDOM</v>
          </cell>
        </row>
        <row r="11499">
          <cell r="L11499" t="str">
            <v>Non-proportional</v>
          </cell>
          <cell r="S11499">
            <v>-117.79</v>
          </cell>
          <cell r="X11499" t="str">
            <v>Variation UPR - gross</v>
          </cell>
          <cell r="Y11499" t="str">
            <v>FRANCE</v>
          </cell>
        </row>
        <row r="11500">
          <cell r="L11500" t="str">
            <v>Non-proportional</v>
          </cell>
          <cell r="S11500">
            <v>93968.59</v>
          </cell>
          <cell r="X11500" t="str">
            <v>Variation UPR - gross</v>
          </cell>
          <cell r="Y11500" t="str">
            <v>DENMARK</v>
          </cell>
        </row>
        <row r="11501">
          <cell r="L11501" t="str">
            <v>Non-proportional</v>
          </cell>
          <cell r="S11501">
            <v>-6335.14</v>
          </cell>
          <cell r="X11501" t="str">
            <v>Variation UPR - gross</v>
          </cell>
          <cell r="Y11501" t="str">
            <v>GERMANY</v>
          </cell>
        </row>
        <row r="11502">
          <cell r="L11502" t="str">
            <v>Non-proportional</v>
          </cell>
          <cell r="S11502">
            <v>-22495.4</v>
          </cell>
          <cell r="X11502" t="str">
            <v>Variation UPR - gross</v>
          </cell>
          <cell r="Y11502" t="str">
            <v>CZECH REPUBLIC</v>
          </cell>
        </row>
        <row r="11503">
          <cell r="L11503" t="str">
            <v>Non-proportional</v>
          </cell>
          <cell r="S11503">
            <v>-0.02</v>
          </cell>
          <cell r="X11503" t="str">
            <v>Variation UPR - gross</v>
          </cell>
          <cell r="Y11503" t="str">
            <v>JAPAN</v>
          </cell>
        </row>
        <row r="11504">
          <cell r="L11504" t="str">
            <v>Non-proportional</v>
          </cell>
          <cell r="S11504">
            <v>-7747.42</v>
          </cell>
          <cell r="X11504" t="str">
            <v>Variation UPR - gross</v>
          </cell>
          <cell r="Y11504" t="str">
            <v>GERMANY</v>
          </cell>
        </row>
        <row r="11505">
          <cell r="L11505" t="str">
            <v>Non-proportional</v>
          </cell>
          <cell r="S11505">
            <v>-8697.67</v>
          </cell>
          <cell r="X11505" t="str">
            <v>Variation UPR - gross</v>
          </cell>
          <cell r="Y11505" t="str">
            <v>GERMANY</v>
          </cell>
        </row>
        <row r="11506">
          <cell r="L11506" t="str">
            <v>Non-proportional</v>
          </cell>
          <cell r="S11506">
            <v>-48720.04</v>
          </cell>
          <cell r="X11506" t="str">
            <v>Variation UPR - gross</v>
          </cell>
          <cell r="Y11506" t="str">
            <v>UNITED KINGDOM</v>
          </cell>
        </row>
        <row r="11507">
          <cell r="L11507" t="str">
            <v>Non-proportional</v>
          </cell>
          <cell r="S11507">
            <v>4.7</v>
          </cell>
          <cell r="X11507" t="str">
            <v>Variation UPR - gross</v>
          </cell>
          <cell r="Y11507" t="str">
            <v>SWEDEN</v>
          </cell>
        </row>
        <row r="11508">
          <cell r="L11508" t="str">
            <v>Non-proportional</v>
          </cell>
          <cell r="S11508">
            <v>-345</v>
          </cell>
          <cell r="X11508" t="str">
            <v>Variation UPR - gross</v>
          </cell>
          <cell r="Y11508" t="str">
            <v>ITALY</v>
          </cell>
        </row>
        <row r="11509">
          <cell r="L11509" t="str">
            <v>Non-proportional</v>
          </cell>
          <cell r="S11509">
            <v>-276422.11</v>
          </cell>
          <cell r="X11509" t="str">
            <v>Variation UPR - gross</v>
          </cell>
          <cell r="Y11509" t="str">
            <v>UNITED KINGDOM</v>
          </cell>
        </row>
        <row r="11510">
          <cell r="L11510" t="str">
            <v>Non-proportional</v>
          </cell>
          <cell r="S11510">
            <v>-6854.9</v>
          </cell>
          <cell r="X11510" t="str">
            <v>Variation UPR - gross</v>
          </cell>
          <cell r="Y11510" t="str">
            <v>UNITED KINGDOM</v>
          </cell>
        </row>
        <row r="11511">
          <cell r="L11511" t="str">
            <v>Non-proportional</v>
          </cell>
          <cell r="S11511">
            <v>-13399.71</v>
          </cell>
          <cell r="X11511" t="str">
            <v>Variation UPR - gross</v>
          </cell>
          <cell r="Y11511" t="str">
            <v>DENMARK</v>
          </cell>
        </row>
        <row r="11512">
          <cell r="L11512" t="str">
            <v>Non-proportional</v>
          </cell>
          <cell r="S11512">
            <v>-14602.5</v>
          </cell>
          <cell r="X11512" t="str">
            <v>Variation UPR - gross</v>
          </cell>
          <cell r="Y11512" t="str">
            <v>GERMANY</v>
          </cell>
        </row>
        <row r="11513">
          <cell r="L11513" t="str">
            <v>Non-proportional</v>
          </cell>
          <cell r="S11513">
            <v>-7916.77</v>
          </cell>
          <cell r="X11513" t="str">
            <v>Variation UPR - gross</v>
          </cell>
          <cell r="Y11513" t="str">
            <v>GERMANY</v>
          </cell>
        </row>
        <row r="11514">
          <cell r="L11514" t="str">
            <v>Non-proportional</v>
          </cell>
          <cell r="S11514">
            <v>-15.81</v>
          </cell>
          <cell r="X11514" t="str">
            <v>Variation UPR - gross</v>
          </cell>
          <cell r="Y11514" t="str">
            <v>NORWAY</v>
          </cell>
        </row>
        <row r="11515">
          <cell r="L11515" t="str">
            <v>Non-proportional</v>
          </cell>
          <cell r="S11515">
            <v>-3585.38</v>
          </cell>
          <cell r="X11515" t="str">
            <v>Variation UPR - gross</v>
          </cell>
          <cell r="Y11515" t="str">
            <v>SWITZERLAND</v>
          </cell>
        </row>
        <row r="11516">
          <cell r="L11516" t="str">
            <v>Non-proportional</v>
          </cell>
          <cell r="S11516">
            <v>-15329.19</v>
          </cell>
          <cell r="X11516" t="str">
            <v>Variation UPR - gross</v>
          </cell>
          <cell r="Y11516" t="str">
            <v>ITALY</v>
          </cell>
        </row>
        <row r="11517">
          <cell r="L11517" t="str">
            <v>Non-proportional</v>
          </cell>
          <cell r="S11517">
            <v>-270.67</v>
          </cell>
          <cell r="X11517" t="str">
            <v>Variation UPR - gross</v>
          </cell>
          <cell r="Y11517" t="str">
            <v>ITALY</v>
          </cell>
        </row>
        <row r="11518">
          <cell r="L11518" t="str">
            <v>Non-proportional</v>
          </cell>
          <cell r="S11518">
            <v>-3107.86</v>
          </cell>
          <cell r="X11518" t="str">
            <v>Variation UPR - gross</v>
          </cell>
          <cell r="Y11518" t="str">
            <v>SWITZERLAND</v>
          </cell>
        </row>
        <row r="11519">
          <cell r="L11519" t="str">
            <v>Non-proportional</v>
          </cell>
          <cell r="S11519">
            <v>-39597.06</v>
          </cell>
          <cell r="X11519" t="str">
            <v>Variation UPR - gross</v>
          </cell>
          <cell r="Y11519" t="str">
            <v>UNITED KINGDOM</v>
          </cell>
        </row>
        <row r="11520">
          <cell r="L11520" t="str">
            <v>Non-proportional</v>
          </cell>
          <cell r="S11520">
            <v>-689.67</v>
          </cell>
          <cell r="X11520" t="str">
            <v>Variation UPR - gross</v>
          </cell>
          <cell r="Y11520" t="str">
            <v>SWITZERLAND</v>
          </cell>
        </row>
        <row r="11521">
          <cell r="L11521" t="str">
            <v>Non-proportional</v>
          </cell>
          <cell r="S11521">
            <v>-18508.22</v>
          </cell>
          <cell r="X11521" t="str">
            <v>Variation UPR - gross</v>
          </cell>
          <cell r="Y11521" t="str">
            <v>UNITED KINGDOM</v>
          </cell>
        </row>
        <row r="11522">
          <cell r="L11522" t="str">
            <v>Non-proportional</v>
          </cell>
          <cell r="S11522">
            <v>-20707.14</v>
          </cell>
          <cell r="X11522" t="str">
            <v>Variation UPR - gross</v>
          </cell>
          <cell r="Y11522" t="str">
            <v>EUROPE</v>
          </cell>
        </row>
        <row r="11523">
          <cell r="L11523" t="str">
            <v>Non-proportional</v>
          </cell>
          <cell r="S11523">
            <v>-41301.42</v>
          </cell>
          <cell r="X11523" t="str">
            <v>Variation UPR - gross</v>
          </cell>
          <cell r="Y11523" t="str">
            <v>UNITED KINGDOM</v>
          </cell>
        </row>
        <row r="11524">
          <cell r="L11524" t="str">
            <v>Non-proportional</v>
          </cell>
          <cell r="S11524">
            <v>57152.75</v>
          </cell>
          <cell r="X11524" t="str">
            <v>Variation UPR - gross</v>
          </cell>
          <cell r="Y11524" t="str">
            <v>UNITED ARAB EMIRATES</v>
          </cell>
        </row>
        <row r="11525">
          <cell r="L11525" t="str">
            <v>Non-proportional</v>
          </cell>
          <cell r="S11525">
            <v>14099.31</v>
          </cell>
          <cell r="X11525" t="str">
            <v>Variation UPR - gross</v>
          </cell>
          <cell r="Y11525" t="str">
            <v>REPUBLIC OF IRELAND</v>
          </cell>
        </row>
        <row r="11526">
          <cell r="L11526" t="str">
            <v>Non-proportional</v>
          </cell>
          <cell r="S11526">
            <v>-4511.3999999999996</v>
          </cell>
          <cell r="X11526" t="str">
            <v>Variation UPR - gross</v>
          </cell>
          <cell r="Y11526" t="str">
            <v>AUSTRIA</v>
          </cell>
        </row>
        <row r="11527">
          <cell r="L11527" t="str">
            <v>Non-proportional</v>
          </cell>
          <cell r="S11527">
            <v>-9061.74</v>
          </cell>
          <cell r="X11527" t="str">
            <v>Variation UPR - gross</v>
          </cell>
          <cell r="Y11527" t="str">
            <v>UNITED KINGDOM</v>
          </cell>
        </row>
        <row r="11528">
          <cell r="L11528" t="str">
            <v>Non-proportional</v>
          </cell>
          <cell r="S11528">
            <v>3366.04</v>
          </cell>
          <cell r="X11528" t="str">
            <v>Variation UPR - gross</v>
          </cell>
          <cell r="Y11528" t="str">
            <v>AUSTRALIA</v>
          </cell>
        </row>
        <row r="11529">
          <cell r="L11529" t="str">
            <v>Non-proportional</v>
          </cell>
          <cell r="S11529">
            <v>-10989.14</v>
          </cell>
          <cell r="X11529" t="str">
            <v>Variation UPR - gross</v>
          </cell>
          <cell r="Y11529" t="str">
            <v>SWEDEN</v>
          </cell>
        </row>
        <row r="11530">
          <cell r="L11530" t="str">
            <v>Non-proportional</v>
          </cell>
          <cell r="S11530">
            <v>-52073.59</v>
          </cell>
          <cell r="X11530" t="str">
            <v>Variation UPR - gross</v>
          </cell>
          <cell r="Y11530" t="str">
            <v>UNITED KINGDOM</v>
          </cell>
        </row>
        <row r="11531">
          <cell r="L11531" t="str">
            <v>Non-proportional</v>
          </cell>
          <cell r="S11531">
            <v>-16643.64</v>
          </cell>
          <cell r="X11531" t="str">
            <v>Variation UPR - gross</v>
          </cell>
          <cell r="Y11531" t="str">
            <v>FRANCE</v>
          </cell>
        </row>
        <row r="11532">
          <cell r="L11532" t="str">
            <v>Non-proportional</v>
          </cell>
          <cell r="S11532">
            <v>-5369</v>
          </cell>
          <cell r="X11532" t="str">
            <v>Variation UPR - gross</v>
          </cell>
          <cell r="Y11532" t="str">
            <v>GERMANY</v>
          </cell>
        </row>
        <row r="11533">
          <cell r="L11533" t="str">
            <v>Non-proportional</v>
          </cell>
          <cell r="S11533">
            <v>-5717.64</v>
          </cell>
          <cell r="X11533" t="str">
            <v>Variation UPR - gross</v>
          </cell>
          <cell r="Y11533" t="str">
            <v>GERMANY</v>
          </cell>
        </row>
        <row r="11534">
          <cell r="L11534" t="str">
            <v>Non-proportional</v>
          </cell>
          <cell r="S11534">
            <v>-24396</v>
          </cell>
          <cell r="X11534" t="str">
            <v>Variation UPR - gross</v>
          </cell>
          <cell r="Y11534" t="str">
            <v>GERMANY</v>
          </cell>
        </row>
        <row r="11535">
          <cell r="L11535" t="str">
            <v>Non-proportional</v>
          </cell>
          <cell r="S11535">
            <v>-7501.57</v>
          </cell>
          <cell r="X11535" t="str">
            <v>Variation UPR - gross</v>
          </cell>
          <cell r="Y11535" t="str">
            <v>GERMANY</v>
          </cell>
        </row>
        <row r="11536">
          <cell r="L11536" t="str">
            <v>Non-proportional</v>
          </cell>
          <cell r="S11536">
            <v>-7604.21</v>
          </cell>
          <cell r="X11536" t="str">
            <v>Variation UPR - gross</v>
          </cell>
          <cell r="Y11536" t="str">
            <v>GERMANY</v>
          </cell>
        </row>
        <row r="11537">
          <cell r="L11537" t="str">
            <v>Non-proportional</v>
          </cell>
          <cell r="S11537">
            <v>-17.82</v>
          </cell>
          <cell r="X11537" t="str">
            <v>Variation UPR - gross</v>
          </cell>
          <cell r="Y11537" t="str">
            <v>EUROPE</v>
          </cell>
        </row>
        <row r="11538">
          <cell r="L11538" t="str">
            <v>Non-proportional</v>
          </cell>
          <cell r="S11538">
            <v>0.48</v>
          </cell>
          <cell r="X11538" t="str">
            <v>Variation UPR - gross</v>
          </cell>
          <cell r="Y11538" t="str">
            <v>DENMARK</v>
          </cell>
        </row>
        <row r="11539">
          <cell r="L11539" t="str">
            <v>Non-proportional</v>
          </cell>
          <cell r="S11539">
            <v>61417.37</v>
          </cell>
          <cell r="X11539" t="str">
            <v>Variation UPR - gross</v>
          </cell>
          <cell r="Y11539" t="str">
            <v>DENMARK</v>
          </cell>
        </row>
        <row r="11540">
          <cell r="L11540" t="str">
            <v>Non-proportional</v>
          </cell>
          <cell r="S11540">
            <v>-12458.33</v>
          </cell>
          <cell r="X11540" t="str">
            <v>Variation UPR - gross</v>
          </cell>
          <cell r="Y11540" t="str">
            <v>GERMANY</v>
          </cell>
        </row>
        <row r="11541">
          <cell r="L11541" t="str">
            <v>Non-proportional</v>
          </cell>
          <cell r="S11541">
            <v>-1509.09</v>
          </cell>
          <cell r="X11541" t="str">
            <v>Variation UPR - gross</v>
          </cell>
          <cell r="Y11541" t="str">
            <v>GERMANY</v>
          </cell>
        </row>
        <row r="11542">
          <cell r="L11542" t="str">
            <v>Non-proportional</v>
          </cell>
          <cell r="S11542">
            <v>-83.26</v>
          </cell>
          <cell r="X11542" t="str">
            <v>Variation UPR - gross</v>
          </cell>
          <cell r="Y11542" t="str">
            <v>FRANCE</v>
          </cell>
        </row>
        <row r="11543">
          <cell r="L11543" t="str">
            <v>Non-proportional</v>
          </cell>
          <cell r="S11543">
            <v>-20145.87</v>
          </cell>
          <cell r="X11543" t="str">
            <v>Variation UPR - gross</v>
          </cell>
          <cell r="Y11543" t="str">
            <v>UNITED KINGDOM</v>
          </cell>
        </row>
        <row r="11544">
          <cell r="L11544" t="str">
            <v>Non-proportional</v>
          </cell>
          <cell r="S11544">
            <v>-34502.01</v>
          </cell>
          <cell r="X11544" t="str">
            <v>Variation UPR - gross</v>
          </cell>
          <cell r="Y11544" t="str">
            <v>CZECH REPUBLIC</v>
          </cell>
        </row>
        <row r="11545">
          <cell r="L11545" t="str">
            <v>Non-proportional</v>
          </cell>
          <cell r="S11545">
            <v>-18973.75</v>
          </cell>
          <cell r="X11545" t="str">
            <v>Variation UPR - gross</v>
          </cell>
          <cell r="Y11545" t="str">
            <v>AUSTRIA</v>
          </cell>
        </row>
        <row r="11546">
          <cell r="L11546" t="str">
            <v>Non-proportional</v>
          </cell>
          <cell r="S11546">
            <v>339369.88</v>
          </cell>
          <cell r="X11546" t="str">
            <v>Variation UPR - gross</v>
          </cell>
          <cell r="Y11546" t="str">
            <v>UNITED KINGDOM</v>
          </cell>
        </row>
        <row r="11547">
          <cell r="L11547" t="str">
            <v>Non-proportional</v>
          </cell>
          <cell r="S11547">
            <v>-40903.5</v>
          </cell>
          <cell r="X11547" t="str">
            <v>Variation UPR - gross</v>
          </cell>
          <cell r="Y11547" t="str">
            <v>GERMANY</v>
          </cell>
        </row>
        <row r="11548">
          <cell r="L11548" t="str">
            <v>Non-proportional</v>
          </cell>
          <cell r="S11548">
            <v>-1906.77</v>
          </cell>
          <cell r="X11548" t="str">
            <v>Variation UPR - gross</v>
          </cell>
          <cell r="Y11548" t="str">
            <v>JAPAN</v>
          </cell>
        </row>
        <row r="11549">
          <cell r="L11549" t="str">
            <v>Non-proportional</v>
          </cell>
          <cell r="S11549">
            <v>-528.39</v>
          </cell>
          <cell r="X11549" t="str">
            <v>Variation UPR - gross</v>
          </cell>
          <cell r="Y11549" t="str">
            <v>NORWAY</v>
          </cell>
        </row>
        <row r="11550">
          <cell r="L11550" t="str">
            <v>Non-proportional</v>
          </cell>
          <cell r="S11550">
            <v>-1401.66</v>
          </cell>
          <cell r="X11550" t="str">
            <v>Variation UPR - gross</v>
          </cell>
          <cell r="Y11550" t="str">
            <v>GERMANY</v>
          </cell>
        </row>
        <row r="11551">
          <cell r="L11551" t="str">
            <v>Non-proportional</v>
          </cell>
          <cell r="S11551">
            <v>-837.53</v>
          </cell>
          <cell r="X11551" t="str">
            <v>Variation UPR - gross</v>
          </cell>
          <cell r="Y11551" t="str">
            <v>DENMARK</v>
          </cell>
        </row>
        <row r="11552">
          <cell r="L11552" t="str">
            <v>Non-proportional</v>
          </cell>
          <cell r="S11552">
            <v>-3107.33</v>
          </cell>
          <cell r="X11552" t="str">
            <v>Variation UPR - gross</v>
          </cell>
          <cell r="Y11552" t="str">
            <v>GERMANY</v>
          </cell>
        </row>
        <row r="11553">
          <cell r="L11553" t="str">
            <v>Non-proportional</v>
          </cell>
          <cell r="S11553">
            <v>-29416.67</v>
          </cell>
          <cell r="X11553" t="str">
            <v>Variation UPR - gross</v>
          </cell>
          <cell r="Y11553" t="str">
            <v>EUROPE</v>
          </cell>
        </row>
        <row r="11554">
          <cell r="L11554" t="str">
            <v>Non-proportional</v>
          </cell>
          <cell r="S11554">
            <v>-8322.82</v>
          </cell>
          <cell r="X11554" t="str">
            <v>Variation UPR - gross</v>
          </cell>
          <cell r="Y11554" t="str">
            <v>GERMANY</v>
          </cell>
        </row>
        <row r="11555">
          <cell r="L11555" t="str">
            <v>Non-proportional</v>
          </cell>
          <cell r="S11555">
            <v>-8072.83</v>
          </cell>
          <cell r="X11555" t="str">
            <v>Variation UPR - gross</v>
          </cell>
          <cell r="Y11555" t="str">
            <v>GERMANY</v>
          </cell>
        </row>
        <row r="11556">
          <cell r="L11556" t="str">
            <v>Non-proportional</v>
          </cell>
          <cell r="S11556">
            <v>-1254.8900000000001</v>
          </cell>
          <cell r="X11556" t="str">
            <v>Variation UPR - gross</v>
          </cell>
          <cell r="Y11556" t="str">
            <v>SWITZERLAND</v>
          </cell>
        </row>
        <row r="11557">
          <cell r="L11557" t="str">
            <v>Non-proportional</v>
          </cell>
          <cell r="S11557">
            <v>-4521.33</v>
          </cell>
          <cell r="X11557" t="str">
            <v>Variation UPR - gross</v>
          </cell>
          <cell r="Y11557" t="str">
            <v>UNITED KINGDOM</v>
          </cell>
        </row>
        <row r="11558">
          <cell r="L11558" t="str">
            <v>Non-proportional</v>
          </cell>
          <cell r="S11558">
            <v>-1088.78</v>
          </cell>
          <cell r="X11558" t="str">
            <v>Variation UPR - gross</v>
          </cell>
          <cell r="Y11558" t="str">
            <v>DENMARK</v>
          </cell>
        </row>
        <row r="11559">
          <cell r="L11559" t="str">
            <v>Non-proportional</v>
          </cell>
          <cell r="S11559">
            <v>-11062.56</v>
          </cell>
          <cell r="X11559" t="str">
            <v>Variation UPR - gross</v>
          </cell>
          <cell r="Y11559" t="str">
            <v>DENMARK</v>
          </cell>
        </row>
        <row r="11560">
          <cell r="L11560" t="str">
            <v>Non-proportional</v>
          </cell>
          <cell r="S11560">
            <v>-7770.84</v>
          </cell>
          <cell r="X11560" t="str">
            <v>Variation UPR - gross</v>
          </cell>
          <cell r="Y11560" t="str">
            <v>FRANCE</v>
          </cell>
        </row>
        <row r="11561">
          <cell r="L11561" t="str">
            <v>Non-proportional</v>
          </cell>
          <cell r="S11561">
            <v>-10.69</v>
          </cell>
          <cell r="X11561" t="str">
            <v>Variation UPR - gross</v>
          </cell>
          <cell r="Y11561" t="str">
            <v>JAPAN</v>
          </cell>
        </row>
        <row r="11562">
          <cell r="L11562" t="str">
            <v>Non-proportional</v>
          </cell>
          <cell r="S11562">
            <v>28913.53</v>
          </cell>
          <cell r="X11562" t="str">
            <v>Variation UPR - gross</v>
          </cell>
          <cell r="Y11562" t="str">
            <v>UNITED KINGDOM</v>
          </cell>
        </row>
        <row r="11563">
          <cell r="L11563" t="str">
            <v>Non-proportional</v>
          </cell>
          <cell r="S11563">
            <v>-16500</v>
          </cell>
          <cell r="X11563" t="str">
            <v>Variation UPR - gross</v>
          </cell>
          <cell r="Y11563" t="str">
            <v>GERMANY</v>
          </cell>
        </row>
        <row r="11564">
          <cell r="L11564" t="str">
            <v>Non-proportional</v>
          </cell>
          <cell r="S11564">
            <v>46931.33</v>
          </cell>
          <cell r="X11564" t="str">
            <v>Variation UPR - gross</v>
          </cell>
          <cell r="Y11564" t="str">
            <v>AUSTRALIA</v>
          </cell>
        </row>
        <row r="11565">
          <cell r="L11565" t="str">
            <v>Non-proportional</v>
          </cell>
          <cell r="S11565">
            <v>51394.47</v>
          </cell>
          <cell r="X11565" t="str">
            <v>Variation UPR - gross</v>
          </cell>
          <cell r="Y11565" t="str">
            <v>POLAND</v>
          </cell>
        </row>
        <row r="11566">
          <cell r="L11566" t="str">
            <v>Non-proportional</v>
          </cell>
          <cell r="S11566">
            <v>-39006.9</v>
          </cell>
          <cell r="X11566" t="str">
            <v>Variation UPR - gross</v>
          </cell>
          <cell r="Y11566" t="str">
            <v>UNITED KINGDOM</v>
          </cell>
        </row>
        <row r="11567">
          <cell r="L11567" t="str">
            <v>Non-proportional</v>
          </cell>
          <cell r="S11567">
            <v>-20943.419999999998</v>
          </cell>
          <cell r="X11567" t="str">
            <v>Variation UPR - gross</v>
          </cell>
          <cell r="Y11567" t="str">
            <v>UNITED KINGDOM</v>
          </cell>
        </row>
        <row r="11568">
          <cell r="L11568" t="str">
            <v>Non-proportional</v>
          </cell>
          <cell r="S11568">
            <v>-8494.48</v>
          </cell>
          <cell r="X11568" t="str">
            <v>Variation UPR - gross</v>
          </cell>
          <cell r="Y11568" t="str">
            <v>GERMANY</v>
          </cell>
        </row>
        <row r="11569">
          <cell r="L11569" t="str">
            <v>Non-proportional</v>
          </cell>
          <cell r="S11569">
            <v>-38012.49</v>
          </cell>
          <cell r="X11569" t="str">
            <v>Variation UPR - gross</v>
          </cell>
          <cell r="Y11569" t="str">
            <v>UNITED KINGDOM</v>
          </cell>
        </row>
        <row r="11570">
          <cell r="L11570" t="str">
            <v>Non-proportional</v>
          </cell>
          <cell r="S11570">
            <v>-7077.74</v>
          </cell>
          <cell r="X11570" t="str">
            <v>Variation UPR - gross</v>
          </cell>
          <cell r="Y11570" t="str">
            <v>NORWAY</v>
          </cell>
        </row>
        <row r="11571">
          <cell r="L11571" t="str">
            <v>Non-proportional</v>
          </cell>
          <cell r="S11571">
            <v>-2816.19</v>
          </cell>
          <cell r="X11571" t="str">
            <v>Variation UPR - gross</v>
          </cell>
          <cell r="Y11571" t="str">
            <v>FRANCE</v>
          </cell>
        </row>
        <row r="11572">
          <cell r="L11572" t="str">
            <v>Proportional</v>
          </cell>
          <cell r="S11572">
            <v>318880</v>
          </cell>
          <cell r="X11572" t="str">
            <v>Variation UPR - gross</v>
          </cell>
          <cell r="Y11572" t="str">
            <v>EUROPE</v>
          </cell>
        </row>
        <row r="11573">
          <cell r="L11573" t="str">
            <v>Non-proportional</v>
          </cell>
          <cell r="S11573">
            <v>154079.29</v>
          </cell>
          <cell r="X11573" t="str">
            <v>Variation UPR - gross</v>
          </cell>
          <cell r="Y11573" t="str">
            <v>POLAND</v>
          </cell>
        </row>
        <row r="11574">
          <cell r="L11574" t="str">
            <v>Non-proportional</v>
          </cell>
          <cell r="S11574">
            <v>-2340</v>
          </cell>
          <cell r="X11574" t="str">
            <v>Variation UPR - gross</v>
          </cell>
          <cell r="Y11574" t="str">
            <v>GERMANY</v>
          </cell>
        </row>
        <row r="11575">
          <cell r="L11575" t="str">
            <v>Non-proportional</v>
          </cell>
          <cell r="S11575">
            <v>-14120</v>
          </cell>
          <cell r="X11575" t="str">
            <v>Variation UPR - gross</v>
          </cell>
          <cell r="Y11575" t="str">
            <v>AUSTRIA</v>
          </cell>
        </row>
        <row r="11576">
          <cell r="L11576" t="str">
            <v>Non-proportional</v>
          </cell>
          <cell r="S11576">
            <v>21269.27</v>
          </cell>
          <cell r="X11576" t="str">
            <v>Variation UPR - gross</v>
          </cell>
          <cell r="Y11576" t="str">
            <v>SPAIN</v>
          </cell>
        </row>
        <row r="11577">
          <cell r="L11577" t="str">
            <v>Non-proportional</v>
          </cell>
          <cell r="S11577">
            <v>-7518.98</v>
          </cell>
          <cell r="X11577" t="str">
            <v>Variation UPR - gross</v>
          </cell>
          <cell r="Y11577" t="str">
            <v>NORWAY</v>
          </cell>
        </row>
        <row r="11578">
          <cell r="L11578" t="str">
            <v>Non-proportional</v>
          </cell>
          <cell r="S11578">
            <v>-0.03</v>
          </cell>
          <cell r="X11578" t="str">
            <v>Variation UPR - gross</v>
          </cell>
          <cell r="Y11578" t="str">
            <v>ICELAND</v>
          </cell>
        </row>
        <row r="11579">
          <cell r="L11579" t="str">
            <v>Non-proportional</v>
          </cell>
          <cell r="S11579">
            <v>-873.38</v>
          </cell>
          <cell r="X11579" t="str">
            <v>Variation UPR - gross</v>
          </cell>
          <cell r="Y11579" t="str">
            <v>GERMANY</v>
          </cell>
        </row>
        <row r="11580">
          <cell r="L11580" t="str">
            <v>Non-proportional</v>
          </cell>
          <cell r="S11580">
            <v>-4164.72</v>
          </cell>
          <cell r="X11580" t="str">
            <v>Variation UPR - gross</v>
          </cell>
          <cell r="Y11580" t="str">
            <v>GERMANY</v>
          </cell>
        </row>
        <row r="11581">
          <cell r="L11581" t="str">
            <v>Non-proportional</v>
          </cell>
          <cell r="S11581">
            <v>-7254.61</v>
          </cell>
          <cell r="X11581" t="str">
            <v>Variation UPR - gross</v>
          </cell>
          <cell r="Y11581" t="str">
            <v>NORWAY</v>
          </cell>
        </row>
        <row r="11582">
          <cell r="L11582" t="str">
            <v>Non-proportional</v>
          </cell>
          <cell r="S11582">
            <v>-6167.42</v>
          </cell>
          <cell r="X11582" t="str">
            <v>Variation UPR - gross</v>
          </cell>
          <cell r="Y11582" t="str">
            <v>SWEDEN</v>
          </cell>
        </row>
        <row r="11583">
          <cell r="L11583" t="str">
            <v>Non-proportional</v>
          </cell>
          <cell r="S11583">
            <v>-55855.74</v>
          </cell>
          <cell r="X11583" t="str">
            <v>Variation UPR - gross</v>
          </cell>
          <cell r="Y11583" t="str">
            <v>UNITED KINGDOM</v>
          </cell>
        </row>
        <row r="11584">
          <cell r="L11584" t="str">
            <v>Non-proportional</v>
          </cell>
          <cell r="S11584">
            <v>-35570.32</v>
          </cell>
          <cell r="X11584" t="str">
            <v>Variation UPR - gross</v>
          </cell>
          <cell r="Y11584" t="str">
            <v>FRANCE</v>
          </cell>
        </row>
        <row r="11585">
          <cell r="L11585" t="str">
            <v>Non-proportional</v>
          </cell>
          <cell r="S11585">
            <v>-5467.12</v>
          </cell>
          <cell r="X11585" t="str">
            <v>Variation UPR - gross</v>
          </cell>
          <cell r="Y11585" t="str">
            <v>EIRE</v>
          </cell>
        </row>
        <row r="11586">
          <cell r="L11586" t="str">
            <v>Non-proportional</v>
          </cell>
          <cell r="S11586">
            <v>-8696.8799999999992</v>
          </cell>
          <cell r="X11586" t="str">
            <v>Variation UPR - gross</v>
          </cell>
          <cell r="Y11586" t="str">
            <v>GERMANY</v>
          </cell>
        </row>
        <row r="11587">
          <cell r="L11587" t="str">
            <v>Non-proportional</v>
          </cell>
          <cell r="S11587">
            <v>-820.54</v>
          </cell>
          <cell r="X11587" t="str">
            <v>Variation UPR - gross</v>
          </cell>
          <cell r="Y11587" t="str">
            <v>GERMANY</v>
          </cell>
        </row>
        <row r="11588">
          <cell r="L11588" t="str">
            <v>Non-proportional</v>
          </cell>
          <cell r="S11588">
            <v>-6946.85</v>
          </cell>
          <cell r="X11588" t="str">
            <v>Variation UPR - gross</v>
          </cell>
          <cell r="Y11588" t="str">
            <v>UNITED KINGDOM</v>
          </cell>
        </row>
        <row r="11589">
          <cell r="L11589" t="str">
            <v>Non-proportional</v>
          </cell>
          <cell r="S11589">
            <v>-2127.98</v>
          </cell>
          <cell r="X11589" t="str">
            <v>Variation UPR - gross</v>
          </cell>
          <cell r="Y11589" t="str">
            <v>SWITZERLAND</v>
          </cell>
        </row>
        <row r="11590">
          <cell r="L11590" t="str">
            <v>Non-proportional</v>
          </cell>
          <cell r="S11590">
            <v>-5718.39</v>
          </cell>
          <cell r="X11590" t="str">
            <v>Variation UPR - gross</v>
          </cell>
          <cell r="Y11590" t="str">
            <v>SWEDEN</v>
          </cell>
        </row>
        <row r="11591">
          <cell r="L11591" t="str">
            <v>Non-proportional</v>
          </cell>
          <cell r="S11591">
            <v>-5807.55</v>
          </cell>
          <cell r="X11591" t="str">
            <v>Variation UPR - gross</v>
          </cell>
          <cell r="Y11591" t="str">
            <v>DENMARK</v>
          </cell>
        </row>
        <row r="11592">
          <cell r="L11592" t="str">
            <v>Non-proportional</v>
          </cell>
          <cell r="S11592">
            <v>-6701.02</v>
          </cell>
          <cell r="X11592" t="str">
            <v>Variation UPR - gross</v>
          </cell>
          <cell r="Y11592" t="str">
            <v>DENMARK</v>
          </cell>
        </row>
        <row r="11593">
          <cell r="L11593" t="str">
            <v>Non-proportional</v>
          </cell>
          <cell r="S11593">
            <v>-3687.5</v>
          </cell>
          <cell r="X11593" t="str">
            <v>Variation UPR - gross</v>
          </cell>
          <cell r="Y11593" t="str">
            <v>GERMANY</v>
          </cell>
        </row>
        <row r="11594">
          <cell r="L11594" t="str">
            <v>Non-proportional</v>
          </cell>
          <cell r="S11594">
            <v>-6071.89</v>
          </cell>
          <cell r="X11594" t="str">
            <v>Variation UPR - gross</v>
          </cell>
          <cell r="Y11594" t="str">
            <v>DENMARK</v>
          </cell>
        </row>
        <row r="11595">
          <cell r="L11595" t="str">
            <v>Non-proportional</v>
          </cell>
          <cell r="S11595">
            <v>2.29</v>
          </cell>
          <cell r="X11595" t="str">
            <v>Variation UPR - gross</v>
          </cell>
          <cell r="Y11595" t="str">
            <v>DENMARK</v>
          </cell>
        </row>
        <row r="11596">
          <cell r="L11596" t="str">
            <v>Non-proportional</v>
          </cell>
          <cell r="S11596">
            <v>-3436.97</v>
          </cell>
          <cell r="X11596" t="str">
            <v>Variation UPR - gross</v>
          </cell>
          <cell r="Y11596" t="str">
            <v>EUROPE</v>
          </cell>
        </row>
        <row r="11597">
          <cell r="L11597" t="str">
            <v>Non-proportional</v>
          </cell>
          <cell r="S11597">
            <v>-10537.8</v>
          </cell>
          <cell r="X11597" t="str">
            <v>Variation UPR - gross</v>
          </cell>
          <cell r="Y11597" t="str">
            <v>GERMANY</v>
          </cell>
        </row>
        <row r="11598">
          <cell r="L11598" t="str">
            <v>Non-proportional</v>
          </cell>
          <cell r="S11598">
            <v>-5839.14</v>
          </cell>
          <cell r="X11598" t="str">
            <v>Variation UPR - gross</v>
          </cell>
          <cell r="Y11598" t="str">
            <v>NORWAY</v>
          </cell>
        </row>
        <row r="11599">
          <cell r="L11599" t="str">
            <v>Non-proportional</v>
          </cell>
          <cell r="S11599">
            <v>-8844.9</v>
          </cell>
          <cell r="X11599" t="str">
            <v>Variation UPR - gross</v>
          </cell>
          <cell r="Y11599" t="str">
            <v>GERMANY</v>
          </cell>
        </row>
        <row r="11600">
          <cell r="L11600" t="str">
            <v>Non-proportional</v>
          </cell>
          <cell r="S11600">
            <v>-3331.34</v>
          </cell>
          <cell r="X11600" t="str">
            <v>Variation UPR - gross</v>
          </cell>
          <cell r="Y11600" t="str">
            <v>JAPAN</v>
          </cell>
        </row>
        <row r="11601">
          <cell r="L11601" t="str">
            <v>Non-proportional</v>
          </cell>
          <cell r="S11601">
            <v>-8837.7099999999991</v>
          </cell>
          <cell r="X11601" t="str">
            <v>Variation UPR - gross</v>
          </cell>
          <cell r="Y11601" t="str">
            <v>GERMANY</v>
          </cell>
        </row>
        <row r="11602">
          <cell r="L11602" t="str">
            <v>Non-proportional</v>
          </cell>
          <cell r="S11602">
            <v>-30332.92</v>
          </cell>
          <cell r="X11602" t="str">
            <v>Variation UPR - gross</v>
          </cell>
          <cell r="Y11602" t="str">
            <v>UNITED KINGDOM</v>
          </cell>
        </row>
        <row r="11603">
          <cell r="L11603" t="str">
            <v>Non-proportional</v>
          </cell>
          <cell r="S11603">
            <v>-6904.17</v>
          </cell>
          <cell r="X11603" t="str">
            <v>Variation UPR - gross</v>
          </cell>
          <cell r="Y11603" t="str">
            <v>FRANCE</v>
          </cell>
        </row>
        <row r="11604">
          <cell r="L11604" t="str">
            <v>Non-proportional</v>
          </cell>
          <cell r="S11604">
            <v>-718.44</v>
          </cell>
          <cell r="X11604" t="str">
            <v>Variation UPR - gross</v>
          </cell>
          <cell r="Y11604" t="str">
            <v>ITALY</v>
          </cell>
        </row>
        <row r="11605">
          <cell r="L11605" t="str">
            <v>Non-proportional</v>
          </cell>
          <cell r="S11605">
            <v>0.16</v>
          </cell>
          <cell r="X11605" t="str">
            <v>Variation UPR - gross</v>
          </cell>
          <cell r="Y11605" t="str">
            <v>DENMARK</v>
          </cell>
        </row>
        <row r="11606">
          <cell r="L11606" t="str">
            <v>Non-proportional</v>
          </cell>
          <cell r="S11606">
            <v>-1419.71</v>
          </cell>
          <cell r="X11606" t="str">
            <v>Variation UPR - gross</v>
          </cell>
          <cell r="Y11606" t="str">
            <v>SWITZERLAND</v>
          </cell>
        </row>
        <row r="11607">
          <cell r="L11607" t="str">
            <v>Non-proportional</v>
          </cell>
          <cell r="S11607">
            <v>-351.66</v>
          </cell>
          <cell r="X11607" t="str">
            <v>Variation UPR - gross</v>
          </cell>
          <cell r="Y11607" t="str">
            <v>GERMANY</v>
          </cell>
        </row>
        <row r="11608">
          <cell r="L11608" t="str">
            <v>Non-proportional</v>
          </cell>
          <cell r="S11608">
            <v>-130675.23</v>
          </cell>
          <cell r="X11608" t="str">
            <v>Variation UPR - gross</v>
          </cell>
          <cell r="Y11608" t="str">
            <v>UNITED KINGDOM</v>
          </cell>
        </row>
        <row r="11609">
          <cell r="L11609" t="str">
            <v>Non-proportional</v>
          </cell>
          <cell r="S11609">
            <v>-22408.66</v>
          </cell>
          <cell r="X11609" t="str">
            <v>Variation UPR - gross</v>
          </cell>
          <cell r="Y11609" t="str">
            <v>SWITZERLAND</v>
          </cell>
        </row>
        <row r="11610">
          <cell r="L11610" t="str">
            <v>Non-proportional</v>
          </cell>
          <cell r="S11610">
            <v>-13541.67</v>
          </cell>
          <cell r="X11610" t="str">
            <v>Variation UPR - gross</v>
          </cell>
          <cell r="Y11610" t="str">
            <v>GERMANY</v>
          </cell>
        </row>
        <row r="11611">
          <cell r="L11611" t="str">
            <v>Non-proportional</v>
          </cell>
          <cell r="S11611">
            <v>-10010.879999999999</v>
          </cell>
          <cell r="X11611" t="str">
            <v>Variation UPR - gross</v>
          </cell>
          <cell r="Y11611" t="str">
            <v>GERMANY</v>
          </cell>
        </row>
        <row r="11612">
          <cell r="L11612" t="str">
            <v>Non-proportional</v>
          </cell>
          <cell r="S11612">
            <v>-3392.5</v>
          </cell>
          <cell r="X11612" t="str">
            <v>Variation UPR - gross</v>
          </cell>
          <cell r="Y11612" t="str">
            <v>ITALY</v>
          </cell>
        </row>
        <row r="11613">
          <cell r="L11613" t="str">
            <v>Non-proportional</v>
          </cell>
          <cell r="S11613">
            <v>288791.18</v>
          </cell>
          <cell r="X11613" t="str">
            <v>Variation UPR - gross</v>
          </cell>
          <cell r="Y11613" t="str">
            <v>UNITED KINGDOM</v>
          </cell>
        </row>
        <row r="11614">
          <cell r="L11614" t="str">
            <v>Non-proportional</v>
          </cell>
          <cell r="S11614">
            <v>-1210.07</v>
          </cell>
          <cell r="X11614" t="str">
            <v>Variation UPR - gross</v>
          </cell>
          <cell r="Y11614" t="str">
            <v>SWITZERLAND</v>
          </cell>
        </row>
        <row r="11615">
          <cell r="L11615" t="str">
            <v>Non-proportional</v>
          </cell>
          <cell r="S11615">
            <v>-7306.31</v>
          </cell>
          <cell r="X11615" t="str">
            <v>Variation UPR - gross</v>
          </cell>
          <cell r="Y11615" t="str">
            <v>FAROE ISLANDS</v>
          </cell>
        </row>
        <row r="11616">
          <cell r="L11616" t="str">
            <v>Non-proportional</v>
          </cell>
          <cell r="S11616">
            <v>-11472.62</v>
          </cell>
          <cell r="X11616" t="str">
            <v>Variation UPR - gross</v>
          </cell>
          <cell r="Y11616" t="str">
            <v>UNITED KINGDOM</v>
          </cell>
        </row>
        <row r="11617">
          <cell r="L11617" t="str">
            <v>Non-proportional</v>
          </cell>
          <cell r="S11617">
            <v>-27511.03</v>
          </cell>
          <cell r="X11617" t="str">
            <v>Variation UPR - gross</v>
          </cell>
          <cell r="Y11617" t="str">
            <v>UNITED KINGDOM</v>
          </cell>
        </row>
        <row r="11618">
          <cell r="L11618" t="str">
            <v>Non-proportional</v>
          </cell>
          <cell r="S11618">
            <v>-112052.09</v>
          </cell>
          <cell r="X11618" t="str">
            <v>Variation UPR - gross</v>
          </cell>
          <cell r="Y11618" t="str">
            <v>FRANCE</v>
          </cell>
        </row>
        <row r="11619">
          <cell r="L11619" t="str">
            <v>Non-proportional</v>
          </cell>
          <cell r="S11619">
            <v>95917.45</v>
          </cell>
          <cell r="X11619" t="str">
            <v>Variation UPR - gross</v>
          </cell>
          <cell r="Y11619" t="str">
            <v>UNITED KINGDOM</v>
          </cell>
        </row>
        <row r="11620">
          <cell r="L11620" t="str">
            <v>Non-proportional</v>
          </cell>
          <cell r="S11620">
            <v>-575</v>
          </cell>
          <cell r="X11620" t="str">
            <v>Variation UPR - gross</v>
          </cell>
          <cell r="Y11620" t="str">
            <v>ITALY</v>
          </cell>
        </row>
        <row r="11621">
          <cell r="L11621" t="str">
            <v>Non-proportional</v>
          </cell>
          <cell r="S11621">
            <v>-5527.05</v>
          </cell>
          <cell r="X11621" t="str">
            <v>Variation UPR - gross</v>
          </cell>
          <cell r="Y11621" t="str">
            <v>GERMANY</v>
          </cell>
        </row>
        <row r="11622">
          <cell r="L11622" t="str">
            <v>Non-proportional</v>
          </cell>
          <cell r="S11622">
            <v>-2402.7600000000002</v>
          </cell>
          <cell r="X11622" t="str">
            <v>Variation UPR - gross</v>
          </cell>
          <cell r="Y11622" t="str">
            <v>SWEDEN</v>
          </cell>
        </row>
        <row r="11623">
          <cell r="L11623" t="str">
            <v>Non-proportional</v>
          </cell>
          <cell r="S11623">
            <v>-11484.44</v>
          </cell>
          <cell r="X11623" t="str">
            <v>Variation UPR - gross</v>
          </cell>
          <cell r="Y11623" t="str">
            <v>SWITZERLAND</v>
          </cell>
        </row>
        <row r="11624">
          <cell r="L11624" t="str">
            <v>Proportional</v>
          </cell>
          <cell r="S11624">
            <v>304713.44</v>
          </cell>
          <cell r="X11624" t="str">
            <v>Variation UPR - gross</v>
          </cell>
          <cell r="Y11624" t="str">
            <v>UNITED STATES</v>
          </cell>
        </row>
        <row r="11625">
          <cell r="L11625" t="str">
            <v>Non-proportional</v>
          </cell>
          <cell r="S11625">
            <v>-4087.34</v>
          </cell>
          <cell r="X11625" t="str">
            <v>Variation UPR - gross</v>
          </cell>
          <cell r="Y11625" t="str">
            <v>SWITZERLAND</v>
          </cell>
        </row>
        <row r="11626">
          <cell r="L11626" t="str">
            <v>Non-proportional</v>
          </cell>
          <cell r="S11626">
            <v>-16526.38</v>
          </cell>
          <cell r="X11626" t="str">
            <v>Variation UPR - gross</v>
          </cell>
          <cell r="Y11626" t="str">
            <v>SWITZERLAND</v>
          </cell>
        </row>
        <row r="11627">
          <cell r="L11627" t="str">
            <v>Non-proportional</v>
          </cell>
          <cell r="S11627">
            <v>-4275.66</v>
          </cell>
          <cell r="X11627" t="str">
            <v>Variation UPR - gross</v>
          </cell>
          <cell r="Y11627" t="str">
            <v>GERMANY</v>
          </cell>
        </row>
        <row r="11628">
          <cell r="L11628" t="str">
            <v>Non-proportional</v>
          </cell>
          <cell r="S11628">
            <v>-12211.38</v>
          </cell>
          <cell r="X11628" t="str">
            <v>Variation UPR - gross</v>
          </cell>
          <cell r="Y11628" t="str">
            <v>UNITED KINGDOM</v>
          </cell>
        </row>
        <row r="11629">
          <cell r="L11629" t="str">
            <v>Non-proportional</v>
          </cell>
          <cell r="S11629">
            <v>-28712.75</v>
          </cell>
          <cell r="X11629" t="str">
            <v>Variation UPR - gross</v>
          </cell>
          <cell r="Y11629" t="str">
            <v>UNITED KINGDOM</v>
          </cell>
        </row>
        <row r="11630">
          <cell r="L11630" t="str">
            <v>Non-proportional</v>
          </cell>
          <cell r="S11630">
            <v>-12140.13</v>
          </cell>
          <cell r="X11630" t="str">
            <v>Variation UPR - gross</v>
          </cell>
          <cell r="Y11630" t="str">
            <v>UNITED KINGDOM</v>
          </cell>
        </row>
        <row r="11631">
          <cell r="L11631" t="str">
            <v>Non-proportional</v>
          </cell>
          <cell r="S11631">
            <v>-5586.33</v>
          </cell>
          <cell r="X11631" t="str">
            <v>Variation UPR - gross</v>
          </cell>
          <cell r="Y11631" t="str">
            <v>GERMANY</v>
          </cell>
        </row>
        <row r="11632">
          <cell r="L11632" t="str">
            <v>Non-proportional</v>
          </cell>
          <cell r="S11632">
            <v>-10594.94</v>
          </cell>
          <cell r="X11632" t="str">
            <v>Variation UPR - gross</v>
          </cell>
          <cell r="Y11632" t="str">
            <v>GERMANY</v>
          </cell>
        </row>
        <row r="11633">
          <cell r="L11633" t="str">
            <v>Non-proportional</v>
          </cell>
          <cell r="S11633">
            <v>-11671.35</v>
          </cell>
          <cell r="X11633" t="str">
            <v>Variation UPR - gross</v>
          </cell>
          <cell r="Y11633" t="str">
            <v>UNITED KINGDOM</v>
          </cell>
        </row>
        <row r="11634">
          <cell r="L11634" t="str">
            <v>Non-proportional</v>
          </cell>
          <cell r="S11634">
            <v>-9917.92</v>
          </cell>
          <cell r="X11634" t="str">
            <v>Variation UPR - gross</v>
          </cell>
          <cell r="Y11634" t="str">
            <v>CZECH REPUBLIC</v>
          </cell>
        </row>
        <row r="11635">
          <cell r="L11635" t="str">
            <v>Non-proportional</v>
          </cell>
          <cell r="S11635">
            <v>-0.06</v>
          </cell>
          <cell r="X11635" t="str">
            <v>Variation UPR - gross</v>
          </cell>
          <cell r="Y11635" t="str">
            <v>ICELAND</v>
          </cell>
        </row>
        <row r="11636">
          <cell r="L11636" t="str">
            <v>Non-proportional</v>
          </cell>
          <cell r="S11636">
            <v>-9999.66</v>
          </cell>
          <cell r="X11636" t="str">
            <v>Variation UPR - gross</v>
          </cell>
          <cell r="Y11636" t="str">
            <v>GERMANY</v>
          </cell>
        </row>
        <row r="11637">
          <cell r="L11637" t="str">
            <v>Non-proportional</v>
          </cell>
          <cell r="S11637">
            <v>-4459.21</v>
          </cell>
          <cell r="X11637" t="str">
            <v>Variation UPR - gross</v>
          </cell>
          <cell r="Y11637" t="str">
            <v>DENMARK</v>
          </cell>
        </row>
        <row r="11638">
          <cell r="L11638" t="str">
            <v>Non-proportional</v>
          </cell>
          <cell r="S11638">
            <v>-3531.51</v>
          </cell>
          <cell r="X11638" t="str">
            <v>Variation UPR - gross</v>
          </cell>
          <cell r="Y11638" t="str">
            <v>FAROE ISLANDS</v>
          </cell>
        </row>
        <row r="11639">
          <cell r="L11639" t="str">
            <v>Non-proportional</v>
          </cell>
          <cell r="S11639">
            <v>-313.67</v>
          </cell>
          <cell r="X11639" t="str">
            <v>Variation UPR - gross</v>
          </cell>
          <cell r="Y11639" t="str">
            <v>DENMARK</v>
          </cell>
        </row>
        <row r="11640">
          <cell r="L11640" t="str">
            <v>Non-proportional</v>
          </cell>
          <cell r="S11640">
            <v>1.98</v>
          </cell>
          <cell r="X11640" t="str">
            <v>Variation UPR - gross</v>
          </cell>
          <cell r="Y11640" t="str">
            <v>SWEDEN</v>
          </cell>
        </row>
        <row r="11641">
          <cell r="L11641" t="str">
            <v>Non-proportional</v>
          </cell>
          <cell r="S11641">
            <v>-11.06</v>
          </cell>
          <cell r="X11641" t="str">
            <v>Variation UPR - gross</v>
          </cell>
          <cell r="Y11641" t="str">
            <v>NORWAY</v>
          </cell>
        </row>
        <row r="11642">
          <cell r="L11642" t="str">
            <v>Non-proportional</v>
          </cell>
          <cell r="S11642">
            <v>-9751.23</v>
          </cell>
          <cell r="X11642" t="str">
            <v>Variation UPR - gross</v>
          </cell>
          <cell r="Y11642" t="str">
            <v>GERMANY</v>
          </cell>
        </row>
        <row r="11643">
          <cell r="L11643" t="str">
            <v>Non-proportional</v>
          </cell>
          <cell r="S11643">
            <v>-18706.169999999998</v>
          </cell>
          <cell r="X11643" t="str">
            <v>Variation UPR - gross</v>
          </cell>
          <cell r="Y11643" t="str">
            <v>GERMANY</v>
          </cell>
        </row>
        <row r="11644">
          <cell r="L11644" t="str">
            <v>Non-proportional</v>
          </cell>
          <cell r="S11644">
            <v>5.69</v>
          </cell>
          <cell r="X11644" t="str">
            <v>Variation UPR - gross</v>
          </cell>
          <cell r="Y11644" t="str">
            <v>DENMARK</v>
          </cell>
        </row>
        <row r="11645">
          <cell r="L11645" t="str">
            <v>Non-proportional</v>
          </cell>
          <cell r="S11645">
            <v>-4573.13</v>
          </cell>
          <cell r="X11645" t="str">
            <v>Variation UPR - gross</v>
          </cell>
          <cell r="Y11645" t="str">
            <v>EUROPE</v>
          </cell>
        </row>
        <row r="11646">
          <cell r="L11646" t="str">
            <v>Non-proportional</v>
          </cell>
          <cell r="S11646">
            <v>-6638.42</v>
          </cell>
          <cell r="X11646" t="str">
            <v>Variation UPR - gross</v>
          </cell>
          <cell r="Y11646" t="str">
            <v>EUROPE</v>
          </cell>
        </row>
        <row r="11647">
          <cell r="L11647" t="str">
            <v>Non-proportional</v>
          </cell>
          <cell r="S11647">
            <v>134952.04</v>
          </cell>
          <cell r="X11647" t="str">
            <v>Variation UPR - gross</v>
          </cell>
          <cell r="Y11647" t="str">
            <v>GERMANY</v>
          </cell>
        </row>
        <row r="11648">
          <cell r="L11648" t="str">
            <v>Non-proportional</v>
          </cell>
          <cell r="S11648">
            <v>-11337.06</v>
          </cell>
          <cell r="X11648" t="str">
            <v>Variation UPR - gross</v>
          </cell>
          <cell r="Y11648" t="str">
            <v>UNITED KINGDOM</v>
          </cell>
        </row>
        <row r="11649">
          <cell r="L11649" t="str">
            <v>Non-proportional</v>
          </cell>
          <cell r="S11649">
            <v>-8970.6200000000008</v>
          </cell>
          <cell r="X11649" t="str">
            <v>Variation UPR - gross</v>
          </cell>
          <cell r="Y11649" t="str">
            <v>GERMANY</v>
          </cell>
        </row>
        <row r="11650">
          <cell r="L11650" t="str">
            <v>Non-proportional</v>
          </cell>
          <cell r="S11650">
            <v>-5362.5</v>
          </cell>
          <cell r="X11650" t="str">
            <v>Variation UPR - gross</v>
          </cell>
          <cell r="Y11650" t="str">
            <v>GERMANY</v>
          </cell>
        </row>
        <row r="11651">
          <cell r="L11651" t="str">
            <v>Non-proportional</v>
          </cell>
          <cell r="S11651">
            <v>-34962.04</v>
          </cell>
          <cell r="X11651" t="str">
            <v>Variation UPR - gross</v>
          </cell>
          <cell r="Y11651" t="str">
            <v>UNITED KINGDOM</v>
          </cell>
        </row>
        <row r="11652">
          <cell r="L11652" t="str">
            <v>Non-proportional</v>
          </cell>
          <cell r="S11652">
            <v>-3333.42</v>
          </cell>
          <cell r="X11652" t="str">
            <v>Variation UPR - gross</v>
          </cell>
          <cell r="Y11652" t="str">
            <v>ITALY</v>
          </cell>
        </row>
        <row r="11653">
          <cell r="L11653" t="str">
            <v>Non-proportional</v>
          </cell>
          <cell r="S11653">
            <v>-6416.67</v>
          </cell>
          <cell r="X11653" t="str">
            <v>Variation UPR - gross</v>
          </cell>
          <cell r="Y11653" t="str">
            <v>GERMANY</v>
          </cell>
        </row>
        <row r="11654">
          <cell r="L11654" t="str">
            <v>Non-proportional</v>
          </cell>
          <cell r="S11654">
            <v>-9128.9599999999991</v>
          </cell>
          <cell r="X11654" t="str">
            <v>Variation UPR - gross</v>
          </cell>
          <cell r="Y11654" t="str">
            <v>GERMANY</v>
          </cell>
        </row>
        <row r="11655">
          <cell r="L11655" t="str">
            <v>Non-proportional</v>
          </cell>
          <cell r="S11655">
            <v>-3375</v>
          </cell>
          <cell r="X11655" t="str">
            <v>Variation UPR - gross</v>
          </cell>
          <cell r="Y11655" t="str">
            <v>GERMANY</v>
          </cell>
        </row>
        <row r="11656">
          <cell r="L11656" t="str">
            <v>Non-proportional</v>
          </cell>
          <cell r="S11656">
            <v>26351.86</v>
          </cell>
          <cell r="X11656" t="str">
            <v>Variation UPR - gross</v>
          </cell>
          <cell r="Y11656" t="str">
            <v>UNITED ARAB EMIRATES</v>
          </cell>
        </row>
        <row r="11657">
          <cell r="L11657" t="str">
            <v>Non-proportional</v>
          </cell>
          <cell r="S11657">
            <v>-20770.63</v>
          </cell>
          <cell r="X11657" t="str">
            <v>Variation UPR - gross</v>
          </cell>
          <cell r="Y11657" t="str">
            <v>FRANCE</v>
          </cell>
        </row>
        <row r="11658">
          <cell r="L11658" t="str">
            <v>Non-proportional</v>
          </cell>
          <cell r="S11658">
            <v>-5258.03</v>
          </cell>
          <cell r="X11658" t="str">
            <v>Variation UPR - gross</v>
          </cell>
          <cell r="Y11658" t="str">
            <v>NORWAY</v>
          </cell>
        </row>
        <row r="11659">
          <cell r="L11659" t="str">
            <v>Non-proportional</v>
          </cell>
          <cell r="S11659">
            <v>-0.44</v>
          </cell>
          <cell r="X11659" t="str">
            <v>Variation UPR - gross</v>
          </cell>
          <cell r="Y11659" t="str">
            <v>DENMARK</v>
          </cell>
        </row>
        <row r="11660">
          <cell r="L11660" t="str">
            <v>Non-proportional</v>
          </cell>
          <cell r="S11660">
            <v>17089.310000000001</v>
          </cell>
          <cell r="X11660" t="str">
            <v>Variation UPR - gross</v>
          </cell>
          <cell r="Y11660" t="str">
            <v>REPUBLIC OF IRELAND</v>
          </cell>
        </row>
        <row r="11661">
          <cell r="L11661" t="str">
            <v>Non-proportional</v>
          </cell>
          <cell r="S11661">
            <v>-8191.14</v>
          </cell>
          <cell r="X11661" t="str">
            <v>Variation UPR - gross</v>
          </cell>
          <cell r="Y11661" t="str">
            <v>POLAND</v>
          </cell>
        </row>
        <row r="11662">
          <cell r="L11662" t="str">
            <v>Non-proportional</v>
          </cell>
          <cell r="S11662">
            <v>2.76</v>
          </cell>
          <cell r="X11662" t="str">
            <v>Variation UPR - gross</v>
          </cell>
          <cell r="Y11662" t="str">
            <v>DENMARK</v>
          </cell>
        </row>
        <row r="11663">
          <cell r="L11663" t="str">
            <v>Non-proportional</v>
          </cell>
          <cell r="S11663">
            <v>-712.56</v>
          </cell>
          <cell r="X11663" t="str">
            <v>Variation UPR - gross</v>
          </cell>
          <cell r="Y11663" t="str">
            <v>JAPAN</v>
          </cell>
        </row>
        <row r="11664">
          <cell r="L11664" t="str">
            <v>Non-proportional</v>
          </cell>
          <cell r="S11664">
            <v>-13399.72</v>
          </cell>
          <cell r="X11664" t="str">
            <v>Variation UPR - gross</v>
          </cell>
          <cell r="Y11664" t="str">
            <v>GERMANY</v>
          </cell>
        </row>
        <row r="11665">
          <cell r="L11665" t="str">
            <v>Non-proportional</v>
          </cell>
          <cell r="S11665">
            <v>-23401.8</v>
          </cell>
          <cell r="X11665" t="str">
            <v>Variation UPR - gross</v>
          </cell>
          <cell r="Y11665" t="str">
            <v>GERMANY</v>
          </cell>
        </row>
        <row r="11666">
          <cell r="L11666" t="str">
            <v>Non-proportional</v>
          </cell>
          <cell r="S11666">
            <v>-37346.01</v>
          </cell>
          <cell r="X11666" t="str">
            <v>Variation UPR - gross</v>
          </cell>
          <cell r="Y11666" t="str">
            <v>FRANCE</v>
          </cell>
        </row>
        <row r="11667">
          <cell r="L11667" t="str">
            <v>Non-proportional</v>
          </cell>
          <cell r="S11667">
            <v>-2712.75</v>
          </cell>
          <cell r="X11667" t="str">
            <v>Variation UPR - gross</v>
          </cell>
          <cell r="Y11667" t="str">
            <v>GERMANY</v>
          </cell>
        </row>
        <row r="11668">
          <cell r="L11668" t="str">
            <v>Non-proportional</v>
          </cell>
          <cell r="S11668">
            <v>-3179.56</v>
          </cell>
          <cell r="X11668" t="str">
            <v>Variation UPR - gross</v>
          </cell>
          <cell r="Y11668" t="str">
            <v>UNITED KINGDOM</v>
          </cell>
        </row>
        <row r="11669">
          <cell r="L11669" t="str">
            <v>Non-proportional</v>
          </cell>
          <cell r="S11669">
            <v>-865.58</v>
          </cell>
          <cell r="X11669" t="str">
            <v>Variation UPR - gross</v>
          </cell>
          <cell r="Y11669" t="str">
            <v>ITALY</v>
          </cell>
        </row>
        <row r="11670">
          <cell r="L11670" t="str">
            <v>Non-proportional</v>
          </cell>
          <cell r="S11670">
            <v>-27092.73</v>
          </cell>
          <cell r="X11670" t="str">
            <v>Variation UPR - gross</v>
          </cell>
          <cell r="Y11670" t="str">
            <v>UNITED KINGDOM</v>
          </cell>
        </row>
        <row r="11671">
          <cell r="L11671" t="str">
            <v>Non-proportional</v>
          </cell>
          <cell r="S11671">
            <v>-2357.5</v>
          </cell>
          <cell r="X11671" t="str">
            <v>Variation UPR - gross</v>
          </cell>
          <cell r="Y11671" t="str">
            <v>GERMANY</v>
          </cell>
        </row>
        <row r="11672">
          <cell r="L11672" t="str">
            <v>Non-proportional</v>
          </cell>
          <cell r="S11672">
            <v>-18807.28</v>
          </cell>
          <cell r="X11672" t="str">
            <v>Variation UPR - gross</v>
          </cell>
          <cell r="Y11672" t="str">
            <v>REPUBLIC OF IRELAND</v>
          </cell>
        </row>
        <row r="11673">
          <cell r="L11673" t="str">
            <v>Non-proportional</v>
          </cell>
          <cell r="S11673">
            <v>-2587.16</v>
          </cell>
          <cell r="X11673" t="str">
            <v>Variation UPR - gross</v>
          </cell>
          <cell r="Y11673" t="str">
            <v>JAPAN</v>
          </cell>
        </row>
        <row r="11674">
          <cell r="L11674" t="str">
            <v>Non-proportional</v>
          </cell>
          <cell r="S11674">
            <v>-19606.060000000001</v>
          </cell>
          <cell r="X11674" t="str">
            <v>Variation UPR - gross</v>
          </cell>
          <cell r="Y11674" t="str">
            <v>FRANCE</v>
          </cell>
        </row>
        <row r="11675">
          <cell r="L11675" t="str">
            <v>Non-proportional</v>
          </cell>
          <cell r="S11675">
            <v>-5373.21</v>
          </cell>
          <cell r="X11675" t="str">
            <v>Variation UPR - gross</v>
          </cell>
          <cell r="Y11675" t="str">
            <v>DENMARK</v>
          </cell>
        </row>
        <row r="11676">
          <cell r="L11676" t="str">
            <v>Non-proportional</v>
          </cell>
          <cell r="S11676">
            <v>-3083.39</v>
          </cell>
          <cell r="X11676" t="str">
            <v>Variation UPR - gross</v>
          </cell>
          <cell r="Y11676" t="str">
            <v>EUROPE</v>
          </cell>
        </row>
        <row r="11677">
          <cell r="L11677" t="str">
            <v>Non-proportional</v>
          </cell>
          <cell r="S11677">
            <v>9.0399999999999991</v>
          </cell>
          <cell r="X11677" t="str">
            <v>Variation UPR - gross</v>
          </cell>
          <cell r="Y11677" t="str">
            <v>SWEDEN</v>
          </cell>
        </row>
        <row r="11678">
          <cell r="L11678" t="str">
            <v>Non-proportional</v>
          </cell>
          <cell r="S11678">
            <v>-14058.31</v>
          </cell>
          <cell r="X11678" t="str">
            <v>Variation UPR - gross</v>
          </cell>
          <cell r="Y11678" t="str">
            <v>EIRE</v>
          </cell>
        </row>
        <row r="11679">
          <cell r="L11679" t="str">
            <v>Non-proportional</v>
          </cell>
          <cell r="S11679">
            <v>0.45</v>
          </cell>
          <cell r="X11679" t="str">
            <v>Variation UPR - gross</v>
          </cell>
          <cell r="Y11679" t="str">
            <v>DENMARK</v>
          </cell>
        </row>
        <row r="11680">
          <cell r="L11680" t="str">
            <v>Non-proportional</v>
          </cell>
          <cell r="S11680">
            <v>-33726.39</v>
          </cell>
          <cell r="X11680" t="str">
            <v>Variation UPR - gross</v>
          </cell>
          <cell r="Y11680" t="str">
            <v>FRANCE</v>
          </cell>
        </row>
        <row r="11681">
          <cell r="L11681" t="str">
            <v>Non-proportional</v>
          </cell>
          <cell r="S11681">
            <v>-1962.32</v>
          </cell>
          <cell r="X11681" t="str">
            <v>Variation UPR - gross</v>
          </cell>
          <cell r="Y11681" t="str">
            <v>GERMANY</v>
          </cell>
        </row>
        <row r="11682">
          <cell r="L11682" t="str">
            <v>Non-proportional</v>
          </cell>
          <cell r="S11682">
            <v>-3329.84</v>
          </cell>
          <cell r="X11682" t="str">
            <v>Variation UPR - gross</v>
          </cell>
          <cell r="Y11682" t="str">
            <v>GERMANY</v>
          </cell>
        </row>
        <row r="11683">
          <cell r="L11683" t="str">
            <v>Non-proportional</v>
          </cell>
          <cell r="S11683">
            <v>-11354.85</v>
          </cell>
          <cell r="X11683" t="str">
            <v>Variation UPR - gross</v>
          </cell>
          <cell r="Y11683" t="str">
            <v>GERMANY</v>
          </cell>
        </row>
        <row r="11684">
          <cell r="L11684" t="str">
            <v>Non-proportional</v>
          </cell>
          <cell r="S11684">
            <v>-108286.97</v>
          </cell>
          <cell r="X11684" t="str">
            <v>Variation UPR - gross</v>
          </cell>
          <cell r="Y11684" t="str">
            <v>UNITED KINGDOM</v>
          </cell>
        </row>
        <row r="11685">
          <cell r="L11685" t="str">
            <v>Non-proportional</v>
          </cell>
          <cell r="S11685">
            <v>-750</v>
          </cell>
          <cell r="X11685" t="str">
            <v>Variation UPR - gross</v>
          </cell>
          <cell r="Y11685" t="str">
            <v>GERMANY</v>
          </cell>
        </row>
        <row r="11686">
          <cell r="L11686" t="str">
            <v>Non-proportional</v>
          </cell>
          <cell r="S11686">
            <v>-3262.5</v>
          </cell>
          <cell r="X11686" t="str">
            <v>Variation UPR - gross</v>
          </cell>
          <cell r="Y11686" t="str">
            <v>ROMANIA</v>
          </cell>
        </row>
        <row r="11687">
          <cell r="L11687" t="str">
            <v>Non-proportional</v>
          </cell>
          <cell r="S11687">
            <v>-5952.12</v>
          </cell>
          <cell r="X11687" t="str">
            <v>Variation UPR - gross</v>
          </cell>
          <cell r="Y11687" t="str">
            <v>UNITED KINGDOM</v>
          </cell>
        </row>
        <row r="11688">
          <cell r="L11688" t="str">
            <v>Non-proportional</v>
          </cell>
          <cell r="S11688">
            <v>-4984.72</v>
          </cell>
          <cell r="X11688" t="str">
            <v>Variation UPR - gross</v>
          </cell>
          <cell r="Y11688" t="str">
            <v>GERMANY</v>
          </cell>
        </row>
        <row r="11689">
          <cell r="L11689" t="str">
            <v>Non-proportional</v>
          </cell>
          <cell r="S11689">
            <v>-7893.63</v>
          </cell>
          <cell r="X11689" t="str">
            <v>Variation UPR - gross</v>
          </cell>
          <cell r="Y11689" t="str">
            <v>DENMARK</v>
          </cell>
        </row>
        <row r="11690">
          <cell r="L11690" t="str">
            <v>Non-proportional</v>
          </cell>
          <cell r="S11690">
            <v>-14632</v>
          </cell>
          <cell r="X11690" t="str">
            <v>Variation UPR - gross</v>
          </cell>
          <cell r="Y11690" t="str">
            <v>GERMANY</v>
          </cell>
        </row>
        <row r="11691">
          <cell r="L11691" t="str">
            <v>Non-proportional</v>
          </cell>
          <cell r="S11691">
            <v>-11855.71</v>
          </cell>
          <cell r="X11691" t="str">
            <v>Variation UPR - gross</v>
          </cell>
          <cell r="Y11691" t="str">
            <v>UNITED KINGDOM</v>
          </cell>
        </row>
        <row r="11692">
          <cell r="L11692" t="str">
            <v>Non-proportional</v>
          </cell>
          <cell r="S11692">
            <v>41690.120000000003</v>
          </cell>
          <cell r="X11692" t="str">
            <v>Variation UPR - gross</v>
          </cell>
          <cell r="Y11692" t="str">
            <v>REPUBLIC OF IRELAND</v>
          </cell>
        </row>
        <row r="11693">
          <cell r="L11693" t="str">
            <v>Proportional</v>
          </cell>
          <cell r="S11693">
            <v>-160112.5</v>
          </cell>
          <cell r="X11693" t="str">
            <v>Variation UPR - gross</v>
          </cell>
          <cell r="Y11693" t="str">
            <v>AUSTRIA</v>
          </cell>
        </row>
        <row r="11694">
          <cell r="L11694" t="str">
            <v>Non-proportional</v>
          </cell>
          <cell r="S11694">
            <v>-1122.3</v>
          </cell>
          <cell r="X11694" t="str">
            <v>Variation UPR - gross</v>
          </cell>
          <cell r="Y11694" t="str">
            <v>ITALY</v>
          </cell>
        </row>
        <row r="11695">
          <cell r="L11695" t="str">
            <v>Non-proportional</v>
          </cell>
          <cell r="S11695">
            <v>-23058.97</v>
          </cell>
          <cell r="X11695" t="str">
            <v>Variation UPR - gross</v>
          </cell>
          <cell r="Y11695" t="str">
            <v>FRANCE</v>
          </cell>
        </row>
        <row r="11696">
          <cell r="L11696" t="str">
            <v>Non-proportional</v>
          </cell>
          <cell r="S11696">
            <v>-1130.3399999999999</v>
          </cell>
          <cell r="X11696" t="str">
            <v>Variation UPR - gross</v>
          </cell>
          <cell r="Y11696" t="str">
            <v>UNITED KINGDOM</v>
          </cell>
        </row>
        <row r="11697">
          <cell r="L11697" t="str">
            <v>Non-proportional</v>
          </cell>
          <cell r="S11697">
            <v>-3767.78</v>
          </cell>
          <cell r="X11697" t="str">
            <v>Variation UPR - gross</v>
          </cell>
          <cell r="Y11697" t="str">
            <v>UNITED KINGDOM</v>
          </cell>
        </row>
        <row r="11698">
          <cell r="L11698" t="str">
            <v>Non-proportional</v>
          </cell>
          <cell r="S11698">
            <v>-64952.97</v>
          </cell>
          <cell r="X11698" t="str">
            <v>Variation UPR - gross</v>
          </cell>
          <cell r="Y11698" t="str">
            <v>REPUBLIC OF IRELAND</v>
          </cell>
        </row>
        <row r="11699">
          <cell r="L11699" t="str">
            <v>Non-proportional</v>
          </cell>
          <cell r="S11699">
            <v>572160.81999999995</v>
          </cell>
          <cell r="X11699" t="str">
            <v>Variation UPR - gross</v>
          </cell>
          <cell r="Y11699" t="str">
            <v>UNITED KINGDOM</v>
          </cell>
        </row>
        <row r="11700">
          <cell r="L11700" t="str">
            <v>Non-proportional</v>
          </cell>
          <cell r="S11700">
            <v>26765.54</v>
          </cell>
          <cell r="X11700" t="str">
            <v>Variation UPR - gross</v>
          </cell>
          <cell r="Y11700" t="str">
            <v>AUSTRALIA</v>
          </cell>
        </row>
        <row r="11701">
          <cell r="L11701" t="str">
            <v>Non-proportional</v>
          </cell>
          <cell r="S11701">
            <v>-5172.55</v>
          </cell>
          <cell r="X11701" t="str">
            <v>Variation UPR - gross</v>
          </cell>
          <cell r="Y11701" t="str">
            <v>SWITZERLAND</v>
          </cell>
        </row>
        <row r="11702">
          <cell r="L11702" t="str">
            <v>Non-proportional</v>
          </cell>
          <cell r="S11702">
            <v>-12284.03</v>
          </cell>
          <cell r="X11702" t="str">
            <v>Variation UPR - gross</v>
          </cell>
          <cell r="Y11702" t="str">
            <v>DENMARK</v>
          </cell>
        </row>
        <row r="11703">
          <cell r="L11703" t="str">
            <v>Non-proportional</v>
          </cell>
          <cell r="S11703">
            <v>-13041.28</v>
          </cell>
          <cell r="X11703" t="str">
            <v>Variation UPR - gross</v>
          </cell>
          <cell r="Y11703" t="str">
            <v>UNITED KINGDOM</v>
          </cell>
        </row>
        <row r="11704">
          <cell r="L11704" t="str">
            <v>Non-proportional</v>
          </cell>
          <cell r="S11704">
            <v>17453.830000000002</v>
          </cell>
          <cell r="X11704" t="str">
            <v>Variation UPR - gross</v>
          </cell>
          <cell r="Y11704" t="str">
            <v>UNITED ARAB EMIRATES</v>
          </cell>
        </row>
        <row r="11705">
          <cell r="L11705" t="str">
            <v>Non-proportional</v>
          </cell>
          <cell r="S11705">
            <v>-15832.43</v>
          </cell>
          <cell r="X11705" t="str">
            <v>Variation UPR - gross</v>
          </cell>
          <cell r="Y11705" t="str">
            <v>GERMANY</v>
          </cell>
        </row>
        <row r="11706">
          <cell r="L11706" t="str">
            <v>Non-proportional</v>
          </cell>
          <cell r="S11706">
            <v>-6250.52</v>
          </cell>
          <cell r="X11706" t="str">
            <v>Variation UPR - gross</v>
          </cell>
          <cell r="Y11706" t="str">
            <v>GERMANY</v>
          </cell>
        </row>
        <row r="11707">
          <cell r="L11707" t="str">
            <v>Non-proportional</v>
          </cell>
          <cell r="S11707">
            <v>-11882.26</v>
          </cell>
          <cell r="X11707" t="str">
            <v>Variation UPR - gross</v>
          </cell>
          <cell r="Y11707" t="str">
            <v>EUROPE</v>
          </cell>
        </row>
        <row r="11708">
          <cell r="L11708" t="str">
            <v>Non-proportional</v>
          </cell>
          <cell r="S11708">
            <v>-3602.14</v>
          </cell>
          <cell r="X11708" t="str">
            <v>Variation UPR - gross</v>
          </cell>
          <cell r="Y11708" t="str">
            <v>FAROE ISLANDS</v>
          </cell>
        </row>
        <row r="11709">
          <cell r="L11709" t="str">
            <v>Non-proportional</v>
          </cell>
          <cell r="S11709">
            <v>91895.75</v>
          </cell>
          <cell r="X11709" t="str">
            <v>Variation UPR - gross</v>
          </cell>
          <cell r="Y11709" t="str">
            <v>DENMARK</v>
          </cell>
        </row>
        <row r="11710">
          <cell r="L11710" t="str">
            <v>Non-proportional</v>
          </cell>
          <cell r="S11710">
            <v>-17209.849999999999</v>
          </cell>
          <cell r="X11710" t="str">
            <v>Variation UPR - gross</v>
          </cell>
          <cell r="Y11710" t="str">
            <v>SWITZERLAND</v>
          </cell>
        </row>
        <row r="11711">
          <cell r="L11711" t="str">
            <v>Non-proportional</v>
          </cell>
          <cell r="S11711">
            <v>-18837.43</v>
          </cell>
          <cell r="X11711" t="str">
            <v>Variation UPR - gross</v>
          </cell>
          <cell r="Y11711" t="str">
            <v>SWEDEN</v>
          </cell>
        </row>
        <row r="11712">
          <cell r="L11712" t="str">
            <v>Non-proportional</v>
          </cell>
          <cell r="S11712">
            <v>-21377.86</v>
          </cell>
          <cell r="X11712" t="str">
            <v>Variation UPR - gross</v>
          </cell>
          <cell r="Y11712" t="str">
            <v>SWITZERLAND</v>
          </cell>
        </row>
        <row r="11713">
          <cell r="L11713" t="str">
            <v>Non-proportional</v>
          </cell>
          <cell r="S11713">
            <v>-42517.05</v>
          </cell>
          <cell r="X11713" t="str">
            <v>Variation UPR - gross</v>
          </cell>
          <cell r="Y11713" t="str">
            <v>UNITED KINGDOM</v>
          </cell>
        </row>
        <row r="11714">
          <cell r="L11714" t="str">
            <v>Non-proportional</v>
          </cell>
          <cell r="S11714">
            <v>10.14</v>
          </cell>
          <cell r="X11714" t="str">
            <v>Variation UPR - gross</v>
          </cell>
          <cell r="Y11714" t="str">
            <v>SWEDEN</v>
          </cell>
        </row>
        <row r="11715">
          <cell r="L11715" t="str">
            <v>Non-proportional</v>
          </cell>
          <cell r="S11715">
            <v>-2024.25</v>
          </cell>
          <cell r="X11715" t="str">
            <v>Variation UPR - gross</v>
          </cell>
          <cell r="Y11715" t="str">
            <v>JAPAN</v>
          </cell>
        </row>
        <row r="11716">
          <cell r="L11716" t="str">
            <v>Non-proportional</v>
          </cell>
          <cell r="S11716">
            <v>-3617.46</v>
          </cell>
          <cell r="X11716" t="str">
            <v>Variation UPR - gross</v>
          </cell>
          <cell r="Y11716" t="str">
            <v>FRANCE</v>
          </cell>
        </row>
        <row r="11717">
          <cell r="L11717" t="str">
            <v>Non-proportional</v>
          </cell>
          <cell r="S11717">
            <v>-126745.16</v>
          </cell>
          <cell r="X11717" t="str">
            <v>Variation UPR - gross</v>
          </cell>
          <cell r="Y11717" t="str">
            <v>UNITED KINGDOM</v>
          </cell>
        </row>
        <row r="11718">
          <cell r="L11718" t="str">
            <v>Non-proportional</v>
          </cell>
          <cell r="S11718">
            <v>-20924.87</v>
          </cell>
          <cell r="X11718" t="str">
            <v>Variation UPR - gross</v>
          </cell>
          <cell r="Y11718" t="str">
            <v>FRANCE</v>
          </cell>
        </row>
        <row r="11719">
          <cell r="L11719" t="str">
            <v>Non-proportional</v>
          </cell>
          <cell r="S11719">
            <v>181333.99</v>
          </cell>
          <cell r="X11719" t="str">
            <v>Variation UPR - gross</v>
          </cell>
          <cell r="Y11719" t="str">
            <v>UNITED KINGDOM</v>
          </cell>
        </row>
        <row r="11720">
          <cell r="L11720" t="str">
            <v>Non-proportional</v>
          </cell>
          <cell r="S11720">
            <v>-4112.1499999999996</v>
          </cell>
          <cell r="X11720" t="str">
            <v>Variation UPR - gross</v>
          </cell>
          <cell r="Y11720" t="str">
            <v>AUSTRIA</v>
          </cell>
        </row>
        <row r="11721">
          <cell r="L11721" t="str">
            <v>Non-proportional</v>
          </cell>
          <cell r="S11721">
            <v>-40967.519999999997</v>
          </cell>
          <cell r="X11721" t="str">
            <v>Variation UPR - gross</v>
          </cell>
          <cell r="Y11721" t="str">
            <v>SWITZERLAND</v>
          </cell>
        </row>
        <row r="11722">
          <cell r="L11722" t="str">
            <v>Non-proportional</v>
          </cell>
          <cell r="S11722">
            <v>-5868.57</v>
          </cell>
          <cell r="X11722" t="str">
            <v>Variation UPR - gross</v>
          </cell>
          <cell r="Y11722" t="str">
            <v>UNITED KINGDOM</v>
          </cell>
        </row>
        <row r="11723">
          <cell r="L11723" t="str">
            <v>Non-proportional</v>
          </cell>
          <cell r="S11723">
            <v>-14008.64</v>
          </cell>
          <cell r="X11723" t="str">
            <v>Variation UPR - gross</v>
          </cell>
          <cell r="Y11723" t="str">
            <v>GERMANY</v>
          </cell>
        </row>
        <row r="11724">
          <cell r="L11724" t="str">
            <v>Proportional</v>
          </cell>
          <cell r="S11724">
            <v>-17296.77</v>
          </cell>
          <cell r="X11724" t="str">
            <v>Variation UPR - gross</v>
          </cell>
          <cell r="Y11724" t="str">
            <v>GERMANY</v>
          </cell>
        </row>
        <row r="11725">
          <cell r="L11725" t="str">
            <v>Non-proportional</v>
          </cell>
          <cell r="S11725">
            <v>-0.03</v>
          </cell>
          <cell r="X11725" t="str">
            <v>Variation UPR - gross</v>
          </cell>
          <cell r="Y11725" t="str">
            <v>ICELAND</v>
          </cell>
        </row>
        <row r="11726">
          <cell r="L11726" t="str">
            <v>Non-proportional</v>
          </cell>
          <cell r="S11726">
            <v>-11697.32</v>
          </cell>
          <cell r="X11726" t="str">
            <v>Variation UPR - gross</v>
          </cell>
          <cell r="Y11726" t="str">
            <v>SWITZERLAND</v>
          </cell>
        </row>
        <row r="11727">
          <cell r="L11727" t="str">
            <v>Non-proportional</v>
          </cell>
          <cell r="S11727">
            <v>-2881.28</v>
          </cell>
          <cell r="X11727" t="str">
            <v>Variation UPR - gross</v>
          </cell>
          <cell r="Y11727" t="str">
            <v>UNITED KINGDOM</v>
          </cell>
        </row>
        <row r="11728">
          <cell r="L11728" t="str">
            <v>Non-proportional</v>
          </cell>
          <cell r="S11728">
            <v>-21269.27</v>
          </cell>
          <cell r="X11728" t="str">
            <v>Variation UPR - gross</v>
          </cell>
          <cell r="Y11728" t="str">
            <v>SPAIN</v>
          </cell>
        </row>
        <row r="11729">
          <cell r="L11729" t="str">
            <v>Non-proportional</v>
          </cell>
          <cell r="S11729">
            <v>-18900</v>
          </cell>
          <cell r="X11729" t="str">
            <v>Variation UPR - gross</v>
          </cell>
          <cell r="Y11729" t="str">
            <v>ROMANIA</v>
          </cell>
        </row>
        <row r="11730">
          <cell r="L11730" t="str">
            <v>Non-proportional</v>
          </cell>
          <cell r="S11730">
            <v>-3516.18</v>
          </cell>
          <cell r="X11730" t="str">
            <v>Variation UPR - gross</v>
          </cell>
          <cell r="Y11730" t="str">
            <v>ICELAND</v>
          </cell>
        </row>
        <row r="11731">
          <cell r="L11731" t="str">
            <v>Proportional</v>
          </cell>
          <cell r="S11731">
            <v>1627216.36</v>
          </cell>
          <cell r="X11731" t="str">
            <v>Variation UPR - gross</v>
          </cell>
          <cell r="Y11731" t="str">
            <v>UNITED STATES</v>
          </cell>
        </row>
        <row r="11732">
          <cell r="L11732" t="str">
            <v>Non-proportional</v>
          </cell>
          <cell r="S11732">
            <v>-20758.62</v>
          </cell>
          <cell r="X11732" t="str">
            <v>Variation UPR - gross</v>
          </cell>
          <cell r="Y11732" t="str">
            <v>EIRE</v>
          </cell>
        </row>
        <row r="11733">
          <cell r="L11733" t="str">
            <v>Non-proportional</v>
          </cell>
          <cell r="S11733">
            <v>-12333.79</v>
          </cell>
          <cell r="X11733" t="str">
            <v>Variation UPR - gross</v>
          </cell>
          <cell r="Y11733" t="str">
            <v>SWEDEN</v>
          </cell>
        </row>
        <row r="11734">
          <cell r="L11734" t="str">
            <v>Non-proportional</v>
          </cell>
          <cell r="S11734">
            <v>6031.51</v>
          </cell>
          <cell r="X11734" t="str">
            <v>Variation UPR - gross</v>
          </cell>
          <cell r="Y11734" t="str">
            <v>REPUBLIC OF IRELAND</v>
          </cell>
        </row>
        <row r="11735">
          <cell r="L11735" t="str">
            <v>Non-proportional</v>
          </cell>
          <cell r="S11735">
            <v>-6037.5</v>
          </cell>
          <cell r="X11735" t="str">
            <v>Variation UPR - gross</v>
          </cell>
          <cell r="Y11735" t="str">
            <v>GERMANY</v>
          </cell>
        </row>
        <row r="11736">
          <cell r="L11736" t="str">
            <v>Non-proportional</v>
          </cell>
          <cell r="S11736">
            <v>-321.45</v>
          </cell>
          <cell r="X11736" t="str">
            <v>Variation UPR - gross</v>
          </cell>
          <cell r="Y11736" t="str">
            <v>FRANCE</v>
          </cell>
        </row>
        <row r="11737">
          <cell r="L11737" t="str">
            <v>Non-proportional</v>
          </cell>
          <cell r="S11737">
            <v>-15838.91</v>
          </cell>
          <cell r="X11737" t="str">
            <v>Variation UPR - gross</v>
          </cell>
          <cell r="Y11737" t="str">
            <v>UNITED KINGDOM</v>
          </cell>
        </row>
        <row r="11738">
          <cell r="L11738" t="str">
            <v>Non-proportional</v>
          </cell>
          <cell r="S11738">
            <v>-1125</v>
          </cell>
          <cell r="X11738" t="str">
            <v>Variation UPR - gross</v>
          </cell>
          <cell r="Y11738" t="str">
            <v>GERMANY</v>
          </cell>
        </row>
        <row r="11739">
          <cell r="L11739" t="str">
            <v>Non-proportional</v>
          </cell>
          <cell r="S11739">
            <v>-13050.01</v>
          </cell>
          <cell r="X11739" t="str">
            <v>Variation UPR - gross</v>
          </cell>
          <cell r="Y11739" t="str">
            <v>UNITED KINGDOM</v>
          </cell>
        </row>
        <row r="11740">
          <cell r="L11740" t="str">
            <v>Non-proportional</v>
          </cell>
          <cell r="S11740">
            <v>-19920.240000000002</v>
          </cell>
          <cell r="X11740" t="str">
            <v>Variation UPR - gross</v>
          </cell>
          <cell r="Y11740" t="str">
            <v>FRANCE</v>
          </cell>
        </row>
        <row r="11741">
          <cell r="L11741" t="str">
            <v>Non-proportional</v>
          </cell>
          <cell r="S11741">
            <v>-8423.33</v>
          </cell>
          <cell r="X11741" t="str">
            <v>Variation UPR - gross</v>
          </cell>
          <cell r="Y11741" t="str">
            <v>ITALY</v>
          </cell>
        </row>
        <row r="11742">
          <cell r="L11742" t="str">
            <v>Non-proportional</v>
          </cell>
          <cell r="S11742">
            <v>-56084.95</v>
          </cell>
          <cell r="X11742" t="str">
            <v>Variation UPR - gross</v>
          </cell>
          <cell r="Y11742" t="str">
            <v>UNITED KINGDOM</v>
          </cell>
        </row>
        <row r="11743">
          <cell r="L11743" t="str">
            <v>Non-proportional</v>
          </cell>
          <cell r="S11743">
            <v>2.99</v>
          </cell>
          <cell r="X11743" t="str">
            <v>Variation UPR - gross</v>
          </cell>
          <cell r="Y11743" t="str">
            <v>DENMARK</v>
          </cell>
        </row>
        <row r="11744">
          <cell r="L11744" t="str">
            <v>Non-proportional</v>
          </cell>
          <cell r="S11744">
            <v>-8369.58</v>
          </cell>
          <cell r="X11744" t="str">
            <v>Variation UPR - gross</v>
          </cell>
          <cell r="Y11744" t="str">
            <v>GERMANY</v>
          </cell>
        </row>
        <row r="11745">
          <cell r="L11745" t="str">
            <v>Non-proportional</v>
          </cell>
          <cell r="S11745">
            <v>64453.95</v>
          </cell>
          <cell r="X11745" t="str">
            <v>Variation UPR - gross</v>
          </cell>
          <cell r="Y11745" t="str">
            <v>REPUBLIC OF IRELAND</v>
          </cell>
        </row>
        <row r="11746">
          <cell r="L11746" t="str">
            <v>Non-proportional</v>
          </cell>
          <cell r="S11746">
            <v>-7674.3</v>
          </cell>
          <cell r="X11746" t="str">
            <v>Variation UPR - gross</v>
          </cell>
          <cell r="Y11746" t="str">
            <v>UNITED KINGDOM</v>
          </cell>
        </row>
        <row r="11747">
          <cell r="L11747" t="str">
            <v>Non-proportional</v>
          </cell>
          <cell r="S11747">
            <v>-2065.29</v>
          </cell>
          <cell r="X11747" t="str">
            <v>Variation UPR - gross</v>
          </cell>
          <cell r="Y11747" t="str">
            <v>EUROPE</v>
          </cell>
        </row>
        <row r="11748">
          <cell r="L11748" t="str">
            <v>Non-proportional</v>
          </cell>
          <cell r="S11748">
            <v>39722.31</v>
          </cell>
          <cell r="X11748" t="str">
            <v>Variation UPR - gross</v>
          </cell>
          <cell r="Y11748" t="str">
            <v>AUSTRALIA</v>
          </cell>
        </row>
        <row r="11749">
          <cell r="L11749" t="str">
            <v>Non-proportional</v>
          </cell>
          <cell r="S11749">
            <v>151111.65</v>
          </cell>
          <cell r="X11749" t="str">
            <v>Variation UPR - gross</v>
          </cell>
          <cell r="Y11749" t="str">
            <v>UNITED KINGDOM</v>
          </cell>
        </row>
        <row r="11750">
          <cell r="L11750" t="str">
            <v>Non-proportional</v>
          </cell>
          <cell r="S11750">
            <v>-57765.43</v>
          </cell>
          <cell r="X11750" t="str">
            <v>Variation UPR - gross</v>
          </cell>
          <cell r="Y11750" t="str">
            <v>UNITED KINGDOM</v>
          </cell>
        </row>
        <row r="11751">
          <cell r="L11751" t="str">
            <v>Non-proportional</v>
          </cell>
          <cell r="S11751">
            <v>-300.83</v>
          </cell>
          <cell r="X11751" t="str">
            <v>Variation UPR - gross</v>
          </cell>
          <cell r="Y11751" t="str">
            <v>ITALY</v>
          </cell>
        </row>
        <row r="11752">
          <cell r="L11752" t="str">
            <v>Non-proportional</v>
          </cell>
          <cell r="S11752">
            <v>-1339.58</v>
          </cell>
          <cell r="X11752" t="str">
            <v>Variation UPR - gross</v>
          </cell>
          <cell r="Y11752" t="str">
            <v>DENMARK</v>
          </cell>
        </row>
        <row r="11753">
          <cell r="L11753" t="str">
            <v>Non-proportional</v>
          </cell>
          <cell r="S11753">
            <v>-20355</v>
          </cell>
          <cell r="X11753" t="str">
            <v>Variation UPR - gross</v>
          </cell>
          <cell r="Y11753" t="str">
            <v>GERMANY</v>
          </cell>
        </row>
        <row r="11754">
          <cell r="L11754" t="str">
            <v>Non-proportional</v>
          </cell>
          <cell r="S11754">
            <v>3.45</v>
          </cell>
          <cell r="X11754" t="str">
            <v>Variation UPR - gross</v>
          </cell>
          <cell r="Y11754" t="str">
            <v>DENMARK</v>
          </cell>
        </row>
        <row r="11755">
          <cell r="L11755" t="str">
            <v>Non-proportional</v>
          </cell>
          <cell r="S11755">
            <v>-7965</v>
          </cell>
          <cell r="X11755" t="str">
            <v>Variation UPR - gross</v>
          </cell>
          <cell r="Y11755" t="str">
            <v>GERMANY</v>
          </cell>
        </row>
        <row r="11756">
          <cell r="L11756" t="str">
            <v>Proportional</v>
          </cell>
          <cell r="S11756">
            <v>-18172.29</v>
          </cell>
          <cell r="X11756" t="str">
            <v>Variation UPR - gross</v>
          </cell>
          <cell r="Y11756" t="str">
            <v>SWITZERLAND</v>
          </cell>
        </row>
        <row r="11757">
          <cell r="L11757" t="str">
            <v>Non-proportional</v>
          </cell>
          <cell r="S11757">
            <v>-761.89</v>
          </cell>
          <cell r="X11757" t="str">
            <v>Variation UPR - gross</v>
          </cell>
          <cell r="Y11757" t="str">
            <v>SWITZERLAND</v>
          </cell>
        </row>
        <row r="11758">
          <cell r="L11758" t="str">
            <v>Non-proportional</v>
          </cell>
          <cell r="S11758">
            <v>-12424.29</v>
          </cell>
          <cell r="X11758" t="str">
            <v>Variation UPR - gross</v>
          </cell>
          <cell r="Y11758" t="str">
            <v>EUROPE</v>
          </cell>
        </row>
        <row r="11759">
          <cell r="L11759" t="str">
            <v>Non-proportional</v>
          </cell>
          <cell r="S11759">
            <v>-781.66</v>
          </cell>
          <cell r="X11759" t="str">
            <v>Variation UPR - gross</v>
          </cell>
          <cell r="Y11759" t="str">
            <v>DENMARK</v>
          </cell>
        </row>
        <row r="11760">
          <cell r="L11760" t="str">
            <v>Non-proportional</v>
          </cell>
          <cell r="S11760">
            <v>4.0599999999999996</v>
          </cell>
          <cell r="X11760" t="str">
            <v>Variation UPR - gross</v>
          </cell>
          <cell r="Y11760" t="str">
            <v>DENMARK</v>
          </cell>
        </row>
        <row r="11761">
          <cell r="L11761" t="str">
            <v>Non-proportional</v>
          </cell>
          <cell r="S11761">
            <v>-175.18</v>
          </cell>
          <cell r="X11761" t="str">
            <v>Variation UPR - gross</v>
          </cell>
          <cell r="Y11761" t="str">
            <v>ITALY</v>
          </cell>
        </row>
        <row r="11762">
          <cell r="L11762" t="str">
            <v>Non-proportional</v>
          </cell>
          <cell r="S11762">
            <v>-7590</v>
          </cell>
          <cell r="X11762" t="str">
            <v>Variation UPR - gross</v>
          </cell>
          <cell r="Y11762" t="str">
            <v>GERMANY</v>
          </cell>
        </row>
        <row r="11763">
          <cell r="L11763" t="str">
            <v>Non-proportional</v>
          </cell>
          <cell r="S11763">
            <v>-6250</v>
          </cell>
          <cell r="X11763" t="str">
            <v>Variation UPR - gross</v>
          </cell>
          <cell r="Y11763" t="str">
            <v>GERMANY</v>
          </cell>
        </row>
        <row r="11764">
          <cell r="L11764" t="str">
            <v>Non-proportional</v>
          </cell>
          <cell r="S11764">
            <v>40283.72</v>
          </cell>
          <cell r="X11764" t="str">
            <v>Variation UPR - gross</v>
          </cell>
          <cell r="Y11764" t="str">
            <v>REPUBLIC OF IRELAND</v>
          </cell>
        </row>
        <row r="11765">
          <cell r="L11765" t="str">
            <v>Non-proportional</v>
          </cell>
          <cell r="S11765">
            <v>-4143.8100000000004</v>
          </cell>
          <cell r="X11765" t="str">
            <v>Variation UPR - gross</v>
          </cell>
          <cell r="Y11765" t="str">
            <v>SWITZERLAND</v>
          </cell>
        </row>
        <row r="11766">
          <cell r="L11766" t="str">
            <v>Non-proportional</v>
          </cell>
          <cell r="S11766">
            <v>15.49</v>
          </cell>
          <cell r="X11766" t="str">
            <v>Variation UPR - gross</v>
          </cell>
          <cell r="Y11766" t="str">
            <v>SWEDEN</v>
          </cell>
        </row>
        <row r="11767">
          <cell r="L11767" t="str">
            <v>Non-proportional</v>
          </cell>
          <cell r="S11767">
            <v>-8625</v>
          </cell>
          <cell r="X11767" t="str">
            <v>Variation UPR - gross</v>
          </cell>
          <cell r="Y11767" t="str">
            <v>GERMANY</v>
          </cell>
        </row>
        <row r="11768">
          <cell r="L11768" t="str">
            <v>Non-proportional</v>
          </cell>
          <cell r="S11768">
            <v>-7454.57</v>
          </cell>
          <cell r="X11768" t="str">
            <v>Variation UPR - gross</v>
          </cell>
          <cell r="Y11768" t="str">
            <v>EUROPE</v>
          </cell>
        </row>
        <row r="11769">
          <cell r="L11769" t="str">
            <v>Non-proportional</v>
          </cell>
          <cell r="S11769">
            <v>-5493.18</v>
          </cell>
          <cell r="X11769" t="str">
            <v>Variation UPR - gross</v>
          </cell>
          <cell r="Y11769" t="str">
            <v>FRANCE</v>
          </cell>
        </row>
        <row r="11770">
          <cell r="L11770" t="str">
            <v>Proportional</v>
          </cell>
          <cell r="S11770">
            <v>130852.67</v>
          </cell>
          <cell r="X11770" t="str">
            <v>Variation UPR - gross</v>
          </cell>
          <cell r="Y11770" t="str">
            <v>UNITED STATES</v>
          </cell>
        </row>
        <row r="11771">
          <cell r="L11771" t="str">
            <v>Non-proportional</v>
          </cell>
          <cell r="S11771">
            <v>-23854.17</v>
          </cell>
          <cell r="X11771" t="str">
            <v>Variation UPR - gross</v>
          </cell>
          <cell r="Y11771" t="str">
            <v>AUSTRIA</v>
          </cell>
        </row>
        <row r="11772">
          <cell r="L11772" t="str">
            <v>Non-proportional</v>
          </cell>
          <cell r="S11772">
            <v>-3900.01</v>
          </cell>
          <cell r="X11772" t="str">
            <v>Variation UPR - gross</v>
          </cell>
          <cell r="Y11772" t="str">
            <v>NORWAY</v>
          </cell>
        </row>
        <row r="11773">
          <cell r="L11773" t="str">
            <v>Non-proportional</v>
          </cell>
          <cell r="S11773">
            <v>-5404.75</v>
          </cell>
          <cell r="X11773" t="str">
            <v>Variation UPR - gross</v>
          </cell>
          <cell r="Y11773" t="str">
            <v>UNITED KINGDOM</v>
          </cell>
        </row>
        <row r="11774">
          <cell r="L11774" t="str">
            <v>Non-proportional</v>
          </cell>
          <cell r="S11774">
            <v>-1108.02</v>
          </cell>
          <cell r="X11774" t="str">
            <v>Variation UPR - gross</v>
          </cell>
          <cell r="Y11774" t="str">
            <v>AUSTRIA</v>
          </cell>
        </row>
        <row r="11775">
          <cell r="L11775" t="str">
            <v>Non-proportional</v>
          </cell>
          <cell r="S11775">
            <v>-25886.33</v>
          </cell>
          <cell r="X11775" t="str">
            <v>Variation UPR - gross</v>
          </cell>
          <cell r="Y11775" t="str">
            <v>CZECH REPUBLIC</v>
          </cell>
        </row>
        <row r="11776">
          <cell r="L11776" t="str">
            <v>Non-proportional</v>
          </cell>
          <cell r="S11776">
            <v>85937.53</v>
          </cell>
          <cell r="X11776" t="str">
            <v>Variation UPR - gross</v>
          </cell>
          <cell r="Y11776" t="str">
            <v>ROMANIA</v>
          </cell>
        </row>
        <row r="11777">
          <cell r="L11777" t="str">
            <v>Non-proportional</v>
          </cell>
          <cell r="S11777">
            <v>-0.01</v>
          </cell>
          <cell r="X11777" t="str">
            <v>Variation UPR - gross</v>
          </cell>
          <cell r="Y11777" t="str">
            <v>JAPAN</v>
          </cell>
        </row>
        <row r="11778">
          <cell r="L11778" t="str">
            <v>Proportional</v>
          </cell>
          <cell r="S11778">
            <v>-16633.93</v>
          </cell>
          <cell r="X11778" t="str">
            <v>Variation UPR - gross</v>
          </cell>
          <cell r="Y11778" t="str">
            <v>UNITED STATES</v>
          </cell>
        </row>
        <row r="11779">
          <cell r="L11779" t="str">
            <v>Non-proportional</v>
          </cell>
          <cell r="S11779">
            <v>-4117.59</v>
          </cell>
          <cell r="X11779" t="str">
            <v>Variation UPR - gross</v>
          </cell>
          <cell r="Y11779" t="str">
            <v>SWITZERLAND</v>
          </cell>
        </row>
        <row r="11780">
          <cell r="L11780" t="str">
            <v>Non-proportional</v>
          </cell>
          <cell r="S11780">
            <v>-15832.7</v>
          </cell>
          <cell r="X11780" t="str">
            <v>Variation UPR - gross</v>
          </cell>
          <cell r="Y11780" t="str">
            <v>UNITED KINGDOM</v>
          </cell>
        </row>
        <row r="11781">
          <cell r="L11781" t="str">
            <v>Non-proportional</v>
          </cell>
          <cell r="S11781">
            <v>-18973.75</v>
          </cell>
          <cell r="X11781" t="str">
            <v>Variation UPR - gross</v>
          </cell>
          <cell r="Y11781" t="str">
            <v>AUSTRIA</v>
          </cell>
        </row>
        <row r="11782">
          <cell r="L11782" t="str">
            <v>Non-proportional</v>
          </cell>
          <cell r="S11782">
            <v>-14632</v>
          </cell>
          <cell r="X11782" t="str">
            <v>Variation UPR - gross</v>
          </cell>
          <cell r="Y11782" t="str">
            <v>GERMANY</v>
          </cell>
        </row>
        <row r="11783">
          <cell r="L11783" t="str">
            <v>Non-proportional</v>
          </cell>
          <cell r="S11783">
            <v>-112.44</v>
          </cell>
          <cell r="X11783" t="str">
            <v>Variation UPR - gross</v>
          </cell>
          <cell r="Y11783" t="str">
            <v>UNITED ARAB EMIRATES</v>
          </cell>
        </row>
        <row r="11784">
          <cell r="L11784" t="str">
            <v>Non-proportional</v>
          </cell>
          <cell r="S11784">
            <v>-5949.79</v>
          </cell>
          <cell r="X11784" t="str">
            <v>Variation UPR - gross</v>
          </cell>
          <cell r="Y11784" t="str">
            <v>UNITED KINGDOM</v>
          </cell>
        </row>
        <row r="11785">
          <cell r="L11785" t="str">
            <v>Non-proportional</v>
          </cell>
          <cell r="S11785">
            <v>33.64</v>
          </cell>
          <cell r="X11785" t="str">
            <v>Variation UPR - gross</v>
          </cell>
          <cell r="Y11785" t="str">
            <v>POLAND</v>
          </cell>
        </row>
        <row r="11786">
          <cell r="L11786" t="str">
            <v>Non-proportional</v>
          </cell>
          <cell r="S11786">
            <v>-3262.5</v>
          </cell>
          <cell r="X11786" t="str">
            <v>Variation UPR - gross</v>
          </cell>
          <cell r="Y11786" t="str">
            <v>ROMANIA</v>
          </cell>
        </row>
        <row r="11787">
          <cell r="L11787" t="str">
            <v>Non-proportional</v>
          </cell>
          <cell r="S11787">
            <v>-5527.05</v>
          </cell>
          <cell r="X11787" t="str">
            <v>Variation UPR - gross</v>
          </cell>
          <cell r="Y11787" t="str">
            <v>GERMANY</v>
          </cell>
        </row>
        <row r="11788">
          <cell r="L11788" t="str">
            <v>Non-proportional</v>
          </cell>
          <cell r="S11788">
            <v>-83.26</v>
          </cell>
          <cell r="X11788" t="str">
            <v>Variation UPR - gross</v>
          </cell>
          <cell r="Y11788" t="str">
            <v>FRANCE</v>
          </cell>
        </row>
        <row r="11789">
          <cell r="L11789" t="str">
            <v>Non-proportional</v>
          </cell>
          <cell r="S11789">
            <v>-3392.5</v>
          </cell>
          <cell r="X11789" t="str">
            <v>Variation UPR - gross</v>
          </cell>
          <cell r="Y11789" t="str">
            <v>ITALY</v>
          </cell>
        </row>
        <row r="11790">
          <cell r="L11790" t="str">
            <v>Non-proportional</v>
          </cell>
          <cell r="S11790">
            <v>-6638.42</v>
          </cell>
          <cell r="X11790" t="str">
            <v>Variation UPR - gross</v>
          </cell>
          <cell r="Y11790" t="str">
            <v>EUROPE</v>
          </cell>
        </row>
        <row r="11791">
          <cell r="L11791" t="str">
            <v>Non-proportional</v>
          </cell>
          <cell r="S11791">
            <v>-718.44</v>
          </cell>
          <cell r="X11791" t="str">
            <v>Variation UPR - gross</v>
          </cell>
          <cell r="Y11791" t="str">
            <v>ITALY</v>
          </cell>
        </row>
        <row r="11792">
          <cell r="L11792" t="str">
            <v>Non-proportional</v>
          </cell>
          <cell r="S11792">
            <v>-18807.28</v>
          </cell>
          <cell r="X11792" t="str">
            <v>Variation UPR - gross</v>
          </cell>
          <cell r="Y11792" t="str">
            <v>REPUBLIC OF IRELAND</v>
          </cell>
        </row>
        <row r="11793">
          <cell r="L11793" t="str">
            <v>Non-proportional</v>
          </cell>
          <cell r="S11793">
            <v>-865.58</v>
          </cell>
          <cell r="X11793" t="str">
            <v>Variation UPR - gross</v>
          </cell>
          <cell r="Y11793" t="str">
            <v>ITALY</v>
          </cell>
        </row>
        <row r="11794">
          <cell r="L11794" t="str">
            <v>Non-proportional</v>
          </cell>
          <cell r="S11794">
            <v>-48700.95</v>
          </cell>
          <cell r="X11794" t="str">
            <v>Variation UPR - gross</v>
          </cell>
          <cell r="Y11794" t="str">
            <v>UNITED KINGDOM</v>
          </cell>
        </row>
        <row r="11795">
          <cell r="L11795" t="str">
            <v>Non-proportional</v>
          </cell>
          <cell r="S11795">
            <v>-6480.42</v>
          </cell>
          <cell r="X11795" t="str">
            <v>Variation UPR - gross</v>
          </cell>
          <cell r="Y11795" t="str">
            <v>REPUBLIC OF IRELAND</v>
          </cell>
        </row>
        <row r="11796">
          <cell r="L11796" t="str">
            <v>Non-proportional</v>
          </cell>
          <cell r="S11796">
            <v>-19004.29</v>
          </cell>
          <cell r="X11796" t="str">
            <v>Variation UPR - gross</v>
          </cell>
          <cell r="Y11796" t="str">
            <v>SWEDEN</v>
          </cell>
        </row>
        <row r="11797">
          <cell r="L11797" t="str">
            <v>Non-proportional</v>
          </cell>
          <cell r="S11797">
            <v>-1401.66</v>
          </cell>
          <cell r="X11797" t="str">
            <v>Variation UPR - gross</v>
          </cell>
          <cell r="Y11797" t="str">
            <v>GERMANY</v>
          </cell>
        </row>
        <row r="11798">
          <cell r="L11798" t="str">
            <v>Non-proportional</v>
          </cell>
          <cell r="S11798">
            <v>-5268.17</v>
          </cell>
          <cell r="X11798" t="str">
            <v>Variation UPR - gross</v>
          </cell>
          <cell r="Y11798" t="str">
            <v>NORWAY</v>
          </cell>
        </row>
        <row r="11799">
          <cell r="L11799" t="str">
            <v>Non-proportional</v>
          </cell>
          <cell r="S11799">
            <v>-6998</v>
          </cell>
          <cell r="X11799" t="str">
            <v>Variation UPR - gross</v>
          </cell>
          <cell r="Y11799" t="str">
            <v>AUSTRIA</v>
          </cell>
        </row>
        <row r="11800">
          <cell r="L11800" t="str">
            <v>Non-proportional</v>
          </cell>
          <cell r="S11800">
            <v>-4916.53</v>
          </cell>
          <cell r="X11800" t="str">
            <v>Variation UPR - gross</v>
          </cell>
          <cell r="Y11800" t="str">
            <v>SWITZERLAND</v>
          </cell>
        </row>
        <row r="11801">
          <cell r="L11801" t="str">
            <v>Non-proportional</v>
          </cell>
          <cell r="S11801">
            <v>100.84</v>
          </cell>
          <cell r="X11801" t="str">
            <v>Variation UPR - gross</v>
          </cell>
          <cell r="Y11801" t="str">
            <v>POLAND</v>
          </cell>
        </row>
        <row r="11802">
          <cell r="L11802" t="str">
            <v>Non-proportional</v>
          </cell>
          <cell r="S11802">
            <v>2.83</v>
          </cell>
          <cell r="X11802" t="str">
            <v>Variation UPR - gross</v>
          </cell>
          <cell r="Y11802" t="str">
            <v>DENMARK</v>
          </cell>
        </row>
        <row r="11803">
          <cell r="L11803" t="str">
            <v>Non-proportional</v>
          </cell>
          <cell r="S11803">
            <v>-112052.09</v>
          </cell>
          <cell r="X11803" t="str">
            <v>Variation UPR - gross</v>
          </cell>
          <cell r="Y11803" t="str">
            <v>FRANCE</v>
          </cell>
        </row>
        <row r="11804">
          <cell r="L11804" t="str">
            <v>Non-proportional</v>
          </cell>
          <cell r="S11804">
            <v>-0.46</v>
          </cell>
          <cell r="X11804" t="str">
            <v>Variation UPR - gross</v>
          </cell>
          <cell r="Y11804" t="str">
            <v>DENMARK</v>
          </cell>
        </row>
        <row r="11805">
          <cell r="L11805" t="str">
            <v>Non-proportional</v>
          </cell>
          <cell r="S11805">
            <v>-3790.01</v>
          </cell>
          <cell r="X11805" t="str">
            <v>Variation UPR - gross</v>
          </cell>
          <cell r="Y11805" t="str">
            <v>REPUBLIC OF IRELAND</v>
          </cell>
        </row>
        <row r="11806">
          <cell r="L11806" t="str">
            <v>Non-proportional</v>
          </cell>
          <cell r="S11806">
            <v>0.01</v>
          </cell>
          <cell r="X11806" t="str">
            <v>Variation UPR - gross</v>
          </cell>
          <cell r="Y11806" t="str">
            <v>JAPAN</v>
          </cell>
        </row>
        <row r="11807">
          <cell r="L11807" t="str">
            <v>Non-proportional</v>
          </cell>
          <cell r="S11807">
            <v>-8837.7099999999991</v>
          </cell>
          <cell r="X11807" t="str">
            <v>Variation UPR - gross</v>
          </cell>
          <cell r="Y11807" t="str">
            <v>GERMANY</v>
          </cell>
        </row>
        <row r="11808">
          <cell r="L11808" t="str">
            <v>Non-proportional</v>
          </cell>
          <cell r="S11808">
            <v>-12135.38</v>
          </cell>
          <cell r="X11808" t="str">
            <v>Variation UPR - gross</v>
          </cell>
          <cell r="Y11808" t="str">
            <v>UNITED KINGDOM</v>
          </cell>
        </row>
        <row r="11809">
          <cell r="L11809" t="str">
            <v>Non-proportional</v>
          </cell>
          <cell r="S11809">
            <v>-848.4</v>
          </cell>
          <cell r="X11809" t="str">
            <v>Variation UPR - gross</v>
          </cell>
          <cell r="Y11809" t="str">
            <v>JAPAN</v>
          </cell>
        </row>
        <row r="11810">
          <cell r="L11810" t="str">
            <v>Non-proportional</v>
          </cell>
          <cell r="S11810">
            <v>-19920.240000000002</v>
          </cell>
          <cell r="X11810" t="str">
            <v>Variation UPR - gross</v>
          </cell>
          <cell r="Y11810" t="str">
            <v>FRANCE</v>
          </cell>
        </row>
        <row r="11811">
          <cell r="L11811" t="str">
            <v>Non-proportional</v>
          </cell>
          <cell r="S11811">
            <v>-9999.66</v>
          </cell>
          <cell r="X11811" t="str">
            <v>Variation UPR - gross</v>
          </cell>
          <cell r="Y11811" t="str">
            <v>GERMANY</v>
          </cell>
        </row>
        <row r="11812">
          <cell r="L11812" t="str">
            <v>Non-proportional</v>
          </cell>
          <cell r="S11812">
            <v>-8696.8799999999992</v>
          </cell>
          <cell r="X11812" t="str">
            <v>Variation UPR - gross</v>
          </cell>
          <cell r="Y11812" t="str">
            <v>GERMANY</v>
          </cell>
        </row>
        <row r="11813">
          <cell r="L11813" t="str">
            <v>Non-proportional</v>
          </cell>
          <cell r="S11813">
            <v>-18900</v>
          </cell>
          <cell r="X11813" t="str">
            <v>Variation UPR - gross</v>
          </cell>
          <cell r="Y11813" t="str">
            <v>ROMANIA</v>
          </cell>
        </row>
        <row r="11814">
          <cell r="L11814" t="str">
            <v>Non-proportional</v>
          </cell>
          <cell r="S11814">
            <v>-20137.97</v>
          </cell>
          <cell r="X11814" t="str">
            <v>Variation UPR - gross</v>
          </cell>
          <cell r="Y11814" t="str">
            <v>UNITED KINGDOM</v>
          </cell>
        </row>
        <row r="11815">
          <cell r="L11815" t="str">
            <v>Non-proportional</v>
          </cell>
          <cell r="S11815">
            <v>-1202.4100000000001</v>
          </cell>
          <cell r="X11815" t="str">
            <v>Variation UPR - gross</v>
          </cell>
          <cell r="Y11815" t="str">
            <v>SWITZERLAND</v>
          </cell>
        </row>
        <row r="11816">
          <cell r="L11816" t="str">
            <v>Non-proportional</v>
          </cell>
          <cell r="S11816">
            <v>-7303.88</v>
          </cell>
          <cell r="X11816" t="str">
            <v>Variation UPR - gross</v>
          </cell>
          <cell r="Y11816" t="str">
            <v>FAROE ISLANDS</v>
          </cell>
        </row>
        <row r="11817">
          <cell r="L11817" t="str">
            <v>Non-proportional</v>
          </cell>
          <cell r="S11817">
            <v>-2084.31</v>
          </cell>
          <cell r="X11817" t="str">
            <v>Variation UPR - gross</v>
          </cell>
          <cell r="Y11817" t="str">
            <v>SWITZERLAND</v>
          </cell>
        </row>
        <row r="11818">
          <cell r="L11818" t="str">
            <v>Non-proportional</v>
          </cell>
          <cell r="S11818">
            <v>-1509.09</v>
          </cell>
          <cell r="X11818" t="str">
            <v>Variation UPR - gross</v>
          </cell>
          <cell r="Y11818" t="str">
            <v>GERMANY</v>
          </cell>
        </row>
        <row r="11819">
          <cell r="L11819" t="str">
            <v>Non-proportional</v>
          </cell>
          <cell r="S11819">
            <v>-34502.01</v>
          </cell>
          <cell r="X11819" t="str">
            <v>Variation UPR - gross</v>
          </cell>
          <cell r="Y11819" t="str">
            <v>CZECH REPUBLIC</v>
          </cell>
        </row>
        <row r="11820">
          <cell r="L11820" t="str">
            <v>Non-proportional</v>
          </cell>
          <cell r="S11820">
            <v>-5402.63</v>
          </cell>
          <cell r="X11820" t="str">
            <v>Variation UPR - gross</v>
          </cell>
          <cell r="Y11820" t="str">
            <v>UNITED KINGDOM</v>
          </cell>
        </row>
        <row r="11821">
          <cell r="L11821" t="str">
            <v>Non-proportional</v>
          </cell>
          <cell r="S11821">
            <v>-16112.84</v>
          </cell>
          <cell r="X11821" t="str">
            <v>Variation UPR - gross</v>
          </cell>
          <cell r="Y11821" t="str">
            <v>EUROPE</v>
          </cell>
        </row>
        <row r="11822">
          <cell r="L11822" t="str">
            <v>Non-proportional</v>
          </cell>
          <cell r="S11822">
            <v>-33726.39</v>
          </cell>
          <cell r="X11822" t="str">
            <v>Variation UPR - gross</v>
          </cell>
          <cell r="Y11822" t="str">
            <v>FRANCE</v>
          </cell>
        </row>
        <row r="11823">
          <cell r="L11823" t="str">
            <v>Non-proportional</v>
          </cell>
          <cell r="S11823">
            <v>-5005.8</v>
          </cell>
          <cell r="X11823" t="str">
            <v>Variation UPR - gross</v>
          </cell>
          <cell r="Y11823" t="str">
            <v>FRANCE</v>
          </cell>
        </row>
        <row r="11824">
          <cell r="L11824" t="str">
            <v>Non-proportional</v>
          </cell>
          <cell r="S11824">
            <v>0.01</v>
          </cell>
          <cell r="X11824" t="str">
            <v>Variation UPR - gross</v>
          </cell>
          <cell r="Y11824" t="str">
            <v>JAPAN</v>
          </cell>
        </row>
        <row r="11825">
          <cell r="L11825" t="str">
            <v>Non-proportional</v>
          </cell>
          <cell r="S11825">
            <v>-5369</v>
          </cell>
          <cell r="X11825" t="str">
            <v>Variation UPR - gross</v>
          </cell>
          <cell r="Y11825" t="str">
            <v>GERMANY</v>
          </cell>
        </row>
        <row r="11826">
          <cell r="L11826" t="str">
            <v>Non-proportional</v>
          </cell>
          <cell r="S11826">
            <v>-1251.46</v>
          </cell>
          <cell r="X11826" t="str">
            <v>Variation UPR - gross</v>
          </cell>
          <cell r="Y11826" t="str">
            <v>UNITED KINGDOM</v>
          </cell>
        </row>
        <row r="11827">
          <cell r="L11827" t="str">
            <v>Non-proportional</v>
          </cell>
          <cell r="S11827">
            <v>-79163.509999999995</v>
          </cell>
          <cell r="X11827" t="str">
            <v>Variation UPR - gross</v>
          </cell>
          <cell r="Y11827" t="str">
            <v>UNITED KINGDOM</v>
          </cell>
        </row>
        <row r="11828">
          <cell r="L11828" t="str">
            <v>Non-proportional</v>
          </cell>
          <cell r="S11828">
            <v>-7454.57</v>
          </cell>
          <cell r="X11828" t="str">
            <v>Variation UPR - gross</v>
          </cell>
          <cell r="Y11828" t="str">
            <v>EUROPE</v>
          </cell>
        </row>
        <row r="11829">
          <cell r="L11829" t="str">
            <v>Non-proportional</v>
          </cell>
          <cell r="S11829">
            <v>-4984.5600000000004</v>
          </cell>
          <cell r="X11829" t="str">
            <v>Variation UPR - gross</v>
          </cell>
          <cell r="Y11829" t="str">
            <v>UNITED ARAB EMIRATES</v>
          </cell>
        </row>
        <row r="11830">
          <cell r="L11830" t="str">
            <v>Non-proportional</v>
          </cell>
          <cell r="S11830">
            <v>-8494.48</v>
          </cell>
          <cell r="X11830" t="str">
            <v>Variation UPR - gross</v>
          </cell>
          <cell r="Y11830" t="str">
            <v>GERMANY</v>
          </cell>
        </row>
        <row r="11831">
          <cell r="L11831" t="str">
            <v>Non-proportional</v>
          </cell>
          <cell r="S11831">
            <v>-4061.48</v>
          </cell>
          <cell r="X11831" t="str">
            <v>Variation UPR - gross</v>
          </cell>
          <cell r="Y11831" t="str">
            <v>SWITZERLAND</v>
          </cell>
        </row>
        <row r="11832">
          <cell r="L11832" t="str">
            <v>Non-proportional</v>
          </cell>
          <cell r="S11832">
            <v>-3687.5</v>
          </cell>
          <cell r="X11832" t="str">
            <v>Variation UPR - gross</v>
          </cell>
          <cell r="Y11832" t="str">
            <v>GERMANY</v>
          </cell>
        </row>
        <row r="11833">
          <cell r="L11833" t="str">
            <v>Non-proportional</v>
          </cell>
          <cell r="S11833">
            <v>-3088.2</v>
          </cell>
          <cell r="X11833" t="str">
            <v>Variation UPR - gross</v>
          </cell>
          <cell r="Y11833" t="str">
            <v>SWITZERLAND</v>
          </cell>
        </row>
        <row r="11834">
          <cell r="L11834" t="str">
            <v>Non-proportional</v>
          </cell>
          <cell r="S11834">
            <v>-7916.77</v>
          </cell>
          <cell r="X11834" t="str">
            <v>Variation UPR - gross</v>
          </cell>
          <cell r="Y11834" t="str">
            <v>GERMANY</v>
          </cell>
        </row>
        <row r="11835">
          <cell r="L11835" t="str">
            <v>Non-proportional</v>
          </cell>
          <cell r="S11835">
            <v>-3142.66</v>
          </cell>
          <cell r="X11835" t="str">
            <v>Variation UPR - gross</v>
          </cell>
          <cell r="Y11835" t="str">
            <v>ICELAND</v>
          </cell>
        </row>
        <row r="11836">
          <cell r="L11836" t="str">
            <v>Non-proportional</v>
          </cell>
          <cell r="S11836">
            <v>-4457.7299999999996</v>
          </cell>
          <cell r="X11836" t="str">
            <v>Variation UPR - gross</v>
          </cell>
          <cell r="Y11836" t="str">
            <v>DENMARK</v>
          </cell>
        </row>
        <row r="11837">
          <cell r="L11837" t="str">
            <v>Non-proportional</v>
          </cell>
          <cell r="S11837">
            <v>-979.75</v>
          </cell>
          <cell r="X11837" t="str">
            <v>Variation UPR - gross</v>
          </cell>
          <cell r="Y11837" t="str">
            <v>SWITZERLAND</v>
          </cell>
        </row>
        <row r="11838">
          <cell r="L11838" t="str">
            <v>Non-proportional</v>
          </cell>
          <cell r="S11838">
            <v>3.05</v>
          </cell>
          <cell r="X11838" t="str">
            <v>Variation UPR - gross</v>
          </cell>
          <cell r="Y11838" t="str">
            <v>DENMARK</v>
          </cell>
        </row>
        <row r="11839">
          <cell r="L11839" t="str">
            <v>Non-proportional</v>
          </cell>
          <cell r="S11839">
            <v>-8716.35</v>
          </cell>
          <cell r="X11839" t="str">
            <v>Variation UPR - gross</v>
          </cell>
          <cell r="Y11839" t="str">
            <v>UNITED KINGDOM</v>
          </cell>
        </row>
        <row r="11840">
          <cell r="L11840" t="str">
            <v>Non-proportional</v>
          </cell>
          <cell r="S11840">
            <v>-893.5</v>
          </cell>
          <cell r="X11840" t="str">
            <v>Variation UPR - gross</v>
          </cell>
          <cell r="Y11840" t="str">
            <v>DENMARK</v>
          </cell>
        </row>
        <row r="11841">
          <cell r="L11841" t="str">
            <v>Proportional</v>
          </cell>
          <cell r="S11841">
            <v>-17296.77</v>
          </cell>
          <cell r="X11841" t="str">
            <v>Variation UPR - gross</v>
          </cell>
          <cell r="Y11841" t="str">
            <v>GERMANY</v>
          </cell>
        </row>
        <row r="11842">
          <cell r="L11842" t="str">
            <v>Non-proportional</v>
          </cell>
          <cell r="S11842">
            <v>-3766.3</v>
          </cell>
          <cell r="X11842" t="str">
            <v>Variation UPR - gross</v>
          </cell>
          <cell r="Y11842" t="str">
            <v>UNITED KINGDOM</v>
          </cell>
        </row>
        <row r="11843">
          <cell r="L11843" t="str">
            <v>Non-proportional</v>
          </cell>
          <cell r="S11843">
            <v>-11468.13</v>
          </cell>
          <cell r="X11843" t="str">
            <v>Variation UPR - gross</v>
          </cell>
          <cell r="Y11843" t="str">
            <v>UNITED KINGDOM</v>
          </cell>
        </row>
        <row r="11844">
          <cell r="L11844" t="str">
            <v>Non-proportional</v>
          </cell>
          <cell r="S11844">
            <v>-42500.39</v>
          </cell>
          <cell r="X11844" t="str">
            <v>Variation UPR - gross</v>
          </cell>
          <cell r="Y11844" t="str">
            <v>UNITED KINGDOM</v>
          </cell>
        </row>
        <row r="11845">
          <cell r="L11845" t="str">
            <v>Non-proportional</v>
          </cell>
          <cell r="S11845">
            <v>-15.75</v>
          </cell>
          <cell r="X11845" t="str">
            <v>Variation UPR - gross</v>
          </cell>
          <cell r="Y11845" t="str">
            <v>NORWAY</v>
          </cell>
        </row>
        <row r="11846">
          <cell r="L11846" t="str">
            <v>Non-proportional</v>
          </cell>
          <cell r="S11846">
            <v>-2712.75</v>
          </cell>
          <cell r="X11846" t="str">
            <v>Variation UPR - gross</v>
          </cell>
          <cell r="Y11846" t="str">
            <v>GERMANY</v>
          </cell>
        </row>
        <row r="11847">
          <cell r="L11847" t="str">
            <v>Non-proportional</v>
          </cell>
          <cell r="S11847">
            <v>-5586.33</v>
          </cell>
          <cell r="X11847" t="str">
            <v>Variation UPR - gross</v>
          </cell>
          <cell r="Y11847" t="str">
            <v>GERMANY</v>
          </cell>
        </row>
        <row r="11848">
          <cell r="L11848" t="str">
            <v>Non-proportional</v>
          </cell>
          <cell r="S11848">
            <v>-5484.12</v>
          </cell>
          <cell r="X11848" t="str">
            <v>Variation UPR - gross</v>
          </cell>
          <cell r="Y11848" t="str">
            <v>EUROPE</v>
          </cell>
        </row>
        <row r="11849">
          <cell r="L11849" t="str">
            <v>Non-proportional</v>
          </cell>
          <cell r="S11849">
            <v>-4164.72</v>
          </cell>
          <cell r="X11849" t="str">
            <v>Variation UPR - gross</v>
          </cell>
          <cell r="Y11849" t="str">
            <v>GERMANY</v>
          </cell>
        </row>
        <row r="11850">
          <cell r="L11850" t="str">
            <v>Non-proportional</v>
          </cell>
          <cell r="S11850">
            <v>-20355</v>
          </cell>
          <cell r="X11850" t="str">
            <v>Variation UPR - gross</v>
          </cell>
          <cell r="Y11850" t="str">
            <v>GERMANY</v>
          </cell>
        </row>
        <row r="11851">
          <cell r="L11851" t="str">
            <v>Non-proportional</v>
          </cell>
          <cell r="S11851">
            <v>-5866.27</v>
          </cell>
          <cell r="X11851" t="str">
            <v>Variation UPR - gross</v>
          </cell>
          <cell r="Y11851" t="str">
            <v>UNITED KINGDOM</v>
          </cell>
        </row>
        <row r="11852">
          <cell r="L11852" t="str">
            <v>Non-proportional</v>
          </cell>
          <cell r="S11852">
            <v>-10.67</v>
          </cell>
          <cell r="X11852" t="str">
            <v>Variation UPR - gross</v>
          </cell>
          <cell r="Y11852" t="str">
            <v>JAPAN</v>
          </cell>
        </row>
        <row r="11853">
          <cell r="L11853" t="str">
            <v>Non-proportional</v>
          </cell>
          <cell r="S11853">
            <v>-3491.84</v>
          </cell>
          <cell r="X11853" t="str">
            <v>Variation UPR - gross</v>
          </cell>
          <cell r="Y11853" t="str">
            <v>ICELAND</v>
          </cell>
        </row>
        <row r="11854">
          <cell r="L11854" t="str">
            <v>Non-proportional</v>
          </cell>
          <cell r="S11854">
            <v>-4984.72</v>
          </cell>
          <cell r="X11854" t="str">
            <v>Variation UPR - gross</v>
          </cell>
          <cell r="Y11854" t="str">
            <v>GERMANY</v>
          </cell>
        </row>
        <row r="11855">
          <cell r="L11855" t="str">
            <v>Non-proportional</v>
          </cell>
          <cell r="S11855">
            <v>-757.07</v>
          </cell>
          <cell r="X11855" t="str">
            <v>Variation UPR - gross</v>
          </cell>
          <cell r="Y11855" t="str">
            <v>SWITZERLAND</v>
          </cell>
        </row>
        <row r="11856">
          <cell r="L11856" t="str">
            <v>Non-proportional</v>
          </cell>
          <cell r="S11856">
            <v>-2424.04</v>
          </cell>
          <cell r="X11856" t="str">
            <v>Variation UPR - gross</v>
          </cell>
          <cell r="Y11856" t="str">
            <v>SWEDEN</v>
          </cell>
        </row>
        <row r="11857">
          <cell r="L11857" t="str">
            <v>Non-proportional</v>
          </cell>
          <cell r="S11857">
            <v>-5371.42</v>
          </cell>
          <cell r="X11857" t="str">
            <v>Variation UPR - gross</v>
          </cell>
          <cell r="Y11857" t="str">
            <v>DENMARK</v>
          </cell>
        </row>
        <row r="11858">
          <cell r="L11858" t="str">
            <v>Non-proportional</v>
          </cell>
          <cell r="S11858">
            <v>-5769.05</v>
          </cell>
          <cell r="X11858" t="str">
            <v>Variation UPR - gross</v>
          </cell>
          <cell r="Y11858" t="str">
            <v>SWEDEN</v>
          </cell>
        </row>
        <row r="11859">
          <cell r="L11859" t="str">
            <v>Non-proportional</v>
          </cell>
          <cell r="S11859">
            <v>-9058.19</v>
          </cell>
          <cell r="X11859" t="str">
            <v>Variation UPR - gross</v>
          </cell>
          <cell r="Y11859" t="str">
            <v>UNITED KINGDOM</v>
          </cell>
        </row>
        <row r="11860">
          <cell r="L11860" t="str">
            <v>Non-proportional</v>
          </cell>
          <cell r="S11860">
            <v>-7533.49</v>
          </cell>
          <cell r="X11860" t="str">
            <v>Variation UPR - gross</v>
          </cell>
          <cell r="Y11860" t="str">
            <v>NORWAY</v>
          </cell>
        </row>
        <row r="11861">
          <cell r="L11861" t="str">
            <v>Non-proportional</v>
          </cell>
          <cell r="S11861">
            <v>0.6</v>
          </cell>
          <cell r="X11861" t="str">
            <v>Variation UPR - gross</v>
          </cell>
          <cell r="Y11861" t="str">
            <v>DENMARK</v>
          </cell>
        </row>
        <row r="11862">
          <cell r="L11862" t="str">
            <v>Non-proportional</v>
          </cell>
          <cell r="S11862">
            <v>-10209.379999999999</v>
          </cell>
          <cell r="X11862" t="str">
            <v>Variation UPR - gross</v>
          </cell>
          <cell r="Y11862" t="str">
            <v>GERMANY</v>
          </cell>
        </row>
        <row r="11863">
          <cell r="L11863" t="str">
            <v>Non-proportional</v>
          </cell>
          <cell r="S11863">
            <v>0.03</v>
          </cell>
          <cell r="X11863" t="str">
            <v>Variation UPR - gross</v>
          </cell>
          <cell r="Y11863" t="str">
            <v>ICELAND</v>
          </cell>
        </row>
        <row r="11864">
          <cell r="L11864" t="str">
            <v>Non-proportional</v>
          </cell>
          <cell r="S11864">
            <v>-17.760000000000002</v>
          </cell>
          <cell r="X11864" t="str">
            <v>Variation UPR - gross</v>
          </cell>
          <cell r="Y11864" t="str">
            <v>EUROPE</v>
          </cell>
        </row>
        <row r="11865">
          <cell r="L11865" t="str">
            <v>Non-proportional</v>
          </cell>
          <cell r="S11865">
            <v>-1938.89</v>
          </cell>
          <cell r="X11865" t="str">
            <v>Variation UPR - gross</v>
          </cell>
          <cell r="Y11865" t="str">
            <v>REPUBLIC OF IRELAND</v>
          </cell>
        </row>
        <row r="11866">
          <cell r="L11866" t="str">
            <v>Non-proportional</v>
          </cell>
          <cell r="S11866">
            <v>-20416.669999999998</v>
          </cell>
          <cell r="X11866" t="str">
            <v>Variation UPR - gross</v>
          </cell>
          <cell r="Y11866" t="str">
            <v>GERMANY</v>
          </cell>
        </row>
        <row r="11867">
          <cell r="L11867" t="str">
            <v>Non-proportional</v>
          </cell>
          <cell r="S11867">
            <v>-11411.77</v>
          </cell>
          <cell r="X11867" t="str">
            <v>Variation UPR - gross</v>
          </cell>
          <cell r="Y11867" t="str">
            <v>SWITZERLAND</v>
          </cell>
        </row>
        <row r="11868">
          <cell r="L11868" t="str">
            <v>Non-proportional</v>
          </cell>
          <cell r="S11868">
            <v>-3333.42</v>
          </cell>
          <cell r="X11868" t="str">
            <v>Variation UPR - gross</v>
          </cell>
          <cell r="Y11868" t="str">
            <v>ITALY</v>
          </cell>
        </row>
        <row r="11869">
          <cell r="L11869" t="str">
            <v>Non-proportional</v>
          </cell>
          <cell r="S11869">
            <v>-22266.87</v>
          </cell>
          <cell r="X11869" t="str">
            <v>Variation UPR - gross</v>
          </cell>
          <cell r="Y11869" t="str">
            <v>SWITZERLAND</v>
          </cell>
        </row>
        <row r="11870">
          <cell r="L11870" t="str">
            <v>Non-proportional</v>
          </cell>
          <cell r="S11870">
            <v>-7198.81</v>
          </cell>
          <cell r="X11870" t="str">
            <v>Variation UPR - gross</v>
          </cell>
          <cell r="Y11870" t="str">
            <v>DENMARK</v>
          </cell>
        </row>
        <row r="11871">
          <cell r="L11871" t="str">
            <v>Non-proportional</v>
          </cell>
          <cell r="S11871">
            <v>-675.52</v>
          </cell>
          <cell r="X11871" t="str">
            <v>Variation UPR - gross</v>
          </cell>
          <cell r="Y11871" t="str">
            <v>SWITZERLAND</v>
          </cell>
        </row>
        <row r="11872">
          <cell r="L11872" t="str">
            <v>Non-proportional</v>
          </cell>
          <cell r="S11872">
            <v>-345</v>
          </cell>
          <cell r="X11872" t="str">
            <v>Variation UPR - gross</v>
          </cell>
          <cell r="Y11872" t="str">
            <v>ITALY</v>
          </cell>
        </row>
        <row r="11873">
          <cell r="L11873" t="str">
            <v>Non-proportional</v>
          </cell>
          <cell r="S11873">
            <v>-11825.5</v>
          </cell>
          <cell r="X11873" t="str">
            <v>Variation UPR - gross</v>
          </cell>
          <cell r="Y11873" t="str">
            <v>AUSTRIA</v>
          </cell>
        </row>
        <row r="11874">
          <cell r="L11874" t="str">
            <v>Non-proportional</v>
          </cell>
          <cell r="S11874">
            <v>-11882.26</v>
          </cell>
          <cell r="X11874" t="str">
            <v>Variation UPR - gross</v>
          </cell>
          <cell r="Y11874" t="str">
            <v>EUROPE</v>
          </cell>
        </row>
        <row r="11875">
          <cell r="L11875" t="str">
            <v>Non-proportional</v>
          </cell>
          <cell r="S11875">
            <v>-7938.36</v>
          </cell>
          <cell r="X11875" t="str">
            <v>Variation UPR - gross</v>
          </cell>
          <cell r="Y11875" t="str">
            <v>GERMANY</v>
          </cell>
        </row>
        <row r="11876">
          <cell r="L11876" t="str">
            <v>Non-proportional</v>
          </cell>
          <cell r="S11876">
            <v>-15329.19</v>
          </cell>
          <cell r="X11876" t="str">
            <v>Variation UPR - gross</v>
          </cell>
          <cell r="Y11876" t="str">
            <v>ITALY</v>
          </cell>
        </row>
        <row r="11877">
          <cell r="L11877" t="str">
            <v>Non-proportional</v>
          </cell>
          <cell r="S11877">
            <v>-2298.27</v>
          </cell>
          <cell r="X11877" t="str">
            <v>Variation UPR - gross</v>
          </cell>
          <cell r="Y11877" t="str">
            <v>UNITED ARAB EMIRATES</v>
          </cell>
        </row>
        <row r="11878">
          <cell r="L11878" t="str">
            <v>Non-proportional</v>
          </cell>
          <cell r="S11878">
            <v>-4511.3999999999996</v>
          </cell>
          <cell r="X11878" t="str">
            <v>Variation UPR - gross</v>
          </cell>
          <cell r="Y11878" t="str">
            <v>AUSTRIA</v>
          </cell>
        </row>
        <row r="11879">
          <cell r="L11879" t="str">
            <v>Non-proportional</v>
          </cell>
          <cell r="S11879">
            <v>-16500</v>
          </cell>
          <cell r="X11879" t="str">
            <v>Variation UPR - gross</v>
          </cell>
          <cell r="Y11879" t="str">
            <v>GERMANY</v>
          </cell>
        </row>
        <row r="11880">
          <cell r="L11880" t="str">
            <v>Non-proportional</v>
          </cell>
          <cell r="S11880">
            <v>-4237.9799999999996</v>
          </cell>
          <cell r="X11880" t="str">
            <v>Variation UPR - gross</v>
          </cell>
          <cell r="Y11880" t="str">
            <v>GERMANY</v>
          </cell>
        </row>
        <row r="11881">
          <cell r="L11881" t="str">
            <v>Non-proportional</v>
          </cell>
          <cell r="S11881">
            <v>-57742.8</v>
          </cell>
          <cell r="X11881" t="str">
            <v>Variation UPR - gross</v>
          </cell>
          <cell r="Y11881" t="str">
            <v>UNITED KINGDOM</v>
          </cell>
        </row>
        <row r="11882">
          <cell r="L11882" t="str">
            <v>Non-proportional</v>
          </cell>
          <cell r="S11882">
            <v>-711.19</v>
          </cell>
          <cell r="X11882" t="str">
            <v>Variation UPR - gross</v>
          </cell>
          <cell r="Y11882" t="str">
            <v>JAPAN</v>
          </cell>
        </row>
        <row r="11883">
          <cell r="L11883" t="str">
            <v>Non-proportional</v>
          </cell>
          <cell r="S11883">
            <v>-18706.169999999998</v>
          </cell>
          <cell r="X11883" t="str">
            <v>Variation UPR - gross</v>
          </cell>
          <cell r="Y11883" t="str">
            <v>GERMANY</v>
          </cell>
        </row>
        <row r="11884">
          <cell r="L11884" t="str">
            <v>Non-proportional</v>
          </cell>
          <cell r="S11884">
            <v>-6037.5</v>
          </cell>
          <cell r="X11884" t="str">
            <v>Variation UPR - gross</v>
          </cell>
          <cell r="Y11884" t="str">
            <v>GERMANY</v>
          </cell>
        </row>
        <row r="11885">
          <cell r="L11885" t="str">
            <v>Non-proportional</v>
          </cell>
          <cell r="S11885">
            <v>-7770.84</v>
          </cell>
          <cell r="X11885" t="str">
            <v>Variation UPR - gross</v>
          </cell>
          <cell r="Y11885" t="str">
            <v>FRANCE</v>
          </cell>
        </row>
        <row r="11886">
          <cell r="L11886" t="str">
            <v>Proportional</v>
          </cell>
          <cell r="S11886">
            <v>-3328</v>
          </cell>
          <cell r="X11886" t="str">
            <v>Variation UPR - gross</v>
          </cell>
          <cell r="Y11886" t="str">
            <v>EUROPE</v>
          </cell>
        </row>
        <row r="11887">
          <cell r="L11887" t="str">
            <v>Non-proportional</v>
          </cell>
          <cell r="S11887">
            <v>-12206.59</v>
          </cell>
          <cell r="X11887" t="str">
            <v>Variation UPR - gross</v>
          </cell>
          <cell r="Y11887" t="str">
            <v>UNITED KINGDOM</v>
          </cell>
        </row>
        <row r="11888">
          <cell r="L11888" t="str">
            <v>Non-proportional</v>
          </cell>
          <cell r="S11888">
            <v>-7747.42</v>
          </cell>
          <cell r="X11888" t="str">
            <v>Variation UPR - gross</v>
          </cell>
          <cell r="Y11888" t="str">
            <v>GERMANY</v>
          </cell>
        </row>
        <row r="11889">
          <cell r="L11889" t="str">
            <v>Non-proportional</v>
          </cell>
          <cell r="S11889">
            <v>0.01</v>
          </cell>
          <cell r="X11889" t="str">
            <v>Variation UPR - gross</v>
          </cell>
          <cell r="Y11889" t="str">
            <v>ICELAND</v>
          </cell>
        </row>
        <row r="11890">
          <cell r="L11890" t="str">
            <v>Non-proportional</v>
          </cell>
          <cell r="S11890">
            <v>-11623.31</v>
          </cell>
          <cell r="X11890" t="str">
            <v>Variation UPR - gross</v>
          </cell>
          <cell r="Y11890" t="str">
            <v>SWITZERLAND</v>
          </cell>
        </row>
        <row r="11891">
          <cell r="L11891" t="str">
            <v>Non-proportional</v>
          </cell>
          <cell r="S11891">
            <v>-6222.05</v>
          </cell>
          <cell r="X11891" t="str">
            <v>Variation UPR - gross</v>
          </cell>
          <cell r="Y11891" t="str">
            <v>SWEDEN</v>
          </cell>
        </row>
        <row r="11892">
          <cell r="L11892" t="str">
            <v>Non-proportional</v>
          </cell>
          <cell r="S11892">
            <v>-37997.589999999997</v>
          </cell>
          <cell r="X11892" t="str">
            <v>Variation UPR - gross</v>
          </cell>
          <cell r="Y11892" t="str">
            <v>UNITED KINGDOM</v>
          </cell>
        </row>
        <row r="11893">
          <cell r="L11893" t="str">
            <v>Non-proportional</v>
          </cell>
          <cell r="S11893">
            <v>-2502.27</v>
          </cell>
          <cell r="X11893" t="str">
            <v>Variation UPR - gross</v>
          </cell>
          <cell r="Y11893" t="str">
            <v>SPAIN</v>
          </cell>
        </row>
        <row r="11894">
          <cell r="L11894" t="str">
            <v>Non-proportional</v>
          </cell>
          <cell r="S11894">
            <v>-34.340000000000003</v>
          </cell>
          <cell r="X11894" t="str">
            <v>Variation UPR - gross</v>
          </cell>
          <cell r="Y11894" t="str">
            <v>UNITED ARAB EMIRATES</v>
          </cell>
        </row>
        <row r="11895">
          <cell r="L11895" t="str">
            <v>Non-proportional</v>
          </cell>
          <cell r="S11895">
            <v>-10010.879999999999</v>
          </cell>
          <cell r="X11895" t="str">
            <v>Variation UPR - gross</v>
          </cell>
          <cell r="Y11895" t="str">
            <v>GERMANY</v>
          </cell>
        </row>
        <row r="11896">
          <cell r="L11896" t="str">
            <v>Non-proportional</v>
          </cell>
          <cell r="S11896">
            <v>-1125</v>
          </cell>
          <cell r="X11896" t="str">
            <v>Variation UPR - gross</v>
          </cell>
          <cell r="Y11896" t="str">
            <v>GERMANY</v>
          </cell>
        </row>
        <row r="11897">
          <cell r="L11897" t="str">
            <v>Non-proportional</v>
          </cell>
          <cell r="S11897">
            <v>2.34</v>
          </cell>
          <cell r="X11897" t="str">
            <v>Variation UPR - gross</v>
          </cell>
          <cell r="Y11897" t="str">
            <v>DENMARK</v>
          </cell>
        </row>
        <row r="11898">
          <cell r="L11898" t="str">
            <v>Non-proportional</v>
          </cell>
          <cell r="S11898">
            <v>-2880.15</v>
          </cell>
          <cell r="X11898" t="str">
            <v>Variation UPR - gross</v>
          </cell>
          <cell r="Y11898" t="str">
            <v>UNITED KINGDOM</v>
          </cell>
        </row>
        <row r="11899">
          <cell r="L11899" t="str">
            <v>Non-proportional</v>
          </cell>
          <cell r="S11899">
            <v>-13399.72</v>
          </cell>
          <cell r="X11899" t="str">
            <v>Variation UPR - gross</v>
          </cell>
          <cell r="Y11899" t="str">
            <v>GERMANY</v>
          </cell>
        </row>
        <row r="11900">
          <cell r="L11900" t="str">
            <v>Non-proportional</v>
          </cell>
          <cell r="S11900">
            <v>-3313.14</v>
          </cell>
          <cell r="X11900" t="str">
            <v>Variation UPR - gross</v>
          </cell>
          <cell r="Y11900" t="str">
            <v>EUROPE</v>
          </cell>
        </row>
        <row r="11901">
          <cell r="L11901" t="str">
            <v>Non-proportional</v>
          </cell>
          <cell r="S11901">
            <v>-20770.63</v>
          </cell>
          <cell r="X11901" t="str">
            <v>Variation UPR - gross</v>
          </cell>
          <cell r="Y11901" t="str">
            <v>FRANCE</v>
          </cell>
        </row>
        <row r="11902">
          <cell r="L11902" t="str">
            <v>Non-proportional</v>
          </cell>
          <cell r="S11902">
            <v>-1522.23</v>
          </cell>
          <cell r="X11902" t="str">
            <v>Variation UPR - gross</v>
          </cell>
          <cell r="Y11902" t="str">
            <v>UNITED ARAB EMIRATES</v>
          </cell>
        </row>
        <row r="11903">
          <cell r="L11903" t="str">
            <v>Non-proportional</v>
          </cell>
          <cell r="S11903">
            <v>-8125</v>
          </cell>
          <cell r="X11903" t="str">
            <v>Variation UPR - gross</v>
          </cell>
          <cell r="Y11903" t="str">
            <v>CZECH REPUBLIC</v>
          </cell>
        </row>
        <row r="11904">
          <cell r="L11904" t="str">
            <v>Non-proportional</v>
          </cell>
          <cell r="S11904">
            <v>-12074.88</v>
          </cell>
          <cell r="X11904" t="str">
            <v>Variation UPR - gross</v>
          </cell>
          <cell r="Y11904" t="str">
            <v>FRANCE</v>
          </cell>
        </row>
        <row r="11905">
          <cell r="L11905" t="str">
            <v>Non-proportional</v>
          </cell>
          <cell r="S11905">
            <v>-19606.060000000001</v>
          </cell>
          <cell r="X11905" t="str">
            <v>Variation UPR - gross</v>
          </cell>
          <cell r="Y11905" t="str">
            <v>FRANCE</v>
          </cell>
        </row>
        <row r="11906">
          <cell r="L11906" t="str">
            <v>Non-proportional</v>
          </cell>
          <cell r="S11906">
            <v>-41285.24</v>
          </cell>
          <cell r="X11906" t="str">
            <v>Variation UPR - gross</v>
          </cell>
          <cell r="Y11906" t="str">
            <v>UNITED KINGDOM</v>
          </cell>
        </row>
        <row r="11907">
          <cell r="L11907" t="str">
            <v>Non-proportional</v>
          </cell>
          <cell r="S11907">
            <v>-15832.43</v>
          </cell>
          <cell r="X11907" t="str">
            <v>Variation UPR - gross</v>
          </cell>
          <cell r="Y11907" t="str">
            <v>GERMANY</v>
          </cell>
        </row>
        <row r="11908">
          <cell r="L11908" t="str">
            <v>Non-proportional</v>
          </cell>
          <cell r="S11908">
            <v>-3600.95</v>
          </cell>
          <cell r="X11908" t="str">
            <v>Variation UPR - gross</v>
          </cell>
          <cell r="Y11908" t="str">
            <v>FAROE ISLANDS</v>
          </cell>
        </row>
        <row r="11909">
          <cell r="L11909" t="str">
            <v>Non-proportional</v>
          </cell>
          <cell r="S11909">
            <v>-5880.61</v>
          </cell>
          <cell r="X11909" t="str">
            <v>Variation UPR - gross</v>
          </cell>
          <cell r="Y11909" t="str">
            <v>UNITED KINGDOM</v>
          </cell>
        </row>
        <row r="11910">
          <cell r="L11910" t="str">
            <v>Non-proportional</v>
          </cell>
          <cell r="S11910">
            <v>-50056.85</v>
          </cell>
          <cell r="X11910" t="str">
            <v>Variation UPR - gross</v>
          </cell>
          <cell r="Y11910" t="str">
            <v>UNITED KINGDOM</v>
          </cell>
        </row>
        <row r="11911">
          <cell r="L11911" t="str">
            <v>Non-proportional</v>
          </cell>
          <cell r="S11911">
            <v>-38991.620000000003</v>
          </cell>
          <cell r="X11911" t="str">
            <v>Variation UPR - gross</v>
          </cell>
          <cell r="Y11911" t="str">
            <v>UNITED KINGDOM</v>
          </cell>
        </row>
        <row r="11912">
          <cell r="L11912" t="str">
            <v>Non-proportional</v>
          </cell>
          <cell r="S11912">
            <v>-6226.32</v>
          </cell>
          <cell r="X11912" t="str">
            <v>Variation UPR - gross</v>
          </cell>
          <cell r="Y11912" t="str">
            <v>AUSTRALIA</v>
          </cell>
        </row>
        <row r="11913">
          <cell r="L11913" t="str">
            <v>Non-proportional</v>
          </cell>
          <cell r="S11913">
            <v>-2083.33</v>
          </cell>
          <cell r="X11913" t="str">
            <v>Variation UPR - gross</v>
          </cell>
          <cell r="Y11913" t="str">
            <v>GERMANY</v>
          </cell>
        </row>
        <row r="11914">
          <cell r="L11914" t="str">
            <v>Non-proportional</v>
          </cell>
          <cell r="S11914">
            <v>-4519.5600000000004</v>
          </cell>
          <cell r="X11914" t="str">
            <v>Variation UPR - gross</v>
          </cell>
          <cell r="Y11914" t="str">
            <v>UNITED KINGDOM</v>
          </cell>
        </row>
        <row r="11915">
          <cell r="L11915" t="str">
            <v>Non-proportional</v>
          </cell>
          <cell r="S11915">
            <v>0.01</v>
          </cell>
          <cell r="X11915" t="str">
            <v>Variation UPR - gross</v>
          </cell>
          <cell r="Y11915" t="str">
            <v>JAPAN</v>
          </cell>
        </row>
        <row r="11916">
          <cell r="L11916" t="str">
            <v>Non-proportional</v>
          </cell>
          <cell r="S11916">
            <v>-11086.48</v>
          </cell>
          <cell r="X11916" t="str">
            <v>Variation UPR - gross</v>
          </cell>
          <cell r="Y11916" t="str">
            <v>SWEDEN</v>
          </cell>
        </row>
        <row r="11917">
          <cell r="L11917" t="str">
            <v>Non-proportional</v>
          </cell>
          <cell r="S11917">
            <v>-3907.54</v>
          </cell>
          <cell r="X11917" t="str">
            <v>Variation UPR - gross</v>
          </cell>
          <cell r="Y11917" t="str">
            <v>NORWAY</v>
          </cell>
        </row>
        <row r="11918">
          <cell r="L11918" t="str">
            <v>Non-proportional</v>
          </cell>
          <cell r="S11918">
            <v>-8776.48</v>
          </cell>
          <cell r="X11918" t="str">
            <v>Variation UPR - gross</v>
          </cell>
          <cell r="Y11918" t="str">
            <v>UNITED KINGDOM</v>
          </cell>
        </row>
        <row r="11919">
          <cell r="L11919" t="str">
            <v>Non-proportional</v>
          </cell>
          <cell r="S11919">
            <v>-3375</v>
          </cell>
          <cell r="X11919" t="str">
            <v>Variation UPR - gross</v>
          </cell>
          <cell r="Y11919" t="str">
            <v>GERMANY</v>
          </cell>
        </row>
        <row r="11920">
          <cell r="L11920" t="str">
            <v>Non-proportional</v>
          </cell>
          <cell r="S11920">
            <v>-14602.5</v>
          </cell>
          <cell r="X11920" t="str">
            <v>Variation UPR - gross</v>
          </cell>
          <cell r="Y11920" t="str">
            <v>GERMANY</v>
          </cell>
        </row>
        <row r="11921">
          <cell r="L11921" t="str">
            <v>Non-proportional</v>
          </cell>
          <cell r="S11921">
            <v>-20924.87</v>
          </cell>
          <cell r="X11921" t="str">
            <v>Variation UPR - gross</v>
          </cell>
          <cell r="Y11921" t="str">
            <v>FRANCE</v>
          </cell>
        </row>
        <row r="11922">
          <cell r="L11922" t="str">
            <v>Non-proportional</v>
          </cell>
          <cell r="S11922">
            <v>-24396</v>
          </cell>
          <cell r="X11922" t="str">
            <v>Variation UPR - gross</v>
          </cell>
          <cell r="Y11922" t="str">
            <v>GERMANY</v>
          </cell>
        </row>
        <row r="11923">
          <cell r="L11923" t="str">
            <v>Non-proportional</v>
          </cell>
          <cell r="S11923">
            <v>-7856.64</v>
          </cell>
          <cell r="X11923" t="str">
            <v>Variation UPR - gross</v>
          </cell>
          <cell r="Y11923" t="str">
            <v>ICELAND</v>
          </cell>
        </row>
        <row r="11924">
          <cell r="L11924" t="str">
            <v>Non-proportional</v>
          </cell>
          <cell r="S11924">
            <v>5.82</v>
          </cell>
          <cell r="X11924" t="str">
            <v>Variation UPR - gross</v>
          </cell>
          <cell r="Y11924" t="str">
            <v>DENMARK</v>
          </cell>
        </row>
        <row r="11925">
          <cell r="L11925" t="str">
            <v>Non-proportional</v>
          </cell>
          <cell r="S11925">
            <v>-126695.5</v>
          </cell>
          <cell r="X11925" t="str">
            <v>Variation UPR - gross</v>
          </cell>
          <cell r="Y11925" t="str">
            <v>UNITED KINGDOM</v>
          </cell>
        </row>
        <row r="11926">
          <cell r="L11926" t="str">
            <v>Non-proportional</v>
          </cell>
          <cell r="S11926">
            <v>-3389.68</v>
          </cell>
          <cell r="X11926" t="str">
            <v>Variation UPR - gross</v>
          </cell>
          <cell r="Y11926" t="str">
            <v>UNITED KINGDOM</v>
          </cell>
        </row>
        <row r="11927">
          <cell r="L11927" t="str">
            <v>Non-proportional</v>
          </cell>
          <cell r="S11927">
            <v>-20935.21</v>
          </cell>
          <cell r="X11927" t="str">
            <v>Variation UPR - gross</v>
          </cell>
          <cell r="Y11927" t="str">
            <v>UNITED KINGDOM</v>
          </cell>
        </row>
        <row r="11928">
          <cell r="L11928" t="str">
            <v>Non-proportional</v>
          </cell>
          <cell r="S11928">
            <v>-29416.67</v>
          </cell>
          <cell r="X11928" t="str">
            <v>Variation UPR - gross</v>
          </cell>
          <cell r="Y11928" t="str">
            <v>EUROPE</v>
          </cell>
        </row>
        <row r="11929">
          <cell r="L11929" t="str">
            <v>Non-proportional</v>
          </cell>
          <cell r="S11929">
            <v>-270.67</v>
          </cell>
          <cell r="X11929" t="str">
            <v>Variation UPR - gross</v>
          </cell>
          <cell r="Y11929" t="str">
            <v>ITALY</v>
          </cell>
        </row>
        <row r="11930">
          <cell r="L11930" t="str">
            <v>Non-proportional</v>
          </cell>
          <cell r="S11930">
            <v>-15030.14</v>
          </cell>
          <cell r="X11930" t="str">
            <v>Variation UPR - gross</v>
          </cell>
          <cell r="Y11930" t="str">
            <v>SWITZERLAND</v>
          </cell>
        </row>
        <row r="11931">
          <cell r="L11931" t="str">
            <v>Non-proportional</v>
          </cell>
          <cell r="S11931">
            <v>-23058.97</v>
          </cell>
          <cell r="X11931" t="str">
            <v>Variation UPR - gross</v>
          </cell>
          <cell r="Y11931" t="str">
            <v>FRANCE</v>
          </cell>
        </row>
        <row r="11932">
          <cell r="L11932" t="str">
            <v>Non-proportional</v>
          </cell>
          <cell r="S11932">
            <v>-13541.67</v>
          </cell>
          <cell r="X11932" t="str">
            <v>Variation UPR - gross</v>
          </cell>
          <cell r="Y11932" t="str">
            <v>GERMANY</v>
          </cell>
        </row>
        <row r="11933">
          <cell r="L11933" t="str">
            <v>Non-proportional</v>
          </cell>
          <cell r="S11933">
            <v>-23854.17</v>
          </cell>
          <cell r="X11933" t="str">
            <v>Variation UPR - gross</v>
          </cell>
          <cell r="Y11933" t="str">
            <v>AUSTRIA</v>
          </cell>
        </row>
        <row r="11934">
          <cell r="L11934" t="str">
            <v>Non-proportional</v>
          </cell>
          <cell r="S11934">
            <v>-548.32000000000005</v>
          </cell>
          <cell r="X11934" t="str">
            <v>Variation UPR - gross</v>
          </cell>
          <cell r="Y11934" t="str">
            <v>REPUBLIC OF IRELAND</v>
          </cell>
        </row>
        <row r="11935">
          <cell r="L11935" t="str">
            <v>Non-proportional</v>
          </cell>
          <cell r="S11935">
            <v>-313.56</v>
          </cell>
          <cell r="X11935" t="str">
            <v>Variation UPR - gross</v>
          </cell>
          <cell r="Y11935" t="str">
            <v>DENMARK</v>
          </cell>
        </row>
        <row r="11936">
          <cell r="L11936" t="str">
            <v>Non-proportional</v>
          </cell>
          <cell r="S11936">
            <v>-42663.98</v>
          </cell>
          <cell r="X11936" t="str">
            <v>Variation UPR - gross</v>
          </cell>
          <cell r="Y11936" t="str">
            <v>UNITED KINGDOM</v>
          </cell>
        </row>
        <row r="11937">
          <cell r="L11937" t="str">
            <v>Non-proportional</v>
          </cell>
          <cell r="S11937">
            <v>-13044.89</v>
          </cell>
          <cell r="X11937" t="str">
            <v>Variation UPR - gross</v>
          </cell>
          <cell r="Y11937" t="str">
            <v>UNITED KINGDOM</v>
          </cell>
        </row>
        <row r="11938">
          <cell r="L11938" t="str">
            <v>Non-proportional</v>
          </cell>
          <cell r="S11938">
            <v>-300.83</v>
          </cell>
          <cell r="X11938" t="str">
            <v>Variation UPR - gross</v>
          </cell>
          <cell r="Y11938" t="str">
            <v>ITALY</v>
          </cell>
        </row>
        <row r="11939">
          <cell r="L11939" t="str">
            <v>Non-proportional</v>
          </cell>
          <cell r="S11939">
            <v>-16478.45</v>
          </cell>
          <cell r="X11939" t="str">
            <v>Variation UPR - gross</v>
          </cell>
          <cell r="Y11939" t="str">
            <v>UNITED KINGDOM</v>
          </cell>
        </row>
        <row r="11940">
          <cell r="L11940" t="str">
            <v>Non-proportional</v>
          </cell>
          <cell r="S11940">
            <v>-7812.5</v>
          </cell>
          <cell r="X11940" t="str">
            <v>Variation UPR - gross</v>
          </cell>
          <cell r="Y11940" t="str">
            <v>ROMANIA</v>
          </cell>
        </row>
        <row r="11941">
          <cell r="L11941" t="str">
            <v>Non-proportional</v>
          </cell>
          <cell r="S11941">
            <v>-6250</v>
          </cell>
          <cell r="X11941" t="str">
            <v>Variation UPR - gross</v>
          </cell>
          <cell r="Y11941" t="str">
            <v>GERMANY</v>
          </cell>
        </row>
        <row r="11942">
          <cell r="L11942" t="str">
            <v>Non-proportional</v>
          </cell>
          <cell r="S11942">
            <v>-5066.38</v>
          </cell>
          <cell r="X11942" t="str">
            <v>Variation UPR - gross</v>
          </cell>
          <cell r="Y11942" t="str">
            <v>SWITZERLAND</v>
          </cell>
        </row>
        <row r="11943">
          <cell r="L11943" t="str">
            <v>Non-proportional</v>
          </cell>
          <cell r="S11943">
            <v>-14120</v>
          </cell>
          <cell r="X11943" t="str">
            <v>Variation UPR - gross</v>
          </cell>
          <cell r="Y11943" t="str">
            <v>AUSTRIA</v>
          </cell>
        </row>
        <row r="11944">
          <cell r="L11944" t="str">
            <v>Non-proportional</v>
          </cell>
          <cell r="S11944">
            <v>-4275.66</v>
          </cell>
          <cell r="X11944" t="str">
            <v>Variation UPR - gross</v>
          </cell>
          <cell r="Y11944" t="str">
            <v>GERMANY</v>
          </cell>
        </row>
        <row r="11945">
          <cell r="L11945" t="str">
            <v>Non-proportional</v>
          </cell>
          <cell r="S11945">
            <v>-25393.599999999999</v>
          </cell>
          <cell r="X11945" t="str">
            <v>Variation UPR - gross</v>
          </cell>
          <cell r="Y11945" t="str">
            <v>GERMANY</v>
          </cell>
        </row>
        <row r="11946">
          <cell r="L11946" t="str">
            <v>Non-proportional</v>
          </cell>
          <cell r="S11946">
            <v>-2627.47</v>
          </cell>
          <cell r="X11946" t="str">
            <v>Variation UPR - gross</v>
          </cell>
          <cell r="Y11946" t="str">
            <v>UNITED KINGDOM</v>
          </cell>
        </row>
        <row r="11947">
          <cell r="L11947" t="str">
            <v>Non-proportional</v>
          </cell>
          <cell r="S11947">
            <v>-5850.41</v>
          </cell>
          <cell r="X11947" t="str">
            <v>Variation UPR - gross</v>
          </cell>
          <cell r="Y11947" t="str">
            <v>NORWAY</v>
          </cell>
        </row>
        <row r="11948">
          <cell r="L11948" t="str">
            <v>Non-proportional</v>
          </cell>
          <cell r="S11948">
            <v>-2065.29</v>
          </cell>
          <cell r="X11948" t="str">
            <v>Variation UPR - gross</v>
          </cell>
          <cell r="Y11948" t="str">
            <v>EUROPE</v>
          </cell>
        </row>
        <row r="11949">
          <cell r="L11949" t="str">
            <v>Non-proportional</v>
          </cell>
          <cell r="S11949">
            <v>-7671.29</v>
          </cell>
          <cell r="X11949" t="str">
            <v>Variation UPR - gross</v>
          </cell>
          <cell r="Y11949" t="str">
            <v>UNITED KINGDOM</v>
          </cell>
        </row>
        <row r="11950">
          <cell r="L11950" t="str">
            <v>Non-proportional</v>
          </cell>
          <cell r="S11950">
            <v>-276313.8</v>
          </cell>
          <cell r="X11950" t="str">
            <v>Variation UPR - gross</v>
          </cell>
          <cell r="Y11950" t="str">
            <v>UNITED KINGDOM</v>
          </cell>
        </row>
        <row r="11951">
          <cell r="L11951" t="str">
            <v>Non-proportional</v>
          </cell>
          <cell r="S11951">
            <v>-6904.17</v>
          </cell>
          <cell r="X11951" t="str">
            <v>Variation UPR - gross</v>
          </cell>
          <cell r="Y11951" t="str">
            <v>FRANCE</v>
          </cell>
        </row>
        <row r="11952">
          <cell r="L11952" t="str">
            <v>Non-proportional</v>
          </cell>
          <cell r="S11952">
            <v>-6698.79</v>
          </cell>
          <cell r="X11952" t="str">
            <v>Variation UPR - gross</v>
          </cell>
          <cell r="Y11952" t="str">
            <v>DENMARK</v>
          </cell>
        </row>
        <row r="11953">
          <cell r="L11953" t="str">
            <v>Non-proportional</v>
          </cell>
          <cell r="S11953">
            <v>-3589.1</v>
          </cell>
          <cell r="X11953" t="str">
            <v>Variation UPR - gross</v>
          </cell>
          <cell r="Y11953" t="str">
            <v>AUSTRALIA</v>
          </cell>
        </row>
        <row r="11954">
          <cell r="L11954" t="str">
            <v>Non-proportional</v>
          </cell>
          <cell r="S11954">
            <v>-55833.85</v>
          </cell>
          <cell r="X11954" t="str">
            <v>Variation UPR - gross</v>
          </cell>
          <cell r="Y11954" t="str">
            <v>UNITED KINGDOM</v>
          </cell>
        </row>
        <row r="11955">
          <cell r="L11955" t="str">
            <v>Non-proportional</v>
          </cell>
          <cell r="S11955">
            <v>-54.83</v>
          </cell>
          <cell r="X11955" t="str">
            <v>Variation UPR - gross</v>
          </cell>
          <cell r="Y11955" t="str">
            <v>FRANCE</v>
          </cell>
        </row>
        <row r="11956">
          <cell r="L11956" t="str">
            <v>Non-proportional</v>
          </cell>
          <cell r="S11956">
            <v>-837.25</v>
          </cell>
          <cell r="X11956" t="str">
            <v>Variation UPR - gross</v>
          </cell>
          <cell r="Y11956" t="str">
            <v>DENMARK</v>
          </cell>
        </row>
        <row r="11957">
          <cell r="L11957" t="str">
            <v>Non-proportional</v>
          </cell>
          <cell r="S11957">
            <v>-28701.5</v>
          </cell>
          <cell r="X11957" t="str">
            <v>Variation UPR - gross</v>
          </cell>
          <cell r="Y11957" t="str">
            <v>UNITED KINGDOM</v>
          </cell>
        </row>
        <row r="11958">
          <cell r="L11958" t="str">
            <v>Non-proportional</v>
          </cell>
          <cell r="S11958">
            <v>-30321.03</v>
          </cell>
          <cell r="X11958" t="str">
            <v>Variation UPR - gross</v>
          </cell>
          <cell r="Y11958" t="str">
            <v>UNITED KINGDOM</v>
          </cell>
        </row>
        <row r="11959">
          <cell r="L11959" t="str">
            <v>Non-proportional</v>
          </cell>
          <cell r="S11959">
            <v>-8206.7000000000007</v>
          </cell>
          <cell r="X11959" t="str">
            <v>Variation UPR - gross</v>
          </cell>
          <cell r="Y11959" t="str">
            <v>POLAND</v>
          </cell>
        </row>
        <row r="11960">
          <cell r="L11960" t="str">
            <v>Non-proportional</v>
          </cell>
          <cell r="S11960">
            <v>-10015.08</v>
          </cell>
          <cell r="X11960" t="str">
            <v>Variation UPR - gross</v>
          </cell>
          <cell r="Y11960" t="str">
            <v>AUSTRIA</v>
          </cell>
        </row>
        <row r="11961">
          <cell r="L11961" t="str">
            <v>Proportional</v>
          </cell>
          <cell r="S11961">
            <v>-29608.47</v>
          </cell>
          <cell r="X11961" t="str">
            <v>Variation UPR - gross</v>
          </cell>
          <cell r="Y11961" t="str">
            <v>SWITZERLAND</v>
          </cell>
        </row>
        <row r="11962">
          <cell r="L11962" t="str">
            <v>Non-proportional</v>
          </cell>
          <cell r="S11962">
            <v>-6458.33</v>
          </cell>
          <cell r="X11962" t="str">
            <v>Variation UPR - gross</v>
          </cell>
          <cell r="Y11962" t="str">
            <v>AUSTRIA</v>
          </cell>
        </row>
        <row r="11963">
          <cell r="L11963" t="str">
            <v>Non-proportional</v>
          </cell>
          <cell r="S11963">
            <v>-6944.13</v>
          </cell>
          <cell r="X11963" t="str">
            <v>Variation UPR - gross</v>
          </cell>
          <cell r="Y11963" t="str">
            <v>UNITED KINGDOM</v>
          </cell>
        </row>
        <row r="11964">
          <cell r="L11964" t="str">
            <v>Non-proportional</v>
          </cell>
          <cell r="S11964">
            <v>-167523.57999999999</v>
          </cell>
          <cell r="X11964" t="str">
            <v>Variation UPR - gross</v>
          </cell>
          <cell r="Y11964" t="str">
            <v>UNITED KINGDOM</v>
          </cell>
        </row>
        <row r="11965">
          <cell r="L11965" t="str">
            <v>Non-proportional</v>
          </cell>
          <cell r="S11965">
            <v>-23401.8</v>
          </cell>
          <cell r="X11965" t="str">
            <v>Variation UPR - gross</v>
          </cell>
          <cell r="Y11965" t="str">
            <v>GERMANY</v>
          </cell>
        </row>
        <row r="11966">
          <cell r="L11966" t="str">
            <v>Non-proportional</v>
          </cell>
          <cell r="S11966">
            <v>-3324.9</v>
          </cell>
          <cell r="X11966" t="str">
            <v>Variation UPR - gross</v>
          </cell>
          <cell r="Y11966" t="str">
            <v>JAPAN</v>
          </cell>
        </row>
        <row r="11967">
          <cell r="L11967" t="str">
            <v>Non-proportional</v>
          </cell>
          <cell r="S11967">
            <v>-8844.9</v>
          </cell>
          <cell r="X11967" t="str">
            <v>Variation UPR - gross</v>
          </cell>
          <cell r="Y11967" t="str">
            <v>GERMANY</v>
          </cell>
        </row>
        <row r="11968">
          <cell r="L11968" t="str">
            <v>Non-proportional</v>
          </cell>
          <cell r="S11968">
            <v>-16326.35</v>
          </cell>
          <cell r="X11968" t="str">
            <v>Variation UPR - gross</v>
          </cell>
          <cell r="Y11968" t="str">
            <v>DENMARK</v>
          </cell>
        </row>
        <row r="11969">
          <cell r="L11969" t="str">
            <v>Non-proportional</v>
          </cell>
          <cell r="S11969">
            <v>-304.14</v>
          </cell>
          <cell r="X11969" t="str">
            <v>Variation UPR - gross</v>
          </cell>
          <cell r="Y11969" t="str">
            <v>AUSTRALIA</v>
          </cell>
        </row>
        <row r="11970">
          <cell r="L11970" t="str">
            <v>Non-proportional</v>
          </cell>
          <cell r="S11970">
            <v>-13000</v>
          </cell>
          <cell r="X11970" t="str">
            <v>Variation UPR - gross</v>
          </cell>
          <cell r="Y11970" t="str">
            <v>ROMANIA</v>
          </cell>
        </row>
        <row r="11971">
          <cell r="L11971" t="str">
            <v>Non-proportional</v>
          </cell>
          <cell r="S11971">
            <v>-5717.64</v>
          </cell>
          <cell r="X11971" t="str">
            <v>Variation UPR - gross</v>
          </cell>
          <cell r="Y11971" t="str">
            <v>GERMANY</v>
          </cell>
        </row>
        <row r="11972">
          <cell r="L11972" t="str">
            <v>Non-proportional</v>
          </cell>
          <cell r="S11972">
            <v>-9751.23</v>
          </cell>
          <cell r="X11972" t="str">
            <v>Variation UPR - gross</v>
          </cell>
          <cell r="Y11972" t="str">
            <v>GERMANY</v>
          </cell>
        </row>
        <row r="11973">
          <cell r="L11973" t="str">
            <v>Non-proportional</v>
          </cell>
          <cell r="S11973">
            <v>-12458.33</v>
          </cell>
          <cell r="X11973" t="str">
            <v>Variation UPR - gross</v>
          </cell>
          <cell r="Y11973" t="str">
            <v>GERMANY</v>
          </cell>
        </row>
        <row r="11974">
          <cell r="L11974" t="str">
            <v>Non-proportional</v>
          </cell>
          <cell r="S11974">
            <v>-7793.41</v>
          </cell>
          <cell r="X11974" t="str">
            <v>Variation UPR - gross</v>
          </cell>
          <cell r="Y11974" t="str">
            <v>SWITZERLAND</v>
          </cell>
        </row>
        <row r="11975">
          <cell r="L11975" t="str">
            <v>Non-proportional</v>
          </cell>
          <cell r="S11975">
            <v>-321.45</v>
          </cell>
          <cell r="X11975" t="str">
            <v>Variation UPR - gross</v>
          </cell>
          <cell r="Y11975" t="str">
            <v>FRANCE</v>
          </cell>
        </row>
        <row r="11976">
          <cell r="L11976" t="str">
            <v>Non-proportional</v>
          </cell>
          <cell r="S11976">
            <v>-52053.19</v>
          </cell>
          <cell r="X11976" t="str">
            <v>Variation UPR - gross</v>
          </cell>
          <cell r="Y11976" t="str">
            <v>UNITED KINGDOM</v>
          </cell>
        </row>
        <row r="11977">
          <cell r="L11977" t="str">
            <v>Non-proportional</v>
          </cell>
          <cell r="S11977">
            <v>-451.25</v>
          </cell>
          <cell r="X11977" t="str">
            <v>Variation UPR - gross</v>
          </cell>
          <cell r="Y11977" t="str">
            <v>ITALY</v>
          </cell>
        </row>
        <row r="11978">
          <cell r="L11978" t="str">
            <v>Non-proportional</v>
          </cell>
          <cell r="S11978">
            <v>4.1500000000000004</v>
          </cell>
          <cell r="X11978" t="str">
            <v>Variation UPR - gross</v>
          </cell>
          <cell r="Y11978" t="str">
            <v>DENMARK</v>
          </cell>
        </row>
        <row r="11979">
          <cell r="L11979" t="str">
            <v>Non-proportional</v>
          </cell>
          <cell r="S11979">
            <v>-27082.11</v>
          </cell>
          <cell r="X11979" t="str">
            <v>Variation UPR - gross</v>
          </cell>
          <cell r="Y11979" t="str">
            <v>UNITED KINGDOM</v>
          </cell>
        </row>
        <row r="11980">
          <cell r="L11980" t="str">
            <v>Non-proportional</v>
          </cell>
          <cell r="S11980">
            <v>-108244.54</v>
          </cell>
          <cell r="X11980" t="str">
            <v>Variation UPR - gross</v>
          </cell>
          <cell r="Y11980" t="str">
            <v>UNITED KINGDOM</v>
          </cell>
        </row>
        <row r="11981">
          <cell r="L11981" t="str">
            <v>Non-proportional</v>
          </cell>
          <cell r="S11981">
            <v>-3617.46</v>
          </cell>
          <cell r="X11981" t="str">
            <v>Variation UPR - gross</v>
          </cell>
          <cell r="Y11981" t="str">
            <v>FRANCE</v>
          </cell>
        </row>
        <row r="11982">
          <cell r="L11982" t="str">
            <v>Non-proportional</v>
          </cell>
          <cell r="S11982">
            <v>-64952.97</v>
          </cell>
          <cell r="X11982" t="str">
            <v>Variation UPR - gross</v>
          </cell>
          <cell r="Y11982" t="str">
            <v>REPUBLIC OF IRELAND</v>
          </cell>
        </row>
        <row r="11983">
          <cell r="L11983" t="str">
            <v>Non-proportional</v>
          </cell>
          <cell r="S11983">
            <v>-2004.02</v>
          </cell>
          <cell r="X11983" t="str">
            <v>Variation UPR - gross</v>
          </cell>
          <cell r="Y11983" t="str">
            <v>SWITZERLAND</v>
          </cell>
        </row>
        <row r="11984">
          <cell r="L11984" t="str">
            <v>Non-proportional</v>
          </cell>
          <cell r="S11984">
            <v>-5362.5</v>
          </cell>
          <cell r="X11984" t="str">
            <v>Variation UPR - gross</v>
          </cell>
          <cell r="Y11984" t="str">
            <v>GERMANY</v>
          </cell>
        </row>
        <row r="11985">
          <cell r="L11985" t="str">
            <v>Non-proportional</v>
          </cell>
          <cell r="S11985">
            <v>0.01</v>
          </cell>
          <cell r="X11985" t="str">
            <v>Variation UPR - gross</v>
          </cell>
          <cell r="Y11985" t="str">
            <v>JAPAN</v>
          </cell>
        </row>
        <row r="11986">
          <cell r="L11986" t="str">
            <v>Non-proportional</v>
          </cell>
          <cell r="S11986">
            <v>-8491.85</v>
          </cell>
          <cell r="X11986" t="str">
            <v>Variation UPR - gross</v>
          </cell>
          <cell r="Y11986" t="str">
            <v>EUROPE</v>
          </cell>
        </row>
        <row r="11987">
          <cell r="L11987" t="str">
            <v>Non-proportional</v>
          </cell>
          <cell r="S11987">
            <v>-750</v>
          </cell>
          <cell r="X11987" t="str">
            <v>Variation UPR - gross</v>
          </cell>
          <cell r="Y11987" t="str">
            <v>GERMANY</v>
          </cell>
        </row>
        <row r="11988">
          <cell r="L11988" t="str">
            <v>Non-proportional</v>
          </cell>
          <cell r="S11988">
            <v>-20707.14</v>
          </cell>
          <cell r="X11988" t="str">
            <v>Variation UPR - gross</v>
          </cell>
          <cell r="Y11988" t="str">
            <v>EUROPE</v>
          </cell>
        </row>
        <row r="11989">
          <cell r="L11989" t="str">
            <v>Non-proportional</v>
          </cell>
          <cell r="S11989">
            <v>-4439.78</v>
          </cell>
          <cell r="X11989" t="str">
            <v>Variation UPR - gross</v>
          </cell>
          <cell r="Y11989" t="str">
            <v>GERMANY</v>
          </cell>
        </row>
        <row r="11990">
          <cell r="L11990" t="str">
            <v>Non-proportional</v>
          </cell>
          <cell r="S11990">
            <v>-4714.75</v>
          </cell>
          <cell r="X11990" t="str">
            <v>Variation UPR - gross</v>
          </cell>
          <cell r="Y11990" t="str">
            <v>POLAND</v>
          </cell>
        </row>
        <row r="11991">
          <cell r="L11991" t="str">
            <v>Non-proportional</v>
          </cell>
          <cell r="S11991">
            <v>-2687.5</v>
          </cell>
          <cell r="X11991" t="str">
            <v>Variation UPR - gross</v>
          </cell>
          <cell r="Y11991" t="str">
            <v>GERMANY</v>
          </cell>
        </row>
        <row r="11992">
          <cell r="L11992" t="str">
            <v>Non-proportional</v>
          </cell>
          <cell r="S11992">
            <v>-40708.300000000003</v>
          </cell>
          <cell r="X11992" t="str">
            <v>Variation UPR - gross</v>
          </cell>
          <cell r="Y11992" t="str">
            <v>SWITZERLAND</v>
          </cell>
        </row>
        <row r="11993">
          <cell r="L11993" t="str">
            <v>Non-proportional</v>
          </cell>
          <cell r="S11993">
            <v>-30839.72</v>
          </cell>
          <cell r="X11993" t="str">
            <v>Variation UPR - gross</v>
          </cell>
          <cell r="Y11993" t="str">
            <v>UNITED KINGDOM</v>
          </cell>
        </row>
        <row r="11994">
          <cell r="L11994" t="str">
            <v>Non-proportional</v>
          </cell>
          <cell r="S11994">
            <v>-5467.12</v>
          </cell>
          <cell r="X11994" t="str">
            <v>Variation UPR - gross</v>
          </cell>
          <cell r="Y11994" t="str">
            <v>EIRE</v>
          </cell>
        </row>
        <row r="11995">
          <cell r="L11995" t="str">
            <v>Non-proportional</v>
          </cell>
          <cell r="S11995">
            <v>-27500.25</v>
          </cell>
          <cell r="X11995" t="str">
            <v>Variation UPR - gross</v>
          </cell>
          <cell r="Y11995" t="str">
            <v>UNITED KINGDOM</v>
          </cell>
        </row>
        <row r="11996">
          <cell r="L11996" t="str">
            <v>Non-proportional</v>
          </cell>
          <cell r="S11996">
            <v>-8970.6200000000008</v>
          </cell>
          <cell r="X11996" t="str">
            <v>Variation UPR - gross</v>
          </cell>
          <cell r="Y11996" t="str">
            <v>GERMANY</v>
          </cell>
        </row>
        <row r="11997">
          <cell r="L11997" t="str">
            <v>Non-proportional</v>
          </cell>
          <cell r="S11997">
            <v>-6416.67</v>
          </cell>
          <cell r="X11997" t="str">
            <v>Variation UPR - gross</v>
          </cell>
          <cell r="Y11997" t="str">
            <v>GERMANY</v>
          </cell>
        </row>
        <row r="11998">
          <cell r="L11998" t="str">
            <v>Non-proportional</v>
          </cell>
          <cell r="S11998">
            <v>-3530.34</v>
          </cell>
          <cell r="X11998" t="str">
            <v>Variation UPR - gross</v>
          </cell>
          <cell r="Y11998" t="str">
            <v>FAROE ISLANDS</v>
          </cell>
        </row>
        <row r="11999">
          <cell r="L11999" t="str">
            <v>Non-proportional</v>
          </cell>
          <cell r="S11999">
            <v>-7268.61</v>
          </cell>
          <cell r="X11999" t="str">
            <v>Variation UPR - gross</v>
          </cell>
          <cell r="Y11999" t="str">
            <v>NORWAY</v>
          </cell>
        </row>
        <row r="12000">
          <cell r="L12000" t="str">
            <v>Non-proportional</v>
          </cell>
          <cell r="S12000">
            <v>-40903.5</v>
          </cell>
          <cell r="X12000" t="str">
            <v>Variation UPR - gross</v>
          </cell>
          <cell r="Y12000" t="str">
            <v>GERMANY</v>
          </cell>
        </row>
        <row r="12001">
          <cell r="L12001" t="str">
            <v>Non-proportional</v>
          </cell>
          <cell r="S12001">
            <v>-13036.17</v>
          </cell>
          <cell r="X12001" t="str">
            <v>Variation UPR - gross</v>
          </cell>
          <cell r="Y12001" t="str">
            <v>UNITED KINGDOM</v>
          </cell>
        </row>
        <row r="12002">
          <cell r="L12002" t="str">
            <v>Non-proportional</v>
          </cell>
          <cell r="S12002">
            <v>0.46</v>
          </cell>
          <cell r="X12002" t="str">
            <v>Variation UPR - gross</v>
          </cell>
          <cell r="Y12002" t="str">
            <v>DENMARK</v>
          </cell>
        </row>
        <row r="12003">
          <cell r="L12003" t="str">
            <v>Non-proportional</v>
          </cell>
          <cell r="S12003">
            <v>-21242.6</v>
          </cell>
          <cell r="X12003" t="str">
            <v>Variation UPR - gross</v>
          </cell>
          <cell r="Y12003" t="str">
            <v>SWITZERLAND</v>
          </cell>
        </row>
        <row r="12004">
          <cell r="L12004" t="str">
            <v>Non-proportional</v>
          </cell>
          <cell r="S12004">
            <v>-10594.94</v>
          </cell>
          <cell r="X12004" t="str">
            <v>Variation UPR - gross</v>
          </cell>
          <cell r="Y12004" t="str">
            <v>GERMANY</v>
          </cell>
        </row>
        <row r="12005">
          <cell r="L12005" t="str">
            <v>Non-proportional</v>
          </cell>
          <cell r="S12005">
            <v>-1553.57</v>
          </cell>
          <cell r="X12005" t="str">
            <v>Variation UPR - gross</v>
          </cell>
          <cell r="Y12005" t="str">
            <v>REPUBLIC OF IRELAND</v>
          </cell>
        </row>
        <row r="12006">
          <cell r="L12006" t="str">
            <v>Non-proportional</v>
          </cell>
          <cell r="S12006">
            <v>4.8099999999999996</v>
          </cell>
          <cell r="X12006" t="str">
            <v>Variation UPR - gross</v>
          </cell>
          <cell r="Y12006" t="str">
            <v>SWEDEN</v>
          </cell>
        </row>
        <row r="12007">
          <cell r="L12007" t="str">
            <v>Non-proportional</v>
          </cell>
          <cell r="S12007">
            <v>-20002.47</v>
          </cell>
          <cell r="X12007" t="str">
            <v>Variation UPR - gross</v>
          </cell>
          <cell r="Y12007" t="str">
            <v>CZECH REPUBLIC</v>
          </cell>
        </row>
        <row r="12008">
          <cell r="L12008" t="str">
            <v>Non-proportional</v>
          </cell>
          <cell r="S12008">
            <v>-22495.4</v>
          </cell>
          <cell r="X12008" t="str">
            <v>Variation UPR - gross</v>
          </cell>
          <cell r="Y12008" t="str">
            <v>CZECH REPUBLIC</v>
          </cell>
        </row>
        <row r="12009">
          <cell r="L12009" t="str">
            <v>Non-proportional</v>
          </cell>
          <cell r="S12009">
            <v>-12424.29</v>
          </cell>
          <cell r="X12009" t="str">
            <v>Variation UPR - gross</v>
          </cell>
          <cell r="Y12009" t="str">
            <v>EUROPE</v>
          </cell>
        </row>
        <row r="12010">
          <cell r="L12010" t="str">
            <v>Non-proportional</v>
          </cell>
          <cell r="S12010">
            <v>-14008.64</v>
          </cell>
          <cell r="X12010" t="str">
            <v>Variation UPR - gross</v>
          </cell>
          <cell r="Y12010" t="str">
            <v>GERMANY</v>
          </cell>
        </row>
        <row r="12011">
          <cell r="L12011" t="str">
            <v>Non-proportional</v>
          </cell>
          <cell r="S12011">
            <v>-11.01</v>
          </cell>
          <cell r="X12011" t="str">
            <v>Variation UPR - gross</v>
          </cell>
          <cell r="Y12011" t="str">
            <v>NORWAY</v>
          </cell>
        </row>
        <row r="12012">
          <cell r="L12012" t="str">
            <v>Non-proportional</v>
          </cell>
          <cell r="S12012">
            <v>-1390.57</v>
          </cell>
          <cell r="X12012" t="str">
            <v>Variation UPR - gross</v>
          </cell>
          <cell r="Y12012" t="str">
            <v>SWITZERLAND</v>
          </cell>
        </row>
        <row r="12013">
          <cell r="L12013" t="str">
            <v>Non-proportional</v>
          </cell>
          <cell r="S12013">
            <v>-1108.02</v>
          </cell>
          <cell r="X12013" t="str">
            <v>Variation UPR - gross</v>
          </cell>
          <cell r="Y12013" t="str">
            <v>AUSTRIA</v>
          </cell>
        </row>
        <row r="12014">
          <cell r="L12014" t="str">
            <v>Non-proportional</v>
          </cell>
          <cell r="S12014">
            <v>10.38</v>
          </cell>
          <cell r="X12014" t="str">
            <v>Variation UPR - gross</v>
          </cell>
          <cell r="Y12014" t="str">
            <v>SWEDEN</v>
          </cell>
        </row>
        <row r="12015">
          <cell r="L12015" t="str">
            <v>Non-proportional</v>
          </cell>
          <cell r="S12015">
            <v>-6069.87</v>
          </cell>
          <cell r="X12015" t="str">
            <v>Variation UPR - gross</v>
          </cell>
          <cell r="Y12015" t="str">
            <v>DENMARK</v>
          </cell>
        </row>
        <row r="12016">
          <cell r="L12016" t="str">
            <v>Non-proportional</v>
          </cell>
          <cell r="S12016">
            <v>-18500.97</v>
          </cell>
          <cell r="X12016" t="str">
            <v>Variation UPR - gross</v>
          </cell>
          <cell r="Y12016" t="str">
            <v>UNITED KINGDOM</v>
          </cell>
        </row>
        <row r="12017">
          <cell r="L12017" t="str">
            <v>Non-proportional</v>
          </cell>
          <cell r="S12017">
            <v>-3806.25</v>
          </cell>
          <cell r="X12017" t="str">
            <v>Variation UPR - gross</v>
          </cell>
          <cell r="Y12017" t="str">
            <v>ROMANIA</v>
          </cell>
        </row>
        <row r="12018">
          <cell r="L12018" t="str">
            <v>Non-proportional</v>
          </cell>
          <cell r="S12018">
            <v>-873.38</v>
          </cell>
          <cell r="X12018" t="str">
            <v>Variation UPR - gross</v>
          </cell>
          <cell r="Y12018" t="str">
            <v>GERMANY</v>
          </cell>
        </row>
        <row r="12019">
          <cell r="L12019" t="str">
            <v>Non-proportional</v>
          </cell>
          <cell r="S12019">
            <v>-12279.94</v>
          </cell>
          <cell r="X12019" t="str">
            <v>Variation UPR - gross</v>
          </cell>
          <cell r="Y12019" t="str">
            <v>DENMARK</v>
          </cell>
        </row>
        <row r="12020">
          <cell r="L12020" t="str">
            <v>Non-proportional</v>
          </cell>
          <cell r="S12020">
            <v>-2340</v>
          </cell>
          <cell r="X12020" t="str">
            <v>Variation UPR - gross</v>
          </cell>
          <cell r="Y12020" t="str">
            <v>GERMANY</v>
          </cell>
        </row>
        <row r="12021">
          <cell r="L12021" t="str">
            <v>Non-proportional</v>
          </cell>
          <cell r="S12021">
            <v>-8697.67</v>
          </cell>
          <cell r="X12021" t="str">
            <v>Variation UPR - gross</v>
          </cell>
          <cell r="Y12021" t="str">
            <v>GERMANY</v>
          </cell>
        </row>
        <row r="12022">
          <cell r="L12022" t="str">
            <v>Non-proportional</v>
          </cell>
          <cell r="S12022">
            <v>-3083.39</v>
          </cell>
          <cell r="X12022" t="str">
            <v>Variation UPR - gross</v>
          </cell>
          <cell r="Y12022" t="str">
            <v>EUROPE</v>
          </cell>
        </row>
        <row r="12023">
          <cell r="L12023" t="str">
            <v>Non-proportional</v>
          </cell>
          <cell r="S12023">
            <v>-11666.78</v>
          </cell>
          <cell r="X12023" t="str">
            <v>Variation UPR - gross</v>
          </cell>
          <cell r="Y12023" t="str">
            <v>UNITED KINGDOM</v>
          </cell>
        </row>
        <row r="12024">
          <cell r="L12024" t="str">
            <v>Non-proportional</v>
          </cell>
          <cell r="S12024">
            <v>-20758.62</v>
          </cell>
          <cell r="X12024" t="str">
            <v>Variation UPR - gross</v>
          </cell>
          <cell r="Y12024" t="str">
            <v>EIRE</v>
          </cell>
        </row>
        <row r="12025">
          <cell r="L12025" t="str">
            <v>Non-proportional</v>
          </cell>
          <cell r="S12025">
            <v>-3329.84</v>
          </cell>
          <cell r="X12025" t="str">
            <v>Variation UPR - gross</v>
          </cell>
          <cell r="Y12025" t="str">
            <v>GERMANY</v>
          </cell>
        </row>
        <row r="12026">
          <cell r="L12026" t="str">
            <v>Non-proportional</v>
          </cell>
          <cell r="S12026">
            <v>-3436.97</v>
          </cell>
          <cell r="X12026" t="str">
            <v>Variation UPR - gross</v>
          </cell>
          <cell r="Y12026" t="str">
            <v>EUROPE</v>
          </cell>
        </row>
        <row r="12027">
          <cell r="L12027" t="str">
            <v>Non-proportional</v>
          </cell>
          <cell r="S12027">
            <v>-575</v>
          </cell>
          <cell r="X12027" t="str">
            <v>Variation UPR - gross</v>
          </cell>
          <cell r="Y12027" t="str">
            <v>ITALY</v>
          </cell>
        </row>
        <row r="12028">
          <cell r="L12028" t="str">
            <v>Non-proportional</v>
          </cell>
          <cell r="S12028">
            <v>-8322.82</v>
          </cell>
          <cell r="X12028" t="str">
            <v>Variation UPR - gross</v>
          </cell>
          <cell r="Y12028" t="str">
            <v>GERMANY</v>
          </cell>
        </row>
        <row r="12029">
          <cell r="L12029" t="str">
            <v>Non-proportional</v>
          </cell>
          <cell r="S12029">
            <v>-51994.23</v>
          </cell>
          <cell r="X12029" t="str">
            <v>Variation UPR - gross</v>
          </cell>
          <cell r="Y12029" t="str">
            <v>UNITED KINGDOM</v>
          </cell>
        </row>
        <row r="12030">
          <cell r="L12030" t="str">
            <v>Non-proportional</v>
          </cell>
          <cell r="S12030">
            <v>-1751.47</v>
          </cell>
          <cell r="X12030" t="str">
            <v>Variation UPR - gross</v>
          </cell>
          <cell r="Y12030" t="str">
            <v>REPUBLIC OF IRELAND</v>
          </cell>
        </row>
        <row r="12031">
          <cell r="L12031" t="str">
            <v>Non-proportional</v>
          </cell>
          <cell r="S12031">
            <v>-6852.21</v>
          </cell>
          <cell r="X12031" t="str">
            <v>Variation UPR - gross</v>
          </cell>
          <cell r="Y12031" t="str">
            <v>UNITED KINGDOM</v>
          </cell>
        </row>
        <row r="12032">
          <cell r="L12032" t="str">
            <v>Non-proportional</v>
          </cell>
          <cell r="S12032">
            <v>0.01</v>
          </cell>
          <cell r="X12032" t="str">
            <v>Variation UPR - gross</v>
          </cell>
          <cell r="Y12032" t="str">
            <v>ICELAND</v>
          </cell>
        </row>
        <row r="12033">
          <cell r="L12033" t="str">
            <v>Non-proportional</v>
          </cell>
          <cell r="S12033">
            <v>-4240.46</v>
          </cell>
          <cell r="X12033" t="str">
            <v>Variation UPR - gross</v>
          </cell>
          <cell r="Y12033" t="str">
            <v>AUSTRALIA</v>
          </cell>
        </row>
        <row r="12034">
          <cell r="L12034" t="str">
            <v>Non-proportional</v>
          </cell>
          <cell r="S12034">
            <v>-7891</v>
          </cell>
          <cell r="X12034" t="str">
            <v>Variation UPR - gross</v>
          </cell>
          <cell r="Y12034" t="str">
            <v>DENMARK</v>
          </cell>
        </row>
        <row r="12035">
          <cell r="L12035" t="str">
            <v>Non-proportional</v>
          </cell>
          <cell r="S12035">
            <v>-43750</v>
          </cell>
          <cell r="X12035" t="str">
            <v>Variation UPR - gross</v>
          </cell>
          <cell r="Y12035" t="str">
            <v>GERMANY</v>
          </cell>
        </row>
        <row r="12036">
          <cell r="L12036" t="str">
            <v>Non-proportional</v>
          </cell>
          <cell r="S12036">
            <v>-1122.3</v>
          </cell>
          <cell r="X12036" t="str">
            <v>Variation UPR - gross</v>
          </cell>
          <cell r="Y12036" t="str">
            <v>ITALY</v>
          </cell>
        </row>
        <row r="12037">
          <cell r="L12037" t="str">
            <v>Non-proportional</v>
          </cell>
          <cell r="S12037">
            <v>-73051.42</v>
          </cell>
          <cell r="X12037" t="str">
            <v>Variation UPR - gross</v>
          </cell>
          <cell r="Y12037" t="str">
            <v>UNITED KINGDOM</v>
          </cell>
        </row>
        <row r="12038">
          <cell r="L12038" t="str">
            <v>Non-proportional</v>
          </cell>
          <cell r="S12038">
            <v>0.16</v>
          </cell>
          <cell r="X12038" t="str">
            <v>Variation UPR - gross</v>
          </cell>
          <cell r="Y12038" t="str">
            <v>DENMARK</v>
          </cell>
        </row>
        <row r="12039">
          <cell r="L12039" t="str">
            <v>Non-proportional</v>
          </cell>
          <cell r="S12039">
            <v>-14058.31</v>
          </cell>
          <cell r="X12039" t="str">
            <v>Variation UPR - gross</v>
          </cell>
          <cell r="Y12039" t="str">
            <v>EIRE</v>
          </cell>
        </row>
        <row r="12040">
          <cell r="L12040" t="str">
            <v>Non-proportional</v>
          </cell>
          <cell r="S12040">
            <v>-10537.8</v>
          </cell>
          <cell r="X12040" t="str">
            <v>Variation UPR - gross</v>
          </cell>
          <cell r="Y12040" t="str">
            <v>GERMANY</v>
          </cell>
        </row>
        <row r="12041">
          <cell r="L12041" t="str">
            <v>Non-proportional</v>
          </cell>
          <cell r="S12041">
            <v>-3107.33</v>
          </cell>
          <cell r="X12041" t="str">
            <v>Variation UPR - gross</v>
          </cell>
          <cell r="Y12041" t="str">
            <v>GERMANY</v>
          </cell>
        </row>
        <row r="12042">
          <cell r="L12042" t="str">
            <v>Proportional</v>
          </cell>
          <cell r="S12042">
            <v>-3114.88</v>
          </cell>
          <cell r="X12042" t="str">
            <v>Variation UPR - gross</v>
          </cell>
          <cell r="Y12042" t="str">
            <v>UNITED STATES</v>
          </cell>
        </row>
        <row r="12043">
          <cell r="L12043" t="str">
            <v>Non-proportional</v>
          </cell>
          <cell r="S12043">
            <v>15.85</v>
          </cell>
          <cell r="X12043" t="str">
            <v>Variation UPR - gross</v>
          </cell>
          <cell r="Y12043" t="str">
            <v>SWEDEN</v>
          </cell>
        </row>
        <row r="12044">
          <cell r="L12044" t="str">
            <v>Non-proportional</v>
          </cell>
          <cell r="S12044">
            <v>-3915.29</v>
          </cell>
          <cell r="X12044" t="str">
            <v>Variation UPR - gross</v>
          </cell>
          <cell r="Y12044" t="str">
            <v>UNITED KINGDOM</v>
          </cell>
        </row>
        <row r="12045">
          <cell r="L12045" t="str">
            <v>Non-proportional</v>
          </cell>
          <cell r="S12045">
            <v>-11332.61</v>
          </cell>
          <cell r="X12045" t="str">
            <v>Variation UPR - gross</v>
          </cell>
          <cell r="Y12045" t="str">
            <v>UNITED KINGDOM</v>
          </cell>
        </row>
        <row r="12046">
          <cell r="L12046" t="str">
            <v>Non-proportional</v>
          </cell>
          <cell r="S12046">
            <v>-8369.58</v>
          </cell>
          <cell r="X12046" t="str">
            <v>Variation UPR - gross</v>
          </cell>
          <cell r="Y12046" t="str">
            <v>GERMANY</v>
          </cell>
        </row>
        <row r="12047">
          <cell r="L12047" t="str">
            <v>Non-proportional</v>
          </cell>
          <cell r="S12047">
            <v>-9567</v>
          </cell>
          <cell r="X12047" t="str">
            <v>Variation UPR - gross</v>
          </cell>
          <cell r="Y12047" t="str">
            <v>SLOVENIA</v>
          </cell>
        </row>
        <row r="12048">
          <cell r="L12048" t="str">
            <v>Non-proportional</v>
          </cell>
          <cell r="S12048">
            <v>-9128.9599999999991</v>
          </cell>
          <cell r="X12048" t="str">
            <v>Variation UPR - gross</v>
          </cell>
          <cell r="Y12048" t="str">
            <v>GERMANY</v>
          </cell>
        </row>
        <row r="12049">
          <cell r="L12049" t="str">
            <v>Non-proportional</v>
          </cell>
          <cell r="S12049">
            <v>-1088.4100000000001</v>
          </cell>
          <cell r="X12049" t="str">
            <v>Variation UPR - gross</v>
          </cell>
          <cell r="Y12049" t="str">
            <v>DENMARK</v>
          </cell>
        </row>
        <row r="12050">
          <cell r="L12050" t="str">
            <v>Non-proportional</v>
          </cell>
          <cell r="S12050">
            <v>-1129.9000000000001</v>
          </cell>
          <cell r="X12050" t="str">
            <v>Variation UPR - gross</v>
          </cell>
          <cell r="Y12050" t="str">
            <v>UNITED KINGDOM</v>
          </cell>
        </row>
        <row r="12051">
          <cell r="L12051" t="str">
            <v>Non-proportional</v>
          </cell>
          <cell r="S12051">
            <v>-11851.06</v>
          </cell>
          <cell r="X12051" t="str">
            <v>Variation UPR - gross</v>
          </cell>
          <cell r="Y12051" t="str">
            <v>UNITED KINGDOM</v>
          </cell>
        </row>
        <row r="12052">
          <cell r="L12052" t="str">
            <v>Non-proportional</v>
          </cell>
          <cell r="S12052">
            <v>-56062.97</v>
          </cell>
          <cell r="X12052" t="str">
            <v>Variation UPR - gross</v>
          </cell>
          <cell r="Y12052" t="str">
            <v>UNITED KINGDOM</v>
          </cell>
        </row>
        <row r="12053">
          <cell r="L12053" t="str">
            <v>Non-proportional</v>
          </cell>
          <cell r="S12053">
            <v>-41743.67</v>
          </cell>
          <cell r="X12053" t="str">
            <v>Variation UPR - gross</v>
          </cell>
          <cell r="Y12053" t="str">
            <v>UNITED KINGDOM</v>
          </cell>
        </row>
        <row r="12054">
          <cell r="L12054" t="str">
            <v>Non-proportional</v>
          </cell>
          <cell r="S12054">
            <v>-16643.64</v>
          </cell>
          <cell r="X12054" t="str">
            <v>Variation UPR - gross</v>
          </cell>
          <cell r="Y12054" t="str">
            <v>FRANCE</v>
          </cell>
        </row>
        <row r="12055">
          <cell r="L12055" t="str">
            <v>Non-proportional</v>
          </cell>
          <cell r="S12055">
            <v>-2802.35</v>
          </cell>
          <cell r="X12055" t="str">
            <v>Variation UPR - gross</v>
          </cell>
          <cell r="Y12055" t="str">
            <v>REPUBLIC OF IRELAND</v>
          </cell>
        </row>
        <row r="12056">
          <cell r="L12056" t="str">
            <v>Non-proportional</v>
          </cell>
          <cell r="S12056">
            <v>5.19</v>
          </cell>
          <cell r="X12056" t="str">
            <v>Variation UPR - gross</v>
          </cell>
          <cell r="Y12056" t="str">
            <v>SWEDEN</v>
          </cell>
        </row>
        <row r="12057">
          <cell r="L12057" t="str">
            <v>Non-proportional</v>
          </cell>
          <cell r="S12057">
            <v>-2357.5</v>
          </cell>
          <cell r="X12057" t="str">
            <v>Variation UPR - gross</v>
          </cell>
          <cell r="Y12057" t="str">
            <v>GERMANY</v>
          </cell>
        </row>
        <row r="12058">
          <cell r="L12058" t="str">
            <v>Non-proportional</v>
          </cell>
          <cell r="S12058">
            <v>-17100.96</v>
          </cell>
          <cell r="X12058" t="str">
            <v>Variation UPR - gross</v>
          </cell>
          <cell r="Y12058" t="str">
            <v>SWITZERLAND</v>
          </cell>
        </row>
        <row r="12059">
          <cell r="L12059" t="str">
            <v>Non-proportional</v>
          </cell>
          <cell r="S12059">
            <v>-351.66</v>
          </cell>
          <cell r="X12059" t="str">
            <v>Variation UPR - gross</v>
          </cell>
          <cell r="Y12059" t="str">
            <v>GERMANY</v>
          </cell>
        </row>
        <row r="12060">
          <cell r="L12060" t="str">
            <v>Non-proportional</v>
          </cell>
          <cell r="S12060">
            <v>-4573.13</v>
          </cell>
          <cell r="X12060" t="str">
            <v>Variation UPR - gross</v>
          </cell>
          <cell r="Y12060" t="str">
            <v>EUROPE</v>
          </cell>
        </row>
        <row r="12061">
          <cell r="L12061" t="str">
            <v>Non-proportional</v>
          </cell>
          <cell r="S12061">
            <v>-781.4</v>
          </cell>
          <cell r="X12061" t="str">
            <v>Variation UPR - gross</v>
          </cell>
          <cell r="Y12061" t="str">
            <v>DENMARK</v>
          </cell>
        </row>
        <row r="12062">
          <cell r="L12062" t="str">
            <v>Non-proportional</v>
          </cell>
          <cell r="S12062">
            <v>-11815.97</v>
          </cell>
          <cell r="X12062" t="str">
            <v>Variation UPR - gross</v>
          </cell>
          <cell r="Y12062" t="str">
            <v>GERMANY</v>
          </cell>
        </row>
        <row r="12063">
          <cell r="L12063" t="str">
            <v>Proportional</v>
          </cell>
          <cell r="S12063">
            <v>-1337.62</v>
          </cell>
          <cell r="X12063" t="str">
            <v>Variation UPR - gross</v>
          </cell>
          <cell r="Y12063" t="str">
            <v>UNITED STATES</v>
          </cell>
        </row>
        <row r="12064">
          <cell r="L12064" t="str">
            <v>Non-proportional</v>
          </cell>
          <cell r="S12064">
            <v>-9917.92</v>
          </cell>
          <cell r="X12064" t="str">
            <v>Variation UPR - gross</v>
          </cell>
          <cell r="Y12064" t="str">
            <v>CZECH REPUBLIC</v>
          </cell>
        </row>
        <row r="12065">
          <cell r="L12065" t="str">
            <v>Non-proportional</v>
          </cell>
          <cell r="S12065">
            <v>-1467.94</v>
          </cell>
          <cell r="X12065" t="str">
            <v>Variation UPR - gross</v>
          </cell>
          <cell r="Y12065" t="str">
            <v>REPUBLIC OF IRELAND</v>
          </cell>
        </row>
        <row r="12066">
          <cell r="L12066" t="str">
            <v>Non-proportional</v>
          </cell>
          <cell r="S12066">
            <v>-17609.03</v>
          </cell>
          <cell r="X12066" t="str">
            <v>Variation UPR - gross</v>
          </cell>
          <cell r="Y12066" t="str">
            <v>AUSTRIA</v>
          </cell>
        </row>
        <row r="12067">
          <cell r="L12067" t="str">
            <v>Non-proportional</v>
          </cell>
          <cell r="S12067">
            <v>-3562.7</v>
          </cell>
          <cell r="X12067" t="str">
            <v>Variation UPR - gross</v>
          </cell>
          <cell r="Y12067" t="str">
            <v>SWITZERLAND</v>
          </cell>
        </row>
        <row r="12068">
          <cell r="L12068" t="str">
            <v>Non-proportional</v>
          </cell>
          <cell r="S12068">
            <v>-8625</v>
          </cell>
          <cell r="X12068" t="str">
            <v>Variation UPR - gross</v>
          </cell>
          <cell r="Y12068" t="str">
            <v>GERMANY</v>
          </cell>
        </row>
        <row r="12069">
          <cell r="L12069" t="str">
            <v>Non-proportional</v>
          </cell>
          <cell r="S12069">
            <v>2615.11</v>
          </cell>
          <cell r="X12069" t="str">
            <v>Variation UPR - gross</v>
          </cell>
          <cell r="Y12069" t="str">
            <v>SPAIN</v>
          </cell>
        </row>
        <row r="12070">
          <cell r="L12070" t="str">
            <v>Non-proportional</v>
          </cell>
          <cell r="S12070">
            <v>-2418.39</v>
          </cell>
          <cell r="X12070" t="str">
            <v>Variation UPR - gross</v>
          </cell>
          <cell r="Y12070" t="str">
            <v>AUSTRALIA</v>
          </cell>
        </row>
        <row r="12071">
          <cell r="L12071" t="str">
            <v>Non-proportional</v>
          </cell>
          <cell r="S12071">
            <v>-5893.93</v>
          </cell>
          <cell r="X12071" t="str">
            <v>Variation UPR - gross</v>
          </cell>
          <cell r="Y12071" t="str">
            <v>AUSTRIA</v>
          </cell>
        </row>
        <row r="12072">
          <cell r="L12072" t="str">
            <v>Non-proportional</v>
          </cell>
          <cell r="S12072">
            <v>-25886.33</v>
          </cell>
          <cell r="X12072" t="str">
            <v>Variation UPR - gross</v>
          </cell>
          <cell r="Y12072" t="str">
            <v>CZECH REPUBLIC</v>
          </cell>
        </row>
        <row r="12073">
          <cell r="L12073" t="str">
            <v>Non-proportional</v>
          </cell>
          <cell r="S12073">
            <v>-2582.16</v>
          </cell>
          <cell r="X12073" t="str">
            <v>Variation UPR - gross</v>
          </cell>
          <cell r="Y12073" t="str">
            <v>JAPAN</v>
          </cell>
        </row>
        <row r="12074">
          <cell r="L12074" t="str">
            <v>Non-proportional</v>
          </cell>
          <cell r="S12074">
            <v>9.25</v>
          </cell>
          <cell r="X12074" t="str">
            <v>Variation UPR - gross</v>
          </cell>
          <cell r="Y12074" t="str">
            <v>SWEDEN</v>
          </cell>
        </row>
        <row r="12075">
          <cell r="L12075" t="str">
            <v>Non-proportional</v>
          </cell>
          <cell r="S12075">
            <v>-175.18</v>
          </cell>
          <cell r="X12075" t="str">
            <v>Variation UPR - gross</v>
          </cell>
          <cell r="Y12075" t="str">
            <v>ITALY</v>
          </cell>
        </row>
        <row r="12076">
          <cell r="L12076" t="str">
            <v>Non-proportional</v>
          </cell>
          <cell r="S12076">
            <v>-2500.5700000000002</v>
          </cell>
          <cell r="X12076" t="str">
            <v>Variation UPR - gross</v>
          </cell>
          <cell r="Y12076" t="str">
            <v>GERMANY</v>
          </cell>
        </row>
        <row r="12077">
          <cell r="L12077" t="str">
            <v>Non-proportional</v>
          </cell>
          <cell r="S12077">
            <v>-1575.96</v>
          </cell>
          <cell r="X12077" t="str">
            <v>Variation UPR - gross</v>
          </cell>
          <cell r="Y12077" t="str">
            <v>JAPAN</v>
          </cell>
        </row>
        <row r="12078">
          <cell r="L12078" t="str">
            <v>Non-proportional</v>
          </cell>
          <cell r="S12078">
            <v>-6335.14</v>
          </cell>
          <cell r="X12078" t="str">
            <v>Variation UPR - gross</v>
          </cell>
          <cell r="Y12078" t="str">
            <v>GERMANY</v>
          </cell>
        </row>
        <row r="12079">
          <cell r="L12079" t="str">
            <v>Proportional</v>
          </cell>
          <cell r="S12079">
            <v>-160112.5</v>
          </cell>
          <cell r="X12079" t="str">
            <v>Variation UPR - gross</v>
          </cell>
          <cell r="Y12079" t="str">
            <v>AUSTRIA</v>
          </cell>
        </row>
        <row r="12080">
          <cell r="L12080" t="str">
            <v>Non-proportional</v>
          </cell>
          <cell r="S12080">
            <v>-13395.25</v>
          </cell>
          <cell r="X12080" t="str">
            <v>Variation UPR - gross</v>
          </cell>
          <cell r="Y12080" t="str">
            <v>DENMARK</v>
          </cell>
        </row>
        <row r="12081">
          <cell r="L12081" t="str">
            <v>Non-proportional</v>
          </cell>
          <cell r="S12081">
            <v>-8423.33</v>
          </cell>
          <cell r="X12081" t="str">
            <v>Variation UPR - gross</v>
          </cell>
          <cell r="Y12081" t="str">
            <v>ITALY</v>
          </cell>
        </row>
        <row r="12082">
          <cell r="L12082" t="str">
            <v>Non-proportional</v>
          </cell>
          <cell r="S12082">
            <v>-5493.18</v>
          </cell>
          <cell r="X12082" t="str">
            <v>Variation UPR - gross</v>
          </cell>
          <cell r="Y12082" t="str">
            <v>FRANCE</v>
          </cell>
        </row>
        <row r="12083">
          <cell r="L12083" t="str">
            <v>Non-proportional</v>
          </cell>
          <cell r="S12083">
            <v>-7965</v>
          </cell>
          <cell r="X12083" t="str">
            <v>Variation UPR - gross</v>
          </cell>
          <cell r="Y12083" t="str">
            <v>GERMANY</v>
          </cell>
        </row>
        <row r="12084">
          <cell r="L12084" t="str">
            <v>Non-proportional</v>
          </cell>
          <cell r="S12084">
            <v>-2020.34</v>
          </cell>
          <cell r="X12084" t="str">
            <v>Variation UPR - gross</v>
          </cell>
          <cell r="Y12084" t="str">
            <v>JAPAN</v>
          </cell>
        </row>
        <row r="12085">
          <cell r="L12085" t="str">
            <v>Non-proportional</v>
          </cell>
          <cell r="S12085">
            <v>-130624.03</v>
          </cell>
          <cell r="X12085" t="str">
            <v>Variation UPR - gross</v>
          </cell>
          <cell r="Y12085" t="str">
            <v>UNITED KINGDOM</v>
          </cell>
        </row>
        <row r="12086">
          <cell r="L12086" t="str">
            <v>Non-proportional</v>
          </cell>
          <cell r="S12086">
            <v>-4112.1499999999996</v>
          </cell>
          <cell r="X12086" t="str">
            <v>Variation UPR - gross</v>
          </cell>
          <cell r="Y12086" t="str">
            <v>AUSTRIA</v>
          </cell>
        </row>
        <row r="12087">
          <cell r="L12087" t="str">
            <v>Non-proportional</v>
          </cell>
          <cell r="S12087">
            <v>-8072.83</v>
          </cell>
          <cell r="X12087" t="str">
            <v>Variation UPR - gross</v>
          </cell>
          <cell r="Y12087" t="str">
            <v>GERMANY</v>
          </cell>
        </row>
        <row r="12088">
          <cell r="L12088" t="str">
            <v>Non-proportional</v>
          </cell>
          <cell r="S12088">
            <v>-3850</v>
          </cell>
          <cell r="X12088" t="str">
            <v>Variation UPR - gross</v>
          </cell>
          <cell r="Y12088" t="str">
            <v>GERMANY</v>
          </cell>
        </row>
        <row r="12089">
          <cell r="L12089" t="str">
            <v>Non-proportional</v>
          </cell>
          <cell r="S12089">
            <v>-2637.27</v>
          </cell>
          <cell r="X12089" t="str">
            <v>Variation UPR - gross</v>
          </cell>
          <cell r="Y12089" t="str">
            <v>GERMANY</v>
          </cell>
        </row>
        <row r="12090">
          <cell r="L12090" t="str">
            <v>Non-proportional</v>
          </cell>
          <cell r="S12090">
            <v>3.79</v>
          </cell>
          <cell r="X12090" t="str">
            <v>Variation UPR - gross</v>
          </cell>
          <cell r="Y12090" t="str">
            <v>DENMARK</v>
          </cell>
        </row>
        <row r="12091">
          <cell r="L12091" t="str">
            <v>Non-proportional</v>
          </cell>
          <cell r="S12091">
            <v>-5581.54</v>
          </cell>
          <cell r="X12091" t="str">
            <v>Variation UPR - gross</v>
          </cell>
          <cell r="Y12091" t="str">
            <v>DENMARK</v>
          </cell>
        </row>
        <row r="12092">
          <cell r="L12092" t="str">
            <v>Non-proportional</v>
          </cell>
          <cell r="S12092">
            <v>2.02</v>
          </cell>
          <cell r="X12092" t="str">
            <v>Variation UPR - gross</v>
          </cell>
          <cell r="Y12092" t="str">
            <v>SWEDEN</v>
          </cell>
        </row>
        <row r="12093">
          <cell r="L12093" t="str">
            <v>Non-proportional</v>
          </cell>
          <cell r="S12093">
            <v>-11058.89</v>
          </cell>
          <cell r="X12093" t="str">
            <v>Variation UPR - gross</v>
          </cell>
          <cell r="Y12093" t="str">
            <v>DENMARK</v>
          </cell>
        </row>
        <row r="12094">
          <cell r="L12094" t="str">
            <v>Non-proportional</v>
          </cell>
          <cell r="S12094">
            <v>-26243.45</v>
          </cell>
          <cell r="X12094" t="str">
            <v>Variation UPR - gross</v>
          </cell>
          <cell r="Y12094" t="str">
            <v>UNITED KINGDOM</v>
          </cell>
        </row>
        <row r="12095">
          <cell r="L12095" t="str">
            <v>Non-proportional</v>
          </cell>
          <cell r="S12095">
            <v>-6250.52</v>
          </cell>
          <cell r="X12095" t="str">
            <v>Variation UPR - gross</v>
          </cell>
          <cell r="Y12095" t="str">
            <v>GERMANY</v>
          </cell>
        </row>
        <row r="12096">
          <cell r="L12096" t="str">
            <v>Non-proportional</v>
          </cell>
          <cell r="S12096">
            <v>-1279.43</v>
          </cell>
          <cell r="X12096" t="str">
            <v>Variation UPR - gross</v>
          </cell>
          <cell r="Y12096" t="str">
            <v>FRANCE</v>
          </cell>
        </row>
        <row r="12097">
          <cell r="L12097" t="str">
            <v>Non-proportional</v>
          </cell>
          <cell r="S12097">
            <v>-37346.01</v>
          </cell>
          <cell r="X12097" t="str">
            <v>Variation UPR - gross</v>
          </cell>
          <cell r="Y12097" t="str">
            <v>FRANCE</v>
          </cell>
        </row>
        <row r="12098">
          <cell r="L12098" t="str">
            <v>Non-proportional</v>
          </cell>
          <cell r="S12098">
            <v>-11354.85</v>
          </cell>
          <cell r="X12098" t="str">
            <v>Variation UPR - gross</v>
          </cell>
          <cell r="Y12098" t="str">
            <v>GERMANY</v>
          </cell>
        </row>
        <row r="12099">
          <cell r="L12099" t="str">
            <v>Non-proportional</v>
          </cell>
          <cell r="S12099">
            <v>-7501.57</v>
          </cell>
          <cell r="X12099" t="str">
            <v>Variation UPR - gross</v>
          </cell>
          <cell r="Y12099" t="str">
            <v>GERMANY</v>
          </cell>
        </row>
        <row r="12100">
          <cell r="L12100" t="str">
            <v>Non-proportional</v>
          </cell>
          <cell r="S12100">
            <v>-10921.36</v>
          </cell>
          <cell r="X12100" t="str">
            <v>Variation UPR - gross</v>
          </cell>
          <cell r="Y12100" t="str">
            <v>UNITED KINGDOM</v>
          </cell>
        </row>
        <row r="12101">
          <cell r="L12101" t="str">
            <v>Non-proportional</v>
          </cell>
          <cell r="S12101">
            <v>-1903.09</v>
          </cell>
          <cell r="X12101" t="str">
            <v>Variation UPR - gross</v>
          </cell>
          <cell r="Y12101" t="str">
            <v>JAPAN</v>
          </cell>
        </row>
        <row r="12102">
          <cell r="L12102" t="str">
            <v>Non-proportional</v>
          </cell>
          <cell r="S12102">
            <v>-10425.780000000001</v>
          </cell>
          <cell r="X12102" t="str">
            <v>Variation UPR - gross</v>
          </cell>
          <cell r="Y12102" t="str">
            <v>FRANCE</v>
          </cell>
        </row>
        <row r="12103">
          <cell r="L12103" t="str">
            <v>Non-proportional</v>
          </cell>
          <cell r="S12103">
            <v>-4882.5</v>
          </cell>
          <cell r="X12103" t="str">
            <v>Variation UPR - gross</v>
          </cell>
          <cell r="Y12103" t="str">
            <v>UNITED KINGDOM</v>
          </cell>
        </row>
        <row r="12104">
          <cell r="L12104" t="str">
            <v>Non-proportional</v>
          </cell>
          <cell r="S12104">
            <v>-7604.21</v>
          </cell>
          <cell r="X12104" t="str">
            <v>Variation UPR - gross</v>
          </cell>
          <cell r="Y12104" t="str">
            <v>GERMANY</v>
          </cell>
        </row>
        <row r="12105">
          <cell r="L12105" t="str">
            <v>Non-proportional</v>
          </cell>
          <cell r="S12105">
            <v>0.01</v>
          </cell>
          <cell r="X12105" t="str">
            <v>Variation UPR - gross</v>
          </cell>
          <cell r="Y12105" t="str">
            <v>JAPAN</v>
          </cell>
        </row>
        <row r="12106">
          <cell r="L12106" t="str">
            <v>Non-proportional</v>
          </cell>
          <cell r="S12106">
            <v>-12215.04</v>
          </cell>
          <cell r="X12106" t="str">
            <v>Variation UPR - gross</v>
          </cell>
          <cell r="Y12106" t="str">
            <v>REPUBLIC OF IRELAND</v>
          </cell>
        </row>
        <row r="12107">
          <cell r="L12107" t="str">
            <v>Non-proportional</v>
          </cell>
          <cell r="S12107">
            <v>-1962.32</v>
          </cell>
          <cell r="X12107" t="str">
            <v>Variation UPR - gross</v>
          </cell>
          <cell r="Y12107" t="str">
            <v>GERMANY</v>
          </cell>
        </row>
        <row r="12108">
          <cell r="L12108" t="str">
            <v>Non-proportional</v>
          </cell>
          <cell r="S12108">
            <v>-14134.7</v>
          </cell>
          <cell r="X12108" t="str">
            <v>Variation UPR - gross</v>
          </cell>
          <cell r="Y12108" t="str">
            <v>POLAND</v>
          </cell>
        </row>
        <row r="12109">
          <cell r="L12109" t="str">
            <v>Non-proportional</v>
          </cell>
          <cell r="S12109">
            <v>-117.79</v>
          </cell>
          <cell r="X12109" t="str">
            <v>Variation UPR - gross</v>
          </cell>
          <cell r="Y12109" t="str">
            <v>FRANCE</v>
          </cell>
        </row>
        <row r="12110">
          <cell r="L12110" t="str">
            <v>Non-proportional</v>
          </cell>
          <cell r="S12110">
            <v>-2816.19</v>
          </cell>
          <cell r="X12110" t="str">
            <v>Variation UPR - gross</v>
          </cell>
          <cell r="Y12110" t="str">
            <v>FRANCE</v>
          </cell>
        </row>
        <row r="12111">
          <cell r="L12111" t="str">
            <v>Non-proportional</v>
          </cell>
          <cell r="S12111">
            <v>-35570.32</v>
          </cell>
          <cell r="X12111" t="str">
            <v>Variation UPR - gross</v>
          </cell>
          <cell r="Y12111" t="str">
            <v>FRANCE</v>
          </cell>
        </row>
        <row r="12112">
          <cell r="L12112" t="str">
            <v>Non-proportional</v>
          </cell>
          <cell r="S12112">
            <v>-6871.9</v>
          </cell>
          <cell r="X12112" t="str">
            <v>Variation UPR - gross</v>
          </cell>
          <cell r="Y12112" t="str">
            <v>GERMANY</v>
          </cell>
        </row>
        <row r="12113">
          <cell r="L12113" t="str">
            <v>Non-proportional</v>
          </cell>
          <cell r="S12113">
            <v>-22697.95</v>
          </cell>
          <cell r="X12113" t="str">
            <v>Variation UPR - gross</v>
          </cell>
          <cell r="Y12113" t="str">
            <v>UNITED KINGDOM</v>
          </cell>
        </row>
        <row r="12114">
          <cell r="L12114" t="str">
            <v>Non-proportional</v>
          </cell>
          <cell r="S12114">
            <v>-529.41</v>
          </cell>
          <cell r="X12114" t="str">
            <v>Variation UPR - gross</v>
          </cell>
          <cell r="Y12114" t="str">
            <v>NORWAY</v>
          </cell>
        </row>
        <row r="12115">
          <cell r="L12115" t="str">
            <v>Non-proportional</v>
          </cell>
          <cell r="S12115">
            <v>-4054.73</v>
          </cell>
          <cell r="X12115" t="str">
            <v>Variation UPR - gross</v>
          </cell>
          <cell r="Y12115" t="str">
            <v>UNITED KINGDOM</v>
          </cell>
        </row>
        <row r="12116">
          <cell r="L12116" t="str">
            <v>Non-proportional</v>
          </cell>
          <cell r="S12116">
            <v>-26000.18</v>
          </cell>
          <cell r="X12116" t="str">
            <v>Variation UPR - gross</v>
          </cell>
          <cell r="Y12116" t="str">
            <v>UNITED KINGDOM</v>
          </cell>
        </row>
        <row r="12117">
          <cell r="L12117" t="str">
            <v>Non-proportional</v>
          </cell>
          <cell r="S12117">
            <v>-9203.1200000000008</v>
          </cell>
          <cell r="X12117" t="str">
            <v>Variation UPR - gross</v>
          </cell>
          <cell r="Y12117" t="str">
            <v>GERMANY</v>
          </cell>
        </row>
        <row r="12118">
          <cell r="L12118" t="str">
            <v>Non-proportional</v>
          </cell>
          <cell r="S12118">
            <v>-7590</v>
          </cell>
          <cell r="X12118" t="str">
            <v>Variation UPR - gross</v>
          </cell>
          <cell r="Y12118" t="str">
            <v>GERMANY</v>
          </cell>
        </row>
        <row r="12119">
          <cell r="L12119" t="str">
            <v>Non-proportional</v>
          </cell>
          <cell r="S12119">
            <v>-51.85</v>
          </cell>
          <cell r="X12119" t="str">
            <v>Variation UPR - gross</v>
          </cell>
          <cell r="Y12119" t="str">
            <v>UNITED ARAB EMIRATES</v>
          </cell>
        </row>
        <row r="12120">
          <cell r="L12120" t="str">
            <v>Non-proportional</v>
          </cell>
          <cell r="S12120">
            <v>-613.01</v>
          </cell>
          <cell r="X12120" t="str">
            <v>Variation UPR - gross</v>
          </cell>
          <cell r="Y12120" t="str">
            <v>REPUBLIC OF IRELAND</v>
          </cell>
        </row>
        <row r="12121">
          <cell r="L12121" t="str">
            <v>Non-proportional</v>
          </cell>
          <cell r="S12121">
            <v>-13732.04</v>
          </cell>
          <cell r="X12121" t="str">
            <v>Variation UPR - gross</v>
          </cell>
          <cell r="Y12121" t="str">
            <v>UNITED KINGDOM</v>
          </cell>
        </row>
        <row r="12122">
          <cell r="L12122" t="str">
            <v>Non-proportional</v>
          </cell>
          <cell r="S12122">
            <v>-820.54</v>
          </cell>
          <cell r="X12122" t="str">
            <v>Variation UPR - gross</v>
          </cell>
          <cell r="Y12122" t="str">
            <v>GERMANY</v>
          </cell>
        </row>
        <row r="12123">
          <cell r="L12123" t="str">
            <v>Non-proportional</v>
          </cell>
          <cell r="S12123">
            <v>-1246.95</v>
          </cell>
          <cell r="X12123" t="str">
            <v>Variation UPR - gross</v>
          </cell>
          <cell r="Y12123" t="str">
            <v>SWITZERLAND</v>
          </cell>
        </row>
        <row r="12124">
          <cell r="L12124" t="str">
            <v>Non-proportional</v>
          </cell>
          <cell r="S12124">
            <v>-8351.3799999999992</v>
          </cell>
          <cell r="X12124" t="str">
            <v>Variation UPR - gross</v>
          </cell>
          <cell r="Y12124" t="str">
            <v>DENMARK</v>
          </cell>
        </row>
        <row r="12125">
          <cell r="L12125" t="str">
            <v>Non-proportional</v>
          </cell>
          <cell r="S12125">
            <v>-3178.31</v>
          </cell>
          <cell r="X12125" t="str">
            <v>Variation UPR - gross</v>
          </cell>
          <cell r="Y12125" t="str">
            <v>UNITED KINGDOM</v>
          </cell>
        </row>
        <row r="12126">
          <cell r="L12126" t="str">
            <v>Non-proportional</v>
          </cell>
          <cell r="S12126">
            <v>-5805.62</v>
          </cell>
          <cell r="X12126" t="str">
            <v>Variation UPR - gross</v>
          </cell>
          <cell r="Y12126" t="str">
            <v>DENMARK</v>
          </cell>
        </row>
        <row r="12127">
          <cell r="L12127" t="str">
            <v>Non-proportional</v>
          </cell>
          <cell r="S12127">
            <v>-8999.89</v>
          </cell>
          <cell r="X12127" t="str">
            <v>Variation UPR - gross</v>
          </cell>
          <cell r="Y12127" t="str">
            <v>GERMANY</v>
          </cell>
        </row>
        <row r="12128">
          <cell r="L12128" t="str">
            <v>Non-proportional</v>
          </cell>
          <cell r="S12128">
            <v>3.52</v>
          </cell>
          <cell r="X12128" t="str">
            <v>Variation UPR - gross</v>
          </cell>
          <cell r="Y12128" t="str">
            <v>DENMARK</v>
          </cell>
        </row>
        <row r="12129">
          <cell r="L12129" t="str">
            <v>Non-proportional</v>
          </cell>
          <cell r="S12129">
            <v>-12443.04</v>
          </cell>
          <cell r="X12129" t="str">
            <v>Variation UPR - gross</v>
          </cell>
          <cell r="Y12129" t="str">
            <v>SWEDEN</v>
          </cell>
        </row>
        <row r="12130">
          <cell r="L12130" t="str">
            <v>Non-proportional</v>
          </cell>
          <cell r="S12130">
            <v>-7091.4</v>
          </cell>
          <cell r="X12130" t="str">
            <v>Variation UPR - gross</v>
          </cell>
          <cell r="Y12130" t="str">
            <v>NORWAY</v>
          </cell>
        </row>
        <row r="12131">
          <cell r="L12131" t="str">
            <v>Non-proportional</v>
          </cell>
          <cell r="S12131">
            <v>-1339.13</v>
          </cell>
          <cell r="X12131" t="str">
            <v>Variation UPR - gross</v>
          </cell>
          <cell r="Y12131" t="str">
            <v>DENMARK</v>
          </cell>
        </row>
        <row r="12132">
          <cell r="L12132" t="str">
            <v>Non-proportional</v>
          </cell>
          <cell r="S12132">
            <v>-8539.76</v>
          </cell>
          <cell r="X12132" t="str">
            <v>Variation UPR - gross</v>
          </cell>
          <cell r="Y12132" t="str">
            <v>DENMARK</v>
          </cell>
        </row>
        <row r="12133">
          <cell r="L12133" t="str">
            <v>Non-proportional</v>
          </cell>
          <cell r="S12133">
            <v>-6412.86</v>
          </cell>
          <cell r="X12133" t="str">
            <v>Variation UPR - gross</v>
          </cell>
          <cell r="Y12133" t="str">
            <v>SWITZERLAND</v>
          </cell>
        </row>
        <row r="12134">
          <cell r="L12134" t="str">
            <v>Non-proportional</v>
          </cell>
          <cell r="S12134">
            <v>-314521.89</v>
          </cell>
          <cell r="X12134" t="str">
            <v>Variation UPR - gross</v>
          </cell>
          <cell r="Y12134" t="str">
            <v>UNITED KINGDOM</v>
          </cell>
        </row>
        <row r="12135">
          <cell r="L12135" t="str">
            <v>Non-proportional</v>
          </cell>
          <cell r="S12135">
            <v>-4553.8100000000004</v>
          </cell>
          <cell r="X12135" t="str">
            <v>Variation UPR - gross</v>
          </cell>
          <cell r="Y12135" t="str">
            <v>REPUBLIC OF IRELAND</v>
          </cell>
        </row>
        <row r="12136">
          <cell r="L12136" t="str">
            <v>Non-proportional</v>
          </cell>
          <cell r="S12136">
            <v>-39581.550000000003</v>
          </cell>
          <cell r="X12136" t="str">
            <v>Variation UPR - gross</v>
          </cell>
          <cell r="Y12136" t="str">
            <v>UNITED KINGDOM</v>
          </cell>
        </row>
        <row r="12137">
          <cell r="L12137" t="str">
            <v>Non-proportional</v>
          </cell>
          <cell r="S12137">
            <v>-16421.82</v>
          </cell>
          <cell r="X12137" t="str">
            <v>Variation UPR - gross</v>
          </cell>
          <cell r="Y12137" t="str">
            <v>SWITZERLAND</v>
          </cell>
        </row>
        <row r="12138">
          <cell r="L12138" t="str">
            <v>Non-proportional</v>
          </cell>
          <cell r="S12138">
            <v>-34948.339999999997</v>
          </cell>
          <cell r="X12138" t="str">
            <v>Variation UPR - gross</v>
          </cell>
          <cell r="Y12138" t="str">
            <v>UNITED KINGDOM</v>
          </cell>
        </row>
        <row r="12139">
          <cell r="L12139" t="str">
            <v>Non-proportional</v>
          </cell>
          <cell r="S12139">
            <v>-273731.94</v>
          </cell>
          <cell r="X12139" t="str">
            <v>Variation UPR - gross</v>
          </cell>
          <cell r="Y12139" t="str">
            <v>UNITED KINGDOM</v>
          </cell>
        </row>
        <row r="12140">
          <cell r="L12140" t="str">
            <v>Non-proportional</v>
          </cell>
          <cell r="S12140">
            <v>-10209.379999999999</v>
          </cell>
          <cell r="X12140" t="str">
            <v>Variation UPR - gross</v>
          </cell>
          <cell r="Y12140" t="str">
            <v>GERMANY</v>
          </cell>
        </row>
        <row r="12141">
          <cell r="L12141" t="str">
            <v>Non-proportional</v>
          </cell>
          <cell r="S12141">
            <v>4.1500000000000004</v>
          </cell>
          <cell r="X12141" t="str">
            <v>Variation UPR - gross</v>
          </cell>
          <cell r="Y12141" t="str">
            <v>DENMARK</v>
          </cell>
        </row>
        <row r="12142">
          <cell r="L12142" t="str">
            <v>Non-proportional</v>
          </cell>
          <cell r="S12142">
            <v>-4237.9799999999996</v>
          </cell>
          <cell r="X12142" t="str">
            <v>Variation UPR - gross</v>
          </cell>
          <cell r="Y12142" t="str">
            <v>GERMANY</v>
          </cell>
        </row>
        <row r="12143">
          <cell r="L12143" t="str">
            <v>Non-proportional</v>
          </cell>
          <cell r="S12143">
            <v>-6250</v>
          </cell>
          <cell r="X12143" t="str">
            <v>Variation UPR - gross</v>
          </cell>
          <cell r="Y12143" t="str">
            <v>GERMANY</v>
          </cell>
        </row>
        <row r="12144">
          <cell r="L12144" t="str">
            <v>Non-proportional</v>
          </cell>
          <cell r="S12144">
            <v>-8837.7099999999991</v>
          </cell>
          <cell r="X12144" t="str">
            <v>Variation UPR - gross</v>
          </cell>
          <cell r="Y12144" t="str">
            <v>GERMANY</v>
          </cell>
        </row>
        <row r="12145">
          <cell r="L12145" t="str">
            <v>Non-proportional</v>
          </cell>
          <cell r="S12145">
            <v>-12280.24</v>
          </cell>
          <cell r="X12145" t="str">
            <v>Variation UPR - gross</v>
          </cell>
          <cell r="Y12145" t="str">
            <v>DENMARK</v>
          </cell>
        </row>
        <row r="12146">
          <cell r="L12146" t="str">
            <v>Non-proportional</v>
          </cell>
          <cell r="S12146">
            <v>-4477.33</v>
          </cell>
          <cell r="X12146" t="str">
            <v>Variation UPR - gross</v>
          </cell>
          <cell r="Y12146" t="str">
            <v>UNITED KINGDOM</v>
          </cell>
        </row>
        <row r="12147">
          <cell r="L12147" t="str">
            <v>Non-proportional</v>
          </cell>
          <cell r="S12147">
            <v>-1938.89</v>
          </cell>
          <cell r="X12147" t="str">
            <v>Variation UPR - gross</v>
          </cell>
          <cell r="Y12147" t="str">
            <v>REPUBLIC OF IRELAND</v>
          </cell>
        </row>
        <row r="12148">
          <cell r="L12148" t="str">
            <v>Non-proportional</v>
          </cell>
          <cell r="S12148">
            <v>-39211.699999999997</v>
          </cell>
          <cell r="X12148" t="str">
            <v>Variation UPR - gross</v>
          </cell>
          <cell r="Y12148" t="str">
            <v>UNITED KINGDOM</v>
          </cell>
        </row>
        <row r="12149">
          <cell r="L12149" t="str">
            <v>Proportional</v>
          </cell>
          <cell r="S12149">
            <v>-17296.77</v>
          </cell>
          <cell r="X12149" t="str">
            <v>Variation UPR - gross</v>
          </cell>
          <cell r="Y12149" t="str">
            <v>GERMANY</v>
          </cell>
        </row>
        <row r="12150">
          <cell r="L12150" t="str">
            <v>Non-proportional</v>
          </cell>
          <cell r="S12150">
            <v>100.83</v>
          </cell>
          <cell r="X12150" t="str">
            <v>Variation UPR - gross</v>
          </cell>
          <cell r="Y12150" t="str">
            <v>POLAND</v>
          </cell>
        </row>
        <row r="12151">
          <cell r="L12151" t="str">
            <v>Non-proportional</v>
          </cell>
          <cell r="S12151">
            <v>-3148.61</v>
          </cell>
          <cell r="X12151" t="str">
            <v>Variation UPR - gross</v>
          </cell>
          <cell r="Y12151" t="str">
            <v>UNITED KINGDOM</v>
          </cell>
        </row>
        <row r="12152">
          <cell r="L12152" t="str">
            <v>Non-proportional</v>
          </cell>
          <cell r="S12152">
            <v>-107233.11</v>
          </cell>
          <cell r="X12152" t="str">
            <v>Variation UPR - gross</v>
          </cell>
          <cell r="Y12152" t="str">
            <v>UNITED KINGDOM</v>
          </cell>
        </row>
        <row r="12153">
          <cell r="L12153" t="str">
            <v>Non-proportional</v>
          </cell>
          <cell r="S12153">
            <v>-5369</v>
          </cell>
          <cell r="X12153" t="str">
            <v>Variation UPR - gross</v>
          </cell>
          <cell r="Y12153" t="str">
            <v>GERMANY</v>
          </cell>
        </row>
        <row r="12154">
          <cell r="L12154" t="str">
            <v>Non-proportional</v>
          </cell>
          <cell r="S12154">
            <v>-7747.42</v>
          </cell>
          <cell r="X12154" t="str">
            <v>Variation UPR - gross</v>
          </cell>
          <cell r="Y12154" t="str">
            <v>GERMANY</v>
          </cell>
        </row>
        <row r="12155">
          <cell r="L12155" t="str">
            <v>Non-proportional</v>
          </cell>
          <cell r="S12155">
            <v>-6871.9</v>
          </cell>
          <cell r="X12155" t="str">
            <v>Variation UPR - gross</v>
          </cell>
          <cell r="Y12155" t="str">
            <v>GERMANY</v>
          </cell>
        </row>
        <row r="12156">
          <cell r="L12156" t="str">
            <v>Non-proportional</v>
          </cell>
          <cell r="S12156">
            <v>-8696.8799999999992</v>
          </cell>
          <cell r="X12156" t="str">
            <v>Variation UPR - gross</v>
          </cell>
          <cell r="Y12156" t="str">
            <v>GERMANY</v>
          </cell>
        </row>
        <row r="12157">
          <cell r="L12157" t="str">
            <v>Non-proportional</v>
          </cell>
          <cell r="S12157">
            <v>-78423.820000000007</v>
          </cell>
          <cell r="X12157" t="str">
            <v>Variation UPR - gross</v>
          </cell>
          <cell r="Y12157" t="str">
            <v>UNITED KINGDOM</v>
          </cell>
        </row>
        <row r="12158">
          <cell r="L12158" t="str">
            <v>Non-proportional</v>
          </cell>
          <cell r="S12158">
            <v>-25886.33</v>
          </cell>
          <cell r="X12158" t="str">
            <v>Variation UPR - gross</v>
          </cell>
          <cell r="Y12158" t="str">
            <v>CZECH REPUBLIC</v>
          </cell>
        </row>
        <row r="12159">
          <cell r="L12159" t="str">
            <v>Non-proportional</v>
          </cell>
          <cell r="S12159">
            <v>-756.44</v>
          </cell>
          <cell r="X12159" t="str">
            <v>Variation UPR - gross</v>
          </cell>
          <cell r="Y12159" t="str">
            <v>SWITZERLAND</v>
          </cell>
        </row>
        <row r="12160">
          <cell r="L12160" t="str">
            <v>Non-proportional</v>
          </cell>
          <cell r="S12160">
            <v>-28433.32</v>
          </cell>
          <cell r="X12160" t="str">
            <v>Variation UPR - gross</v>
          </cell>
          <cell r="Y12160" t="str">
            <v>UNITED KINGDOM</v>
          </cell>
        </row>
        <row r="12161">
          <cell r="L12161" t="str">
            <v>Non-proportional</v>
          </cell>
          <cell r="S12161">
            <v>-4553.8100000000004</v>
          </cell>
          <cell r="X12161" t="str">
            <v>Variation UPR - gross</v>
          </cell>
          <cell r="Y12161" t="str">
            <v>REPUBLIC OF IRELAND</v>
          </cell>
        </row>
        <row r="12162">
          <cell r="L12162" t="str">
            <v>Non-proportional</v>
          </cell>
          <cell r="S12162">
            <v>-20002.47</v>
          </cell>
          <cell r="X12162" t="str">
            <v>Variation UPR - gross</v>
          </cell>
          <cell r="Y12162" t="str">
            <v>CZECH REPUBLIC</v>
          </cell>
        </row>
        <row r="12163">
          <cell r="L12163" t="str">
            <v>Non-proportional</v>
          </cell>
          <cell r="S12163">
            <v>-9128.9599999999991</v>
          </cell>
          <cell r="X12163" t="str">
            <v>Variation UPR - gross</v>
          </cell>
          <cell r="Y12163" t="str">
            <v>GERMANY</v>
          </cell>
        </row>
        <row r="12164">
          <cell r="L12164" t="str">
            <v>Non-proportional</v>
          </cell>
          <cell r="S12164">
            <v>-18706.169999999998</v>
          </cell>
          <cell r="X12164" t="str">
            <v>Variation UPR - gross</v>
          </cell>
          <cell r="Y12164" t="str">
            <v>GERMANY</v>
          </cell>
        </row>
        <row r="12165">
          <cell r="L12165" t="str">
            <v>Non-proportional</v>
          </cell>
          <cell r="S12165">
            <v>-2712.75</v>
          </cell>
          <cell r="X12165" t="str">
            <v>Variation UPR - gross</v>
          </cell>
          <cell r="Y12165" t="str">
            <v>GERMANY</v>
          </cell>
        </row>
        <row r="12166">
          <cell r="L12166" t="str">
            <v>Non-proportional</v>
          </cell>
          <cell r="S12166">
            <v>-2282.59</v>
          </cell>
          <cell r="X12166" t="str">
            <v>Variation UPR - gross</v>
          </cell>
          <cell r="Y12166" t="str">
            <v>UNITED ARAB EMIRATES</v>
          </cell>
        </row>
        <row r="12167">
          <cell r="L12167" t="str">
            <v>Non-proportional</v>
          </cell>
          <cell r="S12167">
            <v>-8694.4699999999993</v>
          </cell>
          <cell r="X12167" t="str">
            <v>Variation UPR - gross</v>
          </cell>
          <cell r="Y12167" t="str">
            <v>UNITED KINGDOM</v>
          </cell>
        </row>
        <row r="12168">
          <cell r="L12168" t="str">
            <v>Non-proportional</v>
          </cell>
          <cell r="S12168">
            <v>-11825.5</v>
          </cell>
          <cell r="X12168" t="str">
            <v>Variation UPR - gross</v>
          </cell>
          <cell r="Y12168" t="str">
            <v>AUSTRIA</v>
          </cell>
        </row>
        <row r="12169">
          <cell r="L12169" t="str">
            <v>Non-proportional</v>
          </cell>
          <cell r="S12169">
            <v>-6638.42</v>
          </cell>
          <cell r="X12169" t="str">
            <v>Variation UPR - gross</v>
          </cell>
          <cell r="Y12169" t="str">
            <v>EUROPE</v>
          </cell>
        </row>
        <row r="12170">
          <cell r="L12170" t="str">
            <v>Non-proportional</v>
          </cell>
          <cell r="S12170">
            <v>-12215.04</v>
          </cell>
          <cell r="X12170" t="str">
            <v>Variation UPR - gross</v>
          </cell>
          <cell r="Y12170" t="str">
            <v>REPUBLIC OF IRELAND</v>
          </cell>
        </row>
        <row r="12171">
          <cell r="L12171" t="str">
            <v>Non-proportional</v>
          </cell>
          <cell r="S12171">
            <v>-13000</v>
          </cell>
          <cell r="X12171" t="str">
            <v>Variation UPR - gross</v>
          </cell>
          <cell r="Y12171" t="str">
            <v>ROMANIA</v>
          </cell>
        </row>
        <row r="12172">
          <cell r="L12172" t="str">
            <v>Non-proportional</v>
          </cell>
          <cell r="S12172">
            <v>-51566.81</v>
          </cell>
          <cell r="X12172" t="str">
            <v>Variation UPR - gross</v>
          </cell>
          <cell r="Y12172" t="str">
            <v>UNITED KINGDOM</v>
          </cell>
        </row>
        <row r="12173">
          <cell r="L12173" t="str">
            <v>Non-proportional</v>
          </cell>
          <cell r="S12173">
            <v>-750</v>
          </cell>
          <cell r="X12173" t="str">
            <v>Variation UPR - gross</v>
          </cell>
          <cell r="Y12173" t="str">
            <v>GERMANY</v>
          </cell>
        </row>
        <row r="12174">
          <cell r="L12174" t="str">
            <v>Non-proportional</v>
          </cell>
          <cell r="S12174">
            <v>-11059.16</v>
          </cell>
          <cell r="X12174" t="str">
            <v>Variation UPR - gross</v>
          </cell>
          <cell r="Y12174" t="str">
            <v>DENMARK</v>
          </cell>
        </row>
        <row r="12175">
          <cell r="L12175" t="str">
            <v>Non-proportional</v>
          </cell>
          <cell r="S12175">
            <v>-6250.52</v>
          </cell>
          <cell r="X12175" t="str">
            <v>Variation UPR - gross</v>
          </cell>
          <cell r="Y12175" t="str">
            <v>GERMANY</v>
          </cell>
        </row>
        <row r="12176">
          <cell r="L12176" t="str">
            <v>Non-proportional</v>
          </cell>
          <cell r="S12176">
            <v>-15.78</v>
          </cell>
          <cell r="X12176" t="str">
            <v>Variation UPR - gross</v>
          </cell>
          <cell r="Y12176" t="str">
            <v>NORWAY</v>
          </cell>
        </row>
        <row r="12177">
          <cell r="L12177" t="str">
            <v>Non-proportional</v>
          </cell>
          <cell r="S12177">
            <v>-10.55</v>
          </cell>
          <cell r="X12177" t="str">
            <v>Variation UPR - gross</v>
          </cell>
          <cell r="Y12177" t="str">
            <v>JAPAN</v>
          </cell>
        </row>
        <row r="12178">
          <cell r="L12178" t="str">
            <v>Non-proportional</v>
          </cell>
          <cell r="S12178">
            <v>-781.41</v>
          </cell>
          <cell r="X12178" t="str">
            <v>Variation UPR - gross</v>
          </cell>
          <cell r="Y12178" t="str">
            <v>DENMARK</v>
          </cell>
        </row>
        <row r="12179">
          <cell r="L12179" t="str">
            <v>Non-proportional</v>
          </cell>
          <cell r="S12179">
            <v>-1125</v>
          </cell>
          <cell r="X12179" t="str">
            <v>Variation UPR - gross</v>
          </cell>
          <cell r="Y12179" t="str">
            <v>GERMANY</v>
          </cell>
        </row>
        <row r="12180">
          <cell r="L12180" t="str">
            <v>Non-proportional</v>
          </cell>
          <cell r="S12180">
            <v>-16408.14</v>
          </cell>
          <cell r="X12180" t="str">
            <v>Variation UPR - gross</v>
          </cell>
          <cell r="Y12180" t="str">
            <v>SWITZERLAND</v>
          </cell>
        </row>
        <row r="12181">
          <cell r="L12181" t="str">
            <v>Non-proportional</v>
          </cell>
          <cell r="S12181">
            <v>-2687.5</v>
          </cell>
          <cell r="X12181" t="str">
            <v>Variation UPR - gross</v>
          </cell>
          <cell r="Y12181" t="str">
            <v>GERMANY</v>
          </cell>
        </row>
        <row r="12182">
          <cell r="L12182" t="str">
            <v>Non-proportional</v>
          </cell>
          <cell r="S12182">
            <v>-4112.1499999999996</v>
          </cell>
          <cell r="X12182" t="str">
            <v>Variation UPR - gross</v>
          </cell>
          <cell r="Y12182" t="str">
            <v>AUSTRIA</v>
          </cell>
        </row>
        <row r="12183">
          <cell r="L12183" t="str">
            <v>Non-proportional</v>
          </cell>
          <cell r="S12183">
            <v>-6879.24</v>
          </cell>
          <cell r="X12183" t="str">
            <v>Variation UPR - gross</v>
          </cell>
          <cell r="Y12183" t="str">
            <v>UNITED KINGDOM</v>
          </cell>
        </row>
        <row r="12184">
          <cell r="L12184" t="str">
            <v>Non-proportional</v>
          </cell>
          <cell r="S12184">
            <v>-5862.79</v>
          </cell>
          <cell r="X12184" t="str">
            <v>Variation UPR - gross</v>
          </cell>
          <cell r="Y12184" t="str">
            <v>NORWAY</v>
          </cell>
        </row>
        <row r="12185">
          <cell r="L12185" t="str">
            <v>Non-proportional</v>
          </cell>
          <cell r="S12185">
            <v>-8697.67</v>
          </cell>
          <cell r="X12185" t="str">
            <v>Variation UPR - gross</v>
          </cell>
          <cell r="Y12185" t="str">
            <v>GERMANY</v>
          </cell>
        </row>
        <row r="12186">
          <cell r="L12186" t="str">
            <v>Non-proportional</v>
          </cell>
          <cell r="S12186">
            <v>-51508.4</v>
          </cell>
          <cell r="X12186" t="str">
            <v>Variation UPR - gross</v>
          </cell>
          <cell r="Y12186" t="str">
            <v>UNITED KINGDOM</v>
          </cell>
        </row>
        <row r="12187">
          <cell r="L12187" t="str">
            <v>Non-proportional</v>
          </cell>
          <cell r="S12187">
            <v>-20707.14</v>
          </cell>
          <cell r="X12187" t="str">
            <v>Variation UPR - gross</v>
          </cell>
          <cell r="Y12187" t="str">
            <v>EUROPE</v>
          </cell>
        </row>
        <row r="12188">
          <cell r="L12188" t="str">
            <v>Non-proportional</v>
          </cell>
          <cell r="S12188">
            <v>-37642.550000000003</v>
          </cell>
          <cell r="X12188" t="str">
            <v>Variation UPR - gross</v>
          </cell>
          <cell r="Y12188" t="str">
            <v>UNITED KINGDOM</v>
          </cell>
        </row>
        <row r="12189">
          <cell r="L12189" t="str">
            <v>Non-proportional</v>
          </cell>
          <cell r="S12189">
            <v>-548.32000000000005</v>
          </cell>
          <cell r="X12189" t="str">
            <v>Variation UPR - gross</v>
          </cell>
          <cell r="Y12189" t="str">
            <v>REPUBLIC OF IRELAND</v>
          </cell>
        </row>
        <row r="12190">
          <cell r="L12190" t="str">
            <v>Non-proportional</v>
          </cell>
          <cell r="S12190">
            <v>-4984.72</v>
          </cell>
          <cell r="X12190" t="str">
            <v>Variation UPR - gross</v>
          </cell>
          <cell r="Y12190" t="str">
            <v>GERMANY</v>
          </cell>
        </row>
        <row r="12191">
          <cell r="L12191" t="str">
            <v>Non-proportional</v>
          </cell>
          <cell r="S12191">
            <v>-311583.02</v>
          </cell>
          <cell r="X12191" t="str">
            <v>Variation UPR - gross</v>
          </cell>
          <cell r="Y12191" t="str">
            <v>UNITED KINGDOM</v>
          </cell>
        </row>
        <row r="12192">
          <cell r="L12192" t="str">
            <v>Non-proportional</v>
          </cell>
          <cell r="S12192">
            <v>-15329.19</v>
          </cell>
          <cell r="X12192" t="str">
            <v>Variation UPR - gross</v>
          </cell>
          <cell r="Y12192" t="str">
            <v>ITALY</v>
          </cell>
        </row>
        <row r="12193">
          <cell r="L12193" t="str">
            <v>Non-proportional</v>
          </cell>
          <cell r="S12193">
            <v>0.01</v>
          </cell>
          <cell r="X12193" t="str">
            <v>Variation UPR - gross</v>
          </cell>
          <cell r="Y12193" t="str">
            <v>JAPAN</v>
          </cell>
        </row>
        <row r="12194">
          <cell r="L12194" t="str">
            <v>Non-proportional</v>
          </cell>
          <cell r="S12194">
            <v>-12458.33</v>
          </cell>
          <cell r="X12194" t="str">
            <v>Variation UPR - gross</v>
          </cell>
          <cell r="Y12194" t="str">
            <v>GERMANY</v>
          </cell>
        </row>
        <row r="12195">
          <cell r="L12195" t="str">
            <v>Non-proportional</v>
          </cell>
          <cell r="S12195">
            <v>-4266.97</v>
          </cell>
          <cell r="X12195" t="str">
            <v>Variation UPR - gross</v>
          </cell>
          <cell r="Y12195" t="str">
            <v>AUSTRALIA</v>
          </cell>
        </row>
        <row r="12196">
          <cell r="L12196" t="str">
            <v>Non-proportional</v>
          </cell>
          <cell r="S12196">
            <v>-14120</v>
          </cell>
          <cell r="X12196" t="str">
            <v>Variation UPR - gross</v>
          </cell>
          <cell r="Y12196" t="str">
            <v>AUSTRIA</v>
          </cell>
        </row>
        <row r="12197">
          <cell r="L12197" t="str">
            <v>Non-proportional</v>
          </cell>
          <cell r="S12197">
            <v>-3313.14</v>
          </cell>
          <cell r="X12197" t="str">
            <v>Variation UPR - gross</v>
          </cell>
          <cell r="Y12197" t="str">
            <v>EUROPE</v>
          </cell>
        </row>
        <row r="12198">
          <cell r="L12198" t="str">
            <v>Non-proportional</v>
          </cell>
          <cell r="S12198">
            <v>-64952.97</v>
          </cell>
          <cell r="X12198" t="str">
            <v>Variation UPR - gross</v>
          </cell>
          <cell r="Y12198" t="str">
            <v>REPUBLIC OF IRELAND</v>
          </cell>
        </row>
        <row r="12199">
          <cell r="L12199" t="str">
            <v>Non-proportional</v>
          </cell>
          <cell r="S12199">
            <v>-41353.620000000003</v>
          </cell>
          <cell r="X12199" t="str">
            <v>Variation UPR - gross</v>
          </cell>
          <cell r="Y12199" t="str">
            <v>UNITED KINGDOM</v>
          </cell>
        </row>
        <row r="12200">
          <cell r="L12200" t="str">
            <v>Non-proportional</v>
          </cell>
          <cell r="S12200">
            <v>-1119.3399999999999</v>
          </cell>
          <cell r="X12200" t="str">
            <v>Variation UPR - gross</v>
          </cell>
          <cell r="Y12200" t="str">
            <v>UNITED KINGDOM</v>
          </cell>
        </row>
        <row r="12201">
          <cell r="L12201" t="str">
            <v>Non-proportional</v>
          </cell>
          <cell r="S12201">
            <v>15.86</v>
          </cell>
          <cell r="X12201" t="str">
            <v>Variation UPR - gross</v>
          </cell>
          <cell r="Y12201" t="str">
            <v>SWEDEN</v>
          </cell>
        </row>
        <row r="12202">
          <cell r="L12202" t="str">
            <v>Non-proportional</v>
          </cell>
          <cell r="S12202">
            <v>-3559.73</v>
          </cell>
          <cell r="X12202" t="str">
            <v>Variation UPR - gross</v>
          </cell>
          <cell r="Y12202" t="str">
            <v>SWITZERLAND</v>
          </cell>
        </row>
        <row r="12203">
          <cell r="L12203" t="str">
            <v>Non-proportional</v>
          </cell>
          <cell r="S12203">
            <v>-8180.03</v>
          </cell>
          <cell r="X12203" t="str">
            <v>Variation UPR - gross</v>
          </cell>
          <cell r="Y12203" t="str">
            <v>POLAND</v>
          </cell>
        </row>
        <row r="12204">
          <cell r="L12204" t="str">
            <v>Non-proportional</v>
          </cell>
          <cell r="S12204">
            <v>-54.83</v>
          </cell>
          <cell r="X12204" t="str">
            <v>Variation UPR - gross</v>
          </cell>
          <cell r="Y12204" t="str">
            <v>FRANCE</v>
          </cell>
        </row>
        <row r="12205">
          <cell r="L12205" t="str">
            <v>Non-proportional</v>
          </cell>
          <cell r="S12205">
            <v>-11360.97</v>
          </cell>
          <cell r="X12205" t="str">
            <v>Variation UPR - gross</v>
          </cell>
          <cell r="Y12205" t="str">
            <v>UNITED KINGDOM</v>
          </cell>
        </row>
        <row r="12206">
          <cell r="L12206" t="str">
            <v>Non-proportional</v>
          </cell>
          <cell r="S12206">
            <v>-7304.06</v>
          </cell>
          <cell r="X12206" t="str">
            <v>Variation UPR - gross</v>
          </cell>
          <cell r="Y12206" t="str">
            <v>FAROE ISLANDS</v>
          </cell>
        </row>
        <row r="12207">
          <cell r="L12207" t="str">
            <v>Non-proportional</v>
          </cell>
          <cell r="S12207">
            <v>-165958.26</v>
          </cell>
          <cell r="X12207" t="str">
            <v>Variation UPR - gross</v>
          </cell>
          <cell r="Y12207" t="str">
            <v>UNITED KINGDOM</v>
          </cell>
        </row>
        <row r="12208">
          <cell r="L12208" t="str">
            <v>Non-proportional</v>
          </cell>
          <cell r="S12208">
            <v>2.35</v>
          </cell>
          <cell r="X12208" t="str">
            <v>Variation UPR - gross</v>
          </cell>
          <cell r="Y12208" t="str">
            <v>DENMARK</v>
          </cell>
        </row>
        <row r="12209">
          <cell r="L12209" t="str">
            <v>Non-proportional</v>
          </cell>
          <cell r="S12209">
            <v>-129403.49</v>
          </cell>
          <cell r="X12209" t="str">
            <v>Variation UPR - gross</v>
          </cell>
          <cell r="Y12209" t="str">
            <v>UNITED KINGDOM</v>
          </cell>
        </row>
        <row r="12210">
          <cell r="L12210" t="str">
            <v>Non-proportional</v>
          </cell>
          <cell r="S12210">
            <v>-7900.28</v>
          </cell>
          <cell r="X12210" t="str">
            <v>Variation UPR - gross</v>
          </cell>
          <cell r="Y12210" t="str">
            <v>ICELAND</v>
          </cell>
        </row>
        <row r="12211">
          <cell r="L12211" t="str">
            <v>Non-proportional</v>
          </cell>
          <cell r="S12211">
            <v>-5581.68</v>
          </cell>
          <cell r="X12211" t="str">
            <v>Variation UPR - gross</v>
          </cell>
          <cell r="Y12211" t="str">
            <v>DENMARK</v>
          </cell>
        </row>
        <row r="12212">
          <cell r="L12212" t="str">
            <v>Non-proportional</v>
          </cell>
          <cell r="S12212">
            <v>-10594.94</v>
          </cell>
          <cell r="X12212" t="str">
            <v>Variation UPR - gross</v>
          </cell>
          <cell r="Y12212" t="str">
            <v>GERMANY</v>
          </cell>
        </row>
        <row r="12213">
          <cell r="L12213" t="str">
            <v>Non-proportional</v>
          </cell>
          <cell r="S12213">
            <v>-10819.32</v>
          </cell>
          <cell r="X12213" t="str">
            <v>Variation UPR - gross</v>
          </cell>
          <cell r="Y12213" t="str">
            <v>UNITED KINGDOM</v>
          </cell>
        </row>
        <row r="12214">
          <cell r="L12214" t="str">
            <v>Non-proportional</v>
          </cell>
          <cell r="S12214">
            <v>-14602.5</v>
          </cell>
          <cell r="X12214" t="str">
            <v>Variation UPR - gross</v>
          </cell>
          <cell r="Y12214" t="str">
            <v>GERMANY</v>
          </cell>
        </row>
        <row r="12215">
          <cell r="L12215" t="str">
            <v>Non-proportional</v>
          </cell>
          <cell r="S12215">
            <v>10.38</v>
          </cell>
          <cell r="X12215" t="str">
            <v>Variation UPR - gross</v>
          </cell>
          <cell r="Y12215" t="str">
            <v>SWEDEN</v>
          </cell>
        </row>
        <row r="12216">
          <cell r="L12216" t="str">
            <v>Non-proportional</v>
          </cell>
          <cell r="S12216">
            <v>-14117.83</v>
          </cell>
          <cell r="X12216" t="str">
            <v>Variation UPR - gross</v>
          </cell>
          <cell r="Y12216" t="str">
            <v>POLAND</v>
          </cell>
        </row>
        <row r="12217">
          <cell r="L12217" t="str">
            <v>Non-proportional</v>
          </cell>
          <cell r="S12217">
            <v>-5362.5</v>
          </cell>
          <cell r="X12217" t="str">
            <v>Variation UPR - gross</v>
          </cell>
          <cell r="Y12217" t="str">
            <v>GERMANY</v>
          </cell>
        </row>
        <row r="12218">
          <cell r="L12218" t="str">
            <v>Non-proportional</v>
          </cell>
          <cell r="S12218">
            <v>-22495.4</v>
          </cell>
          <cell r="X12218" t="str">
            <v>Variation UPR - gross</v>
          </cell>
          <cell r="Y12218" t="str">
            <v>CZECH REPUBLIC</v>
          </cell>
        </row>
        <row r="12219">
          <cell r="L12219" t="str">
            <v>Proportional</v>
          </cell>
          <cell r="S12219">
            <v>-27539.93</v>
          </cell>
          <cell r="X12219" t="str">
            <v>Variation UPR - gross</v>
          </cell>
          <cell r="Y12219" t="str">
            <v>UNITED STATES</v>
          </cell>
        </row>
        <row r="12220">
          <cell r="L12220" t="str">
            <v>Non-proportional</v>
          </cell>
          <cell r="S12220">
            <v>-15684.76</v>
          </cell>
          <cell r="X12220" t="str">
            <v>Variation UPR - gross</v>
          </cell>
          <cell r="Y12220" t="str">
            <v>UNITED KINGDOM</v>
          </cell>
        </row>
        <row r="12221">
          <cell r="L12221" t="str">
            <v>Proportional</v>
          </cell>
          <cell r="S12221">
            <v>-5536</v>
          </cell>
          <cell r="X12221" t="str">
            <v>Variation UPR - gross</v>
          </cell>
          <cell r="Y12221" t="str">
            <v>EUROPE</v>
          </cell>
        </row>
        <row r="12222">
          <cell r="L12222" t="str">
            <v>Non-proportional</v>
          </cell>
          <cell r="S12222">
            <v>-4457.83</v>
          </cell>
          <cell r="X12222" t="str">
            <v>Variation UPR - gross</v>
          </cell>
          <cell r="Y12222" t="str">
            <v>DENMARK</v>
          </cell>
        </row>
        <row r="12223">
          <cell r="L12223" t="str">
            <v>Non-proportional</v>
          </cell>
          <cell r="S12223">
            <v>-112052.09</v>
          </cell>
          <cell r="X12223" t="str">
            <v>Variation UPR - gross</v>
          </cell>
          <cell r="Y12223" t="str">
            <v>FRANCE</v>
          </cell>
        </row>
        <row r="12224">
          <cell r="L12224" t="str">
            <v>Non-proportional</v>
          </cell>
          <cell r="S12224">
            <v>-11402.26</v>
          </cell>
          <cell r="X12224" t="str">
            <v>Variation UPR - gross</v>
          </cell>
          <cell r="Y12224" t="str">
            <v>SWITZERLAND</v>
          </cell>
        </row>
        <row r="12225">
          <cell r="L12225" t="str">
            <v>Non-proportional</v>
          </cell>
          <cell r="S12225">
            <v>-25998.240000000002</v>
          </cell>
          <cell r="X12225" t="str">
            <v>Variation UPR - gross</v>
          </cell>
          <cell r="Y12225" t="str">
            <v>UNITED KINGDOM</v>
          </cell>
        </row>
        <row r="12226">
          <cell r="L12226" t="str">
            <v>Non-proportional</v>
          </cell>
          <cell r="S12226">
            <v>-5042.59</v>
          </cell>
          <cell r="X12226" t="str">
            <v>Variation UPR - gross</v>
          </cell>
          <cell r="Y12226" t="str">
            <v>SWITZERLAND</v>
          </cell>
        </row>
        <row r="12227">
          <cell r="L12227" t="str">
            <v>Non-proportional</v>
          </cell>
          <cell r="S12227">
            <v>-57203.25</v>
          </cell>
          <cell r="X12227" t="str">
            <v>Variation UPR - gross</v>
          </cell>
          <cell r="Y12227" t="str">
            <v>UNITED KINGDOM</v>
          </cell>
        </row>
        <row r="12228">
          <cell r="L12228" t="str">
            <v>Non-proportional</v>
          </cell>
          <cell r="S12228">
            <v>-125511.67</v>
          </cell>
          <cell r="X12228" t="str">
            <v>Variation UPR - gross</v>
          </cell>
          <cell r="Y12228" t="str">
            <v>UNITED KINGDOM</v>
          </cell>
        </row>
        <row r="12229">
          <cell r="L12229" t="str">
            <v>Non-proportional</v>
          </cell>
          <cell r="S12229">
            <v>-8539.9699999999993</v>
          </cell>
          <cell r="X12229" t="str">
            <v>Variation UPR - gross</v>
          </cell>
          <cell r="Y12229" t="str">
            <v>DENMARK</v>
          </cell>
        </row>
        <row r="12230">
          <cell r="L12230" t="str">
            <v>Non-proportional</v>
          </cell>
          <cell r="S12230">
            <v>-1509.09</v>
          </cell>
          <cell r="X12230" t="str">
            <v>Variation UPR - gross</v>
          </cell>
          <cell r="Y12230" t="str">
            <v>GERMANY</v>
          </cell>
        </row>
        <row r="12231">
          <cell r="L12231" t="str">
            <v>Non-proportional</v>
          </cell>
          <cell r="S12231">
            <v>-873.38</v>
          </cell>
          <cell r="X12231" t="str">
            <v>Variation UPR - gross</v>
          </cell>
          <cell r="Y12231" t="str">
            <v>GERMANY</v>
          </cell>
        </row>
        <row r="12232">
          <cell r="L12232" t="str">
            <v>Non-proportional</v>
          </cell>
          <cell r="S12232">
            <v>-10425.780000000001</v>
          </cell>
          <cell r="X12232" t="str">
            <v>Variation UPR - gross</v>
          </cell>
          <cell r="Y12232" t="str">
            <v>FRANCE</v>
          </cell>
        </row>
        <row r="12233">
          <cell r="L12233" t="str">
            <v>Non-proportional</v>
          </cell>
          <cell r="S12233">
            <v>-35570.32</v>
          </cell>
          <cell r="X12233" t="str">
            <v>Variation UPR - gross</v>
          </cell>
          <cell r="Y12233" t="str">
            <v>FRANCE</v>
          </cell>
        </row>
        <row r="12234">
          <cell r="L12234" t="str">
            <v>Proportional</v>
          </cell>
          <cell r="S12234">
            <v>-160112.5</v>
          </cell>
          <cell r="X12234" t="str">
            <v>Variation UPR - gross</v>
          </cell>
          <cell r="Y12234" t="str">
            <v>AUSTRIA</v>
          </cell>
        </row>
        <row r="12235">
          <cell r="L12235" t="str">
            <v>Non-proportional</v>
          </cell>
          <cell r="S12235">
            <v>-4275.66</v>
          </cell>
          <cell r="X12235" t="str">
            <v>Variation UPR - gross</v>
          </cell>
          <cell r="Y12235" t="str">
            <v>GERMANY</v>
          </cell>
        </row>
        <row r="12236">
          <cell r="L12236" t="str">
            <v>Non-proportional</v>
          </cell>
          <cell r="S12236">
            <v>-13603.73</v>
          </cell>
          <cell r="X12236" t="str">
            <v>Variation UPR - gross</v>
          </cell>
          <cell r="Y12236" t="str">
            <v>UNITED KINGDOM</v>
          </cell>
        </row>
        <row r="12237">
          <cell r="L12237" t="str">
            <v>Non-proportional</v>
          </cell>
          <cell r="S12237">
            <v>-4114.16</v>
          </cell>
          <cell r="X12237" t="str">
            <v>Variation UPR - gross</v>
          </cell>
          <cell r="Y12237" t="str">
            <v>SWITZERLAND</v>
          </cell>
        </row>
        <row r="12238">
          <cell r="L12238" t="str">
            <v>Non-proportional</v>
          </cell>
          <cell r="S12238">
            <v>-8125</v>
          </cell>
          <cell r="X12238" t="str">
            <v>Variation UPR - gross</v>
          </cell>
          <cell r="Y12238" t="str">
            <v>CZECH REPUBLIC</v>
          </cell>
        </row>
        <row r="12239">
          <cell r="L12239" t="str">
            <v>Non-proportional</v>
          </cell>
          <cell r="S12239">
            <v>-16643.64</v>
          </cell>
          <cell r="X12239" t="str">
            <v>Variation UPR - gross</v>
          </cell>
          <cell r="Y12239" t="str">
            <v>FRANCE</v>
          </cell>
        </row>
        <row r="12240">
          <cell r="L12240" t="str">
            <v>Non-proportional</v>
          </cell>
          <cell r="S12240">
            <v>-6037.5</v>
          </cell>
          <cell r="X12240" t="str">
            <v>Variation UPR - gross</v>
          </cell>
          <cell r="Y12240" t="str">
            <v>GERMANY</v>
          </cell>
        </row>
        <row r="12241">
          <cell r="L12241" t="str">
            <v>Non-proportional</v>
          </cell>
          <cell r="S12241">
            <v>-25757.24</v>
          </cell>
          <cell r="X12241" t="str">
            <v>Variation UPR - gross</v>
          </cell>
          <cell r="Y12241" t="str">
            <v>UNITED KINGDOM</v>
          </cell>
        </row>
        <row r="12242">
          <cell r="L12242" t="str">
            <v>Non-proportional</v>
          </cell>
          <cell r="S12242">
            <v>-10010.879999999999</v>
          </cell>
          <cell r="X12242" t="str">
            <v>Variation UPR - gross</v>
          </cell>
          <cell r="Y12242" t="str">
            <v>GERMANY</v>
          </cell>
        </row>
        <row r="12243">
          <cell r="L12243" t="str">
            <v>Non-proportional</v>
          </cell>
          <cell r="S12243">
            <v>-5770.63</v>
          </cell>
          <cell r="X12243" t="str">
            <v>Variation UPR - gross</v>
          </cell>
          <cell r="Y12243" t="str">
            <v>SWEDEN</v>
          </cell>
        </row>
        <row r="12244">
          <cell r="L12244" t="str">
            <v>Non-proportional</v>
          </cell>
          <cell r="S12244">
            <v>-11815.97</v>
          </cell>
          <cell r="X12244" t="str">
            <v>Variation UPR - gross</v>
          </cell>
          <cell r="Y12244" t="str">
            <v>GERMANY</v>
          </cell>
        </row>
        <row r="12245">
          <cell r="L12245" t="str">
            <v>Non-proportional</v>
          </cell>
          <cell r="S12245">
            <v>-2553.81</v>
          </cell>
          <cell r="X12245" t="str">
            <v>Variation UPR - gross</v>
          </cell>
          <cell r="Y12245" t="str">
            <v>JAPAN</v>
          </cell>
        </row>
        <row r="12246">
          <cell r="L12246" t="str">
            <v>Non-proportional</v>
          </cell>
          <cell r="S12246">
            <v>-40899.47</v>
          </cell>
          <cell r="X12246" t="str">
            <v>Variation UPR - gross</v>
          </cell>
          <cell r="Y12246" t="str">
            <v>UNITED KINGDOM</v>
          </cell>
        </row>
        <row r="12247">
          <cell r="L12247" t="str">
            <v>Non-proportional</v>
          </cell>
          <cell r="S12247">
            <v>-1201.4100000000001</v>
          </cell>
          <cell r="X12247" t="str">
            <v>Variation UPR - gross</v>
          </cell>
          <cell r="Y12247" t="str">
            <v>SWITZERLAND</v>
          </cell>
        </row>
        <row r="12248">
          <cell r="L12248" t="str">
            <v>Non-proportional</v>
          </cell>
          <cell r="S12248">
            <v>-865.58</v>
          </cell>
          <cell r="X12248" t="str">
            <v>Variation UPR - gross</v>
          </cell>
          <cell r="Y12248" t="str">
            <v>ITALY</v>
          </cell>
        </row>
        <row r="12249">
          <cell r="L12249" t="str">
            <v>Non-proportional</v>
          </cell>
          <cell r="S12249">
            <v>-2340</v>
          </cell>
          <cell r="X12249" t="str">
            <v>Variation UPR - gross</v>
          </cell>
          <cell r="Y12249" t="str">
            <v>GERMANY</v>
          </cell>
        </row>
        <row r="12250">
          <cell r="L12250" t="str">
            <v>Non-proportional</v>
          </cell>
          <cell r="S12250">
            <v>-3731.11</v>
          </cell>
          <cell r="X12250" t="str">
            <v>Variation UPR - gross</v>
          </cell>
          <cell r="Y12250" t="str">
            <v>UNITED KINGDOM</v>
          </cell>
        </row>
        <row r="12251">
          <cell r="L12251" t="str">
            <v>Non-proportional</v>
          </cell>
          <cell r="S12251">
            <v>-7599.61</v>
          </cell>
          <cell r="X12251" t="str">
            <v>Variation UPR - gross</v>
          </cell>
          <cell r="Y12251" t="str">
            <v>UNITED KINGDOM</v>
          </cell>
        </row>
        <row r="12252">
          <cell r="L12252" t="str">
            <v>Non-proportional</v>
          </cell>
          <cell r="S12252">
            <v>-893.52</v>
          </cell>
          <cell r="X12252" t="str">
            <v>Variation UPR - gross</v>
          </cell>
          <cell r="Y12252" t="str">
            <v>DENMARK</v>
          </cell>
        </row>
        <row r="12253">
          <cell r="L12253" t="str">
            <v>Non-proportional</v>
          </cell>
          <cell r="S12253">
            <v>-6070.02</v>
          </cell>
          <cell r="X12253" t="str">
            <v>Variation UPR - gross</v>
          </cell>
          <cell r="Y12253" t="str">
            <v>DENMARK</v>
          </cell>
        </row>
        <row r="12254">
          <cell r="L12254" t="str">
            <v>Non-proportional</v>
          </cell>
          <cell r="S12254">
            <v>-2074.52</v>
          </cell>
          <cell r="X12254" t="str">
            <v>Variation UPR - gross</v>
          </cell>
          <cell r="Y12254" t="str">
            <v>SWITZERLAND</v>
          </cell>
        </row>
        <row r="12255">
          <cell r="L12255" t="str">
            <v>Non-proportional</v>
          </cell>
          <cell r="S12255">
            <v>4.8099999999999996</v>
          </cell>
          <cell r="X12255" t="str">
            <v>Variation UPR - gross</v>
          </cell>
          <cell r="Y12255" t="str">
            <v>SWEDEN</v>
          </cell>
        </row>
        <row r="12256">
          <cell r="L12256" t="str">
            <v>Non-proportional</v>
          </cell>
          <cell r="S12256">
            <v>3.05</v>
          </cell>
          <cell r="X12256" t="str">
            <v>Variation UPR - gross</v>
          </cell>
          <cell r="Y12256" t="str">
            <v>DENMARK</v>
          </cell>
        </row>
        <row r="12257">
          <cell r="L12257" t="str">
            <v>Non-proportional</v>
          </cell>
          <cell r="S12257">
            <v>-3329.84</v>
          </cell>
          <cell r="X12257" t="str">
            <v>Variation UPR - gross</v>
          </cell>
          <cell r="Y12257" t="str">
            <v>GERMANY</v>
          </cell>
        </row>
        <row r="12258">
          <cell r="L12258" t="str">
            <v>Non-proportional</v>
          </cell>
          <cell r="S12258">
            <v>-351.66</v>
          </cell>
          <cell r="X12258" t="str">
            <v>Variation UPR - gross</v>
          </cell>
          <cell r="Y12258" t="str">
            <v>GERMANY</v>
          </cell>
        </row>
        <row r="12259">
          <cell r="L12259" t="str">
            <v>Non-proportional</v>
          </cell>
          <cell r="S12259">
            <v>-12923</v>
          </cell>
          <cell r="X12259" t="str">
            <v>Variation UPR - gross</v>
          </cell>
          <cell r="Y12259" t="str">
            <v>UNITED KINGDOM</v>
          </cell>
        </row>
        <row r="12260">
          <cell r="L12260" t="str">
            <v>Non-proportional</v>
          </cell>
          <cell r="S12260">
            <v>-16.940000000000001</v>
          </cell>
          <cell r="X12260" t="str">
            <v>Variation UPR - gross</v>
          </cell>
          <cell r="Y12260" t="str">
            <v>POLAND</v>
          </cell>
        </row>
        <row r="12261">
          <cell r="L12261" t="str">
            <v>Non-proportional</v>
          </cell>
          <cell r="S12261">
            <v>-2502.27</v>
          </cell>
          <cell r="X12261" t="str">
            <v>Variation UPR - gross</v>
          </cell>
          <cell r="Y12261" t="str">
            <v>SPAIN</v>
          </cell>
        </row>
        <row r="12262">
          <cell r="L12262" t="str">
            <v>Non-proportional</v>
          </cell>
          <cell r="S12262">
            <v>-1511.84</v>
          </cell>
          <cell r="X12262" t="str">
            <v>Variation UPR - gross</v>
          </cell>
          <cell r="Y12262" t="str">
            <v>UNITED ARAB EMIRATES</v>
          </cell>
        </row>
        <row r="12263">
          <cell r="L12263" t="str">
            <v>Non-proportional</v>
          </cell>
          <cell r="S12263">
            <v>-7454.57</v>
          </cell>
          <cell r="X12263" t="str">
            <v>Variation UPR - gross</v>
          </cell>
          <cell r="Y12263" t="str">
            <v>EUROPE</v>
          </cell>
        </row>
        <row r="12264">
          <cell r="L12264" t="str">
            <v>Non-proportional</v>
          </cell>
          <cell r="S12264">
            <v>-5825.66</v>
          </cell>
          <cell r="X12264" t="str">
            <v>Variation UPR - gross</v>
          </cell>
          <cell r="Y12264" t="str">
            <v>UNITED KINGDOM</v>
          </cell>
        </row>
        <row r="12265">
          <cell r="L12265" t="str">
            <v>Non-proportional</v>
          </cell>
          <cell r="S12265">
            <v>-12021.98</v>
          </cell>
          <cell r="X12265" t="str">
            <v>Variation UPR - gross</v>
          </cell>
          <cell r="Y12265" t="str">
            <v>UNITED KINGDOM</v>
          </cell>
        </row>
        <row r="12266">
          <cell r="L12266" t="str">
            <v>Non-proportional</v>
          </cell>
          <cell r="S12266">
            <v>-55539.12</v>
          </cell>
          <cell r="X12266" t="str">
            <v>Variation UPR - gross</v>
          </cell>
          <cell r="Y12266" t="str">
            <v>UNITED KINGDOM</v>
          </cell>
        </row>
        <row r="12267">
          <cell r="L12267" t="str">
            <v>Non-proportional</v>
          </cell>
          <cell r="S12267">
            <v>-19009.509999999998</v>
          </cell>
          <cell r="X12267" t="str">
            <v>Variation UPR - gross</v>
          </cell>
          <cell r="Y12267" t="str">
            <v>SWEDEN</v>
          </cell>
        </row>
        <row r="12268">
          <cell r="L12268" t="str">
            <v>Non-proportional</v>
          </cell>
          <cell r="S12268">
            <v>-16326.75</v>
          </cell>
          <cell r="X12268" t="str">
            <v>Variation UPR - gross</v>
          </cell>
          <cell r="Y12268" t="str">
            <v>DENMARK</v>
          </cell>
        </row>
        <row r="12269">
          <cell r="L12269" t="str">
            <v>Non-proportional</v>
          </cell>
          <cell r="S12269">
            <v>-8369.58</v>
          </cell>
          <cell r="X12269" t="str">
            <v>Variation UPR - gross</v>
          </cell>
          <cell r="Y12269" t="str">
            <v>GERMANY</v>
          </cell>
        </row>
        <row r="12270">
          <cell r="L12270" t="str">
            <v>Non-proportional</v>
          </cell>
          <cell r="S12270">
            <v>-3085.63</v>
          </cell>
          <cell r="X12270" t="str">
            <v>Variation UPR - gross</v>
          </cell>
          <cell r="Y12270" t="str">
            <v>SWITZERLAND</v>
          </cell>
        </row>
        <row r="12271">
          <cell r="L12271" t="str">
            <v>Non-proportional</v>
          </cell>
          <cell r="S12271">
            <v>-13399.72</v>
          </cell>
          <cell r="X12271" t="str">
            <v>Variation UPR - gross</v>
          </cell>
          <cell r="Y12271" t="str">
            <v>GERMANY</v>
          </cell>
        </row>
        <row r="12272">
          <cell r="L12272" t="str">
            <v>Non-proportional</v>
          </cell>
          <cell r="S12272">
            <v>-14008.64</v>
          </cell>
          <cell r="X12272" t="str">
            <v>Variation UPR - gross</v>
          </cell>
          <cell r="Y12272" t="str">
            <v>GERMANY</v>
          </cell>
        </row>
        <row r="12273">
          <cell r="L12273" t="str">
            <v>Non-proportional</v>
          </cell>
          <cell r="S12273">
            <v>-8494.48</v>
          </cell>
          <cell r="X12273" t="str">
            <v>Variation UPR - gross</v>
          </cell>
          <cell r="Y12273" t="str">
            <v>GERMANY</v>
          </cell>
        </row>
        <row r="12274">
          <cell r="L12274" t="str">
            <v>Non-proportional</v>
          </cell>
          <cell r="S12274">
            <v>-18900</v>
          </cell>
          <cell r="X12274" t="str">
            <v>Variation UPR - gross</v>
          </cell>
          <cell r="Y12274" t="str">
            <v>ROMANIA</v>
          </cell>
        </row>
        <row r="12275">
          <cell r="L12275" t="str">
            <v>Non-proportional</v>
          </cell>
          <cell r="S12275">
            <v>-7770.84</v>
          </cell>
          <cell r="X12275" t="str">
            <v>Variation UPR - gross</v>
          </cell>
          <cell r="Y12275" t="str">
            <v>FRANCE</v>
          </cell>
        </row>
        <row r="12276">
          <cell r="L12276" t="str">
            <v>Non-proportional</v>
          </cell>
          <cell r="S12276">
            <v>-2637.27</v>
          </cell>
          <cell r="X12276" t="str">
            <v>Variation UPR - gross</v>
          </cell>
          <cell r="Y12276" t="str">
            <v>GERMANY</v>
          </cell>
        </row>
        <row r="12277">
          <cell r="L12277" t="str">
            <v>Non-proportional</v>
          </cell>
          <cell r="S12277">
            <v>-530.53</v>
          </cell>
          <cell r="X12277" t="str">
            <v>Variation UPR - gross</v>
          </cell>
          <cell r="Y12277" t="str">
            <v>NORWAY</v>
          </cell>
        </row>
        <row r="12278">
          <cell r="L12278" t="str">
            <v>Non-proportional</v>
          </cell>
          <cell r="S12278">
            <v>-23854.17</v>
          </cell>
          <cell r="X12278" t="str">
            <v>Variation UPR - gross</v>
          </cell>
          <cell r="Y12278" t="str">
            <v>AUSTRIA</v>
          </cell>
        </row>
        <row r="12279">
          <cell r="L12279" t="str">
            <v>Non-proportional</v>
          </cell>
          <cell r="S12279">
            <v>-12074.88</v>
          </cell>
          <cell r="X12279" t="str">
            <v>Variation UPR - gross</v>
          </cell>
          <cell r="Y12279" t="str">
            <v>FRANCE</v>
          </cell>
        </row>
        <row r="12280">
          <cell r="L12280" t="str">
            <v>Non-proportional</v>
          </cell>
          <cell r="S12280">
            <v>-9751.23</v>
          </cell>
          <cell r="X12280" t="str">
            <v>Variation UPR - gross</v>
          </cell>
          <cell r="Y12280" t="str">
            <v>GERMANY</v>
          </cell>
        </row>
        <row r="12281">
          <cell r="L12281" t="str">
            <v>Non-proportional</v>
          </cell>
          <cell r="S12281">
            <v>-2424.71</v>
          </cell>
          <cell r="X12281" t="str">
            <v>Variation UPR - gross</v>
          </cell>
          <cell r="Y12281" t="str">
            <v>SWEDEN</v>
          </cell>
        </row>
        <row r="12282">
          <cell r="L12282" t="str">
            <v>Non-proportional</v>
          </cell>
          <cell r="S12282">
            <v>-6223.76</v>
          </cell>
          <cell r="X12282" t="str">
            <v>Variation UPR - gross</v>
          </cell>
          <cell r="Y12282" t="str">
            <v>SWEDEN</v>
          </cell>
        </row>
        <row r="12283">
          <cell r="L12283" t="str">
            <v>Non-proportional</v>
          </cell>
          <cell r="S12283">
            <v>-13541.67</v>
          </cell>
          <cell r="X12283" t="str">
            <v>Variation UPR - gross</v>
          </cell>
          <cell r="Y12283" t="str">
            <v>GERMANY</v>
          </cell>
        </row>
        <row r="12284">
          <cell r="L12284" t="str">
            <v>Non-proportional</v>
          </cell>
          <cell r="S12284">
            <v>-5586.33</v>
          </cell>
          <cell r="X12284" t="str">
            <v>Variation UPR - gross</v>
          </cell>
          <cell r="Y12284" t="str">
            <v>GERMANY</v>
          </cell>
        </row>
        <row r="12285">
          <cell r="L12285" t="str">
            <v>Non-proportional</v>
          </cell>
          <cell r="S12285">
            <v>-5527.05</v>
          </cell>
          <cell r="X12285" t="str">
            <v>Variation UPR - gross</v>
          </cell>
          <cell r="Y12285" t="str">
            <v>GERMANY</v>
          </cell>
        </row>
        <row r="12286">
          <cell r="L12286" t="str">
            <v>Non-proportional</v>
          </cell>
          <cell r="S12286">
            <v>-33726.39</v>
          </cell>
          <cell r="X12286" t="str">
            <v>Variation UPR - gross</v>
          </cell>
          <cell r="Y12286" t="str">
            <v>FRANCE</v>
          </cell>
        </row>
        <row r="12287">
          <cell r="L12287" t="str">
            <v>Non-proportional</v>
          </cell>
          <cell r="S12287">
            <v>-1239.76</v>
          </cell>
          <cell r="X12287" t="str">
            <v>Variation UPR - gross</v>
          </cell>
          <cell r="Y12287" t="str">
            <v>UNITED KINGDOM</v>
          </cell>
        </row>
        <row r="12288">
          <cell r="L12288" t="str">
            <v>Non-proportional</v>
          </cell>
          <cell r="S12288">
            <v>-2002.35</v>
          </cell>
          <cell r="X12288" t="str">
            <v>Variation UPR - gross</v>
          </cell>
          <cell r="Y12288" t="str">
            <v>SWITZERLAND</v>
          </cell>
        </row>
        <row r="12289">
          <cell r="L12289" t="str">
            <v>Non-proportional</v>
          </cell>
          <cell r="S12289">
            <v>-7812.5</v>
          </cell>
          <cell r="X12289" t="str">
            <v>Variation UPR - gross</v>
          </cell>
          <cell r="Y12289" t="str">
            <v>ROMANIA</v>
          </cell>
        </row>
        <row r="12290">
          <cell r="L12290" t="str">
            <v>Non-proportional</v>
          </cell>
          <cell r="S12290">
            <v>-175.18</v>
          </cell>
          <cell r="X12290" t="str">
            <v>Variation UPR - gross</v>
          </cell>
          <cell r="Y12290" t="str">
            <v>ITALY</v>
          </cell>
        </row>
        <row r="12291">
          <cell r="L12291" t="str">
            <v>Non-proportional</v>
          </cell>
          <cell r="S12291">
            <v>-7965</v>
          </cell>
          <cell r="X12291" t="str">
            <v>Variation UPR - gross</v>
          </cell>
          <cell r="Y12291" t="str">
            <v>GERMANY</v>
          </cell>
        </row>
        <row r="12292">
          <cell r="L12292" t="str">
            <v>Non-proportional</v>
          </cell>
          <cell r="S12292">
            <v>-12914.36</v>
          </cell>
          <cell r="X12292" t="str">
            <v>Variation UPR - gross</v>
          </cell>
          <cell r="Y12292" t="str">
            <v>UNITED KINGDOM</v>
          </cell>
        </row>
        <row r="12293">
          <cell r="L12293" t="str">
            <v>Non-proportional</v>
          </cell>
          <cell r="S12293">
            <v>-6788.18</v>
          </cell>
          <cell r="X12293" t="str">
            <v>Variation UPR - gross</v>
          </cell>
          <cell r="Y12293" t="str">
            <v>UNITED KINGDOM</v>
          </cell>
        </row>
        <row r="12294">
          <cell r="L12294" t="str">
            <v>Non-proportional</v>
          </cell>
          <cell r="S12294">
            <v>-12092.53</v>
          </cell>
          <cell r="X12294" t="str">
            <v>Variation UPR - gross</v>
          </cell>
          <cell r="Y12294" t="str">
            <v>UNITED KINGDOM</v>
          </cell>
        </row>
        <row r="12295">
          <cell r="L12295" t="str">
            <v>Non-proportional</v>
          </cell>
          <cell r="S12295">
            <v>-7604.21</v>
          </cell>
          <cell r="X12295" t="str">
            <v>Variation UPR - gross</v>
          </cell>
          <cell r="Y12295" t="str">
            <v>GERMANY</v>
          </cell>
        </row>
        <row r="12296">
          <cell r="L12296" t="str">
            <v>Non-proportional</v>
          </cell>
          <cell r="S12296">
            <v>-3358</v>
          </cell>
          <cell r="X12296" t="str">
            <v>Variation UPR - gross</v>
          </cell>
          <cell r="Y12296" t="str">
            <v>UNITED KINGDOM</v>
          </cell>
        </row>
        <row r="12297">
          <cell r="L12297" t="str">
            <v>Non-proportional</v>
          </cell>
          <cell r="S12297">
            <v>-8973.5499999999993</v>
          </cell>
          <cell r="X12297" t="str">
            <v>Variation UPR - gross</v>
          </cell>
          <cell r="Y12297" t="str">
            <v>UNITED KINGDOM</v>
          </cell>
        </row>
        <row r="12298">
          <cell r="L12298" t="str">
            <v>Non-proportional</v>
          </cell>
          <cell r="S12298">
            <v>-2816.19</v>
          </cell>
          <cell r="X12298" t="str">
            <v>Variation UPR - gross</v>
          </cell>
          <cell r="Y12298" t="str">
            <v>FRANCE</v>
          </cell>
        </row>
        <row r="12299">
          <cell r="L12299" t="str">
            <v>Non-proportional</v>
          </cell>
          <cell r="S12299">
            <v>-5811.46</v>
          </cell>
          <cell r="X12299" t="str">
            <v>Variation UPR - gross</v>
          </cell>
          <cell r="Y12299" t="str">
            <v>UNITED KINGDOM</v>
          </cell>
        </row>
        <row r="12300">
          <cell r="L12300" t="str">
            <v>Non-proportional</v>
          </cell>
          <cell r="S12300">
            <v>-5352.15</v>
          </cell>
          <cell r="X12300" t="str">
            <v>Variation UPR - gross</v>
          </cell>
          <cell r="Y12300" t="str">
            <v>UNITED KINGDOM</v>
          </cell>
        </row>
        <row r="12301">
          <cell r="L12301" t="str">
            <v>Non-proportional</v>
          </cell>
          <cell r="S12301">
            <v>-3436.97</v>
          </cell>
          <cell r="X12301" t="str">
            <v>Variation UPR - gross</v>
          </cell>
          <cell r="Y12301" t="str">
            <v>EUROPE</v>
          </cell>
        </row>
        <row r="12302">
          <cell r="L12302" t="str">
            <v>Non-proportional</v>
          </cell>
          <cell r="S12302">
            <v>-10537.8</v>
          </cell>
          <cell r="X12302" t="str">
            <v>Variation UPR - gross</v>
          </cell>
          <cell r="Y12302" t="str">
            <v>GERMANY</v>
          </cell>
        </row>
        <row r="12303">
          <cell r="L12303" t="str">
            <v>Non-proportional</v>
          </cell>
          <cell r="S12303">
            <v>-17.79</v>
          </cell>
          <cell r="X12303" t="str">
            <v>Variation UPR - gross</v>
          </cell>
          <cell r="Y12303" t="str">
            <v>EUROPE</v>
          </cell>
        </row>
        <row r="12304">
          <cell r="L12304" t="str">
            <v>Non-proportional</v>
          </cell>
          <cell r="S12304">
            <v>-2500.5700000000002</v>
          </cell>
          <cell r="X12304" t="str">
            <v>Variation UPR - gross</v>
          </cell>
          <cell r="Y12304" t="str">
            <v>GERMANY</v>
          </cell>
        </row>
        <row r="12305">
          <cell r="L12305" t="str">
            <v>Non-proportional</v>
          </cell>
          <cell r="S12305">
            <v>-9203.1200000000008</v>
          </cell>
          <cell r="X12305" t="str">
            <v>Variation UPR - gross</v>
          </cell>
          <cell r="Y12305" t="str">
            <v>GERMANY</v>
          </cell>
        </row>
        <row r="12306">
          <cell r="L12306" t="str">
            <v>Non-proportional</v>
          </cell>
          <cell r="S12306">
            <v>-8625</v>
          </cell>
          <cell r="X12306" t="str">
            <v>Variation UPR - gross</v>
          </cell>
          <cell r="Y12306" t="str">
            <v>GERMANY</v>
          </cell>
        </row>
        <row r="12307">
          <cell r="L12307" t="str">
            <v>Non-proportional</v>
          </cell>
          <cell r="S12307">
            <v>-16500</v>
          </cell>
          <cell r="X12307" t="str">
            <v>Variation UPR - gross</v>
          </cell>
          <cell r="Y12307" t="str">
            <v>GERMANY</v>
          </cell>
        </row>
        <row r="12308">
          <cell r="L12308" t="str">
            <v>Non-proportional</v>
          </cell>
          <cell r="S12308">
            <v>-27243.29</v>
          </cell>
          <cell r="X12308" t="str">
            <v>Variation UPR - gross</v>
          </cell>
          <cell r="Y12308" t="str">
            <v>UNITED KINGDOM</v>
          </cell>
        </row>
        <row r="12309">
          <cell r="L12309" t="str">
            <v>Non-proportional</v>
          </cell>
          <cell r="S12309">
            <v>-8322.82</v>
          </cell>
          <cell r="X12309" t="str">
            <v>Variation UPR - gross</v>
          </cell>
          <cell r="Y12309" t="str">
            <v>GERMANY</v>
          </cell>
        </row>
        <row r="12310">
          <cell r="L12310" t="str">
            <v>Non-proportional</v>
          </cell>
          <cell r="S12310">
            <v>-2433.5100000000002</v>
          </cell>
          <cell r="X12310" t="str">
            <v>Variation UPR - gross</v>
          </cell>
          <cell r="Y12310" t="str">
            <v>AUSTRALIA</v>
          </cell>
        </row>
        <row r="12311">
          <cell r="L12311" t="str">
            <v>Proportional</v>
          </cell>
          <cell r="S12311">
            <v>934894.5</v>
          </cell>
          <cell r="X12311" t="str">
            <v>Variation UPR - gross</v>
          </cell>
          <cell r="Y12311" t="str">
            <v>UNITED KINGDOM</v>
          </cell>
        </row>
        <row r="12312">
          <cell r="L12312" t="str">
            <v>Non-proportional</v>
          </cell>
          <cell r="S12312">
            <v>-2853.24</v>
          </cell>
          <cell r="X12312" t="str">
            <v>Variation UPR - gross</v>
          </cell>
          <cell r="Y12312" t="str">
            <v>UNITED KINGDOM</v>
          </cell>
        </row>
        <row r="12313">
          <cell r="L12313" t="str">
            <v>Non-proportional</v>
          </cell>
          <cell r="S12313">
            <v>-2602.92</v>
          </cell>
          <cell r="X12313" t="str">
            <v>Variation UPR - gross</v>
          </cell>
          <cell r="Y12313" t="str">
            <v>UNITED KINGDOM</v>
          </cell>
        </row>
        <row r="12314">
          <cell r="L12314" t="str">
            <v>Non-proportional</v>
          </cell>
          <cell r="S12314">
            <v>-38627.279999999999</v>
          </cell>
          <cell r="X12314" t="str">
            <v>Variation UPR - gross</v>
          </cell>
          <cell r="Y12314" t="str">
            <v>UNITED KINGDOM</v>
          </cell>
        </row>
        <row r="12315">
          <cell r="L12315" t="str">
            <v>Non-proportional</v>
          </cell>
          <cell r="S12315">
            <v>-20739.59</v>
          </cell>
          <cell r="X12315" t="str">
            <v>Variation UPR - gross</v>
          </cell>
          <cell r="Y12315" t="str">
            <v>UNITED KINGDOM</v>
          </cell>
        </row>
        <row r="12316">
          <cell r="L12316" t="str">
            <v>Non-proportional</v>
          </cell>
          <cell r="S12316">
            <v>-19606.060000000001</v>
          </cell>
          <cell r="X12316" t="str">
            <v>Variation UPR - gross</v>
          </cell>
          <cell r="Y12316" t="str">
            <v>FRANCE</v>
          </cell>
        </row>
        <row r="12317">
          <cell r="L12317" t="str">
            <v>Non-proportional</v>
          </cell>
          <cell r="S12317">
            <v>-9999.66</v>
          </cell>
          <cell r="X12317" t="str">
            <v>Variation UPR - gross</v>
          </cell>
          <cell r="Y12317" t="str">
            <v>GERMANY</v>
          </cell>
        </row>
        <row r="12318">
          <cell r="L12318" t="str">
            <v>Non-proportional</v>
          </cell>
          <cell r="S12318">
            <v>-3790.01</v>
          </cell>
          <cell r="X12318" t="str">
            <v>Variation UPR - gross</v>
          </cell>
          <cell r="Y12318" t="str">
            <v>REPUBLIC OF IRELAND</v>
          </cell>
        </row>
        <row r="12319">
          <cell r="L12319" t="str">
            <v>Non-proportional</v>
          </cell>
          <cell r="S12319">
            <v>-613.01</v>
          </cell>
          <cell r="X12319" t="str">
            <v>Variation UPR - gross</v>
          </cell>
          <cell r="Y12319" t="str">
            <v>REPUBLIC OF IRELAND</v>
          </cell>
        </row>
        <row r="12320">
          <cell r="L12320" t="str">
            <v>Non-proportional</v>
          </cell>
          <cell r="S12320">
            <v>-12446.46</v>
          </cell>
          <cell r="X12320" t="str">
            <v>Variation UPR - gross</v>
          </cell>
          <cell r="Y12320" t="str">
            <v>SWEDEN</v>
          </cell>
        </row>
        <row r="12321">
          <cell r="L12321" t="str">
            <v>Non-proportional</v>
          </cell>
          <cell r="S12321">
            <v>-16324.48</v>
          </cell>
          <cell r="X12321" t="str">
            <v>Variation UPR - gross</v>
          </cell>
          <cell r="Y12321" t="str">
            <v>UNITED KINGDOM</v>
          </cell>
        </row>
        <row r="12322">
          <cell r="L12322" t="str">
            <v>Non-proportional</v>
          </cell>
          <cell r="S12322">
            <v>-3850</v>
          </cell>
          <cell r="X12322" t="str">
            <v>Variation UPR - gross</v>
          </cell>
          <cell r="Y12322" t="str">
            <v>GERMANY</v>
          </cell>
        </row>
        <row r="12323">
          <cell r="L12323" t="str">
            <v>Non-proportional</v>
          </cell>
          <cell r="S12323">
            <v>-837.27</v>
          </cell>
          <cell r="X12323" t="str">
            <v>Variation UPR - gross</v>
          </cell>
          <cell r="Y12323" t="str">
            <v>DENMARK</v>
          </cell>
        </row>
        <row r="12324">
          <cell r="L12324" t="str">
            <v>Non-proportional</v>
          </cell>
          <cell r="S12324">
            <v>-8634.91</v>
          </cell>
          <cell r="X12324" t="str">
            <v>Variation UPR - gross</v>
          </cell>
          <cell r="Y12324" t="str">
            <v>UNITED KINGDOM</v>
          </cell>
        </row>
        <row r="12325">
          <cell r="L12325" t="str">
            <v>Non-proportional</v>
          </cell>
          <cell r="S12325">
            <v>-4439.78</v>
          </cell>
          <cell r="X12325" t="str">
            <v>Variation UPR - gross</v>
          </cell>
          <cell r="Y12325" t="str">
            <v>GERMANY</v>
          </cell>
        </row>
        <row r="12326">
          <cell r="L12326" t="str">
            <v>Non-proportional</v>
          </cell>
          <cell r="S12326">
            <v>-11740.33</v>
          </cell>
          <cell r="X12326" t="str">
            <v>Variation UPR - gross</v>
          </cell>
          <cell r="Y12326" t="str">
            <v>UNITED KINGDOM</v>
          </cell>
        </row>
        <row r="12327">
          <cell r="L12327" t="str">
            <v>Non-proportional</v>
          </cell>
          <cell r="S12327">
            <v>-345</v>
          </cell>
          <cell r="X12327" t="str">
            <v>Variation UPR - gross</v>
          </cell>
          <cell r="Y12327" t="str">
            <v>ITALY</v>
          </cell>
        </row>
        <row r="12328">
          <cell r="L12328" t="str">
            <v>Non-proportional</v>
          </cell>
          <cell r="S12328">
            <v>-3107.33</v>
          </cell>
          <cell r="X12328" t="str">
            <v>Variation UPR - gross</v>
          </cell>
          <cell r="Y12328" t="str">
            <v>GERMANY</v>
          </cell>
        </row>
        <row r="12329">
          <cell r="L12329" t="str">
            <v>Non-proportional</v>
          </cell>
          <cell r="S12329">
            <v>-18807.28</v>
          </cell>
          <cell r="X12329" t="str">
            <v>Variation UPR - gross</v>
          </cell>
          <cell r="Y12329" t="str">
            <v>REPUBLIC OF IRELAND</v>
          </cell>
        </row>
        <row r="12330">
          <cell r="L12330" t="str">
            <v>Non-proportional</v>
          </cell>
          <cell r="S12330">
            <v>-3160.11</v>
          </cell>
          <cell r="X12330" t="str">
            <v>Variation UPR - gross</v>
          </cell>
          <cell r="Y12330" t="str">
            <v>ICELAND</v>
          </cell>
        </row>
        <row r="12331">
          <cell r="L12331" t="str">
            <v>Non-proportional</v>
          </cell>
          <cell r="S12331">
            <v>5.82</v>
          </cell>
          <cell r="X12331" t="str">
            <v>Variation UPR - gross</v>
          </cell>
          <cell r="Y12331" t="str">
            <v>DENMARK</v>
          </cell>
        </row>
        <row r="12332">
          <cell r="L12332" t="str">
            <v>Non-proportional</v>
          </cell>
          <cell r="S12332">
            <v>-1553.57</v>
          </cell>
          <cell r="X12332" t="str">
            <v>Variation UPR - gross</v>
          </cell>
          <cell r="Y12332" t="str">
            <v>REPUBLIC OF IRELAND</v>
          </cell>
        </row>
        <row r="12333">
          <cell r="L12333" t="str">
            <v>Non-proportional</v>
          </cell>
          <cell r="S12333">
            <v>-40903.5</v>
          </cell>
          <cell r="X12333" t="str">
            <v>Variation UPR - gross</v>
          </cell>
          <cell r="Y12333" t="str">
            <v>GERMANY</v>
          </cell>
        </row>
        <row r="12334">
          <cell r="L12334" t="str">
            <v>Non-proportional</v>
          </cell>
          <cell r="S12334">
            <v>-5805.76</v>
          </cell>
          <cell r="X12334" t="str">
            <v>Variation UPR - gross</v>
          </cell>
          <cell r="Y12334" t="str">
            <v>DENMARK</v>
          </cell>
        </row>
        <row r="12335">
          <cell r="L12335" t="str">
            <v>Non-proportional</v>
          </cell>
          <cell r="S12335">
            <v>0.01</v>
          </cell>
          <cell r="X12335" t="str">
            <v>Variation UPR - gross</v>
          </cell>
          <cell r="Y12335" t="str">
            <v>ICELAND</v>
          </cell>
        </row>
        <row r="12336">
          <cell r="L12336" t="str">
            <v>Non-proportional</v>
          </cell>
          <cell r="S12336">
            <v>-3083.39</v>
          </cell>
          <cell r="X12336" t="str">
            <v>Variation UPR - gross</v>
          </cell>
          <cell r="Y12336" t="str">
            <v>EUROPE</v>
          </cell>
        </row>
        <row r="12337">
          <cell r="L12337" t="str">
            <v>Non-proportional</v>
          </cell>
          <cell r="S12337">
            <v>-8970.6200000000008</v>
          </cell>
          <cell r="X12337" t="str">
            <v>Variation UPR - gross</v>
          </cell>
          <cell r="Y12337" t="str">
            <v>GERMANY</v>
          </cell>
        </row>
        <row r="12338">
          <cell r="L12338" t="str">
            <v>Non-proportional</v>
          </cell>
          <cell r="S12338">
            <v>-34502.01</v>
          </cell>
          <cell r="X12338" t="str">
            <v>Variation UPR - gross</v>
          </cell>
          <cell r="Y12338" t="str">
            <v>CZECH REPUBLIC</v>
          </cell>
        </row>
        <row r="12339">
          <cell r="L12339" t="str">
            <v>Non-proportional</v>
          </cell>
          <cell r="S12339">
            <v>-13395.58</v>
          </cell>
          <cell r="X12339" t="str">
            <v>Variation UPR - gross</v>
          </cell>
          <cell r="Y12339" t="str">
            <v>DENMARK</v>
          </cell>
        </row>
        <row r="12340">
          <cell r="L12340" t="str">
            <v>Non-proportional</v>
          </cell>
          <cell r="S12340">
            <v>-9917.92</v>
          </cell>
          <cell r="X12340" t="str">
            <v>Variation UPR - gross</v>
          </cell>
          <cell r="Y12340" t="str">
            <v>CZECH REPUBLIC</v>
          </cell>
        </row>
        <row r="12341">
          <cell r="L12341" t="str">
            <v>Non-proportional</v>
          </cell>
          <cell r="S12341">
            <v>-15832.43</v>
          </cell>
          <cell r="X12341" t="str">
            <v>Variation UPR - gross</v>
          </cell>
          <cell r="Y12341" t="str">
            <v>GERMANY</v>
          </cell>
        </row>
        <row r="12342">
          <cell r="L12342" t="str">
            <v>Non-proportional</v>
          </cell>
          <cell r="S12342">
            <v>-11613.63</v>
          </cell>
          <cell r="X12342" t="str">
            <v>Variation UPR - gross</v>
          </cell>
          <cell r="Y12342" t="str">
            <v>SWITZERLAND</v>
          </cell>
        </row>
        <row r="12343">
          <cell r="L12343" t="str">
            <v>Non-proportional</v>
          </cell>
          <cell r="S12343">
            <v>-11882.26</v>
          </cell>
          <cell r="X12343" t="str">
            <v>Variation UPR - gross</v>
          </cell>
          <cell r="Y12343" t="str">
            <v>EUROPE</v>
          </cell>
        </row>
        <row r="12344">
          <cell r="L12344" t="str">
            <v>Non-proportional</v>
          </cell>
          <cell r="S12344">
            <v>-3375</v>
          </cell>
          <cell r="X12344" t="str">
            <v>Variation UPR - gross</v>
          </cell>
          <cell r="Y12344" t="str">
            <v>GERMANY</v>
          </cell>
        </row>
        <row r="12345">
          <cell r="L12345" t="str">
            <v>Non-proportional</v>
          </cell>
          <cell r="S12345">
            <v>-575</v>
          </cell>
          <cell r="X12345" t="str">
            <v>Variation UPR - gross</v>
          </cell>
          <cell r="Y12345" t="str">
            <v>ITALY</v>
          </cell>
        </row>
        <row r="12346">
          <cell r="L12346" t="str">
            <v>Non-proportional</v>
          </cell>
          <cell r="S12346">
            <v>-6904.17</v>
          </cell>
          <cell r="X12346" t="str">
            <v>Variation UPR - gross</v>
          </cell>
          <cell r="Y12346" t="str">
            <v>FRANCE</v>
          </cell>
        </row>
        <row r="12347">
          <cell r="L12347" t="str">
            <v>Non-proportional</v>
          </cell>
          <cell r="S12347">
            <v>33.630000000000003</v>
          </cell>
          <cell r="X12347" t="str">
            <v>Variation UPR - gross</v>
          </cell>
          <cell r="Y12347" t="str">
            <v>POLAND</v>
          </cell>
        </row>
        <row r="12348">
          <cell r="L12348" t="str">
            <v>Non-proportional</v>
          </cell>
          <cell r="S12348">
            <v>-18973.75</v>
          </cell>
          <cell r="X12348" t="str">
            <v>Variation UPR - gross</v>
          </cell>
          <cell r="Y12348" t="str">
            <v>AUSTRIA</v>
          </cell>
        </row>
        <row r="12349">
          <cell r="L12349" t="str">
            <v>Non-proportional</v>
          </cell>
          <cell r="S12349">
            <v>0.01</v>
          </cell>
          <cell r="X12349" t="str">
            <v>Variation UPR - gross</v>
          </cell>
          <cell r="Y12349" t="str">
            <v>JAPAN</v>
          </cell>
        </row>
        <row r="12350">
          <cell r="L12350" t="str">
            <v>Non-proportional</v>
          </cell>
          <cell r="S12350">
            <v>-29416.67</v>
          </cell>
          <cell r="X12350" t="str">
            <v>Variation UPR - gross</v>
          </cell>
          <cell r="Y12350" t="str">
            <v>EUROPE</v>
          </cell>
        </row>
        <row r="12351">
          <cell r="L12351" t="str">
            <v>Non-proportional</v>
          </cell>
          <cell r="S12351">
            <v>-5717.64</v>
          </cell>
          <cell r="X12351" t="str">
            <v>Variation UPR - gross</v>
          </cell>
          <cell r="Y12351" t="str">
            <v>GERMANY</v>
          </cell>
        </row>
        <row r="12352">
          <cell r="L12352" t="str">
            <v>Non-proportional</v>
          </cell>
          <cell r="S12352">
            <v>-6335.14</v>
          </cell>
          <cell r="X12352" t="str">
            <v>Variation UPR - gross</v>
          </cell>
          <cell r="Y12352" t="str">
            <v>GERMANY</v>
          </cell>
        </row>
        <row r="12353">
          <cell r="L12353" t="str">
            <v>Non-proportional</v>
          </cell>
          <cell r="S12353">
            <v>-6698.96</v>
          </cell>
          <cell r="X12353" t="str">
            <v>Variation UPR - gross</v>
          </cell>
          <cell r="Y12353" t="str">
            <v>DENMARK</v>
          </cell>
        </row>
        <row r="12354">
          <cell r="L12354" t="str">
            <v>Non-proportional</v>
          </cell>
          <cell r="S12354">
            <v>-3511.24</v>
          </cell>
          <cell r="X12354" t="str">
            <v>Variation UPR - gross</v>
          </cell>
          <cell r="Y12354" t="str">
            <v>ICELAND</v>
          </cell>
        </row>
        <row r="12355">
          <cell r="L12355" t="str">
            <v>Non-proportional</v>
          </cell>
          <cell r="S12355">
            <v>-3617.46</v>
          </cell>
          <cell r="X12355" t="str">
            <v>Variation UPR - gross</v>
          </cell>
          <cell r="Y12355" t="str">
            <v>FRANCE</v>
          </cell>
        </row>
        <row r="12356">
          <cell r="L12356" t="str">
            <v>Non-proportional</v>
          </cell>
          <cell r="S12356">
            <v>-1962.32</v>
          </cell>
          <cell r="X12356" t="str">
            <v>Variation UPR - gross</v>
          </cell>
          <cell r="Y12356" t="str">
            <v>GERMANY</v>
          </cell>
        </row>
        <row r="12357">
          <cell r="L12357" t="str">
            <v>Non-proportional</v>
          </cell>
          <cell r="S12357">
            <v>-1401.66</v>
          </cell>
          <cell r="X12357" t="str">
            <v>Variation UPR - gross</v>
          </cell>
          <cell r="Y12357" t="str">
            <v>GERMANY</v>
          </cell>
        </row>
        <row r="12358">
          <cell r="L12358" t="str">
            <v>Non-proportional</v>
          </cell>
          <cell r="S12358">
            <v>-6480.42</v>
          </cell>
          <cell r="X12358" t="str">
            <v>Variation UPR - gross</v>
          </cell>
          <cell r="Y12358" t="str">
            <v>REPUBLIC OF IRELAND</v>
          </cell>
        </row>
        <row r="12359">
          <cell r="L12359" t="str">
            <v>Non-proportional</v>
          </cell>
          <cell r="S12359">
            <v>-3601.03</v>
          </cell>
          <cell r="X12359" t="str">
            <v>Variation UPR - gross</v>
          </cell>
          <cell r="Y12359" t="str">
            <v>FAROE ISLANDS</v>
          </cell>
        </row>
        <row r="12360">
          <cell r="L12360" t="str">
            <v>Non-proportional</v>
          </cell>
          <cell r="S12360">
            <v>-4573.13</v>
          </cell>
          <cell r="X12360" t="str">
            <v>Variation UPR - gross</v>
          </cell>
          <cell r="Y12360" t="str">
            <v>EUROPE</v>
          </cell>
        </row>
        <row r="12361">
          <cell r="L12361" t="str">
            <v>Non-proportional</v>
          </cell>
          <cell r="S12361">
            <v>2.02</v>
          </cell>
          <cell r="X12361" t="str">
            <v>Variation UPR - gross</v>
          </cell>
          <cell r="Y12361" t="str">
            <v>SWEDEN</v>
          </cell>
        </row>
        <row r="12362">
          <cell r="L12362" t="str">
            <v>Non-proportional</v>
          </cell>
          <cell r="S12362">
            <v>-30551.56</v>
          </cell>
          <cell r="X12362" t="str">
            <v>Variation UPR - gross</v>
          </cell>
          <cell r="Y12362" t="str">
            <v>UNITED KINGDOM</v>
          </cell>
        </row>
        <row r="12363">
          <cell r="L12363" t="str">
            <v>Non-proportional</v>
          </cell>
          <cell r="S12363">
            <v>-14058.31</v>
          </cell>
          <cell r="X12363" t="str">
            <v>Variation UPR - gross</v>
          </cell>
          <cell r="Y12363" t="str">
            <v>EIRE</v>
          </cell>
        </row>
        <row r="12364">
          <cell r="L12364" t="str">
            <v>Non-proportional</v>
          </cell>
          <cell r="S12364">
            <v>-51.47</v>
          </cell>
          <cell r="X12364" t="str">
            <v>Variation UPR - gross</v>
          </cell>
          <cell r="Y12364" t="str">
            <v>UNITED ARAB EMIRATES</v>
          </cell>
        </row>
        <row r="12365">
          <cell r="L12365" t="str">
            <v>Non-proportional</v>
          </cell>
          <cell r="S12365">
            <v>-300.83</v>
          </cell>
          <cell r="X12365" t="str">
            <v>Variation UPR - gross</v>
          </cell>
          <cell r="Y12365" t="str">
            <v>ITALY</v>
          </cell>
        </row>
        <row r="12366">
          <cell r="L12366" t="str">
            <v>Non-proportional</v>
          </cell>
          <cell r="S12366">
            <v>-42103.27</v>
          </cell>
          <cell r="X12366" t="str">
            <v>Variation UPR - gross</v>
          </cell>
          <cell r="Y12366" t="str">
            <v>UNITED KINGDOM</v>
          </cell>
        </row>
        <row r="12367">
          <cell r="L12367" t="str">
            <v>Non-proportional</v>
          </cell>
          <cell r="S12367">
            <v>-55312.15</v>
          </cell>
          <cell r="X12367" t="str">
            <v>Variation UPR - gross</v>
          </cell>
          <cell r="Y12367" t="str">
            <v>UNITED KINGDOM</v>
          </cell>
        </row>
        <row r="12368">
          <cell r="L12368" t="str">
            <v>Non-proportional</v>
          </cell>
          <cell r="S12368">
            <v>0.6</v>
          </cell>
          <cell r="X12368" t="str">
            <v>Variation UPR - gross</v>
          </cell>
          <cell r="Y12368" t="str">
            <v>DENMARK</v>
          </cell>
        </row>
        <row r="12369">
          <cell r="L12369" t="str">
            <v>Non-proportional</v>
          </cell>
          <cell r="S12369">
            <v>-5893.93</v>
          </cell>
          <cell r="X12369" t="str">
            <v>Variation UPR - gross</v>
          </cell>
          <cell r="Y12369" t="str">
            <v>AUSTRIA</v>
          </cell>
        </row>
        <row r="12370">
          <cell r="L12370" t="str">
            <v>Non-proportional</v>
          </cell>
          <cell r="S12370">
            <v>-820.54</v>
          </cell>
          <cell r="X12370" t="str">
            <v>Variation UPR - gross</v>
          </cell>
          <cell r="Y12370" t="str">
            <v>GERMANY</v>
          </cell>
        </row>
        <row r="12371">
          <cell r="L12371" t="str">
            <v>Non-proportional</v>
          </cell>
          <cell r="S12371">
            <v>-5279.33</v>
          </cell>
          <cell r="X12371" t="str">
            <v>Variation UPR - gross</v>
          </cell>
          <cell r="Y12371" t="str">
            <v>NORWAY</v>
          </cell>
        </row>
        <row r="12372">
          <cell r="L12372" t="str">
            <v>Non-proportional</v>
          </cell>
          <cell r="S12372">
            <v>-2357.5</v>
          </cell>
          <cell r="X12372" t="str">
            <v>Variation UPR - gross</v>
          </cell>
          <cell r="Y12372" t="str">
            <v>GERMANY</v>
          </cell>
        </row>
        <row r="12373">
          <cell r="L12373" t="str">
            <v>Non-proportional</v>
          </cell>
          <cell r="S12373">
            <v>-8351.59</v>
          </cell>
          <cell r="X12373" t="str">
            <v>Variation UPR - gross</v>
          </cell>
          <cell r="Y12373" t="str">
            <v>DENMARK</v>
          </cell>
        </row>
        <row r="12374">
          <cell r="L12374" t="str">
            <v>Non-proportional</v>
          </cell>
          <cell r="S12374">
            <v>-10015.08</v>
          </cell>
          <cell r="X12374" t="str">
            <v>Variation UPR - gross</v>
          </cell>
          <cell r="Y12374" t="str">
            <v>AUSTRIA</v>
          </cell>
        </row>
        <row r="12375">
          <cell r="L12375" t="str">
            <v>Non-proportional</v>
          </cell>
          <cell r="S12375">
            <v>-703.38</v>
          </cell>
          <cell r="X12375" t="str">
            <v>Variation UPR - gross</v>
          </cell>
          <cell r="Y12375" t="str">
            <v>JAPAN</v>
          </cell>
        </row>
        <row r="12376">
          <cell r="L12376" t="str">
            <v>Non-proportional</v>
          </cell>
          <cell r="S12376">
            <v>-7549.44</v>
          </cell>
          <cell r="X12376" t="str">
            <v>Variation UPR - gross</v>
          </cell>
          <cell r="Y12376" t="str">
            <v>NORWAY</v>
          </cell>
        </row>
        <row r="12377">
          <cell r="L12377" t="str">
            <v>Non-proportional</v>
          </cell>
          <cell r="S12377">
            <v>-8509.83</v>
          </cell>
          <cell r="X12377" t="str">
            <v>Variation UPR - gross</v>
          </cell>
          <cell r="Y12377" t="str">
            <v>EUROPE</v>
          </cell>
        </row>
        <row r="12378">
          <cell r="L12378" t="str">
            <v>Non-proportional</v>
          </cell>
          <cell r="S12378">
            <v>-4950.54</v>
          </cell>
          <cell r="X12378" t="str">
            <v>Variation UPR - gross</v>
          </cell>
          <cell r="Y12378" t="str">
            <v>UNITED ARAB EMIRATES</v>
          </cell>
        </row>
        <row r="12379">
          <cell r="L12379" t="str">
            <v>Non-proportional</v>
          </cell>
          <cell r="S12379">
            <v>-270.67</v>
          </cell>
          <cell r="X12379" t="str">
            <v>Variation UPR - gross</v>
          </cell>
          <cell r="Y12379" t="str">
            <v>ITALY</v>
          </cell>
        </row>
        <row r="12380">
          <cell r="L12380" t="str">
            <v>Non-proportional</v>
          </cell>
          <cell r="S12380">
            <v>-48245.89</v>
          </cell>
          <cell r="X12380" t="str">
            <v>Variation UPR - gross</v>
          </cell>
          <cell r="Y12380" t="str">
            <v>UNITED KINGDOM</v>
          </cell>
        </row>
        <row r="12381">
          <cell r="L12381" t="str">
            <v>Non-proportional</v>
          </cell>
          <cell r="S12381">
            <v>-72368.83</v>
          </cell>
          <cell r="X12381" t="str">
            <v>Variation UPR - gross</v>
          </cell>
          <cell r="Y12381" t="str">
            <v>UNITED KINGDOM</v>
          </cell>
        </row>
        <row r="12382">
          <cell r="L12382" t="str">
            <v>Non-proportional</v>
          </cell>
          <cell r="S12382">
            <v>-4058.09</v>
          </cell>
          <cell r="X12382" t="str">
            <v>Variation UPR - gross</v>
          </cell>
          <cell r="Y12382" t="str">
            <v>SWITZERLAND</v>
          </cell>
        </row>
        <row r="12383">
          <cell r="L12383" t="str">
            <v>Non-proportional</v>
          </cell>
          <cell r="S12383">
            <v>-1882.19</v>
          </cell>
          <cell r="X12383" t="str">
            <v>Variation UPR - gross</v>
          </cell>
          <cell r="Y12383" t="str">
            <v>JAPAN</v>
          </cell>
        </row>
        <row r="12384">
          <cell r="L12384" t="str">
            <v>Non-proportional</v>
          </cell>
          <cell r="S12384">
            <v>-4836.88</v>
          </cell>
          <cell r="X12384" t="str">
            <v>Variation UPR - gross</v>
          </cell>
          <cell r="Y12384" t="str">
            <v>UNITED KINGDOM</v>
          </cell>
        </row>
        <row r="12385">
          <cell r="L12385" t="str">
            <v>Non-proportional</v>
          </cell>
          <cell r="S12385">
            <v>0.01</v>
          </cell>
          <cell r="X12385" t="str">
            <v>Variation UPR - gross</v>
          </cell>
          <cell r="Y12385" t="str">
            <v>ICELAND</v>
          </cell>
        </row>
        <row r="12386">
          <cell r="L12386" t="str">
            <v>Non-proportional</v>
          </cell>
          <cell r="S12386">
            <v>-6407.52</v>
          </cell>
          <cell r="X12386" t="str">
            <v>Variation UPR - gross</v>
          </cell>
          <cell r="Y12386" t="str">
            <v>SWITZERLAND</v>
          </cell>
        </row>
        <row r="12387">
          <cell r="L12387" t="str">
            <v>Non-proportional</v>
          </cell>
          <cell r="S12387">
            <v>-3530.43</v>
          </cell>
          <cell r="X12387" t="str">
            <v>Variation UPR - gross</v>
          </cell>
          <cell r="Y12387" t="str">
            <v>FAROE ISLANDS</v>
          </cell>
        </row>
        <row r="12388">
          <cell r="L12388" t="str">
            <v>Non-proportional</v>
          </cell>
          <cell r="S12388">
            <v>-313.57</v>
          </cell>
          <cell r="X12388" t="str">
            <v>Variation UPR - gross</v>
          </cell>
          <cell r="Y12388" t="str">
            <v>DENMARK</v>
          </cell>
        </row>
        <row r="12389">
          <cell r="L12389" t="str">
            <v>Non-proportional</v>
          </cell>
          <cell r="S12389">
            <v>-8999.89</v>
          </cell>
          <cell r="X12389" t="str">
            <v>Variation UPR - gross</v>
          </cell>
          <cell r="Y12389" t="str">
            <v>GERMANY</v>
          </cell>
        </row>
        <row r="12390">
          <cell r="L12390" t="str">
            <v>Non-proportional</v>
          </cell>
          <cell r="S12390">
            <v>-1558.66</v>
          </cell>
          <cell r="X12390" t="str">
            <v>Variation UPR - gross</v>
          </cell>
          <cell r="Y12390" t="str">
            <v>JAPAN</v>
          </cell>
        </row>
        <row r="12391">
          <cell r="L12391" t="str">
            <v>Non-proportional</v>
          </cell>
          <cell r="S12391">
            <v>-11.04</v>
          </cell>
          <cell r="X12391" t="str">
            <v>Variation UPR - gross</v>
          </cell>
          <cell r="Y12391" t="str">
            <v>NORWAY</v>
          </cell>
        </row>
        <row r="12392">
          <cell r="L12392" t="str">
            <v>Non-proportional</v>
          </cell>
          <cell r="S12392">
            <v>-21224.9</v>
          </cell>
          <cell r="X12392" t="str">
            <v>Variation UPR - gross</v>
          </cell>
          <cell r="Y12392" t="str">
            <v>SWITZERLAND</v>
          </cell>
        </row>
        <row r="12393">
          <cell r="L12393" t="str">
            <v>Non-proportional</v>
          </cell>
          <cell r="S12393">
            <v>-1339.16</v>
          </cell>
          <cell r="X12393" t="str">
            <v>Variation UPR - gross</v>
          </cell>
          <cell r="Y12393" t="str">
            <v>DENMARK</v>
          </cell>
        </row>
        <row r="12394">
          <cell r="L12394" t="str">
            <v>Non-proportional</v>
          </cell>
          <cell r="S12394">
            <v>-3687.5</v>
          </cell>
          <cell r="X12394" t="str">
            <v>Variation UPR - gross</v>
          </cell>
          <cell r="Y12394" t="str">
            <v>GERMANY</v>
          </cell>
        </row>
        <row r="12395">
          <cell r="L12395" t="str">
            <v>Non-proportional</v>
          </cell>
          <cell r="S12395">
            <v>-22248.32</v>
          </cell>
          <cell r="X12395" t="str">
            <v>Variation UPR - gross</v>
          </cell>
          <cell r="Y12395" t="str">
            <v>SWITZERLAND</v>
          </cell>
        </row>
        <row r="12396">
          <cell r="L12396" t="str">
            <v>Proportional</v>
          </cell>
          <cell r="S12396">
            <v>-41563.75</v>
          </cell>
          <cell r="X12396" t="str">
            <v>Variation UPR - gross</v>
          </cell>
          <cell r="Y12396" t="str">
            <v>SWITZERLAND</v>
          </cell>
        </row>
        <row r="12397">
          <cell r="L12397" t="str">
            <v>Non-proportional</v>
          </cell>
          <cell r="S12397">
            <v>-672.34</v>
          </cell>
          <cell r="X12397" t="str">
            <v>Variation UPR - gross</v>
          </cell>
          <cell r="Y12397" t="str">
            <v>SWITZERLAND</v>
          </cell>
        </row>
        <row r="12398">
          <cell r="L12398" t="str">
            <v>Non-proportional</v>
          </cell>
          <cell r="S12398">
            <v>-111.64</v>
          </cell>
          <cell r="X12398" t="str">
            <v>Variation UPR - gross</v>
          </cell>
          <cell r="Y12398" t="str">
            <v>UNITED ARAB EMIRATES</v>
          </cell>
        </row>
        <row r="12399">
          <cell r="L12399" t="str">
            <v>Non-proportional</v>
          </cell>
          <cell r="S12399">
            <v>-5894.2</v>
          </cell>
          <cell r="X12399" t="str">
            <v>Variation UPR - gross</v>
          </cell>
          <cell r="Y12399" t="str">
            <v>UNITED KINGDOM</v>
          </cell>
        </row>
        <row r="12400">
          <cell r="L12400" t="str">
            <v>Non-proportional</v>
          </cell>
          <cell r="S12400">
            <v>-6998</v>
          </cell>
          <cell r="X12400" t="str">
            <v>Variation UPR - gross</v>
          </cell>
          <cell r="Y12400" t="str">
            <v>AUSTRIA</v>
          </cell>
        </row>
        <row r="12401">
          <cell r="L12401" t="str">
            <v>Non-proportional</v>
          </cell>
          <cell r="S12401">
            <v>-23058.97</v>
          </cell>
          <cell r="X12401" t="str">
            <v>Variation UPR - gross</v>
          </cell>
          <cell r="Y12401" t="str">
            <v>FRANCE</v>
          </cell>
        </row>
        <row r="12402">
          <cell r="L12402" t="str">
            <v>Non-proportional</v>
          </cell>
          <cell r="S12402">
            <v>-15017.62</v>
          </cell>
          <cell r="X12402" t="str">
            <v>Variation UPR - gross</v>
          </cell>
          <cell r="Y12402" t="str">
            <v>SWITZERLAND</v>
          </cell>
        </row>
        <row r="12403">
          <cell r="L12403" t="str">
            <v>Non-proportional</v>
          </cell>
          <cell r="S12403">
            <v>-7786.92</v>
          </cell>
          <cell r="X12403" t="str">
            <v>Variation UPR - gross</v>
          </cell>
          <cell r="Y12403" t="str">
            <v>SWITZERLAND</v>
          </cell>
        </row>
        <row r="12404">
          <cell r="L12404" t="str">
            <v>Non-proportional</v>
          </cell>
          <cell r="S12404">
            <v>-8844.9</v>
          </cell>
          <cell r="X12404" t="str">
            <v>Variation UPR - gross</v>
          </cell>
          <cell r="Y12404" t="str">
            <v>GERMANY</v>
          </cell>
        </row>
        <row r="12405">
          <cell r="L12405" t="str">
            <v>Non-proportional</v>
          </cell>
          <cell r="S12405">
            <v>2.83</v>
          </cell>
          <cell r="X12405" t="str">
            <v>Variation UPR - gross</v>
          </cell>
          <cell r="Y12405" t="str">
            <v>DENMARK</v>
          </cell>
        </row>
        <row r="12406">
          <cell r="L12406" t="str">
            <v>Non-proportional</v>
          </cell>
          <cell r="S12406">
            <v>3.79</v>
          </cell>
          <cell r="X12406" t="str">
            <v>Variation UPR - gross</v>
          </cell>
          <cell r="Y12406" t="str">
            <v>DENMARK</v>
          </cell>
        </row>
        <row r="12407">
          <cell r="L12407" t="str">
            <v>Non-proportional</v>
          </cell>
          <cell r="S12407">
            <v>-2083.33</v>
          </cell>
          <cell r="X12407" t="str">
            <v>Variation UPR - gross</v>
          </cell>
          <cell r="Y12407" t="str">
            <v>GERMANY</v>
          </cell>
        </row>
        <row r="12408">
          <cell r="L12408" t="str">
            <v>Non-proportional</v>
          </cell>
          <cell r="S12408">
            <v>-3262.5</v>
          </cell>
          <cell r="X12408" t="str">
            <v>Variation UPR - gross</v>
          </cell>
          <cell r="Y12408" t="str">
            <v>ROMANIA</v>
          </cell>
        </row>
        <row r="12409">
          <cell r="L12409" t="str">
            <v>Non-proportional</v>
          </cell>
          <cell r="S12409">
            <v>-20416.669999999998</v>
          </cell>
          <cell r="X12409" t="str">
            <v>Variation UPR - gross</v>
          </cell>
          <cell r="Y12409" t="str">
            <v>GERMANY</v>
          </cell>
        </row>
        <row r="12410">
          <cell r="L12410" t="str">
            <v>Non-proportional</v>
          </cell>
          <cell r="S12410">
            <v>-6416.67</v>
          </cell>
          <cell r="X12410" t="str">
            <v>Variation UPR - gross</v>
          </cell>
          <cell r="Y12410" t="str">
            <v>GERMANY</v>
          </cell>
        </row>
        <row r="12411">
          <cell r="L12411" t="str">
            <v>Non-proportional</v>
          </cell>
          <cell r="S12411">
            <v>-3333.42</v>
          </cell>
          <cell r="X12411" t="str">
            <v>Variation UPR - gross</v>
          </cell>
          <cell r="Y12411" t="str">
            <v>ITALY</v>
          </cell>
        </row>
        <row r="12412">
          <cell r="L12412" t="str">
            <v>Non-proportional</v>
          </cell>
          <cell r="S12412">
            <v>-14632</v>
          </cell>
          <cell r="X12412" t="str">
            <v>Variation UPR - gross</v>
          </cell>
          <cell r="Y12412" t="str">
            <v>GERMANY</v>
          </cell>
        </row>
        <row r="12413">
          <cell r="L12413" t="str">
            <v>Non-proportional</v>
          </cell>
          <cell r="S12413">
            <v>-3878.7</v>
          </cell>
          <cell r="X12413" t="str">
            <v>Variation UPR - gross</v>
          </cell>
          <cell r="Y12413" t="str">
            <v>UNITED KINGDOM</v>
          </cell>
        </row>
        <row r="12414">
          <cell r="L12414" t="str">
            <v>Non-proportional</v>
          </cell>
          <cell r="S12414">
            <v>9.25</v>
          </cell>
          <cell r="X12414" t="str">
            <v>Variation UPR - gross</v>
          </cell>
          <cell r="Y12414" t="str">
            <v>SWEDEN</v>
          </cell>
        </row>
        <row r="12415">
          <cell r="L12415" t="str">
            <v>Non-proportional</v>
          </cell>
          <cell r="S12415">
            <v>-3806.25</v>
          </cell>
          <cell r="X12415" t="str">
            <v>Variation UPR - gross</v>
          </cell>
          <cell r="Y12415" t="str">
            <v>ROMANIA</v>
          </cell>
        </row>
        <row r="12416">
          <cell r="L12416" t="str">
            <v>Non-proportional</v>
          </cell>
          <cell r="S12416">
            <v>-3915.81</v>
          </cell>
          <cell r="X12416" t="str">
            <v>Variation UPR - gross</v>
          </cell>
          <cell r="Y12416" t="str">
            <v>NORWAY</v>
          </cell>
        </row>
        <row r="12417">
          <cell r="L12417" t="str">
            <v>Non-proportional</v>
          </cell>
          <cell r="S12417">
            <v>-1122.3</v>
          </cell>
          <cell r="X12417" t="str">
            <v>Variation UPR - gross</v>
          </cell>
          <cell r="Y12417" t="str">
            <v>ITALY</v>
          </cell>
        </row>
        <row r="12418">
          <cell r="L12418" t="str">
            <v>Non-proportional</v>
          </cell>
          <cell r="S12418">
            <v>-7106.41</v>
          </cell>
          <cell r="X12418" t="str">
            <v>Variation UPR - gross</v>
          </cell>
          <cell r="Y12418" t="str">
            <v>NORWAY</v>
          </cell>
        </row>
        <row r="12419">
          <cell r="L12419" t="str">
            <v>Non-proportional</v>
          </cell>
          <cell r="S12419">
            <v>-6265.23</v>
          </cell>
          <cell r="X12419" t="str">
            <v>Variation UPR - gross</v>
          </cell>
          <cell r="Y12419" t="str">
            <v>AUSTRALIA</v>
          </cell>
        </row>
        <row r="12420">
          <cell r="L12420" t="str">
            <v>Non-proportional</v>
          </cell>
          <cell r="S12420">
            <v>-17609.03</v>
          </cell>
          <cell r="X12420" t="str">
            <v>Variation UPR - gross</v>
          </cell>
          <cell r="Y12420" t="str">
            <v>AUSTRIA</v>
          </cell>
        </row>
        <row r="12421">
          <cell r="L12421" t="str">
            <v>Non-proportional</v>
          </cell>
          <cell r="S12421">
            <v>-5493.18</v>
          </cell>
          <cell r="X12421" t="str">
            <v>Variation UPR - gross</v>
          </cell>
          <cell r="Y12421" t="str">
            <v>FRANCE</v>
          </cell>
        </row>
        <row r="12422">
          <cell r="L12422" t="str">
            <v>Non-proportional</v>
          </cell>
          <cell r="S12422">
            <v>-30037.71</v>
          </cell>
          <cell r="X12422" t="str">
            <v>Variation UPR - gross</v>
          </cell>
          <cell r="Y12422" t="str">
            <v>UNITED KINGDOM</v>
          </cell>
        </row>
        <row r="12423">
          <cell r="L12423" t="str">
            <v>Non-proportional</v>
          </cell>
          <cell r="S12423">
            <v>-321.45</v>
          </cell>
          <cell r="X12423" t="str">
            <v>Variation UPR - gross</v>
          </cell>
          <cell r="Y12423" t="str">
            <v>FRANCE</v>
          </cell>
        </row>
        <row r="12424">
          <cell r="L12424" t="str">
            <v>Non-proportional</v>
          </cell>
          <cell r="S12424">
            <v>-25393.599999999999</v>
          </cell>
          <cell r="X12424" t="str">
            <v>Variation UPR - gross</v>
          </cell>
          <cell r="Y12424" t="str">
            <v>GERMANY</v>
          </cell>
        </row>
        <row r="12425">
          <cell r="L12425" t="str">
            <v>Non-proportional</v>
          </cell>
          <cell r="S12425">
            <v>-5467.12</v>
          </cell>
          <cell r="X12425" t="str">
            <v>Variation UPR - gross</v>
          </cell>
          <cell r="Y12425" t="str">
            <v>EIRE</v>
          </cell>
        </row>
        <row r="12426">
          <cell r="L12426" t="str">
            <v>Non-proportional</v>
          </cell>
          <cell r="S12426">
            <v>-7613.02</v>
          </cell>
          <cell r="X12426" t="str">
            <v>Variation UPR - gross</v>
          </cell>
          <cell r="Y12426" t="str">
            <v>GERMANY</v>
          </cell>
        </row>
        <row r="12427">
          <cell r="L12427"/>
          <cell r="S12427">
            <v>-1701772.24</v>
          </cell>
          <cell r="X12427" t="str">
            <v>Variation UPR - gross</v>
          </cell>
          <cell r="Y12427" t="str">
            <v>UNITED KINGDOM</v>
          </cell>
        </row>
        <row r="12428">
          <cell r="L12428" t="str">
            <v>Non-proportional</v>
          </cell>
          <cell r="S12428">
            <v>-11354.85</v>
          </cell>
          <cell r="X12428" t="str">
            <v>Variation UPR - gross</v>
          </cell>
          <cell r="Y12428" t="str">
            <v>GERMANY</v>
          </cell>
        </row>
        <row r="12429">
          <cell r="L12429" t="str">
            <v>Non-proportional</v>
          </cell>
          <cell r="S12429">
            <v>-26829.06</v>
          </cell>
          <cell r="X12429" t="str">
            <v>Variation UPR - gross</v>
          </cell>
          <cell r="Y12429" t="str">
            <v>UNITED KINGDOM</v>
          </cell>
        </row>
        <row r="12430">
          <cell r="L12430" t="str">
            <v>Non-proportional</v>
          </cell>
          <cell r="S12430">
            <v>0.01</v>
          </cell>
          <cell r="X12430" t="str">
            <v>Variation UPR - gross</v>
          </cell>
          <cell r="Y12430" t="str">
            <v>JAPAN</v>
          </cell>
        </row>
        <row r="12431">
          <cell r="L12431" t="str">
            <v>Non-proportional</v>
          </cell>
          <cell r="S12431">
            <v>0.04</v>
          </cell>
          <cell r="X12431" t="str">
            <v>Variation UPR - gross</v>
          </cell>
          <cell r="Y12431" t="str">
            <v>ICELAND</v>
          </cell>
        </row>
        <row r="12432">
          <cell r="L12432" t="str">
            <v>Non-proportional</v>
          </cell>
          <cell r="S12432">
            <v>-1279.43</v>
          </cell>
          <cell r="X12432" t="str">
            <v>Variation UPR - gross</v>
          </cell>
          <cell r="Y12432" t="str">
            <v>FRANCE</v>
          </cell>
        </row>
        <row r="12433">
          <cell r="L12433" t="str">
            <v>Non-proportional</v>
          </cell>
          <cell r="S12433">
            <v>-19920.240000000002</v>
          </cell>
          <cell r="X12433" t="str">
            <v>Variation UPR - gross</v>
          </cell>
          <cell r="Y12433" t="str">
            <v>FRANCE</v>
          </cell>
        </row>
        <row r="12434">
          <cell r="L12434" t="str">
            <v>Non-proportional</v>
          </cell>
          <cell r="S12434">
            <v>-1751.47</v>
          </cell>
          <cell r="X12434" t="str">
            <v>Variation UPR - gross</v>
          </cell>
          <cell r="Y12434" t="str">
            <v>REPUBLIC OF IRELAND</v>
          </cell>
        </row>
        <row r="12435">
          <cell r="L12435" t="str">
            <v>Non-proportional</v>
          </cell>
          <cell r="S12435">
            <v>0.48</v>
          </cell>
          <cell r="X12435" t="str">
            <v>Variation UPR - gross</v>
          </cell>
          <cell r="Y12435" t="str">
            <v>DENMARK</v>
          </cell>
        </row>
        <row r="12436">
          <cell r="L12436" t="str">
            <v>Proportional</v>
          </cell>
          <cell r="S12436">
            <v>-2214.62</v>
          </cell>
          <cell r="X12436" t="str">
            <v>Variation UPR - gross</v>
          </cell>
          <cell r="Y12436" t="str">
            <v>UNITED STATES</v>
          </cell>
        </row>
        <row r="12437">
          <cell r="L12437" t="str">
            <v>Non-proportional</v>
          </cell>
          <cell r="S12437">
            <v>-42265.33</v>
          </cell>
          <cell r="X12437" t="str">
            <v>Variation UPR - gross</v>
          </cell>
          <cell r="Y12437" t="str">
            <v>UNITED KINGDOM</v>
          </cell>
        </row>
        <row r="12438">
          <cell r="L12438" t="str">
            <v>Non-proportional</v>
          </cell>
          <cell r="S12438">
            <v>-1384.04</v>
          </cell>
          <cell r="X12438" t="str">
            <v>Variation UPR - gross</v>
          </cell>
          <cell r="Y12438" t="str">
            <v>SWITZERLAND</v>
          </cell>
        </row>
        <row r="12439">
          <cell r="L12439" t="str">
            <v>Non-proportional</v>
          </cell>
          <cell r="S12439">
            <v>-1998.16</v>
          </cell>
          <cell r="X12439" t="str">
            <v>Variation UPR - gross</v>
          </cell>
          <cell r="Y12439" t="str">
            <v>JAPAN</v>
          </cell>
        </row>
        <row r="12440">
          <cell r="L12440" t="str">
            <v>Non-proportional</v>
          </cell>
          <cell r="S12440">
            <v>-12424.29</v>
          </cell>
          <cell r="X12440" t="str">
            <v>Variation UPR - gross</v>
          </cell>
          <cell r="Y12440" t="str">
            <v>EUROPE</v>
          </cell>
        </row>
        <row r="12441">
          <cell r="L12441" t="str">
            <v>Non-proportional</v>
          </cell>
          <cell r="S12441">
            <v>-18328.099999999999</v>
          </cell>
          <cell r="X12441" t="str">
            <v>Variation UPR - gross</v>
          </cell>
          <cell r="Y12441" t="str">
            <v>UNITED KINGDOM</v>
          </cell>
        </row>
        <row r="12442">
          <cell r="L12442" t="str">
            <v>Non-proportional</v>
          </cell>
          <cell r="S12442">
            <v>0.01</v>
          </cell>
          <cell r="X12442" t="str">
            <v>Variation UPR - gross</v>
          </cell>
          <cell r="Y12442" t="str">
            <v>JAPAN</v>
          </cell>
        </row>
        <row r="12443">
          <cell r="L12443" t="str">
            <v>Non-proportional</v>
          </cell>
          <cell r="S12443">
            <v>-1245.9100000000001</v>
          </cell>
          <cell r="X12443" t="str">
            <v>Variation UPR - gross</v>
          </cell>
          <cell r="Y12443" t="str">
            <v>SWITZERLAND</v>
          </cell>
        </row>
        <row r="12444">
          <cell r="L12444" t="str">
            <v>Non-proportional</v>
          </cell>
          <cell r="S12444">
            <v>-7284</v>
          </cell>
          <cell r="X12444" t="str">
            <v>Variation UPR - gross</v>
          </cell>
          <cell r="Y12444" t="str">
            <v>NORWAY</v>
          </cell>
        </row>
        <row r="12445">
          <cell r="L12445" t="str">
            <v>Non-proportional</v>
          </cell>
          <cell r="S12445">
            <v>-2802.35</v>
          </cell>
          <cell r="X12445" t="str">
            <v>Variation UPR - gross</v>
          </cell>
          <cell r="Y12445" t="str">
            <v>REPUBLIC OF IRELAND</v>
          </cell>
        </row>
        <row r="12446">
          <cell r="L12446" t="str">
            <v>Non-proportional</v>
          </cell>
          <cell r="S12446">
            <v>-20770.63</v>
          </cell>
          <cell r="X12446" t="str">
            <v>Variation UPR - gross</v>
          </cell>
          <cell r="Y12446" t="str">
            <v>FRANCE</v>
          </cell>
        </row>
        <row r="12447">
          <cell r="L12447" t="str">
            <v>Non-proportional</v>
          </cell>
          <cell r="S12447">
            <v>-306.04000000000002</v>
          </cell>
          <cell r="X12447" t="str">
            <v>Variation UPR - gross</v>
          </cell>
          <cell r="Y12447" t="str">
            <v>AUSTRALIA</v>
          </cell>
        </row>
        <row r="12448">
          <cell r="L12448" t="str">
            <v>Non-proportional</v>
          </cell>
          <cell r="S12448">
            <v>-9567</v>
          </cell>
          <cell r="X12448" t="str">
            <v>Variation UPR - gross</v>
          </cell>
          <cell r="Y12448" t="str">
            <v>SLOVENIA</v>
          </cell>
        </row>
        <row r="12449">
          <cell r="L12449" t="str">
            <v>Non-proportional</v>
          </cell>
          <cell r="S12449">
            <v>-5484.12</v>
          </cell>
          <cell r="X12449" t="str">
            <v>Variation UPR - gross</v>
          </cell>
          <cell r="Y12449" t="str">
            <v>EUROPE</v>
          </cell>
        </row>
        <row r="12450">
          <cell r="L12450" t="str">
            <v>Non-proportional</v>
          </cell>
          <cell r="S12450">
            <v>-19949.810000000001</v>
          </cell>
          <cell r="X12450" t="str">
            <v>Variation UPR - gross</v>
          </cell>
          <cell r="Y12450" t="str">
            <v>UNITED KINGDOM</v>
          </cell>
        </row>
        <row r="12451">
          <cell r="L12451" t="str">
            <v>Non-proportional</v>
          </cell>
          <cell r="S12451">
            <v>-5005.8</v>
          </cell>
          <cell r="X12451" t="str">
            <v>Variation UPR - gross</v>
          </cell>
          <cell r="Y12451" t="str">
            <v>FRANCE</v>
          </cell>
        </row>
        <row r="12452">
          <cell r="L12452" t="str">
            <v>Non-proportional</v>
          </cell>
          <cell r="S12452">
            <v>-7198.99</v>
          </cell>
          <cell r="X12452" t="str">
            <v>Variation UPR - gross</v>
          </cell>
          <cell r="Y12452" t="str">
            <v>DENMARK</v>
          </cell>
        </row>
        <row r="12453">
          <cell r="L12453" t="str">
            <v>Non-proportional</v>
          </cell>
          <cell r="S12453">
            <v>5.19</v>
          </cell>
          <cell r="X12453" t="str">
            <v>Variation UPR - gross</v>
          </cell>
          <cell r="Y12453" t="str">
            <v>SWEDEN</v>
          </cell>
        </row>
        <row r="12454">
          <cell r="L12454" t="str">
            <v>Non-proportional</v>
          </cell>
          <cell r="S12454">
            <v>-4016.84</v>
          </cell>
          <cell r="X12454" t="str">
            <v>Variation UPR - gross</v>
          </cell>
          <cell r="Y12454" t="str">
            <v>UNITED KINGDOM</v>
          </cell>
        </row>
        <row r="12455">
          <cell r="L12455" t="str">
            <v>Non-proportional</v>
          </cell>
          <cell r="S12455">
            <v>-11226.72</v>
          </cell>
          <cell r="X12455" t="str">
            <v>Variation UPR - gross</v>
          </cell>
          <cell r="Y12455" t="str">
            <v>UNITED KINGDOM</v>
          </cell>
        </row>
        <row r="12456">
          <cell r="L12456" t="str">
            <v>Non-proportional</v>
          </cell>
          <cell r="S12456">
            <v>-49589.120000000003</v>
          </cell>
          <cell r="X12456" t="str">
            <v>Variation UPR - gross</v>
          </cell>
          <cell r="Y12456" t="str">
            <v>UNITED KINGDOM</v>
          </cell>
        </row>
        <row r="12457">
          <cell r="L12457" t="str">
            <v>Non-proportional</v>
          </cell>
          <cell r="S12457">
            <v>-34.090000000000003</v>
          </cell>
          <cell r="X12457" t="str">
            <v>Variation UPR - gross</v>
          </cell>
          <cell r="Y12457" t="str">
            <v>UNITED ARAB EMIRATES</v>
          </cell>
        </row>
        <row r="12458">
          <cell r="L12458" t="str">
            <v>Non-proportional</v>
          </cell>
          <cell r="S12458">
            <v>-117.79</v>
          </cell>
          <cell r="X12458" t="str">
            <v>Variation UPR - gross</v>
          </cell>
          <cell r="Y12458" t="str">
            <v>FRANCE</v>
          </cell>
        </row>
        <row r="12459">
          <cell r="L12459" t="str">
            <v>Non-proportional</v>
          </cell>
          <cell r="S12459">
            <v>-4164.72</v>
          </cell>
          <cell r="X12459" t="str">
            <v>Variation UPR - gross</v>
          </cell>
          <cell r="Y12459" t="str">
            <v>GERMANY</v>
          </cell>
        </row>
        <row r="12460">
          <cell r="L12460" t="str">
            <v>Non-proportional</v>
          </cell>
          <cell r="S12460">
            <v>-8072.83</v>
          </cell>
          <cell r="X12460" t="str">
            <v>Variation UPR - gross</v>
          </cell>
          <cell r="Y12460" t="str">
            <v>GERMANY</v>
          </cell>
        </row>
        <row r="12461">
          <cell r="L12461" t="str">
            <v>Non-proportional</v>
          </cell>
          <cell r="S12461">
            <v>-451.25</v>
          </cell>
          <cell r="X12461" t="str">
            <v>Variation UPR - gross</v>
          </cell>
          <cell r="Y12461" t="str">
            <v>ITALY</v>
          </cell>
        </row>
        <row r="12462">
          <cell r="L12462" t="str">
            <v>Non-proportional</v>
          </cell>
          <cell r="S12462">
            <v>-22485.86</v>
          </cell>
          <cell r="X12462" t="str">
            <v>Variation UPR - gross</v>
          </cell>
          <cell r="Y12462" t="str">
            <v>UNITED KINGDOM</v>
          </cell>
        </row>
        <row r="12463">
          <cell r="L12463" t="str">
            <v>Non-proportional</v>
          </cell>
          <cell r="S12463">
            <v>-6458.33</v>
          </cell>
          <cell r="X12463" t="str">
            <v>Variation UPR - gross</v>
          </cell>
          <cell r="Y12463" t="str">
            <v>AUSTRIA</v>
          </cell>
        </row>
        <row r="12464">
          <cell r="L12464" t="str">
            <v>Non-proportional</v>
          </cell>
          <cell r="S12464">
            <v>-11557.76</v>
          </cell>
          <cell r="X12464" t="str">
            <v>Variation UPR - gross</v>
          </cell>
          <cell r="Y12464" t="str">
            <v>UNITED KINGDOM</v>
          </cell>
        </row>
        <row r="12465">
          <cell r="L12465" t="str">
            <v>Non-proportional</v>
          </cell>
          <cell r="S12465">
            <v>-4912.43</v>
          </cell>
          <cell r="X12465" t="str">
            <v>Variation UPR - gross</v>
          </cell>
          <cell r="Y12465" t="str">
            <v>SWITZERLAND</v>
          </cell>
        </row>
        <row r="12466">
          <cell r="L12466" t="str">
            <v>Non-proportional</v>
          </cell>
          <cell r="S12466">
            <v>-5371.55</v>
          </cell>
          <cell r="X12466" t="str">
            <v>Variation UPR - gross</v>
          </cell>
          <cell r="Y12466" t="str">
            <v>DENMARK</v>
          </cell>
        </row>
        <row r="12467">
          <cell r="L12467" t="str">
            <v>Non-proportional</v>
          </cell>
          <cell r="S12467">
            <v>-7891.2</v>
          </cell>
          <cell r="X12467" t="str">
            <v>Variation UPR - gross</v>
          </cell>
          <cell r="Y12467" t="str">
            <v>DENMARK</v>
          </cell>
        </row>
        <row r="12468">
          <cell r="L12468" t="str">
            <v>Non-proportional</v>
          </cell>
          <cell r="S12468">
            <v>-3611.53</v>
          </cell>
          <cell r="X12468" t="str">
            <v>Variation UPR - gross</v>
          </cell>
          <cell r="Y12468" t="str">
            <v>AUSTRALIA</v>
          </cell>
        </row>
        <row r="12469">
          <cell r="L12469" t="str">
            <v>Non-proportional</v>
          </cell>
          <cell r="S12469">
            <v>-43750</v>
          </cell>
          <cell r="X12469" t="str">
            <v>Variation UPR - gross</v>
          </cell>
          <cell r="Y12469" t="str">
            <v>GERMANY</v>
          </cell>
        </row>
        <row r="12470">
          <cell r="L12470" t="str">
            <v>Non-proportional</v>
          </cell>
          <cell r="S12470">
            <v>-23401.8</v>
          </cell>
          <cell r="X12470" t="str">
            <v>Variation UPR - gross</v>
          </cell>
          <cell r="Y12470" t="str">
            <v>GERMANY</v>
          </cell>
        </row>
        <row r="12471">
          <cell r="L12471" t="str">
            <v>Non-proportional</v>
          </cell>
          <cell r="S12471">
            <v>-37346.01</v>
          </cell>
          <cell r="X12471" t="str">
            <v>Variation UPR - gross</v>
          </cell>
          <cell r="Y12471" t="str">
            <v>FRANCE</v>
          </cell>
        </row>
        <row r="12472">
          <cell r="L12472" t="str">
            <v>Non-proportional</v>
          </cell>
          <cell r="S12472">
            <v>3.52</v>
          </cell>
          <cell r="X12472" t="str">
            <v>Variation UPR - gross</v>
          </cell>
          <cell r="Y12472" t="str">
            <v>DENMARK</v>
          </cell>
        </row>
        <row r="12473">
          <cell r="L12473" t="str">
            <v>Non-proportional</v>
          </cell>
          <cell r="S12473">
            <v>-20758.62</v>
          </cell>
          <cell r="X12473" t="str">
            <v>Variation UPR - gross</v>
          </cell>
          <cell r="Y12473" t="str">
            <v>EIRE</v>
          </cell>
        </row>
        <row r="12474">
          <cell r="L12474" t="str">
            <v>Non-proportional</v>
          </cell>
          <cell r="S12474">
            <v>-7590</v>
          </cell>
          <cell r="X12474" t="str">
            <v>Variation UPR - gross</v>
          </cell>
          <cell r="Y12474" t="str">
            <v>GERMANY</v>
          </cell>
        </row>
        <row r="12475">
          <cell r="L12475" t="str">
            <v>Non-proportional</v>
          </cell>
          <cell r="S12475">
            <v>-20355</v>
          </cell>
          <cell r="X12475" t="str">
            <v>Variation UPR - gross</v>
          </cell>
          <cell r="Y12475" t="str">
            <v>GERMANY</v>
          </cell>
        </row>
        <row r="12476">
          <cell r="L12476" t="str">
            <v>Non-proportional</v>
          </cell>
          <cell r="S12476">
            <v>-0.44</v>
          </cell>
          <cell r="X12476" t="str">
            <v>Variation UPR - gross</v>
          </cell>
          <cell r="Y12476" t="str">
            <v>DENMARK</v>
          </cell>
        </row>
        <row r="12477">
          <cell r="L12477" t="str">
            <v>Non-proportional</v>
          </cell>
          <cell r="S12477">
            <v>-24396</v>
          </cell>
          <cell r="X12477" t="str">
            <v>Variation UPR - gross</v>
          </cell>
          <cell r="Y12477" t="str">
            <v>GERMANY</v>
          </cell>
        </row>
        <row r="12478">
          <cell r="L12478" t="str">
            <v>Non-proportional</v>
          </cell>
          <cell r="S12478">
            <v>-839.09</v>
          </cell>
          <cell r="X12478" t="str">
            <v>Variation UPR - gross</v>
          </cell>
          <cell r="Y12478" t="str">
            <v>JAPAN</v>
          </cell>
        </row>
        <row r="12479">
          <cell r="L12479" t="str">
            <v>Non-proportional</v>
          </cell>
          <cell r="S12479">
            <v>-2180.4</v>
          </cell>
          <cell r="X12479" t="str">
            <v>Variation UPR - gross</v>
          </cell>
          <cell r="Y12479" t="str">
            <v>SPAIN</v>
          </cell>
        </row>
        <row r="12480">
          <cell r="L12480" t="str">
            <v>Non-proportional</v>
          </cell>
          <cell r="S12480">
            <v>-17086.72</v>
          </cell>
          <cell r="X12480" t="str">
            <v>Variation UPR - gross</v>
          </cell>
          <cell r="Y12480" t="str">
            <v>SWITZERLAND</v>
          </cell>
        </row>
        <row r="12481">
          <cell r="L12481" t="str">
            <v>Non-proportional</v>
          </cell>
          <cell r="S12481">
            <v>-978.93</v>
          </cell>
          <cell r="X12481" t="str">
            <v>Variation UPR - gross</v>
          </cell>
          <cell r="Y12481" t="str">
            <v>SWITZERLAND</v>
          </cell>
        </row>
        <row r="12482">
          <cell r="L12482" t="str">
            <v>Non-proportional</v>
          </cell>
          <cell r="S12482">
            <v>-11089.52</v>
          </cell>
          <cell r="X12482" t="str">
            <v>Variation UPR - gross</v>
          </cell>
          <cell r="Y12482" t="str">
            <v>SWEDEN</v>
          </cell>
        </row>
        <row r="12483">
          <cell r="L12483" t="str">
            <v>Non-proportional</v>
          </cell>
          <cell r="S12483">
            <v>-3288.4</v>
          </cell>
          <cell r="X12483" t="str">
            <v>Variation UPR - gross</v>
          </cell>
          <cell r="Y12483" t="str">
            <v>JAPAN</v>
          </cell>
        </row>
        <row r="12484">
          <cell r="L12484" t="str">
            <v>Non-proportional</v>
          </cell>
          <cell r="S12484">
            <v>-7916.77</v>
          </cell>
          <cell r="X12484" t="str">
            <v>Variation UPR - gross</v>
          </cell>
          <cell r="Y12484" t="str">
            <v>GERMANY</v>
          </cell>
        </row>
        <row r="12485">
          <cell r="L12485" t="str">
            <v>Non-proportional</v>
          </cell>
          <cell r="S12485">
            <v>-7501.57</v>
          </cell>
          <cell r="X12485" t="str">
            <v>Variation UPR - gross</v>
          </cell>
          <cell r="Y12485" t="str">
            <v>GERMANY</v>
          </cell>
        </row>
        <row r="12486">
          <cell r="L12486" t="str">
            <v>Non-proportional</v>
          </cell>
          <cell r="S12486">
            <v>0.16</v>
          </cell>
          <cell r="X12486" t="str">
            <v>Variation UPR - gross</v>
          </cell>
          <cell r="Y12486" t="str">
            <v>DENMARK</v>
          </cell>
        </row>
        <row r="12487">
          <cell r="L12487" t="str">
            <v>Proportional</v>
          </cell>
          <cell r="S12487">
            <v>-5157.1400000000003</v>
          </cell>
          <cell r="X12487" t="str">
            <v>Variation UPR - gross</v>
          </cell>
          <cell r="Y12487" t="str">
            <v>UNITED STATES</v>
          </cell>
        </row>
        <row r="12488">
          <cell r="L12488" t="str">
            <v>Non-proportional</v>
          </cell>
          <cell r="S12488">
            <v>-718.44</v>
          </cell>
          <cell r="X12488" t="str">
            <v>Variation UPR - gross</v>
          </cell>
          <cell r="Y12488" t="str">
            <v>ITALY</v>
          </cell>
        </row>
        <row r="12489">
          <cell r="L12489" t="str">
            <v>Non-proportional</v>
          </cell>
          <cell r="S12489">
            <v>-8423.33</v>
          </cell>
          <cell r="X12489" t="str">
            <v>Variation UPR - gross</v>
          </cell>
          <cell r="Y12489" t="str">
            <v>ITALY</v>
          </cell>
        </row>
        <row r="12490">
          <cell r="L12490" t="str">
            <v>Non-proportional</v>
          </cell>
          <cell r="S12490">
            <v>-83.26</v>
          </cell>
          <cell r="X12490" t="str">
            <v>Variation UPR - gross</v>
          </cell>
          <cell r="Y12490" t="str">
            <v>FRANCE</v>
          </cell>
        </row>
        <row r="12491">
          <cell r="L12491" t="str">
            <v>Non-proportional</v>
          </cell>
          <cell r="S12491">
            <v>-1108.02</v>
          </cell>
          <cell r="X12491" t="str">
            <v>Variation UPR - gross</v>
          </cell>
          <cell r="Y12491" t="str">
            <v>AUSTRIA</v>
          </cell>
        </row>
        <row r="12492">
          <cell r="L12492" t="str">
            <v>Non-proportional</v>
          </cell>
          <cell r="S12492">
            <v>-20924.87</v>
          </cell>
          <cell r="X12492" t="str">
            <v>Variation UPR - gross</v>
          </cell>
          <cell r="Y12492" t="str">
            <v>FRANCE</v>
          </cell>
        </row>
        <row r="12493">
          <cell r="L12493" t="str">
            <v>Non-proportional</v>
          </cell>
          <cell r="S12493">
            <v>-1088.44</v>
          </cell>
          <cell r="X12493" t="str">
            <v>Variation UPR - gross</v>
          </cell>
          <cell r="Y12493" t="str">
            <v>DENMARK</v>
          </cell>
        </row>
        <row r="12494">
          <cell r="L12494" t="str">
            <v>Non-proportional</v>
          </cell>
          <cell r="S12494">
            <v>-40674.39</v>
          </cell>
          <cell r="X12494" t="str">
            <v>Variation UPR - gross</v>
          </cell>
          <cell r="Y12494" t="str">
            <v>SWITZERLAND</v>
          </cell>
        </row>
        <row r="12495">
          <cell r="L12495" t="str">
            <v>Non-proportional</v>
          </cell>
          <cell r="S12495">
            <v>-1467.94</v>
          </cell>
          <cell r="X12495" t="str">
            <v>Variation UPR - gross</v>
          </cell>
          <cell r="Y12495" t="str">
            <v>REPUBLIC OF IRELAND</v>
          </cell>
        </row>
        <row r="12496">
          <cell r="L12496" t="str">
            <v>Non-proportional</v>
          </cell>
          <cell r="S12496">
            <v>-3392.5</v>
          </cell>
          <cell r="X12496" t="str">
            <v>Variation UPR - gross</v>
          </cell>
          <cell r="Y12496" t="str">
            <v>ITALY</v>
          </cell>
        </row>
        <row r="12497">
          <cell r="L12497" t="str">
            <v>Non-proportional</v>
          </cell>
          <cell r="S12497">
            <v>-4511.3999999999996</v>
          </cell>
          <cell r="X12497" t="str">
            <v>Variation UPR - gross</v>
          </cell>
          <cell r="Y12497" t="str">
            <v>AUSTRIA</v>
          </cell>
        </row>
        <row r="12498">
          <cell r="L12498" t="str">
            <v>Non-proportional</v>
          </cell>
          <cell r="S12498">
            <v>-2065.29</v>
          </cell>
          <cell r="X12498" t="str">
            <v>Variation UPR - gross</v>
          </cell>
          <cell r="Y12498" t="str">
            <v>EUROPE</v>
          </cell>
        </row>
        <row r="12499">
          <cell r="L12499" t="str">
            <v>Non-proportional</v>
          </cell>
          <cell r="S12499">
            <v>0.01</v>
          </cell>
          <cell r="X12499" t="str">
            <v>Variation UPR - gross</v>
          </cell>
          <cell r="Y12499" t="str">
            <v>JAPAN</v>
          </cell>
        </row>
        <row r="12500">
          <cell r="L12500" t="str">
            <v>Non-proportional</v>
          </cell>
          <cell r="S12500">
            <v>-4709.12</v>
          </cell>
          <cell r="X12500" t="str">
            <v>Variation UPR - gross</v>
          </cell>
          <cell r="Y12500" t="str">
            <v>POLAND</v>
          </cell>
        </row>
        <row r="12501">
          <cell r="L12501" t="str">
            <v>Non-proportional</v>
          </cell>
          <cell r="S12501">
            <v>-34621.79</v>
          </cell>
          <cell r="X12501" t="str">
            <v>Variation UPR - gross</v>
          </cell>
          <cell r="Y12501" t="str">
            <v>UNITED KINGDOM</v>
          </cell>
        </row>
        <row r="12502">
          <cell r="L12502" t="str">
            <v>Non-proportional</v>
          </cell>
          <cell r="S12502">
            <v>-16112.84</v>
          </cell>
          <cell r="X12502" t="str">
            <v>Variation UPR - gross</v>
          </cell>
          <cell r="Y12502" t="str">
            <v>EUROPE</v>
          </cell>
        </row>
        <row r="12503">
          <cell r="L12503"/>
          <cell r="S12503">
            <v>1701772.24</v>
          </cell>
          <cell r="X12503" t="str">
            <v>Variation UPR - gross</v>
          </cell>
          <cell r="Y12503" t="str">
            <v>UNITED KINGDOM</v>
          </cell>
        </row>
        <row r="12504">
          <cell r="L12504" t="str">
            <v>Non-proportional</v>
          </cell>
          <cell r="S12504">
            <v>-23854.17</v>
          </cell>
          <cell r="X12504" t="str">
            <v>Variation UPR - gross</v>
          </cell>
          <cell r="Y12504" t="str">
            <v>AUSTRIA</v>
          </cell>
        </row>
        <row r="12505">
          <cell r="L12505" t="str">
            <v>Non-proportional</v>
          </cell>
          <cell r="S12505">
            <v>4.8</v>
          </cell>
          <cell r="X12505" t="str">
            <v>Variation UPR - gross</v>
          </cell>
          <cell r="Y12505" t="str">
            <v>SWEDEN</v>
          </cell>
        </row>
        <row r="12506">
          <cell r="L12506" t="str">
            <v>Non-proportional</v>
          </cell>
          <cell r="S12506">
            <v>-25756.42</v>
          </cell>
          <cell r="X12506" t="str">
            <v>Variation UPR - gross</v>
          </cell>
          <cell r="Y12506" t="str">
            <v>UNITED KINGDOM</v>
          </cell>
        </row>
        <row r="12507">
          <cell r="L12507" t="str">
            <v>Non-proportional</v>
          </cell>
          <cell r="S12507">
            <v>-1467.94</v>
          </cell>
          <cell r="X12507" t="str">
            <v>Variation UPR - gross</v>
          </cell>
          <cell r="Y12507" t="str">
            <v>REPUBLIC OF IRELAND</v>
          </cell>
        </row>
        <row r="12508">
          <cell r="L12508" t="str">
            <v>Non-proportional</v>
          </cell>
          <cell r="S12508">
            <v>-9999.66</v>
          </cell>
          <cell r="X12508" t="str">
            <v>Variation UPR - gross</v>
          </cell>
          <cell r="Y12508" t="str">
            <v>GERMANY</v>
          </cell>
        </row>
        <row r="12509">
          <cell r="L12509" t="str">
            <v>Non-proportional</v>
          </cell>
          <cell r="S12509">
            <v>-5840.09</v>
          </cell>
          <cell r="X12509" t="str">
            <v>Variation UPR - gross</v>
          </cell>
          <cell r="Y12509" t="str">
            <v>SWEDEN</v>
          </cell>
        </row>
        <row r="12510">
          <cell r="L12510" t="str">
            <v>Non-proportional</v>
          </cell>
          <cell r="S12510">
            <v>-5302.37</v>
          </cell>
          <cell r="X12510" t="str">
            <v>Variation UPR - gross</v>
          </cell>
          <cell r="Y12510" t="str">
            <v>UNITED KINGDOM</v>
          </cell>
        </row>
        <row r="12511">
          <cell r="L12511" t="str">
            <v>Non-proportional</v>
          </cell>
          <cell r="S12511">
            <v>-38846.980000000003</v>
          </cell>
          <cell r="X12511" t="str">
            <v>Variation UPR - gross</v>
          </cell>
          <cell r="Y12511" t="str">
            <v>UNITED KINGDOM</v>
          </cell>
        </row>
        <row r="12512">
          <cell r="L12512" t="str">
            <v>Non-proportional</v>
          </cell>
          <cell r="S12512">
            <v>-128199.88</v>
          </cell>
          <cell r="X12512" t="str">
            <v>Variation UPR - gross</v>
          </cell>
          <cell r="Y12512" t="str">
            <v>UNITED KINGDOM</v>
          </cell>
        </row>
        <row r="12513">
          <cell r="L12513" t="str">
            <v>Non-proportional</v>
          </cell>
          <cell r="S12513">
            <v>-8625</v>
          </cell>
          <cell r="X12513" t="str">
            <v>Variation UPR - gross</v>
          </cell>
          <cell r="Y12513" t="str">
            <v>GERMANY</v>
          </cell>
        </row>
        <row r="12514">
          <cell r="L12514" t="str">
            <v>Non-proportional</v>
          </cell>
          <cell r="S12514">
            <v>-12074.88</v>
          </cell>
          <cell r="X12514" t="str">
            <v>Variation UPR - gross</v>
          </cell>
          <cell r="Y12514" t="str">
            <v>FRANCE</v>
          </cell>
        </row>
        <row r="12515">
          <cell r="L12515" t="str">
            <v>Non-proportional</v>
          </cell>
          <cell r="S12515">
            <v>-8369.58</v>
          </cell>
          <cell r="X12515" t="str">
            <v>Variation UPR - gross</v>
          </cell>
          <cell r="Y12515" t="str">
            <v>GERMANY</v>
          </cell>
        </row>
        <row r="12516">
          <cell r="L12516" t="str">
            <v>Non-proportional</v>
          </cell>
          <cell r="S12516">
            <v>-7747.42</v>
          </cell>
          <cell r="X12516" t="str">
            <v>Variation UPR - gross</v>
          </cell>
          <cell r="Y12516" t="str">
            <v>GERMANY</v>
          </cell>
        </row>
        <row r="12517">
          <cell r="L12517" t="str">
            <v>Non-proportional</v>
          </cell>
          <cell r="S12517">
            <v>-5757.41</v>
          </cell>
          <cell r="X12517" t="str">
            <v>Variation UPR - gross</v>
          </cell>
          <cell r="Y12517" t="str">
            <v>UNITED KINGDOM</v>
          </cell>
        </row>
        <row r="12518">
          <cell r="L12518" t="str">
            <v>Non-proportional</v>
          </cell>
          <cell r="S12518">
            <v>-300.83</v>
          </cell>
          <cell r="X12518" t="str">
            <v>Variation UPR - gross</v>
          </cell>
          <cell r="Y12518" t="str">
            <v>ITALY</v>
          </cell>
        </row>
        <row r="12519">
          <cell r="L12519" t="str">
            <v>Non-proportional</v>
          </cell>
          <cell r="S12519">
            <v>-10425.780000000001</v>
          </cell>
          <cell r="X12519" t="str">
            <v>Variation UPR - gross</v>
          </cell>
          <cell r="Y12519" t="str">
            <v>FRANCE</v>
          </cell>
        </row>
        <row r="12520">
          <cell r="L12520" t="str">
            <v>Non-proportional</v>
          </cell>
          <cell r="S12520">
            <v>-10209.379999999999</v>
          </cell>
          <cell r="X12520" t="str">
            <v>Variation UPR - gross</v>
          </cell>
          <cell r="Y12520" t="str">
            <v>GERMANY</v>
          </cell>
        </row>
        <row r="12521">
          <cell r="L12521" t="str">
            <v>Non-proportional</v>
          </cell>
          <cell r="S12521">
            <v>-3329.84</v>
          </cell>
          <cell r="X12521" t="str">
            <v>Variation UPR - gross</v>
          </cell>
          <cell r="Y12521" t="str">
            <v>GERMANY</v>
          </cell>
        </row>
        <row r="12522">
          <cell r="L12522" t="str">
            <v>Non-proportional</v>
          </cell>
          <cell r="S12522">
            <v>-0.02</v>
          </cell>
          <cell r="X12522" t="str">
            <v>Variation UPR - gross</v>
          </cell>
          <cell r="Y12522" t="str">
            <v>JAPAN</v>
          </cell>
        </row>
        <row r="12523">
          <cell r="L12523" t="str">
            <v>Non-proportional</v>
          </cell>
          <cell r="S12523">
            <v>-8494.48</v>
          </cell>
          <cell r="X12523" t="str">
            <v>Variation UPR - gross</v>
          </cell>
          <cell r="Y12523" t="str">
            <v>GERMANY</v>
          </cell>
        </row>
        <row r="12524">
          <cell r="L12524" t="str">
            <v>Non-proportional</v>
          </cell>
          <cell r="S12524">
            <v>-6725.05</v>
          </cell>
          <cell r="X12524" t="str">
            <v>Variation UPR - gross</v>
          </cell>
          <cell r="Y12524" t="str">
            <v>UNITED KINGDOM</v>
          </cell>
        </row>
        <row r="12525">
          <cell r="L12525" t="str">
            <v>Non-proportional</v>
          </cell>
          <cell r="S12525">
            <v>-12596.27</v>
          </cell>
          <cell r="X12525" t="str">
            <v>Variation UPR - gross</v>
          </cell>
          <cell r="Y12525" t="str">
            <v>SWEDEN</v>
          </cell>
        </row>
        <row r="12526">
          <cell r="L12526" t="str">
            <v>Non-proportional</v>
          </cell>
          <cell r="S12526">
            <v>-12424.29</v>
          </cell>
          <cell r="X12526" t="str">
            <v>Variation UPR - gross</v>
          </cell>
          <cell r="Y12526" t="str">
            <v>EUROPE</v>
          </cell>
        </row>
        <row r="12527">
          <cell r="L12527"/>
          <cell r="S12527">
            <v>-1938126.19</v>
          </cell>
          <cell r="X12527" t="str">
            <v>Variation UPR - gross</v>
          </cell>
          <cell r="Y12527" t="str">
            <v>UNITED KINGDOM</v>
          </cell>
        </row>
        <row r="12528">
          <cell r="L12528" t="str">
            <v>Non-proportional</v>
          </cell>
          <cell r="S12528">
            <v>-6871.9</v>
          </cell>
          <cell r="X12528" t="str">
            <v>Variation UPR - gross</v>
          </cell>
          <cell r="Y12528" t="str">
            <v>GERMANY</v>
          </cell>
        </row>
        <row r="12529">
          <cell r="L12529" t="str">
            <v>Non-proportional</v>
          </cell>
          <cell r="S12529">
            <v>-11882.26</v>
          </cell>
          <cell r="X12529" t="str">
            <v>Variation UPR - gross</v>
          </cell>
          <cell r="Y12529" t="str">
            <v>EUROPE</v>
          </cell>
        </row>
        <row r="12530">
          <cell r="L12530" t="str">
            <v>Non-proportional</v>
          </cell>
          <cell r="S12530">
            <v>-3842.63</v>
          </cell>
          <cell r="X12530" t="str">
            <v>Variation UPR - gross</v>
          </cell>
          <cell r="Y12530" t="str">
            <v>UNITED KINGDOM</v>
          </cell>
        </row>
        <row r="12531">
          <cell r="L12531" t="str">
            <v>Non-proportional</v>
          </cell>
          <cell r="S12531">
            <v>-6335.14</v>
          </cell>
          <cell r="X12531" t="str">
            <v>Variation UPR - gross</v>
          </cell>
          <cell r="Y12531" t="str">
            <v>GERMANY</v>
          </cell>
        </row>
        <row r="12532">
          <cell r="L12532" t="str">
            <v>Non-proportional</v>
          </cell>
          <cell r="S12532">
            <v>-40519.06</v>
          </cell>
          <cell r="X12532" t="str">
            <v>Variation UPR - gross</v>
          </cell>
          <cell r="Y12532" t="str">
            <v>UNITED KINGDOM</v>
          </cell>
        </row>
        <row r="12533">
          <cell r="L12533" t="str">
            <v>Non-proportional</v>
          </cell>
          <cell r="S12533">
            <v>-22495.4</v>
          </cell>
          <cell r="X12533" t="str">
            <v>Variation UPR - gross</v>
          </cell>
          <cell r="Y12533" t="str">
            <v>CZECH REPUBLIC</v>
          </cell>
        </row>
        <row r="12534">
          <cell r="L12534" t="str">
            <v>Non-proportional</v>
          </cell>
          <cell r="S12534">
            <v>-37346.01</v>
          </cell>
          <cell r="X12534" t="str">
            <v>Variation UPR - gross</v>
          </cell>
          <cell r="Y12534" t="str">
            <v>FRANCE</v>
          </cell>
        </row>
        <row r="12535">
          <cell r="L12535" t="str">
            <v>Non-proportional</v>
          </cell>
          <cell r="S12535">
            <v>-1532.98</v>
          </cell>
          <cell r="X12535" t="str">
            <v>Variation UPR - gross</v>
          </cell>
          <cell r="Y12535" t="str">
            <v>UNITED ARAB EMIRATES</v>
          </cell>
        </row>
        <row r="12536">
          <cell r="L12536" t="str">
            <v>Non-proportional</v>
          </cell>
          <cell r="S12536">
            <v>10.36</v>
          </cell>
          <cell r="X12536" t="str">
            <v>Variation UPR - gross</v>
          </cell>
          <cell r="Y12536" t="str">
            <v>SWEDEN</v>
          </cell>
        </row>
        <row r="12537">
          <cell r="L12537" t="str">
            <v>Non-proportional</v>
          </cell>
          <cell r="S12537">
            <v>9.23</v>
          </cell>
          <cell r="X12537" t="str">
            <v>Variation UPR - gross</v>
          </cell>
          <cell r="Y12537" t="str">
            <v>SWEDEN</v>
          </cell>
        </row>
        <row r="12538">
          <cell r="L12538" t="str">
            <v>Proportional</v>
          </cell>
          <cell r="S12538">
            <v>-3174.07</v>
          </cell>
          <cell r="X12538" t="str">
            <v>Variation UPR - gross</v>
          </cell>
          <cell r="Y12538" t="str">
            <v>UNITED STATES</v>
          </cell>
        </row>
        <row r="12539">
          <cell r="L12539" t="str">
            <v>Non-proportional</v>
          </cell>
          <cell r="S12539">
            <v>-12215.04</v>
          </cell>
          <cell r="X12539" t="str">
            <v>Variation UPR - gross</v>
          </cell>
          <cell r="Y12539" t="str">
            <v>REPUBLIC OF IRELAND</v>
          </cell>
        </row>
        <row r="12540">
          <cell r="L12540" t="str">
            <v>Non-proportional</v>
          </cell>
          <cell r="S12540">
            <v>-13000</v>
          </cell>
          <cell r="X12540" t="str">
            <v>Variation UPR - gross</v>
          </cell>
          <cell r="Y12540" t="str">
            <v>ROMANIA</v>
          </cell>
        </row>
        <row r="12541">
          <cell r="L12541" t="str">
            <v>Non-proportional</v>
          </cell>
          <cell r="S12541">
            <v>-2637.27</v>
          </cell>
          <cell r="X12541" t="str">
            <v>Variation UPR - gross</v>
          </cell>
          <cell r="Y12541" t="str">
            <v>GERMANY</v>
          </cell>
        </row>
        <row r="12542">
          <cell r="L12542" t="str">
            <v>Non-proportional</v>
          </cell>
          <cell r="S12542">
            <v>-7770.84</v>
          </cell>
          <cell r="X12542" t="str">
            <v>Variation UPR - gross</v>
          </cell>
          <cell r="Y12542" t="str">
            <v>FRANCE</v>
          </cell>
        </row>
        <row r="12543">
          <cell r="L12543" t="str">
            <v>Proportional</v>
          </cell>
          <cell r="S12543">
            <v>-17296.77</v>
          </cell>
          <cell r="X12543" t="str">
            <v>Variation UPR - gross</v>
          </cell>
          <cell r="Y12543" t="str">
            <v>GERMANY</v>
          </cell>
        </row>
        <row r="12544">
          <cell r="L12544" t="str">
            <v>Non-proportional</v>
          </cell>
          <cell r="S12544">
            <v>-2083.33</v>
          </cell>
          <cell r="X12544" t="str">
            <v>Variation UPR - gross</v>
          </cell>
          <cell r="Y12544" t="str">
            <v>GERMANY</v>
          </cell>
        </row>
        <row r="12545">
          <cell r="L12545" t="str">
            <v>Non-proportional</v>
          </cell>
          <cell r="S12545">
            <v>-2357.5</v>
          </cell>
          <cell r="X12545" t="str">
            <v>Variation UPR - gross</v>
          </cell>
          <cell r="Y12545" t="str">
            <v>GERMANY</v>
          </cell>
        </row>
        <row r="12546">
          <cell r="L12546" t="str">
            <v>Non-proportional</v>
          </cell>
          <cell r="S12546">
            <v>-1256.24</v>
          </cell>
          <cell r="X12546" t="str">
            <v>Variation UPR - gross</v>
          </cell>
          <cell r="Y12546" t="str">
            <v>SWITZERLAND</v>
          </cell>
        </row>
        <row r="12547">
          <cell r="L12547" t="str">
            <v>Non-proportional</v>
          </cell>
          <cell r="S12547">
            <v>2.76</v>
          </cell>
          <cell r="X12547" t="str">
            <v>Variation UPR - gross</v>
          </cell>
          <cell r="Y12547" t="str">
            <v>DENMARK</v>
          </cell>
        </row>
        <row r="12548">
          <cell r="L12548" t="str">
            <v>Proportional</v>
          </cell>
          <cell r="S12548">
            <v>-54007.27</v>
          </cell>
          <cell r="X12548" t="str">
            <v>Variation UPR - gross</v>
          </cell>
          <cell r="Y12548" t="str">
            <v>SWITZERLAND</v>
          </cell>
        </row>
        <row r="12549">
          <cell r="L12549" t="str">
            <v>Non-proportional</v>
          </cell>
          <cell r="S12549">
            <v>-7599.99</v>
          </cell>
          <cell r="X12549" t="str">
            <v>Variation UPR - gross</v>
          </cell>
          <cell r="Y12549" t="str">
            <v>NORWAY</v>
          </cell>
        </row>
        <row r="12550">
          <cell r="L12550" t="str">
            <v>Non-proportional</v>
          </cell>
          <cell r="S12550">
            <v>-5484.12</v>
          </cell>
          <cell r="X12550" t="str">
            <v>Variation UPR - gross</v>
          </cell>
          <cell r="Y12550" t="str">
            <v>EUROPE</v>
          </cell>
        </row>
        <row r="12551">
          <cell r="L12551" t="str">
            <v>Non-proportional</v>
          </cell>
          <cell r="S12551">
            <v>-11450.26</v>
          </cell>
          <cell r="X12551" t="str">
            <v>Variation UPR - gross</v>
          </cell>
          <cell r="Y12551" t="str">
            <v>UNITED KINGDOM</v>
          </cell>
        </row>
        <row r="12552">
          <cell r="L12552" t="str">
            <v>Non-proportional</v>
          </cell>
          <cell r="S12552">
            <v>-3453.04</v>
          </cell>
          <cell r="X12552" t="str">
            <v>Variation UPR - gross</v>
          </cell>
          <cell r="Y12552" t="str">
            <v>ICELAND</v>
          </cell>
        </row>
        <row r="12553">
          <cell r="L12553" t="str">
            <v>Non-proportional</v>
          </cell>
          <cell r="S12553">
            <v>-5019.75</v>
          </cell>
          <cell r="X12553" t="str">
            <v>Variation UPR - gross</v>
          </cell>
          <cell r="Y12553" t="str">
            <v>UNITED ARAB EMIRATES</v>
          </cell>
        </row>
        <row r="12554">
          <cell r="L12554" t="str">
            <v>Non-proportional</v>
          </cell>
          <cell r="S12554">
            <v>-3599.68</v>
          </cell>
          <cell r="X12554" t="str">
            <v>Variation UPR - gross</v>
          </cell>
          <cell r="Y12554" t="str">
            <v>FAROE ISLANDS</v>
          </cell>
        </row>
        <row r="12555">
          <cell r="L12555" t="str">
            <v>Non-proportional</v>
          </cell>
          <cell r="S12555">
            <v>-5902.05</v>
          </cell>
          <cell r="X12555" t="str">
            <v>Variation UPR - gross</v>
          </cell>
          <cell r="Y12555" t="str">
            <v>NORWAY</v>
          </cell>
        </row>
        <row r="12556">
          <cell r="L12556" t="str">
            <v>Non-proportional</v>
          </cell>
          <cell r="S12556">
            <v>-3790.01</v>
          </cell>
          <cell r="X12556" t="str">
            <v>Variation UPR - gross</v>
          </cell>
          <cell r="Y12556" t="str">
            <v>REPUBLIC OF IRELAND</v>
          </cell>
        </row>
        <row r="12557">
          <cell r="L12557" t="str">
            <v>Non-proportional</v>
          </cell>
          <cell r="S12557">
            <v>-6998</v>
          </cell>
          <cell r="X12557" t="str">
            <v>Variation UPR - gross</v>
          </cell>
          <cell r="Y12557" t="str">
            <v>AUSTRIA</v>
          </cell>
        </row>
        <row r="12558">
          <cell r="L12558" t="str">
            <v>Non-proportional</v>
          </cell>
          <cell r="S12558">
            <v>-6458.33</v>
          </cell>
          <cell r="X12558" t="str">
            <v>Variation UPR - gross</v>
          </cell>
          <cell r="Y12558" t="str">
            <v>AUSTRIA</v>
          </cell>
        </row>
        <row r="12559">
          <cell r="L12559" t="str">
            <v>Non-proportional</v>
          </cell>
          <cell r="S12559">
            <v>-1406.44</v>
          </cell>
          <cell r="X12559" t="str">
            <v>Variation UPR - gross</v>
          </cell>
          <cell r="Y12559" t="str">
            <v>SWITZERLAND</v>
          </cell>
        </row>
        <row r="12560">
          <cell r="L12560" t="str">
            <v>Non-proportional</v>
          </cell>
          <cell r="S12560">
            <v>-11709.92</v>
          </cell>
          <cell r="X12560" t="str">
            <v>Variation UPR - gross</v>
          </cell>
          <cell r="Y12560" t="str">
            <v>SWITZERLAND</v>
          </cell>
        </row>
        <row r="12561">
          <cell r="L12561" t="str">
            <v>Non-proportional</v>
          </cell>
          <cell r="S12561">
            <v>-4456.16</v>
          </cell>
          <cell r="X12561" t="str">
            <v>Variation UPR - gross</v>
          </cell>
          <cell r="Y12561" t="str">
            <v>DENMARK</v>
          </cell>
        </row>
        <row r="12562">
          <cell r="L12562" t="str">
            <v>Non-proportional</v>
          </cell>
          <cell r="S12562">
            <v>-11825.5</v>
          </cell>
          <cell r="X12562" t="str">
            <v>Variation UPR - gross</v>
          </cell>
          <cell r="Y12562" t="str">
            <v>AUSTRIA</v>
          </cell>
        </row>
        <row r="12563">
          <cell r="L12563" t="str">
            <v>Non-proportional</v>
          </cell>
          <cell r="S12563">
            <v>-5717.64</v>
          </cell>
          <cell r="X12563" t="str">
            <v>Variation UPR - gross</v>
          </cell>
          <cell r="Y12563" t="str">
            <v>GERMANY</v>
          </cell>
        </row>
        <row r="12564">
          <cell r="L12564" t="str">
            <v>Non-proportional</v>
          </cell>
          <cell r="S12564">
            <v>-1122.3</v>
          </cell>
          <cell r="X12564" t="str">
            <v>Variation UPR - gross</v>
          </cell>
          <cell r="Y12564" t="str">
            <v>ITALY</v>
          </cell>
        </row>
        <row r="12565">
          <cell r="L12565" t="str">
            <v>Non-proportional</v>
          </cell>
          <cell r="S12565">
            <v>-4112.1499999999996</v>
          </cell>
          <cell r="X12565" t="str">
            <v>Variation UPR - gross</v>
          </cell>
          <cell r="Y12565" t="str">
            <v>AUSTRIA</v>
          </cell>
        </row>
        <row r="12566">
          <cell r="L12566" t="str">
            <v>Non-proportional</v>
          </cell>
          <cell r="S12566">
            <v>-7604.21</v>
          </cell>
          <cell r="X12566" t="str">
            <v>Variation UPR - gross</v>
          </cell>
          <cell r="Y12566" t="str">
            <v>GERMANY</v>
          </cell>
        </row>
        <row r="12567">
          <cell r="L12567" t="str">
            <v>Non-proportional</v>
          </cell>
          <cell r="S12567">
            <v>-2180.4</v>
          </cell>
          <cell r="X12567" t="str">
            <v>Variation UPR - gross</v>
          </cell>
          <cell r="Y12567" t="str">
            <v>SPAIN</v>
          </cell>
        </row>
        <row r="12568">
          <cell r="L12568" t="str">
            <v>Non-proportional</v>
          </cell>
          <cell r="S12568">
            <v>-1520.34</v>
          </cell>
          <cell r="X12568" t="str">
            <v>Variation UPR - gross</v>
          </cell>
          <cell r="Y12568" t="str">
            <v>JAPAN</v>
          </cell>
        </row>
        <row r="12569">
          <cell r="L12569" t="str">
            <v>Non-proportional</v>
          </cell>
          <cell r="S12569">
            <v>-12794.24</v>
          </cell>
          <cell r="X12569" t="str">
            <v>Variation UPR - gross</v>
          </cell>
          <cell r="Y12569" t="str">
            <v>UNITED KINGDOM</v>
          </cell>
        </row>
        <row r="12570">
          <cell r="L12570" t="str">
            <v>Non-proportional</v>
          </cell>
          <cell r="S12570">
            <v>-8072.83</v>
          </cell>
          <cell r="X12570" t="str">
            <v>Variation UPR - gross</v>
          </cell>
          <cell r="Y12570" t="str">
            <v>GERMANY</v>
          </cell>
        </row>
        <row r="12571">
          <cell r="L12571" t="str">
            <v>Non-proportional</v>
          </cell>
          <cell r="S12571">
            <v>-16643.64</v>
          </cell>
          <cell r="X12571" t="str">
            <v>Variation UPR - gross</v>
          </cell>
          <cell r="Y12571" t="str">
            <v>FRANCE</v>
          </cell>
        </row>
        <row r="12572">
          <cell r="L12572" t="str">
            <v>Non-proportional</v>
          </cell>
          <cell r="S12572">
            <v>-7888.24</v>
          </cell>
          <cell r="X12572" t="str">
            <v>Variation UPR - gross</v>
          </cell>
          <cell r="Y12572" t="str">
            <v>DENMARK</v>
          </cell>
        </row>
        <row r="12573">
          <cell r="L12573" t="str">
            <v>Non-proportional</v>
          </cell>
          <cell r="S12573">
            <v>-1751.47</v>
          </cell>
          <cell r="X12573" t="str">
            <v>Variation UPR - gross</v>
          </cell>
          <cell r="Y12573" t="str">
            <v>REPUBLIC OF IRELAND</v>
          </cell>
        </row>
        <row r="12574">
          <cell r="L12574" t="str">
            <v>Non-proportional</v>
          </cell>
          <cell r="S12574">
            <v>-4237.9799999999996</v>
          </cell>
          <cell r="X12574" t="str">
            <v>Variation UPR - gross</v>
          </cell>
          <cell r="Y12574" t="str">
            <v>GERMANY</v>
          </cell>
        </row>
        <row r="12575">
          <cell r="L12575" t="str">
            <v>Non-proportional</v>
          </cell>
          <cell r="S12575">
            <v>-49127.88</v>
          </cell>
          <cell r="X12575" t="str">
            <v>Variation UPR - gross</v>
          </cell>
          <cell r="Y12575" t="str">
            <v>UNITED KINGDOM</v>
          </cell>
        </row>
        <row r="12576">
          <cell r="L12576" t="str">
            <v>Non-proportional</v>
          </cell>
          <cell r="S12576">
            <v>1145378.19</v>
          </cell>
          <cell r="X12576" t="str">
            <v>Variation UPR - gross</v>
          </cell>
          <cell r="Y12576" t="str">
            <v>UNITED KINGDOM</v>
          </cell>
        </row>
        <row r="12577">
          <cell r="L12577" t="str">
            <v>Non-proportional</v>
          </cell>
          <cell r="S12577">
            <v>-41711.660000000003</v>
          </cell>
          <cell r="X12577" t="str">
            <v>Variation UPR - gross</v>
          </cell>
          <cell r="Y12577" t="str">
            <v>UNITED KINGDOM</v>
          </cell>
        </row>
        <row r="12578">
          <cell r="L12578" t="str">
            <v>Non-proportional</v>
          </cell>
          <cell r="S12578">
            <v>-2816.19</v>
          </cell>
          <cell r="X12578" t="str">
            <v>Variation UPR - gross</v>
          </cell>
          <cell r="Y12578" t="str">
            <v>FRANCE</v>
          </cell>
        </row>
        <row r="12579">
          <cell r="L12579" t="str">
            <v>Non-proportional</v>
          </cell>
          <cell r="S12579">
            <v>-2826.7</v>
          </cell>
          <cell r="X12579" t="str">
            <v>Variation UPR - gross</v>
          </cell>
          <cell r="Y12579" t="str">
            <v>UNITED KINGDOM</v>
          </cell>
        </row>
        <row r="12580">
          <cell r="L12580" t="str">
            <v>Non-proportional</v>
          </cell>
          <cell r="S12580">
            <v>468969.33</v>
          </cell>
          <cell r="X12580" t="str">
            <v>Variation UPR - gross</v>
          </cell>
          <cell r="Y12580" t="str">
            <v>UNITED KINGDOM</v>
          </cell>
        </row>
        <row r="12581">
          <cell r="L12581" t="str">
            <v>Non-proportional</v>
          </cell>
          <cell r="S12581">
            <v>-686.08</v>
          </cell>
          <cell r="X12581" t="str">
            <v>Variation UPR - gross</v>
          </cell>
          <cell r="Y12581" t="str">
            <v>JAPAN</v>
          </cell>
        </row>
        <row r="12582">
          <cell r="L12582" t="str">
            <v>Non-proportional</v>
          </cell>
          <cell r="S12582">
            <v>0.16</v>
          </cell>
          <cell r="X12582" t="str">
            <v>Variation UPR - gross</v>
          </cell>
          <cell r="Y12582" t="str">
            <v>DENMARK</v>
          </cell>
        </row>
        <row r="12583">
          <cell r="L12583" t="str">
            <v>Non-proportional</v>
          </cell>
          <cell r="S12583">
            <v>-2065.29</v>
          </cell>
          <cell r="X12583" t="str">
            <v>Variation UPR - gross</v>
          </cell>
          <cell r="Y12583" t="str">
            <v>EUROPE</v>
          </cell>
        </row>
        <row r="12584">
          <cell r="L12584" t="str">
            <v>Non-proportional</v>
          </cell>
          <cell r="S12584">
            <v>-6696.45</v>
          </cell>
          <cell r="X12584" t="str">
            <v>Variation UPR - gross</v>
          </cell>
          <cell r="Y12584" t="str">
            <v>DENMARK</v>
          </cell>
        </row>
        <row r="12585">
          <cell r="L12585" t="str">
            <v>Non-proportional</v>
          </cell>
          <cell r="S12585">
            <v>-43750</v>
          </cell>
          <cell r="X12585" t="str">
            <v>Variation UPR - gross</v>
          </cell>
          <cell r="Y12585" t="str">
            <v>GERMANY</v>
          </cell>
        </row>
        <row r="12586">
          <cell r="L12586" t="str">
            <v>Non-proportional</v>
          </cell>
          <cell r="S12586">
            <v>-175.18</v>
          </cell>
          <cell r="X12586" t="str">
            <v>Variation UPR - gross</v>
          </cell>
          <cell r="Y12586" t="str">
            <v>ITALY</v>
          </cell>
        </row>
        <row r="12587">
          <cell r="L12587" t="str">
            <v>Non-proportional</v>
          </cell>
          <cell r="S12587">
            <v>-1088.03</v>
          </cell>
          <cell r="X12587" t="str">
            <v>Variation UPR - gross</v>
          </cell>
          <cell r="Y12587" t="str">
            <v>DENMARK</v>
          </cell>
        </row>
        <row r="12588">
          <cell r="L12588" t="str">
            <v>Non-proportional</v>
          </cell>
          <cell r="S12588">
            <v>-2018.95</v>
          </cell>
          <cell r="X12588" t="str">
            <v>Variation UPR - gross</v>
          </cell>
          <cell r="Y12588" t="str">
            <v>SWITZERLAND</v>
          </cell>
        </row>
        <row r="12589">
          <cell r="L12589" t="str">
            <v>Non-proportional</v>
          </cell>
          <cell r="S12589">
            <v>-8554.59</v>
          </cell>
          <cell r="X12589" t="str">
            <v>Variation UPR - gross</v>
          </cell>
          <cell r="Y12589" t="str">
            <v>UNITED KINGDOM</v>
          </cell>
        </row>
        <row r="12590">
          <cell r="L12590" t="str">
            <v>Non-proportional</v>
          </cell>
          <cell r="S12590">
            <v>33.68</v>
          </cell>
          <cell r="X12590" t="str">
            <v>Variation UPR - gross</v>
          </cell>
          <cell r="Y12590" t="str">
            <v>POLAND</v>
          </cell>
        </row>
        <row r="12591">
          <cell r="L12591" t="str">
            <v>Non-proportional</v>
          </cell>
          <cell r="S12591">
            <v>-29416.67</v>
          </cell>
          <cell r="X12591" t="str">
            <v>Variation UPR - gross</v>
          </cell>
          <cell r="Y12591" t="str">
            <v>EUROPE</v>
          </cell>
        </row>
        <row r="12592">
          <cell r="L12592" t="str">
            <v>Non-proportional</v>
          </cell>
          <cell r="S12592">
            <v>-20758.62</v>
          </cell>
          <cell r="X12592" t="str">
            <v>Variation UPR - gross</v>
          </cell>
          <cell r="Y12592" t="str">
            <v>EIRE</v>
          </cell>
        </row>
        <row r="12593">
          <cell r="L12593" t="str">
            <v>Non-proportional</v>
          </cell>
          <cell r="S12593">
            <v>-8890.09</v>
          </cell>
          <cell r="X12593" t="str">
            <v>Variation UPR - gross</v>
          </cell>
          <cell r="Y12593" t="str">
            <v>UNITED KINGDOM</v>
          </cell>
        </row>
        <row r="12594">
          <cell r="L12594" t="str">
            <v>Non-proportional</v>
          </cell>
          <cell r="S12594">
            <v>-613.01</v>
          </cell>
          <cell r="X12594" t="str">
            <v>Variation UPR - gross</v>
          </cell>
          <cell r="Y12594" t="str">
            <v>REPUBLIC OF IRELAND</v>
          </cell>
        </row>
        <row r="12595">
          <cell r="L12595" t="str">
            <v>Non-proportional</v>
          </cell>
          <cell r="S12595">
            <v>-836.95</v>
          </cell>
          <cell r="X12595" t="str">
            <v>Variation UPR - gross</v>
          </cell>
          <cell r="Y12595" t="str">
            <v>DENMARK</v>
          </cell>
        </row>
        <row r="12596">
          <cell r="L12596" t="str">
            <v>Non-proportional</v>
          </cell>
          <cell r="S12596">
            <v>-0.03</v>
          </cell>
          <cell r="X12596" t="str">
            <v>Variation UPR - gross</v>
          </cell>
          <cell r="Y12596" t="str">
            <v>ICELAND</v>
          </cell>
        </row>
        <row r="12597">
          <cell r="L12597" t="str">
            <v>Non-proportional</v>
          </cell>
          <cell r="S12597">
            <v>-0.02</v>
          </cell>
          <cell r="X12597" t="str">
            <v>Variation UPR - gross</v>
          </cell>
          <cell r="Y12597" t="str">
            <v>JAPAN</v>
          </cell>
        </row>
        <row r="12598">
          <cell r="L12598" t="str">
            <v>Non-proportional</v>
          </cell>
          <cell r="S12598">
            <v>-9128.9599999999991</v>
          </cell>
          <cell r="X12598" t="str">
            <v>Variation UPR - gross</v>
          </cell>
          <cell r="Y12598" t="str">
            <v>GERMANY</v>
          </cell>
        </row>
        <row r="12599">
          <cell r="L12599" t="str">
            <v>Non-proportional</v>
          </cell>
          <cell r="S12599">
            <v>-20002.47</v>
          </cell>
          <cell r="X12599" t="str">
            <v>Variation UPR - gross</v>
          </cell>
          <cell r="Y12599" t="str">
            <v>CZECH REPUBLIC</v>
          </cell>
        </row>
        <row r="12600">
          <cell r="L12600" t="str">
            <v>Non-proportional</v>
          </cell>
          <cell r="S12600">
            <v>-25393.599999999999</v>
          </cell>
          <cell r="X12600" t="str">
            <v>Variation UPR - gross</v>
          </cell>
          <cell r="Y12600" t="str">
            <v>GERMANY</v>
          </cell>
        </row>
        <row r="12601">
          <cell r="L12601" t="str">
            <v>Non-proportional</v>
          </cell>
          <cell r="S12601">
            <v>-12275.64</v>
          </cell>
          <cell r="X12601" t="str">
            <v>Variation UPR - gross</v>
          </cell>
          <cell r="Y12601" t="str">
            <v>DENMARK</v>
          </cell>
        </row>
        <row r="12602">
          <cell r="L12602" t="str">
            <v>Non-proportional</v>
          </cell>
          <cell r="S12602">
            <v>-23058.97</v>
          </cell>
          <cell r="X12602" t="str">
            <v>Variation UPR - gross</v>
          </cell>
          <cell r="Y12602" t="str">
            <v>FRANCE</v>
          </cell>
        </row>
        <row r="12603">
          <cell r="L12603" t="str">
            <v>Non-proportional</v>
          </cell>
          <cell r="S12603">
            <v>-9567</v>
          </cell>
          <cell r="X12603" t="str">
            <v>Variation UPR - gross</v>
          </cell>
          <cell r="Y12603" t="str">
            <v>SLOVENIA</v>
          </cell>
        </row>
        <row r="12604">
          <cell r="L12604" t="str">
            <v>Non-proportional</v>
          </cell>
          <cell r="S12604">
            <v>-13477.2</v>
          </cell>
          <cell r="X12604" t="str">
            <v>Variation UPR - gross</v>
          </cell>
          <cell r="Y12604" t="str">
            <v>UNITED KINGDOM</v>
          </cell>
        </row>
        <row r="12605">
          <cell r="L12605" t="str">
            <v>Non-proportional</v>
          </cell>
          <cell r="S12605">
            <v>-2687.5</v>
          </cell>
          <cell r="X12605" t="str">
            <v>Variation UPR - gross</v>
          </cell>
          <cell r="Y12605" t="str">
            <v>GERMANY</v>
          </cell>
        </row>
        <row r="12606">
          <cell r="L12606" t="str">
            <v>Non-proportional</v>
          </cell>
          <cell r="S12606">
            <v>-15329.19</v>
          </cell>
          <cell r="X12606" t="str">
            <v>Variation UPR - gross</v>
          </cell>
          <cell r="Y12606" t="str">
            <v>ITALY</v>
          </cell>
        </row>
        <row r="12607">
          <cell r="L12607" t="str">
            <v>Proportional</v>
          </cell>
          <cell r="S12607">
            <v>-23546.06</v>
          </cell>
          <cell r="X12607" t="str">
            <v>Variation UPR - gross</v>
          </cell>
          <cell r="Y12607" t="str">
            <v>UNITED KINGDOM</v>
          </cell>
        </row>
        <row r="12608">
          <cell r="L12608" t="str">
            <v>Non-proportional</v>
          </cell>
          <cell r="S12608">
            <v>-25886.33</v>
          </cell>
          <cell r="X12608" t="str">
            <v>Variation UPR - gross</v>
          </cell>
          <cell r="Y12608" t="str">
            <v>CZECH REPUBLIC</v>
          </cell>
        </row>
        <row r="12609">
          <cell r="L12609" t="str">
            <v>Non-proportional</v>
          </cell>
          <cell r="S12609">
            <v>-718.44</v>
          </cell>
          <cell r="X12609" t="str">
            <v>Variation UPR - gross</v>
          </cell>
          <cell r="Y12609" t="str">
            <v>ITALY</v>
          </cell>
        </row>
        <row r="12610">
          <cell r="L12610" t="str">
            <v>Non-proportional</v>
          </cell>
          <cell r="S12610">
            <v>-5586.33</v>
          </cell>
          <cell r="X12610" t="str">
            <v>Variation UPR - gross</v>
          </cell>
          <cell r="Y12610" t="str">
            <v>GERMANY</v>
          </cell>
        </row>
        <row r="12611">
          <cell r="L12611" t="str">
            <v>Non-proportional</v>
          </cell>
          <cell r="S12611">
            <v>-2712.75</v>
          </cell>
          <cell r="X12611" t="str">
            <v>Variation UPR - gross</v>
          </cell>
          <cell r="Y12611" t="str">
            <v>GERMANY</v>
          </cell>
        </row>
        <row r="12612">
          <cell r="L12612" t="str">
            <v>Non-proportional</v>
          </cell>
          <cell r="S12612">
            <v>-3083.39</v>
          </cell>
          <cell r="X12612" t="str">
            <v>Variation UPR - gross</v>
          </cell>
          <cell r="Y12612" t="str">
            <v>EUROPE</v>
          </cell>
        </row>
        <row r="12613">
          <cell r="L12613" t="str">
            <v>Non-proportional</v>
          </cell>
          <cell r="S12613">
            <v>-5369.54</v>
          </cell>
          <cell r="X12613" t="str">
            <v>Variation UPR - gross</v>
          </cell>
          <cell r="Y12613" t="str">
            <v>DENMARK</v>
          </cell>
        </row>
        <row r="12614">
          <cell r="L12614" t="str">
            <v>Non-proportional</v>
          </cell>
          <cell r="S12614">
            <v>-893.19</v>
          </cell>
          <cell r="X12614" t="str">
            <v>Variation UPR - gross</v>
          </cell>
          <cell r="Y12614" t="str">
            <v>DENMARK</v>
          </cell>
        </row>
        <row r="12615">
          <cell r="L12615" t="str">
            <v>Non-proportional</v>
          </cell>
          <cell r="S12615">
            <v>-7454.57</v>
          </cell>
          <cell r="X12615" t="str">
            <v>Variation UPR - gross</v>
          </cell>
          <cell r="Y12615" t="str">
            <v>EUROPE</v>
          </cell>
        </row>
        <row r="12616">
          <cell r="L12616" t="str">
            <v>Non-proportional</v>
          </cell>
          <cell r="S12616">
            <v>-4164.72</v>
          </cell>
          <cell r="X12616" t="str">
            <v>Variation UPR - gross</v>
          </cell>
          <cell r="Y12616" t="str">
            <v>GERMANY</v>
          </cell>
        </row>
        <row r="12617">
          <cell r="L12617" t="str">
            <v>Non-proportional</v>
          </cell>
          <cell r="S12617">
            <v>-3111.21</v>
          </cell>
          <cell r="X12617" t="str">
            <v>Variation UPR - gross</v>
          </cell>
          <cell r="Y12617" t="str">
            <v>SWITZERLAND</v>
          </cell>
        </row>
        <row r="12618">
          <cell r="L12618" t="str">
            <v>Non-proportional</v>
          </cell>
          <cell r="S12618">
            <v>-30267.39</v>
          </cell>
          <cell r="X12618" t="str">
            <v>Variation UPR - gross</v>
          </cell>
          <cell r="Y12618" t="str">
            <v>UNITED KINGDOM</v>
          </cell>
        </row>
        <row r="12619">
          <cell r="L12619" t="str">
            <v>Non-proportional</v>
          </cell>
          <cell r="S12619">
            <v>-2502.27</v>
          </cell>
          <cell r="X12619" t="str">
            <v>Variation UPR - gross</v>
          </cell>
          <cell r="Y12619" t="str">
            <v>SPAIN</v>
          </cell>
        </row>
        <row r="12620">
          <cell r="L12620" t="str">
            <v>Non-proportional</v>
          </cell>
          <cell r="S12620">
            <v>-762.71</v>
          </cell>
          <cell r="X12620" t="str">
            <v>Variation UPR - gross</v>
          </cell>
          <cell r="Y12620" t="str">
            <v>SWITZERLAND</v>
          </cell>
        </row>
        <row r="12621">
          <cell r="L12621" t="str">
            <v>Non-proportional</v>
          </cell>
          <cell r="S12621">
            <v>-5771.47</v>
          </cell>
          <cell r="X12621" t="str">
            <v>Variation UPR - gross</v>
          </cell>
          <cell r="Y12621" t="str">
            <v>UNITED KINGDOM</v>
          </cell>
        </row>
        <row r="12622">
          <cell r="L12622" t="str">
            <v>Non-proportional</v>
          </cell>
          <cell r="S12622">
            <v>-19606.060000000001</v>
          </cell>
          <cell r="X12622" t="str">
            <v>Variation UPR - gross</v>
          </cell>
          <cell r="Y12622" t="str">
            <v>FRANCE</v>
          </cell>
        </row>
        <row r="12623">
          <cell r="L12623" t="str">
            <v>Non-proportional</v>
          </cell>
          <cell r="S12623">
            <v>-8970.6200000000008</v>
          </cell>
          <cell r="X12623" t="str">
            <v>Variation UPR - gross</v>
          </cell>
          <cell r="Y12623" t="str">
            <v>GERMANY</v>
          </cell>
        </row>
        <row r="12624">
          <cell r="L12624" t="str">
            <v>Non-proportional</v>
          </cell>
          <cell r="S12624">
            <v>-3850</v>
          </cell>
          <cell r="X12624" t="str">
            <v>Variation UPR - gross</v>
          </cell>
          <cell r="Y12624" t="str">
            <v>GERMANY</v>
          </cell>
        </row>
        <row r="12625">
          <cell r="L12625" t="str">
            <v>Non-proportional</v>
          </cell>
          <cell r="S12625">
            <v>-5362.5</v>
          </cell>
          <cell r="X12625" t="str">
            <v>Variation UPR - gross</v>
          </cell>
          <cell r="Y12625" t="str">
            <v>GERMANY</v>
          </cell>
        </row>
        <row r="12626">
          <cell r="L12626" t="str">
            <v>Non-proportional</v>
          </cell>
          <cell r="S12626">
            <v>-15832.43</v>
          </cell>
          <cell r="X12626" t="str">
            <v>Variation UPR - gross</v>
          </cell>
          <cell r="Y12626" t="str">
            <v>GERMANY</v>
          </cell>
        </row>
        <row r="12627">
          <cell r="L12627" t="str">
            <v>Non-proportional</v>
          </cell>
          <cell r="S12627">
            <v>-23401.8</v>
          </cell>
          <cell r="X12627" t="str">
            <v>Variation UPR - gross</v>
          </cell>
          <cell r="Y12627" t="str">
            <v>GERMANY</v>
          </cell>
        </row>
        <row r="12628">
          <cell r="L12628" t="str">
            <v>Proportional</v>
          </cell>
          <cell r="S12628">
            <v>-39471.1</v>
          </cell>
          <cell r="X12628" t="str">
            <v>Variation UPR - gross</v>
          </cell>
          <cell r="Y12628" t="str">
            <v>UNITED STATES</v>
          </cell>
        </row>
        <row r="12629">
          <cell r="L12629" t="str">
            <v>Non-proportional</v>
          </cell>
          <cell r="S12629">
            <v>-113.26</v>
          </cell>
          <cell r="X12629" t="str">
            <v>Variation UPR - gross</v>
          </cell>
          <cell r="Y12629" t="str">
            <v>UNITED ARAB EMIRATES</v>
          </cell>
        </row>
        <row r="12630">
          <cell r="L12630" t="str">
            <v>Non-proportional</v>
          </cell>
          <cell r="S12630">
            <v>-0.03</v>
          </cell>
          <cell r="X12630" t="str">
            <v>Variation UPR - gross</v>
          </cell>
          <cell r="Y12630" t="str">
            <v>ICELAND</v>
          </cell>
        </row>
        <row r="12631">
          <cell r="L12631" t="str">
            <v>Non-proportional</v>
          </cell>
          <cell r="S12631">
            <v>-21400.880000000001</v>
          </cell>
          <cell r="X12631" t="str">
            <v>Variation UPR - gross</v>
          </cell>
          <cell r="Y12631" t="str">
            <v>SWITZERLAND</v>
          </cell>
        </row>
        <row r="12632">
          <cell r="L12632" t="str">
            <v>Proportional</v>
          </cell>
          <cell r="S12632">
            <v>-7391.38</v>
          </cell>
          <cell r="X12632" t="str">
            <v>Variation UPR - gross</v>
          </cell>
          <cell r="Y12632" t="str">
            <v>UNITED STATES</v>
          </cell>
        </row>
        <row r="12633">
          <cell r="L12633" t="str">
            <v>Non-proportional</v>
          </cell>
          <cell r="S12633">
            <v>-19920.240000000002</v>
          </cell>
          <cell r="X12633" t="str">
            <v>Variation UPR - gross</v>
          </cell>
          <cell r="Y12633" t="str">
            <v>FRANCE</v>
          </cell>
        </row>
        <row r="12634">
          <cell r="L12634" t="str">
            <v>Non-proportional</v>
          </cell>
          <cell r="S12634">
            <v>-106235.71</v>
          </cell>
          <cell r="X12634" t="str">
            <v>Variation UPR - gross</v>
          </cell>
          <cell r="Y12634" t="str">
            <v>UNITED KINGDOM</v>
          </cell>
        </row>
        <row r="12635">
          <cell r="L12635" t="str">
            <v>Non-proportional</v>
          </cell>
          <cell r="S12635">
            <v>-4148.2700000000004</v>
          </cell>
          <cell r="X12635" t="str">
            <v>Variation UPR - gross</v>
          </cell>
          <cell r="Y12635" t="str">
            <v>SWITZERLAND</v>
          </cell>
        </row>
        <row r="12636">
          <cell r="L12636" t="str">
            <v>Non-proportional</v>
          </cell>
          <cell r="S12636">
            <v>-7769.34</v>
          </cell>
          <cell r="X12636" t="str">
            <v>Variation UPR - gross</v>
          </cell>
          <cell r="Y12636" t="str">
            <v>ICELAND</v>
          </cell>
        </row>
        <row r="12637">
          <cell r="L12637" t="str">
            <v>Non-proportional</v>
          </cell>
          <cell r="S12637">
            <v>-6460.64</v>
          </cell>
          <cell r="X12637" t="str">
            <v>Variation UPR - gross</v>
          </cell>
          <cell r="Y12637" t="str">
            <v>SWITZERLAND</v>
          </cell>
        </row>
        <row r="12638">
          <cell r="L12638" t="str">
            <v>Non-proportional</v>
          </cell>
          <cell r="S12638">
            <v>-54.83</v>
          </cell>
          <cell r="X12638" t="str">
            <v>Variation UPR - gross</v>
          </cell>
          <cell r="Y12638" t="str">
            <v>FRANCE</v>
          </cell>
        </row>
        <row r="12639">
          <cell r="L12639" t="str">
            <v>Non-proportional</v>
          </cell>
          <cell r="S12639">
            <v>-64952.97</v>
          </cell>
          <cell r="X12639" t="str">
            <v>Variation UPR - gross</v>
          </cell>
          <cell r="Y12639" t="str">
            <v>REPUBLIC OF IRELAND</v>
          </cell>
        </row>
        <row r="12640">
          <cell r="L12640" t="str">
            <v>Non-proportional</v>
          </cell>
          <cell r="S12640">
            <v>-4724.3900000000003</v>
          </cell>
          <cell r="X12640" t="str">
            <v>Variation UPR - gross</v>
          </cell>
          <cell r="Y12640" t="str">
            <v>POLAND</v>
          </cell>
        </row>
        <row r="12641">
          <cell r="L12641" t="str">
            <v>Non-proportional</v>
          </cell>
          <cell r="S12641">
            <v>-18807.28</v>
          </cell>
          <cell r="X12641" t="str">
            <v>Variation UPR - gross</v>
          </cell>
          <cell r="Y12641" t="str">
            <v>REPUBLIC OF IRELAND</v>
          </cell>
        </row>
        <row r="12642">
          <cell r="L12642" t="str">
            <v>Non-proportional</v>
          </cell>
          <cell r="S12642">
            <v>-8696.8799999999992</v>
          </cell>
          <cell r="X12642" t="str">
            <v>Variation UPR - gross</v>
          </cell>
          <cell r="Y12642" t="str">
            <v>GERMANY</v>
          </cell>
        </row>
        <row r="12643">
          <cell r="L12643" t="str">
            <v>Non-proportional</v>
          </cell>
          <cell r="S12643">
            <v>-4275.66</v>
          </cell>
          <cell r="X12643" t="str">
            <v>Variation UPR - gross</v>
          </cell>
          <cell r="Y12643" t="str">
            <v>GERMANY</v>
          </cell>
        </row>
        <row r="12644">
          <cell r="L12644" t="str">
            <v>Non-proportional</v>
          </cell>
          <cell r="S12644">
            <v>-47797.14</v>
          </cell>
          <cell r="X12644" t="str">
            <v>Variation UPR - gross</v>
          </cell>
          <cell r="Y12644" t="str">
            <v>UNITED KINGDOM</v>
          </cell>
        </row>
        <row r="12645">
          <cell r="L12645" t="str">
            <v>Non-proportional</v>
          </cell>
          <cell r="S12645">
            <v>5.18</v>
          </cell>
          <cell r="X12645" t="str">
            <v>Variation UPR - gross</v>
          </cell>
          <cell r="Y12645" t="str">
            <v>SWEDEN</v>
          </cell>
        </row>
        <row r="12646">
          <cell r="L12646" t="str">
            <v>Non-proportional</v>
          </cell>
          <cell r="S12646">
            <v>-2491.02</v>
          </cell>
          <cell r="X12646" t="str">
            <v>Variation UPR - gross</v>
          </cell>
          <cell r="Y12646" t="str">
            <v>JAPAN</v>
          </cell>
        </row>
        <row r="12647">
          <cell r="L12647" t="str">
            <v>Non-proportional</v>
          </cell>
          <cell r="S12647">
            <v>34631.26</v>
          </cell>
          <cell r="X12647" t="str">
            <v>Variation UPR - gross</v>
          </cell>
          <cell r="Y12647" t="str">
            <v>UNITED KINGDOM</v>
          </cell>
        </row>
        <row r="12648">
          <cell r="L12648" t="str">
            <v>Non-proportional</v>
          </cell>
          <cell r="S12648">
            <v>8496.56</v>
          </cell>
          <cell r="X12648" t="str">
            <v>Variation UPR - gross</v>
          </cell>
          <cell r="Y12648" t="str">
            <v>UNITED KINGDOM</v>
          </cell>
        </row>
        <row r="12649">
          <cell r="L12649" t="str">
            <v>Non-proportional</v>
          </cell>
          <cell r="S12649">
            <v>5.68</v>
          </cell>
          <cell r="X12649" t="str">
            <v>Variation UPR - gross</v>
          </cell>
          <cell r="Y12649" t="str">
            <v>DENMARK</v>
          </cell>
        </row>
        <row r="12650">
          <cell r="L12650" t="str">
            <v>Non-proportional</v>
          </cell>
          <cell r="S12650">
            <v>-2108.09</v>
          </cell>
          <cell r="X12650" t="str">
            <v>Variation UPR - gross</v>
          </cell>
          <cell r="Y12650" t="str">
            <v>SWITZERLAND</v>
          </cell>
        </row>
        <row r="12651">
          <cell r="L12651" t="str">
            <v>Non-proportional</v>
          </cell>
          <cell r="S12651">
            <v>-52.22</v>
          </cell>
          <cell r="X12651" t="str">
            <v>Variation UPR - gross</v>
          </cell>
          <cell r="Y12651" t="str">
            <v>UNITED ARAB EMIRATES</v>
          </cell>
        </row>
        <row r="12652">
          <cell r="L12652" t="str">
            <v>Non-proportional</v>
          </cell>
          <cell r="S12652">
            <v>-12458.33</v>
          </cell>
          <cell r="X12652" t="str">
            <v>Variation UPR - gross</v>
          </cell>
          <cell r="Y12652" t="str">
            <v>GERMANY</v>
          </cell>
        </row>
        <row r="12653">
          <cell r="L12653" t="str">
            <v>Non-proportional</v>
          </cell>
          <cell r="S12653">
            <v>-15.98</v>
          </cell>
          <cell r="X12653" t="str">
            <v>Variation UPR - gross</v>
          </cell>
          <cell r="Y12653" t="str">
            <v>NORWAY</v>
          </cell>
        </row>
        <row r="12654">
          <cell r="L12654" t="str">
            <v>Non-proportional</v>
          </cell>
          <cell r="S12654">
            <v>4.05</v>
          </cell>
          <cell r="X12654" t="str">
            <v>Variation UPR - gross</v>
          </cell>
          <cell r="Y12654" t="str">
            <v>DENMARK</v>
          </cell>
        </row>
        <row r="12655">
          <cell r="L12655" t="str">
            <v>Non-proportional</v>
          </cell>
          <cell r="S12655">
            <v>-11223</v>
          </cell>
          <cell r="X12655" t="str">
            <v>Variation UPR - gross</v>
          </cell>
          <cell r="Y12655" t="str">
            <v>SWEDEN</v>
          </cell>
        </row>
        <row r="12656">
          <cell r="L12656" t="str">
            <v>Non-proportional</v>
          </cell>
          <cell r="S12656">
            <v>-11255.3</v>
          </cell>
          <cell r="X12656" t="str">
            <v>Variation UPR - gross</v>
          </cell>
          <cell r="Y12656" t="str">
            <v>UNITED KINGDOM</v>
          </cell>
        </row>
        <row r="12657">
          <cell r="L12657" t="str">
            <v>Non-proportional</v>
          </cell>
          <cell r="S12657">
            <v>-16544.18</v>
          </cell>
          <cell r="X12657" t="str">
            <v>Variation UPR - gross</v>
          </cell>
          <cell r="Y12657" t="str">
            <v>SWITZERLAND</v>
          </cell>
        </row>
        <row r="12658">
          <cell r="L12658" t="str">
            <v>Non-proportional</v>
          </cell>
          <cell r="S12658">
            <v>-8566.81</v>
          </cell>
          <cell r="X12658" t="str">
            <v>Variation UPR - gross</v>
          </cell>
          <cell r="Y12658" t="str">
            <v>EUROPE</v>
          </cell>
        </row>
        <row r="12659">
          <cell r="L12659" t="str">
            <v>Non-proportional</v>
          </cell>
          <cell r="S12659">
            <v>-270.67</v>
          </cell>
          <cell r="X12659" t="str">
            <v>Variation UPR - gross</v>
          </cell>
          <cell r="Y12659" t="str">
            <v>ITALY</v>
          </cell>
        </row>
        <row r="12660">
          <cell r="L12660" t="str">
            <v>Non-proportional</v>
          </cell>
          <cell r="S12660">
            <v>-14163.6</v>
          </cell>
          <cell r="X12660" t="str">
            <v>Variation UPR - gross</v>
          </cell>
          <cell r="Y12660" t="str">
            <v>POLAND</v>
          </cell>
        </row>
        <row r="12661">
          <cell r="L12661" t="str">
            <v>Non-proportional</v>
          </cell>
          <cell r="S12661">
            <v>-4553.8100000000004</v>
          </cell>
          <cell r="X12661" t="str">
            <v>Variation UPR - gross</v>
          </cell>
          <cell r="Y12661" t="str">
            <v>REPUBLIC OF IRELAND</v>
          </cell>
        </row>
        <row r="12662">
          <cell r="L12662" t="str">
            <v>Non-proportional</v>
          </cell>
          <cell r="S12662">
            <v>-29758.33</v>
          </cell>
          <cell r="X12662" t="str">
            <v>Variation UPR - gross</v>
          </cell>
          <cell r="Y12662" t="str">
            <v>UNITED KINGDOM</v>
          </cell>
        </row>
        <row r="12663">
          <cell r="L12663" t="str">
            <v>Non-proportional</v>
          </cell>
          <cell r="S12663">
            <v>-3942.03</v>
          </cell>
          <cell r="X12663" t="str">
            <v>Variation UPR - gross</v>
          </cell>
          <cell r="Y12663" t="str">
            <v>NORWAY</v>
          </cell>
        </row>
        <row r="12664">
          <cell r="L12664" t="str">
            <v>Non-proportional</v>
          </cell>
          <cell r="S12664">
            <v>-11354.85</v>
          </cell>
          <cell r="X12664" t="str">
            <v>Variation UPR - gross</v>
          </cell>
          <cell r="Y12664" t="str">
            <v>GERMANY</v>
          </cell>
        </row>
        <row r="12665">
          <cell r="L12665" t="str">
            <v>Non-proportional</v>
          </cell>
          <cell r="S12665">
            <v>-1211.3699999999999</v>
          </cell>
          <cell r="X12665" t="str">
            <v>Variation UPR - gross</v>
          </cell>
          <cell r="Y12665" t="str">
            <v>SWITZERLAND</v>
          </cell>
        </row>
        <row r="12666">
          <cell r="L12666" t="str">
            <v>Non-proportional</v>
          </cell>
          <cell r="S12666">
            <v>-2314.4899999999998</v>
          </cell>
          <cell r="X12666" t="str">
            <v>Variation UPR - gross</v>
          </cell>
          <cell r="Y12666" t="str">
            <v>UNITED ARAB EMIRATES</v>
          </cell>
        </row>
        <row r="12667">
          <cell r="L12667" t="str">
            <v>Non-proportional</v>
          </cell>
          <cell r="S12667">
            <v>-55022.54</v>
          </cell>
          <cell r="X12667" t="str">
            <v>Variation UPR - gross</v>
          </cell>
          <cell r="Y12667" t="str">
            <v>UNITED KINGDOM</v>
          </cell>
        </row>
        <row r="12668">
          <cell r="L12668" t="str">
            <v>Non-proportional</v>
          </cell>
          <cell r="S12668">
            <v>-22432.79</v>
          </cell>
          <cell r="X12668" t="str">
            <v>Variation UPR - gross</v>
          </cell>
          <cell r="Y12668" t="str">
            <v>SWITZERLAND</v>
          </cell>
        </row>
        <row r="12669">
          <cell r="L12669" t="str">
            <v>Non-proportional</v>
          </cell>
          <cell r="S12669">
            <v>-345</v>
          </cell>
          <cell r="X12669" t="str">
            <v>Variation UPR - gross</v>
          </cell>
          <cell r="Y12669" t="str">
            <v>ITALY</v>
          </cell>
        </row>
        <row r="12670">
          <cell r="L12670" t="str">
            <v>Non-proportional</v>
          </cell>
          <cell r="S12670">
            <v>0.46</v>
          </cell>
          <cell r="X12670" t="str">
            <v>Variation UPR - gross</v>
          </cell>
          <cell r="Y12670" t="str">
            <v>DENMARK</v>
          </cell>
        </row>
        <row r="12671">
          <cell r="L12671" t="str">
            <v>Non-proportional</v>
          </cell>
          <cell r="S12671">
            <v>-40903.5</v>
          </cell>
          <cell r="X12671" t="str">
            <v>Variation UPR - gross</v>
          </cell>
          <cell r="Y12671" t="str">
            <v>GERMANY</v>
          </cell>
        </row>
        <row r="12672">
          <cell r="L12672" t="str">
            <v>Non-proportional</v>
          </cell>
          <cell r="S12672">
            <v>-5005.8</v>
          </cell>
          <cell r="X12672" t="str">
            <v>Variation UPR - gross</v>
          </cell>
          <cell r="Y12672" t="str">
            <v>FRANCE</v>
          </cell>
        </row>
        <row r="12673">
          <cell r="L12673" t="str">
            <v>Non-proportional</v>
          </cell>
          <cell r="S12673">
            <v>-77694.37</v>
          </cell>
          <cell r="X12673" t="str">
            <v>Variation UPR - gross</v>
          </cell>
          <cell r="Y12673" t="str">
            <v>UNITED KINGDOM</v>
          </cell>
        </row>
        <row r="12674">
          <cell r="L12674" t="str">
            <v>Non-proportional</v>
          </cell>
          <cell r="S12674">
            <v>-14058.31</v>
          </cell>
          <cell r="X12674" t="str">
            <v>Variation UPR - gross</v>
          </cell>
          <cell r="Y12674" t="str">
            <v>EIRE</v>
          </cell>
        </row>
        <row r="12675">
          <cell r="L12675" t="str">
            <v>Non-proportional</v>
          </cell>
          <cell r="S12675">
            <v>-3589.24</v>
          </cell>
          <cell r="X12675" t="str">
            <v>Variation UPR - gross</v>
          </cell>
          <cell r="Y12675" t="str">
            <v>SWITZERLAND</v>
          </cell>
        </row>
        <row r="12676">
          <cell r="L12676" t="str">
            <v>Non-proportional</v>
          </cell>
          <cell r="S12676">
            <v>-11631.13</v>
          </cell>
          <cell r="X12676" t="str">
            <v>Variation UPR - gross</v>
          </cell>
          <cell r="Y12676" t="str">
            <v>UNITED KINGDOM</v>
          </cell>
        </row>
        <row r="12677">
          <cell r="L12677" t="str">
            <v>Non-proportional</v>
          </cell>
          <cell r="S12677">
            <v>-10537.8</v>
          </cell>
          <cell r="X12677" t="str">
            <v>Variation UPR - gross</v>
          </cell>
          <cell r="Y12677" t="str">
            <v>GERMANY</v>
          </cell>
        </row>
        <row r="12678">
          <cell r="L12678" t="str">
            <v>Non-proportional</v>
          </cell>
          <cell r="S12678">
            <v>-11815.97</v>
          </cell>
          <cell r="X12678" t="str">
            <v>Variation UPR - gross</v>
          </cell>
          <cell r="Y12678" t="str">
            <v>GERMANY</v>
          </cell>
        </row>
        <row r="12679">
          <cell r="L12679" t="str">
            <v>Non-proportional</v>
          </cell>
          <cell r="S12679">
            <v>-5579.58</v>
          </cell>
          <cell r="X12679" t="str">
            <v>Variation UPR - gross</v>
          </cell>
          <cell r="Y12679" t="str">
            <v>DENMARK</v>
          </cell>
        </row>
        <row r="12680">
          <cell r="L12680" t="str">
            <v>Non-proportional</v>
          </cell>
          <cell r="S12680">
            <v>-18157.62</v>
          </cell>
          <cell r="X12680" t="str">
            <v>Variation UPR - gross</v>
          </cell>
          <cell r="Y12680" t="str">
            <v>UNITED KINGDOM</v>
          </cell>
        </row>
        <row r="12681">
          <cell r="L12681" t="str">
            <v>Non-proportional</v>
          </cell>
          <cell r="S12681">
            <v>-0.02</v>
          </cell>
          <cell r="X12681" t="str">
            <v>Variation UPR - gross</v>
          </cell>
          <cell r="Y12681" t="str">
            <v>JAPAN</v>
          </cell>
        </row>
        <row r="12682">
          <cell r="L12682" t="str">
            <v>Non-proportional</v>
          </cell>
          <cell r="S12682">
            <v>-34.590000000000003</v>
          </cell>
          <cell r="X12682" t="str">
            <v>Variation UPR - gross</v>
          </cell>
          <cell r="Y12682" t="str">
            <v>UNITED ARAB EMIRATES</v>
          </cell>
        </row>
        <row r="12683">
          <cell r="L12683" t="str">
            <v>Non-proportional</v>
          </cell>
          <cell r="S12683">
            <v>-321.45</v>
          </cell>
          <cell r="X12683" t="str">
            <v>Variation UPR - gross</v>
          </cell>
          <cell r="Y12683" t="str">
            <v>FRANCE</v>
          </cell>
        </row>
        <row r="12684">
          <cell r="L12684" t="str">
            <v>Non-proportional</v>
          </cell>
          <cell r="S12684">
            <v>-34299.760000000002</v>
          </cell>
          <cell r="X12684" t="str">
            <v>Variation UPR - gross</v>
          </cell>
          <cell r="Y12684" t="str">
            <v>UNITED KINGDOM</v>
          </cell>
        </row>
        <row r="12685">
          <cell r="L12685" t="str">
            <v>Non-proportional</v>
          </cell>
          <cell r="S12685">
            <v>-2453.89</v>
          </cell>
          <cell r="X12685" t="str">
            <v>Variation UPR - gross</v>
          </cell>
          <cell r="Y12685" t="str">
            <v>SWEDEN</v>
          </cell>
        </row>
        <row r="12686">
          <cell r="L12686" t="str">
            <v>Non-proportional</v>
          </cell>
          <cell r="S12686">
            <v>-18706.169999999998</v>
          </cell>
          <cell r="X12686" t="str">
            <v>Variation UPR - gross</v>
          </cell>
          <cell r="Y12686" t="str">
            <v>GERMANY</v>
          </cell>
        </row>
        <row r="12687">
          <cell r="L12687" t="str">
            <v>Non-proportional</v>
          </cell>
          <cell r="S12687">
            <v>-16.899999999999999</v>
          </cell>
          <cell r="X12687" t="str">
            <v>Variation UPR - gross</v>
          </cell>
          <cell r="Y12687" t="str">
            <v>POLAND</v>
          </cell>
        </row>
        <row r="12688">
          <cell r="L12688" t="str">
            <v>Non-proportional</v>
          </cell>
          <cell r="S12688">
            <v>-750</v>
          </cell>
          <cell r="X12688" t="str">
            <v>Variation UPR - gross</v>
          </cell>
          <cell r="Y12688" t="str">
            <v>GERMANY</v>
          </cell>
        </row>
        <row r="12689">
          <cell r="L12689" t="str">
            <v>Non-proportional</v>
          </cell>
          <cell r="S12689">
            <v>-307.56</v>
          </cell>
          <cell r="X12689" t="str">
            <v>Variation UPR - gross</v>
          </cell>
          <cell r="Y12689" t="str">
            <v>AUSTRALIA</v>
          </cell>
        </row>
        <row r="12690">
          <cell r="L12690" t="str">
            <v>Non-proportional</v>
          </cell>
          <cell r="S12690">
            <v>-16112.84</v>
          </cell>
          <cell r="X12690" t="str">
            <v>Variation UPR - gross</v>
          </cell>
          <cell r="Y12690" t="str">
            <v>EUROPE</v>
          </cell>
        </row>
        <row r="12691">
          <cell r="L12691" t="str">
            <v>Non-proportional</v>
          </cell>
          <cell r="S12691">
            <v>-13541.67</v>
          </cell>
          <cell r="X12691" t="str">
            <v>Variation UPR - gross</v>
          </cell>
          <cell r="Y12691" t="str">
            <v>GERMANY</v>
          </cell>
        </row>
        <row r="12692">
          <cell r="L12692" t="str">
            <v>Non-proportional</v>
          </cell>
          <cell r="S12692">
            <v>-10718.68</v>
          </cell>
          <cell r="X12692" t="str">
            <v>Variation UPR - gross</v>
          </cell>
          <cell r="Y12692" t="str">
            <v>UNITED KINGDOM</v>
          </cell>
        </row>
        <row r="12693">
          <cell r="L12693" t="str">
            <v>Non-proportional</v>
          </cell>
          <cell r="S12693">
            <v>-683.23</v>
          </cell>
          <cell r="X12693" t="str">
            <v>Variation UPR - gross</v>
          </cell>
          <cell r="Y12693" t="str">
            <v>SWITZERLAND</v>
          </cell>
        </row>
        <row r="12694">
          <cell r="L12694" t="str">
            <v>Non-proportional</v>
          </cell>
          <cell r="S12694">
            <v>2.29</v>
          </cell>
          <cell r="X12694" t="str">
            <v>Variation UPR - gross</v>
          </cell>
          <cell r="Y12694" t="str">
            <v>DENMARK</v>
          </cell>
        </row>
        <row r="12695">
          <cell r="L12695" t="str">
            <v>Non-proportional</v>
          </cell>
          <cell r="S12695">
            <v>-3617.46</v>
          </cell>
          <cell r="X12695" t="str">
            <v>Variation UPR - gross</v>
          </cell>
          <cell r="Y12695" t="str">
            <v>FRANCE</v>
          </cell>
        </row>
        <row r="12696">
          <cell r="L12696" t="str">
            <v>Non-proportional</v>
          </cell>
          <cell r="S12696">
            <v>64691.88</v>
          </cell>
          <cell r="X12696" t="str">
            <v>Variation UPR - gross</v>
          </cell>
          <cell r="Y12696" t="str">
            <v>UNITED STATES</v>
          </cell>
        </row>
        <row r="12697">
          <cell r="L12697" t="str">
            <v>Non-proportional</v>
          </cell>
          <cell r="S12697">
            <v>-5124.2</v>
          </cell>
          <cell r="X12697" t="str">
            <v>Variation UPR - gross</v>
          </cell>
          <cell r="Y12697" t="str">
            <v>SWITZERLAND</v>
          </cell>
        </row>
        <row r="12698">
          <cell r="L12698" t="str">
            <v>Non-proportional</v>
          </cell>
          <cell r="S12698">
            <v>-5467.12</v>
          </cell>
          <cell r="X12698" t="str">
            <v>Variation UPR - gross</v>
          </cell>
          <cell r="Y12698" t="str">
            <v>EIRE</v>
          </cell>
        </row>
        <row r="12699">
          <cell r="L12699" t="str">
            <v>Non-proportional</v>
          </cell>
          <cell r="S12699">
            <v>-11910.16</v>
          </cell>
          <cell r="X12699" t="str">
            <v>Variation UPR - gross</v>
          </cell>
          <cell r="Y12699" t="str">
            <v>UNITED KINGDOM</v>
          </cell>
        </row>
        <row r="12700">
          <cell r="L12700" t="str">
            <v>Non-proportional</v>
          </cell>
          <cell r="S12700">
            <v>-26989.89</v>
          </cell>
          <cell r="X12700" t="str">
            <v>Variation UPR - gross</v>
          </cell>
          <cell r="Y12700" t="str">
            <v>UNITED KINGDOM</v>
          </cell>
        </row>
        <row r="12701">
          <cell r="L12701" t="str">
            <v>Non-proportional</v>
          </cell>
          <cell r="S12701">
            <v>-9203.1200000000008</v>
          </cell>
          <cell r="X12701" t="str">
            <v>Variation UPR - gross</v>
          </cell>
          <cell r="Y12701" t="str">
            <v>GERMANY</v>
          </cell>
        </row>
        <row r="12702">
          <cell r="L12702" t="str">
            <v>Non-proportional</v>
          </cell>
          <cell r="S12702">
            <v>-1509.09</v>
          </cell>
          <cell r="X12702" t="str">
            <v>Variation UPR - gross</v>
          </cell>
          <cell r="Y12702" t="str">
            <v>GERMANY</v>
          </cell>
        </row>
        <row r="12703">
          <cell r="L12703" t="str">
            <v>Non-proportional</v>
          </cell>
          <cell r="S12703">
            <v>-8844.9</v>
          </cell>
          <cell r="X12703" t="str">
            <v>Variation UPR - gross</v>
          </cell>
          <cell r="Y12703" t="str">
            <v>GERMANY</v>
          </cell>
        </row>
        <row r="12704">
          <cell r="L12704" t="str">
            <v>Non-proportional</v>
          </cell>
          <cell r="S12704">
            <v>-20355</v>
          </cell>
          <cell r="X12704" t="str">
            <v>Variation UPR - gross</v>
          </cell>
          <cell r="Y12704" t="str">
            <v>GERMANY</v>
          </cell>
        </row>
        <row r="12705">
          <cell r="L12705" t="str">
            <v>Non-proportional</v>
          </cell>
          <cell r="S12705">
            <v>-13399.72</v>
          </cell>
          <cell r="X12705" t="str">
            <v>Variation UPR - gross</v>
          </cell>
          <cell r="Y12705" t="str">
            <v>GERMANY</v>
          </cell>
        </row>
        <row r="12706">
          <cell r="L12706" t="str">
            <v>Non-proportional</v>
          </cell>
          <cell r="S12706">
            <v>-14120</v>
          </cell>
          <cell r="X12706" t="str">
            <v>Variation UPR - gross</v>
          </cell>
          <cell r="Y12706" t="str">
            <v>AUSTRIA</v>
          </cell>
        </row>
        <row r="12707">
          <cell r="L12707" t="str">
            <v>Non-proportional</v>
          </cell>
          <cell r="S12707">
            <v>-124344.25</v>
          </cell>
          <cell r="X12707" t="str">
            <v>Variation UPR - gross</v>
          </cell>
          <cell r="Y12707" t="str">
            <v>UNITED KINGDOM</v>
          </cell>
        </row>
        <row r="12708">
          <cell r="L12708" t="str">
            <v>Non-proportional</v>
          </cell>
          <cell r="S12708">
            <v>-3326.77</v>
          </cell>
          <cell r="X12708" t="str">
            <v>Variation UPR - gross</v>
          </cell>
          <cell r="Y12708" t="str">
            <v>UNITED KINGDOM</v>
          </cell>
        </row>
        <row r="12709">
          <cell r="L12709" t="str">
            <v>Non-proportional</v>
          </cell>
          <cell r="S12709">
            <v>-83.26</v>
          </cell>
          <cell r="X12709" t="str">
            <v>Variation UPR - gross</v>
          </cell>
          <cell r="Y12709" t="str">
            <v>FRANCE</v>
          </cell>
        </row>
        <row r="12710">
          <cell r="L12710" t="str">
            <v>Non-proportional</v>
          </cell>
          <cell r="S12710">
            <v>-3207.54</v>
          </cell>
          <cell r="X12710" t="str">
            <v>Variation UPR - gross</v>
          </cell>
          <cell r="Y12710" t="str">
            <v>JAPAN</v>
          </cell>
        </row>
        <row r="12711">
          <cell r="L12711" t="str">
            <v>Non-proportional</v>
          </cell>
          <cell r="S12711">
            <v>-3979.48</v>
          </cell>
          <cell r="X12711" t="str">
            <v>Variation UPR - gross</v>
          </cell>
          <cell r="Y12711" t="str">
            <v>UNITED KINGDOM</v>
          </cell>
        </row>
        <row r="12712">
          <cell r="L12712" t="str">
            <v>Non-proportional</v>
          </cell>
          <cell r="S12712">
            <v>-1938.89</v>
          </cell>
          <cell r="X12712" t="str">
            <v>Variation UPR - gross</v>
          </cell>
          <cell r="Y12712" t="str">
            <v>REPUBLIC OF IRELAND</v>
          </cell>
        </row>
        <row r="12713">
          <cell r="L12713" t="str">
            <v>Non-proportional</v>
          </cell>
          <cell r="S12713">
            <v>-164414.63</v>
          </cell>
          <cell r="X12713" t="str">
            <v>Variation UPR - gross</v>
          </cell>
          <cell r="Y12713" t="str">
            <v>UNITED KINGDOM</v>
          </cell>
        </row>
        <row r="12714">
          <cell r="L12714" t="str">
            <v>Non-proportional</v>
          </cell>
          <cell r="S12714">
            <v>-3436.97</v>
          </cell>
          <cell r="X12714" t="str">
            <v>Variation UPR - gross</v>
          </cell>
          <cell r="Y12714" t="str">
            <v>EUROPE</v>
          </cell>
        </row>
        <row r="12715">
          <cell r="L12715" t="str">
            <v>Non-proportional</v>
          </cell>
          <cell r="S12715">
            <v>-71695.710000000006</v>
          </cell>
          <cell r="X12715" t="str">
            <v>Variation UPR - gross</v>
          </cell>
          <cell r="Y12715" t="str">
            <v>UNITED KINGDOM</v>
          </cell>
        </row>
        <row r="12716">
          <cell r="L12716" t="str">
            <v>Non-proportional</v>
          </cell>
          <cell r="S12716">
            <v>-7812.5</v>
          </cell>
          <cell r="X12716" t="str">
            <v>Variation UPR - gross</v>
          </cell>
          <cell r="Y12716" t="str">
            <v>ROMANIA</v>
          </cell>
        </row>
        <row r="12717">
          <cell r="L12717" t="str">
            <v>Non-proportional</v>
          </cell>
          <cell r="S12717">
            <v>-5314.68</v>
          </cell>
          <cell r="X12717" t="str">
            <v>Variation UPR - gross</v>
          </cell>
          <cell r="Y12717" t="str">
            <v>NORWAY</v>
          </cell>
        </row>
        <row r="12718">
          <cell r="L12718" t="str">
            <v>Non-proportional</v>
          </cell>
          <cell r="S12718">
            <v>-41872.21</v>
          </cell>
          <cell r="X12718" t="str">
            <v>Variation UPR - gross</v>
          </cell>
          <cell r="Y12718" t="str">
            <v>UNITED KINGDOM</v>
          </cell>
        </row>
        <row r="12719">
          <cell r="L12719" t="str">
            <v>Non-proportional</v>
          </cell>
          <cell r="S12719">
            <v>-10010.879999999999</v>
          </cell>
          <cell r="X12719" t="str">
            <v>Variation UPR - gross</v>
          </cell>
          <cell r="Y12719" t="str">
            <v>GERMANY</v>
          </cell>
        </row>
        <row r="12720">
          <cell r="L12720" t="str">
            <v>Non-proportional</v>
          </cell>
          <cell r="S12720">
            <v>-0.03</v>
          </cell>
          <cell r="X12720" t="str">
            <v>Variation UPR - gross</v>
          </cell>
          <cell r="Y12720" t="str">
            <v>JAPAN</v>
          </cell>
        </row>
        <row r="12721">
          <cell r="L12721" t="str">
            <v>Non-proportional</v>
          </cell>
          <cell r="S12721">
            <v>3.7</v>
          </cell>
          <cell r="X12721" t="str">
            <v>Variation UPR - gross</v>
          </cell>
          <cell r="Y12721" t="str">
            <v>DENMARK</v>
          </cell>
        </row>
        <row r="12722">
          <cell r="L12722" t="str">
            <v>Non-proportional</v>
          </cell>
          <cell r="S12722">
            <v>-8536.77</v>
          </cell>
          <cell r="X12722" t="str">
            <v>Variation UPR - gross</v>
          </cell>
          <cell r="Y12722" t="str">
            <v>DENMARK</v>
          </cell>
        </row>
        <row r="12723">
          <cell r="L12723" t="str">
            <v>Non-proportional</v>
          </cell>
          <cell r="S12723">
            <v>-6298.68</v>
          </cell>
          <cell r="X12723" t="str">
            <v>Variation UPR - gross</v>
          </cell>
          <cell r="Y12723" t="str">
            <v>SWEDEN</v>
          </cell>
        </row>
        <row r="12724">
          <cell r="L12724" t="str">
            <v>Non-proportional</v>
          </cell>
          <cell r="S12724">
            <v>-865.58</v>
          </cell>
          <cell r="X12724" t="str">
            <v>Variation UPR - gross</v>
          </cell>
          <cell r="Y12724" t="str">
            <v>ITALY</v>
          </cell>
        </row>
        <row r="12725">
          <cell r="L12725" t="str">
            <v>Non-proportional</v>
          </cell>
          <cell r="S12725">
            <v>-8837.7099999999991</v>
          </cell>
          <cell r="X12725" t="str">
            <v>Variation UPR - gross</v>
          </cell>
          <cell r="Y12725" t="str">
            <v>GERMANY</v>
          </cell>
        </row>
        <row r="12726">
          <cell r="L12726" t="str">
            <v>Non-proportional</v>
          </cell>
          <cell r="S12726">
            <v>-20707.14</v>
          </cell>
          <cell r="X12726" t="str">
            <v>Variation UPR - gross</v>
          </cell>
          <cell r="Y12726" t="str">
            <v>EUROPE</v>
          </cell>
        </row>
        <row r="12727">
          <cell r="L12727" t="str">
            <v>Non-proportional</v>
          </cell>
          <cell r="S12727">
            <v>-20416.669999999998</v>
          </cell>
          <cell r="X12727" t="str">
            <v>Variation UPR - gross</v>
          </cell>
          <cell r="Y12727" t="str">
            <v>GERMANY</v>
          </cell>
        </row>
        <row r="12728">
          <cell r="L12728" t="str">
            <v>Non-proportional</v>
          </cell>
          <cell r="S12728">
            <v>-12802.8</v>
          </cell>
          <cell r="X12728" t="str">
            <v>Variation UPR - gross</v>
          </cell>
          <cell r="Y12728" t="str">
            <v>UNITED KINGDOM</v>
          </cell>
        </row>
        <row r="12729">
          <cell r="L12729" t="str">
            <v>Non-proportional</v>
          </cell>
          <cell r="S12729">
            <v>-11055.01</v>
          </cell>
          <cell r="X12729" t="str">
            <v>Variation UPR - gross</v>
          </cell>
          <cell r="Y12729" t="str">
            <v>DENMARK</v>
          </cell>
        </row>
        <row r="12730">
          <cell r="L12730" t="str">
            <v>Non-proportional</v>
          </cell>
          <cell r="S12730">
            <v>-11980.06</v>
          </cell>
          <cell r="X12730" t="str">
            <v>Variation UPR - gross</v>
          </cell>
          <cell r="Y12730" t="str">
            <v>UNITED KINGDOM</v>
          </cell>
        </row>
        <row r="12731">
          <cell r="L12731" t="str">
            <v>Non-proportional</v>
          </cell>
          <cell r="S12731">
            <v>-2500.5700000000002</v>
          </cell>
          <cell r="X12731" t="str">
            <v>Variation UPR - gross</v>
          </cell>
          <cell r="Y12731" t="str">
            <v>GERMANY</v>
          </cell>
        </row>
        <row r="12732">
          <cell r="L12732" t="str">
            <v>Non-proportional</v>
          </cell>
          <cell r="S12732">
            <v>-8423.33</v>
          </cell>
          <cell r="X12732" t="str">
            <v>Variation UPR - gross</v>
          </cell>
          <cell r="Y12732" t="str">
            <v>ITALY</v>
          </cell>
        </row>
        <row r="12733">
          <cell r="L12733" t="str">
            <v>Non-proportional</v>
          </cell>
          <cell r="S12733">
            <v>-54797.67</v>
          </cell>
          <cell r="X12733" t="str">
            <v>Variation UPR - gross</v>
          </cell>
          <cell r="Y12733" t="str">
            <v>UNITED KINGDOM</v>
          </cell>
        </row>
        <row r="12734">
          <cell r="L12734" t="str">
            <v>Non-proportional</v>
          </cell>
          <cell r="S12734">
            <v>85684.61</v>
          </cell>
          <cell r="X12734" t="str">
            <v>Variation UPR - gross</v>
          </cell>
          <cell r="Y12734" t="str">
            <v>UNITED STATES</v>
          </cell>
        </row>
        <row r="12735">
          <cell r="L12735" t="str">
            <v>Non-proportional</v>
          </cell>
          <cell r="S12735">
            <v>2.02</v>
          </cell>
          <cell r="X12735" t="str">
            <v>Variation UPR - gross</v>
          </cell>
          <cell r="Y12735" t="str">
            <v>SWEDEN</v>
          </cell>
        </row>
        <row r="12736">
          <cell r="L12736" t="str">
            <v>Non-proportional</v>
          </cell>
          <cell r="S12736">
            <v>-3119.33</v>
          </cell>
          <cell r="X12736" t="str">
            <v>Variation UPR - gross</v>
          </cell>
          <cell r="Y12736" t="str">
            <v>UNITED KINGDOM</v>
          </cell>
        </row>
        <row r="12737">
          <cell r="L12737" t="str">
            <v>Non-proportional</v>
          </cell>
          <cell r="S12737">
            <v>-7301.32</v>
          </cell>
          <cell r="X12737" t="str">
            <v>Variation UPR - gross</v>
          </cell>
          <cell r="Y12737" t="str">
            <v>FAROE ISLANDS</v>
          </cell>
        </row>
        <row r="12738">
          <cell r="L12738" t="str">
            <v>Non-proportional</v>
          </cell>
          <cell r="S12738">
            <v>-5493.18</v>
          </cell>
          <cell r="X12738" t="str">
            <v>Variation UPR - gross</v>
          </cell>
          <cell r="Y12738" t="str">
            <v>FRANCE</v>
          </cell>
        </row>
        <row r="12739">
          <cell r="L12739" t="str">
            <v>Non-proportional</v>
          </cell>
          <cell r="S12739">
            <v>100.99</v>
          </cell>
          <cell r="X12739" t="str">
            <v>Variation UPR - gross</v>
          </cell>
          <cell r="Y12739" t="str">
            <v>POLAND</v>
          </cell>
        </row>
        <row r="12740">
          <cell r="L12740" t="str">
            <v>Non-proportional</v>
          </cell>
          <cell r="S12740">
            <v>-4288.21</v>
          </cell>
          <cell r="X12740" t="str">
            <v>Variation UPR - gross</v>
          </cell>
          <cell r="Y12740" t="str">
            <v>AUSTRALIA</v>
          </cell>
        </row>
        <row r="12741">
          <cell r="L12741" t="str">
            <v>Non-proportional</v>
          </cell>
          <cell r="S12741">
            <v>-575</v>
          </cell>
          <cell r="X12741" t="str">
            <v>Variation UPR - gross</v>
          </cell>
          <cell r="Y12741" t="str">
            <v>ITALY</v>
          </cell>
        </row>
        <row r="12742">
          <cell r="L12742" t="str">
            <v>Non-proportional</v>
          </cell>
          <cell r="S12742">
            <v>15.82</v>
          </cell>
          <cell r="X12742" t="str">
            <v>Variation UPR - gross</v>
          </cell>
          <cell r="Y12742" t="str">
            <v>SWEDEN</v>
          </cell>
        </row>
        <row r="12743">
          <cell r="L12743" t="str">
            <v>Non-proportional</v>
          </cell>
          <cell r="S12743">
            <v>-1108.93</v>
          </cell>
          <cell r="X12743" t="str">
            <v>Variation UPR - gross</v>
          </cell>
          <cell r="Y12743" t="str">
            <v>UNITED KINGDOM</v>
          </cell>
        </row>
        <row r="12744">
          <cell r="L12744" t="str">
            <v>Non-proportional</v>
          </cell>
          <cell r="S12744">
            <v>-22276.71</v>
          </cell>
          <cell r="X12744" t="str">
            <v>Variation UPR - gross</v>
          </cell>
          <cell r="Y12744" t="str">
            <v>UNITED KINGDOM</v>
          </cell>
        </row>
        <row r="12745">
          <cell r="L12745" t="str">
            <v>Non-proportional</v>
          </cell>
          <cell r="S12745">
            <v>-20770.63</v>
          </cell>
          <cell r="X12745" t="str">
            <v>Variation UPR - gross</v>
          </cell>
          <cell r="Y12745" t="str">
            <v>FRANCE</v>
          </cell>
        </row>
        <row r="12746">
          <cell r="L12746" t="str">
            <v>Non-proportional</v>
          </cell>
          <cell r="S12746">
            <v>-7965</v>
          </cell>
          <cell r="X12746" t="str">
            <v>Variation UPR - gross</v>
          </cell>
          <cell r="Y12746" t="str">
            <v>GERMANY</v>
          </cell>
        </row>
        <row r="12747">
          <cell r="L12747" t="str">
            <v>Non-proportional</v>
          </cell>
          <cell r="S12747">
            <v>-3333.42</v>
          </cell>
          <cell r="X12747" t="str">
            <v>Variation UPR - gross</v>
          </cell>
          <cell r="Y12747" t="str">
            <v>ITALY</v>
          </cell>
        </row>
        <row r="12748">
          <cell r="L12748" t="str">
            <v>Non-proportional</v>
          </cell>
          <cell r="S12748">
            <v>-6638.42</v>
          </cell>
          <cell r="X12748" t="str">
            <v>Variation UPR - gross</v>
          </cell>
          <cell r="Y12748" t="str">
            <v>EUROPE</v>
          </cell>
        </row>
        <row r="12749">
          <cell r="L12749" t="str">
            <v>Non-proportional</v>
          </cell>
          <cell r="S12749">
            <v>-3806.25</v>
          </cell>
          <cell r="X12749" t="str">
            <v>Variation UPR - gross</v>
          </cell>
          <cell r="Y12749" t="str">
            <v>ROMANIA</v>
          </cell>
        </row>
        <row r="12750">
          <cell r="L12750" t="str">
            <v>Non-proportional</v>
          </cell>
          <cell r="S12750">
            <v>-4573.13</v>
          </cell>
          <cell r="X12750" t="str">
            <v>Variation UPR - gross</v>
          </cell>
          <cell r="Y12750" t="str">
            <v>EUROPE</v>
          </cell>
        </row>
        <row r="12751">
          <cell r="L12751" t="str">
            <v>Non-proportional</v>
          </cell>
          <cell r="S12751">
            <v>-3375</v>
          </cell>
          <cell r="X12751" t="str">
            <v>Variation UPR - gross</v>
          </cell>
          <cell r="Y12751" t="str">
            <v>GERMANY</v>
          </cell>
        </row>
        <row r="12752">
          <cell r="L12752" t="str">
            <v>Non-proportional</v>
          </cell>
          <cell r="S12752">
            <v>-7590</v>
          </cell>
          <cell r="X12752" t="str">
            <v>Variation UPR - gross</v>
          </cell>
          <cell r="Y12752" t="str">
            <v>GERMANY</v>
          </cell>
        </row>
        <row r="12753">
          <cell r="L12753" t="str">
            <v>Non-proportional</v>
          </cell>
          <cell r="S12753">
            <v>-6067.74</v>
          </cell>
          <cell r="X12753" t="str">
            <v>Variation UPR - gross</v>
          </cell>
          <cell r="Y12753" t="str">
            <v>DENMARK</v>
          </cell>
        </row>
        <row r="12754">
          <cell r="L12754" t="str">
            <v>Non-proportional</v>
          </cell>
          <cell r="S12754">
            <v>-313.45</v>
          </cell>
          <cell r="X12754" t="str">
            <v>Variation UPR - gross</v>
          </cell>
          <cell r="Y12754" t="str">
            <v>DENMARK</v>
          </cell>
        </row>
        <row r="12755">
          <cell r="L12755" t="str">
            <v>Non-proportional</v>
          </cell>
          <cell r="S12755">
            <v>-4791.8900000000003</v>
          </cell>
          <cell r="X12755" t="str">
            <v>Variation UPR - gross</v>
          </cell>
          <cell r="Y12755" t="str">
            <v>UNITED KINGDOM</v>
          </cell>
        </row>
        <row r="12756">
          <cell r="L12756" t="str">
            <v>Non-proportional</v>
          </cell>
          <cell r="S12756">
            <v>-0.46</v>
          </cell>
          <cell r="X12756" t="str">
            <v>Variation UPR - gross</v>
          </cell>
          <cell r="Y12756" t="str">
            <v>DENMARK</v>
          </cell>
        </row>
        <row r="12757">
          <cell r="L12757" t="str">
            <v>Non-proportional</v>
          </cell>
          <cell r="S12757">
            <v>-10594.94</v>
          </cell>
          <cell r="X12757" t="str">
            <v>Variation UPR - gross</v>
          </cell>
          <cell r="Y12757" t="str">
            <v>GERMANY</v>
          </cell>
        </row>
        <row r="12758">
          <cell r="L12758" t="str">
            <v>Non-proportional</v>
          </cell>
          <cell r="S12758">
            <v>-17609.03</v>
          </cell>
          <cell r="X12758" t="str">
            <v>Variation UPR - gross</v>
          </cell>
          <cell r="Y12758" t="str">
            <v>AUSTRIA</v>
          </cell>
        </row>
        <row r="12759">
          <cell r="L12759" t="str">
            <v>Non-proportional</v>
          </cell>
          <cell r="S12759">
            <v>0.45</v>
          </cell>
          <cell r="X12759" t="str">
            <v>Variation UPR - gross</v>
          </cell>
          <cell r="Y12759" t="str">
            <v>DENMARK</v>
          </cell>
        </row>
        <row r="12760">
          <cell r="L12760" t="str">
            <v>Non-proportional</v>
          </cell>
          <cell r="S12760">
            <v>-18973.75</v>
          </cell>
          <cell r="X12760" t="str">
            <v>Variation UPR - gross</v>
          </cell>
          <cell r="Y12760" t="str">
            <v>AUSTRIA</v>
          </cell>
        </row>
        <row r="12761">
          <cell r="L12761" t="str">
            <v>Non-proportional</v>
          </cell>
          <cell r="S12761">
            <v>-10015.08</v>
          </cell>
          <cell r="X12761" t="str">
            <v>Variation UPR - gross</v>
          </cell>
          <cell r="Y12761" t="str">
            <v>AUSTRIA</v>
          </cell>
        </row>
        <row r="12762">
          <cell r="L12762" t="str">
            <v>Non-proportional</v>
          </cell>
          <cell r="S12762">
            <v>-351.66</v>
          </cell>
          <cell r="X12762" t="str">
            <v>Variation UPR - gross</v>
          </cell>
          <cell r="Y12762" t="str">
            <v>GERMANY</v>
          </cell>
        </row>
        <row r="12763">
          <cell r="L12763" t="str">
            <v>Non-proportional</v>
          </cell>
          <cell r="S12763">
            <v>-3629.51</v>
          </cell>
          <cell r="X12763" t="str">
            <v>Variation UPR - gross</v>
          </cell>
          <cell r="Y12763" t="str">
            <v>AUSTRALIA</v>
          </cell>
        </row>
        <row r="12764">
          <cell r="L12764" t="str">
            <v>Non-proportional</v>
          </cell>
          <cell r="S12764">
            <v>-8697.67</v>
          </cell>
          <cell r="X12764" t="str">
            <v>Variation UPR - gross</v>
          </cell>
          <cell r="Y12764" t="str">
            <v>GERMANY</v>
          </cell>
        </row>
        <row r="12765">
          <cell r="L12765" t="str">
            <v>Non-proportional</v>
          </cell>
          <cell r="S12765">
            <v>-20924.87</v>
          </cell>
          <cell r="X12765" t="str">
            <v>Variation UPR - gross</v>
          </cell>
          <cell r="Y12765" t="str">
            <v>FRANCE</v>
          </cell>
        </row>
        <row r="12766">
          <cell r="L12766" t="str">
            <v>Non-proportional</v>
          </cell>
          <cell r="S12766">
            <v>-7332.77</v>
          </cell>
          <cell r="X12766" t="str">
            <v>Variation UPR - gross</v>
          </cell>
          <cell r="Y12766" t="str">
            <v>NORWAY</v>
          </cell>
        </row>
        <row r="12767">
          <cell r="L12767" t="str">
            <v>Non-proportional</v>
          </cell>
          <cell r="S12767">
            <v>-41011.629999999997</v>
          </cell>
          <cell r="X12767" t="str">
            <v>Variation UPR - gross</v>
          </cell>
          <cell r="Y12767" t="str">
            <v>SWITZERLAND</v>
          </cell>
        </row>
        <row r="12768">
          <cell r="L12768" t="str">
            <v>Non-proportional</v>
          </cell>
          <cell r="S12768">
            <v>-3107.33</v>
          </cell>
          <cell r="X12768" t="str">
            <v>Variation UPR - gross</v>
          </cell>
          <cell r="Y12768" t="str">
            <v>GERMANY</v>
          </cell>
        </row>
        <row r="12769">
          <cell r="L12769" t="str">
            <v>Non-proportional</v>
          </cell>
          <cell r="S12769">
            <v>2.98</v>
          </cell>
          <cell r="X12769" t="str">
            <v>Variation UPR - gross</v>
          </cell>
          <cell r="Y12769" t="str">
            <v>DENMARK</v>
          </cell>
        </row>
        <row r="12770">
          <cell r="L12770" t="str">
            <v>Non-proportional</v>
          </cell>
          <cell r="S12770">
            <v>-7501.57</v>
          </cell>
          <cell r="X12770" t="str">
            <v>Variation UPR - gross</v>
          </cell>
          <cell r="Y12770" t="str">
            <v>GERMANY</v>
          </cell>
        </row>
        <row r="12771">
          <cell r="L12771" t="str">
            <v>Non-proportional</v>
          </cell>
          <cell r="S12771">
            <v>-1108.02</v>
          </cell>
          <cell r="X12771" t="str">
            <v>Variation UPR - gross</v>
          </cell>
          <cell r="Y12771" t="str">
            <v>AUSTRIA</v>
          </cell>
        </row>
        <row r="12772">
          <cell r="L12772" t="str">
            <v>Non-proportional</v>
          </cell>
          <cell r="S12772">
            <v>-3313.14</v>
          </cell>
          <cell r="X12772" t="str">
            <v>Variation UPR - gross</v>
          </cell>
          <cell r="Y12772" t="str">
            <v>EUROPE</v>
          </cell>
        </row>
        <row r="12773">
          <cell r="L12773" t="str">
            <v>Non-proportional</v>
          </cell>
          <cell r="S12773">
            <v>-24396</v>
          </cell>
          <cell r="X12773" t="str">
            <v>Variation UPR - gross</v>
          </cell>
          <cell r="Y12773" t="str">
            <v>GERMANY</v>
          </cell>
        </row>
        <row r="12774">
          <cell r="L12774" t="str">
            <v>Non-proportional</v>
          </cell>
          <cell r="S12774">
            <v>-1125</v>
          </cell>
          <cell r="X12774" t="str">
            <v>Variation UPR - gross</v>
          </cell>
          <cell r="Y12774" t="str">
            <v>GERMANY</v>
          </cell>
        </row>
        <row r="12775">
          <cell r="L12775" t="str">
            <v>Non-proportional</v>
          </cell>
          <cell r="S12775">
            <v>-112052.09</v>
          </cell>
          <cell r="X12775" t="str">
            <v>Variation UPR - gross</v>
          </cell>
          <cell r="Y12775" t="str">
            <v>FRANCE</v>
          </cell>
        </row>
        <row r="12776">
          <cell r="L12776" t="str">
            <v>Non-proportional</v>
          </cell>
          <cell r="S12776">
            <v>-6296.43</v>
          </cell>
          <cell r="X12776" t="str">
            <v>Variation UPR - gross</v>
          </cell>
          <cell r="Y12776" t="str">
            <v>AUSTRALIA</v>
          </cell>
        </row>
        <row r="12777">
          <cell r="L12777" t="str">
            <v>Non-proportional</v>
          </cell>
          <cell r="S12777">
            <v>-7960.04</v>
          </cell>
          <cell r="X12777" t="str">
            <v>Variation UPR - gross</v>
          </cell>
          <cell r="Y12777" t="str">
            <v>GERMANY</v>
          </cell>
        </row>
        <row r="12778">
          <cell r="L12778" t="str">
            <v>Non-proportional</v>
          </cell>
          <cell r="S12778">
            <v>-13390.56</v>
          </cell>
          <cell r="X12778" t="str">
            <v>Variation UPR - gross</v>
          </cell>
          <cell r="Y12778" t="str">
            <v>DENMARK</v>
          </cell>
        </row>
        <row r="12779">
          <cell r="L12779" t="str">
            <v>Non-proportional</v>
          </cell>
          <cell r="S12779">
            <v>-14602.5</v>
          </cell>
          <cell r="X12779" t="str">
            <v>Variation UPR - gross</v>
          </cell>
          <cell r="Y12779" t="str">
            <v>GERMANY</v>
          </cell>
        </row>
        <row r="12780">
          <cell r="L12780" t="str">
            <v>Non-proportional</v>
          </cell>
          <cell r="S12780">
            <v>-7154</v>
          </cell>
          <cell r="X12780" t="str">
            <v>Variation UPR - gross</v>
          </cell>
          <cell r="Y12780" t="str">
            <v>NORWAY</v>
          </cell>
        </row>
        <row r="12781">
          <cell r="L12781" t="str">
            <v>Non-proportional</v>
          </cell>
          <cell r="S12781">
            <v>-16500</v>
          </cell>
          <cell r="X12781" t="str">
            <v>Variation UPR - gross</v>
          </cell>
          <cell r="Y12781" t="str">
            <v>GERMANY</v>
          </cell>
        </row>
        <row r="12782">
          <cell r="L12782" t="str">
            <v>Non-proportional</v>
          </cell>
          <cell r="S12782">
            <v>-5893.93</v>
          </cell>
          <cell r="X12782" t="str">
            <v>Variation UPR - gross</v>
          </cell>
          <cell r="Y12782" t="str">
            <v>AUSTRIA</v>
          </cell>
        </row>
        <row r="12783">
          <cell r="L12783" t="str">
            <v>Non-proportional</v>
          </cell>
          <cell r="S12783">
            <v>3.44</v>
          </cell>
          <cell r="X12783" t="str">
            <v>Variation UPR - gross</v>
          </cell>
          <cell r="Y12783" t="str">
            <v>DENMARK</v>
          </cell>
        </row>
        <row r="12784">
          <cell r="L12784" t="str">
            <v>Proportional</v>
          </cell>
          <cell r="S12784">
            <v>8085673.8399999999</v>
          </cell>
          <cell r="X12784" t="str">
            <v>Variation UPR - gross</v>
          </cell>
          <cell r="Y12784" t="str">
            <v>UNITED STATES</v>
          </cell>
        </row>
        <row r="12785">
          <cell r="L12785" t="str">
            <v>Non-proportional</v>
          </cell>
          <cell r="S12785">
            <v>-10.3</v>
          </cell>
          <cell r="X12785" t="str">
            <v>Variation UPR - gross</v>
          </cell>
          <cell r="Y12785" t="str">
            <v>JAPAN</v>
          </cell>
        </row>
        <row r="12786">
          <cell r="L12786" t="str">
            <v>Non-proportional</v>
          </cell>
          <cell r="S12786">
            <v>-1228.23</v>
          </cell>
          <cell r="X12786" t="str">
            <v>Variation UPR - gross</v>
          </cell>
          <cell r="Y12786" t="str">
            <v>UNITED KINGDOM</v>
          </cell>
        </row>
        <row r="12787">
          <cell r="L12787" t="str">
            <v>Non-proportional</v>
          </cell>
          <cell r="S12787">
            <v>-6904.17</v>
          </cell>
          <cell r="X12787" t="str">
            <v>Variation UPR - gross</v>
          </cell>
          <cell r="Y12787" t="str">
            <v>FRANCE</v>
          </cell>
        </row>
        <row r="12788">
          <cell r="L12788" t="str">
            <v>Non-proportional</v>
          </cell>
          <cell r="S12788">
            <v>-9917.92</v>
          </cell>
          <cell r="X12788" t="str">
            <v>Variation UPR - gross</v>
          </cell>
          <cell r="Y12788" t="str">
            <v>CZECH REPUBLIC</v>
          </cell>
        </row>
        <row r="12789">
          <cell r="L12789" t="str">
            <v>Non-proportional</v>
          </cell>
          <cell r="S12789">
            <v>-11122.3</v>
          </cell>
          <cell r="X12789" t="str">
            <v>Variation UPR - gross</v>
          </cell>
          <cell r="Y12789" t="str">
            <v>UNITED KINGDOM</v>
          </cell>
        </row>
        <row r="12790">
          <cell r="L12790" t="str">
            <v>Non-proportional</v>
          </cell>
          <cell r="S12790">
            <v>54233.88</v>
          </cell>
          <cell r="X12790" t="str">
            <v>Variation UPR - gross</v>
          </cell>
          <cell r="Y12790" t="str">
            <v>UNITED KINGDOM</v>
          </cell>
        </row>
        <row r="12791">
          <cell r="L12791" t="str">
            <v>Non-proportional</v>
          </cell>
          <cell r="S12791">
            <v>-781.12</v>
          </cell>
          <cell r="X12791" t="str">
            <v>Variation UPR - gross</v>
          </cell>
          <cell r="Y12791" t="str">
            <v>DENMARK</v>
          </cell>
        </row>
        <row r="12792">
          <cell r="L12792" t="str">
            <v>Non-proportional</v>
          </cell>
          <cell r="S12792">
            <v>-6480.42</v>
          </cell>
          <cell r="X12792" t="str">
            <v>Variation UPR - gross</v>
          </cell>
          <cell r="Y12792" t="str">
            <v>REPUBLIC OF IRELAND</v>
          </cell>
        </row>
        <row r="12793">
          <cell r="L12793" t="str">
            <v>Non-proportional</v>
          </cell>
          <cell r="S12793">
            <v>-20546.689999999999</v>
          </cell>
          <cell r="X12793" t="str">
            <v>Variation UPR - gross</v>
          </cell>
          <cell r="Y12793" t="str">
            <v>UNITED KINGDOM</v>
          </cell>
        </row>
        <row r="12794">
          <cell r="L12794" t="str">
            <v>Proportional</v>
          </cell>
          <cell r="S12794">
            <v>-160112.5</v>
          </cell>
          <cell r="X12794" t="str">
            <v>Variation UPR - gross</v>
          </cell>
          <cell r="Y12794" t="str">
            <v>AUSTRIA</v>
          </cell>
        </row>
        <row r="12795">
          <cell r="L12795" t="str">
            <v>Non-proportional</v>
          </cell>
          <cell r="S12795">
            <v>-26579.51</v>
          </cell>
          <cell r="X12795" t="str">
            <v>Variation UPR - gross</v>
          </cell>
          <cell r="Y12795" t="str">
            <v>UNITED KINGDOM</v>
          </cell>
        </row>
        <row r="12796">
          <cell r="L12796" t="str">
            <v>Non-proportional</v>
          </cell>
          <cell r="S12796">
            <v>-25517.66</v>
          </cell>
          <cell r="X12796" t="str">
            <v>Variation UPR - gross</v>
          </cell>
          <cell r="Y12796" t="str">
            <v>UNITED KINGDOM</v>
          </cell>
        </row>
        <row r="12797">
          <cell r="L12797" t="str">
            <v>Non-proportional</v>
          </cell>
          <cell r="S12797">
            <v>-8999.89</v>
          </cell>
          <cell r="X12797" t="str">
            <v>Variation UPR - gross</v>
          </cell>
          <cell r="Y12797" t="str">
            <v>GERMANY</v>
          </cell>
        </row>
        <row r="12798">
          <cell r="L12798" t="str">
            <v>Non-proportional</v>
          </cell>
          <cell r="S12798">
            <v>-548.32000000000005</v>
          </cell>
          <cell r="X12798" t="str">
            <v>Variation UPR - gross</v>
          </cell>
          <cell r="Y12798" t="str">
            <v>REPUBLIC OF IRELAND</v>
          </cell>
        </row>
        <row r="12799">
          <cell r="L12799" t="str">
            <v>Non-proportional</v>
          </cell>
          <cell r="S12799">
            <v>-0.01</v>
          </cell>
          <cell r="X12799" t="str">
            <v>Variation UPR - gross</v>
          </cell>
          <cell r="Y12799" t="str">
            <v>JAPAN</v>
          </cell>
        </row>
        <row r="12800">
          <cell r="L12800" t="str">
            <v>Non-proportional</v>
          </cell>
          <cell r="S12800">
            <v>-4435.6899999999996</v>
          </cell>
          <cell r="X12800" t="str">
            <v>Variation UPR - gross</v>
          </cell>
          <cell r="Y12800" t="str">
            <v>UNITED KINGDOM</v>
          </cell>
        </row>
        <row r="12801">
          <cell r="L12801" t="str">
            <v>Non-proportional</v>
          </cell>
          <cell r="S12801">
            <v>-28168.85</v>
          </cell>
          <cell r="X12801" t="str">
            <v>Variation UPR - gross</v>
          </cell>
          <cell r="Y12801" t="str">
            <v>UNITED KINGDOM</v>
          </cell>
        </row>
        <row r="12802">
          <cell r="L12802" t="str">
            <v>Non-proportional</v>
          </cell>
          <cell r="S12802">
            <v>-19238.32</v>
          </cell>
          <cell r="X12802" t="str">
            <v>Variation UPR - gross</v>
          </cell>
          <cell r="Y12802" t="str">
            <v>SWEDEN</v>
          </cell>
        </row>
        <row r="12803">
          <cell r="L12803" t="str">
            <v>Non-proportional</v>
          </cell>
          <cell r="S12803">
            <v>-51087.17</v>
          </cell>
          <cell r="X12803" t="str">
            <v>Variation UPR - gross</v>
          </cell>
          <cell r="Y12803" t="str">
            <v>UNITED KINGDOM</v>
          </cell>
        </row>
        <row r="12804">
          <cell r="L12804" t="str">
            <v>Non-proportional</v>
          </cell>
          <cell r="S12804">
            <v>-1553.57</v>
          </cell>
          <cell r="X12804" t="str">
            <v>Variation UPR - gross</v>
          </cell>
          <cell r="Y12804" t="str">
            <v>REPUBLIC OF IRELAND</v>
          </cell>
        </row>
        <row r="12805">
          <cell r="L12805" t="str">
            <v>Non-proportional</v>
          </cell>
          <cell r="S12805">
            <v>-3696.4</v>
          </cell>
          <cell r="X12805" t="str">
            <v>Variation UPR - gross</v>
          </cell>
          <cell r="Y12805" t="str">
            <v>UNITED KINGDOM</v>
          </cell>
        </row>
        <row r="12806">
          <cell r="L12806" t="str">
            <v>Proportional</v>
          </cell>
          <cell r="S12806">
            <v>-7808</v>
          </cell>
          <cell r="X12806" t="str">
            <v>Variation UPR - gross</v>
          </cell>
          <cell r="Y12806" t="str">
            <v>EUROPE</v>
          </cell>
        </row>
        <row r="12807">
          <cell r="L12807" t="str">
            <v>Non-proportional</v>
          </cell>
          <cell r="S12807">
            <v>-19764.25</v>
          </cell>
          <cell r="X12807" t="str">
            <v>Variation UPR - gross</v>
          </cell>
          <cell r="Y12807" t="str">
            <v>UNITED KINGDOM</v>
          </cell>
        </row>
        <row r="12808">
          <cell r="L12808" t="str">
            <v>Non-proportional</v>
          </cell>
          <cell r="S12808">
            <v>-6416.67</v>
          </cell>
          <cell r="X12808" t="str">
            <v>Variation UPR - gross</v>
          </cell>
          <cell r="Y12808" t="str">
            <v>GERMANY</v>
          </cell>
        </row>
        <row r="12809">
          <cell r="L12809" t="str">
            <v>Non-proportional</v>
          </cell>
          <cell r="S12809">
            <v>-51029.31</v>
          </cell>
          <cell r="X12809" t="str">
            <v>Variation UPR - gross</v>
          </cell>
          <cell r="Y12809" t="str">
            <v>UNITED KINGDOM</v>
          </cell>
        </row>
        <row r="12810">
          <cell r="L12810" t="str">
            <v>Non-proportional</v>
          </cell>
          <cell r="S12810">
            <v>-8125</v>
          </cell>
          <cell r="X12810" t="str">
            <v>Variation UPR - gross</v>
          </cell>
          <cell r="Y12810" t="str">
            <v>CZECH REPUBLIC</v>
          </cell>
        </row>
        <row r="12811">
          <cell r="L12811" t="str">
            <v>Non-proportional</v>
          </cell>
          <cell r="S12811">
            <v>-8613.6</v>
          </cell>
          <cell r="X12811" t="str">
            <v>Variation UPR - gross</v>
          </cell>
          <cell r="Y12811" t="str">
            <v>UNITED KINGDOM</v>
          </cell>
        </row>
        <row r="12812">
          <cell r="L12812" t="str">
            <v>Non-proportional</v>
          </cell>
          <cell r="S12812">
            <v>-1962.32</v>
          </cell>
          <cell r="X12812" t="str">
            <v>Variation UPR - gross</v>
          </cell>
          <cell r="Y12812" t="str">
            <v>GERMANY</v>
          </cell>
        </row>
        <row r="12813">
          <cell r="L12813" t="str">
            <v>Non-proportional</v>
          </cell>
          <cell r="S12813">
            <v>-820.54</v>
          </cell>
          <cell r="X12813" t="str">
            <v>Variation UPR - gross</v>
          </cell>
          <cell r="Y12813" t="str">
            <v>GERMANY</v>
          </cell>
        </row>
        <row r="12814">
          <cell r="L12814" t="str">
            <v>Non-proportional</v>
          </cell>
          <cell r="S12814">
            <v>-16172.64</v>
          </cell>
          <cell r="X12814" t="str">
            <v>Variation UPR - gross</v>
          </cell>
          <cell r="Y12814" t="str">
            <v>UNITED KINGDOM</v>
          </cell>
        </row>
        <row r="12815">
          <cell r="L12815" t="str">
            <v>Non-proportional</v>
          </cell>
          <cell r="S12815">
            <v>-3687.5</v>
          </cell>
          <cell r="X12815" t="str">
            <v>Variation UPR - gross</v>
          </cell>
          <cell r="Y12815" t="str">
            <v>GERMANY</v>
          </cell>
        </row>
        <row r="12816">
          <cell r="L12816" t="str">
            <v>Non-proportional</v>
          </cell>
          <cell r="S12816">
            <v>-4953.16</v>
          </cell>
          <cell r="X12816" t="str">
            <v>Variation UPR - gross</v>
          </cell>
          <cell r="Y12816" t="str">
            <v>SWITZERLAND</v>
          </cell>
        </row>
        <row r="12817">
          <cell r="L12817" t="str">
            <v>Non-proportional</v>
          </cell>
          <cell r="S12817">
            <v>-5369</v>
          </cell>
          <cell r="X12817" t="str">
            <v>Variation UPR - gross</v>
          </cell>
          <cell r="Y12817" t="str">
            <v>GERMANY</v>
          </cell>
        </row>
        <row r="12818">
          <cell r="L12818" t="str">
            <v>Non-proportional</v>
          </cell>
          <cell r="S12818">
            <v>-18900</v>
          </cell>
          <cell r="X12818" t="str">
            <v>Variation UPR - gross</v>
          </cell>
          <cell r="Y12818" t="str">
            <v>ROMANIA</v>
          </cell>
        </row>
        <row r="12819">
          <cell r="L12819" t="str">
            <v>Non-proportional</v>
          </cell>
          <cell r="S12819">
            <v>-7916.77</v>
          </cell>
          <cell r="X12819" t="str">
            <v>Variation UPR - gross</v>
          </cell>
          <cell r="Y12819" t="str">
            <v>GERMANY</v>
          </cell>
        </row>
        <row r="12820">
          <cell r="L12820" t="str">
            <v>Non-proportional</v>
          </cell>
          <cell r="S12820">
            <v>1452633.97</v>
          </cell>
          <cell r="X12820" t="str">
            <v>Variation UPR - gross</v>
          </cell>
          <cell r="Y12820" t="str">
            <v>UNITED KINGDOM</v>
          </cell>
        </row>
        <row r="12821">
          <cell r="L12821" t="str">
            <v>Non-proportional</v>
          </cell>
          <cell r="S12821">
            <v>-0.06</v>
          </cell>
          <cell r="X12821" t="str">
            <v>Variation UPR - gross</v>
          </cell>
          <cell r="Y12821" t="str">
            <v>ICELAND</v>
          </cell>
        </row>
        <row r="12822">
          <cell r="L12822" t="str">
            <v>Non-proportional</v>
          </cell>
          <cell r="S12822">
            <v>-6815.26</v>
          </cell>
          <cell r="X12822" t="str">
            <v>Variation UPR - gross</v>
          </cell>
          <cell r="Y12822" t="str">
            <v>UNITED KINGDOM</v>
          </cell>
        </row>
        <row r="12823">
          <cell r="L12823" t="str">
            <v>Non-proportional</v>
          </cell>
          <cell r="S12823">
            <v>-18.010000000000002</v>
          </cell>
          <cell r="X12823" t="str">
            <v>Variation UPR - gross</v>
          </cell>
          <cell r="Y12823" t="str">
            <v>EUROPE</v>
          </cell>
        </row>
        <row r="12824">
          <cell r="L12824" t="str">
            <v>Non-proportional</v>
          </cell>
          <cell r="S12824">
            <v>-8322.82</v>
          </cell>
          <cell r="X12824" t="str">
            <v>Variation UPR - gross</v>
          </cell>
          <cell r="Y12824" t="str">
            <v>GERMANY</v>
          </cell>
        </row>
        <row r="12825">
          <cell r="L12825" t="str">
            <v>Non-proportional</v>
          </cell>
          <cell r="S12825">
            <v>-11496.8</v>
          </cell>
          <cell r="X12825" t="str">
            <v>Variation UPR - gross</v>
          </cell>
          <cell r="Y12825" t="str">
            <v>SWITZERLAND</v>
          </cell>
        </row>
        <row r="12826">
          <cell r="L12826" t="str">
            <v>Non-proportional</v>
          </cell>
          <cell r="S12826">
            <v>-6037.5</v>
          </cell>
          <cell r="X12826" t="str">
            <v>Variation UPR - gross</v>
          </cell>
          <cell r="Y12826" t="str">
            <v>GERMANY</v>
          </cell>
        </row>
        <row r="12827">
          <cell r="L12827" t="str">
            <v>Non-proportional</v>
          </cell>
          <cell r="S12827">
            <v>-17228.38</v>
          </cell>
          <cell r="X12827" t="str">
            <v>Variation UPR - gross</v>
          </cell>
          <cell r="Y12827" t="str">
            <v>SWITZERLAND</v>
          </cell>
        </row>
        <row r="12828">
          <cell r="L12828" t="str">
            <v>Non-proportional</v>
          </cell>
          <cell r="S12828">
            <v>-6250</v>
          </cell>
          <cell r="X12828" t="str">
            <v>Variation UPR - gross</v>
          </cell>
          <cell r="Y12828" t="str">
            <v>GERMANY</v>
          </cell>
        </row>
        <row r="12829">
          <cell r="L12829" t="str">
            <v>Non-proportional</v>
          </cell>
          <cell r="S12829">
            <v>-1949.03</v>
          </cell>
          <cell r="X12829" t="str">
            <v>Variation UPR - gross</v>
          </cell>
          <cell r="Y12829" t="str">
            <v>JAPAN</v>
          </cell>
        </row>
        <row r="12830">
          <cell r="L12830" t="str">
            <v>Non-proportional</v>
          </cell>
          <cell r="S12830">
            <v>-15142.13</v>
          </cell>
          <cell r="X12830" t="str">
            <v>Variation UPR - gross</v>
          </cell>
          <cell r="Y12830" t="str">
            <v>SWITZERLAND</v>
          </cell>
        </row>
        <row r="12831">
          <cell r="L12831" t="str">
            <v>Non-proportional</v>
          </cell>
          <cell r="S12831">
            <v>-1401.66</v>
          </cell>
          <cell r="X12831" t="str">
            <v>Variation UPR - gross</v>
          </cell>
          <cell r="Y12831" t="str">
            <v>GERMANY</v>
          </cell>
        </row>
        <row r="12832">
          <cell r="L12832" t="str">
            <v>Non-proportional</v>
          </cell>
          <cell r="S12832">
            <v>-8206.5499999999993</v>
          </cell>
          <cell r="X12832" t="str">
            <v>Variation UPR - gross</v>
          </cell>
          <cell r="Y12832" t="str">
            <v>POLAND</v>
          </cell>
        </row>
        <row r="12833">
          <cell r="L12833" t="str">
            <v>Non-proportional</v>
          </cell>
          <cell r="S12833">
            <v>-4439.78</v>
          </cell>
          <cell r="X12833" t="str">
            <v>Variation UPR - gross</v>
          </cell>
          <cell r="Y12833" t="str">
            <v>GERMANY</v>
          </cell>
        </row>
        <row r="12834">
          <cell r="L12834" t="str">
            <v>Non-proportional</v>
          </cell>
          <cell r="S12834">
            <v>-4511.3999999999996</v>
          </cell>
          <cell r="X12834" t="str">
            <v>Variation UPR - gross</v>
          </cell>
          <cell r="Y12834" t="str">
            <v>AUSTRIA</v>
          </cell>
        </row>
        <row r="12835">
          <cell r="L12835" t="str">
            <v>Non-proportional</v>
          </cell>
          <cell r="S12835">
            <v>-56671.19</v>
          </cell>
          <cell r="X12835" t="str">
            <v>Variation UPR - gross</v>
          </cell>
          <cell r="Y12835" t="str">
            <v>UNITED KINGDOM</v>
          </cell>
        </row>
        <row r="12836">
          <cell r="L12836" t="str">
            <v>Non-proportional</v>
          </cell>
          <cell r="S12836">
            <v>-2802.35</v>
          </cell>
          <cell r="X12836" t="str">
            <v>Variation UPR - gross</v>
          </cell>
          <cell r="Y12836" t="str">
            <v>REPUBLIC OF IRELAND</v>
          </cell>
        </row>
        <row r="12837">
          <cell r="L12837" t="str">
            <v>Non-proportional</v>
          </cell>
          <cell r="S12837">
            <v>-14008.64</v>
          </cell>
          <cell r="X12837" t="str">
            <v>Variation UPR - gross</v>
          </cell>
          <cell r="Y12837" t="str">
            <v>GERMANY</v>
          </cell>
        </row>
        <row r="12838">
          <cell r="L12838" t="str">
            <v>Non-proportional</v>
          </cell>
          <cell r="S12838">
            <v>-2445.63</v>
          </cell>
          <cell r="X12838" t="str">
            <v>Variation UPR - gross</v>
          </cell>
          <cell r="Y12838" t="str">
            <v>AUSTRALIA</v>
          </cell>
        </row>
        <row r="12839">
          <cell r="L12839" t="str">
            <v>Non-proportional</v>
          </cell>
          <cell r="S12839">
            <v>-2340</v>
          </cell>
          <cell r="X12839" t="str">
            <v>Variation UPR - gross</v>
          </cell>
          <cell r="Y12839" t="str">
            <v>GERMANY</v>
          </cell>
        </row>
        <row r="12840">
          <cell r="L12840" t="str">
            <v>Non-proportional</v>
          </cell>
          <cell r="S12840">
            <v>-11.18</v>
          </cell>
          <cell r="X12840" t="str">
            <v>Variation UPR - gross</v>
          </cell>
          <cell r="Y12840" t="str">
            <v>NORWAY</v>
          </cell>
        </row>
        <row r="12841">
          <cell r="L12841" t="str">
            <v>Non-proportional</v>
          </cell>
          <cell r="S12841">
            <v>-7528.92</v>
          </cell>
          <cell r="X12841" t="str">
            <v>Variation UPR - gross</v>
          </cell>
          <cell r="Y12841" t="str">
            <v>UNITED KINGDOM</v>
          </cell>
        </row>
        <row r="12842">
          <cell r="L12842" t="str">
            <v>Non-proportional</v>
          </cell>
          <cell r="S12842">
            <v>-3107.74</v>
          </cell>
          <cell r="X12842" t="str">
            <v>Variation UPR - gross</v>
          </cell>
          <cell r="Y12842" t="str">
            <v>ICELAND</v>
          </cell>
        </row>
        <row r="12843">
          <cell r="L12843" t="str">
            <v>Non-proportional</v>
          </cell>
          <cell r="S12843">
            <v>-4984.72</v>
          </cell>
          <cell r="X12843" t="str">
            <v>Variation UPR - gross</v>
          </cell>
          <cell r="Y12843" t="str">
            <v>GERMANY</v>
          </cell>
        </row>
        <row r="12844">
          <cell r="L12844" t="str">
            <v>Non-proportional</v>
          </cell>
          <cell r="S12844">
            <v>-35570.32</v>
          </cell>
          <cell r="X12844" t="str">
            <v>Variation UPR - gross</v>
          </cell>
          <cell r="Y12844" t="str">
            <v>FRANCE</v>
          </cell>
        </row>
        <row r="12845">
          <cell r="L12845" t="str">
            <v>Non-proportional</v>
          </cell>
          <cell r="S12845">
            <v>-16320.62</v>
          </cell>
          <cell r="X12845" t="str">
            <v>Variation UPR - gross</v>
          </cell>
          <cell r="Y12845" t="str">
            <v>DENMARK</v>
          </cell>
        </row>
        <row r="12846">
          <cell r="L12846" t="str">
            <v>Non-proportional</v>
          </cell>
          <cell r="S12846">
            <v>-3529.1</v>
          </cell>
          <cell r="X12846" t="str">
            <v>Variation UPR - gross</v>
          </cell>
          <cell r="Y12846" t="str">
            <v>FAROE ISLANDS</v>
          </cell>
        </row>
        <row r="12847">
          <cell r="L12847" t="str">
            <v>Non-proportional</v>
          </cell>
          <cell r="S12847">
            <v>-873.38</v>
          </cell>
          <cell r="X12847" t="str">
            <v>Variation UPR - gross</v>
          </cell>
          <cell r="Y12847" t="str">
            <v>GERMANY</v>
          </cell>
        </row>
        <row r="12848">
          <cell r="L12848" t="str">
            <v>Non-proportional</v>
          </cell>
          <cell r="S12848">
            <v>-15538.87</v>
          </cell>
          <cell r="X12848" t="str">
            <v>Variation UPR - gross</v>
          </cell>
          <cell r="Y12848" t="str">
            <v>UNITED KINGDOM</v>
          </cell>
        </row>
        <row r="12849">
          <cell r="L12849" t="str">
            <v>Non-proportional</v>
          </cell>
          <cell r="S12849">
            <v>-5803.59</v>
          </cell>
          <cell r="X12849" t="str">
            <v>Variation UPR - gross</v>
          </cell>
          <cell r="Y12849" t="str">
            <v>DENMARK</v>
          </cell>
        </row>
        <row r="12850">
          <cell r="L12850" t="str">
            <v>Non-proportional</v>
          </cell>
          <cell r="S12850">
            <v>-534.08000000000004</v>
          </cell>
          <cell r="X12850" t="str">
            <v>Variation UPR - gross</v>
          </cell>
          <cell r="Y12850" t="str">
            <v>NORWAY</v>
          </cell>
        </row>
        <row r="12851">
          <cell r="L12851" t="str">
            <v>Non-proportional</v>
          </cell>
          <cell r="S12851">
            <v>-1338.66</v>
          </cell>
          <cell r="X12851" t="str">
            <v>Variation UPR - gross</v>
          </cell>
          <cell r="Y12851" t="str">
            <v>DENMARK</v>
          </cell>
        </row>
        <row r="12852">
          <cell r="L12852" t="str">
            <v>Non-proportional</v>
          </cell>
          <cell r="S12852">
            <v>-14632</v>
          </cell>
          <cell r="X12852" t="str">
            <v>Variation UPR - gross</v>
          </cell>
          <cell r="Y12852" t="str">
            <v>GERMANY</v>
          </cell>
        </row>
        <row r="12853">
          <cell r="L12853" t="str">
            <v>Non-proportional</v>
          </cell>
          <cell r="S12853">
            <v>-308684.90000000002</v>
          </cell>
          <cell r="X12853" t="str">
            <v>Variation UPR - gross</v>
          </cell>
          <cell r="Y12853" t="str">
            <v>UNITED KINGDOM</v>
          </cell>
        </row>
        <row r="12854">
          <cell r="L12854" t="str">
            <v>Non-proportional</v>
          </cell>
          <cell r="S12854">
            <v>-34502.01</v>
          </cell>
          <cell r="X12854" t="str">
            <v>Variation UPR - gross</v>
          </cell>
          <cell r="Y12854" t="str">
            <v>CZECH REPUBLIC</v>
          </cell>
        </row>
        <row r="12855">
          <cell r="L12855" t="str">
            <v>Non-proportional</v>
          </cell>
          <cell r="S12855">
            <v>-3392.5</v>
          </cell>
          <cell r="X12855" t="str">
            <v>Variation UPR - gross</v>
          </cell>
          <cell r="Y12855" t="str">
            <v>ITALY</v>
          </cell>
        </row>
        <row r="12856">
          <cell r="L12856" t="str">
            <v>Non-proportional</v>
          </cell>
          <cell r="S12856">
            <v>-38268</v>
          </cell>
          <cell r="X12856" t="str">
            <v>Variation UPR - gross</v>
          </cell>
          <cell r="Y12856" t="str">
            <v>UNITED KINGDOM</v>
          </cell>
        </row>
        <row r="12857">
          <cell r="L12857" t="str">
            <v>Non-proportional</v>
          </cell>
          <cell r="S12857">
            <v>-5527.05</v>
          </cell>
          <cell r="X12857" t="str">
            <v>Variation UPR - gross</v>
          </cell>
          <cell r="Y12857" t="str">
            <v>GERMANY</v>
          </cell>
        </row>
        <row r="12858">
          <cell r="L12858" t="str">
            <v>Non-proportional</v>
          </cell>
          <cell r="S12858">
            <v>-40968.980000000003</v>
          </cell>
          <cell r="X12858" t="str">
            <v>Variation UPR - gross</v>
          </cell>
          <cell r="Y12858" t="str">
            <v>UNITED KINGDOM</v>
          </cell>
        </row>
        <row r="12859">
          <cell r="L12859" t="str">
            <v>Non-proportional</v>
          </cell>
          <cell r="S12859">
            <v>-37292.42</v>
          </cell>
          <cell r="X12859" t="str">
            <v>Variation UPR - gross</v>
          </cell>
          <cell r="Y12859" t="str">
            <v>UNITED KINGDOM</v>
          </cell>
        </row>
        <row r="12860">
          <cell r="L12860" t="str">
            <v>Non-proportional</v>
          </cell>
          <cell r="S12860">
            <v>-33726.39</v>
          </cell>
          <cell r="X12860" t="str">
            <v>Variation UPR - gross</v>
          </cell>
          <cell r="Y12860" t="str">
            <v>FRANCE</v>
          </cell>
        </row>
        <row r="12861">
          <cell r="L12861" t="str">
            <v>Non-proportional</v>
          </cell>
          <cell r="S12861">
            <v>-2578.71</v>
          </cell>
          <cell r="X12861" t="str">
            <v>Variation UPR - gross</v>
          </cell>
          <cell r="Y12861" t="str">
            <v>UNITED KINGDOM</v>
          </cell>
        </row>
        <row r="12862">
          <cell r="L12862" t="str">
            <v>Non-proportional</v>
          </cell>
          <cell r="S12862">
            <v>-7196.29</v>
          </cell>
          <cell r="X12862" t="str">
            <v>Variation UPR - gross</v>
          </cell>
          <cell r="Y12862" t="str">
            <v>DENMARK</v>
          </cell>
        </row>
        <row r="12863">
          <cell r="L12863" t="str">
            <v>Non-proportional</v>
          </cell>
          <cell r="S12863">
            <v>-987.05</v>
          </cell>
          <cell r="X12863" t="str">
            <v>Variation UPR - gross</v>
          </cell>
          <cell r="Y12863" t="str">
            <v>SWITZERLAND</v>
          </cell>
        </row>
        <row r="12864">
          <cell r="L12864" t="str">
            <v>Non-proportional</v>
          </cell>
          <cell r="S12864">
            <v>-451.25</v>
          </cell>
          <cell r="X12864" t="str">
            <v>Variation UPR - gross</v>
          </cell>
          <cell r="Y12864" t="str">
            <v>ITALY</v>
          </cell>
        </row>
        <row r="12865">
          <cell r="L12865" t="str">
            <v>Non-proportional</v>
          </cell>
          <cell r="S12865">
            <v>-818.46</v>
          </cell>
          <cell r="X12865" t="str">
            <v>Variation UPR - gross</v>
          </cell>
          <cell r="Y12865" t="str">
            <v>JAPAN</v>
          </cell>
        </row>
        <row r="12866">
          <cell r="L12866" t="str">
            <v>Non-proportional</v>
          </cell>
          <cell r="S12866">
            <v>-3262.5</v>
          </cell>
          <cell r="X12866" t="str">
            <v>Variation UPR - gross</v>
          </cell>
          <cell r="Y12866" t="str">
            <v>ROMANIA</v>
          </cell>
        </row>
        <row r="12867">
          <cell r="L12867" t="str">
            <v>Non-proportional</v>
          </cell>
          <cell r="S12867">
            <v>-117.79</v>
          </cell>
          <cell r="X12867" t="str">
            <v>Variation UPR - gross</v>
          </cell>
          <cell r="Y12867" t="str">
            <v>FRANCE</v>
          </cell>
        </row>
        <row r="12868">
          <cell r="L12868" t="str">
            <v>Non-proportional</v>
          </cell>
          <cell r="S12868">
            <v>-7851.48</v>
          </cell>
          <cell r="X12868" t="str">
            <v>Variation UPR - gross</v>
          </cell>
          <cell r="Y12868" t="str">
            <v>SWITZERLAND</v>
          </cell>
        </row>
        <row r="12869">
          <cell r="L12869" t="str">
            <v>Non-proportional</v>
          </cell>
          <cell r="S12869">
            <v>-1835.91</v>
          </cell>
          <cell r="X12869" t="str">
            <v>Variation UPR - gross</v>
          </cell>
          <cell r="Y12869" t="str">
            <v>JAPAN</v>
          </cell>
        </row>
        <row r="12870">
          <cell r="L12870" t="str">
            <v>Non-proportional</v>
          </cell>
          <cell r="S12870">
            <v>-9751.23</v>
          </cell>
          <cell r="X12870" t="str">
            <v>Variation UPR - gross</v>
          </cell>
          <cell r="Y12870" t="str">
            <v>GERMANY</v>
          </cell>
        </row>
        <row r="12871">
          <cell r="L12871" t="str">
            <v>Non-proportional</v>
          </cell>
          <cell r="S12871">
            <v>-8348.4500000000007</v>
          </cell>
          <cell r="X12871" t="str">
            <v>Variation UPR - gross</v>
          </cell>
          <cell r="Y12871" t="str">
            <v>DENMARK</v>
          </cell>
        </row>
        <row r="12872">
          <cell r="L12872" t="str">
            <v>Non-proportional</v>
          </cell>
          <cell r="S12872">
            <v>-1279.43</v>
          </cell>
          <cell r="X12872" t="str">
            <v>Variation UPR - gross</v>
          </cell>
          <cell r="Y12872" t="str">
            <v>FRANCE</v>
          </cell>
        </row>
        <row r="12873">
          <cell r="L12873" t="str">
            <v>Non-proportional</v>
          </cell>
          <cell r="S12873">
            <v>-4091.74</v>
          </cell>
          <cell r="X12873" t="str">
            <v>Variation UPR - gross</v>
          </cell>
          <cell r="Y12873" t="str">
            <v>SWITZERLAND</v>
          </cell>
        </row>
        <row r="12874">
          <cell r="L12874" t="str">
            <v>Non-proportional</v>
          </cell>
          <cell r="S12874">
            <v>-271185.89</v>
          </cell>
          <cell r="X12874" t="str">
            <v>Variation UPR - gross</v>
          </cell>
          <cell r="Y12874" t="str">
            <v>UNITED KINGDOM</v>
          </cell>
        </row>
        <row r="12875">
          <cell r="L12875" t="str">
            <v>Non-proportional</v>
          </cell>
          <cell r="S12875">
            <v>-6250.52</v>
          </cell>
          <cell r="X12875" t="str">
            <v>Variation UPR - gross</v>
          </cell>
          <cell r="Y12875" t="str">
            <v>GERMANY</v>
          </cell>
        </row>
        <row r="12876">
          <cell r="L12876" t="str">
            <v>Non-proportional</v>
          </cell>
          <cell r="S12876">
            <v>-5839.37</v>
          </cell>
          <cell r="X12876" t="str">
            <v>Variation UPR - gross</v>
          </cell>
          <cell r="Y12876" t="str">
            <v>UNITED KINGDOM</v>
          </cell>
        </row>
        <row r="12877">
          <cell r="L12877"/>
          <cell r="S12877">
            <v>1938126.19</v>
          </cell>
          <cell r="X12877" t="str">
            <v>Variation UPR - gross</v>
          </cell>
          <cell r="Y12877" t="str">
            <v>UNITED KINGDOM</v>
          </cell>
        </row>
        <row r="12878">
          <cell r="L12878" t="str">
            <v>Non-proportional</v>
          </cell>
          <cell r="S12878">
            <v>-12074.88</v>
          </cell>
          <cell r="X12878" t="str">
            <v>Variation UPR - gross</v>
          </cell>
          <cell r="Y12878" t="str">
            <v>FRANCE</v>
          </cell>
        </row>
        <row r="12879">
          <cell r="L12879" t="str">
            <v>Non-proportional</v>
          </cell>
          <cell r="S12879">
            <v>-1401.66</v>
          </cell>
          <cell r="X12879" t="str">
            <v>Variation UPR - gross</v>
          </cell>
          <cell r="Y12879" t="str">
            <v>GERMANY</v>
          </cell>
        </row>
        <row r="12880">
          <cell r="L12880" t="str">
            <v>Non-proportional</v>
          </cell>
          <cell r="S12880">
            <v>-23401.8</v>
          </cell>
          <cell r="X12880" t="str">
            <v>Variation UPR - gross</v>
          </cell>
          <cell r="Y12880" t="str">
            <v>GERMANY</v>
          </cell>
        </row>
        <row r="12881">
          <cell r="L12881" t="str">
            <v>Non-proportional</v>
          </cell>
          <cell r="S12881">
            <v>-42178.41</v>
          </cell>
          <cell r="X12881" t="str">
            <v>Variation UPR - gross</v>
          </cell>
          <cell r="Y12881" t="str">
            <v>UNITED KINGDOM</v>
          </cell>
        </row>
        <row r="12882">
          <cell r="L12882" t="str">
            <v>Non-proportional</v>
          </cell>
          <cell r="S12882">
            <v>-4553.8100000000004</v>
          </cell>
          <cell r="X12882" t="str">
            <v>Variation UPR - gross</v>
          </cell>
          <cell r="Y12882" t="str">
            <v>REPUBLIC OF IRELAND</v>
          </cell>
        </row>
        <row r="12883">
          <cell r="L12883" t="str">
            <v>Non-proportional</v>
          </cell>
          <cell r="S12883">
            <v>-5893.93</v>
          </cell>
          <cell r="X12883" t="str">
            <v>Variation UPR - gross</v>
          </cell>
          <cell r="Y12883" t="str">
            <v>AUSTRIA</v>
          </cell>
        </row>
        <row r="12884">
          <cell r="L12884" t="str">
            <v>Non-proportional</v>
          </cell>
          <cell r="S12884">
            <v>-5843.85</v>
          </cell>
          <cell r="X12884" t="str">
            <v>Variation UPR - gross</v>
          </cell>
          <cell r="Y12884" t="str">
            <v>NORWAY</v>
          </cell>
        </row>
        <row r="12885">
          <cell r="L12885" t="str">
            <v>Non-proportional</v>
          </cell>
          <cell r="S12885">
            <v>-3036.44</v>
          </cell>
          <cell r="X12885" t="str">
            <v>Variation UPR - gross</v>
          </cell>
          <cell r="Y12885" t="str">
            <v>ICELAND</v>
          </cell>
        </row>
        <row r="12886">
          <cell r="L12886" t="str">
            <v>Non-proportional</v>
          </cell>
          <cell r="S12886">
            <v>-10594.94</v>
          </cell>
          <cell r="X12886" t="str">
            <v>Variation UPR - gross</v>
          </cell>
          <cell r="Y12886" t="str">
            <v>GERMANY</v>
          </cell>
        </row>
        <row r="12887">
          <cell r="L12887" t="str">
            <v>Non-proportional</v>
          </cell>
          <cell r="S12887">
            <v>-14120</v>
          </cell>
          <cell r="X12887" t="str">
            <v>Variation UPR - gross</v>
          </cell>
          <cell r="Y12887" t="str">
            <v>AUSTRIA</v>
          </cell>
        </row>
        <row r="12888">
          <cell r="L12888" t="str">
            <v>Non-proportional</v>
          </cell>
          <cell r="S12888">
            <v>-51402.47</v>
          </cell>
          <cell r="X12888" t="str">
            <v>Variation UPR - gross</v>
          </cell>
          <cell r="Y12888" t="str">
            <v>UNITED KINGDOM</v>
          </cell>
        </row>
        <row r="12889">
          <cell r="L12889" t="str">
            <v>Non-proportional</v>
          </cell>
          <cell r="S12889">
            <v>-20770.63</v>
          </cell>
          <cell r="X12889" t="str">
            <v>Variation UPR - gross</v>
          </cell>
          <cell r="Y12889" t="str">
            <v>FRANCE</v>
          </cell>
        </row>
        <row r="12890">
          <cell r="L12890" t="str">
            <v>Non-proportional</v>
          </cell>
          <cell r="S12890">
            <v>-7604.21</v>
          </cell>
          <cell r="X12890" t="str">
            <v>Variation UPR - gross</v>
          </cell>
          <cell r="Y12890" t="str">
            <v>GERMANY</v>
          </cell>
        </row>
        <row r="12891">
          <cell r="L12891" t="str">
            <v>Non-proportional</v>
          </cell>
          <cell r="S12891">
            <v>-16.96</v>
          </cell>
          <cell r="X12891" t="str">
            <v>Variation UPR - gross</v>
          </cell>
          <cell r="Y12891" t="str">
            <v>POLAND</v>
          </cell>
        </row>
        <row r="12892">
          <cell r="L12892" t="str">
            <v>Non-proportional</v>
          </cell>
          <cell r="S12892">
            <v>-113.39</v>
          </cell>
          <cell r="X12892" t="str">
            <v>Variation UPR - gross</v>
          </cell>
          <cell r="Y12892" t="str">
            <v>UNITED ARAB EMIRATES</v>
          </cell>
        </row>
        <row r="12893">
          <cell r="L12893" t="str">
            <v>Non-proportional</v>
          </cell>
          <cell r="S12893">
            <v>-1237.21</v>
          </cell>
          <cell r="X12893" t="str">
            <v>Variation UPR - gross</v>
          </cell>
          <cell r="Y12893" t="str">
            <v>UNITED KINGDOM</v>
          </cell>
        </row>
        <row r="12894">
          <cell r="L12894" t="str">
            <v>Non-proportional</v>
          </cell>
          <cell r="S12894">
            <v>-25944.77</v>
          </cell>
          <cell r="X12894" t="str">
            <v>Variation UPR - gross</v>
          </cell>
          <cell r="Y12894" t="str">
            <v>UNITED KINGDOM</v>
          </cell>
        </row>
        <row r="12895">
          <cell r="L12895" t="str">
            <v>Non-proportional</v>
          </cell>
          <cell r="S12895">
            <v>-52.28</v>
          </cell>
          <cell r="X12895" t="str">
            <v>Variation UPR - gross</v>
          </cell>
          <cell r="Y12895" t="str">
            <v>UNITED ARAB EMIRATES</v>
          </cell>
        </row>
        <row r="12896">
          <cell r="L12896" t="str">
            <v>Non-proportional</v>
          </cell>
          <cell r="S12896">
            <v>-5717.64</v>
          </cell>
          <cell r="X12896" t="str">
            <v>Variation UPR - gross</v>
          </cell>
          <cell r="Y12896" t="str">
            <v>GERMANY</v>
          </cell>
        </row>
        <row r="12897">
          <cell r="L12897" t="str">
            <v>Non-proportional</v>
          </cell>
          <cell r="S12897">
            <v>-7591.1</v>
          </cell>
          <cell r="X12897" t="str">
            <v>Variation UPR - gross</v>
          </cell>
          <cell r="Y12897" t="str">
            <v>ICELAND</v>
          </cell>
        </row>
        <row r="12898">
          <cell r="L12898" t="str">
            <v>Non-proportional</v>
          </cell>
          <cell r="S12898">
            <v>-4276.3599999999997</v>
          </cell>
          <cell r="X12898" t="str">
            <v>Variation UPR - gross</v>
          </cell>
          <cell r="Y12898" t="str">
            <v>AUSTRALIA</v>
          </cell>
        </row>
        <row r="12899">
          <cell r="L12899" t="str">
            <v>Non-proportional</v>
          </cell>
          <cell r="S12899">
            <v>-11337.6</v>
          </cell>
          <cell r="X12899" t="str">
            <v>Variation UPR - gross</v>
          </cell>
          <cell r="Y12899" t="str">
            <v>UNITED KINGDOM</v>
          </cell>
        </row>
        <row r="12900">
          <cell r="L12900" t="str">
            <v>Non-proportional</v>
          </cell>
          <cell r="S12900">
            <v>-16112.84</v>
          </cell>
          <cell r="X12900" t="str">
            <v>Variation UPR - gross</v>
          </cell>
          <cell r="Y12900" t="str">
            <v>EUROPE</v>
          </cell>
        </row>
        <row r="12901">
          <cell r="L12901" t="str">
            <v>Non-proportional</v>
          </cell>
          <cell r="S12901">
            <v>-37346.01</v>
          </cell>
          <cell r="X12901" t="str">
            <v>Variation UPR - gross</v>
          </cell>
          <cell r="Y12901" t="str">
            <v>FRANCE</v>
          </cell>
        </row>
        <row r="12902">
          <cell r="L12902" t="str">
            <v>Non-proportional</v>
          </cell>
          <cell r="S12902">
            <v>-25393.599999999999</v>
          </cell>
          <cell r="X12902" t="str">
            <v>Variation UPR - gross</v>
          </cell>
          <cell r="Y12902" t="str">
            <v>GERMANY</v>
          </cell>
        </row>
        <row r="12903">
          <cell r="L12903" t="str">
            <v>Non-proportional</v>
          </cell>
          <cell r="S12903">
            <v>10.47</v>
          </cell>
          <cell r="X12903" t="str">
            <v>Variation UPR - gross</v>
          </cell>
          <cell r="Y12903" t="str">
            <v>SWEDEN</v>
          </cell>
        </row>
        <row r="12904">
          <cell r="L12904" t="str">
            <v>Non-proportional</v>
          </cell>
          <cell r="S12904">
            <v>-12896.42</v>
          </cell>
          <cell r="X12904" t="str">
            <v>Variation UPR - gross</v>
          </cell>
          <cell r="Y12904" t="str">
            <v>UNITED KINGDOM</v>
          </cell>
        </row>
        <row r="12905">
          <cell r="L12905" t="str">
            <v>Non-proportional</v>
          </cell>
          <cell r="S12905">
            <v>-11670.96</v>
          </cell>
          <cell r="X12905" t="str">
            <v>Variation UPR - gross</v>
          </cell>
          <cell r="Y12905" t="str">
            <v>SWITZERLAND</v>
          </cell>
        </row>
        <row r="12906">
          <cell r="L12906" t="str">
            <v>Non-proportional</v>
          </cell>
          <cell r="S12906">
            <v>-5368.75</v>
          </cell>
          <cell r="X12906" t="str">
            <v>Variation UPR - gross</v>
          </cell>
          <cell r="Y12906" t="str">
            <v>DENMARK</v>
          </cell>
        </row>
        <row r="12907">
          <cell r="L12907" t="str">
            <v>Non-proportional</v>
          </cell>
          <cell r="S12907">
            <v>-1553.57</v>
          </cell>
          <cell r="X12907" t="str">
            <v>Variation UPR - gross</v>
          </cell>
          <cell r="Y12907" t="str">
            <v>REPUBLIC OF IRELAND</v>
          </cell>
        </row>
        <row r="12908">
          <cell r="L12908" t="str">
            <v>Non-proportional</v>
          </cell>
          <cell r="S12908">
            <v>-43750</v>
          </cell>
          <cell r="X12908" t="str">
            <v>Variation UPR - gross</v>
          </cell>
          <cell r="Y12908" t="str">
            <v>GERMANY</v>
          </cell>
        </row>
        <row r="12909">
          <cell r="L12909" t="str">
            <v>Non-proportional</v>
          </cell>
          <cell r="S12909">
            <v>-6774.22</v>
          </cell>
          <cell r="X12909" t="str">
            <v>Variation UPR - gross</v>
          </cell>
          <cell r="Y12909" t="str">
            <v>UNITED KINGDOM</v>
          </cell>
        </row>
        <row r="12910">
          <cell r="L12910" t="str">
            <v>Non-proportional</v>
          </cell>
          <cell r="S12910">
            <v>-11354.85</v>
          </cell>
          <cell r="X12910" t="str">
            <v>Variation UPR - gross</v>
          </cell>
          <cell r="Y12910" t="str">
            <v>GERMANY</v>
          </cell>
        </row>
        <row r="12911">
          <cell r="L12911" t="str">
            <v>Non-proportional</v>
          </cell>
          <cell r="S12911">
            <v>-5369</v>
          </cell>
          <cell r="X12911" t="str">
            <v>Variation UPR - gross</v>
          </cell>
          <cell r="Y12911" t="str">
            <v>GERMANY</v>
          </cell>
        </row>
        <row r="12912">
          <cell r="L12912" t="str">
            <v>Non-proportional</v>
          </cell>
          <cell r="S12912">
            <v>-48146.66</v>
          </cell>
          <cell r="X12912" t="str">
            <v>Variation UPR - gross</v>
          </cell>
          <cell r="Y12912" t="str">
            <v>UNITED KINGDOM</v>
          </cell>
        </row>
        <row r="12913">
          <cell r="L12913" t="str">
            <v>Non-proportional</v>
          </cell>
          <cell r="S12913">
            <v>-2816.19</v>
          </cell>
          <cell r="X12913" t="str">
            <v>Variation UPR - gross</v>
          </cell>
          <cell r="Y12913" t="str">
            <v>FRANCE</v>
          </cell>
        </row>
        <row r="12914">
          <cell r="L12914" t="str">
            <v>Non-proportional</v>
          </cell>
          <cell r="S12914">
            <v>-12067.66</v>
          </cell>
          <cell r="X12914" t="str">
            <v>Variation UPR - gross</v>
          </cell>
          <cell r="Y12914" t="str">
            <v>UNITED KINGDOM</v>
          </cell>
        </row>
        <row r="12915">
          <cell r="L12915" t="str">
            <v>Non-proportional</v>
          </cell>
          <cell r="S12915">
            <v>-6458.33</v>
          </cell>
          <cell r="X12915" t="str">
            <v>Variation UPR - gross</v>
          </cell>
          <cell r="Y12915" t="str">
            <v>AUSTRIA</v>
          </cell>
        </row>
        <row r="12916">
          <cell r="L12916" t="str">
            <v>Non-proportional</v>
          </cell>
          <cell r="S12916">
            <v>0.46</v>
          </cell>
          <cell r="X12916" t="str">
            <v>Variation UPR - gross</v>
          </cell>
          <cell r="Y12916" t="str">
            <v>DENMARK</v>
          </cell>
        </row>
        <row r="12917">
          <cell r="L12917" t="str">
            <v>Non-proportional</v>
          </cell>
          <cell r="S12917">
            <v>-55198.39</v>
          </cell>
          <cell r="X12917" t="str">
            <v>Variation UPR - gross</v>
          </cell>
          <cell r="Y12917" t="str">
            <v>UNITED KINGDOM</v>
          </cell>
        </row>
        <row r="12918">
          <cell r="L12918" t="str">
            <v>Non-proportional</v>
          </cell>
          <cell r="S12918">
            <v>-28374.84</v>
          </cell>
          <cell r="X12918" t="str">
            <v>Variation UPR - gross</v>
          </cell>
          <cell r="Y12918" t="str">
            <v>UNITED KINGDOM</v>
          </cell>
        </row>
        <row r="12919">
          <cell r="L12919" t="str">
            <v>Non-proportional</v>
          </cell>
          <cell r="S12919">
            <v>-273168.96999999997</v>
          </cell>
          <cell r="X12919" t="str">
            <v>Variation UPR - gross</v>
          </cell>
          <cell r="Y12919" t="str">
            <v>UNITED KINGDOM</v>
          </cell>
        </row>
        <row r="12920">
          <cell r="L12920" t="str">
            <v>Non-proportional</v>
          </cell>
          <cell r="S12920">
            <v>-4439.78</v>
          </cell>
          <cell r="X12920" t="str">
            <v>Variation UPR - gross</v>
          </cell>
          <cell r="Y12920" t="str">
            <v>GERMANY</v>
          </cell>
        </row>
        <row r="12921">
          <cell r="L12921" t="str">
            <v>Non-proportional</v>
          </cell>
          <cell r="S12921">
            <v>3.79</v>
          </cell>
          <cell r="X12921" t="str">
            <v>Variation UPR - gross</v>
          </cell>
          <cell r="Y12921" t="str">
            <v>DENMARK</v>
          </cell>
        </row>
        <row r="12922">
          <cell r="L12922" t="str">
            <v>Non-proportional</v>
          </cell>
          <cell r="S12922">
            <v>-3599.15</v>
          </cell>
          <cell r="X12922" t="str">
            <v>Variation UPR - gross</v>
          </cell>
          <cell r="Y12922" t="str">
            <v>FAROE ISLANDS</v>
          </cell>
        </row>
        <row r="12923">
          <cell r="L12923" t="str">
            <v>Non-proportional</v>
          </cell>
          <cell r="S12923">
            <v>-2502.27</v>
          </cell>
          <cell r="X12923" t="str">
            <v>Variation UPR - gross</v>
          </cell>
          <cell r="Y12923" t="str">
            <v>SPAIN</v>
          </cell>
        </row>
        <row r="12924">
          <cell r="L12924" t="str">
            <v>Non-proportional</v>
          </cell>
          <cell r="S12924">
            <v>-20707.14</v>
          </cell>
          <cell r="X12924" t="str">
            <v>Variation UPR - gross</v>
          </cell>
          <cell r="Y12924" t="str">
            <v>EUROPE</v>
          </cell>
        </row>
        <row r="12925">
          <cell r="L12925" t="str">
            <v>Non-proportional</v>
          </cell>
          <cell r="S12925">
            <v>-2637.27</v>
          </cell>
          <cell r="X12925" t="str">
            <v>Variation UPR - gross</v>
          </cell>
          <cell r="Y12925" t="str">
            <v>GERMANY</v>
          </cell>
        </row>
        <row r="12926">
          <cell r="L12926" t="str">
            <v>Non-proportional</v>
          </cell>
          <cell r="S12926">
            <v>-7300.24</v>
          </cell>
          <cell r="X12926" t="str">
            <v>Variation UPR - gross</v>
          </cell>
          <cell r="Y12926" t="str">
            <v>FAROE ISLANDS</v>
          </cell>
        </row>
        <row r="12927">
          <cell r="L12927" t="str">
            <v>Proportional</v>
          </cell>
          <cell r="S12927">
            <v>-160112.5</v>
          </cell>
          <cell r="X12927" t="str">
            <v>Variation UPR - gross</v>
          </cell>
          <cell r="Y12927" t="str">
            <v>AUSTRIA</v>
          </cell>
        </row>
        <row r="12928">
          <cell r="L12928" t="str">
            <v>Non-proportional</v>
          </cell>
          <cell r="S12928">
            <v>-13399.72</v>
          </cell>
          <cell r="X12928" t="str">
            <v>Variation UPR - gross</v>
          </cell>
          <cell r="Y12928" t="str">
            <v>GERMANY</v>
          </cell>
        </row>
        <row r="12929">
          <cell r="L12929" t="str">
            <v>Non-proportional</v>
          </cell>
          <cell r="S12929">
            <v>-17171.07</v>
          </cell>
          <cell r="X12929" t="str">
            <v>Variation UPR - gross</v>
          </cell>
          <cell r="Y12929" t="str">
            <v>SWITZERLAND</v>
          </cell>
        </row>
        <row r="12930">
          <cell r="L12930" t="str">
            <v>Non-proportional</v>
          </cell>
          <cell r="S12930">
            <v>-1535.54</v>
          </cell>
          <cell r="X12930" t="str">
            <v>Variation UPR - gross</v>
          </cell>
          <cell r="Y12930" t="str">
            <v>UNITED ARAB EMIRATES</v>
          </cell>
        </row>
        <row r="12931">
          <cell r="L12931" t="str">
            <v>Non-proportional</v>
          </cell>
          <cell r="S12931">
            <v>-34550.58</v>
          </cell>
          <cell r="X12931" t="str">
            <v>Variation UPR - gross</v>
          </cell>
          <cell r="Y12931" t="str">
            <v>UNITED KINGDOM</v>
          </cell>
        </row>
        <row r="12932">
          <cell r="L12932" t="str">
            <v>Non-proportional</v>
          </cell>
          <cell r="S12932">
            <v>0.01</v>
          </cell>
          <cell r="X12932" t="str">
            <v>Variation UPR - gross</v>
          </cell>
          <cell r="Y12932" t="str">
            <v>JAPAN</v>
          </cell>
        </row>
        <row r="12933">
          <cell r="L12933" t="str">
            <v>Non-proportional</v>
          </cell>
          <cell r="S12933">
            <v>-5118.88</v>
          </cell>
          <cell r="X12933" t="str">
            <v>Variation UPR - gross</v>
          </cell>
          <cell r="Y12933" t="str">
            <v>SWITZERLAND</v>
          </cell>
        </row>
        <row r="12934">
          <cell r="L12934" t="str">
            <v>Non-proportional</v>
          </cell>
          <cell r="S12934">
            <v>-20002.47</v>
          </cell>
          <cell r="X12934" t="str">
            <v>Variation UPR - gross</v>
          </cell>
          <cell r="Y12934" t="str">
            <v>CZECH REPUBLIC</v>
          </cell>
        </row>
        <row r="12935">
          <cell r="L12935" t="str">
            <v>Non-proportional</v>
          </cell>
          <cell r="S12935">
            <v>-15652.5</v>
          </cell>
          <cell r="X12935" t="str">
            <v>Variation UPR - gross</v>
          </cell>
          <cell r="Y12935" t="str">
            <v>UNITED KINGDOM</v>
          </cell>
        </row>
        <row r="12936">
          <cell r="L12936" t="str">
            <v>Non-proportional</v>
          </cell>
          <cell r="S12936">
            <v>-1938.89</v>
          </cell>
          <cell r="X12936" t="str">
            <v>Variation UPR - gross</v>
          </cell>
          <cell r="Y12936" t="str">
            <v>REPUBLIC OF IRELAND</v>
          </cell>
        </row>
        <row r="12937">
          <cell r="L12937" t="str">
            <v>Non-proportional</v>
          </cell>
          <cell r="S12937">
            <v>-20696.939999999999</v>
          </cell>
          <cell r="X12937" t="str">
            <v>Variation UPR - gross</v>
          </cell>
          <cell r="Y12937" t="str">
            <v>UNITED KINGDOM</v>
          </cell>
        </row>
        <row r="12938">
          <cell r="L12938" t="str">
            <v>Non-proportional</v>
          </cell>
          <cell r="S12938">
            <v>-16489.14</v>
          </cell>
          <cell r="X12938" t="str">
            <v>Variation UPR - gross</v>
          </cell>
          <cell r="Y12938" t="str">
            <v>SWITZERLAND</v>
          </cell>
        </row>
        <row r="12939">
          <cell r="L12939" t="str">
            <v>Non-proportional</v>
          </cell>
          <cell r="S12939">
            <v>-3528.58</v>
          </cell>
          <cell r="X12939" t="str">
            <v>Variation UPR - gross</v>
          </cell>
          <cell r="Y12939" t="str">
            <v>FAROE ISLANDS</v>
          </cell>
        </row>
        <row r="12940">
          <cell r="L12940" t="str">
            <v>Non-proportional</v>
          </cell>
          <cell r="S12940">
            <v>-10797.06</v>
          </cell>
          <cell r="X12940" t="str">
            <v>Variation UPR - gross</v>
          </cell>
          <cell r="Y12940" t="str">
            <v>UNITED KINGDOM</v>
          </cell>
        </row>
        <row r="12941">
          <cell r="L12941" t="str">
            <v>Non-proportional</v>
          </cell>
          <cell r="S12941">
            <v>-3577.3</v>
          </cell>
          <cell r="X12941" t="str">
            <v>Variation UPR - gross</v>
          </cell>
          <cell r="Y12941" t="str">
            <v>SWITZERLAND</v>
          </cell>
        </row>
        <row r="12942">
          <cell r="L12942" t="str">
            <v>Non-proportional</v>
          </cell>
          <cell r="S12942">
            <v>-6695.46</v>
          </cell>
          <cell r="X12942" t="str">
            <v>Variation UPR - gross</v>
          </cell>
          <cell r="Y12942" t="str">
            <v>DENMARK</v>
          </cell>
        </row>
        <row r="12943">
          <cell r="L12943" t="str">
            <v>Non-proportional</v>
          </cell>
          <cell r="S12943">
            <v>-8494.48</v>
          </cell>
          <cell r="X12943" t="str">
            <v>Variation UPR - gross</v>
          </cell>
          <cell r="Y12943" t="str">
            <v>GERMANY</v>
          </cell>
        </row>
        <row r="12944">
          <cell r="L12944" t="str">
            <v>Non-proportional</v>
          </cell>
          <cell r="S12944">
            <v>-40903.5</v>
          </cell>
          <cell r="X12944" t="str">
            <v>Variation UPR - gross</v>
          </cell>
          <cell r="Y12944" t="str">
            <v>GERMANY</v>
          </cell>
        </row>
        <row r="12945">
          <cell r="L12945" t="str">
            <v>Non-proportional</v>
          </cell>
          <cell r="S12945">
            <v>-7195.23</v>
          </cell>
          <cell r="X12945" t="str">
            <v>Variation UPR - gross</v>
          </cell>
          <cell r="Y12945" t="str">
            <v>DENMARK</v>
          </cell>
        </row>
        <row r="12946">
          <cell r="L12946" t="str">
            <v>Proportional</v>
          </cell>
          <cell r="S12946">
            <v>-51890.29</v>
          </cell>
          <cell r="X12946" t="str">
            <v>Variation UPR - gross</v>
          </cell>
          <cell r="Y12946" t="str">
            <v>GERMANY</v>
          </cell>
        </row>
        <row r="12947">
          <cell r="L12947" t="str">
            <v>Non-proportional</v>
          </cell>
          <cell r="S12947">
            <v>-3723.43</v>
          </cell>
          <cell r="X12947" t="str">
            <v>Variation UPR - gross</v>
          </cell>
          <cell r="Y12947" t="str">
            <v>UNITED KINGDOM</v>
          </cell>
        </row>
        <row r="12948">
          <cell r="L12948" t="str">
            <v>Non-proportional</v>
          </cell>
          <cell r="S12948">
            <v>-14008.64</v>
          </cell>
          <cell r="X12948" t="str">
            <v>Variation UPR - gross</v>
          </cell>
          <cell r="Y12948" t="str">
            <v>GERMANY</v>
          </cell>
        </row>
        <row r="12949">
          <cell r="L12949" t="str">
            <v>Non-proportional</v>
          </cell>
          <cell r="S12949">
            <v>-4164.72</v>
          </cell>
          <cell r="X12949" t="str">
            <v>Variation UPR - gross</v>
          </cell>
          <cell r="Y12949" t="str">
            <v>GERMANY</v>
          </cell>
        </row>
        <row r="12950">
          <cell r="L12950" t="str">
            <v>Non-proportional</v>
          </cell>
          <cell r="S12950">
            <v>-5578.76</v>
          </cell>
          <cell r="X12950" t="str">
            <v>Variation UPR - gross</v>
          </cell>
          <cell r="Y12950" t="str">
            <v>DENMARK</v>
          </cell>
        </row>
        <row r="12951">
          <cell r="L12951" t="str">
            <v>Non-proportional</v>
          </cell>
          <cell r="S12951">
            <v>-6335.14</v>
          </cell>
          <cell r="X12951" t="str">
            <v>Variation UPR - gross</v>
          </cell>
          <cell r="Y12951" t="str">
            <v>GERMANY</v>
          </cell>
        </row>
        <row r="12952">
          <cell r="L12952" t="str">
            <v>Non-proportional</v>
          </cell>
          <cell r="S12952">
            <v>-35570.32</v>
          </cell>
          <cell r="X12952" t="str">
            <v>Variation UPR - gross</v>
          </cell>
          <cell r="Y12952" t="str">
            <v>FRANCE</v>
          </cell>
        </row>
        <row r="12953">
          <cell r="L12953" t="str">
            <v>Non-proportional</v>
          </cell>
          <cell r="S12953">
            <v>-7812.5</v>
          </cell>
          <cell r="X12953" t="str">
            <v>Variation UPR - gross</v>
          </cell>
          <cell r="Y12953" t="str">
            <v>ROMANIA</v>
          </cell>
        </row>
        <row r="12954">
          <cell r="L12954" t="str">
            <v>Non-proportional</v>
          </cell>
          <cell r="S12954">
            <v>-11203.63</v>
          </cell>
          <cell r="X12954" t="str">
            <v>Variation UPR - gross</v>
          </cell>
          <cell r="Y12954" t="str">
            <v>UNITED KINGDOM</v>
          </cell>
        </row>
        <row r="12955">
          <cell r="L12955" t="str">
            <v>Non-proportional</v>
          </cell>
          <cell r="S12955">
            <v>-10010.879999999999</v>
          </cell>
          <cell r="X12955" t="str">
            <v>Variation UPR - gross</v>
          </cell>
          <cell r="Y12955" t="str">
            <v>GERMANY</v>
          </cell>
        </row>
        <row r="12956">
          <cell r="L12956" t="str">
            <v>Non-proportional</v>
          </cell>
          <cell r="S12956">
            <v>-2065.29</v>
          </cell>
          <cell r="X12956" t="str">
            <v>Variation UPR - gross</v>
          </cell>
          <cell r="Y12956" t="str">
            <v>EUROPE</v>
          </cell>
        </row>
        <row r="12957">
          <cell r="L12957" t="str">
            <v>Non-proportional</v>
          </cell>
          <cell r="S12957">
            <v>3.52</v>
          </cell>
          <cell r="X12957" t="str">
            <v>Variation UPR - gross</v>
          </cell>
          <cell r="Y12957" t="str">
            <v>DENMARK</v>
          </cell>
        </row>
        <row r="12958">
          <cell r="L12958" t="str">
            <v>Non-proportional</v>
          </cell>
          <cell r="S12958">
            <v>-2438.86</v>
          </cell>
          <cell r="X12958" t="str">
            <v>Variation UPR - gross</v>
          </cell>
          <cell r="Y12958" t="str">
            <v>AUSTRALIA</v>
          </cell>
        </row>
        <row r="12959">
          <cell r="L12959" t="str">
            <v>Non-proportional</v>
          </cell>
          <cell r="S12959">
            <v>-54.83</v>
          </cell>
          <cell r="X12959" t="str">
            <v>Variation UPR - gross</v>
          </cell>
          <cell r="Y12959" t="str">
            <v>FRANCE</v>
          </cell>
        </row>
        <row r="12960">
          <cell r="L12960" t="str">
            <v>Non-proportional</v>
          </cell>
          <cell r="S12960">
            <v>4.8499999999999996</v>
          </cell>
          <cell r="X12960" t="str">
            <v>Variation UPR - gross</v>
          </cell>
          <cell r="Y12960" t="str">
            <v>SWEDEN</v>
          </cell>
        </row>
        <row r="12961">
          <cell r="L12961" t="str">
            <v>Non-proportional</v>
          </cell>
          <cell r="S12961">
            <v>-18973.75</v>
          </cell>
          <cell r="X12961" t="str">
            <v>Variation UPR - gross</v>
          </cell>
          <cell r="Y12961" t="str">
            <v>AUSTRIA</v>
          </cell>
        </row>
        <row r="12962">
          <cell r="L12962" t="str">
            <v>Non-proportional</v>
          </cell>
          <cell r="S12962">
            <v>2.04</v>
          </cell>
          <cell r="X12962" t="str">
            <v>Variation UPR - gross</v>
          </cell>
          <cell r="Y12962" t="str">
            <v>SWEDEN</v>
          </cell>
        </row>
        <row r="12963">
          <cell r="L12963" t="str">
            <v>Non-proportional</v>
          </cell>
          <cell r="S12963">
            <v>-1207.3399999999999</v>
          </cell>
          <cell r="X12963" t="str">
            <v>Variation UPR - gross</v>
          </cell>
          <cell r="Y12963" t="str">
            <v>SWITZERLAND</v>
          </cell>
        </row>
        <row r="12964">
          <cell r="L12964" t="str">
            <v>Non-proportional</v>
          </cell>
          <cell r="S12964">
            <v>-13000</v>
          </cell>
          <cell r="X12964" t="str">
            <v>Variation UPR - gross</v>
          </cell>
          <cell r="Y12964" t="str">
            <v>ROMANIA</v>
          </cell>
        </row>
        <row r="12965">
          <cell r="L12965" t="str">
            <v>Proportional</v>
          </cell>
          <cell r="S12965">
            <v>-84298.81</v>
          </cell>
          <cell r="X12965" t="str">
            <v>Variation UPR - gross</v>
          </cell>
          <cell r="Y12965" t="str">
            <v>UNITED STATES</v>
          </cell>
        </row>
        <row r="12966">
          <cell r="L12966" t="str">
            <v>Non-proportional</v>
          </cell>
          <cell r="S12966">
            <v>-3100.86</v>
          </cell>
          <cell r="X12966" t="str">
            <v>Variation UPR - gross</v>
          </cell>
          <cell r="Y12966" t="str">
            <v>SWITZERLAND</v>
          </cell>
        </row>
        <row r="12967">
          <cell r="L12967" t="str">
            <v>Non-proportional</v>
          </cell>
          <cell r="S12967">
            <v>-1509.09</v>
          </cell>
          <cell r="X12967" t="str">
            <v>Variation UPR - gross</v>
          </cell>
          <cell r="Y12967" t="str">
            <v>GERMANY</v>
          </cell>
        </row>
        <row r="12968">
          <cell r="L12968" t="str">
            <v>Non-proportional</v>
          </cell>
          <cell r="S12968">
            <v>-16500</v>
          </cell>
          <cell r="X12968" t="str">
            <v>Variation UPR - gross</v>
          </cell>
          <cell r="Y12968" t="str">
            <v>GERMANY</v>
          </cell>
        </row>
        <row r="12969">
          <cell r="L12969" t="str">
            <v>Non-proportional</v>
          </cell>
          <cell r="S12969">
            <v>-27187.26</v>
          </cell>
          <cell r="X12969" t="str">
            <v>Variation UPR - gross</v>
          </cell>
          <cell r="Y12969" t="str">
            <v>UNITED KINGDOM</v>
          </cell>
        </row>
        <row r="12970">
          <cell r="L12970" t="str">
            <v>Non-proportional</v>
          </cell>
          <cell r="S12970">
            <v>-12215.04</v>
          </cell>
          <cell r="X12970" t="str">
            <v>Variation UPR - gross</v>
          </cell>
          <cell r="Y12970" t="str">
            <v>REPUBLIC OF IRELAND</v>
          </cell>
        </row>
        <row r="12971">
          <cell r="L12971" t="str">
            <v>Non-proportional</v>
          </cell>
          <cell r="S12971">
            <v>-72220</v>
          </cell>
          <cell r="X12971" t="str">
            <v>Variation UPR - gross</v>
          </cell>
          <cell r="Y12971" t="str">
            <v>UNITED KINGDOM</v>
          </cell>
        </row>
        <row r="12972">
          <cell r="L12972" t="str">
            <v>Non-proportional</v>
          </cell>
          <cell r="S12972">
            <v>-11825.5</v>
          </cell>
          <cell r="X12972" t="str">
            <v>Variation UPR - gross</v>
          </cell>
          <cell r="Y12972" t="str">
            <v>AUSTRIA</v>
          </cell>
        </row>
        <row r="12973">
          <cell r="L12973" t="str">
            <v>Proportional</v>
          </cell>
          <cell r="S12973">
            <v>-4054.44</v>
          </cell>
          <cell r="X12973" t="str">
            <v>Variation UPR - gross</v>
          </cell>
          <cell r="Y12973" t="str">
            <v>UNITED STATES</v>
          </cell>
        </row>
        <row r="12974">
          <cell r="L12974" t="str">
            <v>Non-proportional</v>
          </cell>
          <cell r="S12974">
            <v>-760.17</v>
          </cell>
          <cell r="X12974" t="str">
            <v>Variation UPR - gross</v>
          </cell>
          <cell r="Y12974" t="str">
            <v>SWITZERLAND</v>
          </cell>
        </row>
        <row r="12975">
          <cell r="L12975" t="str">
            <v>Non-proportional</v>
          </cell>
          <cell r="S12975">
            <v>2.34</v>
          </cell>
          <cell r="X12975" t="str">
            <v>Variation UPR - gross</v>
          </cell>
          <cell r="Y12975" t="str">
            <v>DENMARK</v>
          </cell>
        </row>
        <row r="12976">
          <cell r="L12976" t="str">
            <v>Non-proportional</v>
          </cell>
          <cell r="S12976">
            <v>-893.05</v>
          </cell>
          <cell r="X12976" t="str">
            <v>Variation UPR - gross</v>
          </cell>
          <cell r="Y12976" t="str">
            <v>DENMARK</v>
          </cell>
        </row>
        <row r="12977">
          <cell r="L12977" t="str">
            <v>Non-proportional</v>
          </cell>
          <cell r="S12977">
            <v>-5813.68</v>
          </cell>
          <cell r="X12977" t="str">
            <v>Variation UPR - gross</v>
          </cell>
          <cell r="Y12977" t="str">
            <v>UNITED KINGDOM</v>
          </cell>
        </row>
        <row r="12978">
          <cell r="L12978" t="str">
            <v>Non-proportional</v>
          </cell>
          <cell r="S12978">
            <v>-11716.18</v>
          </cell>
          <cell r="X12978" t="str">
            <v>Variation UPR - gross</v>
          </cell>
          <cell r="Y12978" t="str">
            <v>UNITED KINGDOM</v>
          </cell>
        </row>
        <row r="12979">
          <cell r="L12979" t="str">
            <v>Non-proportional</v>
          </cell>
          <cell r="S12979">
            <v>-528.82000000000005</v>
          </cell>
          <cell r="X12979" t="str">
            <v>Variation UPR - gross</v>
          </cell>
          <cell r="Y12979" t="str">
            <v>NORWAY</v>
          </cell>
        </row>
        <row r="12980">
          <cell r="L12980" t="str">
            <v>Non-proportional</v>
          </cell>
          <cell r="S12980">
            <v>-13541.67</v>
          </cell>
          <cell r="X12980" t="str">
            <v>Variation UPR - gross</v>
          </cell>
          <cell r="Y12980" t="str">
            <v>GERMANY</v>
          </cell>
        </row>
        <row r="12981">
          <cell r="L12981" t="str">
            <v>Non-proportional</v>
          </cell>
          <cell r="S12981">
            <v>-11458.55</v>
          </cell>
          <cell r="X12981" t="str">
            <v>Variation UPR - gross</v>
          </cell>
          <cell r="Y12981" t="str">
            <v>SWITZERLAND</v>
          </cell>
        </row>
        <row r="12982">
          <cell r="L12982" t="str">
            <v>Non-proportional</v>
          </cell>
          <cell r="S12982">
            <v>-38547.839999999997</v>
          </cell>
          <cell r="X12982" t="str">
            <v>Variation UPR - gross</v>
          </cell>
          <cell r="Y12982" t="str">
            <v>UNITED KINGDOM</v>
          </cell>
        </row>
        <row r="12983">
          <cell r="L12983" t="str">
            <v>Non-proportional</v>
          </cell>
          <cell r="S12983">
            <v>-8676.59</v>
          </cell>
          <cell r="X12983" t="str">
            <v>Variation UPR - gross</v>
          </cell>
          <cell r="Y12983" t="str">
            <v>UNITED KINGDOM</v>
          </cell>
        </row>
        <row r="12984">
          <cell r="L12984" t="str">
            <v>Non-proportional</v>
          </cell>
          <cell r="S12984">
            <v>-8696.8799999999992</v>
          </cell>
          <cell r="X12984" t="str">
            <v>Variation UPR - gross</v>
          </cell>
          <cell r="Y12984" t="str">
            <v>GERMANY</v>
          </cell>
        </row>
        <row r="12985">
          <cell r="L12985" t="str">
            <v>Non-proportional</v>
          </cell>
          <cell r="S12985">
            <v>101.56</v>
          </cell>
          <cell r="X12985" t="str">
            <v>Variation UPR - gross</v>
          </cell>
          <cell r="Y12985" t="str">
            <v>POLAND</v>
          </cell>
        </row>
        <row r="12986">
          <cell r="L12986" t="str">
            <v>Non-proportional</v>
          </cell>
          <cell r="S12986">
            <v>-3351.1</v>
          </cell>
          <cell r="X12986" t="str">
            <v>Variation UPR - gross</v>
          </cell>
          <cell r="Y12986" t="str">
            <v>UNITED KINGDOM</v>
          </cell>
        </row>
        <row r="12987">
          <cell r="L12987" t="str">
            <v>Non-proportional</v>
          </cell>
          <cell r="S12987">
            <v>-7916.77</v>
          </cell>
          <cell r="X12987" t="str">
            <v>Variation UPR - gross</v>
          </cell>
          <cell r="Y12987" t="str">
            <v>GERMANY</v>
          </cell>
        </row>
        <row r="12988">
          <cell r="L12988" t="str">
            <v>Proportional</v>
          </cell>
          <cell r="S12988">
            <v>-9984</v>
          </cell>
          <cell r="X12988" t="str">
            <v>Variation UPR - gross</v>
          </cell>
          <cell r="Y12988" t="str">
            <v>EUROPE</v>
          </cell>
        </row>
        <row r="12989">
          <cell r="L12989" t="str">
            <v>Non-proportional</v>
          </cell>
          <cell r="S12989">
            <v>-781.01</v>
          </cell>
          <cell r="X12989" t="str">
            <v>Variation UPR - gross</v>
          </cell>
          <cell r="Y12989" t="str">
            <v>DENMARK</v>
          </cell>
        </row>
        <row r="12990">
          <cell r="L12990" t="str">
            <v>Non-proportional</v>
          </cell>
          <cell r="S12990">
            <v>9.32</v>
          </cell>
          <cell r="X12990" t="str">
            <v>Variation UPR - gross</v>
          </cell>
          <cell r="Y12990" t="str">
            <v>SWEDEN</v>
          </cell>
        </row>
        <row r="12991">
          <cell r="L12991" t="str">
            <v>Non-proportional</v>
          </cell>
          <cell r="S12991">
            <v>-3850</v>
          </cell>
          <cell r="X12991" t="str">
            <v>Variation UPR - gross</v>
          </cell>
          <cell r="Y12991" t="str">
            <v>GERMANY</v>
          </cell>
        </row>
        <row r="12992">
          <cell r="L12992" t="str">
            <v>Non-proportional</v>
          </cell>
          <cell r="S12992">
            <v>-1811.21</v>
          </cell>
          <cell r="X12992" t="str">
            <v>Variation UPR - gross</v>
          </cell>
          <cell r="Y12992" t="str">
            <v>JAPAN</v>
          </cell>
        </row>
        <row r="12993">
          <cell r="L12993" t="str">
            <v>Non-proportional</v>
          </cell>
          <cell r="S12993">
            <v>-676.85</v>
          </cell>
          <cell r="X12993" t="str">
            <v>Variation UPR - gross</v>
          </cell>
          <cell r="Y12993" t="str">
            <v>JAPAN</v>
          </cell>
        </row>
        <row r="12994">
          <cell r="L12994" t="str">
            <v>Non-proportional</v>
          </cell>
          <cell r="S12994">
            <v>-14632</v>
          </cell>
          <cell r="X12994" t="str">
            <v>Variation UPR - gross</v>
          </cell>
          <cell r="Y12994" t="str">
            <v>GERMANY</v>
          </cell>
        </row>
        <row r="12995">
          <cell r="L12995" t="str">
            <v>Non-proportional</v>
          </cell>
          <cell r="S12995">
            <v>-1516.72</v>
          </cell>
          <cell r="X12995" t="str">
            <v>Variation UPR - gross</v>
          </cell>
          <cell r="Y12995" t="str">
            <v>UNITED KINGDOM</v>
          </cell>
        </row>
        <row r="12996">
          <cell r="L12996" t="str">
            <v>Non-proportional</v>
          </cell>
          <cell r="S12996">
            <v>-1922.8</v>
          </cell>
          <cell r="X12996" t="str">
            <v>Variation UPR - gross</v>
          </cell>
          <cell r="Y12996" t="str">
            <v>JAPAN</v>
          </cell>
        </row>
        <row r="12997">
          <cell r="L12997" t="str">
            <v>Non-proportional</v>
          </cell>
          <cell r="S12997">
            <v>-23058.97</v>
          </cell>
          <cell r="X12997" t="str">
            <v>Variation UPR - gross</v>
          </cell>
          <cell r="Y12997" t="str">
            <v>FRANCE</v>
          </cell>
        </row>
        <row r="12998">
          <cell r="L12998" t="str">
            <v>Non-proportional</v>
          </cell>
          <cell r="S12998">
            <v>33.880000000000003</v>
          </cell>
          <cell r="X12998" t="str">
            <v>Variation UPR - gross</v>
          </cell>
          <cell r="Y12998" t="str">
            <v>POLAND</v>
          </cell>
        </row>
        <row r="12999">
          <cell r="L12999" t="str">
            <v>Non-proportional</v>
          </cell>
          <cell r="S12999">
            <v>-12458.33</v>
          </cell>
          <cell r="X12999" t="str">
            <v>Variation UPR - gross</v>
          </cell>
          <cell r="Y12999" t="str">
            <v>GERMANY</v>
          </cell>
        </row>
        <row r="13000">
          <cell r="L13000" t="str">
            <v>Non-proportional</v>
          </cell>
          <cell r="S13000">
            <v>-3806.25</v>
          </cell>
          <cell r="X13000" t="str">
            <v>Variation UPR - gross</v>
          </cell>
          <cell r="Y13000" t="str">
            <v>ROMANIA</v>
          </cell>
        </row>
        <row r="13001">
          <cell r="L13001" t="str">
            <v>Non-proportional</v>
          </cell>
          <cell r="S13001">
            <v>-37565.129999999997</v>
          </cell>
          <cell r="X13001" t="str">
            <v>Variation UPR - gross</v>
          </cell>
          <cell r="Y13001" t="str">
            <v>UNITED KINGDOM</v>
          </cell>
        </row>
        <row r="13002">
          <cell r="L13002" t="str">
            <v>Non-proportional</v>
          </cell>
          <cell r="S13002">
            <v>-16318.22</v>
          </cell>
          <cell r="X13002" t="str">
            <v>Variation UPR - gross</v>
          </cell>
          <cell r="Y13002" t="str">
            <v>DENMARK</v>
          </cell>
        </row>
        <row r="13003">
          <cell r="L13003" t="str">
            <v>Non-proportional</v>
          </cell>
          <cell r="S13003">
            <v>-15091.76</v>
          </cell>
          <cell r="X13003" t="str">
            <v>Variation UPR - gross</v>
          </cell>
          <cell r="Y13003" t="str">
            <v>SWITZERLAND</v>
          </cell>
        </row>
        <row r="13004">
          <cell r="L13004" t="str">
            <v>Non-proportional</v>
          </cell>
          <cell r="S13004">
            <v>-18900</v>
          </cell>
          <cell r="X13004" t="str">
            <v>Variation UPR - gross</v>
          </cell>
          <cell r="Y13004" t="str">
            <v>ROMANIA</v>
          </cell>
        </row>
        <row r="13005">
          <cell r="L13005" t="str">
            <v>Non-proportional</v>
          </cell>
          <cell r="S13005">
            <v>-42016.68</v>
          </cell>
          <cell r="X13005" t="str">
            <v>Variation UPR - gross</v>
          </cell>
          <cell r="Y13005" t="str">
            <v>UNITED KINGDOM</v>
          </cell>
        </row>
        <row r="13006">
          <cell r="L13006" t="str">
            <v>Non-proportional</v>
          </cell>
          <cell r="S13006">
            <v>-175.18</v>
          </cell>
          <cell r="X13006" t="str">
            <v>Variation UPR - gross</v>
          </cell>
          <cell r="Y13006" t="str">
            <v>ITALY</v>
          </cell>
        </row>
        <row r="13007">
          <cell r="L13007" t="str">
            <v>Non-proportional</v>
          </cell>
          <cell r="S13007">
            <v>4.1500000000000004</v>
          </cell>
          <cell r="X13007" t="str">
            <v>Variation UPR - gross</v>
          </cell>
          <cell r="Y13007" t="str">
            <v>DENMARK</v>
          </cell>
        </row>
        <row r="13008">
          <cell r="L13008" t="str">
            <v>Non-proportional</v>
          </cell>
          <cell r="S13008">
            <v>0.6</v>
          </cell>
          <cell r="X13008" t="str">
            <v>Variation UPR - gross</v>
          </cell>
          <cell r="Y13008" t="str">
            <v>DENMARK</v>
          </cell>
        </row>
        <row r="13009">
          <cell r="L13009" t="str">
            <v>Non-proportional</v>
          </cell>
          <cell r="S13009">
            <v>-23854.17</v>
          </cell>
          <cell r="X13009" t="str">
            <v>Variation UPR - gross</v>
          </cell>
          <cell r="Y13009" t="str">
            <v>AUSTRIA</v>
          </cell>
        </row>
        <row r="13010">
          <cell r="L13010" t="str">
            <v>Non-proportional</v>
          </cell>
          <cell r="S13010">
            <v>-7960.04</v>
          </cell>
          <cell r="X13010" t="str">
            <v>Variation UPR - gross</v>
          </cell>
          <cell r="Y13010" t="str">
            <v>GERMANY</v>
          </cell>
        </row>
        <row r="13011">
          <cell r="L13011" t="str">
            <v>Non-proportional</v>
          </cell>
          <cell r="S13011">
            <v>-8617.15</v>
          </cell>
          <cell r="X13011" t="str">
            <v>Variation UPR - gross</v>
          </cell>
          <cell r="Y13011" t="str">
            <v>UNITED KINGDOM</v>
          </cell>
        </row>
        <row r="13012">
          <cell r="L13012" t="str">
            <v>Non-proportional</v>
          </cell>
          <cell r="S13012">
            <v>-18706.169999999998</v>
          </cell>
          <cell r="X13012" t="str">
            <v>Variation UPR - gross</v>
          </cell>
          <cell r="Y13012" t="str">
            <v>GERMANY</v>
          </cell>
        </row>
        <row r="13013">
          <cell r="L13013" t="str">
            <v>Non-proportional</v>
          </cell>
          <cell r="S13013">
            <v>-2802.35</v>
          </cell>
          <cell r="X13013" t="str">
            <v>Variation UPR - gross</v>
          </cell>
          <cell r="Y13013" t="str">
            <v>REPUBLIC OF IRELAND</v>
          </cell>
        </row>
        <row r="13014">
          <cell r="L13014" t="str">
            <v>Non-proportional</v>
          </cell>
          <cell r="S13014">
            <v>-321.45</v>
          </cell>
          <cell r="X13014" t="str">
            <v>Variation UPR - gross</v>
          </cell>
          <cell r="Y13014" t="str">
            <v>FRANCE</v>
          </cell>
        </row>
        <row r="13015">
          <cell r="L13015" t="str">
            <v>Non-proportional</v>
          </cell>
          <cell r="S13015">
            <v>-6904.17</v>
          </cell>
          <cell r="X13015" t="str">
            <v>Variation UPR - gross</v>
          </cell>
          <cell r="Y13015" t="str">
            <v>FRANCE</v>
          </cell>
        </row>
        <row r="13016">
          <cell r="L13016" t="str">
            <v>Non-proportional</v>
          </cell>
          <cell r="S13016">
            <v>-133023.32</v>
          </cell>
          <cell r="X13016" t="str">
            <v>Variation UPR - gross</v>
          </cell>
          <cell r="Y13016" t="str">
            <v>UNITED KINGDOM</v>
          </cell>
        </row>
        <row r="13017">
          <cell r="L13017" t="str">
            <v>Non-proportional</v>
          </cell>
          <cell r="S13017">
            <v>-5816.4</v>
          </cell>
          <cell r="X13017" t="str">
            <v>Variation UPR - gross</v>
          </cell>
          <cell r="Y13017" t="str">
            <v>SWEDEN</v>
          </cell>
        </row>
        <row r="13018">
          <cell r="L13018" t="str">
            <v>Non-proportional</v>
          </cell>
          <cell r="S13018">
            <v>-3142.14</v>
          </cell>
          <cell r="X13018" t="str">
            <v>Variation UPR - gross</v>
          </cell>
          <cell r="Y13018" t="str">
            <v>UNITED KINGDOM</v>
          </cell>
        </row>
        <row r="13019">
          <cell r="L13019" t="str">
            <v>Non-proportional</v>
          </cell>
          <cell r="S13019">
            <v>-19920.240000000002</v>
          </cell>
          <cell r="X13019" t="str">
            <v>Variation UPR - gross</v>
          </cell>
          <cell r="Y13019" t="str">
            <v>FRANCE</v>
          </cell>
        </row>
        <row r="13020">
          <cell r="L13020" t="str">
            <v>Non-proportional</v>
          </cell>
          <cell r="S13020">
            <v>-24396</v>
          </cell>
          <cell r="X13020" t="str">
            <v>Variation UPR - gross</v>
          </cell>
          <cell r="Y13020" t="str">
            <v>GERMANY</v>
          </cell>
        </row>
        <row r="13021">
          <cell r="L13021" t="str">
            <v>Non-proportional</v>
          </cell>
          <cell r="S13021">
            <v>-3617.46</v>
          </cell>
          <cell r="X13021" t="str">
            <v>Variation UPR - gross</v>
          </cell>
          <cell r="Y13021" t="str">
            <v>FRANCE</v>
          </cell>
        </row>
        <row r="13022">
          <cell r="L13022" t="str">
            <v>Non-proportional</v>
          </cell>
          <cell r="S13022">
            <v>-2318.37</v>
          </cell>
          <cell r="X13022" t="str">
            <v>Variation UPR - gross</v>
          </cell>
          <cell r="Y13022" t="str">
            <v>UNITED ARAB EMIRATES</v>
          </cell>
        </row>
        <row r="13023">
          <cell r="L13023" t="str">
            <v>Non-proportional</v>
          </cell>
          <cell r="S13023">
            <v>-1117.04</v>
          </cell>
          <cell r="X13023" t="str">
            <v>Variation UPR - gross</v>
          </cell>
          <cell r="Y13023" t="str">
            <v>UNITED KINGDOM</v>
          </cell>
        </row>
        <row r="13024">
          <cell r="L13024" t="str">
            <v>Non-proportional</v>
          </cell>
          <cell r="S13024">
            <v>-41268.57</v>
          </cell>
          <cell r="X13024" t="str">
            <v>Variation UPR - gross</v>
          </cell>
          <cell r="Y13024" t="str">
            <v>UNITED KINGDOM</v>
          </cell>
        </row>
        <row r="13025">
          <cell r="L13025" t="str">
            <v>Non-proportional</v>
          </cell>
          <cell r="S13025">
            <v>-548.32000000000005</v>
          </cell>
          <cell r="X13025" t="str">
            <v>Variation UPR - gross</v>
          </cell>
          <cell r="Y13025" t="str">
            <v>REPUBLIC OF IRELAND</v>
          </cell>
        </row>
        <row r="13026">
          <cell r="L13026" t="str">
            <v>Non-proportional</v>
          </cell>
          <cell r="S13026">
            <v>-10.15</v>
          </cell>
          <cell r="X13026" t="str">
            <v>Variation UPR - gross</v>
          </cell>
          <cell r="Y13026" t="str">
            <v>JAPAN</v>
          </cell>
        </row>
        <row r="13027">
          <cell r="L13027" t="str">
            <v>Non-proportional</v>
          </cell>
          <cell r="S13027">
            <v>-3329.84</v>
          </cell>
          <cell r="X13027" t="str">
            <v>Variation UPR - gross</v>
          </cell>
          <cell r="Y13027" t="str">
            <v>GERMANY</v>
          </cell>
        </row>
        <row r="13028">
          <cell r="L13028" t="str">
            <v>Non-proportional</v>
          </cell>
          <cell r="S13028">
            <v>-4826.93</v>
          </cell>
          <cell r="X13028" t="str">
            <v>Variation UPR - gross</v>
          </cell>
          <cell r="Y13028" t="str">
            <v>UNITED KINGDOM</v>
          </cell>
        </row>
        <row r="13029">
          <cell r="L13029" t="str">
            <v>Non-proportional</v>
          </cell>
          <cell r="S13029">
            <v>-112052.09</v>
          </cell>
          <cell r="X13029" t="str">
            <v>Variation UPR - gross</v>
          </cell>
          <cell r="Y13029" t="str">
            <v>FRANCE</v>
          </cell>
        </row>
        <row r="13030">
          <cell r="L13030" t="str">
            <v>Non-proportional</v>
          </cell>
          <cell r="S13030">
            <v>-7083.46</v>
          </cell>
          <cell r="X13030" t="str">
            <v>Variation UPR - gross</v>
          </cell>
          <cell r="Y13030" t="str">
            <v>NORWAY</v>
          </cell>
        </row>
        <row r="13031">
          <cell r="L13031" t="str">
            <v>Non-proportional</v>
          </cell>
          <cell r="S13031">
            <v>-4511.3999999999996</v>
          </cell>
          <cell r="X13031" t="str">
            <v>Variation UPR - gross</v>
          </cell>
          <cell r="Y13031" t="str">
            <v>AUSTRIA</v>
          </cell>
        </row>
        <row r="13032">
          <cell r="L13032" t="str">
            <v>Non-proportional</v>
          </cell>
          <cell r="S13032">
            <v>-29416.67</v>
          </cell>
          <cell r="X13032" t="str">
            <v>Variation UPR - gross</v>
          </cell>
          <cell r="Y13032" t="str">
            <v>EUROPE</v>
          </cell>
        </row>
        <row r="13033">
          <cell r="L13033" t="str">
            <v>Non-proportional</v>
          </cell>
          <cell r="S13033">
            <v>-575</v>
          </cell>
          <cell r="X13033" t="str">
            <v>Variation UPR - gross</v>
          </cell>
          <cell r="Y13033" t="str">
            <v>ITALY</v>
          </cell>
        </row>
        <row r="13034">
          <cell r="L13034" t="str">
            <v>Non-proportional</v>
          </cell>
          <cell r="S13034">
            <v>-5493.18</v>
          </cell>
          <cell r="X13034" t="str">
            <v>Variation UPR - gross</v>
          </cell>
          <cell r="Y13034" t="str">
            <v>FRANCE</v>
          </cell>
        </row>
        <row r="13035">
          <cell r="L13035" t="str">
            <v>Non-proportional</v>
          </cell>
          <cell r="S13035">
            <v>-8322.82</v>
          </cell>
          <cell r="X13035" t="str">
            <v>Variation UPR - gross</v>
          </cell>
          <cell r="Y13035" t="str">
            <v>GERMANY</v>
          </cell>
        </row>
        <row r="13036">
          <cell r="L13036" t="str">
            <v>Non-proportional</v>
          </cell>
          <cell r="S13036">
            <v>-8970.6200000000008</v>
          </cell>
          <cell r="X13036" t="str">
            <v>Variation UPR - gross</v>
          </cell>
          <cell r="Y13036" t="str">
            <v>GERMANY</v>
          </cell>
        </row>
        <row r="13037">
          <cell r="L13037" t="str">
            <v>Non-proportional</v>
          </cell>
          <cell r="S13037">
            <v>-1499.88</v>
          </cell>
          <cell r="X13037" t="str">
            <v>Variation UPR - gross</v>
          </cell>
          <cell r="Y13037" t="str">
            <v>JAPAN</v>
          </cell>
        </row>
        <row r="13038">
          <cell r="L13038" t="str">
            <v>Non-proportional</v>
          </cell>
          <cell r="S13038">
            <v>-25704.26</v>
          </cell>
          <cell r="X13038" t="str">
            <v>Variation UPR - gross</v>
          </cell>
          <cell r="Y13038" t="str">
            <v>UNITED KINGDOM</v>
          </cell>
        </row>
        <row r="13039">
          <cell r="L13039" t="str">
            <v>Non-proportional</v>
          </cell>
          <cell r="S13039">
            <v>-2500.5700000000002</v>
          </cell>
          <cell r="X13039" t="str">
            <v>Variation UPR - gross</v>
          </cell>
          <cell r="Y13039" t="str">
            <v>GERMANY</v>
          </cell>
        </row>
        <row r="13040">
          <cell r="L13040" t="str">
            <v>Non-proportional</v>
          </cell>
          <cell r="S13040">
            <v>-1087.8699999999999</v>
          </cell>
          <cell r="X13040" t="str">
            <v>Variation UPR - gross</v>
          </cell>
          <cell r="Y13040" t="str">
            <v>DENMARK</v>
          </cell>
        </row>
        <row r="13041">
          <cell r="L13041" t="str">
            <v>Non-proportional</v>
          </cell>
          <cell r="S13041">
            <v>-4134.47</v>
          </cell>
          <cell r="X13041" t="str">
            <v>Variation UPR - gross</v>
          </cell>
          <cell r="Y13041" t="str">
            <v>SWITZERLAND</v>
          </cell>
        </row>
        <row r="13042">
          <cell r="L13042" t="str">
            <v>Non-proportional</v>
          </cell>
          <cell r="S13042">
            <v>-8347.2199999999993</v>
          </cell>
          <cell r="X13042" t="str">
            <v>Variation UPR - gross</v>
          </cell>
          <cell r="Y13042" t="str">
            <v>DENMARK</v>
          </cell>
        </row>
        <row r="13043">
          <cell r="L13043" t="str">
            <v>Non-proportional</v>
          </cell>
          <cell r="S13043">
            <v>-300.83</v>
          </cell>
          <cell r="X13043" t="str">
            <v>Variation UPR - gross</v>
          </cell>
          <cell r="Y13043" t="str">
            <v>ITALY</v>
          </cell>
        </row>
        <row r="13044">
          <cell r="L13044" t="str">
            <v>Non-proportional</v>
          </cell>
          <cell r="S13044">
            <v>-11</v>
          </cell>
          <cell r="X13044" t="str">
            <v>Variation UPR - gross</v>
          </cell>
          <cell r="Y13044" t="str">
            <v>NORWAY</v>
          </cell>
        </row>
        <row r="13045">
          <cell r="L13045" t="str">
            <v>Non-proportional</v>
          </cell>
          <cell r="S13045">
            <v>-1467.94</v>
          </cell>
          <cell r="X13045" t="str">
            <v>Variation UPR - gross</v>
          </cell>
          <cell r="Y13045" t="str">
            <v>REPUBLIC OF IRELAND</v>
          </cell>
        </row>
        <row r="13046">
          <cell r="L13046" t="str">
            <v>Non-proportional</v>
          </cell>
          <cell r="S13046">
            <v>-3333.42</v>
          </cell>
          <cell r="X13046" t="str">
            <v>Variation UPR - gross</v>
          </cell>
          <cell r="Y13046" t="str">
            <v>ITALY</v>
          </cell>
        </row>
        <row r="13047">
          <cell r="L13047" t="str">
            <v>Non-proportional</v>
          </cell>
          <cell r="S13047">
            <v>-310942.2</v>
          </cell>
          <cell r="X13047" t="str">
            <v>Variation UPR - gross</v>
          </cell>
          <cell r="Y13047" t="str">
            <v>UNITED KINGDOM</v>
          </cell>
        </row>
        <row r="13048">
          <cell r="L13048" t="str">
            <v>Non-proportional</v>
          </cell>
          <cell r="S13048">
            <v>-750</v>
          </cell>
          <cell r="X13048" t="str">
            <v>Variation UPR - gross</v>
          </cell>
          <cell r="Y13048" t="str">
            <v>GERMANY</v>
          </cell>
        </row>
        <row r="13049">
          <cell r="L13049" t="str">
            <v>Non-proportional</v>
          </cell>
          <cell r="S13049">
            <v>-9203.1200000000008</v>
          </cell>
          <cell r="X13049" t="str">
            <v>Variation UPR - gross</v>
          </cell>
          <cell r="Y13049" t="str">
            <v>GERMANY</v>
          </cell>
        </row>
        <row r="13050">
          <cell r="L13050" t="str">
            <v>Non-proportional</v>
          </cell>
          <cell r="S13050">
            <v>-11053.38</v>
          </cell>
          <cell r="X13050" t="str">
            <v>Variation UPR - gross</v>
          </cell>
          <cell r="Y13050" t="str">
            <v>DENMARK</v>
          </cell>
        </row>
        <row r="13051">
          <cell r="L13051" t="str">
            <v>Non-proportional</v>
          </cell>
          <cell r="S13051">
            <v>-5341.14</v>
          </cell>
          <cell r="X13051" t="str">
            <v>Variation UPR - gross</v>
          </cell>
          <cell r="Y13051" t="str">
            <v>UNITED KINGDOM</v>
          </cell>
        </row>
        <row r="13052">
          <cell r="L13052" t="str">
            <v>Non-proportional</v>
          </cell>
          <cell r="S13052">
            <v>-22495.4</v>
          </cell>
          <cell r="X13052" t="str">
            <v>Variation UPR - gross</v>
          </cell>
          <cell r="Y13052" t="str">
            <v>CZECH REPUBLIC</v>
          </cell>
        </row>
        <row r="13053">
          <cell r="L13053" t="str">
            <v>Non-proportional</v>
          </cell>
          <cell r="S13053">
            <v>-6638.42</v>
          </cell>
          <cell r="X13053" t="str">
            <v>Variation UPR - gross</v>
          </cell>
          <cell r="Y13053" t="str">
            <v>EUROPE</v>
          </cell>
        </row>
        <row r="13054">
          <cell r="L13054" t="str">
            <v>Non-proportional</v>
          </cell>
          <cell r="S13054">
            <v>-12424.29</v>
          </cell>
          <cell r="X13054" t="str">
            <v>Variation UPR - gross</v>
          </cell>
          <cell r="Y13054" t="str">
            <v>EUROPE</v>
          </cell>
        </row>
        <row r="13055">
          <cell r="L13055" t="str">
            <v>Non-proportional</v>
          </cell>
          <cell r="S13055">
            <v>-7525.05</v>
          </cell>
          <cell r="X13055" t="str">
            <v>Variation UPR - gross</v>
          </cell>
          <cell r="Y13055" t="str">
            <v>NORWAY</v>
          </cell>
        </row>
        <row r="13056">
          <cell r="L13056" t="str">
            <v>Non-proportional</v>
          </cell>
          <cell r="S13056">
            <v>-8482.34</v>
          </cell>
          <cell r="X13056" t="str">
            <v>Variation UPR - gross</v>
          </cell>
          <cell r="Y13056" t="str">
            <v>EUROPE</v>
          </cell>
        </row>
        <row r="13057">
          <cell r="L13057" t="str">
            <v>Non-proportional</v>
          </cell>
          <cell r="S13057">
            <v>15.98</v>
          </cell>
          <cell r="X13057" t="str">
            <v>Variation UPR - gross</v>
          </cell>
          <cell r="Y13057" t="str">
            <v>SWEDEN</v>
          </cell>
        </row>
        <row r="13058">
          <cell r="L13058" t="str">
            <v>Non-proportional</v>
          </cell>
          <cell r="S13058">
            <v>-26773.88</v>
          </cell>
          <cell r="X13058" t="str">
            <v>Variation UPR - gross</v>
          </cell>
          <cell r="Y13058" t="str">
            <v>UNITED KINGDOM</v>
          </cell>
        </row>
        <row r="13059">
          <cell r="L13059" t="str">
            <v>Non-proportional</v>
          </cell>
          <cell r="S13059">
            <v>-4573.13</v>
          </cell>
          <cell r="X13059" t="str">
            <v>Variation UPR - gross</v>
          </cell>
          <cell r="Y13059" t="str">
            <v>EUROPE</v>
          </cell>
        </row>
        <row r="13060">
          <cell r="L13060" t="str">
            <v>Non-proportional</v>
          </cell>
          <cell r="S13060">
            <v>-125253.53</v>
          </cell>
          <cell r="X13060" t="str">
            <v>Variation UPR - gross</v>
          </cell>
          <cell r="Y13060" t="str">
            <v>UNITED KINGDOM</v>
          </cell>
        </row>
        <row r="13061">
          <cell r="L13061" t="str">
            <v>Non-proportional</v>
          </cell>
          <cell r="S13061">
            <v>-19606.060000000001</v>
          </cell>
          <cell r="X13061" t="str">
            <v>Variation UPR - gross</v>
          </cell>
          <cell r="Y13061" t="str">
            <v>FRANCE</v>
          </cell>
        </row>
        <row r="13062">
          <cell r="L13062" t="str">
            <v>Non-proportional</v>
          </cell>
          <cell r="S13062">
            <v>-1252.06</v>
          </cell>
          <cell r="X13062" t="str">
            <v>Variation UPR - gross</v>
          </cell>
          <cell r="Y13062" t="str">
            <v>SWITZERLAND</v>
          </cell>
        </row>
        <row r="13063">
          <cell r="L13063" t="str">
            <v>Non-proportional</v>
          </cell>
          <cell r="S13063">
            <v>-12273.83</v>
          </cell>
          <cell r="X13063" t="str">
            <v>Variation UPR - gross</v>
          </cell>
          <cell r="Y13063" t="str">
            <v>DENMARK</v>
          </cell>
        </row>
        <row r="13064">
          <cell r="L13064" t="str">
            <v>Non-proportional</v>
          </cell>
          <cell r="S13064">
            <v>-16643.64</v>
          </cell>
          <cell r="X13064" t="str">
            <v>Variation UPR - gross</v>
          </cell>
          <cell r="Y13064" t="str">
            <v>FRANCE</v>
          </cell>
        </row>
        <row r="13065">
          <cell r="L13065" t="str">
            <v>Non-proportional</v>
          </cell>
          <cell r="S13065">
            <v>-820.54</v>
          </cell>
          <cell r="X13065" t="str">
            <v>Variation UPR - gross</v>
          </cell>
          <cell r="Y13065" t="str">
            <v>GERMANY</v>
          </cell>
        </row>
        <row r="13066">
          <cell r="L13066" t="str">
            <v>Non-proportional</v>
          </cell>
          <cell r="S13066">
            <v>-10425.780000000001</v>
          </cell>
          <cell r="X13066" t="str">
            <v>Variation UPR - gross</v>
          </cell>
          <cell r="Y13066" t="str">
            <v>FRANCE</v>
          </cell>
        </row>
        <row r="13067">
          <cell r="L13067" t="str">
            <v>Non-proportional</v>
          </cell>
          <cell r="S13067">
            <v>-1279.43</v>
          </cell>
          <cell r="X13067" t="str">
            <v>Variation UPR - gross</v>
          </cell>
          <cell r="Y13067" t="str">
            <v>FRANCE</v>
          </cell>
        </row>
        <row r="13068">
          <cell r="L13068" t="str">
            <v>Non-proportional</v>
          </cell>
          <cell r="S13068">
            <v>-807.44</v>
          </cell>
          <cell r="X13068" t="str">
            <v>Variation UPR - gross</v>
          </cell>
          <cell r="Y13068" t="str">
            <v>JAPAN</v>
          </cell>
        </row>
        <row r="13069">
          <cell r="L13069" t="str">
            <v>Non-proportional</v>
          </cell>
          <cell r="S13069">
            <v>-4078.13</v>
          </cell>
          <cell r="X13069" t="str">
            <v>Variation UPR - gross</v>
          </cell>
          <cell r="Y13069" t="str">
            <v>SWITZERLAND</v>
          </cell>
        </row>
        <row r="13070">
          <cell r="L13070" t="str">
            <v>Non-proportional</v>
          </cell>
          <cell r="S13070">
            <v>-16290.9</v>
          </cell>
          <cell r="X13070" t="str">
            <v>Variation UPR - gross</v>
          </cell>
          <cell r="Y13070" t="str">
            <v>UNITED KINGDOM</v>
          </cell>
        </row>
        <row r="13071">
          <cell r="L13071" t="str">
            <v>Non-proportional</v>
          </cell>
          <cell r="S13071">
            <v>-2712.75</v>
          </cell>
          <cell r="X13071" t="str">
            <v>Variation UPR - gross</v>
          </cell>
          <cell r="Y13071" t="str">
            <v>GERMANY</v>
          </cell>
        </row>
        <row r="13072">
          <cell r="L13072" t="str">
            <v>Non-proportional</v>
          </cell>
          <cell r="S13072">
            <v>-117.79</v>
          </cell>
          <cell r="X13072" t="str">
            <v>Variation UPR - gross</v>
          </cell>
          <cell r="Y13072" t="str">
            <v>FRANCE</v>
          </cell>
        </row>
        <row r="13073">
          <cell r="L13073" t="str">
            <v>Non-proportional</v>
          </cell>
          <cell r="S13073">
            <v>-5005.8</v>
          </cell>
          <cell r="X13073" t="str">
            <v>Variation UPR - gross</v>
          </cell>
          <cell r="Y13073" t="str">
            <v>FRANCE</v>
          </cell>
        </row>
        <row r="13074">
          <cell r="L13074" t="str">
            <v>Non-proportional</v>
          </cell>
          <cell r="S13074">
            <v>-5882.07</v>
          </cell>
          <cell r="X13074" t="str">
            <v>Variation UPR - gross</v>
          </cell>
          <cell r="Y13074" t="str">
            <v>UNITED KINGDOM</v>
          </cell>
        </row>
        <row r="13075">
          <cell r="L13075" t="str">
            <v>Non-proportional</v>
          </cell>
          <cell r="S13075">
            <v>-718.44</v>
          </cell>
          <cell r="X13075" t="str">
            <v>Variation UPR - gross</v>
          </cell>
          <cell r="Y13075" t="str">
            <v>ITALY</v>
          </cell>
        </row>
        <row r="13076">
          <cell r="L13076" t="str">
            <v>Non-proportional</v>
          </cell>
          <cell r="S13076">
            <v>-39131.06</v>
          </cell>
          <cell r="X13076" t="str">
            <v>Variation UPR - gross</v>
          </cell>
          <cell r="Y13076" t="str">
            <v>UNITED KINGDOM</v>
          </cell>
        </row>
        <row r="13077">
          <cell r="L13077" t="str">
            <v>Non-proportional</v>
          </cell>
          <cell r="S13077">
            <v>-15832.43</v>
          </cell>
          <cell r="X13077" t="str">
            <v>Variation UPR - gross</v>
          </cell>
          <cell r="Y13077" t="str">
            <v>GERMANY</v>
          </cell>
        </row>
        <row r="13078">
          <cell r="L13078" t="str">
            <v>Non-proportional</v>
          </cell>
          <cell r="S13078">
            <v>-9917.92</v>
          </cell>
          <cell r="X13078" t="str">
            <v>Variation UPR - gross</v>
          </cell>
          <cell r="Y13078" t="str">
            <v>CZECH REPUBLIC</v>
          </cell>
        </row>
        <row r="13079">
          <cell r="L13079" t="str">
            <v>Non-proportional</v>
          </cell>
          <cell r="S13079">
            <v>-2357.5</v>
          </cell>
          <cell r="X13079" t="str">
            <v>Variation UPR - gross</v>
          </cell>
          <cell r="Y13079" t="str">
            <v>GERMANY</v>
          </cell>
        </row>
        <row r="13080">
          <cell r="L13080" t="str">
            <v>Non-proportional</v>
          </cell>
          <cell r="S13080">
            <v>-682.52</v>
          </cell>
          <cell r="X13080" t="str">
            <v>Variation UPR - gross</v>
          </cell>
          <cell r="Y13080" t="str">
            <v>SWITZERLAND</v>
          </cell>
        </row>
        <row r="13081">
          <cell r="L13081" t="str">
            <v>Non-proportional</v>
          </cell>
          <cell r="S13081">
            <v>-20416.669999999998</v>
          </cell>
          <cell r="X13081" t="str">
            <v>Variation UPR - gross</v>
          </cell>
          <cell r="Y13081" t="str">
            <v>GERMANY</v>
          </cell>
        </row>
        <row r="13082">
          <cell r="L13082" t="str">
            <v>Non-proportional</v>
          </cell>
          <cell r="S13082">
            <v>5.23</v>
          </cell>
          <cell r="X13082" t="str">
            <v>Variation UPR - gross</v>
          </cell>
          <cell r="Y13082" t="str">
            <v>SWEDEN</v>
          </cell>
        </row>
        <row r="13083">
          <cell r="L13083" t="str">
            <v>Non-proportional</v>
          </cell>
          <cell r="S13083">
            <v>-104886.71</v>
          </cell>
          <cell r="X13083" t="str">
            <v>Variation UPR - gross</v>
          </cell>
          <cell r="Y13083" t="str">
            <v>UNITED KINGDOM</v>
          </cell>
        </row>
        <row r="13084">
          <cell r="L13084" t="str">
            <v>Non-proportional</v>
          </cell>
          <cell r="S13084">
            <v>-42945.34</v>
          </cell>
          <cell r="X13084" t="str">
            <v>Variation UPR - gross</v>
          </cell>
          <cell r="Y13084" t="str">
            <v>UNITED KINGDOM</v>
          </cell>
        </row>
        <row r="13085">
          <cell r="L13085" t="str">
            <v>Non-proportional</v>
          </cell>
          <cell r="S13085">
            <v>-8125</v>
          </cell>
          <cell r="X13085" t="str">
            <v>Variation UPR - gross</v>
          </cell>
          <cell r="Y13085" t="str">
            <v>CZECH REPUBLIC</v>
          </cell>
        </row>
        <row r="13086">
          <cell r="L13086" t="str">
            <v>Non-proportional</v>
          </cell>
          <cell r="S13086">
            <v>0.01</v>
          </cell>
          <cell r="X13086" t="str">
            <v>Variation UPR - gross</v>
          </cell>
          <cell r="Y13086" t="str">
            <v>JAPAN</v>
          </cell>
        </row>
        <row r="13087">
          <cell r="L13087" t="str">
            <v>Non-proportional</v>
          </cell>
          <cell r="S13087">
            <v>-7770.84</v>
          </cell>
          <cell r="X13087" t="str">
            <v>Variation UPR - gross</v>
          </cell>
          <cell r="Y13087" t="str">
            <v>FRANCE</v>
          </cell>
        </row>
        <row r="13088">
          <cell r="L13088" t="str">
            <v>Non-proportional</v>
          </cell>
          <cell r="S13088">
            <v>-306.70999999999998</v>
          </cell>
          <cell r="X13088" t="str">
            <v>Variation UPR - gross</v>
          </cell>
          <cell r="Y13088" t="str">
            <v>AUSTRALIA</v>
          </cell>
        </row>
        <row r="13089">
          <cell r="L13089" t="str">
            <v>Non-proportional</v>
          </cell>
          <cell r="S13089">
            <v>-6439.15</v>
          </cell>
          <cell r="X13089" t="str">
            <v>Variation UPR - gross</v>
          </cell>
          <cell r="Y13089" t="str">
            <v>SWITZERLAND</v>
          </cell>
        </row>
        <row r="13090">
          <cell r="L13090" t="str">
            <v>Non-proportional</v>
          </cell>
          <cell r="S13090">
            <v>-4936.68</v>
          </cell>
          <cell r="X13090" t="str">
            <v>Variation UPR - gross</v>
          </cell>
          <cell r="Y13090" t="str">
            <v>SWITZERLAND</v>
          </cell>
        </row>
        <row r="13091">
          <cell r="L13091" t="str">
            <v>Non-proportional</v>
          </cell>
          <cell r="S13091">
            <v>-20924.87</v>
          </cell>
          <cell r="X13091" t="str">
            <v>Variation UPR - gross</v>
          </cell>
          <cell r="Y13091" t="str">
            <v>FRANCE</v>
          </cell>
        </row>
        <row r="13092">
          <cell r="L13092" t="str">
            <v>Non-proportional</v>
          </cell>
          <cell r="S13092">
            <v>-865.58</v>
          </cell>
          <cell r="X13092" t="str">
            <v>Variation UPR - gross</v>
          </cell>
          <cell r="Y13092" t="str">
            <v>ITALY</v>
          </cell>
        </row>
        <row r="13093">
          <cell r="L13093" t="str">
            <v>Non-proportional</v>
          </cell>
          <cell r="S13093">
            <v>0.01</v>
          </cell>
          <cell r="X13093" t="str">
            <v>Variation UPR - gross</v>
          </cell>
          <cell r="Y13093" t="str">
            <v>JAPAN</v>
          </cell>
        </row>
        <row r="13094">
          <cell r="L13094" t="str">
            <v>Non-proportional</v>
          </cell>
          <cell r="S13094">
            <v>-6250.52</v>
          </cell>
          <cell r="X13094" t="str">
            <v>Variation UPR - gross</v>
          </cell>
          <cell r="Y13094" t="str">
            <v>GERMANY</v>
          </cell>
        </row>
        <row r="13095">
          <cell r="L13095" t="str">
            <v>Non-proportional</v>
          </cell>
          <cell r="S13095">
            <v>-5802.73</v>
          </cell>
          <cell r="X13095" t="str">
            <v>Variation UPR - gross</v>
          </cell>
          <cell r="Y13095" t="str">
            <v>DENMARK</v>
          </cell>
        </row>
        <row r="13096">
          <cell r="L13096" t="str">
            <v>Non-proportional</v>
          </cell>
          <cell r="S13096">
            <v>-3313.14</v>
          </cell>
          <cell r="X13096" t="str">
            <v>Variation UPR - gross</v>
          </cell>
          <cell r="Y13096" t="str">
            <v>EUROPE</v>
          </cell>
        </row>
        <row r="13097">
          <cell r="L13097" t="str">
            <v>Non-proportional</v>
          </cell>
          <cell r="S13097">
            <v>-17609.03</v>
          </cell>
          <cell r="X13097" t="str">
            <v>Variation UPR - gross</v>
          </cell>
          <cell r="Y13097" t="str">
            <v>AUSTRIA</v>
          </cell>
        </row>
        <row r="13098">
          <cell r="L13098" t="str">
            <v>Non-proportional</v>
          </cell>
          <cell r="S13098">
            <v>-7260.47</v>
          </cell>
          <cell r="X13098" t="str">
            <v>Variation UPR - gross</v>
          </cell>
          <cell r="Y13098" t="str">
            <v>NORWAY</v>
          </cell>
        </row>
        <row r="13099">
          <cell r="L13099" t="str">
            <v>Non-proportional</v>
          </cell>
          <cell r="S13099">
            <v>-5586.33</v>
          </cell>
          <cell r="X13099" t="str">
            <v>Variation UPR - gross</v>
          </cell>
          <cell r="Y13099" t="str">
            <v>GERMANY</v>
          </cell>
        </row>
        <row r="13100">
          <cell r="L13100" t="str">
            <v>Non-proportional</v>
          </cell>
          <cell r="S13100">
            <v>-6279.02</v>
          </cell>
          <cell r="X13100" t="str">
            <v>Variation UPR - gross</v>
          </cell>
          <cell r="Y13100" t="str">
            <v>AUSTRALIA</v>
          </cell>
        </row>
        <row r="13101">
          <cell r="L13101" t="str">
            <v>Non-proportional</v>
          </cell>
          <cell r="S13101">
            <v>-3903.16</v>
          </cell>
          <cell r="X13101" t="str">
            <v>Variation UPR - gross</v>
          </cell>
          <cell r="Y13101" t="str">
            <v>NORWAY</v>
          </cell>
        </row>
        <row r="13102">
          <cell r="L13102" t="str">
            <v>Non-proportional</v>
          </cell>
          <cell r="S13102">
            <v>-10209.379999999999</v>
          </cell>
          <cell r="X13102" t="str">
            <v>Variation UPR - gross</v>
          </cell>
          <cell r="Y13102" t="str">
            <v>GERMANY</v>
          </cell>
        </row>
        <row r="13103">
          <cell r="L13103" t="str">
            <v>Non-proportional</v>
          </cell>
          <cell r="S13103">
            <v>-14220.4</v>
          </cell>
          <cell r="X13103" t="str">
            <v>Variation UPR - gross</v>
          </cell>
          <cell r="Y13103" t="str">
            <v>POLAND</v>
          </cell>
        </row>
        <row r="13104">
          <cell r="L13104" t="str">
            <v>Non-proportional</v>
          </cell>
          <cell r="S13104">
            <v>-3107.33</v>
          </cell>
          <cell r="X13104" t="str">
            <v>Variation UPR - gross</v>
          </cell>
          <cell r="Y13104" t="str">
            <v>GERMANY</v>
          </cell>
        </row>
        <row r="13105">
          <cell r="L13105" t="str">
            <v>Non-proportional</v>
          </cell>
          <cell r="S13105">
            <v>-1125</v>
          </cell>
          <cell r="X13105" t="str">
            <v>Variation UPR - gross</v>
          </cell>
          <cell r="Y13105" t="str">
            <v>GERMANY</v>
          </cell>
        </row>
        <row r="13106">
          <cell r="L13106" t="str">
            <v>Non-proportional</v>
          </cell>
          <cell r="S13106">
            <v>-1338.46</v>
          </cell>
          <cell r="X13106" t="str">
            <v>Variation UPR - gross</v>
          </cell>
          <cell r="Y13106" t="str">
            <v>DENMARK</v>
          </cell>
        </row>
        <row r="13107">
          <cell r="L13107" t="str">
            <v>Non-proportional</v>
          </cell>
          <cell r="S13107">
            <v>-2340</v>
          </cell>
          <cell r="X13107" t="str">
            <v>Variation UPR - gross</v>
          </cell>
          <cell r="Y13107" t="str">
            <v>GERMANY</v>
          </cell>
        </row>
        <row r="13108">
          <cell r="L13108" t="str">
            <v>Non-proportional</v>
          </cell>
          <cell r="S13108">
            <v>-5858.77</v>
          </cell>
          <cell r="X13108" t="str">
            <v>Variation UPR - gross</v>
          </cell>
          <cell r="Y13108" t="str">
            <v>UNITED STATES</v>
          </cell>
        </row>
        <row r="13109">
          <cell r="L13109" t="str">
            <v>Non-proportional</v>
          </cell>
          <cell r="S13109">
            <v>-2083.33</v>
          </cell>
          <cell r="X13109" t="str">
            <v>Variation UPR - gross</v>
          </cell>
          <cell r="Y13109" t="str">
            <v>GERMANY</v>
          </cell>
        </row>
        <row r="13110">
          <cell r="L13110" t="str">
            <v>Non-proportional</v>
          </cell>
          <cell r="S13110">
            <v>-2105.91</v>
          </cell>
          <cell r="X13110" t="str">
            <v>Variation UPR - gross</v>
          </cell>
          <cell r="Y13110" t="str">
            <v>SWITZERLAND</v>
          </cell>
        </row>
        <row r="13111">
          <cell r="L13111" t="str">
            <v>Non-proportional</v>
          </cell>
          <cell r="S13111">
            <v>-14602.5</v>
          </cell>
          <cell r="X13111" t="str">
            <v>Variation UPR - gross</v>
          </cell>
          <cell r="Y13111" t="str">
            <v>GERMANY</v>
          </cell>
        </row>
        <row r="13112">
          <cell r="L13112" t="str">
            <v>Non-proportional</v>
          </cell>
          <cell r="S13112">
            <v>-13388.58</v>
          </cell>
          <cell r="X13112" t="str">
            <v>Variation UPR - gross</v>
          </cell>
          <cell r="Y13112" t="str">
            <v>DENMARK</v>
          </cell>
        </row>
        <row r="13113">
          <cell r="L13113" t="str">
            <v>Proportional</v>
          </cell>
          <cell r="S13113">
            <v>-50418.87</v>
          </cell>
          <cell r="X13113" t="str">
            <v>Variation UPR - gross</v>
          </cell>
          <cell r="Y13113" t="str">
            <v>UNITED STATES</v>
          </cell>
        </row>
        <row r="13114">
          <cell r="L13114" t="str">
            <v>Non-proportional</v>
          </cell>
          <cell r="S13114">
            <v>-14058.31</v>
          </cell>
          <cell r="X13114" t="str">
            <v>Variation UPR - gross</v>
          </cell>
          <cell r="Y13114" t="str">
            <v>EIRE</v>
          </cell>
        </row>
        <row r="13115">
          <cell r="L13115" t="str">
            <v>Non-proportional</v>
          </cell>
          <cell r="S13115">
            <v>-19908.78</v>
          </cell>
          <cell r="X13115" t="str">
            <v>Variation UPR - gross</v>
          </cell>
          <cell r="Y13115" t="str">
            <v>UNITED KINGDOM</v>
          </cell>
        </row>
        <row r="13116">
          <cell r="L13116" t="str">
            <v>Non-proportional</v>
          </cell>
          <cell r="S13116">
            <v>-1108.02</v>
          </cell>
          <cell r="X13116" t="str">
            <v>Variation UPR - gross</v>
          </cell>
          <cell r="Y13116" t="str">
            <v>AUSTRIA</v>
          </cell>
        </row>
        <row r="13117">
          <cell r="L13117" t="str">
            <v>Non-proportional</v>
          </cell>
          <cell r="S13117">
            <v>5.81</v>
          </cell>
          <cell r="X13117" t="str">
            <v>Variation UPR - gross</v>
          </cell>
          <cell r="Y13117" t="str">
            <v>DENMARK</v>
          </cell>
        </row>
        <row r="13118">
          <cell r="L13118" t="str">
            <v>Non-proportional</v>
          </cell>
          <cell r="S13118">
            <v>-21329.68</v>
          </cell>
          <cell r="X13118" t="str">
            <v>Variation UPR - gross</v>
          </cell>
          <cell r="Y13118" t="str">
            <v>SWITZERLAND</v>
          </cell>
        </row>
        <row r="13119">
          <cell r="L13119" t="str">
            <v>Non-proportional</v>
          </cell>
          <cell r="S13119">
            <v>-3687.5</v>
          </cell>
          <cell r="X13119" t="str">
            <v>Variation UPR - gross</v>
          </cell>
          <cell r="Y13119" t="str">
            <v>GERMANY</v>
          </cell>
        </row>
        <row r="13120">
          <cell r="L13120" t="str">
            <v>Non-proportional</v>
          </cell>
          <cell r="S13120">
            <v>-12887.8</v>
          </cell>
          <cell r="X13120" t="str">
            <v>Variation UPR - gross</v>
          </cell>
          <cell r="Y13120" t="str">
            <v>UNITED KINGDOM</v>
          </cell>
        </row>
        <row r="13121">
          <cell r="L13121" t="str">
            <v>Non-proportional</v>
          </cell>
          <cell r="S13121">
            <v>-5467.12</v>
          </cell>
          <cell r="X13121" t="str">
            <v>Variation UPR - gross</v>
          </cell>
          <cell r="Y13121" t="str">
            <v>EIRE</v>
          </cell>
        </row>
        <row r="13122">
          <cell r="L13122" t="str">
            <v>Proportional</v>
          </cell>
          <cell r="S13122">
            <v>-66055.679999999993</v>
          </cell>
          <cell r="X13122" t="str">
            <v>Variation UPR - gross</v>
          </cell>
          <cell r="Y13122" t="str">
            <v>SWITZERLAND</v>
          </cell>
        </row>
        <row r="13123">
          <cell r="L13123" t="str">
            <v>Non-proportional</v>
          </cell>
          <cell r="S13123">
            <v>-34502.01</v>
          </cell>
          <cell r="X13123" t="str">
            <v>Variation UPR - gross</v>
          </cell>
          <cell r="Y13123" t="str">
            <v>CZECH REPUBLIC</v>
          </cell>
        </row>
        <row r="13124">
          <cell r="L13124" t="str">
            <v>Non-proportional</v>
          </cell>
          <cell r="S13124">
            <v>-8837.7099999999991</v>
          </cell>
          <cell r="X13124" t="str">
            <v>Variation UPR - gross</v>
          </cell>
          <cell r="Y13124" t="str">
            <v>GERMANY</v>
          </cell>
        </row>
        <row r="13125">
          <cell r="L13125" t="str">
            <v>Non-proportional</v>
          </cell>
          <cell r="S13125">
            <v>-13575.75</v>
          </cell>
          <cell r="X13125" t="str">
            <v>Variation UPR - gross</v>
          </cell>
          <cell r="Y13125" t="str">
            <v>UNITED KINGDOM</v>
          </cell>
        </row>
        <row r="13126">
          <cell r="L13126" t="str">
            <v>Non-proportional</v>
          </cell>
          <cell r="S13126">
            <v>-3392.5</v>
          </cell>
          <cell r="X13126" t="str">
            <v>Variation UPR - gross</v>
          </cell>
          <cell r="Y13126" t="str">
            <v>ITALY</v>
          </cell>
        </row>
        <row r="13127">
          <cell r="L13127" t="str">
            <v>Non-proportional</v>
          </cell>
          <cell r="S13127">
            <v>-165616.93</v>
          </cell>
          <cell r="X13127" t="str">
            <v>Variation UPR - gross</v>
          </cell>
          <cell r="Y13127" t="str">
            <v>UNITED KINGDOM</v>
          </cell>
        </row>
        <row r="13128">
          <cell r="L13128" t="str">
            <v>Non-proportional</v>
          </cell>
          <cell r="S13128">
            <v>-4743.34</v>
          </cell>
          <cell r="X13128" t="str">
            <v>Variation UPR - gross</v>
          </cell>
          <cell r="Y13128" t="str">
            <v>POLAND</v>
          </cell>
        </row>
        <row r="13129">
          <cell r="L13129" t="str">
            <v>Non-proportional</v>
          </cell>
          <cell r="S13129">
            <v>-33726.39</v>
          </cell>
          <cell r="X13129" t="str">
            <v>Variation UPR - gross</v>
          </cell>
          <cell r="Y13129" t="str">
            <v>FRANCE</v>
          </cell>
        </row>
        <row r="13130">
          <cell r="L13130" t="str">
            <v>Non-proportional</v>
          </cell>
          <cell r="S13130">
            <v>-2457.5</v>
          </cell>
          <cell r="X13130" t="str">
            <v>Variation UPR - gross</v>
          </cell>
          <cell r="Y13130" t="str">
            <v>JAPAN</v>
          </cell>
        </row>
        <row r="13131">
          <cell r="L13131" t="str">
            <v>Non-proportional</v>
          </cell>
          <cell r="S13131">
            <v>-2597.5700000000002</v>
          </cell>
          <cell r="X13131" t="str">
            <v>Variation UPR - gross</v>
          </cell>
          <cell r="Y13131" t="str">
            <v>UNITED KINGDOM</v>
          </cell>
        </row>
        <row r="13132">
          <cell r="L13132" t="str">
            <v>Non-proportional</v>
          </cell>
          <cell r="S13132">
            <v>-8697.67</v>
          </cell>
          <cell r="X13132" t="str">
            <v>Variation UPR - gross</v>
          </cell>
          <cell r="Y13132" t="str">
            <v>GERMANY</v>
          </cell>
        </row>
        <row r="13133">
          <cell r="L13133" t="str">
            <v>Non-proportional</v>
          </cell>
          <cell r="S13133">
            <v>-836.83</v>
          </cell>
          <cell r="X13133" t="str">
            <v>Variation UPR - gross</v>
          </cell>
          <cell r="Y13133" t="str">
            <v>DENMARK</v>
          </cell>
        </row>
        <row r="13134">
          <cell r="L13134" t="str">
            <v>Non-proportional</v>
          </cell>
          <cell r="S13134">
            <v>-2375.2399999999998</v>
          </cell>
          <cell r="X13134" t="str">
            <v>Variation UPR - gross</v>
          </cell>
          <cell r="Y13134" t="str">
            <v>UNITED KINGDOM</v>
          </cell>
        </row>
        <row r="13135">
          <cell r="L13135" t="str">
            <v>Non-proportional</v>
          </cell>
          <cell r="S13135">
            <v>-7887.08</v>
          </cell>
          <cell r="X13135" t="str">
            <v>Variation UPR - gross</v>
          </cell>
          <cell r="Y13135" t="str">
            <v>DENMARK</v>
          </cell>
        </row>
        <row r="13136">
          <cell r="L13136" t="str">
            <v>Non-proportional</v>
          </cell>
          <cell r="S13136">
            <v>-1404.98</v>
          </cell>
          <cell r="X13136" t="str">
            <v>Variation UPR - gross</v>
          </cell>
          <cell r="Y13136" t="str">
            <v>SWITZERLAND</v>
          </cell>
        </row>
        <row r="13137">
          <cell r="L13137" t="str">
            <v>Non-proportional</v>
          </cell>
          <cell r="S13137">
            <v>-7781.43</v>
          </cell>
          <cell r="X13137" t="str">
            <v>Variation UPR - gross</v>
          </cell>
          <cell r="Y13137" t="str">
            <v>UNITED STATES</v>
          </cell>
        </row>
        <row r="13138">
          <cell r="L13138" t="str">
            <v>Non-proportional</v>
          </cell>
          <cell r="S13138">
            <v>3.05</v>
          </cell>
          <cell r="X13138" t="str">
            <v>Variation UPR - gross</v>
          </cell>
          <cell r="Y13138" t="str">
            <v>DENMARK</v>
          </cell>
        </row>
        <row r="13139">
          <cell r="L13139" t="str">
            <v>Non-proportional</v>
          </cell>
          <cell r="S13139">
            <v>-6250</v>
          </cell>
          <cell r="X13139" t="str">
            <v>Variation UPR - gross</v>
          </cell>
          <cell r="Y13139" t="str">
            <v>GERMANY</v>
          </cell>
        </row>
        <row r="13140">
          <cell r="L13140" t="str">
            <v>Non-proportional</v>
          </cell>
          <cell r="S13140">
            <v>-613.01</v>
          </cell>
          <cell r="X13140" t="str">
            <v>Variation UPR - gross</v>
          </cell>
          <cell r="Y13140" t="str">
            <v>REPUBLIC OF IRELAND</v>
          </cell>
        </row>
        <row r="13141">
          <cell r="L13141" t="str">
            <v>Non-proportional</v>
          </cell>
          <cell r="S13141">
            <v>-8999.89</v>
          </cell>
          <cell r="X13141" t="str">
            <v>Variation UPR - gross</v>
          </cell>
          <cell r="Y13141" t="str">
            <v>GERMANY</v>
          </cell>
        </row>
        <row r="13142">
          <cell r="L13142" t="str">
            <v>Non-proportional</v>
          </cell>
          <cell r="S13142">
            <v>-451.25</v>
          </cell>
          <cell r="X13142" t="str">
            <v>Variation UPR - gross</v>
          </cell>
          <cell r="Y13142" t="str">
            <v>ITALY</v>
          </cell>
        </row>
        <row r="13143">
          <cell r="L13143" t="str">
            <v>Non-proportional</v>
          </cell>
          <cell r="S13143">
            <v>-15329.19</v>
          </cell>
          <cell r="X13143" t="str">
            <v>Variation UPR - gross</v>
          </cell>
          <cell r="Y13143" t="str">
            <v>ITALY</v>
          </cell>
        </row>
        <row r="13144">
          <cell r="L13144" t="str">
            <v>Non-proportional</v>
          </cell>
          <cell r="S13144">
            <v>-2443.94</v>
          </cell>
          <cell r="X13144" t="str">
            <v>Variation UPR - gross</v>
          </cell>
          <cell r="Y13144" t="str">
            <v>SWEDEN</v>
          </cell>
        </row>
        <row r="13145">
          <cell r="L13145" t="str">
            <v>Non-proportional</v>
          </cell>
          <cell r="S13145">
            <v>-0.46</v>
          </cell>
          <cell r="X13145" t="str">
            <v>Variation UPR - gross</v>
          </cell>
          <cell r="Y13145" t="str">
            <v>DENMARK</v>
          </cell>
        </row>
        <row r="13146">
          <cell r="L13146" t="str">
            <v>Non-proportional</v>
          </cell>
          <cell r="S13146">
            <v>-18290.400000000001</v>
          </cell>
          <cell r="X13146" t="str">
            <v>Variation UPR - gross</v>
          </cell>
          <cell r="Y13146" t="str">
            <v>UNITED KINGDOM</v>
          </cell>
        </row>
        <row r="13147">
          <cell r="L13147" t="str">
            <v>Non-proportional</v>
          </cell>
          <cell r="S13147">
            <v>-55424.9</v>
          </cell>
          <cell r="X13147" t="str">
            <v>Variation UPR - gross</v>
          </cell>
          <cell r="Y13147" t="str">
            <v>UNITED KINGDOM</v>
          </cell>
        </row>
        <row r="13148">
          <cell r="L13148" t="str">
            <v>Non-proportional</v>
          </cell>
          <cell r="S13148">
            <v>-7965</v>
          </cell>
          <cell r="X13148" t="str">
            <v>Variation UPR - gross</v>
          </cell>
          <cell r="Y13148" t="str">
            <v>GERMANY</v>
          </cell>
        </row>
        <row r="13149">
          <cell r="L13149" t="str">
            <v>Non-proportional</v>
          </cell>
          <cell r="S13149">
            <v>0.01</v>
          </cell>
          <cell r="X13149" t="str">
            <v>Variation UPR - gross</v>
          </cell>
          <cell r="Y13149" t="str">
            <v>JAPAN</v>
          </cell>
        </row>
        <row r="13150">
          <cell r="L13150" t="str">
            <v>Non-proportional</v>
          </cell>
          <cell r="S13150">
            <v>-4984.72</v>
          </cell>
          <cell r="X13150" t="str">
            <v>Variation UPR - gross</v>
          </cell>
          <cell r="Y13150" t="str">
            <v>GERMANY</v>
          </cell>
        </row>
        <row r="13151">
          <cell r="L13151" t="str">
            <v>Non-proportional</v>
          </cell>
          <cell r="S13151">
            <v>-6998</v>
          </cell>
          <cell r="X13151" t="str">
            <v>Variation UPR - gross</v>
          </cell>
          <cell r="Y13151" t="str">
            <v>AUSTRIA</v>
          </cell>
        </row>
        <row r="13152">
          <cell r="L13152" t="str">
            <v>Non-proportional</v>
          </cell>
          <cell r="S13152">
            <v>-40875.19</v>
          </cell>
          <cell r="X13152" t="str">
            <v>Variation UPR - gross</v>
          </cell>
          <cell r="Y13152" t="str">
            <v>SWITZERLAND</v>
          </cell>
        </row>
        <row r="13153">
          <cell r="L13153" t="str">
            <v>Non-proportional</v>
          </cell>
          <cell r="S13153">
            <v>-2847.37</v>
          </cell>
          <cell r="X13153" t="str">
            <v>Variation UPR - gross</v>
          </cell>
          <cell r="Y13153" t="str">
            <v>UNITED KINGDOM</v>
          </cell>
        </row>
        <row r="13154">
          <cell r="L13154" t="str">
            <v>Non-proportional</v>
          </cell>
          <cell r="S13154">
            <v>-270.67</v>
          </cell>
          <cell r="X13154" t="str">
            <v>Variation UPR - gross</v>
          </cell>
          <cell r="Y13154" t="str">
            <v>ITALY</v>
          </cell>
        </row>
        <row r="13155">
          <cell r="L13155" t="str">
            <v>Non-proportional</v>
          </cell>
          <cell r="S13155">
            <v>-4112.1499999999996</v>
          </cell>
          <cell r="X13155" t="str">
            <v>Variation UPR - gross</v>
          </cell>
          <cell r="Y13155" t="str">
            <v>AUSTRIA</v>
          </cell>
        </row>
        <row r="13156">
          <cell r="L13156" t="str">
            <v>Non-proportional</v>
          </cell>
          <cell r="S13156">
            <v>-20758.62</v>
          </cell>
          <cell r="X13156" t="str">
            <v>Variation UPR - gross</v>
          </cell>
          <cell r="Y13156" t="str">
            <v>EIRE</v>
          </cell>
        </row>
        <row r="13157">
          <cell r="L13157" t="str">
            <v>Non-proportional</v>
          </cell>
          <cell r="S13157">
            <v>0.16</v>
          </cell>
          <cell r="X13157" t="str">
            <v>Variation UPR - gross</v>
          </cell>
          <cell r="Y13157" t="str">
            <v>DENMARK</v>
          </cell>
        </row>
        <row r="13158">
          <cell r="L13158" t="str">
            <v>Non-proportional</v>
          </cell>
          <cell r="S13158">
            <v>-3262.5</v>
          </cell>
          <cell r="X13158" t="str">
            <v>Variation UPR - gross</v>
          </cell>
          <cell r="Y13158" t="str">
            <v>ROMANIA</v>
          </cell>
        </row>
        <row r="13159">
          <cell r="L13159" t="str">
            <v>Non-proportional</v>
          </cell>
          <cell r="S13159">
            <v>2.83</v>
          </cell>
          <cell r="X13159" t="str">
            <v>Variation UPR - gross</v>
          </cell>
          <cell r="Y13159" t="str">
            <v>DENMARK</v>
          </cell>
        </row>
        <row r="13160">
          <cell r="L13160" t="str">
            <v>Non-proportional</v>
          </cell>
          <cell r="S13160">
            <v>-4237.9799999999996</v>
          </cell>
          <cell r="X13160" t="str">
            <v>Variation UPR - gross</v>
          </cell>
          <cell r="Y13160" t="str">
            <v>GERMANY</v>
          </cell>
        </row>
        <row r="13161">
          <cell r="L13161" t="str">
            <v>Non-proportional</v>
          </cell>
          <cell r="S13161">
            <v>-372.12</v>
          </cell>
          <cell r="X13161" t="str">
            <v>Variation UPR - gross</v>
          </cell>
          <cell r="Y13161" t="str">
            <v>UNITED KINGDOM</v>
          </cell>
        </row>
        <row r="13162">
          <cell r="L13162" t="str">
            <v>Non-proportional</v>
          </cell>
          <cell r="S13162">
            <v>-8072.83</v>
          </cell>
          <cell r="X13162" t="str">
            <v>Variation UPR - gross</v>
          </cell>
          <cell r="Y13162" t="str">
            <v>GERMANY</v>
          </cell>
        </row>
        <row r="13163">
          <cell r="L13163" t="str">
            <v>Non-proportional</v>
          </cell>
          <cell r="S13163">
            <v>-78262.52</v>
          </cell>
          <cell r="X13163" t="str">
            <v>Variation UPR - gross</v>
          </cell>
          <cell r="Y13163" t="str">
            <v>UNITED KINGDOM</v>
          </cell>
        </row>
        <row r="13164">
          <cell r="L13164" t="str">
            <v>Non-proportional</v>
          </cell>
          <cell r="S13164">
            <v>-6066.85</v>
          </cell>
          <cell r="X13164" t="str">
            <v>Variation UPR - gross</v>
          </cell>
          <cell r="Y13164" t="str">
            <v>DENMARK</v>
          </cell>
        </row>
        <row r="13165">
          <cell r="L13165" t="str">
            <v>Non-proportional</v>
          </cell>
          <cell r="S13165">
            <v>-19160.28</v>
          </cell>
          <cell r="X13165" t="str">
            <v>Variation UPR - gross</v>
          </cell>
          <cell r="Y13165" t="str">
            <v>SWEDEN</v>
          </cell>
        </row>
        <row r="13166">
          <cell r="L13166" t="str">
            <v>Non-proportional</v>
          </cell>
          <cell r="S13166">
            <v>-20355</v>
          </cell>
          <cell r="X13166" t="str">
            <v>Variation UPR - gross</v>
          </cell>
          <cell r="Y13166" t="str">
            <v>GERMANY</v>
          </cell>
        </row>
        <row r="13167">
          <cell r="L13167" t="str">
            <v>Non-proportional</v>
          </cell>
          <cell r="S13167">
            <v>-1962.32</v>
          </cell>
          <cell r="X13167" t="str">
            <v>Variation UPR - gross</v>
          </cell>
          <cell r="Y13167" t="str">
            <v>GERMANY</v>
          </cell>
        </row>
        <row r="13168">
          <cell r="L13168" t="str">
            <v>Non-proportional</v>
          </cell>
          <cell r="S13168">
            <v>-4275.66</v>
          </cell>
          <cell r="X13168" t="str">
            <v>Variation UPR - gross</v>
          </cell>
          <cell r="Y13168" t="str">
            <v>GERMANY</v>
          </cell>
        </row>
        <row r="13169">
          <cell r="L13169" t="str">
            <v>Non-proportional</v>
          </cell>
          <cell r="S13169">
            <v>0.03</v>
          </cell>
          <cell r="X13169" t="str">
            <v>Variation UPR - gross</v>
          </cell>
          <cell r="Y13169" t="str">
            <v>ICELAND</v>
          </cell>
        </row>
        <row r="13170">
          <cell r="L13170" t="str">
            <v>Non-proportional</v>
          </cell>
          <cell r="S13170">
            <v>-30488.720000000001</v>
          </cell>
          <cell r="X13170" t="str">
            <v>Variation UPR - gross</v>
          </cell>
          <cell r="Y13170" t="str">
            <v>UNITED KINGDOM</v>
          </cell>
        </row>
        <row r="13171">
          <cell r="L13171" t="str">
            <v>Non-proportional</v>
          </cell>
          <cell r="S13171">
            <v>-3436.97</v>
          </cell>
          <cell r="X13171" t="str">
            <v>Variation UPR - gross</v>
          </cell>
          <cell r="Y13171" t="str">
            <v>EUROPE</v>
          </cell>
        </row>
        <row r="13172">
          <cell r="L13172" t="str">
            <v>Non-proportional</v>
          </cell>
          <cell r="S13172">
            <v>-15.73</v>
          </cell>
          <cell r="X13172" t="str">
            <v>Variation UPR - gross</v>
          </cell>
          <cell r="Y13172" t="str">
            <v>NORWAY</v>
          </cell>
        </row>
        <row r="13173">
          <cell r="L13173" t="str">
            <v>Non-proportional</v>
          </cell>
          <cell r="S13173">
            <v>-129137.35</v>
          </cell>
          <cell r="X13173" t="str">
            <v>Variation UPR - gross</v>
          </cell>
          <cell r="Y13173" t="str">
            <v>UNITED KINGDOM</v>
          </cell>
        </row>
        <row r="13174">
          <cell r="L13174" t="str">
            <v>Non-proportional</v>
          </cell>
          <cell r="S13174">
            <v>-1751.47</v>
          </cell>
          <cell r="X13174" t="str">
            <v>Variation UPR - gross</v>
          </cell>
          <cell r="Y13174" t="str">
            <v>REPUBLIC OF IRELAND</v>
          </cell>
        </row>
        <row r="13175">
          <cell r="L13175" t="str">
            <v>Non-proportional</v>
          </cell>
          <cell r="S13175">
            <v>-9751.23</v>
          </cell>
          <cell r="X13175" t="str">
            <v>Variation UPR - gross</v>
          </cell>
          <cell r="Y13175" t="str">
            <v>GERMANY</v>
          </cell>
        </row>
        <row r="13176">
          <cell r="L13176" t="str">
            <v>Non-proportional</v>
          </cell>
          <cell r="S13176">
            <v>-64952.97</v>
          </cell>
          <cell r="X13176" t="str">
            <v>Variation UPR - gross</v>
          </cell>
          <cell r="Y13176" t="str">
            <v>REPUBLIC OF IRELAND</v>
          </cell>
        </row>
        <row r="13177">
          <cell r="L13177" t="str">
            <v>Non-proportional</v>
          </cell>
          <cell r="S13177">
            <v>-6037.5</v>
          </cell>
          <cell r="X13177" t="str">
            <v>Variation UPR - gross</v>
          </cell>
          <cell r="Y13177" t="str">
            <v>GERMANY</v>
          </cell>
        </row>
        <row r="13178">
          <cell r="L13178" t="str">
            <v>Non-proportional</v>
          </cell>
          <cell r="S13178">
            <v>-345</v>
          </cell>
          <cell r="X13178" t="str">
            <v>Variation UPR - gross</v>
          </cell>
          <cell r="Y13178" t="str">
            <v>ITALY</v>
          </cell>
        </row>
        <row r="13179">
          <cell r="L13179" t="str">
            <v>Non-proportional</v>
          </cell>
          <cell r="S13179">
            <v>-7747.42</v>
          </cell>
          <cell r="X13179" t="str">
            <v>Variation UPR - gross</v>
          </cell>
          <cell r="Y13179" t="str">
            <v>GERMANY</v>
          </cell>
        </row>
        <row r="13180">
          <cell r="L13180" t="str">
            <v>Non-proportional</v>
          </cell>
          <cell r="S13180">
            <v>-7454.57</v>
          </cell>
          <cell r="X13180" t="str">
            <v>Variation UPR - gross</v>
          </cell>
          <cell r="Y13180" t="str">
            <v>EUROPE</v>
          </cell>
        </row>
        <row r="13181">
          <cell r="L13181" t="str">
            <v>Non-proportional</v>
          </cell>
          <cell r="S13181">
            <v>-5028.1499999999996</v>
          </cell>
          <cell r="X13181" t="str">
            <v>Variation UPR - gross</v>
          </cell>
          <cell r="Y13181" t="str">
            <v>UNITED ARAB EMIRATES</v>
          </cell>
        </row>
        <row r="13182">
          <cell r="L13182" t="str">
            <v>Non-proportional</v>
          </cell>
          <cell r="S13182">
            <v>-22358.16</v>
          </cell>
          <cell r="X13182" t="str">
            <v>Variation UPR - gross</v>
          </cell>
          <cell r="Y13182" t="str">
            <v>SWITZERLAND</v>
          </cell>
        </row>
        <row r="13183">
          <cell r="L13183" t="str">
            <v>Non-proportional</v>
          </cell>
          <cell r="S13183">
            <v>0.01</v>
          </cell>
          <cell r="X13183" t="str">
            <v>Variation UPR - gross</v>
          </cell>
          <cell r="Y13183" t="str">
            <v>JAPAN</v>
          </cell>
        </row>
        <row r="13184">
          <cell r="L13184" t="str">
            <v>Non-proportional</v>
          </cell>
          <cell r="S13184">
            <v>-49487.13</v>
          </cell>
          <cell r="X13184" t="str">
            <v>Variation UPR - gross</v>
          </cell>
          <cell r="Y13184" t="str">
            <v>UNITED KINGDOM</v>
          </cell>
        </row>
        <row r="13185">
          <cell r="L13185" t="str">
            <v>Non-proportional</v>
          </cell>
          <cell r="S13185">
            <v>-3375</v>
          </cell>
          <cell r="X13185" t="str">
            <v>Variation UPR - gross</v>
          </cell>
          <cell r="Y13185" t="str">
            <v>GERMANY</v>
          </cell>
        </row>
        <row r="13186">
          <cell r="L13186" t="str">
            <v>Proportional</v>
          </cell>
          <cell r="S13186">
            <v>-9441.4699999999993</v>
          </cell>
          <cell r="X13186" t="str">
            <v>Variation UPR - gross</v>
          </cell>
          <cell r="Y13186" t="str">
            <v>UNITED STATES</v>
          </cell>
        </row>
        <row r="13187">
          <cell r="L13187" t="str">
            <v>Non-proportional</v>
          </cell>
          <cell r="S13187">
            <v>-313.41000000000003</v>
          </cell>
          <cell r="X13187" t="str">
            <v>Variation UPR - gross</v>
          </cell>
          <cell r="Y13187" t="str">
            <v>DENMARK</v>
          </cell>
        </row>
        <row r="13188">
          <cell r="L13188" t="str">
            <v>Non-proportional</v>
          </cell>
          <cell r="S13188">
            <v>-2180.4</v>
          </cell>
          <cell r="X13188" t="str">
            <v>Variation UPR - gross</v>
          </cell>
          <cell r="Y13188" t="str">
            <v>SPAIN</v>
          </cell>
        </row>
        <row r="13189">
          <cell r="L13189" t="str">
            <v>Non-proportional</v>
          </cell>
          <cell r="S13189">
            <v>-12545.17</v>
          </cell>
          <cell r="X13189" t="str">
            <v>Variation UPR - gross</v>
          </cell>
          <cell r="Y13189" t="str">
            <v>SWEDEN</v>
          </cell>
        </row>
        <row r="13190">
          <cell r="L13190" t="str">
            <v>Non-proportional</v>
          </cell>
          <cell r="S13190">
            <v>-7590</v>
          </cell>
          <cell r="X13190" t="str">
            <v>Variation UPR - gross</v>
          </cell>
          <cell r="Y13190" t="str">
            <v>GERMANY</v>
          </cell>
        </row>
        <row r="13191">
          <cell r="L13191" t="str">
            <v>Non-proportional</v>
          </cell>
          <cell r="S13191">
            <v>-3164.38</v>
          </cell>
          <cell r="X13191" t="str">
            <v>Variation UPR - gross</v>
          </cell>
          <cell r="Y13191" t="str">
            <v>JAPAN</v>
          </cell>
        </row>
        <row r="13192">
          <cell r="L13192" t="str">
            <v>Non-proportional</v>
          </cell>
          <cell r="S13192">
            <v>-11882.26</v>
          </cell>
          <cell r="X13192" t="str">
            <v>Variation UPR - gross</v>
          </cell>
          <cell r="Y13192" t="str">
            <v>EUROPE</v>
          </cell>
        </row>
        <row r="13193">
          <cell r="L13193" t="str">
            <v>Non-proportional</v>
          </cell>
          <cell r="S13193">
            <v>0.01</v>
          </cell>
          <cell r="X13193" t="str">
            <v>Variation UPR - gross</v>
          </cell>
          <cell r="Y13193" t="str">
            <v>ICELAND</v>
          </cell>
        </row>
        <row r="13194">
          <cell r="L13194" t="str">
            <v>Non-proportional</v>
          </cell>
          <cell r="S13194">
            <v>-11177.47</v>
          </cell>
          <cell r="X13194" t="str">
            <v>Variation UPR - gross</v>
          </cell>
          <cell r="Y13194" t="str">
            <v>SWEDEN</v>
          </cell>
        </row>
        <row r="13195">
          <cell r="L13195" t="str">
            <v>Non-proportional</v>
          </cell>
          <cell r="S13195">
            <v>-3083.39</v>
          </cell>
          <cell r="X13195" t="str">
            <v>Variation UPR - gross</v>
          </cell>
          <cell r="Y13195" t="str">
            <v>EUROPE</v>
          </cell>
        </row>
        <row r="13196">
          <cell r="L13196" t="str">
            <v>Non-proportional</v>
          </cell>
          <cell r="S13196">
            <v>-25886.33</v>
          </cell>
          <cell r="X13196" t="str">
            <v>Variation UPR - gross</v>
          </cell>
          <cell r="Y13196" t="str">
            <v>CZECH REPUBLIC</v>
          </cell>
        </row>
        <row r="13197">
          <cell r="L13197" t="str">
            <v>Non-proportional</v>
          </cell>
          <cell r="S13197">
            <v>-29975.94</v>
          </cell>
          <cell r="X13197" t="str">
            <v>Variation UPR - gross</v>
          </cell>
          <cell r="Y13197" t="str">
            <v>UNITED KINGDOM</v>
          </cell>
        </row>
        <row r="13198">
          <cell r="L13198" t="str">
            <v>Non-proportional</v>
          </cell>
          <cell r="S13198">
            <v>-873.38</v>
          </cell>
          <cell r="X13198" t="str">
            <v>Variation UPR - gross</v>
          </cell>
          <cell r="Y13198" t="str">
            <v>GERMANY</v>
          </cell>
        </row>
        <row r="13199">
          <cell r="L13199" t="str">
            <v>Non-proportional</v>
          </cell>
          <cell r="S13199">
            <v>-8423.33</v>
          </cell>
          <cell r="X13199" t="str">
            <v>Variation UPR - gross</v>
          </cell>
          <cell r="Y13199" t="str">
            <v>ITALY</v>
          </cell>
        </row>
        <row r="13200">
          <cell r="L13200" t="str">
            <v>Proportional</v>
          </cell>
          <cell r="S13200">
            <v>34593.54</v>
          </cell>
          <cell r="X13200" t="str">
            <v>Variation UPR - gross</v>
          </cell>
          <cell r="Y13200" t="str">
            <v>GERMANY</v>
          </cell>
        </row>
        <row r="13201">
          <cell r="L13201" t="str">
            <v>Non-proportional</v>
          </cell>
          <cell r="S13201">
            <v>-6480.42</v>
          </cell>
          <cell r="X13201" t="str">
            <v>Variation UPR - gross</v>
          </cell>
          <cell r="Y13201" t="str">
            <v>REPUBLIC OF IRELAND</v>
          </cell>
        </row>
        <row r="13202">
          <cell r="L13202" t="str">
            <v>Non-proportional</v>
          </cell>
          <cell r="S13202">
            <v>-7825.36</v>
          </cell>
          <cell r="X13202" t="str">
            <v>Variation UPR - gross</v>
          </cell>
          <cell r="Y13202" t="str">
            <v>SWITZERLAND</v>
          </cell>
        </row>
        <row r="13203">
          <cell r="L13203" t="str">
            <v>Non-proportional</v>
          </cell>
          <cell r="S13203">
            <v>-2012.23</v>
          </cell>
          <cell r="X13203" t="str">
            <v>Variation UPR - gross</v>
          </cell>
          <cell r="Y13203" t="str">
            <v>SWITZERLAND</v>
          </cell>
        </row>
        <row r="13204">
          <cell r="L13204" t="str">
            <v>Non-proportional</v>
          </cell>
          <cell r="S13204">
            <v>-2687.5</v>
          </cell>
          <cell r="X13204" t="str">
            <v>Variation UPR - gross</v>
          </cell>
          <cell r="Y13204" t="str">
            <v>GERMANY</v>
          </cell>
        </row>
        <row r="13205">
          <cell r="L13205" t="str">
            <v>Non-proportional</v>
          </cell>
          <cell r="S13205">
            <v>-3870.73</v>
          </cell>
          <cell r="X13205" t="str">
            <v>Variation UPR - gross</v>
          </cell>
          <cell r="Y13205" t="str">
            <v>UNITED KINGDOM</v>
          </cell>
        </row>
        <row r="13206">
          <cell r="L13206" t="str">
            <v>Non-proportional</v>
          </cell>
          <cell r="S13206">
            <v>-9567</v>
          </cell>
          <cell r="X13206" t="str">
            <v>Variation UPR - gross</v>
          </cell>
          <cell r="Y13206" t="str">
            <v>SLOVENIA</v>
          </cell>
        </row>
        <row r="13207">
          <cell r="L13207" t="str">
            <v>Non-proportional</v>
          </cell>
          <cell r="S13207">
            <v>-8844.9</v>
          </cell>
          <cell r="X13207" t="str">
            <v>Variation UPR - gross</v>
          </cell>
          <cell r="Y13207" t="str">
            <v>GERMANY</v>
          </cell>
        </row>
        <row r="13208">
          <cell r="L13208" t="str">
            <v>Non-proportional</v>
          </cell>
          <cell r="S13208">
            <v>-8369.58</v>
          </cell>
          <cell r="X13208" t="str">
            <v>Variation UPR - gross</v>
          </cell>
          <cell r="Y13208" t="str">
            <v>GERMANY</v>
          </cell>
        </row>
        <row r="13209">
          <cell r="L13209" t="str">
            <v>Non-proportional</v>
          </cell>
          <cell r="S13209">
            <v>-3373.82</v>
          </cell>
          <cell r="X13209" t="str">
            <v>Variation UPR - gross</v>
          </cell>
          <cell r="Y13209" t="str">
            <v>ICELAND</v>
          </cell>
        </row>
        <row r="13210">
          <cell r="L13210" t="str">
            <v>Non-proportional</v>
          </cell>
          <cell r="S13210">
            <v>-351.66</v>
          </cell>
          <cell r="X13210" t="str">
            <v>Variation UPR - gross</v>
          </cell>
          <cell r="Y13210" t="str">
            <v>GERMANY</v>
          </cell>
        </row>
        <row r="13211">
          <cell r="L13211" t="str">
            <v>Proportional</v>
          </cell>
          <cell r="S13211">
            <v>-30108.080000000002</v>
          </cell>
          <cell r="X13211" t="str">
            <v>Variation UPR - gross</v>
          </cell>
          <cell r="Y13211" t="str">
            <v>UNITED KINGDOM</v>
          </cell>
        </row>
        <row r="13212">
          <cell r="L13212" t="str">
            <v>Non-proportional</v>
          </cell>
          <cell r="S13212">
            <v>-5262.27</v>
          </cell>
          <cell r="X13212" t="str">
            <v>Variation UPR - gross</v>
          </cell>
          <cell r="Y13212" t="str">
            <v>NORWAY</v>
          </cell>
        </row>
        <row r="13213">
          <cell r="L13213" t="str">
            <v>Non-proportional</v>
          </cell>
          <cell r="S13213">
            <v>-8239.4599999999991</v>
          </cell>
          <cell r="X13213" t="str">
            <v>Variation UPR - gross</v>
          </cell>
          <cell r="Y13213" t="str">
            <v>POLAND</v>
          </cell>
        </row>
        <row r="13214">
          <cell r="L13214" t="str">
            <v>Non-proportional</v>
          </cell>
          <cell r="S13214">
            <v>-5362.5</v>
          </cell>
          <cell r="X13214" t="str">
            <v>Variation UPR - gross</v>
          </cell>
          <cell r="Y13214" t="str">
            <v>GERMANY</v>
          </cell>
        </row>
        <row r="13215">
          <cell r="L13215" t="str">
            <v>Non-proportional</v>
          </cell>
          <cell r="S13215">
            <v>-1122.3</v>
          </cell>
          <cell r="X13215" t="str">
            <v>Variation UPR - gross</v>
          </cell>
          <cell r="Y13215" t="str">
            <v>ITALY</v>
          </cell>
        </row>
        <row r="13216">
          <cell r="L13216" t="str">
            <v>Non-proportional</v>
          </cell>
          <cell r="S13216">
            <v>-10015.08</v>
          </cell>
          <cell r="X13216" t="str">
            <v>Variation UPR - gross</v>
          </cell>
          <cell r="Y13216" t="str">
            <v>AUSTRIA</v>
          </cell>
        </row>
        <row r="13217">
          <cell r="L13217" t="str">
            <v>Non-proportional</v>
          </cell>
          <cell r="S13217">
            <v>-9128.9599999999991</v>
          </cell>
          <cell r="X13217" t="str">
            <v>Variation UPR - gross</v>
          </cell>
          <cell r="Y13217" t="str">
            <v>GERMANY</v>
          </cell>
        </row>
        <row r="13218">
          <cell r="L13218" t="str">
            <v>Non-proportional</v>
          </cell>
          <cell r="S13218">
            <v>-11533.99</v>
          </cell>
          <cell r="X13218" t="str">
            <v>Variation UPR - gross</v>
          </cell>
          <cell r="Y13218" t="str">
            <v>UNITED KINGDOM</v>
          </cell>
        </row>
        <row r="13219">
          <cell r="L13219" t="str">
            <v>Non-proportional</v>
          </cell>
          <cell r="S13219">
            <v>-57085.599999999999</v>
          </cell>
          <cell r="X13219" t="str">
            <v>Variation UPR - gross</v>
          </cell>
          <cell r="Y13219" t="str">
            <v>UNITED KINGDOM</v>
          </cell>
        </row>
        <row r="13220">
          <cell r="L13220" t="str">
            <v>Non-proportional</v>
          </cell>
          <cell r="S13220">
            <v>-7583.98</v>
          </cell>
          <cell r="X13220" t="str">
            <v>Variation UPR - gross</v>
          </cell>
          <cell r="Y13220" t="str">
            <v>UNITED KINGDOM</v>
          </cell>
        </row>
        <row r="13221">
          <cell r="L13221" t="str">
            <v>Non-proportional</v>
          </cell>
          <cell r="S13221">
            <v>-17.739999999999998</v>
          </cell>
          <cell r="X13221" t="str">
            <v>Variation UPR - gross</v>
          </cell>
          <cell r="Y13221" t="str">
            <v>EUROPE</v>
          </cell>
        </row>
        <row r="13222">
          <cell r="L13222" t="str">
            <v>Non-proportional</v>
          </cell>
          <cell r="S13222">
            <v>-51460.75</v>
          </cell>
          <cell r="X13222" t="str">
            <v>Variation UPR - gross</v>
          </cell>
          <cell r="Y13222" t="str">
            <v>UNITED KINGDOM</v>
          </cell>
        </row>
        <row r="13223">
          <cell r="L13223" t="str">
            <v>Non-proportional</v>
          </cell>
          <cell r="S13223">
            <v>-8625</v>
          </cell>
          <cell r="X13223" t="str">
            <v>Variation UPR - gross</v>
          </cell>
          <cell r="Y13223" t="str">
            <v>GERMANY</v>
          </cell>
        </row>
        <row r="13224">
          <cell r="L13224" t="str">
            <v>Non-proportional</v>
          </cell>
          <cell r="S13224">
            <v>-5799.51</v>
          </cell>
          <cell r="X13224" t="str">
            <v>Variation UPR - gross</v>
          </cell>
          <cell r="Y13224" t="str">
            <v>UNITED KINGDOM</v>
          </cell>
        </row>
        <row r="13225">
          <cell r="L13225" t="str">
            <v>Non-proportional</v>
          </cell>
          <cell r="S13225">
            <v>-8535.51</v>
          </cell>
          <cell r="X13225" t="str">
            <v>Variation UPR - gross</v>
          </cell>
          <cell r="Y13225" t="str">
            <v>DENMARK</v>
          </cell>
        </row>
        <row r="13226">
          <cell r="L13226" t="str">
            <v>Non-proportional</v>
          </cell>
          <cell r="S13226">
            <v>-8955.1</v>
          </cell>
          <cell r="X13226" t="str">
            <v>Variation UPR - gross</v>
          </cell>
          <cell r="Y13226" t="str">
            <v>UNITED KINGDOM</v>
          </cell>
        </row>
        <row r="13227">
          <cell r="L13227" t="str">
            <v>Non-proportional</v>
          </cell>
          <cell r="S13227">
            <v>-9999.66</v>
          </cell>
          <cell r="X13227" t="str">
            <v>Variation UPR - gross</v>
          </cell>
          <cell r="Y13227" t="str">
            <v>GERMANY</v>
          </cell>
        </row>
        <row r="13228">
          <cell r="L13228" t="str">
            <v>Non-proportional</v>
          </cell>
          <cell r="S13228">
            <v>-983.76</v>
          </cell>
          <cell r="X13228" t="str">
            <v>Variation UPR - gross</v>
          </cell>
          <cell r="Y13228" t="str">
            <v>SWITZERLAND</v>
          </cell>
        </row>
        <row r="13229">
          <cell r="L13229" t="str">
            <v>Non-proportional</v>
          </cell>
          <cell r="S13229">
            <v>0.01</v>
          </cell>
          <cell r="X13229" t="str">
            <v>Variation UPR - gross</v>
          </cell>
          <cell r="Y13229" t="str">
            <v>ICELAND</v>
          </cell>
        </row>
        <row r="13230">
          <cell r="L13230" t="str">
            <v>Non-proportional</v>
          </cell>
          <cell r="S13230">
            <v>-5484.12</v>
          </cell>
          <cell r="X13230" t="str">
            <v>Variation UPR - gross</v>
          </cell>
          <cell r="Y13230" t="str">
            <v>EUROPE</v>
          </cell>
        </row>
        <row r="13231">
          <cell r="L13231" t="str">
            <v>Non-proportional</v>
          </cell>
          <cell r="S13231">
            <v>-5527.05</v>
          </cell>
          <cell r="X13231" t="str">
            <v>Variation UPR - gross</v>
          </cell>
          <cell r="Y13231" t="str">
            <v>GERMANY</v>
          </cell>
        </row>
        <row r="13232">
          <cell r="L13232" t="str">
            <v>Non-proportional</v>
          </cell>
          <cell r="S13232">
            <v>-3619.47</v>
          </cell>
          <cell r="X13232" t="str">
            <v>Variation UPR - gross</v>
          </cell>
          <cell r="Y13232" t="str">
            <v>AUSTRALIA</v>
          </cell>
        </row>
        <row r="13233">
          <cell r="L13233" t="str">
            <v>Non-proportional</v>
          </cell>
          <cell r="S13233">
            <v>-4008.58</v>
          </cell>
          <cell r="X13233" t="str">
            <v>Variation UPR - gross</v>
          </cell>
          <cell r="Y13233" t="str">
            <v>UNITED KINGDOM</v>
          </cell>
        </row>
        <row r="13234">
          <cell r="L13234" t="str">
            <v>Non-proportional</v>
          </cell>
          <cell r="S13234">
            <v>-3790.01</v>
          </cell>
          <cell r="X13234" t="str">
            <v>Variation UPR - gross</v>
          </cell>
          <cell r="Y13234" t="str">
            <v>REPUBLIC OF IRELAND</v>
          </cell>
        </row>
        <row r="13235">
          <cell r="L13235" t="str">
            <v>Non-proportional</v>
          </cell>
          <cell r="S13235">
            <v>-6871.9</v>
          </cell>
          <cell r="X13235" t="str">
            <v>Variation UPR - gross</v>
          </cell>
          <cell r="Y13235" t="str">
            <v>GERMANY</v>
          </cell>
        </row>
        <row r="13236">
          <cell r="L13236" t="str">
            <v>Non-proportional</v>
          </cell>
          <cell r="S13236">
            <v>-10537.8</v>
          </cell>
          <cell r="X13236" t="str">
            <v>Variation UPR - gross</v>
          </cell>
          <cell r="Y13236" t="str">
            <v>GERMANY</v>
          </cell>
        </row>
        <row r="13237">
          <cell r="L13237" t="str">
            <v>Non-proportional</v>
          </cell>
          <cell r="S13237">
            <v>-107012.57</v>
          </cell>
          <cell r="X13237" t="str">
            <v>Variation UPR - gross</v>
          </cell>
          <cell r="Y13237" t="str">
            <v>UNITED KINGDOM</v>
          </cell>
        </row>
        <row r="13238">
          <cell r="L13238" t="str">
            <v>Non-proportional</v>
          </cell>
          <cell r="S13238">
            <v>-6865.09</v>
          </cell>
          <cell r="X13238" t="str">
            <v>Variation UPR - gross</v>
          </cell>
          <cell r="Y13238" t="str">
            <v>UNITED KINGDOM</v>
          </cell>
        </row>
        <row r="13239">
          <cell r="L13239" t="str">
            <v>Non-proportional</v>
          </cell>
          <cell r="S13239">
            <v>-6273.12</v>
          </cell>
          <cell r="X13239" t="str">
            <v>Variation UPR - gross</v>
          </cell>
          <cell r="Y13239" t="str">
            <v>SWEDEN</v>
          </cell>
        </row>
        <row r="13240">
          <cell r="L13240" t="str">
            <v>Non-proportional</v>
          </cell>
          <cell r="S13240">
            <v>-34.630000000000003</v>
          </cell>
          <cell r="X13240" t="str">
            <v>Variation UPR - gross</v>
          </cell>
          <cell r="Y13240" t="str">
            <v>UNITED ARAB EMIRATES</v>
          </cell>
        </row>
        <row r="13241">
          <cell r="L13241" t="str">
            <v>Non-proportional</v>
          </cell>
          <cell r="S13241">
            <v>-11997.26</v>
          </cell>
          <cell r="X13241" t="str">
            <v>Variation UPR - gross</v>
          </cell>
          <cell r="Y13241" t="str">
            <v>UNITED KINGDOM</v>
          </cell>
        </row>
        <row r="13242">
          <cell r="L13242" t="str">
            <v>Non-proportional</v>
          </cell>
          <cell r="S13242">
            <v>-4455.51</v>
          </cell>
          <cell r="X13242" t="str">
            <v>Variation UPR - gross</v>
          </cell>
          <cell r="Y13242" t="str">
            <v>DENMARK</v>
          </cell>
        </row>
        <row r="13243">
          <cell r="L13243" t="str">
            <v>Non-proportional</v>
          </cell>
          <cell r="S13243">
            <v>-6416.67</v>
          </cell>
          <cell r="X13243" t="str">
            <v>Variation UPR - gross</v>
          </cell>
          <cell r="Y13243" t="str">
            <v>GERMANY</v>
          </cell>
        </row>
        <row r="13244">
          <cell r="L13244" t="str">
            <v>Non-proportional</v>
          </cell>
          <cell r="S13244">
            <v>-18807.28</v>
          </cell>
          <cell r="X13244" t="str">
            <v>Variation UPR - gross</v>
          </cell>
          <cell r="Y13244" t="str">
            <v>REPUBLIC OF IRELAND</v>
          </cell>
        </row>
        <row r="13245">
          <cell r="L13245" t="str">
            <v>Non-proportional</v>
          </cell>
          <cell r="S13245">
            <v>-83.26</v>
          </cell>
          <cell r="X13245" t="str">
            <v>Variation UPR - gross</v>
          </cell>
          <cell r="Y13245" t="str">
            <v>FRANCE</v>
          </cell>
        </row>
        <row r="13246">
          <cell r="L13246" t="str">
            <v>Non-proportional</v>
          </cell>
          <cell r="S13246">
            <v>-11815.97</v>
          </cell>
          <cell r="X13246" t="str">
            <v>Variation UPR - gross</v>
          </cell>
          <cell r="Y13246" t="str">
            <v>GERMANY</v>
          </cell>
        </row>
        <row r="13247">
          <cell r="L13247" t="str">
            <v>Non-proportional</v>
          </cell>
          <cell r="S13247">
            <v>-4468.12</v>
          </cell>
          <cell r="X13247" t="str">
            <v>Variation UPR - gross</v>
          </cell>
          <cell r="Y13247" t="str">
            <v>UNITED KINGDOM</v>
          </cell>
        </row>
        <row r="13248">
          <cell r="L13248" t="str">
            <v>Non-proportional</v>
          </cell>
          <cell r="S13248">
            <v>-22439.61</v>
          </cell>
          <cell r="X13248" t="str">
            <v>Variation UPR - gross</v>
          </cell>
          <cell r="Y13248" t="str">
            <v>UNITED KINGDOM</v>
          </cell>
        </row>
        <row r="13249">
          <cell r="L13249" t="str">
            <v>Non-proportional</v>
          </cell>
          <cell r="S13249">
            <v>-7501.57</v>
          </cell>
          <cell r="X13249" t="str">
            <v>Variation UPR - gross</v>
          </cell>
          <cell r="Y13249" t="str">
            <v>GERMANY</v>
          </cell>
        </row>
        <row r="13250">
          <cell r="L13250"/>
          <cell r="S13250">
            <v>-1712704.77</v>
          </cell>
          <cell r="X13250" t="str">
            <v>Variation UPR - gross</v>
          </cell>
          <cell r="Y13250" t="str">
            <v>UNITED KINGDOM</v>
          </cell>
        </row>
        <row r="13251">
          <cell r="L13251" t="str">
            <v>Non-proportional</v>
          </cell>
          <cell r="S13251">
            <v>-40815.360000000001</v>
          </cell>
          <cell r="X13251" t="str">
            <v>Variation UPR - gross</v>
          </cell>
          <cell r="Y13251" t="str">
            <v>UNITED KINGDOM</v>
          </cell>
        </row>
        <row r="13252">
          <cell r="L13252"/>
          <cell r="S13252">
            <v>1712704.77</v>
          </cell>
          <cell r="X13252" t="str">
            <v>Variation UPR - gross</v>
          </cell>
          <cell r="Y13252" t="str">
            <v>UNITED KINGDOM</v>
          </cell>
        </row>
        <row r="13253">
          <cell r="L13253" t="str">
            <v>Non-proportional</v>
          </cell>
          <cell r="S13253">
            <v>-11463.47</v>
          </cell>
          <cell r="X13253" t="str">
            <v>Variation UPR - gross</v>
          </cell>
          <cell r="Y13253" t="str">
            <v>SWITZERLAND</v>
          </cell>
        </row>
        <row r="13254">
          <cell r="L13254" t="str">
            <v>Non-proportional</v>
          </cell>
          <cell r="S13254">
            <v>-7454.57</v>
          </cell>
          <cell r="X13254" t="str">
            <v>Variation UPR - gross</v>
          </cell>
          <cell r="Y13254" t="str">
            <v>EUROPE</v>
          </cell>
        </row>
        <row r="13255">
          <cell r="L13255" t="str">
            <v>Non-proportional</v>
          </cell>
          <cell r="S13255">
            <v>-20924.87</v>
          </cell>
          <cell r="X13255" t="str">
            <v>Variation UPR - gross</v>
          </cell>
          <cell r="Y13255" t="str">
            <v>FRANCE</v>
          </cell>
        </row>
        <row r="13256">
          <cell r="L13256" t="str">
            <v>Non-proportional</v>
          </cell>
          <cell r="S13256">
            <v>-55362.86</v>
          </cell>
          <cell r="X13256" t="str">
            <v>Variation UPR - gross</v>
          </cell>
          <cell r="Y13256" t="str">
            <v>UNITED KINGDOM</v>
          </cell>
        </row>
        <row r="13257">
          <cell r="L13257" t="str">
            <v>Proportional</v>
          </cell>
          <cell r="S13257">
            <v>-4886.3500000000004</v>
          </cell>
          <cell r="X13257" t="str">
            <v>Variation UPR - gross</v>
          </cell>
          <cell r="Y13257" t="str">
            <v>UNITED STATES</v>
          </cell>
        </row>
        <row r="13258">
          <cell r="L13258" t="str">
            <v>Non-proportional</v>
          </cell>
          <cell r="S13258">
            <v>-6250</v>
          </cell>
          <cell r="X13258" t="str">
            <v>Variation UPR - gross</v>
          </cell>
          <cell r="Y13258" t="str">
            <v>GERMANY</v>
          </cell>
        </row>
        <row r="13259">
          <cell r="L13259" t="str">
            <v>Non-proportional</v>
          </cell>
          <cell r="S13259">
            <v>-2687.5</v>
          </cell>
          <cell r="X13259" t="str">
            <v>Variation UPR - gross</v>
          </cell>
          <cell r="Y13259" t="str">
            <v>GERMANY</v>
          </cell>
        </row>
        <row r="13260">
          <cell r="L13260" t="str">
            <v>Non-proportional</v>
          </cell>
          <cell r="S13260">
            <v>-613.01</v>
          </cell>
          <cell r="X13260" t="str">
            <v>Variation UPR - gross</v>
          </cell>
          <cell r="Y13260" t="str">
            <v>REPUBLIC OF IRELAND</v>
          </cell>
        </row>
        <row r="13261">
          <cell r="L13261" t="str">
            <v>Non-proportional</v>
          </cell>
          <cell r="S13261">
            <v>-10594.94</v>
          </cell>
          <cell r="X13261" t="str">
            <v>Variation UPR - gross</v>
          </cell>
          <cell r="Y13261" t="str">
            <v>GERMANY</v>
          </cell>
        </row>
        <row r="13262">
          <cell r="L13262" t="str">
            <v>Non-proportional</v>
          </cell>
          <cell r="S13262">
            <v>-5369</v>
          </cell>
          <cell r="X13262" t="str">
            <v>Variation UPR - gross</v>
          </cell>
          <cell r="Y13262" t="str">
            <v>GERMANY</v>
          </cell>
        </row>
        <row r="13263">
          <cell r="L13263" t="str">
            <v>Non-proportional</v>
          </cell>
          <cell r="S13263">
            <v>-1467.94</v>
          </cell>
          <cell r="X13263" t="str">
            <v>Variation UPR - gross</v>
          </cell>
          <cell r="Y13263" t="str">
            <v>REPUBLIC OF IRELAND</v>
          </cell>
        </row>
        <row r="13264">
          <cell r="L13264" t="str">
            <v>Non-proportional</v>
          </cell>
          <cell r="S13264">
            <v>-2180.4</v>
          </cell>
          <cell r="X13264" t="str">
            <v>Variation UPR - gross</v>
          </cell>
          <cell r="Y13264" t="str">
            <v>SPAIN</v>
          </cell>
        </row>
        <row r="13265">
          <cell r="L13265" t="str">
            <v>Non-proportional</v>
          </cell>
          <cell r="S13265">
            <v>-5816.79</v>
          </cell>
          <cell r="X13265" t="str">
            <v>Variation UPR - gross</v>
          </cell>
          <cell r="Y13265" t="str">
            <v>UNITED KINGDOM</v>
          </cell>
        </row>
        <row r="13266">
          <cell r="L13266" t="str">
            <v>Non-proportional</v>
          </cell>
          <cell r="S13266">
            <v>-14008.64</v>
          </cell>
          <cell r="X13266" t="str">
            <v>Variation UPR - gross</v>
          </cell>
          <cell r="Y13266" t="str">
            <v>GERMANY</v>
          </cell>
        </row>
        <row r="13267">
          <cell r="L13267" t="str">
            <v>Non-proportional</v>
          </cell>
          <cell r="S13267">
            <v>-21338.84</v>
          </cell>
          <cell r="X13267" t="str">
            <v>Variation UPR - gross</v>
          </cell>
          <cell r="Y13267" t="str">
            <v>SWITZERLAND</v>
          </cell>
        </row>
        <row r="13268">
          <cell r="L13268" t="str">
            <v>Non-proportional</v>
          </cell>
          <cell r="S13268">
            <v>-373.23</v>
          </cell>
          <cell r="X13268" t="str">
            <v>Variation UPR - gross</v>
          </cell>
          <cell r="Y13268" t="str">
            <v>UNITED KINGDOM</v>
          </cell>
        </row>
        <row r="13269">
          <cell r="L13269" t="str">
            <v>Non-proportional</v>
          </cell>
          <cell r="S13269">
            <v>0.03</v>
          </cell>
          <cell r="X13269" t="str">
            <v>Variation UPR - gross</v>
          </cell>
          <cell r="Y13269" t="str">
            <v>ICELAND</v>
          </cell>
        </row>
        <row r="13270">
          <cell r="L13270" t="str">
            <v>Non-proportional</v>
          </cell>
          <cell r="S13270">
            <v>-12033</v>
          </cell>
          <cell r="X13270" t="str">
            <v>Variation UPR - gross</v>
          </cell>
          <cell r="Y13270" t="str">
            <v>UNITED KINGDOM</v>
          </cell>
        </row>
        <row r="13271">
          <cell r="L13271" t="str">
            <v>Non-proportional</v>
          </cell>
          <cell r="S13271">
            <v>-865.58</v>
          </cell>
          <cell r="X13271" t="str">
            <v>Variation UPR - gross</v>
          </cell>
          <cell r="Y13271" t="str">
            <v>ITALY</v>
          </cell>
        </row>
        <row r="13272">
          <cell r="L13272" t="str">
            <v>Non-proportional</v>
          </cell>
          <cell r="S13272">
            <v>-20758.62</v>
          </cell>
          <cell r="X13272" t="str">
            <v>Variation UPR - gross</v>
          </cell>
          <cell r="Y13272" t="str">
            <v>EIRE</v>
          </cell>
        </row>
        <row r="13273">
          <cell r="L13273" t="str">
            <v>Non-proportional</v>
          </cell>
          <cell r="S13273">
            <v>-3361.08</v>
          </cell>
          <cell r="X13273" t="str">
            <v>Variation UPR - gross</v>
          </cell>
          <cell r="Y13273" t="str">
            <v>UNITED KINGDOM</v>
          </cell>
        </row>
        <row r="13274">
          <cell r="L13274" t="str">
            <v>Non-proportional</v>
          </cell>
          <cell r="S13274">
            <v>-15832.43</v>
          </cell>
          <cell r="X13274" t="str">
            <v>Variation UPR - gross</v>
          </cell>
          <cell r="Y13274" t="str">
            <v>GERMANY</v>
          </cell>
        </row>
        <row r="13275">
          <cell r="L13275" t="str">
            <v>Non-proportional</v>
          </cell>
          <cell r="S13275">
            <v>-5899.6</v>
          </cell>
          <cell r="X13275" t="str">
            <v>Variation UPR - gross</v>
          </cell>
          <cell r="Y13275" t="str">
            <v>UNITED KINGDOM</v>
          </cell>
        </row>
        <row r="13276">
          <cell r="L13276" t="str">
            <v>Non-proportional</v>
          </cell>
          <cell r="S13276">
            <v>-15699.14</v>
          </cell>
          <cell r="X13276" t="str">
            <v>Variation UPR - gross</v>
          </cell>
          <cell r="Y13276" t="str">
            <v>UNITED KINGDOM</v>
          </cell>
        </row>
        <row r="13277">
          <cell r="L13277" t="str">
            <v>Non-proportional</v>
          </cell>
          <cell r="S13277">
            <v>-11751.09</v>
          </cell>
          <cell r="X13277" t="str">
            <v>Variation UPR - gross</v>
          </cell>
          <cell r="Y13277" t="str">
            <v>UNITED KINGDOM</v>
          </cell>
        </row>
        <row r="13278">
          <cell r="L13278" t="str">
            <v>Non-proportional</v>
          </cell>
          <cell r="S13278">
            <v>-984.19</v>
          </cell>
          <cell r="X13278" t="str">
            <v>Variation UPR - gross</v>
          </cell>
          <cell r="Y13278" t="str">
            <v>SWITZERLAND</v>
          </cell>
        </row>
        <row r="13279">
          <cell r="L13279" t="str">
            <v>Non-proportional</v>
          </cell>
          <cell r="S13279">
            <v>-3882.26</v>
          </cell>
          <cell r="X13279" t="str">
            <v>Variation UPR - gross</v>
          </cell>
          <cell r="Y13279" t="str">
            <v>UNITED KINGDOM</v>
          </cell>
        </row>
        <row r="13280">
          <cell r="L13280" t="str">
            <v>Non-proportional</v>
          </cell>
          <cell r="S13280">
            <v>-4943.3100000000004</v>
          </cell>
          <cell r="X13280" t="str">
            <v>Variation UPR - gross</v>
          </cell>
          <cell r="Y13280" t="str">
            <v>UNITED ARAB EMIRATES</v>
          </cell>
        </row>
        <row r="13281">
          <cell r="L13281" t="str">
            <v>Non-proportional</v>
          </cell>
          <cell r="S13281">
            <v>-6904.17</v>
          </cell>
          <cell r="X13281" t="str">
            <v>Variation UPR - gross</v>
          </cell>
          <cell r="Y13281" t="str">
            <v>FRANCE</v>
          </cell>
        </row>
        <row r="13282">
          <cell r="L13282" t="str">
            <v>Non-proportional</v>
          </cell>
          <cell r="S13282">
            <v>-6885.55</v>
          </cell>
          <cell r="X13282" t="str">
            <v>Variation UPR - gross</v>
          </cell>
          <cell r="Y13282" t="str">
            <v>UNITED KINGDOM</v>
          </cell>
        </row>
        <row r="13283">
          <cell r="L13283" t="str">
            <v>Non-proportional</v>
          </cell>
          <cell r="S13283">
            <v>-4763.57</v>
          </cell>
          <cell r="X13283" t="str">
            <v>Variation UPR - gross</v>
          </cell>
          <cell r="Y13283" t="str">
            <v>POLAND</v>
          </cell>
        </row>
        <row r="13284">
          <cell r="L13284" t="str">
            <v>Non-proportional</v>
          </cell>
          <cell r="S13284">
            <v>-49634.59</v>
          </cell>
          <cell r="X13284" t="str">
            <v>Variation UPR - gross</v>
          </cell>
          <cell r="Y13284" t="str">
            <v>UNITED KINGDOM</v>
          </cell>
        </row>
        <row r="13285">
          <cell r="L13285" t="str">
            <v>Non-proportional</v>
          </cell>
          <cell r="S13285">
            <v>-14281.05</v>
          </cell>
          <cell r="X13285" t="str">
            <v>Variation UPR - gross</v>
          </cell>
          <cell r="Y13285" t="str">
            <v>POLAND</v>
          </cell>
        </row>
        <row r="13286">
          <cell r="L13286" t="str">
            <v>Non-proportional</v>
          </cell>
          <cell r="S13286">
            <v>0.48</v>
          </cell>
          <cell r="X13286" t="str">
            <v>Variation UPR - gross</v>
          </cell>
          <cell r="Y13286" t="str">
            <v>DENMARK</v>
          </cell>
        </row>
        <row r="13287">
          <cell r="L13287" t="str">
            <v>Non-proportional</v>
          </cell>
          <cell r="S13287">
            <v>-64952.97</v>
          </cell>
          <cell r="X13287" t="str">
            <v>Variation UPR - gross</v>
          </cell>
          <cell r="Y13287" t="str">
            <v>REPUBLIC OF IRELAND</v>
          </cell>
        </row>
        <row r="13288">
          <cell r="L13288" t="str">
            <v>Non-proportional</v>
          </cell>
          <cell r="S13288">
            <v>-7960.04</v>
          </cell>
          <cell r="X13288" t="str">
            <v>Variation UPR - gross</v>
          </cell>
          <cell r="Y13288" t="str">
            <v>GERMANY</v>
          </cell>
        </row>
        <row r="13289">
          <cell r="L13289" t="str">
            <v>Non-proportional</v>
          </cell>
          <cell r="S13289">
            <v>-1338.45</v>
          </cell>
          <cell r="X13289" t="str">
            <v>Variation UPR - gross</v>
          </cell>
          <cell r="Y13289" t="str">
            <v>DENMARK</v>
          </cell>
        </row>
        <row r="13290">
          <cell r="L13290" t="str">
            <v>Non-proportional</v>
          </cell>
          <cell r="S13290">
            <v>-12074.88</v>
          </cell>
          <cell r="X13290" t="str">
            <v>Variation UPR - gross</v>
          </cell>
          <cell r="Y13290" t="str">
            <v>FRANCE</v>
          </cell>
        </row>
        <row r="13291">
          <cell r="L13291" t="str">
            <v>Non-proportional</v>
          </cell>
          <cell r="S13291">
            <v>-781</v>
          </cell>
          <cell r="X13291" t="str">
            <v>Variation UPR - gross</v>
          </cell>
          <cell r="Y13291" t="str">
            <v>DENMARK</v>
          </cell>
        </row>
        <row r="13292">
          <cell r="L13292" t="str">
            <v>Non-proportional</v>
          </cell>
          <cell r="S13292">
            <v>-28459.39</v>
          </cell>
          <cell r="X13292" t="str">
            <v>Variation UPR - gross</v>
          </cell>
          <cell r="Y13292" t="str">
            <v>UNITED KINGDOM</v>
          </cell>
        </row>
        <row r="13293">
          <cell r="L13293" t="str">
            <v>Non-proportional</v>
          </cell>
          <cell r="S13293">
            <v>-7300.15</v>
          </cell>
          <cell r="X13293" t="str">
            <v>Variation UPR - gross</v>
          </cell>
          <cell r="Y13293" t="str">
            <v>FAROE ISLANDS</v>
          </cell>
        </row>
        <row r="13294">
          <cell r="L13294" t="str">
            <v>Non-proportional</v>
          </cell>
          <cell r="S13294">
            <v>-1125</v>
          </cell>
          <cell r="X13294" t="str">
            <v>Variation UPR - gross</v>
          </cell>
          <cell r="Y13294" t="str">
            <v>GERMANY</v>
          </cell>
        </row>
        <row r="13295">
          <cell r="L13295" t="str">
            <v>Non-proportional</v>
          </cell>
          <cell r="S13295">
            <v>-18900</v>
          </cell>
          <cell r="X13295" t="str">
            <v>Variation UPR - gross</v>
          </cell>
          <cell r="Y13295" t="str">
            <v>ROMANIA</v>
          </cell>
        </row>
        <row r="13296">
          <cell r="L13296" t="str">
            <v>Non-proportional</v>
          </cell>
          <cell r="S13296">
            <v>-13399.72</v>
          </cell>
          <cell r="X13296" t="str">
            <v>Variation UPR - gross</v>
          </cell>
          <cell r="Y13296" t="str">
            <v>GERMANY</v>
          </cell>
        </row>
        <row r="13297">
          <cell r="L13297" t="str">
            <v>Non-proportional</v>
          </cell>
          <cell r="S13297">
            <v>-1938.89</v>
          </cell>
          <cell r="X13297" t="str">
            <v>Variation UPR - gross</v>
          </cell>
          <cell r="Y13297" t="str">
            <v>REPUBLIC OF IRELAND</v>
          </cell>
        </row>
        <row r="13298">
          <cell r="L13298" t="str">
            <v>Non-proportional</v>
          </cell>
          <cell r="S13298">
            <v>0.01</v>
          </cell>
          <cell r="X13298" t="str">
            <v>Variation UPR - gross</v>
          </cell>
          <cell r="Y13298" t="str">
            <v>JAPAN</v>
          </cell>
        </row>
        <row r="13299">
          <cell r="L13299" t="str">
            <v>Non-proportional</v>
          </cell>
          <cell r="S13299">
            <v>-4020.52</v>
          </cell>
          <cell r="X13299" t="str">
            <v>Variation UPR - gross</v>
          </cell>
          <cell r="Y13299" t="str">
            <v>UNITED KINGDOM</v>
          </cell>
        </row>
        <row r="13300">
          <cell r="L13300" t="str">
            <v>Non-proportional</v>
          </cell>
          <cell r="S13300">
            <v>-15329.19</v>
          </cell>
          <cell r="X13300" t="str">
            <v>Variation UPR - gross</v>
          </cell>
          <cell r="Y13300" t="str">
            <v>ITALY</v>
          </cell>
        </row>
        <row r="13301">
          <cell r="L13301" t="str">
            <v>Non-proportional</v>
          </cell>
          <cell r="S13301">
            <v>-16112.84</v>
          </cell>
          <cell r="X13301" t="str">
            <v>Variation UPR - gross</v>
          </cell>
          <cell r="Y13301" t="str">
            <v>EUROPE</v>
          </cell>
        </row>
        <row r="13302">
          <cell r="L13302" t="str">
            <v>Non-proportional</v>
          </cell>
          <cell r="S13302">
            <v>-7916.77</v>
          </cell>
          <cell r="X13302" t="str">
            <v>Variation UPR - gross</v>
          </cell>
          <cell r="Y13302" t="str">
            <v>GERMANY</v>
          </cell>
        </row>
        <row r="13303">
          <cell r="L13303" t="str">
            <v>Non-proportional</v>
          </cell>
          <cell r="S13303">
            <v>-12103.62</v>
          </cell>
          <cell r="X13303" t="str">
            <v>Variation UPR - gross</v>
          </cell>
          <cell r="Y13303" t="str">
            <v>UNITED KINGDOM</v>
          </cell>
        </row>
        <row r="13304">
          <cell r="L13304" t="str">
            <v>Non-proportional</v>
          </cell>
          <cell r="S13304">
            <v>-7604.21</v>
          </cell>
          <cell r="X13304" t="str">
            <v>Variation UPR - gross</v>
          </cell>
          <cell r="Y13304" t="str">
            <v>GERMANY</v>
          </cell>
        </row>
        <row r="13305">
          <cell r="L13305" t="str">
            <v>Non-proportional</v>
          </cell>
          <cell r="S13305">
            <v>3.05</v>
          </cell>
          <cell r="X13305" t="str">
            <v>Variation UPR - gross</v>
          </cell>
          <cell r="Y13305" t="str">
            <v>DENMARK</v>
          </cell>
        </row>
        <row r="13306">
          <cell r="L13306" t="str">
            <v>Non-proportional</v>
          </cell>
          <cell r="S13306">
            <v>-671.83</v>
          </cell>
          <cell r="X13306" t="str">
            <v>Variation UPR - gross</v>
          </cell>
          <cell r="Y13306" t="str">
            <v>SWITZERLAND</v>
          </cell>
        </row>
        <row r="13307">
          <cell r="L13307" t="str">
            <v>Non-proportional</v>
          </cell>
          <cell r="S13307">
            <v>-16496.22</v>
          </cell>
          <cell r="X13307" t="str">
            <v>Variation UPR - gross</v>
          </cell>
          <cell r="Y13307" t="str">
            <v>SWITZERLAND</v>
          </cell>
        </row>
        <row r="13308">
          <cell r="L13308" t="str">
            <v>Non-proportional</v>
          </cell>
          <cell r="S13308">
            <v>0.01</v>
          </cell>
          <cell r="X13308" t="str">
            <v>Variation UPR - gross</v>
          </cell>
          <cell r="Y13308" t="str">
            <v>JAPAN</v>
          </cell>
        </row>
        <row r="13309">
          <cell r="L13309" t="str">
            <v>Non-proportional</v>
          </cell>
          <cell r="S13309">
            <v>-3102.19</v>
          </cell>
          <cell r="X13309" t="str">
            <v>Variation UPR - gross</v>
          </cell>
          <cell r="Y13309" t="str">
            <v>SWITZERLAND</v>
          </cell>
        </row>
        <row r="13310">
          <cell r="L13310" t="str">
            <v>Non-proportional</v>
          </cell>
          <cell r="S13310">
            <v>-34.04</v>
          </cell>
          <cell r="X13310" t="str">
            <v>Variation UPR - gross</v>
          </cell>
          <cell r="Y13310" t="str">
            <v>UNITED ARAB EMIRATES</v>
          </cell>
        </row>
        <row r="13311">
          <cell r="L13311" t="str">
            <v>Non-proportional</v>
          </cell>
          <cell r="S13311">
            <v>-11237.02</v>
          </cell>
          <cell r="X13311" t="str">
            <v>Variation UPR - gross</v>
          </cell>
          <cell r="Y13311" t="str">
            <v>UNITED KINGDOM</v>
          </cell>
        </row>
        <row r="13312">
          <cell r="L13312" t="str">
            <v>Non-proportional</v>
          </cell>
          <cell r="S13312">
            <v>-4573.13</v>
          </cell>
          <cell r="X13312" t="str">
            <v>Variation UPR - gross</v>
          </cell>
          <cell r="Y13312" t="str">
            <v>EUROPE</v>
          </cell>
        </row>
        <row r="13313">
          <cell r="L13313" t="str">
            <v>Non-proportional</v>
          </cell>
          <cell r="S13313">
            <v>-7195.13</v>
          </cell>
          <cell r="X13313" t="str">
            <v>Variation UPR - gross</v>
          </cell>
          <cell r="Y13313" t="str">
            <v>DENMARK</v>
          </cell>
        </row>
        <row r="13314">
          <cell r="L13314" t="str">
            <v>Non-proportional</v>
          </cell>
          <cell r="S13314">
            <v>-5802.65</v>
          </cell>
          <cell r="X13314" t="str">
            <v>Variation UPR - gross</v>
          </cell>
          <cell r="Y13314" t="str">
            <v>DENMARK</v>
          </cell>
        </row>
        <row r="13315">
          <cell r="L13315" t="str">
            <v>Non-proportional</v>
          </cell>
          <cell r="S13315">
            <v>-33726.39</v>
          </cell>
          <cell r="X13315" t="str">
            <v>Variation UPR - gross</v>
          </cell>
          <cell r="Y13315" t="str">
            <v>FRANCE</v>
          </cell>
        </row>
        <row r="13316">
          <cell r="L13316" t="str">
            <v>Non-proportional</v>
          </cell>
          <cell r="S13316">
            <v>-5578.69</v>
          </cell>
          <cell r="X13316" t="str">
            <v>Variation UPR - gross</v>
          </cell>
          <cell r="Y13316" t="str">
            <v>DENMARK</v>
          </cell>
        </row>
        <row r="13317">
          <cell r="L13317" t="str">
            <v>Non-proportional</v>
          </cell>
          <cell r="S13317">
            <v>-7036.51</v>
          </cell>
          <cell r="X13317" t="str">
            <v>Variation UPR - gross</v>
          </cell>
          <cell r="Y13317" t="str">
            <v>NORWAY</v>
          </cell>
        </row>
        <row r="13318">
          <cell r="L13318" t="str">
            <v>Non-proportional</v>
          </cell>
          <cell r="S13318">
            <v>-1120.3599999999999</v>
          </cell>
          <cell r="X13318" t="str">
            <v>Variation UPR - gross</v>
          </cell>
          <cell r="Y13318" t="str">
            <v>UNITED KINGDOM</v>
          </cell>
        </row>
        <row r="13319">
          <cell r="L13319" t="str">
            <v>Non-proportional</v>
          </cell>
          <cell r="S13319">
            <v>-313.39999999999998</v>
          </cell>
          <cell r="X13319" t="str">
            <v>Variation UPR - gross</v>
          </cell>
          <cell r="Y13319" t="str">
            <v>DENMARK</v>
          </cell>
        </row>
        <row r="13320">
          <cell r="L13320" t="str">
            <v>Non-proportional</v>
          </cell>
          <cell r="S13320">
            <v>-750</v>
          </cell>
          <cell r="X13320" t="str">
            <v>Variation UPR - gross</v>
          </cell>
          <cell r="Y13320" t="str">
            <v>GERMANY</v>
          </cell>
        </row>
        <row r="13321">
          <cell r="L13321" t="str">
            <v>Non-proportional</v>
          </cell>
          <cell r="S13321">
            <v>-1509.09</v>
          </cell>
          <cell r="X13321" t="str">
            <v>Variation UPR - gross</v>
          </cell>
          <cell r="Y13321" t="str">
            <v>GERMANY</v>
          </cell>
        </row>
        <row r="13322">
          <cell r="L13322" t="str">
            <v>Non-proportional</v>
          </cell>
          <cell r="S13322">
            <v>-13541.67</v>
          </cell>
          <cell r="X13322" t="str">
            <v>Variation UPR - gross</v>
          </cell>
          <cell r="Y13322" t="str">
            <v>GERMANY</v>
          </cell>
        </row>
        <row r="13323">
          <cell r="L13323" t="str">
            <v>Non-proportional</v>
          </cell>
          <cell r="S13323">
            <v>-7606.58</v>
          </cell>
          <cell r="X13323" t="str">
            <v>Variation UPR - gross</v>
          </cell>
          <cell r="Y13323" t="str">
            <v>UNITED KINGDOM</v>
          </cell>
        </row>
        <row r="13324">
          <cell r="L13324" t="str">
            <v>Non-proportional</v>
          </cell>
          <cell r="S13324">
            <v>-3392.5</v>
          </cell>
          <cell r="X13324" t="str">
            <v>Variation UPR - gross</v>
          </cell>
          <cell r="Y13324" t="str">
            <v>ITALY</v>
          </cell>
        </row>
        <row r="13325">
          <cell r="L13325" t="str">
            <v>Non-proportional</v>
          </cell>
          <cell r="S13325">
            <v>-5527.05</v>
          </cell>
          <cell r="X13325" t="str">
            <v>Variation UPR - gross</v>
          </cell>
          <cell r="Y13325" t="str">
            <v>GERMANY</v>
          </cell>
        </row>
        <row r="13326">
          <cell r="L13326" t="str">
            <v>Non-proportional</v>
          </cell>
          <cell r="S13326">
            <v>-5717.64</v>
          </cell>
          <cell r="X13326" t="str">
            <v>Variation UPR - gross</v>
          </cell>
          <cell r="Y13326" t="str">
            <v>GERMANY</v>
          </cell>
        </row>
        <row r="13327">
          <cell r="L13327" t="str">
            <v>Non-proportional</v>
          </cell>
          <cell r="S13327">
            <v>0.01</v>
          </cell>
          <cell r="X13327" t="str">
            <v>Variation UPR - gross</v>
          </cell>
          <cell r="Y13327" t="str">
            <v>JAPAN</v>
          </cell>
        </row>
        <row r="13328">
          <cell r="L13328" t="str">
            <v>Non-proportional</v>
          </cell>
          <cell r="S13328">
            <v>-6998</v>
          </cell>
          <cell r="X13328" t="str">
            <v>Variation UPR - gross</v>
          </cell>
          <cell r="Y13328" t="str">
            <v>AUSTRIA</v>
          </cell>
        </row>
        <row r="13329">
          <cell r="L13329" t="str">
            <v>Non-proportional</v>
          </cell>
          <cell r="S13329">
            <v>-16643.64</v>
          </cell>
          <cell r="X13329" t="str">
            <v>Variation UPR - gross</v>
          </cell>
          <cell r="Y13329" t="str">
            <v>FRANCE</v>
          </cell>
        </row>
        <row r="13330">
          <cell r="L13330" t="str">
            <v>Proportional</v>
          </cell>
          <cell r="S13330">
            <v>-76765.960000000006</v>
          </cell>
          <cell r="X13330" t="str">
            <v>Variation UPR - gross</v>
          </cell>
          <cell r="Y13330" t="str">
            <v>SWITZERLAND</v>
          </cell>
        </row>
        <row r="13331">
          <cell r="L13331" t="str">
            <v>Non-proportional</v>
          </cell>
          <cell r="S13331">
            <v>-8322.82</v>
          </cell>
          <cell r="X13331" t="str">
            <v>Variation UPR - gross</v>
          </cell>
          <cell r="Y13331" t="str">
            <v>GERMANY</v>
          </cell>
        </row>
        <row r="13332">
          <cell r="L13332" t="str">
            <v>Non-proportional</v>
          </cell>
          <cell r="S13332">
            <v>-40903.5</v>
          </cell>
          <cell r="X13332" t="str">
            <v>Variation UPR - gross</v>
          </cell>
          <cell r="Y13332" t="str">
            <v>GERMANY</v>
          </cell>
        </row>
        <row r="13333">
          <cell r="L13333" t="str">
            <v>Non-proportional</v>
          </cell>
          <cell r="S13333">
            <v>-273982.90000000002</v>
          </cell>
          <cell r="X13333" t="str">
            <v>Variation UPR - gross</v>
          </cell>
          <cell r="Y13333" t="str">
            <v>UNITED KINGDOM</v>
          </cell>
        </row>
        <row r="13334">
          <cell r="L13334" t="str">
            <v>Non-proportional</v>
          </cell>
          <cell r="S13334">
            <v>-8970.6200000000008</v>
          </cell>
          <cell r="X13334" t="str">
            <v>Variation UPR - gross</v>
          </cell>
          <cell r="Y13334" t="str">
            <v>GERMANY</v>
          </cell>
        </row>
        <row r="13335">
          <cell r="L13335" t="str">
            <v>Non-proportional</v>
          </cell>
          <cell r="S13335">
            <v>0.16</v>
          </cell>
          <cell r="X13335" t="str">
            <v>Variation UPR - gross</v>
          </cell>
          <cell r="Y13335" t="str">
            <v>DENMARK</v>
          </cell>
        </row>
        <row r="13336">
          <cell r="L13336" t="str">
            <v>Non-proportional</v>
          </cell>
          <cell r="S13336">
            <v>-2065.29</v>
          </cell>
          <cell r="X13336" t="str">
            <v>Variation UPR - gross</v>
          </cell>
          <cell r="Y13336" t="str">
            <v>EUROPE</v>
          </cell>
        </row>
        <row r="13337">
          <cell r="L13337" t="str">
            <v>Non-proportional</v>
          </cell>
          <cell r="S13337">
            <v>-13000</v>
          </cell>
          <cell r="X13337" t="str">
            <v>Variation UPR - gross</v>
          </cell>
          <cell r="Y13337" t="str">
            <v>ROMANIA</v>
          </cell>
        </row>
        <row r="13338">
          <cell r="L13338" t="str">
            <v>Non-proportional</v>
          </cell>
          <cell r="S13338">
            <v>-3790.01</v>
          </cell>
          <cell r="X13338" t="str">
            <v>Variation UPR - gross</v>
          </cell>
          <cell r="Y13338" t="str">
            <v>REPUBLIC OF IRELAND</v>
          </cell>
        </row>
        <row r="13339">
          <cell r="L13339" t="str">
            <v>Non-proportional</v>
          </cell>
          <cell r="S13339">
            <v>-5484.12</v>
          </cell>
          <cell r="X13339" t="str">
            <v>Variation UPR - gross</v>
          </cell>
          <cell r="Y13339" t="str">
            <v>EUROPE</v>
          </cell>
        </row>
        <row r="13340">
          <cell r="L13340" t="str">
            <v>Non-proportional</v>
          </cell>
          <cell r="S13340">
            <v>-2340</v>
          </cell>
          <cell r="X13340" t="str">
            <v>Variation UPR - gross</v>
          </cell>
          <cell r="Y13340" t="str">
            <v>GERMANY</v>
          </cell>
        </row>
        <row r="13341">
          <cell r="L13341" t="str">
            <v>Non-proportional</v>
          </cell>
          <cell r="S13341">
            <v>-11053.23</v>
          </cell>
          <cell r="X13341" t="str">
            <v>Variation UPR - gross</v>
          </cell>
          <cell r="Y13341" t="str">
            <v>DENMARK</v>
          </cell>
        </row>
        <row r="13342">
          <cell r="L13342" t="str">
            <v>Non-proportional</v>
          </cell>
          <cell r="S13342">
            <v>-25780.85</v>
          </cell>
          <cell r="X13342" t="str">
            <v>Variation UPR - gross</v>
          </cell>
          <cell r="Y13342" t="str">
            <v>UNITED KINGDOM</v>
          </cell>
        </row>
        <row r="13343">
          <cell r="L13343" t="str">
            <v>Non-proportional</v>
          </cell>
          <cell r="S13343">
            <v>-4841.3100000000004</v>
          </cell>
          <cell r="X13343" t="str">
            <v>Variation UPR - gross</v>
          </cell>
          <cell r="Y13343" t="str">
            <v>UNITED KINGDOM</v>
          </cell>
        </row>
        <row r="13344">
          <cell r="L13344" t="str">
            <v>Non-proportional</v>
          </cell>
          <cell r="S13344">
            <v>-10829.23</v>
          </cell>
          <cell r="X13344" t="str">
            <v>Variation UPR - gross</v>
          </cell>
          <cell r="Y13344" t="str">
            <v>UNITED KINGDOM</v>
          </cell>
        </row>
        <row r="13345">
          <cell r="L13345" t="str">
            <v>Non-proportional</v>
          </cell>
          <cell r="S13345">
            <v>-9128.9599999999991</v>
          </cell>
          <cell r="X13345" t="str">
            <v>Variation UPR - gross</v>
          </cell>
          <cell r="Y13345" t="str">
            <v>GERMANY</v>
          </cell>
        </row>
        <row r="13346">
          <cell r="L13346" t="str">
            <v>Non-proportional</v>
          </cell>
          <cell r="S13346">
            <v>-1886.04</v>
          </cell>
          <cell r="X13346" t="str">
            <v>Variation UPR - gross</v>
          </cell>
          <cell r="Y13346" t="str">
            <v>JAPAN</v>
          </cell>
        </row>
        <row r="13347">
          <cell r="L13347" t="str">
            <v>Non-proportional</v>
          </cell>
          <cell r="S13347">
            <v>16.2</v>
          </cell>
          <cell r="X13347" t="str">
            <v>Variation UPR - gross</v>
          </cell>
          <cell r="Y13347" t="str">
            <v>SWEDEN</v>
          </cell>
        </row>
        <row r="13348">
          <cell r="L13348" t="str">
            <v>Non-proportional</v>
          </cell>
          <cell r="S13348">
            <v>-451.25</v>
          </cell>
          <cell r="X13348" t="str">
            <v>Variation UPR - gross</v>
          </cell>
          <cell r="Y13348" t="str">
            <v>ITALY</v>
          </cell>
        </row>
        <row r="13349">
          <cell r="L13349" t="str">
            <v>Non-proportional</v>
          </cell>
          <cell r="S13349">
            <v>-5784.58</v>
          </cell>
          <cell r="X13349" t="str">
            <v>Variation UPR - gross</v>
          </cell>
          <cell r="Y13349" t="str">
            <v>UNITED STATES</v>
          </cell>
        </row>
        <row r="13350">
          <cell r="L13350" t="str">
            <v>Non-proportional</v>
          </cell>
          <cell r="S13350">
            <v>-792</v>
          </cell>
          <cell r="X13350" t="str">
            <v>Variation UPR - gross</v>
          </cell>
          <cell r="Y13350" t="str">
            <v>JAPAN</v>
          </cell>
        </row>
        <row r="13351">
          <cell r="L13351" t="str">
            <v>Non-proportional</v>
          </cell>
          <cell r="S13351">
            <v>-6037.5</v>
          </cell>
          <cell r="X13351" t="str">
            <v>Variation UPR - gross</v>
          </cell>
          <cell r="Y13351" t="str">
            <v>GERMANY</v>
          </cell>
        </row>
        <row r="13352">
          <cell r="L13352" t="str">
            <v>Non-proportional</v>
          </cell>
          <cell r="S13352">
            <v>-6329.02</v>
          </cell>
          <cell r="X13352" t="str">
            <v>Variation UPR - gross</v>
          </cell>
          <cell r="Y13352" t="str">
            <v>AUSTRALIA</v>
          </cell>
        </row>
        <row r="13353">
          <cell r="L13353" t="str">
            <v>Non-proportional</v>
          </cell>
          <cell r="S13353">
            <v>-2637.27</v>
          </cell>
          <cell r="X13353" t="str">
            <v>Variation UPR - gross</v>
          </cell>
          <cell r="Y13353" t="str">
            <v>GERMANY</v>
          </cell>
        </row>
        <row r="13354">
          <cell r="L13354" t="str">
            <v>Non-proportional</v>
          </cell>
          <cell r="S13354">
            <v>-10209.379999999999</v>
          </cell>
          <cell r="X13354" t="str">
            <v>Variation UPR - gross</v>
          </cell>
          <cell r="Y13354" t="str">
            <v>GERMANY</v>
          </cell>
        </row>
        <row r="13355">
          <cell r="L13355" t="str">
            <v>Non-proportional</v>
          </cell>
          <cell r="S13355">
            <v>-1776.58</v>
          </cell>
          <cell r="X13355" t="str">
            <v>Variation UPR - gross</v>
          </cell>
          <cell r="Y13355" t="str">
            <v>JAPAN</v>
          </cell>
        </row>
        <row r="13356">
          <cell r="L13356" t="str">
            <v>Non-proportional</v>
          </cell>
          <cell r="S13356">
            <v>-11675.97</v>
          </cell>
          <cell r="X13356" t="str">
            <v>Variation UPR - gross</v>
          </cell>
          <cell r="Y13356" t="str">
            <v>SWITZERLAND</v>
          </cell>
        </row>
        <row r="13357">
          <cell r="L13357" t="str">
            <v>Non-proportional</v>
          </cell>
          <cell r="S13357">
            <v>-6638.42</v>
          </cell>
          <cell r="X13357" t="str">
            <v>Variation UPR - gross</v>
          </cell>
          <cell r="Y13357" t="str">
            <v>EUROPE</v>
          </cell>
        </row>
        <row r="13358">
          <cell r="L13358" t="str">
            <v>Non-proportional</v>
          </cell>
          <cell r="S13358">
            <v>-7659.57</v>
          </cell>
          <cell r="X13358" t="str">
            <v>Variation UPR - gross</v>
          </cell>
          <cell r="Y13358" t="str">
            <v>UNITED STATES</v>
          </cell>
        </row>
        <row r="13359">
          <cell r="L13359" t="str">
            <v>Non-proportional</v>
          </cell>
          <cell r="S13359">
            <v>-14058.31</v>
          </cell>
          <cell r="X13359" t="str">
            <v>Variation UPR - gross</v>
          </cell>
          <cell r="Y13359" t="str">
            <v>EIRE</v>
          </cell>
        </row>
        <row r="13360">
          <cell r="L13360" t="str">
            <v>Non-proportional</v>
          </cell>
          <cell r="S13360">
            <v>-3687.5</v>
          </cell>
          <cell r="X13360" t="str">
            <v>Variation UPR - gross</v>
          </cell>
          <cell r="Y13360" t="str">
            <v>GERMANY</v>
          </cell>
        </row>
        <row r="13361">
          <cell r="L13361" t="str">
            <v>Non-proportional</v>
          </cell>
          <cell r="S13361">
            <v>-30579.57</v>
          </cell>
          <cell r="X13361" t="str">
            <v>Variation UPR - gross</v>
          </cell>
          <cell r="Y13361" t="str">
            <v>UNITED KINGDOM</v>
          </cell>
        </row>
        <row r="13362">
          <cell r="L13362" t="str">
            <v>Non-proportional</v>
          </cell>
          <cell r="S13362">
            <v>-17.13</v>
          </cell>
          <cell r="X13362" t="str">
            <v>Variation UPR - gross</v>
          </cell>
          <cell r="Y13362" t="str">
            <v>POLAND</v>
          </cell>
        </row>
        <row r="13363">
          <cell r="L13363" t="str">
            <v>Non-proportional</v>
          </cell>
          <cell r="S13363">
            <v>-10537.8</v>
          </cell>
          <cell r="X13363" t="str">
            <v>Variation UPR - gross</v>
          </cell>
          <cell r="Y13363" t="str">
            <v>GERMANY</v>
          </cell>
        </row>
        <row r="13364">
          <cell r="L13364" t="str">
            <v>Non-proportional</v>
          </cell>
          <cell r="S13364">
            <v>-8274.6</v>
          </cell>
          <cell r="X13364" t="str">
            <v>Variation UPR - gross</v>
          </cell>
          <cell r="Y13364" t="str">
            <v>POLAND</v>
          </cell>
        </row>
        <row r="13365">
          <cell r="L13365" t="str">
            <v>Non-proportional</v>
          </cell>
          <cell r="S13365">
            <v>-4237.9799999999996</v>
          </cell>
          <cell r="X13365" t="str">
            <v>Variation UPR - gross</v>
          </cell>
          <cell r="Y13365" t="str">
            <v>GERMANY</v>
          </cell>
        </row>
        <row r="13366">
          <cell r="L13366" t="str">
            <v>Non-proportional</v>
          </cell>
          <cell r="S13366">
            <v>2.82</v>
          </cell>
          <cell r="X13366" t="str">
            <v>Variation UPR - gross</v>
          </cell>
          <cell r="Y13366" t="str">
            <v>DENMARK</v>
          </cell>
        </row>
        <row r="13367">
          <cell r="L13367" t="str">
            <v>Non-proportional</v>
          </cell>
          <cell r="S13367">
            <v>-11568.36</v>
          </cell>
          <cell r="X13367" t="str">
            <v>Variation UPR - gross</v>
          </cell>
          <cell r="Y13367" t="str">
            <v>UNITED KINGDOM</v>
          </cell>
        </row>
        <row r="13368">
          <cell r="L13368" t="str">
            <v>Proportional</v>
          </cell>
          <cell r="S13368">
            <v>-17296.77</v>
          </cell>
          <cell r="X13368" t="str">
            <v>Variation UPR - gross</v>
          </cell>
          <cell r="Y13368" t="str">
            <v>GERMANY</v>
          </cell>
        </row>
        <row r="13369">
          <cell r="L13369" t="str">
            <v>Non-proportional</v>
          </cell>
          <cell r="S13369">
            <v>-166110.41</v>
          </cell>
          <cell r="X13369" t="str">
            <v>Variation UPR - gross</v>
          </cell>
          <cell r="Y13369" t="str">
            <v>UNITED KINGDOM</v>
          </cell>
        </row>
        <row r="13370">
          <cell r="L13370" t="str">
            <v>Non-proportional</v>
          </cell>
          <cell r="S13370">
            <v>-19968.099999999999</v>
          </cell>
          <cell r="X13370" t="str">
            <v>Variation UPR - gross</v>
          </cell>
          <cell r="Y13370" t="str">
            <v>UNITED KINGDOM</v>
          </cell>
        </row>
        <row r="13371">
          <cell r="L13371" t="str">
            <v>Non-proportional</v>
          </cell>
          <cell r="S13371">
            <v>-6416.67</v>
          </cell>
          <cell r="X13371" t="str">
            <v>Variation UPR - gross</v>
          </cell>
          <cell r="Y13371" t="str">
            <v>GERMANY</v>
          </cell>
        </row>
        <row r="13372">
          <cell r="L13372" t="str">
            <v>Non-proportional</v>
          </cell>
          <cell r="S13372">
            <v>-26022.07</v>
          </cell>
          <cell r="X13372" t="str">
            <v>Variation UPR - gross</v>
          </cell>
          <cell r="Y13372" t="str">
            <v>UNITED KINGDOM</v>
          </cell>
        </row>
        <row r="13373">
          <cell r="L13373" t="str">
            <v>Non-proportional</v>
          </cell>
          <cell r="S13373">
            <v>-4164.72</v>
          </cell>
          <cell r="X13373" t="str">
            <v>Variation UPR - gross</v>
          </cell>
          <cell r="Y13373" t="str">
            <v>GERMANY</v>
          </cell>
        </row>
        <row r="13374">
          <cell r="L13374" t="str">
            <v>Non-proportional</v>
          </cell>
          <cell r="S13374">
            <v>-25886.33</v>
          </cell>
          <cell r="X13374" t="str">
            <v>Variation UPR - gross</v>
          </cell>
          <cell r="Y13374" t="str">
            <v>CZECH REPUBLIC</v>
          </cell>
        </row>
        <row r="13375">
          <cell r="L13375" t="str">
            <v>Non-proportional</v>
          </cell>
          <cell r="S13375">
            <v>-2083.33</v>
          </cell>
          <cell r="X13375" t="str">
            <v>Variation UPR - gross</v>
          </cell>
          <cell r="Y13375" t="str">
            <v>GERMANY</v>
          </cell>
        </row>
        <row r="13376">
          <cell r="L13376" t="str">
            <v>Non-proportional</v>
          </cell>
          <cell r="S13376">
            <v>-4079.88</v>
          </cell>
          <cell r="X13376" t="str">
            <v>Variation UPR - gross</v>
          </cell>
          <cell r="Y13376" t="str">
            <v>SWITZERLAND</v>
          </cell>
        </row>
        <row r="13377">
          <cell r="L13377" t="str">
            <v>Non-proportional</v>
          </cell>
          <cell r="S13377">
            <v>-35570.32</v>
          </cell>
          <cell r="X13377" t="str">
            <v>Variation UPR - gross</v>
          </cell>
          <cell r="Y13377" t="str">
            <v>FRANCE</v>
          </cell>
        </row>
        <row r="13378">
          <cell r="L13378" t="str">
            <v>Non-proportional</v>
          </cell>
          <cell r="S13378">
            <v>-8423.33</v>
          </cell>
          <cell r="X13378" t="str">
            <v>Variation UPR - gross</v>
          </cell>
          <cell r="Y13378" t="str">
            <v>ITALY</v>
          </cell>
        </row>
        <row r="13379">
          <cell r="L13379" t="str">
            <v>Non-proportional</v>
          </cell>
          <cell r="S13379">
            <v>-2382.3200000000002</v>
          </cell>
          <cell r="X13379" t="str">
            <v>Variation UPR - gross</v>
          </cell>
          <cell r="Y13379" t="str">
            <v>UNITED KINGDOM</v>
          </cell>
        </row>
        <row r="13380">
          <cell r="L13380" t="str">
            <v>Non-proportional</v>
          </cell>
          <cell r="S13380">
            <v>-2072.9299999999998</v>
          </cell>
          <cell r="X13380" t="str">
            <v>Variation UPR - gross</v>
          </cell>
          <cell r="Y13380" t="str">
            <v>SWITZERLAND</v>
          </cell>
        </row>
        <row r="13381">
          <cell r="L13381" t="str">
            <v>Non-proportional</v>
          </cell>
          <cell r="S13381">
            <v>-3850</v>
          </cell>
          <cell r="X13381" t="str">
            <v>Variation UPR - gross</v>
          </cell>
          <cell r="Y13381" t="str">
            <v>GERMANY</v>
          </cell>
        </row>
        <row r="13382">
          <cell r="L13382" t="str">
            <v>Non-proportional</v>
          </cell>
          <cell r="S13382">
            <v>-6480.42</v>
          </cell>
          <cell r="X13382" t="str">
            <v>Variation UPR - gross</v>
          </cell>
          <cell r="Y13382" t="str">
            <v>REPUBLIC OF IRELAND</v>
          </cell>
        </row>
        <row r="13383">
          <cell r="L13383" t="str">
            <v>Non-proportional</v>
          </cell>
          <cell r="S13383">
            <v>-9203.1200000000008</v>
          </cell>
          <cell r="X13383" t="str">
            <v>Variation UPR - gross</v>
          </cell>
          <cell r="Y13383" t="str">
            <v>GERMANY</v>
          </cell>
        </row>
        <row r="13384">
          <cell r="L13384" t="str">
            <v>Non-proportional</v>
          </cell>
          <cell r="S13384">
            <v>-7965</v>
          </cell>
          <cell r="X13384" t="str">
            <v>Variation UPR - gross</v>
          </cell>
          <cell r="Y13384" t="str">
            <v>GERMANY</v>
          </cell>
        </row>
        <row r="13385">
          <cell r="L13385" t="str">
            <v>Non-proportional</v>
          </cell>
          <cell r="S13385">
            <v>-7828.72</v>
          </cell>
          <cell r="X13385" t="str">
            <v>Variation UPR - gross</v>
          </cell>
          <cell r="Y13385" t="str">
            <v>SWITZERLAND</v>
          </cell>
        </row>
        <row r="13386">
          <cell r="L13386" t="str">
            <v>Non-proportional</v>
          </cell>
          <cell r="S13386">
            <v>-3262.5</v>
          </cell>
          <cell r="X13386" t="str">
            <v>Variation UPR - gross</v>
          </cell>
          <cell r="Y13386" t="str">
            <v>ROMANIA</v>
          </cell>
        </row>
        <row r="13387">
          <cell r="L13387" t="str">
            <v>Non-proportional</v>
          </cell>
          <cell r="S13387">
            <v>-8844.9</v>
          </cell>
          <cell r="X13387" t="str">
            <v>Variation UPR - gross</v>
          </cell>
          <cell r="Y13387" t="str">
            <v>GERMANY</v>
          </cell>
        </row>
        <row r="13388">
          <cell r="L13388" t="str">
            <v>Non-proportional</v>
          </cell>
          <cell r="S13388">
            <v>-2712.75</v>
          </cell>
          <cell r="X13388" t="str">
            <v>Variation UPR - gross</v>
          </cell>
          <cell r="Y13388" t="str">
            <v>GERMANY</v>
          </cell>
        </row>
        <row r="13389">
          <cell r="L13389" t="str">
            <v>Non-proportional</v>
          </cell>
          <cell r="S13389">
            <v>-6871.9</v>
          </cell>
          <cell r="X13389" t="str">
            <v>Variation UPR - gross</v>
          </cell>
          <cell r="Y13389" t="str">
            <v>GERMANY</v>
          </cell>
        </row>
        <row r="13390">
          <cell r="L13390" t="str">
            <v>Non-proportional</v>
          </cell>
          <cell r="S13390">
            <v>-5467.12</v>
          </cell>
          <cell r="X13390" t="str">
            <v>Variation UPR - gross</v>
          </cell>
          <cell r="Y13390" t="str">
            <v>EIRE</v>
          </cell>
        </row>
        <row r="13391">
          <cell r="L13391" t="str">
            <v>Non-proportional</v>
          </cell>
          <cell r="S13391">
            <v>-26853.66</v>
          </cell>
          <cell r="X13391" t="str">
            <v>Variation UPR - gross</v>
          </cell>
          <cell r="Y13391" t="str">
            <v>UNITED KINGDOM</v>
          </cell>
        </row>
        <row r="13392">
          <cell r="L13392" t="str">
            <v>Non-proportional</v>
          </cell>
          <cell r="S13392">
            <v>-12215.04</v>
          </cell>
          <cell r="X13392" t="str">
            <v>Variation UPR - gross</v>
          </cell>
          <cell r="Y13392" t="str">
            <v>REPUBLIC OF IRELAND</v>
          </cell>
        </row>
        <row r="13393">
          <cell r="L13393" t="str">
            <v>Non-proportional</v>
          </cell>
          <cell r="S13393">
            <v>-8347.11</v>
          </cell>
          <cell r="X13393" t="str">
            <v>Variation UPR - gross</v>
          </cell>
          <cell r="Y13393" t="str">
            <v>DENMARK</v>
          </cell>
        </row>
        <row r="13394">
          <cell r="L13394" t="str">
            <v>Proportional</v>
          </cell>
          <cell r="S13394">
            <v>-60764.12</v>
          </cell>
          <cell r="X13394" t="str">
            <v>Variation UPR - gross</v>
          </cell>
          <cell r="Y13394" t="str">
            <v>UNITED STATES</v>
          </cell>
        </row>
        <row r="13395">
          <cell r="L13395" t="str">
            <v>Non-proportional</v>
          </cell>
          <cell r="S13395">
            <v>102</v>
          </cell>
          <cell r="X13395" t="str">
            <v>Variation UPR - gross</v>
          </cell>
          <cell r="Y13395" t="str">
            <v>POLAND</v>
          </cell>
        </row>
        <row r="13396">
          <cell r="L13396" t="str">
            <v>Non-proportional</v>
          </cell>
          <cell r="S13396">
            <v>-23058.97</v>
          </cell>
          <cell r="X13396" t="str">
            <v>Variation UPR - gross</v>
          </cell>
          <cell r="Y13396" t="str">
            <v>FRANCE</v>
          </cell>
        </row>
        <row r="13397">
          <cell r="L13397" t="str">
            <v>Non-proportional</v>
          </cell>
          <cell r="S13397">
            <v>-15.63</v>
          </cell>
          <cell r="X13397" t="str">
            <v>Variation UPR - gross</v>
          </cell>
          <cell r="Y13397" t="str">
            <v>NORWAY</v>
          </cell>
        </row>
        <row r="13398">
          <cell r="L13398" t="str">
            <v>Non-proportional</v>
          </cell>
          <cell r="S13398">
            <v>-5038.72</v>
          </cell>
          <cell r="X13398" t="str">
            <v>Variation UPR - gross</v>
          </cell>
          <cell r="Y13398" t="str">
            <v>SWITZERLAND</v>
          </cell>
        </row>
        <row r="13399">
          <cell r="L13399" t="str">
            <v>Non-proportional</v>
          </cell>
          <cell r="S13399">
            <v>3.79</v>
          </cell>
          <cell r="X13399" t="str">
            <v>Variation UPR - gross</v>
          </cell>
          <cell r="Y13399" t="str">
            <v>DENMARK</v>
          </cell>
        </row>
        <row r="13400">
          <cell r="L13400" t="str">
            <v>Non-proportional</v>
          </cell>
          <cell r="S13400">
            <v>-7590</v>
          </cell>
          <cell r="X13400" t="str">
            <v>Variation UPR - gross</v>
          </cell>
          <cell r="Y13400" t="str">
            <v>GERMANY</v>
          </cell>
        </row>
        <row r="13401">
          <cell r="L13401" t="str">
            <v>Non-proportional</v>
          </cell>
          <cell r="S13401">
            <v>-2802.35</v>
          </cell>
          <cell r="X13401" t="str">
            <v>Variation UPR - gross</v>
          </cell>
          <cell r="Y13401" t="str">
            <v>REPUBLIC OF IRELAND</v>
          </cell>
        </row>
        <row r="13402">
          <cell r="L13402" t="str">
            <v>Non-proportional</v>
          </cell>
          <cell r="S13402">
            <v>-2605.31</v>
          </cell>
          <cell r="X13402" t="str">
            <v>Variation UPR - gross</v>
          </cell>
          <cell r="Y13402" t="str">
            <v>UNITED KINGDOM</v>
          </cell>
        </row>
        <row r="13403">
          <cell r="L13403" t="str">
            <v>Non-proportional</v>
          </cell>
          <cell r="S13403">
            <v>-17.62</v>
          </cell>
          <cell r="X13403" t="str">
            <v>Variation UPR - gross</v>
          </cell>
          <cell r="Y13403" t="str">
            <v>EUROPE</v>
          </cell>
        </row>
        <row r="13404">
          <cell r="L13404" t="str">
            <v>Non-proportional</v>
          </cell>
          <cell r="S13404">
            <v>-6358.92</v>
          </cell>
          <cell r="X13404" t="str">
            <v>Variation UPR - gross</v>
          </cell>
          <cell r="Y13404" t="str">
            <v>SWEDEN</v>
          </cell>
        </row>
        <row r="13405">
          <cell r="L13405" t="str">
            <v>Non-proportional</v>
          </cell>
          <cell r="S13405">
            <v>-11330.34</v>
          </cell>
          <cell r="X13405" t="str">
            <v>Variation UPR - gross</v>
          </cell>
          <cell r="Y13405" t="str">
            <v>SWEDEN</v>
          </cell>
        </row>
        <row r="13406">
          <cell r="L13406" t="str">
            <v>Non-proportional</v>
          </cell>
          <cell r="S13406">
            <v>-9751.23</v>
          </cell>
          <cell r="X13406" t="str">
            <v>Variation UPR - gross</v>
          </cell>
          <cell r="Y13406" t="str">
            <v>GERMANY</v>
          </cell>
        </row>
        <row r="13407">
          <cell r="L13407" t="str">
            <v>Non-proportional</v>
          </cell>
          <cell r="S13407">
            <v>-5493.18</v>
          </cell>
          <cell r="X13407" t="str">
            <v>Variation UPR - gross</v>
          </cell>
          <cell r="Y13407" t="str">
            <v>FRANCE</v>
          </cell>
        </row>
        <row r="13408">
          <cell r="L13408" t="str">
            <v>Non-proportional</v>
          </cell>
          <cell r="S13408">
            <v>-20416.669999999998</v>
          </cell>
          <cell r="X13408" t="str">
            <v>Variation UPR - gross</v>
          </cell>
          <cell r="Y13408" t="str">
            <v>GERMANY</v>
          </cell>
        </row>
        <row r="13409">
          <cell r="L13409" t="str">
            <v>Non-proportional</v>
          </cell>
          <cell r="S13409">
            <v>-1087.8599999999999</v>
          </cell>
          <cell r="X13409" t="str">
            <v>Variation UPR - gross</v>
          </cell>
          <cell r="Y13409" t="str">
            <v>DENMARK</v>
          </cell>
        </row>
        <row r="13410">
          <cell r="L13410" t="str">
            <v>Non-proportional</v>
          </cell>
          <cell r="S13410">
            <v>-2279.25</v>
          </cell>
          <cell r="X13410" t="str">
            <v>Variation UPR - gross</v>
          </cell>
          <cell r="Y13410" t="str">
            <v>UNITED ARAB EMIRATES</v>
          </cell>
        </row>
        <row r="13411">
          <cell r="L13411" t="str">
            <v>Non-proportional</v>
          </cell>
          <cell r="S13411">
            <v>-663.91</v>
          </cell>
          <cell r="X13411" t="str">
            <v>Variation UPR - gross</v>
          </cell>
          <cell r="Y13411" t="str">
            <v>JAPAN</v>
          </cell>
        </row>
        <row r="13412">
          <cell r="L13412" t="str">
            <v>Non-proportional</v>
          </cell>
          <cell r="S13412">
            <v>-20002.47</v>
          </cell>
          <cell r="X13412" t="str">
            <v>Variation UPR - gross</v>
          </cell>
          <cell r="Y13412" t="str">
            <v>CZECH REPUBLIC</v>
          </cell>
        </row>
        <row r="13413">
          <cell r="L13413" t="str">
            <v>Non-proportional</v>
          </cell>
          <cell r="S13413">
            <v>-7501.57</v>
          </cell>
          <cell r="X13413" t="str">
            <v>Variation UPR - gross</v>
          </cell>
          <cell r="Y13413" t="str">
            <v>GERMANY</v>
          </cell>
        </row>
        <row r="13414">
          <cell r="L13414" t="str">
            <v>Non-proportional</v>
          </cell>
          <cell r="S13414">
            <v>-22367.759999999998</v>
          </cell>
          <cell r="X13414" t="str">
            <v>Variation UPR - gross</v>
          </cell>
          <cell r="Y13414" t="str">
            <v>SWITZERLAND</v>
          </cell>
        </row>
        <row r="13415">
          <cell r="L13415" t="str">
            <v>Non-proportional</v>
          </cell>
          <cell r="S13415">
            <v>0.6</v>
          </cell>
          <cell r="X13415" t="str">
            <v>Variation UPR - gross</v>
          </cell>
          <cell r="Y13415" t="str">
            <v>DENMARK</v>
          </cell>
        </row>
        <row r="13416">
          <cell r="L13416" t="str">
            <v>Non-proportional</v>
          </cell>
          <cell r="S13416">
            <v>-3436.97</v>
          </cell>
          <cell r="X13416" t="str">
            <v>Variation UPR - gross</v>
          </cell>
          <cell r="Y13416" t="str">
            <v>EUROPE</v>
          </cell>
        </row>
        <row r="13417">
          <cell r="L13417" t="str">
            <v>Non-proportional</v>
          </cell>
          <cell r="S13417">
            <v>-12424.29</v>
          </cell>
          <cell r="X13417" t="str">
            <v>Variation UPR - gross</v>
          </cell>
          <cell r="Y13417" t="str">
            <v>EUROPE</v>
          </cell>
        </row>
        <row r="13418">
          <cell r="L13418" t="str">
            <v>Non-proportional</v>
          </cell>
          <cell r="S13418">
            <v>-5227.3900000000003</v>
          </cell>
          <cell r="X13418" t="str">
            <v>Variation UPR - gross</v>
          </cell>
          <cell r="Y13418" t="str">
            <v>NORWAY</v>
          </cell>
        </row>
        <row r="13419">
          <cell r="L13419" t="str">
            <v>Non-proportional</v>
          </cell>
          <cell r="S13419">
            <v>-4439.78</v>
          </cell>
          <cell r="X13419" t="str">
            <v>Variation UPR - gross</v>
          </cell>
          <cell r="Y13419" t="str">
            <v>GERMANY</v>
          </cell>
        </row>
        <row r="13420">
          <cell r="L13420" t="str">
            <v>Non-proportional</v>
          </cell>
          <cell r="S13420">
            <v>-893.04</v>
          </cell>
          <cell r="X13420" t="str">
            <v>Variation UPR - gross</v>
          </cell>
          <cell r="Y13420" t="str">
            <v>DENMARK</v>
          </cell>
        </row>
        <row r="13421">
          <cell r="L13421" t="str">
            <v>Non-proportional</v>
          </cell>
          <cell r="S13421">
            <v>-23401.8</v>
          </cell>
          <cell r="X13421" t="str">
            <v>Variation UPR - gross</v>
          </cell>
          <cell r="Y13421" t="str">
            <v>GERMANY</v>
          </cell>
        </row>
        <row r="13422">
          <cell r="L13422" t="str">
            <v>Non-proportional</v>
          </cell>
          <cell r="S13422">
            <v>-17178.439999999999</v>
          </cell>
          <cell r="X13422" t="str">
            <v>Variation UPR - gross</v>
          </cell>
          <cell r="Y13422" t="str">
            <v>SWITZERLAND</v>
          </cell>
        </row>
        <row r="13423">
          <cell r="L13423" t="str">
            <v>Non-proportional</v>
          </cell>
          <cell r="S13423">
            <v>-873.38</v>
          </cell>
          <cell r="X13423" t="str">
            <v>Variation UPR - gross</v>
          </cell>
          <cell r="Y13423" t="str">
            <v>GERMANY</v>
          </cell>
        </row>
        <row r="13424">
          <cell r="L13424" t="str">
            <v>Non-proportional</v>
          </cell>
          <cell r="S13424">
            <v>-14632</v>
          </cell>
          <cell r="X13424" t="str">
            <v>Variation UPR - gross</v>
          </cell>
          <cell r="Y13424" t="str">
            <v>GERMANY</v>
          </cell>
        </row>
        <row r="13425">
          <cell r="L13425" t="str">
            <v>Non-proportional</v>
          </cell>
          <cell r="S13425">
            <v>-3648.3</v>
          </cell>
          <cell r="X13425" t="str">
            <v>Variation UPR - gross</v>
          </cell>
          <cell r="Y13425" t="str">
            <v>AUSTRALIA</v>
          </cell>
        </row>
        <row r="13426">
          <cell r="L13426" t="str">
            <v>Non-proportional</v>
          </cell>
          <cell r="S13426">
            <v>0.01</v>
          </cell>
          <cell r="X13426" t="str">
            <v>Variation UPR - gross</v>
          </cell>
          <cell r="Y13426" t="str">
            <v>JAPAN</v>
          </cell>
        </row>
        <row r="13427">
          <cell r="L13427" t="str">
            <v>Non-proportional</v>
          </cell>
          <cell r="S13427">
            <v>-8535.39</v>
          </cell>
          <cell r="X13427" t="str">
            <v>Variation UPR - gross</v>
          </cell>
          <cell r="Y13427" t="str">
            <v>DENMARK</v>
          </cell>
        </row>
        <row r="13428">
          <cell r="L13428" t="str">
            <v>Non-proportional</v>
          </cell>
          <cell r="S13428">
            <v>-20707.14</v>
          </cell>
          <cell r="X13428" t="str">
            <v>Variation UPR - gross</v>
          </cell>
          <cell r="Y13428" t="str">
            <v>EUROPE</v>
          </cell>
        </row>
        <row r="13429">
          <cell r="L13429" t="str">
            <v>Non-proportional</v>
          </cell>
          <cell r="S13429">
            <v>-10010.879999999999</v>
          </cell>
          <cell r="X13429" t="str">
            <v>Variation UPR - gross</v>
          </cell>
          <cell r="Y13429" t="str">
            <v>GERMANY</v>
          </cell>
        </row>
        <row r="13430">
          <cell r="L13430" t="str">
            <v>Non-proportional</v>
          </cell>
          <cell r="S13430">
            <v>-309.14999999999998</v>
          </cell>
          <cell r="X13430" t="str">
            <v>Variation UPR - gross</v>
          </cell>
          <cell r="Y13430" t="str">
            <v>AUSTRALIA</v>
          </cell>
        </row>
        <row r="13431">
          <cell r="L13431" t="str">
            <v>Non-proportional</v>
          </cell>
          <cell r="S13431">
            <v>-8981.7800000000007</v>
          </cell>
          <cell r="X13431" t="str">
            <v>Variation UPR - gross</v>
          </cell>
          <cell r="Y13431" t="str">
            <v>UNITED KINGDOM</v>
          </cell>
        </row>
        <row r="13432">
          <cell r="L13432" t="str">
            <v>Non-proportional</v>
          </cell>
          <cell r="S13432">
            <v>-2013.1</v>
          </cell>
          <cell r="X13432" t="str">
            <v>Variation UPR - gross</v>
          </cell>
          <cell r="Y13432" t="str">
            <v>SWITZERLAND</v>
          </cell>
        </row>
        <row r="13433">
          <cell r="L13433" t="str">
            <v>Non-proportional</v>
          </cell>
          <cell r="S13433">
            <v>-40892.74</v>
          </cell>
          <cell r="X13433" t="str">
            <v>Variation UPR - gross</v>
          </cell>
          <cell r="Y13433" t="str">
            <v>SWITZERLAND</v>
          </cell>
        </row>
        <row r="13434">
          <cell r="L13434" t="str">
            <v>Non-proportional</v>
          </cell>
          <cell r="S13434">
            <v>-1207.8599999999999</v>
          </cell>
          <cell r="X13434" t="str">
            <v>Variation UPR - gross</v>
          </cell>
          <cell r="Y13434" t="str">
            <v>SWITZERLAND</v>
          </cell>
        </row>
        <row r="13435">
          <cell r="L13435" t="str">
            <v>Non-proportional</v>
          </cell>
          <cell r="S13435">
            <v>-22495.4</v>
          </cell>
          <cell r="X13435" t="str">
            <v>Variation UPR - gross</v>
          </cell>
          <cell r="Y13435" t="str">
            <v>CZECH REPUBLIC</v>
          </cell>
        </row>
        <row r="13436">
          <cell r="L13436" t="str">
            <v>Non-proportional</v>
          </cell>
          <cell r="S13436">
            <v>-20770.63</v>
          </cell>
          <cell r="X13436" t="str">
            <v>Variation UPR - gross</v>
          </cell>
          <cell r="Y13436" t="str">
            <v>FRANCE</v>
          </cell>
        </row>
        <row r="13437">
          <cell r="L13437" t="str">
            <v>Non-proportional</v>
          </cell>
          <cell r="S13437">
            <v>-40936.97</v>
          </cell>
          <cell r="X13437" t="str">
            <v>Variation UPR - gross</v>
          </cell>
          <cell r="Y13437" t="str">
            <v>UNITED KINGDOM</v>
          </cell>
        </row>
        <row r="13438">
          <cell r="L13438" t="str">
            <v>Non-proportional</v>
          </cell>
          <cell r="S13438">
            <v>-55590.04</v>
          </cell>
          <cell r="X13438" t="str">
            <v>Variation UPR - gross</v>
          </cell>
          <cell r="Y13438" t="str">
            <v>UNITED KINGDOM</v>
          </cell>
        </row>
        <row r="13439">
          <cell r="L13439" t="str">
            <v>Non-proportional</v>
          </cell>
          <cell r="S13439">
            <v>-19920.240000000002</v>
          </cell>
          <cell r="X13439" t="str">
            <v>Variation UPR - gross</v>
          </cell>
          <cell r="Y13439" t="str">
            <v>FRANCE</v>
          </cell>
        </row>
        <row r="13440">
          <cell r="L13440" t="str">
            <v>Non-proportional</v>
          </cell>
          <cell r="S13440">
            <v>-1509.63</v>
          </cell>
          <cell r="X13440" t="str">
            <v>Variation UPR - gross</v>
          </cell>
          <cell r="Y13440" t="str">
            <v>UNITED ARAB EMIRATES</v>
          </cell>
        </row>
        <row r="13441">
          <cell r="L13441" t="str">
            <v>Non-proportional</v>
          </cell>
          <cell r="S13441">
            <v>-6441.92</v>
          </cell>
          <cell r="X13441" t="str">
            <v>Variation UPR - gross</v>
          </cell>
          <cell r="Y13441" t="str">
            <v>SWITZERLAND</v>
          </cell>
        </row>
        <row r="13442">
          <cell r="L13442" t="str">
            <v>Non-proportional</v>
          </cell>
          <cell r="S13442">
            <v>-321.45</v>
          </cell>
          <cell r="X13442" t="str">
            <v>Variation UPR - gross</v>
          </cell>
          <cell r="Y13442" t="str">
            <v>FRANCE</v>
          </cell>
        </row>
        <row r="13443">
          <cell r="L13443" t="str">
            <v>Non-proportional</v>
          </cell>
          <cell r="S13443">
            <v>-8369.58</v>
          </cell>
          <cell r="X13443" t="str">
            <v>Variation UPR - gross</v>
          </cell>
          <cell r="Y13443" t="str">
            <v>GERMANY</v>
          </cell>
        </row>
        <row r="13444">
          <cell r="L13444" t="str">
            <v>Non-proportional</v>
          </cell>
          <cell r="S13444">
            <v>-12716.74</v>
          </cell>
          <cell r="X13444" t="str">
            <v>Variation UPR - gross</v>
          </cell>
          <cell r="Y13444" t="str">
            <v>SWEDEN</v>
          </cell>
        </row>
        <row r="13445">
          <cell r="L13445" t="str">
            <v>Non-proportional</v>
          </cell>
          <cell r="S13445">
            <v>-42304.08</v>
          </cell>
          <cell r="X13445" t="str">
            <v>Variation UPR - gross</v>
          </cell>
          <cell r="Y13445" t="str">
            <v>UNITED KINGDOM</v>
          </cell>
        </row>
        <row r="13446">
          <cell r="L13446" t="str">
            <v>Non-proportional</v>
          </cell>
          <cell r="S13446">
            <v>-24396</v>
          </cell>
          <cell r="X13446" t="str">
            <v>Variation UPR - gross</v>
          </cell>
          <cell r="Y13446" t="str">
            <v>GERMANY</v>
          </cell>
        </row>
        <row r="13447">
          <cell r="L13447" t="str">
            <v>Non-proportional</v>
          </cell>
          <cell r="S13447">
            <v>-5893.93</v>
          </cell>
          <cell r="X13447" t="str">
            <v>Variation UPR - gross</v>
          </cell>
          <cell r="Y13447" t="str">
            <v>AUSTRIA</v>
          </cell>
        </row>
        <row r="13448">
          <cell r="L13448" t="str">
            <v>Non-proportional</v>
          </cell>
          <cell r="S13448">
            <v>-8702.44</v>
          </cell>
          <cell r="X13448" t="str">
            <v>Variation UPR - gross</v>
          </cell>
          <cell r="Y13448" t="str">
            <v>UNITED KINGDOM</v>
          </cell>
        </row>
        <row r="13449">
          <cell r="L13449" t="str">
            <v>Non-proportional</v>
          </cell>
          <cell r="S13449">
            <v>-83.26</v>
          </cell>
          <cell r="X13449" t="str">
            <v>Variation UPR - gross</v>
          </cell>
          <cell r="Y13449" t="str">
            <v>FRANCE</v>
          </cell>
        </row>
        <row r="13450">
          <cell r="L13450" t="str">
            <v>Non-proportional</v>
          </cell>
          <cell r="S13450">
            <v>-3329.84</v>
          </cell>
          <cell r="X13450" t="str">
            <v>Variation UPR - gross</v>
          </cell>
          <cell r="Y13450" t="str">
            <v>GERMANY</v>
          </cell>
        </row>
        <row r="13451">
          <cell r="L13451" t="str">
            <v>Non-proportional</v>
          </cell>
          <cell r="S13451">
            <v>-15098.24</v>
          </cell>
          <cell r="X13451" t="str">
            <v>Variation UPR - gross</v>
          </cell>
          <cell r="Y13451" t="str">
            <v>SWITZERLAND</v>
          </cell>
        </row>
        <row r="13452">
          <cell r="L13452" t="str">
            <v>Non-proportional</v>
          </cell>
          <cell r="S13452">
            <v>-3599.11</v>
          </cell>
          <cell r="X13452" t="str">
            <v>Variation UPR - gross</v>
          </cell>
          <cell r="Y13452" t="str">
            <v>FAROE ISLANDS</v>
          </cell>
        </row>
        <row r="13453">
          <cell r="L13453" t="str">
            <v>Non-proportional</v>
          </cell>
          <cell r="S13453">
            <v>-16318</v>
          </cell>
          <cell r="X13453" t="str">
            <v>Variation UPR - gross</v>
          </cell>
          <cell r="Y13453" t="str">
            <v>DENMARK</v>
          </cell>
        </row>
        <row r="13454">
          <cell r="L13454" t="str">
            <v>Non-proportional</v>
          </cell>
          <cell r="S13454">
            <v>-10015.08</v>
          </cell>
          <cell r="X13454" t="str">
            <v>Variation UPR - gross</v>
          </cell>
          <cell r="Y13454" t="str">
            <v>AUSTRIA</v>
          </cell>
        </row>
        <row r="13455">
          <cell r="L13455" t="str">
            <v>Non-proportional</v>
          </cell>
          <cell r="S13455">
            <v>-1108.02</v>
          </cell>
          <cell r="X13455" t="str">
            <v>Variation UPR - gross</v>
          </cell>
          <cell r="Y13455" t="str">
            <v>AUSTRIA</v>
          </cell>
        </row>
        <row r="13456">
          <cell r="L13456" t="str">
            <v>Non-proportional</v>
          </cell>
          <cell r="S13456">
            <v>-2410.5100000000002</v>
          </cell>
          <cell r="X13456" t="str">
            <v>Variation UPR - gross</v>
          </cell>
          <cell r="Y13456" t="str">
            <v>JAPAN</v>
          </cell>
        </row>
        <row r="13457">
          <cell r="L13457" t="str">
            <v>Non-proportional</v>
          </cell>
          <cell r="S13457">
            <v>-3107.33</v>
          </cell>
          <cell r="X13457" t="str">
            <v>Variation UPR - gross</v>
          </cell>
          <cell r="Y13457" t="str">
            <v>GERMANY</v>
          </cell>
        </row>
        <row r="13458">
          <cell r="L13458" t="str">
            <v>Non-proportional</v>
          </cell>
          <cell r="S13458">
            <v>-17609.03</v>
          </cell>
          <cell r="X13458" t="str">
            <v>Variation UPR - gross</v>
          </cell>
          <cell r="Y13458" t="str">
            <v>AUSTRIA</v>
          </cell>
        </row>
        <row r="13459">
          <cell r="L13459" t="str">
            <v>Non-proportional</v>
          </cell>
          <cell r="S13459">
            <v>-111.47</v>
          </cell>
          <cell r="X13459" t="str">
            <v>Variation UPR - gross</v>
          </cell>
          <cell r="Y13459" t="str">
            <v>UNITED ARAB EMIRATES</v>
          </cell>
        </row>
        <row r="13460">
          <cell r="L13460" t="str">
            <v>Non-proportional</v>
          </cell>
          <cell r="S13460">
            <v>-2500.5700000000002</v>
          </cell>
          <cell r="X13460" t="str">
            <v>Variation UPR - gross</v>
          </cell>
          <cell r="Y13460" t="str">
            <v>GERMANY</v>
          </cell>
        </row>
        <row r="13461">
          <cell r="L13461" t="str">
            <v>Non-proportional</v>
          </cell>
          <cell r="S13461">
            <v>-2816.19</v>
          </cell>
          <cell r="X13461" t="str">
            <v>Variation UPR - gross</v>
          </cell>
          <cell r="Y13461" t="str">
            <v>FRANCE</v>
          </cell>
        </row>
        <row r="13462">
          <cell r="L13462" t="str">
            <v>Non-proportional</v>
          </cell>
          <cell r="S13462">
            <v>-3528.53</v>
          </cell>
          <cell r="X13462" t="str">
            <v>Variation UPR - gross</v>
          </cell>
          <cell r="Y13462" t="str">
            <v>FAROE ISLANDS</v>
          </cell>
        </row>
        <row r="13463">
          <cell r="L13463" t="str">
            <v>Non-proportional</v>
          </cell>
          <cell r="S13463">
            <v>-51614.080000000002</v>
          </cell>
          <cell r="X13463" t="str">
            <v>Variation UPR - gross</v>
          </cell>
          <cell r="Y13463" t="str">
            <v>UNITED KINGDOM</v>
          </cell>
        </row>
        <row r="13464">
          <cell r="L13464" t="str">
            <v>Non-proportional</v>
          </cell>
          <cell r="S13464">
            <v>-3806.25</v>
          </cell>
          <cell r="X13464" t="str">
            <v>Variation UPR - gross</v>
          </cell>
          <cell r="Y13464" t="str">
            <v>ROMANIA</v>
          </cell>
        </row>
        <row r="13465">
          <cell r="L13465" t="str">
            <v>Non-proportional</v>
          </cell>
          <cell r="S13465">
            <v>-718.44</v>
          </cell>
          <cell r="X13465" t="str">
            <v>Variation UPR - gross</v>
          </cell>
          <cell r="Y13465" t="str">
            <v>ITALY</v>
          </cell>
        </row>
        <row r="13466">
          <cell r="L13466" t="str">
            <v>Non-proportional</v>
          </cell>
          <cell r="S13466">
            <v>-27268.27</v>
          </cell>
          <cell r="X13466" t="str">
            <v>Variation UPR - gross</v>
          </cell>
          <cell r="Y13466" t="str">
            <v>UNITED KINGDOM</v>
          </cell>
        </row>
        <row r="13467">
          <cell r="L13467" t="str">
            <v>Non-proportional</v>
          </cell>
          <cell r="S13467">
            <v>-78495.710000000006</v>
          </cell>
          <cell r="X13467" t="str">
            <v>Variation UPR - gross</v>
          </cell>
          <cell r="Y13467" t="str">
            <v>UNITED KINGDOM</v>
          </cell>
        </row>
        <row r="13468">
          <cell r="L13468" t="str">
            <v>Non-proportional</v>
          </cell>
          <cell r="S13468">
            <v>-18807.28</v>
          </cell>
          <cell r="X13468" t="str">
            <v>Variation UPR - gross</v>
          </cell>
          <cell r="Y13468" t="str">
            <v>REPUBLIC OF IRELAND</v>
          </cell>
        </row>
        <row r="13469">
          <cell r="L13469" t="str">
            <v>Non-proportional</v>
          </cell>
          <cell r="S13469">
            <v>-8696.8799999999992</v>
          </cell>
          <cell r="X13469" t="str">
            <v>Variation UPR - gross</v>
          </cell>
          <cell r="Y13469" t="str">
            <v>GERMANY</v>
          </cell>
        </row>
        <row r="13470">
          <cell r="L13470" t="str">
            <v>Non-proportional</v>
          </cell>
          <cell r="S13470">
            <v>-5586.33</v>
          </cell>
          <cell r="X13470" t="str">
            <v>Variation UPR - gross</v>
          </cell>
          <cell r="Y13470" t="str">
            <v>GERMANY</v>
          </cell>
        </row>
        <row r="13471">
          <cell r="L13471" t="str">
            <v>Non-proportional</v>
          </cell>
          <cell r="S13471">
            <v>-6066.77</v>
          </cell>
          <cell r="X13471" t="str">
            <v>Variation UPR - gross</v>
          </cell>
          <cell r="Y13471" t="str">
            <v>DENMARK</v>
          </cell>
        </row>
        <row r="13472">
          <cell r="L13472" t="str">
            <v>Non-proportional</v>
          </cell>
          <cell r="S13472">
            <v>-25393.599999999999</v>
          </cell>
          <cell r="X13472" t="str">
            <v>Variation UPR - gross</v>
          </cell>
          <cell r="Y13472" t="str">
            <v>GERMANY</v>
          </cell>
        </row>
        <row r="13473">
          <cell r="L13473" t="str">
            <v>Non-proportional</v>
          </cell>
          <cell r="S13473">
            <v>-4136.25</v>
          </cell>
          <cell r="X13473" t="str">
            <v>Variation UPR - gross</v>
          </cell>
          <cell r="Y13473" t="str">
            <v>SWITZERLAND</v>
          </cell>
        </row>
        <row r="13474">
          <cell r="L13474" t="str">
            <v>Non-proportional</v>
          </cell>
          <cell r="S13474">
            <v>2.34</v>
          </cell>
          <cell r="X13474" t="str">
            <v>Variation UPR - gross</v>
          </cell>
          <cell r="Y13474" t="str">
            <v>DENMARK</v>
          </cell>
        </row>
        <row r="13475">
          <cell r="L13475" t="str">
            <v>Non-proportional</v>
          </cell>
          <cell r="S13475">
            <v>-7886.97</v>
          </cell>
          <cell r="X13475" t="str">
            <v>Variation UPR - gross</v>
          </cell>
          <cell r="Y13475" t="str">
            <v>DENMARK</v>
          </cell>
        </row>
        <row r="13476">
          <cell r="L13476" t="str">
            <v>Non-proportional</v>
          </cell>
          <cell r="S13476">
            <v>-2357.5</v>
          </cell>
          <cell r="X13476" t="str">
            <v>Variation UPR - gross</v>
          </cell>
          <cell r="Y13476" t="str">
            <v>GERMANY</v>
          </cell>
        </row>
        <row r="13477">
          <cell r="L13477" t="str">
            <v>Non-proportional</v>
          </cell>
          <cell r="S13477">
            <v>9.4499999999999993</v>
          </cell>
          <cell r="X13477" t="str">
            <v>Variation UPR - gross</v>
          </cell>
          <cell r="Y13477" t="str">
            <v>SWEDEN</v>
          </cell>
        </row>
        <row r="13478">
          <cell r="L13478" t="str">
            <v>Non-proportional</v>
          </cell>
          <cell r="S13478">
            <v>-5368.68</v>
          </cell>
          <cell r="X13478" t="str">
            <v>Variation UPR - gross</v>
          </cell>
          <cell r="Y13478" t="str">
            <v>DENMARK</v>
          </cell>
        </row>
        <row r="13479">
          <cell r="L13479" t="str">
            <v>Non-proportional</v>
          </cell>
          <cell r="S13479">
            <v>-2477.36</v>
          </cell>
          <cell r="X13479" t="str">
            <v>Variation UPR - gross</v>
          </cell>
          <cell r="Y13479" t="str">
            <v>SWEDEN</v>
          </cell>
        </row>
        <row r="13480">
          <cell r="L13480" t="str">
            <v>Proportional</v>
          </cell>
          <cell r="S13480">
            <v>-36863.1</v>
          </cell>
          <cell r="X13480" t="str">
            <v>Variation UPR - gross</v>
          </cell>
          <cell r="Y13480" t="str">
            <v>UNITED KINGDOM</v>
          </cell>
        </row>
        <row r="13481">
          <cell r="L13481" t="str">
            <v>Non-proportional</v>
          </cell>
          <cell r="S13481">
            <v>-9.9600000000000009</v>
          </cell>
          <cell r="X13481" t="str">
            <v>Variation UPR - gross</v>
          </cell>
          <cell r="Y13481" t="str">
            <v>JAPAN</v>
          </cell>
        </row>
        <row r="13482">
          <cell r="L13482" t="str">
            <v>Proportional</v>
          </cell>
          <cell r="S13482">
            <v>-138031.91</v>
          </cell>
          <cell r="X13482" t="str">
            <v>Variation UPR - gross</v>
          </cell>
          <cell r="Y13482" t="str">
            <v>UNITED STATES</v>
          </cell>
        </row>
        <row r="13483">
          <cell r="L13483" t="str">
            <v>Non-proportional</v>
          </cell>
          <cell r="S13483">
            <v>-11371.38</v>
          </cell>
          <cell r="X13483" t="str">
            <v>Variation UPR - gross</v>
          </cell>
          <cell r="Y13483" t="str">
            <v>UNITED KINGDOM</v>
          </cell>
        </row>
        <row r="13484">
          <cell r="L13484" t="str">
            <v>Non-proportional</v>
          </cell>
          <cell r="S13484">
            <v>-117.79</v>
          </cell>
          <cell r="X13484" t="str">
            <v>Variation UPR - gross</v>
          </cell>
          <cell r="Y13484" t="str">
            <v>FRANCE</v>
          </cell>
        </row>
        <row r="13485">
          <cell r="L13485" t="str">
            <v>Non-proportional</v>
          </cell>
          <cell r="S13485">
            <v>-3617.46</v>
          </cell>
          <cell r="X13485" t="str">
            <v>Variation UPR - gross</v>
          </cell>
          <cell r="Y13485" t="str">
            <v>FRANCE</v>
          </cell>
        </row>
        <row r="13486">
          <cell r="L13486" t="str">
            <v>Non-proportional</v>
          </cell>
          <cell r="S13486">
            <v>-3057.07</v>
          </cell>
          <cell r="X13486" t="str">
            <v>Variation UPR - gross</v>
          </cell>
          <cell r="Y13486" t="str">
            <v>ICELAND</v>
          </cell>
        </row>
        <row r="13487">
          <cell r="L13487" t="str">
            <v>Non-proportional</v>
          </cell>
          <cell r="S13487">
            <v>10.61</v>
          </cell>
          <cell r="X13487" t="str">
            <v>Variation UPR - gross</v>
          </cell>
          <cell r="Y13487" t="str">
            <v>SWEDEN</v>
          </cell>
        </row>
        <row r="13488">
          <cell r="L13488" t="str">
            <v>Non-proportional</v>
          </cell>
          <cell r="S13488">
            <v>-1252.5999999999999</v>
          </cell>
          <cell r="X13488" t="str">
            <v>Variation UPR - gross</v>
          </cell>
          <cell r="Y13488" t="str">
            <v>SWITZERLAND</v>
          </cell>
        </row>
        <row r="13489">
          <cell r="L13489" t="str">
            <v>Non-proportional</v>
          </cell>
          <cell r="S13489">
            <v>-1240.9000000000001</v>
          </cell>
          <cell r="X13489" t="str">
            <v>Variation UPR - gross</v>
          </cell>
          <cell r="Y13489" t="str">
            <v>UNITED KINGDOM</v>
          </cell>
        </row>
        <row r="13490">
          <cell r="L13490" t="str">
            <v>Non-proportional</v>
          </cell>
          <cell r="S13490">
            <v>-9917.92</v>
          </cell>
          <cell r="X13490" t="str">
            <v>Variation UPR - gross</v>
          </cell>
          <cell r="Y13490" t="str">
            <v>CZECH REPUBLIC</v>
          </cell>
        </row>
        <row r="13491">
          <cell r="L13491" t="str">
            <v>Non-proportional</v>
          </cell>
          <cell r="S13491">
            <v>-175.18</v>
          </cell>
          <cell r="X13491" t="str">
            <v>Variation UPR - gross</v>
          </cell>
          <cell r="Y13491" t="str">
            <v>ITALY</v>
          </cell>
        </row>
        <row r="13492">
          <cell r="L13492" t="str">
            <v>Non-proportional</v>
          </cell>
          <cell r="S13492">
            <v>-3375</v>
          </cell>
          <cell r="X13492" t="str">
            <v>Variation UPR - gross</v>
          </cell>
          <cell r="Y13492" t="str">
            <v>GERMANY</v>
          </cell>
        </row>
        <row r="13493">
          <cell r="L13493" t="str">
            <v>Non-proportional</v>
          </cell>
          <cell r="S13493">
            <v>-4275.66</v>
          </cell>
          <cell r="X13493" t="str">
            <v>Variation UPR - gross</v>
          </cell>
          <cell r="Y13493" t="str">
            <v>GERMANY</v>
          </cell>
        </row>
        <row r="13494">
          <cell r="L13494" t="str">
            <v>Non-proportional</v>
          </cell>
          <cell r="S13494">
            <v>-16339.45</v>
          </cell>
          <cell r="X13494" t="str">
            <v>Variation UPR - gross</v>
          </cell>
          <cell r="Y13494" t="str">
            <v>UNITED KINGDOM</v>
          </cell>
        </row>
        <row r="13495">
          <cell r="L13495" t="str">
            <v>Non-proportional</v>
          </cell>
          <cell r="S13495">
            <v>-30065.25</v>
          </cell>
          <cell r="X13495" t="str">
            <v>Variation UPR - gross</v>
          </cell>
          <cell r="Y13495" t="str">
            <v>UNITED KINGDOM</v>
          </cell>
        </row>
        <row r="13496">
          <cell r="L13496" t="str">
            <v>Non-proportional</v>
          </cell>
          <cell r="S13496">
            <v>-14120</v>
          </cell>
          <cell r="X13496" t="str">
            <v>Variation UPR - gross</v>
          </cell>
          <cell r="Y13496" t="str">
            <v>AUSTRIA</v>
          </cell>
        </row>
        <row r="13497">
          <cell r="L13497" t="str">
            <v>Non-proportional</v>
          </cell>
          <cell r="S13497">
            <v>-18973.75</v>
          </cell>
          <cell r="X13497" t="str">
            <v>Variation UPR - gross</v>
          </cell>
          <cell r="Y13497" t="str">
            <v>AUSTRIA</v>
          </cell>
        </row>
        <row r="13498">
          <cell r="L13498" t="str">
            <v>Non-proportional</v>
          </cell>
          <cell r="S13498">
            <v>-43750</v>
          </cell>
          <cell r="X13498" t="str">
            <v>Variation UPR - gross</v>
          </cell>
          <cell r="Y13498" t="str">
            <v>GERMANY</v>
          </cell>
        </row>
        <row r="13499">
          <cell r="L13499" t="str">
            <v>Non-proportional</v>
          </cell>
          <cell r="S13499">
            <v>-10425.780000000001</v>
          </cell>
          <cell r="X13499" t="str">
            <v>Variation UPR - gross</v>
          </cell>
          <cell r="Y13499" t="str">
            <v>FRANCE</v>
          </cell>
        </row>
        <row r="13500">
          <cell r="L13500" t="str">
            <v>Non-proportional</v>
          </cell>
          <cell r="S13500">
            <v>-1471.2</v>
          </cell>
          <cell r="X13500" t="str">
            <v>Variation UPR - gross</v>
          </cell>
          <cell r="Y13500" t="str">
            <v>JAPAN</v>
          </cell>
        </row>
        <row r="13501">
          <cell r="L13501" t="str">
            <v>Non-proportional</v>
          </cell>
          <cell r="S13501">
            <v>-11825.5</v>
          </cell>
          <cell r="X13501" t="str">
            <v>Variation UPR - gross</v>
          </cell>
          <cell r="Y13501" t="str">
            <v>AUSTRIA</v>
          </cell>
        </row>
        <row r="13502">
          <cell r="L13502" t="str">
            <v>Non-proportional</v>
          </cell>
          <cell r="S13502">
            <v>-133419.68</v>
          </cell>
          <cell r="X13502" t="str">
            <v>Variation UPR - gross</v>
          </cell>
          <cell r="Y13502" t="str">
            <v>UNITED KINGDOM</v>
          </cell>
        </row>
        <row r="13503">
          <cell r="L13503" t="str">
            <v>Non-proportional</v>
          </cell>
          <cell r="S13503">
            <v>-1382.98</v>
          </cell>
          <cell r="X13503" t="str">
            <v>Variation UPR - gross</v>
          </cell>
          <cell r="Y13503" t="str">
            <v>SWITZERLAND</v>
          </cell>
        </row>
        <row r="13504">
          <cell r="L13504" t="str">
            <v>Non-proportional</v>
          </cell>
          <cell r="S13504">
            <v>-1521.24</v>
          </cell>
          <cell r="X13504" t="str">
            <v>Variation UPR - gross</v>
          </cell>
          <cell r="Y13504" t="str">
            <v>UNITED KINGDOM</v>
          </cell>
        </row>
        <row r="13505">
          <cell r="L13505" t="str">
            <v>Non-proportional</v>
          </cell>
          <cell r="S13505">
            <v>-20355</v>
          </cell>
          <cell r="X13505" t="str">
            <v>Variation UPR - gross</v>
          </cell>
          <cell r="Y13505" t="str">
            <v>GERMANY</v>
          </cell>
        </row>
        <row r="13506">
          <cell r="L13506" t="str">
            <v>Non-proportional</v>
          </cell>
          <cell r="S13506">
            <v>-13616.2</v>
          </cell>
          <cell r="X13506" t="str">
            <v>Variation UPR - gross</v>
          </cell>
          <cell r="Y13506" t="str">
            <v>UNITED KINGDOM</v>
          </cell>
        </row>
        <row r="13507">
          <cell r="L13507" t="str">
            <v>Non-proportional</v>
          </cell>
          <cell r="S13507">
            <v>-8625</v>
          </cell>
          <cell r="X13507" t="str">
            <v>Variation UPR - gross</v>
          </cell>
          <cell r="Y13507" t="str">
            <v>GERMANY</v>
          </cell>
        </row>
        <row r="13508">
          <cell r="L13508" t="str">
            <v>Non-proportional</v>
          </cell>
          <cell r="S13508">
            <v>-8837.7099999999991</v>
          </cell>
          <cell r="X13508" t="str">
            <v>Variation UPR - gross</v>
          </cell>
          <cell r="Y13508" t="str">
            <v>GERMANY</v>
          </cell>
        </row>
        <row r="13509">
          <cell r="L13509" t="str">
            <v>Non-proportional</v>
          </cell>
          <cell r="S13509">
            <v>-4112.1499999999996</v>
          </cell>
          <cell r="X13509" t="str">
            <v>Variation UPR - gross</v>
          </cell>
          <cell r="Y13509" t="str">
            <v>AUSTRIA</v>
          </cell>
        </row>
        <row r="13510">
          <cell r="L13510" t="str">
            <v>Non-proportional</v>
          </cell>
          <cell r="S13510">
            <v>-345</v>
          </cell>
          <cell r="X13510" t="str">
            <v>Variation UPR - gross</v>
          </cell>
          <cell r="Y13510" t="str">
            <v>ITALY</v>
          </cell>
        </row>
        <row r="13511">
          <cell r="L13511" t="str">
            <v>Non-proportional</v>
          </cell>
          <cell r="S13511">
            <v>-37346.01</v>
          </cell>
          <cell r="X13511" t="str">
            <v>Variation UPR - gross</v>
          </cell>
          <cell r="Y13511" t="str">
            <v>FRANCE</v>
          </cell>
        </row>
        <row r="13512">
          <cell r="L13512" t="str">
            <v>Non-proportional</v>
          </cell>
          <cell r="S13512">
            <v>-9999.66</v>
          </cell>
          <cell r="X13512" t="str">
            <v>Variation UPR - gross</v>
          </cell>
          <cell r="Y13512" t="str">
            <v>GERMANY</v>
          </cell>
        </row>
        <row r="13513">
          <cell r="L13513" t="str">
            <v>Non-proportional</v>
          </cell>
          <cell r="S13513">
            <v>-3578.84</v>
          </cell>
          <cell r="X13513" t="str">
            <v>Variation UPR - gross</v>
          </cell>
          <cell r="Y13513" t="str">
            <v>SWITZERLAND</v>
          </cell>
        </row>
        <row r="13514">
          <cell r="L13514" t="str">
            <v>Non-proportional</v>
          </cell>
          <cell r="S13514">
            <v>-2855.86</v>
          </cell>
          <cell r="X13514" t="str">
            <v>Variation UPR - gross</v>
          </cell>
          <cell r="Y13514" t="str">
            <v>UNITED KINGDOM</v>
          </cell>
        </row>
        <row r="13515">
          <cell r="L13515" t="str">
            <v>Non-proportional</v>
          </cell>
          <cell r="S13515">
            <v>-8642.83</v>
          </cell>
          <cell r="X13515" t="str">
            <v>Variation UPR - gross</v>
          </cell>
          <cell r="Y13515" t="str">
            <v>UNITED KINGDOM</v>
          </cell>
        </row>
        <row r="13516">
          <cell r="L13516" t="str">
            <v>Non-proportional</v>
          </cell>
          <cell r="S13516">
            <v>0.01</v>
          </cell>
          <cell r="X13516" t="str">
            <v>Variation UPR - gross</v>
          </cell>
          <cell r="Y13516" t="str">
            <v>ICELAND</v>
          </cell>
        </row>
        <row r="13517">
          <cell r="L13517"/>
          <cell r="S13517">
            <v>-1802594.91</v>
          </cell>
          <cell r="X13517" t="str">
            <v>Variation UPR - gross</v>
          </cell>
          <cell r="Y13517" t="str">
            <v>UNITED KINGDOM</v>
          </cell>
        </row>
        <row r="13518">
          <cell r="L13518" t="str">
            <v>Non-proportional</v>
          </cell>
          <cell r="S13518">
            <v>-3333.42</v>
          </cell>
          <cell r="X13518" t="str">
            <v>Variation UPR - gross</v>
          </cell>
          <cell r="Y13518" t="str">
            <v>ITALY</v>
          </cell>
        </row>
        <row r="13519">
          <cell r="L13519" t="str">
            <v>Non-proportional</v>
          </cell>
          <cell r="S13519">
            <v>-4511.3999999999996</v>
          </cell>
          <cell r="X13519" t="str">
            <v>Variation UPR - gross</v>
          </cell>
          <cell r="Y13519" t="str">
            <v>AUSTRIA</v>
          </cell>
        </row>
        <row r="13520">
          <cell r="L13520" t="str">
            <v>Non-proportional</v>
          </cell>
          <cell r="S13520">
            <v>-8072.83</v>
          </cell>
          <cell r="X13520" t="str">
            <v>Variation UPR - gross</v>
          </cell>
          <cell r="Y13520" t="str">
            <v>GERMANY</v>
          </cell>
        </row>
        <row r="13521">
          <cell r="L13521" t="str">
            <v>Proportional</v>
          </cell>
          <cell r="S13521">
            <v>-12224</v>
          </cell>
          <cell r="X13521" t="str">
            <v>Variation UPR - gross</v>
          </cell>
          <cell r="Y13521" t="str">
            <v>EUROPE</v>
          </cell>
        </row>
        <row r="13522">
          <cell r="L13522" t="str">
            <v>Non-proportional</v>
          </cell>
          <cell r="S13522">
            <v>-3083.39</v>
          </cell>
          <cell r="X13522" t="str">
            <v>Variation UPR - gross</v>
          </cell>
          <cell r="Y13522" t="str">
            <v>EUROPE</v>
          </cell>
        </row>
        <row r="13523">
          <cell r="L13523" t="str">
            <v>Non-proportional</v>
          </cell>
          <cell r="S13523">
            <v>-820.54</v>
          </cell>
          <cell r="X13523" t="str">
            <v>Variation UPR - gross</v>
          </cell>
          <cell r="Y13523" t="str">
            <v>GERMANY</v>
          </cell>
        </row>
        <row r="13524">
          <cell r="L13524" t="str">
            <v>Non-proportional</v>
          </cell>
          <cell r="S13524">
            <v>-13388.4</v>
          </cell>
          <cell r="X13524" t="str">
            <v>Variation UPR - gross</v>
          </cell>
          <cell r="Y13524" t="str">
            <v>DENMARK</v>
          </cell>
        </row>
        <row r="13525">
          <cell r="L13525" t="str">
            <v>Non-proportional</v>
          </cell>
          <cell r="S13525">
            <v>-6250.52</v>
          </cell>
          <cell r="X13525" t="str">
            <v>Variation UPR - gross</v>
          </cell>
          <cell r="Y13525" t="str">
            <v>GERMANY</v>
          </cell>
        </row>
        <row r="13526">
          <cell r="L13526" t="str">
            <v>Non-proportional</v>
          </cell>
          <cell r="S13526">
            <v>-525.30999999999995</v>
          </cell>
          <cell r="X13526" t="str">
            <v>Variation UPR - gross</v>
          </cell>
          <cell r="Y13526" t="str">
            <v>NORWAY</v>
          </cell>
        </row>
        <row r="13527">
          <cell r="L13527" t="str">
            <v>Non-proportional</v>
          </cell>
          <cell r="S13527">
            <v>-12273.66</v>
          </cell>
          <cell r="X13527" t="str">
            <v>Variation UPR - gross</v>
          </cell>
          <cell r="Y13527" t="str">
            <v>DENMARK</v>
          </cell>
        </row>
        <row r="13528">
          <cell r="L13528" t="str">
            <v>Non-proportional</v>
          </cell>
          <cell r="S13528">
            <v>-4938.8</v>
          </cell>
          <cell r="X13528" t="str">
            <v>Variation UPR - gross</v>
          </cell>
          <cell r="Y13528" t="str">
            <v>SWITZERLAND</v>
          </cell>
        </row>
        <row r="13529">
          <cell r="L13529" t="str">
            <v>Non-proportional</v>
          </cell>
          <cell r="S13529">
            <v>-1401.66</v>
          </cell>
          <cell r="X13529" t="str">
            <v>Variation UPR - gross</v>
          </cell>
          <cell r="Y13529" t="str">
            <v>GERMANY</v>
          </cell>
        </row>
        <row r="13530">
          <cell r="L13530" t="str">
            <v>Non-proportional</v>
          </cell>
          <cell r="S13530">
            <v>-4481.43</v>
          </cell>
          <cell r="X13530" t="str">
            <v>Variation UPR - gross</v>
          </cell>
          <cell r="Y13530" t="str">
            <v>UNITED KINGDOM</v>
          </cell>
        </row>
        <row r="13531">
          <cell r="L13531" t="str">
            <v>Non-proportional</v>
          </cell>
          <cell r="S13531">
            <v>5.81</v>
          </cell>
          <cell r="X13531" t="str">
            <v>Variation UPR - gross</v>
          </cell>
          <cell r="Y13531" t="str">
            <v>DENMARK</v>
          </cell>
        </row>
        <row r="13532">
          <cell r="L13532" t="str">
            <v>Non-proportional</v>
          </cell>
          <cell r="S13532">
            <v>-43073.3</v>
          </cell>
          <cell r="X13532" t="str">
            <v>Variation UPR - gross</v>
          </cell>
          <cell r="Y13532" t="str">
            <v>UNITED KINGDOM</v>
          </cell>
        </row>
        <row r="13533">
          <cell r="L13533" t="str">
            <v>Non-proportional</v>
          </cell>
          <cell r="S13533">
            <v>-34653.53</v>
          </cell>
          <cell r="X13533" t="str">
            <v>Variation UPR - gross</v>
          </cell>
          <cell r="Y13533" t="str">
            <v>UNITED KINGDOM</v>
          </cell>
        </row>
        <row r="13534">
          <cell r="L13534" t="str">
            <v>Non-proportional</v>
          </cell>
          <cell r="S13534">
            <v>-7747.42</v>
          </cell>
          <cell r="X13534" t="str">
            <v>Variation UPR - gross</v>
          </cell>
          <cell r="Y13534" t="str">
            <v>GERMANY</v>
          </cell>
        </row>
        <row r="13535">
          <cell r="L13535" t="str">
            <v>Non-proportional</v>
          </cell>
          <cell r="S13535">
            <v>-112052.09</v>
          </cell>
          <cell r="X13535" t="str">
            <v>Variation UPR - gross</v>
          </cell>
          <cell r="Y13535" t="str">
            <v>FRANCE</v>
          </cell>
        </row>
        <row r="13536">
          <cell r="L13536" t="str">
            <v>Non-proportional</v>
          </cell>
          <cell r="S13536">
            <v>-4455.45</v>
          </cell>
          <cell r="X13536" t="str">
            <v>Variation UPR - gross</v>
          </cell>
          <cell r="Y13536" t="str">
            <v>DENMARK</v>
          </cell>
        </row>
        <row r="13537">
          <cell r="L13537" t="str">
            <v>Non-proportional</v>
          </cell>
          <cell r="S13537">
            <v>-12934.85</v>
          </cell>
          <cell r="X13537" t="str">
            <v>Variation UPR - gross</v>
          </cell>
          <cell r="Y13537" t="str">
            <v>UNITED KINGDOM</v>
          </cell>
        </row>
        <row r="13538">
          <cell r="L13538" t="str">
            <v>Non-proportional</v>
          </cell>
          <cell r="S13538">
            <v>-54.83</v>
          </cell>
          <cell r="X13538" t="str">
            <v>Variation UPR - gross</v>
          </cell>
          <cell r="Y13538" t="str">
            <v>FRANCE</v>
          </cell>
        </row>
        <row r="13539">
          <cell r="L13539" t="str">
            <v>Non-proportional</v>
          </cell>
          <cell r="S13539">
            <v>4.92</v>
          </cell>
          <cell r="X13539" t="str">
            <v>Variation UPR - gross</v>
          </cell>
          <cell r="Y13539" t="str">
            <v>SWEDEN</v>
          </cell>
        </row>
        <row r="13540">
          <cell r="L13540" t="str">
            <v>Non-proportional</v>
          </cell>
          <cell r="S13540">
            <v>-1279.43</v>
          </cell>
          <cell r="X13540" t="str">
            <v>Variation UPR - gross</v>
          </cell>
          <cell r="Y13540" t="str">
            <v>FRANCE</v>
          </cell>
        </row>
        <row r="13541">
          <cell r="L13541" t="str">
            <v>Non-proportional</v>
          </cell>
          <cell r="S13541">
            <v>-8426.1200000000008</v>
          </cell>
          <cell r="X13541" t="str">
            <v>Variation UPR - gross</v>
          </cell>
          <cell r="Y13541" t="str">
            <v>EUROPE</v>
          </cell>
        </row>
        <row r="13542">
          <cell r="L13542" t="str">
            <v>Non-proportional</v>
          </cell>
          <cell r="S13542">
            <v>-1553.57</v>
          </cell>
          <cell r="X13542" t="str">
            <v>Variation UPR - gross</v>
          </cell>
          <cell r="Y13542" t="str">
            <v>REPUBLIC OF IRELAND</v>
          </cell>
        </row>
        <row r="13543">
          <cell r="L13543" t="str">
            <v>Non-proportional</v>
          </cell>
          <cell r="S13543">
            <v>-6335.14</v>
          </cell>
          <cell r="X13543" t="str">
            <v>Variation UPR - gross</v>
          </cell>
          <cell r="Y13543" t="str">
            <v>GERMANY</v>
          </cell>
        </row>
        <row r="13544">
          <cell r="L13544" t="str">
            <v>Non-proportional</v>
          </cell>
          <cell r="S13544">
            <v>-6458.33</v>
          </cell>
          <cell r="X13544" t="str">
            <v>Variation UPR - gross</v>
          </cell>
          <cell r="Y13544" t="str">
            <v>AUSTRIA</v>
          </cell>
        </row>
        <row r="13545">
          <cell r="L13545" t="str">
            <v>Non-proportional</v>
          </cell>
          <cell r="S13545">
            <v>-300.83</v>
          </cell>
          <cell r="X13545" t="str">
            <v>Variation UPR - gross</v>
          </cell>
          <cell r="Y13545" t="str">
            <v>ITALY</v>
          </cell>
        </row>
        <row r="13546">
          <cell r="L13546" t="str">
            <v>Non-proportional</v>
          </cell>
          <cell r="S13546">
            <v>-29416.67</v>
          </cell>
          <cell r="X13546" t="str">
            <v>Variation UPR - gross</v>
          </cell>
          <cell r="Y13546" t="str">
            <v>EUROPE</v>
          </cell>
        </row>
        <row r="13547">
          <cell r="L13547" t="str">
            <v>Non-proportional</v>
          </cell>
          <cell r="S13547">
            <v>-575</v>
          </cell>
          <cell r="X13547" t="str">
            <v>Variation UPR - gross</v>
          </cell>
          <cell r="Y13547" t="str">
            <v>ITALY</v>
          </cell>
        </row>
        <row r="13548">
          <cell r="L13548" t="str">
            <v>Non-proportional</v>
          </cell>
          <cell r="S13548">
            <v>-5831</v>
          </cell>
          <cell r="X13548" t="str">
            <v>Variation UPR - gross</v>
          </cell>
          <cell r="Y13548" t="str">
            <v>UNITED KINGDOM</v>
          </cell>
        </row>
        <row r="13549">
          <cell r="L13549" t="str">
            <v>Non-proportional</v>
          </cell>
          <cell r="S13549">
            <v>-1122.3</v>
          </cell>
          <cell r="X13549" t="str">
            <v>Variation UPR - gross</v>
          </cell>
          <cell r="Y13549" t="str">
            <v>ITALY</v>
          </cell>
        </row>
        <row r="13550">
          <cell r="L13550" t="str">
            <v>Non-proportional</v>
          </cell>
          <cell r="S13550">
            <v>34.020000000000003</v>
          </cell>
          <cell r="X13550" t="str">
            <v>Variation UPR - gross</v>
          </cell>
          <cell r="Y13550" t="str">
            <v>POLAND</v>
          </cell>
        </row>
        <row r="13551">
          <cell r="L13551" t="str">
            <v>Non-proportional</v>
          </cell>
          <cell r="S13551">
            <v>-548.32000000000005</v>
          </cell>
          <cell r="X13551" t="str">
            <v>Variation UPR - gross</v>
          </cell>
          <cell r="Y13551" t="str">
            <v>REPUBLIC OF IRELAND</v>
          </cell>
        </row>
        <row r="13552">
          <cell r="L13552" t="str">
            <v>Non-proportional</v>
          </cell>
          <cell r="S13552">
            <v>-39247.65</v>
          </cell>
          <cell r="X13552" t="str">
            <v>Variation UPR - gross</v>
          </cell>
          <cell r="Y13552" t="str">
            <v>UNITED KINGDOM</v>
          </cell>
        </row>
        <row r="13553">
          <cell r="L13553" t="str">
            <v>Non-proportional</v>
          </cell>
          <cell r="S13553">
            <v>-351.66</v>
          </cell>
          <cell r="X13553" t="str">
            <v>Variation UPR - gross</v>
          </cell>
          <cell r="Y13553" t="str">
            <v>GERMANY</v>
          </cell>
        </row>
        <row r="13554">
          <cell r="L13554" t="str">
            <v>Non-proportional</v>
          </cell>
          <cell r="S13554">
            <v>-12458.33</v>
          </cell>
          <cell r="X13554" t="str">
            <v>Variation UPR - gross</v>
          </cell>
          <cell r="Y13554" t="str">
            <v>GERMANY</v>
          </cell>
        </row>
        <row r="13555">
          <cell r="L13555" t="str">
            <v>Non-proportional</v>
          </cell>
          <cell r="S13555">
            <v>-6794.41</v>
          </cell>
          <cell r="X13555" t="str">
            <v>Variation UPR - gross</v>
          </cell>
          <cell r="Y13555" t="str">
            <v>UNITED KINGDOM</v>
          </cell>
        </row>
        <row r="13556">
          <cell r="L13556" t="str">
            <v>Non-proportional</v>
          </cell>
          <cell r="S13556">
            <v>-2458.2800000000002</v>
          </cell>
          <cell r="X13556" t="str">
            <v>Variation UPR - gross</v>
          </cell>
          <cell r="Y13556" t="str">
            <v>AUSTRALIA</v>
          </cell>
        </row>
        <row r="13557">
          <cell r="L13557" t="str">
            <v>Non-proportional</v>
          </cell>
          <cell r="S13557">
            <v>-11882.26</v>
          </cell>
          <cell r="X13557" t="str">
            <v>Variation UPR - gross</v>
          </cell>
          <cell r="Y13557" t="str">
            <v>EUROPE</v>
          </cell>
        </row>
        <row r="13558">
          <cell r="L13558" t="str">
            <v>Non-proportional</v>
          </cell>
          <cell r="S13558">
            <v>-22506.47</v>
          </cell>
          <cell r="X13558" t="str">
            <v>Variation UPR - gross</v>
          </cell>
          <cell r="Y13558" t="str">
            <v>UNITED KINGDOM</v>
          </cell>
        </row>
        <row r="13559">
          <cell r="L13559" t="str">
            <v>Non-proportional</v>
          </cell>
          <cell r="S13559">
            <v>-7212.35</v>
          </cell>
          <cell r="X13559" t="str">
            <v>Variation UPR - gross</v>
          </cell>
          <cell r="Y13559" t="str">
            <v>NORWAY</v>
          </cell>
        </row>
        <row r="13560">
          <cell r="L13560" t="str">
            <v>Non-proportional</v>
          </cell>
          <cell r="S13560">
            <v>0.01</v>
          </cell>
          <cell r="X13560" t="str">
            <v>Variation UPR - gross</v>
          </cell>
          <cell r="Y13560" t="str">
            <v>ICELAND</v>
          </cell>
        </row>
        <row r="13561">
          <cell r="L13561" t="str">
            <v>Non-proportional</v>
          </cell>
          <cell r="S13561">
            <v>-18344.900000000001</v>
          </cell>
          <cell r="X13561" t="str">
            <v>Variation UPR - gross</v>
          </cell>
          <cell r="Y13561" t="str">
            <v>UNITED KINGDOM</v>
          </cell>
        </row>
        <row r="13562">
          <cell r="L13562" t="str">
            <v>Non-proportional</v>
          </cell>
          <cell r="S13562">
            <v>-311868.68</v>
          </cell>
          <cell r="X13562" t="str">
            <v>Variation UPR - gross</v>
          </cell>
          <cell r="Y13562" t="str">
            <v>UNITED KINGDOM</v>
          </cell>
        </row>
        <row r="13563">
          <cell r="L13563" t="str">
            <v>Non-proportional</v>
          </cell>
          <cell r="S13563">
            <v>2.0699999999999998</v>
          </cell>
          <cell r="X13563" t="str">
            <v>Variation UPR - gross</v>
          </cell>
          <cell r="Y13563" t="str">
            <v>SWEDEN</v>
          </cell>
        </row>
        <row r="13564">
          <cell r="L13564" t="str">
            <v>Non-proportional</v>
          </cell>
          <cell r="S13564">
            <v>-5895.95</v>
          </cell>
          <cell r="X13564" t="str">
            <v>Variation UPR - gross</v>
          </cell>
          <cell r="Y13564" t="str">
            <v>SWEDEN</v>
          </cell>
        </row>
        <row r="13565">
          <cell r="L13565" t="str">
            <v>Non-proportional</v>
          </cell>
          <cell r="S13565">
            <v>-57255.7</v>
          </cell>
          <cell r="X13565" t="str">
            <v>Variation UPR - gross</v>
          </cell>
          <cell r="Y13565" t="str">
            <v>UNITED KINGDOM</v>
          </cell>
        </row>
        <row r="13566">
          <cell r="L13566" t="str">
            <v>Proportional</v>
          </cell>
          <cell r="S13566">
            <v>-11378.72</v>
          </cell>
          <cell r="X13566" t="str">
            <v>Variation UPR - gross</v>
          </cell>
          <cell r="Y13566" t="str">
            <v>UNITED STATES</v>
          </cell>
        </row>
        <row r="13567">
          <cell r="L13567" t="str">
            <v>Non-proportional</v>
          </cell>
          <cell r="S13567">
            <v>-2502.27</v>
          </cell>
          <cell r="X13567" t="str">
            <v>Variation UPR - gross</v>
          </cell>
          <cell r="Y13567" t="str">
            <v>SPAIN</v>
          </cell>
        </row>
        <row r="13568">
          <cell r="L13568" t="str">
            <v>Non-proportional</v>
          </cell>
          <cell r="S13568">
            <v>-7642.67</v>
          </cell>
          <cell r="X13568" t="str">
            <v>Variation UPR - gross</v>
          </cell>
          <cell r="Y13568" t="str">
            <v>ICELAND</v>
          </cell>
        </row>
        <row r="13569">
          <cell r="L13569" t="str">
            <v>Non-proportional</v>
          </cell>
          <cell r="S13569">
            <v>-41391.53</v>
          </cell>
          <cell r="X13569" t="str">
            <v>Variation UPR - gross</v>
          </cell>
          <cell r="Y13569" t="str">
            <v>UNITED KINGDOM</v>
          </cell>
        </row>
        <row r="13570">
          <cell r="L13570" t="str">
            <v>Non-proportional</v>
          </cell>
          <cell r="S13570">
            <v>-37677.06</v>
          </cell>
          <cell r="X13570" t="str">
            <v>Variation UPR - gross</v>
          </cell>
          <cell r="Y13570" t="str">
            <v>UNITED KINGDOM</v>
          </cell>
        </row>
        <row r="13571">
          <cell r="L13571" t="str">
            <v>Non-proportional</v>
          </cell>
          <cell r="S13571">
            <v>-9567</v>
          </cell>
          <cell r="X13571" t="str">
            <v>Variation UPR - gross</v>
          </cell>
          <cell r="Y13571" t="str">
            <v>SLOVENIA</v>
          </cell>
        </row>
        <row r="13572">
          <cell r="L13572" t="str">
            <v>Non-proportional</v>
          </cell>
          <cell r="S13572">
            <v>-34502.01</v>
          </cell>
          <cell r="X13572" t="str">
            <v>Variation UPR - gross</v>
          </cell>
          <cell r="Y13572" t="str">
            <v>CZECH REPUBLIC</v>
          </cell>
        </row>
        <row r="13573">
          <cell r="L13573" t="str">
            <v>Non-proportional</v>
          </cell>
          <cell r="S13573">
            <v>-16500</v>
          </cell>
          <cell r="X13573" t="str">
            <v>Variation UPR - gross</v>
          </cell>
          <cell r="Y13573" t="str">
            <v>GERMANY</v>
          </cell>
        </row>
        <row r="13574">
          <cell r="L13574" t="str">
            <v>Non-proportional</v>
          </cell>
          <cell r="S13574">
            <v>-5005.8</v>
          </cell>
          <cell r="X13574" t="str">
            <v>Variation UPR - gross</v>
          </cell>
          <cell r="Y13574" t="str">
            <v>FRANCE</v>
          </cell>
        </row>
        <row r="13575">
          <cell r="L13575" t="str">
            <v>Non-proportional</v>
          </cell>
          <cell r="S13575">
            <v>-5805.12</v>
          </cell>
          <cell r="X13575" t="str">
            <v>Variation UPR - gross</v>
          </cell>
          <cell r="Y13575" t="str">
            <v>NORWAY</v>
          </cell>
        </row>
        <row r="13576">
          <cell r="L13576" t="str">
            <v>Non-proportional</v>
          </cell>
          <cell r="S13576">
            <v>-129522.13</v>
          </cell>
          <cell r="X13576" t="str">
            <v>Variation UPR - gross</v>
          </cell>
          <cell r="Y13576" t="str">
            <v>UNITED KINGDOM</v>
          </cell>
        </row>
        <row r="13577">
          <cell r="L13577" t="str">
            <v>Non-proportional</v>
          </cell>
          <cell r="S13577">
            <v>-48290.12</v>
          </cell>
          <cell r="X13577" t="str">
            <v>Variation UPR - gross</v>
          </cell>
          <cell r="Y13577" t="str">
            <v>UNITED KINGDOM</v>
          </cell>
        </row>
        <row r="13578">
          <cell r="L13578" t="str">
            <v>Non-proportional</v>
          </cell>
          <cell r="S13578">
            <v>-10.93</v>
          </cell>
          <cell r="X13578" t="str">
            <v>Variation UPR - gross</v>
          </cell>
          <cell r="Y13578" t="str">
            <v>NORWAY</v>
          </cell>
        </row>
        <row r="13579">
          <cell r="L13579" t="str">
            <v>Non-proportional</v>
          </cell>
          <cell r="S13579">
            <v>-7475.17</v>
          </cell>
          <cell r="X13579" t="str">
            <v>Variation UPR - gross</v>
          </cell>
          <cell r="Y13579" t="str">
            <v>NORWAY</v>
          </cell>
        </row>
        <row r="13580">
          <cell r="L13580" t="str">
            <v>Non-proportional</v>
          </cell>
          <cell r="S13580">
            <v>-20758.61</v>
          </cell>
          <cell r="X13580" t="str">
            <v>Variation UPR - gross</v>
          </cell>
          <cell r="Y13580" t="str">
            <v>UNITED KINGDOM</v>
          </cell>
        </row>
        <row r="13581">
          <cell r="L13581" t="str">
            <v>Non-proportional</v>
          </cell>
          <cell r="S13581">
            <v>-7812.5</v>
          </cell>
          <cell r="X13581" t="str">
            <v>Variation UPR - gross</v>
          </cell>
          <cell r="Y13581" t="str">
            <v>ROMANIA</v>
          </cell>
        </row>
        <row r="13582">
          <cell r="L13582" t="str">
            <v>Proportional</v>
          </cell>
          <cell r="S13582">
            <v>-160112.5</v>
          </cell>
          <cell r="X13582" t="str">
            <v>Variation UPR - gross</v>
          </cell>
          <cell r="Y13582" t="str">
            <v>AUSTRIA</v>
          </cell>
        </row>
        <row r="13583">
          <cell r="L13583" t="str">
            <v>Non-proportional</v>
          </cell>
          <cell r="S13583">
            <v>-4553.8100000000004</v>
          </cell>
          <cell r="X13583" t="str">
            <v>Variation UPR - gross</v>
          </cell>
          <cell r="Y13583" t="str">
            <v>REPUBLIC OF IRELAND</v>
          </cell>
        </row>
        <row r="13584">
          <cell r="L13584" t="str">
            <v>Non-proportional</v>
          </cell>
          <cell r="S13584">
            <v>-3734.53</v>
          </cell>
          <cell r="X13584" t="str">
            <v>Variation UPR - gross</v>
          </cell>
          <cell r="Y13584" t="str">
            <v>UNITED KINGDOM</v>
          </cell>
        </row>
        <row r="13585">
          <cell r="L13585" t="str">
            <v>Non-proportional</v>
          </cell>
          <cell r="S13585">
            <v>-105199.23</v>
          </cell>
          <cell r="X13585" t="str">
            <v>Variation UPR - gross</v>
          </cell>
          <cell r="Y13585" t="str">
            <v>UNITED KINGDOM</v>
          </cell>
        </row>
        <row r="13586">
          <cell r="L13586" t="str">
            <v>Non-proportional</v>
          </cell>
          <cell r="S13586">
            <v>-51.4</v>
          </cell>
          <cell r="X13586" t="str">
            <v>Variation UPR - gross</v>
          </cell>
          <cell r="Y13586" t="str">
            <v>UNITED ARAB EMIRATES</v>
          </cell>
        </row>
        <row r="13587">
          <cell r="L13587" t="str">
            <v>Non-proportional</v>
          </cell>
          <cell r="S13587">
            <v>-125626.74</v>
          </cell>
          <cell r="X13587" t="str">
            <v>Variation UPR - gross</v>
          </cell>
          <cell r="Y13587" t="str">
            <v>UNITED KINGDOM</v>
          </cell>
        </row>
        <row r="13588">
          <cell r="L13588" t="str">
            <v>Non-proportional</v>
          </cell>
          <cell r="S13588">
            <v>-12926.2</v>
          </cell>
          <cell r="X13588" t="str">
            <v>Variation UPR - gross</v>
          </cell>
          <cell r="Y13588" t="str">
            <v>UNITED KINGDOM</v>
          </cell>
        </row>
        <row r="13589">
          <cell r="L13589" t="str">
            <v>Non-proportional</v>
          </cell>
          <cell r="S13589">
            <v>-8697.67</v>
          </cell>
          <cell r="X13589" t="str">
            <v>Variation UPR - gross</v>
          </cell>
          <cell r="Y13589" t="str">
            <v>GERMANY</v>
          </cell>
        </row>
        <row r="13590">
          <cell r="L13590" t="str">
            <v>Non-proportional</v>
          </cell>
          <cell r="S13590">
            <v>-5362.5</v>
          </cell>
          <cell r="X13590" t="str">
            <v>Variation UPR - gross</v>
          </cell>
          <cell r="Y13590" t="str">
            <v>GERMANY</v>
          </cell>
        </row>
        <row r="13591">
          <cell r="L13591" t="str">
            <v>Non-proportional</v>
          </cell>
          <cell r="S13591">
            <v>5.3</v>
          </cell>
          <cell r="X13591" t="str">
            <v>Variation UPR - gross</v>
          </cell>
          <cell r="Y13591" t="str">
            <v>SWEDEN</v>
          </cell>
        </row>
        <row r="13592">
          <cell r="L13592" t="str">
            <v>Non-proportional</v>
          </cell>
          <cell r="S13592">
            <v>-38662.699999999997</v>
          </cell>
          <cell r="X13592" t="str">
            <v>Variation UPR - gross</v>
          </cell>
          <cell r="Y13592" t="str">
            <v>UNITED KINGDOM</v>
          </cell>
        </row>
        <row r="13593">
          <cell r="L13593" t="str">
            <v>Non-proportional</v>
          </cell>
          <cell r="S13593">
            <v>-18706.169999999998</v>
          </cell>
          <cell r="X13593" t="str">
            <v>Variation UPR - gross</v>
          </cell>
          <cell r="Y13593" t="str">
            <v>GERMANY</v>
          </cell>
        </row>
        <row r="13594">
          <cell r="L13594" t="str">
            <v>Non-proportional</v>
          </cell>
          <cell r="S13594">
            <v>-51555.63</v>
          </cell>
          <cell r="X13594" t="str">
            <v>Variation UPR - gross</v>
          </cell>
          <cell r="Y13594" t="str">
            <v>UNITED KINGDOM</v>
          </cell>
        </row>
        <row r="13595">
          <cell r="L13595" t="str">
            <v>Non-proportional</v>
          </cell>
          <cell r="S13595">
            <v>-760.5</v>
          </cell>
          <cell r="X13595" t="str">
            <v>Variation UPR - gross</v>
          </cell>
          <cell r="Y13595" t="str">
            <v>SWITZERLAND</v>
          </cell>
        </row>
        <row r="13596">
          <cell r="L13596" t="str">
            <v>Non-proportional</v>
          </cell>
          <cell r="S13596">
            <v>-836.82</v>
          </cell>
          <cell r="X13596" t="str">
            <v>Variation UPR - gross</v>
          </cell>
          <cell r="Y13596" t="str">
            <v>DENMARK</v>
          </cell>
        </row>
        <row r="13597">
          <cell r="L13597" t="str">
            <v>Non-proportional</v>
          </cell>
          <cell r="S13597">
            <v>-19606.060000000001</v>
          </cell>
          <cell r="X13597" t="str">
            <v>Variation UPR - gross</v>
          </cell>
          <cell r="Y13597" t="str">
            <v>FRANCE</v>
          </cell>
        </row>
        <row r="13598">
          <cell r="L13598" t="str">
            <v>Non-proportional</v>
          </cell>
          <cell r="S13598">
            <v>-3151.5</v>
          </cell>
          <cell r="X13598" t="str">
            <v>Variation UPR - gross</v>
          </cell>
          <cell r="Y13598" t="str">
            <v>UNITED KINGDOM</v>
          </cell>
        </row>
        <row r="13599">
          <cell r="L13599" t="str">
            <v>Non-proportional</v>
          </cell>
          <cell r="S13599">
            <v>-19422.32</v>
          </cell>
          <cell r="X13599" t="str">
            <v>Variation UPR - gross</v>
          </cell>
          <cell r="Y13599" t="str">
            <v>SWEDEN</v>
          </cell>
        </row>
        <row r="13600">
          <cell r="L13600" t="str">
            <v>Non-proportional</v>
          </cell>
          <cell r="S13600">
            <v>-8494.48</v>
          </cell>
          <cell r="X13600" t="str">
            <v>Variation UPR - gross</v>
          </cell>
          <cell r="Y13600" t="str">
            <v>GERMANY</v>
          </cell>
        </row>
        <row r="13601">
          <cell r="L13601" t="str">
            <v>Non-proportional</v>
          </cell>
          <cell r="S13601">
            <v>-107331.42</v>
          </cell>
          <cell r="X13601" t="str">
            <v>Variation UPR - gross</v>
          </cell>
          <cell r="Y13601" t="str">
            <v>UNITED KINGDOM</v>
          </cell>
        </row>
        <row r="13602">
          <cell r="L13602" t="str">
            <v>Non-proportional</v>
          </cell>
          <cell r="S13602">
            <v>-23854.17</v>
          </cell>
          <cell r="X13602" t="str">
            <v>Variation UPR - gross</v>
          </cell>
          <cell r="Y13602" t="str">
            <v>AUSTRIA</v>
          </cell>
        </row>
        <row r="13603">
          <cell r="L13603" t="str">
            <v>Non-proportional</v>
          </cell>
          <cell r="S13603">
            <v>-3103.88</v>
          </cell>
          <cell r="X13603" t="str">
            <v>Variation UPR - gross</v>
          </cell>
          <cell r="Y13603" t="str">
            <v>JAPAN</v>
          </cell>
        </row>
        <row r="13604">
          <cell r="L13604" t="str">
            <v>Non-proportional</v>
          </cell>
          <cell r="S13604">
            <v>-3877.29</v>
          </cell>
          <cell r="X13604" t="str">
            <v>Variation UPR - gross</v>
          </cell>
          <cell r="Y13604" t="str">
            <v>NORWAY</v>
          </cell>
        </row>
        <row r="13605">
          <cell r="L13605" t="str">
            <v>Non-proportional</v>
          </cell>
          <cell r="S13605">
            <v>-14602.5</v>
          </cell>
          <cell r="X13605" t="str">
            <v>Variation UPR - gross</v>
          </cell>
          <cell r="Y13605" t="str">
            <v>GERMANY</v>
          </cell>
        </row>
        <row r="13606">
          <cell r="L13606" t="str">
            <v>Non-proportional</v>
          </cell>
          <cell r="S13606">
            <v>-11815.97</v>
          </cell>
          <cell r="X13606" t="str">
            <v>Variation UPR - gross</v>
          </cell>
          <cell r="Y13606" t="str">
            <v>GERMANY</v>
          </cell>
        </row>
        <row r="13607">
          <cell r="L13607" t="str">
            <v>Non-proportional</v>
          </cell>
          <cell r="S13607">
            <v>-3396.74</v>
          </cell>
          <cell r="X13607" t="str">
            <v>Variation UPR - gross</v>
          </cell>
          <cell r="Y13607" t="str">
            <v>ICELAND</v>
          </cell>
        </row>
        <row r="13608">
          <cell r="L13608" t="str">
            <v>Non-proportional</v>
          </cell>
          <cell r="S13608">
            <v>-5357.06</v>
          </cell>
          <cell r="X13608" t="str">
            <v>Variation UPR - gross</v>
          </cell>
          <cell r="Y13608" t="str">
            <v>UNITED KINGDOM</v>
          </cell>
        </row>
        <row r="13609">
          <cell r="L13609" t="str">
            <v>Non-proportional</v>
          </cell>
          <cell r="S13609">
            <v>-3313.14</v>
          </cell>
          <cell r="X13609" t="str">
            <v>Variation UPR - gross</v>
          </cell>
          <cell r="Y13609" t="str">
            <v>EUROPE</v>
          </cell>
        </row>
        <row r="13610">
          <cell r="L13610" t="str">
            <v>Non-proportional</v>
          </cell>
          <cell r="S13610">
            <v>-1962.32</v>
          </cell>
          <cell r="X13610" t="str">
            <v>Variation UPR - gross</v>
          </cell>
          <cell r="Y13610" t="str">
            <v>GERMANY</v>
          </cell>
        </row>
        <row r="13611">
          <cell r="L13611" t="str">
            <v>Non-proportional</v>
          </cell>
          <cell r="S13611">
            <v>-6695.37</v>
          </cell>
          <cell r="X13611" t="str">
            <v>Variation UPR - gross</v>
          </cell>
          <cell r="Y13611" t="str">
            <v>DENMARK</v>
          </cell>
        </row>
        <row r="13612">
          <cell r="L13612" t="str">
            <v>Non-proportional</v>
          </cell>
          <cell r="S13612">
            <v>-11354.85</v>
          </cell>
          <cell r="X13612" t="str">
            <v>Variation UPR - gross</v>
          </cell>
          <cell r="Y13612" t="str">
            <v>GERMANY</v>
          </cell>
        </row>
        <row r="13613">
          <cell r="L13613" t="str">
            <v>Non-proportional</v>
          </cell>
          <cell r="S13613">
            <v>-72435.179999999993</v>
          </cell>
          <cell r="X13613" t="str">
            <v>Variation UPR - gross</v>
          </cell>
          <cell r="Y13613" t="str">
            <v>UNITED KINGDOM</v>
          </cell>
        </row>
        <row r="13614">
          <cell r="L13614" t="str">
            <v>Non-proportional</v>
          </cell>
          <cell r="S13614">
            <v>0.01</v>
          </cell>
          <cell r="X13614" t="str">
            <v>Variation UPR - gross</v>
          </cell>
          <cell r="Y13614" t="str">
            <v>JAPAN</v>
          </cell>
        </row>
        <row r="13615">
          <cell r="L13615" t="str">
            <v>Non-proportional</v>
          </cell>
          <cell r="S13615">
            <v>-4310.41</v>
          </cell>
          <cell r="X13615" t="str">
            <v>Variation UPR - gross</v>
          </cell>
          <cell r="Y13615" t="str">
            <v>AUSTRALIA</v>
          </cell>
        </row>
        <row r="13616">
          <cell r="L13616" t="str">
            <v>Non-proportional</v>
          </cell>
          <cell r="S13616">
            <v>-8999.89</v>
          </cell>
          <cell r="X13616" t="str">
            <v>Variation UPR - gross</v>
          </cell>
          <cell r="Y13616" t="str">
            <v>GERMANY</v>
          </cell>
        </row>
        <row r="13617">
          <cell r="L13617" t="str">
            <v>Non-proportional</v>
          </cell>
          <cell r="S13617">
            <v>-8125</v>
          </cell>
          <cell r="X13617" t="str">
            <v>Variation UPR - gross</v>
          </cell>
          <cell r="Y13617" t="str">
            <v>CZECH REPUBLIC</v>
          </cell>
        </row>
        <row r="13618">
          <cell r="L13618" t="str">
            <v>Non-proportional</v>
          </cell>
          <cell r="S13618">
            <v>4.1500000000000004</v>
          </cell>
          <cell r="X13618" t="str">
            <v>Variation UPR - gross</v>
          </cell>
          <cell r="Y13618" t="str">
            <v>DENMARK</v>
          </cell>
        </row>
        <row r="13619">
          <cell r="L13619" t="str">
            <v>Non-proportional</v>
          </cell>
          <cell r="S13619">
            <v>-4984.72</v>
          </cell>
          <cell r="X13619" t="str">
            <v>Variation UPR - gross</v>
          </cell>
          <cell r="Y13619" t="str">
            <v>GERMANY</v>
          </cell>
        </row>
        <row r="13620">
          <cell r="L13620" t="str">
            <v>Non-proportional</v>
          </cell>
          <cell r="S13620">
            <v>3.52</v>
          </cell>
          <cell r="X13620" t="str">
            <v>Variation UPR - gross</v>
          </cell>
          <cell r="Y13620" t="str">
            <v>DENMARK</v>
          </cell>
        </row>
        <row r="13621">
          <cell r="L13621" t="str">
            <v>Non-proportional</v>
          </cell>
          <cell r="S13621">
            <v>-1751.47</v>
          </cell>
          <cell r="X13621" t="str">
            <v>Variation UPR - gross</v>
          </cell>
          <cell r="Y13621" t="str">
            <v>REPUBLIC OF IRELAND</v>
          </cell>
        </row>
        <row r="13622">
          <cell r="L13622" t="str">
            <v>Non-proportional</v>
          </cell>
          <cell r="S13622">
            <v>-0.44</v>
          </cell>
          <cell r="X13622" t="str">
            <v>Variation UPR - gross</v>
          </cell>
          <cell r="Y13622" t="str">
            <v>DENMARK</v>
          </cell>
        </row>
        <row r="13623">
          <cell r="L13623" t="str">
            <v>Non-proportional</v>
          </cell>
          <cell r="S13623">
            <v>-42141.87</v>
          </cell>
          <cell r="X13623" t="str">
            <v>Variation UPR - gross</v>
          </cell>
          <cell r="Y13623" t="str">
            <v>UNITED KINGDOM</v>
          </cell>
        </row>
        <row r="13624">
          <cell r="L13624" t="str">
            <v>Non-proportional</v>
          </cell>
          <cell r="S13624">
            <v>-270.67</v>
          </cell>
          <cell r="X13624" t="str">
            <v>Variation UPR - gross</v>
          </cell>
          <cell r="Y13624" t="str">
            <v>ITALY</v>
          </cell>
        </row>
        <row r="13625">
          <cell r="L13625" t="str">
            <v>Non-proportional</v>
          </cell>
          <cell r="S13625">
            <v>-7770.84</v>
          </cell>
          <cell r="X13625" t="str">
            <v>Variation UPR - gross</v>
          </cell>
          <cell r="Y13625" t="str">
            <v>FRANCE</v>
          </cell>
        </row>
        <row r="13626">
          <cell r="L13626" t="str">
            <v>Non-proportional</v>
          </cell>
          <cell r="S13626">
            <v>-9879.5300000000007</v>
          </cell>
          <cell r="X13626" t="str">
            <v>GWP - gross</v>
          </cell>
          <cell r="Y13626" t="str">
            <v>AUSTRIA</v>
          </cell>
        </row>
        <row r="13627">
          <cell r="L13627" t="str">
            <v>Non-proportional</v>
          </cell>
          <cell r="S13627">
            <v>-2062.64</v>
          </cell>
          <cell r="X13627" t="str">
            <v>GWP - gross</v>
          </cell>
          <cell r="Y13627" t="str">
            <v>GERMANY</v>
          </cell>
        </row>
        <row r="13628">
          <cell r="L13628" t="str">
            <v>Non-proportional</v>
          </cell>
          <cell r="S13628">
            <v>-7056.51</v>
          </cell>
          <cell r="X13628" t="str">
            <v>GWP - gross</v>
          </cell>
          <cell r="Y13628" t="str">
            <v>GERMANY</v>
          </cell>
        </row>
        <row r="13629">
          <cell r="L13629" t="str">
            <v>Non-proportional</v>
          </cell>
          <cell r="S13629">
            <v>-412.53</v>
          </cell>
          <cell r="X13629" t="str">
            <v>GWP - gross</v>
          </cell>
          <cell r="Y13629" t="str">
            <v>GERMANY</v>
          </cell>
        </row>
        <row r="13630">
          <cell r="L13630" t="str">
            <v>Non-proportional</v>
          </cell>
          <cell r="S13630">
            <v>-37998.720000000001</v>
          </cell>
          <cell r="X13630" t="str">
            <v>GWP - gross</v>
          </cell>
          <cell r="Y13630" t="str">
            <v>GERMANY</v>
          </cell>
        </row>
        <row r="13631">
          <cell r="L13631" t="str">
            <v>Non-proportional</v>
          </cell>
          <cell r="S13631">
            <v>25833.06</v>
          </cell>
          <cell r="X13631" t="str">
            <v>GWP - gross</v>
          </cell>
          <cell r="Y13631" t="str">
            <v>GERMANY</v>
          </cell>
        </row>
        <row r="13632">
          <cell r="L13632" t="str">
            <v>Non-proportional</v>
          </cell>
          <cell r="S13632">
            <v>-96873.99</v>
          </cell>
          <cell r="X13632" t="str">
            <v>GWP - gross</v>
          </cell>
          <cell r="Y13632" t="str">
            <v>GERMANY</v>
          </cell>
        </row>
        <row r="13633">
          <cell r="L13633" t="str">
            <v>Non-proportional</v>
          </cell>
          <cell r="S13633">
            <v>-33815.65</v>
          </cell>
          <cell r="X13633" t="str">
            <v>GWP - gross</v>
          </cell>
          <cell r="Y13633" t="str">
            <v>GERMANY</v>
          </cell>
        </row>
        <row r="13634">
          <cell r="L13634" t="str">
            <v>Non-proportional</v>
          </cell>
          <cell r="S13634">
            <v>-10885.23</v>
          </cell>
          <cell r="X13634" t="str">
            <v>GWP - gross</v>
          </cell>
          <cell r="Y13634" t="str">
            <v>SWITZERLAND</v>
          </cell>
        </row>
        <row r="13635">
          <cell r="L13635" t="str">
            <v>Non-proportional</v>
          </cell>
          <cell r="S13635">
            <v>-15176.93</v>
          </cell>
          <cell r="X13635" t="str">
            <v>GWP - gross</v>
          </cell>
          <cell r="Y13635" t="str">
            <v>GERMANY</v>
          </cell>
        </row>
        <row r="13636">
          <cell r="L13636" t="str">
            <v>Non-proportional</v>
          </cell>
          <cell r="S13636">
            <v>-43593.29</v>
          </cell>
          <cell r="X13636" t="str">
            <v>GWP - gross</v>
          </cell>
          <cell r="Y13636" t="str">
            <v>GERMANY</v>
          </cell>
        </row>
        <row r="13637">
          <cell r="L13637" t="str">
            <v>Non-proportional</v>
          </cell>
          <cell r="S13637">
            <v>5302.28</v>
          </cell>
          <cell r="X13637" t="str">
            <v>GWP - gross</v>
          </cell>
          <cell r="Y13637" t="str">
            <v>SWITZERLAND</v>
          </cell>
        </row>
        <row r="13638">
          <cell r="L13638" t="str">
            <v>Non-proportional</v>
          </cell>
          <cell r="S13638">
            <v>-15130.02</v>
          </cell>
          <cell r="X13638" t="str">
            <v>GWP - gross</v>
          </cell>
          <cell r="Y13638" t="str">
            <v>FAROE ISLANDS</v>
          </cell>
        </row>
        <row r="13639">
          <cell r="L13639" t="str">
            <v>Non-proportional</v>
          </cell>
          <cell r="S13639">
            <v>15130.02</v>
          </cell>
          <cell r="X13639" t="str">
            <v>GWP - gross</v>
          </cell>
          <cell r="Y13639" t="str">
            <v>FAROE ISLANDS</v>
          </cell>
        </row>
        <row r="13640">
          <cell r="L13640" t="str">
            <v>Non-proportional</v>
          </cell>
          <cell r="S13640">
            <v>-13162.99</v>
          </cell>
          <cell r="X13640" t="str">
            <v>GWP - gross</v>
          </cell>
          <cell r="Y13640" t="str">
            <v>SWITZERLAND</v>
          </cell>
        </row>
        <row r="13641">
          <cell r="L13641" t="str">
            <v>Non-proportional</v>
          </cell>
          <cell r="S13641">
            <v>-27198.92</v>
          </cell>
          <cell r="X13641" t="str">
            <v>GWP - gross</v>
          </cell>
          <cell r="Y13641" t="str">
            <v>GERMANY</v>
          </cell>
        </row>
        <row r="13642">
          <cell r="L13642" t="str">
            <v>Non-proportional</v>
          </cell>
          <cell r="S13642">
            <v>-19759.060000000001</v>
          </cell>
          <cell r="X13642" t="str">
            <v>GWP - gross</v>
          </cell>
          <cell r="Y13642" t="str">
            <v>AUSTRIA</v>
          </cell>
        </row>
        <row r="13643">
          <cell r="L13643" t="str">
            <v>Non-proportional</v>
          </cell>
          <cell r="S13643">
            <v>-24666.18</v>
          </cell>
          <cell r="X13643" t="str">
            <v>GWP - gross</v>
          </cell>
          <cell r="Y13643" t="str">
            <v>SWITZERLAND</v>
          </cell>
        </row>
        <row r="13644">
          <cell r="L13644" t="str">
            <v>Non-proportional</v>
          </cell>
          <cell r="S13644">
            <v>13216.96</v>
          </cell>
          <cell r="X13644" t="str">
            <v>GWP - gross</v>
          </cell>
          <cell r="Y13644" t="str">
            <v>SWITZERLAND</v>
          </cell>
        </row>
        <row r="13645">
          <cell r="L13645" t="str">
            <v>Non-proportional</v>
          </cell>
          <cell r="S13645">
            <v>-76029.27</v>
          </cell>
          <cell r="X13645" t="str">
            <v>GWP - gross</v>
          </cell>
          <cell r="Y13645" t="str">
            <v>NORWAY</v>
          </cell>
        </row>
        <row r="13646">
          <cell r="L13646" t="str">
            <v>Non-proportional</v>
          </cell>
          <cell r="S13646">
            <v>-13136.8</v>
          </cell>
          <cell r="X13646" t="str">
            <v>GWP - gross</v>
          </cell>
          <cell r="Y13646" t="str">
            <v>SWITZERLAND</v>
          </cell>
        </row>
        <row r="13647">
          <cell r="L13647" t="str">
            <v>Non-proportional</v>
          </cell>
          <cell r="S13647">
            <v>-13216.96</v>
          </cell>
          <cell r="X13647" t="str">
            <v>GWP - gross</v>
          </cell>
          <cell r="Y13647" t="str">
            <v>SWITZERLAND</v>
          </cell>
        </row>
        <row r="13648">
          <cell r="L13648" t="str">
            <v>Non-proportional</v>
          </cell>
          <cell r="S13648">
            <v>-76029.279999999999</v>
          </cell>
          <cell r="X13648" t="str">
            <v>GWP - gross</v>
          </cell>
          <cell r="Y13648" t="str">
            <v>NORWAY</v>
          </cell>
        </row>
        <row r="13649">
          <cell r="L13649" t="str">
            <v>Non-proportional</v>
          </cell>
          <cell r="S13649">
            <v>-8971.8799999999992</v>
          </cell>
          <cell r="X13649" t="str">
            <v>GWP - gross</v>
          </cell>
          <cell r="Y13649" t="str">
            <v>SWITZERLAND</v>
          </cell>
        </row>
        <row r="13650">
          <cell r="L13650" t="str">
            <v>Non-proportional</v>
          </cell>
          <cell r="S13650">
            <v>6696.72</v>
          </cell>
          <cell r="X13650" t="str">
            <v>GWP - gross</v>
          </cell>
          <cell r="Y13650" t="str">
            <v>SWITZERLAND</v>
          </cell>
        </row>
        <row r="13651">
          <cell r="L13651" t="str">
            <v>Non-proportional</v>
          </cell>
          <cell r="S13651">
            <v>10348.15</v>
          </cell>
          <cell r="X13651" t="str">
            <v>GWP - gross</v>
          </cell>
          <cell r="Y13651" t="str">
            <v>NORWAY</v>
          </cell>
        </row>
        <row r="13652">
          <cell r="L13652" t="str">
            <v>Non-proportional</v>
          </cell>
          <cell r="S13652">
            <v>-10348.15</v>
          </cell>
          <cell r="X13652" t="str">
            <v>GWP - gross</v>
          </cell>
          <cell r="Y13652" t="str">
            <v>NORWAY</v>
          </cell>
        </row>
        <row r="13653">
          <cell r="L13653" t="str">
            <v>Non-proportional</v>
          </cell>
          <cell r="S13653">
            <v>-20308.62</v>
          </cell>
          <cell r="X13653" t="str">
            <v>GWP - gross</v>
          </cell>
          <cell r="Y13653" t="str">
            <v>SWITZERLAND</v>
          </cell>
        </row>
        <row r="13654">
          <cell r="L13654" t="str">
            <v>Non-proportional</v>
          </cell>
          <cell r="S13654">
            <v>30120.799999999999</v>
          </cell>
          <cell r="X13654" t="str">
            <v>GWP - gross</v>
          </cell>
          <cell r="Y13654" t="str">
            <v>SWITZERLAND</v>
          </cell>
        </row>
        <row r="13655">
          <cell r="L13655" t="str">
            <v>Non-proportional</v>
          </cell>
          <cell r="S13655">
            <v>-10279.56</v>
          </cell>
          <cell r="X13655" t="str">
            <v>GWP - gross</v>
          </cell>
          <cell r="Y13655" t="str">
            <v>NORWAY</v>
          </cell>
        </row>
        <row r="13656">
          <cell r="L13656" t="str">
            <v>Proportional</v>
          </cell>
          <cell r="S13656">
            <v>-270127.15000000002</v>
          </cell>
          <cell r="X13656" t="str">
            <v>Variation UPR - gross</v>
          </cell>
          <cell r="Y13656" t="str">
            <v>AUSTRIA</v>
          </cell>
        </row>
        <row r="13657">
          <cell r="L13657"/>
          <cell r="S13657">
            <v>515625</v>
          </cell>
          <cell r="X13657" t="str">
            <v>GWP - share RI</v>
          </cell>
          <cell r="Y13657" t="str">
            <v>GERMANY</v>
          </cell>
        </row>
        <row r="13658">
          <cell r="L13658"/>
          <cell r="S13658">
            <v>481250</v>
          </cell>
          <cell r="X13658" t="str">
            <v>GWP - share RI</v>
          </cell>
          <cell r="Y13658" t="str">
            <v>GERMANY</v>
          </cell>
        </row>
        <row r="13659">
          <cell r="L13659"/>
          <cell r="S13659">
            <v>617099.21</v>
          </cell>
          <cell r="X13659" t="str">
            <v>GWP - share RI</v>
          </cell>
          <cell r="Y13659" t="str">
            <v>GERMANY</v>
          </cell>
        </row>
        <row r="13660">
          <cell r="L13660"/>
          <cell r="S13660">
            <v>576098.93000000005</v>
          </cell>
          <cell r="X13660" t="str">
            <v>GWP - share RI</v>
          </cell>
          <cell r="Y13660" t="str">
            <v>GERMANY</v>
          </cell>
        </row>
        <row r="13661">
          <cell r="L13661"/>
          <cell r="S13661">
            <v>-617099.21</v>
          </cell>
          <cell r="X13661" t="str">
            <v>GWP - share RI</v>
          </cell>
          <cell r="Y13661" t="str">
            <v>GERMANY</v>
          </cell>
        </row>
        <row r="13662">
          <cell r="L13662"/>
          <cell r="S13662">
            <v>617248.85</v>
          </cell>
          <cell r="X13662" t="str">
            <v>GWP - share RI</v>
          </cell>
          <cell r="Y13662" t="str">
            <v>GERMANY</v>
          </cell>
        </row>
        <row r="13663">
          <cell r="L13663"/>
          <cell r="S13663">
            <v>489609.27</v>
          </cell>
          <cell r="X13663" t="str">
            <v>GWP - share RI</v>
          </cell>
          <cell r="Y13663" t="str">
            <v>GERMANY</v>
          </cell>
        </row>
        <row r="13664">
          <cell r="L13664"/>
          <cell r="S13664">
            <v>1612625.49</v>
          </cell>
          <cell r="X13664" t="str">
            <v>GWP - share RI</v>
          </cell>
          <cell r="Y13664" t="str">
            <v>UNITED KINGDOM</v>
          </cell>
        </row>
        <row r="13665">
          <cell r="L13665"/>
          <cell r="S13665">
            <v>-20298.75</v>
          </cell>
          <cell r="X13665" t="str">
            <v>GWP - share RI</v>
          </cell>
          <cell r="Y13665" t="str">
            <v>UNITED KINGDOM</v>
          </cell>
        </row>
        <row r="13666">
          <cell r="L13666"/>
          <cell r="S13666">
            <v>-489609.27</v>
          </cell>
          <cell r="X13666" t="str">
            <v>GWP - share RI</v>
          </cell>
          <cell r="Y13666" t="str">
            <v>GERMANY</v>
          </cell>
        </row>
        <row r="13667">
          <cell r="L13667"/>
          <cell r="S13667">
            <v>20298.75</v>
          </cell>
          <cell r="X13667" t="str">
            <v>GWP - share RI</v>
          </cell>
          <cell r="Y13667" t="str">
            <v>UNITED KINGDOM</v>
          </cell>
        </row>
        <row r="13668">
          <cell r="L13668"/>
          <cell r="S13668">
            <v>3129.17</v>
          </cell>
          <cell r="X13668" t="str">
            <v>GWP - share RI</v>
          </cell>
          <cell r="Y13668" t="str">
            <v>UNITED KINGDOM</v>
          </cell>
        </row>
        <row r="13669">
          <cell r="L13669"/>
          <cell r="S13669">
            <v>239550.48</v>
          </cell>
          <cell r="X13669" t="str">
            <v>GWP - share RI</v>
          </cell>
          <cell r="Y13669" t="str">
            <v>UNITED KINGDOM</v>
          </cell>
        </row>
        <row r="13670">
          <cell r="L13670"/>
          <cell r="S13670">
            <v>-515625</v>
          </cell>
          <cell r="X13670" t="str">
            <v>GWP - share RI</v>
          </cell>
          <cell r="Y13670" t="str">
            <v>GERMANY</v>
          </cell>
        </row>
        <row r="13671">
          <cell r="L13671"/>
          <cell r="S13671">
            <v>1084632.31</v>
          </cell>
          <cell r="X13671" t="str">
            <v>GWP - share RI</v>
          </cell>
          <cell r="Y13671" t="str">
            <v>UNITED KINGDOM</v>
          </cell>
        </row>
        <row r="13672">
          <cell r="L13672"/>
          <cell r="S13672">
            <v>1084632.31</v>
          </cell>
          <cell r="X13672" t="str">
            <v>GWP - share RI</v>
          </cell>
          <cell r="Y13672" t="str">
            <v>UNITED KINGDOM</v>
          </cell>
        </row>
        <row r="13673">
          <cell r="L13673"/>
          <cell r="S13673">
            <v>20298.75</v>
          </cell>
          <cell r="X13673" t="str">
            <v>GWP - share RI</v>
          </cell>
          <cell r="Y13673" t="str">
            <v>UNITED KINGDOM</v>
          </cell>
        </row>
        <row r="13674">
          <cell r="L13674"/>
          <cell r="S13674">
            <v>-1084632.31</v>
          </cell>
          <cell r="X13674" t="str">
            <v>GWP - share RI</v>
          </cell>
          <cell r="Y13674" t="str">
            <v>UNITED KINGDOM</v>
          </cell>
        </row>
        <row r="13675">
          <cell r="L13675"/>
          <cell r="S13675">
            <v>-481250</v>
          </cell>
          <cell r="X13675" t="str">
            <v>GWP - share RI</v>
          </cell>
          <cell r="Y13675" t="str">
            <v>GERMANY</v>
          </cell>
        </row>
        <row r="13676">
          <cell r="L13676"/>
          <cell r="S13676">
            <v>6447060.4000000004</v>
          </cell>
          <cell r="X13676" t="str">
            <v>GWP - share RI</v>
          </cell>
          <cell r="Y13676" t="str">
            <v>UNITED KINGDOM</v>
          </cell>
        </row>
        <row r="13677">
          <cell r="L13677"/>
          <cell r="S13677">
            <v>-27216</v>
          </cell>
          <cell r="X13677" t="str">
            <v>GWP - share RI</v>
          </cell>
          <cell r="Y13677" t="str">
            <v>UNITED KINGDOM</v>
          </cell>
        </row>
        <row r="13678">
          <cell r="L13678"/>
          <cell r="S13678">
            <v>9945.2099999999991</v>
          </cell>
          <cell r="X13678" t="str">
            <v>GWP - share RI</v>
          </cell>
          <cell r="Y13678" t="str">
            <v>UNITED KINGDOM</v>
          </cell>
        </row>
        <row r="13679">
          <cell r="L13679"/>
          <cell r="S13679">
            <v>3315.07</v>
          </cell>
          <cell r="X13679" t="str">
            <v>GWP - share RI</v>
          </cell>
          <cell r="Y13679" t="str">
            <v>UNITED KINGDOM</v>
          </cell>
        </row>
        <row r="13680">
          <cell r="L13680"/>
          <cell r="S13680">
            <v>11050.23</v>
          </cell>
          <cell r="X13680" t="str">
            <v>GWP - share RI</v>
          </cell>
          <cell r="Y13680" t="str">
            <v>UNITED KINGDOM</v>
          </cell>
        </row>
        <row r="13681">
          <cell r="L13681"/>
          <cell r="S13681">
            <v>-9945.2099999999991</v>
          </cell>
          <cell r="X13681" t="str">
            <v>GWP - share RI</v>
          </cell>
          <cell r="Y13681" t="str">
            <v>UNITED KINGDOM</v>
          </cell>
        </row>
        <row r="13682">
          <cell r="L13682"/>
          <cell r="S13682">
            <v>-4698</v>
          </cell>
          <cell r="X13682" t="str">
            <v>GWP - share RI</v>
          </cell>
          <cell r="Y13682" t="str">
            <v>UNITED KINGDOM</v>
          </cell>
        </row>
        <row r="13683">
          <cell r="L13683"/>
          <cell r="S13683">
            <v>-4698</v>
          </cell>
          <cell r="X13683" t="str">
            <v>GWP - share RI</v>
          </cell>
          <cell r="Y13683" t="str">
            <v>UNITED KINGDOM</v>
          </cell>
        </row>
        <row r="13684">
          <cell r="L13684"/>
          <cell r="S13684">
            <v>-11050.23</v>
          </cell>
          <cell r="X13684" t="str">
            <v>GWP - share RI</v>
          </cell>
          <cell r="Y13684" t="str">
            <v>UNITED KINGDOM</v>
          </cell>
        </row>
        <row r="13685">
          <cell r="L13685"/>
          <cell r="S13685">
            <v>-20243.97</v>
          </cell>
          <cell r="X13685" t="str">
            <v>GWP - share RI</v>
          </cell>
          <cell r="Y13685" t="str">
            <v>UNITED KINGDOM</v>
          </cell>
        </row>
        <row r="13686">
          <cell r="L13686"/>
          <cell r="S13686">
            <v>-5872.5</v>
          </cell>
          <cell r="X13686" t="str">
            <v>GWP - share RI</v>
          </cell>
          <cell r="Y13686" t="str">
            <v>UNITED KINGDOM</v>
          </cell>
        </row>
        <row r="13687">
          <cell r="L13687"/>
          <cell r="S13687">
            <v>-22378.49</v>
          </cell>
          <cell r="X13687" t="str">
            <v>GWP - share RI</v>
          </cell>
          <cell r="Y13687" t="str">
            <v>UNITED KINGDOM</v>
          </cell>
        </row>
        <row r="13688">
          <cell r="L13688"/>
          <cell r="S13688">
            <v>13260.27</v>
          </cell>
          <cell r="X13688" t="str">
            <v>GWP - share RI</v>
          </cell>
          <cell r="Y13688" t="str">
            <v>UNITED KINGDOM</v>
          </cell>
        </row>
        <row r="13689">
          <cell r="L13689"/>
          <cell r="S13689">
            <v>-7872.65</v>
          </cell>
          <cell r="X13689" t="str">
            <v>GWP - share RI</v>
          </cell>
          <cell r="Y13689" t="str">
            <v>UNITED KINGDOM</v>
          </cell>
        </row>
        <row r="13690">
          <cell r="L13690"/>
          <cell r="S13690">
            <v>3859.23</v>
          </cell>
          <cell r="X13690" t="str">
            <v>GWP - share RI</v>
          </cell>
          <cell r="Y13690" t="str">
            <v>UNITED KINGDOM</v>
          </cell>
        </row>
        <row r="13691">
          <cell r="L13691"/>
          <cell r="S13691">
            <v>-1620.61</v>
          </cell>
          <cell r="X13691" t="str">
            <v>GWP - share RI</v>
          </cell>
          <cell r="Y13691" t="str">
            <v>UNITED KINGDOM</v>
          </cell>
        </row>
        <row r="13692">
          <cell r="L13692"/>
          <cell r="S13692">
            <v>-3859.23</v>
          </cell>
          <cell r="X13692" t="str">
            <v>GWP - share RI</v>
          </cell>
          <cell r="Y13692" t="str">
            <v>UNITED KINGDOM</v>
          </cell>
        </row>
        <row r="13693">
          <cell r="L13693"/>
          <cell r="S13693">
            <v>-3315.07</v>
          </cell>
          <cell r="X13693" t="str">
            <v>GWP - share RI</v>
          </cell>
          <cell r="Y13693" t="str">
            <v>UNITED KINGDOM</v>
          </cell>
        </row>
        <row r="13694">
          <cell r="L13694"/>
          <cell r="S13694">
            <v>34020</v>
          </cell>
          <cell r="X13694" t="str">
            <v>GWP - share RI</v>
          </cell>
          <cell r="Y13694" t="str">
            <v>UNITED KINGDOM</v>
          </cell>
        </row>
        <row r="13695">
          <cell r="L13695"/>
          <cell r="S13695">
            <v>-34020</v>
          </cell>
          <cell r="X13695" t="str">
            <v>GWP - share RI</v>
          </cell>
          <cell r="Y13695" t="str">
            <v>UNITED KINGDOM</v>
          </cell>
        </row>
        <row r="13696">
          <cell r="L13696"/>
          <cell r="S13696">
            <v>7872.65</v>
          </cell>
          <cell r="X13696" t="str">
            <v>GWP - share RI</v>
          </cell>
          <cell r="Y13696" t="str">
            <v>UNITED KINGDOM</v>
          </cell>
        </row>
        <row r="13697">
          <cell r="L13697"/>
          <cell r="S13697">
            <v>-27216</v>
          </cell>
          <cell r="X13697" t="str">
            <v>GWP - share RI</v>
          </cell>
          <cell r="Y13697" t="str">
            <v>UNITED KINGDOM</v>
          </cell>
        </row>
        <row r="13698">
          <cell r="L13698"/>
          <cell r="S13698">
            <v>-13260.27</v>
          </cell>
          <cell r="X13698" t="str">
            <v>GWP - share RI</v>
          </cell>
          <cell r="Y13698" t="str">
            <v>UNITED KINGDOM</v>
          </cell>
        </row>
        <row r="13699">
          <cell r="L13699"/>
          <cell r="S13699">
            <v>4698</v>
          </cell>
          <cell r="X13699" t="str">
            <v>GWP - share RI</v>
          </cell>
          <cell r="Y13699" t="str">
            <v>UNITED KINGDOM</v>
          </cell>
        </row>
        <row r="13700">
          <cell r="L13700"/>
          <cell r="S13700">
            <v>5872.5</v>
          </cell>
          <cell r="X13700" t="str">
            <v>GWP - share RI</v>
          </cell>
          <cell r="Y13700" t="str">
            <v>UNITED KINGDOM</v>
          </cell>
        </row>
        <row r="13701">
          <cell r="L13701"/>
          <cell r="S13701">
            <v>20243.97</v>
          </cell>
          <cell r="X13701" t="str">
            <v>GWP - share RI</v>
          </cell>
          <cell r="Y13701" t="str">
            <v>UNITED KINGDOM</v>
          </cell>
        </row>
        <row r="13702">
          <cell r="L13702"/>
          <cell r="S13702">
            <v>8056.25</v>
          </cell>
          <cell r="X13702" t="str">
            <v>GWP - share RI</v>
          </cell>
          <cell r="Y13702" t="str">
            <v>UNITED KINGDOM</v>
          </cell>
        </row>
        <row r="13703">
          <cell r="L13703"/>
          <cell r="S13703">
            <v>1620.61</v>
          </cell>
          <cell r="X13703" t="str">
            <v>GWP - share RI</v>
          </cell>
          <cell r="Y13703" t="str">
            <v>UNITED KINGDOM</v>
          </cell>
        </row>
        <row r="13704">
          <cell r="L13704"/>
          <cell r="S13704">
            <v>27216</v>
          </cell>
          <cell r="X13704" t="str">
            <v>GWP - share RI</v>
          </cell>
          <cell r="Y13704" t="str">
            <v>UNITED KINGDOM</v>
          </cell>
        </row>
        <row r="13705">
          <cell r="L13705"/>
          <cell r="S13705">
            <v>4698</v>
          </cell>
          <cell r="X13705" t="str">
            <v>GWP - share RI</v>
          </cell>
          <cell r="Y13705" t="str">
            <v>UNITED KINGDOM</v>
          </cell>
        </row>
        <row r="13706">
          <cell r="L13706"/>
          <cell r="S13706">
            <v>-8056.25</v>
          </cell>
          <cell r="X13706" t="str">
            <v>GWP - share RI</v>
          </cell>
          <cell r="Y13706" t="str">
            <v>UNITED KINGDOM</v>
          </cell>
        </row>
        <row r="13707">
          <cell r="L13707"/>
          <cell r="S13707">
            <v>27216</v>
          </cell>
          <cell r="X13707" t="str">
            <v>GWP - share RI</v>
          </cell>
          <cell r="Y13707" t="str">
            <v>UNITED KINGDOM</v>
          </cell>
        </row>
        <row r="13708">
          <cell r="L13708"/>
          <cell r="S13708">
            <v>22378.49</v>
          </cell>
          <cell r="X13708" t="str">
            <v>GWP - share RI</v>
          </cell>
          <cell r="Y13708" t="str">
            <v>UNITED KINGDOM</v>
          </cell>
        </row>
        <row r="13709">
          <cell r="L13709"/>
          <cell r="S13709">
            <v>39892.5</v>
          </cell>
          <cell r="X13709" t="str">
            <v>GWP - share RI</v>
          </cell>
          <cell r="Y13709" t="str">
            <v>UNITED KINGDOM</v>
          </cell>
        </row>
        <row r="13710">
          <cell r="L13710"/>
          <cell r="S13710">
            <v>57592.14</v>
          </cell>
          <cell r="X13710" t="str">
            <v>GWP - share RI</v>
          </cell>
          <cell r="Y13710" t="str">
            <v>UNITED KINGDOM</v>
          </cell>
        </row>
        <row r="13711">
          <cell r="L13711"/>
          <cell r="S13711">
            <v>53315.39</v>
          </cell>
          <cell r="X13711" t="str">
            <v>GWP - share RI</v>
          </cell>
          <cell r="Y13711" t="str">
            <v>UNITED KINGDOM</v>
          </cell>
        </row>
        <row r="13712">
          <cell r="L13712"/>
          <cell r="S13712">
            <v>39892.5</v>
          </cell>
          <cell r="X13712" t="str">
            <v>GWP - share RI</v>
          </cell>
          <cell r="Y13712" t="str">
            <v>UNITED KINGDOM</v>
          </cell>
        </row>
        <row r="13713">
          <cell r="L13713"/>
          <cell r="S13713">
            <v>54631.09</v>
          </cell>
          <cell r="X13713" t="str">
            <v>GWP - share RI</v>
          </cell>
          <cell r="Y13713" t="str">
            <v>UNITED KINGDOM</v>
          </cell>
        </row>
        <row r="13714">
          <cell r="L13714"/>
          <cell r="S13714">
            <v>-39892.5</v>
          </cell>
          <cell r="X13714" t="str">
            <v>GWP - share RI</v>
          </cell>
          <cell r="Y13714" t="str">
            <v>UNITED KINGDOM</v>
          </cell>
        </row>
        <row r="13715">
          <cell r="L13715"/>
          <cell r="S13715">
            <v>-13422.89</v>
          </cell>
          <cell r="X13715" t="str">
            <v>GWP - share RI</v>
          </cell>
          <cell r="Y13715" t="str">
            <v>UNITED KINGDOM</v>
          </cell>
        </row>
        <row r="13716">
          <cell r="L13716"/>
          <cell r="S13716">
            <v>70771.320000000007</v>
          </cell>
          <cell r="X13716" t="str">
            <v>GWP - share RI</v>
          </cell>
          <cell r="Y13716" t="str">
            <v>UNITED KINGDOM</v>
          </cell>
        </row>
        <row r="13717">
          <cell r="L13717"/>
          <cell r="S13717">
            <v>-39892.5</v>
          </cell>
          <cell r="X13717" t="str">
            <v>GWP - share RI</v>
          </cell>
          <cell r="Y13717" t="str">
            <v>UNITED KINGDOM</v>
          </cell>
        </row>
        <row r="13718">
          <cell r="L13718"/>
          <cell r="S13718">
            <v>-95372.35</v>
          </cell>
          <cell r="X13718" t="str">
            <v>GWP - share RI</v>
          </cell>
          <cell r="Y13718" t="str">
            <v>UNITED KINGDOM</v>
          </cell>
        </row>
        <row r="13719">
          <cell r="L13719"/>
          <cell r="S13719">
            <v>39892.5</v>
          </cell>
          <cell r="X13719" t="str">
            <v>GWP - share RI</v>
          </cell>
          <cell r="Y13719" t="str">
            <v>UNITED KINGDOM</v>
          </cell>
        </row>
        <row r="13720">
          <cell r="L13720"/>
          <cell r="S13720">
            <v>-39892.5</v>
          </cell>
          <cell r="X13720" t="str">
            <v>GWP - share RI</v>
          </cell>
          <cell r="Y13720" t="str">
            <v>UNITED KINGDOM</v>
          </cell>
        </row>
        <row r="13721">
          <cell r="L13721"/>
          <cell r="S13721">
            <v>4379.82</v>
          </cell>
          <cell r="X13721" t="str">
            <v>GWP - share RI</v>
          </cell>
          <cell r="Y13721" t="str">
            <v>UNITED KINGDOM</v>
          </cell>
        </row>
        <row r="13722">
          <cell r="L13722"/>
          <cell r="S13722">
            <v>-1245</v>
          </cell>
          <cell r="X13722" t="str">
            <v>GWP - share RI</v>
          </cell>
          <cell r="Y13722" t="str">
            <v>UNITED KINGDOM</v>
          </cell>
        </row>
        <row r="13723">
          <cell r="L13723"/>
          <cell r="S13723">
            <v>-1547.46</v>
          </cell>
          <cell r="X13723" t="str">
            <v>GWP - share RI</v>
          </cell>
          <cell r="Y13723" t="str">
            <v>UNITED KINGDOM</v>
          </cell>
        </row>
        <row r="13724">
          <cell r="L13724"/>
          <cell r="S13724">
            <v>93626.32</v>
          </cell>
          <cell r="X13724" t="str">
            <v>GWP - share RI</v>
          </cell>
          <cell r="Y13724" t="str">
            <v>UNITED KINGDOM</v>
          </cell>
        </row>
        <row r="13725">
          <cell r="L13725"/>
          <cell r="S13725">
            <v>3378.06</v>
          </cell>
          <cell r="X13725" t="str">
            <v>GWP - share RI</v>
          </cell>
          <cell r="Y13725" t="str">
            <v>UNITED KINGDOM</v>
          </cell>
        </row>
        <row r="13726">
          <cell r="L13726"/>
          <cell r="S13726">
            <v>23329.53</v>
          </cell>
          <cell r="X13726" t="str">
            <v>GWP - share RI</v>
          </cell>
          <cell r="Y13726" t="str">
            <v>UNITED KINGDOM</v>
          </cell>
        </row>
        <row r="13727">
          <cell r="L13727"/>
          <cell r="S13727">
            <v>-1245</v>
          </cell>
          <cell r="X13727" t="str">
            <v>GWP - share RI</v>
          </cell>
          <cell r="Y13727" t="str">
            <v>UNITED KINGDOM</v>
          </cell>
        </row>
        <row r="13728">
          <cell r="L13728"/>
          <cell r="S13728">
            <v>9352.27</v>
          </cell>
          <cell r="X13728" t="str">
            <v>GWP - share RI</v>
          </cell>
          <cell r="Y13728" t="str">
            <v>UNITED KINGDOM</v>
          </cell>
        </row>
        <row r="13729">
          <cell r="L13729"/>
          <cell r="S13729">
            <v>313.05</v>
          </cell>
          <cell r="X13729" t="str">
            <v>GWP - share RI</v>
          </cell>
          <cell r="Y13729" t="str">
            <v>UNITED KINGDOM</v>
          </cell>
        </row>
        <row r="13730">
          <cell r="L13730"/>
          <cell r="S13730">
            <v>789.75</v>
          </cell>
          <cell r="X13730" t="str">
            <v>GWP - share RI</v>
          </cell>
          <cell r="Y13730" t="str">
            <v>UNITED KINGDOM</v>
          </cell>
        </row>
        <row r="13731">
          <cell r="L13731"/>
          <cell r="S13731">
            <v>10088.450000000001</v>
          </cell>
          <cell r="X13731" t="str">
            <v>GWP - share RI</v>
          </cell>
          <cell r="Y13731" t="str">
            <v>UNITED KINGDOM</v>
          </cell>
        </row>
        <row r="13732">
          <cell r="L13732"/>
          <cell r="S13732">
            <v>16393.72</v>
          </cell>
          <cell r="X13732" t="str">
            <v>GWP - share RI</v>
          </cell>
          <cell r="Y13732" t="str">
            <v>UNITED KINGDOM</v>
          </cell>
        </row>
        <row r="13733">
          <cell r="L13733"/>
          <cell r="S13733">
            <v>6756.12</v>
          </cell>
          <cell r="X13733" t="str">
            <v>GWP - share RI</v>
          </cell>
          <cell r="Y13733" t="str">
            <v>UNITED KINGDOM</v>
          </cell>
        </row>
        <row r="13734">
          <cell r="L13734"/>
          <cell r="S13734">
            <v>-5400</v>
          </cell>
          <cell r="X13734" t="str">
            <v>GWP - share RI</v>
          </cell>
          <cell r="Y13734" t="str">
            <v>UNITED KINGDOM</v>
          </cell>
        </row>
        <row r="13735">
          <cell r="L13735"/>
          <cell r="S13735">
            <v>-37805.58</v>
          </cell>
          <cell r="X13735" t="str">
            <v>GWP - share RI</v>
          </cell>
          <cell r="Y13735" t="str">
            <v>UNITED KINGDOM</v>
          </cell>
        </row>
        <row r="13736">
          <cell r="L13736"/>
          <cell r="S13736">
            <v>4800</v>
          </cell>
          <cell r="X13736" t="str">
            <v>GWP - share RI</v>
          </cell>
          <cell r="Y13736" t="str">
            <v>UNITED KINGDOM</v>
          </cell>
        </row>
        <row r="13737">
          <cell r="L13737"/>
          <cell r="S13737">
            <v>-130.66999999999999</v>
          </cell>
          <cell r="X13737" t="str">
            <v>GWP - share RI</v>
          </cell>
          <cell r="Y13737" t="str">
            <v>UNITED KINGDOM</v>
          </cell>
        </row>
        <row r="13738">
          <cell r="L13738"/>
          <cell r="S13738">
            <v>-3378.06</v>
          </cell>
          <cell r="X13738" t="str">
            <v>GWP - share RI</v>
          </cell>
          <cell r="Y13738" t="str">
            <v>UNITED KINGDOM</v>
          </cell>
        </row>
        <row r="13739">
          <cell r="L13739"/>
          <cell r="S13739">
            <v>550.80999999999995</v>
          </cell>
          <cell r="X13739" t="str">
            <v>GWP - share RI</v>
          </cell>
          <cell r="Y13739" t="str">
            <v>UNITED KINGDOM</v>
          </cell>
        </row>
        <row r="13740">
          <cell r="L13740"/>
          <cell r="S13740">
            <v>2113.88</v>
          </cell>
          <cell r="X13740" t="str">
            <v>GWP - share RI</v>
          </cell>
          <cell r="Y13740" t="str">
            <v>UNITED KINGDOM</v>
          </cell>
        </row>
        <row r="13741">
          <cell r="L13741"/>
          <cell r="S13741">
            <v>2587.96</v>
          </cell>
          <cell r="X13741" t="str">
            <v>GWP - share RI</v>
          </cell>
          <cell r="Y13741" t="str">
            <v>UNITED KINGDOM</v>
          </cell>
        </row>
        <row r="13742">
          <cell r="L13742"/>
          <cell r="S13742">
            <v>5400</v>
          </cell>
          <cell r="X13742" t="str">
            <v>GWP - share RI</v>
          </cell>
          <cell r="Y13742" t="str">
            <v>UNITED KINGDOM</v>
          </cell>
        </row>
        <row r="13743">
          <cell r="L13743"/>
          <cell r="S13743">
            <v>-291.01</v>
          </cell>
          <cell r="X13743" t="str">
            <v>GWP - share RI</v>
          </cell>
          <cell r="Y13743" t="str">
            <v>UNITED KINGDOM</v>
          </cell>
        </row>
        <row r="13744">
          <cell r="L13744"/>
          <cell r="S13744">
            <v>11276.15</v>
          </cell>
          <cell r="X13744" t="str">
            <v>GWP - share RI</v>
          </cell>
          <cell r="Y13744" t="str">
            <v>UNITED KINGDOM</v>
          </cell>
        </row>
        <row r="13745">
          <cell r="L13745"/>
          <cell r="S13745">
            <v>5457.75</v>
          </cell>
          <cell r="X13745" t="str">
            <v>GWP - share RI</v>
          </cell>
          <cell r="Y13745" t="str">
            <v>UNITED KINGDOM</v>
          </cell>
        </row>
        <row r="13746">
          <cell r="L13746"/>
          <cell r="S13746">
            <v>5400</v>
          </cell>
          <cell r="X13746" t="str">
            <v>GWP - share RI</v>
          </cell>
          <cell r="Y13746" t="str">
            <v>UNITED KINGDOM</v>
          </cell>
        </row>
        <row r="13747">
          <cell r="L13747"/>
          <cell r="S13747">
            <v>-205.84</v>
          </cell>
          <cell r="X13747" t="str">
            <v>GWP - share RI</v>
          </cell>
          <cell r="Y13747" t="str">
            <v>UNITED KINGDOM</v>
          </cell>
        </row>
        <row r="13748">
          <cell r="L13748"/>
          <cell r="S13748">
            <v>-2587.96</v>
          </cell>
          <cell r="X13748" t="str">
            <v>GWP - share RI</v>
          </cell>
          <cell r="Y13748" t="str">
            <v>UNITED KINGDOM</v>
          </cell>
        </row>
        <row r="13749">
          <cell r="L13749"/>
          <cell r="S13749">
            <v>6500.01</v>
          </cell>
          <cell r="X13749" t="str">
            <v>GWP - share RI</v>
          </cell>
          <cell r="Y13749" t="str">
            <v>UNITED KINGDOM</v>
          </cell>
        </row>
        <row r="13750">
          <cell r="L13750"/>
          <cell r="S13750">
            <v>-6.95</v>
          </cell>
          <cell r="X13750" t="str">
            <v>GWP - share RI</v>
          </cell>
          <cell r="Y13750" t="str">
            <v>UNITED KINGDOM</v>
          </cell>
        </row>
        <row r="13751">
          <cell r="L13751"/>
          <cell r="S13751">
            <v>-2278.6</v>
          </cell>
          <cell r="X13751" t="str">
            <v>GWP - share RI</v>
          </cell>
          <cell r="Y13751" t="str">
            <v>UNITED KINGDOM</v>
          </cell>
        </row>
        <row r="13752">
          <cell r="L13752"/>
          <cell r="S13752">
            <v>5678.94</v>
          </cell>
          <cell r="X13752" t="str">
            <v>GWP - share RI</v>
          </cell>
          <cell r="Y13752" t="str">
            <v>UNITED KINGDOM</v>
          </cell>
        </row>
        <row r="13753">
          <cell r="L13753"/>
          <cell r="S13753">
            <v>12556.36</v>
          </cell>
          <cell r="X13753" t="str">
            <v>GWP - share RI</v>
          </cell>
          <cell r="Y13753" t="str">
            <v>UNITED KINGDOM</v>
          </cell>
        </row>
        <row r="13754">
          <cell r="L13754"/>
          <cell r="S13754">
            <v>74900.72</v>
          </cell>
          <cell r="X13754" t="str">
            <v>GWP - share RI</v>
          </cell>
          <cell r="Y13754" t="str">
            <v>UNITED KINGDOM</v>
          </cell>
        </row>
        <row r="13755">
          <cell r="L13755"/>
          <cell r="S13755">
            <v>7033.34</v>
          </cell>
          <cell r="X13755" t="str">
            <v>GWP - share RI</v>
          </cell>
          <cell r="Y13755" t="str">
            <v>UNITED KINGDOM</v>
          </cell>
        </row>
        <row r="13756">
          <cell r="L13756"/>
          <cell r="S13756">
            <v>-2237.25</v>
          </cell>
          <cell r="X13756" t="str">
            <v>GWP - share RI</v>
          </cell>
          <cell r="Y13756" t="str">
            <v>UNITED KINGDOM</v>
          </cell>
        </row>
        <row r="13757">
          <cell r="L13757"/>
          <cell r="S13757">
            <v>-2113.88</v>
          </cell>
          <cell r="X13757" t="str">
            <v>GWP - share RI</v>
          </cell>
          <cell r="Y13757" t="str">
            <v>UNITED KINGDOM</v>
          </cell>
        </row>
        <row r="13758">
          <cell r="L13758"/>
          <cell r="S13758">
            <v>2206.85</v>
          </cell>
          <cell r="X13758" t="str">
            <v>GWP - share RI</v>
          </cell>
          <cell r="Y13758" t="str">
            <v>UNITED KINGDOM</v>
          </cell>
        </row>
        <row r="13759">
          <cell r="L13759"/>
          <cell r="S13759">
            <v>-3378.06</v>
          </cell>
          <cell r="X13759" t="str">
            <v>GWP - share RI</v>
          </cell>
          <cell r="Y13759" t="str">
            <v>UNITED KINGDOM</v>
          </cell>
        </row>
        <row r="13760">
          <cell r="L13760"/>
          <cell r="S13760">
            <v>-9020.9</v>
          </cell>
          <cell r="X13760" t="str">
            <v>GWP - share RI</v>
          </cell>
          <cell r="Y13760" t="str">
            <v>UNITED KINGDOM</v>
          </cell>
        </row>
        <row r="13761">
          <cell r="L13761"/>
          <cell r="S13761">
            <v>6.95</v>
          </cell>
          <cell r="X13761" t="str">
            <v>GWP - share RI</v>
          </cell>
          <cell r="Y13761" t="str">
            <v>UNITED KINGDOM</v>
          </cell>
        </row>
        <row r="13762">
          <cell r="L13762"/>
          <cell r="S13762">
            <v>291.01</v>
          </cell>
          <cell r="X13762" t="str">
            <v>GWP - share RI</v>
          </cell>
          <cell r="Y13762" t="str">
            <v>UNITED KINGDOM</v>
          </cell>
        </row>
        <row r="13763">
          <cell r="L13763"/>
          <cell r="S13763">
            <v>4731.3100000000004</v>
          </cell>
          <cell r="X13763" t="str">
            <v>GWP - share RI</v>
          </cell>
          <cell r="Y13763" t="str">
            <v>UNITED KINGDOM</v>
          </cell>
        </row>
        <row r="13764">
          <cell r="L13764"/>
          <cell r="S13764">
            <v>-5491.34</v>
          </cell>
          <cell r="X13764" t="str">
            <v>GWP - share RI</v>
          </cell>
          <cell r="Y13764" t="str">
            <v>UNITED KINGDOM</v>
          </cell>
        </row>
        <row r="13765">
          <cell r="L13765"/>
          <cell r="S13765">
            <v>-390</v>
          </cell>
          <cell r="X13765" t="str">
            <v>GWP - share RI</v>
          </cell>
          <cell r="Y13765" t="str">
            <v>UNITED KINGDOM</v>
          </cell>
        </row>
        <row r="13766">
          <cell r="L13766"/>
          <cell r="S13766">
            <v>3378.06</v>
          </cell>
          <cell r="X13766" t="str">
            <v>GWP - share RI</v>
          </cell>
          <cell r="Y13766" t="str">
            <v>UNITED KINGDOM</v>
          </cell>
        </row>
        <row r="13767">
          <cell r="L13767"/>
          <cell r="S13767">
            <v>-19781.78</v>
          </cell>
          <cell r="X13767" t="str">
            <v>GWP - share RI</v>
          </cell>
          <cell r="Y13767" t="str">
            <v>UNITED KINGDOM</v>
          </cell>
        </row>
        <row r="13768">
          <cell r="L13768"/>
          <cell r="S13768">
            <v>2856.08</v>
          </cell>
          <cell r="X13768" t="str">
            <v>GWP - share RI</v>
          </cell>
          <cell r="Y13768" t="str">
            <v>UNITED KINGDOM</v>
          </cell>
        </row>
        <row r="13769">
          <cell r="L13769"/>
          <cell r="S13769">
            <v>-5678.94</v>
          </cell>
          <cell r="X13769" t="str">
            <v>GWP - share RI</v>
          </cell>
          <cell r="Y13769" t="str">
            <v>UNITED KINGDOM</v>
          </cell>
        </row>
        <row r="13770">
          <cell r="L13770"/>
          <cell r="S13770">
            <v>1245</v>
          </cell>
          <cell r="X13770" t="str">
            <v>GWP - share RI</v>
          </cell>
          <cell r="Y13770" t="str">
            <v>UNITED KINGDOM</v>
          </cell>
        </row>
        <row r="13771">
          <cell r="L13771"/>
          <cell r="S13771">
            <v>-5400</v>
          </cell>
          <cell r="X13771" t="str">
            <v>GWP - share RI</v>
          </cell>
          <cell r="Y13771" t="str">
            <v>UNITED KINGDOM</v>
          </cell>
        </row>
        <row r="13772">
          <cell r="L13772"/>
          <cell r="S13772">
            <v>-12556.36</v>
          </cell>
          <cell r="X13772" t="str">
            <v>GWP - share RI</v>
          </cell>
          <cell r="Y13772" t="str">
            <v>UNITED KINGDOM</v>
          </cell>
        </row>
        <row r="13773">
          <cell r="L13773"/>
          <cell r="S13773">
            <v>55533.25</v>
          </cell>
          <cell r="X13773" t="str">
            <v>GWP - share RI</v>
          </cell>
          <cell r="Y13773" t="str">
            <v>UNITED KINGDOM</v>
          </cell>
        </row>
        <row r="13774">
          <cell r="L13774"/>
          <cell r="S13774">
            <v>-4800</v>
          </cell>
          <cell r="X13774" t="str">
            <v>GWP - share RI</v>
          </cell>
          <cell r="Y13774" t="str">
            <v>UNITED KINGDOM</v>
          </cell>
        </row>
        <row r="13775">
          <cell r="L13775"/>
          <cell r="S13775">
            <v>37805.58</v>
          </cell>
          <cell r="X13775" t="str">
            <v>GWP - share RI</v>
          </cell>
          <cell r="Y13775" t="str">
            <v>UNITED KINGDOM</v>
          </cell>
        </row>
        <row r="13776">
          <cell r="L13776"/>
          <cell r="S13776">
            <v>2237.25</v>
          </cell>
          <cell r="X13776" t="str">
            <v>GWP - share RI</v>
          </cell>
          <cell r="Y13776" t="str">
            <v>UNITED KINGDOM</v>
          </cell>
        </row>
        <row r="13777">
          <cell r="L13777"/>
          <cell r="S13777">
            <v>47256.73</v>
          </cell>
          <cell r="X13777" t="str">
            <v>GWP - share RI</v>
          </cell>
          <cell r="Y13777" t="str">
            <v>UNITED KINGDOM</v>
          </cell>
        </row>
        <row r="13778">
          <cell r="L13778"/>
          <cell r="S13778">
            <v>205.84</v>
          </cell>
          <cell r="X13778" t="str">
            <v>GWP - share RI</v>
          </cell>
          <cell r="Y13778" t="str">
            <v>UNITED KINGDOM</v>
          </cell>
        </row>
        <row r="13779">
          <cell r="L13779"/>
          <cell r="S13779">
            <v>-3503.84</v>
          </cell>
          <cell r="X13779" t="str">
            <v>GWP - share RI</v>
          </cell>
          <cell r="Y13779" t="str">
            <v>UNITED KINGDOM</v>
          </cell>
        </row>
        <row r="13780">
          <cell r="L13780"/>
          <cell r="S13780">
            <v>2270.6</v>
          </cell>
          <cell r="X13780" t="str">
            <v>GWP - share RI</v>
          </cell>
          <cell r="Y13780" t="str">
            <v>UNITED KINGDOM</v>
          </cell>
        </row>
        <row r="13781">
          <cell r="L13781"/>
          <cell r="S13781">
            <v>-5400</v>
          </cell>
          <cell r="X13781" t="str">
            <v>GWP - share RI</v>
          </cell>
          <cell r="Y13781" t="str">
            <v>UNITED KINGDOM</v>
          </cell>
        </row>
        <row r="13782">
          <cell r="L13782"/>
          <cell r="S13782">
            <v>396.32</v>
          </cell>
          <cell r="X13782" t="str">
            <v>GWP - share RI</v>
          </cell>
          <cell r="Y13782" t="str">
            <v>UNITED KINGDOM</v>
          </cell>
        </row>
        <row r="13783">
          <cell r="L13783"/>
          <cell r="S13783">
            <v>44.31</v>
          </cell>
          <cell r="X13783" t="str">
            <v>GWP - share RI</v>
          </cell>
          <cell r="Y13783" t="str">
            <v>UNITED KINGDOM</v>
          </cell>
        </row>
        <row r="13784">
          <cell r="L13784"/>
          <cell r="S13784">
            <v>-44.31</v>
          </cell>
          <cell r="X13784" t="str">
            <v>GWP - share RI</v>
          </cell>
          <cell r="Y13784" t="str">
            <v>UNITED KINGDOM</v>
          </cell>
        </row>
        <row r="13785">
          <cell r="L13785"/>
          <cell r="S13785">
            <v>3785.12</v>
          </cell>
          <cell r="X13785" t="str">
            <v>GWP - share RI</v>
          </cell>
          <cell r="Y13785" t="str">
            <v>UNITED KINGDOM</v>
          </cell>
        </row>
        <row r="13786">
          <cell r="L13786"/>
          <cell r="S13786">
            <v>15695.58</v>
          </cell>
          <cell r="X13786" t="str">
            <v>GWP - share RI</v>
          </cell>
          <cell r="Y13786" t="str">
            <v>UNITED KINGDOM</v>
          </cell>
        </row>
        <row r="13787">
          <cell r="L13787"/>
          <cell r="S13787">
            <v>3503.84</v>
          </cell>
          <cell r="X13787" t="str">
            <v>GWP - share RI</v>
          </cell>
          <cell r="Y13787" t="str">
            <v>UNITED KINGDOM</v>
          </cell>
        </row>
        <row r="13788">
          <cell r="L13788"/>
          <cell r="S13788">
            <v>-5457.75</v>
          </cell>
          <cell r="X13788" t="str">
            <v>GWP - share RI</v>
          </cell>
          <cell r="Y13788" t="str">
            <v>UNITED KINGDOM</v>
          </cell>
        </row>
        <row r="13789">
          <cell r="L13789"/>
          <cell r="S13789">
            <v>-7033.34</v>
          </cell>
          <cell r="X13789" t="str">
            <v>GWP - share RI</v>
          </cell>
          <cell r="Y13789" t="str">
            <v>UNITED KINGDOM</v>
          </cell>
        </row>
        <row r="13790">
          <cell r="L13790"/>
          <cell r="S13790">
            <v>-3785.12</v>
          </cell>
          <cell r="X13790" t="str">
            <v>GWP - share RI</v>
          </cell>
          <cell r="Y13790" t="str">
            <v>UNITED KINGDOM</v>
          </cell>
        </row>
        <row r="13791">
          <cell r="L13791"/>
          <cell r="S13791">
            <v>7679.67</v>
          </cell>
          <cell r="X13791" t="str">
            <v>GWP - share RI</v>
          </cell>
          <cell r="Y13791" t="str">
            <v>UNITED KINGDOM</v>
          </cell>
        </row>
        <row r="13792">
          <cell r="L13792"/>
          <cell r="S13792">
            <v>24727.37</v>
          </cell>
          <cell r="X13792" t="str">
            <v>GWP - share RI</v>
          </cell>
          <cell r="Y13792" t="str">
            <v>UNITED KINGDOM</v>
          </cell>
        </row>
        <row r="13793">
          <cell r="L13793"/>
          <cell r="S13793">
            <v>-396.32</v>
          </cell>
          <cell r="X13793" t="str">
            <v>GWP - share RI</v>
          </cell>
          <cell r="Y13793" t="str">
            <v>UNITED KINGDOM</v>
          </cell>
        </row>
        <row r="13794">
          <cell r="L13794"/>
          <cell r="S13794">
            <v>4312.12</v>
          </cell>
          <cell r="X13794" t="str">
            <v>GWP - share RI</v>
          </cell>
          <cell r="Y13794" t="str">
            <v>UNITED KINGDOM</v>
          </cell>
        </row>
        <row r="13795">
          <cell r="L13795"/>
          <cell r="S13795">
            <v>130.66999999999999</v>
          </cell>
          <cell r="X13795" t="str">
            <v>GWP - share RI</v>
          </cell>
          <cell r="Y13795" t="str">
            <v>UNITED KINGDOM</v>
          </cell>
        </row>
        <row r="13796">
          <cell r="L13796"/>
          <cell r="S13796">
            <v>19781.78</v>
          </cell>
          <cell r="X13796" t="str">
            <v>GWP - share RI</v>
          </cell>
          <cell r="Y13796" t="str">
            <v>UNITED KINGDOM</v>
          </cell>
        </row>
        <row r="13797">
          <cell r="L13797"/>
          <cell r="S13797">
            <v>4222.92</v>
          </cell>
          <cell r="X13797" t="str">
            <v>GWP - share RI</v>
          </cell>
          <cell r="Y13797" t="str">
            <v>UNITED KINGDOM</v>
          </cell>
        </row>
        <row r="13798">
          <cell r="L13798"/>
          <cell r="S13798">
            <v>-1617</v>
          </cell>
          <cell r="X13798" t="str">
            <v>GWP - share RI</v>
          </cell>
          <cell r="Y13798" t="str">
            <v>UNITED KINGDOM</v>
          </cell>
        </row>
        <row r="13799">
          <cell r="L13799"/>
          <cell r="S13799">
            <v>1245</v>
          </cell>
          <cell r="X13799" t="str">
            <v>GWP - share RI</v>
          </cell>
          <cell r="Y13799" t="str">
            <v>UNITED KINGDOM</v>
          </cell>
        </row>
        <row r="13800">
          <cell r="L13800"/>
          <cell r="S13800">
            <v>3783.4</v>
          </cell>
          <cell r="X13800" t="str">
            <v>GWP - share RI</v>
          </cell>
          <cell r="Y13800" t="str">
            <v>UNITED KINGDOM</v>
          </cell>
        </row>
        <row r="13801">
          <cell r="L13801"/>
          <cell r="S13801">
            <v>1547.46</v>
          </cell>
          <cell r="X13801" t="str">
            <v>GWP - share RI</v>
          </cell>
          <cell r="Y13801" t="str">
            <v>UNITED KINGDOM</v>
          </cell>
        </row>
        <row r="13802">
          <cell r="L13802"/>
          <cell r="S13802">
            <v>23738.42</v>
          </cell>
          <cell r="X13802" t="str">
            <v>GWP - share RI</v>
          </cell>
          <cell r="Y13802" t="str">
            <v>UNITED KINGDOM</v>
          </cell>
        </row>
        <row r="13803">
          <cell r="L13803"/>
          <cell r="S13803">
            <v>1617</v>
          </cell>
          <cell r="X13803" t="str">
            <v>GWP - share RI</v>
          </cell>
          <cell r="Y13803" t="str">
            <v>UNITED KINGDOM</v>
          </cell>
        </row>
        <row r="13804">
          <cell r="L13804"/>
          <cell r="S13804">
            <v>44426.59</v>
          </cell>
          <cell r="X13804" t="str">
            <v>GWP - share RI</v>
          </cell>
          <cell r="Y13804" t="str">
            <v>UNITED KINGDOM</v>
          </cell>
        </row>
        <row r="13805">
          <cell r="L13805"/>
          <cell r="S13805">
            <v>9464.32</v>
          </cell>
          <cell r="X13805" t="str">
            <v>GWP - share RI</v>
          </cell>
          <cell r="Y13805" t="str">
            <v>UNITED KINGDOM</v>
          </cell>
        </row>
        <row r="13806">
          <cell r="L13806"/>
          <cell r="S13806">
            <v>29672.84</v>
          </cell>
          <cell r="X13806" t="str">
            <v>GWP - share RI</v>
          </cell>
          <cell r="Y13806" t="str">
            <v>UNITED KINGDOM</v>
          </cell>
        </row>
        <row r="13807">
          <cell r="L13807"/>
          <cell r="S13807">
            <v>-23738.42</v>
          </cell>
          <cell r="X13807" t="str">
            <v>GWP - share RI</v>
          </cell>
          <cell r="Y13807" t="str">
            <v>UNITED KINGDOM</v>
          </cell>
        </row>
        <row r="13808">
          <cell r="L13808"/>
          <cell r="S13808">
            <v>6305.28</v>
          </cell>
          <cell r="X13808" t="str">
            <v>GWP - share RI</v>
          </cell>
          <cell r="Y13808" t="str">
            <v>UNITED KINGDOM</v>
          </cell>
        </row>
        <row r="13809">
          <cell r="L13809"/>
          <cell r="S13809">
            <v>-6756.12</v>
          </cell>
          <cell r="X13809" t="str">
            <v>GWP - share RI</v>
          </cell>
          <cell r="Y13809" t="str">
            <v>UNITED KINGDOM</v>
          </cell>
        </row>
        <row r="13810">
          <cell r="L13810"/>
          <cell r="S13810">
            <v>-313.05</v>
          </cell>
          <cell r="X13810" t="str">
            <v>GWP - share RI</v>
          </cell>
          <cell r="Y13810" t="str">
            <v>UNITED KINGDOM</v>
          </cell>
        </row>
        <row r="13811">
          <cell r="L13811"/>
          <cell r="S13811">
            <v>8791.9500000000007</v>
          </cell>
          <cell r="X13811" t="str">
            <v>GWP - share RI</v>
          </cell>
          <cell r="Y13811" t="str">
            <v>UNITED KINGDOM</v>
          </cell>
        </row>
        <row r="13812">
          <cell r="L13812"/>
          <cell r="S13812">
            <v>9020.9</v>
          </cell>
          <cell r="X13812" t="str">
            <v>GWP - share RI</v>
          </cell>
          <cell r="Y13812" t="str">
            <v>UNITED KINGDOM</v>
          </cell>
        </row>
        <row r="13813">
          <cell r="L13813"/>
          <cell r="S13813">
            <v>3644.94</v>
          </cell>
          <cell r="X13813" t="str">
            <v>GWP - share RI</v>
          </cell>
          <cell r="Y13813" t="str">
            <v>UNITED KINGDOM</v>
          </cell>
        </row>
        <row r="13814">
          <cell r="L13814"/>
          <cell r="S13814">
            <v>-3644.94</v>
          </cell>
          <cell r="X13814" t="str">
            <v>GWP - share RI</v>
          </cell>
          <cell r="Y13814" t="str">
            <v>UNITED KINGDOM</v>
          </cell>
        </row>
        <row r="13815">
          <cell r="L13815"/>
          <cell r="S13815">
            <v>-74900.72</v>
          </cell>
          <cell r="X13815" t="str">
            <v>GWP - share RI</v>
          </cell>
          <cell r="Y13815" t="str">
            <v>UNITED KINGDOM</v>
          </cell>
        </row>
        <row r="13816">
          <cell r="L13816"/>
          <cell r="S13816">
            <v>2928.26</v>
          </cell>
          <cell r="X13816" t="str">
            <v>GWP - share RI</v>
          </cell>
          <cell r="Y13816" t="str">
            <v>UNITED KINGDOM</v>
          </cell>
        </row>
        <row r="13817">
          <cell r="L13817"/>
          <cell r="S13817">
            <v>-789.75</v>
          </cell>
          <cell r="X13817" t="str">
            <v>GWP - share RI</v>
          </cell>
          <cell r="Y13817" t="str">
            <v>UNITED KINGDOM</v>
          </cell>
        </row>
        <row r="13818">
          <cell r="L13818"/>
          <cell r="S13818">
            <v>-2928.26</v>
          </cell>
          <cell r="X13818" t="str">
            <v>GWP - share RI</v>
          </cell>
          <cell r="Y13818" t="str">
            <v>UNITED KINGDOM</v>
          </cell>
        </row>
        <row r="13819">
          <cell r="L13819"/>
          <cell r="S13819">
            <v>390</v>
          </cell>
          <cell r="X13819" t="str">
            <v>GWP - share RI</v>
          </cell>
          <cell r="Y13819" t="str">
            <v>UNITED KINGDOM</v>
          </cell>
        </row>
        <row r="13820">
          <cell r="L13820"/>
          <cell r="S13820">
            <v>-44426.59</v>
          </cell>
          <cell r="X13820" t="str">
            <v>GWP - share RI</v>
          </cell>
          <cell r="Y13820" t="str">
            <v>UNITED KINGDOM</v>
          </cell>
        </row>
        <row r="13821">
          <cell r="L13821"/>
          <cell r="S13821">
            <v>-3595.66</v>
          </cell>
          <cell r="X13821" t="str">
            <v>GWP - share RI</v>
          </cell>
          <cell r="Y13821" t="str">
            <v>UNITED KINGDOM</v>
          </cell>
        </row>
        <row r="13822">
          <cell r="L13822"/>
          <cell r="S13822">
            <v>-8070.75</v>
          </cell>
          <cell r="X13822" t="str">
            <v>GWP - share RI</v>
          </cell>
          <cell r="Y13822" t="str">
            <v>UNITED KINGDOM</v>
          </cell>
        </row>
        <row r="13823">
          <cell r="L13823"/>
          <cell r="S13823">
            <v>-5044.22</v>
          </cell>
          <cell r="X13823" t="str">
            <v>GWP - share RI</v>
          </cell>
          <cell r="Y13823" t="str">
            <v>UNITED KINGDOM</v>
          </cell>
        </row>
        <row r="13824">
          <cell r="L13824"/>
          <cell r="S13824">
            <v>5400</v>
          </cell>
          <cell r="X13824" t="str">
            <v>GWP - share RI</v>
          </cell>
          <cell r="Y13824" t="str">
            <v>UNITED KINGDOM</v>
          </cell>
        </row>
        <row r="13825">
          <cell r="L13825"/>
          <cell r="S13825">
            <v>46659.05</v>
          </cell>
          <cell r="X13825" t="str">
            <v>GWP - share RI</v>
          </cell>
          <cell r="Y13825" t="str">
            <v>UNITED KINGDOM</v>
          </cell>
        </row>
        <row r="13826">
          <cell r="L13826"/>
          <cell r="S13826">
            <v>7798.38</v>
          </cell>
          <cell r="X13826" t="str">
            <v>GWP - share RI</v>
          </cell>
          <cell r="Y13826" t="str">
            <v>UNITED KINGDOM</v>
          </cell>
        </row>
        <row r="13827">
          <cell r="L13827"/>
          <cell r="S13827">
            <v>-2381.54</v>
          </cell>
          <cell r="X13827" t="str">
            <v>GWP - share RI</v>
          </cell>
          <cell r="Y13827" t="str">
            <v>UNITED KINGDOM</v>
          </cell>
        </row>
        <row r="13828">
          <cell r="L13828"/>
          <cell r="S13828">
            <v>-46659.05</v>
          </cell>
          <cell r="X13828" t="str">
            <v>GWP - share RI</v>
          </cell>
          <cell r="Y13828" t="str">
            <v>UNITED KINGDOM</v>
          </cell>
        </row>
        <row r="13829">
          <cell r="L13829"/>
          <cell r="S13829">
            <v>5044.22</v>
          </cell>
          <cell r="X13829" t="str">
            <v>GWP - share RI</v>
          </cell>
          <cell r="Y13829" t="str">
            <v>UNITED KINGDOM</v>
          </cell>
        </row>
        <row r="13830">
          <cell r="L13830"/>
          <cell r="S13830">
            <v>-7798.38</v>
          </cell>
          <cell r="X13830" t="str">
            <v>GWP - share RI</v>
          </cell>
          <cell r="Y13830" t="str">
            <v>UNITED KINGDOM</v>
          </cell>
        </row>
        <row r="13831">
          <cell r="L13831"/>
          <cell r="S13831">
            <v>-1765.49</v>
          </cell>
          <cell r="X13831" t="str">
            <v>GWP - share RI</v>
          </cell>
          <cell r="Y13831" t="str">
            <v>UNITED KINGDOM</v>
          </cell>
        </row>
        <row r="13832">
          <cell r="L13832"/>
          <cell r="S13832">
            <v>2381.54</v>
          </cell>
          <cell r="X13832" t="str">
            <v>GWP - share RI</v>
          </cell>
          <cell r="Y13832" t="str">
            <v>UNITED KINGDOM</v>
          </cell>
        </row>
        <row r="13833">
          <cell r="L13833"/>
          <cell r="S13833">
            <v>1765.49</v>
          </cell>
          <cell r="X13833" t="str">
            <v>GWP - share RI</v>
          </cell>
          <cell r="Y13833" t="str">
            <v>UNITED KINGDOM</v>
          </cell>
        </row>
        <row r="13834">
          <cell r="L13834"/>
          <cell r="S13834">
            <v>-4222.92</v>
          </cell>
          <cell r="X13834" t="str">
            <v>GWP - share RI</v>
          </cell>
          <cell r="Y13834" t="str">
            <v>UNITED KINGDOM</v>
          </cell>
        </row>
        <row r="13835">
          <cell r="L13835"/>
          <cell r="S13835">
            <v>8070.75</v>
          </cell>
          <cell r="X13835" t="str">
            <v>GWP - share RI</v>
          </cell>
          <cell r="Y13835" t="str">
            <v>UNITED KINGDOM</v>
          </cell>
        </row>
        <row r="13836">
          <cell r="L13836"/>
          <cell r="S13836">
            <v>-23329.53</v>
          </cell>
          <cell r="X13836" t="str">
            <v>GWP - share RI</v>
          </cell>
          <cell r="Y13836" t="str">
            <v>UNITED KINGDOM</v>
          </cell>
        </row>
        <row r="13837">
          <cell r="L13837"/>
          <cell r="S13837">
            <v>-13114.98</v>
          </cell>
          <cell r="X13837" t="str">
            <v>GWP - share RI</v>
          </cell>
          <cell r="Y13837" t="str">
            <v>UNITED KINGDOM</v>
          </cell>
        </row>
        <row r="13838">
          <cell r="L13838"/>
          <cell r="S13838">
            <v>13114.98</v>
          </cell>
          <cell r="X13838" t="str">
            <v>GWP - share RI</v>
          </cell>
          <cell r="Y13838" t="str">
            <v>UNITED KINGDOM</v>
          </cell>
        </row>
        <row r="13839">
          <cell r="L13839"/>
          <cell r="S13839">
            <v>18663.62</v>
          </cell>
          <cell r="X13839" t="str">
            <v>GWP - share RI</v>
          </cell>
          <cell r="Y13839" t="str">
            <v>UNITED KINGDOM</v>
          </cell>
        </row>
        <row r="13840">
          <cell r="L13840"/>
          <cell r="S13840">
            <v>-18663.62</v>
          </cell>
          <cell r="X13840" t="str">
            <v>GWP - share RI</v>
          </cell>
          <cell r="Y13840" t="str">
            <v>UNITED KINGDOM</v>
          </cell>
        </row>
        <row r="13841">
          <cell r="L13841"/>
          <cell r="S13841">
            <v>23329.53</v>
          </cell>
          <cell r="X13841" t="str">
            <v>GWP - share RI</v>
          </cell>
          <cell r="Y13841" t="str">
            <v>UNITED KINGDOM</v>
          </cell>
        </row>
        <row r="13842">
          <cell r="L13842"/>
          <cell r="S13842">
            <v>3595.66</v>
          </cell>
          <cell r="X13842" t="str">
            <v>GWP - share RI</v>
          </cell>
          <cell r="Y13842" t="str">
            <v>UNITED KINGDOM</v>
          </cell>
        </row>
        <row r="13843">
          <cell r="L13843"/>
          <cell r="S13843">
            <v>-4336.41</v>
          </cell>
          <cell r="X13843" t="str">
            <v>GWP - share RI</v>
          </cell>
          <cell r="Y13843" t="str">
            <v>UNITED KINGDOM</v>
          </cell>
        </row>
        <row r="13844">
          <cell r="L13844"/>
          <cell r="S13844">
            <v>-1063.92</v>
          </cell>
          <cell r="X13844" t="str">
            <v>GWP - share RI</v>
          </cell>
          <cell r="Y13844" t="str">
            <v>UNITED KINGDOM</v>
          </cell>
        </row>
        <row r="13845">
          <cell r="L13845"/>
          <cell r="S13845">
            <v>1063.92</v>
          </cell>
          <cell r="X13845" t="str">
            <v>GWP - share RI</v>
          </cell>
          <cell r="Y13845" t="str">
            <v>UNITED KINGDOM</v>
          </cell>
        </row>
        <row r="13846">
          <cell r="L13846"/>
          <cell r="S13846">
            <v>4336.41</v>
          </cell>
          <cell r="X13846" t="str">
            <v>GWP - share RI</v>
          </cell>
          <cell r="Y13846" t="str">
            <v>UNITED KINGDOM</v>
          </cell>
        </row>
        <row r="13847">
          <cell r="L13847"/>
          <cell r="S13847">
            <v>-192124.11</v>
          </cell>
          <cell r="X13847" t="str">
            <v>GWP - share RI</v>
          </cell>
          <cell r="Y13847" t="str">
            <v>UNITED KINGDOM</v>
          </cell>
        </row>
        <row r="13848">
          <cell r="L13848"/>
          <cell r="S13848">
            <v>189358.63</v>
          </cell>
          <cell r="X13848" t="str">
            <v>GWP - share RI</v>
          </cell>
          <cell r="Y13848" t="str">
            <v>UNITED KINGDOM</v>
          </cell>
        </row>
        <row r="13849">
          <cell r="L13849"/>
          <cell r="S13849">
            <v>-62025.33</v>
          </cell>
          <cell r="X13849" t="str">
            <v>GWP - share RI</v>
          </cell>
          <cell r="Y13849" t="str">
            <v>UNITED KINGDOM</v>
          </cell>
        </row>
        <row r="13850">
          <cell r="L13850"/>
          <cell r="S13850">
            <v>-62025.33</v>
          </cell>
          <cell r="X13850" t="str">
            <v>GWP - share RI</v>
          </cell>
          <cell r="Y13850" t="str">
            <v>UNITED KINGDOM</v>
          </cell>
        </row>
        <row r="13851">
          <cell r="L13851"/>
          <cell r="S13851">
            <v>62025.33</v>
          </cell>
          <cell r="X13851" t="str">
            <v>GWP - share RI</v>
          </cell>
          <cell r="Y13851" t="str">
            <v>UNITED KINGDOM</v>
          </cell>
        </row>
        <row r="13852">
          <cell r="L13852"/>
          <cell r="S13852">
            <v>192124.11</v>
          </cell>
          <cell r="X13852" t="str">
            <v>GWP - share RI</v>
          </cell>
          <cell r="Y13852" t="str">
            <v>UNITED KINGDOM</v>
          </cell>
        </row>
        <row r="13853">
          <cell r="L13853"/>
          <cell r="S13853">
            <v>151486.94</v>
          </cell>
          <cell r="X13853" t="str">
            <v>GWP - share RI</v>
          </cell>
          <cell r="Y13853" t="str">
            <v>UNITED KINGDOM</v>
          </cell>
        </row>
        <row r="13854">
          <cell r="L13854"/>
          <cell r="S13854">
            <v>-151486.94</v>
          </cell>
          <cell r="X13854" t="str">
            <v>GWP - share RI</v>
          </cell>
          <cell r="Y13854" t="str">
            <v>UNITED KINGDOM</v>
          </cell>
        </row>
        <row r="13855">
          <cell r="L13855"/>
          <cell r="S13855">
            <v>-192124.11</v>
          </cell>
          <cell r="X13855" t="str">
            <v>GWP - share RI</v>
          </cell>
          <cell r="Y13855" t="str">
            <v>UNITED KINGDOM</v>
          </cell>
        </row>
        <row r="13856">
          <cell r="L13856"/>
          <cell r="S13856">
            <v>-151486.94</v>
          </cell>
          <cell r="X13856" t="str">
            <v>GWP - share RI</v>
          </cell>
          <cell r="Y13856" t="str">
            <v>UNITED KINGDOM</v>
          </cell>
        </row>
        <row r="13857">
          <cell r="L13857"/>
          <cell r="S13857">
            <v>240155.42</v>
          </cell>
          <cell r="X13857" t="str">
            <v>GWP - share RI</v>
          </cell>
          <cell r="Y13857" t="str">
            <v>UNITED KINGDOM</v>
          </cell>
        </row>
        <row r="13858">
          <cell r="L13858"/>
          <cell r="S13858">
            <v>192124.11</v>
          </cell>
          <cell r="X13858" t="str">
            <v>GWP - share RI</v>
          </cell>
          <cell r="Y13858" t="str">
            <v>UNITED KINGDOM</v>
          </cell>
        </row>
        <row r="13859">
          <cell r="L13859"/>
          <cell r="S13859">
            <v>62025.33</v>
          </cell>
          <cell r="X13859" t="str">
            <v>GWP - share RI</v>
          </cell>
          <cell r="Y13859" t="str">
            <v>UNITED KINGDOM</v>
          </cell>
        </row>
        <row r="13860">
          <cell r="L13860"/>
          <cell r="S13860">
            <v>151486.94</v>
          </cell>
          <cell r="X13860" t="str">
            <v>GWP - share RI</v>
          </cell>
          <cell r="Y13860" t="str">
            <v>UNITED KINGDOM</v>
          </cell>
        </row>
        <row r="13861">
          <cell r="L13861"/>
          <cell r="S13861">
            <v>77531.94</v>
          </cell>
          <cell r="X13861" t="str">
            <v>GWP - share RI</v>
          </cell>
          <cell r="Y13861" t="str">
            <v>UNITED KINGDOM</v>
          </cell>
        </row>
        <row r="13862">
          <cell r="L13862"/>
          <cell r="S13862">
            <v>-401041.67</v>
          </cell>
          <cell r="X13862" t="str">
            <v>Variation UPR - share RI</v>
          </cell>
          <cell r="Y13862" t="str">
            <v>GERMANY</v>
          </cell>
        </row>
        <row r="13863">
          <cell r="L13863"/>
          <cell r="S13863">
            <v>-429687.5</v>
          </cell>
          <cell r="X13863" t="str">
            <v>Variation UPR - share RI</v>
          </cell>
          <cell r="Y13863" t="str">
            <v>GERMANY</v>
          </cell>
        </row>
        <row r="13864">
          <cell r="L13864"/>
          <cell r="S13864">
            <v>-6980477.2999999998</v>
          </cell>
          <cell r="X13864" t="str">
            <v>Variation UPR - share RI</v>
          </cell>
          <cell r="Y13864" t="str">
            <v>UNITED KINGDOM</v>
          </cell>
        </row>
        <row r="13865">
          <cell r="L13865"/>
          <cell r="S13865">
            <v>-1002314.16</v>
          </cell>
          <cell r="X13865" t="str">
            <v>Variation UPR - share RI</v>
          </cell>
          <cell r="Y13865" t="str">
            <v>UNITED KINGDOM</v>
          </cell>
        </row>
        <row r="13866">
          <cell r="L13866"/>
          <cell r="S13866">
            <v>42968.75</v>
          </cell>
          <cell r="X13866" t="str">
            <v>Variation UPR - share RI</v>
          </cell>
          <cell r="Y13866" t="str">
            <v>GERMANY</v>
          </cell>
        </row>
        <row r="13867">
          <cell r="L13867"/>
          <cell r="S13867">
            <v>40104.17</v>
          </cell>
          <cell r="X13867" t="str">
            <v>Variation UPR - share RI</v>
          </cell>
          <cell r="Y13867" t="str">
            <v>GERMANY</v>
          </cell>
        </row>
        <row r="13868">
          <cell r="L13868"/>
          <cell r="S13868">
            <v>-19529.12</v>
          </cell>
          <cell r="X13868" t="str">
            <v>Variation UPR - share RI</v>
          </cell>
          <cell r="Y13868" t="str">
            <v>UNITED KINGDOM</v>
          </cell>
        </row>
        <row r="13869">
          <cell r="L13869"/>
          <cell r="S13869">
            <v>386718.75</v>
          </cell>
          <cell r="X13869" t="str">
            <v>Variation UPR - share RI</v>
          </cell>
          <cell r="Y13869" t="str">
            <v>GERMANY</v>
          </cell>
        </row>
        <row r="13870">
          <cell r="L13870"/>
          <cell r="S13870">
            <v>266282.86</v>
          </cell>
          <cell r="X13870" t="str">
            <v>Variation UPR - share RI</v>
          </cell>
          <cell r="Y13870" t="str">
            <v>UNITED KINGDOM</v>
          </cell>
        </row>
        <row r="13871">
          <cell r="L13871"/>
          <cell r="S13871">
            <v>72336.44</v>
          </cell>
          <cell r="X13871" t="str">
            <v>Variation UPR - share RI</v>
          </cell>
          <cell r="Y13871" t="str">
            <v>UNITED KINGDOM</v>
          </cell>
        </row>
        <row r="13872">
          <cell r="L13872"/>
          <cell r="S13872">
            <v>-19885.97</v>
          </cell>
          <cell r="X13872" t="str">
            <v>Variation UPR - share RI</v>
          </cell>
          <cell r="Y13872" t="str">
            <v>UNITED KINGDOM</v>
          </cell>
        </row>
        <row r="13873">
          <cell r="L13873"/>
          <cell r="S13873">
            <v>107425.69</v>
          </cell>
          <cell r="X13873" t="str">
            <v>Variation UPR - share RI</v>
          </cell>
          <cell r="Y13873" t="str">
            <v>UNITED KINGDOM</v>
          </cell>
        </row>
        <row r="13874">
          <cell r="L13874"/>
          <cell r="S13874">
            <v>25515</v>
          </cell>
          <cell r="X13874" t="str">
            <v>Variation UPR - share RI</v>
          </cell>
          <cell r="Y13874" t="str">
            <v>UNITED KINGDOM</v>
          </cell>
        </row>
        <row r="13875">
          <cell r="L13875"/>
          <cell r="S13875">
            <v>34437</v>
          </cell>
          <cell r="X13875" t="str">
            <v>Variation UPR - share RI</v>
          </cell>
          <cell r="Y13875" t="str">
            <v>UNITED KINGDOM</v>
          </cell>
        </row>
        <row r="13876">
          <cell r="L13876"/>
          <cell r="S13876">
            <v>4404.38</v>
          </cell>
          <cell r="X13876" t="str">
            <v>Variation UPR - share RI</v>
          </cell>
          <cell r="Y13876" t="str">
            <v>UNITED KINGDOM</v>
          </cell>
        </row>
        <row r="13877">
          <cell r="L13877"/>
          <cell r="S13877">
            <v>-404734.69</v>
          </cell>
          <cell r="X13877" t="str">
            <v>Variation UPR - share RI</v>
          </cell>
          <cell r="Y13877" t="str">
            <v>GERMANY</v>
          </cell>
        </row>
        <row r="13878">
          <cell r="L13878"/>
          <cell r="S13878">
            <v>360937.5</v>
          </cell>
          <cell r="X13878" t="str">
            <v>Variation UPR - share RI</v>
          </cell>
          <cell r="Y13878" t="str">
            <v>GERMANY</v>
          </cell>
        </row>
        <row r="13879">
          <cell r="L13879"/>
          <cell r="S13879">
            <v>-5996.58</v>
          </cell>
          <cell r="X13879" t="str">
            <v>Variation UPR - share RI</v>
          </cell>
          <cell r="Y13879" t="str">
            <v>UNITED KINGDOM</v>
          </cell>
        </row>
        <row r="13880">
          <cell r="L13880"/>
          <cell r="S13880">
            <v>-377752.37</v>
          </cell>
          <cell r="X13880" t="str">
            <v>Variation UPR - share RI</v>
          </cell>
          <cell r="Y13880" t="str">
            <v>GERMANY</v>
          </cell>
        </row>
        <row r="13881">
          <cell r="L13881"/>
          <cell r="S13881">
            <v>73310.16</v>
          </cell>
          <cell r="X13881" t="str">
            <v>Variation UPR - share RI</v>
          </cell>
          <cell r="Y13881" t="str">
            <v>UNITED KINGDOM</v>
          </cell>
        </row>
        <row r="13882">
          <cell r="L13882"/>
          <cell r="S13882">
            <v>50949.34</v>
          </cell>
          <cell r="X13882" t="str">
            <v>Variation UPR - share RI</v>
          </cell>
          <cell r="Y13882" t="str">
            <v>GERMANY</v>
          </cell>
        </row>
        <row r="13883">
          <cell r="L13883"/>
          <cell r="S13883">
            <v>251970.98</v>
          </cell>
          <cell r="X13883" t="str">
            <v>Variation UPR - share RI</v>
          </cell>
          <cell r="Y13883" t="str">
            <v>UNITED KINGDOM</v>
          </cell>
        </row>
        <row r="13884">
          <cell r="L13884"/>
          <cell r="S13884">
            <v>34479.629999999997</v>
          </cell>
          <cell r="X13884" t="str">
            <v>Variation UPR - share RI</v>
          </cell>
          <cell r="Y13884" t="str">
            <v>UNITED KINGDOM</v>
          </cell>
        </row>
        <row r="13885">
          <cell r="L13885"/>
          <cell r="S13885">
            <v>47552.7</v>
          </cell>
          <cell r="X13885" t="str">
            <v>Variation UPR - share RI</v>
          </cell>
          <cell r="Y13885" t="str">
            <v>GERMANY</v>
          </cell>
        </row>
        <row r="13886">
          <cell r="L13886"/>
          <cell r="S13886">
            <v>1820.59</v>
          </cell>
          <cell r="X13886" t="str">
            <v>Variation UPR - share RI</v>
          </cell>
          <cell r="Y13886" t="str">
            <v>UNITED KINGDOM</v>
          </cell>
        </row>
        <row r="13887">
          <cell r="L13887"/>
          <cell r="S13887">
            <v>1962.89</v>
          </cell>
          <cell r="X13887" t="str">
            <v>Variation UPR - share RI</v>
          </cell>
          <cell r="Y13887" t="str">
            <v>UNITED KINGDOM</v>
          </cell>
        </row>
        <row r="13888">
          <cell r="L13888"/>
          <cell r="S13888">
            <v>102531.24</v>
          </cell>
          <cell r="X13888" t="str">
            <v>Variation UPR - share RI</v>
          </cell>
          <cell r="Y13888" t="str">
            <v>UNITED KINGDOM</v>
          </cell>
        </row>
        <row r="13889">
          <cell r="L13889"/>
          <cell r="S13889">
            <v>50226.48</v>
          </cell>
          <cell r="X13889" t="str">
            <v>Variation UPR - share RI</v>
          </cell>
          <cell r="Y13889" t="str">
            <v>GERMANY</v>
          </cell>
        </row>
        <row r="13890">
          <cell r="L13890"/>
          <cell r="S13890">
            <v>-1206.1199999999999</v>
          </cell>
          <cell r="X13890" t="str">
            <v>Variation UPR - share RI</v>
          </cell>
          <cell r="Y13890" t="str">
            <v>UNITED KINGDOM</v>
          </cell>
        </row>
        <row r="13891">
          <cell r="L13891"/>
          <cell r="S13891">
            <v>253969.41</v>
          </cell>
          <cell r="X13891" t="str">
            <v>Variation UPR - share RI</v>
          </cell>
          <cell r="Y13891" t="str">
            <v>UNITED KINGDOM</v>
          </cell>
        </row>
        <row r="13892">
          <cell r="L13892"/>
          <cell r="S13892">
            <v>46878.05</v>
          </cell>
          <cell r="X13892" t="str">
            <v>Variation UPR - share RI</v>
          </cell>
          <cell r="Y13892" t="str">
            <v>GERMANY</v>
          </cell>
        </row>
        <row r="13893">
          <cell r="L13893"/>
          <cell r="S13893">
            <v>73267.520000000004</v>
          </cell>
          <cell r="X13893" t="str">
            <v>Variation UPR - share RI</v>
          </cell>
          <cell r="Y13893" t="str">
            <v>UNITED KINGDOM</v>
          </cell>
        </row>
        <row r="13894">
          <cell r="L13894"/>
          <cell r="S13894">
            <v>1962.89</v>
          </cell>
          <cell r="X13894" t="str">
            <v>Variation UPR - share RI</v>
          </cell>
          <cell r="Y13894" t="str">
            <v>UNITED KINGDOM</v>
          </cell>
        </row>
        <row r="13895">
          <cell r="L13895"/>
          <cell r="S13895">
            <v>1794.76</v>
          </cell>
          <cell r="X13895" t="str">
            <v>Variation UPR - share RI</v>
          </cell>
          <cell r="Y13895" t="str">
            <v>UNITED KINGDOM</v>
          </cell>
        </row>
        <row r="13896">
          <cell r="L13896"/>
          <cell r="S13896">
            <v>3681.27</v>
          </cell>
          <cell r="X13896" t="str">
            <v>Variation UPR - share RI</v>
          </cell>
          <cell r="Y13896" t="str">
            <v>UNITED KINGDOM</v>
          </cell>
        </row>
        <row r="13897">
          <cell r="L13897"/>
          <cell r="S13897">
            <v>-6380.78</v>
          </cell>
          <cell r="X13897" t="str">
            <v>Variation UPR - share RI</v>
          </cell>
          <cell r="Y13897" t="str">
            <v>UNITED KINGDOM</v>
          </cell>
        </row>
        <row r="13898">
          <cell r="L13898"/>
          <cell r="S13898">
            <v>49680.6</v>
          </cell>
          <cell r="X13898" t="str">
            <v>Variation UPR - share RI</v>
          </cell>
          <cell r="Y13898" t="str">
            <v>GERMANY</v>
          </cell>
        </row>
        <row r="13899">
          <cell r="L13899"/>
          <cell r="S13899">
            <v>-16949.39</v>
          </cell>
          <cell r="X13899" t="str">
            <v>Variation UPR - share RI</v>
          </cell>
          <cell r="Y13899" t="str">
            <v>UNITED KINGDOM</v>
          </cell>
        </row>
        <row r="13900">
          <cell r="L13900"/>
          <cell r="S13900">
            <v>3190.39</v>
          </cell>
          <cell r="X13900" t="str">
            <v>Variation UPR - share RI</v>
          </cell>
          <cell r="Y13900" t="str">
            <v>UNITED KINGDOM</v>
          </cell>
        </row>
        <row r="13901">
          <cell r="L13901"/>
          <cell r="S13901">
            <v>113212.79</v>
          </cell>
          <cell r="X13901" t="str">
            <v>Variation UPR - share RI</v>
          </cell>
          <cell r="Y13901" t="str">
            <v>UNITED KINGDOM</v>
          </cell>
        </row>
        <row r="13902">
          <cell r="L13902"/>
          <cell r="S13902">
            <v>-299.11</v>
          </cell>
          <cell r="X13902" t="str">
            <v>Variation UPR - share RI</v>
          </cell>
          <cell r="Y13902" t="str">
            <v>UNITED KINGDOM</v>
          </cell>
        </row>
        <row r="13903">
          <cell r="L13903"/>
          <cell r="S13903">
            <v>-1052.74</v>
          </cell>
          <cell r="X13903" t="str">
            <v>Variation UPR - share RI</v>
          </cell>
          <cell r="Y13903" t="str">
            <v>UNITED KINGDOM</v>
          </cell>
        </row>
        <row r="13904">
          <cell r="L13904"/>
          <cell r="S13904">
            <v>46368.56</v>
          </cell>
          <cell r="X13904" t="str">
            <v>Variation UPR - share RI</v>
          </cell>
          <cell r="Y13904" t="str">
            <v>GERMANY</v>
          </cell>
        </row>
        <row r="13905">
          <cell r="L13905"/>
          <cell r="S13905">
            <v>49661.13</v>
          </cell>
          <cell r="X13905" t="str">
            <v>Variation UPR - share RI</v>
          </cell>
          <cell r="Y13905" t="str">
            <v>GERMANY</v>
          </cell>
        </row>
        <row r="13906">
          <cell r="L13906"/>
          <cell r="S13906">
            <v>115328.06</v>
          </cell>
          <cell r="X13906" t="str">
            <v>Variation UPR - share RI</v>
          </cell>
          <cell r="Y13906" t="str">
            <v>UNITED KINGDOM</v>
          </cell>
        </row>
        <row r="13907">
          <cell r="L13907"/>
          <cell r="S13907">
            <v>3476.14</v>
          </cell>
          <cell r="X13907" t="str">
            <v>Variation UPR - share RI</v>
          </cell>
          <cell r="Y13907" t="str">
            <v>UNITED KINGDOM</v>
          </cell>
        </row>
        <row r="13908">
          <cell r="L13908"/>
          <cell r="S13908">
            <v>46350.38</v>
          </cell>
          <cell r="X13908" t="str">
            <v>Variation UPR - share RI</v>
          </cell>
          <cell r="Y13908" t="str">
            <v>GERMANY</v>
          </cell>
        </row>
        <row r="13909">
          <cell r="L13909"/>
          <cell r="S13909">
            <v>372675.16</v>
          </cell>
          <cell r="X13909" t="str">
            <v>Variation UPR - share RI</v>
          </cell>
          <cell r="Y13909" t="str">
            <v>UNITED KINGDOM</v>
          </cell>
        </row>
        <row r="13910">
          <cell r="L13910"/>
          <cell r="S13910">
            <v>2278.17</v>
          </cell>
          <cell r="X13910" t="str">
            <v>Variation UPR - share RI</v>
          </cell>
          <cell r="Y13910" t="str">
            <v>UNITED KINGDOM</v>
          </cell>
        </row>
        <row r="13911">
          <cell r="L13911"/>
          <cell r="S13911">
            <v>286687.2</v>
          </cell>
          <cell r="X13911" t="str">
            <v>Variation UPR - share RI</v>
          </cell>
        </row>
        <row r="13912">
          <cell r="L13912"/>
          <cell r="S13912">
            <v>369192.91</v>
          </cell>
          <cell r="X13912" t="str">
            <v>Variation UPR - share RI</v>
          </cell>
          <cell r="Y13912" t="str">
            <v>UNITED KINGDOM</v>
          </cell>
        </row>
        <row r="13913">
          <cell r="L13913"/>
          <cell r="S13913">
            <v>3443.66</v>
          </cell>
          <cell r="X13913" t="str">
            <v>Variation UPR - share RI</v>
          </cell>
          <cell r="Y13913" t="str">
            <v>UNITED KINGDOM</v>
          </cell>
        </row>
        <row r="13914">
          <cell r="L13914"/>
          <cell r="S13914">
            <v>49197.1</v>
          </cell>
          <cell r="X13914" t="str">
            <v>Variation UPR - share RI</v>
          </cell>
          <cell r="Y13914" t="str">
            <v>GERMANY</v>
          </cell>
        </row>
        <row r="13915">
          <cell r="L13915"/>
          <cell r="S13915">
            <v>2278.17</v>
          </cell>
          <cell r="X13915" t="str">
            <v>Variation UPR - share RI</v>
          </cell>
          <cell r="Y13915" t="str">
            <v>UNITED KINGDOM</v>
          </cell>
        </row>
        <row r="13916">
          <cell r="L13916"/>
          <cell r="S13916">
            <v>45917.3</v>
          </cell>
          <cell r="X13916" t="str">
            <v>Variation UPR - share RI</v>
          </cell>
          <cell r="Y13916" t="str">
            <v>GERMANY</v>
          </cell>
        </row>
        <row r="13917">
          <cell r="L13917"/>
          <cell r="S13917">
            <v>114994.65</v>
          </cell>
          <cell r="X13917" t="str">
            <v>Variation UPR - share RI</v>
          </cell>
          <cell r="Y13917" t="str">
            <v>UNITED KINGDOM</v>
          </cell>
        </row>
        <row r="13918">
          <cell r="L13918"/>
          <cell r="S13918">
            <v>-286687.2</v>
          </cell>
          <cell r="X13918" t="str">
            <v>Variation UPR - share RI</v>
          </cell>
        </row>
        <row r="13919">
          <cell r="L13919"/>
          <cell r="S13919">
            <v>334891.37</v>
          </cell>
          <cell r="X13919" t="str">
            <v>Variation UPR - share RI</v>
          </cell>
        </row>
        <row r="13920">
          <cell r="L13920"/>
          <cell r="S13920">
            <v>2278.17</v>
          </cell>
          <cell r="X13920" t="str">
            <v>Variation UPR - share RI</v>
          </cell>
          <cell r="Y13920" t="str">
            <v>UNITED KINGDOM</v>
          </cell>
        </row>
        <row r="13921">
          <cell r="L13921"/>
          <cell r="S13921">
            <v>3411.63</v>
          </cell>
          <cell r="X13921" t="str">
            <v>Variation UPR - share RI</v>
          </cell>
          <cell r="Y13921" t="str">
            <v>UNITED KINGDOM</v>
          </cell>
        </row>
        <row r="13922">
          <cell r="L13922"/>
          <cell r="S13922">
            <v>45490.21</v>
          </cell>
          <cell r="X13922" t="str">
            <v>Variation UPR - share RI</v>
          </cell>
          <cell r="Y13922" t="str">
            <v>GERMANY</v>
          </cell>
        </row>
        <row r="13923">
          <cell r="L13923"/>
          <cell r="S13923">
            <v>359289.78</v>
          </cell>
          <cell r="X13923" t="str">
            <v>Variation UPR - share RI</v>
          </cell>
          <cell r="Y13923" t="str">
            <v>UNITED KINGDOM</v>
          </cell>
        </row>
        <row r="13924">
          <cell r="L13924"/>
          <cell r="S13924">
            <v>48739.5</v>
          </cell>
          <cell r="X13924" t="str">
            <v>Variation UPR - share RI</v>
          </cell>
          <cell r="Y13924" t="str">
            <v>GERMANY</v>
          </cell>
        </row>
        <row r="13925">
          <cell r="L13925"/>
          <cell r="S13925">
            <v>114994.65</v>
          </cell>
          <cell r="X13925" t="str">
            <v>Variation UPR - share RI</v>
          </cell>
          <cell r="Y13925" t="str">
            <v>UNITED KINGDOM</v>
          </cell>
        </row>
        <row r="13926">
          <cell r="L13926"/>
          <cell r="S13926">
            <v>-334891.37</v>
          </cell>
          <cell r="X13926" t="str">
            <v>Variation UPR - share RI</v>
          </cell>
        </row>
        <row r="13927">
          <cell r="L13927"/>
          <cell r="S13927">
            <v>114994.65</v>
          </cell>
          <cell r="X13927" t="str">
            <v>Variation UPR - share RI</v>
          </cell>
          <cell r="Y13927" t="str">
            <v>UNITED KINGDOM</v>
          </cell>
        </row>
        <row r="13928">
          <cell r="L13928"/>
          <cell r="S13928">
            <v>368716.93</v>
          </cell>
          <cell r="X13928" t="str">
            <v>Variation UPR - share RI</v>
          </cell>
          <cell r="Y13928" t="str">
            <v>UNITED KINGDOM</v>
          </cell>
        </row>
        <row r="13929">
          <cell r="L13929"/>
          <cell r="S13929">
            <v>300687.34999999998</v>
          </cell>
          <cell r="X13929" t="str">
            <v>Variation UPR - share RI</v>
          </cell>
        </row>
        <row r="13930">
          <cell r="L13930"/>
          <cell r="S13930">
            <v>3436.57</v>
          </cell>
          <cell r="X13930" t="str">
            <v>Variation UPR - share RI</v>
          </cell>
          <cell r="Y13930" t="str">
            <v>UNITED KINGDOM</v>
          </cell>
        </row>
        <row r="13931">
          <cell r="L13931"/>
          <cell r="S13931">
            <v>45822.86</v>
          </cell>
          <cell r="X13931" t="str">
            <v>Variation UPR - share RI</v>
          </cell>
          <cell r="Y13931" t="str">
            <v>GERMANY</v>
          </cell>
        </row>
        <row r="13932">
          <cell r="L13932"/>
          <cell r="S13932">
            <v>49095.92</v>
          </cell>
          <cell r="X13932" t="str">
            <v>Variation UPR - share RI</v>
          </cell>
          <cell r="Y13932" t="str">
            <v>GERMANY</v>
          </cell>
        </row>
        <row r="13933">
          <cell r="L13933"/>
          <cell r="S13933">
            <v>2278.17</v>
          </cell>
          <cell r="X13933" t="str">
            <v>Variation UPR - share RI</v>
          </cell>
          <cell r="Y13933" t="str">
            <v>UNITED KINGDOM</v>
          </cell>
        </row>
        <row r="13934">
          <cell r="L13934"/>
          <cell r="S13934">
            <v>-300687.34999999998</v>
          </cell>
          <cell r="X13934" t="str">
            <v>Variation UPR - share RI</v>
          </cell>
        </row>
        <row r="13935">
          <cell r="L13935"/>
          <cell r="S13935">
            <v>-1868829.67</v>
          </cell>
          <cell r="X13935" t="str">
            <v>Variation UPR - share RI</v>
          </cell>
          <cell r="Y13935" t="str">
            <v>UNITED KINGDOM</v>
          </cell>
        </row>
        <row r="13936">
          <cell r="L13936"/>
          <cell r="S13936">
            <v>114994.65</v>
          </cell>
          <cell r="X13936" t="str">
            <v>Variation UPR - share RI</v>
          </cell>
          <cell r="Y13936" t="str">
            <v>UNITED KINGDOM</v>
          </cell>
        </row>
        <row r="13937">
          <cell r="L13937"/>
          <cell r="S13937">
            <v>288040.33</v>
          </cell>
          <cell r="X13937" t="str">
            <v>Variation UPR - share RI</v>
          </cell>
        </row>
        <row r="13938">
          <cell r="L13938"/>
          <cell r="S13938">
            <v>2278.17</v>
          </cell>
          <cell r="X13938" t="str">
            <v>Variation UPR - share RI</v>
          </cell>
          <cell r="Y13938" t="str">
            <v>UNITED KINGDOM</v>
          </cell>
        </row>
        <row r="13939">
          <cell r="L13939"/>
          <cell r="S13939">
            <v>1530799.02</v>
          </cell>
          <cell r="X13939" t="str">
            <v>Variation UPR - share RI</v>
          </cell>
          <cell r="Y13939" t="str">
            <v>UNITED KINGDOM</v>
          </cell>
        </row>
        <row r="13940">
          <cell r="L13940"/>
          <cell r="S13940">
            <v>45959.4</v>
          </cell>
          <cell r="X13940" t="str">
            <v>Variation UPR - share RI</v>
          </cell>
          <cell r="Y13940" t="str">
            <v>GERMANY</v>
          </cell>
        </row>
        <row r="13941">
          <cell r="L13941"/>
          <cell r="S13941">
            <v>49242.21</v>
          </cell>
          <cell r="X13941" t="str">
            <v>Variation UPR - share RI</v>
          </cell>
          <cell r="Y13941" t="str">
            <v>GERMANY</v>
          </cell>
        </row>
        <row r="13942">
          <cell r="L13942"/>
          <cell r="S13942">
            <v>3446.81</v>
          </cell>
          <cell r="X13942" t="str">
            <v>Variation UPR - share RI</v>
          </cell>
          <cell r="Y13942" t="str">
            <v>UNITED KINGDOM</v>
          </cell>
        </row>
        <row r="13943">
          <cell r="L13943"/>
          <cell r="S13943">
            <v>369815.56</v>
          </cell>
          <cell r="X13943" t="str">
            <v>Variation UPR - share RI</v>
          </cell>
          <cell r="Y13943" t="str">
            <v>UNITED KINGDOM</v>
          </cell>
        </row>
        <row r="13944">
          <cell r="L13944"/>
          <cell r="S13944">
            <v>-1915.47</v>
          </cell>
          <cell r="X13944" t="str">
            <v>Other Income</v>
          </cell>
        </row>
        <row r="13945">
          <cell r="L13945"/>
          <cell r="S13945">
            <v>-639.84</v>
          </cell>
          <cell r="X13945" t="str">
            <v>Other Income</v>
          </cell>
        </row>
        <row r="13946">
          <cell r="L13946"/>
          <cell r="S13946">
            <v>-627.08000000000004</v>
          </cell>
          <cell r="X13946" t="str">
            <v>Other Income</v>
          </cell>
        </row>
        <row r="13947">
          <cell r="L13947"/>
          <cell r="S13947">
            <v>-639.28</v>
          </cell>
          <cell r="X13947" t="str">
            <v>Other Income</v>
          </cell>
        </row>
        <row r="13948">
          <cell r="L13948"/>
          <cell r="S13948">
            <v>-642.57000000000005</v>
          </cell>
          <cell r="X13948" t="str">
            <v>Other Income</v>
          </cell>
        </row>
        <row r="13949">
          <cell r="L13949"/>
          <cell r="S13949">
            <v>-640.75</v>
          </cell>
          <cell r="X13949" t="str">
            <v>Other Income</v>
          </cell>
        </row>
        <row r="13950">
          <cell r="L13950"/>
          <cell r="S13950">
            <v>-641.88</v>
          </cell>
          <cell r="X13950" t="str">
            <v>Other Income</v>
          </cell>
        </row>
        <row r="13951">
          <cell r="L13951"/>
          <cell r="S13951">
            <v>-642.98</v>
          </cell>
          <cell r="X13951" t="str">
            <v>Other Income</v>
          </cell>
        </row>
        <row r="13952">
          <cell r="L13952"/>
          <cell r="S13952">
            <v>-1108.73</v>
          </cell>
          <cell r="X13952" t="str">
            <v>Financial income</v>
          </cell>
        </row>
        <row r="13953">
          <cell r="L13953"/>
          <cell r="S13953">
            <v>-11365.4</v>
          </cell>
          <cell r="X13953" t="str">
            <v>Financial income</v>
          </cell>
        </row>
        <row r="13954">
          <cell r="L13954"/>
          <cell r="S13954">
            <v>-19740.37</v>
          </cell>
          <cell r="X13954" t="str">
            <v>Financial income</v>
          </cell>
        </row>
        <row r="13955">
          <cell r="L13955"/>
          <cell r="S13955">
            <v>-220.04</v>
          </cell>
          <cell r="X13955" t="str">
            <v>Financial income</v>
          </cell>
        </row>
        <row r="13956">
          <cell r="L13956"/>
          <cell r="S13956">
            <v>-7604.12</v>
          </cell>
          <cell r="X13956" t="str">
            <v>Financial income</v>
          </cell>
        </row>
        <row r="13957">
          <cell r="L13957"/>
          <cell r="S13957">
            <v>-17.88</v>
          </cell>
          <cell r="X13957" t="str">
            <v>Financial income</v>
          </cell>
        </row>
        <row r="13958">
          <cell r="L13958"/>
          <cell r="S13958">
            <v>-2616.86</v>
          </cell>
          <cell r="X13958" t="str">
            <v>Financial income</v>
          </cell>
        </row>
        <row r="13959">
          <cell r="L13959"/>
          <cell r="S13959">
            <v>-94941.27</v>
          </cell>
          <cell r="X13959" t="str">
            <v>Financial income</v>
          </cell>
        </row>
        <row r="13960">
          <cell r="L13960"/>
          <cell r="S13960">
            <v>-17851.84</v>
          </cell>
          <cell r="X13960" t="str">
            <v>Financial income</v>
          </cell>
        </row>
        <row r="13961">
          <cell r="L13961"/>
          <cell r="S13961">
            <v>2039.39</v>
          </cell>
          <cell r="X13961" t="str">
            <v>Financial income</v>
          </cell>
        </row>
        <row r="13962">
          <cell r="L13962"/>
          <cell r="S13962">
            <v>-6115.87</v>
          </cell>
          <cell r="X13962" t="str">
            <v>Financial income</v>
          </cell>
        </row>
        <row r="13963">
          <cell r="L13963"/>
          <cell r="S13963">
            <v>0.04</v>
          </cell>
          <cell r="X13963" t="str">
            <v>Financial income</v>
          </cell>
        </row>
        <row r="13964">
          <cell r="L13964"/>
          <cell r="S13964">
            <v>-16150.74</v>
          </cell>
          <cell r="X13964" t="str">
            <v>Financial income</v>
          </cell>
        </row>
        <row r="13965">
          <cell r="L13965"/>
          <cell r="S13965">
            <v>36795.699999999997</v>
          </cell>
          <cell r="X13965" t="str">
            <v>Financial income</v>
          </cell>
        </row>
        <row r="13966">
          <cell r="L13966"/>
          <cell r="S13966">
            <v>7640.94</v>
          </cell>
          <cell r="X13966" t="str">
            <v>Financial income</v>
          </cell>
        </row>
        <row r="13967">
          <cell r="L13967"/>
          <cell r="S13967">
            <v>-22266.61</v>
          </cell>
          <cell r="X13967" t="str">
            <v>Financial income</v>
          </cell>
        </row>
        <row r="13968">
          <cell r="L13968"/>
          <cell r="S13968">
            <v>-2563.94</v>
          </cell>
          <cell r="X13968" t="str">
            <v>Financial income</v>
          </cell>
        </row>
        <row r="13969">
          <cell r="L13969"/>
          <cell r="S13969">
            <v>-23179.64</v>
          </cell>
          <cell r="X13969" t="str">
            <v>Financial income</v>
          </cell>
        </row>
        <row r="13970">
          <cell r="L13970"/>
          <cell r="S13970">
            <v>4907.46</v>
          </cell>
          <cell r="X13970" t="str">
            <v>Financial income</v>
          </cell>
        </row>
        <row r="13971">
          <cell r="L13971"/>
          <cell r="S13971">
            <v>583.88</v>
          </cell>
          <cell r="X13971" t="str">
            <v>Financial income</v>
          </cell>
        </row>
        <row r="13972">
          <cell r="L13972"/>
          <cell r="S13972">
            <v>-68273.070000000007</v>
          </cell>
          <cell r="X13972" t="str">
            <v>Financial income</v>
          </cell>
        </row>
        <row r="13973">
          <cell r="L13973"/>
          <cell r="S13973">
            <v>599.36</v>
          </cell>
          <cell r="X13973" t="str">
            <v>Financial income</v>
          </cell>
        </row>
        <row r="13974">
          <cell r="L13974"/>
          <cell r="S13974">
            <v>5998.94</v>
          </cell>
          <cell r="X13974" t="str">
            <v>Financial income</v>
          </cell>
        </row>
        <row r="13975">
          <cell r="L13975"/>
          <cell r="S13975">
            <v>-1</v>
          </cell>
          <cell r="X13975" t="str">
            <v>Financial income</v>
          </cell>
        </row>
        <row r="13976">
          <cell r="L13976"/>
          <cell r="S13976">
            <v>-1</v>
          </cell>
          <cell r="X13976" t="str">
            <v>Financial income</v>
          </cell>
        </row>
        <row r="13977">
          <cell r="L13977"/>
          <cell r="S13977">
            <v>-1.06</v>
          </cell>
          <cell r="X13977" t="str">
            <v>Financial income</v>
          </cell>
        </row>
        <row r="13978">
          <cell r="L13978"/>
          <cell r="S13978">
            <v>-7.98</v>
          </cell>
          <cell r="X13978" t="str">
            <v>Financial income</v>
          </cell>
        </row>
        <row r="13979">
          <cell r="L13979"/>
          <cell r="S13979">
            <v>-0.96</v>
          </cell>
          <cell r="X13979" t="str">
            <v>Financial income</v>
          </cell>
        </row>
        <row r="13980">
          <cell r="L13980" t="str">
            <v>Non-proportional</v>
          </cell>
          <cell r="S13980">
            <v>0.02</v>
          </cell>
          <cell r="X13980" t="str">
            <v>Financial income</v>
          </cell>
          <cell r="Y13980" t="str">
            <v>CZECH REPUBLIC</v>
          </cell>
        </row>
        <row r="13981">
          <cell r="L13981" t="str">
            <v>Non-proportional</v>
          </cell>
          <cell r="S13981">
            <v>0.02</v>
          </cell>
          <cell r="X13981" t="str">
            <v>Financial income</v>
          </cell>
          <cell r="Y13981" t="str">
            <v>UNITED KINGDOM</v>
          </cell>
        </row>
        <row r="13982">
          <cell r="L13982"/>
          <cell r="S13982">
            <v>0.02</v>
          </cell>
          <cell r="X13982" t="str">
            <v>Financial income</v>
          </cell>
        </row>
        <row r="13983">
          <cell r="L13983" t="str">
            <v>Non-proportional</v>
          </cell>
          <cell r="S13983">
            <v>-0.18</v>
          </cell>
          <cell r="X13983" t="str">
            <v>Financial income</v>
          </cell>
          <cell r="Y13983" t="str">
            <v>ITALY</v>
          </cell>
        </row>
        <row r="13984">
          <cell r="L13984" t="str">
            <v>Non-proportional</v>
          </cell>
          <cell r="S13984">
            <v>0.02</v>
          </cell>
          <cell r="X13984" t="str">
            <v>Financial income</v>
          </cell>
          <cell r="Y13984" t="str">
            <v>UNITED KINGDOM</v>
          </cell>
        </row>
        <row r="13985">
          <cell r="L13985" t="str">
            <v>Non-proportional</v>
          </cell>
          <cell r="S13985">
            <v>0.01</v>
          </cell>
          <cell r="X13985" t="str">
            <v>Financial income</v>
          </cell>
          <cell r="Y13985" t="str">
            <v>FRANCE</v>
          </cell>
        </row>
        <row r="13986">
          <cell r="L13986" t="str">
            <v>Non-proportional</v>
          </cell>
          <cell r="S13986">
            <v>0</v>
          </cell>
          <cell r="X13986" t="str">
            <v>Financial income</v>
          </cell>
          <cell r="Y13986" t="str">
            <v>DENMARK</v>
          </cell>
        </row>
        <row r="13987">
          <cell r="L13987" t="str">
            <v>Non-proportional</v>
          </cell>
          <cell r="S13987">
            <v>4.2699999999999996</v>
          </cell>
          <cell r="X13987" t="str">
            <v>Financial income</v>
          </cell>
          <cell r="Y13987" t="str">
            <v>DENMARK</v>
          </cell>
        </row>
        <row r="13988">
          <cell r="L13988"/>
          <cell r="S13988">
            <v>-0.96</v>
          </cell>
          <cell r="X13988" t="str">
            <v>Financial income</v>
          </cell>
        </row>
        <row r="13989">
          <cell r="L13989" t="str">
            <v>Non-proportional</v>
          </cell>
          <cell r="S13989">
            <v>0.01</v>
          </cell>
          <cell r="X13989" t="str">
            <v>Financial income</v>
          </cell>
          <cell r="Y13989" t="str">
            <v>UNITED KINGDOM</v>
          </cell>
        </row>
        <row r="13990">
          <cell r="L13990"/>
          <cell r="S13990">
            <v>0.12</v>
          </cell>
          <cell r="X13990" t="str">
            <v>Financial income</v>
          </cell>
        </row>
        <row r="13991">
          <cell r="L13991" t="str">
            <v>Non-proportional</v>
          </cell>
          <cell r="S13991">
            <v>0.01</v>
          </cell>
          <cell r="X13991" t="str">
            <v>Financial income</v>
          </cell>
          <cell r="Y13991" t="str">
            <v>GERMANY</v>
          </cell>
        </row>
        <row r="13992">
          <cell r="L13992" t="str">
            <v>Non-proportional</v>
          </cell>
          <cell r="S13992">
            <v>-43.27</v>
          </cell>
          <cell r="X13992" t="str">
            <v>Financial income</v>
          </cell>
          <cell r="Y13992" t="str">
            <v>GERMANY</v>
          </cell>
        </row>
        <row r="13993">
          <cell r="L13993" t="str">
            <v>Non-proportional</v>
          </cell>
          <cell r="S13993">
            <v>-0.02</v>
          </cell>
          <cell r="X13993" t="str">
            <v>Financial income</v>
          </cell>
          <cell r="Y13993" t="str">
            <v>UNITED KINGDOM</v>
          </cell>
        </row>
        <row r="13994">
          <cell r="L13994"/>
          <cell r="S13994">
            <v>-0.06</v>
          </cell>
          <cell r="X13994" t="str">
            <v>Financial income</v>
          </cell>
        </row>
        <row r="13995">
          <cell r="L13995" t="str">
            <v>Non-proportional</v>
          </cell>
          <cell r="S13995">
            <v>0.01</v>
          </cell>
          <cell r="X13995" t="str">
            <v>Financial income</v>
          </cell>
          <cell r="Y13995" t="str">
            <v>FRANCE</v>
          </cell>
        </row>
        <row r="13996">
          <cell r="L13996" t="str">
            <v>Non-proportional</v>
          </cell>
          <cell r="S13996">
            <v>0.01</v>
          </cell>
          <cell r="X13996" t="str">
            <v>Financial income</v>
          </cell>
          <cell r="Y13996" t="str">
            <v>UNITED KINGDOM</v>
          </cell>
        </row>
        <row r="13997">
          <cell r="L13997" t="str">
            <v>Non-proportional</v>
          </cell>
          <cell r="S13997">
            <v>0.02</v>
          </cell>
          <cell r="X13997" t="str">
            <v>Financial income</v>
          </cell>
          <cell r="Y13997" t="str">
            <v>UNITED KINGDOM</v>
          </cell>
        </row>
        <row r="13998">
          <cell r="L13998"/>
          <cell r="S13998">
            <v>-0.3</v>
          </cell>
          <cell r="X13998" t="str">
            <v>Financial income</v>
          </cell>
        </row>
        <row r="13999">
          <cell r="L13999" t="str">
            <v>Non-proportional</v>
          </cell>
          <cell r="S13999">
            <v>0.04</v>
          </cell>
          <cell r="X13999" t="str">
            <v>Financial income</v>
          </cell>
          <cell r="Y13999" t="str">
            <v>EIRE</v>
          </cell>
        </row>
        <row r="14000">
          <cell r="L14000" t="str">
            <v>Non-proportional</v>
          </cell>
          <cell r="S14000">
            <v>-0.15</v>
          </cell>
          <cell r="X14000" t="str">
            <v>Financial income</v>
          </cell>
          <cell r="Y14000" t="str">
            <v>ITALY</v>
          </cell>
        </row>
        <row r="14001">
          <cell r="L14001" t="str">
            <v>Non-proportional</v>
          </cell>
          <cell r="S14001">
            <v>-0.06</v>
          </cell>
          <cell r="X14001" t="str">
            <v>Financial income</v>
          </cell>
          <cell r="Y14001" t="str">
            <v>DENMARK</v>
          </cell>
        </row>
        <row r="14002">
          <cell r="L14002" t="str">
            <v>Non-proportional</v>
          </cell>
          <cell r="S14002">
            <v>-0.02</v>
          </cell>
          <cell r="X14002" t="str">
            <v>Financial income</v>
          </cell>
          <cell r="Y14002" t="str">
            <v>UNITED KINGDOM</v>
          </cell>
        </row>
        <row r="14003">
          <cell r="L14003" t="str">
            <v>Non-proportional</v>
          </cell>
          <cell r="S14003">
            <v>0.06</v>
          </cell>
          <cell r="X14003" t="str">
            <v>Financial income</v>
          </cell>
          <cell r="Y14003" t="str">
            <v>DENMARK</v>
          </cell>
        </row>
        <row r="14004">
          <cell r="L14004" t="str">
            <v>Non-proportional</v>
          </cell>
          <cell r="S14004">
            <v>-0.06</v>
          </cell>
          <cell r="X14004" t="str">
            <v>Financial income</v>
          </cell>
          <cell r="Y14004" t="str">
            <v>DENMARK</v>
          </cell>
        </row>
        <row r="14005">
          <cell r="L14005" t="str">
            <v>Non-proportional</v>
          </cell>
          <cell r="S14005">
            <v>-0.06</v>
          </cell>
          <cell r="X14005" t="str">
            <v>Financial income</v>
          </cell>
          <cell r="Y14005" t="str">
            <v>DENMARK</v>
          </cell>
        </row>
        <row r="14006">
          <cell r="L14006" t="str">
            <v>Non-proportional</v>
          </cell>
          <cell r="S14006">
            <v>0.03</v>
          </cell>
          <cell r="X14006" t="str">
            <v>Financial income</v>
          </cell>
          <cell r="Y14006" t="str">
            <v>REPUBLIC OF IRELAND</v>
          </cell>
        </row>
        <row r="14007">
          <cell r="L14007" t="str">
            <v>Non-proportional</v>
          </cell>
          <cell r="S14007">
            <v>0.02</v>
          </cell>
          <cell r="X14007" t="str">
            <v>Financial income</v>
          </cell>
          <cell r="Y14007" t="str">
            <v>AUSTRIA</v>
          </cell>
        </row>
        <row r="14008">
          <cell r="L14008" t="str">
            <v>Non-proportional</v>
          </cell>
          <cell r="S14008">
            <v>-0.02</v>
          </cell>
          <cell r="X14008" t="str">
            <v>Financial income</v>
          </cell>
          <cell r="Y14008" t="str">
            <v>CZECH REPUBLIC</v>
          </cell>
        </row>
        <row r="14009">
          <cell r="L14009" t="str">
            <v>Non-proportional</v>
          </cell>
          <cell r="S14009">
            <v>0.06</v>
          </cell>
          <cell r="X14009" t="str">
            <v>Financial income</v>
          </cell>
          <cell r="Y14009" t="str">
            <v>DENMARK</v>
          </cell>
        </row>
        <row r="14010">
          <cell r="L14010" t="str">
            <v>Non-proportional</v>
          </cell>
          <cell r="S14010">
            <v>0.01</v>
          </cell>
          <cell r="X14010" t="str">
            <v>Financial income</v>
          </cell>
          <cell r="Y14010" t="str">
            <v>UNITED KINGDOM</v>
          </cell>
        </row>
        <row r="14011">
          <cell r="L14011" t="str">
            <v>Non-proportional</v>
          </cell>
          <cell r="S14011">
            <v>-0.02</v>
          </cell>
          <cell r="X14011" t="str">
            <v>Financial income</v>
          </cell>
          <cell r="Y14011" t="str">
            <v>UNITED KINGDOM</v>
          </cell>
        </row>
        <row r="14012">
          <cell r="L14012" t="str">
            <v>Non-proportional</v>
          </cell>
          <cell r="S14012">
            <v>-0.02</v>
          </cell>
          <cell r="X14012" t="str">
            <v>Financial income</v>
          </cell>
          <cell r="Y14012" t="str">
            <v>FRANCE</v>
          </cell>
        </row>
        <row r="14013">
          <cell r="L14013" t="str">
            <v>Non-proportional</v>
          </cell>
          <cell r="S14013">
            <v>-0.02</v>
          </cell>
          <cell r="X14013" t="str">
            <v>Financial income</v>
          </cell>
          <cell r="Y14013" t="str">
            <v>UNITED KINGDOM</v>
          </cell>
        </row>
        <row r="14014">
          <cell r="L14014" t="str">
            <v>Non-proportional</v>
          </cell>
          <cell r="S14014">
            <v>-7.0000000000000007E-2</v>
          </cell>
          <cell r="X14014" t="str">
            <v>Financial income</v>
          </cell>
          <cell r="Y14014" t="str">
            <v>UNITED KINGDOM</v>
          </cell>
        </row>
        <row r="14015">
          <cell r="L14015" t="str">
            <v>Non-proportional</v>
          </cell>
          <cell r="S14015">
            <v>-0.01</v>
          </cell>
          <cell r="X14015" t="str">
            <v>Financial income</v>
          </cell>
          <cell r="Y14015" t="str">
            <v>UNITED KINGDOM</v>
          </cell>
        </row>
        <row r="14016">
          <cell r="L14016" t="str">
            <v>Non-proportional</v>
          </cell>
          <cell r="S14016">
            <v>-0.01</v>
          </cell>
          <cell r="X14016" t="str">
            <v>Financial income</v>
          </cell>
          <cell r="Y14016" t="str">
            <v>REPUBLIC OF IRELAND</v>
          </cell>
        </row>
        <row r="14017">
          <cell r="L14017" t="str">
            <v>Non-proportional</v>
          </cell>
          <cell r="S14017">
            <v>-0.01</v>
          </cell>
          <cell r="X14017" t="str">
            <v>Financial income</v>
          </cell>
          <cell r="Y14017" t="str">
            <v>UNITED KINGDOM</v>
          </cell>
        </row>
        <row r="14018">
          <cell r="L14018"/>
          <cell r="S14018">
            <v>0.02</v>
          </cell>
          <cell r="X14018" t="str">
            <v>Financial income</v>
          </cell>
        </row>
        <row r="14019">
          <cell r="L14019" t="str">
            <v>Non-proportional</v>
          </cell>
          <cell r="S14019">
            <v>-0.15</v>
          </cell>
          <cell r="X14019" t="str">
            <v>Financial income</v>
          </cell>
          <cell r="Y14019" t="str">
            <v>ITALY</v>
          </cell>
        </row>
        <row r="14020">
          <cell r="L14020" t="str">
            <v>Non-proportional</v>
          </cell>
          <cell r="S14020">
            <v>0.02</v>
          </cell>
          <cell r="X14020" t="str">
            <v>Financial income</v>
          </cell>
          <cell r="Y14020" t="str">
            <v>UNITED KINGDOM</v>
          </cell>
        </row>
        <row r="14021">
          <cell r="L14021" t="str">
            <v>Non-proportional</v>
          </cell>
          <cell r="S14021">
            <v>0.01</v>
          </cell>
          <cell r="X14021" t="str">
            <v>Financial income</v>
          </cell>
          <cell r="Y14021" t="str">
            <v>FRANCE</v>
          </cell>
        </row>
        <row r="14022">
          <cell r="L14022" t="str">
            <v>Non-proportional</v>
          </cell>
          <cell r="S14022">
            <v>-0.02</v>
          </cell>
          <cell r="X14022" t="str">
            <v>Financial income</v>
          </cell>
          <cell r="Y14022" t="str">
            <v>UNITED KINGDOM</v>
          </cell>
        </row>
        <row r="14023">
          <cell r="L14023" t="str">
            <v>Non-proportional</v>
          </cell>
          <cell r="S14023">
            <v>-0.02</v>
          </cell>
          <cell r="X14023" t="str">
            <v>Financial income</v>
          </cell>
          <cell r="Y14023" t="str">
            <v>CZECH REPUBLIC</v>
          </cell>
        </row>
        <row r="14024">
          <cell r="L14024"/>
          <cell r="S14024">
            <v>0.01</v>
          </cell>
          <cell r="X14024" t="str">
            <v>Financial income</v>
          </cell>
        </row>
        <row r="14025">
          <cell r="L14025" t="str">
            <v>Non-proportional</v>
          </cell>
          <cell r="S14025">
            <v>-0.02</v>
          </cell>
          <cell r="X14025" t="str">
            <v>Financial income</v>
          </cell>
          <cell r="Y14025" t="str">
            <v>GERMANY</v>
          </cell>
        </row>
        <row r="14026">
          <cell r="L14026" t="str">
            <v>Non-proportional</v>
          </cell>
          <cell r="S14026">
            <v>-0.34</v>
          </cell>
          <cell r="X14026" t="str">
            <v>Financial income</v>
          </cell>
          <cell r="Y14026" t="str">
            <v>DENMARK</v>
          </cell>
        </row>
        <row r="14027">
          <cell r="L14027" t="str">
            <v>Non-proportional</v>
          </cell>
          <cell r="S14027">
            <v>-0.02</v>
          </cell>
          <cell r="X14027" t="str">
            <v>Financial income</v>
          </cell>
          <cell r="Y14027" t="str">
            <v>UNITED KINGDOM</v>
          </cell>
        </row>
        <row r="14028">
          <cell r="L14028" t="str">
            <v>Non-proportional</v>
          </cell>
          <cell r="S14028">
            <v>-0.39</v>
          </cell>
          <cell r="X14028" t="str">
            <v>Financial income</v>
          </cell>
          <cell r="Y14028" t="str">
            <v>DENMARK</v>
          </cell>
        </row>
        <row r="14029">
          <cell r="L14029" t="str">
            <v>Non-proportional</v>
          </cell>
          <cell r="S14029">
            <v>-0.47</v>
          </cell>
          <cell r="X14029" t="str">
            <v>Financial income</v>
          </cell>
          <cell r="Y14029" t="str">
            <v>DENMARK</v>
          </cell>
        </row>
        <row r="14030">
          <cell r="L14030" t="str">
            <v>Non-proportional</v>
          </cell>
          <cell r="S14030">
            <v>-0.36</v>
          </cell>
          <cell r="X14030" t="str">
            <v>Financial income</v>
          </cell>
          <cell r="Y14030" t="str">
            <v>DENMARK</v>
          </cell>
        </row>
        <row r="14031">
          <cell r="L14031" t="str">
            <v>Non-proportional</v>
          </cell>
          <cell r="S14031">
            <v>-0.57999999999999996</v>
          </cell>
          <cell r="X14031" t="str">
            <v>Financial income</v>
          </cell>
          <cell r="Y14031" t="str">
            <v>DENMARK</v>
          </cell>
        </row>
        <row r="14032">
          <cell r="L14032" t="str">
            <v>Non-proportional</v>
          </cell>
          <cell r="S14032">
            <v>-0.06</v>
          </cell>
          <cell r="X14032" t="str">
            <v>Financial income</v>
          </cell>
          <cell r="Y14032" t="str">
            <v>DENMARK</v>
          </cell>
        </row>
        <row r="14033">
          <cell r="L14033"/>
          <cell r="S14033">
            <v>0.01</v>
          </cell>
          <cell r="X14033" t="str">
            <v>Financial income</v>
          </cell>
        </row>
        <row r="14034">
          <cell r="L14034" t="str">
            <v>Non-proportional</v>
          </cell>
          <cell r="S14034">
            <v>0.02</v>
          </cell>
          <cell r="X14034" t="str">
            <v>Financial income</v>
          </cell>
          <cell r="Y14034" t="str">
            <v>UNITED KINGDOM</v>
          </cell>
        </row>
        <row r="14035">
          <cell r="L14035" t="str">
            <v>Non-proportional</v>
          </cell>
          <cell r="S14035">
            <v>0.03</v>
          </cell>
          <cell r="X14035" t="str">
            <v>Financial income</v>
          </cell>
          <cell r="Y14035" t="str">
            <v>REPUBLIC OF IRELAND</v>
          </cell>
        </row>
        <row r="14036">
          <cell r="L14036" t="str">
            <v>Non-proportional</v>
          </cell>
          <cell r="S14036">
            <v>-0.02</v>
          </cell>
          <cell r="X14036" t="str">
            <v>Financial income</v>
          </cell>
          <cell r="Y14036" t="str">
            <v>UNITED KINGDOM</v>
          </cell>
        </row>
        <row r="14037">
          <cell r="L14037" t="str">
            <v>Non-proportional</v>
          </cell>
          <cell r="S14037">
            <v>-0.04</v>
          </cell>
          <cell r="X14037" t="str">
            <v>Financial income</v>
          </cell>
          <cell r="Y14037" t="str">
            <v>WORLDWIDE</v>
          </cell>
        </row>
        <row r="14038">
          <cell r="L14038" t="str">
            <v>Non-proportional</v>
          </cell>
          <cell r="S14038">
            <v>0.01</v>
          </cell>
          <cell r="X14038" t="str">
            <v>Financial income</v>
          </cell>
          <cell r="Y14038" t="str">
            <v>GERMANY</v>
          </cell>
        </row>
        <row r="14039">
          <cell r="L14039" t="str">
            <v>Non-proportional</v>
          </cell>
          <cell r="S14039">
            <v>-0.02</v>
          </cell>
          <cell r="X14039" t="str">
            <v>Financial income</v>
          </cell>
          <cell r="Y14039" t="str">
            <v>UNITED KINGDOM</v>
          </cell>
        </row>
        <row r="14040">
          <cell r="L14040" t="str">
            <v>Non-proportional</v>
          </cell>
          <cell r="S14040">
            <v>-0.01</v>
          </cell>
          <cell r="X14040" t="str">
            <v>Financial income</v>
          </cell>
          <cell r="Y14040" t="str">
            <v>UNITED KINGDOM</v>
          </cell>
        </row>
        <row r="14041">
          <cell r="L14041" t="str">
            <v>Non-proportional</v>
          </cell>
          <cell r="S14041">
            <v>-43.29</v>
          </cell>
          <cell r="X14041" t="str">
            <v>Financial income</v>
          </cell>
          <cell r="Y14041" t="str">
            <v>GERMANY</v>
          </cell>
        </row>
        <row r="14042">
          <cell r="L14042" t="str">
            <v>Non-proportional</v>
          </cell>
          <cell r="S14042">
            <v>-0.02</v>
          </cell>
          <cell r="X14042" t="str">
            <v>Financial income</v>
          </cell>
          <cell r="Y14042" t="str">
            <v>REPUBLIC OF IRELAND</v>
          </cell>
        </row>
        <row r="14043">
          <cell r="L14043" t="str">
            <v>Non-proportional</v>
          </cell>
          <cell r="S14043">
            <v>0.02</v>
          </cell>
          <cell r="X14043" t="str">
            <v>Financial income</v>
          </cell>
          <cell r="Y14043" t="str">
            <v>UNITED KINGDOM</v>
          </cell>
        </row>
        <row r="14044">
          <cell r="L14044" t="str">
            <v>Non-proportional</v>
          </cell>
          <cell r="S14044">
            <v>-0.04</v>
          </cell>
          <cell r="X14044" t="str">
            <v>Financial income</v>
          </cell>
          <cell r="Y14044" t="str">
            <v>EIRE</v>
          </cell>
        </row>
        <row r="14045">
          <cell r="L14045" t="str">
            <v>Non-proportional</v>
          </cell>
          <cell r="S14045">
            <v>-0.02</v>
          </cell>
          <cell r="X14045" t="str">
            <v>Financial income</v>
          </cell>
          <cell r="Y14045" t="str">
            <v>UNITED KINGDOM</v>
          </cell>
        </row>
        <row r="14046">
          <cell r="L14046" t="str">
            <v>Non-proportional</v>
          </cell>
          <cell r="S14046">
            <v>0.01</v>
          </cell>
          <cell r="X14046" t="str">
            <v>Financial income</v>
          </cell>
          <cell r="Y14046" t="str">
            <v>FRANCE</v>
          </cell>
        </row>
        <row r="14047">
          <cell r="L14047" t="str">
            <v>Non-proportional</v>
          </cell>
          <cell r="S14047">
            <v>0.05</v>
          </cell>
          <cell r="X14047" t="str">
            <v>Financial income</v>
          </cell>
          <cell r="Y14047" t="str">
            <v>EIRE</v>
          </cell>
        </row>
        <row r="14048">
          <cell r="L14048" t="str">
            <v>Non-proportional</v>
          </cell>
          <cell r="S14048">
            <v>-0.05</v>
          </cell>
          <cell r="X14048" t="str">
            <v>Financial income</v>
          </cell>
          <cell r="Y14048" t="str">
            <v>UNITED KINGDOM</v>
          </cell>
        </row>
        <row r="14049">
          <cell r="L14049" t="str">
            <v>Non-proportional</v>
          </cell>
          <cell r="S14049">
            <v>0</v>
          </cell>
          <cell r="X14049" t="str">
            <v>Financial income</v>
          </cell>
          <cell r="Y14049" t="str">
            <v>UNITED ARAB EMIRATES</v>
          </cell>
        </row>
        <row r="14050">
          <cell r="L14050"/>
          <cell r="S14050">
            <v>-12.77</v>
          </cell>
          <cell r="X14050" t="str">
            <v>Financial income</v>
          </cell>
        </row>
        <row r="14051">
          <cell r="L14051" t="str">
            <v>Non-proportional</v>
          </cell>
          <cell r="S14051">
            <v>-0.05</v>
          </cell>
          <cell r="X14051" t="str">
            <v>Financial income</v>
          </cell>
          <cell r="Y14051" t="str">
            <v>EIRE</v>
          </cell>
        </row>
        <row r="14052">
          <cell r="L14052" t="str">
            <v>Non-proportional</v>
          </cell>
          <cell r="S14052">
            <v>0.02</v>
          </cell>
          <cell r="X14052" t="str">
            <v>Financial income</v>
          </cell>
          <cell r="Y14052" t="str">
            <v>UNITED KINGDOM</v>
          </cell>
        </row>
        <row r="14053">
          <cell r="L14053" t="str">
            <v>Non-proportional</v>
          </cell>
          <cell r="S14053">
            <v>-0.01</v>
          </cell>
          <cell r="X14053" t="str">
            <v>Financial income</v>
          </cell>
          <cell r="Y14053" t="str">
            <v>REPUBLIC OF IRELAND</v>
          </cell>
        </row>
        <row r="14054">
          <cell r="L14054"/>
          <cell r="S14054">
            <v>-0.12</v>
          </cell>
          <cell r="X14054" t="str">
            <v>Financial income</v>
          </cell>
        </row>
        <row r="14055">
          <cell r="L14055" t="str">
            <v>Non-proportional</v>
          </cell>
          <cell r="S14055">
            <v>-0.02</v>
          </cell>
          <cell r="X14055" t="str">
            <v>Financial income</v>
          </cell>
          <cell r="Y14055" t="str">
            <v>CZECH REPUBLIC</v>
          </cell>
        </row>
        <row r="14056">
          <cell r="L14056"/>
          <cell r="S14056">
            <v>-17.29</v>
          </cell>
          <cell r="X14056" t="str">
            <v>Financial income</v>
          </cell>
        </row>
        <row r="14057">
          <cell r="L14057"/>
          <cell r="S14057">
            <v>-0.08</v>
          </cell>
          <cell r="X14057" t="str">
            <v>Financial income</v>
          </cell>
        </row>
        <row r="14058">
          <cell r="L14058" t="str">
            <v>Non-proportional</v>
          </cell>
          <cell r="S14058">
            <v>-0.02</v>
          </cell>
          <cell r="X14058" t="str">
            <v>Financial income</v>
          </cell>
          <cell r="Y14058" t="str">
            <v>AUSTRIA</v>
          </cell>
        </row>
        <row r="14059">
          <cell r="L14059" t="str">
            <v>Non-proportional</v>
          </cell>
          <cell r="S14059">
            <v>0.02</v>
          </cell>
          <cell r="X14059" t="str">
            <v>Financial income</v>
          </cell>
          <cell r="Y14059" t="str">
            <v>UNITED STATES</v>
          </cell>
        </row>
        <row r="14060">
          <cell r="L14060" t="str">
            <v>Non-proportional</v>
          </cell>
          <cell r="S14060">
            <v>-0.01</v>
          </cell>
          <cell r="X14060" t="str">
            <v>Financial income</v>
          </cell>
          <cell r="Y14060" t="str">
            <v>UNITED KINGDOM</v>
          </cell>
        </row>
        <row r="14061">
          <cell r="L14061" t="str">
            <v>Non-proportional</v>
          </cell>
          <cell r="S14061">
            <v>-0.02</v>
          </cell>
          <cell r="X14061" t="str">
            <v>Financial income</v>
          </cell>
          <cell r="Y14061" t="str">
            <v>UNITED KINGDOM</v>
          </cell>
        </row>
        <row r="14062">
          <cell r="L14062"/>
          <cell r="S14062">
            <v>0</v>
          </cell>
          <cell r="X14062" t="str">
            <v>Financial income</v>
          </cell>
        </row>
        <row r="14063">
          <cell r="L14063" t="str">
            <v>Non-proportional</v>
          </cell>
          <cell r="S14063">
            <v>0.05</v>
          </cell>
          <cell r="X14063" t="str">
            <v>Financial income</v>
          </cell>
          <cell r="Y14063" t="str">
            <v>UNITED KINGDOM</v>
          </cell>
        </row>
        <row r="14064">
          <cell r="L14064"/>
          <cell r="S14064">
            <v>-136.49</v>
          </cell>
          <cell r="X14064" t="str">
            <v>Financial income</v>
          </cell>
        </row>
        <row r="14065">
          <cell r="L14065"/>
          <cell r="S14065">
            <v>-0.33</v>
          </cell>
          <cell r="X14065" t="str">
            <v>Financial income</v>
          </cell>
        </row>
        <row r="14066">
          <cell r="L14066"/>
          <cell r="S14066">
            <v>-457.31</v>
          </cell>
          <cell r="X14066" t="str">
            <v>Financial income</v>
          </cell>
        </row>
        <row r="14067">
          <cell r="L14067"/>
          <cell r="S14067">
            <v>-9.48</v>
          </cell>
          <cell r="X14067" t="str">
            <v>Financial income</v>
          </cell>
        </row>
        <row r="14068">
          <cell r="L14068"/>
          <cell r="S14068">
            <v>-1.32</v>
          </cell>
          <cell r="X14068" t="str">
            <v>Financial income</v>
          </cell>
        </row>
        <row r="14069">
          <cell r="L14069"/>
          <cell r="S14069">
            <v>-3.9</v>
          </cell>
          <cell r="X14069" t="str">
            <v>Financial income</v>
          </cell>
        </row>
        <row r="14070">
          <cell r="L14070"/>
          <cell r="S14070">
            <v>-100.21</v>
          </cell>
          <cell r="X14070" t="str">
            <v>Financial income</v>
          </cell>
        </row>
        <row r="14071">
          <cell r="L14071"/>
          <cell r="S14071">
            <v>-2.71</v>
          </cell>
          <cell r="X14071" t="str">
            <v>Financial income</v>
          </cell>
        </row>
        <row r="14072">
          <cell r="L14072"/>
          <cell r="S14072">
            <v>-1.19</v>
          </cell>
          <cell r="X14072" t="str">
            <v>Financial income</v>
          </cell>
        </row>
        <row r="14073">
          <cell r="L14073"/>
          <cell r="S14073">
            <v>-2.56</v>
          </cell>
          <cell r="X14073" t="str">
            <v>Financial income</v>
          </cell>
        </row>
        <row r="14074">
          <cell r="L14074"/>
          <cell r="S14074">
            <v>-58.15</v>
          </cell>
          <cell r="X14074" t="str">
            <v>Financial income</v>
          </cell>
        </row>
        <row r="14075">
          <cell r="L14075"/>
          <cell r="S14075">
            <v>-0.4</v>
          </cell>
          <cell r="X14075" t="str">
            <v>Financial income</v>
          </cell>
        </row>
        <row r="14076">
          <cell r="L14076"/>
          <cell r="S14076">
            <v>-0.18</v>
          </cell>
          <cell r="X14076" t="str">
            <v>Financial income</v>
          </cell>
        </row>
        <row r="14077">
          <cell r="L14077"/>
          <cell r="S14077">
            <v>-2.7</v>
          </cell>
          <cell r="X14077" t="str">
            <v>Financial income</v>
          </cell>
        </row>
        <row r="14078">
          <cell r="L14078"/>
          <cell r="S14078">
            <v>-22.18</v>
          </cell>
          <cell r="X14078" t="str">
            <v>Financial income</v>
          </cell>
        </row>
        <row r="14079">
          <cell r="L14079"/>
          <cell r="S14079">
            <v>-0.74</v>
          </cell>
          <cell r="X14079" t="str">
            <v>Financial income</v>
          </cell>
        </row>
        <row r="14080">
          <cell r="L14080"/>
          <cell r="S14080">
            <v>-103.32</v>
          </cell>
          <cell r="X14080" t="str">
            <v>Financial income</v>
          </cell>
        </row>
        <row r="14081">
          <cell r="L14081"/>
          <cell r="S14081">
            <v>-3.27</v>
          </cell>
          <cell r="X14081" t="str">
            <v>Financial income</v>
          </cell>
        </row>
        <row r="14082">
          <cell r="L14082"/>
          <cell r="S14082">
            <v>-1.03</v>
          </cell>
          <cell r="X14082" t="str">
            <v>Financial income</v>
          </cell>
        </row>
        <row r="14083">
          <cell r="L14083"/>
          <cell r="S14083">
            <v>-6.88</v>
          </cell>
          <cell r="X14083" t="str">
            <v>Financial income</v>
          </cell>
        </row>
        <row r="14084">
          <cell r="L14084"/>
          <cell r="S14084">
            <v>-182.11</v>
          </cell>
          <cell r="X14084" t="str">
            <v>Financial income</v>
          </cell>
        </row>
        <row r="14085">
          <cell r="L14085"/>
          <cell r="S14085">
            <v>-9.5399999999999991</v>
          </cell>
          <cell r="X14085" t="str">
            <v>Financial income</v>
          </cell>
        </row>
        <row r="14086">
          <cell r="L14086"/>
          <cell r="S14086">
            <v>-7.42</v>
          </cell>
          <cell r="X14086" t="str">
            <v>Financial income</v>
          </cell>
        </row>
        <row r="14087">
          <cell r="L14087"/>
          <cell r="S14087">
            <v>-5.59</v>
          </cell>
          <cell r="X14087" t="str">
            <v>Financial income</v>
          </cell>
        </row>
        <row r="14088">
          <cell r="L14088"/>
          <cell r="S14088">
            <v>-1.26</v>
          </cell>
          <cell r="X14088" t="str">
            <v>Financial income</v>
          </cell>
        </row>
        <row r="14089">
          <cell r="L14089"/>
          <cell r="S14089">
            <v>-403.23</v>
          </cell>
          <cell r="X14089" t="str">
            <v>Financial income</v>
          </cell>
        </row>
        <row r="14090">
          <cell r="L14090"/>
          <cell r="S14090">
            <v>-1.57</v>
          </cell>
          <cell r="X14090" t="str">
            <v>Financial income</v>
          </cell>
        </row>
        <row r="14091">
          <cell r="L14091"/>
          <cell r="S14091">
            <v>-0.21</v>
          </cell>
          <cell r="X14091" t="str">
            <v>Financial income</v>
          </cell>
        </row>
        <row r="14092">
          <cell r="L14092"/>
          <cell r="S14092">
            <v>-5.51</v>
          </cell>
          <cell r="X14092" t="str">
            <v>Financial income</v>
          </cell>
        </row>
        <row r="14093">
          <cell r="L14093"/>
          <cell r="S14093">
            <v>-4.1900000000000004</v>
          </cell>
          <cell r="X14093" t="str">
            <v>Financial income</v>
          </cell>
        </row>
        <row r="14094">
          <cell r="L14094"/>
          <cell r="S14094">
            <v>-5.52</v>
          </cell>
          <cell r="X14094" t="str">
            <v>Financial income</v>
          </cell>
        </row>
        <row r="14095">
          <cell r="L14095"/>
          <cell r="S14095">
            <v>-3.77</v>
          </cell>
          <cell r="X14095" t="str">
            <v>Financial income</v>
          </cell>
        </row>
        <row r="14096">
          <cell r="L14096"/>
          <cell r="S14096">
            <v>-1026.74</v>
          </cell>
          <cell r="X14096" t="str">
            <v>Financial income</v>
          </cell>
        </row>
        <row r="14097">
          <cell r="L14097"/>
          <cell r="S14097">
            <v>-9.19</v>
          </cell>
          <cell r="X14097" t="str">
            <v>Financial income</v>
          </cell>
        </row>
        <row r="14098">
          <cell r="L14098"/>
          <cell r="S14098">
            <v>-257.60000000000002</v>
          </cell>
          <cell r="X14098" t="str">
            <v>Financial income</v>
          </cell>
        </row>
        <row r="14099">
          <cell r="L14099"/>
          <cell r="S14099">
            <v>-0.23</v>
          </cell>
          <cell r="X14099" t="str">
            <v>Financial income</v>
          </cell>
        </row>
        <row r="14100">
          <cell r="L14100"/>
          <cell r="S14100">
            <v>-5.56</v>
          </cell>
          <cell r="X14100" t="str">
            <v>Financial income</v>
          </cell>
        </row>
        <row r="14101">
          <cell r="L14101"/>
          <cell r="S14101">
            <v>-1.6</v>
          </cell>
          <cell r="X14101" t="str">
            <v>Financial income</v>
          </cell>
        </row>
        <row r="14102">
          <cell r="L14102"/>
          <cell r="S14102">
            <v>-0.14000000000000001</v>
          </cell>
          <cell r="X14102" t="str">
            <v>Financial income</v>
          </cell>
        </row>
        <row r="14103">
          <cell r="L14103"/>
          <cell r="S14103">
            <v>-7.63</v>
          </cell>
          <cell r="X14103" t="str">
            <v>Financial income</v>
          </cell>
        </row>
        <row r="14104">
          <cell r="L14104"/>
          <cell r="S14104">
            <v>-94.46</v>
          </cell>
          <cell r="X14104" t="str">
            <v>Financial income</v>
          </cell>
        </row>
        <row r="14105">
          <cell r="L14105"/>
          <cell r="S14105">
            <v>-3.16</v>
          </cell>
          <cell r="X14105" t="str">
            <v>Financial income</v>
          </cell>
        </row>
        <row r="14106">
          <cell r="L14106"/>
          <cell r="S14106">
            <v>-2.61</v>
          </cell>
          <cell r="X14106" t="str">
            <v>Financial income</v>
          </cell>
        </row>
        <row r="14107">
          <cell r="L14107"/>
          <cell r="S14107">
            <v>-5.62</v>
          </cell>
          <cell r="X14107" t="str">
            <v>Financial income</v>
          </cell>
        </row>
        <row r="14108">
          <cell r="L14108"/>
          <cell r="S14108">
            <v>-2.93</v>
          </cell>
          <cell r="X14108" t="str">
            <v>Financial income</v>
          </cell>
        </row>
        <row r="14109">
          <cell r="L14109"/>
          <cell r="S14109">
            <v>-7.99</v>
          </cell>
          <cell r="X14109" t="str">
            <v>Financial income</v>
          </cell>
        </row>
        <row r="14110">
          <cell r="L14110"/>
          <cell r="S14110">
            <v>-0.64</v>
          </cell>
          <cell r="X14110" t="str">
            <v>Financial income</v>
          </cell>
        </row>
        <row r="14111">
          <cell r="L14111"/>
          <cell r="S14111">
            <v>-0.23</v>
          </cell>
          <cell r="X14111" t="str">
            <v>Financial income</v>
          </cell>
        </row>
        <row r="14112">
          <cell r="L14112"/>
          <cell r="S14112">
            <v>-1.28</v>
          </cell>
          <cell r="X14112" t="str">
            <v>Financial income</v>
          </cell>
        </row>
        <row r="14113">
          <cell r="L14113"/>
          <cell r="S14113">
            <v>-1.35</v>
          </cell>
          <cell r="X14113" t="str">
            <v>Financial income</v>
          </cell>
        </row>
        <row r="14114">
          <cell r="L14114"/>
          <cell r="S14114">
            <v>-0.79</v>
          </cell>
          <cell r="X14114" t="str">
            <v>Financial income</v>
          </cell>
        </row>
        <row r="14115">
          <cell r="L14115"/>
          <cell r="S14115">
            <v>-2.6</v>
          </cell>
          <cell r="X14115" t="str">
            <v>Financial income</v>
          </cell>
        </row>
        <row r="14116">
          <cell r="L14116"/>
          <cell r="S14116">
            <v>-28.27</v>
          </cell>
          <cell r="X14116" t="str">
            <v>Financial income</v>
          </cell>
        </row>
        <row r="14117">
          <cell r="L14117"/>
          <cell r="S14117">
            <v>-1.48</v>
          </cell>
          <cell r="X14117" t="str">
            <v>Financial income</v>
          </cell>
        </row>
        <row r="14118">
          <cell r="L14118"/>
          <cell r="S14118">
            <v>-2425.34</v>
          </cell>
          <cell r="X14118" t="str">
            <v>Financial income</v>
          </cell>
        </row>
        <row r="14119">
          <cell r="L14119"/>
          <cell r="S14119">
            <v>-3.35</v>
          </cell>
          <cell r="X14119" t="str">
            <v>Financial income</v>
          </cell>
        </row>
        <row r="14120">
          <cell r="L14120"/>
          <cell r="S14120">
            <v>-5.81</v>
          </cell>
          <cell r="X14120" t="str">
            <v>Financial income</v>
          </cell>
        </row>
        <row r="14121">
          <cell r="L14121"/>
          <cell r="S14121">
            <v>-20.67</v>
          </cell>
          <cell r="X14121" t="str">
            <v>Financial income</v>
          </cell>
        </row>
        <row r="14122">
          <cell r="L14122"/>
          <cell r="S14122">
            <v>-1.42</v>
          </cell>
          <cell r="X14122" t="str">
            <v>Financial income</v>
          </cell>
        </row>
        <row r="14123">
          <cell r="L14123"/>
          <cell r="S14123">
            <v>-6.75</v>
          </cell>
          <cell r="X14123" t="str">
            <v>Financial income</v>
          </cell>
        </row>
        <row r="14124">
          <cell r="L14124"/>
          <cell r="S14124">
            <v>-0.33</v>
          </cell>
          <cell r="X14124" t="str">
            <v>Financial income</v>
          </cell>
        </row>
        <row r="14125">
          <cell r="L14125"/>
          <cell r="S14125">
            <v>-3.91</v>
          </cell>
          <cell r="X14125" t="str">
            <v>Financial income</v>
          </cell>
        </row>
        <row r="14126">
          <cell r="L14126"/>
          <cell r="S14126">
            <v>-2.0499999999999998</v>
          </cell>
          <cell r="X14126" t="str">
            <v>Financial income</v>
          </cell>
        </row>
        <row r="14127">
          <cell r="L14127"/>
          <cell r="S14127">
            <v>-0.05</v>
          </cell>
          <cell r="X14127" t="str">
            <v>Financial income</v>
          </cell>
        </row>
        <row r="14128">
          <cell r="L14128"/>
          <cell r="S14128">
            <v>-2.92</v>
          </cell>
          <cell r="X14128" t="str">
            <v>Financial income</v>
          </cell>
        </row>
        <row r="14129">
          <cell r="L14129"/>
          <cell r="S14129">
            <v>-0.32</v>
          </cell>
          <cell r="X14129" t="str">
            <v>Financial income</v>
          </cell>
        </row>
        <row r="14130">
          <cell r="L14130"/>
          <cell r="S14130">
            <v>-1.59</v>
          </cell>
          <cell r="X14130" t="str">
            <v>Financial income</v>
          </cell>
        </row>
        <row r="14131">
          <cell r="L14131"/>
          <cell r="S14131">
            <v>-0.08</v>
          </cell>
          <cell r="X14131" t="str">
            <v>Financial income</v>
          </cell>
        </row>
        <row r="14132">
          <cell r="L14132"/>
          <cell r="S14132">
            <v>-0.09</v>
          </cell>
          <cell r="X14132" t="str">
            <v>Financial income</v>
          </cell>
        </row>
        <row r="14133">
          <cell r="L14133"/>
          <cell r="S14133">
            <v>-1.7</v>
          </cell>
          <cell r="X14133" t="str">
            <v>Financial income</v>
          </cell>
        </row>
        <row r="14134">
          <cell r="L14134"/>
          <cell r="S14134">
            <v>-3.69</v>
          </cell>
          <cell r="X14134" t="str">
            <v>Financial income</v>
          </cell>
        </row>
        <row r="14135">
          <cell r="L14135"/>
          <cell r="S14135">
            <v>-131.13999999999999</v>
          </cell>
          <cell r="X14135" t="str">
            <v>Financial income</v>
          </cell>
        </row>
        <row r="14136">
          <cell r="L14136"/>
          <cell r="S14136">
            <v>-0.85</v>
          </cell>
          <cell r="X14136" t="str">
            <v>Financial income</v>
          </cell>
        </row>
        <row r="14137">
          <cell r="L14137"/>
          <cell r="S14137">
            <v>-104.23</v>
          </cell>
          <cell r="X14137" t="str">
            <v>Financial income</v>
          </cell>
        </row>
        <row r="14138">
          <cell r="L14138"/>
          <cell r="S14138">
            <v>-27.84</v>
          </cell>
          <cell r="X14138" t="str">
            <v>Financial income</v>
          </cell>
        </row>
        <row r="14139">
          <cell r="L14139"/>
          <cell r="S14139">
            <v>-0.16</v>
          </cell>
          <cell r="X14139" t="str">
            <v>Financial income</v>
          </cell>
        </row>
        <row r="14140">
          <cell r="L14140"/>
          <cell r="S14140">
            <v>-0.99</v>
          </cell>
          <cell r="X14140" t="str">
            <v>Financial income</v>
          </cell>
        </row>
        <row r="14141">
          <cell r="L14141"/>
          <cell r="S14141">
            <v>-1.08</v>
          </cell>
          <cell r="X14141" t="str">
            <v>Financial income</v>
          </cell>
        </row>
        <row r="14142">
          <cell r="L14142"/>
          <cell r="S14142">
            <v>-15.15</v>
          </cell>
          <cell r="X14142" t="str">
            <v>Financial income</v>
          </cell>
        </row>
        <row r="14143">
          <cell r="L14143"/>
          <cell r="S14143">
            <v>-0.24</v>
          </cell>
          <cell r="X14143" t="str">
            <v>Financial income</v>
          </cell>
        </row>
        <row r="14144">
          <cell r="L14144"/>
          <cell r="S14144">
            <v>-4.91</v>
          </cell>
          <cell r="X14144" t="str">
            <v>Financial income</v>
          </cell>
        </row>
        <row r="14145">
          <cell r="L14145"/>
          <cell r="S14145">
            <v>-101.46</v>
          </cell>
          <cell r="X14145" t="str">
            <v>Financial income</v>
          </cell>
        </row>
        <row r="14146">
          <cell r="L14146"/>
          <cell r="S14146">
            <v>-329.1</v>
          </cell>
          <cell r="X14146" t="str">
            <v>Financial income</v>
          </cell>
        </row>
        <row r="14147">
          <cell r="L14147"/>
          <cell r="S14147">
            <v>-11.16</v>
          </cell>
          <cell r="X14147" t="str">
            <v>Financial income</v>
          </cell>
        </row>
        <row r="14148">
          <cell r="L14148"/>
          <cell r="S14148">
            <v>-35.159999999999997</v>
          </cell>
          <cell r="X14148" t="str">
            <v>Financial income</v>
          </cell>
        </row>
        <row r="14149">
          <cell r="L14149"/>
          <cell r="S14149">
            <v>-120.61</v>
          </cell>
          <cell r="X14149" t="str">
            <v>Financial income</v>
          </cell>
        </row>
        <row r="14150">
          <cell r="L14150"/>
          <cell r="S14150">
            <v>-1.52</v>
          </cell>
          <cell r="X14150" t="str">
            <v>Financial income</v>
          </cell>
        </row>
        <row r="14151">
          <cell r="L14151"/>
          <cell r="S14151">
            <v>-0.94</v>
          </cell>
          <cell r="X14151" t="str">
            <v>Financial income</v>
          </cell>
        </row>
        <row r="14152">
          <cell r="L14152"/>
          <cell r="S14152">
            <v>-0.17</v>
          </cell>
          <cell r="X14152" t="str">
            <v>Financial income</v>
          </cell>
        </row>
        <row r="14153">
          <cell r="L14153"/>
          <cell r="S14153">
            <v>-33615.85</v>
          </cell>
          <cell r="X14153" t="str">
            <v>Financial income</v>
          </cell>
        </row>
        <row r="14154">
          <cell r="L14154"/>
          <cell r="S14154">
            <v>33615.85</v>
          </cell>
          <cell r="X14154" t="str">
            <v>Financial income</v>
          </cell>
        </row>
        <row r="14155">
          <cell r="L14155"/>
          <cell r="S14155">
            <v>-336805.1</v>
          </cell>
          <cell r="X14155" t="str">
            <v>Financial income</v>
          </cell>
        </row>
        <row r="14156">
          <cell r="L14156"/>
          <cell r="S14156">
            <v>336805.1</v>
          </cell>
          <cell r="X14156" t="str">
            <v>Financial income</v>
          </cell>
        </row>
        <row r="14157">
          <cell r="L14157"/>
          <cell r="S14157">
            <v>-17955</v>
          </cell>
          <cell r="X14157" t="str">
            <v>Financial income</v>
          </cell>
        </row>
        <row r="14158">
          <cell r="L14158"/>
          <cell r="S14158">
            <v>17955</v>
          </cell>
          <cell r="X14158" t="str">
            <v>Financial income</v>
          </cell>
        </row>
        <row r="14159">
          <cell r="L14159"/>
          <cell r="S14159">
            <v>-12652.09</v>
          </cell>
          <cell r="X14159" t="str">
            <v>Financial income</v>
          </cell>
        </row>
        <row r="14160">
          <cell r="L14160"/>
          <cell r="S14160">
            <v>-16684.18</v>
          </cell>
          <cell r="X14160" t="str">
            <v>Financial income</v>
          </cell>
        </row>
        <row r="14161">
          <cell r="L14161"/>
          <cell r="S14161">
            <v>12652.09</v>
          </cell>
          <cell r="X14161" t="str">
            <v>Financial income</v>
          </cell>
        </row>
        <row r="14162">
          <cell r="L14162"/>
          <cell r="S14162">
            <v>16684.18</v>
          </cell>
          <cell r="X14162" t="str">
            <v>Financial income</v>
          </cell>
        </row>
        <row r="14163">
          <cell r="L14163"/>
          <cell r="S14163">
            <v>-1205465.55</v>
          </cell>
          <cell r="X14163" t="str">
            <v>Financial income</v>
          </cell>
        </row>
        <row r="14164">
          <cell r="L14164"/>
          <cell r="S14164">
            <v>-16256.88</v>
          </cell>
          <cell r="X14164" t="str">
            <v>Financial income</v>
          </cell>
        </row>
        <row r="14165">
          <cell r="L14165"/>
          <cell r="S14165">
            <v>1205465.55</v>
          </cell>
          <cell r="X14165" t="str">
            <v>Financial income</v>
          </cell>
        </row>
        <row r="14166">
          <cell r="L14166"/>
          <cell r="S14166">
            <v>1774502.21</v>
          </cell>
          <cell r="X14166" t="str">
            <v>Financial income</v>
          </cell>
        </row>
        <row r="14167">
          <cell r="L14167"/>
          <cell r="S14167">
            <v>-2181610.2000000002</v>
          </cell>
          <cell r="X14167" t="str">
            <v>Financial income</v>
          </cell>
        </row>
        <row r="14168">
          <cell r="L14168"/>
          <cell r="S14168">
            <v>-18968.79</v>
          </cell>
          <cell r="X14168" t="str">
            <v>Financial income</v>
          </cell>
        </row>
        <row r="14169">
          <cell r="L14169"/>
          <cell r="S14169">
            <v>-1774502.21</v>
          </cell>
          <cell r="X14169" t="str">
            <v>Financial income</v>
          </cell>
        </row>
        <row r="14170">
          <cell r="L14170"/>
          <cell r="S14170">
            <v>2181610.2000000002</v>
          </cell>
          <cell r="X14170" t="str">
            <v>Financial income</v>
          </cell>
        </row>
        <row r="14171">
          <cell r="L14171"/>
          <cell r="S14171">
            <v>18968.79</v>
          </cell>
          <cell r="X14171" t="str">
            <v>Financial income</v>
          </cell>
        </row>
        <row r="14172">
          <cell r="L14172"/>
          <cell r="S14172">
            <v>-21842.39</v>
          </cell>
          <cell r="X14172" t="str">
            <v>Financial income</v>
          </cell>
        </row>
        <row r="14173">
          <cell r="L14173"/>
          <cell r="S14173">
            <v>-2515342.06</v>
          </cell>
          <cell r="X14173" t="str">
            <v>Financial income</v>
          </cell>
        </row>
        <row r="14174">
          <cell r="L14174"/>
          <cell r="S14174">
            <v>-385.44</v>
          </cell>
          <cell r="X14174" t="str">
            <v>Financial income</v>
          </cell>
        </row>
        <row r="14175">
          <cell r="L14175"/>
          <cell r="S14175">
            <v>2024011.06</v>
          </cell>
          <cell r="X14175" t="str">
            <v>Financial income</v>
          </cell>
        </row>
        <row r="14176">
          <cell r="L14176"/>
          <cell r="S14176">
            <v>-67.31</v>
          </cell>
          <cell r="X14176" t="str">
            <v>Financial income</v>
          </cell>
        </row>
        <row r="14177">
          <cell r="L14177"/>
          <cell r="S14177">
            <v>21842.39</v>
          </cell>
          <cell r="X14177" t="str">
            <v>Financial income</v>
          </cell>
        </row>
        <row r="14178">
          <cell r="L14178"/>
          <cell r="S14178">
            <v>2515342.06</v>
          </cell>
          <cell r="X14178" t="str">
            <v>Financial income</v>
          </cell>
        </row>
        <row r="14179">
          <cell r="L14179"/>
          <cell r="S14179">
            <v>385.44</v>
          </cell>
          <cell r="X14179" t="str">
            <v>Financial income</v>
          </cell>
        </row>
        <row r="14180">
          <cell r="L14180"/>
          <cell r="S14180">
            <v>67.31</v>
          </cell>
          <cell r="X14180" t="str">
            <v>Financial income</v>
          </cell>
        </row>
        <row r="14181">
          <cell r="L14181"/>
          <cell r="S14181">
            <v>-2024011.06</v>
          </cell>
          <cell r="X14181" t="str">
            <v>Financial income</v>
          </cell>
        </row>
        <row r="14182">
          <cell r="L14182"/>
          <cell r="S14182">
            <v>-20438.25</v>
          </cell>
          <cell r="X14182" t="str">
            <v>Financial income</v>
          </cell>
        </row>
        <row r="14183">
          <cell r="L14183"/>
          <cell r="S14183">
            <v>-2213988.58</v>
          </cell>
          <cell r="X14183" t="str">
            <v>Financial income</v>
          </cell>
        </row>
        <row r="14184">
          <cell r="L14184"/>
          <cell r="S14184">
            <v>-296.97000000000003</v>
          </cell>
          <cell r="X14184" t="str">
            <v>Financial income</v>
          </cell>
        </row>
        <row r="14185">
          <cell r="L14185"/>
          <cell r="S14185">
            <v>1785773.54</v>
          </cell>
          <cell r="X14185" t="str">
            <v>Financial income</v>
          </cell>
        </row>
        <row r="14186">
          <cell r="L14186"/>
          <cell r="S14186">
            <v>20438.25</v>
          </cell>
          <cell r="X14186" t="str">
            <v>Financial income</v>
          </cell>
        </row>
        <row r="14187">
          <cell r="L14187"/>
          <cell r="S14187">
            <v>296.97000000000003</v>
          </cell>
          <cell r="X14187" t="str">
            <v>Financial income</v>
          </cell>
        </row>
        <row r="14188">
          <cell r="L14188"/>
          <cell r="S14188">
            <v>2213988.58</v>
          </cell>
          <cell r="X14188" t="str">
            <v>Financial income</v>
          </cell>
        </row>
        <row r="14189">
          <cell r="L14189"/>
          <cell r="S14189">
            <v>-1785773.54</v>
          </cell>
          <cell r="X14189" t="str">
            <v>Financial income</v>
          </cell>
        </row>
        <row r="14190">
          <cell r="L14190"/>
          <cell r="S14190">
            <v>1878400.31</v>
          </cell>
          <cell r="X14190" t="str">
            <v>Financial income</v>
          </cell>
        </row>
        <row r="14191">
          <cell r="L14191"/>
          <cell r="S14191">
            <v>-67.08</v>
          </cell>
          <cell r="X14191" t="str">
            <v>Financial income</v>
          </cell>
        </row>
        <row r="14192">
          <cell r="L14192"/>
          <cell r="S14192">
            <v>-20530.099999999999</v>
          </cell>
          <cell r="X14192" t="str">
            <v>Financial income</v>
          </cell>
        </row>
        <row r="14193">
          <cell r="L14193"/>
          <cell r="S14193">
            <v>-2296527.34</v>
          </cell>
          <cell r="X14193" t="str">
            <v>Financial income</v>
          </cell>
        </row>
        <row r="14194">
          <cell r="L14194"/>
          <cell r="S14194">
            <v>28.1</v>
          </cell>
          <cell r="X14194" t="str">
            <v>Financial income</v>
          </cell>
        </row>
        <row r="14195">
          <cell r="L14195"/>
          <cell r="S14195">
            <v>-24.12</v>
          </cell>
          <cell r="X14195" t="str">
            <v>Other Income</v>
          </cell>
        </row>
        <row r="14196">
          <cell r="L14196"/>
          <cell r="S14196">
            <v>-21.07</v>
          </cell>
          <cell r="X14196" t="str">
            <v>Other Income</v>
          </cell>
        </row>
        <row r="14197">
          <cell r="L14197"/>
          <cell r="S14197">
            <v>-20.97</v>
          </cell>
          <cell r="X14197" t="str">
            <v>Other Income</v>
          </cell>
        </row>
        <row r="14198">
          <cell r="L14198"/>
          <cell r="S14198">
            <v>-28.9</v>
          </cell>
          <cell r="X14198" t="str">
            <v>Other Income</v>
          </cell>
        </row>
        <row r="14199">
          <cell r="L14199"/>
          <cell r="S14199">
            <v>-33.58</v>
          </cell>
          <cell r="X14199" t="str">
            <v>Other Income</v>
          </cell>
        </row>
        <row r="14200">
          <cell r="L14200"/>
          <cell r="S14200">
            <v>-190.02</v>
          </cell>
          <cell r="X14200" t="str">
            <v>Other Income</v>
          </cell>
        </row>
        <row r="14203">
          <cell r="S14203"/>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ares"/>
      <sheetName val="GWP Share RI"/>
      <sheetName val="Variation UPR share RI"/>
      <sheetName val="Commissions share RI"/>
      <sheetName val="Claims share RI"/>
      <sheetName val="summary"/>
      <sheetName val="Sheet1"/>
    </sheetNames>
    <sheetDataSet>
      <sheetData sheetId="0"/>
      <sheetData sheetId="1">
        <row r="1322">
          <cell r="AF1322">
            <v>69963808.413667947</v>
          </cell>
          <cell r="AG1322">
            <v>13483538.628357232</v>
          </cell>
          <cell r="AH1322">
            <v>64620552.557974845</v>
          </cell>
        </row>
      </sheetData>
      <sheetData sheetId="2">
        <row r="524">
          <cell r="AF524">
            <v>1415852.9212873853</v>
          </cell>
          <cell r="AG524">
            <v>-44027.844146392577</v>
          </cell>
          <cell r="AH524">
            <v>-5484527.0871410137</v>
          </cell>
        </row>
      </sheetData>
      <sheetData sheetId="3"/>
      <sheetData sheetId="4">
        <row r="451">
          <cell r="AF451">
            <v>-810682.22000000277</v>
          </cell>
          <cell r="AG451">
            <v>-3910818.67</v>
          </cell>
          <cell r="AH451">
            <v>-2998698.3600000096</v>
          </cell>
        </row>
      </sheetData>
      <sheetData sheetId="5">
        <row r="4">
          <cell r="C4">
            <v>-4567672.8840023223</v>
          </cell>
          <cell r="D4">
            <v>-1382786.5714527341</v>
          </cell>
          <cell r="E4">
            <v>-4721162.7145449426</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roject Details"/>
      <sheetName val="Introduction"/>
      <sheetName val="SE.01.01.17"/>
      <sheetName val="S.01.02.01"/>
      <sheetName val="S.01.02.01.02"/>
      <sheetName val="SE.02.01.17"/>
      <sheetName val="E.01.01.16.01"/>
      <sheetName val="E.04.01.16"/>
      <sheetName val="E.04.01.16.02"/>
      <sheetName val="S.05.01.02"/>
      <sheetName val="SE.06.02.16.01"/>
      <sheetName val="SE.06.02.16.02"/>
      <sheetName val="S.06.03.01.01"/>
      <sheetName val="S.08.01.01.01"/>
      <sheetName val="S.08.01.01.02"/>
      <sheetName val="S.12.01.02"/>
      <sheetName val="SE.17.01.17"/>
      <sheetName val="S.23.01.02"/>
      <sheetName val="S.28.01.01"/>
      <sheetName val="S.28.02.01"/>
      <sheetName val="Overall MCR"/>
      <sheetName val="eFrameSelectionFil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D9"/>
          <cell r="E9"/>
          <cell r="H9"/>
          <cell r="K9"/>
          <cell r="L9"/>
          <cell r="M9"/>
          <cell r="N9"/>
          <cell r="Q9"/>
          <cell r="R9"/>
          <cell r="S9"/>
        </row>
        <row r="10">
          <cell r="D10"/>
          <cell r="E10"/>
          <cell r="H10"/>
          <cell r="K10"/>
          <cell r="L10"/>
          <cell r="M10"/>
          <cell r="N10"/>
          <cell r="Q10"/>
          <cell r="R10"/>
          <cell r="S10"/>
        </row>
        <row r="13">
          <cell r="D13"/>
          <cell r="F13"/>
          <cell r="G13"/>
          <cell r="I13"/>
          <cell r="J13"/>
          <cell r="K13"/>
          <cell r="L13">
            <v>15257046.568822</v>
          </cell>
          <cell r="M13">
            <v>15257046.568822</v>
          </cell>
          <cell r="O13"/>
          <cell r="P13"/>
          <cell r="Q13"/>
          <cell r="R13">
            <v>139958757.79477701</v>
          </cell>
          <cell r="S13">
            <v>139958757.79477701</v>
          </cell>
        </row>
        <row r="14">
          <cell r="D14"/>
          <cell r="F14"/>
          <cell r="G14"/>
          <cell r="I14"/>
          <cell r="J14"/>
          <cell r="K14"/>
          <cell r="L14">
            <v>0</v>
          </cell>
          <cell r="M14">
            <v>0</v>
          </cell>
          <cell r="O14"/>
          <cell r="P14"/>
          <cell r="Q14"/>
          <cell r="R14">
            <v>0</v>
          </cell>
          <cell r="S14">
            <v>0</v>
          </cell>
        </row>
        <row r="15">
          <cell r="D15"/>
          <cell r="F15"/>
          <cell r="G15"/>
          <cell r="I15"/>
          <cell r="J15"/>
          <cell r="K15"/>
          <cell r="L15">
            <v>15257046.568822</v>
          </cell>
          <cell r="M15">
            <v>15257046.568822</v>
          </cell>
          <cell r="O15"/>
          <cell r="P15"/>
          <cell r="Q15"/>
          <cell r="R15">
            <v>139958757.79477701</v>
          </cell>
          <cell r="S15">
            <v>139958757.79477701</v>
          </cell>
        </row>
        <row r="16">
          <cell r="D16"/>
          <cell r="E16"/>
          <cell r="H16"/>
          <cell r="K16"/>
          <cell r="L16">
            <v>1607579.7885389072</v>
          </cell>
          <cell r="M16">
            <v>1607579.7885389072</v>
          </cell>
          <cell r="N16"/>
          <cell r="Q16"/>
          <cell r="R16">
            <v>3825724.3684063908</v>
          </cell>
          <cell r="S16">
            <v>3825724.3684063908</v>
          </cell>
        </row>
        <row r="17">
          <cell r="D17"/>
          <cell r="E17"/>
          <cell r="H17"/>
          <cell r="K17"/>
          <cell r="L17">
            <v>16864626.357360907</v>
          </cell>
          <cell r="M17">
            <v>16864626.357360907</v>
          </cell>
          <cell r="N17"/>
          <cell r="Q17"/>
          <cell r="R17">
            <v>143784482.16318339</v>
          </cell>
        </row>
      </sheetData>
      <sheetData sheetId="16">
        <row r="9">
          <cell r="D9"/>
          <cell r="E9"/>
          <cell r="F9"/>
          <cell r="G9"/>
          <cell r="H9"/>
          <cell r="I9"/>
          <cell r="J9"/>
          <cell r="K9"/>
          <cell r="L9"/>
          <cell r="M9"/>
          <cell r="N9"/>
          <cell r="O9"/>
          <cell r="P9"/>
          <cell r="Q9"/>
          <cell r="R9"/>
          <cell r="S9"/>
          <cell r="T9"/>
        </row>
        <row r="10">
          <cell r="D10"/>
          <cell r="E10"/>
          <cell r="F10"/>
          <cell r="G10"/>
          <cell r="H10"/>
          <cell r="I10"/>
          <cell r="J10"/>
          <cell r="K10"/>
          <cell r="L10"/>
          <cell r="M10"/>
          <cell r="N10"/>
          <cell r="O10"/>
          <cell r="P10"/>
          <cell r="Q10"/>
          <cell r="R10"/>
          <cell r="S10"/>
          <cell r="T10"/>
        </row>
        <row r="14">
          <cell r="D14">
            <v>7010742.6168512823</v>
          </cell>
          <cell r="E14">
            <v>-2514094.4921983015</v>
          </cell>
          <cell r="F14">
            <v>-11969841.421749957</v>
          </cell>
          <cell r="G14">
            <v>507895873.2586751</v>
          </cell>
          <cell r="H14">
            <v>68560672.246485442</v>
          </cell>
          <cell r="I14">
            <v>327723.34055250708</v>
          </cell>
          <cell r="J14">
            <v>89700709.890490979</v>
          </cell>
          <cell r="K14">
            <v>-5329823.3911055271</v>
          </cell>
          <cell r="L14">
            <v>-2294967.7860286343</v>
          </cell>
          <cell r="M14">
            <v>1061424.2608664613</v>
          </cell>
          <cell r="N14">
            <v>11575295.785511956</v>
          </cell>
          <cell r="O14">
            <v>-1167114.7853872753</v>
          </cell>
          <cell r="P14">
            <v>14673.251511053279</v>
          </cell>
          <cell r="Q14">
            <v>-18469776.279114909</v>
          </cell>
          <cell r="R14">
            <v>-57328.25573594794</v>
          </cell>
          <cell r="S14">
            <v>-22136722.58126805</v>
          </cell>
          <cell r="T14">
            <v>622207445.65835607</v>
          </cell>
        </row>
        <row r="15">
          <cell r="D15">
            <v>0</v>
          </cell>
          <cell r="E15">
            <v>0</v>
          </cell>
          <cell r="F15">
            <v>0</v>
          </cell>
          <cell r="G15">
            <v>0</v>
          </cell>
          <cell r="H15">
            <v>0</v>
          </cell>
          <cell r="I15">
            <v>0</v>
          </cell>
          <cell r="J15">
            <v>58336.374750580457</v>
          </cell>
          <cell r="K15">
            <v>0</v>
          </cell>
          <cell r="L15">
            <v>0</v>
          </cell>
          <cell r="M15">
            <v>0</v>
          </cell>
          <cell r="N15">
            <v>0</v>
          </cell>
          <cell r="O15">
            <v>0</v>
          </cell>
          <cell r="P15">
            <v>0</v>
          </cell>
          <cell r="Q15">
            <v>-13738334.721784696</v>
          </cell>
          <cell r="R15">
            <v>-3.118114702417683E-3</v>
          </cell>
          <cell r="S15">
            <v>-19573463.83970369</v>
          </cell>
          <cell r="T15">
            <v>-33253462.189855918</v>
          </cell>
        </row>
        <row r="16">
          <cell r="D16">
            <v>7010742.6168512823</v>
          </cell>
          <cell r="E16">
            <v>-2514094.4921983015</v>
          </cell>
          <cell r="F16">
            <v>-11969841.421749957</v>
          </cell>
          <cell r="G16">
            <v>507895873.2586751</v>
          </cell>
          <cell r="H16">
            <v>68560672.246485442</v>
          </cell>
          <cell r="I16">
            <v>327723.34055250708</v>
          </cell>
          <cell r="J16">
            <v>89642373.515740395</v>
          </cell>
          <cell r="K16">
            <v>-5329823.3911055271</v>
          </cell>
          <cell r="L16">
            <v>-2294967.7860286343</v>
          </cell>
          <cell r="M16">
            <v>1061424.2608664613</v>
          </cell>
          <cell r="N16">
            <v>11575295.785511956</v>
          </cell>
          <cell r="O16">
            <v>-1167114.7853872753</v>
          </cell>
          <cell r="P16">
            <v>14673.251511053279</v>
          </cell>
          <cell r="Q16">
            <v>-4731441.5573302135</v>
          </cell>
          <cell r="R16">
            <v>-57328.252617833234</v>
          </cell>
          <cell r="S16">
            <v>-2563258.7415643595</v>
          </cell>
          <cell r="T16">
            <v>655460907.848212</v>
          </cell>
        </row>
        <row r="18">
          <cell r="D18">
            <v>31942359.470047999</v>
          </cell>
          <cell r="E18">
            <v>15958688.536789775</v>
          </cell>
          <cell r="F18">
            <v>45558742.550071999</v>
          </cell>
          <cell r="G18">
            <v>677347149.67004406</v>
          </cell>
          <cell r="H18">
            <v>21496105.844903</v>
          </cell>
          <cell r="I18">
            <v>2269600.3743353956</v>
          </cell>
          <cell r="J18">
            <v>200208904.08587554</v>
          </cell>
          <cell r="K18">
            <v>76519466.143899262</v>
          </cell>
          <cell r="L18">
            <v>84843.438431000002</v>
          </cell>
          <cell r="M18">
            <v>38053328.805858001</v>
          </cell>
          <cell r="N18">
            <v>2227200.0827600001</v>
          </cell>
          <cell r="O18">
            <v>4035077.4968070006</v>
          </cell>
          <cell r="P18">
            <v>824528.83594107302</v>
          </cell>
          <cell r="Q18">
            <v>110287604.66846415</v>
          </cell>
          <cell r="R18">
            <v>80936.777048121221</v>
          </cell>
          <cell r="S18">
            <v>87351137.040127724</v>
          </cell>
          <cell r="T18">
            <v>1314245673.8214042</v>
          </cell>
        </row>
        <row r="20">
          <cell r="D20">
            <v>0</v>
          </cell>
          <cell r="E20">
            <v>0</v>
          </cell>
          <cell r="F20">
            <v>0</v>
          </cell>
          <cell r="G20">
            <v>0</v>
          </cell>
          <cell r="H20">
            <v>0</v>
          </cell>
          <cell r="I20">
            <v>0</v>
          </cell>
          <cell r="J20">
            <v>125003.70225373226</v>
          </cell>
          <cell r="K20">
            <v>0</v>
          </cell>
          <cell r="L20">
            <v>0</v>
          </cell>
          <cell r="M20">
            <v>0</v>
          </cell>
          <cell r="N20">
            <v>0</v>
          </cell>
          <cell r="O20">
            <v>0</v>
          </cell>
          <cell r="P20">
            <v>0</v>
          </cell>
          <cell r="Q20">
            <v>38853161.924346678</v>
          </cell>
          <cell r="R20">
            <v>0</v>
          </cell>
          <cell r="S20">
            <v>11399097.202304842</v>
          </cell>
          <cell r="T20">
            <v>50377262.828905247</v>
          </cell>
        </row>
        <row r="21">
          <cell r="D21">
            <v>31942359.470047999</v>
          </cell>
          <cell r="E21">
            <v>15958688.536789775</v>
          </cell>
          <cell r="F21">
            <v>45558742.550071999</v>
          </cell>
          <cell r="G21">
            <v>677347149.67004406</v>
          </cell>
          <cell r="H21">
            <v>21496105.844903</v>
          </cell>
          <cell r="I21">
            <v>2269600.3743353956</v>
          </cell>
          <cell r="J21">
            <v>200083900.38362181</v>
          </cell>
          <cell r="K21">
            <v>76519466.143899262</v>
          </cell>
          <cell r="L21">
            <v>84843.438431000002</v>
          </cell>
          <cell r="M21">
            <v>38053328.805858001</v>
          </cell>
          <cell r="N21">
            <v>2227200.0827600001</v>
          </cell>
          <cell r="O21">
            <v>4035077.4968070006</v>
          </cell>
          <cell r="P21">
            <v>824528.83594107302</v>
          </cell>
          <cell r="Q21">
            <v>71434442.744117469</v>
          </cell>
          <cell r="R21">
            <v>80936.777048121221</v>
          </cell>
          <cell r="S21">
            <v>75952039.837822884</v>
          </cell>
          <cell r="T21">
            <v>1263868410.9924991</v>
          </cell>
        </row>
        <row r="22">
          <cell r="D22">
            <v>38953102.086899281</v>
          </cell>
          <cell r="E22">
            <v>13444594.044591473</v>
          </cell>
          <cell r="F22">
            <v>33588901.128322043</v>
          </cell>
          <cell r="G22">
            <v>1185243022.928719</v>
          </cell>
          <cell r="H22">
            <v>90056778.091388434</v>
          </cell>
          <cell r="I22">
            <v>2597323.7148879026</v>
          </cell>
          <cell r="J22">
            <v>289909613.97636652</v>
          </cell>
          <cell r="K22">
            <v>71189642.752793729</v>
          </cell>
          <cell r="L22">
            <v>-2210124.3475976344</v>
          </cell>
          <cell r="M22">
            <v>39114753.066724464</v>
          </cell>
          <cell r="N22">
            <v>13802495.868271956</v>
          </cell>
          <cell r="O22">
            <v>2867962.7114197253</v>
          </cell>
          <cell r="P22">
            <v>839202.08745212632</v>
          </cell>
          <cell r="Q22">
            <v>91817828.389349252</v>
          </cell>
          <cell r="R22">
            <v>23608.521312173281</v>
          </cell>
          <cell r="S22">
            <v>65214414.458859675</v>
          </cell>
          <cell r="T22">
            <v>1936453119.4797606</v>
          </cell>
        </row>
        <row r="23">
          <cell r="D23">
            <v>38953102.086899281</v>
          </cell>
          <cell r="E23">
            <v>13444594.044591473</v>
          </cell>
          <cell r="F23">
            <v>33588901.128322043</v>
          </cell>
          <cell r="G23">
            <v>1185243022.928719</v>
          </cell>
          <cell r="H23">
            <v>90056778.091388434</v>
          </cell>
          <cell r="I23">
            <v>2597323.7148879026</v>
          </cell>
          <cell r="J23">
            <v>289726273.89936221</v>
          </cell>
          <cell r="K23">
            <v>71189642.752793729</v>
          </cell>
          <cell r="L23">
            <v>-2210124.3475976344</v>
          </cell>
          <cell r="M23">
            <v>39114753.066724464</v>
          </cell>
          <cell r="N23">
            <v>13802495.868271956</v>
          </cell>
          <cell r="O23">
            <v>2867962.7114197253</v>
          </cell>
          <cell r="P23">
            <v>839202.08745212632</v>
          </cell>
          <cell r="Q23">
            <v>66703001.186787255</v>
          </cell>
          <cell r="R23">
            <v>23608.524430287987</v>
          </cell>
          <cell r="S23">
            <v>73388781.096258521</v>
          </cell>
          <cell r="T23">
            <v>1919329318.8407111</v>
          </cell>
        </row>
        <row r="24">
          <cell r="D24">
            <v>2868699.5505691469</v>
          </cell>
          <cell r="E24">
            <v>1433227.9578811289</v>
          </cell>
          <cell r="F24">
            <v>4091568.2637795652</v>
          </cell>
          <cell r="G24">
            <v>60831619.70735997</v>
          </cell>
          <cell r="H24">
            <v>1930535.8213779877</v>
          </cell>
          <cell r="I24">
            <v>203829.70080631098</v>
          </cell>
          <cell r="J24">
            <v>17980487.437368061</v>
          </cell>
          <cell r="K24">
            <v>6872108.4409130234</v>
          </cell>
          <cell r="L24">
            <v>7619.6729901551353</v>
          </cell>
          <cell r="M24">
            <v>3417517.3360435795</v>
          </cell>
          <cell r="N24">
            <v>200021.78869824042</v>
          </cell>
          <cell r="O24">
            <v>362384.78289169818</v>
          </cell>
          <cell r="P24">
            <v>74049.805347454007</v>
          </cell>
          <cell r="Q24">
            <v>9904778.70748524</v>
          </cell>
          <cell r="R24">
            <v>7268.8210825557935</v>
          </cell>
          <cell r="S24">
            <v>7844885.9672901882</v>
          </cell>
          <cell r="T24">
            <v>118030603.76188433</v>
          </cell>
        </row>
        <row r="26">
          <cell r="D26">
            <v>41821801.637468427</v>
          </cell>
          <cell r="E26">
            <v>14877822.002472602</v>
          </cell>
          <cell r="F26">
            <v>37680469.392101608</v>
          </cell>
          <cell r="G26">
            <v>1246074642.6360791</v>
          </cell>
          <cell r="H26">
            <v>91987313.912766427</v>
          </cell>
          <cell r="I26">
            <v>2801153.4156942135</v>
          </cell>
          <cell r="J26">
            <v>307890101.41373456</v>
          </cell>
          <cell r="K26">
            <v>78061751.193706751</v>
          </cell>
          <cell r="L26">
            <v>-2202504.6746074795</v>
          </cell>
          <cell r="M26">
            <v>42532270.402768046</v>
          </cell>
          <cell r="N26">
            <v>14002517.656970197</v>
          </cell>
          <cell r="O26">
            <v>3230347.4943114235</v>
          </cell>
          <cell r="P26">
            <v>913251.89279958035</v>
          </cell>
          <cell r="Q26">
            <v>101722607.0968345</v>
          </cell>
          <cell r="R26">
            <v>30877.342394729076</v>
          </cell>
          <cell r="S26">
            <v>73059300.42614986</v>
          </cell>
          <cell r="T26">
            <v>2054483723.2416446</v>
          </cell>
        </row>
        <row r="27">
          <cell r="D27">
            <v>0</v>
          </cell>
          <cell r="E27">
            <v>0</v>
          </cell>
          <cell r="F27">
            <v>0</v>
          </cell>
          <cell r="G27">
            <v>0</v>
          </cell>
          <cell r="H27">
            <v>0</v>
          </cell>
          <cell r="I27">
            <v>0</v>
          </cell>
          <cell r="J27">
            <v>183340.07700431271</v>
          </cell>
          <cell r="K27">
            <v>0</v>
          </cell>
          <cell r="L27">
            <v>0</v>
          </cell>
          <cell r="M27">
            <v>0</v>
          </cell>
          <cell r="N27">
            <v>0</v>
          </cell>
          <cell r="O27">
            <v>0</v>
          </cell>
          <cell r="P27">
            <v>0</v>
          </cell>
          <cell r="Q27">
            <v>25114827.202561982</v>
          </cell>
          <cell r="R27">
            <v>-3.118114702417683E-3</v>
          </cell>
          <cell r="S27">
            <v>-8174366.6373988483</v>
          </cell>
          <cell r="T27">
            <v>17123800.639049329</v>
          </cell>
        </row>
        <row r="28">
          <cell r="D28">
            <v>41821801.637468427</v>
          </cell>
          <cell r="E28">
            <v>14877822.002472602</v>
          </cell>
          <cell r="F28">
            <v>37680469.392101608</v>
          </cell>
          <cell r="G28">
            <v>1246074642.6360791</v>
          </cell>
          <cell r="H28">
            <v>91987313.912766427</v>
          </cell>
          <cell r="I28">
            <v>2801153.4156942135</v>
          </cell>
          <cell r="J28">
            <v>307706761.33673024</v>
          </cell>
          <cell r="K28">
            <v>78061751.193706751</v>
          </cell>
          <cell r="L28">
            <v>-2202504.6746074795</v>
          </cell>
          <cell r="M28">
            <v>42532270.402768046</v>
          </cell>
          <cell r="N28">
            <v>14002517.656970197</v>
          </cell>
          <cell r="O28">
            <v>3230347.4943114235</v>
          </cell>
          <cell r="P28">
            <v>913251.89279958035</v>
          </cell>
          <cell r="Q28">
            <v>76607779.894272506</v>
          </cell>
          <cell r="R28">
            <v>30877.345512843778</v>
          </cell>
          <cell r="S28">
            <v>81233667.063548714</v>
          </cell>
          <cell r="T28">
            <v>2037359922.6025956</v>
          </cell>
        </row>
      </sheetData>
      <sheetData sheetId="17">
        <row r="56">
          <cell r="D56">
            <v>5268426071.708827</v>
          </cell>
        </row>
        <row r="57">
          <cell r="D57">
            <v>462377188</v>
          </cell>
        </row>
        <row r="58">
          <cell r="D58">
            <v>421322361.75</v>
          </cell>
        </row>
        <row r="59">
          <cell r="D59">
            <v>4103340646.8500004</v>
          </cell>
        </row>
        <row r="60">
          <cell r="D60"/>
        </row>
        <row r="61">
          <cell r="D61">
            <v>281385875.10882664</v>
          </cell>
        </row>
      </sheetData>
      <sheetData sheetId="18">
        <row r="8">
          <cell r="D8">
            <v>416601595.29143411</v>
          </cell>
        </row>
        <row r="18">
          <cell r="D18">
            <v>38953102.086899281</v>
          </cell>
          <cell r="E18">
            <v>205356856.12</v>
          </cell>
        </row>
        <row r="19">
          <cell r="D19">
            <v>13444594.044591473</v>
          </cell>
          <cell r="E19">
            <v>25642091.747407947</v>
          </cell>
        </row>
        <row r="20">
          <cell r="D20">
            <v>33588901.128322043</v>
          </cell>
          <cell r="E20">
            <v>128160029.965</v>
          </cell>
        </row>
        <row r="21">
          <cell r="D21">
            <v>1185243022.928719</v>
          </cell>
          <cell r="E21">
            <v>1174691962.5644832</v>
          </cell>
        </row>
        <row r="22">
          <cell r="D22">
            <v>90056778.091388434</v>
          </cell>
          <cell r="E22">
            <v>268126458.68353063</v>
          </cell>
        </row>
        <row r="23">
          <cell r="D23">
            <v>2597323.7148879026</v>
          </cell>
          <cell r="E23">
            <v>2166390.4525000001</v>
          </cell>
        </row>
        <row r="24">
          <cell r="D24">
            <v>289726273.89936221</v>
          </cell>
          <cell r="E24">
            <v>565285452.86264324</v>
          </cell>
        </row>
        <row r="25">
          <cell r="D25">
            <v>71189642.752793729</v>
          </cell>
          <cell r="E25">
            <v>62821640.599645577</v>
          </cell>
        </row>
        <row r="26">
          <cell r="D26">
            <v>0</v>
          </cell>
          <cell r="E26">
            <v>12625090.300000001</v>
          </cell>
        </row>
        <row r="27">
          <cell r="D27">
            <v>39114753.066724464</v>
          </cell>
          <cell r="E27">
            <v>34840641.652499996</v>
          </cell>
        </row>
        <row r="28">
          <cell r="D28">
            <v>13802495.868271956</v>
          </cell>
          <cell r="E28">
            <v>31860066.564999998</v>
          </cell>
        </row>
        <row r="29">
          <cell r="D29">
            <v>2867962.7114197253</v>
          </cell>
          <cell r="E29">
            <v>8161281.2417995799</v>
          </cell>
        </row>
        <row r="30">
          <cell r="D30">
            <v>839202.08745212632</v>
          </cell>
          <cell r="E30">
            <v>635935.59999999986</v>
          </cell>
        </row>
        <row r="31">
          <cell r="D31">
            <v>66703001.186787255</v>
          </cell>
          <cell r="E31">
            <v>73821034.289999977</v>
          </cell>
        </row>
        <row r="32">
          <cell r="D32">
            <v>23608.524430287987</v>
          </cell>
          <cell r="E32">
            <v>26475.199999999993</v>
          </cell>
        </row>
        <row r="33">
          <cell r="D33">
            <v>73388781.096258521</v>
          </cell>
          <cell r="E33">
            <v>70233264.020000011</v>
          </cell>
        </row>
        <row r="46">
          <cell r="D46">
            <v>3259531.8916355791</v>
          </cell>
        </row>
        <row r="55">
          <cell r="D55"/>
        </row>
        <row r="56">
          <cell r="D56"/>
        </row>
        <row r="57">
          <cell r="D57"/>
        </row>
        <row r="58">
          <cell r="D58">
            <v>155215804.363599</v>
          </cell>
        </row>
        <row r="59">
          <cell r="E59"/>
        </row>
      </sheetData>
      <sheetData sheetId="19"/>
      <sheetData sheetId="20">
        <row r="7">
          <cell r="D7">
            <v>419861127.18306971</v>
          </cell>
        </row>
        <row r="8">
          <cell r="D8">
            <v>1923875735.9689999</v>
          </cell>
        </row>
        <row r="9">
          <cell r="D9">
            <v>865744081.18604994</v>
          </cell>
        </row>
        <row r="10">
          <cell r="D10">
            <v>480968933.99224997</v>
          </cell>
        </row>
        <row r="11">
          <cell r="D11">
            <v>480968933.99224997</v>
          </cell>
        </row>
        <row r="12">
          <cell r="D12">
            <v>3900000</v>
          </cell>
        </row>
        <row r="13">
          <cell r="D13">
            <v>480968933.99224997</v>
          </cell>
        </row>
      </sheetData>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dex"/>
      <sheetName val="Income protection"/>
      <sheetName val="Workers' Compensation"/>
      <sheetName val="MTPL"/>
      <sheetName val="MOD"/>
      <sheetName val="Marine"/>
      <sheetName val="Fire"/>
      <sheetName val="GTPL"/>
      <sheetName val="Credit"/>
      <sheetName val="Legal"/>
      <sheetName val="Assistance"/>
      <sheetName val="Misc"/>
      <sheetName val="NP Health"/>
      <sheetName val="NP Casualty"/>
      <sheetName val="NP Property"/>
      <sheetName val="NP MAT"/>
      <sheetName val="Total"/>
      <sheetName val="Comparison with prev year"/>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N20"/>
          <cell r="O20"/>
          <cell r="P20"/>
          <cell r="Q20"/>
          <cell r="R20"/>
          <cell r="S20">
            <v>7549127.4810627885</v>
          </cell>
        </row>
        <row r="21">
          <cell r="N21">
            <v>311036.90148335724</v>
          </cell>
          <cell r="O21">
            <v>797306.92320139986</v>
          </cell>
          <cell r="P21">
            <v>266942.04927831999</v>
          </cell>
          <cell r="Q21">
            <v>332318.03294352995</v>
          </cell>
          <cell r="R21">
            <v>775604.70669507992</v>
          </cell>
          <cell r="S21"/>
        </row>
        <row r="22">
          <cell r="N22">
            <v>485308.13666910963</v>
          </cell>
          <cell r="O22">
            <v>785177.88104195008</v>
          </cell>
          <cell r="P22">
            <v>72062.557543869989</v>
          </cell>
          <cell r="Q22">
            <v>2003161.43385266</v>
          </cell>
          <cell r="R22"/>
          <cell r="S22"/>
        </row>
        <row r="23">
          <cell r="N23">
            <v>446911.07580672001</v>
          </cell>
          <cell r="O23">
            <v>1714903.4813045603</v>
          </cell>
          <cell r="P23">
            <v>-3537775.2161692199</v>
          </cell>
          <cell r="Q23"/>
          <cell r="R23"/>
          <cell r="S23"/>
        </row>
        <row r="24">
          <cell r="N24">
            <v>1213166.8783143891</v>
          </cell>
          <cell r="O24">
            <v>-104451.22300613001</v>
          </cell>
          <cell r="P24"/>
          <cell r="Q24"/>
          <cell r="R24"/>
          <cell r="S24"/>
        </row>
        <row r="25">
          <cell r="N25">
            <v>3745510.3641136801</v>
          </cell>
          <cell r="O25"/>
          <cell r="P25"/>
          <cell r="Q25"/>
          <cell r="R25"/>
          <cell r="S25"/>
        </row>
        <row r="26">
          <cell r="D26">
            <v>0</v>
          </cell>
          <cell r="E26">
            <v>0</v>
          </cell>
          <cell r="F26">
            <v>0</v>
          </cell>
          <cell r="G26">
            <v>20802744.913845688</v>
          </cell>
          <cell r="H26">
            <v>19660222.407821581</v>
          </cell>
          <cell r="I26">
            <v>9851350.4999730363</v>
          </cell>
          <cell r="J26">
            <v>3737839.5235695634</v>
          </cell>
          <cell r="K26">
            <v>5137845.9546750207</v>
          </cell>
          <cell r="L26">
            <v>3023379.0623399592</v>
          </cell>
          <cell r="M26">
            <v>2009437.6705632827</v>
          </cell>
        </row>
        <row r="27">
          <cell r="D27">
            <v>0</v>
          </cell>
          <cell r="E27">
            <v>0</v>
          </cell>
          <cell r="F27">
            <v>25379397.768972706</v>
          </cell>
          <cell r="G27">
            <v>24689543.647814345</v>
          </cell>
          <cell r="H27">
            <v>14892927.585043374</v>
          </cell>
          <cell r="I27">
            <v>10076361.633592334</v>
          </cell>
          <cell r="J27">
            <v>5708683.1163350893</v>
          </cell>
          <cell r="K27">
            <v>4654462.5974117899</v>
          </cell>
          <cell r="L27">
            <v>2738431.1630818797</v>
          </cell>
        </row>
        <row r="28">
          <cell r="D28">
            <v>0</v>
          </cell>
          <cell r="E28">
            <v>77659682.856493101</v>
          </cell>
          <cell r="F28">
            <v>34114880.00956095</v>
          </cell>
          <cell r="G28">
            <v>24293857.178995218</v>
          </cell>
          <cell r="H28">
            <v>14036603.900448738</v>
          </cell>
          <cell r="I28">
            <v>9818184.3363149147</v>
          </cell>
          <cell r="J28">
            <v>6397022.3630215777</v>
          </cell>
          <cell r="K28">
            <v>7862187.4710209388</v>
          </cell>
        </row>
        <row r="29">
          <cell r="D29">
            <v>287810024.07447636</v>
          </cell>
          <cell r="E29">
            <v>163609288.34193742</v>
          </cell>
          <cell r="F29">
            <v>45266691.669590428</v>
          </cell>
          <cell r="G29">
            <v>28951539.531467006</v>
          </cell>
          <cell r="H29">
            <v>24534797.204900578</v>
          </cell>
          <cell r="I29">
            <v>13169452.054499578</v>
          </cell>
          <cell r="J29">
            <v>8846410.9220313374</v>
          </cell>
        </row>
        <row r="30">
          <cell r="D30">
            <v>376312048.36537927</v>
          </cell>
          <cell r="E30">
            <v>165290308.49050987</v>
          </cell>
          <cell r="F30">
            <v>44984215.020826213</v>
          </cell>
          <cell r="G30">
            <v>30268911.381772626</v>
          </cell>
          <cell r="H30">
            <v>17845219.883453365</v>
          </cell>
          <cell r="I30">
            <v>11659471.126823239</v>
          </cell>
        </row>
        <row r="31">
          <cell r="D31">
            <v>448332012.04150254</v>
          </cell>
          <cell r="E31">
            <v>201405261.12961835</v>
          </cell>
          <cell r="F31">
            <v>47938543.049519904</v>
          </cell>
          <cell r="G31">
            <v>35153189.047200873</v>
          </cell>
          <cell r="H31">
            <v>28840005.556730125</v>
          </cell>
        </row>
        <row r="32">
          <cell r="D32">
            <v>469143571.21629751</v>
          </cell>
          <cell r="E32">
            <v>231248825.35238931</v>
          </cell>
          <cell r="F32">
            <v>70562305.20511055</v>
          </cell>
          <cell r="G32">
            <v>57664121.369338162</v>
          </cell>
        </row>
        <row r="33">
          <cell r="D33">
            <v>491479904.01603758</v>
          </cell>
          <cell r="E33">
            <v>238297852.37460762</v>
          </cell>
          <cell r="F33">
            <v>66145516.815002955</v>
          </cell>
        </row>
        <row r="34">
          <cell r="D34">
            <v>583643542.22830749</v>
          </cell>
          <cell r="E34">
            <v>236472038.10397303</v>
          </cell>
        </row>
        <row r="35">
          <cell r="D35">
            <v>592429950.37059379</v>
          </cell>
        </row>
        <row r="54">
          <cell r="D54">
            <v>7549127.4810627885</v>
          </cell>
          <cell r="E54">
            <v>7549127.4810627885</v>
          </cell>
        </row>
        <row r="55">
          <cell r="D55">
            <v>775604.70669507992</v>
          </cell>
          <cell r="E55">
            <v>4418759.856850408</v>
          </cell>
        </row>
        <row r="56">
          <cell r="D56">
            <v>2003161.43385266</v>
          </cell>
          <cell r="E56">
            <v>7387542.2874151263</v>
          </cell>
        </row>
        <row r="57">
          <cell r="D57">
            <v>-3537775.2161692199</v>
          </cell>
          <cell r="E57">
            <v>6463087.1411642386</v>
          </cell>
        </row>
        <row r="58">
          <cell r="D58">
            <v>-104451.22300613001</v>
          </cell>
          <cell r="E58">
            <v>14838205.588645237</v>
          </cell>
        </row>
        <row r="59">
          <cell r="D59">
            <v>3745510.3641136801</v>
          </cell>
          <cell r="E59">
            <v>27673587.268374532</v>
          </cell>
        </row>
        <row r="60">
          <cell r="D60">
            <v>2009437.6705632827</v>
          </cell>
          <cell r="E60">
            <v>64222820.03278812</v>
          </cell>
        </row>
        <row r="61">
          <cell r="D61">
            <v>2738431.1630818797</v>
          </cell>
          <cell r="E61">
            <v>88139807.512251511</v>
          </cell>
        </row>
        <row r="62">
          <cell r="D62">
            <v>7862187.4710209388</v>
          </cell>
          <cell r="E62">
            <v>174182418.11585546</v>
          </cell>
        </row>
        <row r="63">
          <cell r="D63">
            <v>8846410.9220313374</v>
          </cell>
          <cell r="E63">
            <v>572188203.79890287</v>
          </cell>
        </row>
        <row r="64">
          <cell r="D64">
            <v>11659471.126823239</v>
          </cell>
          <cell r="E64">
            <v>646360174.26876462</v>
          </cell>
        </row>
        <row r="65">
          <cell r="D65">
            <v>28840005.556730125</v>
          </cell>
          <cell r="E65">
            <v>761669010.82457173</v>
          </cell>
        </row>
        <row r="66">
          <cell r="D66">
            <v>57664121.369338162</v>
          </cell>
          <cell r="E66">
            <v>828618823.14313555</v>
          </cell>
        </row>
        <row r="67">
          <cell r="D67">
            <v>66145516.815002955</v>
          </cell>
          <cell r="E67">
            <v>795923273.20564806</v>
          </cell>
        </row>
        <row r="68">
          <cell r="D68">
            <v>236472038.10397303</v>
          </cell>
          <cell r="E68">
            <v>820115580.3322804</v>
          </cell>
        </row>
        <row r="69">
          <cell r="D69">
            <v>592429950.37059379</v>
          </cell>
          <cell r="E69">
            <v>592429950.37059379</v>
          </cell>
        </row>
        <row r="70">
          <cell r="D70">
            <v>1025098748.1157073</v>
          </cell>
          <cell r="E70">
            <v>5412180371.2283049</v>
          </cell>
        </row>
        <row r="89">
          <cell r="N89"/>
          <cell r="O89"/>
          <cell r="P89"/>
          <cell r="Q89"/>
          <cell r="R89"/>
          <cell r="S89">
            <v>-1864352.9929140387</v>
          </cell>
        </row>
        <row r="90">
          <cell r="N90">
            <v>1940710.3392343898</v>
          </cell>
          <cell r="O90">
            <v>3001472.6437155697</v>
          </cell>
          <cell r="P90">
            <v>3558331.6142451521</v>
          </cell>
          <cell r="Q90">
            <v>3051736.5396845257</v>
          </cell>
          <cell r="R90">
            <v>-25254.055628282047</v>
          </cell>
          <cell r="S90"/>
        </row>
        <row r="91">
          <cell r="N91">
            <v>4311347.69314049</v>
          </cell>
          <cell r="O91">
            <v>3624723.2805343629</v>
          </cell>
          <cell r="P91">
            <v>3093812.323409589</v>
          </cell>
          <cell r="Q91">
            <v>-217221.26397244071</v>
          </cell>
          <cell r="R91"/>
          <cell r="S91"/>
        </row>
        <row r="92">
          <cell r="N92">
            <v>528121.38412444131</v>
          </cell>
          <cell r="O92">
            <v>-1590472.9735668162</v>
          </cell>
          <cell r="P92">
            <v>1898295.0072525833</v>
          </cell>
          <cell r="Q92"/>
          <cell r="R92"/>
          <cell r="S92"/>
        </row>
        <row r="93">
          <cell r="N93">
            <v>-782013.26609507797</v>
          </cell>
          <cell r="O93">
            <v>1648919.235162409</v>
          </cell>
          <cell r="P93"/>
          <cell r="Q93"/>
          <cell r="R93"/>
          <cell r="S93"/>
        </row>
        <row r="94">
          <cell r="N94">
            <v>1250363.806031069</v>
          </cell>
          <cell r="O94"/>
          <cell r="P94"/>
          <cell r="Q94"/>
          <cell r="R94"/>
          <cell r="S94"/>
        </row>
        <row r="95">
          <cell r="D95">
            <v>0</v>
          </cell>
          <cell r="E95">
            <v>0</v>
          </cell>
          <cell r="F95">
            <v>0</v>
          </cell>
          <cell r="G95">
            <v>56853540.387723707</v>
          </cell>
          <cell r="H95">
            <v>36174728.678646356</v>
          </cell>
          <cell r="I95">
            <v>31238961.442484401</v>
          </cell>
          <cell r="J95">
            <v>16979336.357953344</v>
          </cell>
          <cell r="K95">
            <v>10188466.560242459</v>
          </cell>
          <cell r="L95">
            <v>5831822.4231808884</v>
          </cell>
          <cell r="M95">
            <v>3150686.4936423055</v>
          </cell>
        </row>
        <row r="96">
          <cell r="D96">
            <v>0</v>
          </cell>
          <cell r="E96">
            <v>0</v>
          </cell>
          <cell r="F96">
            <v>99197338.032658815</v>
          </cell>
          <cell r="G96">
            <v>65195182.363674209</v>
          </cell>
          <cell r="H96">
            <v>53788348.157181799</v>
          </cell>
          <cell r="I96">
            <v>17188752.293827441</v>
          </cell>
          <cell r="J96">
            <v>10977584.086196674</v>
          </cell>
          <cell r="K96">
            <v>3078533.3525696741</v>
          </cell>
          <cell r="L96">
            <v>8308285.8887652904</v>
          </cell>
        </row>
        <row r="97">
          <cell r="D97">
            <v>0</v>
          </cell>
          <cell r="E97">
            <v>169442163.01389804</v>
          </cell>
          <cell r="F97">
            <v>95609061.546872303</v>
          </cell>
          <cell r="G97">
            <v>82666009.116228104</v>
          </cell>
          <cell r="H97">
            <v>30496387.562969532</v>
          </cell>
          <cell r="I97">
            <v>20991209.365288984</v>
          </cell>
          <cell r="J97">
            <v>14447336.990876807</v>
          </cell>
          <cell r="K97">
            <v>11641152.972575804</v>
          </cell>
        </row>
        <row r="98">
          <cell r="D98">
            <v>387694296.54018319</v>
          </cell>
          <cell r="E98">
            <v>228233731.4334974</v>
          </cell>
          <cell r="F98">
            <v>192027280.83299834</v>
          </cell>
          <cell r="G98">
            <v>138957507.08917245</v>
          </cell>
          <cell r="H98">
            <v>63906072.306714214</v>
          </cell>
          <cell r="I98">
            <v>41652014.719138496</v>
          </cell>
          <cell r="J98">
            <v>33466315.773021754</v>
          </cell>
        </row>
        <row r="99">
          <cell r="D99">
            <v>409859307.90285724</v>
          </cell>
          <cell r="E99">
            <v>246423192.14705521</v>
          </cell>
          <cell r="F99">
            <v>166434590.77947217</v>
          </cell>
          <cell r="G99">
            <v>87022413.671967983</v>
          </cell>
          <cell r="H99">
            <v>60113126.352102749</v>
          </cell>
          <cell r="I99">
            <v>44535476.894358456</v>
          </cell>
        </row>
        <row r="100">
          <cell r="D100">
            <v>471195215.95257545</v>
          </cell>
          <cell r="E100">
            <v>237850850.44975075</v>
          </cell>
          <cell r="F100">
            <v>153116787.96273136</v>
          </cell>
          <cell r="G100">
            <v>97967439.36702241</v>
          </cell>
          <cell r="H100">
            <v>55862650.45405072</v>
          </cell>
        </row>
        <row r="101">
          <cell r="D101">
            <v>491484255.22769469</v>
          </cell>
          <cell r="E101">
            <v>245484430.12320897</v>
          </cell>
          <cell r="F101">
            <v>162085805.20823595</v>
          </cell>
          <cell r="G101">
            <v>77313645.756171212</v>
          </cell>
        </row>
        <row r="102">
          <cell r="D102">
            <v>479240723.00182378</v>
          </cell>
          <cell r="E102">
            <v>224336204.22704864</v>
          </cell>
          <cell r="F102">
            <v>142528012.57630453</v>
          </cell>
        </row>
        <row r="103">
          <cell r="D103">
            <v>548316380.12725377</v>
          </cell>
          <cell r="E103">
            <v>290417743.37508714</v>
          </cell>
        </row>
        <row r="104">
          <cell r="D104">
            <v>594428653.10304081</v>
          </cell>
        </row>
        <row r="123">
          <cell r="D123">
            <v>-1707596.559732062</v>
          </cell>
        </row>
        <row r="124">
          <cell r="D124">
            <v>-14939.267420060176</v>
          </cell>
        </row>
        <row r="125">
          <cell r="D125">
            <v>-194747.97996701466</v>
          </cell>
        </row>
        <row r="126">
          <cell r="D126">
            <v>1748200.3213397018</v>
          </cell>
        </row>
        <row r="127">
          <cell r="D127">
            <v>1506581.5502391704</v>
          </cell>
        </row>
        <row r="128">
          <cell r="D128">
            <v>1205531.369296544</v>
          </cell>
        </row>
        <row r="129">
          <cell r="D129">
            <v>2372671.8871668992</v>
          </cell>
        </row>
        <row r="130">
          <cell r="D130">
            <v>6916216.2859301949</v>
          </cell>
        </row>
        <row r="131">
          <cell r="D131">
            <v>9835470.4455118887</v>
          </cell>
        </row>
        <row r="132">
          <cell r="D132">
            <v>27374050.085625194</v>
          </cell>
        </row>
        <row r="133">
          <cell r="D133">
            <v>37589135.497187085</v>
          </cell>
        </row>
        <row r="134">
          <cell r="D134">
            <v>47737682.119505569</v>
          </cell>
        </row>
        <row r="135">
          <cell r="D135">
            <v>67643839.841642886</v>
          </cell>
        </row>
        <row r="136">
          <cell r="D136">
            <v>126205532.67642383</v>
          </cell>
        </row>
        <row r="137">
          <cell r="D137">
            <v>255872380.02788293</v>
          </cell>
        </row>
        <row r="138">
          <cell r="D138">
            <v>545060316.27355611</v>
          </cell>
        </row>
        <row r="139">
          <cell r="D139">
            <v>1129150324.5741889</v>
          </cell>
        </row>
      </sheetData>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fo"/>
      <sheetName val="Medex"/>
      <sheetName val="Income protection"/>
      <sheetName val="Workers' Compensation"/>
      <sheetName val="MTPL"/>
      <sheetName val="MOD"/>
      <sheetName val="Marine"/>
      <sheetName val="Fire"/>
      <sheetName val="GTPL"/>
      <sheetName val="Credit"/>
      <sheetName val="Legal"/>
      <sheetName val="Assistance"/>
      <sheetName val="Misc"/>
      <sheetName val="NP Health"/>
      <sheetName val="NP Casualty"/>
      <sheetName val="NP Property"/>
      <sheetName val="NP MAT"/>
      <sheetName val="Total"/>
      <sheetName val="Sheet1"/>
      <sheetName val="Check previous 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N20"/>
          <cell r="O20"/>
          <cell r="P20"/>
          <cell r="Q20"/>
          <cell r="R20"/>
          <cell r="S20">
            <v>0</v>
          </cell>
        </row>
        <row r="21">
          <cell r="N21">
            <v>0</v>
          </cell>
          <cell r="O21">
            <v>0</v>
          </cell>
          <cell r="P21">
            <v>0</v>
          </cell>
          <cell r="Q21">
            <v>0</v>
          </cell>
          <cell r="R21">
            <v>0</v>
          </cell>
          <cell r="S21"/>
        </row>
        <row r="22">
          <cell r="N22">
            <v>0</v>
          </cell>
          <cell r="O22">
            <v>0</v>
          </cell>
          <cell r="P22">
            <v>0</v>
          </cell>
          <cell r="Q22">
            <v>0</v>
          </cell>
          <cell r="R22"/>
          <cell r="S22"/>
        </row>
        <row r="23">
          <cell r="N23">
            <v>0</v>
          </cell>
          <cell r="O23">
            <v>0</v>
          </cell>
          <cell r="P23">
            <v>0</v>
          </cell>
          <cell r="Q23"/>
          <cell r="R23"/>
          <cell r="S23"/>
        </row>
        <row r="24">
          <cell r="N24">
            <v>0</v>
          </cell>
          <cell r="O24">
            <v>0</v>
          </cell>
          <cell r="P24"/>
          <cell r="Q24"/>
          <cell r="R24"/>
          <cell r="S24"/>
        </row>
        <row r="25">
          <cell r="N25">
            <v>0</v>
          </cell>
          <cell r="O25"/>
          <cell r="P25"/>
          <cell r="Q25"/>
          <cell r="R25"/>
          <cell r="S25"/>
        </row>
        <row r="26">
          <cell r="D26">
            <v>0</v>
          </cell>
          <cell r="E26">
            <v>0</v>
          </cell>
          <cell r="F26">
            <v>0</v>
          </cell>
          <cell r="G26">
            <v>5152.4100000000008</v>
          </cell>
          <cell r="H26">
            <v>292.22999999999996</v>
          </cell>
          <cell r="I26">
            <v>237.8</v>
          </cell>
          <cell r="J26">
            <v>12.61</v>
          </cell>
          <cell r="K26">
            <v>0</v>
          </cell>
          <cell r="L26">
            <v>10.25</v>
          </cell>
          <cell r="M26">
            <v>0</v>
          </cell>
        </row>
        <row r="27">
          <cell r="D27">
            <v>0</v>
          </cell>
          <cell r="E27">
            <v>0</v>
          </cell>
          <cell r="F27">
            <v>41443.460000000006</v>
          </cell>
          <cell r="G27">
            <v>-5850.7</v>
          </cell>
          <cell r="H27">
            <v>1122.83</v>
          </cell>
          <cell r="I27">
            <v>38601.620000000003</v>
          </cell>
          <cell r="J27">
            <v>-38568.36</v>
          </cell>
          <cell r="K27">
            <v>0</v>
          </cell>
          <cell r="L27">
            <v>55.39</v>
          </cell>
        </row>
        <row r="28">
          <cell r="D28">
            <v>0</v>
          </cell>
          <cell r="E28">
            <v>1381215.6676055945</v>
          </cell>
          <cell r="F28">
            <v>171340.36012471397</v>
          </cell>
          <cell r="G28">
            <v>59130.760340251079</v>
          </cell>
          <cell r="H28">
            <v>4832.8820177671878</v>
          </cell>
          <cell r="I28">
            <v>3634.4424399403597</v>
          </cell>
          <cell r="J28">
            <v>5682.7784757134104</v>
          </cell>
          <cell r="K28">
            <v>487.83384490032995</v>
          </cell>
        </row>
        <row r="29">
          <cell r="D29">
            <v>1843164.6970594018</v>
          </cell>
          <cell r="E29">
            <v>5105833.3067088379</v>
          </cell>
          <cell r="F29">
            <v>1346611.3843992657</v>
          </cell>
          <cell r="G29">
            <v>516639.14985035756</v>
          </cell>
          <cell r="H29">
            <v>381322.09821221099</v>
          </cell>
          <cell r="I29">
            <v>172575.81242265814</v>
          </cell>
          <cell r="J29">
            <v>84742.014903350675</v>
          </cell>
        </row>
        <row r="30">
          <cell r="D30">
            <v>1362956.5798791458</v>
          </cell>
          <cell r="E30">
            <v>5964389.7069079056</v>
          </cell>
          <cell r="F30">
            <v>1318319.5157491751</v>
          </cell>
          <cell r="G30">
            <v>589743.01783711335</v>
          </cell>
          <cell r="H30">
            <v>374841.54596277419</v>
          </cell>
          <cell r="I30">
            <v>116704.71121664961</v>
          </cell>
        </row>
        <row r="31">
          <cell r="D31">
            <v>2674805.7992113377</v>
          </cell>
          <cell r="E31">
            <v>14029982.389899176</v>
          </cell>
          <cell r="F31">
            <v>4720858.0908420356</v>
          </cell>
          <cell r="G31">
            <v>767434.29874702008</v>
          </cell>
          <cell r="H31">
            <v>534413.71298932133</v>
          </cell>
        </row>
        <row r="32">
          <cell r="D32">
            <v>2630226.6897360189</v>
          </cell>
          <cell r="E32">
            <v>27149700.348019399</v>
          </cell>
          <cell r="F32">
            <v>10845621.389297351</v>
          </cell>
          <cell r="G32">
            <v>4088355.9644183465</v>
          </cell>
        </row>
        <row r="33">
          <cell r="D33">
            <v>6194786.0474370746</v>
          </cell>
          <cell r="E33">
            <v>24857448.90754484</v>
          </cell>
          <cell r="F33">
            <v>9226244.8421393614</v>
          </cell>
        </row>
        <row r="34">
          <cell r="D34">
            <v>6479283.923147941</v>
          </cell>
          <cell r="E34">
            <v>40380874.95177459</v>
          </cell>
        </row>
        <row r="35">
          <cell r="D35">
            <v>13732149.045489414</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5705.3</v>
          </cell>
        </row>
        <row r="61">
          <cell r="D61">
            <v>55.39</v>
          </cell>
          <cell r="E61">
            <v>36804.24000000002</v>
          </cell>
        </row>
        <row r="62">
          <cell r="D62">
            <v>487.83384490032995</v>
          </cell>
          <cell r="E62">
            <v>1626324.7248488811</v>
          </cell>
        </row>
        <row r="63">
          <cell r="D63">
            <v>84742.014903350675</v>
          </cell>
          <cell r="E63">
            <v>9450888.4635560829</v>
          </cell>
        </row>
        <row r="64">
          <cell r="D64">
            <v>116704.71121664961</v>
          </cell>
          <cell r="E64">
            <v>9726955.0775527619</v>
          </cell>
        </row>
        <row r="65">
          <cell r="D65">
            <v>534413.71298932133</v>
          </cell>
          <cell r="E65">
            <v>22727494.291688893</v>
          </cell>
        </row>
        <row r="66">
          <cell r="D66">
            <v>4088355.9644183465</v>
          </cell>
          <cell r="E66">
            <v>44713904.391471118</v>
          </cell>
        </row>
        <row r="67">
          <cell r="D67">
            <v>9226244.8421393614</v>
          </cell>
          <cell r="E67">
            <v>40278479.797121279</v>
          </cell>
        </row>
        <row r="68">
          <cell r="D68">
            <v>40380874.95177459</v>
          </cell>
          <cell r="E68">
            <v>46860158.874922536</v>
          </cell>
        </row>
        <row r="69">
          <cell r="D69">
            <v>13732149.045489414</v>
          </cell>
          <cell r="E69">
            <v>13732149.045489414</v>
          </cell>
        </row>
        <row r="70">
          <cell r="D70">
            <v>68164028.466775939</v>
          </cell>
          <cell r="E70">
            <v>189158864.20665097</v>
          </cell>
        </row>
        <row r="89">
          <cell r="N89"/>
          <cell r="O89"/>
          <cell r="P89"/>
          <cell r="Q89"/>
          <cell r="R89"/>
          <cell r="S89">
            <v>0</v>
          </cell>
        </row>
        <row r="90">
          <cell r="N90">
            <v>0</v>
          </cell>
          <cell r="O90">
            <v>0</v>
          </cell>
          <cell r="P90">
            <v>0</v>
          </cell>
          <cell r="Q90">
            <v>0</v>
          </cell>
          <cell r="R90">
            <v>0</v>
          </cell>
          <cell r="S90"/>
        </row>
        <row r="91">
          <cell r="N91">
            <v>0</v>
          </cell>
          <cell r="O91">
            <v>0</v>
          </cell>
          <cell r="P91">
            <v>0</v>
          </cell>
          <cell r="Q91">
            <v>0</v>
          </cell>
          <cell r="R91"/>
          <cell r="S91"/>
        </row>
        <row r="92">
          <cell r="N92">
            <v>0</v>
          </cell>
          <cell r="O92">
            <v>0</v>
          </cell>
          <cell r="P92">
            <v>0</v>
          </cell>
          <cell r="Q92"/>
          <cell r="R92"/>
          <cell r="S92"/>
        </row>
        <row r="93">
          <cell r="N93">
            <v>0</v>
          </cell>
          <cell r="O93">
            <v>0</v>
          </cell>
          <cell r="P93"/>
          <cell r="Q93"/>
          <cell r="R93"/>
          <cell r="S93"/>
        </row>
        <row r="94">
          <cell r="N94">
            <v>0</v>
          </cell>
          <cell r="O94"/>
          <cell r="P94"/>
          <cell r="Q94"/>
          <cell r="R94"/>
          <cell r="S94"/>
        </row>
        <row r="95">
          <cell r="D95">
            <v>0</v>
          </cell>
          <cell r="E95">
            <v>0</v>
          </cell>
          <cell r="F95">
            <v>0</v>
          </cell>
          <cell r="G95">
            <v>0</v>
          </cell>
          <cell r="H95">
            <v>0</v>
          </cell>
          <cell r="I95">
            <v>0</v>
          </cell>
          <cell r="J95">
            <v>0</v>
          </cell>
          <cell r="K95">
            <v>9505.09</v>
          </cell>
          <cell r="L95">
            <v>2234.5329999999999</v>
          </cell>
          <cell r="M95">
            <v>0</v>
          </cell>
        </row>
        <row r="96">
          <cell r="D96">
            <v>0</v>
          </cell>
          <cell r="E96">
            <v>0</v>
          </cell>
          <cell r="F96">
            <v>0</v>
          </cell>
          <cell r="G96">
            <v>0</v>
          </cell>
          <cell r="H96">
            <v>0</v>
          </cell>
          <cell r="I96">
            <v>0</v>
          </cell>
          <cell r="J96">
            <v>53575.280000000013</v>
          </cell>
          <cell r="K96">
            <v>11763.864629999996</v>
          </cell>
          <cell r="L96">
            <v>11457.649557199999</v>
          </cell>
        </row>
        <row r="97">
          <cell r="D97">
            <v>0</v>
          </cell>
          <cell r="E97">
            <v>0</v>
          </cell>
          <cell r="F97">
            <v>0</v>
          </cell>
          <cell r="G97">
            <v>0</v>
          </cell>
          <cell r="H97">
            <v>0</v>
          </cell>
          <cell r="I97">
            <v>130158.75632536394</v>
          </cell>
          <cell r="J97">
            <v>16579.362822747004</v>
          </cell>
          <cell r="K97">
            <v>4877.1412180883644</v>
          </cell>
        </row>
        <row r="98">
          <cell r="D98">
            <v>8807670.4399999976</v>
          </cell>
          <cell r="E98">
            <v>0</v>
          </cell>
          <cell r="F98">
            <v>0</v>
          </cell>
          <cell r="G98">
            <v>0</v>
          </cell>
          <cell r="H98">
            <v>1318290.8535527498</v>
          </cell>
          <cell r="I98">
            <v>527299.30505501386</v>
          </cell>
          <cell r="J98">
            <v>441479.81316230074</v>
          </cell>
        </row>
        <row r="99">
          <cell r="D99">
            <v>16919553.260000002</v>
          </cell>
          <cell r="E99">
            <v>0</v>
          </cell>
          <cell r="F99">
            <v>0</v>
          </cell>
          <cell r="G99">
            <v>1130927.0871698698</v>
          </cell>
          <cell r="H99">
            <v>491960.3761063682</v>
          </cell>
          <cell r="I99">
            <v>398391.94256927248</v>
          </cell>
        </row>
        <row r="100">
          <cell r="D100">
            <v>43389322.600000001</v>
          </cell>
          <cell r="E100">
            <v>0</v>
          </cell>
          <cell r="F100">
            <v>3818921.9732271051</v>
          </cell>
          <cell r="G100">
            <v>1503158.7947129027</v>
          </cell>
          <cell r="H100">
            <v>777831.07093780325</v>
          </cell>
        </row>
        <row r="101">
          <cell r="D101">
            <v>65613659.785567813</v>
          </cell>
          <cell r="E101">
            <v>8705245.4015707094</v>
          </cell>
          <cell r="F101">
            <v>12682432.073239619</v>
          </cell>
          <cell r="G101">
            <v>5005879.0701692067</v>
          </cell>
        </row>
        <row r="102">
          <cell r="D102">
            <v>41755661.363864116</v>
          </cell>
          <cell r="E102">
            <v>26110631.886693206</v>
          </cell>
          <cell r="F102">
            <v>8529659.8229691107</v>
          </cell>
        </row>
        <row r="103">
          <cell r="D103">
            <v>42455281.620293289</v>
          </cell>
          <cell r="E103">
            <v>44052690.336923555</v>
          </cell>
        </row>
        <row r="104">
          <cell r="D104">
            <v>136392178.31528115</v>
          </cell>
        </row>
        <row r="123">
          <cell r="D123">
            <v>0</v>
          </cell>
        </row>
        <row r="124">
          <cell r="D124">
            <v>0</v>
          </cell>
        </row>
        <row r="125">
          <cell r="D125">
            <v>0</v>
          </cell>
        </row>
        <row r="126">
          <cell r="D126">
            <v>0</v>
          </cell>
        </row>
        <row r="127">
          <cell r="D127">
            <v>0</v>
          </cell>
        </row>
        <row r="128">
          <cell r="D128">
            <v>0</v>
          </cell>
        </row>
        <row r="129">
          <cell r="D129">
            <v>0</v>
          </cell>
        </row>
        <row r="130">
          <cell r="D130">
            <v>11385.338736768623</v>
          </cell>
        </row>
        <row r="131">
          <cell r="D131">
            <v>4831.3216679008374</v>
          </cell>
        </row>
        <row r="132">
          <cell r="D132">
            <v>436668.04239564837</v>
          </cell>
        </row>
        <row r="133">
          <cell r="D133">
            <v>394123.20977270685</v>
          </cell>
        </row>
        <row r="134">
          <cell r="D134">
            <v>765714.75615904911</v>
          </cell>
        </row>
        <row r="135">
          <cell r="D135">
            <v>4904195.8554218076</v>
          </cell>
        </row>
        <row r="136">
          <cell r="D136">
            <v>8343889.1532494053</v>
          </cell>
        </row>
        <row r="137">
          <cell r="D137">
            <v>40272160.165307306</v>
          </cell>
        </row>
        <row r="138">
          <cell r="D138">
            <v>129962381.40465194</v>
          </cell>
        </row>
        <row r="139">
          <cell r="D139">
            <v>185095349.24736255</v>
          </cell>
        </row>
      </sheetData>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Details"/>
      <sheetName val="Introduction"/>
      <sheetName val="S.22.01.01"/>
      <sheetName val="S.22.04.01.01"/>
      <sheetName val="S.22.04.01.02"/>
      <sheetName val="S.22.05.01"/>
      <sheetName val="S.22.06.01.01"/>
      <sheetName val="S.22.06.01.02"/>
      <sheetName val="S.22.06.01.03"/>
      <sheetName val="S.22.06.01.04"/>
      <sheetName val="S.23.01.01"/>
      <sheetName val="S.23.02.01"/>
      <sheetName val="S.23.03.01"/>
      <sheetName val="S.23.04.01.01"/>
      <sheetName val="S.23.04.01.02"/>
      <sheetName val="S.23.04.01.03"/>
      <sheetName val="S.23.04.01.04"/>
      <sheetName val="S.23.04.01.05"/>
      <sheetName val="S.23.04.01.06"/>
      <sheetName val="S.23.04.01.07"/>
      <sheetName val="S.24.01.01"/>
      <sheetName val="S.24.01.01.01"/>
      <sheetName val="S.24.01.01.02"/>
      <sheetName val="S.24.01.01.05"/>
      <sheetName val="S.24.01.01.06"/>
      <sheetName val="S.24.01.01.07"/>
      <sheetName val="S.24.01.01.08"/>
      <sheetName val="S.24.01.01.09"/>
      <sheetName val="eFrameSelectionFilters"/>
    </sheetNames>
    <sheetDataSet>
      <sheetData sheetId="0"/>
      <sheetData sheetId="1"/>
      <sheetData sheetId="2">
        <row r="9">
          <cell r="D9">
            <v>2215132831.7621889</v>
          </cell>
          <cell r="F9"/>
          <cell r="H9"/>
          <cell r="J9">
            <v>15700075.224173069</v>
          </cell>
          <cell r="L9"/>
        </row>
        <row r="10">
          <cell r="D10">
            <v>6885350877.6297455</v>
          </cell>
          <cell r="F10"/>
          <cell r="H10"/>
          <cell r="J10">
            <v>-14823973.202632904</v>
          </cell>
          <cell r="L10"/>
        </row>
        <row r="13">
          <cell r="D13">
            <v>6442846020.4330339</v>
          </cell>
          <cell r="F13"/>
          <cell r="H13"/>
          <cell r="J13">
            <v>-18504948.16731739</v>
          </cell>
          <cell r="L13"/>
        </row>
        <row r="17">
          <cell r="D17">
            <v>1923875735.9689999</v>
          </cell>
          <cell r="F17"/>
          <cell r="H17"/>
          <cell r="J17">
            <v>50036.67194890976</v>
          </cell>
          <cell r="L17"/>
        </row>
        <row r="18">
          <cell r="D18">
            <v>5577101939.2469845</v>
          </cell>
          <cell r="F18"/>
          <cell r="H18"/>
          <cell r="J18">
            <v>-18527464.669694901</v>
          </cell>
          <cell r="L18"/>
        </row>
        <row r="19">
          <cell r="D19">
            <v>480968933.99224997</v>
          </cell>
          <cell r="F19"/>
          <cell r="H19"/>
          <cell r="J19">
            <v>12509.16798722744</v>
          </cell>
          <cell r="L19"/>
        </row>
      </sheetData>
      <sheetData sheetId="3"/>
      <sheetData sheetId="4"/>
      <sheetData sheetId="5"/>
      <sheetData sheetId="6"/>
      <sheetData sheetId="7"/>
      <sheetData sheetId="8"/>
      <sheetData sheetId="9"/>
      <sheetData sheetId="10">
        <row r="9">
          <cell r="D9">
            <v>1590019077.8399999</v>
          </cell>
          <cell r="E9">
            <v>1590019077.8399999</v>
          </cell>
          <cell r="G9"/>
        </row>
        <row r="10">
          <cell r="D10">
            <v>2513321569.0100002</v>
          </cell>
          <cell r="E10">
            <v>2513321569.0100002</v>
          </cell>
          <cell r="G10"/>
        </row>
        <row r="11">
          <cell r="D11"/>
          <cell r="E11"/>
          <cell r="G11"/>
        </row>
        <row r="12">
          <cell r="D12"/>
          <cell r="F12"/>
          <cell r="G12"/>
          <cell r="H12"/>
        </row>
        <row r="13">
          <cell r="D13"/>
          <cell r="E13"/>
        </row>
        <row r="14">
          <cell r="D14"/>
          <cell r="F14"/>
          <cell r="G14"/>
          <cell r="H14"/>
        </row>
        <row r="15">
          <cell r="D15"/>
          <cell r="F15"/>
          <cell r="G15"/>
          <cell r="H15"/>
        </row>
        <row r="16">
          <cell r="D16">
            <v>281385875.10882664</v>
          </cell>
          <cell r="E16">
            <v>281385875.10882664</v>
          </cell>
        </row>
        <row r="17">
          <cell r="D17">
            <v>2500624355.6709194</v>
          </cell>
          <cell r="F17">
            <v>1126353051.1289542</v>
          </cell>
          <cell r="G17">
            <v>1374271304.541965</v>
          </cell>
          <cell r="H17">
            <v>0</v>
          </cell>
        </row>
        <row r="18">
          <cell r="D18"/>
          <cell r="H18"/>
        </row>
        <row r="19">
          <cell r="D19"/>
          <cell r="E19"/>
          <cell r="F19"/>
          <cell r="G19"/>
          <cell r="H19"/>
        </row>
        <row r="21">
          <cell r="D21"/>
        </row>
        <row r="23">
          <cell r="D23"/>
          <cell r="E23"/>
          <cell r="F23"/>
          <cell r="G23"/>
          <cell r="H23"/>
        </row>
        <row r="24">
          <cell r="D24">
            <v>6885350877.6297455</v>
          </cell>
          <cell r="E24">
            <v>4384726521.958827</v>
          </cell>
          <cell r="F24">
            <v>1126353051.1289542</v>
          </cell>
          <cell r="G24">
            <v>1374271304.541965</v>
          </cell>
          <cell r="H24">
            <v>0</v>
          </cell>
        </row>
        <row r="26">
          <cell r="D26"/>
          <cell r="G26"/>
        </row>
        <row r="27">
          <cell r="D27"/>
          <cell r="G27"/>
        </row>
        <row r="28">
          <cell r="D28"/>
          <cell r="G28"/>
          <cell r="H28"/>
        </row>
        <row r="29">
          <cell r="D29"/>
          <cell r="G29"/>
          <cell r="H29"/>
        </row>
        <row r="30">
          <cell r="D30"/>
          <cell r="G30"/>
        </row>
        <row r="31">
          <cell r="D31"/>
          <cell r="G31"/>
          <cell r="H31"/>
        </row>
        <row r="32">
          <cell r="D32"/>
          <cell r="G32"/>
        </row>
        <row r="33">
          <cell r="D33"/>
          <cell r="G33"/>
          <cell r="H33"/>
        </row>
        <row r="34">
          <cell r="D34"/>
          <cell r="G34"/>
          <cell r="H34"/>
        </row>
        <row r="35">
          <cell r="D35"/>
          <cell r="G35"/>
          <cell r="H35"/>
        </row>
        <row r="37">
          <cell r="D37">
            <v>6885350877.6297455</v>
          </cell>
          <cell r="E37">
            <v>4384726521.958827</v>
          </cell>
          <cell r="F37">
            <v>1126353051.1289542</v>
          </cell>
          <cell r="G37">
            <v>1374271304.541965</v>
          </cell>
          <cell r="H37">
            <v>0</v>
          </cell>
        </row>
        <row r="38">
          <cell r="D38">
            <v>6885350877.6297455</v>
          </cell>
          <cell r="E38">
            <v>4384726521.958827</v>
          </cell>
          <cell r="F38">
            <v>1126353051.1289542</v>
          </cell>
          <cell r="G38">
            <v>1374271304.541965</v>
          </cell>
        </row>
        <row r="39">
          <cell r="D39">
            <v>6442846020.4330339</v>
          </cell>
          <cell r="E39">
            <v>4384726521.958827</v>
          </cell>
          <cell r="F39">
            <v>1096181630.4897068</v>
          </cell>
          <cell r="G39">
            <v>961937867.98449993</v>
          </cell>
          <cell r="H39">
            <v>0</v>
          </cell>
        </row>
        <row r="40">
          <cell r="D40">
            <v>5577101939.2469845</v>
          </cell>
          <cell r="E40">
            <v>4384726521.958827</v>
          </cell>
          <cell r="F40">
            <v>1096181630.4897068</v>
          </cell>
          <cell r="G40">
            <v>96193786.798449993</v>
          </cell>
        </row>
        <row r="41">
          <cell r="D41">
            <v>1923875735.9689999</v>
          </cell>
        </row>
        <row r="43">
          <cell r="D43">
            <v>3.3488888601154696</v>
          </cell>
        </row>
        <row r="44">
          <cell r="D44">
            <v>11.595555440461879</v>
          </cell>
        </row>
        <row r="62">
          <cell r="D62">
            <v>-9992.6862500000025</v>
          </cell>
        </row>
        <row r="63">
          <cell r="D63">
            <v>115015076.96667632</v>
          </cell>
        </row>
        <row r="64">
          <cell r="D64">
            <v>115005084.28042632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Details"/>
      <sheetName val="Introduction"/>
      <sheetName val="S.25.01.01"/>
      <sheetName val="S.25.05.01"/>
      <sheetName val="S.26.01.01"/>
      <sheetName val="S.26.02.01"/>
      <sheetName val="S.26.03.01"/>
      <sheetName val="S.26.04.01"/>
      <sheetName val="S.26.05.01"/>
      <sheetName val="S.26.06.01"/>
      <sheetName val="S.26.07.01"/>
      <sheetName val="S.26.07.01.03"/>
      <sheetName val="S.26.08.01"/>
      <sheetName val="S.26.09.01"/>
      <sheetName val="S.26.10.01"/>
      <sheetName val="S.26.11.01"/>
      <sheetName val="S.26.12.01"/>
      <sheetName val="S.26.13.01"/>
      <sheetName val="S.26.13.01.02"/>
      <sheetName val="S.26.13.01.03"/>
      <sheetName val="S.26.13.01.04"/>
      <sheetName val="S.26.13.01.05"/>
      <sheetName val="S.26.13.01.06"/>
      <sheetName val="S.26.13.01.07"/>
      <sheetName val="S.26.13.01.08"/>
      <sheetName val="S.26.13.01.09"/>
      <sheetName val="S.26.13.01.10"/>
      <sheetName val="S.26.13.01.11"/>
      <sheetName val="S.26.14.01"/>
      <sheetName val="S.26.14.01.03"/>
      <sheetName val="S.26.14.01.04"/>
      <sheetName val="S.26.14.01.05"/>
      <sheetName val="S.26.15.01"/>
      <sheetName val="S.26.15.01.02"/>
      <sheetName val="S.26.16.01"/>
      <sheetName val="S.26.16.01.01"/>
      <sheetName val="S.26.16.01.02"/>
      <sheetName val="S.27.01.01"/>
      <sheetName val="S.27.01.01.23"/>
      <sheetName val="S.27.01.01.24"/>
      <sheetName val="S.28.01.01"/>
      <sheetName val="S.28.02.01"/>
      <sheetName val="Overall MCR"/>
      <sheetName val="eFrameSelectionFilters"/>
    </sheetNames>
    <sheetDataSet>
      <sheetData sheetId="0"/>
      <sheetData sheetId="1"/>
      <sheetData sheetId="2">
        <row r="8">
          <cell r="E8">
            <v>1515656452.6705287</v>
          </cell>
        </row>
        <row r="9">
          <cell r="E9">
            <v>76817674.470967278</v>
          </cell>
        </row>
        <row r="10">
          <cell r="E10">
            <v>1103905.7757543337</v>
          </cell>
        </row>
        <row r="11">
          <cell r="E11">
            <v>88284724.004288644</v>
          </cell>
        </row>
        <row r="12">
          <cell r="E12">
            <v>674079355.84297538</v>
          </cell>
        </row>
        <row r="13">
          <cell r="E13">
            <v>-496547246.4232862</v>
          </cell>
        </row>
        <row r="14">
          <cell r="E14">
            <v>0</v>
          </cell>
        </row>
        <row r="15">
          <cell r="E15">
            <v>1859394866.3412282</v>
          </cell>
        </row>
        <row r="30">
          <cell r="D30">
            <v>70612245.261742622</v>
          </cell>
        </row>
        <row r="31">
          <cell r="D31"/>
        </row>
        <row r="32">
          <cell r="D32">
            <v>-6131375.6339710336</v>
          </cell>
        </row>
        <row r="33">
          <cell r="D33"/>
        </row>
        <row r="34">
          <cell r="D34">
            <v>1923875735.9689999</v>
          </cell>
        </row>
        <row r="35">
          <cell r="D35"/>
        </row>
        <row r="36">
          <cell r="D36"/>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3">
          <cell r="D13">
            <v>480968933.99224997</v>
          </cell>
        </row>
      </sheetData>
      <sheetData sheetId="4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1EE0-EBD4-484C-AD1E-86B7F673AC05}">
  <sheetPr codeName="UV_GD">
    <tabColor rgb="FF92D050"/>
  </sheetPr>
  <dimension ref="A1:W253"/>
  <sheetViews>
    <sheetView showGridLines="0" showRowColHeaders="0" topLeftCell="A13" zoomScaleNormal="100" workbookViewId="0">
      <selection activeCell="D46" sqref="D46"/>
    </sheetView>
  </sheetViews>
  <sheetFormatPr defaultColWidth="0" defaultRowHeight="0" customHeight="1" zeroHeight="1"/>
  <cols>
    <col min="1" max="1" width="3.5703125" style="1" customWidth="1"/>
    <col min="2" max="2" width="24.42578125" style="2" customWidth="1"/>
    <col min="3" max="3" width="3.28515625" style="2" customWidth="1"/>
    <col min="4" max="4" width="49.5703125" style="3" customWidth="1"/>
    <col min="5" max="5" width="15.5703125" style="2" hidden="1" customWidth="1"/>
    <col min="6" max="6" width="9.140625" style="2" hidden="1" customWidth="1"/>
    <col min="7" max="7" width="13.7109375" style="2" customWidth="1"/>
    <col min="8" max="8" width="16.42578125" style="2" customWidth="1"/>
    <col min="9" max="9" width="3.28515625" style="2" customWidth="1"/>
    <col min="10" max="10" width="10.42578125" style="2" customWidth="1"/>
    <col min="11" max="16" width="9.140625" style="2" hidden="1" customWidth="1"/>
    <col min="17" max="17" width="4.28515625" style="2" hidden="1" customWidth="1"/>
    <col min="18" max="18" width="32.140625" style="2" hidden="1" customWidth="1"/>
    <col min="19" max="19" width="4.28515625" style="2" hidden="1" customWidth="1"/>
    <col min="20" max="20" width="4.85546875" style="2" hidden="1" customWidth="1"/>
    <col min="21" max="21" width="0.5703125" style="2" hidden="1" customWidth="1"/>
    <col min="22" max="22" width="3.42578125" style="2" hidden="1" customWidth="1"/>
    <col min="23" max="23" width="5.85546875" style="2" hidden="1" customWidth="1"/>
    <col min="24" max="16384" width="9.140625" style="2" hidden="1"/>
  </cols>
  <sheetData>
    <row r="1" spans="1:23" ht="15">
      <c r="G1" s="93"/>
      <c r="H1" s="4" t="s">
        <v>0</v>
      </c>
      <c r="I1" s="5"/>
      <c r="J1" s="5" t="s">
        <v>6102</v>
      </c>
      <c r="Q1" s="2" t="s">
        <v>1</v>
      </c>
      <c r="R1" s="2" t="s">
        <v>2</v>
      </c>
      <c r="S1" t="s">
        <v>471</v>
      </c>
      <c r="T1" s="6" t="s">
        <v>29</v>
      </c>
      <c r="U1" s="7" t="s">
        <v>3</v>
      </c>
      <c r="V1" s="2" t="s">
        <v>4</v>
      </c>
      <c r="W1" t="s">
        <v>470</v>
      </c>
    </row>
    <row r="2" spans="1:23" ht="15">
      <c r="G2" s="93"/>
      <c r="Q2" s="2" t="s">
        <v>5</v>
      </c>
      <c r="R2" s="2" t="s">
        <v>2</v>
      </c>
      <c r="S2" t="s">
        <v>472</v>
      </c>
      <c r="T2" s="6" t="s">
        <v>473</v>
      </c>
      <c r="U2" s="7"/>
      <c r="V2" s="2" t="s">
        <v>7</v>
      </c>
    </row>
    <row r="3" spans="1:23" ht="39" customHeight="1">
      <c r="G3" s="93"/>
      <c r="H3" s="2" t="s">
        <v>8</v>
      </c>
      <c r="Q3" s="2" t="s">
        <v>9</v>
      </c>
      <c r="R3" s="2" t="s">
        <v>2</v>
      </c>
      <c r="S3" t="s">
        <v>474</v>
      </c>
      <c r="T3" s="6" t="s">
        <v>475</v>
      </c>
      <c r="U3" s="7"/>
      <c r="V3" s="2" t="s">
        <v>11</v>
      </c>
    </row>
    <row r="4" spans="1:23" ht="7.5" customHeight="1">
      <c r="A4" s="94"/>
      <c r="B4" s="94"/>
      <c r="C4" s="94"/>
      <c r="D4" s="94"/>
      <c r="E4" s="94"/>
      <c r="F4" s="94"/>
      <c r="G4" s="94"/>
      <c r="H4" s="94"/>
      <c r="I4" s="94"/>
      <c r="J4" s="94"/>
      <c r="Q4" s="2" t="s">
        <v>12</v>
      </c>
      <c r="R4" s="2" t="s">
        <v>2</v>
      </c>
      <c r="S4" t="s">
        <v>476</v>
      </c>
      <c r="T4" s="6" t="s">
        <v>477</v>
      </c>
      <c r="U4" s="7"/>
      <c r="V4" s="2" t="s">
        <v>14</v>
      </c>
    </row>
    <row r="5" spans="1:23" ht="7.5" customHeight="1">
      <c r="A5" s="94"/>
      <c r="B5" s="94"/>
      <c r="C5" s="94"/>
      <c r="D5" s="94"/>
      <c r="E5" s="94"/>
      <c r="F5" s="94"/>
      <c r="G5" s="94"/>
      <c r="H5" s="94"/>
      <c r="I5" s="94"/>
      <c r="J5" s="94"/>
      <c r="Q5" s="2" t="s">
        <v>15</v>
      </c>
      <c r="R5" s="2" t="s">
        <v>2</v>
      </c>
      <c r="S5" t="s">
        <v>478</v>
      </c>
      <c r="T5" s="6" t="s">
        <v>479</v>
      </c>
      <c r="U5" s="7"/>
      <c r="V5" s="2" t="s">
        <v>17</v>
      </c>
    </row>
    <row r="6" spans="1:23" ht="7.5" customHeight="1">
      <c r="A6" s="94"/>
      <c r="B6" s="94"/>
      <c r="C6" s="94"/>
      <c r="D6" s="94"/>
      <c r="E6" s="94"/>
      <c r="F6" s="94"/>
      <c r="G6" s="94"/>
      <c r="H6" s="94"/>
      <c r="I6" s="94"/>
      <c r="J6" s="94"/>
      <c r="Q6" s="2" t="s">
        <v>18</v>
      </c>
      <c r="R6" s="2" t="s">
        <v>2</v>
      </c>
      <c r="S6" t="s">
        <v>480</v>
      </c>
      <c r="T6" s="6" t="s">
        <v>481</v>
      </c>
      <c r="U6" s="7"/>
      <c r="V6" s="2" t="s">
        <v>20</v>
      </c>
    </row>
    <row r="7" spans="1:23" ht="15">
      <c r="Q7" s="2" t="s">
        <v>21</v>
      </c>
      <c r="R7" s="2" t="s">
        <v>2</v>
      </c>
      <c r="S7" t="s">
        <v>482</v>
      </c>
      <c r="T7" s="6" t="s">
        <v>483</v>
      </c>
      <c r="U7" s="7" t="s">
        <v>6</v>
      </c>
      <c r="V7" s="2" t="s">
        <v>23</v>
      </c>
    </row>
    <row r="8" spans="1:23" ht="24" thickBot="1">
      <c r="B8" s="9" t="s">
        <v>24</v>
      </c>
      <c r="C8" s="9"/>
      <c r="D8" s="10"/>
      <c r="H8" s="11"/>
      <c r="I8" s="11"/>
      <c r="J8" s="12"/>
      <c r="L8" s="13" t="s">
        <v>25</v>
      </c>
      <c r="M8" s="13" t="s">
        <v>26</v>
      </c>
      <c r="Q8" s="2" t="s">
        <v>27</v>
      </c>
      <c r="R8" s="2" t="s">
        <v>2</v>
      </c>
      <c r="S8" t="s">
        <v>484</v>
      </c>
      <c r="T8" s="8" t="s">
        <v>485</v>
      </c>
      <c r="U8" s="7" t="s">
        <v>10</v>
      </c>
      <c r="V8" s="2" t="s">
        <v>29</v>
      </c>
    </row>
    <row r="9" spans="1:23" ht="7.5" customHeight="1">
      <c r="B9" s="11"/>
      <c r="C9" s="11"/>
      <c r="Q9" s="2" t="s">
        <v>30</v>
      </c>
      <c r="R9" s="2" t="s">
        <v>2</v>
      </c>
      <c r="S9" s="2" t="s">
        <v>486</v>
      </c>
      <c r="T9" s="8" t="s">
        <v>487</v>
      </c>
      <c r="U9" s="7" t="s">
        <v>13</v>
      </c>
      <c r="V9" s="2" t="s">
        <v>32</v>
      </c>
    </row>
    <row r="10" spans="1:23" ht="15">
      <c r="A10" s="14" t="s">
        <v>33</v>
      </c>
      <c r="B10" s="15" t="s">
        <v>34</v>
      </c>
      <c r="C10" s="16" t="s">
        <v>35</v>
      </c>
      <c r="D10" s="17" t="s">
        <v>6103</v>
      </c>
      <c r="E10" s="2" t="str">
        <f>""&amp;D10</f>
        <v>0451406524</v>
      </c>
      <c r="F10" s="2">
        <f>IF(D10="",1,0)</f>
        <v>0</v>
      </c>
      <c r="H10" s="18"/>
      <c r="J10" s="19"/>
      <c r="Q10" s="2" t="s">
        <v>36</v>
      </c>
      <c r="R10" s="2" t="s">
        <v>2</v>
      </c>
      <c r="S10" s="2" t="s">
        <v>488</v>
      </c>
      <c r="T10" s="6" t="s">
        <v>489</v>
      </c>
      <c r="U10" s="7" t="s">
        <v>16</v>
      </c>
      <c r="V10" s="2" t="s">
        <v>38</v>
      </c>
    </row>
    <row r="11" spans="1:23" ht="7.5" customHeight="1">
      <c r="A11" s="14"/>
      <c r="B11" s="15"/>
      <c r="D11" s="20"/>
      <c r="J11" s="19"/>
      <c r="Q11" s="2" t="s">
        <v>39</v>
      </c>
      <c r="R11" s="2" t="s">
        <v>2</v>
      </c>
      <c r="S11" s="2" t="s">
        <v>490</v>
      </c>
      <c r="T11" s="6" t="s">
        <v>491</v>
      </c>
      <c r="U11" s="7" t="s">
        <v>19</v>
      </c>
      <c r="V11" s="2" t="s">
        <v>41</v>
      </c>
    </row>
    <row r="12" spans="1:23" ht="15">
      <c r="A12" s="14" t="s">
        <v>33</v>
      </c>
      <c r="B12" s="15" t="s">
        <v>42</v>
      </c>
      <c r="C12" s="2" t="s">
        <v>35</v>
      </c>
      <c r="D12" s="21">
        <v>44197</v>
      </c>
      <c r="E12" s="22">
        <f>D12</f>
        <v>44197</v>
      </c>
      <c r="F12" s="2">
        <f>IF(D12="",1,0)</f>
        <v>0</v>
      </c>
      <c r="H12" s="18"/>
      <c r="J12" s="19"/>
      <c r="Q12" s="2" t="s">
        <v>43</v>
      </c>
      <c r="R12" s="2" t="s">
        <v>2</v>
      </c>
      <c r="S12" s="2" t="s">
        <v>492</v>
      </c>
      <c r="T12" s="6" t="s">
        <v>493</v>
      </c>
      <c r="U12" s="7" t="s">
        <v>22</v>
      </c>
      <c r="V12" s="2" t="s">
        <v>45</v>
      </c>
    </row>
    <row r="13" spans="1:23" ht="7.5" customHeight="1">
      <c r="A13" s="14"/>
      <c r="B13" s="15"/>
      <c r="D13" s="20"/>
      <c r="J13" s="19"/>
      <c r="Q13" s="2" t="s">
        <v>46</v>
      </c>
      <c r="R13" s="2" t="s">
        <v>2</v>
      </c>
      <c r="S13" s="2" t="s">
        <v>494</v>
      </c>
      <c r="T13" s="6" t="s">
        <v>495</v>
      </c>
      <c r="U13" s="7" t="s">
        <v>28</v>
      </c>
      <c r="V13" s="2" t="s">
        <v>48</v>
      </c>
    </row>
    <row r="14" spans="1:23" ht="15">
      <c r="A14" s="14" t="s">
        <v>33</v>
      </c>
      <c r="B14" s="15" t="s">
        <v>49</v>
      </c>
      <c r="C14" s="2" t="s">
        <v>35</v>
      </c>
      <c r="D14" s="21">
        <v>44561</v>
      </c>
      <c r="E14" s="22">
        <f>D14</f>
        <v>44561</v>
      </c>
      <c r="F14" s="2">
        <f>IF(D14="",1,0)</f>
        <v>0</v>
      </c>
      <c r="H14" s="18"/>
      <c r="J14" s="19"/>
      <c r="Q14" s="2" t="s">
        <v>50</v>
      </c>
      <c r="R14" s="2" t="s">
        <v>2</v>
      </c>
      <c r="S14" s="2" t="s">
        <v>496</v>
      </c>
      <c r="T14" s="6" t="s">
        <v>497</v>
      </c>
      <c r="U14" s="7" t="s">
        <v>31</v>
      </c>
      <c r="V14" s="2" t="s">
        <v>52</v>
      </c>
    </row>
    <row r="15" spans="1:23" ht="7.5" customHeight="1">
      <c r="A15" s="14"/>
      <c r="B15" s="15"/>
      <c r="D15" s="20"/>
      <c r="Q15" s="2" t="s">
        <v>53</v>
      </c>
      <c r="R15" s="2" t="s">
        <v>2</v>
      </c>
      <c r="S15" s="2" t="s">
        <v>498</v>
      </c>
      <c r="T15" s="6" t="s">
        <v>499</v>
      </c>
      <c r="U15" s="7" t="s">
        <v>37</v>
      </c>
      <c r="V15" s="2" t="s">
        <v>55</v>
      </c>
    </row>
    <row r="16" spans="1:23" ht="15">
      <c r="A16" s="14"/>
      <c r="B16" s="15" t="s">
        <v>56</v>
      </c>
      <c r="C16" s="2" t="s">
        <v>35</v>
      </c>
      <c r="D16" s="23" t="s">
        <v>75</v>
      </c>
      <c r="Q16" s="2" t="s">
        <v>57</v>
      </c>
      <c r="R16" s="2" t="s">
        <v>2</v>
      </c>
      <c r="S16" s="2" t="s">
        <v>500</v>
      </c>
      <c r="T16" s="6" t="s">
        <v>501</v>
      </c>
      <c r="U16" s="7" t="s">
        <v>40</v>
      </c>
      <c r="V16" s="2" t="s">
        <v>59</v>
      </c>
    </row>
    <row r="17" spans="1:22" ht="7.5" customHeight="1">
      <c r="A17" s="14"/>
      <c r="B17" s="15"/>
      <c r="D17" s="20"/>
      <c r="Q17" s="2" t="s">
        <v>60</v>
      </c>
      <c r="R17" s="2" t="s">
        <v>2</v>
      </c>
      <c r="S17" s="2" t="s">
        <v>502</v>
      </c>
      <c r="T17" s="6" t="s">
        <v>503</v>
      </c>
      <c r="U17" s="7" t="s">
        <v>44</v>
      </c>
      <c r="V17" s="2" t="s">
        <v>62</v>
      </c>
    </row>
    <row r="18" spans="1:22" ht="15">
      <c r="A18" s="14" t="s">
        <v>33</v>
      </c>
      <c r="B18" s="15" t="s">
        <v>63</v>
      </c>
      <c r="C18" s="2" t="s">
        <v>35</v>
      </c>
      <c r="D18" s="17" t="s">
        <v>4</v>
      </c>
      <c r="E18" s="2" t="str">
        <f>""&amp;D18</f>
        <v>EUR</v>
      </c>
      <c r="F18" s="2">
        <f>IF(D18="",1,0)</f>
        <v>0</v>
      </c>
      <c r="Q18" s="2" t="s">
        <v>64</v>
      </c>
      <c r="R18" s="2" t="s">
        <v>2</v>
      </c>
      <c r="S18" s="2" t="s">
        <v>504</v>
      </c>
      <c r="T18" s="6" t="s">
        <v>505</v>
      </c>
      <c r="U18" s="7" t="s">
        <v>47</v>
      </c>
      <c r="V18" s="2" t="s">
        <v>66</v>
      </c>
    </row>
    <row r="19" spans="1:22" ht="7.5" customHeight="1">
      <c r="A19" s="14"/>
      <c r="B19" s="15"/>
      <c r="D19" s="20"/>
      <c r="Q19" s="2" t="s">
        <v>67</v>
      </c>
      <c r="R19" s="2" t="s">
        <v>2</v>
      </c>
      <c r="S19" s="2" t="s">
        <v>506</v>
      </c>
      <c r="T19" s="6" t="s">
        <v>507</v>
      </c>
      <c r="U19" s="7" t="s">
        <v>51</v>
      </c>
      <c r="V19" s="2" t="s">
        <v>68</v>
      </c>
    </row>
    <row r="20" spans="1:22" ht="15">
      <c r="A20" s="14" t="s">
        <v>33</v>
      </c>
      <c r="B20" s="15" t="s">
        <v>69</v>
      </c>
      <c r="C20" s="2" t="s">
        <v>35</v>
      </c>
      <c r="D20" s="17" t="s">
        <v>470</v>
      </c>
      <c r="F20" s="2">
        <f>IF(D20="",1,0)</f>
        <v>0</v>
      </c>
      <c r="Q20" s="2" t="s">
        <v>70</v>
      </c>
      <c r="R20" s="2" t="s">
        <v>2</v>
      </c>
      <c r="U20" s="7" t="s">
        <v>54</v>
      </c>
      <c r="V20" s="2" t="s">
        <v>71</v>
      </c>
    </row>
    <row r="21" spans="1:22" ht="7.5" customHeight="1">
      <c r="A21" s="14"/>
      <c r="B21" s="15"/>
      <c r="D21" s="20"/>
      <c r="Q21" s="2" t="s">
        <v>72</v>
      </c>
      <c r="R21" s="2" t="s">
        <v>2</v>
      </c>
      <c r="U21" s="7" t="s">
        <v>58</v>
      </c>
      <c r="V21" s="2" t="s">
        <v>73</v>
      </c>
    </row>
    <row r="22" spans="1:22" ht="15">
      <c r="A22" s="14" t="s">
        <v>33</v>
      </c>
      <c r="B22" s="15" t="s">
        <v>74</v>
      </c>
      <c r="C22" s="2" t="s">
        <v>35</v>
      </c>
      <c r="D22" s="17" t="s">
        <v>504</v>
      </c>
      <c r="E22" s="24" t="str">
        <f>IFERROR(VLOOKUP(D22,S:T,2,FALSE),"")</f>
        <v>APS</v>
      </c>
      <c r="F22" s="2">
        <f>IF(D22="",1,0)</f>
        <v>0</v>
      </c>
      <c r="Q22" s="2" t="s">
        <v>75</v>
      </c>
      <c r="R22" s="2" t="s">
        <v>76</v>
      </c>
      <c r="U22" s="7" t="s">
        <v>61</v>
      </c>
      <c r="V22" s="2" t="s">
        <v>77</v>
      </c>
    </row>
    <row r="23" spans="1:22" ht="15">
      <c r="A23" s="14"/>
      <c r="D23" s="20"/>
      <c r="Q23" s="2" t="s">
        <v>78</v>
      </c>
      <c r="R23" s="2" t="s">
        <v>2</v>
      </c>
      <c r="U23" s="2" t="s">
        <v>65</v>
      </c>
      <c r="V23" s="2" t="s">
        <v>79</v>
      </c>
    </row>
    <row r="24" spans="1:22" ht="15">
      <c r="A24" s="14"/>
      <c r="D24" s="20"/>
      <c r="Q24" s="2" t="s">
        <v>80</v>
      </c>
      <c r="R24" s="2" t="s">
        <v>2</v>
      </c>
      <c r="U24" s="2" t="s">
        <v>65</v>
      </c>
      <c r="V24" s="2" t="s">
        <v>81</v>
      </c>
    </row>
    <row r="25" spans="1:22" ht="24" thickBot="1">
      <c r="A25" s="14"/>
      <c r="B25" s="9" t="s">
        <v>82</v>
      </c>
      <c r="C25" s="9"/>
      <c r="D25" s="25"/>
      <c r="Q25" s="2" t="s">
        <v>83</v>
      </c>
      <c r="R25" s="2" t="s">
        <v>2</v>
      </c>
      <c r="V25" s="2" t="s">
        <v>84</v>
      </c>
    </row>
    <row r="26" spans="1:22" ht="7.5" customHeight="1">
      <c r="A26" s="14"/>
      <c r="B26" s="15"/>
      <c r="D26" s="20"/>
      <c r="Q26" s="2" t="s">
        <v>85</v>
      </c>
      <c r="R26" s="2" t="s">
        <v>2</v>
      </c>
      <c r="V26" s="2" t="s">
        <v>86</v>
      </c>
    </row>
    <row r="27" spans="1:22" ht="15">
      <c r="A27" s="14"/>
      <c r="B27" s="15" t="s">
        <v>87</v>
      </c>
      <c r="C27" s="2" t="s">
        <v>35</v>
      </c>
      <c r="D27" s="17" t="s">
        <v>76</v>
      </c>
      <c r="E27" s="2" t="str">
        <f>D27</f>
        <v>http://www.swift.com</v>
      </c>
      <c r="Q27" s="2" t="s">
        <v>88</v>
      </c>
      <c r="R27" s="2" t="s">
        <v>2</v>
      </c>
      <c r="V27" s="2" t="s">
        <v>89</v>
      </c>
    </row>
    <row r="28" spans="1:22" ht="7.5" customHeight="1">
      <c r="A28" s="14"/>
      <c r="B28" s="15"/>
      <c r="D28" s="26"/>
      <c r="Q28" s="2" t="s">
        <v>90</v>
      </c>
      <c r="R28" s="2" t="s">
        <v>2</v>
      </c>
      <c r="V28" s="2" t="s">
        <v>91</v>
      </c>
    </row>
    <row r="29" spans="1:22" ht="15">
      <c r="A29" s="14"/>
      <c r="B29" s="15" t="s">
        <v>92</v>
      </c>
      <c r="C29" s="2" t="s">
        <v>35</v>
      </c>
      <c r="D29" s="17"/>
      <c r="Q29" s="2" t="s">
        <v>93</v>
      </c>
      <c r="R29" s="2" t="s">
        <v>2</v>
      </c>
      <c r="V29" s="2" t="s">
        <v>94</v>
      </c>
    </row>
    <row r="30" spans="1:22" ht="7.5" customHeight="1">
      <c r="A30" s="14"/>
      <c r="B30" s="15"/>
      <c r="D30" s="20"/>
      <c r="Q30" s="2" t="s">
        <v>95</v>
      </c>
      <c r="R30" s="2" t="s">
        <v>2</v>
      </c>
      <c r="V30" s="2" t="s">
        <v>96</v>
      </c>
    </row>
    <row r="31" spans="1:22" ht="15">
      <c r="A31" s="14"/>
      <c r="B31" s="27" t="s">
        <v>97</v>
      </c>
      <c r="C31" s="28" t="s">
        <v>35</v>
      </c>
      <c r="D31" s="29"/>
      <c r="F31" s="2">
        <f xml:space="preserve"> 0.5 * 10^(-1 * PP_MonetaryPrecision)</f>
        <v>0.5</v>
      </c>
      <c r="Q31" s="28" t="s">
        <v>98</v>
      </c>
      <c r="R31" s="28" t="s">
        <v>2</v>
      </c>
      <c r="V31" s="28" t="s">
        <v>99</v>
      </c>
    </row>
    <row r="32" spans="1:22" ht="7.5" customHeight="1">
      <c r="A32" s="14"/>
      <c r="B32" s="15"/>
      <c r="D32" s="20"/>
      <c r="Q32" s="2" t="s">
        <v>100</v>
      </c>
      <c r="R32" s="2" t="s">
        <v>2</v>
      </c>
      <c r="V32" s="2" t="s">
        <v>101</v>
      </c>
    </row>
    <row r="33" spans="1:22" ht="15">
      <c r="A33" s="14"/>
      <c r="B33" s="15" t="s">
        <v>102</v>
      </c>
      <c r="C33" s="2" t="s">
        <v>35</v>
      </c>
      <c r="D33" s="17">
        <v>4</v>
      </c>
      <c r="F33" s="2">
        <f xml:space="preserve"> 0.5 * 10^(-1 * PP_DecimalPrecision)</f>
        <v>5.0000000000000002E-5</v>
      </c>
      <c r="Q33" s="2" t="s">
        <v>103</v>
      </c>
      <c r="R33" s="2" t="s">
        <v>2</v>
      </c>
      <c r="V33" s="2" t="s">
        <v>104</v>
      </c>
    </row>
    <row r="34" spans="1:22" ht="7.5" customHeight="1">
      <c r="A34" s="14"/>
      <c r="B34" s="15"/>
      <c r="D34" s="20"/>
      <c r="Q34" s="2" t="s">
        <v>105</v>
      </c>
      <c r="R34" s="2" t="s">
        <v>2</v>
      </c>
      <c r="V34" s="2" t="s">
        <v>106</v>
      </c>
    </row>
    <row r="35" spans="1:22" s="28" customFormat="1" ht="15" customHeight="1">
      <c r="A35" s="30"/>
      <c r="B35" s="27" t="s">
        <v>107</v>
      </c>
      <c r="C35" s="28" t="s">
        <v>35</v>
      </c>
      <c r="D35" s="29">
        <v>4</v>
      </c>
      <c r="H35" s="31" t="s">
        <v>108</v>
      </c>
      <c r="Q35" s="2" t="s">
        <v>109</v>
      </c>
      <c r="R35" s="2" t="s">
        <v>2</v>
      </c>
      <c r="S35" s="2"/>
      <c r="T35" s="2"/>
      <c r="U35" s="2"/>
      <c r="V35" s="2" t="s">
        <v>110</v>
      </c>
    </row>
    <row r="36" spans="1:22" ht="6.75" customHeight="1">
      <c r="D36" s="20"/>
      <c r="Q36" s="2" t="s">
        <v>111</v>
      </c>
      <c r="R36" s="2" t="s">
        <v>2</v>
      </c>
      <c r="S36" s="28"/>
      <c r="T36" s="28"/>
      <c r="U36" s="28"/>
      <c r="V36" s="2" t="s">
        <v>112</v>
      </c>
    </row>
    <row r="37" spans="1:22" ht="15" hidden="1">
      <c r="B37" s="15" t="s">
        <v>113</v>
      </c>
      <c r="C37" t="s">
        <v>35</v>
      </c>
      <c r="D37" s="17" t="b">
        <v>0</v>
      </c>
      <c r="Q37" s="2" t="s">
        <v>114</v>
      </c>
      <c r="R37" s="2" t="s">
        <v>2</v>
      </c>
      <c r="V37" s="2" t="s">
        <v>115</v>
      </c>
    </row>
    <row r="38" spans="1:22" ht="24" customHeight="1" thickBot="1">
      <c r="B38" s="9" t="s">
        <v>116</v>
      </c>
      <c r="C38" s="9"/>
      <c r="D38" s="25"/>
      <c r="Q38" s="2" t="s">
        <v>117</v>
      </c>
      <c r="R38" s="2" t="s">
        <v>2</v>
      </c>
      <c r="V38" s="2" t="s">
        <v>118</v>
      </c>
    </row>
    <row r="39" spans="1:22" ht="7.5" customHeight="1">
      <c r="A39" s="1" t="s">
        <v>75</v>
      </c>
      <c r="B39" s="15"/>
      <c r="D39" s="20"/>
      <c r="Q39" s="2" t="s">
        <v>119</v>
      </c>
      <c r="R39" s="2" t="s">
        <v>2</v>
      </c>
      <c r="V39" s="2" t="s">
        <v>120</v>
      </c>
    </row>
    <row r="40" spans="1:22" ht="15" customHeight="1">
      <c r="A40" s="1" t="s">
        <v>75</v>
      </c>
      <c r="B40" s="15" t="s">
        <v>121</v>
      </c>
      <c r="C40" s="2" t="s">
        <v>35</v>
      </c>
      <c r="D40" s="23" t="s">
        <v>6104</v>
      </c>
      <c r="F40" s="2">
        <f>IF(AND(A40=PP_Country,D40=""),1,0)</f>
        <v>0</v>
      </c>
      <c r="Q40" s="2" t="s">
        <v>122</v>
      </c>
      <c r="R40" s="2" t="s">
        <v>2</v>
      </c>
      <c r="V40" s="2" t="s">
        <v>123</v>
      </c>
    </row>
    <row r="41" spans="1:22" ht="7.5" customHeight="1">
      <c r="A41" s="1" t="s">
        <v>75</v>
      </c>
      <c r="B41" s="15"/>
      <c r="C41" s="15"/>
      <c r="D41" s="15"/>
      <c r="Q41" s="2" t="s">
        <v>124</v>
      </c>
      <c r="R41" s="2" t="s">
        <v>2</v>
      </c>
      <c r="V41" s="2" t="s">
        <v>4</v>
      </c>
    </row>
    <row r="42" spans="1:22" ht="15" customHeight="1">
      <c r="A42" s="1" t="s">
        <v>75</v>
      </c>
      <c r="B42" s="15" t="s">
        <v>125</v>
      </c>
      <c r="C42" t="s">
        <v>35</v>
      </c>
      <c r="D42" s="23" t="s">
        <v>6105</v>
      </c>
      <c r="Q42" s="2" t="s">
        <v>126</v>
      </c>
      <c r="R42" s="2" t="s">
        <v>2</v>
      </c>
      <c r="V42" s="2" t="s">
        <v>127</v>
      </c>
    </row>
    <row r="43" spans="1:22" ht="7.5" customHeight="1">
      <c r="A43" s="1" t="s">
        <v>75</v>
      </c>
      <c r="B43" s="15"/>
      <c r="D43" s="20"/>
      <c r="Q43" s="2" t="s">
        <v>128</v>
      </c>
      <c r="R43" s="2" t="s">
        <v>2</v>
      </c>
      <c r="V43" s="2" t="s">
        <v>129</v>
      </c>
    </row>
    <row r="44" spans="1:22" ht="15" customHeight="1">
      <c r="A44" s="1" t="s">
        <v>75</v>
      </c>
      <c r="B44" s="15" t="s">
        <v>130</v>
      </c>
      <c r="C44" s="2" t="s">
        <v>35</v>
      </c>
      <c r="D44" s="23" t="s">
        <v>6106</v>
      </c>
      <c r="E44" s="2" t="str">
        <f>""&amp;D44</f>
        <v>KBO</v>
      </c>
      <c r="F44" s="2">
        <f>IF(AND(A44=PP_Country,D44=""),1,0)</f>
        <v>0</v>
      </c>
      <c r="Q44" s="2" t="s">
        <v>131</v>
      </c>
      <c r="R44" s="2" t="s">
        <v>2</v>
      </c>
      <c r="V44" s="2" t="s">
        <v>132</v>
      </c>
    </row>
    <row r="45" spans="1:22" ht="7.5" customHeight="1">
      <c r="A45" s="1" t="s">
        <v>75</v>
      </c>
      <c r="B45" s="15"/>
      <c r="D45" s="20"/>
      <c r="Q45" s="2" t="s">
        <v>133</v>
      </c>
      <c r="R45" s="2" t="s">
        <v>2</v>
      </c>
      <c r="V45" s="2" t="s">
        <v>134</v>
      </c>
    </row>
    <row r="46" spans="1:22" ht="15" customHeight="1">
      <c r="A46" s="1" t="s">
        <v>75</v>
      </c>
      <c r="B46" s="15" t="s">
        <v>135</v>
      </c>
      <c r="C46" s="2" t="s">
        <v>35</v>
      </c>
      <c r="D46" s="23" t="s">
        <v>6107</v>
      </c>
      <c r="E46" s="2" t="str">
        <f>""&amp;D46</f>
        <v>INS</v>
      </c>
      <c r="F46" s="2">
        <f>IF(AND(A46=PP_Country,D46=""),1,0)</f>
        <v>0</v>
      </c>
      <c r="Q46" s="2" t="s">
        <v>136</v>
      </c>
      <c r="R46" s="2" t="s">
        <v>2</v>
      </c>
      <c r="V46" s="2" t="s">
        <v>137</v>
      </c>
    </row>
    <row r="47" spans="1:22" ht="15" customHeight="1">
      <c r="A47" s="1" t="s">
        <v>75</v>
      </c>
      <c r="Q47" s="2" t="s">
        <v>138</v>
      </c>
      <c r="R47" s="2" t="s">
        <v>2</v>
      </c>
      <c r="V47" s="2" t="s">
        <v>139</v>
      </c>
    </row>
    <row r="48" spans="1:22" ht="15" hidden="1" customHeight="1">
      <c r="B48" s="2" t="s">
        <v>140</v>
      </c>
      <c r="D48" s="3" t="s">
        <v>141</v>
      </c>
      <c r="Q48" s="2" t="s">
        <v>142</v>
      </c>
      <c r="R48" s="2" t="s">
        <v>2</v>
      </c>
      <c r="V48" s="2" t="s">
        <v>143</v>
      </c>
    </row>
    <row r="49" spans="1:22" ht="15" hidden="1" customHeight="1">
      <c r="B49" s="15" t="s">
        <v>144</v>
      </c>
      <c r="D49" s="3" t="b">
        <v>1</v>
      </c>
      <c r="Q49" s="2" t="s">
        <v>145</v>
      </c>
      <c r="R49" s="2" t="s">
        <v>2</v>
      </c>
      <c r="V49" s="2" t="s">
        <v>146</v>
      </c>
    </row>
    <row r="50" spans="1:22" ht="15" hidden="1" customHeight="1">
      <c r="B50" s="2" t="s">
        <v>147</v>
      </c>
      <c r="D50" t="s">
        <v>148</v>
      </c>
      <c r="Q50" s="2" t="s">
        <v>149</v>
      </c>
      <c r="R50" s="2" t="s">
        <v>2</v>
      </c>
      <c r="V50" s="2" t="s">
        <v>150</v>
      </c>
    </row>
    <row r="51" spans="1:22" ht="15" hidden="1" customHeight="1">
      <c r="B51" s="2" t="s">
        <v>151</v>
      </c>
      <c r="D51" s="2" t="b">
        <v>0</v>
      </c>
      <c r="Q51" s="2" t="s">
        <v>152</v>
      </c>
      <c r="R51" s="2" t="s">
        <v>2</v>
      </c>
      <c r="V51" s="2" t="s">
        <v>153</v>
      </c>
    </row>
    <row r="52" spans="1:22" ht="15" hidden="1" customHeight="1">
      <c r="B52" s="2" t="s">
        <v>154</v>
      </c>
      <c r="D52" s="2" t="b">
        <v>0</v>
      </c>
      <c r="Q52" s="2" t="s">
        <v>155</v>
      </c>
      <c r="R52" s="2" t="s">
        <v>2</v>
      </c>
      <c r="V52" s="2" t="s">
        <v>156</v>
      </c>
    </row>
    <row r="53" spans="1:22" ht="17.25" customHeight="1">
      <c r="I53" s="32"/>
      <c r="J53" s="32"/>
      <c r="L53" s="13" t="s">
        <v>157</v>
      </c>
      <c r="M53" s="13" t="s">
        <v>158</v>
      </c>
      <c r="Q53" s="2" t="s">
        <v>159</v>
      </c>
      <c r="R53" s="2" t="s">
        <v>2</v>
      </c>
      <c r="V53" s="2" t="s">
        <v>160</v>
      </c>
    </row>
    <row r="54" spans="1:22" ht="15" hidden="1" customHeight="1">
      <c r="A54" s="1" t="s">
        <v>75</v>
      </c>
      <c r="H54" s="32"/>
      <c r="I54" s="32"/>
      <c r="J54" s="32"/>
      <c r="Q54" s="2" t="s">
        <v>161</v>
      </c>
      <c r="R54" s="2" t="s">
        <v>2</v>
      </c>
      <c r="V54" s="2" t="s">
        <v>162</v>
      </c>
    </row>
    <row r="55" spans="1:22" ht="15" hidden="1">
      <c r="A55" s="1" t="s">
        <v>75</v>
      </c>
      <c r="Q55" s="2" t="s">
        <v>163</v>
      </c>
      <c r="R55" s="2" t="s">
        <v>2</v>
      </c>
      <c r="V55" s="2" t="s">
        <v>164</v>
      </c>
    </row>
    <row r="56" spans="1:22" ht="15" hidden="1">
      <c r="Q56" s="2" t="s">
        <v>165</v>
      </c>
      <c r="R56" s="2" t="s">
        <v>2</v>
      </c>
      <c r="V56" s="2" t="s">
        <v>166</v>
      </c>
    </row>
    <row r="57" spans="1:22" ht="15" hidden="1">
      <c r="Q57" s="2" t="s">
        <v>167</v>
      </c>
      <c r="R57" s="2" t="s">
        <v>2</v>
      </c>
      <c r="V57" s="2" t="s">
        <v>168</v>
      </c>
    </row>
    <row r="58" spans="1:22" ht="15" hidden="1">
      <c r="Q58" s="2" t="s">
        <v>169</v>
      </c>
      <c r="R58" s="2" t="s">
        <v>2</v>
      </c>
      <c r="V58" s="2" t="s">
        <v>170</v>
      </c>
    </row>
    <row r="59" spans="1:22" ht="15" hidden="1">
      <c r="Q59" s="2" t="s">
        <v>171</v>
      </c>
      <c r="R59" s="2" t="s">
        <v>2</v>
      </c>
      <c r="V59" s="2" t="s">
        <v>172</v>
      </c>
    </row>
    <row r="60" spans="1:22" ht="15" hidden="1">
      <c r="Q60" s="2" t="s">
        <v>173</v>
      </c>
      <c r="R60" s="2" t="s">
        <v>2</v>
      </c>
      <c r="V60" s="2" t="s">
        <v>174</v>
      </c>
    </row>
    <row r="61" spans="1:22" ht="15" hidden="1">
      <c r="Q61" s="2" t="s">
        <v>175</v>
      </c>
      <c r="R61" s="2" t="s">
        <v>2</v>
      </c>
      <c r="V61" s="2" t="s">
        <v>176</v>
      </c>
    </row>
    <row r="62" spans="1:22" ht="15" hidden="1">
      <c r="Q62" s="2" t="s">
        <v>177</v>
      </c>
      <c r="R62" s="2" t="s">
        <v>2</v>
      </c>
      <c r="V62" s="2" t="s">
        <v>178</v>
      </c>
    </row>
    <row r="63" spans="1:22" ht="15" hidden="1">
      <c r="Q63" s="2" t="s">
        <v>179</v>
      </c>
      <c r="R63" s="2" t="s">
        <v>2</v>
      </c>
      <c r="V63" s="2" t="s">
        <v>180</v>
      </c>
    </row>
    <row r="64" spans="1:22" ht="15" hidden="1">
      <c r="Q64" s="2" t="s">
        <v>181</v>
      </c>
      <c r="R64" s="2" t="s">
        <v>2</v>
      </c>
      <c r="V64" s="2" t="s">
        <v>182</v>
      </c>
    </row>
    <row r="65" spans="17:22" ht="15" hidden="1">
      <c r="Q65" s="2" t="s">
        <v>183</v>
      </c>
      <c r="R65" s="2" t="s">
        <v>2</v>
      </c>
      <c r="V65" s="2" t="s">
        <v>184</v>
      </c>
    </row>
    <row r="66" spans="17:22" ht="15" hidden="1">
      <c r="Q66" s="2" t="s">
        <v>185</v>
      </c>
      <c r="R66" s="2" t="s">
        <v>2</v>
      </c>
      <c r="V66" s="2" t="s">
        <v>186</v>
      </c>
    </row>
    <row r="67" spans="17:22" ht="15" hidden="1">
      <c r="Q67" s="2" t="s">
        <v>187</v>
      </c>
      <c r="R67" s="2" t="s">
        <v>2</v>
      </c>
      <c r="V67" s="2" t="s">
        <v>188</v>
      </c>
    </row>
    <row r="68" spans="17:22" ht="15" hidden="1">
      <c r="Q68" s="2" t="s">
        <v>189</v>
      </c>
      <c r="R68" s="2" t="s">
        <v>2</v>
      </c>
      <c r="V68" s="2" t="s">
        <v>190</v>
      </c>
    </row>
    <row r="69" spans="17:22" ht="15" hidden="1">
      <c r="Q69" s="2" t="s">
        <v>191</v>
      </c>
      <c r="R69" s="2" t="s">
        <v>2</v>
      </c>
      <c r="V69" s="2" t="s">
        <v>192</v>
      </c>
    </row>
    <row r="70" spans="17:22" ht="15" hidden="1">
      <c r="Q70" s="2" t="s">
        <v>193</v>
      </c>
      <c r="R70" s="2" t="s">
        <v>2</v>
      </c>
      <c r="V70" s="2" t="s">
        <v>194</v>
      </c>
    </row>
    <row r="71" spans="17:22" ht="15" hidden="1">
      <c r="Q71" s="2" t="s">
        <v>195</v>
      </c>
      <c r="R71" s="2" t="s">
        <v>2</v>
      </c>
      <c r="V71" s="2" t="s">
        <v>196</v>
      </c>
    </row>
    <row r="72" spans="17:22" ht="15" hidden="1">
      <c r="Q72" s="2" t="s">
        <v>197</v>
      </c>
      <c r="R72" s="2" t="s">
        <v>2</v>
      </c>
      <c r="V72" s="2" t="s">
        <v>198</v>
      </c>
    </row>
    <row r="73" spans="17:22" ht="15" hidden="1">
      <c r="Q73" s="2" t="s">
        <v>199</v>
      </c>
      <c r="R73" s="2" t="s">
        <v>2</v>
      </c>
      <c r="V73" s="2" t="s">
        <v>200</v>
      </c>
    </row>
    <row r="74" spans="17:22" ht="15" hidden="1">
      <c r="Q74" s="2" t="s">
        <v>201</v>
      </c>
      <c r="R74" s="2" t="s">
        <v>2</v>
      </c>
      <c r="V74" s="2" t="s">
        <v>202</v>
      </c>
    </row>
    <row r="75" spans="17:22" ht="15" hidden="1">
      <c r="Q75" s="2" t="s">
        <v>203</v>
      </c>
      <c r="R75" s="2" t="s">
        <v>2</v>
      </c>
      <c r="V75" s="2" t="s">
        <v>204</v>
      </c>
    </row>
    <row r="76" spans="17:22" ht="15" hidden="1">
      <c r="Q76" s="2" t="s">
        <v>205</v>
      </c>
      <c r="R76" s="2" t="s">
        <v>2</v>
      </c>
      <c r="V76" s="2" t="s">
        <v>206</v>
      </c>
    </row>
    <row r="77" spans="17:22" ht="15" hidden="1">
      <c r="Q77" s="2" t="s">
        <v>207</v>
      </c>
      <c r="R77" s="2" t="s">
        <v>2</v>
      </c>
      <c r="V77" s="2" t="s">
        <v>208</v>
      </c>
    </row>
    <row r="78" spans="17:22" ht="15" hidden="1">
      <c r="Q78" s="2" t="s">
        <v>209</v>
      </c>
      <c r="R78" s="2" t="s">
        <v>2</v>
      </c>
      <c r="V78" s="2" t="s">
        <v>210</v>
      </c>
    </row>
    <row r="79" spans="17:22" ht="15" hidden="1">
      <c r="Q79" s="2" t="s">
        <v>211</v>
      </c>
      <c r="R79" s="2" t="s">
        <v>2</v>
      </c>
      <c r="V79" s="2" t="s">
        <v>212</v>
      </c>
    </row>
    <row r="80" spans="17:22" ht="15" hidden="1">
      <c r="Q80" s="2" t="s">
        <v>213</v>
      </c>
      <c r="R80" s="2" t="s">
        <v>2</v>
      </c>
      <c r="V80" s="2" t="s">
        <v>214</v>
      </c>
    </row>
    <row r="81" spans="17:22" ht="15" hidden="1">
      <c r="Q81" s="2" t="s">
        <v>215</v>
      </c>
      <c r="R81" s="2" t="s">
        <v>2</v>
      </c>
      <c r="V81" s="2" t="s">
        <v>216</v>
      </c>
    </row>
    <row r="82" spans="17:22" ht="15" hidden="1">
      <c r="Q82" s="2" t="s">
        <v>217</v>
      </c>
      <c r="R82" s="2" t="s">
        <v>2</v>
      </c>
      <c r="V82" s="2" t="s">
        <v>218</v>
      </c>
    </row>
    <row r="83" spans="17:22" ht="15" hidden="1">
      <c r="Q83" s="2" t="s">
        <v>219</v>
      </c>
      <c r="R83" s="2" t="s">
        <v>2</v>
      </c>
      <c r="V83" s="2" t="s">
        <v>220</v>
      </c>
    </row>
    <row r="84" spans="17:22" ht="15" hidden="1">
      <c r="Q84" s="2" t="s">
        <v>221</v>
      </c>
      <c r="R84" s="2" t="s">
        <v>2</v>
      </c>
      <c r="V84" s="2" t="s">
        <v>222</v>
      </c>
    </row>
    <row r="85" spans="17:22" ht="15" hidden="1">
      <c r="Q85" s="2" t="s">
        <v>223</v>
      </c>
      <c r="R85" s="2" t="s">
        <v>2</v>
      </c>
      <c r="V85" s="2" t="s">
        <v>224</v>
      </c>
    </row>
    <row r="86" spans="17:22" ht="15" hidden="1">
      <c r="Q86" s="2" t="s">
        <v>225</v>
      </c>
      <c r="R86" s="2" t="s">
        <v>2</v>
      </c>
      <c r="V86" s="2" t="s">
        <v>226</v>
      </c>
    </row>
    <row r="87" spans="17:22" ht="15" hidden="1">
      <c r="Q87" s="2" t="s">
        <v>227</v>
      </c>
      <c r="R87" s="2" t="s">
        <v>2</v>
      </c>
      <c r="V87" s="2" t="s">
        <v>228</v>
      </c>
    </row>
    <row r="88" spans="17:22" ht="15" hidden="1">
      <c r="Q88" s="2" t="s">
        <v>229</v>
      </c>
      <c r="R88" s="2" t="s">
        <v>2</v>
      </c>
      <c r="V88" s="2" t="s">
        <v>230</v>
      </c>
    </row>
    <row r="89" spans="17:22" ht="15" hidden="1">
      <c r="Q89" s="2" t="s">
        <v>231</v>
      </c>
      <c r="R89" s="2" t="s">
        <v>2</v>
      </c>
      <c r="V89" s="2" t="s">
        <v>232</v>
      </c>
    </row>
    <row r="90" spans="17:22" ht="15" hidden="1">
      <c r="Q90" s="2" t="s">
        <v>233</v>
      </c>
      <c r="R90" s="2" t="s">
        <v>2</v>
      </c>
      <c r="V90" s="2" t="s">
        <v>234</v>
      </c>
    </row>
    <row r="91" spans="17:22" ht="15" hidden="1">
      <c r="Q91" s="2" t="s">
        <v>235</v>
      </c>
      <c r="R91" s="2" t="s">
        <v>2</v>
      </c>
      <c r="V91" s="2" t="s">
        <v>236</v>
      </c>
    </row>
    <row r="92" spans="17:22" ht="15" hidden="1">
      <c r="Q92" s="2" t="s">
        <v>237</v>
      </c>
      <c r="R92" s="2" t="s">
        <v>2</v>
      </c>
      <c r="V92" s="2" t="s">
        <v>238</v>
      </c>
    </row>
    <row r="93" spans="17:22" ht="15" hidden="1">
      <c r="Q93" s="2" t="s">
        <v>239</v>
      </c>
      <c r="R93" s="2" t="s">
        <v>2</v>
      </c>
      <c r="V93" s="2" t="s">
        <v>240</v>
      </c>
    </row>
    <row r="94" spans="17:22" ht="15" hidden="1">
      <c r="Q94" s="2" t="s">
        <v>241</v>
      </c>
      <c r="R94" s="2" t="s">
        <v>2</v>
      </c>
      <c r="V94" s="2" t="s">
        <v>242</v>
      </c>
    </row>
    <row r="95" spans="17:22" ht="15" hidden="1">
      <c r="Q95" s="2" t="s">
        <v>243</v>
      </c>
      <c r="R95" s="2" t="s">
        <v>2</v>
      </c>
      <c r="V95" s="2" t="s">
        <v>244</v>
      </c>
    </row>
    <row r="96" spans="17:22" ht="15" hidden="1">
      <c r="Q96" s="2" t="s">
        <v>245</v>
      </c>
      <c r="R96" s="2" t="s">
        <v>2</v>
      </c>
      <c r="V96" s="2" t="s">
        <v>246</v>
      </c>
    </row>
    <row r="97" spans="17:22" ht="15" hidden="1">
      <c r="Q97" s="2" t="s">
        <v>247</v>
      </c>
      <c r="R97" s="2" t="s">
        <v>2</v>
      </c>
      <c r="V97" s="2" t="s">
        <v>248</v>
      </c>
    </row>
    <row r="98" spans="17:22" ht="15" hidden="1">
      <c r="Q98" s="2" t="s">
        <v>249</v>
      </c>
      <c r="R98" s="2" t="s">
        <v>2</v>
      </c>
      <c r="V98" s="2" t="s">
        <v>250</v>
      </c>
    </row>
    <row r="99" spans="17:22" ht="15" hidden="1">
      <c r="Q99" s="2" t="s">
        <v>251</v>
      </c>
      <c r="R99" s="2" t="s">
        <v>2</v>
      </c>
      <c r="V99" s="2" t="s">
        <v>252</v>
      </c>
    </row>
    <row r="100" spans="17:22" ht="15" hidden="1">
      <c r="Q100" s="2" t="s">
        <v>253</v>
      </c>
      <c r="R100" s="2" t="s">
        <v>2</v>
      </c>
      <c r="V100" s="2" t="s">
        <v>254</v>
      </c>
    </row>
    <row r="101" spans="17:22" ht="15" hidden="1">
      <c r="Q101" s="2" t="s">
        <v>255</v>
      </c>
      <c r="R101" s="2" t="s">
        <v>2</v>
      </c>
      <c r="V101" s="2" t="s">
        <v>256</v>
      </c>
    </row>
    <row r="102" spans="17:22" ht="15" hidden="1">
      <c r="Q102" s="2" t="s">
        <v>257</v>
      </c>
      <c r="R102" s="2" t="s">
        <v>2</v>
      </c>
      <c r="V102" s="2" t="s">
        <v>258</v>
      </c>
    </row>
    <row r="103" spans="17:22" ht="15" hidden="1">
      <c r="Q103" s="2" t="s">
        <v>259</v>
      </c>
      <c r="R103" s="2" t="s">
        <v>2</v>
      </c>
      <c r="V103" s="2" t="s">
        <v>260</v>
      </c>
    </row>
    <row r="104" spans="17:22" ht="15" hidden="1">
      <c r="Q104" s="2" t="s">
        <v>261</v>
      </c>
      <c r="R104" s="2" t="s">
        <v>2</v>
      </c>
      <c r="V104" s="2" t="s">
        <v>262</v>
      </c>
    </row>
    <row r="105" spans="17:22" ht="15" hidden="1">
      <c r="Q105" s="2" t="s">
        <v>263</v>
      </c>
      <c r="R105" s="2" t="s">
        <v>2</v>
      </c>
      <c r="V105" s="2" t="s">
        <v>264</v>
      </c>
    </row>
    <row r="106" spans="17:22" ht="15" hidden="1">
      <c r="Q106" s="2" t="s">
        <v>265</v>
      </c>
      <c r="R106" s="2" t="s">
        <v>2</v>
      </c>
      <c r="V106" s="2" t="s">
        <v>266</v>
      </c>
    </row>
    <row r="107" spans="17:22" ht="15" hidden="1">
      <c r="Q107" s="2" t="s">
        <v>267</v>
      </c>
      <c r="R107" s="2" t="s">
        <v>2</v>
      </c>
      <c r="V107" s="2" t="s">
        <v>268</v>
      </c>
    </row>
    <row r="108" spans="17:22" ht="15" hidden="1">
      <c r="Q108" s="2" t="s">
        <v>269</v>
      </c>
      <c r="R108" s="2" t="s">
        <v>2</v>
      </c>
      <c r="V108" s="2" t="s">
        <v>270</v>
      </c>
    </row>
    <row r="109" spans="17:22" ht="15" hidden="1">
      <c r="Q109" s="2" t="s">
        <v>271</v>
      </c>
      <c r="R109" s="2" t="s">
        <v>2</v>
      </c>
      <c r="V109" s="2" t="s">
        <v>272</v>
      </c>
    </row>
    <row r="110" spans="17:22" ht="15" hidden="1">
      <c r="Q110" s="2" t="s">
        <v>273</v>
      </c>
      <c r="R110" s="2" t="s">
        <v>2</v>
      </c>
      <c r="V110" s="2" t="s">
        <v>274</v>
      </c>
    </row>
    <row r="111" spans="17:22" ht="15" hidden="1">
      <c r="Q111" s="2" t="s">
        <v>275</v>
      </c>
      <c r="R111" s="2" t="s">
        <v>2</v>
      </c>
      <c r="V111" s="2" t="s">
        <v>276</v>
      </c>
    </row>
    <row r="112" spans="17:22" ht="15" hidden="1">
      <c r="Q112" s="2" t="s">
        <v>277</v>
      </c>
      <c r="R112" s="2" t="s">
        <v>2</v>
      </c>
      <c r="V112" s="2" t="s">
        <v>278</v>
      </c>
    </row>
    <row r="113" spans="17:22" ht="15" hidden="1">
      <c r="Q113" s="2" t="s">
        <v>279</v>
      </c>
      <c r="R113" s="2" t="s">
        <v>2</v>
      </c>
      <c r="V113" s="2" t="s">
        <v>280</v>
      </c>
    </row>
    <row r="114" spans="17:22" ht="15" hidden="1">
      <c r="Q114" s="2" t="s">
        <v>281</v>
      </c>
      <c r="R114" s="2" t="s">
        <v>2</v>
      </c>
      <c r="V114" s="2" t="s">
        <v>282</v>
      </c>
    </row>
    <row r="115" spans="17:22" ht="15" hidden="1">
      <c r="Q115" s="2" t="s">
        <v>283</v>
      </c>
      <c r="R115" s="2" t="s">
        <v>2</v>
      </c>
      <c r="V115" s="2" t="s">
        <v>284</v>
      </c>
    </row>
    <row r="116" spans="17:22" ht="15" hidden="1">
      <c r="Q116" s="2" t="s">
        <v>285</v>
      </c>
      <c r="R116" s="2" t="s">
        <v>2</v>
      </c>
      <c r="V116" s="2" t="s">
        <v>286</v>
      </c>
    </row>
    <row r="117" spans="17:22" ht="15" hidden="1">
      <c r="Q117" s="2" t="s">
        <v>287</v>
      </c>
      <c r="R117" s="2" t="s">
        <v>2</v>
      </c>
      <c r="V117" s="2" t="s">
        <v>288</v>
      </c>
    </row>
    <row r="118" spans="17:22" ht="15" hidden="1">
      <c r="Q118" s="2" t="s">
        <v>289</v>
      </c>
      <c r="R118" s="2" t="s">
        <v>2</v>
      </c>
      <c r="V118" s="2" t="s">
        <v>290</v>
      </c>
    </row>
    <row r="119" spans="17:22" ht="15" hidden="1">
      <c r="Q119" s="2" t="s">
        <v>291</v>
      </c>
      <c r="R119" s="2" t="s">
        <v>2</v>
      </c>
      <c r="V119" s="2" t="s">
        <v>292</v>
      </c>
    </row>
    <row r="120" spans="17:22" ht="15" hidden="1">
      <c r="Q120" s="2" t="s">
        <v>293</v>
      </c>
      <c r="R120" s="2" t="s">
        <v>2</v>
      </c>
      <c r="V120" s="2" t="s">
        <v>294</v>
      </c>
    </row>
    <row r="121" spans="17:22" ht="15" hidden="1">
      <c r="Q121" s="2" t="s">
        <v>295</v>
      </c>
      <c r="R121" s="2" t="s">
        <v>2</v>
      </c>
      <c r="V121" s="2" t="s">
        <v>296</v>
      </c>
    </row>
    <row r="122" spans="17:22" ht="15" hidden="1">
      <c r="Q122" s="2" t="s">
        <v>297</v>
      </c>
      <c r="R122" s="2" t="s">
        <v>2</v>
      </c>
      <c r="V122" s="2" t="s">
        <v>298</v>
      </c>
    </row>
    <row r="123" spans="17:22" ht="15" hidden="1">
      <c r="Q123" s="2" t="s">
        <v>299</v>
      </c>
      <c r="R123" s="2" t="s">
        <v>2</v>
      </c>
      <c r="V123" s="2" t="s">
        <v>300</v>
      </c>
    </row>
    <row r="124" spans="17:22" ht="15" hidden="1">
      <c r="Q124" s="2" t="s">
        <v>301</v>
      </c>
      <c r="R124" s="2" t="s">
        <v>2</v>
      </c>
      <c r="V124" s="2" t="s">
        <v>302</v>
      </c>
    </row>
    <row r="125" spans="17:22" ht="15" hidden="1">
      <c r="Q125" s="2" t="s">
        <v>303</v>
      </c>
      <c r="R125" s="2" t="s">
        <v>2</v>
      </c>
      <c r="V125" s="2" t="s">
        <v>304</v>
      </c>
    </row>
    <row r="126" spans="17:22" ht="15" hidden="1">
      <c r="Q126" s="2" t="s">
        <v>305</v>
      </c>
      <c r="R126" s="2" t="s">
        <v>306</v>
      </c>
      <c r="V126" s="2" t="s">
        <v>307</v>
      </c>
    </row>
    <row r="127" spans="17:22" ht="15" hidden="1">
      <c r="Q127" s="2" t="s">
        <v>308</v>
      </c>
      <c r="R127" s="2" t="s">
        <v>2</v>
      </c>
      <c r="V127" s="2" t="s">
        <v>309</v>
      </c>
    </row>
    <row r="128" spans="17:22" ht="15" hidden="1">
      <c r="Q128" s="2" t="s">
        <v>310</v>
      </c>
      <c r="R128" s="2" t="s">
        <v>2</v>
      </c>
      <c r="V128" s="2" t="s">
        <v>311</v>
      </c>
    </row>
    <row r="129" spans="17:22" ht="15" hidden="1">
      <c r="Q129" s="2" t="s">
        <v>312</v>
      </c>
      <c r="R129" s="2" t="s">
        <v>2</v>
      </c>
      <c r="V129" s="2" t="s">
        <v>313</v>
      </c>
    </row>
    <row r="130" spans="17:22" ht="15" hidden="1">
      <c r="Q130" s="2" t="s">
        <v>314</v>
      </c>
      <c r="R130" s="2" t="s">
        <v>2</v>
      </c>
      <c r="V130" s="2" t="s">
        <v>315</v>
      </c>
    </row>
    <row r="131" spans="17:22" ht="15" hidden="1">
      <c r="Q131" s="2" t="s">
        <v>316</v>
      </c>
      <c r="R131" s="2" t="s">
        <v>2</v>
      </c>
      <c r="V131" s="2" t="s">
        <v>317</v>
      </c>
    </row>
    <row r="132" spans="17:22" ht="15" hidden="1">
      <c r="Q132" s="2" t="s">
        <v>318</v>
      </c>
      <c r="R132" s="2" t="s">
        <v>2</v>
      </c>
      <c r="V132" s="2" t="s">
        <v>319</v>
      </c>
    </row>
    <row r="133" spans="17:22" ht="15" hidden="1">
      <c r="Q133" s="2" t="s">
        <v>320</v>
      </c>
      <c r="R133" s="2" t="s">
        <v>2</v>
      </c>
      <c r="V133" s="2" t="s">
        <v>321</v>
      </c>
    </row>
    <row r="134" spans="17:22" ht="15" hidden="1">
      <c r="Q134" s="2" t="s">
        <v>322</v>
      </c>
      <c r="R134" s="2" t="s">
        <v>2</v>
      </c>
      <c r="V134" s="2" t="s">
        <v>323</v>
      </c>
    </row>
    <row r="135" spans="17:22" ht="15" hidden="1">
      <c r="Q135" s="2" t="s">
        <v>324</v>
      </c>
      <c r="R135" s="2" t="s">
        <v>2</v>
      </c>
      <c r="V135" s="2" t="s">
        <v>325</v>
      </c>
    </row>
    <row r="136" spans="17:22" ht="15" hidden="1">
      <c r="Q136" s="2" t="s">
        <v>326</v>
      </c>
      <c r="R136" s="2" t="s">
        <v>2</v>
      </c>
      <c r="V136" s="2" t="s">
        <v>327</v>
      </c>
    </row>
    <row r="137" spans="17:22" ht="15" hidden="1">
      <c r="Q137" s="2" t="s">
        <v>328</v>
      </c>
      <c r="R137" s="2" t="s">
        <v>2</v>
      </c>
      <c r="V137" s="2" t="s">
        <v>329</v>
      </c>
    </row>
    <row r="138" spans="17:22" ht="15" hidden="1">
      <c r="Q138" s="2" t="s">
        <v>330</v>
      </c>
      <c r="R138" s="2" t="s">
        <v>2</v>
      </c>
      <c r="V138" s="2" t="s">
        <v>331</v>
      </c>
    </row>
    <row r="139" spans="17:22" ht="15" hidden="1">
      <c r="Q139" s="2" t="s">
        <v>332</v>
      </c>
      <c r="R139" s="2" t="s">
        <v>2</v>
      </c>
      <c r="V139" s="2" t="s">
        <v>333</v>
      </c>
    </row>
    <row r="140" spans="17:22" ht="15" hidden="1">
      <c r="Q140" s="2" t="s">
        <v>334</v>
      </c>
      <c r="R140" s="2" t="s">
        <v>2</v>
      </c>
      <c r="V140" s="2" t="s">
        <v>335</v>
      </c>
    </row>
    <row r="141" spans="17:22" ht="15" hidden="1">
      <c r="Q141" s="2" t="s">
        <v>336</v>
      </c>
      <c r="R141" s="2" t="s">
        <v>2</v>
      </c>
      <c r="V141" s="2" t="s">
        <v>337</v>
      </c>
    </row>
    <row r="142" spans="17:22" ht="15" hidden="1">
      <c r="Q142" s="2" t="s">
        <v>338</v>
      </c>
      <c r="R142" s="2" t="s">
        <v>2</v>
      </c>
      <c r="V142" s="2" t="s">
        <v>339</v>
      </c>
    </row>
    <row r="143" spans="17:22" ht="15" hidden="1">
      <c r="Q143" s="2" t="s">
        <v>340</v>
      </c>
      <c r="R143" s="2" t="s">
        <v>2</v>
      </c>
      <c r="V143" s="2" t="s">
        <v>341</v>
      </c>
    </row>
    <row r="144" spans="17:22" ht="15" hidden="1">
      <c r="Q144" s="2" t="s">
        <v>342</v>
      </c>
      <c r="R144" s="2" t="s">
        <v>2</v>
      </c>
      <c r="V144" s="2" t="s">
        <v>343</v>
      </c>
    </row>
    <row r="145" spans="17:22" ht="15" hidden="1">
      <c r="Q145" s="2" t="s">
        <v>344</v>
      </c>
      <c r="R145" s="2" t="s">
        <v>2</v>
      </c>
      <c r="V145" s="2" t="s">
        <v>345</v>
      </c>
    </row>
    <row r="146" spans="17:22" ht="15" hidden="1">
      <c r="Q146" s="2" t="s">
        <v>346</v>
      </c>
      <c r="R146" s="2" t="s">
        <v>2</v>
      </c>
      <c r="V146" s="2" t="s">
        <v>347</v>
      </c>
    </row>
    <row r="147" spans="17:22" ht="15" hidden="1">
      <c r="Q147" s="2" t="s">
        <v>348</v>
      </c>
      <c r="R147" s="2" t="s">
        <v>2</v>
      </c>
      <c r="V147" s="2" t="s">
        <v>349</v>
      </c>
    </row>
    <row r="148" spans="17:22" ht="15" hidden="1">
      <c r="Q148" s="2" t="s">
        <v>350</v>
      </c>
      <c r="R148" s="2" t="s">
        <v>2</v>
      </c>
      <c r="V148" s="2" t="s">
        <v>351</v>
      </c>
    </row>
    <row r="149" spans="17:22" ht="15" hidden="1">
      <c r="Q149" s="2" t="s">
        <v>352</v>
      </c>
      <c r="R149" s="2" t="s">
        <v>2</v>
      </c>
      <c r="V149" s="2" t="s">
        <v>353</v>
      </c>
    </row>
    <row r="150" spans="17:22" ht="15" hidden="1">
      <c r="Q150" s="2" t="s">
        <v>354</v>
      </c>
      <c r="R150" s="2" t="s">
        <v>2</v>
      </c>
      <c r="V150" s="2" t="s">
        <v>355</v>
      </c>
    </row>
    <row r="151" spans="17:22" ht="15" hidden="1">
      <c r="Q151" s="2" t="s">
        <v>356</v>
      </c>
      <c r="R151" s="2" t="s">
        <v>2</v>
      </c>
      <c r="V151" s="2" t="s">
        <v>357</v>
      </c>
    </row>
    <row r="152" spans="17:22" ht="15" hidden="1">
      <c r="Q152" s="2" t="s">
        <v>358</v>
      </c>
      <c r="R152" s="2" t="s">
        <v>2</v>
      </c>
      <c r="V152" s="2" t="s">
        <v>359</v>
      </c>
    </row>
    <row r="153" spans="17:22" ht="15" hidden="1">
      <c r="Q153" s="2" t="s">
        <v>360</v>
      </c>
      <c r="R153" s="2" t="s">
        <v>2</v>
      </c>
      <c r="V153" s="2" t="s">
        <v>361</v>
      </c>
    </row>
    <row r="154" spans="17:22" ht="15" hidden="1">
      <c r="Q154" s="2" t="s">
        <v>362</v>
      </c>
      <c r="R154" s="2" t="s">
        <v>2</v>
      </c>
      <c r="V154" s="2" t="s">
        <v>363</v>
      </c>
    </row>
    <row r="155" spans="17:22" ht="15" hidden="1">
      <c r="Q155" s="2" t="s">
        <v>364</v>
      </c>
      <c r="R155" s="2" t="s">
        <v>2</v>
      </c>
      <c r="V155" s="2" t="s">
        <v>365</v>
      </c>
    </row>
    <row r="156" spans="17:22" ht="15" hidden="1">
      <c r="Q156" s="2" t="s">
        <v>366</v>
      </c>
      <c r="R156" s="2" t="s">
        <v>2</v>
      </c>
      <c r="V156" s="2" t="s">
        <v>367</v>
      </c>
    </row>
    <row r="157" spans="17:22" ht="15" hidden="1">
      <c r="Q157" s="2" t="s">
        <v>368</v>
      </c>
      <c r="R157" s="2" t="s">
        <v>2</v>
      </c>
      <c r="V157" s="2" t="s">
        <v>369</v>
      </c>
    </row>
    <row r="158" spans="17:22" ht="15" hidden="1">
      <c r="Q158" s="2" t="s">
        <v>370</v>
      </c>
      <c r="R158" s="2" t="s">
        <v>2</v>
      </c>
      <c r="V158" s="2" t="s">
        <v>371</v>
      </c>
    </row>
    <row r="159" spans="17:22" ht="15" hidden="1">
      <c r="Q159" s="2" t="s">
        <v>372</v>
      </c>
      <c r="R159" s="2" t="s">
        <v>2</v>
      </c>
      <c r="V159" s="2" t="s">
        <v>373</v>
      </c>
    </row>
    <row r="160" spans="17:22" ht="15" hidden="1">
      <c r="Q160" s="2" t="s">
        <v>374</v>
      </c>
      <c r="R160" s="2" t="s">
        <v>2</v>
      </c>
    </row>
    <row r="161" spans="17:18" ht="15" hidden="1">
      <c r="Q161" s="2" t="s">
        <v>375</v>
      </c>
      <c r="R161" s="2" t="s">
        <v>2</v>
      </c>
    </row>
    <row r="162" spans="17:18" ht="15" hidden="1">
      <c r="Q162" s="2" t="s">
        <v>376</v>
      </c>
      <c r="R162" s="2" t="s">
        <v>377</v>
      </c>
    </row>
    <row r="163" spans="17:18" ht="15" hidden="1">
      <c r="Q163" s="2" t="s">
        <v>378</v>
      </c>
      <c r="R163" s="2" t="s">
        <v>2</v>
      </c>
    </row>
    <row r="164" spans="17:18" ht="15" hidden="1">
      <c r="Q164" s="2" t="s">
        <v>379</v>
      </c>
      <c r="R164" s="2" t="s">
        <v>2</v>
      </c>
    </row>
    <row r="165" spans="17:18" ht="15" hidden="1">
      <c r="Q165" s="2" t="s">
        <v>380</v>
      </c>
      <c r="R165" s="2" t="s">
        <v>2</v>
      </c>
    </row>
    <row r="166" spans="17:18" ht="15" hidden="1">
      <c r="Q166" s="2" t="s">
        <v>381</v>
      </c>
      <c r="R166" s="2" t="s">
        <v>2</v>
      </c>
    </row>
    <row r="167" spans="17:18" ht="15" hidden="1">
      <c r="Q167" s="2" t="s">
        <v>382</v>
      </c>
      <c r="R167" s="2" t="s">
        <v>2</v>
      </c>
    </row>
    <row r="168" spans="17:18" ht="15" hidden="1">
      <c r="Q168" s="2" t="s">
        <v>383</v>
      </c>
      <c r="R168" s="2" t="s">
        <v>2</v>
      </c>
    </row>
    <row r="169" spans="17:18" ht="15" hidden="1">
      <c r="Q169" s="2" t="s">
        <v>384</v>
      </c>
      <c r="R169" s="2" t="s">
        <v>2</v>
      </c>
    </row>
    <row r="170" spans="17:18" ht="15" hidden="1">
      <c r="Q170" s="2" t="s">
        <v>385</v>
      </c>
      <c r="R170" s="2" t="s">
        <v>2</v>
      </c>
    </row>
    <row r="171" spans="17:18" ht="15" hidden="1">
      <c r="Q171" s="2" t="s">
        <v>386</v>
      </c>
      <c r="R171" s="2" t="s">
        <v>2</v>
      </c>
    </row>
    <row r="172" spans="17:18" ht="15" hidden="1">
      <c r="Q172" s="2" t="s">
        <v>387</v>
      </c>
      <c r="R172" s="2" t="s">
        <v>2</v>
      </c>
    </row>
    <row r="173" spans="17:18" ht="15" hidden="1">
      <c r="Q173" s="2" t="s">
        <v>388</v>
      </c>
      <c r="R173" s="2" t="s">
        <v>2</v>
      </c>
    </row>
    <row r="174" spans="17:18" ht="15" hidden="1">
      <c r="Q174" s="2" t="s">
        <v>389</v>
      </c>
      <c r="R174" s="2" t="s">
        <v>2</v>
      </c>
    </row>
    <row r="175" spans="17:18" ht="15" hidden="1">
      <c r="Q175" s="2" t="s">
        <v>390</v>
      </c>
      <c r="R175" s="2" t="s">
        <v>2</v>
      </c>
    </row>
    <row r="176" spans="17:18" ht="15" hidden="1">
      <c r="Q176" s="2" t="s">
        <v>391</v>
      </c>
      <c r="R176" s="2" t="s">
        <v>2</v>
      </c>
    </row>
    <row r="177" spans="17:18" ht="15" hidden="1">
      <c r="Q177" s="2" t="s">
        <v>392</v>
      </c>
      <c r="R177" s="2" t="s">
        <v>2</v>
      </c>
    </row>
    <row r="178" spans="17:18" ht="15" hidden="1">
      <c r="Q178" s="2" t="s">
        <v>393</v>
      </c>
      <c r="R178" s="2" t="s">
        <v>2</v>
      </c>
    </row>
    <row r="179" spans="17:18" ht="15" hidden="1">
      <c r="Q179" s="2" t="s">
        <v>394</v>
      </c>
      <c r="R179" s="2" t="s">
        <v>2</v>
      </c>
    </row>
    <row r="180" spans="17:18" ht="15" hidden="1">
      <c r="Q180" s="2" t="s">
        <v>395</v>
      </c>
      <c r="R180" s="2" t="s">
        <v>2</v>
      </c>
    </row>
    <row r="181" spans="17:18" ht="15" hidden="1">
      <c r="Q181" s="2" t="s">
        <v>396</v>
      </c>
      <c r="R181" s="2" t="s">
        <v>2</v>
      </c>
    </row>
    <row r="182" spans="17:18" ht="15" hidden="1">
      <c r="Q182" s="2" t="s">
        <v>397</v>
      </c>
      <c r="R182" s="2" t="s">
        <v>2</v>
      </c>
    </row>
    <row r="183" spans="17:18" ht="15" hidden="1">
      <c r="Q183" s="2" t="s">
        <v>398</v>
      </c>
      <c r="R183" s="2" t="s">
        <v>2</v>
      </c>
    </row>
    <row r="184" spans="17:18" ht="15" hidden="1">
      <c r="Q184" s="2" t="s">
        <v>399</v>
      </c>
      <c r="R184" s="2" t="s">
        <v>2</v>
      </c>
    </row>
    <row r="185" spans="17:18" ht="15" hidden="1">
      <c r="Q185" s="2" t="s">
        <v>400</v>
      </c>
      <c r="R185" s="2" t="s">
        <v>2</v>
      </c>
    </row>
    <row r="186" spans="17:18" ht="15" hidden="1">
      <c r="Q186" s="2" t="s">
        <v>401</v>
      </c>
      <c r="R186" s="2" t="s">
        <v>2</v>
      </c>
    </row>
    <row r="187" spans="17:18" ht="15" hidden="1">
      <c r="Q187" s="2" t="s">
        <v>402</v>
      </c>
      <c r="R187" s="2" t="s">
        <v>2</v>
      </c>
    </row>
    <row r="188" spans="17:18" ht="15" hidden="1">
      <c r="Q188" s="2" t="s">
        <v>403</v>
      </c>
      <c r="R188" s="2" t="s">
        <v>2</v>
      </c>
    </row>
    <row r="189" spans="17:18" ht="15" hidden="1">
      <c r="Q189" s="2" t="s">
        <v>404</v>
      </c>
      <c r="R189" s="2" t="s">
        <v>2</v>
      </c>
    </row>
    <row r="190" spans="17:18" ht="15" hidden="1">
      <c r="Q190" s="2" t="s">
        <v>405</v>
      </c>
      <c r="R190" s="2" t="s">
        <v>2</v>
      </c>
    </row>
    <row r="191" spans="17:18" ht="15" hidden="1">
      <c r="Q191" s="2" t="s">
        <v>406</v>
      </c>
      <c r="R191" s="2" t="s">
        <v>2</v>
      </c>
    </row>
    <row r="192" spans="17:18" ht="15" hidden="1">
      <c r="Q192" s="2" t="s">
        <v>407</v>
      </c>
      <c r="R192" s="2" t="s">
        <v>2</v>
      </c>
    </row>
    <row r="193" spans="17:18" ht="15" hidden="1">
      <c r="Q193" s="2" t="s">
        <v>408</v>
      </c>
      <c r="R193" s="2" t="s">
        <v>2</v>
      </c>
    </row>
    <row r="194" spans="17:18" ht="15" hidden="1">
      <c r="Q194" s="2" t="s">
        <v>409</v>
      </c>
      <c r="R194" s="2" t="s">
        <v>2</v>
      </c>
    </row>
    <row r="195" spans="17:18" ht="15" hidden="1">
      <c r="Q195" s="2" t="s">
        <v>410</v>
      </c>
      <c r="R195" s="2" t="s">
        <v>2</v>
      </c>
    </row>
    <row r="196" spans="17:18" ht="15" hidden="1">
      <c r="Q196" s="2" t="s">
        <v>411</v>
      </c>
      <c r="R196" s="2" t="s">
        <v>2</v>
      </c>
    </row>
    <row r="197" spans="17:18" ht="15" hidden="1">
      <c r="Q197" s="2" t="s">
        <v>412</v>
      </c>
      <c r="R197" s="2" t="s">
        <v>2</v>
      </c>
    </row>
    <row r="198" spans="17:18" ht="15" hidden="1">
      <c r="Q198" s="2" t="s">
        <v>413</v>
      </c>
      <c r="R198" s="2" t="s">
        <v>2</v>
      </c>
    </row>
    <row r="199" spans="17:18" ht="15" hidden="1">
      <c r="Q199" s="2" t="s">
        <v>414</v>
      </c>
      <c r="R199" s="2" t="s">
        <v>2</v>
      </c>
    </row>
    <row r="200" spans="17:18" ht="15" hidden="1">
      <c r="Q200" s="2" t="s">
        <v>415</v>
      </c>
      <c r="R200" s="2" t="s">
        <v>2</v>
      </c>
    </row>
    <row r="201" spans="17:18" ht="15" hidden="1">
      <c r="Q201" s="2" t="s">
        <v>416</v>
      </c>
      <c r="R201" s="2" t="s">
        <v>2</v>
      </c>
    </row>
    <row r="202" spans="17:18" ht="15" hidden="1">
      <c r="Q202" s="2" t="s">
        <v>417</v>
      </c>
      <c r="R202" s="2" t="s">
        <v>2</v>
      </c>
    </row>
    <row r="203" spans="17:18" ht="15" hidden="1">
      <c r="Q203" s="2" t="s">
        <v>418</v>
      </c>
      <c r="R203" s="2" t="s">
        <v>2</v>
      </c>
    </row>
    <row r="204" spans="17:18" ht="15" hidden="1">
      <c r="Q204" s="2" t="s">
        <v>419</v>
      </c>
      <c r="R204" s="2" t="s">
        <v>2</v>
      </c>
    </row>
    <row r="205" spans="17:18" ht="15" hidden="1">
      <c r="Q205" s="2" t="s">
        <v>420</v>
      </c>
      <c r="R205" s="2" t="s">
        <v>2</v>
      </c>
    </row>
    <row r="206" spans="17:18" ht="15" hidden="1">
      <c r="Q206" s="2" t="s">
        <v>421</v>
      </c>
      <c r="R206" s="2" t="s">
        <v>2</v>
      </c>
    </row>
    <row r="207" spans="17:18" ht="15" hidden="1">
      <c r="Q207" s="2" t="s">
        <v>422</v>
      </c>
      <c r="R207" s="2" t="s">
        <v>2</v>
      </c>
    </row>
    <row r="208" spans="17:18" ht="15" hidden="1">
      <c r="Q208" s="2" t="s">
        <v>423</v>
      </c>
      <c r="R208" s="2" t="s">
        <v>2</v>
      </c>
    </row>
    <row r="209" spans="17:18" ht="15" hidden="1">
      <c r="Q209" s="2" t="s">
        <v>424</v>
      </c>
      <c r="R209" s="2" t="s">
        <v>2</v>
      </c>
    </row>
    <row r="210" spans="17:18" ht="15" hidden="1">
      <c r="Q210" s="2" t="s">
        <v>425</v>
      </c>
      <c r="R210" s="2" t="s">
        <v>2</v>
      </c>
    </row>
    <row r="211" spans="17:18" ht="15" hidden="1">
      <c r="Q211" s="2" t="s">
        <v>426</v>
      </c>
      <c r="R211" s="2" t="s">
        <v>427</v>
      </c>
    </row>
    <row r="212" spans="17:18" ht="15" hidden="1">
      <c r="Q212" s="2" t="s">
        <v>428</v>
      </c>
      <c r="R212" s="2" t="s">
        <v>2</v>
      </c>
    </row>
    <row r="213" spans="17:18" ht="15" hidden="1">
      <c r="Q213" s="2" t="s">
        <v>429</v>
      </c>
      <c r="R213" s="2" t="s">
        <v>2</v>
      </c>
    </row>
    <row r="214" spans="17:18" ht="15" hidden="1">
      <c r="Q214" s="2" t="s">
        <v>430</v>
      </c>
      <c r="R214" s="2" t="s">
        <v>2</v>
      </c>
    </row>
    <row r="215" spans="17:18" ht="15" hidden="1">
      <c r="Q215" s="2" t="s">
        <v>431</v>
      </c>
      <c r="R215" s="2" t="s">
        <v>2</v>
      </c>
    </row>
    <row r="216" spans="17:18" ht="15" hidden="1">
      <c r="Q216" s="2" t="s">
        <v>432</v>
      </c>
      <c r="R216" s="2" t="s">
        <v>2</v>
      </c>
    </row>
    <row r="217" spans="17:18" ht="15" hidden="1">
      <c r="Q217" s="2" t="s">
        <v>433</v>
      </c>
      <c r="R217" s="2" t="s">
        <v>2</v>
      </c>
    </row>
    <row r="218" spans="17:18" ht="15" hidden="1">
      <c r="Q218" s="2" t="s">
        <v>434</v>
      </c>
      <c r="R218" s="2" t="s">
        <v>2</v>
      </c>
    </row>
    <row r="219" spans="17:18" ht="15" hidden="1">
      <c r="Q219" s="2" t="s">
        <v>435</v>
      </c>
      <c r="R219" s="2" t="s">
        <v>2</v>
      </c>
    </row>
    <row r="220" spans="17:18" ht="15" hidden="1">
      <c r="Q220" s="2" t="s">
        <v>436</v>
      </c>
      <c r="R220" s="2" t="s">
        <v>2</v>
      </c>
    </row>
    <row r="221" spans="17:18" ht="15" hidden="1">
      <c r="Q221" s="2" t="s">
        <v>437</v>
      </c>
      <c r="R221" s="2" t="s">
        <v>2</v>
      </c>
    </row>
    <row r="222" spans="17:18" ht="15" hidden="1">
      <c r="Q222" s="2" t="s">
        <v>438</v>
      </c>
      <c r="R222" s="2" t="s">
        <v>2</v>
      </c>
    </row>
    <row r="223" spans="17:18" ht="15" hidden="1">
      <c r="Q223" s="2" t="s">
        <v>439</v>
      </c>
      <c r="R223" s="2" t="s">
        <v>2</v>
      </c>
    </row>
    <row r="224" spans="17:18" ht="15" hidden="1">
      <c r="Q224" s="2" t="s">
        <v>440</v>
      </c>
      <c r="R224" s="2" t="s">
        <v>2</v>
      </c>
    </row>
    <row r="225" spans="17:18" ht="15" hidden="1">
      <c r="Q225" s="2" t="s">
        <v>441</v>
      </c>
      <c r="R225" s="2" t="s">
        <v>2</v>
      </c>
    </row>
    <row r="226" spans="17:18" ht="15" hidden="1">
      <c r="Q226" s="2" t="s">
        <v>442</v>
      </c>
      <c r="R226" s="2" t="s">
        <v>2</v>
      </c>
    </row>
    <row r="227" spans="17:18" ht="15" hidden="1">
      <c r="Q227" s="2" t="s">
        <v>443</v>
      </c>
      <c r="R227" s="2" t="s">
        <v>2</v>
      </c>
    </row>
    <row r="228" spans="17:18" ht="15" hidden="1">
      <c r="Q228" s="2" t="s">
        <v>444</v>
      </c>
      <c r="R228" s="2" t="s">
        <v>2</v>
      </c>
    </row>
    <row r="229" spans="17:18" ht="15" hidden="1">
      <c r="Q229" s="2" t="s">
        <v>445</v>
      </c>
      <c r="R229" s="2" t="s">
        <v>2</v>
      </c>
    </row>
    <row r="230" spans="17:18" ht="15" hidden="1">
      <c r="Q230" s="2" t="s">
        <v>446</v>
      </c>
      <c r="R230" s="2" t="s">
        <v>2</v>
      </c>
    </row>
    <row r="231" spans="17:18" ht="15" hidden="1">
      <c r="Q231" s="2" t="s">
        <v>447</v>
      </c>
      <c r="R231" s="2" t="s">
        <v>2</v>
      </c>
    </row>
    <row r="232" spans="17:18" ht="15" hidden="1">
      <c r="Q232" s="2" t="s">
        <v>448</v>
      </c>
      <c r="R232" s="2" t="s">
        <v>2</v>
      </c>
    </row>
    <row r="233" spans="17:18" ht="15" hidden="1">
      <c r="Q233" s="2" t="s">
        <v>449</v>
      </c>
      <c r="R233" s="2" t="s">
        <v>2</v>
      </c>
    </row>
    <row r="234" spans="17:18" ht="15" hidden="1">
      <c r="Q234" s="2" t="s">
        <v>450</v>
      </c>
      <c r="R234" s="2" t="s">
        <v>2</v>
      </c>
    </row>
    <row r="235" spans="17:18" ht="15" hidden="1">
      <c r="Q235" s="2" t="s">
        <v>451</v>
      </c>
      <c r="R235" s="2" t="s">
        <v>2</v>
      </c>
    </row>
    <row r="236" spans="17:18" ht="15" hidden="1">
      <c r="Q236" s="2" t="s">
        <v>452</v>
      </c>
      <c r="R236" s="2" t="s">
        <v>2</v>
      </c>
    </row>
    <row r="237" spans="17:18" ht="15" hidden="1">
      <c r="Q237" s="2" t="s">
        <v>453</v>
      </c>
      <c r="R237" s="2" t="s">
        <v>2</v>
      </c>
    </row>
    <row r="238" spans="17:18" ht="15" hidden="1">
      <c r="Q238" s="2" t="s">
        <v>454</v>
      </c>
      <c r="R238" s="2" t="s">
        <v>2</v>
      </c>
    </row>
    <row r="239" spans="17:18" ht="15" hidden="1">
      <c r="Q239" s="2" t="s">
        <v>455</v>
      </c>
      <c r="R239" s="2" t="s">
        <v>2</v>
      </c>
    </row>
    <row r="240" spans="17:18" ht="15" hidden="1">
      <c r="Q240" s="2" t="s">
        <v>456</v>
      </c>
      <c r="R240" s="2" t="s">
        <v>2</v>
      </c>
    </row>
    <row r="241" spans="17:18" ht="15" hidden="1">
      <c r="Q241" s="2" t="s">
        <v>457</v>
      </c>
      <c r="R241" s="2" t="s">
        <v>2</v>
      </c>
    </row>
    <row r="242" spans="17:18" ht="15" hidden="1">
      <c r="Q242" s="2" t="s">
        <v>458</v>
      </c>
      <c r="R242" s="2" t="s">
        <v>2</v>
      </c>
    </row>
    <row r="243" spans="17:18" ht="15" hidden="1">
      <c r="Q243" s="2" t="s">
        <v>459</v>
      </c>
      <c r="R243" s="2" t="s">
        <v>2</v>
      </c>
    </row>
    <row r="244" spans="17:18" ht="15" hidden="1">
      <c r="Q244" s="2" t="s">
        <v>460</v>
      </c>
      <c r="R244" s="2" t="s">
        <v>2</v>
      </c>
    </row>
    <row r="245" spans="17:18" ht="15" hidden="1">
      <c r="Q245" s="2" t="s">
        <v>461</v>
      </c>
      <c r="R245" s="2" t="s">
        <v>2</v>
      </c>
    </row>
    <row r="246" spans="17:18" ht="15" hidden="1">
      <c r="Q246" s="2" t="s">
        <v>462</v>
      </c>
      <c r="R246" s="2" t="s">
        <v>2</v>
      </c>
    </row>
    <row r="247" spans="17:18" ht="15" hidden="1">
      <c r="Q247" s="2" t="s">
        <v>463</v>
      </c>
      <c r="R247" s="2" t="s">
        <v>2</v>
      </c>
    </row>
    <row r="248" spans="17:18" ht="15" hidden="1"/>
    <row r="249" spans="17:18" ht="15" hidden="1"/>
    <row r="250" spans="17:18" ht="15" hidden="1"/>
    <row r="251" spans="17:18" ht="15" hidden="1"/>
    <row r="252" spans="17:18" ht="15" hidden="1"/>
    <row r="253" spans="17:18" ht="15" hidden="1"/>
  </sheetData>
  <sheetProtection sheet="1" objects="1" scenarios="1"/>
  <mergeCells count="2">
    <mergeCell ref="G1:G3"/>
    <mergeCell ref="A4:J6"/>
  </mergeCells>
  <dataValidations count="10">
    <dataValidation type="date" allowBlank="1" showInputMessage="1" showErrorMessage="1" sqref="D12" xr:uid="{D0F96F72-C679-4A2F-9143-F70642E6EF30}">
      <formula1>1</formula1>
      <formula2>109574</formula2>
    </dataValidation>
    <dataValidation type="date" allowBlank="1" showInputMessage="1" showErrorMessage="1" sqref="D14" xr:uid="{9A02D585-A16B-4882-A74A-AFB2632E5786}">
      <formula1>40179</formula1>
      <formula2>109574</formula2>
    </dataValidation>
    <dataValidation type="list" allowBlank="1" showInputMessage="1" showErrorMessage="1" sqref="D18" xr:uid="{FFEB5D54-F3F4-437B-8A48-AFDB60EB1B4B}">
      <formula1>Currencies</formula1>
    </dataValidation>
    <dataValidation type="list" allowBlank="1" showInputMessage="1" showErrorMessage="1" sqref="D22" xr:uid="{A8BCC9B5-4D9F-47CE-B421-72DEAAF7B718}">
      <formula1>Modules</formula1>
    </dataValidation>
    <dataValidation type="whole" allowBlank="1" showInputMessage="1" showErrorMessage="1" sqref="D35 D33 D31 D29" xr:uid="{281A9D51-42DB-4435-A2CE-8EC40CB85A8C}">
      <formula1>-6</formula1>
      <formula2>6</formula2>
    </dataValidation>
    <dataValidation type="list" allowBlank="1" showInputMessage="1" showErrorMessage="1" sqref="D44" xr:uid="{6660E3A8-1424-422E-B160-86FD37D39F54}">
      <formula1>"BIC,CTJ,CODE,KBO,LEI,PERS"</formula1>
    </dataValidation>
    <dataValidation type="list" allowBlank="1" showInputMessage="1" showErrorMessage="1" sqref="D46" xr:uid="{C9F4F401-B91F-4FCB-BCCD-AB60A0096E40}">
      <formula1>"INS,MBS"</formula1>
    </dataValidation>
    <dataValidation type="list" allowBlank="1" showInputMessage="1" showErrorMessage="1" sqref="D40" xr:uid="{F8550EC8-B8D7-4807-AC48-B24C3E2E1914}">
      <formula1>"One Gate"</formula1>
    </dataValidation>
    <dataValidation type="list" allowBlank="1" showInputMessage="1" showErrorMessage="1" sqref="D20" xr:uid="{B2073CA2-7B9D-4B6A-A959-4FEA3558329E}">
      <formula1>Taxonomies</formula1>
    </dataValidation>
    <dataValidation type="list" allowBlank="1" showInputMessage="1" showErrorMessage="1" sqref="D16" xr:uid="{7B1A4A23-CDE0-493B-8F7B-5BDAF92B6532}">
      <formula1>Q:Q</formula1>
    </dataValidation>
  </dataValidations>
  <pageMargins left="0.7" right="0.7" top="0.75" bottom="0.75" header="0.3" footer="0.3"/>
  <pageSetup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CEEE3-2AC9-4B3E-86D7-B5E5DB9EA7CA}">
  <sheetPr codeName="Blad10"/>
  <dimension ref="B2:O79"/>
  <sheetViews>
    <sheetView showGridLines="0" workbookViewId="0"/>
  </sheetViews>
  <sheetFormatPr defaultRowHeight="15"/>
  <cols>
    <col min="2" max="2" width="84.57031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3074</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IF(COUNTIF(D:D,"Reported")&gt;0,Show!$B$6,"!")&amp;"S.01.01.07.01 Rows {"&amp;COLUMN($C$1)&amp;"}"&amp;"@ForceFilingCode:true"</f>
        <v>!S.01.01.07.01 Rows {3}@ForceFilingCode:true</v>
      </c>
      <c r="J13" s="13" t="str">
        <f>IF(COUNTIF(D:D,"Reported")&gt;0,Show!$B$6,"!")&amp;"S.01.01.07.01 Columns {"&amp;COLUMN($D$1)&amp;"}"</f>
        <v>!S.01.01.07.01 Columns {4}</v>
      </c>
    </row>
    <row r="14" spans="2:15">
      <c r="B14" s="43" t="s">
        <v>2880</v>
      </c>
      <c r="C14" s="44" t="s">
        <v>2878</v>
      </c>
      <c r="D14" s="48"/>
    </row>
    <row r="15" spans="2:15">
      <c r="B15" s="47" t="s">
        <v>2881</v>
      </c>
      <c r="C15" s="44" t="s">
        <v>2878</v>
      </c>
      <c r="D15" s="46"/>
    </row>
    <row r="16" spans="2:15">
      <c r="B16" s="52" t="s">
        <v>3075</v>
      </c>
      <c r="C16" s="41" t="s">
        <v>2883</v>
      </c>
      <c r="D16" s="51"/>
    </row>
    <row r="17" spans="2:4">
      <c r="B17" s="52" t="s">
        <v>2884</v>
      </c>
      <c r="C17" s="41" t="s">
        <v>2885</v>
      </c>
      <c r="D17" s="51"/>
    </row>
    <row r="18" spans="2:4">
      <c r="B18" s="52" t="s">
        <v>3076</v>
      </c>
      <c r="C18" s="41" t="s">
        <v>2887</v>
      </c>
      <c r="D18" s="51"/>
    </row>
    <row r="19" spans="2:4">
      <c r="B19" s="52" t="s">
        <v>2888</v>
      </c>
      <c r="C19" s="41" t="s">
        <v>2889</v>
      </c>
      <c r="D19" s="51"/>
    </row>
    <row r="20" spans="2:4">
      <c r="B20" s="52" t="s">
        <v>3077</v>
      </c>
      <c r="C20" s="41" t="s">
        <v>3078</v>
      </c>
      <c r="D20" s="51"/>
    </row>
    <row r="21" spans="2:4">
      <c r="B21" s="52" t="s">
        <v>2890</v>
      </c>
      <c r="C21" s="41" t="s">
        <v>2891</v>
      </c>
      <c r="D21" s="51"/>
    </row>
    <row r="22" spans="2:4" ht="30">
      <c r="B22" s="52" t="s">
        <v>2892</v>
      </c>
      <c r="C22" s="41" t="s">
        <v>2893</v>
      </c>
      <c r="D22" s="51"/>
    </row>
    <row r="23" spans="2:4" ht="30">
      <c r="B23" s="52" t="s">
        <v>2894</v>
      </c>
      <c r="C23" s="41" t="s">
        <v>2895</v>
      </c>
      <c r="D23" s="51"/>
    </row>
    <row r="24" spans="2:4">
      <c r="B24" s="52" t="s">
        <v>2900</v>
      </c>
      <c r="C24" s="41" t="s">
        <v>2901</v>
      </c>
      <c r="D24" s="51"/>
    </row>
    <row r="25" spans="2:4">
      <c r="B25" s="52" t="s">
        <v>2902</v>
      </c>
      <c r="C25" s="41" t="s">
        <v>2903</v>
      </c>
      <c r="D25" s="51"/>
    </row>
    <row r="26" spans="2:4">
      <c r="B26" s="52" t="s">
        <v>3079</v>
      </c>
      <c r="C26" s="41" t="s">
        <v>2907</v>
      </c>
      <c r="D26" s="51"/>
    </row>
    <row r="27" spans="2:4">
      <c r="B27" s="52" t="s">
        <v>2908</v>
      </c>
      <c r="C27" s="41" t="s">
        <v>2909</v>
      </c>
      <c r="D27" s="51"/>
    </row>
    <row r="28" spans="2:4">
      <c r="B28" s="52" t="s">
        <v>2910</v>
      </c>
      <c r="C28" s="41" t="s">
        <v>2911</v>
      </c>
      <c r="D28" s="51"/>
    </row>
    <row r="29" spans="2:4">
      <c r="B29" s="52" t="s">
        <v>2912</v>
      </c>
      <c r="C29" s="41" t="s">
        <v>2913</v>
      </c>
      <c r="D29" s="51"/>
    </row>
    <row r="30" spans="2:4">
      <c r="B30" s="52" t="s">
        <v>2914</v>
      </c>
      <c r="C30" s="41" t="s">
        <v>2915</v>
      </c>
      <c r="D30" s="51"/>
    </row>
    <row r="31" spans="2:4">
      <c r="B31" s="52" t="s">
        <v>2916</v>
      </c>
      <c r="C31" s="41" t="s">
        <v>2917</v>
      </c>
      <c r="D31" s="51"/>
    </row>
    <row r="32" spans="2:4">
      <c r="B32" s="52" t="s">
        <v>2918</v>
      </c>
      <c r="C32" s="41" t="s">
        <v>2919</v>
      </c>
      <c r="D32" s="51"/>
    </row>
    <row r="33" spans="2:4">
      <c r="B33" s="52" t="s">
        <v>2920</v>
      </c>
      <c r="C33" s="41" t="s">
        <v>2921</v>
      </c>
      <c r="D33" s="51"/>
    </row>
    <row r="34" spans="2:4">
      <c r="B34" s="52" t="s">
        <v>2922</v>
      </c>
      <c r="C34" s="41" t="s">
        <v>2923</v>
      </c>
      <c r="D34" s="51"/>
    </row>
    <row r="35" spans="2:4">
      <c r="B35" s="52" t="s">
        <v>3080</v>
      </c>
      <c r="C35" s="41" t="s">
        <v>2925</v>
      </c>
      <c r="D35" s="51"/>
    </row>
    <row r="36" spans="2:4">
      <c r="B36" s="52" t="s">
        <v>2926</v>
      </c>
      <c r="C36" s="41" t="s">
        <v>2927</v>
      </c>
      <c r="D36" s="51"/>
    </row>
    <row r="37" spans="2:4">
      <c r="B37" s="52" t="s">
        <v>2928</v>
      </c>
      <c r="C37" s="41" t="s">
        <v>2929</v>
      </c>
      <c r="D37" s="51"/>
    </row>
    <row r="38" spans="2:4">
      <c r="B38" s="52" t="s">
        <v>2930</v>
      </c>
      <c r="C38" s="41" t="s">
        <v>2931</v>
      </c>
      <c r="D38" s="51"/>
    </row>
    <row r="39" spans="2:4">
      <c r="B39" s="52" t="s">
        <v>2932</v>
      </c>
      <c r="C39" s="41" t="s">
        <v>2933</v>
      </c>
      <c r="D39" s="51"/>
    </row>
    <row r="40" spans="2:4">
      <c r="B40" s="52" t="s">
        <v>2934</v>
      </c>
      <c r="C40" s="41" t="s">
        <v>2935</v>
      </c>
      <c r="D40" s="51"/>
    </row>
    <row r="41" spans="2:4">
      <c r="B41" s="52" t="s">
        <v>2936</v>
      </c>
      <c r="C41" s="41" t="s">
        <v>2937</v>
      </c>
      <c r="D41" s="51"/>
    </row>
    <row r="42" spans="2:4">
      <c r="B42" s="52" t="s">
        <v>2938</v>
      </c>
      <c r="C42" s="41" t="s">
        <v>2939</v>
      </c>
      <c r="D42" s="51"/>
    </row>
    <row r="43" spans="2:4">
      <c r="B43" s="52" t="s">
        <v>3081</v>
      </c>
      <c r="C43" s="41" t="s">
        <v>2941</v>
      </c>
      <c r="D43" s="51"/>
    </row>
    <row r="44" spans="2:4">
      <c r="B44" s="52" t="s">
        <v>2942</v>
      </c>
      <c r="C44" s="41" t="s">
        <v>2943</v>
      </c>
      <c r="D44" s="51"/>
    </row>
    <row r="45" spans="2:4">
      <c r="B45" s="52" t="s">
        <v>2944</v>
      </c>
      <c r="C45" s="41" t="s">
        <v>2945</v>
      </c>
      <c r="D45" s="51"/>
    </row>
    <row r="46" spans="2:4">
      <c r="B46" s="52" t="s">
        <v>2946</v>
      </c>
      <c r="C46" s="41" t="s">
        <v>2947</v>
      </c>
      <c r="D46" s="51"/>
    </row>
    <row r="47" spans="2:4">
      <c r="B47" s="52" t="s">
        <v>2948</v>
      </c>
      <c r="C47" s="41" t="s">
        <v>2949</v>
      </c>
      <c r="D47" s="51"/>
    </row>
    <row r="48" spans="2:4">
      <c r="B48" s="52" t="s">
        <v>2950</v>
      </c>
      <c r="C48" s="41" t="s">
        <v>2951</v>
      </c>
      <c r="D48" s="51"/>
    </row>
    <row r="49" spans="2:4">
      <c r="B49" s="52" t="s">
        <v>2952</v>
      </c>
      <c r="C49" s="41" t="s">
        <v>2953</v>
      </c>
      <c r="D49" s="51"/>
    </row>
    <row r="50" spans="2:4">
      <c r="B50" s="52" t="s">
        <v>2954</v>
      </c>
      <c r="C50" s="41" t="s">
        <v>2955</v>
      </c>
      <c r="D50" s="51"/>
    </row>
    <row r="51" spans="2:4">
      <c r="B51" s="52" t="s">
        <v>2956</v>
      </c>
      <c r="C51" s="41" t="s">
        <v>2957</v>
      </c>
      <c r="D51" s="51"/>
    </row>
    <row r="52" spans="2:4">
      <c r="B52" s="52" t="s">
        <v>2958</v>
      </c>
      <c r="C52" s="41" t="s">
        <v>2959</v>
      </c>
      <c r="D52" s="51"/>
    </row>
    <row r="53" spans="2:4">
      <c r="B53" s="52" t="s">
        <v>3082</v>
      </c>
      <c r="C53" s="41" t="s">
        <v>2961</v>
      </c>
      <c r="D53" s="51"/>
    </row>
    <row r="54" spans="2:4">
      <c r="B54" s="52" t="s">
        <v>3083</v>
      </c>
      <c r="C54" s="41" t="s">
        <v>2965</v>
      </c>
      <c r="D54" s="51"/>
    </row>
    <row r="55" spans="2:4">
      <c r="B55" s="52" t="s">
        <v>2968</v>
      </c>
      <c r="C55" s="41" t="s">
        <v>2969</v>
      </c>
      <c r="D55" s="51"/>
    </row>
    <row r="56" spans="2:4">
      <c r="B56" s="52" t="s">
        <v>2970</v>
      </c>
      <c r="C56" s="41" t="s">
        <v>2971</v>
      </c>
      <c r="D56" s="51"/>
    </row>
    <row r="57" spans="2:4" ht="30">
      <c r="B57" s="52" t="s">
        <v>2972</v>
      </c>
      <c r="C57" s="41" t="s">
        <v>2973</v>
      </c>
      <c r="D57" s="51"/>
    </row>
    <row r="58" spans="2:4">
      <c r="B58" s="52" t="s">
        <v>2974</v>
      </c>
      <c r="C58" s="41" t="s">
        <v>2975</v>
      </c>
      <c r="D58" s="51"/>
    </row>
    <row r="59" spans="2:4">
      <c r="B59" s="52" t="s">
        <v>2976</v>
      </c>
      <c r="C59" s="41" t="s">
        <v>2977</v>
      </c>
      <c r="D59" s="51"/>
    </row>
    <row r="60" spans="2:4">
      <c r="B60" s="52" t="s">
        <v>2978</v>
      </c>
      <c r="C60" s="41" t="s">
        <v>2979</v>
      </c>
      <c r="D60" s="51"/>
    </row>
    <row r="61" spans="2:4">
      <c r="B61" s="52" t="s">
        <v>2980</v>
      </c>
      <c r="C61" s="41" t="s">
        <v>2981</v>
      </c>
      <c r="D61" s="51"/>
    </row>
    <row r="62" spans="2:4">
      <c r="B62" s="52" t="s">
        <v>2982</v>
      </c>
      <c r="C62" s="41" t="s">
        <v>2983</v>
      </c>
      <c r="D62" s="51"/>
    </row>
    <row r="63" spans="2:4">
      <c r="B63" s="52" t="s">
        <v>2984</v>
      </c>
      <c r="C63" s="41" t="s">
        <v>2985</v>
      </c>
      <c r="D63" s="51"/>
    </row>
    <row r="64" spans="2:4">
      <c r="B64" s="52" t="s">
        <v>2986</v>
      </c>
      <c r="C64" s="41" t="s">
        <v>2987</v>
      </c>
      <c r="D64" s="51"/>
    </row>
    <row r="65" spans="2:10">
      <c r="B65" s="52" t="s">
        <v>2988</v>
      </c>
      <c r="C65" s="41" t="s">
        <v>2989</v>
      </c>
      <c r="D65" s="51"/>
    </row>
    <row r="66" spans="2:10">
      <c r="B66" s="52" t="s">
        <v>3084</v>
      </c>
      <c r="C66" s="41" t="s">
        <v>2991</v>
      </c>
      <c r="D66" s="51"/>
    </row>
    <row r="67" spans="2:10" ht="30">
      <c r="B67" s="52" t="s">
        <v>2992</v>
      </c>
      <c r="C67" s="41" t="s">
        <v>2993</v>
      </c>
      <c r="D67" s="51"/>
    </row>
    <row r="68" spans="2:10">
      <c r="B68" s="52" t="s">
        <v>2994</v>
      </c>
      <c r="C68" s="41" t="s">
        <v>2995</v>
      </c>
      <c r="D68" s="51"/>
    </row>
    <row r="69" spans="2:10">
      <c r="B69" s="52" t="s">
        <v>3085</v>
      </c>
      <c r="C69" s="41" t="s">
        <v>2997</v>
      </c>
      <c r="D69" s="51"/>
    </row>
    <row r="70" spans="2:10" ht="30">
      <c r="B70" s="52" t="s">
        <v>2998</v>
      </c>
      <c r="C70" s="41" t="s">
        <v>2999</v>
      </c>
      <c r="D70" s="51"/>
    </row>
    <row r="71" spans="2:10">
      <c r="B71" s="52" t="s">
        <v>3000</v>
      </c>
      <c r="C71" s="41" t="s">
        <v>3001</v>
      </c>
      <c r="D71" s="51"/>
    </row>
    <row r="72" spans="2:10">
      <c r="B72" s="52" t="s">
        <v>3002</v>
      </c>
      <c r="C72" s="41" t="s">
        <v>3003</v>
      </c>
      <c r="D72" s="51"/>
    </row>
    <row r="73" spans="2:10">
      <c r="B73" s="52" t="s">
        <v>3004</v>
      </c>
      <c r="C73" s="41" t="s">
        <v>3005</v>
      </c>
      <c r="D73" s="51"/>
    </row>
    <row r="74" spans="2:10">
      <c r="B74" s="52" t="s">
        <v>3006</v>
      </c>
      <c r="C74" s="41" t="s">
        <v>3007</v>
      </c>
      <c r="D74" s="51"/>
    </row>
    <row r="75" spans="2:10">
      <c r="B75" s="52" t="s">
        <v>3008</v>
      </c>
      <c r="C75" s="41" t="s">
        <v>3009</v>
      </c>
      <c r="D75" s="51"/>
    </row>
    <row r="76" spans="2:10">
      <c r="B76" s="52" t="s">
        <v>3010</v>
      </c>
      <c r="C76" s="41" t="s">
        <v>3011</v>
      </c>
      <c r="D76" s="51"/>
    </row>
    <row r="77" spans="2:10">
      <c r="B77" s="52" t="s">
        <v>3012</v>
      </c>
      <c r="C77" s="41" t="s">
        <v>3013</v>
      </c>
      <c r="D77" s="51"/>
    </row>
    <row r="78" spans="2:10">
      <c r="B78" s="52" t="s">
        <v>3014</v>
      </c>
      <c r="C78" s="41" t="s">
        <v>3015</v>
      </c>
      <c r="D78" s="51"/>
    </row>
    <row r="79" spans="2:10">
      <c r="I79" s="13" t="str">
        <f>IF(COUNTIF(D:D,"Reported")&gt;0,Show!$B$6&amp;Show!$B$6,"!!")&amp;"S.01.01.07.01 Rows {"&amp;COLUMN($C$1)&amp;"}"</f>
        <v>!!S.01.01.07.01 Rows {3}</v>
      </c>
      <c r="J79" s="13" t="str">
        <f>IF(COUNTIF(D:D,"Reported")&gt;0,Show!$B$6&amp;Show!$B$6,"!!")&amp;"S.01.01.07.01 Columns {"&amp;COLUMN($D$1)&amp;"}"</f>
        <v>!!S.01.01.07.01 Columns {4}</v>
      </c>
    </row>
  </sheetData>
  <sheetProtection sheet="1" objects="1" scenarios="1"/>
  <mergeCells count="3">
    <mergeCell ref="B2:O2"/>
    <mergeCell ref="B5:L5"/>
    <mergeCell ref="D9:D12"/>
  </mergeCells>
  <dataValidations count="42">
    <dataValidation type="list" errorStyle="warning" allowBlank="1" showInputMessage="1" showErrorMessage="1" sqref="D16" xr:uid="{9536D206-4A6C-4B2E-A10A-CD10E5189AED}">
      <formula1>hier_CN_2</formula1>
    </dataValidation>
    <dataValidation type="list" errorStyle="warning" allowBlank="1" showInputMessage="1" showErrorMessage="1" sqref="D17" xr:uid="{DD4E87B1-7B15-4231-ABC9-F78A440672DB}">
      <formula1>hier_CN_14</formula1>
    </dataValidation>
    <dataValidation type="list" errorStyle="warning" allowBlank="1" showInputMessage="1" showErrorMessage="1" sqref="D18" xr:uid="{68915A63-0ACB-48E1-9482-2CF41F8A27E3}">
      <formula1>hier_CN_106</formula1>
    </dataValidation>
    <dataValidation type="list" errorStyle="warning" allowBlank="1" showInputMessage="1" showErrorMessage="1" sqref="D19" xr:uid="{2C2B04FD-E397-427F-8BB7-42C8A36BF834}">
      <formula1>hier_CN_18</formula1>
    </dataValidation>
    <dataValidation type="list" errorStyle="warning" allowBlank="1" showInputMessage="1" showErrorMessage="1" sqref="D20 D31 D69 D70 D71 D72" xr:uid="{005936B8-016C-4D70-B9D5-6D3B86DB67F8}">
      <formula1>hier_CN_15</formula1>
    </dataValidation>
    <dataValidation type="list" errorStyle="warning" allowBlank="1" showInputMessage="1" showErrorMessage="1" sqref="D21" xr:uid="{152A79E1-826B-430B-9DB3-CDC3B267B00E}">
      <formula1>hier_CN_20</formula1>
    </dataValidation>
    <dataValidation type="list" errorStyle="warning" allowBlank="1" showInputMessage="1" showErrorMessage="1" sqref="D22" xr:uid="{63771B08-6FEE-4EA0-A7B7-A65E813CF1D0}">
      <formula1>hier_CN_34</formula1>
    </dataValidation>
    <dataValidation type="list" errorStyle="warning" allowBlank="1" showInputMessage="1" showErrorMessage="1" sqref="D23" xr:uid="{18AE93E1-93F2-4B8E-A07D-4AC651273B6B}">
      <formula1>hier_CN_35</formula1>
    </dataValidation>
    <dataValidation type="list" errorStyle="warning" allowBlank="1" showInputMessage="1" showErrorMessage="1" sqref="D24 D53" xr:uid="{ED71F3DA-9C32-461E-9EB6-8E01DDE87CB1}">
      <formula1>hier_CN_115</formula1>
    </dataValidation>
    <dataValidation type="list" errorStyle="warning" allowBlank="1" showInputMessage="1" showErrorMessage="1" sqref="D25" xr:uid="{B9305357-5BF3-408D-A2E3-E0041615EEA7}">
      <formula1>hier_CN_116</formula1>
    </dataValidation>
    <dataValidation type="list" errorStyle="warning" allowBlank="1" showInputMessage="1" showErrorMessage="1" sqref="D26" xr:uid="{060D4EAD-C5D0-410D-9187-A7A6FCE09C52}">
      <formula1>hier_CN_97</formula1>
    </dataValidation>
    <dataValidation type="list" errorStyle="warning" allowBlank="1" showInputMessage="1" showErrorMessage="1" sqref="D27" xr:uid="{0306846B-CE7E-485A-AB07-EA96BAE4FA5E}">
      <formula1>hier_CN_119</formula1>
    </dataValidation>
    <dataValidation type="list" errorStyle="warning" allowBlank="1" showInputMessage="1" showErrorMessage="1" sqref="D28" xr:uid="{F0CD650A-DA15-42C9-8FC9-3F7246BD36F0}">
      <formula1>hier_CN_121</formula1>
    </dataValidation>
    <dataValidation type="list" errorStyle="warning" allowBlank="1" showInputMessage="1" showErrorMessage="1" sqref="D29 D30" xr:uid="{9AC4EE8A-C419-47CC-87EF-54C407F0B316}">
      <formula1>hier_CN_100</formula1>
    </dataValidation>
    <dataValidation type="list" errorStyle="warning" allowBlank="1" showInputMessage="1" showErrorMessage="1" sqref="D32" xr:uid="{D4709EB3-7984-4904-B75D-7BBE91066563}">
      <formula1>hier_CN_101</formula1>
    </dataValidation>
    <dataValidation type="list" errorStyle="warning" allowBlank="1" showInputMessage="1" showErrorMessage="1" sqref="D33" xr:uid="{84FAD260-0112-4816-92B1-ED2E9A187C6D}">
      <formula1>hier_CN_102</formula1>
    </dataValidation>
    <dataValidation type="list" errorStyle="warning" allowBlank="1" showInputMessage="1" showErrorMessage="1" sqref="D34" xr:uid="{4D600735-BCE8-42AF-A396-48D3B215BDCA}">
      <formula1>hier_CN_103</formula1>
    </dataValidation>
    <dataValidation type="list" errorStyle="warning" allowBlank="1" showInputMessage="1" showErrorMessage="1" sqref="D35" xr:uid="{0858B308-F2C4-4CB0-A032-4B08553A4B52}">
      <formula1>hier_CN_31</formula1>
    </dataValidation>
    <dataValidation type="list" errorStyle="warning" allowBlank="1" showInputMessage="1" showErrorMessage="1" sqref="D36 D37" xr:uid="{D2DA3EFC-DE16-4914-B710-C425C94E30D1}">
      <formula1>hier_CN_30</formula1>
    </dataValidation>
    <dataValidation type="list" errorStyle="warning" allowBlank="1" showInputMessage="1" showErrorMessage="1" sqref="D38 D39" xr:uid="{C0FAA019-BAB3-456B-85FC-AFEE2F088401}">
      <formula1>hier_CN_41</formula1>
    </dataValidation>
    <dataValidation type="list" errorStyle="warning" allowBlank="1" showInputMessage="1" showErrorMessage="1" sqref="D40" xr:uid="{24F7C502-7A50-43EE-99EF-5206FD015A5B}">
      <formula1>hier_CN_42</formula1>
    </dataValidation>
    <dataValidation type="list" errorStyle="warning" allowBlank="1" showInputMessage="1" showErrorMessage="1" sqref="D41" xr:uid="{86CE5336-4A0C-4195-911C-6A2BC5A26E69}">
      <formula1>hier_CN_104</formula1>
    </dataValidation>
    <dataValidation type="list" errorStyle="warning" allowBlank="1" showInputMessage="1" showErrorMessage="1" sqref="D42" xr:uid="{E7939CE3-BB6F-4208-A1A0-15071E1ED380}">
      <formula1>hier_CN_33</formula1>
    </dataValidation>
    <dataValidation type="list" errorStyle="warning" allowBlank="1" showInputMessage="1" showErrorMessage="1" sqref="D43 D44" xr:uid="{ACB40003-5393-44E5-92A0-BE525E16C808}">
      <formula1>hier_CN_32</formula1>
    </dataValidation>
    <dataValidation type="list" errorStyle="warning" allowBlank="1" showInputMessage="1" showErrorMessage="1" sqref="D45 D46 D47 D48" xr:uid="{DA732B0E-5F80-41C5-A677-A7AADC8F9143}">
      <formula1>hier_CN_123</formula1>
    </dataValidation>
    <dataValidation type="list" errorStyle="warning" allowBlank="1" showInputMessage="1" showErrorMessage="1" sqref="D49" xr:uid="{EEF85201-892C-42ED-8EFC-135EC7A3C832}">
      <formula1>hier_CN_43</formula1>
    </dataValidation>
    <dataValidation type="list" errorStyle="warning" allowBlank="1" showInputMessage="1" showErrorMessage="1" sqref="D50 D51" xr:uid="{1025A65C-C8A9-49BE-8F71-B36E75DFBA13}">
      <formula1>hier_CN_45</formula1>
    </dataValidation>
    <dataValidation type="list" errorStyle="warning" allowBlank="1" showInputMessage="1" showErrorMessage="1" sqref="D52" xr:uid="{972B19CE-F18E-48A9-8826-D00BCD993030}">
      <formula1>hier_CN_112</formula1>
    </dataValidation>
    <dataValidation type="list" errorStyle="warning" allowBlank="1" showInputMessage="1" showErrorMessage="1" sqref="D54" xr:uid="{8E32276B-D30F-48B5-A785-99003244610F}">
      <formula1>hier_CN_1</formula1>
    </dataValidation>
    <dataValidation type="list" errorStyle="warning" allowBlank="1" showInputMessage="1" showErrorMessage="1" sqref="D55" xr:uid="{E0631915-F5F8-4AF2-8980-3D8BDDF7581B}">
      <formula1>hier_CN_46</formula1>
    </dataValidation>
    <dataValidation type="list" errorStyle="warning" allowBlank="1" showInputMessage="1" showErrorMessage="1" sqref="D56" xr:uid="{B09186D6-935A-4FA5-BA38-8564AB8C4123}">
      <formula1>hier_CN_108</formula1>
    </dataValidation>
    <dataValidation type="list" errorStyle="warning" allowBlank="1" showInputMessage="1" showErrorMessage="1" sqref="D57" xr:uid="{BA9BEBB6-6CD2-48B2-876B-852D1D3083E9}">
      <formula1>hier_CN_8</formula1>
    </dataValidation>
    <dataValidation type="list" errorStyle="warning" allowBlank="1" showInputMessage="1" showErrorMessage="1" sqref="D58" xr:uid="{77F43E5E-7B23-4ECE-B1AE-A6F0CDD7C733}">
      <formula1>hier_CN_9</formula1>
    </dataValidation>
    <dataValidation type="list" errorStyle="warning" allowBlank="1" showInputMessage="1" showErrorMessage="1" sqref="D59 D60 D61 D62 D63" xr:uid="{AD727146-0561-45F1-B773-AAA7E7B1E390}">
      <formula1>hier_CN_124</formula1>
    </dataValidation>
    <dataValidation type="list" errorStyle="warning" allowBlank="1" showInputMessage="1" showErrorMessage="1" sqref="D64" xr:uid="{8D00F10E-C065-45C9-BA99-70C04156CB22}">
      <formula1>hier_CN_53</formula1>
    </dataValidation>
    <dataValidation type="list" errorStyle="warning" allowBlank="1" showInputMessage="1" showErrorMessage="1" sqref="D65" xr:uid="{C36D1860-A5D2-4898-9B0B-80317013B114}">
      <formula1>hier_CN_55</formula1>
    </dataValidation>
    <dataValidation type="list" errorStyle="warning" allowBlank="1" showInputMessage="1" showErrorMessage="1" sqref="D66" xr:uid="{8D4465E2-64C4-43C5-AEE0-D6CACEF14061}">
      <formula1>hier_CN_51</formula1>
    </dataValidation>
    <dataValidation type="list" errorStyle="warning" allowBlank="1" showInputMessage="1" showErrorMessage="1" sqref="D67" xr:uid="{F31C41A5-FB00-4250-9CAF-BDF41DABB192}">
      <formula1>hier_CN_85</formula1>
    </dataValidation>
    <dataValidation type="list" errorStyle="warning" allowBlank="1" showInputMessage="1" showErrorMessage="1" sqref="D68" xr:uid="{9FF39C4C-FF78-4E7A-8943-1BE78D4D9D3A}">
      <formula1>hier_CN_86</formula1>
    </dataValidation>
    <dataValidation type="list" errorStyle="warning" allowBlank="1" showInputMessage="1" showErrorMessage="1" sqref="D73 D74" xr:uid="{2694ADFE-E3C9-426B-9D51-729BD3CC37E3}">
      <formula1>hier_CN_57</formula1>
    </dataValidation>
    <dataValidation type="list" errorStyle="warning" allowBlank="1" showInputMessage="1" showErrorMessage="1" sqref="D75 D76 D77" xr:uid="{304DB17F-44E3-4AFF-85A8-9C1533938BCD}">
      <formula1>hier_CN_58</formula1>
    </dataValidation>
    <dataValidation type="list" errorStyle="warning" allowBlank="1" showInputMessage="1" showErrorMessage="1" sqref="D78" xr:uid="{40C81CC8-889A-4605-8BA8-F14E0E99E30E}">
      <formula1>hier_CN_59</formula1>
    </dataValidation>
  </dataValidations>
  <hyperlinks>
    <hyperlink ref="B16" location="'S.01.02.07'!A1" display="S.01.02.07 - Basic Information - General" xr:uid="{E9B59F62-C867-4B25-A134-244F2D84CF75}"/>
    <hyperlink ref="B17" location="'S.01.03.01'!A1" display="S.01.03.01 - Basic Information - RFF and matching adjustment portfolios" xr:uid="{C2DD1753-9ECC-4EEB-935A-BA68094E6399}"/>
    <hyperlink ref="B18" location="'S.02.01.07'!A1" display="S.02.01.07 - Balance Sheet" xr:uid="{0AEE8941-5B4B-4412-8A5E-60543F68DA88}"/>
    <hyperlink ref="B19" location="'S.02.02.01'!A1" display="S.02.02.01 - Assets and liabilities by currency" xr:uid="{6F503142-5134-4E6A-9B35-7E89EEAD759D}"/>
    <hyperlink ref="B20" location="'S.02.03.07'!A1" display="S.02.03.07 - Additional branch balance sheet information" xr:uid="{823C7929-E85E-4355-88CD-F92783E67BEE}"/>
    <hyperlink ref="B21" location="'S.03.01.01'!A1" display="S.03.01.01 - Off-balance sheet items - general" xr:uid="{CF3A38F4-69A8-4D39-9351-EB15603B6B2D}"/>
    <hyperlink ref="B22" location="'S.03.02.01'!A1" display="S.03.02.01 - Off-balance sheet items - List of unlimited guarantees received by the undertaking" xr:uid="{E879857F-2984-485C-B6DE-7FA191EDFC4E}"/>
    <hyperlink ref="B23" location="'S.03.03.01'!A1" display="S.03.03.01 - Off-balance sheet items - List of unlimited guarantees provided by the undertaking" xr:uid="{E5A1D042-1203-4CFE-843B-3B42A90D2977}"/>
    <hyperlink ref="B24" location="'S.05.01.01'!A1" display="S.05.01.01 - Premiums, claims and expenses by line of business" xr:uid="{7A460B6A-E974-4E97-9AAA-C544EF7DE70E}"/>
    <hyperlink ref="B25" location="'S.05.02.01'!A1" display="S.05.02.01 - Premiums, claims and expenses by country" xr:uid="{63CE867C-1D63-4916-BFD8-A3BF6B25F6C0}"/>
    <hyperlink ref="B26" location="'S.06.02.07'!A1" display="S.06.02.07 - List of assets" xr:uid="{C09565B7-3198-4A7F-BF0D-D5EAB05405DA}"/>
    <hyperlink ref="B27" location="'S.06.03.01'!A1" display="S.06.03.01 - Collective investment undertakings - look-through approach" xr:uid="{28110219-36DE-4C55-B247-63D9E32FD602}"/>
    <hyperlink ref="B28" location="'S.07.01.01'!A1" display="S.07.01.01 - Structured products" xr:uid="{53FEEAEF-B97B-4D72-9F74-75B40D865C4B}"/>
    <hyperlink ref="B29" location="'S.08.01.01'!A1" display="S.08.01.01 - Open derivatives" xr:uid="{BE5D2E87-D0DD-46FE-8802-C24F6F1A0881}"/>
    <hyperlink ref="B30" location="'S.08.02.01'!A1" display="S.08.02.01 - Derivatives Transactions" xr:uid="{9E55B0F2-F8E6-4217-B578-E368BDA34D76}"/>
    <hyperlink ref="B31" location="'S.09.01.01'!A1" display="S.09.01.01 - Income/gains and losses in the period" xr:uid="{CF5414B6-64F9-41B8-B66E-C3CC3C66E168}"/>
    <hyperlink ref="B32" location="'S.10.01.01'!A1" display="S.10.01.01 - Securities lending and repos" xr:uid="{992CCE8D-64F7-47D6-9F5D-3C20B53E94C4}"/>
    <hyperlink ref="B33" location="'S.11.01.01'!A1" display="S.11.01.01 - Assets held as collateral" xr:uid="{98DBCF5A-702C-4F27-BA11-979CB88192BA}"/>
    <hyperlink ref="B34" location="'S.12.01.01'!A1" display="S.12.01.01 - Life and Health SLT Technical Provisions" xr:uid="{E3E48C47-B327-41D1-BCD2-D1577FACEF29}"/>
    <hyperlink ref="B35" location="'S.12.02.01'!A1" display="S.12.02.01 - Life and Health SLT Technical Provisions - By country" xr:uid="{EC5CFF9A-1322-4A43-833B-8CAA50412DBC}"/>
    <hyperlink ref="B36" location="'S.13.01.01'!A1" display="S.13.01.01 - Projection of future gross cash flows" xr:uid="{24271078-1319-4A95-859C-C6EF7F46F356}"/>
    <hyperlink ref="B37" location="'S.14.01.01'!A1" display="S.14.01.01 - Life obligations analysis" xr:uid="{4CA90D37-3A5E-4B1C-9CE6-54B94852B167}"/>
    <hyperlink ref="B38" location="'S.15.01.01'!A1" display="S.15.01.01 - Description of the guarantees of variable annuities" xr:uid="{6D9329A2-09BC-45FE-9E7E-F1DC48AD5BF2}"/>
    <hyperlink ref="B39" location="'S.15.02.01'!A1" display="S.15.02.01 - Hedging of guarantees of variable annuities" xr:uid="{DA06EA59-11D9-489E-B8B1-204BB901E3F7}"/>
    <hyperlink ref="B40" location="'S.16.01.01'!A1" display="S.16.01.01 - Information on annuities stemming from Non-Life Insurance obligations" xr:uid="{0AF15FB1-26B9-4141-9C43-C2249A881037}"/>
    <hyperlink ref="B41" location="'S.17.01.01'!A1" display="S.17.01.01 - Non-Life Technical Provisions" xr:uid="{DD37F538-FFCA-4F2A-BCCE-7F6A9B126DB4}"/>
    <hyperlink ref="B42" location="'S.17.02.01'!A1" display="S.17.02.01 - Non-Life Technical Provisions - By country" xr:uid="{2EFA3DD8-72B1-4377-9A30-022A483A743C}"/>
    <hyperlink ref="B43" location="'S.18.01.01'!A1" display="S.18.01.01 - Projection of future cash flows (Best Estimate - Non-Life)" xr:uid="{CC145473-4A42-4C56-9256-2E27C52C2A86}"/>
    <hyperlink ref="B44" location="'S.19.01.01'!A1" display="S.19.01.01 - Non-life insurance claims" xr:uid="{39184B83-FDA5-4E27-9092-B04A488DF454}"/>
    <hyperlink ref="B45" location="'S.20.01.01'!A1" display="S.20.01.01 - Development of the distribution of the claims incurred" xr:uid="{39BC2CF0-3C4F-46B9-A4B8-8A6DFB77C49D}"/>
    <hyperlink ref="B46" location="'S.21.01.01'!A1" display="S.21.01.01 - Loss distribution risk profile" xr:uid="{E9486FCB-AE55-43CB-8A94-921B4CF4848E}"/>
    <hyperlink ref="B47" location="'S.21.02.01'!A1" display="S.21.02.01 - Underwriting risks non-life" xr:uid="{1C0E25A3-C036-4C0E-BD87-492847F65383}"/>
    <hyperlink ref="B48" location="'S.21.03.01'!A1" display="S.21.03.01 - Non-life distribution of underwriting risks - by sum insured" xr:uid="{9301CF6D-FE67-493E-B657-76AE5049CBFF}"/>
    <hyperlink ref="B49" location="'S.22.01.01'!A1" display="S.22.01.01 - Impact of long term guarantees measures and transitionals" xr:uid="{FF722470-6097-43DC-8D75-D7DE8ED7A88C}"/>
    <hyperlink ref="B50" location="'S.22.04.01'!A1" display="S.22.04.01 - Information on the transitional on interest rates calculation" xr:uid="{6582B5CE-27A4-47B0-9862-09F95650E1E6}"/>
    <hyperlink ref="B51" location="'S.22.05.01'!A1" display="S.22.05.01 - Overall calculation of the transitional on technical provisions" xr:uid="{0489C2C7-5DF5-43DA-BC01-8D6FBD61595A}"/>
    <hyperlink ref="B52" location="'S.22.06.01'!A1" display="S.22.06.01 - Best estimate subject to volatility adjustment by country and currency" xr:uid="{26F86043-D81C-4BC1-A661-5927523A52A5}"/>
    <hyperlink ref="B53" location="'S.23.01.07'!A1" display="S.23.01.07 - Own funds" xr:uid="{6DF3F4F7-6817-4857-A0E6-3817F289351B}"/>
    <hyperlink ref="B54" location="'S.23.03.07'!A1" display="S.23.03.07 - Annual movements on own funds" xr:uid="{D7B674DF-794A-4F74-9942-0EBDEF41B82E}"/>
    <hyperlink ref="B55" location="'S.24.01.01'!A1" display="S.24.01.01 - Participations held" xr:uid="{CFA4218D-3376-4891-BF6D-0C866896A27F}"/>
    <hyperlink ref="B56" location="'S.25.01.01'!A1" display="S.25.01.01 - Solvency Capital Requirement - for undertakings on Standard Formula" xr:uid="{89EC7D9E-9DFE-4D90-AA0B-C7976709975C}"/>
    <hyperlink ref="B57" location="'S.25.02.01'!A1" display="S.25.02.01 - Solvency Capital Requirement - for undertakings using the standard formula and partial internal model" xr:uid="{8F8291C6-33EC-4364-9BAC-FEBA08F0AADA}"/>
    <hyperlink ref="B58" location="'S.25.03.01'!A1" display="S.25.03.01 - Solvency Capital Requirement - for undertakings on Full Internal Models" xr:uid="{1EB1FE20-FF3F-47EE-8F58-93F253660BB7}"/>
    <hyperlink ref="B59" location="'S.26.01.01'!A1" display="S.26.01.01 - Solvency Capital Requirement - Market risk" xr:uid="{9DCCE7D6-9246-40FF-9D77-FD2585436EA2}"/>
    <hyperlink ref="B60" location="'S.26.02.01'!A1" display="S.26.02.01 - Solvency Capital Requirement - Counterparty default risk" xr:uid="{4446D65C-DEBB-46BF-8FA2-15F1480B51B6}"/>
    <hyperlink ref="B61" location="'S.26.03.01'!A1" display="S.26.03.01 - Solvency Capital Requirement - Life underwriting risk" xr:uid="{6516A765-090C-43BA-8421-68353AA16F3A}"/>
    <hyperlink ref="B62" location="'S.26.04.01'!A1" display="S.26.04.01 - Solvency Capital Requirement - Health underwriting risk" xr:uid="{84696633-F9D8-478B-99EE-A8AD1189BDDD}"/>
    <hyperlink ref="B63" location="'S.26.05.01'!A1" display="S.26.05.01 - Solvency Capital Requirement - Non-Life underwriting risk" xr:uid="{36DD9E29-35A1-4460-913D-B5EA53ED59BE}"/>
    <hyperlink ref="B64" location="'S.26.06.01'!A1" display="S.26.06.01 - Solvency Capital Requirement - Operational risk" xr:uid="{B50ACD20-96DD-4207-BEEF-53CE00FA8CA9}"/>
    <hyperlink ref="B65" location="'S.26.07.01'!A1" display="S.26.07.01 - Solvency Capital Requirement - Simplifications" xr:uid="{18ADAEA8-64E3-496E-ADFB-3CF602B319DB}"/>
    <hyperlink ref="B66" location="'S.27.01.01'!A1" display="S.27.01.01 - Solvency Capital Requirement - Non-Life and Health catastrophe risk" xr:uid="{B27E1E67-09C2-443E-8C77-46FBB9F13DE9}"/>
    <hyperlink ref="B67" location="'S.28.01.01'!A1" display="S.28.01.01 - Minimum Capital Requirement - Only life or only non-life insurance or reinsurance activity" xr:uid="{F5B3C471-AFE8-487E-A1C2-ECE6C00E5CA7}"/>
    <hyperlink ref="B68" location="'S.28.02.01'!A1" display="S.28.02.01 - Minimum Capital Requirement - Both life and non-life insurance activity" xr:uid="{B55ABF2B-D909-4E51-820A-A9D51F457C9A}"/>
    <hyperlink ref="B69" location="'S.29.01.07'!A1" display="S.29.01.07 - Excess of Assets over Liabilities" xr:uid="{F61E9E01-A939-47C6-AFF1-FC4490511999}"/>
    <hyperlink ref="B70" location="'S.29.02.01'!A1" display="S.29.02.01 - Excess of Assets over Liabilities - explained by investments and financial liabilities" xr:uid="{097E66B2-339B-459C-B2F8-44F0BCEB21FA}"/>
    <hyperlink ref="B71" location="'S.29.03.01'!A1" display="S.29.03.01 - Excess of Assets over Liabilities - explained by technical provisions" xr:uid="{A837C98B-AAE6-4D50-A4AF-E19E7861228C}"/>
    <hyperlink ref="B72" location="'S.29.04.01'!A1" display="S.29.04.01 - Detailed analysis per period - Technical flows versus Technical provisions" xr:uid="{79944BB0-F47C-4B80-89F3-5E76583693BE}"/>
    <hyperlink ref="B73" location="'S.30.01.01'!A1" display="S.30.01.01 - Facultative covers for non-life and life business basic data" xr:uid="{BE0F2704-AC61-4C95-A6C0-E5C91D82DD22}"/>
    <hyperlink ref="B74" location="'S.30.02.01'!A1" display="S.30.02.01 - Facultative covers for non-life and life business shares data" xr:uid="{B05C9E75-8E55-4512-8295-0C5957362C00}"/>
    <hyperlink ref="B75" location="'S.30.03.01'!A1" display="S.30.03.01 - Outgoing Reinsurance Program basic data" xr:uid="{D0DA8805-EA8E-4869-9B9A-06B8353A4B7C}"/>
    <hyperlink ref="B76" location="'S.30.04.01'!A1" display="S.30.04.01 - Outgoing Reinsurance Program shares data" xr:uid="{C059C96A-1576-403E-B60F-52BD2564B740}"/>
    <hyperlink ref="B77" location="'S.31.01.01'!A1" display="S.31.01.01 - Share of reinsurers (including Finite Reinsurance and SPV's)" xr:uid="{1EB12FBF-D7F3-4771-848F-EAD624CCC132}"/>
    <hyperlink ref="B78" location="'S.31.02.01'!A1" display="S.31.02.01 - Special Purpose Vehicles" xr:uid="{BD71FF9D-20C2-4ED4-92FD-FCB367435538}"/>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3FB2-808F-4F1D-8E9F-1B3D9B729C1E}">
  <sheetPr codeName="Blad99"/>
  <dimension ref="B2:O21"/>
  <sheetViews>
    <sheetView showGridLines="0" workbookViewId="0">
      <selection activeCell="D14" sqref="D14"/>
    </sheetView>
  </sheetViews>
  <sheetFormatPr defaultRowHeight="15"/>
  <cols>
    <col min="2" max="2" width="56.5703125" bestFit="1" customWidth="1"/>
    <col min="4" max="8" width="15.7109375" customWidth="1"/>
  </cols>
  <sheetData>
    <row r="2" spans="2:15" ht="23.25">
      <c r="B2" s="95" t="s">
        <v>653</v>
      </c>
      <c r="C2" s="96"/>
      <c r="D2" s="96"/>
      <c r="E2" s="96"/>
      <c r="F2" s="96"/>
      <c r="G2" s="96"/>
      <c r="H2" s="96"/>
      <c r="I2" s="96"/>
      <c r="J2" s="96"/>
      <c r="K2" s="96"/>
      <c r="L2" s="96"/>
      <c r="M2" s="96"/>
      <c r="N2" s="96"/>
      <c r="O2" s="96"/>
    </row>
    <row r="5" spans="2:15" ht="18.75">
      <c r="B5" s="97" t="s">
        <v>4257</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ht="75">
      <c r="D11" s="55" t="s">
        <v>4239</v>
      </c>
      <c r="E11" s="55" t="s">
        <v>4242</v>
      </c>
      <c r="F11" s="55" t="s">
        <v>4244</v>
      </c>
      <c r="G11" s="55" t="s">
        <v>4246</v>
      </c>
      <c r="H11" s="55" t="s">
        <v>4248</v>
      </c>
    </row>
    <row r="12" spans="2:15">
      <c r="D12" s="45" t="s">
        <v>2879</v>
      </c>
      <c r="E12" s="45" t="s">
        <v>3225</v>
      </c>
      <c r="F12" s="45" t="s">
        <v>3229</v>
      </c>
      <c r="G12" s="45" t="s">
        <v>3233</v>
      </c>
      <c r="H12" s="45" t="s">
        <v>3236</v>
      </c>
      <c r="M12" s="13"/>
      <c r="N12" s="13"/>
    </row>
    <row r="13" spans="2:15">
      <c r="B13" s="43" t="s">
        <v>2880</v>
      </c>
      <c r="C13" s="44" t="s">
        <v>2878</v>
      </c>
      <c r="D13" s="56"/>
      <c r="E13" s="66"/>
      <c r="F13" s="66"/>
      <c r="G13" s="66"/>
      <c r="H13" s="57"/>
    </row>
    <row r="14" spans="2:15">
      <c r="B14" s="47" t="s">
        <v>4250</v>
      </c>
      <c r="C14" s="41" t="s">
        <v>2883</v>
      </c>
      <c r="D14" s="60">
        <f>'[8]S.22.01.01'!D9</f>
        <v>2215132831.7621889</v>
      </c>
      <c r="E14" s="60">
        <f>'[8]S.22.01.01'!F9</f>
        <v>0</v>
      </c>
      <c r="F14" s="60">
        <f>'[8]S.22.01.01'!H9</f>
        <v>0</v>
      </c>
      <c r="G14" s="60">
        <f>'[8]S.22.01.01'!J9</f>
        <v>15700075.224173069</v>
      </c>
      <c r="H14" s="60">
        <f>'[8]S.22.01.01'!L9</f>
        <v>0</v>
      </c>
    </row>
    <row r="15" spans="2:15">
      <c r="B15" s="47" t="s">
        <v>4251</v>
      </c>
      <c r="C15" s="41" t="s">
        <v>2885</v>
      </c>
      <c r="D15" s="60">
        <f>'[8]S.22.01.01'!D10</f>
        <v>6885350877.6297455</v>
      </c>
      <c r="E15" s="60">
        <f>'[8]S.22.01.01'!F10</f>
        <v>0</v>
      </c>
      <c r="F15" s="60">
        <f>'[8]S.22.01.01'!H10</f>
        <v>0</v>
      </c>
      <c r="G15" s="60">
        <f>'[8]S.22.01.01'!J10</f>
        <v>-14823973.202632904</v>
      </c>
      <c r="H15" s="60">
        <f>'[8]S.22.01.01'!L10</f>
        <v>0</v>
      </c>
    </row>
    <row r="16" spans="2:15">
      <c r="B16" s="47" t="s">
        <v>4253</v>
      </c>
      <c r="C16" s="41" t="s">
        <v>3078</v>
      </c>
      <c r="D16" s="60">
        <f>'[8]S.22.01.01'!D13</f>
        <v>6442846020.4330339</v>
      </c>
      <c r="E16" s="60">
        <f>'[8]S.22.01.01'!F13</f>
        <v>0</v>
      </c>
      <c r="F16" s="60">
        <f>'[8]S.22.01.01'!H13</f>
        <v>0</v>
      </c>
      <c r="G16" s="60">
        <f>'[8]S.22.01.01'!J13</f>
        <v>-18504948.16731739</v>
      </c>
      <c r="H16" s="60">
        <f>'[8]S.22.01.01'!L13</f>
        <v>0</v>
      </c>
    </row>
    <row r="17" spans="2:14">
      <c r="B17" s="47" t="s">
        <v>711</v>
      </c>
      <c r="C17" s="41" t="s">
        <v>2897</v>
      </c>
      <c r="D17" s="60">
        <f>'[8]S.22.01.01'!D17</f>
        <v>1923875735.9689999</v>
      </c>
      <c r="E17" s="60">
        <f>'[8]S.22.01.01'!F17</f>
        <v>0</v>
      </c>
      <c r="F17" s="60">
        <f>'[8]S.22.01.01'!H17</f>
        <v>0</v>
      </c>
      <c r="G17" s="60">
        <f>'[8]S.22.01.01'!J17</f>
        <v>50036.67194890976</v>
      </c>
      <c r="H17" s="60">
        <f>'[8]S.22.01.01'!L17</f>
        <v>0</v>
      </c>
    </row>
    <row r="18" spans="2:14">
      <c r="B18" s="47" t="s">
        <v>4254</v>
      </c>
      <c r="C18" s="41" t="s">
        <v>2899</v>
      </c>
      <c r="D18" s="60">
        <f>'[8]S.22.01.01'!D18</f>
        <v>5577101939.2469845</v>
      </c>
      <c r="E18" s="60">
        <f>'[8]S.22.01.01'!F18</f>
        <v>0</v>
      </c>
      <c r="F18" s="60">
        <f>'[8]S.22.01.01'!H18</f>
        <v>0</v>
      </c>
      <c r="G18" s="60">
        <f>'[8]S.22.01.01'!J18</f>
        <v>-18527464.669694901</v>
      </c>
      <c r="H18" s="60">
        <f>'[8]S.22.01.01'!L18</f>
        <v>0</v>
      </c>
    </row>
    <row r="19" spans="2:14">
      <c r="B19" s="47" t="s">
        <v>4255</v>
      </c>
      <c r="C19" s="41" t="s">
        <v>2901</v>
      </c>
      <c r="D19" s="60">
        <f>'[8]S.22.01.01'!D19</f>
        <v>480968933.99224997</v>
      </c>
      <c r="E19" s="60">
        <f>'[8]S.22.01.01'!F19</f>
        <v>0</v>
      </c>
      <c r="F19" s="60">
        <f>'[8]S.22.01.01'!H19</f>
        <v>0</v>
      </c>
      <c r="G19" s="60">
        <f>'[8]S.22.01.01'!J19</f>
        <v>12509.16798722744</v>
      </c>
      <c r="H19" s="60">
        <f>'[8]S.22.01.01'!L19</f>
        <v>0</v>
      </c>
    </row>
    <row r="21" spans="2:14">
      <c r="M21" s="13"/>
      <c r="N21" s="13"/>
    </row>
  </sheetData>
  <mergeCells count="3">
    <mergeCell ref="B2:O2"/>
    <mergeCell ref="B5:L5"/>
    <mergeCell ref="D9:H10"/>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34E83-11E4-478E-9CF7-4B6A232EEE18}">
  <sheetPr codeName="Blad100"/>
  <dimension ref="B2:O19"/>
  <sheetViews>
    <sheetView showGridLines="0" workbookViewId="0"/>
  </sheetViews>
  <sheetFormatPr defaultRowHeight="15"/>
  <cols>
    <col min="2" max="2" width="55.85546875" bestFit="1" customWidth="1"/>
    <col min="4" max="8" width="15.7109375" customWidth="1"/>
  </cols>
  <sheetData>
    <row r="2" spans="2:15" ht="23.25">
      <c r="B2" s="95" t="s">
        <v>653</v>
      </c>
      <c r="C2" s="96"/>
      <c r="D2" s="96"/>
      <c r="E2" s="96"/>
      <c r="F2" s="96"/>
      <c r="G2" s="96"/>
      <c r="H2" s="96"/>
      <c r="I2" s="96"/>
      <c r="J2" s="96"/>
      <c r="K2" s="96"/>
      <c r="L2" s="96"/>
      <c r="M2" s="96"/>
      <c r="N2" s="96"/>
      <c r="O2" s="96"/>
    </row>
    <row r="5" spans="2:15" ht="18.75">
      <c r="B5" s="97" t="s">
        <v>4258</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ht="75">
      <c r="D11" s="55" t="s">
        <v>4239</v>
      </c>
      <c r="E11" s="55" t="s">
        <v>4242</v>
      </c>
      <c r="F11" s="55" t="s">
        <v>4244</v>
      </c>
      <c r="G11" s="55" t="s">
        <v>4246</v>
      </c>
      <c r="H11" s="55" t="s">
        <v>4248</v>
      </c>
    </row>
    <row r="12" spans="2:15">
      <c r="D12" s="45" t="s">
        <v>2879</v>
      </c>
      <c r="E12" s="45" t="s">
        <v>3225</v>
      </c>
      <c r="F12" s="45" t="s">
        <v>3229</v>
      </c>
      <c r="G12" s="45" t="s">
        <v>3233</v>
      </c>
      <c r="H12" s="45" t="s">
        <v>3236</v>
      </c>
      <c r="M12" s="13" t="str">
        <f>Show!$B$96&amp;"S.22.01.22.01 Rows {"&amp;COLUMN($C$1)&amp;"}"&amp;"@ForceFilingCode:true"</f>
        <v>!S.22.01.22.01 Rows {3}@ForceFilingCode:true</v>
      </c>
      <c r="N12" s="13" t="str">
        <f>Show!$B$96&amp;"S.22.01.22.01 Columns {"&amp;COLUMN($D$1)&amp;"}"</f>
        <v>!S.22.01.22.01 Columns {4}</v>
      </c>
    </row>
    <row r="13" spans="2:15">
      <c r="B13" s="43" t="s">
        <v>2880</v>
      </c>
      <c r="C13" s="44" t="s">
        <v>2878</v>
      </c>
      <c r="D13" s="56"/>
      <c r="E13" s="66"/>
      <c r="F13" s="66"/>
      <c r="G13" s="66"/>
      <c r="H13" s="57"/>
    </row>
    <row r="14" spans="2:15">
      <c r="B14" s="47" t="s">
        <v>4250</v>
      </c>
      <c r="C14" s="41" t="s">
        <v>2883</v>
      </c>
      <c r="D14" s="60"/>
      <c r="E14" s="60"/>
      <c r="F14" s="60"/>
      <c r="G14" s="60"/>
      <c r="H14" s="60"/>
    </row>
    <row r="15" spans="2:15">
      <c r="B15" s="47" t="s">
        <v>4251</v>
      </c>
      <c r="C15" s="41" t="s">
        <v>2885</v>
      </c>
      <c r="D15" s="60"/>
      <c r="E15" s="60"/>
      <c r="F15" s="60"/>
      <c r="G15" s="60"/>
      <c r="H15" s="60"/>
    </row>
    <row r="16" spans="2:15">
      <c r="B16" s="47" t="s">
        <v>4253</v>
      </c>
      <c r="C16" s="41" t="s">
        <v>3078</v>
      </c>
      <c r="D16" s="60"/>
      <c r="E16" s="60"/>
      <c r="F16" s="60"/>
      <c r="G16" s="60"/>
      <c r="H16" s="60"/>
    </row>
    <row r="17" spans="2:14">
      <c r="B17" s="47" t="s">
        <v>711</v>
      </c>
      <c r="C17" s="41" t="s">
        <v>2897</v>
      </c>
      <c r="D17" s="60"/>
      <c r="E17" s="60"/>
      <c r="F17" s="60"/>
      <c r="G17" s="60"/>
      <c r="H17" s="60"/>
    </row>
    <row r="19" spans="2:14">
      <c r="M19" s="13" t="str">
        <f>Show!$B$96&amp;Show!$B$96&amp;"S.22.01.22.01 Rows {"&amp;COLUMN($C$1)&amp;"}"</f>
        <v>!!S.22.01.22.01 Rows {3}</v>
      </c>
      <c r="N19" s="13" t="str">
        <f>Show!$B$96&amp;Show!$B$96&amp;"S.22.01.22.01 Columns {"&amp;COLUMN($H$1)&amp;"}"</f>
        <v>!!S.22.01.22.01 Columns {8}</v>
      </c>
    </row>
  </sheetData>
  <sheetProtection sheet="1" objects="1" scenarios="1"/>
  <mergeCells count="3">
    <mergeCell ref="B2:O2"/>
    <mergeCell ref="B5:L5"/>
    <mergeCell ref="D9:H10"/>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2809-A56D-438B-9986-E349960C319D}">
  <sheetPr codeName="Blad101"/>
  <dimension ref="B2:P65"/>
  <sheetViews>
    <sheetView showGridLines="0" workbookViewId="0"/>
  </sheetViews>
  <sheetFormatPr defaultRowHeight="15"/>
  <cols>
    <col min="2" max="2" width="53.28515625" bestFit="1" customWidth="1"/>
    <col min="4" max="8" width="15.7109375" customWidth="1"/>
  </cols>
  <sheetData>
    <row r="2" spans="2:16" ht="23.25">
      <c r="B2" s="95" t="s">
        <v>658</v>
      </c>
      <c r="C2" s="96"/>
      <c r="D2" s="96"/>
      <c r="E2" s="96"/>
      <c r="F2" s="96"/>
      <c r="G2" s="96"/>
      <c r="H2" s="96"/>
      <c r="I2" s="96"/>
      <c r="J2" s="96"/>
      <c r="K2" s="96"/>
      <c r="L2" s="96"/>
      <c r="M2" s="96"/>
      <c r="N2" s="96"/>
      <c r="O2" s="96"/>
    </row>
    <row r="5" spans="2:16" ht="18.75">
      <c r="B5" s="97" t="s">
        <v>4259</v>
      </c>
      <c r="C5" s="96"/>
      <c r="D5" s="96"/>
      <c r="E5" s="96"/>
      <c r="F5" s="96"/>
      <c r="G5" s="96"/>
      <c r="H5" s="96"/>
      <c r="I5" s="96"/>
      <c r="J5" s="96"/>
      <c r="K5" s="96"/>
      <c r="L5" s="96"/>
    </row>
    <row r="7" spans="2:16">
      <c r="B7" t="s">
        <v>3110</v>
      </c>
      <c r="O7" s="13" t="str">
        <f>Show!$B$97&amp;"SR.22.02.01.01 Table label {"&amp;COLUMN($C$1)&amp;"}"</f>
        <v>!SR.22.02.01.01 Table label {3}</v>
      </c>
      <c r="P7" s="13" t="str">
        <f>Show!$B$97&amp;"SR.22.02.01.01 Table value {"&amp;COLUMN($D$1)&amp;"}"</f>
        <v>!SR.22.02.01.01 Table value {4}</v>
      </c>
    </row>
    <row r="8" spans="2:16">
      <c r="B8" t="s">
        <v>3111</v>
      </c>
    </row>
    <row r="9" spans="2:16">
      <c r="B9" s="40" t="s">
        <v>4260</v>
      </c>
      <c r="C9" s="53" t="s">
        <v>3113</v>
      </c>
      <c r="D9" s="50"/>
    </row>
    <row r="10" spans="2:16">
      <c r="O10" s="13" t="str">
        <f>Show!$B$97&amp;Show!$B$97&amp;"SR.22.02.01.01 Table label {"&amp;COLUMN($C$1)&amp;"}"</f>
        <v>!!SR.22.02.01.01 Table label {3}</v>
      </c>
      <c r="P10" s="13" t="str">
        <f>Show!$B$97&amp;Show!$B$97&amp;"SR.22.02.01.01 Table value {"&amp;COLUMN($D$1)&amp;"}"</f>
        <v>!!SR.22.02.01.01 Table value {4}</v>
      </c>
    </row>
    <row r="12" spans="2:16">
      <c r="D12" s="101" t="s">
        <v>2877</v>
      </c>
      <c r="E12" s="102"/>
      <c r="F12" s="102"/>
      <c r="G12" s="102"/>
      <c r="H12" s="103"/>
    </row>
    <row r="13" spans="2:16">
      <c r="D13" s="104"/>
      <c r="E13" s="105"/>
      <c r="F13" s="105"/>
      <c r="G13" s="105"/>
      <c r="H13" s="106"/>
    </row>
    <row r="14" spans="2:16">
      <c r="D14" s="107" t="s">
        <v>4261</v>
      </c>
      <c r="E14" s="108"/>
      <c r="F14" s="109"/>
      <c r="G14" s="107" t="s">
        <v>4265</v>
      </c>
      <c r="H14" s="109"/>
    </row>
    <row r="15" spans="2:16" ht="75">
      <c r="D15" s="55" t="s">
        <v>4262</v>
      </c>
      <c r="E15" s="55" t="s">
        <v>4263</v>
      </c>
      <c r="F15" s="55" t="s">
        <v>4264</v>
      </c>
      <c r="G15" s="55" t="s">
        <v>4266</v>
      </c>
      <c r="H15" s="55" t="s">
        <v>4267</v>
      </c>
    </row>
    <row r="16" spans="2:16">
      <c r="D16" s="45" t="s">
        <v>3219</v>
      </c>
      <c r="E16" s="45" t="s">
        <v>3225</v>
      </c>
      <c r="F16" s="45" t="s">
        <v>3223</v>
      </c>
      <c r="G16" s="45" t="s">
        <v>3229</v>
      </c>
      <c r="H16" s="45" t="s">
        <v>3231</v>
      </c>
      <c r="O16" s="13" t="str">
        <f>Show!$B$97&amp;"SR.22.02.01.01 Rows {"&amp;COLUMN($C$1)&amp;"}"&amp;"@ForceFilingCode:true"</f>
        <v>!SR.22.02.01.01 Rows {3}@ForceFilingCode:true</v>
      </c>
      <c r="P16" s="13" t="str">
        <f>Show!$B$97&amp;"SR.22.02.01.01 Columns {"&amp;COLUMN($D$1)&amp;"}"</f>
        <v>!SR.22.02.01.01 Columns {4}</v>
      </c>
    </row>
    <row r="17" spans="2:8">
      <c r="B17" s="43" t="s">
        <v>2880</v>
      </c>
      <c r="C17" s="44" t="s">
        <v>2878</v>
      </c>
      <c r="D17" s="58"/>
      <c r="E17" s="67"/>
      <c r="F17" s="67"/>
      <c r="G17" s="67"/>
      <c r="H17" s="59"/>
    </row>
    <row r="18" spans="2:8">
      <c r="B18" s="47" t="s">
        <v>3800</v>
      </c>
      <c r="C18" s="44" t="s">
        <v>2878</v>
      </c>
      <c r="D18" s="56"/>
      <c r="E18" s="66"/>
      <c r="F18" s="66"/>
      <c r="G18" s="66"/>
      <c r="H18" s="57"/>
    </row>
    <row r="19" spans="2:8">
      <c r="B19" s="49" t="s">
        <v>3801</v>
      </c>
      <c r="C19" s="41" t="s">
        <v>2883</v>
      </c>
      <c r="D19" s="60"/>
      <c r="E19" s="60"/>
      <c r="F19" s="60"/>
      <c r="G19" s="60"/>
      <c r="H19" s="60"/>
    </row>
    <row r="20" spans="2:8">
      <c r="B20" s="49" t="s">
        <v>3802</v>
      </c>
      <c r="C20" s="41" t="s">
        <v>2885</v>
      </c>
      <c r="D20" s="60"/>
      <c r="E20" s="60"/>
      <c r="F20" s="60"/>
      <c r="G20" s="60"/>
      <c r="H20" s="60"/>
    </row>
    <row r="21" spans="2:8">
      <c r="B21" s="49" t="s">
        <v>3803</v>
      </c>
      <c r="C21" s="41" t="s">
        <v>2887</v>
      </c>
      <c r="D21" s="60"/>
      <c r="E21" s="60"/>
      <c r="F21" s="60"/>
      <c r="G21" s="60"/>
      <c r="H21" s="60"/>
    </row>
    <row r="22" spans="2:8">
      <c r="B22" s="49" t="s">
        <v>3804</v>
      </c>
      <c r="C22" s="41" t="s">
        <v>2889</v>
      </c>
      <c r="D22" s="60"/>
      <c r="E22" s="60"/>
      <c r="F22" s="60"/>
      <c r="G22" s="60"/>
      <c r="H22" s="60"/>
    </row>
    <row r="23" spans="2:8">
      <c r="B23" s="49" t="s">
        <v>3805</v>
      </c>
      <c r="C23" s="41" t="s">
        <v>3078</v>
      </c>
      <c r="D23" s="60"/>
      <c r="E23" s="60"/>
      <c r="F23" s="60"/>
      <c r="G23" s="60"/>
      <c r="H23" s="60"/>
    </row>
    <row r="24" spans="2:8">
      <c r="B24" s="49" t="s">
        <v>3806</v>
      </c>
      <c r="C24" s="41" t="s">
        <v>2891</v>
      </c>
      <c r="D24" s="60"/>
      <c r="E24" s="60"/>
      <c r="F24" s="60"/>
      <c r="G24" s="60"/>
      <c r="H24" s="60"/>
    </row>
    <row r="25" spans="2:8">
      <c r="B25" s="49" t="s">
        <v>3807</v>
      </c>
      <c r="C25" s="41" t="s">
        <v>2893</v>
      </c>
      <c r="D25" s="60"/>
      <c r="E25" s="60"/>
      <c r="F25" s="60"/>
      <c r="G25" s="60"/>
      <c r="H25" s="60"/>
    </row>
    <row r="26" spans="2:8">
      <c r="B26" s="49" t="s">
        <v>3808</v>
      </c>
      <c r="C26" s="41" t="s">
        <v>2895</v>
      </c>
      <c r="D26" s="60"/>
      <c r="E26" s="60"/>
      <c r="F26" s="60"/>
      <c r="G26" s="60"/>
      <c r="H26" s="60"/>
    </row>
    <row r="27" spans="2:8">
      <c r="B27" s="49" t="s">
        <v>3809</v>
      </c>
      <c r="C27" s="41" t="s">
        <v>2897</v>
      </c>
      <c r="D27" s="60"/>
      <c r="E27" s="60"/>
      <c r="F27" s="60"/>
      <c r="G27" s="60"/>
      <c r="H27" s="60"/>
    </row>
    <row r="28" spans="2:8">
      <c r="B28" s="49" t="s">
        <v>22</v>
      </c>
      <c r="C28" s="41" t="s">
        <v>2899</v>
      </c>
      <c r="D28" s="60"/>
      <c r="E28" s="60"/>
      <c r="F28" s="60"/>
      <c r="G28" s="60"/>
      <c r="H28" s="60"/>
    </row>
    <row r="29" spans="2:8">
      <c r="B29" s="49" t="s">
        <v>28</v>
      </c>
      <c r="C29" s="41" t="s">
        <v>2901</v>
      </c>
      <c r="D29" s="60"/>
      <c r="E29" s="60"/>
      <c r="F29" s="60"/>
      <c r="G29" s="60"/>
      <c r="H29" s="60"/>
    </row>
    <row r="30" spans="2:8">
      <c r="B30" s="49" t="s">
        <v>31</v>
      </c>
      <c r="C30" s="41" t="s">
        <v>2903</v>
      </c>
      <c r="D30" s="60"/>
      <c r="E30" s="60"/>
      <c r="F30" s="60"/>
      <c r="G30" s="60"/>
      <c r="H30" s="60"/>
    </row>
    <row r="31" spans="2:8">
      <c r="B31" s="49" t="s">
        <v>37</v>
      </c>
      <c r="C31" s="41" t="s">
        <v>2905</v>
      </c>
      <c r="D31" s="60"/>
      <c r="E31" s="60"/>
      <c r="F31" s="60"/>
      <c r="G31" s="60"/>
      <c r="H31" s="60"/>
    </row>
    <row r="32" spans="2:8">
      <c r="B32" s="49" t="s">
        <v>40</v>
      </c>
      <c r="C32" s="41" t="s">
        <v>2907</v>
      </c>
      <c r="D32" s="60"/>
      <c r="E32" s="60"/>
      <c r="F32" s="60"/>
      <c r="G32" s="60"/>
      <c r="H32" s="60"/>
    </row>
    <row r="33" spans="2:8">
      <c r="B33" s="49" t="s">
        <v>44</v>
      </c>
      <c r="C33" s="41" t="s">
        <v>2909</v>
      </c>
      <c r="D33" s="60"/>
      <c r="E33" s="60"/>
      <c r="F33" s="60"/>
      <c r="G33" s="60"/>
      <c r="H33" s="60"/>
    </row>
    <row r="34" spans="2:8">
      <c r="B34" s="49" t="s">
        <v>47</v>
      </c>
      <c r="C34" s="41" t="s">
        <v>2911</v>
      </c>
      <c r="D34" s="60"/>
      <c r="E34" s="60"/>
      <c r="F34" s="60"/>
      <c r="G34" s="60"/>
      <c r="H34" s="60"/>
    </row>
    <row r="35" spans="2:8">
      <c r="B35" s="49" t="s">
        <v>51</v>
      </c>
      <c r="C35" s="41" t="s">
        <v>2913</v>
      </c>
      <c r="D35" s="60"/>
      <c r="E35" s="60"/>
      <c r="F35" s="60"/>
      <c r="G35" s="60"/>
      <c r="H35" s="60"/>
    </row>
    <row r="36" spans="2:8">
      <c r="B36" s="49" t="s">
        <v>54</v>
      </c>
      <c r="C36" s="41" t="s">
        <v>2915</v>
      </c>
      <c r="D36" s="60"/>
      <c r="E36" s="60"/>
      <c r="F36" s="60"/>
      <c r="G36" s="60"/>
      <c r="H36" s="60"/>
    </row>
    <row r="37" spans="2:8">
      <c r="B37" s="49" t="s">
        <v>58</v>
      </c>
      <c r="C37" s="41" t="s">
        <v>2917</v>
      </c>
      <c r="D37" s="60"/>
      <c r="E37" s="60"/>
      <c r="F37" s="60"/>
      <c r="G37" s="60"/>
      <c r="H37" s="60"/>
    </row>
    <row r="38" spans="2:8">
      <c r="B38" s="49" t="s">
        <v>61</v>
      </c>
      <c r="C38" s="41" t="s">
        <v>2919</v>
      </c>
      <c r="D38" s="60"/>
      <c r="E38" s="60"/>
      <c r="F38" s="60"/>
      <c r="G38" s="60"/>
      <c r="H38" s="60"/>
    </row>
    <row r="39" spans="2:8">
      <c r="B39" s="49" t="s">
        <v>3810</v>
      </c>
      <c r="C39" s="41" t="s">
        <v>2921</v>
      </c>
      <c r="D39" s="60"/>
      <c r="E39" s="60"/>
      <c r="F39" s="60"/>
      <c r="G39" s="60"/>
      <c r="H39" s="60"/>
    </row>
    <row r="40" spans="2:8">
      <c r="B40" s="49" t="s">
        <v>3811</v>
      </c>
      <c r="C40" s="41" t="s">
        <v>2923</v>
      </c>
      <c r="D40" s="60"/>
      <c r="E40" s="60"/>
      <c r="F40" s="60"/>
      <c r="G40" s="60"/>
      <c r="H40" s="60"/>
    </row>
    <row r="41" spans="2:8">
      <c r="B41" s="49" t="s">
        <v>3812</v>
      </c>
      <c r="C41" s="41" t="s">
        <v>2925</v>
      </c>
      <c r="D41" s="60"/>
      <c r="E41" s="60"/>
      <c r="F41" s="60"/>
      <c r="G41" s="60"/>
      <c r="H41" s="60"/>
    </row>
    <row r="42" spans="2:8">
      <c r="B42" s="49" t="s">
        <v>3813</v>
      </c>
      <c r="C42" s="41" t="s">
        <v>2927</v>
      </c>
      <c r="D42" s="60"/>
      <c r="E42" s="60"/>
      <c r="F42" s="60"/>
      <c r="G42" s="60"/>
      <c r="H42" s="60"/>
    </row>
    <row r="43" spans="2:8">
      <c r="B43" s="49" t="s">
        <v>3814</v>
      </c>
      <c r="C43" s="41" t="s">
        <v>2929</v>
      </c>
      <c r="D43" s="60"/>
      <c r="E43" s="60"/>
      <c r="F43" s="60"/>
      <c r="G43" s="60"/>
      <c r="H43" s="60"/>
    </row>
    <row r="44" spans="2:8">
      <c r="B44" s="49" t="s">
        <v>3815</v>
      </c>
      <c r="C44" s="41" t="s">
        <v>2931</v>
      </c>
      <c r="D44" s="60"/>
      <c r="E44" s="60"/>
      <c r="F44" s="60"/>
      <c r="G44" s="60"/>
      <c r="H44" s="60"/>
    </row>
    <row r="45" spans="2:8">
      <c r="B45" s="49" t="s">
        <v>3816</v>
      </c>
      <c r="C45" s="41" t="s">
        <v>2933</v>
      </c>
      <c r="D45" s="60"/>
      <c r="E45" s="60"/>
      <c r="F45" s="60"/>
      <c r="G45" s="60"/>
      <c r="H45" s="60"/>
    </row>
    <row r="46" spans="2:8">
      <c r="B46" s="49" t="s">
        <v>3817</v>
      </c>
      <c r="C46" s="41" t="s">
        <v>2935</v>
      </c>
      <c r="D46" s="60"/>
      <c r="E46" s="60"/>
      <c r="F46" s="60"/>
      <c r="G46" s="60"/>
      <c r="H46" s="60"/>
    </row>
    <row r="47" spans="2:8">
      <c r="B47" s="49" t="s">
        <v>3818</v>
      </c>
      <c r="C47" s="41" t="s">
        <v>2937</v>
      </c>
      <c r="D47" s="60"/>
      <c r="E47" s="60"/>
      <c r="F47" s="60"/>
      <c r="G47" s="60"/>
      <c r="H47" s="60"/>
    </row>
    <row r="48" spans="2:8">
      <c r="B48" s="49" t="s">
        <v>3819</v>
      </c>
      <c r="C48" s="41" t="s">
        <v>2939</v>
      </c>
      <c r="D48" s="60"/>
      <c r="E48" s="60"/>
      <c r="F48" s="60"/>
      <c r="G48" s="60"/>
      <c r="H48" s="60"/>
    </row>
    <row r="49" spans="2:8">
      <c r="B49" s="49" t="s">
        <v>4268</v>
      </c>
      <c r="C49" s="41" t="s">
        <v>2941</v>
      </c>
      <c r="D49" s="60"/>
      <c r="E49" s="60"/>
      <c r="F49" s="60"/>
      <c r="G49" s="60"/>
      <c r="H49" s="60"/>
    </row>
    <row r="50" spans="2:8">
      <c r="B50" s="49" t="s">
        <v>4269</v>
      </c>
      <c r="C50" s="41" t="s">
        <v>2943</v>
      </c>
      <c r="D50" s="60"/>
      <c r="E50" s="60"/>
      <c r="F50" s="60"/>
      <c r="G50" s="60"/>
      <c r="H50" s="60"/>
    </row>
    <row r="51" spans="2:8">
      <c r="B51" s="49" t="s">
        <v>4270</v>
      </c>
      <c r="C51" s="41" t="s">
        <v>2945</v>
      </c>
      <c r="D51" s="60"/>
      <c r="E51" s="60"/>
      <c r="F51" s="60"/>
      <c r="G51" s="60"/>
      <c r="H51" s="60"/>
    </row>
    <row r="52" spans="2:8">
      <c r="B52" s="49" t="s">
        <v>4271</v>
      </c>
      <c r="C52" s="41" t="s">
        <v>2947</v>
      </c>
      <c r="D52" s="60"/>
      <c r="E52" s="60"/>
      <c r="F52" s="60"/>
      <c r="G52" s="60"/>
      <c r="H52" s="60"/>
    </row>
    <row r="53" spans="2:8">
      <c r="B53" s="49" t="s">
        <v>4272</v>
      </c>
      <c r="C53" s="41" t="s">
        <v>2949</v>
      </c>
      <c r="D53" s="60"/>
      <c r="E53" s="60"/>
      <c r="F53" s="60"/>
      <c r="G53" s="60"/>
      <c r="H53" s="60"/>
    </row>
    <row r="54" spans="2:8">
      <c r="B54" s="49" t="s">
        <v>4273</v>
      </c>
      <c r="C54" s="41" t="s">
        <v>2951</v>
      </c>
      <c r="D54" s="60"/>
      <c r="E54" s="60"/>
      <c r="F54" s="60"/>
      <c r="G54" s="60"/>
      <c r="H54" s="60"/>
    </row>
    <row r="55" spans="2:8">
      <c r="B55" s="49" t="s">
        <v>4274</v>
      </c>
      <c r="C55" s="41" t="s">
        <v>2953</v>
      </c>
      <c r="D55" s="60"/>
      <c r="E55" s="60"/>
      <c r="F55" s="60"/>
      <c r="G55" s="60"/>
      <c r="H55" s="60"/>
    </row>
    <row r="56" spans="2:8">
      <c r="B56" s="49" t="s">
        <v>4275</v>
      </c>
      <c r="C56" s="41" t="s">
        <v>2955</v>
      </c>
      <c r="D56" s="60"/>
      <c r="E56" s="60"/>
      <c r="F56" s="60"/>
      <c r="G56" s="60"/>
      <c r="H56" s="60"/>
    </row>
    <row r="57" spans="2:8">
      <c r="B57" s="49" t="s">
        <v>4276</v>
      </c>
      <c r="C57" s="41" t="s">
        <v>2957</v>
      </c>
      <c r="D57" s="60"/>
      <c r="E57" s="60"/>
      <c r="F57" s="60"/>
      <c r="G57" s="60"/>
      <c r="H57" s="60"/>
    </row>
    <row r="58" spans="2:8">
      <c r="B58" s="49" t="s">
        <v>4277</v>
      </c>
      <c r="C58" s="41" t="s">
        <v>2959</v>
      </c>
      <c r="D58" s="60"/>
      <c r="E58" s="60"/>
      <c r="F58" s="60"/>
      <c r="G58" s="60"/>
      <c r="H58" s="60"/>
    </row>
    <row r="59" spans="2:8">
      <c r="B59" s="49" t="s">
        <v>4278</v>
      </c>
      <c r="C59" s="41" t="s">
        <v>2961</v>
      </c>
      <c r="D59" s="60"/>
      <c r="E59" s="60"/>
      <c r="F59" s="60"/>
      <c r="G59" s="60"/>
      <c r="H59" s="60"/>
    </row>
    <row r="60" spans="2:8">
      <c r="B60" s="49" t="s">
        <v>4279</v>
      </c>
      <c r="C60" s="41" t="s">
        <v>2963</v>
      </c>
      <c r="D60" s="60"/>
      <c r="E60" s="60"/>
      <c r="F60" s="60"/>
      <c r="G60" s="60"/>
      <c r="H60" s="60"/>
    </row>
    <row r="61" spans="2:8">
      <c r="B61" s="49" t="s">
        <v>4280</v>
      </c>
      <c r="C61" s="41" t="s">
        <v>2965</v>
      </c>
      <c r="D61" s="60"/>
      <c r="E61" s="60"/>
      <c r="F61" s="60"/>
      <c r="G61" s="60"/>
      <c r="H61" s="60"/>
    </row>
    <row r="62" spans="2:8">
      <c r="B62" s="49" t="s">
        <v>4281</v>
      </c>
      <c r="C62" s="41" t="s">
        <v>2967</v>
      </c>
      <c r="D62" s="60"/>
      <c r="E62" s="60"/>
      <c r="F62" s="60"/>
      <c r="G62" s="60"/>
      <c r="H62" s="60"/>
    </row>
    <row r="63" spans="2:8">
      <c r="B63" s="49" t="s">
        <v>4282</v>
      </c>
      <c r="C63" s="41" t="s">
        <v>2969</v>
      </c>
      <c r="D63" s="60"/>
      <c r="E63" s="60"/>
      <c r="F63" s="60"/>
      <c r="G63" s="60"/>
      <c r="H63" s="60"/>
    </row>
    <row r="65" spans="15:16">
      <c r="O65" s="13" t="str">
        <f>Show!$B$97&amp;Show!$B$97&amp;"SR.22.02.01.01 Rows {"&amp;COLUMN($C$1)&amp;"}"</f>
        <v>!!SR.22.02.01.01 Rows {3}</v>
      </c>
      <c r="P65" s="13" t="str">
        <f>Show!$B$97&amp;Show!$B$97&amp;"SR.22.02.01.01 Columns {"&amp;COLUMN($H$1)&amp;"}"</f>
        <v>!!SR.22.02.01.01 Columns {8}</v>
      </c>
    </row>
  </sheetData>
  <sheetProtection sheet="1" objects="1" scenarios="1"/>
  <mergeCells count="5">
    <mergeCell ref="B2:O2"/>
    <mergeCell ref="B5:L5"/>
    <mergeCell ref="D12:H13"/>
    <mergeCell ref="D14:F14"/>
    <mergeCell ref="G14:H1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DB7A-054A-42B6-9E0E-B122EF76498D}">
  <sheetPr codeName="Blad102"/>
  <dimension ref="B2:O40"/>
  <sheetViews>
    <sheetView showGridLines="0" workbookViewId="0"/>
  </sheetViews>
  <sheetFormatPr defaultRowHeight="15"/>
  <cols>
    <col min="2" max="2" width="80" bestFit="1" customWidth="1"/>
    <col min="4" max="4" width="15.7109375" customWidth="1"/>
  </cols>
  <sheetData>
    <row r="2" spans="2:15" ht="23.25">
      <c r="B2" s="95" t="s">
        <v>660</v>
      </c>
      <c r="C2" s="96"/>
      <c r="D2" s="96"/>
      <c r="E2" s="96"/>
      <c r="F2" s="96"/>
      <c r="G2" s="96"/>
      <c r="H2" s="96"/>
      <c r="I2" s="96"/>
      <c r="J2" s="96"/>
      <c r="K2" s="96"/>
      <c r="L2" s="96"/>
      <c r="M2" s="96"/>
      <c r="N2" s="96"/>
      <c r="O2" s="96"/>
    </row>
    <row r="5" spans="2:15" ht="18.75">
      <c r="B5" s="97" t="s">
        <v>4283</v>
      </c>
      <c r="C5" s="96"/>
      <c r="D5" s="96"/>
      <c r="E5" s="96"/>
      <c r="F5" s="96"/>
      <c r="G5" s="96"/>
      <c r="H5" s="96"/>
      <c r="I5" s="96"/>
      <c r="J5" s="96"/>
      <c r="K5" s="96"/>
      <c r="L5" s="96"/>
    </row>
    <row r="7" spans="2:15">
      <c r="B7" t="s">
        <v>3110</v>
      </c>
      <c r="I7" s="13" t="str">
        <f>Show!$B$98&amp;"SR.22.03.01.01 Table label {"&amp;COLUMN($C$1)&amp;"}"</f>
        <v>!SR.22.03.01.01 Table label {3}</v>
      </c>
      <c r="J7" s="13" t="str">
        <f>Show!$B$98&amp;"SR.22.03.01.01 Table value {"&amp;COLUMN($D$1)&amp;"}"</f>
        <v>!SR.22.03.01.01 Table value {4}</v>
      </c>
    </row>
    <row r="8" spans="2:15">
      <c r="B8" t="s">
        <v>3111</v>
      </c>
    </row>
    <row r="9" spans="2:15">
      <c r="B9" s="40" t="s">
        <v>4260</v>
      </c>
      <c r="C9" s="53" t="s">
        <v>3113</v>
      </c>
      <c r="D9" s="50"/>
    </row>
    <row r="10" spans="2:15">
      <c r="I10" s="13" t="str">
        <f>Show!$B$98&amp;Show!$B$98&amp;"SR.22.03.01.01 Table label {"&amp;COLUMN($C$1)&amp;"}"</f>
        <v>!!SR.22.03.01.01 Table label {3}</v>
      </c>
      <c r="J10" s="13" t="str">
        <f>Show!$B$98&amp;Show!$B$98&amp;"SR.22.03.01.01 Table value {"&amp;COLUMN($D$1)&amp;"}"</f>
        <v>!!SR.22.03.01.01 Table value {4}</v>
      </c>
    </row>
    <row r="12" spans="2:15">
      <c r="D12" s="98" t="s">
        <v>2877</v>
      </c>
    </row>
    <row r="13" spans="2:15">
      <c r="D13" s="100"/>
    </row>
    <row r="14" spans="2:15">
      <c r="D14" s="98" t="s">
        <v>4284</v>
      </c>
    </row>
    <row r="15" spans="2:15">
      <c r="D15" s="100"/>
    </row>
    <row r="16" spans="2:15">
      <c r="D16" s="45" t="s">
        <v>2879</v>
      </c>
      <c r="I16" s="13" t="str">
        <f>Show!$B$98&amp;"SR.22.03.01.01 Rows {"&amp;COLUMN($C$1)&amp;"}"&amp;"@ForceFilingCode:true"</f>
        <v>!SR.22.03.01.01 Rows {3}@ForceFilingCode:true</v>
      </c>
      <c r="J16" s="13" t="str">
        <f>Show!$B$98&amp;"SR.22.03.01.01 Columns {"&amp;COLUMN($D$1)&amp;"}"</f>
        <v>!SR.22.03.01.01 Columns {4}</v>
      </c>
    </row>
    <row r="17" spans="2:4">
      <c r="B17" s="43" t="s">
        <v>2880</v>
      </c>
      <c r="C17" s="44" t="s">
        <v>2878</v>
      </c>
      <c r="D17" s="48"/>
    </row>
    <row r="18" spans="2:4">
      <c r="B18" s="47" t="s">
        <v>4285</v>
      </c>
      <c r="C18" s="44" t="s">
        <v>2878</v>
      </c>
      <c r="D18" s="46"/>
    </row>
    <row r="19" spans="2:4">
      <c r="B19" s="49" t="s">
        <v>4286</v>
      </c>
      <c r="C19" s="41" t="s">
        <v>2883</v>
      </c>
      <c r="D19" s="70"/>
    </row>
    <row r="20" spans="2:4">
      <c r="B20" s="49" t="s">
        <v>4287</v>
      </c>
      <c r="C20" s="41" t="s">
        <v>2885</v>
      </c>
      <c r="D20" s="70"/>
    </row>
    <row r="21" spans="2:4">
      <c r="B21" s="49" t="s">
        <v>4288</v>
      </c>
      <c r="C21" s="41" t="s">
        <v>2887</v>
      </c>
      <c r="D21" s="70"/>
    </row>
    <row r="22" spans="2:4">
      <c r="B22" s="49" t="s">
        <v>4289</v>
      </c>
      <c r="C22" s="41" t="s">
        <v>2889</v>
      </c>
      <c r="D22" s="70"/>
    </row>
    <row r="23" spans="2:4">
      <c r="B23" s="49" t="s">
        <v>4290</v>
      </c>
      <c r="C23" s="41" t="s">
        <v>3078</v>
      </c>
      <c r="D23" s="70"/>
    </row>
    <row r="24" spans="2:4">
      <c r="B24" s="49" t="s">
        <v>4291</v>
      </c>
      <c r="C24" s="41" t="s">
        <v>2891</v>
      </c>
      <c r="D24" s="76"/>
    </row>
    <row r="25" spans="2:4">
      <c r="B25" s="47" t="s">
        <v>292</v>
      </c>
      <c r="C25" s="44" t="s">
        <v>2878</v>
      </c>
      <c r="D25" s="46"/>
    </row>
    <row r="26" spans="2:4">
      <c r="B26" s="49" t="s">
        <v>4292</v>
      </c>
      <c r="C26" s="41" t="s">
        <v>2893</v>
      </c>
      <c r="D26" s="63"/>
    </row>
    <row r="27" spans="2:4">
      <c r="B27" s="47" t="s">
        <v>3584</v>
      </c>
      <c r="C27" s="44" t="s">
        <v>2878</v>
      </c>
      <c r="D27" s="46"/>
    </row>
    <row r="28" spans="2:4">
      <c r="B28" s="49" t="s">
        <v>4293</v>
      </c>
      <c r="C28" s="41" t="s">
        <v>2895</v>
      </c>
      <c r="D28" s="60"/>
    </row>
    <row r="29" spans="2:4">
      <c r="B29" s="49" t="s">
        <v>4294</v>
      </c>
      <c r="C29" s="41" t="s">
        <v>2897</v>
      </c>
      <c r="D29" s="60"/>
    </row>
    <row r="30" spans="2:4">
      <c r="B30" s="49" t="s">
        <v>4295</v>
      </c>
      <c r="C30" s="41" t="s">
        <v>2899</v>
      </c>
      <c r="D30" s="60"/>
    </row>
    <row r="31" spans="2:4">
      <c r="B31" s="49" t="s">
        <v>4296</v>
      </c>
      <c r="C31" s="41" t="s">
        <v>2901</v>
      </c>
      <c r="D31" s="60"/>
    </row>
    <row r="32" spans="2:4">
      <c r="B32" s="49" t="s">
        <v>4297</v>
      </c>
      <c r="C32" s="41" t="s">
        <v>2903</v>
      </c>
      <c r="D32" s="70"/>
    </row>
    <row r="33" spans="2:10">
      <c r="B33" s="49" t="s">
        <v>4298</v>
      </c>
      <c r="C33" s="41" t="s">
        <v>2905</v>
      </c>
      <c r="D33" s="60"/>
    </row>
    <row r="34" spans="2:10">
      <c r="B34" s="49" t="s">
        <v>4299</v>
      </c>
      <c r="C34" s="41" t="s">
        <v>2907</v>
      </c>
      <c r="D34" s="50"/>
    </row>
    <row r="35" spans="2:10">
      <c r="B35" s="49" t="s">
        <v>4300</v>
      </c>
      <c r="C35" s="41" t="s">
        <v>2909</v>
      </c>
      <c r="D35" s="60"/>
    </row>
    <row r="36" spans="2:10">
      <c r="B36" s="49" t="s">
        <v>4301</v>
      </c>
      <c r="C36" s="41" t="s">
        <v>2911</v>
      </c>
      <c r="D36" s="63"/>
    </row>
    <row r="37" spans="2:10">
      <c r="B37" s="47" t="s">
        <v>2389</v>
      </c>
      <c r="C37" s="44" t="s">
        <v>2878</v>
      </c>
      <c r="D37" s="46"/>
    </row>
    <row r="38" spans="2:10">
      <c r="B38" s="49" t="s">
        <v>3621</v>
      </c>
      <c r="C38" s="41" t="s">
        <v>2913</v>
      </c>
      <c r="D38" s="69"/>
    </row>
    <row r="40" spans="2:10">
      <c r="I40" s="13" t="str">
        <f>Show!$B$98&amp;Show!$B$98&amp;"SR.22.03.01.01 Rows {"&amp;COLUMN($C$1)&amp;"}"</f>
        <v>!!SR.22.03.01.01 Rows {3}</v>
      </c>
      <c r="J40" s="13" t="str">
        <f>Show!$B$98&amp;Show!$B$98&amp;"SR.22.03.01.01 Columns {"&amp;COLUMN($D$1)&amp;"}"</f>
        <v>!!SR.22.03.01.01 Columns {4}</v>
      </c>
    </row>
  </sheetData>
  <sheetProtection sheet="1" objects="1" scenarios="1"/>
  <mergeCells count="4">
    <mergeCell ref="B2:O2"/>
    <mergeCell ref="B5:L5"/>
    <mergeCell ref="D12:D13"/>
    <mergeCell ref="D14:D15"/>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6C50-FE67-4EDF-A3BC-815D5EB4EC32}">
  <sheetPr codeName="Blad103"/>
  <dimension ref="B2:O49"/>
  <sheetViews>
    <sheetView showGridLines="0" workbookViewId="0"/>
  </sheetViews>
  <sheetFormatPr defaultRowHeight="15"/>
  <cols>
    <col min="2" max="2" width="52.85546875" bestFit="1" customWidth="1"/>
    <col min="4" max="5" width="15.7109375" customWidth="1"/>
  </cols>
  <sheetData>
    <row r="2" spans="2:15" ht="23.25">
      <c r="B2" s="95" t="s">
        <v>662</v>
      </c>
      <c r="C2" s="96"/>
      <c r="D2" s="96"/>
      <c r="E2" s="96"/>
      <c r="F2" s="96"/>
      <c r="G2" s="96"/>
      <c r="H2" s="96"/>
      <c r="I2" s="96"/>
      <c r="J2" s="96"/>
      <c r="K2" s="96"/>
      <c r="L2" s="96"/>
      <c r="M2" s="96"/>
      <c r="N2" s="96"/>
      <c r="O2" s="96"/>
    </row>
    <row r="5" spans="2:15" ht="18.75">
      <c r="B5" s="97" t="s">
        <v>4302</v>
      </c>
      <c r="C5" s="96"/>
      <c r="D5" s="96"/>
      <c r="E5" s="96"/>
      <c r="F5" s="96"/>
      <c r="G5" s="96"/>
      <c r="H5" s="96"/>
      <c r="I5" s="96"/>
      <c r="J5" s="96"/>
      <c r="K5" s="96"/>
      <c r="L5" s="96"/>
    </row>
    <row r="7" spans="2:15">
      <c r="B7" t="s">
        <v>3110</v>
      </c>
      <c r="J7" s="13" t="str">
        <f>Show!$B$99&amp;"S.22.04.01.01 Table label {"&amp;COLUMN($C$1)&amp;"}"</f>
        <v>!S.22.04.01.01 Table label {3}</v>
      </c>
      <c r="K7" s="13" t="str">
        <f>Show!$B$99&amp;"S.22.04.01.01 Table value {"&amp;COLUMN($D$1)&amp;"}"</f>
        <v>!S.22.04.01.01 Table value {4}</v>
      </c>
    </row>
    <row r="8" spans="2:15">
      <c r="B8" t="s">
        <v>3111</v>
      </c>
    </row>
    <row r="9" spans="2:15">
      <c r="B9" s="40" t="s">
        <v>4303</v>
      </c>
      <c r="C9" s="53" t="s">
        <v>3113</v>
      </c>
      <c r="D9" s="51"/>
    </row>
    <row r="10" spans="2:15">
      <c r="J10" s="13" t="str">
        <f>Show!$B$99&amp;Show!$B$99&amp;"S.22.04.01.01 Table label {"&amp;COLUMN($C$1)&amp;"}"</f>
        <v>!!S.22.04.01.01 Table label {3}</v>
      </c>
      <c r="K10" s="13" t="str">
        <f>Show!$B$99&amp;Show!$B$99&amp;"S.22.04.01.01 Table value {"&amp;COLUMN($D$1)&amp;"}"</f>
        <v>!!S.22.04.01.01 Table value {4}</v>
      </c>
    </row>
    <row r="12" spans="2:15">
      <c r="D12" s="98" t="s">
        <v>2877</v>
      </c>
    </row>
    <row r="13" spans="2:15">
      <c r="D13" s="100"/>
    </row>
    <row r="14" spans="2:15" ht="30">
      <c r="D14" s="55" t="s">
        <v>4304</v>
      </c>
    </row>
    <row r="15" spans="2:15">
      <c r="D15" s="45" t="s">
        <v>2879</v>
      </c>
      <c r="J15" s="13" t="str">
        <f>Show!$B$99&amp;"S.22.04.01.01 Rows {"&amp;COLUMN($C$1)&amp;"}"&amp;"@ForceFilingCode:true"</f>
        <v>!S.22.04.01.01 Rows {3}@ForceFilingCode:true</v>
      </c>
      <c r="K15" s="13" t="str">
        <f>Show!$B$99&amp;"S.22.04.01.01 Columns {"&amp;COLUMN($D$1)&amp;"}"</f>
        <v>!S.22.04.01.01 Columns {4}</v>
      </c>
    </row>
    <row r="16" spans="2:15">
      <c r="B16" s="43" t="s">
        <v>2880</v>
      </c>
      <c r="C16" s="44" t="s">
        <v>2878</v>
      </c>
      <c r="D16" s="46"/>
    </row>
    <row r="17" spans="2:12">
      <c r="B17" s="47" t="s">
        <v>4305</v>
      </c>
      <c r="C17" s="41" t="s">
        <v>2883</v>
      </c>
      <c r="D17" s="70"/>
    </row>
    <row r="18" spans="2:12">
      <c r="B18" s="47" t="s">
        <v>4306</v>
      </c>
      <c r="C18" s="41" t="s">
        <v>2885</v>
      </c>
      <c r="D18" s="70"/>
    </row>
    <row r="19" spans="2:12">
      <c r="B19" s="47" t="s">
        <v>4307</v>
      </c>
      <c r="C19" s="41" t="s">
        <v>2887</v>
      </c>
      <c r="D19" s="70"/>
    </row>
    <row r="20" spans="2:12">
      <c r="B20" s="47" t="s">
        <v>4304</v>
      </c>
      <c r="C20" s="41" t="s">
        <v>2889</v>
      </c>
      <c r="D20" s="70"/>
    </row>
    <row r="22" spans="2:12">
      <c r="J22" s="13" t="str">
        <f>Show!$B$99&amp;Show!$B$99&amp;"S.22.04.01.01 Rows {"&amp;COLUMN($C$1)&amp;"}"</f>
        <v>!!S.22.04.01.01 Rows {3}</v>
      </c>
      <c r="K22" s="13" t="str">
        <f>Show!$B$99&amp;Show!$B$99&amp;"S.22.04.01.01 Columns {"&amp;COLUMN($D$1)&amp;"}"</f>
        <v>!!S.22.04.01.01 Columns {4}</v>
      </c>
    </row>
    <row r="24" spans="2:12" ht="18.75">
      <c r="B24" s="97" t="s">
        <v>4308</v>
      </c>
      <c r="C24" s="96"/>
      <c r="D24" s="96"/>
      <c r="E24" s="96"/>
      <c r="F24" s="96"/>
      <c r="G24" s="96"/>
      <c r="H24" s="96"/>
      <c r="I24" s="96"/>
      <c r="J24" s="96"/>
      <c r="K24" s="96"/>
      <c r="L24" s="96"/>
    </row>
    <row r="26" spans="2:12">
      <c r="B26" t="s">
        <v>3110</v>
      </c>
      <c r="J26" s="13" t="str">
        <f>Show!$B$99&amp;"S.22.04.01.02 Table label {"&amp;COLUMN($C$1)&amp;"}"</f>
        <v>!S.22.04.01.02 Table label {3}</v>
      </c>
      <c r="K26" s="13" t="str">
        <f>Show!$B$99&amp;"S.22.04.01.02 Table value {"&amp;COLUMN($D$1)&amp;"}"</f>
        <v>!S.22.04.01.02 Table value {4}</v>
      </c>
    </row>
    <row r="27" spans="2:12">
      <c r="B27" t="s">
        <v>3111</v>
      </c>
    </row>
    <row r="28" spans="2:12">
      <c r="B28" s="40" t="s">
        <v>4303</v>
      </c>
      <c r="C28" s="53" t="s">
        <v>3113</v>
      </c>
      <c r="D28" s="51"/>
    </row>
    <row r="29" spans="2:12">
      <c r="J29" s="13" t="str">
        <f>Show!$B$99&amp;Show!$B$99&amp;"S.22.04.01.02 Table label {"&amp;COLUMN($C$1)&amp;"}"</f>
        <v>!!S.22.04.01.02 Table label {3}</v>
      </c>
      <c r="K29" s="13" t="str">
        <f>Show!$B$99&amp;Show!$B$99&amp;"S.22.04.01.02 Table value {"&amp;COLUMN($D$1)&amp;"}"</f>
        <v>!!S.22.04.01.02 Table value {4}</v>
      </c>
    </row>
    <row r="31" spans="2:12">
      <c r="D31" s="101" t="s">
        <v>2877</v>
      </c>
      <c r="E31" s="103"/>
    </row>
    <row r="32" spans="2:12">
      <c r="D32" s="104"/>
      <c r="E32" s="106"/>
    </row>
    <row r="33" spans="2:11" ht="75">
      <c r="D33" s="55" t="s">
        <v>3764</v>
      </c>
      <c r="E33" s="55" t="s">
        <v>4309</v>
      </c>
    </row>
    <row r="34" spans="2:11">
      <c r="D34" s="45" t="s">
        <v>3219</v>
      </c>
      <c r="E34" s="45" t="s">
        <v>3225</v>
      </c>
      <c r="J34" s="13" t="str">
        <f>Show!$B$99&amp;"S.22.04.01.02 Rows {"&amp;COLUMN($C$1)&amp;"}"&amp;"@ForceFilingCode:true"</f>
        <v>!S.22.04.01.02 Rows {3}@ForceFilingCode:true</v>
      </c>
      <c r="K34" s="13" t="str">
        <f>Show!$B$99&amp;"S.22.04.01.02 Columns {"&amp;COLUMN($D$1)&amp;"}"</f>
        <v>!S.22.04.01.02 Columns {4}</v>
      </c>
    </row>
    <row r="35" spans="2:11">
      <c r="B35" s="43" t="s">
        <v>2880</v>
      </c>
      <c r="C35" s="44" t="s">
        <v>2878</v>
      </c>
      <c r="D35" s="56"/>
      <c r="E35" s="57"/>
    </row>
    <row r="36" spans="2:11">
      <c r="B36" s="47" t="s">
        <v>4310</v>
      </c>
      <c r="C36" s="41" t="s">
        <v>2899</v>
      </c>
      <c r="D36" s="60"/>
      <c r="E36" s="69"/>
    </row>
    <row r="37" spans="2:11">
      <c r="B37" s="47" t="s">
        <v>4311</v>
      </c>
      <c r="C37" s="41" t="s">
        <v>2901</v>
      </c>
      <c r="D37" s="60"/>
      <c r="E37" s="69"/>
    </row>
    <row r="38" spans="2:11">
      <c r="B38" s="47" t="s">
        <v>4312</v>
      </c>
      <c r="C38" s="41" t="s">
        <v>2903</v>
      </c>
      <c r="D38" s="60"/>
      <c r="E38" s="69"/>
    </row>
    <row r="39" spans="2:11">
      <c r="B39" s="47" t="s">
        <v>4313</v>
      </c>
      <c r="C39" s="41" t="s">
        <v>2905</v>
      </c>
      <c r="D39" s="60"/>
      <c r="E39" s="69"/>
    </row>
    <row r="40" spans="2:11">
      <c r="B40" s="47" t="s">
        <v>4314</v>
      </c>
      <c r="C40" s="41" t="s">
        <v>2907</v>
      </c>
      <c r="D40" s="60"/>
      <c r="E40" s="69"/>
    </row>
    <row r="41" spans="2:11">
      <c r="B41" s="47" t="s">
        <v>4315</v>
      </c>
      <c r="C41" s="41" t="s">
        <v>2909</v>
      </c>
      <c r="D41" s="60"/>
      <c r="E41" s="69"/>
    </row>
    <row r="42" spans="2:11">
      <c r="B42" s="47" t="s">
        <v>4316</v>
      </c>
      <c r="C42" s="41" t="s">
        <v>2911</v>
      </c>
      <c r="D42" s="60"/>
      <c r="E42" s="69"/>
    </row>
    <row r="43" spans="2:11">
      <c r="B43" s="47" t="s">
        <v>4317</v>
      </c>
      <c r="C43" s="41" t="s">
        <v>2913</v>
      </c>
      <c r="D43" s="60"/>
      <c r="E43" s="69"/>
    </row>
    <row r="44" spans="2:11">
      <c r="B44" s="47" t="s">
        <v>4318</v>
      </c>
      <c r="C44" s="41" t="s">
        <v>2915</v>
      </c>
      <c r="D44" s="60"/>
      <c r="E44" s="69"/>
    </row>
    <row r="45" spans="2:11">
      <c r="B45" s="47" t="s">
        <v>4319</v>
      </c>
      <c r="C45" s="41" t="s">
        <v>2917</v>
      </c>
      <c r="D45" s="60"/>
      <c r="E45" s="69"/>
    </row>
    <row r="46" spans="2:11">
      <c r="B46" s="47" t="s">
        <v>4320</v>
      </c>
      <c r="C46" s="41" t="s">
        <v>2919</v>
      </c>
      <c r="D46" s="60"/>
      <c r="E46" s="69"/>
    </row>
    <row r="47" spans="2:11">
      <c r="B47" s="47" t="s">
        <v>4321</v>
      </c>
      <c r="C47" s="41" t="s">
        <v>2921</v>
      </c>
      <c r="D47" s="60"/>
      <c r="E47" s="69"/>
    </row>
    <row r="49" spans="10:11">
      <c r="J49" s="13" t="str">
        <f>Show!$B$99&amp;Show!$B$99&amp;"S.22.04.01.02 Rows {"&amp;COLUMN($C$1)&amp;"}"</f>
        <v>!!S.22.04.01.02 Rows {3}</v>
      </c>
      <c r="K49" s="13" t="str">
        <f>Show!$B$99&amp;Show!$B$99&amp;"S.22.04.01.02 Columns {"&amp;COLUMN($E$1)&amp;"}"</f>
        <v>!!S.22.04.01.02 Columns {5}</v>
      </c>
    </row>
  </sheetData>
  <sheetProtection sheet="1" objects="1" scenarios="1"/>
  <mergeCells count="5">
    <mergeCell ref="B2:O2"/>
    <mergeCell ref="B5:L5"/>
    <mergeCell ref="D12:D13"/>
    <mergeCell ref="B24:L24"/>
    <mergeCell ref="D31:E32"/>
  </mergeCells>
  <dataValidations count="1">
    <dataValidation type="list" errorStyle="warning" allowBlank="1" showInputMessage="1" showErrorMessage="1" sqref="D9 D28" xr:uid="{D06D9F5F-E80A-4ADD-BAD6-0A0377BC3C01}">
      <formula1>hier_CU_5</formula1>
    </dataValidation>
  </dataValidation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BED8-71DD-4160-AAB8-38DBCD5C2291}">
  <sheetPr codeName="Blad104"/>
  <dimension ref="B2:O25"/>
  <sheetViews>
    <sheetView showGridLines="0" workbookViewId="0"/>
  </sheetViews>
  <sheetFormatPr defaultRowHeight="15"/>
  <cols>
    <col min="2" max="2" width="72.140625" bestFit="1" customWidth="1"/>
    <col min="4" max="4" width="15.7109375" customWidth="1"/>
  </cols>
  <sheetData>
    <row r="2" spans="2:15" ht="23.25">
      <c r="B2" s="95" t="s">
        <v>664</v>
      </c>
      <c r="C2" s="96"/>
      <c r="D2" s="96"/>
      <c r="E2" s="96"/>
      <c r="F2" s="96"/>
      <c r="G2" s="96"/>
      <c r="H2" s="96"/>
      <c r="I2" s="96"/>
      <c r="J2" s="96"/>
      <c r="K2" s="96"/>
      <c r="L2" s="96"/>
      <c r="M2" s="96"/>
      <c r="N2" s="96"/>
      <c r="O2" s="96"/>
    </row>
    <row r="5" spans="2:15" ht="18.75">
      <c r="B5" s="97" t="s">
        <v>4322</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Show!$B$100&amp;"S.22.05.01.01 Rows {"&amp;COLUMN($C$1)&amp;"}"&amp;"@ForceFilingCode:true"</f>
        <v>!S.22.05.01.01 Rows {3}@ForceFilingCode:true</v>
      </c>
      <c r="J13" s="13" t="str">
        <f>Show!$B$100&amp;"S.22.05.01.01 Columns {"&amp;COLUMN($D$1)&amp;"}"</f>
        <v>!S.22.05.01.01 Columns {4}</v>
      </c>
    </row>
    <row r="14" spans="2:15">
      <c r="B14" s="43" t="s">
        <v>2880</v>
      </c>
      <c r="C14" s="44" t="s">
        <v>2878</v>
      </c>
      <c r="D14" s="46"/>
    </row>
    <row r="15" spans="2:15">
      <c r="B15" s="47" t="s">
        <v>4323</v>
      </c>
      <c r="C15" s="41" t="s">
        <v>2883</v>
      </c>
      <c r="D15" s="63"/>
    </row>
    <row r="16" spans="2:15">
      <c r="B16" s="47" t="s">
        <v>4324</v>
      </c>
      <c r="C16" s="44" t="s">
        <v>2878</v>
      </c>
      <c r="D16" s="46"/>
    </row>
    <row r="17" spans="2:10">
      <c r="B17" s="49" t="s">
        <v>4325</v>
      </c>
      <c r="C17" s="41" t="s">
        <v>2885</v>
      </c>
      <c r="D17" s="60"/>
    </row>
    <row r="18" spans="2:10">
      <c r="B18" s="49" t="s">
        <v>3764</v>
      </c>
      <c r="C18" s="41" t="s">
        <v>2887</v>
      </c>
      <c r="D18" s="60"/>
    </row>
    <row r="19" spans="2:10">
      <c r="B19" s="49" t="s">
        <v>4326</v>
      </c>
      <c r="C19" s="41" t="s">
        <v>2889</v>
      </c>
      <c r="D19" s="60"/>
    </row>
    <row r="20" spans="2:10">
      <c r="B20" s="49" t="s">
        <v>4327</v>
      </c>
      <c r="C20" s="41" t="s">
        <v>3078</v>
      </c>
      <c r="D20" s="60"/>
    </row>
    <row r="21" spans="2:10">
      <c r="B21" s="49" t="s">
        <v>4328</v>
      </c>
      <c r="C21" s="41" t="s">
        <v>2891</v>
      </c>
      <c r="D21" s="70"/>
    </row>
    <row r="22" spans="2:10">
      <c r="B22" s="49" t="s">
        <v>4329</v>
      </c>
      <c r="C22" s="41" t="s">
        <v>2893</v>
      </c>
      <c r="D22" s="60"/>
    </row>
    <row r="23" spans="2:10">
      <c r="B23" s="49" t="s">
        <v>4330</v>
      </c>
      <c r="C23" s="41" t="s">
        <v>2895</v>
      </c>
      <c r="D23" s="60"/>
    </row>
    <row r="25" spans="2:10">
      <c r="I25" s="13" t="str">
        <f>Show!$B$100&amp;Show!$B$100&amp;"S.22.05.01.01 Rows {"&amp;COLUMN($C$1)&amp;"}"</f>
        <v>!!S.22.05.01.01 Rows {3}</v>
      </c>
      <c r="J25" s="13" t="str">
        <f>Show!$B$100&amp;Show!$B$100&amp;"S.22.05.01.01 Columns {"&amp;COLUMN($D$1)&amp;"}"</f>
        <v>!!S.22.05.01.01 Columns {4}</v>
      </c>
    </row>
  </sheetData>
  <sheetProtection sheet="1" objects="1" scenarios="1"/>
  <mergeCells count="3">
    <mergeCell ref="B2:O2"/>
    <mergeCell ref="B5:L5"/>
    <mergeCell ref="D9:D12"/>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88FA-485D-4B4E-B4B1-4DD2FABFEFA5}">
  <sheetPr codeName="Blad105"/>
  <dimension ref="B2:O71"/>
  <sheetViews>
    <sheetView showGridLines="0" workbookViewId="0"/>
  </sheetViews>
  <sheetFormatPr defaultRowHeight="15"/>
  <cols>
    <col min="2" max="2" width="84.7109375" bestFit="1" customWidth="1"/>
    <col min="4" max="4" width="40.7109375" customWidth="1"/>
    <col min="5" max="6" width="15.7109375" customWidth="1"/>
  </cols>
  <sheetData>
    <row r="2" spans="2:15" ht="23.25">
      <c r="B2" s="95" t="s">
        <v>666</v>
      </c>
      <c r="C2" s="96"/>
      <c r="D2" s="96"/>
      <c r="E2" s="96"/>
      <c r="F2" s="96"/>
      <c r="G2" s="96"/>
      <c r="H2" s="96"/>
      <c r="I2" s="96"/>
      <c r="J2" s="96"/>
      <c r="K2" s="96"/>
      <c r="L2" s="96"/>
      <c r="M2" s="96"/>
      <c r="N2" s="96"/>
      <c r="O2" s="96"/>
    </row>
    <row r="5" spans="2:15" ht="18.75">
      <c r="B5" s="97" t="s">
        <v>4331</v>
      </c>
      <c r="C5" s="96"/>
      <c r="D5" s="96"/>
      <c r="E5" s="96"/>
      <c r="F5" s="96"/>
      <c r="G5" s="96"/>
      <c r="H5" s="96"/>
      <c r="I5" s="96"/>
      <c r="J5" s="96"/>
      <c r="K5" s="96"/>
      <c r="L5" s="96"/>
    </row>
    <row r="7" spans="2:15">
      <c r="B7" t="s">
        <v>3110</v>
      </c>
      <c r="M7" s="13" t="str">
        <f>Show!$B$101&amp;"S.22.06.01.01 Table label {"&amp;COLUMN($C$1)&amp;"}"</f>
        <v>!S.22.06.01.01 Table label {3}</v>
      </c>
      <c r="N7" s="13" t="str">
        <f>Show!$B$101&amp;"S.22.06.01.01 Table value {"&amp;COLUMN($D$1)&amp;"}"</f>
        <v>!S.22.06.01.01 Table value {4}</v>
      </c>
    </row>
    <row r="8" spans="2:15">
      <c r="B8" t="s">
        <v>3111</v>
      </c>
    </row>
    <row r="9" spans="2:15">
      <c r="B9" s="40" t="s">
        <v>3825</v>
      </c>
      <c r="C9" s="53" t="s">
        <v>3113</v>
      </c>
      <c r="D9" s="51"/>
    </row>
    <row r="10" spans="2:15">
      <c r="M10" s="13" t="str">
        <f>Show!$B$101&amp;Show!$B$101&amp;"S.22.06.01.01 Table label {"&amp;COLUMN($C$1)&amp;"}"</f>
        <v>!!S.22.06.01.01 Table label {3}</v>
      </c>
      <c r="N10" s="13" t="str">
        <f>Show!$B$101&amp;Show!$B$101&amp;"S.22.06.01.01 Table value {"&amp;COLUMN($D$1)&amp;"}"</f>
        <v>!!S.22.06.01.01 Table value {4}</v>
      </c>
    </row>
    <row r="12" spans="2:15">
      <c r="D12" s="101" t="s">
        <v>2877</v>
      </c>
      <c r="E12" s="103"/>
    </row>
    <row r="13" spans="2:15">
      <c r="D13" s="104"/>
      <c r="E13" s="106"/>
    </row>
    <row r="14" spans="2:15" ht="105">
      <c r="D14" s="55" t="s">
        <v>4332</v>
      </c>
      <c r="E14" s="55" t="s">
        <v>4333</v>
      </c>
    </row>
    <row r="15" spans="2:15">
      <c r="D15" s="45" t="s">
        <v>3225</v>
      </c>
      <c r="E15" s="45" t="s">
        <v>3223</v>
      </c>
      <c r="M15" s="13" t="str">
        <f>Show!$B$101&amp;"S.22.06.01.01 Rows {"&amp;COLUMN($C$1)&amp;"}"&amp;"@ForceFilingCode:true"</f>
        <v>!S.22.06.01.01 Rows {3}@ForceFilingCode:true</v>
      </c>
      <c r="N15" s="13" t="str">
        <f>Show!$B$101&amp;"S.22.06.01.01 Columns {"&amp;COLUMN($D$1)&amp;"}"</f>
        <v>!S.22.06.01.01 Columns {4}</v>
      </c>
    </row>
    <row r="16" spans="2:15">
      <c r="B16" s="43" t="s">
        <v>2880</v>
      </c>
      <c r="C16" s="44" t="s">
        <v>2878</v>
      </c>
      <c r="D16" s="56"/>
      <c r="E16" s="57"/>
    </row>
    <row r="17" spans="2:14">
      <c r="B17" s="47" t="s">
        <v>4334</v>
      </c>
      <c r="C17" s="41" t="s">
        <v>2885</v>
      </c>
      <c r="D17" s="60"/>
      <c r="E17" s="60"/>
    </row>
    <row r="18" spans="2:14">
      <c r="B18" s="47" t="s">
        <v>4335</v>
      </c>
      <c r="C18" s="41" t="s">
        <v>2887</v>
      </c>
      <c r="D18" s="60"/>
      <c r="E18" s="60"/>
    </row>
    <row r="20" spans="2:14">
      <c r="M20" s="13" t="str">
        <f>Show!$B$101&amp;Show!$B$101&amp;"S.22.06.01.01 Rows {"&amp;COLUMN($C$1)&amp;"}"</f>
        <v>!!S.22.06.01.01 Rows {3}</v>
      </c>
      <c r="N20" s="13" t="str">
        <f>Show!$B$101&amp;Show!$B$101&amp;"S.22.06.01.01 Columns {"&amp;COLUMN($E$1)&amp;"}"</f>
        <v>!!S.22.06.01.01 Columns {5}</v>
      </c>
    </row>
    <row r="22" spans="2:14" ht="18.75">
      <c r="B22" s="97" t="s">
        <v>4336</v>
      </c>
      <c r="C22" s="96"/>
      <c r="D22" s="96"/>
      <c r="E22" s="96"/>
      <c r="F22" s="96"/>
      <c r="G22" s="96"/>
      <c r="H22" s="96"/>
      <c r="I22" s="96"/>
      <c r="J22" s="96"/>
      <c r="K22" s="96"/>
      <c r="L22" s="96"/>
    </row>
    <row r="24" spans="2:14">
      <c r="B24" t="s">
        <v>3110</v>
      </c>
      <c r="M24" s="13" t="str">
        <f>Show!$B$101&amp;"S.22.06.01.02 Table label {"&amp;COLUMN($C$1)&amp;"}"</f>
        <v>!S.22.06.01.02 Table label {3}</v>
      </c>
      <c r="N24" s="13" t="str">
        <f>Show!$B$101&amp;"S.22.06.01.02 Table value {"&amp;COLUMN($D$1)&amp;"}"</f>
        <v>!S.22.06.01.02 Table value {4}</v>
      </c>
    </row>
    <row r="25" spans="2:14">
      <c r="B25" t="s">
        <v>3111</v>
      </c>
    </row>
    <row r="26" spans="2:14">
      <c r="B26" s="40" t="s">
        <v>3825</v>
      </c>
      <c r="C26" s="53" t="s">
        <v>3113</v>
      </c>
      <c r="D26" s="51"/>
    </row>
    <row r="27" spans="2:14">
      <c r="M27" s="13" t="str">
        <f>Show!$B$101&amp;Show!$B$101&amp;"S.22.06.01.02 Table label {"&amp;COLUMN($C$1)&amp;"}"</f>
        <v>!!S.22.06.01.02 Table label {3}</v>
      </c>
      <c r="N27" s="13" t="str">
        <f>Show!$B$101&amp;Show!$B$101&amp;"S.22.06.01.02 Table value {"&amp;COLUMN($D$1)&amp;"}"</f>
        <v>!!S.22.06.01.02 Table value {4}</v>
      </c>
    </row>
    <row r="29" spans="2:14">
      <c r="D29" s="98" t="s">
        <v>2877</v>
      </c>
    </row>
    <row r="30" spans="2:14">
      <c r="D30" s="100"/>
    </row>
    <row r="31" spans="2:14" ht="30">
      <c r="D31" s="55" t="s">
        <v>4337</v>
      </c>
    </row>
    <row r="32" spans="2:14">
      <c r="D32" s="42" t="s">
        <v>3229</v>
      </c>
      <c r="M32" s="13" t="str">
        <f>Show!$B$101&amp;"S.22.06.01.02 Rows {"&amp;COLUMN($C$1)&amp;"}"&amp;"@ForceFilingCode:true"</f>
        <v>!S.22.06.01.02 Rows {3}@ForceFilingCode:true</v>
      </c>
      <c r="N32" s="13" t="str">
        <f>Show!$B$101&amp;"S.22.06.01.02 Columns {"&amp;COLUMN($D$1)&amp;"}"</f>
        <v>!S.22.06.01.02 Columns {4}</v>
      </c>
    </row>
    <row r="33" spans="2:14">
      <c r="B33" s="43" t="s">
        <v>4338</v>
      </c>
      <c r="C33" s="41" t="s">
        <v>2883</v>
      </c>
      <c r="D33" s="68"/>
    </row>
    <row r="34" spans="2:14">
      <c r="B34" s="43" t="s">
        <v>2880</v>
      </c>
      <c r="C34" s="44" t="s">
        <v>2878</v>
      </c>
      <c r="D34" s="46"/>
    </row>
    <row r="35" spans="2:14">
      <c r="B35" s="47" t="s">
        <v>4334</v>
      </c>
      <c r="C35" s="41" t="s">
        <v>2885</v>
      </c>
      <c r="D35" s="60"/>
    </row>
    <row r="36" spans="2:14">
      <c r="B36" s="47" t="s">
        <v>4335</v>
      </c>
      <c r="C36" s="41" t="s">
        <v>2887</v>
      </c>
      <c r="D36" s="60"/>
    </row>
    <row r="38" spans="2:14">
      <c r="M38" s="13" t="str">
        <f>Show!$B$101&amp;Show!$B$101&amp;"S.22.06.01.02 Rows {"&amp;COLUMN($C$1)&amp;"}"</f>
        <v>!!S.22.06.01.02 Rows {3}</v>
      </c>
      <c r="N38" s="13" t="str">
        <f>Show!$B$101&amp;Show!$B$101&amp;"S.22.06.01.02 Columns {"&amp;COLUMN($D$1)&amp;"}"</f>
        <v>!!S.22.06.01.02 Columns {4}</v>
      </c>
    </row>
    <row r="40" spans="2:14" ht="18.75">
      <c r="B40" s="97" t="s">
        <v>4339</v>
      </c>
      <c r="C40" s="96"/>
      <c r="D40" s="96"/>
      <c r="E40" s="96"/>
      <c r="F40" s="96"/>
      <c r="G40" s="96"/>
      <c r="H40" s="96"/>
      <c r="I40" s="96"/>
      <c r="J40" s="96"/>
      <c r="K40" s="96"/>
      <c r="L40" s="96"/>
    </row>
    <row r="42" spans="2:14">
      <c r="B42" t="s">
        <v>3110</v>
      </c>
      <c r="M42" s="13" t="str">
        <f>Show!$B$101&amp;"S.22.06.01.03 Table label {"&amp;COLUMN($C$1)&amp;"}"</f>
        <v>!S.22.06.01.03 Table label {3}</v>
      </c>
      <c r="N42" s="13" t="str">
        <f>Show!$B$101&amp;"S.22.06.01.03 Table value {"&amp;COLUMN($D$1)&amp;"}"</f>
        <v>!S.22.06.01.03 Table value {4}</v>
      </c>
    </row>
    <row r="43" spans="2:14">
      <c r="B43" t="s">
        <v>3111</v>
      </c>
    </row>
    <row r="44" spans="2:14">
      <c r="B44" s="40" t="s">
        <v>3825</v>
      </c>
      <c r="C44" s="53" t="s">
        <v>3113</v>
      </c>
      <c r="D44" s="51"/>
    </row>
    <row r="45" spans="2:14">
      <c r="M45" s="13" t="str">
        <f>Show!$B$101&amp;Show!$B$101&amp;"S.22.06.01.03 Table label {"&amp;COLUMN($C$1)&amp;"}"</f>
        <v>!!S.22.06.01.03 Table label {3}</v>
      </c>
      <c r="N45" s="13" t="str">
        <f>Show!$B$101&amp;Show!$B$101&amp;"S.22.06.01.03 Table value {"&amp;COLUMN($D$1)&amp;"}"</f>
        <v>!!S.22.06.01.03 Table value {4}</v>
      </c>
    </row>
    <row r="47" spans="2:14">
      <c r="D47" s="98" t="s">
        <v>4340</v>
      </c>
      <c r="E47" s="101" t="s">
        <v>2877</v>
      </c>
      <c r="F47" s="103"/>
    </row>
    <row r="48" spans="2:14">
      <c r="D48" s="99"/>
      <c r="E48" s="104"/>
      <c r="F48" s="106"/>
    </row>
    <row r="49" spans="2:14" ht="105">
      <c r="D49" s="100"/>
      <c r="E49" s="55" t="s">
        <v>4332</v>
      </c>
      <c r="F49" s="55" t="s">
        <v>4333</v>
      </c>
    </row>
    <row r="50" spans="2:14">
      <c r="D50" s="45" t="s">
        <v>3219</v>
      </c>
      <c r="E50" s="45" t="s">
        <v>3225</v>
      </c>
      <c r="F50" s="45" t="s">
        <v>3223</v>
      </c>
      <c r="M50" s="13" t="str">
        <f>Show!$B$101&amp;"S.22.06.01.03 Rows {"&amp;COLUMN($C$1)&amp;"}"&amp;"@ForceFilingCode:true"</f>
        <v>!S.22.06.01.03 Rows {3}@ForceFilingCode:true</v>
      </c>
      <c r="N50" s="13" t="str">
        <f>Show!$B$101&amp;"S.22.06.01.03 Columns {"&amp;COLUMN($D$1)&amp;"}"</f>
        <v>!S.22.06.01.03 Columns {4}</v>
      </c>
    </row>
    <row r="51" spans="2:14">
      <c r="B51" s="43" t="s">
        <v>2880</v>
      </c>
      <c r="C51" s="44" t="s">
        <v>2878</v>
      </c>
      <c r="D51" s="56"/>
      <c r="E51" s="66"/>
      <c r="F51" s="57"/>
    </row>
    <row r="52" spans="2:14" ht="30">
      <c r="B52" s="47" t="s">
        <v>4341</v>
      </c>
      <c r="C52" s="41" t="s">
        <v>2889</v>
      </c>
      <c r="D52" s="51"/>
      <c r="E52" s="60"/>
      <c r="F52" s="60"/>
    </row>
    <row r="54" spans="2:14">
      <c r="M54" s="13" t="str">
        <f>Show!$B$101&amp;Show!$B$101&amp;"S.22.06.01.03 Rows {"&amp;COLUMN($C$1)&amp;"}"</f>
        <v>!!S.22.06.01.03 Rows {3}</v>
      </c>
      <c r="N54" s="13" t="str">
        <f>Show!$B$101&amp;Show!$B$101&amp;"S.22.06.01.03 Columns {"&amp;COLUMN($F$1)&amp;"}"</f>
        <v>!!S.22.06.01.03 Columns {6}</v>
      </c>
    </row>
    <row r="56" spans="2:14" ht="18.75">
      <c r="B56" s="97" t="s">
        <v>4342</v>
      </c>
      <c r="C56" s="96"/>
      <c r="D56" s="96"/>
      <c r="E56" s="96"/>
      <c r="F56" s="96"/>
      <c r="G56" s="96"/>
      <c r="H56" s="96"/>
      <c r="I56" s="96"/>
      <c r="J56" s="96"/>
      <c r="K56" s="96"/>
      <c r="L56" s="96"/>
    </row>
    <row r="58" spans="2:14">
      <c r="B58" t="s">
        <v>3110</v>
      </c>
      <c r="M58" s="13" t="str">
        <f>Show!$B$101&amp;"S.22.06.01.04 Table label {"&amp;COLUMN($C$1)&amp;"}"</f>
        <v>!S.22.06.01.04 Table label {3}</v>
      </c>
      <c r="N58" s="13" t="str">
        <f>Show!$B$101&amp;"S.22.06.01.04 Table value {"&amp;COLUMN($D$1)&amp;"}"</f>
        <v>!S.22.06.01.04 Table value {4}</v>
      </c>
    </row>
    <row r="59" spans="2:14">
      <c r="B59" t="s">
        <v>3111</v>
      </c>
    </row>
    <row r="60" spans="2:14">
      <c r="B60" s="40" t="s">
        <v>3825</v>
      </c>
      <c r="C60" s="53" t="s">
        <v>3113</v>
      </c>
      <c r="D60" s="51"/>
    </row>
    <row r="61" spans="2:14">
      <c r="M61" s="13" t="str">
        <f>Show!$B$101&amp;Show!$B$101&amp;"S.22.06.01.04 Table label {"&amp;COLUMN($C$1)&amp;"}"</f>
        <v>!!S.22.06.01.04 Table label {3}</v>
      </c>
      <c r="N61" s="13" t="str">
        <f>Show!$B$101&amp;Show!$B$101&amp;"S.22.06.01.04 Table value {"&amp;COLUMN($D$1)&amp;"}"</f>
        <v>!!S.22.06.01.04 Table value {4}</v>
      </c>
    </row>
    <row r="63" spans="2:14">
      <c r="D63" s="98" t="s">
        <v>4340</v>
      </c>
      <c r="E63" s="98" t="s">
        <v>2877</v>
      </c>
    </row>
    <row r="64" spans="2:14">
      <c r="D64" s="99"/>
      <c r="E64" s="100"/>
    </row>
    <row r="65" spans="2:14" ht="90">
      <c r="D65" s="100"/>
      <c r="E65" s="55" t="s">
        <v>4337</v>
      </c>
    </row>
    <row r="66" spans="2:14">
      <c r="D66" s="42" t="s">
        <v>3219</v>
      </c>
      <c r="E66" s="42" t="s">
        <v>3229</v>
      </c>
      <c r="M66" s="13" t="str">
        <f>Show!$B$101&amp;"S.22.06.01.04 Rows {"&amp;COLUMN($C$1)&amp;"}"&amp;"@ForceFilingCode:true"</f>
        <v>!S.22.06.01.04 Rows {3}@ForceFilingCode:true</v>
      </c>
      <c r="N66" s="13" t="str">
        <f>Show!$B$101&amp;"S.22.06.01.04 Columns {"&amp;COLUMN($D$1)&amp;"}"</f>
        <v>!S.22.06.01.04 Columns {4}</v>
      </c>
    </row>
    <row r="67" spans="2:14">
      <c r="B67" s="43" t="s">
        <v>4338</v>
      </c>
      <c r="C67" s="41" t="s">
        <v>2883</v>
      </c>
      <c r="D67" s="68"/>
      <c r="E67" s="68"/>
    </row>
    <row r="68" spans="2:14">
      <c r="B68" s="43" t="s">
        <v>2880</v>
      </c>
      <c r="C68" s="44" t="s">
        <v>2878</v>
      </c>
      <c r="D68" s="56"/>
      <c r="E68" s="57"/>
    </row>
    <row r="69" spans="2:14" ht="30">
      <c r="B69" s="47" t="s">
        <v>4341</v>
      </c>
      <c r="C69" s="41" t="s">
        <v>2889</v>
      </c>
      <c r="D69" s="51"/>
      <c r="E69" s="60"/>
    </row>
    <row r="71" spans="2:14">
      <c r="M71" s="13" t="str">
        <f>Show!$B$101&amp;Show!$B$101&amp;"S.22.06.01.04 Rows {"&amp;COLUMN($C$1)&amp;"}"</f>
        <v>!!S.22.06.01.04 Rows {3}</v>
      </c>
      <c r="N71" s="13" t="str">
        <f>Show!$B$101&amp;Show!$B$101&amp;"S.22.06.01.04 Columns {"&amp;COLUMN($E$1)&amp;"}"</f>
        <v>!!S.22.06.01.04 Columns {5}</v>
      </c>
    </row>
  </sheetData>
  <sheetProtection sheet="1" objects="1" scenarios="1"/>
  <mergeCells count="11">
    <mergeCell ref="D47:D49"/>
    <mergeCell ref="E47:F48"/>
    <mergeCell ref="B56:L56"/>
    <mergeCell ref="D63:D65"/>
    <mergeCell ref="E63:E64"/>
    <mergeCell ref="B40:L40"/>
    <mergeCell ref="B2:O2"/>
    <mergeCell ref="B5:L5"/>
    <mergeCell ref="D12:E13"/>
    <mergeCell ref="B22:L22"/>
    <mergeCell ref="D29:D30"/>
  </mergeCells>
  <dataValidations count="3">
    <dataValidation type="list" errorStyle="warning" allowBlank="1" showInputMessage="1" showErrorMessage="1" sqref="D9 D26 D44 D60" xr:uid="{26A884CA-D7E4-464B-A93D-FAF406458AD2}">
      <formula1>hier_LB_47</formula1>
    </dataValidation>
    <dataValidation type="list" errorStyle="warning" allowBlank="1" showInputMessage="1" showErrorMessage="1" sqref="D33 E67" xr:uid="{E817FEF3-EE81-4C83-A1CB-BAAA46ABA351}">
      <formula1>hier_CU_5</formula1>
    </dataValidation>
    <dataValidation type="list" errorStyle="warning" allowBlank="1" showInputMessage="1" showErrorMessage="1" sqref="D52 D67 D69" xr:uid="{852237D2-BE05-4313-8854-E1788668F213}">
      <formula1>hier_GA_18</formula1>
    </dataValidation>
  </dataValidation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1E136-FE44-4E8F-B2D2-7BFB05B52ADA}">
  <sheetPr codeName="Blad106"/>
  <dimension ref="B2:O77"/>
  <sheetViews>
    <sheetView showGridLines="0" topLeftCell="A21" workbookViewId="0">
      <selection activeCell="E46" sqref="E46"/>
    </sheetView>
  </sheetViews>
  <sheetFormatPr defaultRowHeight="15"/>
  <cols>
    <col min="2" max="2" width="85.85546875" bestFit="1" customWidth="1"/>
    <col min="4" max="8" width="15.7109375" customWidth="1"/>
  </cols>
  <sheetData>
    <row r="2" spans="2:15" ht="23.25">
      <c r="B2" s="95" t="s">
        <v>668</v>
      </c>
      <c r="C2" s="96"/>
      <c r="D2" s="96"/>
      <c r="E2" s="96"/>
      <c r="F2" s="96"/>
      <c r="G2" s="96"/>
      <c r="H2" s="96"/>
      <c r="I2" s="96"/>
      <c r="J2" s="96"/>
      <c r="K2" s="96"/>
      <c r="L2" s="96"/>
      <c r="M2" s="96"/>
      <c r="N2" s="96"/>
      <c r="O2" s="96"/>
    </row>
    <row r="5" spans="2:15" ht="18.75">
      <c r="B5" s="97" t="s">
        <v>4343</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c r="D11" s="98" t="s">
        <v>3480</v>
      </c>
      <c r="E11" s="98" t="s">
        <v>2546</v>
      </c>
      <c r="F11" s="98" t="s">
        <v>2547</v>
      </c>
      <c r="G11" s="98" t="s">
        <v>2548</v>
      </c>
      <c r="H11" s="98" t="s">
        <v>2549</v>
      </c>
    </row>
    <row r="12" spans="2:15">
      <c r="D12" s="100"/>
      <c r="E12" s="100"/>
      <c r="F12" s="100"/>
      <c r="G12" s="100"/>
      <c r="H12" s="100"/>
    </row>
    <row r="13" spans="2:15">
      <c r="D13" s="45" t="s">
        <v>2879</v>
      </c>
      <c r="E13" s="45" t="s">
        <v>3219</v>
      </c>
      <c r="F13" s="45" t="s">
        <v>3225</v>
      </c>
      <c r="G13" s="45" t="s">
        <v>3223</v>
      </c>
      <c r="H13" s="45" t="s">
        <v>3229</v>
      </c>
      <c r="M13" s="13"/>
      <c r="N13" s="13"/>
    </row>
    <row r="14" spans="2:15">
      <c r="B14" s="43" t="s">
        <v>2880</v>
      </c>
      <c r="C14" s="44" t="s">
        <v>2878</v>
      </c>
      <c r="D14" s="58"/>
      <c r="E14" s="67"/>
      <c r="F14" s="67"/>
      <c r="G14" s="67"/>
      <c r="H14" s="59"/>
    </row>
    <row r="15" spans="2:15" ht="30">
      <c r="B15" s="47" t="s">
        <v>4344</v>
      </c>
      <c r="C15" s="44" t="s">
        <v>2878</v>
      </c>
      <c r="D15" s="56"/>
      <c r="E15" s="66"/>
      <c r="F15" s="67"/>
      <c r="G15" s="66"/>
      <c r="H15" s="59"/>
    </row>
    <row r="16" spans="2:15">
      <c r="B16" s="49" t="s">
        <v>4345</v>
      </c>
      <c r="C16" s="41" t="s">
        <v>2883</v>
      </c>
      <c r="D16" s="60">
        <f>'[8]S.23.01.01'!D9</f>
        <v>1590019077.8399999</v>
      </c>
      <c r="E16" s="60">
        <f>'[8]S.23.01.01'!E9</f>
        <v>1590019077.8399999</v>
      </c>
      <c r="F16" s="48"/>
      <c r="G16" s="60">
        <f>'[8]S.23.01.01'!G9</f>
        <v>0</v>
      </c>
      <c r="H16" s="48"/>
    </row>
    <row r="17" spans="2:8">
      <c r="B17" s="49" t="s">
        <v>4346</v>
      </c>
      <c r="C17" s="41" t="s">
        <v>2887</v>
      </c>
      <c r="D17" s="60">
        <f>'[8]S.23.01.01'!D10</f>
        <v>2513321569.0100002</v>
      </c>
      <c r="E17" s="60">
        <f>'[8]S.23.01.01'!E10</f>
        <v>2513321569.0100002</v>
      </c>
      <c r="F17" s="48"/>
      <c r="G17" s="60">
        <f>'[8]S.23.01.01'!G10</f>
        <v>0</v>
      </c>
      <c r="H17" s="48"/>
    </row>
    <row r="18" spans="2:8" ht="30">
      <c r="B18" s="49" t="s">
        <v>4347</v>
      </c>
      <c r="C18" s="41" t="s">
        <v>2889</v>
      </c>
      <c r="D18" s="60">
        <f>'[8]S.23.01.01'!D11</f>
        <v>0</v>
      </c>
      <c r="E18" s="60">
        <f>'[8]S.23.01.01'!E11</f>
        <v>0</v>
      </c>
      <c r="F18" s="46"/>
      <c r="G18" s="60">
        <f>'[8]S.23.01.01'!G11</f>
        <v>0</v>
      </c>
      <c r="H18" s="46"/>
    </row>
    <row r="19" spans="2:8">
      <c r="B19" s="49" t="s">
        <v>4348</v>
      </c>
      <c r="C19" s="41" t="s">
        <v>3078</v>
      </c>
      <c r="D19" s="60">
        <f>'[8]S.23.01.01'!D12</f>
        <v>0</v>
      </c>
      <c r="E19" s="46"/>
      <c r="F19" s="60">
        <f>'[8]S.23.01.01'!F12</f>
        <v>0</v>
      </c>
      <c r="G19" s="60">
        <f>'[8]S.23.01.01'!G12</f>
        <v>0</v>
      </c>
      <c r="H19" s="60">
        <f>'[8]S.23.01.01'!H12</f>
        <v>0</v>
      </c>
    </row>
    <row r="20" spans="2:8">
      <c r="B20" s="49" t="s">
        <v>4349</v>
      </c>
      <c r="C20" s="41" t="s">
        <v>2893</v>
      </c>
      <c r="D20" s="60">
        <f>'[8]S.23.01.01'!D13</f>
        <v>0</v>
      </c>
      <c r="E20" s="60">
        <f>'[8]S.23.01.01'!E13</f>
        <v>0</v>
      </c>
      <c r="F20" s="56"/>
      <c r="G20" s="56"/>
      <c r="H20" s="46"/>
    </row>
    <row r="21" spans="2:8">
      <c r="B21" s="49" t="s">
        <v>4350</v>
      </c>
      <c r="C21" s="41" t="s">
        <v>2897</v>
      </c>
      <c r="D21" s="60">
        <f>'[8]S.23.01.01'!D14</f>
        <v>0</v>
      </c>
      <c r="E21" s="48"/>
      <c r="F21" s="60">
        <f>'[8]S.23.01.01'!F14</f>
        <v>0</v>
      </c>
      <c r="G21" s="60">
        <f>'[8]S.23.01.01'!G14</f>
        <v>0</v>
      </c>
      <c r="H21" s="60">
        <f>'[8]S.23.01.01'!H14</f>
        <v>0</v>
      </c>
    </row>
    <row r="22" spans="2:8">
      <c r="B22" s="49" t="s">
        <v>4351</v>
      </c>
      <c r="C22" s="41" t="s">
        <v>2901</v>
      </c>
      <c r="D22" s="60">
        <f>'[8]S.23.01.01'!D15</f>
        <v>0</v>
      </c>
      <c r="E22" s="46"/>
      <c r="F22" s="60">
        <f>'[8]S.23.01.01'!F15</f>
        <v>0</v>
      </c>
      <c r="G22" s="60">
        <f>'[8]S.23.01.01'!G15</f>
        <v>0</v>
      </c>
      <c r="H22" s="60">
        <f>'[8]S.23.01.01'!H15</f>
        <v>0</v>
      </c>
    </row>
    <row r="23" spans="2:8">
      <c r="B23" s="49" t="s">
        <v>4352</v>
      </c>
      <c r="C23" s="41" t="s">
        <v>2905</v>
      </c>
      <c r="D23" s="60">
        <f>'[8]S.23.01.01'!D16</f>
        <v>281385875.10882664</v>
      </c>
      <c r="E23" s="60">
        <f>'[8]S.23.01.01'!E16</f>
        <v>281385875.10882664</v>
      </c>
      <c r="F23" s="56"/>
      <c r="G23" s="56"/>
      <c r="H23" s="46"/>
    </row>
    <row r="24" spans="2:8">
      <c r="B24" s="49" t="s">
        <v>3309</v>
      </c>
      <c r="C24" s="41" t="s">
        <v>2907</v>
      </c>
      <c r="D24" s="60">
        <f>'[8]S.23.01.01'!D17</f>
        <v>2500624355.6709194</v>
      </c>
      <c r="E24" s="48"/>
      <c r="F24" s="60">
        <f>'[8]S.23.01.01'!F17</f>
        <v>1126353051.1289542</v>
      </c>
      <c r="G24" s="60">
        <f>'[8]S.23.01.01'!G17</f>
        <v>1374271304.541965</v>
      </c>
      <c r="H24" s="60">
        <f>'[8]S.23.01.01'!H17</f>
        <v>0</v>
      </c>
    </row>
    <row r="25" spans="2:8">
      <c r="B25" s="49" t="s">
        <v>4353</v>
      </c>
      <c r="C25" s="41" t="s">
        <v>2911</v>
      </c>
      <c r="D25" s="60">
        <f>'[8]S.23.01.01'!D18</f>
        <v>0</v>
      </c>
      <c r="E25" s="56"/>
      <c r="F25" s="56"/>
      <c r="G25" s="46"/>
      <c r="H25" s="60">
        <f>'[8]S.23.01.01'!H18</f>
        <v>0</v>
      </c>
    </row>
    <row r="26" spans="2:8" ht="30">
      <c r="B26" s="49" t="s">
        <v>4354</v>
      </c>
      <c r="C26" s="41" t="s">
        <v>2915</v>
      </c>
      <c r="D26" s="60">
        <f>'[8]S.23.01.01'!D19</f>
        <v>0</v>
      </c>
      <c r="E26" s="60">
        <f>'[8]S.23.01.01'!E19</f>
        <v>0</v>
      </c>
      <c r="F26" s="60">
        <f>'[8]S.23.01.01'!F19</f>
        <v>0</v>
      </c>
      <c r="G26" s="60">
        <f>'[8]S.23.01.01'!G19</f>
        <v>0</v>
      </c>
      <c r="H26" s="60">
        <f>'[8]S.23.01.01'!H19</f>
        <v>0</v>
      </c>
    </row>
    <row r="27" spans="2:8" ht="45">
      <c r="B27" s="47" t="s">
        <v>4355</v>
      </c>
      <c r="C27" s="44" t="s">
        <v>2878</v>
      </c>
      <c r="D27" s="56"/>
      <c r="E27" s="67"/>
      <c r="F27" s="67"/>
      <c r="G27" s="67"/>
      <c r="H27" s="59"/>
    </row>
    <row r="28" spans="2:8" ht="45">
      <c r="B28" s="49" t="s">
        <v>4355</v>
      </c>
      <c r="C28" s="41" t="s">
        <v>2923</v>
      </c>
      <c r="D28" s="60">
        <f>'[8]S.23.01.01'!D21</f>
        <v>0</v>
      </c>
      <c r="E28" s="58"/>
      <c r="F28" s="58"/>
      <c r="G28" s="58"/>
      <c r="H28" s="48"/>
    </row>
    <row r="29" spans="2:8">
      <c r="B29" s="47" t="s">
        <v>4356</v>
      </c>
      <c r="C29" s="44" t="s">
        <v>2878</v>
      </c>
      <c r="D29" s="56"/>
      <c r="E29" s="66"/>
      <c r="F29" s="66"/>
      <c r="G29" s="66"/>
      <c r="H29" s="57"/>
    </row>
    <row r="30" spans="2:8">
      <c r="B30" s="49" t="s">
        <v>4357</v>
      </c>
      <c r="C30" s="41" t="s">
        <v>2925</v>
      </c>
      <c r="D30" s="60">
        <f>'[8]S.23.01.01'!D23</f>
        <v>0</v>
      </c>
      <c r="E30" s="60">
        <f>'[8]S.23.01.01'!E23</f>
        <v>0</v>
      </c>
      <c r="F30" s="60">
        <f>'[8]S.23.01.01'!F23</f>
        <v>0</v>
      </c>
      <c r="G30" s="60">
        <f>'[8]S.23.01.01'!G23</f>
        <v>0</v>
      </c>
      <c r="H30" s="60">
        <f>'[8]S.23.01.01'!H23</f>
        <v>0</v>
      </c>
    </row>
    <row r="31" spans="2:8">
      <c r="B31" s="47" t="s">
        <v>4358</v>
      </c>
      <c r="C31" s="41" t="s">
        <v>2937</v>
      </c>
      <c r="D31" s="60">
        <f>'[8]S.23.01.01'!D24</f>
        <v>6885350877.6297455</v>
      </c>
      <c r="E31" s="60">
        <f>'[8]S.23.01.01'!E24</f>
        <v>4384726521.958827</v>
      </c>
      <c r="F31" s="60">
        <f>'[8]S.23.01.01'!F24</f>
        <v>1126353051.1289542</v>
      </c>
      <c r="G31" s="60">
        <f>'[8]S.23.01.01'!G24</f>
        <v>1374271304.541965</v>
      </c>
      <c r="H31" s="60">
        <f>'[8]S.23.01.01'!H24</f>
        <v>0</v>
      </c>
    </row>
    <row r="32" spans="2:8">
      <c r="B32" s="47" t="s">
        <v>1232</v>
      </c>
      <c r="C32" s="44" t="s">
        <v>2878</v>
      </c>
      <c r="D32" s="56"/>
      <c r="E32" s="67"/>
      <c r="F32" s="67"/>
      <c r="G32" s="66"/>
      <c r="H32" s="59"/>
    </row>
    <row r="33" spans="2:8">
      <c r="B33" s="49" t="s">
        <v>4359</v>
      </c>
      <c r="C33" s="41" t="s">
        <v>2939</v>
      </c>
      <c r="D33" s="60">
        <f>'[8]S.23.01.01'!D26</f>
        <v>0</v>
      </c>
      <c r="E33" s="58"/>
      <c r="F33" s="48"/>
      <c r="G33" s="60">
        <f>'[8]S.23.01.01'!G26</f>
        <v>0</v>
      </c>
      <c r="H33" s="48"/>
    </row>
    <row r="34" spans="2:8" ht="30">
      <c r="B34" s="49" t="s">
        <v>4360</v>
      </c>
      <c r="C34" s="41" t="s">
        <v>2941</v>
      </c>
      <c r="D34" s="60">
        <f>'[8]S.23.01.01'!D27</f>
        <v>0</v>
      </c>
      <c r="E34" s="58"/>
      <c r="F34" s="48"/>
      <c r="G34" s="60">
        <f>'[8]S.23.01.01'!G27</f>
        <v>0</v>
      </c>
      <c r="H34" s="46"/>
    </row>
    <row r="35" spans="2:8">
      <c r="B35" s="49" t="s">
        <v>4361</v>
      </c>
      <c r="C35" s="41" t="s">
        <v>2943</v>
      </c>
      <c r="D35" s="60">
        <f>'[8]S.23.01.01'!D28</f>
        <v>0</v>
      </c>
      <c r="E35" s="58"/>
      <c r="F35" s="48"/>
      <c r="G35" s="60">
        <f>'[8]S.23.01.01'!G28</f>
        <v>0</v>
      </c>
      <c r="H35" s="60">
        <f>'[8]S.23.01.01'!H28</f>
        <v>0</v>
      </c>
    </row>
    <row r="36" spans="2:8" ht="30">
      <c r="B36" s="49" t="s">
        <v>4362</v>
      </c>
      <c r="C36" s="41" t="s">
        <v>2945</v>
      </c>
      <c r="D36" s="60">
        <f>'[8]S.23.01.01'!D29</f>
        <v>0</v>
      </c>
      <c r="E36" s="58"/>
      <c r="F36" s="48"/>
      <c r="G36" s="60">
        <f>'[8]S.23.01.01'!G29</f>
        <v>0</v>
      </c>
      <c r="H36" s="60">
        <f>'[8]S.23.01.01'!H29</f>
        <v>0</v>
      </c>
    </row>
    <row r="37" spans="2:8">
      <c r="B37" s="49" t="s">
        <v>4363</v>
      </c>
      <c r="C37" s="41" t="s">
        <v>2947</v>
      </c>
      <c r="D37" s="60">
        <f>'[8]S.23.01.01'!D30</f>
        <v>0</v>
      </c>
      <c r="E37" s="58"/>
      <c r="F37" s="48"/>
      <c r="G37" s="60">
        <f>'[8]S.23.01.01'!G30</f>
        <v>0</v>
      </c>
      <c r="H37" s="46"/>
    </row>
    <row r="38" spans="2:8" ht="30">
      <c r="B38" s="49" t="s">
        <v>4364</v>
      </c>
      <c r="C38" s="41" t="s">
        <v>2949</v>
      </c>
      <c r="D38" s="60">
        <f>'[8]S.23.01.01'!D31</f>
        <v>0</v>
      </c>
      <c r="E38" s="58"/>
      <c r="F38" s="48"/>
      <c r="G38" s="60">
        <f>'[8]S.23.01.01'!G31</f>
        <v>0</v>
      </c>
      <c r="H38" s="60">
        <f>'[8]S.23.01.01'!H31</f>
        <v>0</v>
      </c>
    </row>
    <row r="39" spans="2:8" ht="30">
      <c r="B39" s="49" t="s">
        <v>4365</v>
      </c>
      <c r="C39" s="41" t="s">
        <v>2951</v>
      </c>
      <c r="D39" s="60">
        <f>'[8]S.23.01.01'!D32</f>
        <v>0</v>
      </c>
      <c r="E39" s="58"/>
      <c r="F39" s="48"/>
      <c r="G39" s="60">
        <f>'[8]S.23.01.01'!G32</f>
        <v>0</v>
      </c>
      <c r="H39" s="46"/>
    </row>
    <row r="40" spans="2:8" ht="30">
      <c r="B40" s="49" t="s">
        <v>4366</v>
      </c>
      <c r="C40" s="41" t="s">
        <v>2953</v>
      </c>
      <c r="D40" s="60">
        <f>'[8]S.23.01.01'!D33</f>
        <v>0</v>
      </c>
      <c r="E40" s="58"/>
      <c r="F40" s="48"/>
      <c r="G40" s="60">
        <f>'[8]S.23.01.01'!G33</f>
        <v>0</v>
      </c>
      <c r="H40" s="60">
        <f>'[8]S.23.01.01'!H33</f>
        <v>0</v>
      </c>
    </row>
    <row r="41" spans="2:8">
      <c r="B41" s="49" t="s">
        <v>4367</v>
      </c>
      <c r="C41" s="41" t="s">
        <v>2957</v>
      </c>
      <c r="D41" s="60">
        <f>'[8]S.23.01.01'!D34</f>
        <v>0</v>
      </c>
      <c r="E41" s="58"/>
      <c r="F41" s="48"/>
      <c r="G41" s="60">
        <f>'[8]S.23.01.01'!G34</f>
        <v>0</v>
      </c>
      <c r="H41" s="60">
        <f>'[8]S.23.01.01'!H34</f>
        <v>0</v>
      </c>
    </row>
    <row r="42" spans="2:8">
      <c r="B42" s="47" t="s">
        <v>4368</v>
      </c>
      <c r="C42" s="41" t="s">
        <v>2959</v>
      </c>
      <c r="D42" s="60">
        <f>'[8]S.23.01.01'!D35</f>
        <v>0</v>
      </c>
      <c r="E42" s="58"/>
      <c r="F42" s="48"/>
      <c r="G42" s="60">
        <f>'[8]S.23.01.01'!G35</f>
        <v>0</v>
      </c>
      <c r="H42" s="60">
        <f>'[8]S.23.01.01'!H35</f>
        <v>0</v>
      </c>
    </row>
    <row r="43" spans="2:8">
      <c r="B43" s="47" t="s">
        <v>4369</v>
      </c>
      <c r="C43" s="44" t="s">
        <v>2878</v>
      </c>
      <c r="D43" s="56"/>
      <c r="E43" s="66"/>
      <c r="F43" s="66"/>
      <c r="G43" s="66"/>
      <c r="H43" s="57"/>
    </row>
    <row r="44" spans="2:8">
      <c r="B44" s="49" t="s">
        <v>4370</v>
      </c>
      <c r="C44" s="41" t="s">
        <v>2977</v>
      </c>
      <c r="D44" s="60">
        <f>'[8]S.23.01.01'!D37</f>
        <v>6885350877.6297455</v>
      </c>
      <c r="E44" s="60">
        <f>'[8]S.23.01.01'!E37</f>
        <v>4384726521.958827</v>
      </c>
      <c r="F44" s="60">
        <f>'[8]S.23.01.01'!F37</f>
        <v>1126353051.1289542</v>
      </c>
      <c r="G44" s="60">
        <f>'[8]S.23.01.01'!G37</f>
        <v>1374271304.541965</v>
      </c>
      <c r="H44" s="60">
        <f>'[8]S.23.01.01'!H37</f>
        <v>0</v>
      </c>
    </row>
    <row r="45" spans="2:8">
      <c r="B45" s="49" t="s">
        <v>4371</v>
      </c>
      <c r="C45" s="41" t="s">
        <v>2979</v>
      </c>
      <c r="D45" s="60">
        <f>'[8]S.23.01.01'!D38</f>
        <v>6885350877.6297455</v>
      </c>
      <c r="E45" s="60">
        <f>'[8]S.23.01.01'!E38</f>
        <v>4384726521.958827</v>
      </c>
      <c r="F45" s="60">
        <f>'[8]S.23.01.01'!F38</f>
        <v>1126353051.1289542</v>
      </c>
      <c r="G45" s="60">
        <f>'[8]S.23.01.01'!G38</f>
        <v>1374271304.541965</v>
      </c>
      <c r="H45" s="46"/>
    </row>
    <row r="46" spans="2:8">
      <c r="B46" s="49" t="s">
        <v>4372</v>
      </c>
      <c r="C46" s="41" t="s">
        <v>2985</v>
      </c>
      <c r="D46" s="60">
        <f>'[8]S.23.01.01'!D39</f>
        <v>6442846020.4330339</v>
      </c>
      <c r="E46" s="60">
        <f>'[8]S.23.01.01'!E39</f>
        <v>4384726521.958827</v>
      </c>
      <c r="F46" s="60">
        <f>'[8]S.23.01.01'!F39</f>
        <v>1096181630.4897068</v>
      </c>
      <c r="G46" s="60">
        <f>'[8]S.23.01.01'!G39</f>
        <v>961937867.98449993</v>
      </c>
      <c r="H46" s="60">
        <f>'[8]S.23.01.01'!H39</f>
        <v>0</v>
      </c>
    </row>
    <row r="47" spans="2:8">
      <c r="B47" s="49" t="s">
        <v>4373</v>
      </c>
      <c r="C47" s="41" t="s">
        <v>2987</v>
      </c>
      <c r="D47" s="60">
        <f>'[8]S.23.01.01'!D40</f>
        <v>5577101939.2469845</v>
      </c>
      <c r="E47" s="60">
        <f>'[8]S.23.01.01'!E40</f>
        <v>4384726521.958827</v>
      </c>
      <c r="F47" s="60">
        <f>'[8]S.23.01.01'!F40</f>
        <v>1096181630.4897068</v>
      </c>
      <c r="G47" s="60">
        <f>'[8]S.23.01.01'!G40</f>
        <v>96193786.798449993</v>
      </c>
      <c r="H47" s="48"/>
    </row>
    <row r="48" spans="2:8">
      <c r="B48" s="47" t="s">
        <v>292</v>
      </c>
      <c r="C48" s="41" t="s">
        <v>2993</v>
      </c>
      <c r="D48" s="60">
        <f>'[8]S.23.01.01'!D41</f>
        <v>1923875735.9689999</v>
      </c>
      <c r="E48" s="58"/>
      <c r="F48" s="58"/>
      <c r="G48" s="58"/>
      <c r="H48" s="48"/>
    </row>
    <row r="49" spans="2:14">
      <c r="B49" s="47" t="s">
        <v>4374</v>
      </c>
      <c r="C49" s="41" t="s">
        <v>2997</v>
      </c>
      <c r="D49" s="60">
        <f>'[9]Overall MCR'!$D$13</f>
        <v>480968933.99224997</v>
      </c>
      <c r="E49" s="58"/>
      <c r="F49" s="58"/>
      <c r="G49" s="58"/>
      <c r="H49" s="48"/>
    </row>
    <row r="50" spans="2:14">
      <c r="B50" s="47" t="s">
        <v>4375</v>
      </c>
      <c r="C50" s="41" t="s">
        <v>3001</v>
      </c>
      <c r="D50" s="81">
        <f>'[8]S.23.01.01'!D43</f>
        <v>3.3488888601154696</v>
      </c>
      <c r="E50" s="58"/>
      <c r="F50" s="58"/>
      <c r="G50" s="58"/>
      <c r="H50" s="48"/>
    </row>
    <row r="51" spans="2:14">
      <c r="B51" s="47" t="s">
        <v>4376</v>
      </c>
      <c r="C51" s="41" t="s">
        <v>3005</v>
      </c>
      <c r="D51" s="81">
        <f>'[8]S.23.01.01'!D44</f>
        <v>11.595555440461879</v>
      </c>
      <c r="E51" s="56"/>
      <c r="F51" s="56"/>
      <c r="G51" s="56"/>
      <c r="H51" s="46"/>
    </row>
    <row r="53" spans="2:14">
      <c r="M53" s="13"/>
      <c r="N53" s="13"/>
    </row>
    <row r="55" spans="2:14" ht="18.75">
      <c r="B55" s="97" t="s">
        <v>4377</v>
      </c>
      <c r="C55" s="96"/>
      <c r="D55" s="96"/>
      <c r="E55" s="96"/>
      <c r="F55" s="96"/>
      <c r="G55" s="96"/>
      <c r="H55" s="96"/>
      <c r="I55" s="96"/>
      <c r="J55" s="96"/>
      <c r="K55" s="96"/>
      <c r="L55" s="96"/>
    </row>
    <row r="59" spans="2:14">
      <c r="D59" s="98" t="s">
        <v>2877</v>
      </c>
    </row>
    <row r="60" spans="2:14">
      <c r="D60" s="99"/>
    </row>
    <row r="61" spans="2:14">
      <c r="D61" s="99"/>
    </row>
    <row r="62" spans="2:14">
      <c r="D62" s="100"/>
    </row>
    <row r="63" spans="2:14">
      <c r="D63" s="45" t="s">
        <v>3231</v>
      </c>
      <c r="M63" s="13"/>
      <c r="N63" s="13"/>
    </row>
    <row r="64" spans="2:14">
      <c r="B64" s="43" t="s">
        <v>2880</v>
      </c>
      <c r="C64" s="44" t="s">
        <v>2878</v>
      </c>
      <c r="D64" s="48"/>
    </row>
    <row r="65" spans="2:14">
      <c r="B65" s="47" t="s">
        <v>4352</v>
      </c>
      <c r="C65" s="44" t="s">
        <v>2878</v>
      </c>
      <c r="D65" s="46"/>
    </row>
    <row r="66" spans="2:14">
      <c r="B66" s="49" t="s">
        <v>3314</v>
      </c>
      <c r="C66" s="41" t="s">
        <v>3064</v>
      </c>
      <c r="D66" s="60">
        <f>'[5]S.23.01.02'!D56</f>
        <v>5268426071.708827</v>
      </c>
    </row>
    <row r="67" spans="2:14">
      <c r="B67" s="49" t="s">
        <v>4378</v>
      </c>
      <c r="C67" s="41" t="s">
        <v>3066</v>
      </c>
      <c r="D67" s="60">
        <f>'[5]S.23.01.02'!D57</f>
        <v>462377188</v>
      </c>
    </row>
    <row r="68" spans="2:14">
      <c r="B68" s="49" t="s">
        <v>4379</v>
      </c>
      <c r="C68" s="41" t="s">
        <v>3068</v>
      </c>
      <c r="D68" s="60">
        <f>'[5]S.23.01.02'!D58</f>
        <v>421322361.75</v>
      </c>
    </row>
    <row r="69" spans="2:14">
      <c r="B69" s="49" t="s">
        <v>4380</v>
      </c>
      <c r="C69" s="41" t="s">
        <v>3070</v>
      </c>
      <c r="D69" s="60">
        <f>'[5]S.23.01.02'!D59</f>
        <v>4103340646.8500004</v>
      </c>
    </row>
    <row r="70" spans="2:14" ht="30">
      <c r="B70" s="49" t="s">
        <v>4381</v>
      </c>
      <c r="C70" s="41" t="s">
        <v>3017</v>
      </c>
      <c r="D70" s="60">
        <f>'[5]S.23.01.02'!D60</f>
        <v>0</v>
      </c>
    </row>
    <row r="71" spans="2:14">
      <c r="B71" s="47" t="s">
        <v>4352</v>
      </c>
      <c r="C71" s="41" t="s">
        <v>3021</v>
      </c>
      <c r="D71" s="60">
        <f>'[5]S.23.01.02'!D61</f>
        <v>281385875.10882664</v>
      </c>
    </row>
    <row r="72" spans="2:14">
      <c r="B72" s="47" t="s">
        <v>4382</v>
      </c>
      <c r="C72" s="44" t="s">
        <v>2878</v>
      </c>
      <c r="D72" s="46"/>
    </row>
    <row r="73" spans="2:14">
      <c r="B73" s="49" t="s">
        <v>4383</v>
      </c>
      <c r="C73" s="41" t="s">
        <v>3023</v>
      </c>
      <c r="D73" s="60">
        <f>'[8]S.23.01.01'!D62</f>
        <v>-9992.6862500000025</v>
      </c>
    </row>
    <row r="74" spans="2:14">
      <c r="B74" s="49" t="s">
        <v>4384</v>
      </c>
      <c r="C74" s="41" t="s">
        <v>3072</v>
      </c>
      <c r="D74" s="60">
        <f>'[8]S.23.01.01'!D63</f>
        <v>115015076.96667632</v>
      </c>
    </row>
    <row r="75" spans="2:14">
      <c r="B75" s="47" t="s">
        <v>4385</v>
      </c>
      <c r="C75" s="41" t="s">
        <v>3118</v>
      </c>
      <c r="D75" s="60">
        <f>'[8]S.23.01.01'!D64</f>
        <v>115005084.28042632</v>
      </c>
    </row>
    <row r="77" spans="2:14">
      <c r="M77" s="13"/>
      <c r="N77" s="13"/>
    </row>
  </sheetData>
  <mergeCells count="10">
    <mergeCell ref="B55:L55"/>
    <mergeCell ref="D59:D62"/>
    <mergeCell ref="B2:O2"/>
    <mergeCell ref="B5:L5"/>
    <mergeCell ref="D9:H10"/>
    <mergeCell ref="D11:D12"/>
    <mergeCell ref="E11:E12"/>
    <mergeCell ref="F11:F12"/>
    <mergeCell ref="G11:G12"/>
    <mergeCell ref="H11:H1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6808B-BB26-4D4C-BE25-38E9C1EBA78D}">
  <sheetPr codeName="Blad107"/>
  <dimension ref="B2:O105"/>
  <sheetViews>
    <sheetView showGridLines="0" workbookViewId="0"/>
  </sheetViews>
  <sheetFormatPr defaultRowHeight="15"/>
  <cols>
    <col min="2" max="2" width="85.28515625" bestFit="1" customWidth="1"/>
    <col min="4" max="8" width="15.7109375" customWidth="1"/>
  </cols>
  <sheetData>
    <row r="2" spans="2:15" ht="23.25">
      <c r="B2" s="95" t="s">
        <v>668</v>
      </c>
      <c r="C2" s="96"/>
      <c r="D2" s="96"/>
      <c r="E2" s="96"/>
      <c r="F2" s="96"/>
      <c r="G2" s="96"/>
      <c r="H2" s="96"/>
      <c r="I2" s="96"/>
      <c r="J2" s="96"/>
      <c r="K2" s="96"/>
      <c r="L2" s="96"/>
      <c r="M2" s="96"/>
      <c r="N2" s="96"/>
      <c r="O2" s="96"/>
    </row>
    <row r="5" spans="2:15" ht="18.75">
      <c r="B5" s="97" t="s">
        <v>4386</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c r="D11" s="98" t="s">
        <v>3480</v>
      </c>
      <c r="E11" s="98" t="s">
        <v>2546</v>
      </c>
      <c r="F11" s="98" t="s">
        <v>2547</v>
      </c>
      <c r="G11" s="98" t="s">
        <v>2548</v>
      </c>
      <c r="H11" s="98" t="s">
        <v>2549</v>
      </c>
    </row>
    <row r="12" spans="2:15">
      <c r="D12" s="100"/>
      <c r="E12" s="100"/>
      <c r="F12" s="100"/>
      <c r="G12" s="100"/>
      <c r="H12" s="100"/>
    </row>
    <row r="13" spans="2:15">
      <c r="D13" s="45" t="s">
        <v>2879</v>
      </c>
      <c r="E13" s="45" t="s">
        <v>3219</v>
      </c>
      <c r="F13" s="45" t="s">
        <v>3225</v>
      </c>
      <c r="G13" s="45" t="s">
        <v>3223</v>
      </c>
      <c r="H13" s="45" t="s">
        <v>3229</v>
      </c>
      <c r="M13" s="13" t="str">
        <f>Show!$B$103&amp;"S.23.01.04.01 Rows {"&amp;COLUMN($C$1)&amp;"}"&amp;"@ForceFilingCode:true"</f>
        <v>!S.23.01.04.01 Rows {3}@ForceFilingCode:true</v>
      </c>
      <c r="N13" s="13" t="str">
        <f>Show!$B$103&amp;"S.23.01.04.01 Columns {"&amp;COLUMN($D$1)&amp;"}"</f>
        <v>!S.23.01.04.01 Columns {4}</v>
      </c>
    </row>
    <row r="14" spans="2:15">
      <c r="B14" s="43" t="s">
        <v>2880</v>
      </c>
      <c r="C14" s="44" t="s">
        <v>2878</v>
      </c>
      <c r="D14" s="58"/>
      <c r="E14" s="67"/>
      <c r="F14" s="67"/>
      <c r="G14" s="67"/>
      <c r="H14" s="59"/>
    </row>
    <row r="15" spans="2:15">
      <c r="B15" s="47" t="s">
        <v>4387</v>
      </c>
      <c r="C15" s="44" t="s">
        <v>2878</v>
      </c>
      <c r="D15" s="56"/>
      <c r="E15" s="66"/>
      <c r="F15" s="67"/>
      <c r="G15" s="66"/>
      <c r="H15" s="59"/>
    </row>
    <row r="16" spans="2:15">
      <c r="B16" s="49" t="s">
        <v>4345</v>
      </c>
      <c r="C16" s="41" t="s">
        <v>2883</v>
      </c>
      <c r="D16" s="60"/>
      <c r="E16" s="64"/>
      <c r="F16" s="48"/>
      <c r="G16" s="64"/>
      <c r="H16" s="48"/>
    </row>
    <row r="17" spans="2:8">
      <c r="B17" s="49" t="s">
        <v>4388</v>
      </c>
      <c r="C17" s="41" t="s">
        <v>2885</v>
      </c>
      <c r="D17" s="60"/>
      <c r="E17" s="64"/>
      <c r="F17" s="48"/>
      <c r="G17" s="64"/>
      <c r="H17" s="48"/>
    </row>
    <row r="18" spans="2:8">
      <c r="B18" s="49" t="s">
        <v>4346</v>
      </c>
      <c r="C18" s="41" t="s">
        <v>2887</v>
      </c>
      <c r="D18" s="60"/>
      <c r="E18" s="64"/>
      <c r="F18" s="48"/>
      <c r="G18" s="64"/>
      <c r="H18" s="48"/>
    </row>
    <row r="19" spans="2:8" ht="30">
      <c r="B19" s="49" t="s">
        <v>4347</v>
      </c>
      <c r="C19" s="41" t="s">
        <v>2889</v>
      </c>
      <c r="D19" s="60"/>
      <c r="E19" s="65"/>
      <c r="F19" s="46"/>
      <c r="G19" s="64"/>
      <c r="H19" s="46"/>
    </row>
    <row r="20" spans="2:8">
      <c r="B20" s="49" t="s">
        <v>4348</v>
      </c>
      <c r="C20" s="41" t="s">
        <v>3078</v>
      </c>
      <c r="D20" s="64"/>
      <c r="E20" s="48"/>
      <c r="F20" s="60"/>
      <c r="G20" s="60"/>
      <c r="H20" s="60"/>
    </row>
    <row r="21" spans="2:8">
      <c r="B21" s="49" t="s">
        <v>4389</v>
      </c>
      <c r="C21" s="41" t="s">
        <v>2891</v>
      </c>
      <c r="D21" s="64"/>
      <c r="E21" s="46"/>
      <c r="F21" s="63"/>
      <c r="G21" s="63"/>
      <c r="H21" s="63"/>
    </row>
    <row r="22" spans="2:8">
      <c r="B22" s="49" t="s">
        <v>4349</v>
      </c>
      <c r="C22" s="41" t="s">
        <v>2893</v>
      </c>
      <c r="D22" s="60"/>
      <c r="E22" s="64"/>
      <c r="F22" s="58"/>
      <c r="G22" s="58"/>
      <c r="H22" s="48"/>
    </row>
    <row r="23" spans="2:8">
      <c r="B23" s="49" t="s">
        <v>4390</v>
      </c>
      <c r="C23" s="41" t="s">
        <v>2895</v>
      </c>
      <c r="D23" s="60"/>
      <c r="E23" s="65"/>
      <c r="F23" s="56"/>
      <c r="G23" s="56"/>
      <c r="H23" s="46"/>
    </row>
    <row r="24" spans="2:8">
      <c r="B24" s="49" t="s">
        <v>4350</v>
      </c>
      <c r="C24" s="41" t="s">
        <v>2897</v>
      </c>
      <c r="D24" s="64"/>
      <c r="E24" s="48"/>
      <c r="F24" s="60"/>
      <c r="G24" s="60"/>
      <c r="H24" s="60"/>
    </row>
    <row r="25" spans="2:8">
      <c r="B25" s="49" t="s">
        <v>4391</v>
      </c>
      <c r="C25" s="41" t="s">
        <v>2899</v>
      </c>
      <c r="D25" s="64"/>
      <c r="E25" s="48"/>
      <c r="F25" s="60"/>
      <c r="G25" s="60"/>
      <c r="H25" s="60"/>
    </row>
    <row r="26" spans="2:8">
      <c r="B26" s="49" t="s">
        <v>4351</v>
      </c>
      <c r="C26" s="41" t="s">
        <v>2901</v>
      </c>
      <c r="D26" s="64"/>
      <c r="E26" s="48"/>
      <c r="F26" s="60"/>
      <c r="G26" s="60"/>
      <c r="H26" s="60"/>
    </row>
    <row r="27" spans="2:8">
      <c r="B27" s="49" t="s">
        <v>4392</v>
      </c>
      <c r="C27" s="41" t="s">
        <v>2903</v>
      </c>
      <c r="D27" s="64"/>
      <c r="E27" s="46"/>
      <c r="F27" s="63"/>
      <c r="G27" s="63"/>
      <c r="H27" s="63"/>
    </row>
    <row r="28" spans="2:8">
      <c r="B28" s="49" t="s">
        <v>4352</v>
      </c>
      <c r="C28" s="41" t="s">
        <v>2905</v>
      </c>
      <c r="D28" s="60"/>
      <c r="E28" s="65"/>
      <c r="F28" s="56"/>
      <c r="G28" s="56"/>
      <c r="H28" s="46"/>
    </row>
    <row r="29" spans="2:8">
      <c r="B29" s="49" t="s">
        <v>3309</v>
      </c>
      <c r="C29" s="41" t="s">
        <v>2907</v>
      </c>
      <c r="D29" s="64"/>
      <c r="E29" s="48"/>
      <c r="F29" s="60"/>
      <c r="G29" s="60"/>
      <c r="H29" s="60"/>
    </row>
    <row r="30" spans="2:8">
      <c r="B30" s="49" t="s">
        <v>4393</v>
      </c>
      <c r="C30" s="41" t="s">
        <v>2909</v>
      </c>
      <c r="D30" s="64"/>
      <c r="E30" s="48"/>
      <c r="F30" s="63"/>
      <c r="G30" s="63"/>
      <c r="H30" s="60"/>
    </row>
    <row r="31" spans="2:8">
      <c r="B31" s="49" t="s">
        <v>4353</v>
      </c>
      <c r="C31" s="41" t="s">
        <v>2911</v>
      </c>
      <c r="D31" s="64"/>
      <c r="E31" s="58"/>
      <c r="F31" s="58"/>
      <c r="G31" s="48"/>
      <c r="H31" s="60"/>
    </row>
    <row r="32" spans="2:8">
      <c r="B32" s="49" t="s">
        <v>4394</v>
      </c>
      <c r="C32" s="41" t="s">
        <v>2913</v>
      </c>
      <c r="D32" s="64"/>
      <c r="E32" s="56"/>
      <c r="F32" s="56"/>
      <c r="G32" s="46"/>
      <c r="H32" s="60"/>
    </row>
    <row r="33" spans="2:8">
      <c r="B33" s="49" t="s">
        <v>4395</v>
      </c>
      <c r="C33" s="41" t="s">
        <v>2915</v>
      </c>
      <c r="D33" s="60"/>
      <c r="E33" s="60"/>
      <c r="F33" s="60"/>
      <c r="G33" s="60"/>
      <c r="H33" s="60"/>
    </row>
    <row r="34" spans="2:8" ht="30">
      <c r="B34" s="49" t="s">
        <v>4396</v>
      </c>
      <c r="C34" s="41" t="s">
        <v>2917</v>
      </c>
      <c r="D34" s="60"/>
      <c r="E34" s="60"/>
      <c r="F34" s="60"/>
      <c r="G34" s="60"/>
      <c r="H34" s="60"/>
    </row>
    <row r="35" spans="2:8">
      <c r="B35" s="49" t="s">
        <v>4397</v>
      </c>
      <c r="C35" s="41" t="s">
        <v>2919</v>
      </c>
      <c r="D35" s="60"/>
      <c r="E35" s="60"/>
      <c r="F35" s="60"/>
      <c r="G35" s="60"/>
      <c r="H35" s="60"/>
    </row>
    <row r="36" spans="2:8">
      <c r="B36" s="49" t="s">
        <v>4398</v>
      </c>
      <c r="C36" s="41" t="s">
        <v>2921</v>
      </c>
      <c r="D36" s="63"/>
      <c r="E36" s="63"/>
      <c r="F36" s="63"/>
      <c r="G36" s="63"/>
      <c r="H36" s="63"/>
    </row>
    <row r="37" spans="2:8" ht="45">
      <c r="B37" s="47" t="s">
        <v>4355</v>
      </c>
      <c r="C37" s="44" t="s">
        <v>2878</v>
      </c>
      <c r="D37" s="56"/>
      <c r="E37" s="67"/>
      <c r="F37" s="67"/>
      <c r="G37" s="67"/>
      <c r="H37" s="59"/>
    </row>
    <row r="38" spans="2:8" ht="45">
      <c r="B38" s="49" t="s">
        <v>4355</v>
      </c>
      <c r="C38" s="41" t="s">
        <v>2923</v>
      </c>
      <c r="D38" s="65"/>
      <c r="E38" s="58"/>
      <c r="F38" s="58"/>
      <c r="G38" s="58"/>
      <c r="H38" s="48"/>
    </row>
    <row r="39" spans="2:8">
      <c r="B39" s="47" t="s">
        <v>4356</v>
      </c>
      <c r="C39" s="44" t="s">
        <v>2878</v>
      </c>
      <c r="D39" s="56"/>
      <c r="E39" s="66"/>
      <c r="F39" s="66"/>
      <c r="G39" s="66"/>
      <c r="H39" s="57"/>
    </row>
    <row r="40" spans="2:8" ht="30">
      <c r="B40" s="49" t="s">
        <v>4399</v>
      </c>
      <c r="C40" s="41" t="s">
        <v>2925</v>
      </c>
      <c r="D40" s="60"/>
      <c r="E40" s="60"/>
      <c r="F40" s="60"/>
      <c r="G40" s="60"/>
      <c r="H40" s="63"/>
    </row>
    <row r="41" spans="2:8">
      <c r="B41" s="49" t="s">
        <v>4400</v>
      </c>
      <c r="C41" s="41" t="s">
        <v>2927</v>
      </c>
      <c r="D41" s="60"/>
      <c r="E41" s="60"/>
      <c r="F41" s="60"/>
      <c r="G41" s="64"/>
      <c r="H41" s="46"/>
    </row>
    <row r="42" spans="2:8">
      <c r="B42" s="49" t="s">
        <v>4401</v>
      </c>
      <c r="C42" s="41" t="s">
        <v>2929</v>
      </c>
      <c r="D42" s="60"/>
      <c r="E42" s="60"/>
      <c r="F42" s="60"/>
      <c r="G42" s="60"/>
      <c r="H42" s="60"/>
    </row>
    <row r="43" spans="2:8" ht="30">
      <c r="B43" s="49" t="s">
        <v>4402</v>
      </c>
      <c r="C43" s="41" t="s">
        <v>2931</v>
      </c>
      <c r="D43" s="60"/>
      <c r="E43" s="60"/>
      <c r="F43" s="60"/>
      <c r="G43" s="60"/>
      <c r="H43" s="60"/>
    </row>
    <row r="44" spans="2:8">
      <c r="B44" s="49" t="s">
        <v>4403</v>
      </c>
      <c r="C44" s="41" t="s">
        <v>2933</v>
      </c>
      <c r="D44" s="60"/>
      <c r="E44" s="60"/>
      <c r="F44" s="60"/>
      <c r="G44" s="60"/>
      <c r="H44" s="60"/>
    </row>
    <row r="45" spans="2:8">
      <c r="B45" s="47" t="s">
        <v>4404</v>
      </c>
      <c r="C45" s="41" t="s">
        <v>2935</v>
      </c>
      <c r="D45" s="60"/>
      <c r="E45" s="60"/>
      <c r="F45" s="60"/>
      <c r="G45" s="60"/>
      <c r="H45" s="60"/>
    </row>
    <row r="46" spans="2:8">
      <c r="B46" s="47" t="s">
        <v>4358</v>
      </c>
      <c r="C46" s="41" t="s">
        <v>2937</v>
      </c>
      <c r="D46" s="63"/>
      <c r="E46" s="63"/>
      <c r="F46" s="63"/>
      <c r="G46" s="63"/>
      <c r="H46" s="63"/>
    </row>
    <row r="47" spans="2:8">
      <c r="B47" s="47" t="s">
        <v>1232</v>
      </c>
      <c r="C47" s="44" t="s">
        <v>2878</v>
      </c>
      <c r="D47" s="56"/>
      <c r="E47" s="67"/>
      <c r="F47" s="67"/>
      <c r="G47" s="66"/>
      <c r="H47" s="59"/>
    </row>
    <row r="48" spans="2:8">
      <c r="B48" s="49" t="s">
        <v>4359</v>
      </c>
      <c r="C48" s="41" t="s">
        <v>2939</v>
      </c>
      <c r="D48" s="64"/>
      <c r="E48" s="58"/>
      <c r="F48" s="48"/>
      <c r="G48" s="64"/>
      <c r="H48" s="48"/>
    </row>
    <row r="49" spans="2:8" ht="30">
      <c r="B49" s="49" t="s">
        <v>4360</v>
      </c>
      <c r="C49" s="41" t="s">
        <v>2941</v>
      </c>
      <c r="D49" s="64"/>
      <c r="E49" s="58"/>
      <c r="F49" s="48"/>
      <c r="G49" s="64"/>
      <c r="H49" s="46"/>
    </row>
    <row r="50" spans="2:8">
      <c r="B50" s="49" t="s">
        <v>4361</v>
      </c>
      <c r="C50" s="41" t="s">
        <v>2943</v>
      </c>
      <c r="D50" s="64"/>
      <c r="E50" s="58"/>
      <c r="F50" s="48"/>
      <c r="G50" s="60"/>
      <c r="H50" s="60"/>
    </row>
    <row r="51" spans="2:8" ht="30">
      <c r="B51" s="49" t="s">
        <v>4362</v>
      </c>
      <c r="C51" s="41" t="s">
        <v>2945</v>
      </c>
      <c r="D51" s="64"/>
      <c r="E51" s="58"/>
      <c r="F51" s="48"/>
      <c r="G51" s="60"/>
      <c r="H51" s="63"/>
    </row>
    <row r="52" spans="2:8">
      <c r="B52" s="49" t="s">
        <v>4363</v>
      </c>
      <c r="C52" s="41" t="s">
        <v>2947</v>
      </c>
      <c r="D52" s="64"/>
      <c r="E52" s="58"/>
      <c r="F52" s="48"/>
      <c r="G52" s="64"/>
      <c r="H52" s="46"/>
    </row>
    <row r="53" spans="2:8" ht="30">
      <c r="B53" s="49" t="s">
        <v>4364</v>
      </c>
      <c r="C53" s="41" t="s">
        <v>2949</v>
      </c>
      <c r="D53" s="64"/>
      <c r="E53" s="58"/>
      <c r="F53" s="48"/>
      <c r="G53" s="60"/>
      <c r="H53" s="63"/>
    </row>
    <row r="54" spans="2:8" ht="30">
      <c r="B54" s="49" t="s">
        <v>4365</v>
      </c>
      <c r="C54" s="41" t="s">
        <v>2951</v>
      </c>
      <c r="D54" s="64"/>
      <c r="E54" s="58"/>
      <c r="F54" s="48"/>
      <c r="G54" s="64"/>
      <c r="H54" s="46"/>
    </row>
    <row r="55" spans="2:8" ht="30">
      <c r="B55" s="49" t="s">
        <v>4366</v>
      </c>
      <c r="C55" s="41" t="s">
        <v>2953</v>
      </c>
      <c r="D55" s="64"/>
      <c r="E55" s="58"/>
      <c r="F55" s="48"/>
      <c r="G55" s="60"/>
      <c r="H55" s="60"/>
    </row>
    <row r="56" spans="2:8">
      <c r="B56" s="49" t="s">
        <v>4405</v>
      </c>
      <c r="C56" s="41" t="s">
        <v>2955</v>
      </c>
      <c r="D56" s="64"/>
      <c r="E56" s="58"/>
      <c r="F56" s="48"/>
      <c r="G56" s="60"/>
      <c r="H56" s="60"/>
    </row>
    <row r="57" spans="2:8">
      <c r="B57" s="49" t="s">
        <v>4367</v>
      </c>
      <c r="C57" s="41" t="s">
        <v>2957</v>
      </c>
      <c r="D57" s="64"/>
      <c r="E57" s="58"/>
      <c r="F57" s="48"/>
      <c r="G57" s="60"/>
      <c r="H57" s="60"/>
    </row>
    <row r="58" spans="2:8">
      <c r="B58" s="47" t="s">
        <v>4368</v>
      </c>
      <c r="C58" s="41" t="s">
        <v>2959</v>
      </c>
      <c r="D58" s="65"/>
      <c r="E58" s="58"/>
      <c r="F58" s="48"/>
      <c r="G58" s="63"/>
      <c r="H58" s="63"/>
    </row>
    <row r="59" spans="2:8">
      <c r="B59" s="47" t="s">
        <v>4406</v>
      </c>
      <c r="C59" s="44" t="s">
        <v>2878</v>
      </c>
      <c r="D59" s="56"/>
      <c r="E59" s="66"/>
      <c r="F59" s="66"/>
      <c r="G59" s="66"/>
      <c r="H59" s="59"/>
    </row>
    <row r="60" spans="2:8" ht="30">
      <c r="B60" s="49" t="s">
        <v>4407</v>
      </c>
      <c r="C60" s="41" t="s">
        <v>2961</v>
      </c>
      <c r="D60" s="60"/>
      <c r="E60" s="60"/>
      <c r="F60" s="60"/>
      <c r="G60" s="64"/>
      <c r="H60" s="46"/>
    </row>
    <row r="61" spans="2:8">
      <c r="B61" s="49" t="s">
        <v>2772</v>
      </c>
      <c r="C61" s="41" t="s">
        <v>2963</v>
      </c>
      <c r="D61" s="60"/>
      <c r="E61" s="60"/>
      <c r="F61" s="60"/>
      <c r="G61" s="60"/>
      <c r="H61" s="63"/>
    </row>
    <row r="62" spans="2:8">
      <c r="B62" s="49" t="s">
        <v>4408</v>
      </c>
      <c r="C62" s="41" t="s">
        <v>2965</v>
      </c>
      <c r="D62" s="60"/>
      <c r="E62" s="60"/>
      <c r="F62" s="60"/>
      <c r="G62" s="64"/>
      <c r="H62" s="46"/>
    </row>
    <row r="63" spans="2:8">
      <c r="B63" s="49" t="s">
        <v>4409</v>
      </c>
      <c r="C63" s="41" t="s">
        <v>2967</v>
      </c>
      <c r="D63" s="63"/>
      <c r="E63" s="63"/>
      <c r="F63" s="63"/>
      <c r="G63" s="63"/>
      <c r="H63" s="63"/>
    </row>
    <row r="64" spans="2:8">
      <c r="B64" s="47" t="s">
        <v>4410</v>
      </c>
      <c r="C64" s="44" t="s">
        <v>2878</v>
      </c>
      <c r="D64" s="56"/>
      <c r="E64" s="66"/>
      <c r="F64" s="66"/>
      <c r="G64" s="66"/>
      <c r="H64" s="57"/>
    </row>
    <row r="65" spans="2:14">
      <c r="B65" s="49" t="s">
        <v>4411</v>
      </c>
      <c r="C65" s="41" t="s">
        <v>2969</v>
      </c>
      <c r="D65" s="60"/>
      <c r="E65" s="60"/>
      <c r="F65" s="60"/>
      <c r="G65" s="60"/>
      <c r="H65" s="60"/>
    </row>
    <row r="66" spans="2:14">
      <c r="B66" s="49" t="s">
        <v>4412</v>
      </c>
      <c r="C66" s="41" t="s">
        <v>2971</v>
      </c>
      <c r="D66" s="60"/>
      <c r="E66" s="60"/>
      <c r="F66" s="60"/>
      <c r="G66" s="60"/>
      <c r="H66" s="60"/>
    </row>
    <row r="67" spans="2:14" ht="30">
      <c r="B67" s="49" t="s">
        <v>4413</v>
      </c>
      <c r="C67" s="41" t="s">
        <v>2981</v>
      </c>
      <c r="D67" s="60"/>
      <c r="E67" s="60"/>
      <c r="F67" s="60"/>
      <c r="G67" s="60"/>
      <c r="H67" s="63"/>
    </row>
    <row r="68" spans="2:14">
      <c r="B68" s="49" t="s">
        <v>4414</v>
      </c>
      <c r="C68" s="41" t="s">
        <v>2983</v>
      </c>
      <c r="D68" s="60"/>
      <c r="E68" s="60"/>
      <c r="F68" s="60"/>
      <c r="G68" s="64"/>
      <c r="H68" s="46"/>
    </row>
    <row r="69" spans="2:14" ht="30">
      <c r="B69" s="49" t="s">
        <v>4415</v>
      </c>
      <c r="C69" s="41" t="s">
        <v>2989</v>
      </c>
      <c r="D69" s="60"/>
      <c r="E69" s="60"/>
      <c r="F69" s="60"/>
      <c r="G69" s="60"/>
      <c r="H69" s="63"/>
    </row>
    <row r="70" spans="2:14">
      <c r="B70" s="49" t="s">
        <v>4416</v>
      </c>
      <c r="C70" s="41" t="s">
        <v>2991</v>
      </c>
      <c r="D70" s="60"/>
      <c r="E70" s="63"/>
      <c r="F70" s="63"/>
      <c r="G70" s="65"/>
      <c r="H70" s="48"/>
    </row>
    <row r="71" spans="2:14">
      <c r="B71" s="47" t="s">
        <v>4417</v>
      </c>
      <c r="C71" s="41" t="s">
        <v>2995</v>
      </c>
      <c r="D71" s="64"/>
      <c r="E71" s="58"/>
      <c r="F71" s="58"/>
      <c r="G71" s="58"/>
      <c r="H71" s="48"/>
    </row>
    <row r="72" spans="2:14">
      <c r="B72" s="47" t="s">
        <v>4418</v>
      </c>
      <c r="C72" s="41" t="s">
        <v>2999</v>
      </c>
      <c r="D72" s="64"/>
      <c r="E72" s="58"/>
      <c r="F72" s="58"/>
      <c r="G72" s="58"/>
      <c r="H72" s="48"/>
    </row>
    <row r="73" spans="2:14" ht="30">
      <c r="B73" s="47" t="s">
        <v>4419</v>
      </c>
      <c r="C73" s="41" t="s">
        <v>3003</v>
      </c>
      <c r="D73" s="71"/>
      <c r="E73" s="58"/>
      <c r="F73" s="58"/>
      <c r="G73" s="58"/>
      <c r="H73" s="48"/>
    </row>
    <row r="74" spans="2:14">
      <c r="B74" s="47" t="s">
        <v>4420</v>
      </c>
      <c r="C74" s="41" t="s">
        <v>3007</v>
      </c>
      <c r="D74" s="71"/>
      <c r="E74" s="56"/>
      <c r="F74" s="56"/>
      <c r="G74" s="56"/>
      <c r="H74" s="46"/>
    </row>
    <row r="75" spans="2:14" ht="30">
      <c r="B75" s="47" t="s">
        <v>4421</v>
      </c>
      <c r="C75" s="41" t="s">
        <v>3009</v>
      </c>
      <c r="D75" s="60"/>
      <c r="E75" s="63"/>
      <c r="F75" s="63"/>
      <c r="G75" s="63"/>
      <c r="H75" s="63"/>
    </row>
    <row r="76" spans="2:14">
      <c r="B76" s="47" t="s">
        <v>4422</v>
      </c>
      <c r="C76" s="41" t="s">
        <v>3011</v>
      </c>
      <c r="D76" s="64"/>
      <c r="E76" s="58"/>
      <c r="F76" s="58"/>
      <c r="G76" s="58"/>
      <c r="H76" s="48"/>
    </row>
    <row r="77" spans="2:14">
      <c r="B77" s="47" t="s">
        <v>4423</v>
      </c>
      <c r="C77" s="41" t="s">
        <v>3013</v>
      </c>
      <c r="D77" s="64"/>
      <c r="E77" s="58"/>
      <c r="F77" s="58"/>
      <c r="G77" s="58"/>
      <c r="H77" s="48"/>
    </row>
    <row r="78" spans="2:14" ht="30">
      <c r="B78" s="47" t="s">
        <v>4424</v>
      </c>
      <c r="C78" s="41" t="s">
        <v>3015</v>
      </c>
      <c r="D78" s="71"/>
      <c r="E78" s="56"/>
      <c r="F78" s="56"/>
      <c r="G78" s="56"/>
      <c r="H78" s="46"/>
    </row>
    <row r="80" spans="2:14">
      <c r="M80" s="13" t="str">
        <f>Show!$B$103&amp;Show!$B$103&amp;"S.23.01.04.01 Rows {"&amp;COLUMN($C$1)&amp;"}"</f>
        <v>!!S.23.01.04.01 Rows {3}</v>
      </c>
      <c r="N80" s="13" t="str">
        <f>Show!$B$103&amp;Show!$B$103&amp;"S.23.01.04.01 Columns {"&amp;COLUMN($H$1)&amp;"}"</f>
        <v>!!S.23.01.04.01 Columns {8}</v>
      </c>
    </row>
    <row r="82" spans="2:14" ht="18.75">
      <c r="B82" s="97" t="s">
        <v>4425</v>
      </c>
      <c r="C82" s="96"/>
      <c r="D82" s="96"/>
      <c r="E82" s="96"/>
      <c r="F82" s="96"/>
      <c r="G82" s="96"/>
      <c r="H82" s="96"/>
      <c r="I82" s="96"/>
      <c r="J82" s="96"/>
      <c r="K82" s="96"/>
      <c r="L82" s="96"/>
    </row>
    <row r="86" spans="2:14">
      <c r="D86" s="98" t="s">
        <v>2877</v>
      </c>
    </row>
    <row r="87" spans="2:14">
      <c r="D87" s="99"/>
    </row>
    <row r="88" spans="2:14">
      <c r="D88" s="99"/>
    </row>
    <row r="89" spans="2:14">
      <c r="D89" s="100"/>
    </row>
    <row r="90" spans="2:14">
      <c r="D90" s="45" t="s">
        <v>3231</v>
      </c>
      <c r="M90" s="13" t="str">
        <f>Show!$B$103&amp;"S.23.01.04.02 Rows {"&amp;COLUMN($C$1)&amp;"}"&amp;"@ForceFilingCode:true"</f>
        <v>!S.23.01.04.02 Rows {3}@ForceFilingCode:true</v>
      </c>
      <c r="N90" s="13" t="str">
        <f>Show!$B$103&amp;"S.23.01.04.02 Columns {"&amp;COLUMN($D$1)&amp;"}"</f>
        <v>!S.23.01.04.02 Columns {4}</v>
      </c>
    </row>
    <row r="91" spans="2:14">
      <c r="B91" s="43" t="s">
        <v>2880</v>
      </c>
      <c r="C91" s="44" t="s">
        <v>2878</v>
      </c>
      <c r="D91" s="48"/>
    </row>
    <row r="92" spans="2:14">
      <c r="B92" s="47" t="s">
        <v>4352</v>
      </c>
      <c r="C92" s="44" t="s">
        <v>2878</v>
      </c>
      <c r="D92" s="46"/>
    </row>
    <row r="93" spans="2:14">
      <c r="B93" s="49" t="s">
        <v>3314</v>
      </c>
      <c r="C93" s="41" t="s">
        <v>3064</v>
      </c>
      <c r="D93" s="60"/>
    </row>
    <row r="94" spans="2:14">
      <c r="B94" s="49" t="s">
        <v>4378</v>
      </c>
      <c r="C94" s="41" t="s">
        <v>3066</v>
      </c>
      <c r="D94" s="60"/>
    </row>
    <row r="95" spans="2:14">
      <c r="B95" s="49" t="s">
        <v>4379</v>
      </c>
      <c r="C95" s="41" t="s">
        <v>3068</v>
      </c>
      <c r="D95" s="60"/>
    </row>
    <row r="96" spans="2:14">
      <c r="B96" s="49" t="s">
        <v>4380</v>
      </c>
      <c r="C96" s="41" t="s">
        <v>3070</v>
      </c>
      <c r="D96" s="60"/>
    </row>
    <row r="97" spans="2:14" ht="30">
      <c r="B97" s="49" t="s">
        <v>4381</v>
      </c>
      <c r="C97" s="41" t="s">
        <v>3017</v>
      </c>
      <c r="D97" s="60"/>
    </row>
    <row r="98" spans="2:14">
      <c r="B98" s="49" t="s">
        <v>4426</v>
      </c>
      <c r="C98" s="41" t="s">
        <v>3019</v>
      </c>
      <c r="D98" s="60"/>
    </row>
    <row r="99" spans="2:14">
      <c r="B99" s="47" t="s">
        <v>4352</v>
      </c>
      <c r="C99" s="41" t="s">
        <v>3021</v>
      </c>
      <c r="D99" s="63"/>
    </row>
    <row r="100" spans="2:14">
      <c r="B100" s="47" t="s">
        <v>4382</v>
      </c>
      <c r="C100" s="44" t="s">
        <v>2878</v>
      </c>
      <c r="D100" s="46"/>
    </row>
    <row r="101" spans="2:14">
      <c r="B101" s="49" t="s">
        <v>4383</v>
      </c>
      <c r="C101" s="41" t="s">
        <v>3023</v>
      </c>
      <c r="D101" s="60"/>
    </row>
    <row r="102" spans="2:14">
      <c r="B102" s="49" t="s">
        <v>4384</v>
      </c>
      <c r="C102" s="41" t="s">
        <v>3072</v>
      </c>
      <c r="D102" s="60"/>
    </row>
    <row r="103" spans="2:14">
      <c r="B103" s="47" t="s">
        <v>4385</v>
      </c>
      <c r="C103" s="41" t="s">
        <v>3118</v>
      </c>
      <c r="D103" s="60"/>
    </row>
    <row r="105" spans="2:14">
      <c r="M105" s="13" t="str">
        <f>Show!$B$103&amp;Show!$B$103&amp;"S.23.01.04.02 Rows {"&amp;COLUMN($C$1)&amp;"}"</f>
        <v>!!S.23.01.04.02 Rows {3}</v>
      </c>
      <c r="N105" s="13" t="str">
        <f>Show!$B$103&amp;Show!$B$103&amp;"S.23.01.04.02 Columns {"&amp;COLUMN($D$1)&amp;"}"</f>
        <v>!!S.23.01.04.02 Columns {4}</v>
      </c>
    </row>
  </sheetData>
  <sheetProtection sheet="1" objects="1" scenarios="1"/>
  <mergeCells count="10">
    <mergeCell ref="B82:L82"/>
    <mergeCell ref="D86:D89"/>
    <mergeCell ref="B2:O2"/>
    <mergeCell ref="B5:L5"/>
    <mergeCell ref="D9:H10"/>
    <mergeCell ref="D11:D12"/>
    <mergeCell ref="E11:E12"/>
    <mergeCell ref="F11:F12"/>
    <mergeCell ref="G11:G12"/>
    <mergeCell ref="H11:H12"/>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07AF-670D-4754-ABC6-16E9D4FE86D5}">
  <sheetPr codeName="Blad108"/>
  <dimension ref="B2:O58"/>
  <sheetViews>
    <sheetView showGridLines="0" workbookViewId="0"/>
  </sheetViews>
  <sheetFormatPr defaultRowHeight="15"/>
  <cols>
    <col min="2" max="2" width="83.85546875" bestFit="1" customWidth="1"/>
    <col min="4" max="8" width="15.7109375" customWidth="1"/>
  </cols>
  <sheetData>
    <row r="2" spans="2:15" ht="23.25">
      <c r="B2" s="95" t="s">
        <v>668</v>
      </c>
      <c r="C2" s="96"/>
      <c r="D2" s="96"/>
      <c r="E2" s="96"/>
      <c r="F2" s="96"/>
      <c r="G2" s="96"/>
      <c r="H2" s="96"/>
      <c r="I2" s="96"/>
      <c r="J2" s="96"/>
      <c r="K2" s="96"/>
      <c r="L2" s="96"/>
      <c r="M2" s="96"/>
      <c r="N2" s="96"/>
      <c r="O2" s="96"/>
    </row>
    <row r="5" spans="2:15" ht="18.75">
      <c r="B5" s="97" t="s">
        <v>4427</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c r="D11" s="98" t="s">
        <v>3480</v>
      </c>
      <c r="E11" s="98" t="s">
        <v>2546</v>
      </c>
      <c r="F11" s="98" t="s">
        <v>2547</v>
      </c>
      <c r="G11" s="98" t="s">
        <v>2548</v>
      </c>
      <c r="H11" s="98" t="s">
        <v>2549</v>
      </c>
    </row>
    <row r="12" spans="2:15">
      <c r="D12" s="100"/>
      <c r="E12" s="100"/>
      <c r="F12" s="100"/>
      <c r="G12" s="100"/>
      <c r="H12" s="100"/>
    </row>
    <row r="13" spans="2:15">
      <c r="D13" s="45" t="s">
        <v>2879</v>
      </c>
      <c r="E13" s="45" t="s">
        <v>3219</v>
      </c>
      <c r="F13" s="45" t="s">
        <v>3225</v>
      </c>
      <c r="G13" s="45" t="s">
        <v>3223</v>
      </c>
      <c r="H13" s="45" t="s">
        <v>3229</v>
      </c>
      <c r="M13" s="13" t="str">
        <f>Show!$B$104&amp;"S.23.01.07.01 Rows {"&amp;COLUMN($C$1)&amp;"}"&amp;"@ForceFilingCode:true"</f>
        <v>!S.23.01.07.01 Rows {3}@ForceFilingCode:true</v>
      </c>
      <c r="N13" s="13" t="str">
        <f>Show!$B$104&amp;"S.23.01.07.01 Columns {"&amp;COLUMN($D$1)&amp;"}"</f>
        <v>!S.23.01.07.01 Columns {4}</v>
      </c>
    </row>
    <row r="14" spans="2:15">
      <c r="B14" s="43" t="s">
        <v>2880</v>
      </c>
      <c r="C14" s="44" t="s">
        <v>2878</v>
      </c>
      <c r="D14" s="58"/>
      <c r="E14" s="67"/>
      <c r="F14" s="67"/>
      <c r="G14" s="67"/>
      <c r="H14" s="59"/>
    </row>
    <row r="15" spans="2:15">
      <c r="B15" s="47" t="s">
        <v>4387</v>
      </c>
      <c r="C15" s="44" t="s">
        <v>2878</v>
      </c>
      <c r="D15" s="56"/>
      <c r="E15" s="66"/>
      <c r="F15" s="67"/>
      <c r="G15" s="67"/>
      <c r="H15" s="59"/>
    </row>
    <row r="16" spans="2:15">
      <c r="B16" s="49" t="s">
        <v>4352</v>
      </c>
      <c r="C16" s="41" t="s">
        <v>2905</v>
      </c>
      <c r="D16" s="60"/>
      <c r="E16" s="65"/>
      <c r="F16" s="58"/>
      <c r="G16" s="58"/>
      <c r="H16" s="46"/>
    </row>
    <row r="17" spans="2:8">
      <c r="B17" s="49" t="s">
        <v>4353</v>
      </c>
      <c r="C17" s="41" t="s">
        <v>2911</v>
      </c>
      <c r="D17" s="65"/>
      <c r="E17" s="58"/>
      <c r="F17" s="58"/>
      <c r="G17" s="48"/>
      <c r="H17" s="63"/>
    </row>
    <row r="18" spans="2:8">
      <c r="B18" s="47" t="s">
        <v>4356</v>
      </c>
      <c r="C18" s="44" t="s">
        <v>2878</v>
      </c>
      <c r="D18" s="56"/>
      <c r="E18" s="66"/>
      <c r="F18" s="66"/>
      <c r="G18" s="66"/>
      <c r="H18" s="59"/>
    </row>
    <row r="19" spans="2:8">
      <c r="B19" s="49" t="s">
        <v>4357</v>
      </c>
      <c r="C19" s="41" t="s">
        <v>2925</v>
      </c>
      <c r="D19" s="60"/>
      <c r="E19" s="60"/>
      <c r="F19" s="60"/>
      <c r="G19" s="64"/>
      <c r="H19" s="46"/>
    </row>
    <row r="20" spans="2:8">
      <c r="B20" s="47" t="s">
        <v>4358</v>
      </c>
      <c r="C20" s="41" t="s">
        <v>2937</v>
      </c>
      <c r="D20" s="63"/>
      <c r="E20" s="63"/>
      <c r="F20" s="63"/>
      <c r="G20" s="63"/>
      <c r="H20" s="63"/>
    </row>
    <row r="21" spans="2:8">
      <c r="B21" s="47" t="s">
        <v>1232</v>
      </c>
      <c r="C21" s="44" t="s">
        <v>2878</v>
      </c>
      <c r="D21" s="56"/>
      <c r="E21" s="67"/>
      <c r="F21" s="67"/>
      <c r="G21" s="66"/>
      <c r="H21" s="59"/>
    </row>
    <row r="22" spans="2:8">
      <c r="B22" s="49" t="s">
        <v>4363</v>
      </c>
      <c r="C22" s="41" t="s">
        <v>2947</v>
      </c>
      <c r="D22" s="64"/>
      <c r="E22" s="58"/>
      <c r="F22" s="48"/>
      <c r="G22" s="64"/>
      <c r="H22" s="46"/>
    </row>
    <row r="23" spans="2:8" ht="30">
      <c r="B23" s="49" t="s">
        <v>4364</v>
      </c>
      <c r="C23" s="41" t="s">
        <v>2949</v>
      </c>
      <c r="D23" s="64"/>
      <c r="E23" s="58"/>
      <c r="F23" s="48"/>
      <c r="G23" s="60"/>
      <c r="H23" s="60"/>
    </row>
    <row r="24" spans="2:8">
      <c r="B24" s="49" t="s">
        <v>4367</v>
      </c>
      <c r="C24" s="41" t="s">
        <v>2957</v>
      </c>
      <c r="D24" s="64"/>
      <c r="E24" s="58"/>
      <c r="F24" s="48"/>
      <c r="G24" s="60"/>
      <c r="H24" s="60"/>
    </row>
    <row r="25" spans="2:8">
      <c r="B25" s="47" t="s">
        <v>4368</v>
      </c>
      <c r="C25" s="41" t="s">
        <v>2959</v>
      </c>
      <c r="D25" s="65"/>
      <c r="E25" s="58"/>
      <c r="F25" s="48"/>
      <c r="G25" s="63"/>
      <c r="H25" s="63"/>
    </row>
    <row r="26" spans="2:8">
      <c r="B26" s="47" t="s">
        <v>4369</v>
      </c>
      <c r="C26" s="44" t="s">
        <v>2878</v>
      </c>
      <c r="D26" s="56"/>
      <c r="E26" s="66"/>
      <c r="F26" s="66"/>
      <c r="G26" s="66"/>
      <c r="H26" s="57"/>
    </row>
    <row r="27" spans="2:8">
      <c r="B27" s="49" t="s">
        <v>4370</v>
      </c>
      <c r="C27" s="41" t="s">
        <v>2977</v>
      </c>
      <c r="D27" s="60"/>
      <c r="E27" s="60"/>
      <c r="F27" s="60"/>
      <c r="G27" s="60"/>
      <c r="H27" s="63"/>
    </row>
    <row r="28" spans="2:8">
      <c r="B28" s="49" t="s">
        <v>4371</v>
      </c>
      <c r="C28" s="41" t="s">
        <v>2979</v>
      </c>
      <c r="D28" s="60"/>
      <c r="E28" s="60"/>
      <c r="F28" s="60"/>
      <c r="G28" s="64"/>
      <c r="H28" s="46"/>
    </row>
    <row r="29" spans="2:8">
      <c r="B29" s="49" t="s">
        <v>4372</v>
      </c>
      <c r="C29" s="41" t="s">
        <v>2985</v>
      </c>
      <c r="D29" s="60"/>
      <c r="E29" s="60"/>
      <c r="F29" s="60"/>
      <c r="G29" s="60"/>
      <c r="H29" s="63"/>
    </row>
    <row r="30" spans="2:8">
      <c r="B30" s="49" t="s">
        <v>4373</v>
      </c>
      <c r="C30" s="41" t="s">
        <v>2987</v>
      </c>
      <c r="D30" s="60"/>
      <c r="E30" s="63"/>
      <c r="F30" s="63"/>
      <c r="G30" s="65"/>
      <c r="H30" s="48"/>
    </row>
    <row r="31" spans="2:8">
      <c r="B31" s="47" t="s">
        <v>292</v>
      </c>
      <c r="C31" s="41" t="s">
        <v>2993</v>
      </c>
      <c r="D31" s="64"/>
      <c r="E31" s="58"/>
      <c r="F31" s="58"/>
      <c r="G31" s="58"/>
      <c r="H31" s="48"/>
    </row>
    <row r="32" spans="2:8">
      <c r="B32" s="47" t="s">
        <v>4374</v>
      </c>
      <c r="C32" s="41" t="s">
        <v>2997</v>
      </c>
      <c r="D32" s="64"/>
      <c r="E32" s="58"/>
      <c r="F32" s="58"/>
      <c r="G32" s="58"/>
      <c r="H32" s="48"/>
    </row>
    <row r="33" spans="2:14">
      <c r="B33" s="47" t="s">
        <v>4375</v>
      </c>
      <c r="C33" s="41" t="s">
        <v>3001</v>
      </c>
      <c r="D33" s="71"/>
      <c r="E33" s="58"/>
      <c r="F33" s="58"/>
      <c r="G33" s="58"/>
      <c r="H33" s="48"/>
    </row>
    <row r="34" spans="2:14">
      <c r="B34" s="47" t="s">
        <v>4376</v>
      </c>
      <c r="C34" s="41" t="s">
        <v>3005</v>
      </c>
      <c r="D34" s="71"/>
      <c r="E34" s="56"/>
      <c r="F34" s="56"/>
      <c r="G34" s="56"/>
      <c r="H34" s="46"/>
    </row>
    <row r="36" spans="2:14">
      <c r="M36" s="13" t="str">
        <f>Show!$B$104&amp;Show!$B$104&amp;"S.23.01.07.01 Rows {"&amp;COLUMN($C$1)&amp;"}"</f>
        <v>!!S.23.01.07.01 Rows {3}</v>
      </c>
      <c r="N36" s="13" t="str">
        <f>Show!$B$104&amp;Show!$B$104&amp;"S.23.01.07.01 Columns {"&amp;COLUMN($H$1)&amp;"}"</f>
        <v>!!S.23.01.07.01 Columns {8}</v>
      </c>
    </row>
    <row r="38" spans="2:14" ht="18.75">
      <c r="B38" s="97" t="s">
        <v>4428</v>
      </c>
      <c r="C38" s="96"/>
      <c r="D38" s="96"/>
      <c r="E38" s="96"/>
      <c r="F38" s="96"/>
      <c r="G38" s="96"/>
      <c r="H38" s="96"/>
      <c r="I38" s="96"/>
      <c r="J38" s="96"/>
      <c r="K38" s="96"/>
      <c r="L38" s="96"/>
    </row>
    <row r="42" spans="2:14">
      <c r="D42" s="98" t="s">
        <v>2877</v>
      </c>
    </row>
    <row r="43" spans="2:14">
      <c r="D43" s="99"/>
    </row>
    <row r="44" spans="2:14">
      <c r="D44" s="99"/>
    </row>
    <row r="45" spans="2:14">
      <c r="D45" s="100"/>
    </row>
    <row r="46" spans="2:14">
      <c r="D46" s="45" t="s">
        <v>3231</v>
      </c>
      <c r="M46" s="13" t="str">
        <f>Show!$B$104&amp;"S.23.01.07.02 Rows {"&amp;COLUMN($C$1)&amp;"}"&amp;"@ForceFilingCode:true"</f>
        <v>!S.23.01.07.02 Rows {3}@ForceFilingCode:true</v>
      </c>
      <c r="N46" s="13" t="str">
        <f>Show!$B$104&amp;"S.23.01.07.02 Columns {"&amp;COLUMN($D$1)&amp;"}"</f>
        <v>!S.23.01.07.02 Columns {4}</v>
      </c>
    </row>
    <row r="47" spans="2:14">
      <c r="B47" s="43" t="s">
        <v>2880</v>
      </c>
      <c r="C47" s="44" t="s">
        <v>2878</v>
      </c>
      <c r="D47" s="48"/>
    </row>
    <row r="48" spans="2:14">
      <c r="B48" s="47" t="s">
        <v>4352</v>
      </c>
      <c r="C48" s="44" t="s">
        <v>2878</v>
      </c>
      <c r="D48" s="46"/>
    </row>
    <row r="49" spans="2:14">
      <c r="B49" s="49" t="s">
        <v>3314</v>
      </c>
      <c r="C49" s="41" t="s">
        <v>3064</v>
      </c>
      <c r="D49" s="60"/>
    </row>
    <row r="50" spans="2:14">
      <c r="B50" s="49" t="s">
        <v>4380</v>
      </c>
      <c r="C50" s="41" t="s">
        <v>3070</v>
      </c>
      <c r="D50" s="60"/>
    </row>
    <row r="51" spans="2:14" ht="30">
      <c r="B51" s="49" t="s">
        <v>4381</v>
      </c>
      <c r="C51" s="41" t="s">
        <v>3017</v>
      </c>
      <c r="D51" s="60"/>
    </row>
    <row r="52" spans="2:14">
      <c r="B52" s="47" t="s">
        <v>4352</v>
      </c>
      <c r="C52" s="41" t="s">
        <v>3021</v>
      </c>
      <c r="D52" s="63"/>
    </row>
    <row r="53" spans="2:14">
      <c r="B53" s="47" t="s">
        <v>4382</v>
      </c>
      <c r="C53" s="44" t="s">
        <v>2878</v>
      </c>
      <c r="D53" s="46"/>
    </row>
    <row r="54" spans="2:14">
      <c r="B54" s="49" t="s">
        <v>4383</v>
      </c>
      <c r="C54" s="41" t="s">
        <v>3023</v>
      </c>
      <c r="D54" s="60"/>
    </row>
    <row r="55" spans="2:14">
      <c r="B55" s="49" t="s">
        <v>4384</v>
      </c>
      <c r="C55" s="41" t="s">
        <v>3072</v>
      </c>
      <c r="D55" s="60"/>
    </row>
    <row r="56" spans="2:14">
      <c r="B56" s="47" t="s">
        <v>4385</v>
      </c>
      <c r="C56" s="41" t="s">
        <v>3118</v>
      </c>
      <c r="D56" s="60"/>
    </row>
    <row r="58" spans="2:14">
      <c r="M58" s="13" t="str">
        <f>Show!$B$104&amp;Show!$B$104&amp;"S.23.01.07.02 Rows {"&amp;COLUMN($C$1)&amp;"}"</f>
        <v>!!S.23.01.07.02 Rows {3}</v>
      </c>
      <c r="N58" s="13" t="str">
        <f>Show!$B$104&amp;Show!$B$104&amp;"S.23.01.07.02 Columns {"&amp;COLUMN($D$1)&amp;"}"</f>
        <v>!!S.23.01.07.02 Columns {4}</v>
      </c>
    </row>
  </sheetData>
  <sheetProtection sheet="1" objects="1" scenarios="1"/>
  <mergeCells count="10">
    <mergeCell ref="B38:L38"/>
    <mergeCell ref="D42:D45"/>
    <mergeCell ref="B2:O2"/>
    <mergeCell ref="B5:L5"/>
    <mergeCell ref="D9:H10"/>
    <mergeCell ref="D11:D12"/>
    <mergeCell ref="E11:E12"/>
    <mergeCell ref="F11:F12"/>
    <mergeCell ref="G11:G12"/>
    <mergeCell ref="H11:H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4700-1607-41CD-A48C-12FF74D1D458}">
  <sheetPr codeName="Blad11"/>
  <dimension ref="B2:O28"/>
  <sheetViews>
    <sheetView showGridLines="0" workbookViewId="0"/>
  </sheetViews>
  <sheetFormatPr defaultRowHeight="15"/>
  <cols>
    <col min="2" max="2" width="81.140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3086</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IF(COUNTIF(D:D,"Reported")&gt;0,Show!$B$7,"!")&amp;"S.01.01.08.01 Rows {"&amp;COLUMN($C$1)&amp;"}"&amp;"@ForceFilingCode:true"</f>
        <v>!S.01.01.08.01 Rows {3}@ForceFilingCode:true</v>
      </c>
      <c r="J13" s="13" t="str">
        <f>IF(COUNTIF(D:D,"Reported")&gt;0,Show!$B$7,"!")&amp;"S.01.01.08.01 Columns {"&amp;COLUMN($D$1)&amp;"}"</f>
        <v>!S.01.01.08.01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3087</v>
      </c>
      <c r="C17" s="41" t="s">
        <v>2887</v>
      </c>
      <c r="D17" s="51"/>
    </row>
    <row r="18" spans="2:10">
      <c r="B18" s="52" t="s">
        <v>3026</v>
      </c>
      <c r="C18" s="41" t="s">
        <v>2901</v>
      </c>
      <c r="D18" s="51"/>
    </row>
    <row r="19" spans="2:10">
      <c r="B19" s="52" t="s">
        <v>3079</v>
      </c>
      <c r="C19" s="41" t="s">
        <v>2907</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3082</v>
      </c>
      <c r="C25" s="41" t="s">
        <v>2961</v>
      </c>
      <c r="D25" s="51"/>
    </row>
    <row r="26" spans="2:10" ht="30">
      <c r="B26" s="52" t="s">
        <v>2992</v>
      </c>
      <c r="C26" s="41" t="s">
        <v>2993</v>
      </c>
      <c r="D26" s="51"/>
    </row>
    <row r="27" spans="2:10">
      <c r="B27" s="52" t="s">
        <v>2994</v>
      </c>
      <c r="C27" s="41" t="s">
        <v>2995</v>
      </c>
      <c r="D27" s="51"/>
    </row>
    <row r="28" spans="2:10">
      <c r="I28" s="13" t="str">
        <f>IF(COUNTIF(D:D,"Reported")&gt;0,Show!$B$7&amp;Show!$B$7,"!!")&amp;"S.01.01.08.01 Rows {"&amp;COLUMN($C$1)&amp;"}"</f>
        <v>!!S.01.01.08.01 Rows {3}</v>
      </c>
      <c r="J28" s="13" t="str">
        <f>IF(COUNTIF(D:D,"Reported")&gt;0,Show!$B$7&amp;Show!$B$7,"!!")&amp;"S.01.01.08.01 Columns {"&amp;COLUMN($D$1)&amp;"}"</f>
        <v>!!S.01.01.08.01 Columns {4}</v>
      </c>
    </row>
  </sheetData>
  <sheetProtection sheet="1" objects="1" scenarios="1"/>
  <mergeCells count="3">
    <mergeCell ref="B2:O2"/>
    <mergeCell ref="B5:L5"/>
    <mergeCell ref="D9:D12"/>
  </mergeCells>
  <dataValidations count="10">
    <dataValidation type="list" errorStyle="warning" allowBlank="1" showInputMessage="1" showErrorMessage="1" sqref="D16" xr:uid="{17C40E75-72F2-43C3-B3C8-5191956B9827}">
      <formula1>hier_CN_2</formula1>
    </dataValidation>
    <dataValidation type="list" errorStyle="warning" allowBlank="1" showInputMessage="1" showErrorMessage="1" sqref="D17" xr:uid="{EC2ED426-DB74-47DE-9B0C-C23EE1CF9BDD}">
      <formula1>hier_CN_106</formula1>
    </dataValidation>
    <dataValidation type="list" errorStyle="warning" allowBlank="1" showInputMessage="1" showErrorMessage="1" sqref="D18 D25" xr:uid="{2F97714A-9B99-4D7A-B91A-EB7AD2726DE9}">
      <formula1>hier_CN_115</formula1>
    </dataValidation>
    <dataValidation type="list" errorStyle="warning" allowBlank="1" showInputMessage="1" showErrorMessage="1" sqref="D19" xr:uid="{B7A273AB-F4CD-4F5A-9C11-538707807FCC}">
      <formula1>hier_CN_97</formula1>
    </dataValidation>
    <dataValidation type="list" errorStyle="warning" allowBlank="1" showInputMessage="1" showErrorMessage="1" sqref="D20" xr:uid="{CD9975E5-63EA-4DC2-ABB8-A33579224464}">
      <formula1>hier_CN_119</formula1>
    </dataValidation>
    <dataValidation type="list" errorStyle="warning" allowBlank="1" showInputMessage="1" showErrorMessage="1" sqref="D21 D22" xr:uid="{85064751-65F7-42EC-8A2D-7AB03EF184AD}">
      <formula1>hier_CN_100</formula1>
    </dataValidation>
    <dataValidation type="list" errorStyle="warning" allowBlank="1" showInputMessage="1" showErrorMessage="1" sqref="D23" xr:uid="{3F86D50A-4FD5-45D7-B842-3A947BB81D35}">
      <formula1>hier_CN_103</formula1>
    </dataValidation>
    <dataValidation type="list" errorStyle="warning" allowBlank="1" showInputMessage="1" showErrorMessage="1" sqref="D24" xr:uid="{96D57628-E452-43B5-8CD5-BF5299C9C923}">
      <formula1>hier_CN_104</formula1>
    </dataValidation>
    <dataValidation type="list" errorStyle="warning" allowBlank="1" showInputMessage="1" showErrorMessage="1" sqref="D26" xr:uid="{5BAF2914-43DB-4BCF-B357-C0E86A8E2AC0}">
      <formula1>hier_CN_85</formula1>
    </dataValidation>
    <dataValidation type="list" errorStyle="warning" allowBlank="1" showInputMessage="1" showErrorMessage="1" sqref="D27" xr:uid="{08EC07DD-BFED-4D49-966D-8088BEE262E7}">
      <formula1>hier_CN_86</formula1>
    </dataValidation>
  </dataValidations>
  <hyperlinks>
    <hyperlink ref="B16" location="'S.01.02.07'!A1" display="S.01.02.07 - Basic Information - General" xr:uid="{C6B93C68-636C-4711-91EA-77905562C777}"/>
    <hyperlink ref="B17" location="'S.02.01.08'!A1" display="S.02.01.08 - Balance Sheet" xr:uid="{9EAC0F36-3AF7-48EB-9F26-3C6EA5E35EDF}"/>
    <hyperlink ref="B18" location="'S.05.01.02'!A1" display="S.05.01.02 - Premiums, claims and expenses by line of business" xr:uid="{6A53C0F6-4FAD-4E47-93B8-6B56A6AAB761}"/>
    <hyperlink ref="B19" location="'S.06.02.07'!A1" display="S.06.02.07 - List of assets" xr:uid="{5D912B96-393C-4D80-A847-8008F5499E9F}"/>
    <hyperlink ref="B20" location="'S.06.03.01'!A1" display="S.06.03.01 - Collective investment undertakings - look-through approach" xr:uid="{8A00A695-6608-4727-81F7-EC1B4A5092A6}"/>
    <hyperlink ref="B21" location="'S.08.01.01'!A1" display="S.08.01.01 - Open derivatives" xr:uid="{BD819711-B957-49B2-A6E8-8704DB1FF336}"/>
    <hyperlink ref="B22" location="'S.08.02.01'!A1" display="S.08.02.01 - Derivatives Transactions" xr:uid="{D0EF001F-F79D-4271-9243-95F07179C609}"/>
    <hyperlink ref="B23" location="'S.12.01.02'!A1" display="S.12.01.02 - Life and Health SLT Technical Provisions" xr:uid="{7BD351F5-9B9C-4833-949A-1907B87AF967}"/>
    <hyperlink ref="B24" location="'S.17.01.02'!A1" display="S.17.01.02 - Non-Life Technical Provisions" xr:uid="{445F8823-8E92-465A-87D3-6DB17E342D4E}"/>
    <hyperlink ref="B25" location="'S.23.01.07'!A1" display="S.23.01.07 - Own funds" xr:uid="{76E4377E-31D0-46C8-937B-A6300FDE2870}"/>
    <hyperlink ref="B26" location="'S.28.01.01'!A1" display="S.28.01.01 - Minimum Capital Requirement - Only life or only non-life insurance or reinsurance activity" xr:uid="{4FA844AD-A313-46CF-AA1F-DF2D08505CF0}"/>
    <hyperlink ref="B27" location="'S.28.02.01'!A1" display="S.28.02.01 - Minimum Capital Requirement - Both life and non-life insurance activity" xr:uid="{342097E1-EFB4-435D-8D18-11F992075E3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900E4-4229-4369-8232-FEF1CCF9F2F7}">
  <sheetPr codeName="Blad109"/>
  <dimension ref="B2:O19"/>
  <sheetViews>
    <sheetView showGridLines="0" workbookViewId="0"/>
  </sheetViews>
  <sheetFormatPr defaultRowHeight="15"/>
  <cols>
    <col min="2" max="2" width="84.5703125" bestFit="1" customWidth="1"/>
    <col min="4" max="8" width="15.7109375" customWidth="1"/>
  </cols>
  <sheetData>
    <row r="2" spans="2:15" ht="23.25">
      <c r="B2" s="95" t="s">
        <v>668</v>
      </c>
      <c r="C2" s="96"/>
      <c r="D2" s="96"/>
      <c r="E2" s="96"/>
      <c r="F2" s="96"/>
      <c r="G2" s="96"/>
      <c r="H2" s="96"/>
      <c r="I2" s="96"/>
      <c r="J2" s="96"/>
      <c r="K2" s="96"/>
      <c r="L2" s="96"/>
      <c r="M2" s="96"/>
      <c r="N2" s="96"/>
      <c r="O2" s="96"/>
    </row>
    <row r="5" spans="2:15" ht="18.75">
      <c r="B5" s="97" t="s">
        <v>4429</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ht="30">
      <c r="D11" s="55" t="s">
        <v>3480</v>
      </c>
      <c r="E11" s="55" t="s">
        <v>2546</v>
      </c>
      <c r="F11" s="55" t="s">
        <v>2547</v>
      </c>
      <c r="G11" s="55" t="s">
        <v>2548</v>
      </c>
      <c r="H11" s="55" t="s">
        <v>2549</v>
      </c>
    </row>
    <row r="12" spans="2:15">
      <c r="D12" s="45" t="s">
        <v>2879</v>
      </c>
      <c r="E12" s="45" t="s">
        <v>3219</v>
      </c>
      <c r="F12" s="45" t="s">
        <v>3225</v>
      </c>
      <c r="G12" s="45" t="s">
        <v>3223</v>
      </c>
      <c r="H12" s="45" t="s">
        <v>3229</v>
      </c>
      <c r="M12" s="13" t="str">
        <f>Show!$B$105&amp;"S.23.01.13.01 Rows {"&amp;COLUMN($C$1)&amp;"}"&amp;"@ForceFilingCode:true"</f>
        <v>!S.23.01.13.01 Rows {3}@ForceFilingCode:true</v>
      </c>
      <c r="N12" s="13" t="str">
        <f>Show!$B$105&amp;"S.23.01.13.01 Columns {"&amp;COLUMN($D$1)&amp;"}"</f>
        <v>!S.23.01.13.01 Columns {4}</v>
      </c>
    </row>
    <row r="13" spans="2:15">
      <c r="B13" s="43" t="s">
        <v>2880</v>
      </c>
      <c r="C13" s="44" t="s">
        <v>2878</v>
      </c>
      <c r="D13" s="56"/>
      <c r="E13" s="67"/>
      <c r="F13" s="66"/>
      <c r="G13" s="66"/>
      <c r="H13" s="57"/>
    </row>
    <row r="14" spans="2:15">
      <c r="B14" s="47" t="s">
        <v>3309</v>
      </c>
      <c r="C14" s="41" t="s">
        <v>2907</v>
      </c>
      <c r="D14" s="64"/>
      <c r="E14" s="46"/>
      <c r="F14" s="60"/>
      <c r="G14" s="60"/>
      <c r="H14" s="60"/>
    </row>
    <row r="15" spans="2:15">
      <c r="B15" s="47" t="s">
        <v>4358</v>
      </c>
      <c r="C15" s="41" t="s">
        <v>2937</v>
      </c>
      <c r="D15" s="60"/>
      <c r="E15" s="60"/>
      <c r="F15" s="60"/>
      <c r="G15" s="60"/>
      <c r="H15" s="63"/>
    </row>
    <row r="16" spans="2:15">
      <c r="B16" s="47" t="s">
        <v>4416</v>
      </c>
      <c r="C16" s="41" t="s">
        <v>2991</v>
      </c>
      <c r="D16" s="60"/>
      <c r="E16" s="60"/>
      <c r="F16" s="60"/>
      <c r="G16" s="64"/>
      <c r="H16" s="46"/>
    </row>
    <row r="17" spans="2:14" ht="30">
      <c r="B17" s="47" t="s">
        <v>4421</v>
      </c>
      <c r="C17" s="41" t="s">
        <v>3009</v>
      </c>
      <c r="D17" s="60"/>
      <c r="E17" s="60"/>
      <c r="F17" s="60"/>
      <c r="G17" s="60"/>
      <c r="H17" s="60"/>
    </row>
    <row r="19" spans="2:14">
      <c r="M19" s="13" t="str">
        <f>Show!$B$105&amp;Show!$B$105&amp;"S.23.01.13.01 Rows {"&amp;COLUMN($C$1)&amp;"}"</f>
        <v>!!S.23.01.13.01 Rows {3}</v>
      </c>
      <c r="N19" s="13" t="str">
        <f>Show!$B$105&amp;Show!$B$105&amp;"S.23.01.13.01 Columns {"&amp;COLUMN($H$1)&amp;"}"</f>
        <v>!!S.23.01.13.01 Columns {8}</v>
      </c>
    </row>
  </sheetData>
  <sheetProtection sheet="1" objects="1" scenarios="1"/>
  <mergeCells count="3">
    <mergeCell ref="B2:O2"/>
    <mergeCell ref="B5:L5"/>
    <mergeCell ref="D9:H10"/>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9605-1AB7-4784-9B11-D398D97519F3}">
  <sheetPr codeName="Blad110"/>
  <dimension ref="B2:O102"/>
  <sheetViews>
    <sheetView showGridLines="0" workbookViewId="0"/>
  </sheetViews>
  <sheetFormatPr defaultRowHeight="15"/>
  <cols>
    <col min="2" max="2" width="85.28515625" bestFit="1" customWidth="1"/>
    <col min="4" max="8" width="15.7109375" customWidth="1"/>
  </cols>
  <sheetData>
    <row r="2" spans="2:15" ht="23.25">
      <c r="B2" s="95" t="s">
        <v>668</v>
      </c>
      <c r="C2" s="96"/>
      <c r="D2" s="96"/>
      <c r="E2" s="96"/>
      <c r="F2" s="96"/>
      <c r="G2" s="96"/>
      <c r="H2" s="96"/>
      <c r="I2" s="96"/>
      <c r="J2" s="96"/>
      <c r="K2" s="96"/>
      <c r="L2" s="96"/>
      <c r="M2" s="96"/>
      <c r="N2" s="96"/>
      <c r="O2" s="96"/>
    </row>
    <row r="5" spans="2:15" ht="18.75">
      <c r="B5" s="97" t="s">
        <v>4430</v>
      </c>
      <c r="C5" s="96"/>
      <c r="D5" s="96"/>
      <c r="E5" s="96"/>
      <c r="F5" s="96"/>
      <c r="G5" s="96"/>
      <c r="H5" s="96"/>
      <c r="I5" s="96"/>
      <c r="J5" s="96"/>
      <c r="K5" s="96"/>
      <c r="L5" s="96"/>
    </row>
    <row r="9" spans="2:15">
      <c r="D9" s="101" t="s">
        <v>2877</v>
      </c>
      <c r="E9" s="102"/>
      <c r="F9" s="102"/>
      <c r="G9" s="102"/>
      <c r="H9" s="103"/>
    </row>
    <row r="10" spans="2:15">
      <c r="D10" s="104"/>
      <c r="E10" s="105"/>
      <c r="F10" s="105"/>
      <c r="G10" s="105"/>
      <c r="H10" s="106"/>
    </row>
    <row r="11" spans="2:15">
      <c r="D11" s="98" t="s">
        <v>3480</v>
      </c>
      <c r="E11" s="98" t="s">
        <v>2546</v>
      </c>
      <c r="F11" s="98" t="s">
        <v>2547</v>
      </c>
      <c r="G11" s="98" t="s">
        <v>2548</v>
      </c>
      <c r="H11" s="98" t="s">
        <v>2549</v>
      </c>
    </row>
    <row r="12" spans="2:15">
      <c r="D12" s="100"/>
      <c r="E12" s="100"/>
      <c r="F12" s="100"/>
      <c r="G12" s="100"/>
      <c r="H12" s="100"/>
    </row>
    <row r="13" spans="2:15">
      <c r="D13" s="45" t="s">
        <v>2879</v>
      </c>
      <c r="E13" s="45" t="s">
        <v>3219</v>
      </c>
      <c r="F13" s="45" t="s">
        <v>3225</v>
      </c>
      <c r="G13" s="45" t="s">
        <v>3223</v>
      </c>
      <c r="H13" s="45" t="s">
        <v>3229</v>
      </c>
      <c r="M13" s="13" t="str">
        <f>Show!$B$106&amp;"S.23.01.22.01 Rows {"&amp;COLUMN($C$1)&amp;"}"&amp;"@ForceFilingCode:true"</f>
        <v>!S.23.01.22.01 Rows {3}@ForceFilingCode:true</v>
      </c>
      <c r="N13" s="13" t="str">
        <f>Show!$B$106&amp;"S.23.01.22.01 Columns {"&amp;COLUMN($D$1)&amp;"}"</f>
        <v>!S.23.01.22.01 Columns {4}</v>
      </c>
    </row>
    <row r="14" spans="2:15">
      <c r="B14" s="43" t="s">
        <v>2880</v>
      </c>
      <c r="C14" s="44" t="s">
        <v>2878</v>
      </c>
      <c r="D14" s="58"/>
      <c r="E14" s="67"/>
      <c r="F14" s="67"/>
      <c r="G14" s="67"/>
      <c r="H14" s="59"/>
    </row>
    <row r="15" spans="2:15">
      <c r="B15" s="47" t="s">
        <v>4387</v>
      </c>
      <c r="C15" s="44" t="s">
        <v>2878</v>
      </c>
      <c r="D15" s="56"/>
      <c r="E15" s="66"/>
      <c r="F15" s="67"/>
      <c r="G15" s="66"/>
      <c r="H15" s="59"/>
    </row>
    <row r="16" spans="2:15">
      <c r="B16" s="49" t="s">
        <v>4345</v>
      </c>
      <c r="C16" s="41" t="s">
        <v>2883</v>
      </c>
      <c r="D16" s="60"/>
      <c r="E16" s="64"/>
      <c r="F16" s="48"/>
      <c r="G16" s="64"/>
      <c r="H16" s="48"/>
    </row>
    <row r="17" spans="2:8">
      <c r="B17" s="49" t="s">
        <v>4388</v>
      </c>
      <c r="C17" s="41" t="s">
        <v>2885</v>
      </c>
      <c r="D17" s="60"/>
      <c r="E17" s="64"/>
      <c r="F17" s="48"/>
      <c r="G17" s="64"/>
      <c r="H17" s="48"/>
    </row>
    <row r="18" spans="2:8">
      <c r="B18" s="49" t="s">
        <v>4346</v>
      </c>
      <c r="C18" s="41" t="s">
        <v>2887</v>
      </c>
      <c r="D18" s="60"/>
      <c r="E18" s="64"/>
      <c r="F18" s="48"/>
      <c r="G18" s="64"/>
      <c r="H18" s="48"/>
    </row>
    <row r="19" spans="2:8" ht="30">
      <c r="B19" s="49" t="s">
        <v>4347</v>
      </c>
      <c r="C19" s="41" t="s">
        <v>2889</v>
      </c>
      <c r="D19" s="60"/>
      <c r="E19" s="65"/>
      <c r="F19" s="46"/>
      <c r="G19" s="64"/>
      <c r="H19" s="46"/>
    </row>
    <row r="20" spans="2:8">
      <c r="B20" s="49" t="s">
        <v>4348</v>
      </c>
      <c r="C20" s="41" t="s">
        <v>3078</v>
      </c>
      <c r="D20" s="64"/>
      <c r="E20" s="48"/>
      <c r="F20" s="60"/>
      <c r="G20" s="60"/>
      <c r="H20" s="60"/>
    </row>
    <row r="21" spans="2:8">
      <c r="B21" s="49" t="s">
        <v>4389</v>
      </c>
      <c r="C21" s="41" t="s">
        <v>2891</v>
      </c>
      <c r="D21" s="64"/>
      <c r="E21" s="46"/>
      <c r="F21" s="63"/>
      <c r="G21" s="63"/>
      <c r="H21" s="63"/>
    </row>
    <row r="22" spans="2:8">
      <c r="B22" s="49" t="s">
        <v>4349</v>
      </c>
      <c r="C22" s="41" t="s">
        <v>2893</v>
      </c>
      <c r="D22" s="60"/>
      <c r="E22" s="64"/>
      <c r="F22" s="58"/>
      <c r="G22" s="58"/>
      <c r="H22" s="48"/>
    </row>
    <row r="23" spans="2:8">
      <c r="B23" s="49" t="s">
        <v>4390</v>
      </c>
      <c r="C23" s="41" t="s">
        <v>2895</v>
      </c>
      <c r="D23" s="60"/>
      <c r="E23" s="65"/>
      <c r="F23" s="56"/>
      <c r="G23" s="56"/>
      <c r="H23" s="46"/>
    </row>
    <row r="24" spans="2:8">
      <c r="B24" s="49" t="s">
        <v>4350</v>
      </c>
      <c r="C24" s="41" t="s">
        <v>2897</v>
      </c>
      <c r="D24" s="64"/>
      <c r="E24" s="48"/>
      <c r="F24" s="60"/>
      <c r="G24" s="60"/>
      <c r="H24" s="60"/>
    </row>
    <row r="25" spans="2:8">
      <c r="B25" s="49" t="s">
        <v>4391</v>
      </c>
      <c r="C25" s="41" t="s">
        <v>2899</v>
      </c>
      <c r="D25" s="64"/>
      <c r="E25" s="48"/>
      <c r="F25" s="60"/>
      <c r="G25" s="60"/>
      <c r="H25" s="60"/>
    </row>
    <row r="26" spans="2:8">
      <c r="B26" s="49" t="s">
        <v>4351</v>
      </c>
      <c r="C26" s="41" t="s">
        <v>2901</v>
      </c>
      <c r="D26" s="64"/>
      <c r="E26" s="48"/>
      <c r="F26" s="60"/>
      <c r="G26" s="60"/>
      <c r="H26" s="60"/>
    </row>
    <row r="27" spans="2:8">
      <c r="B27" s="49" t="s">
        <v>4392</v>
      </c>
      <c r="C27" s="41" t="s">
        <v>2903</v>
      </c>
      <c r="D27" s="64"/>
      <c r="E27" s="46"/>
      <c r="F27" s="63"/>
      <c r="G27" s="63"/>
      <c r="H27" s="63"/>
    </row>
    <row r="28" spans="2:8">
      <c r="B28" s="49" t="s">
        <v>4352</v>
      </c>
      <c r="C28" s="41" t="s">
        <v>2905</v>
      </c>
      <c r="D28" s="60"/>
      <c r="E28" s="65"/>
      <c r="F28" s="56"/>
      <c r="G28" s="56"/>
      <c r="H28" s="46"/>
    </row>
    <row r="29" spans="2:8">
      <c r="B29" s="49" t="s">
        <v>3309</v>
      </c>
      <c r="C29" s="41" t="s">
        <v>2907</v>
      </c>
      <c r="D29" s="64"/>
      <c r="E29" s="48"/>
      <c r="F29" s="60"/>
      <c r="G29" s="60"/>
      <c r="H29" s="60"/>
    </row>
    <row r="30" spans="2:8">
      <c r="B30" s="49" t="s">
        <v>4393</v>
      </c>
      <c r="C30" s="41" t="s">
        <v>2909</v>
      </c>
      <c r="D30" s="64"/>
      <c r="E30" s="48"/>
      <c r="F30" s="63"/>
      <c r="G30" s="63"/>
      <c r="H30" s="60"/>
    </row>
    <row r="31" spans="2:8">
      <c r="B31" s="49" t="s">
        <v>4353</v>
      </c>
      <c r="C31" s="41" t="s">
        <v>2911</v>
      </c>
      <c r="D31" s="64"/>
      <c r="E31" s="58"/>
      <c r="F31" s="58"/>
      <c r="G31" s="48"/>
      <c r="H31" s="60"/>
    </row>
    <row r="32" spans="2:8">
      <c r="B32" s="49" t="s">
        <v>4394</v>
      </c>
      <c r="C32" s="41" t="s">
        <v>2913</v>
      </c>
      <c r="D32" s="64"/>
      <c r="E32" s="56"/>
      <c r="F32" s="56"/>
      <c r="G32" s="46"/>
      <c r="H32" s="60"/>
    </row>
    <row r="33" spans="2:8">
      <c r="B33" s="49" t="s">
        <v>4395</v>
      </c>
      <c r="C33" s="41" t="s">
        <v>2915</v>
      </c>
      <c r="D33" s="60"/>
      <c r="E33" s="60"/>
      <c r="F33" s="60"/>
      <c r="G33" s="60"/>
      <c r="H33" s="60"/>
    </row>
    <row r="34" spans="2:8" ht="30">
      <c r="B34" s="49" t="s">
        <v>4396</v>
      </c>
      <c r="C34" s="41" t="s">
        <v>2917</v>
      </c>
      <c r="D34" s="60"/>
      <c r="E34" s="60"/>
      <c r="F34" s="60"/>
      <c r="G34" s="60"/>
      <c r="H34" s="60"/>
    </row>
    <row r="35" spans="2:8">
      <c r="B35" s="49" t="s">
        <v>4397</v>
      </c>
      <c r="C35" s="41" t="s">
        <v>2919</v>
      </c>
      <c r="D35" s="60"/>
      <c r="E35" s="60"/>
      <c r="F35" s="60"/>
      <c r="G35" s="60"/>
      <c r="H35" s="60"/>
    </row>
    <row r="36" spans="2:8">
      <c r="B36" s="49" t="s">
        <v>4398</v>
      </c>
      <c r="C36" s="41" t="s">
        <v>2921</v>
      </c>
      <c r="D36" s="63"/>
      <c r="E36" s="63"/>
      <c r="F36" s="63"/>
      <c r="G36" s="63"/>
      <c r="H36" s="63"/>
    </row>
    <row r="37" spans="2:8" ht="45">
      <c r="B37" s="47" t="s">
        <v>4355</v>
      </c>
      <c r="C37" s="44" t="s">
        <v>2878</v>
      </c>
      <c r="D37" s="56"/>
      <c r="E37" s="67"/>
      <c r="F37" s="67"/>
      <c r="G37" s="67"/>
      <c r="H37" s="59"/>
    </row>
    <row r="38" spans="2:8" ht="45">
      <c r="B38" s="49" t="s">
        <v>4355</v>
      </c>
      <c r="C38" s="41" t="s">
        <v>2923</v>
      </c>
      <c r="D38" s="65"/>
      <c r="E38" s="58"/>
      <c r="F38" s="58"/>
      <c r="G38" s="58"/>
      <c r="H38" s="48"/>
    </row>
    <row r="39" spans="2:8">
      <c r="B39" s="47" t="s">
        <v>4356</v>
      </c>
      <c r="C39" s="44" t="s">
        <v>2878</v>
      </c>
      <c r="D39" s="56"/>
      <c r="E39" s="66"/>
      <c r="F39" s="66"/>
      <c r="G39" s="66"/>
      <c r="H39" s="57"/>
    </row>
    <row r="40" spans="2:8" ht="30">
      <c r="B40" s="49" t="s">
        <v>4399</v>
      </c>
      <c r="C40" s="41" t="s">
        <v>2925</v>
      </c>
      <c r="D40" s="60"/>
      <c r="E40" s="60"/>
      <c r="F40" s="60"/>
      <c r="G40" s="60"/>
      <c r="H40" s="63"/>
    </row>
    <row r="41" spans="2:8">
      <c r="B41" s="49" t="s">
        <v>4400</v>
      </c>
      <c r="C41" s="41" t="s">
        <v>2927</v>
      </c>
      <c r="D41" s="60"/>
      <c r="E41" s="60"/>
      <c r="F41" s="60"/>
      <c r="G41" s="64"/>
      <c r="H41" s="46"/>
    </row>
    <row r="42" spans="2:8">
      <c r="B42" s="49" t="s">
        <v>4401</v>
      </c>
      <c r="C42" s="41" t="s">
        <v>2929</v>
      </c>
      <c r="D42" s="60"/>
      <c r="E42" s="60"/>
      <c r="F42" s="60"/>
      <c r="G42" s="60"/>
      <c r="H42" s="60"/>
    </row>
    <row r="43" spans="2:8" ht="30">
      <c r="B43" s="49" t="s">
        <v>4402</v>
      </c>
      <c r="C43" s="41" t="s">
        <v>2931</v>
      </c>
      <c r="D43" s="60"/>
      <c r="E43" s="60"/>
      <c r="F43" s="60"/>
      <c r="G43" s="60"/>
      <c r="H43" s="60"/>
    </row>
    <row r="44" spans="2:8">
      <c r="B44" s="49" t="s">
        <v>4403</v>
      </c>
      <c r="C44" s="41" t="s">
        <v>2933</v>
      </c>
      <c r="D44" s="60"/>
      <c r="E44" s="60"/>
      <c r="F44" s="60"/>
      <c r="G44" s="60"/>
      <c r="H44" s="60"/>
    </row>
    <row r="45" spans="2:8">
      <c r="B45" s="47" t="s">
        <v>4404</v>
      </c>
      <c r="C45" s="41" t="s">
        <v>2935</v>
      </c>
      <c r="D45" s="60"/>
      <c r="E45" s="60"/>
      <c r="F45" s="60"/>
      <c r="G45" s="60"/>
      <c r="H45" s="60"/>
    </row>
    <row r="46" spans="2:8">
      <c r="B46" s="47" t="s">
        <v>4358</v>
      </c>
      <c r="C46" s="41" t="s">
        <v>2937</v>
      </c>
      <c r="D46" s="63"/>
      <c r="E46" s="63"/>
      <c r="F46" s="63"/>
      <c r="G46" s="63"/>
      <c r="H46" s="63"/>
    </row>
    <row r="47" spans="2:8">
      <c r="B47" s="47" t="s">
        <v>1232</v>
      </c>
      <c r="C47" s="44" t="s">
        <v>2878</v>
      </c>
      <c r="D47" s="56"/>
      <c r="E47" s="67"/>
      <c r="F47" s="67"/>
      <c r="G47" s="66"/>
      <c r="H47" s="59"/>
    </row>
    <row r="48" spans="2:8">
      <c r="B48" s="49" t="s">
        <v>4359</v>
      </c>
      <c r="C48" s="41" t="s">
        <v>2939</v>
      </c>
      <c r="D48" s="64"/>
      <c r="E48" s="58"/>
      <c r="F48" s="48"/>
      <c r="G48" s="64"/>
      <c r="H48" s="48"/>
    </row>
    <row r="49" spans="2:8" ht="30">
      <c r="B49" s="49" t="s">
        <v>4360</v>
      </c>
      <c r="C49" s="41" t="s">
        <v>2941</v>
      </c>
      <c r="D49" s="64"/>
      <c r="E49" s="58"/>
      <c r="F49" s="48"/>
      <c r="G49" s="64"/>
      <c r="H49" s="46"/>
    </row>
    <row r="50" spans="2:8">
      <c r="B50" s="49" t="s">
        <v>4361</v>
      </c>
      <c r="C50" s="41" t="s">
        <v>2943</v>
      </c>
      <c r="D50" s="64"/>
      <c r="E50" s="58"/>
      <c r="F50" s="48"/>
      <c r="G50" s="60"/>
      <c r="H50" s="60"/>
    </row>
    <row r="51" spans="2:8" ht="30">
      <c r="B51" s="49" t="s">
        <v>4362</v>
      </c>
      <c r="C51" s="41" t="s">
        <v>2945</v>
      </c>
      <c r="D51" s="64"/>
      <c r="E51" s="58"/>
      <c r="F51" s="48"/>
      <c r="G51" s="60"/>
      <c r="H51" s="63"/>
    </row>
    <row r="52" spans="2:8">
      <c r="B52" s="49" t="s">
        <v>4363</v>
      </c>
      <c r="C52" s="41" t="s">
        <v>2947</v>
      </c>
      <c r="D52" s="64"/>
      <c r="E52" s="58"/>
      <c r="F52" s="48"/>
      <c r="G52" s="64"/>
      <c r="H52" s="46"/>
    </row>
    <row r="53" spans="2:8" ht="30">
      <c r="B53" s="49" t="s">
        <v>4364</v>
      </c>
      <c r="C53" s="41" t="s">
        <v>2949</v>
      </c>
      <c r="D53" s="64"/>
      <c r="E53" s="58"/>
      <c r="F53" s="48"/>
      <c r="G53" s="60"/>
      <c r="H53" s="63"/>
    </row>
    <row r="54" spans="2:8" ht="30">
      <c r="B54" s="49" t="s">
        <v>4365</v>
      </c>
      <c r="C54" s="41" t="s">
        <v>2951</v>
      </c>
      <c r="D54" s="64"/>
      <c r="E54" s="58"/>
      <c r="F54" s="48"/>
      <c r="G54" s="64"/>
      <c r="H54" s="46"/>
    </row>
    <row r="55" spans="2:8" ht="30">
      <c r="B55" s="49" t="s">
        <v>4366</v>
      </c>
      <c r="C55" s="41" t="s">
        <v>2953</v>
      </c>
      <c r="D55" s="64"/>
      <c r="E55" s="58"/>
      <c r="F55" s="48"/>
      <c r="G55" s="60"/>
      <c r="H55" s="60"/>
    </row>
    <row r="56" spans="2:8">
      <c r="B56" s="49" t="s">
        <v>4405</v>
      </c>
      <c r="C56" s="41" t="s">
        <v>2955</v>
      </c>
      <c r="D56" s="64"/>
      <c r="E56" s="58"/>
      <c r="F56" s="48"/>
      <c r="G56" s="60"/>
      <c r="H56" s="60"/>
    </row>
    <row r="57" spans="2:8">
      <c r="B57" s="49" t="s">
        <v>4367</v>
      </c>
      <c r="C57" s="41" t="s">
        <v>2957</v>
      </c>
      <c r="D57" s="64"/>
      <c r="E57" s="58"/>
      <c r="F57" s="48"/>
      <c r="G57" s="60"/>
      <c r="H57" s="60"/>
    </row>
    <row r="58" spans="2:8">
      <c r="B58" s="47" t="s">
        <v>4368</v>
      </c>
      <c r="C58" s="41" t="s">
        <v>2959</v>
      </c>
      <c r="D58" s="65"/>
      <c r="E58" s="58"/>
      <c r="F58" s="48"/>
      <c r="G58" s="63"/>
      <c r="H58" s="63"/>
    </row>
    <row r="59" spans="2:8">
      <c r="B59" s="47" t="s">
        <v>4406</v>
      </c>
      <c r="C59" s="44" t="s">
        <v>2878</v>
      </c>
      <c r="D59" s="56"/>
      <c r="E59" s="66"/>
      <c r="F59" s="66"/>
      <c r="G59" s="66"/>
      <c r="H59" s="59"/>
    </row>
    <row r="60" spans="2:8" ht="30">
      <c r="B60" s="49" t="s">
        <v>4407</v>
      </c>
      <c r="C60" s="41" t="s">
        <v>2961</v>
      </c>
      <c r="D60" s="60"/>
      <c r="E60" s="60"/>
      <c r="F60" s="60"/>
      <c r="G60" s="64"/>
      <c r="H60" s="46"/>
    </row>
    <row r="61" spans="2:8">
      <c r="B61" s="49" t="s">
        <v>2772</v>
      </c>
      <c r="C61" s="41" t="s">
        <v>2963</v>
      </c>
      <c r="D61" s="60"/>
      <c r="E61" s="60"/>
      <c r="F61" s="60"/>
      <c r="G61" s="60"/>
      <c r="H61" s="63"/>
    </row>
    <row r="62" spans="2:8">
      <c r="B62" s="49" t="s">
        <v>4408</v>
      </c>
      <c r="C62" s="41" t="s">
        <v>2965</v>
      </c>
      <c r="D62" s="60"/>
      <c r="E62" s="60"/>
      <c r="F62" s="60"/>
      <c r="G62" s="64"/>
      <c r="H62" s="46"/>
    </row>
    <row r="63" spans="2:8">
      <c r="B63" s="49" t="s">
        <v>4409</v>
      </c>
      <c r="C63" s="41" t="s">
        <v>2967</v>
      </c>
      <c r="D63" s="63"/>
      <c r="E63" s="63"/>
      <c r="F63" s="63"/>
      <c r="G63" s="63"/>
      <c r="H63" s="63"/>
    </row>
    <row r="64" spans="2:8">
      <c r="B64" s="47" t="s">
        <v>4410</v>
      </c>
      <c r="C64" s="44" t="s">
        <v>2878</v>
      </c>
      <c r="D64" s="56"/>
      <c r="E64" s="66"/>
      <c r="F64" s="66"/>
      <c r="G64" s="66"/>
      <c r="H64" s="57"/>
    </row>
    <row r="65" spans="2:14">
      <c r="B65" s="49" t="s">
        <v>4411</v>
      </c>
      <c r="C65" s="41" t="s">
        <v>2969</v>
      </c>
      <c r="D65" s="60"/>
      <c r="E65" s="60"/>
      <c r="F65" s="60"/>
      <c r="G65" s="60"/>
      <c r="H65" s="60"/>
    </row>
    <row r="66" spans="2:14">
      <c r="B66" s="49" t="s">
        <v>4412</v>
      </c>
      <c r="C66" s="41" t="s">
        <v>2971</v>
      </c>
      <c r="D66" s="60"/>
      <c r="E66" s="60"/>
      <c r="F66" s="60"/>
      <c r="G66" s="60"/>
      <c r="H66" s="60"/>
    </row>
    <row r="67" spans="2:14" ht="30">
      <c r="B67" s="49" t="s">
        <v>4413</v>
      </c>
      <c r="C67" s="41" t="s">
        <v>2981</v>
      </c>
      <c r="D67" s="60"/>
      <c r="E67" s="60"/>
      <c r="F67" s="60"/>
      <c r="G67" s="60"/>
      <c r="H67" s="63"/>
    </row>
    <row r="68" spans="2:14">
      <c r="B68" s="49" t="s">
        <v>4414</v>
      </c>
      <c r="C68" s="41" t="s">
        <v>2983</v>
      </c>
      <c r="D68" s="60"/>
      <c r="E68" s="60"/>
      <c r="F68" s="60"/>
      <c r="G68" s="64"/>
      <c r="H68" s="46"/>
    </row>
    <row r="69" spans="2:14" ht="30">
      <c r="B69" s="49" t="s">
        <v>4415</v>
      </c>
      <c r="C69" s="41" t="s">
        <v>2989</v>
      </c>
      <c r="D69" s="60"/>
      <c r="E69" s="60"/>
      <c r="F69" s="60"/>
      <c r="G69" s="60"/>
      <c r="H69" s="63"/>
    </row>
    <row r="70" spans="2:14">
      <c r="B70" s="49" t="s">
        <v>4416</v>
      </c>
      <c r="C70" s="41" t="s">
        <v>2991</v>
      </c>
      <c r="D70" s="60"/>
      <c r="E70" s="63"/>
      <c r="F70" s="63"/>
      <c r="G70" s="65"/>
      <c r="H70" s="48"/>
    </row>
    <row r="71" spans="2:14">
      <c r="B71" s="47" t="s">
        <v>4418</v>
      </c>
      <c r="C71" s="41" t="s">
        <v>2999</v>
      </c>
      <c r="D71" s="64"/>
      <c r="E71" s="58"/>
      <c r="F71" s="58"/>
      <c r="G71" s="58"/>
      <c r="H71" s="48"/>
    </row>
    <row r="72" spans="2:14">
      <c r="B72" s="47" t="s">
        <v>4420</v>
      </c>
      <c r="C72" s="41" t="s">
        <v>3007</v>
      </c>
      <c r="D72" s="71"/>
      <c r="E72" s="56"/>
      <c r="F72" s="56"/>
      <c r="G72" s="56"/>
      <c r="H72" s="46"/>
    </row>
    <row r="73" spans="2:14" ht="30">
      <c r="B73" s="47" t="s">
        <v>4431</v>
      </c>
      <c r="C73" s="41" t="s">
        <v>3009</v>
      </c>
      <c r="D73" s="60"/>
      <c r="E73" s="63"/>
      <c r="F73" s="63"/>
      <c r="G73" s="63"/>
      <c r="H73" s="63"/>
    </row>
    <row r="74" spans="2:14">
      <c r="B74" s="47" t="s">
        <v>4423</v>
      </c>
      <c r="C74" s="41" t="s">
        <v>3013</v>
      </c>
      <c r="D74" s="64"/>
      <c r="E74" s="58"/>
      <c r="F74" s="58"/>
      <c r="G74" s="58"/>
      <c r="H74" s="48"/>
    </row>
    <row r="75" spans="2:14" ht="30">
      <c r="B75" s="47" t="s">
        <v>4424</v>
      </c>
      <c r="C75" s="41" t="s">
        <v>3015</v>
      </c>
      <c r="D75" s="71"/>
      <c r="E75" s="56"/>
      <c r="F75" s="56"/>
      <c r="G75" s="56"/>
      <c r="H75" s="46"/>
    </row>
    <row r="77" spans="2:14">
      <c r="M77" s="13" t="str">
        <f>Show!$B$106&amp;Show!$B$106&amp;"S.23.01.22.01 Rows {"&amp;COLUMN($C$1)&amp;"}"</f>
        <v>!!S.23.01.22.01 Rows {3}</v>
      </c>
      <c r="N77" s="13" t="str">
        <f>Show!$B$106&amp;Show!$B$106&amp;"S.23.01.22.01 Columns {"&amp;COLUMN($H$1)&amp;"}"</f>
        <v>!!S.23.01.22.01 Columns {8}</v>
      </c>
    </row>
    <row r="79" spans="2:14" ht="18.75">
      <c r="B79" s="97" t="s">
        <v>4432</v>
      </c>
      <c r="C79" s="96"/>
      <c r="D79" s="96"/>
      <c r="E79" s="96"/>
      <c r="F79" s="96"/>
      <c r="G79" s="96"/>
      <c r="H79" s="96"/>
      <c r="I79" s="96"/>
      <c r="J79" s="96"/>
      <c r="K79" s="96"/>
      <c r="L79" s="96"/>
    </row>
    <row r="83" spans="2:14">
      <c r="D83" s="98" t="s">
        <v>2877</v>
      </c>
    </row>
    <row r="84" spans="2:14">
      <c r="D84" s="99"/>
    </row>
    <row r="85" spans="2:14">
      <c r="D85" s="99"/>
    </row>
    <row r="86" spans="2:14">
      <c r="D86" s="100"/>
    </row>
    <row r="87" spans="2:14">
      <c r="D87" s="45" t="s">
        <v>3231</v>
      </c>
      <c r="M87" s="13" t="str">
        <f>Show!$B$106&amp;"S.23.01.22.02 Rows {"&amp;COLUMN($C$1)&amp;"}"&amp;"@ForceFilingCode:true"</f>
        <v>!S.23.01.22.02 Rows {3}@ForceFilingCode:true</v>
      </c>
      <c r="N87" s="13" t="str">
        <f>Show!$B$106&amp;"S.23.01.22.02 Columns {"&amp;COLUMN($D$1)&amp;"}"</f>
        <v>!S.23.01.22.02 Columns {4}</v>
      </c>
    </row>
    <row r="88" spans="2:14">
      <c r="B88" s="43" t="s">
        <v>2880</v>
      </c>
      <c r="C88" s="44" t="s">
        <v>2878</v>
      </c>
      <c r="D88" s="48"/>
    </row>
    <row r="89" spans="2:14">
      <c r="B89" s="47" t="s">
        <v>4352</v>
      </c>
      <c r="C89" s="44" t="s">
        <v>2878</v>
      </c>
      <c r="D89" s="46"/>
    </row>
    <row r="90" spans="2:14">
      <c r="B90" s="49" t="s">
        <v>3314</v>
      </c>
      <c r="C90" s="41" t="s">
        <v>3064</v>
      </c>
      <c r="D90" s="60"/>
    </row>
    <row r="91" spans="2:14">
      <c r="B91" s="49" t="s">
        <v>4378</v>
      </c>
      <c r="C91" s="41" t="s">
        <v>3066</v>
      </c>
      <c r="D91" s="60"/>
    </row>
    <row r="92" spans="2:14">
      <c r="B92" s="49" t="s">
        <v>4379</v>
      </c>
      <c r="C92" s="41" t="s">
        <v>3068</v>
      </c>
      <c r="D92" s="60"/>
    </row>
    <row r="93" spans="2:14">
      <c r="B93" s="49" t="s">
        <v>4380</v>
      </c>
      <c r="C93" s="41" t="s">
        <v>3070</v>
      </c>
      <c r="D93" s="60"/>
    </row>
    <row r="94" spans="2:14" ht="30">
      <c r="B94" s="49" t="s">
        <v>4381</v>
      </c>
      <c r="C94" s="41" t="s">
        <v>3017</v>
      </c>
      <c r="D94" s="60"/>
    </row>
    <row r="95" spans="2:14">
      <c r="B95" s="49" t="s">
        <v>4426</v>
      </c>
      <c r="C95" s="41" t="s">
        <v>3019</v>
      </c>
      <c r="D95" s="60"/>
    </row>
    <row r="96" spans="2:14">
      <c r="B96" s="47" t="s">
        <v>4352</v>
      </c>
      <c r="C96" s="41" t="s">
        <v>3021</v>
      </c>
      <c r="D96" s="63"/>
    </row>
    <row r="97" spans="2:14">
      <c r="B97" s="47" t="s">
        <v>4382</v>
      </c>
      <c r="C97" s="44" t="s">
        <v>2878</v>
      </c>
      <c r="D97" s="46"/>
    </row>
    <row r="98" spans="2:14">
      <c r="B98" s="49" t="s">
        <v>4383</v>
      </c>
      <c r="C98" s="41" t="s">
        <v>3023</v>
      </c>
      <c r="D98" s="60"/>
    </row>
    <row r="99" spans="2:14">
      <c r="B99" s="49" t="s">
        <v>4384</v>
      </c>
      <c r="C99" s="41" t="s">
        <v>3072</v>
      </c>
      <c r="D99" s="60"/>
    </row>
    <row r="100" spans="2:14">
      <c r="B100" s="47" t="s">
        <v>4385</v>
      </c>
      <c r="C100" s="41" t="s">
        <v>3118</v>
      </c>
      <c r="D100" s="60"/>
    </row>
    <row r="102" spans="2:14">
      <c r="M102" s="13" t="str">
        <f>Show!$B$106&amp;Show!$B$106&amp;"S.23.01.22.02 Rows {"&amp;COLUMN($C$1)&amp;"}"</f>
        <v>!!S.23.01.22.02 Rows {3}</v>
      </c>
      <c r="N102" s="13" t="str">
        <f>Show!$B$106&amp;Show!$B$106&amp;"S.23.01.22.02 Columns {"&amp;COLUMN($D$1)&amp;"}"</f>
        <v>!!S.23.01.22.02 Columns {4}</v>
      </c>
    </row>
  </sheetData>
  <sheetProtection sheet="1" objects="1" scenarios="1"/>
  <mergeCells count="10">
    <mergeCell ref="B79:L79"/>
    <mergeCell ref="D83:D86"/>
    <mergeCell ref="B2:O2"/>
    <mergeCell ref="B5:L5"/>
    <mergeCell ref="D9:H10"/>
    <mergeCell ref="D11:D12"/>
    <mergeCell ref="E11:E12"/>
    <mergeCell ref="F11:F12"/>
    <mergeCell ref="G11:G12"/>
    <mergeCell ref="H11:H12"/>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EEF9A-F641-4CD7-92A1-41EDC13F0D64}">
  <sheetPr codeName="Blad111"/>
  <dimension ref="B2:Q91"/>
  <sheetViews>
    <sheetView showGridLines="0" workbookViewId="0"/>
  </sheetViews>
  <sheetFormatPr defaultRowHeight="15"/>
  <cols>
    <col min="2" max="2" width="83.7109375" bestFit="1" customWidth="1"/>
    <col min="4" max="4" width="40.7109375" customWidth="1"/>
    <col min="5" max="9" width="15.7109375" customWidth="1"/>
  </cols>
  <sheetData>
    <row r="2" spans="2:17" ht="23.25">
      <c r="B2" s="95" t="s">
        <v>674</v>
      </c>
      <c r="C2" s="96"/>
      <c r="D2" s="96"/>
      <c r="E2" s="96"/>
      <c r="F2" s="96"/>
      <c r="G2" s="96"/>
      <c r="H2" s="96"/>
      <c r="I2" s="96"/>
      <c r="J2" s="96"/>
      <c r="K2" s="96"/>
      <c r="L2" s="96"/>
      <c r="M2" s="96"/>
      <c r="N2" s="96"/>
      <c r="O2" s="96"/>
    </row>
    <row r="5" spans="2:17" ht="18.75">
      <c r="B5" s="97" t="s">
        <v>4433</v>
      </c>
      <c r="C5" s="96"/>
      <c r="D5" s="96"/>
      <c r="E5" s="96"/>
      <c r="F5" s="96"/>
      <c r="G5" s="96"/>
      <c r="H5" s="96"/>
      <c r="I5" s="96"/>
      <c r="J5" s="96"/>
      <c r="K5" s="96"/>
      <c r="L5" s="96"/>
    </row>
    <row r="9" spans="2:17">
      <c r="D9" s="101" t="s">
        <v>2877</v>
      </c>
      <c r="E9" s="102"/>
      <c r="F9" s="102"/>
      <c r="G9" s="102"/>
      <c r="H9" s="102"/>
      <c r="I9" s="103"/>
    </row>
    <row r="10" spans="2:17">
      <c r="D10" s="104"/>
      <c r="E10" s="105"/>
      <c r="F10" s="105"/>
      <c r="G10" s="105"/>
      <c r="H10" s="105"/>
      <c r="I10" s="106"/>
    </row>
    <row r="11" spans="2:17">
      <c r="D11" s="98" t="s">
        <v>3480</v>
      </c>
      <c r="E11" s="101" t="s">
        <v>2545</v>
      </c>
      <c r="F11" s="109"/>
      <c r="G11" s="101" t="s">
        <v>2548</v>
      </c>
      <c r="H11" s="109"/>
      <c r="I11" s="98" t="s">
        <v>2549</v>
      </c>
    </row>
    <row r="12" spans="2:17" ht="45">
      <c r="D12" s="100"/>
      <c r="E12" s="77"/>
      <c r="F12" s="55" t="s">
        <v>4434</v>
      </c>
      <c r="G12" s="77"/>
      <c r="H12" s="55" t="s">
        <v>4434</v>
      </c>
      <c r="I12" s="100"/>
    </row>
    <row r="13" spans="2:17">
      <c r="D13" s="45" t="s">
        <v>2879</v>
      </c>
      <c r="E13" s="45" t="s">
        <v>3219</v>
      </c>
      <c r="F13" s="45" t="s">
        <v>3225</v>
      </c>
      <c r="G13" s="45" t="s">
        <v>3223</v>
      </c>
      <c r="H13" s="45" t="s">
        <v>3229</v>
      </c>
      <c r="I13" s="45" t="s">
        <v>3231</v>
      </c>
      <c r="P13" s="13" t="str">
        <f>Show!$B$107&amp;"S.23.02.01.01 Rows {"&amp;COLUMN($C$1)&amp;"}"&amp;"@ForceFilingCode:true"</f>
        <v>!S.23.02.01.01 Rows {3}@ForceFilingCode:true</v>
      </c>
      <c r="Q13" s="13" t="str">
        <f>Show!$B$107&amp;"S.23.02.01.01 Columns {"&amp;COLUMN($D$1)&amp;"}"</f>
        <v>!S.23.02.01.01 Columns {4}</v>
      </c>
    </row>
    <row r="14" spans="2:17">
      <c r="B14" s="43" t="s">
        <v>2880</v>
      </c>
      <c r="C14" s="44" t="s">
        <v>2878</v>
      </c>
      <c r="D14" s="58"/>
      <c r="E14" s="67"/>
      <c r="F14" s="67"/>
      <c r="G14" s="67"/>
      <c r="H14" s="67"/>
      <c r="I14" s="59"/>
    </row>
    <row r="15" spans="2:17">
      <c r="B15" s="47" t="s">
        <v>4435</v>
      </c>
      <c r="C15" s="44" t="s">
        <v>2878</v>
      </c>
      <c r="D15" s="56"/>
      <c r="E15" s="66"/>
      <c r="F15" s="67"/>
      <c r="G15" s="67"/>
      <c r="H15" s="67"/>
      <c r="I15" s="59"/>
    </row>
    <row r="16" spans="2:17">
      <c r="B16" s="49" t="s">
        <v>4436</v>
      </c>
      <c r="C16" s="41" t="s">
        <v>2883</v>
      </c>
      <c r="D16" s="60"/>
      <c r="E16" s="65"/>
      <c r="F16" s="58"/>
      <c r="G16" s="56"/>
      <c r="H16" s="58"/>
      <c r="I16" s="48"/>
    </row>
    <row r="17" spans="2:9">
      <c r="B17" s="49" t="s">
        <v>4437</v>
      </c>
      <c r="C17" s="41" t="s">
        <v>2885</v>
      </c>
      <c r="D17" s="64"/>
      <c r="E17" s="56"/>
      <c r="F17" s="48"/>
      <c r="G17" s="65"/>
      <c r="H17" s="58"/>
      <c r="I17" s="48"/>
    </row>
    <row r="18" spans="2:9">
      <c r="B18" s="49" t="s">
        <v>4438</v>
      </c>
      <c r="C18" s="41" t="s">
        <v>2887</v>
      </c>
      <c r="D18" s="60"/>
      <c r="E18" s="64"/>
      <c r="F18" s="58"/>
      <c r="G18" s="56"/>
      <c r="H18" s="58"/>
      <c r="I18" s="48"/>
    </row>
    <row r="19" spans="2:9">
      <c r="B19" s="47" t="s">
        <v>4439</v>
      </c>
      <c r="C19" s="41" t="s">
        <v>2899</v>
      </c>
      <c r="D19" s="63"/>
      <c r="E19" s="65"/>
      <c r="F19" s="48"/>
      <c r="G19" s="65"/>
      <c r="H19" s="58"/>
      <c r="I19" s="48"/>
    </row>
    <row r="20" spans="2:9" ht="30">
      <c r="B20" s="47" t="s">
        <v>4440</v>
      </c>
      <c r="C20" s="44" t="s">
        <v>2878</v>
      </c>
      <c r="D20" s="56"/>
      <c r="E20" s="66"/>
      <c r="F20" s="67"/>
      <c r="G20" s="67"/>
      <c r="H20" s="67"/>
      <c r="I20" s="59"/>
    </row>
    <row r="21" spans="2:9">
      <c r="B21" s="49" t="s">
        <v>4436</v>
      </c>
      <c r="C21" s="41" t="s">
        <v>2901</v>
      </c>
      <c r="D21" s="60"/>
      <c r="E21" s="65"/>
      <c r="F21" s="58"/>
      <c r="G21" s="56"/>
      <c r="H21" s="58"/>
      <c r="I21" s="48"/>
    </row>
    <row r="22" spans="2:9">
      <c r="B22" s="49" t="s">
        <v>4437</v>
      </c>
      <c r="C22" s="41" t="s">
        <v>2903</v>
      </c>
      <c r="D22" s="64"/>
      <c r="E22" s="56"/>
      <c r="F22" s="48"/>
      <c r="G22" s="64"/>
      <c r="H22" s="58"/>
      <c r="I22" s="48"/>
    </row>
    <row r="23" spans="2:9" ht="30">
      <c r="B23" s="47" t="s">
        <v>4441</v>
      </c>
      <c r="C23" s="41" t="s">
        <v>2919</v>
      </c>
      <c r="D23" s="63"/>
      <c r="E23" s="65"/>
      <c r="F23" s="48"/>
      <c r="G23" s="65"/>
      <c r="H23" s="58"/>
      <c r="I23" s="48"/>
    </row>
    <row r="24" spans="2:9">
      <c r="B24" s="47" t="s">
        <v>4442</v>
      </c>
      <c r="C24" s="44" t="s">
        <v>2878</v>
      </c>
      <c r="D24" s="56"/>
      <c r="E24" s="66"/>
      <c r="F24" s="66"/>
      <c r="G24" s="66"/>
      <c r="H24" s="66"/>
      <c r="I24" s="57"/>
    </row>
    <row r="25" spans="2:9">
      <c r="B25" s="49" t="s">
        <v>4443</v>
      </c>
      <c r="C25" s="41" t="s">
        <v>2921</v>
      </c>
      <c r="D25" s="60"/>
      <c r="E25" s="60"/>
      <c r="F25" s="60"/>
      <c r="G25" s="60"/>
      <c r="H25" s="60"/>
      <c r="I25" s="60"/>
    </row>
    <row r="26" spans="2:9">
      <c r="B26" s="49" t="s">
        <v>4444</v>
      </c>
      <c r="C26" s="41" t="s">
        <v>2923</v>
      </c>
      <c r="D26" s="60"/>
      <c r="E26" s="60"/>
      <c r="F26" s="60"/>
      <c r="G26" s="60"/>
      <c r="H26" s="60"/>
      <c r="I26" s="60"/>
    </row>
    <row r="27" spans="2:9">
      <c r="B27" s="49" t="s">
        <v>4445</v>
      </c>
      <c r="C27" s="41" t="s">
        <v>2925</v>
      </c>
      <c r="D27" s="60"/>
      <c r="E27" s="60"/>
      <c r="F27" s="60"/>
      <c r="G27" s="60"/>
      <c r="H27" s="60"/>
      <c r="I27" s="60"/>
    </row>
    <row r="28" spans="2:9">
      <c r="B28" s="47" t="s">
        <v>4446</v>
      </c>
      <c r="C28" s="41" t="s">
        <v>2939</v>
      </c>
      <c r="D28" s="63"/>
      <c r="E28" s="63"/>
      <c r="F28" s="63"/>
      <c r="G28" s="63"/>
      <c r="H28" s="63"/>
      <c r="I28" s="63"/>
    </row>
    <row r="29" spans="2:9">
      <c r="B29" s="47" t="s">
        <v>4350</v>
      </c>
      <c r="C29" s="44" t="s">
        <v>2878</v>
      </c>
      <c r="D29" s="56"/>
      <c r="E29" s="66"/>
      <c r="F29" s="66"/>
      <c r="G29" s="66"/>
      <c r="H29" s="66"/>
      <c r="I29" s="57"/>
    </row>
    <row r="30" spans="2:9">
      <c r="B30" s="49" t="s">
        <v>4447</v>
      </c>
      <c r="C30" s="41" t="s">
        <v>2941</v>
      </c>
      <c r="D30" s="60"/>
      <c r="E30" s="60"/>
      <c r="F30" s="60"/>
      <c r="G30" s="60"/>
      <c r="H30" s="60"/>
      <c r="I30" s="60"/>
    </row>
    <row r="31" spans="2:9">
      <c r="B31" s="49" t="s">
        <v>4448</v>
      </c>
      <c r="C31" s="41" t="s">
        <v>2943</v>
      </c>
      <c r="D31" s="60"/>
      <c r="E31" s="60"/>
      <c r="F31" s="60"/>
      <c r="G31" s="60"/>
      <c r="H31" s="60"/>
      <c r="I31" s="60"/>
    </row>
    <row r="32" spans="2:9">
      <c r="B32" s="49" t="s">
        <v>4449</v>
      </c>
      <c r="C32" s="41" t="s">
        <v>2945</v>
      </c>
      <c r="D32" s="60"/>
      <c r="E32" s="60"/>
      <c r="F32" s="60"/>
      <c r="G32" s="60"/>
      <c r="H32" s="60"/>
      <c r="I32" s="60"/>
    </row>
    <row r="33" spans="2:17">
      <c r="B33" s="47" t="s">
        <v>4450</v>
      </c>
      <c r="C33" s="41" t="s">
        <v>2959</v>
      </c>
      <c r="D33" s="63"/>
      <c r="E33" s="63"/>
      <c r="F33" s="63"/>
      <c r="G33" s="63"/>
      <c r="H33" s="63"/>
      <c r="I33" s="63"/>
    </row>
    <row r="34" spans="2:17">
      <c r="B34" s="47" t="s">
        <v>3309</v>
      </c>
      <c r="C34" s="44" t="s">
        <v>2878</v>
      </c>
      <c r="D34" s="56"/>
      <c r="E34" s="66"/>
      <c r="F34" s="66"/>
      <c r="G34" s="66"/>
      <c r="H34" s="66"/>
      <c r="I34" s="57"/>
    </row>
    <row r="35" spans="2:17">
      <c r="B35" s="49" t="s">
        <v>4451</v>
      </c>
      <c r="C35" s="41" t="s">
        <v>2961</v>
      </c>
      <c r="D35" s="60"/>
      <c r="E35" s="60"/>
      <c r="F35" s="60"/>
      <c r="G35" s="60"/>
      <c r="H35" s="60"/>
      <c r="I35" s="60"/>
    </row>
    <row r="36" spans="2:17">
      <c r="B36" s="49" t="s">
        <v>4452</v>
      </c>
      <c r="C36" s="41" t="s">
        <v>2963</v>
      </c>
      <c r="D36" s="60"/>
      <c r="E36" s="60"/>
      <c r="F36" s="60"/>
      <c r="G36" s="60"/>
      <c r="H36" s="60"/>
      <c r="I36" s="60"/>
    </row>
    <row r="37" spans="2:17">
      <c r="B37" s="49" t="s">
        <v>4453</v>
      </c>
      <c r="C37" s="41" t="s">
        <v>2965</v>
      </c>
      <c r="D37" s="60"/>
      <c r="E37" s="60"/>
      <c r="F37" s="60"/>
      <c r="G37" s="60"/>
      <c r="H37" s="60"/>
      <c r="I37" s="60"/>
    </row>
    <row r="38" spans="2:17">
      <c r="B38" s="47" t="s">
        <v>4454</v>
      </c>
      <c r="C38" s="41" t="s">
        <v>2977</v>
      </c>
      <c r="D38" s="60"/>
      <c r="E38" s="60"/>
      <c r="F38" s="60"/>
      <c r="G38" s="60"/>
      <c r="H38" s="60"/>
      <c r="I38" s="60"/>
    </row>
    <row r="40" spans="2:17">
      <c r="P40" s="13" t="str">
        <f>Show!$B$107&amp;Show!$B$107&amp;"S.23.02.01.01 Rows {"&amp;COLUMN($C$1)&amp;"}"</f>
        <v>!!S.23.02.01.01 Rows {3}</v>
      </c>
      <c r="Q40" s="13" t="str">
        <f>Show!$B$107&amp;Show!$B$107&amp;"S.23.02.01.01 Columns {"&amp;COLUMN($I$1)&amp;"}"</f>
        <v>!!S.23.02.01.01 Columns {9}</v>
      </c>
    </row>
    <row r="42" spans="2:17" ht="18.75">
      <c r="B42" s="97" t="s">
        <v>4455</v>
      </c>
      <c r="C42" s="96"/>
      <c r="D42" s="96"/>
      <c r="E42" s="96"/>
      <c r="F42" s="96"/>
      <c r="G42" s="96"/>
      <c r="H42" s="96"/>
      <c r="I42" s="96"/>
      <c r="J42" s="96"/>
      <c r="K42" s="96"/>
      <c r="L42" s="96"/>
    </row>
    <row r="46" spans="2:17">
      <c r="D46" s="101" t="s">
        <v>2877</v>
      </c>
      <c r="E46" s="102"/>
      <c r="F46" s="102"/>
      <c r="G46" s="103"/>
    </row>
    <row r="47" spans="2:17">
      <c r="D47" s="104"/>
      <c r="E47" s="105"/>
      <c r="F47" s="105"/>
      <c r="G47" s="106"/>
    </row>
    <row r="48" spans="2:17">
      <c r="D48" s="107" t="s">
        <v>2548</v>
      </c>
      <c r="E48" s="109"/>
      <c r="F48" s="107" t="s">
        <v>2549</v>
      </c>
      <c r="G48" s="109"/>
    </row>
    <row r="49" spans="2:17" ht="30">
      <c r="D49" s="55" t="s">
        <v>4456</v>
      </c>
      <c r="E49" s="55" t="s">
        <v>4457</v>
      </c>
      <c r="F49" s="55" t="s">
        <v>4456</v>
      </c>
      <c r="G49" s="55" t="s">
        <v>4457</v>
      </c>
    </row>
    <row r="50" spans="2:17">
      <c r="D50" s="45" t="s">
        <v>3233</v>
      </c>
      <c r="E50" s="45" t="s">
        <v>3234</v>
      </c>
      <c r="F50" s="45" t="s">
        <v>3236</v>
      </c>
      <c r="G50" s="45" t="s">
        <v>3239</v>
      </c>
      <c r="P50" s="13" t="str">
        <f>Show!$B$107&amp;"S.23.02.01.02 Rows {"&amp;COLUMN($C$1)&amp;"}"&amp;"@ForceFilingCode:true"</f>
        <v>!S.23.02.01.02 Rows {3}@ForceFilingCode:true</v>
      </c>
      <c r="Q50" s="13" t="str">
        <f>Show!$B$107&amp;"S.23.02.01.02 Columns {"&amp;COLUMN($D$1)&amp;"}"</f>
        <v>!S.23.02.01.02 Columns {4}</v>
      </c>
    </row>
    <row r="51" spans="2:17">
      <c r="B51" s="43" t="s">
        <v>2880</v>
      </c>
      <c r="C51" s="44" t="s">
        <v>2878</v>
      </c>
      <c r="D51" s="58"/>
      <c r="E51" s="67"/>
      <c r="F51" s="67"/>
      <c r="G51" s="59"/>
    </row>
    <row r="52" spans="2:17">
      <c r="B52" s="47" t="s">
        <v>1232</v>
      </c>
      <c r="C52" s="44" t="s">
        <v>2878</v>
      </c>
      <c r="D52" s="56"/>
      <c r="E52" s="66"/>
      <c r="F52" s="66"/>
      <c r="G52" s="57"/>
    </row>
    <row r="53" spans="2:17">
      <c r="B53" s="49" t="s">
        <v>4458</v>
      </c>
      <c r="C53" s="41" t="s">
        <v>2979</v>
      </c>
      <c r="D53" s="63"/>
      <c r="E53" s="60"/>
      <c r="F53" s="63"/>
      <c r="G53" s="60"/>
    </row>
    <row r="54" spans="2:17">
      <c r="B54" s="49" t="s">
        <v>4459</v>
      </c>
      <c r="C54" s="44" t="s">
        <v>2981</v>
      </c>
      <c r="D54" s="46"/>
      <c r="E54" s="64"/>
      <c r="F54" s="46"/>
      <c r="G54" s="60"/>
    </row>
    <row r="56" spans="2:17">
      <c r="P56" s="13" t="str">
        <f>Show!$B$107&amp;Show!$B$107&amp;"S.23.02.01.02 Rows {"&amp;COLUMN($C$1)&amp;"}"</f>
        <v>!!S.23.02.01.02 Rows {3}</v>
      </c>
      <c r="Q56" s="13" t="str">
        <f>Show!$B$107&amp;Show!$B$107&amp;"S.23.02.01.02 Columns {"&amp;COLUMN($G$1)&amp;"}"</f>
        <v>!!S.23.02.01.02 Columns {7}</v>
      </c>
    </row>
    <row r="58" spans="2:17" ht="18.75">
      <c r="B58" s="97" t="s">
        <v>4460</v>
      </c>
      <c r="C58" s="96"/>
      <c r="D58" s="96"/>
      <c r="E58" s="96"/>
      <c r="F58" s="96"/>
      <c r="G58" s="96"/>
      <c r="H58" s="96"/>
      <c r="I58" s="96"/>
      <c r="J58" s="96"/>
      <c r="K58" s="96"/>
      <c r="L58" s="96"/>
    </row>
    <row r="62" spans="2:17">
      <c r="D62" s="98" t="s">
        <v>2877</v>
      </c>
    </row>
    <row r="63" spans="2:17">
      <c r="D63" s="100"/>
    </row>
    <row r="64" spans="2:17">
      <c r="D64" s="98" t="s">
        <v>3480</v>
      </c>
    </row>
    <row r="65" spans="2:17">
      <c r="D65" s="100"/>
    </row>
    <row r="66" spans="2:17">
      <c r="D66" s="45" t="s">
        <v>3241</v>
      </c>
      <c r="P66" s="13" t="str">
        <f>Show!$B$107&amp;"S.23.02.01.03 Rows {"&amp;COLUMN($C$1)&amp;"}"&amp;"@ForceFilingCode:true"</f>
        <v>!S.23.02.01.03 Rows {3}@ForceFilingCode:true</v>
      </c>
      <c r="Q66" s="13" t="str">
        <f>Show!$B$107&amp;"S.23.02.01.03 Columns {"&amp;COLUMN($D$1)&amp;"}"</f>
        <v>!S.23.02.01.03 Columns {4}</v>
      </c>
    </row>
    <row r="67" spans="2:17">
      <c r="B67" s="43" t="s">
        <v>2880</v>
      </c>
      <c r="C67" s="44" t="s">
        <v>2878</v>
      </c>
      <c r="D67" s="48"/>
    </row>
    <row r="68" spans="2:17">
      <c r="B68" s="47" t="s">
        <v>4461</v>
      </c>
      <c r="C68" s="44" t="s">
        <v>2878</v>
      </c>
      <c r="D68" s="46"/>
    </row>
    <row r="69" spans="2:17">
      <c r="B69" s="49" t="s">
        <v>4462</v>
      </c>
      <c r="C69" s="41" t="s">
        <v>2997</v>
      </c>
      <c r="D69" s="60"/>
    </row>
    <row r="70" spans="2:17">
      <c r="B70" s="49" t="s">
        <v>4463</v>
      </c>
      <c r="C70" s="41" t="s">
        <v>2999</v>
      </c>
      <c r="D70" s="60"/>
    </row>
    <row r="71" spans="2:17">
      <c r="B71" s="49" t="s">
        <v>4464</v>
      </c>
      <c r="C71" s="41" t="s">
        <v>3001</v>
      </c>
      <c r="D71" s="60"/>
    </row>
    <row r="72" spans="2:17">
      <c r="B72" s="49" t="s">
        <v>4465</v>
      </c>
      <c r="C72" s="41" t="s">
        <v>3003</v>
      </c>
      <c r="D72" s="60"/>
    </row>
    <row r="73" spans="2:17">
      <c r="B73" s="49" t="s">
        <v>4466</v>
      </c>
      <c r="C73" s="41" t="s">
        <v>3005</v>
      </c>
      <c r="D73" s="60"/>
    </row>
    <row r="74" spans="2:17">
      <c r="B74" s="49" t="s">
        <v>4467</v>
      </c>
      <c r="C74" s="41" t="s">
        <v>3007</v>
      </c>
      <c r="D74" s="60"/>
    </row>
    <row r="75" spans="2:17" ht="30">
      <c r="B75" s="49" t="s">
        <v>4468</v>
      </c>
      <c r="C75" s="41" t="s">
        <v>3009</v>
      </c>
      <c r="D75" s="60"/>
    </row>
    <row r="76" spans="2:17">
      <c r="B76" s="49" t="s">
        <v>3314</v>
      </c>
      <c r="C76" s="41" t="s">
        <v>3064</v>
      </c>
      <c r="D76" s="60"/>
    </row>
    <row r="78" spans="2:17">
      <c r="P78" s="13" t="str">
        <f>Show!$B$107&amp;Show!$B$107&amp;"S.23.02.01.03 Rows {"&amp;COLUMN($C$1)&amp;"}"</f>
        <v>!!S.23.02.01.03 Rows {3}</v>
      </c>
      <c r="Q78" s="13" t="str">
        <f>Show!$B$107&amp;Show!$B$107&amp;"S.23.02.01.03 Columns {"&amp;COLUMN($D$1)&amp;"}"</f>
        <v>!!S.23.02.01.03 Columns {4}</v>
      </c>
    </row>
    <row r="80" spans="2:17" ht="18.75">
      <c r="B80" s="97" t="s">
        <v>4469</v>
      </c>
      <c r="C80" s="96"/>
      <c r="D80" s="96"/>
      <c r="E80" s="96"/>
      <c r="F80" s="96"/>
      <c r="G80" s="96"/>
      <c r="H80" s="96"/>
      <c r="I80" s="96"/>
      <c r="J80" s="96"/>
      <c r="K80" s="96"/>
      <c r="L80" s="96"/>
    </row>
    <row r="84" spans="2:17">
      <c r="D84" s="98" t="s">
        <v>2877</v>
      </c>
    </row>
    <row r="85" spans="2:17">
      <c r="D85" s="100"/>
    </row>
    <row r="86" spans="2:17">
      <c r="D86" s="55" t="s">
        <v>4470</v>
      </c>
    </row>
    <row r="87" spans="2:17">
      <c r="D87" s="45" t="s">
        <v>3243</v>
      </c>
      <c r="P87" s="13" t="str">
        <f>Show!$B$107&amp;"S.23.02.01.04 Rows {"&amp;COLUMN($C$1)&amp;"}"&amp;"@ForceFilingCode:true"</f>
        <v>!S.23.02.01.04 Rows {3}@ForceFilingCode:true</v>
      </c>
      <c r="Q87" s="13" t="str">
        <f>Show!$B$107&amp;"S.23.02.01.04 Columns {"&amp;COLUMN($D$1)&amp;"}"</f>
        <v>!S.23.02.01.04 Columns {4}</v>
      </c>
    </row>
    <row r="88" spans="2:17">
      <c r="B88" s="43" t="s">
        <v>2880</v>
      </c>
      <c r="C88" s="44" t="s">
        <v>2878</v>
      </c>
      <c r="D88" s="46"/>
    </row>
    <row r="89" spans="2:17">
      <c r="B89" s="47" t="s">
        <v>4466</v>
      </c>
      <c r="C89" s="41" t="s">
        <v>3005</v>
      </c>
      <c r="D89" s="51"/>
    </row>
    <row r="91" spans="2:17">
      <c r="P91" s="13" t="str">
        <f>Show!$B$107&amp;Show!$B$107&amp;"S.23.02.01.04 Rows {"&amp;COLUMN($C$1)&amp;"}"</f>
        <v>!!S.23.02.01.04 Rows {3}</v>
      </c>
      <c r="Q91" s="13" t="str">
        <f>Show!$B$107&amp;Show!$B$107&amp;"S.23.02.01.04 Columns {"&amp;COLUMN($D$1)&amp;"}"</f>
        <v>!!S.23.02.01.04 Columns {4}</v>
      </c>
    </row>
  </sheetData>
  <sheetProtection sheet="1" objects="1" scenarios="1"/>
  <mergeCells count="16">
    <mergeCell ref="D64:D65"/>
    <mergeCell ref="B80:L80"/>
    <mergeCell ref="D84:D85"/>
    <mergeCell ref="B42:L42"/>
    <mergeCell ref="D46:G47"/>
    <mergeCell ref="D48:E48"/>
    <mergeCell ref="F48:G48"/>
    <mergeCell ref="B58:L58"/>
    <mergeCell ref="D62:D63"/>
    <mergeCell ref="B2:O2"/>
    <mergeCell ref="B5:L5"/>
    <mergeCell ref="D9:I10"/>
    <mergeCell ref="D11:D12"/>
    <mergeCell ref="E11:F11"/>
    <mergeCell ref="G11:H11"/>
    <mergeCell ref="I11:I12"/>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827E-1CB7-4CF9-A979-B3C3EDCF459A}">
  <sheetPr codeName="Blad112"/>
  <dimension ref="B2:Q91"/>
  <sheetViews>
    <sheetView showGridLines="0" workbookViewId="0"/>
  </sheetViews>
  <sheetFormatPr defaultRowHeight="15"/>
  <cols>
    <col min="2" max="2" width="83.7109375" bestFit="1" customWidth="1"/>
    <col min="4" max="4" width="40.7109375" customWidth="1"/>
    <col min="5" max="9" width="15.7109375" customWidth="1"/>
  </cols>
  <sheetData>
    <row r="2" spans="2:17" ht="23.25">
      <c r="B2" s="95" t="s">
        <v>674</v>
      </c>
      <c r="C2" s="96"/>
      <c r="D2" s="96"/>
      <c r="E2" s="96"/>
      <c r="F2" s="96"/>
      <c r="G2" s="96"/>
      <c r="H2" s="96"/>
      <c r="I2" s="96"/>
      <c r="J2" s="96"/>
      <c r="K2" s="96"/>
      <c r="L2" s="96"/>
      <c r="M2" s="96"/>
      <c r="N2" s="96"/>
      <c r="O2" s="96"/>
    </row>
    <row r="5" spans="2:17" ht="18.75">
      <c r="B5" s="97" t="s">
        <v>4471</v>
      </c>
      <c r="C5" s="96"/>
      <c r="D5" s="96"/>
      <c r="E5" s="96"/>
      <c r="F5" s="96"/>
      <c r="G5" s="96"/>
      <c r="H5" s="96"/>
      <c r="I5" s="96"/>
      <c r="J5" s="96"/>
      <c r="K5" s="96"/>
      <c r="L5" s="96"/>
    </row>
    <row r="9" spans="2:17">
      <c r="D9" s="101" t="s">
        <v>2877</v>
      </c>
      <c r="E9" s="102"/>
      <c r="F9" s="102"/>
      <c r="G9" s="102"/>
      <c r="H9" s="102"/>
      <c r="I9" s="103"/>
    </row>
    <row r="10" spans="2:17">
      <c r="D10" s="104"/>
      <c r="E10" s="105"/>
      <c r="F10" s="105"/>
      <c r="G10" s="105"/>
      <c r="H10" s="105"/>
      <c r="I10" s="106"/>
    </row>
    <row r="11" spans="2:17">
      <c r="D11" s="98" t="s">
        <v>3480</v>
      </c>
      <c r="E11" s="101" t="s">
        <v>2545</v>
      </c>
      <c r="F11" s="109"/>
      <c r="G11" s="101" t="s">
        <v>2548</v>
      </c>
      <c r="H11" s="109"/>
      <c r="I11" s="98" t="s">
        <v>2549</v>
      </c>
    </row>
    <row r="12" spans="2:17" ht="45">
      <c r="D12" s="100"/>
      <c r="E12" s="77"/>
      <c r="F12" s="55" t="s">
        <v>4434</v>
      </c>
      <c r="G12" s="77"/>
      <c r="H12" s="55" t="s">
        <v>4434</v>
      </c>
      <c r="I12" s="100"/>
    </row>
    <row r="13" spans="2:17">
      <c r="D13" s="45" t="s">
        <v>2879</v>
      </c>
      <c r="E13" s="45" t="s">
        <v>3219</v>
      </c>
      <c r="F13" s="45" t="s">
        <v>3225</v>
      </c>
      <c r="G13" s="45" t="s">
        <v>3223</v>
      </c>
      <c r="H13" s="45" t="s">
        <v>3229</v>
      </c>
      <c r="I13" s="45" t="s">
        <v>3231</v>
      </c>
      <c r="P13" s="13" t="str">
        <f>Show!$B$108&amp;"S.23.02.04.01 Rows {"&amp;COLUMN($C$1)&amp;"}"&amp;"@ForceFilingCode:true"</f>
        <v>!S.23.02.04.01 Rows {3}@ForceFilingCode:true</v>
      </c>
      <c r="Q13" s="13" t="str">
        <f>Show!$B$108&amp;"S.23.02.04.01 Columns {"&amp;COLUMN($D$1)&amp;"}"</f>
        <v>!S.23.02.04.01 Columns {4}</v>
      </c>
    </row>
    <row r="14" spans="2:17">
      <c r="B14" s="43" t="s">
        <v>2880</v>
      </c>
      <c r="C14" s="44" t="s">
        <v>2878</v>
      </c>
      <c r="D14" s="58"/>
      <c r="E14" s="67"/>
      <c r="F14" s="67"/>
      <c r="G14" s="67"/>
      <c r="H14" s="67"/>
      <c r="I14" s="59"/>
    </row>
    <row r="15" spans="2:17">
      <c r="B15" s="47" t="s">
        <v>4435</v>
      </c>
      <c r="C15" s="44" t="s">
        <v>2878</v>
      </c>
      <c r="D15" s="56"/>
      <c r="E15" s="66"/>
      <c r="F15" s="67"/>
      <c r="G15" s="67"/>
      <c r="H15" s="67"/>
      <c r="I15" s="59"/>
    </row>
    <row r="16" spans="2:17">
      <c r="B16" s="49" t="s">
        <v>4436</v>
      </c>
      <c r="C16" s="41" t="s">
        <v>2883</v>
      </c>
      <c r="D16" s="60"/>
      <c r="E16" s="65"/>
      <c r="F16" s="58"/>
      <c r="G16" s="56"/>
      <c r="H16" s="58"/>
      <c r="I16" s="48"/>
    </row>
    <row r="17" spans="2:9">
      <c r="B17" s="49" t="s">
        <v>4437</v>
      </c>
      <c r="C17" s="41" t="s">
        <v>2885</v>
      </c>
      <c r="D17" s="64"/>
      <c r="E17" s="56"/>
      <c r="F17" s="48"/>
      <c r="G17" s="65"/>
      <c r="H17" s="58"/>
      <c r="I17" s="48"/>
    </row>
    <row r="18" spans="2:9">
      <c r="B18" s="49" t="s">
        <v>4438</v>
      </c>
      <c r="C18" s="41" t="s">
        <v>2887</v>
      </c>
      <c r="D18" s="60"/>
      <c r="E18" s="64"/>
      <c r="F18" s="58"/>
      <c r="G18" s="56"/>
      <c r="H18" s="58"/>
      <c r="I18" s="48"/>
    </row>
    <row r="19" spans="2:9">
      <c r="B19" s="47" t="s">
        <v>4439</v>
      </c>
      <c r="C19" s="41" t="s">
        <v>2899</v>
      </c>
      <c r="D19" s="63"/>
      <c r="E19" s="65"/>
      <c r="F19" s="48"/>
      <c r="G19" s="65"/>
      <c r="H19" s="58"/>
      <c r="I19" s="48"/>
    </row>
    <row r="20" spans="2:9" ht="30">
      <c r="B20" s="47" t="s">
        <v>4440</v>
      </c>
      <c r="C20" s="44" t="s">
        <v>2878</v>
      </c>
      <c r="D20" s="56"/>
      <c r="E20" s="66"/>
      <c r="F20" s="67"/>
      <c r="G20" s="67"/>
      <c r="H20" s="67"/>
      <c r="I20" s="59"/>
    </row>
    <row r="21" spans="2:9">
      <c r="B21" s="49" t="s">
        <v>4436</v>
      </c>
      <c r="C21" s="41" t="s">
        <v>2901</v>
      </c>
      <c r="D21" s="60"/>
      <c r="E21" s="65"/>
      <c r="F21" s="58"/>
      <c r="G21" s="56"/>
      <c r="H21" s="58"/>
      <c r="I21" s="48"/>
    </row>
    <row r="22" spans="2:9">
      <c r="B22" s="49" t="s">
        <v>4437</v>
      </c>
      <c r="C22" s="41" t="s">
        <v>2903</v>
      </c>
      <c r="D22" s="64"/>
      <c r="E22" s="56"/>
      <c r="F22" s="48"/>
      <c r="G22" s="64"/>
      <c r="H22" s="58"/>
      <c r="I22" s="48"/>
    </row>
    <row r="23" spans="2:9" ht="30">
      <c r="B23" s="47" t="s">
        <v>4441</v>
      </c>
      <c r="C23" s="41" t="s">
        <v>2919</v>
      </c>
      <c r="D23" s="63"/>
      <c r="E23" s="65"/>
      <c r="F23" s="48"/>
      <c r="G23" s="65"/>
      <c r="H23" s="58"/>
      <c r="I23" s="48"/>
    </row>
    <row r="24" spans="2:9">
      <c r="B24" s="47" t="s">
        <v>4442</v>
      </c>
      <c r="C24" s="44" t="s">
        <v>2878</v>
      </c>
      <c r="D24" s="56"/>
      <c r="E24" s="66"/>
      <c r="F24" s="66"/>
      <c r="G24" s="66"/>
      <c r="H24" s="66"/>
      <c r="I24" s="57"/>
    </row>
    <row r="25" spans="2:9">
      <c r="B25" s="49" t="s">
        <v>4443</v>
      </c>
      <c r="C25" s="41" t="s">
        <v>2921</v>
      </c>
      <c r="D25" s="60"/>
      <c r="E25" s="60"/>
      <c r="F25" s="60"/>
      <c r="G25" s="60"/>
      <c r="H25" s="60"/>
      <c r="I25" s="60"/>
    </row>
    <row r="26" spans="2:9">
      <c r="B26" s="49" t="s">
        <v>4444</v>
      </c>
      <c r="C26" s="41" t="s">
        <v>2923</v>
      </c>
      <c r="D26" s="60"/>
      <c r="E26" s="60"/>
      <c r="F26" s="60"/>
      <c r="G26" s="60"/>
      <c r="H26" s="60"/>
      <c r="I26" s="60"/>
    </row>
    <row r="27" spans="2:9">
      <c r="B27" s="49" t="s">
        <v>4445</v>
      </c>
      <c r="C27" s="41" t="s">
        <v>2925</v>
      </c>
      <c r="D27" s="60"/>
      <c r="E27" s="60"/>
      <c r="F27" s="60"/>
      <c r="G27" s="60"/>
      <c r="H27" s="60"/>
      <c r="I27" s="60"/>
    </row>
    <row r="28" spans="2:9">
      <c r="B28" s="47" t="s">
        <v>4446</v>
      </c>
      <c r="C28" s="41" t="s">
        <v>2939</v>
      </c>
      <c r="D28" s="63"/>
      <c r="E28" s="63"/>
      <c r="F28" s="63"/>
      <c r="G28" s="63"/>
      <c r="H28" s="63"/>
      <c r="I28" s="63"/>
    </row>
    <row r="29" spans="2:9">
      <c r="B29" s="47" t="s">
        <v>4350</v>
      </c>
      <c r="C29" s="44" t="s">
        <v>2878</v>
      </c>
      <c r="D29" s="56"/>
      <c r="E29" s="66"/>
      <c r="F29" s="66"/>
      <c r="G29" s="66"/>
      <c r="H29" s="66"/>
      <c r="I29" s="57"/>
    </row>
    <row r="30" spans="2:9">
      <c r="B30" s="49" t="s">
        <v>4447</v>
      </c>
      <c r="C30" s="41" t="s">
        <v>2941</v>
      </c>
      <c r="D30" s="60"/>
      <c r="E30" s="60"/>
      <c r="F30" s="60"/>
      <c r="G30" s="60"/>
      <c r="H30" s="60"/>
      <c r="I30" s="60"/>
    </row>
    <row r="31" spans="2:9">
      <c r="B31" s="49" t="s">
        <v>4448</v>
      </c>
      <c r="C31" s="41" t="s">
        <v>2943</v>
      </c>
      <c r="D31" s="60"/>
      <c r="E31" s="60"/>
      <c r="F31" s="60"/>
      <c r="G31" s="60"/>
      <c r="H31" s="60"/>
      <c r="I31" s="60"/>
    </row>
    <row r="32" spans="2:9">
      <c r="B32" s="49" t="s">
        <v>4449</v>
      </c>
      <c r="C32" s="41" t="s">
        <v>2945</v>
      </c>
      <c r="D32" s="60"/>
      <c r="E32" s="60"/>
      <c r="F32" s="60"/>
      <c r="G32" s="60"/>
      <c r="H32" s="60"/>
      <c r="I32" s="60"/>
    </row>
    <row r="33" spans="2:17">
      <c r="B33" s="47" t="s">
        <v>4450</v>
      </c>
      <c r="C33" s="41" t="s">
        <v>2959</v>
      </c>
      <c r="D33" s="63"/>
      <c r="E33" s="63"/>
      <c r="F33" s="63"/>
      <c r="G33" s="63"/>
      <c r="H33" s="63"/>
      <c r="I33" s="63"/>
    </row>
    <row r="34" spans="2:17">
      <c r="B34" s="47" t="s">
        <v>3309</v>
      </c>
      <c r="C34" s="44" t="s">
        <v>2878</v>
      </c>
      <c r="D34" s="56"/>
      <c r="E34" s="66"/>
      <c r="F34" s="66"/>
      <c r="G34" s="66"/>
      <c r="H34" s="66"/>
      <c r="I34" s="57"/>
    </row>
    <row r="35" spans="2:17">
      <c r="B35" s="49" t="s">
        <v>4451</v>
      </c>
      <c r="C35" s="41" t="s">
        <v>2961</v>
      </c>
      <c r="D35" s="60"/>
      <c r="E35" s="60"/>
      <c r="F35" s="60"/>
      <c r="G35" s="60"/>
      <c r="H35" s="60"/>
      <c r="I35" s="60"/>
    </row>
    <row r="36" spans="2:17">
      <c r="B36" s="49" t="s">
        <v>4452</v>
      </c>
      <c r="C36" s="41" t="s">
        <v>2963</v>
      </c>
      <c r="D36" s="60"/>
      <c r="E36" s="60"/>
      <c r="F36" s="60"/>
      <c r="G36" s="60"/>
      <c r="H36" s="60"/>
      <c r="I36" s="60"/>
    </row>
    <row r="37" spans="2:17">
      <c r="B37" s="49" t="s">
        <v>4453</v>
      </c>
      <c r="C37" s="41" t="s">
        <v>2965</v>
      </c>
      <c r="D37" s="60"/>
      <c r="E37" s="60"/>
      <c r="F37" s="60"/>
      <c r="G37" s="60"/>
      <c r="H37" s="60"/>
      <c r="I37" s="60"/>
    </row>
    <row r="38" spans="2:17">
      <c r="B38" s="47" t="s">
        <v>4454</v>
      </c>
      <c r="C38" s="41" t="s">
        <v>2977</v>
      </c>
      <c r="D38" s="60"/>
      <c r="E38" s="60"/>
      <c r="F38" s="60"/>
      <c r="G38" s="60"/>
      <c r="H38" s="60"/>
      <c r="I38" s="60"/>
    </row>
    <row r="40" spans="2:17">
      <c r="P40" s="13" t="str">
        <f>Show!$B$108&amp;Show!$B$108&amp;"S.23.02.04.01 Rows {"&amp;COLUMN($C$1)&amp;"}"</f>
        <v>!!S.23.02.04.01 Rows {3}</v>
      </c>
      <c r="Q40" s="13" t="str">
        <f>Show!$B$108&amp;Show!$B$108&amp;"S.23.02.04.01 Columns {"&amp;COLUMN($I$1)&amp;"}"</f>
        <v>!!S.23.02.04.01 Columns {9}</v>
      </c>
    </row>
    <row r="42" spans="2:17" ht="18.75">
      <c r="B42" s="97" t="s">
        <v>4472</v>
      </c>
      <c r="C42" s="96"/>
      <c r="D42" s="96"/>
      <c r="E42" s="96"/>
      <c r="F42" s="96"/>
      <c r="G42" s="96"/>
      <c r="H42" s="96"/>
      <c r="I42" s="96"/>
      <c r="J42" s="96"/>
      <c r="K42" s="96"/>
      <c r="L42" s="96"/>
    </row>
    <row r="46" spans="2:17">
      <c r="D46" s="101" t="s">
        <v>2877</v>
      </c>
      <c r="E46" s="102"/>
      <c r="F46" s="102"/>
      <c r="G46" s="103"/>
    </row>
    <row r="47" spans="2:17">
      <c r="D47" s="104"/>
      <c r="E47" s="105"/>
      <c r="F47" s="105"/>
      <c r="G47" s="106"/>
    </row>
    <row r="48" spans="2:17">
      <c r="D48" s="107" t="s">
        <v>2548</v>
      </c>
      <c r="E48" s="109"/>
      <c r="F48" s="107" t="s">
        <v>2549</v>
      </c>
      <c r="G48" s="109"/>
    </row>
    <row r="49" spans="2:17" ht="30">
      <c r="D49" s="55" t="s">
        <v>4456</v>
      </c>
      <c r="E49" s="55" t="s">
        <v>4457</v>
      </c>
      <c r="F49" s="55" t="s">
        <v>4456</v>
      </c>
      <c r="G49" s="55" t="s">
        <v>4457</v>
      </c>
    </row>
    <row r="50" spans="2:17">
      <c r="D50" s="45" t="s">
        <v>3233</v>
      </c>
      <c r="E50" s="45" t="s">
        <v>3234</v>
      </c>
      <c r="F50" s="45" t="s">
        <v>3236</v>
      </c>
      <c r="G50" s="45" t="s">
        <v>3239</v>
      </c>
      <c r="P50" s="13" t="str">
        <f>Show!$B$108&amp;"S.23.02.04.02 Rows {"&amp;COLUMN($C$1)&amp;"}"&amp;"@ForceFilingCode:true"</f>
        <v>!S.23.02.04.02 Rows {3}@ForceFilingCode:true</v>
      </c>
      <c r="Q50" s="13" t="str">
        <f>Show!$B$108&amp;"S.23.02.04.02 Columns {"&amp;COLUMN($D$1)&amp;"}"</f>
        <v>!S.23.02.04.02 Columns {4}</v>
      </c>
    </row>
    <row r="51" spans="2:17">
      <c r="B51" s="43" t="s">
        <v>2880</v>
      </c>
      <c r="C51" s="44" t="s">
        <v>2878</v>
      </c>
      <c r="D51" s="58"/>
      <c r="E51" s="67"/>
      <c r="F51" s="67"/>
      <c r="G51" s="59"/>
    </row>
    <row r="52" spans="2:17">
      <c r="B52" s="47" t="s">
        <v>1232</v>
      </c>
      <c r="C52" s="44" t="s">
        <v>2878</v>
      </c>
      <c r="D52" s="56"/>
      <c r="E52" s="66"/>
      <c r="F52" s="66"/>
      <c r="G52" s="57"/>
    </row>
    <row r="53" spans="2:17">
      <c r="B53" s="49" t="s">
        <v>4458</v>
      </c>
      <c r="C53" s="41" t="s">
        <v>2979</v>
      </c>
      <c r="D53" s="63"/>
      <c r="E53" s="60"/>
      <c r="F53" s="63"/>
      <c r="G53" s="60"/>
    </row>
    <row r="54" spans="2:17">
      <c r="B54" s="49" t="s">
        <v>4459</v>
      </c>
      <c r="C54" s="44" t="s">
        <v>2981</v>
      </c>
      <c r="D54" s="46"/>
      <c r="E54" s="64"/>
      <c r="F54" s="46"/>
      <c r="G54" s="60"/>
    </row>
    <row r="56" spans="2:17">
      <c r="P56" s="13" t="str">
        <f>Show!$B$108&amp;Show!$B$108&amp;"S.23.02.04.02 Rows {"&amp;COLUMN($C$1)&amp;"}"</f>
        <v>!!S.23.02.04.02 Rows {3}</v>
      </c>
      <c r="Q56" s="13" t="str">
        <f>Show!$B$108&amp;Show!$B$108&amp;"S.23.02.04.02 Columns {"&amp;COLUMN($G$1)&amp;"}"</f>
        <v>!!S.23.02.04.02 Columns {7}</v>
      </c>
    </row>
    <row r="58" spans="2:17" ht="18.75">
      <c r="B58" s="97" t="s">
        <v>4473</v>
      </c>
      <c r="C58" s="96"/>
      <c r="D58" s="96"/>
      <c r="E58" s="96"/>
      <c r="F58" s="96"/>
      <c r="G58" s="96"/>
      <c r="H58" s="96"/>
      <c r="I58" s="96"/>
      <c r="J58" s="96"/>
      <c r="K58" s="96"/>
      <c r="L58" s="96"/>
    </row>
    <row r="62" spans="2:17">
      <c r="D62" s="98" t="s">
        <v>2877</v>
      </c>
    </row>
    <row r="63" spans="2:17">
      <c r="D63" s="100"/>
    </row>
    <row r="64" spans="2:17">
      <c r="D64" s="98" t="s">
        <v>3480</v>
      </c>
    </row>
    <row r="65" spans="2:17">
      <c r="D65" s="100"/>
    </row>
    <row r="66" spans="2:17">
      <c r="D66" s="45" t="s">
        <v>3241</v>
      </c>
      <c r="P66" s="13" t="str">
        <f>Show!$B$108&amp;"S.23.02.04.03 Rows {"&amp;COLUMN($C$1)&amp;"}"&amp;"@ForceFilingCode:true"</f>
        <v>!S.23.02.04.03 Rows {3}@ForceFilingCode:true</v>
      </c>
      <c r="Q66" s="13" t="str">
        <f>Show!$B$108&amp;"S.23.02.04.03 Columns {"&amp;COLUMN($D$1)&amp;"}"</f>
        <v>!S.23.02.04.03 Columns {4}</v>
      </c>
    </row>
    <row r="67" spans="2:17">
      <c r="B67" s="43" t="s">
        <v>2880</v>
      </c>
      <c r="C67" s="44" t="s">
        <v>2878</v>
      </c>
      <c r="D67" s="48"/>
    </row>
    <row r="68" spans="2:17">
      <c r="B68" s="47" t="s">
        <v>4461</v>
      </c>
      <c r="C68" s="44" t="s">
        <v>2878</v>
      </c>
      <c r="D68" s="46"/>
    </row>
    <row r="69" spans="2:17">
      <c r="B69" s="49" t="s">
        <v>4462</v>
      </c>
      <c r="C69" s="41" t="s">
        <v>2997</v>
      </c>
      <c r="D69" s="60"/>
    </row>
    <row r="70" spans="2:17">
      <c r="B70" s="49" t="s">
        <v>4463</v>
      </c>
      <c r="C70" s="41" t="s">
        <v>2999</v>
      </c>
      <c r="D70" s="60"/>
    </row>
    <row r="71" spans="2:17">
      <c r="B71" s="49" t="s">
        <v>4464</v>
      </c>
      <c r="C71" s="41" t="s">
        <v>3001</v>
      </c>
      <c r="D71" s="60"/>
    </row>
    <row r="72" spans="2:17">
      <c r="B72" s="49" t="s">
        <v>4465</v>
      </c>
      <c r="C72" s="41" t="s">
        <v>3003</v>
      </c>
      <c r="D72" s="60"/>
    </row>
    <row r="73" spans="2:17">
      <c r="B73" s="49" t="s">
        <v>4466</v>
      </c>
      <c r="C73" s="41" t="s">
        <v>3005</v>
      </c>
      <c r="D73" s="60"/>
    </row>
    <row r="74" spans="2:17">
      <c r="B74" s="49" t="s">
        <v>4467</v>
      </c>
      <c r="C74" s="41" t="s">
        <v>3007</v>
      </c>
      <c r="D74" s="60"/>
    </row>
    <row r="75" spans="2:17" ht="30">
      <c r="B75" s="49" t="s">
        <v>4468</v>
      </c>
      <c r="C75" s="41" t="s">
        <v>3009</v>
      </c>
      <c r="D75" s="60"/>
    </row>
    <row r="76" spans="2:17">
      <c r="B76" s="49" t="s">
        <v>3314</v>
      </c>
      <c r="C76" s="41" t="s">
        <v>3064</v>
      </c>
      <c r="D76" s="60"/>
    </row>
    <row r="78" spans="2:17">
      <c r="P78" s="13" t="str">
        <f>Show!$B$108&amp;Show!$B$108&amp;"S.23.02.04.03 Rows {"&amp;COLUMN($C$1)&amp;"}"</f>
        <v>!!S.23.02.04.03 Rows {3}</v>
      </c>
      <c r="Q78" s="13" t="str">
        <f>Show!$B$108&amp;Show!$B$108&amp;"S.23.02.04.03 Columns {"&amp;COLUMN($D$1)&amp;"}"</f>
        <v>!!S.23.02.04.03 Columns {4}</v>
      </c>
    </row>
    <row r="80" spans="2:17" ht="18.75">
      <c r="B80" s="97" t="s">
        <v>4474</v>
      </c>
      <c r="C80" s="96"/>
      <c r="D80" s="96"/>
      <c r="E80" s="96"/>
      <c r="F80" s="96"/>
      <c r="G80" s="96"/>
      <c r="H80" s="96"/>
      <c r="I80" s="96"/>
      <c r="J80" s="96"/>
      <c r="K80" s="96"/>
      <c r="L80" s="96"/>
    </row>
    <row r="84" spans="2:17">
      <c r="D84" s="98" t="s">
        <v>2877</v>
      </c>
    </row>
    <row r="85" spans="2:17">
      <c r="D85" s="100"/>
    </row>
    <row r="86" spans="2:17">
      <c r="D86" s="55" t="s">
        <v>4470</v>
      </c>
    </row>
    <row r="87" spans="2:17">
      <c r="D87" s="45" t="s">
        <v>3243</v>
      </c>
      <c r="P87" s="13" t="str">
        <f>Show!$B$108&amp;"S.23.02.04.04 Rows {"&amp;COLUMN($C$1)&amp;"}"&amp;"@ForceFilingCode:true"</f>
        <v>!S.23.02.04.04 Rows {3}@ForceFilingCode:true</v>
      </c>
      <c r="Q87" s="13" t="str">
        <f>Show!$B$108&amp;"S.23.02.04.04 Columns {"&amp;COLUMN($D$1)&amp;"}"</f>
        <v>!S.23.02.04.04 Columns {4}</v>
      </c>
    </row>
    <row r="88" spans="2:17">
      <c r="B88" s="43" t="s">
        <v>2880</v>
      </c>
      <c r="C88" s="44" t="s">
        <v>2878</v>
      </c>
      <c r="D88" s="46"/>
    </row>
    <row r="89" spans="2:17">
      <c r="B89" s="47" t="s">
        <v>4466</v>
      </c>
      <c r="C89" s="41" t="s">
        <v>3005</v>
      </c>
      <c r="D89" s="51"/>
    </row>
    <row r="91" spans="2:17">
      <c r="P91" s="13" t="str">
        <f>Show!$B$108&amp;Show!$B$108&amp;"S.23.02.04.04 Rows {"&amp;COLUMN($C$1)&amp;"}"</f>
        <v>!!S.23.02.04.04 Rows {3}</v>
      </c>
      <c r="Q91" s="13" t="str">
        <f>Show!$B$108&amp;Show!$B$108&amp;"S.23.02.04.04 Columns {"&amp;COLUMN($D$1)&amp;"}"</f>
        <v>!!S.23.02.04.04 Columns {4}</v>
      </c>
    </row>
  </sheetData>
  <sheetProtection sheet="1" objects="1" scenarios="1"/>
  <mergeCells count="16">
    <mergeCell ref="D64:D65"/>
    <mergeCell ref="B80:L80"/>
    <mergeCell ref="D84:D85"/>
    <mergeCell ref="B42:L42"/>
    <mergeCell ref="D46:G47"/>
    <mergeCell ref="D48:E48"/>
    <mergeCell ref="F48:G48"/>
    <mergeCell ref="B58:L58"/>
    <mergeCell ref="D62:D63"/>
    <mergeCell ref="B2:O2"/>
    <mergeCell ref="B5:L5"/>
    <mergeCell ref="D9:I10"/>
    <mergeCell ref="D11:D12"/>
    <mergeCell ref="E11:F11"/>
    <mergeCell ref="G11:H11"/>
    <mergeCell ref="I11:I12"/>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BD452-B071-4EDB-AC0C-E34329A26F66}">
  <sheetPr codeName="Blad113"/>
  <dimension ref="B2:O150"/>
  <sheetViews>
    <sheetView showGridLines="0" workbookViewId="0"/>
  </sheetViews>
  <sheetFormatPr defaultRowHeight="15"/>
  <cols>
    <col min="2" max="2" width="83.7109375" bestFit="1" customWidth="1"/>
    <col min="4" max="9" width="15.7109375" customWidth="1"/>
  </cols>
  <sheetData>
    <row r="2" spans="2:15" ht="23.25">
      <c r="B2" s="95" t="s">
        <v>677</v>
      </c>
      <c r="C2" s="96"/>
      <c r="D2" s="96"/>
      <c r="E2" s="96"/>
      <c r="F2" s="96"/>
      <c r="G2" s="96"/>
      <c r="H2" s="96"/>
      <c r="I2" s="96"/>
      <c r="J2" s="96"/>
      <c r="K2" s="96"/>
      <c r="L2" s="96"/>
      <c r="M2" s="96"/>
      <c r="N2" s="96"/>
      <c r="O2" s="96"/>
    </row>
    <row r="5" spans="2:15" ht="18.75">
      <c r="B5" s="97" t="s">
        <v>4475</v>
      </c>
      <c r="C5" s="96"/>
      <c r="D5" s="96"/>
      <c r="E5" s="96"/>
      <c r="F5" s="96"/>
      <c r="G5" s="96"/>
      <c r="H5" s="96"/>
      <c r="I5" s="96"/>
      <c r="J5" s="96"/>
      <c r="K5" s="96"/>
      <c r="L5" s="96"/>
    </row>
    <row r="9" spans="2:15">
      <c r="D9" s="101" t="s">
        <v>2877</v>
      </c>
      <c r="E9" s="102"/>
      <c r="F9" s="102"/>
      <c r="G9" s="103"/>
    </row>
    <row r="10" spans="2:15">
      <c r="D10" s="104"/>
      <c r="E10" s="105"/>
      <c r="F10" s="105"/>
      <c r="G10" s="106"/>
    </row>
    <row r="11" spans="2:15">
      <c r="D11" s="98" t="s">
        <v>4476</v>
      </c>
      <c r="E11" s="98" t="s">
        <v>4477</v>
      </c>
      <c r="F11" s="98" t="s">
        <v>4478</v>
      </c>
      <c r="G11" s="98" t="s">
        <v>4479</v>
      </c>
    </row>
    <row r="12" spans="2:15">
      <c r="D12" s="100"/>
      <c r="E12" s="100"/>
      <c r="F12" s="100"/>
      <c r="G12" s="100"/>
    </row>
    <row r="13" spans="2:15">
      <c r="D13" s="45" t="s">
        <v>2879</v>
      </c>
      <c r="E13" s="45" t="s">
        <v>3219</v>
      </c>
      <c r="F13" s="45" t="s">
        <v>3225</v>
      </c>
      <c r="G13" s="45" t="s">
        <v>3231</v>
      </c>
      <c r="N13" s="13" t="str">
        <f>Show!$B$109&amp;"S.23.03.01.01 Rows {"&amp;COLUMN($C$1)&amp;"}"&amp;"@ForceFilingCode:true"</f>
        <v>!S.23.03.01.01 Rows {3}@ForceFilingCode:true</v>
      </c>
      <c r="O13" s="13" t="str">
        <f>Show!$B$109&amp;"S.23.03.01.01 Columns {"&amp;COLUMN($D$1)&amp;"}"</f>
        <v>!S.23.03.01.01 Columns {4}</v>
      </c>
    </row>
    <row r="14" spans="2:15">
      <c r="B14" s="43" t="s">
        <v>2880</v>
      </c>
      <c r="C14" s="44" t="s">
        <v>2878</v>
      </c>
      <c r="D14" s="58"/>
      <c r="E14" s="67"/>
      <c r="F14" s="67"/>
      <c r="G14" s="59"/>
    </row>
    <row r="15" spans="2:15">
      <c r="B15" s="47" t="s">
        <v>4480</v>
      </c>
      <c r="C15" s="44" t="s">
        <v>2878</v>
      </c>
      <c r="D15" s="56"/>
      <c r="E15" s="66"/>
      <c r="F15" s="66"/>
      <c r="G15" s="57"/>
    </row>
    <row r="16" spans="2:15">
      <c r="B16" s="49" t="s">
        <v>4436</v>
      </c>
      <c r="C16" s="41" t="s">
        <v>2883</v>
      </c>
      <c r="D16" s="60"/>
      <c r="E16" s="60"/>
      <c r="F16" s="60"/>
      <c r="G16" s="60"/>
    </row>
    <row r="17" spans="2:15">
      <c r="B17" s="49" t="s">
        <v>4437</v>
      </c>
      <c r="C17" s="41" t="s">
        <v>2885</v>
      </c>
      <c r="D17" s="60"/>
      <c r="E17" s="60"/>
      <c r="F17" s="60"/>
      <c r="G17" s="60"/>
    </row>
    <row r="18" spans="2:15">
      <c r="B18" s="49" t="s">
        <v>4438</v>
      </c>
      <c r="C18" s="41" t="s">
        <v>2887</v>
      </c>
      <c r="D18" s="60"/>
      <c r="E18" s="60"/>
      <c r="F18" s="60"/>
      <c r="G18" s="60"/>
    </row>
    <row r="19" spans="2:15">
      <c r="B19" s="47" t="s">
        <v>4439</v>
      </c>
      <c r="C19" s="41" t="s">
        <v>2899</v>
      </c>
      <c r="D19" s="63"/>
      <c r="E19" s="63"/>
      <c r="F19" s="63"/>
      <c r="G19" s="63"/>
    </row>
    <row r="20" spans="2:15" ht="30">
      <c r="B20" s="47" t="s">
        <v>4481</v>
      </c>
      <c r="C20" s="44" t="s">
        <v>2878</v>
      </c>
      <c r="D20" s="56"/>
      <c r="E20" s="66"/>
      <c r="F20" s="66"/>
      <c r="G20" s="57"/>
    </row>
    <row r="21" spans="2:15">
      <c r="B21" s="49" t="s">
        <v>2545</v>
      </c>
      <c r="C21" s="41" t="s">
        <v>2901</v>
      </c>
      <c r="D21" s="60"/>
      <c r="E21" s="60"/>
      <c r="F21" s="60"/>
      <c r="G21" s="60"/>
    </row>
    <row r="22" spans="2:15">
      <c r="B22" s="49" t="s">
        <v>2548</v>
      </c>
      <c r="C22" s="41" t="s">
        <v>2903</v>
      </c>
      <c r="D22" s="60"/>
      <c r="E22" s="60"/>
      <c r="F22" s="60"/>
      <c r="G22" s="60"/>
    </row>
    <row r="23" spans="2:15">
      <c r="B23" s="47" t="s">
        <v>3480</v>
      </c>
      <c r="C23" s="41" t="s">
        <v>2919</v>
      </c>
      <c r="D23" s="63"/>
      <c r="E23" s="63"/>
      <c r="F23" s="63"/>
      <c r="G23" s="63"/>
    </row>
    <row r="24" spans="2:15" ht="30">
      <c r="B24" s="47" t="s">
        <v>4482</v>
      </c>
      <c r="C24" s="44" t="s">
        <v>2878</v>
      </c>
      <c r="D24" s="56"/>
      <c r="E24" s="66"/>
      <c r="F24" s="66"/>
      <c r="G24" s="57"/>
    </row>
    <row r="25" spans="2:15">
      <c r="B25" s="49" t="s">
        <v>4436</v>
      </c>
      <c r="C25" s="41" t="s">
        <v>2921</v>
      </c>
      <c r="D25" s="60"/>
      <c r="E25" s="60"/>
      <c r="F25" s="60"/>
      <c r="G25" s="60"/>
    </row>
    <row r="26" spans="2:15">
      <c r="B26" s="49" t="s">
        <v>4437</v>
      </c>
      <c r="C26" s="41" t="s">
        <v>2923</v>
      </c>
      <c r="D26" s="60"/>
      <c r="E26" s="60"/>
      <c r="F26" s="60"/>
      <c r="G26" s="60"/>
    </row>
    <row r="27" spans="2:15" ht="30">
      <c r="B27" s="47" t="s">
        <v>4483</v>
      </c>
      <c r="C27" s="41" t="s">
        <v>2939</v>
      </c>
      <c r="D27" s="60"/>
      <c r="E27" s="60"/>
      <c r="F27" s="60"/>
      <c r="G27" s="60"/>
    </row>
    <row r="29" spans="2:15">
      <c r="N29" s="13" t="str">
        <f>Show!$B$109&amp;Show!$B$109&amp;"S.23.03.01.01 Rows {"&amp;COLUMN($C$1)&amp;"}"</f>
        <v>!!S.23.03.01.01 Rows {3}</v>
      </c>
      <c r="O29" s="13" t="str">
        <f>Show!$B$109&amp;Show!$B$109&amp;"S.23.03.01.01 Columns {"&amp;COLUMN($G$1)&amp;"}"</f>
        <v>!!S.23.03.01.01 Columns {7}</v>
      </c>
    </row>
    <row r="31" spans="2:15" ht="18.75">
      <c r="B31" s="97" t="s">
        <v>4484</v>
      </c>
      <c r="C31" s="96"/>
      <c r="D31" s="96"/>
      <c r="E31" s="96"/>
      <c r="F31" s="96"/>
      <c r="G31" s="96"/>
      <c r="H31" s="96"/>
      <c r="I31" s="96"/>
      <c r="J31" s="96"/>
      <c r="K31" s="96"/>
      <c r="L31" s="96"/>
    </row>
    <row r="35" spans="2:15">
      <c r="D35" s="101" t="s">
        <v>2877</v>
      </c>
      <c r="E35" s="102"/>
      <c r="F35" s="102"/>
      <c r="G35" s="102"/>
      <c r="H35" s="102"/>
      <c r="I35" s="103"/>
    </row>
    <row r="36" spans="2:15">
      <c r="D36" s="104"/>
      <c r="E36" s="105"/>
      <c r="F36" s="105"/>
      <c r="G36" s="105"/>
      <c r="H36" s="105"/>
      <c r="I36" s="106"/>
    </row>
    <row r="37" spans="2:15">
      <c r="D37" s="98" t="s">
        <v>4476</v>
      </c>
      <c r="E37" s="98" t="s">
        <v>4485</v>
      </c>
      <c r="F37" s="98" t="s">
        <v>4486</v>
      </c>
      <c r="G37" s="98" t="s">
        <v>4487</v>
      </c>
      <c r="H37" s="98" t="s">
        <v>4488</v>
      </c>
      <c r="I37" s="98" t="s">
        <v>4479</v>
      </c>
    </row>
    <row r="38" spans="2:15">
      <c r="D38" s="100"/>
      <c r="E38" s="100"/>
      <c r="F38" s="100"/>
      <c r="G38" s="100"/>
      <c r="H38" s="100"/>
      <c r="I38" s="100"/>
    </row>
    <row r="39" spans="2:15">
      <c r="D39" s="45" t="s">
        <v>2879</v>
      </c>
      <c r="E39" s="45" t="s">
        <v>3233</v>
      </c>
      <c r="F39" s="45" t="s">
        <v>3234</v>
      </c>
      <c r="G39" s="45" t="s">
        <v>3236</v>
      </c>
      <c r="H39" s="45" t="s">
        <v>3239</v>
      </c>
      <c r="I39" s="45" t="s">
        <v>3231</v>
      </c>
      <c r="N39" s="13" t="str">
        <f>Show!$B$109&amp;"S.23.03.01.02 Rows {"&amp;COLUMN($C$1)&amp;"}"&amp;"@ForceFilingCode:true"</f>
        <v>!S.23.03.01.02 Rows {3}@ForceFilingCode:true</v>
      </c>
      <c r="O39" s="13" t="str">
        <f>Show!$B$109&amp;"S.23.03.01.02 Columns {"&amp;COLUMN($D$1)&amp;"}"</f>
        <v>!S.23.03.01.02 Columns {4}</v>
      </c>
    </row>
    <row r="40" spans="2:15">
      <c r="B40" s="43" t="s">
        <v>2880</v>
      </c>
      <c r="C40" s="44" t="s">
        <v>2878</v>
      </c>
      <c r="D40" s="58"/>
      <c r="E40" s="67"/>
      <c r="F40" s="67"/>
      <c r="G40" s="67"/>
      <c r="H40" s="67"/>
      <c r="I40" s="59"/>
    </row>
    <row r="41" spans="2:15">
      <c r="B41" s="47" t="s">
        <v>4489</v>
      </c>
      <c r="C41" s="44" t="s">
        <v>2878</v>
      </c>
      <c r="D41" s="56"/>
      <c r="E41" s="66"/>
      <c r="F41" s="66"/>
      <c r="G41" s="66"/>
      <c r="H41" s="66"/>
      <c r="I41" s="57"/>
    </row>
    <row r="42" spans="2:15">
      <c r="B42" s="49" t="s">
        <v>2545</v>
      </c>
      <c r="C42" s="41" t="s">
        <v>2941</v>
      </c>
      <c r="D42" s="60"/>
      <c r="E42" s="60"/>
      <c r="F42" s="60"/>
      <c r="G42" s="60"/>
      <c r="H42" s="60"/>
      <c r="I42" s="60"/>
    </row>
    <row r="43" spans="2:15">
      <c r="B43" s="49" t="s">
        <v>2548</v>
      </c>
      <c r="C43" s="41" t="s">
        <v>2943</v>
      </c>
      <c r="D43" s="60"/>
      <c r="E43" s="60"/>
      <c r="F43" s="60"/>
      <c r="G43" s="60"/>
      <c r="H43" s="60"/>
      <c r="I43" s="60"/>
    </row>
    <row r="44" spans="2:15">
      <c r="B44" s="49" t="s">
        <v>2549</v>
      </c>
      <c r="C44" s="41" t="s">
        <v>2945</v>
      </c>
      <c r="D44" s="60"/>
      <c r="E44" s="60"/>
      <c r="F44" s="60"/>
      <c r="G44" s="60"/>
      <c r="H44" s="60"/>
      <c r="I44" s="60"/>
    </row>
    <row r="45" spans="2:15">
      <c r="B45" s="47" t="s">
        <v>4446</v>
      </c>
      <c r="C45" s="41" t="s">
        <v>2959</v>
      </c>
      <c r="D45" s="60"/>
      <c r="E45" s="60"/>
      <c r="F45" s="60"/>
      <c r="G45" s="60"/>
      <c r="H45" s="60"/>
      <c r="I45" s="60"/>
    </row>
    <row r="47" spans="2:15">
      <c r="N47" s="13" t="str">
        <f>Show!$B$109&amp;Show!$B$109&amp;"S.23.03.01.02 Rows {"&amp;COLUMN($C$1)&amp;"}"</f>
        <v>!!S.23.03.01.02 Rows {3}</v>
      </c>
      <c r="O47" s="13" t="str">
        <f>Show!$B$109&amp;Show!$B$109&amp;"S.23.03.01.02 Columns {"&amp;COLUMN($I$1)&amp;"}"</f>
        <v>!!S.23.03.01.02 Columns {9}</v>
      </c>
    </row>
    <row r="49" spans="2:15" ht="18.75">
      <c r="B49" s="97" t="s">
        <v>4490</v>
      </c>
      <c r="C49" s="96"/>
      <c r="D49" s="96"/>
      <c r="E49" s="96"/>
      <c r="F49" s="96"/>
      <c r="G49" s="96"/>
      <c r="H49" s="96"/>
      <c r="I49" s="96"/>
      <c r="J49" s="96"/>
      <c r="K49" s="96"/>
      <c r="L49" s="96"/>
    </row>
    <row r="53" spans="2:15">
      <c r="D53" s="101" t="s">
        <v>2877</v>
      </c>
      <c r="E53" s="103"/>
    </row>
    <row r="54" spans="2:15">
      <c r="D54" s="104"/>
      <c r="E54" s="106"/>
    </row>
    <row r="55" spans="2:15">
      <c r="D55" s="55" t="s">
        <v>4476</v>
      </c>
      <c r="E55" s="55" t="s">
        <v>4479</v>
      </c>
    </row>
    <row r="56" spans="2:15">
      <c r="D56" s="45" t="s">
        <v>2879</v>
      </c>
      <c r="E56" s="45" t="s">
        <v>3231</v>
      </c>
      <c r="N56" s="13" t="str">
        <f>Show!$B$109&amp;"S.23.03.01.03 Rows {"&amp;COLUMN($C$1)&amp;"}"&amp;"@ForceFilingCode:true"</f>
        <v>!S.23.03.01.03 Rows {3}@ForceFilingCode:true</v>
      </c>
      <c r="O56" s="13" t="str">
        <f>Show!$B$109&amp;"S.23.03.01.03 Columns {"&amp;COLUMN($D$1)&amp;"}"</f>
        <v>!S.23.03.01.03 Columns {4}</v>
      </c>
    </row>
    <row r="57" spans="2:15">
      <c r="B57" s="43" t="s">
        <v>2880</v>
      </c>
      <c r="C57" s="44" t="s">
        <v>2878</v>
      </c>
      <c r="D57" s="56"/>
      <c r="E57" s="57"/>
    </row>
    <row r="58" spans="2:15">
      <c r="B58" s="47" t="s">
        <v>4349</v>
      </c>
      <c r="C58" s="41" t="s">
        <v>2977</v>
      </c>
      <c r="D58" s="60"/>
      <c r="E58" s="60"/>
    </row>
    <row r="60" spans="2:15">
      <c r="N60" s="13" t="str">
        <f>Show!$B$109&amp;Show!$B$109&amp;"S.23.03.01.03 Rows {"&amp;COLUMN($C$1)&amp;"}"</f>
        <v>!!S.23.03.01.03 Rows {3}</v>
      </c>
      <c r="O60" s="13" t="str">
        <f>Show!$B$109&amp;Show!$B$109&amp;"S.23.03.01.03 Columns {"&amp;COLUMN($E$1)&amp;"}"</f>
        <v>!!S.23.03.01.03 Columns {5}</v>
      </c>
    </row>
    <row r="62" spans="2:15" ht="18.75">
      <c r="B62" s="97" t="s">
        <v>4491</v>
      </c>
      <c r="C62" s="96"/>
      <c r="D62" s="96"/>
      <c r="E62" s="96"/>
      <c r="F62" s="96"/>
      <c r="G62" s="96"/>
      <c r="H62" s="96"/>
      <c r="I62" s="96"/>
      <c r="J62" s="96"/>
      <c r="K62" s="96"/>
      <c r="L62" s="96"/>
    </row>
    <row r="66" spans="2:15">
      <c r="D66" s="101" t="s">
        <v>2877</v>
      </c>
      <c r="E66" s="102"/>
      <c r="F66" s="102"/>
      <c r="G66" s="103"/>
    </row>
    <row r="67" spans="2:15">
      <c r="D67" s="104"/>
      <c r="E67" s="105"/>
      <c r="F67" s="105"/>
      <c r="G67" s="106"/>
    </row>
    <row r="68" spans="2:15">
      <c r="D68" s="98" t="s">
        <v>4476</v>
      </c>
      <c r="E68" s="98" t="s">
        <v>4477</v>
      </c>
      <c r="F68" s="98" t="s">
        <v>4478</v>
      </c>
      <c r="G68" s="98" t="s">
        <v>4479</v>
      </c>
    </row>
    <row r="69" spans="2:15">
      <c r="D69" s="100"/>
      <c r="E69" s="100"/>
      <c r="F69" s="100"/>
      <c r="G69" s="100"/>
    </row>
    <row r="70" spans="2:15">
      <c r="D70" s="45" t="s">
        <v>2879</v>
      </c>
      <c r="E70" s="45" t="s">
        <v>3219</v>
      </c>
      <c r="F70" s="45" t="s">
        <v>3225</v>
      </c>
      <c r="G70" s="45" t="s">
        <v>3231</v>
      </c>
      <c r="N70" s="13" t="str">
        <f>Show!$B$109&amp;"S.23.03.01.04 Rows {"&amp;COLUMN($C$1)&amp;"}"&amp;"@ForceFilingCode:true"</f>
        <v>!S.23.03.01.04 Rows {3}@ForceFilingCode:true</v>
      </c>
      <c r="O70" s="13" t="str">
        <f>Show!$B$109&amp;"S.23.03.01.04 Columns {"&amp;COLUMN($D$1)&amp;"}"</f>
        <v>!S.23.03.01.04 Columns {4}</v>
      </c>
    </row>
    <row r="71" spans="2:15">
      <c r="B71" s="43" t="s">
        <v>2880</v>
      </c>
      <c r="C71" s="44" t="s">
        <v>2878</v>
      </c>
      <c r="D71" s="58"/>
      <c r="E71" s="67"/>
      <c r="F71" s="67"/>
      <c r="G71" s="59"/>
    </row>
    <row r="72" spans="2:15">
      <c r="B72" s="47" t="s">
        <v>4492</v>
      </c>
      <c r="C72" s="44" t="s">
        <v>2878</v>
      </c>
      <c r="D72" s="56"/>
      <c r="E72" s="66"/>
      <c r="F72" s="66"/>
      <c r="G72" s="57"/>
    </row>
    <row r="73" spans="2:15">
      <c r="B73" s="49" t="s">
        <v>2545</v>
      </c>
      <c r="C73" s="41" t="s">
        <v>2979</v>
      </c>
      <c r="D73" s="60"/>
      <c r="E73" s="60"/>
      <c r="F73" s="60"/>
      <c r="G73" s="60"/>
    </row>
    <row r="74" spans="2:15">
      <c r="B74" s="49" t="s">
        <v>2548</v>
      </c>
      <c r="C74" s="41" t="s">
        <v>2981</v>
      </c>
      <c r="D74" s="60"/>
      <c r="E74" s="60"/>
      <c r="F74" s="60"/>
      <c r="G74" s="60"/>
    </row>
    <row r="75" spans="2:15">
      <c r="B75" s="49" t="s">
        <v>2549</v>
      </c>
      <c r="C75" s="41" t="s">
        <v>2983</v>
      </c>
      <c r="D75" s="60"/>
      <c r="E75" s="60"/>
      <c r="F75" s="60"/>
      <c r="G75" s="60"/>
    </row>
    <row r="76" spans="2:15">
      <c r="B76" s="47" t="s">
        <v>4450</v>
      </c>
      <c r="C76" s="41" t="s">
        <v>2997</v>
      </c>
      <c r="D76" s="63"/>
      <c r="E76" s="63"/>
      <c r="F76" s="63"/>
      <c r="G76" s="63"/>
    </row>
    <row r="77" spans="2:15">
      <c r="B77" s="47" t="s">
        <v>4493</v>
      </c>
      <c r="C77" s="44" t="s">
        <v>2878</v>
      </c>
      <c r="D77" s="56"/>
      <c r="E77" s="66"/>
      <c r="F77" s="66"/>
      <c r="G77" s="57"/>
    </row>
    <row r="78" spans="2:15">
      <c r="B78" s="49" t="s">
        <v>2545</v>
      </c>
      <c r="C78" s="41" t="s">
        <v>2999</v>
      </c>
      <c r="D78" s="60"/>
      <c r="E78" s="60"/>
      <c r="F78" s="60"/>
      <c r="G78" s="60"/>
    </row>
    <row r="79" spans="2:15">
      <c r="B79" s="49" t="s">
        <v>2548</v>
      </c>
      <c r="C79" s="41" t="s">
        <v>3001</v>
      </c>
      <c r="D79" s="60"/>
      <c r="E79" s="60"/>
      <c r="F79" s="60"/>
      <c r="G79" s="60"/>
    </row>
    <row r="80" spans="2:15">
      <c r="B80" s="49" t="s">
        <v>2549</v>
      </c>
      <c r="C80" s="41" t="s">
        <v>3003</v>
      </c>
      <c r="D80" s="60"/>
      <c r="E80" s="60"/>
      <c r="F80" s="60"/>
      <c r="G80" s="60"/>
    </row>
    <row r="81" spans="2:15">
      <c r="B81" s="47" t="s">
        <v>3480</v>
      </c>
      <c r="C81" s="41" t="s">
        <v>3064</v>
      </c>
      <c r="D81" s="60"/>
      <c r="E81" s="60"/>
      <c r="F81" s="60"/>
      <c r="G81" s="60"/>
    </row>
    <row r="83" spans="2:15">
      <c r="N83" s="13" t="str">
        <f>Show!$B$109&amp;Show!$B$109&amp;"S.23.03.01.04 Rows {"&amp;COLUMN($C$1)&amp;"}"</f>
        <v>!!S.23.03.01.04 Rows {3}</v>
      </c>
      <c r="O83" s="13" t="str">
        <f>Show!$B$109&amp;Show!$B$109&amp;"S.23.03.01.04 Columns {"&amp;COLUMN($G$1)&amp;"}"</f>
        <v>!!S.23.03.01.04 Columns {7}</v>
      </c>
    </row>
    <row r="85" spans="2:15" ht="18.75">
      <c r="B85" s="97" t="s">
        <v>4494</v>
      </c>
      <c r="C85" s="96"/>
      <c r="D85" s="96"/>
      <c r="E85" s="96"/>
      <c r="F85" s="96"/>
      <c r="G85" s="96"/>
      <c r="H85" s="96"/>
      <c r="I85" s="96"/>
      <c r="J85" s="96"/>
      <c r="K85" s="96"/>
      <c r="L85" s="96"/>
    </row>
    <row r="89" spans="2:15">
      <c r="D89" s="101" t="s">
        <v>2877</v>
      </c>
      <c r="E89" s="102"/>
      <c r="F89" s="102"/>
      <c r="G89" s="102"/>
      <c r="H89" s="102"/>
      <c r="I89" s="103"/>
    </row>
    <row r="90" spans="2:15">
      <c r="D90" s="104"/>
      <c r="E90" s="105"/>
      <c r="F90" s="105"/>
      <c r="G90" s="105"/>
      <c r="H90" s="105"/>
      <c r="I90" s="106"/>
    </row>
    <row r="91" spans="2:15">
      <c r="D91" s="98" t="s">
        <v>4476</v>
      </c>
      <c r="E91" s="98" t="s">
        <v>4485</v>
      </c>
      <c r="F91" s="98" t="s">
        <v>4486</v>
      </c>
      <c r="G91" s="98" t="s">
        <v>4487</v>
      </c>
      <c r="H91" s="98" t="s">
        <v>4488</v>
      </c>
      <c r="I91" s="98" t="s">
        <v>4479</v>
      </c>
    </row>
    <row r="92" spans="2:15">
      <c r="D92" s="100"/>
      <c r="E92" s="100"/>
      <c r="F92" s="100"/>
      <c r="G92" s="100"/>
      <c r="H92" s="100"/>
      <c r="I92" s="100"/>
    </row>
    <row r="93" spans="2:15">
      <c r="D93" s="45" t="s">
        <v>2879</v>
      </c>
      <c r="E93" s="45" t="s">
        <v>3233</v>
      </c>
      <c r="F93" s="45" t="s">
        <v>3234</v>
      </c>
      <c r="G93" s="45" t="s">
        <v>3236</v>
      </c>
      <c r="H93" s="45" t="s">
        <v>3239</v>
      </c>
      <c r="I93" s="45" t="s">
        <v>3231</v>
      </c>
      <c r="N93" s="13" t="str">
        <f>Show!$B$109&amp;"S.23.03.01.05 Rows {"&amp;COLUMN($C$1)&amp;"}"&amp;"@ForceFilingCode:true"</f>
        <v>!S.23.03.01.05 Rows {3}@ForceFilingCode:true</v>
      </c>
      <c r="O93" s="13" t="str">
        <f>Show!$B$109&amp;"S.23.03.01.05 Columns {"&amp;COLUMN($D$1)&amp;"}"</f>
        <v>!S.23.03.01.05 Columns {4}</v>
      </c>
    </row>
    <row r="94" spans="2:15">
      <c r="B94" s="43" t="s">
        <v>2880</v>
      </c>
      <c r="C94" s="44" t="s">
        <v>2878</v>
      </c>
      <c r="D94" s="58"/>
      <c r="E94" s="67"/>
      <c r="F94" s="67"/>
      <c r="G94" s="67"/>
      <c r="H94" s="67"/>
      <c r="I94" s="59"/>
    </row>
    <row r="95" spans="2:15">
      <c r="B95" s="47" t="s">
        <v>4495</v>
      </c>
      <c r="C95" s="44" t="s">
        <v>2878</v>
      </c>
      <c r="D95" s="56"/>
      <c r="E95" s="66"/>
      <c r="F95" s="66"/>
      <c r="G95" s="66"/>
      <c r="H95" s="66"/>
      <c r="I95" s="57"/>
    </row>
    <row r="96" spans="2:15">
      <c r="B96" s="49" t="s">
        <v>2545</v>
      </c>
      <c r="C96" s="41" t="s">
        <v>3066</v>
      </c>
      <c r="D96" s="60"/>
      <c r="E96" s="60"/>
      <c r="F96" s="60"/>
      <c r="G96" s="60"/>
      <c r="H96" s="60"/>
      <c r="I96" s="60"/>
    </row>
    <row r="97" spans="2:15">
      <c r="B97" s="49" t="s">
        <v>2548</v>
      </c>
      <c r="C97" s="41" t="s">
        <v>3068</v>
      </c>
      <c r="D97" s="60"/>
      <c r="E97" s="60"/>
      <c r="F97" s="60"/>
      <c r="G97" s="60"/>
      <c r="H97" s="60"/>
      <c r="I97" s="60"/>
    </row>
    <row r="98" spans="2:15">
      <c r="B98" s="49" t="s">
        <v>2549</v>
      </c>
      <c r="C98" s="41" t="s">
        <v>3070</v>
      </c>
      <c r="D98" s="60"/>
      <c r="E98" s="60"/>
      <c r="F98" s="60"/>
      <c r="G98" s="60"/>
      <c r="H98" s="60"/>
      <c r="I98" s="60"/>
    </row>
    <row r="99" spans="2:15">
      <c r="B99" s="47" t="s">
        <v>4454</v>
      </c>
      <c r="C99" s="41" t="s">
        <v>3120</v>
      </c>
      <c r="D99" s="60"/>
      <c r="E99" s="60"/>
      <c r="F99" s="60"/>
      <c r="G99" s="60"/>
      <c r="H99" s="60"/>
      <c r="I99" s="60"/>
    </row>
    <row r="101" spans="2:15">
      <c r="N101" s="13" t="str">
        <f>Show!$B$109&amp;Show!$B$109&amp;"S.23.03.01.05 Rows {"&amp;COLUMN($C$1)&amp;"}"</f>
        <v>!!S.23.03.01.05 Rows {3}</v>
      </c>
      <c r="O101" s="13" t="str">
        <f>Show!$B$109&amp;Show!$B$109&amp;"S.23.03.01.05 Columns {"&amp;COLUMN($I$1)&amp;"}"</f>
        <v>!!S.23.03.01.05 Columns {9}</v>
      </c>
    </row>
    <row r="103" spans="2:15" ht="18.75">
      <c r="B103" s="97" t="s">
        <v>4496</v>
      </c>
      <c r="C103" s="96"/>
      <c r="D103" s="96"/>
      <c r="E103" s="96"/>
      <c r="F103" s="96"/>
      <c r="G103" s="96"/>
      <c r="H103" s="96"/>
      <c r="I103" s="96"/>
      <c r="J103" s="96"/>
      <c r="K103" s="96"/>
      <c r="L103" s="96"/>
    </row>
    <row r="107" spans="2:15">
      <c r="D107" s="101" t="s">
        <v>2877</v>
      </c>
      <c r="E107" s="103"/>
    </row>
    <row r="108" spans="2:15">
      <c r="D108" s="104"/>
      <c r="E108" s="106"/>
    </row>
    <row r="109" spans="2:15">
      <c r="D109" s="55" t="s">
        <v>4476</v>
      </c>
      <c r="E109" s="55" t="s">
        <v>4479</v>
      </c>
    </row>
    <row r="110" spans="2:15">
      <c r="D110" s="45" t="s">
        <v>2879</v>
      </c>
      <c r="E110" s="45" t="s">
        <v>3231</v>
      </c>
      <c r="N110" s="13" t="str">
        <f>Show!$B$109&amp;"S.23.03.01.06 Rows {"&amp;COLUMN($C$1)&amp;"}"&amp;"@ForceFilingCode:true"</f>
        <v>!S.23.03.01.06 Rows {3}@ForceFilingCode:true</v>
      </c>
      <c r="O110" s="13" t="str">
        <f>Show!$B$109&amp;"S.23.03.01.06 Columns {"&amp;COLUMN($D$1)&amp;"}"</f>
        <v>!S.23.03.01.06 Columns {4}</v>
      </c>
    </row>
    <row r="111" spans="2:15">
      <c r="B111" s="43" t="s">
        <v>2880</v>
      </c>
      <c r="C111" s="44" t="s">
        <v>2878</v>
      </c>
      <c r="D111" s="56"/>
      <c r="E111" s="57"/>
    </row>
    <row r="112" spans="2:15">
      <c r="B112" s="47" t="s">
        <v>4353</v>
      </c>
      <c r="C112" s="41" t="s">
        <v>3140</v>
      </c>
      <c r="D112" s="60"/>
      <c r="E112" s="60"/>
    </row>
    <row r="114" spans="2:15">
      <c r="N114" s="13" t="str">
        <f>Show!$B$109&amp;Show!$B$109&amp;"S.23.03.01.06 Rows {"&amp;COLUMN($C$1)&amp;"}"</f>
        <v>!!S.23.03.01.06 Rows {3}</v>
      </c>
      <c r="O114" s="13" t="str">
        <f>Show!$B$109&amp;Show!$B$109&amp;"S.23.03.01.06 Columns {"&amp;COLUMN($E$1)&amp;"}"</f>
        <v>!!S.23.03.01.06 Columns {5}</v>
      </c>
    </row>
    <row r="116" spans="2:15" ht="18.75">
      <c r="B116" s="97" t="s">
        <v>4497</v>
      </c>
      <c r="C116" s="96"/>
      <c r="D116" s="96"/>
      <c r="E116" s="96"/>
      <c r="F116" s="96"/>
      <c r="G116" s="96"/>
      <c r="H116" s="96"/>
      <c r="I116" s="96"/>
      <c r="J116" s="96"/>
      <c r="K116" s="96"/>
      <c r="L116" s="96"/>
    </row>
    <row r="120" spans="2:15">
      <c r="D120" s="101" t="s">
        <v>2877</v>
      </c>
      <c r="E120" s="102"/>
      <c r="F120" s="102"/>
      <c r="G120" s="102"/>
      <c r="H120" s="103"/>
    </row>
    <row r="121" spans="2:15">
      <c r="D121" s="104"/>
      <c r="E121" s="105"/>
      <c r="F121" s="105"/>
      <c r="G121" s="105"/>
      <c r="H121" s="106"/>
    </row>
    <row r="122" spans="2:15">
      <c r="D122" s="98" t="s">
        <v>4476</v>
      </c>
      <c r="E122" s="98" t="s">
        <v>4485</v>
      </c>
      <c r="F122" s="98" t="s">
        <v>4486</v>
      </c>
      <c r="G122" s="98" t="s">
        <v>4487</v>
      </c>
      <c r="H122" s="98" t="s">
        <v>4479</v>
      </c>
    </row>
    <row r="123" spans="2:15">
      <c r="D123" s="100"/>
      <c r="E123" s="100"/>
      <c r="F123" s="100"/>
      <c r="G123" s="100"/>
      <c r="H123" s="100"/>
    </row>
    <row r="124" spans="2:15">
      <c r="D124" s="45" t="s">
        <v>2879</v>
      </c>
      <c r="E124" s="45" t="s">
        <v>3233</v>
      </c>
      <c r="F124" s="45" t="s">
        <v>3234</v>
      </c>
      <c r="G124" s="45" t="s">
        <v>3236</v>
      </c>
      <c r="H124" s="45" t="s">
        <v>3231</v>
      </c>
      <c r="N124" s="13" t="str">
        <f>Show!$B$109&amp;"S.23.03.01.07 Rows {"&amp;COLUMN($C$1)&amp;"}"&amp;"@ForceFilingCode:true"</f>
        <v>!S.23.03.01.07 Rows {3}@ForceFilingCode:true</v>
      </c>
      <c r="O124" s="13" t="str">
        <f>Show!$B$109&amp;"S.23.03.01.07 Columns {"&amp;COLUMN($D$1)&amp;"}"</f>
        <v>!S.23.03.01.07 Columns {4}</v>
      </c>
    </row>
    <row r="125" spans="2:15">
      <c r="B125" s="43" t="s">
        <v>2880</v>
      </c>
      <c r="C125" s="44" t="s">
        <v>2878</v>
      </c>
      <c r="D125" s="58"/>
      <c r="E125" s="67"/>
      <c r="F125" s="67"/>
      <c r="G125" s="67"/>
      <c r="H125" s="59"/>
    </row>
    <row r="126" spans="2:15" ht="30">
      <c r="B126" s="47" t="s">
        <v>4498</v>
      </c>
      <c r="C126" s="44" t="s">
        <v>2878</v>
      </c>
      <c r="D126" s="56"/>
      <c r="E126" s="66"/>
      <c r="F126" s="66"/>
      <c r="G126" s="66"/>
      <c r="H126" s="57"/>
    </row>
    <row r="127" spans="2:15">
      <c r="B127" s="49" t="s">
        <v>4499</v>
      </c>
      <c r="C127" s="41" t="s">
        <v>3315</v>
      </c>
      <c r="D127" s="60"/>
      <c r="E127" s="60"/>
      <c r="F127" s="60"/>
      <c r="G127" s="60"/>
      <c r="H127" s="60"/>
    </row>
    <row r="128" spans="2:15">
      <c r="B128" s="49" t="s">
        <v>4500</v>
      </c>
      <c r="C128" s="41" t="s">
        <v>3496</v>
      </c>
      <c r="D128" s="60"/>
      <c r="E128" s="60"/>
      <c r="F128" s="60"/>
      <c r="G128" s="60"/>
      <c r="H128" s="60"/>
    </row>
    <row r="129" spans="2:15">
      <c r="B129" s="49" t="s">
        <v>2548</v>
      </c>
      <c r="C129" s="41" t="s">
        <v>3497</v>
      </c>
      <c r="D129" s="60"/>
      <c r="E129" s="60"/>
      <c r="F129" s="60"/>
      <c r="G129" s="60"/>
      <c r="H129" s="60"/>
    </row>
    <row r="130" spans="2:15">
      <c r="B130" s="49" t="s">
        <v>2549</v>
      </c>
      <c r="C130" s="41" t="s">
        <v>3498</v>
      </c>
      <c r="D130" s="60"/>
      <c r="E130" s="60"/>
      <c r="F130" s="60"/>
      <c r="G130" s="60"/>
      <c r="H130" s="60"/>
    </row>
    <row r="131" spans="2:15" ht="30">
      <c r="B131" s="47" t="s">
        <v>4501</v>
      </c>
      <c r="C131" s="41" t="s">
        <v>3500</v>
      </c>
      <c r="D131" s="60"/>
      <c r="E131" s="60"/>
      <c r="F131" s="60"/>
      <c r="G131" s="60"/>
      <c r="H131" s="60"/>
    </row>
    <row r="133" spans="2:15">
      <c r="N133" s="13" t="str">
        <f>Show!$B$109&amp;Show!$B$109&amp;"S.23.03.01.07 Rows {"&amp;COLUMN($C$1)&amp;"}"</f>
        <v>!!S.23.03.01.07 Rows {3}</v>
      </c>
      <c r="O133" s="13" t="str">
        <f>Show!$B$109&amp;Show!$B$109&amp;"S.23.03.01.07 Columns {"&amp;COLUMN($H$1)&amp;"}"</f>
        <v>!!S.23.03.01.07 Columns {8}</v>
      </c>
    </row>
    <row r="135" spans="2:15" ht="18.75">
      <c r="B135" s="97" t="s">
        <v>4502</v>
      </c>
      <c r="C135" s="96"/>
      <c r="D135" s="96"/>
      <c r="E135" s="96"/>
      <c r="F135" s="96"/>
      <c r="G135" s="96"/>
      <c r="H135" s="96"/>
      <c r="I135" s="96"/>
      <c r="J135" s="96"/>
      <c r="K135" s="96"/>
      <c r="L135" s="96"/>
    </row>
    <row r="139" spans="2:15">
      <c r="D139" s="101" t="s">
        <v>2877</v>
      </c>
      <c r="E139" s="102"/>
      <c r="F139" s="102"/>
      <c r="G139" s="102"/>
      <c r="H139" s="103"/>
    </row>
    <row r="140" spans="2:15">
      <c r="D140" s="104"/>
      <c r="E140" s="105"/>
      <c r="F140" s="105"/>
      <c r="G140" s="105"/>
      <c r="H140" s="106"/>
    </row>
    <row r="141" spans="2:15">
      <c r="D141" s="98" t="s">
        <v>4476</v>
      </c>
      <c r="E141" s="98" t="s">
        <v>4503</v>
      </c>
      <c r="F141" s="98" t="s">
        <v>4504</v>
      </c>
      <c r="G141" s="98" t="s">
        <v>4505</v>
      </c>
      <c r="H141" s="98" t="s">
        <v>4479</v>
      </c>
    </row>
    <row r="142" spans="2:15">
      <c r="D142" s="100"/>
      <c r="E142" s="100"/>
      <c r="F142" s="100"/>
      <c r="G142" s="100"/>
      <c r="H142" s="100"/>
    </row>
    <row r="143" spans="2:15">
      <c r="D143" s="45" t="s">
        <v>2879</v>
      </c>
      <c r="E143" s="45" t="s">
        <v>3241</v>
      </c>
      <c r="F143" s="45" t="s">
        <v>3243</v>
      </c>
      <c r="G143" s="45" t="s">
        <v>3375</v>
      </c>
      <c r="H143" s="45" t="s">
        <v>3231</v>
      </c>
      <c r="N143" s="13" t="str">
        <f>Show!$B$109&amp;"S.23.03.01.08 Rows {"&amp;COLUMN($C$1)&amp;"}"&amp;"@ForceFilingCode:true"</f>
        <v>!S.23.03.01.08 Rows {3}@ForceFilingCode:true</v>
      </c>
      <c r="O143" s="13" t="str">
        <f>Show!$B$109&amp;"S.23.03.01.08 Columns {"&amp;COLUMN($D$1)&amp;"}"</f>
        <v>!S.23.03.01.08 Columns {4}</v>
      </c>
    </row>
    <row r="144" spans="2:15">
      <c r="B144" s="43" t="s">
        <v>2880</v>
      </c>
      <c r="C144" s="44" t="s">
        <v>2878</v>
      </c>
      <c r="D144" s="58"/>
      <c r="E144" s="67"/>
      <c r="F144" s="67"/>
      <c r="G144" s="67"/>
      <c r="H144" s="59"/>
    </row>
    <row r="145" spans="2:15">
      <c r="B145" s="47" t="s">
        <v>4506</v>
      </c>
      <c r="C145" s="44" t="s">
        <v>2878</v>
      </c>
      <c r="D145" s="56"/>
      <c r="E145" s="66"/>
      <c r="F145" s="66"/>
      <c r="G145" s="66"/>
      <c r="H145" s="57"/>
    </row>
    <row r="146" spans="2:15">
      <c r="B146" s="49" t="s">
        <v>2548</v>
      </c>
      <c r="C146" s="41" t="s">
        <v>4507</v>
      </c>
      <c r="D146" s="60"/>
      <c r="E146" s="60"/>
      <c r="F146" s="60"/>
      <c r="G146" s="60"/>
      <c r="H146" s="60"/>
    </row>
    <row r="147" spans="2:15">
      <c r="B147" s="49" t="s">
        <v>2549</v>
      </c>
      <c r="C147" s="41" t="s">
        <v>4508</v>
      </c>
      <c r="D147" s="60"/>
      <c r="E147" s="60"/>
      <c r="F147" s="60"/>
      <c r="G147" s="60"/>
      <c r="H147" s="60"/>
    </row>
    <row r="148" spans="2:15">
      <c r="B148" s="47" t="s">
        <v>4368</v>
      </c>
      <c r="C148" s="41" t="s">
        <v>3502</v>
      </c>
      <c r="D148" s="60"/>
      <c r="E148" s="60"/>
      <c r="F148" s="60"/>
      <c r="G148" s="60"/>
      <c r="H148" s="60"/>
    </row>
    <row r="150" spans="2:15">
      <c r="N150" s="13" t="str">
        <f>Show!$B$109&amp;Show!$B$109&amp;"S.23.03.01.08 Rows {"&amp;COLUMN($C$1)&amp;"}"</f>
        <v>!!S.23.03.01.08 Rows {3}</v>
      </c>
      <c r="O150" s="13" t="str">
        <f>Show!$B$109&amp;Show!$B$109&amp;"S.23.03.01.08 Columns {"&amp;COLUMN($H$1)&amp;"}"</f>
        <v>!!S.23.03.01.08 Columns {8}</v>
      </c>
    </row>
  </sheetData>
  <sheetProtection sheet="1" objects="1" scenarios="1"/>
  <mergeCells count="47">
    <mergeCell ref="B135:L135"/>
    <mergeCell ref="D139:H140"/>
    <mergeCell ref="D141:D142"/>
    <mergeCell ref="E141:E142"/>
    <mergeCell ref="F141:F142"/>
    <mergeCell ref="G141:G142"/>
    <mergeCell ref="H141:H142"/>
    <mergeCell ref="B103:L103"/>
    <mergeCell ref="D107:E108"/>
    <mergeCell ref="B116:L116"/>
    <mergeCell ref="D120:H121"/>
    <mergeCell ref="D122:D123"/>
    <mergeCell ref="E122:E123"/>
    <mergeCell ref="F122:F123"/>
    <mergeCell ref="G122:G123"/>
    <mergeCell ref="H122:H123"/>
    <mergeCell ref="B85:L85"/>
    <mergeCell ref="D89:I90"/>
    <mergeCell ref="D91:D92"/>
    <mergeCell ref="E91:E92"/>
    <mergeCell ref="F91:F92"/>
    <mergeCell ref="G91:G92"/>
    <mergeCell ref="H91:H92"/>
    <mergeCell ref="I91:I92"/>
    <mergeCell ref="B49:L49"/>
    <mergeCell ref="D53:E54"/>
    <mergeCell ref="B62:L62"/>
    <mergeCell ref="D66:G67"/>
    <mergeCell ref="D68:D69"/>
    <mergeCell ref="E68:E69"/>
    <mergeCell ref="F68:F69"/>
    <mergeCell ref="G68:G69"/>
    <mergeCell ref="B31:L31"/>
    <mergeCell ref="D35:I36"/>
    <mergeCell ref="D37:D38"/>
    <mergeCell ref="E37:E38"/>
    <mergeCell ref="F37:F38"/>
    <mergeCell ref="G37:G38"/>
    <mergeCell ref="H37:H38"/>
    <mergeCell ref="I37:I38"/>
    <mergeCell ref="B2:O2"/>
    <mergeCell ref="B5:L5"/>
    <mergeCell ref="D9:G10"/>
    <mergeCell ref="D11:D12"/>
    <mergeCell ref="E11:E12"/>
    <mergeCell ref="F11:F12"/>
    <mergeCell ref="G11:G1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7EC4-150A-406F-9774-B45C7BBD527F}">
  <sheetPr codeName="Blad114"/>
  <dimension ref="B2:O150"/>
  <sheetViews>
    <sheetView showGridLines="0" workbookViewId="0"/>
  </sheetViews>
  <sheetFormatPr defaultRowHeight="15"/>
  <cols>
    <col min="2" max="2" width="83.7109375" bestFit="1" customWidth="1"/>
    <col min="4" max="9" width="15.7109375" customWidth="1"/>
  </cols>
  <sheetData>
    <row r="2" spans="2:15" ht="23.25">
      <c r="B2" s="95" t="s">
        <v>677</v>
      </c>
      <c r="C2" s="96"/>
      <c r="D2" s="96"/>
      <c r="E2" s="96"/>
      <c r="F2" s="96"/>
      <c r="G2" s="96"/>
      <c r="H2" s="96"/>
      <c r="I2" s="96"/>
      <c r="J2" s="96"/>
      <c r="K2" s="96"/>
      <c r="L2" s="96"/>
      <c r="M2" s="96"/>
      <c r="N2" s="96"/>
      <c r="O2" s="96"/>
    </row>
    <row r="5" spans="2:15" ht="18.75">
      <c r="B5" s="97" t="s">
        <v>4509</v>
      </c>
      <c r="C5" s="96"/>
      <c r="D5" s="96"/>
      <c r="E5" s="96"/>
      <c r="F5" s="96"/>
      <c r="G5" s="96"/>
      <c r="H5" s="96"/>
      <c r="I5" s="96"/>
      <c r="J5" s="96"/>
      <c r="K5" s="96"/>
      <c r="L5" s="96"/>
    </row>
    <row r="9" spans="2:15">
      <c r="D9" s="101" t="s">
        <v>2877</v>
      </c>
      <c r="E9" s="102"/>
      <c r="F9" s="102"/>
      <c r="G9" s="103"/>
    </row>
    <row r="10" spans="2:15">
      <c r="D10" s="104"/>
      <c r="E10" s="105"/>
      <c r="F10" s="105"/>
      <c r="G10" s="106"/>
    </row>
    <row r="11" spans="2:15">
      <c r="D11" s="98" t="s">
        <v>4476</v>
      </c>
      <c r="E11" s="98" t="s">
        <v>4477</v>
      </c>
      <c r="F11" s="98" t="s">
        <v>4478</v>
      </c>
      <c r="G11" s="98" t="s">
        <v>4479</v>
      </c>
    </row>
    <row r="12" spans="2:15">
      <c r="D12" s="100"/>
      <c r="E12" s="100"/>
      <c r="F12" s="100"/>
      <c r="G12" s="100"/>
    </row>
    <row r="13" spans="2:15">
      <c r="D13" s="45" t="s">
        <v>2879</v>
      </c>
      <c r="E13" s="45" t="s">
        <v>3219</v>
      </c>
      <c r="F13" s="45" t="s">
        <v>3225</v>
      </c>
      <c r="G13" s="45" t="s">
        <v>3231</v>
      </c>
      <c r="N13" s="13" t="str">
        <f>Show!$B$110&amp;"S.23.03.04.01 Rows {"&amp;COLUMN($C$1)&amp;"}"&amp;"@ForceFilingCode:true"</f>
        <v>!S.23.03.04.01 Rows {3}@ForceFilingCode:true</v>
      </c>
      <c r="O13" s="13" t="str">
        <f>Show!$B$110&amp;"S.23.03.04.01 Columns {"&amp;COLUMN($D$1)&amp;"}"</f>
        <v>!S.23.03.04.01 Columns {4}</v>
      </c>
    </row>
    <row r="14" spans="2:15">
      <c r="B14" s="43" t="s">
        <v>2880</v>
      </c>
      <c r="C14" s="44" t="s">
        <v>2878</v>
      </c>
      <c r="D14" s="58"/>
      <c r="E14" s="67"/>
      <c r="F14" s="67"/>
      <c r="G14" s="59"/>
    </row>
    <row r="15" spans="2:15">
      <c r="B15" s="47" t="s">
        <v>4480</v>
      </c>
      <c r="C15" s="44" t="s">
        <v>2878</v>
      </c>
      <c r="D15" s="56"/>
      <c r="E15" s="66"/>
      <c r="F15" s="66"/>
      <c r="G15" s="57"/>
    </row>
    <row r="16" spans="2:15">
      <c r="B16" s="49" t="s">
        <v>4436</v>
      </c>
      <c r="C16" s="41" t="s">
        <v>2883</v>
      </c>
      <c r="D16" s="60"/>
      <c r="E16" s="60"/>
      <c r="F16" s="60"/>
      <c r="G16" s="60"/>
    </row>
    <row r="17" spans="2:15">
      <c r="B17" s="49" t="s">
        <v>4437</v>
      </c>
      <c r="C17" s="41" t="s">
        <v>2885</v>
      </c>
      <c r="D17" s="60"/>
      <c r="E17" s="60"/>
      <c r="F17" s="60"/>
      <c r="G17" s="60"/>
    </row>
    <row r="18" spans="2:15">
      <c r="B18" s="49" t="s">
        <v>4438</v>
      </c>
      <c r="C18" s="41" t="s">
        <v>2887</v>
      </c>
      <c r="D18" s="60"/>
      <c r="E18" s="60"/>
      <c r="F18" s="60"/>
      <c r="G18" s="60"/>
    </row>
    <row r="19" spans="2:15">
      <c r="B19" s="47" t="s">
        <v>4439</v>
      </c>
      <c r="C19" s="41" t="s">
        <v>2899</v>
      </c>
      <c r="D19" s="63"/>
      <c r="E19" s="63"/>
      <c r="F19" s="63"/>
      <c r="G19" s="63"/>
    </row>
    <row r="20" spans="2:15" ht="30">
      <c r="B20" s="47" t="s">
        <v>4481</v>
      </c>
      <c r="C20" s="44" t="s">
        <v>2878</v>
      </c>
      <c r="D20" s="56"/>
      <c r="E20" s="66"/>
      <c r="F20" s="66"/>
      <c r="G20" s="57"/>
    </row>
    <row r="21" spans="2:15">
      <c r="B21" s="49" t="s">
        <v>2545</v>
      </c>
      <c r="C21" s="41" t="s">
        <v>2901</v>
      </c>
      <c r="D21" s="60"/>
      <c r="E21" s="60"/>
      <c r="F21" s="60"/>
      <c r="G21" s="60"/>
    </row>
    <row r="22" spans="2:15">
      <c r="B22" s="49" t="s">
        <v>2548</v>
      </c>
      <c r="C22" s="41" t="s">
        <v>2903</v>
      </c>
      <c r="D22" s="60"/>
      <c r="E22" s="60"/>
      <c r="F22" s="60"/>
      <c r="G22" s="60"/>
    </row>
    <row r="23" spans="2:15">
      <c r="B23" s="47" t="s">
        <v>3480</v>
      </c>
      <c r="C23" s="41" t="s">
        <v>2919</v>
      </c>
      <c r="D23" s="63"/>
      <c r="E23" s="63"/>
      <c r="F23" s="63"/>
      <c r="G23" s="63"/>
    </row>
    <row r="24" spans="2:15" ht="30">
      <c r="B24" s="47" t="s">
        <v>4482</v>
      </c>
      <c r="C24" s="44" t="s">
        <v>2878</v>
      </c>
      <c r="D24" s="56"/>
      <c r="E24" s="66"/>
      <c r="F24" s="66"/>
      <c r="G24" s="57"/>
    </row>
    <row r="25" spans="2:15">
      <c r="B25" s="49" t="s">
        <v>4436</v>
      </c>
      <c r="C25" s="41" t="s">
        <v>2921</v>
      </c>
      <c r="D25" s="60"/>
      <c r="E25" s="60"/>
      <c r="F25" s="60"/>
      <c r="G25" s="60"/>
    </row>
    <row r="26" spans="2:15">
      <c r="B26" s="49" t="s">
        <v>4437</v>
      </c>
      <c r="C26" s="41" t="s">
        <v>2923</v>
      </c>
      <c r="D26" s="60"/>
      <c r="E26" s="60"/>
      <c r="F26" s="60"/>
      <c r="G26" s="60"/>
    </row>
    <row r="27" spans="2:15" ht="30">
      <c r="B27" s="47" t="s">
        <v>4483</v>
      </c>
      <c r="C27" s="41" t="s">
        <v>2939</v>
      </c>
      <c r="D27" s="60"/>
      <c r="E27" s="60"/>
      <c r="F27" s="60"/>
      <c r="G27" s="60"/>
    </row>
    <row r="29" spans="2:15">
      <c r="N29" s="13" t="str">
        <f>Show!$B$110&amp;Show!$B$110&amp;"S.23.03.04.01 Rows {"&amp;COLUMN($C$1)&amp;"}"</f>
        <v>!!S.23.03.04.01 Rows {3}</v>
      </c>
      <c r="O29" s="13" t="str">
        <f>Show!$B$110&amp;Show!$B$110&amp;"S.23.03.04.01 Columns {"&amp;COLUMN($G$1)&amp;"}"</f>
        <v>!!S.23.03.04.01 Columns {7}</v>
      </c>
    </row>
    <row r="31" spans="2:15" ht="18.75">
      <c r="B31" s="97" t="s">
        <v>4510</v>
      </c>
      <c r="C31" s="96"/>
      <c r="D31" s="96"/>
      <c r="E31" s="96"/>
      <c r="F31" s="96"/>
      <c r="G31" s="96"/>
      <c r="H31" s="96"/>
      <c r="I31" s="96"/>
      <c r="J31" s="96"/>
      <c r="K31" s="96"/>
      <c r="L31" s="96"/>
    </row>
    <row r="35" spans="2:15">
      <c r="D35" s="101" t="s">
        <v>2877</v>
      </c>
      <c r="E35" s="102"/>
      <c r="F35" s="102"/>
      <c r="G35" s="102"/>
      <c r="H35" s="102"/>
      <c r="I35" s="103"/>
    </row>
    <row r="36" spans="2:15">
      <c r="D36" s="104"/>
      <c r="E36" s="105"/>
      <c r="F36" s="105"/>
      <c r="G36" s="105"/>
      <c r="H36" s="105"/>
      <c r="I36" s="106"/>
    </row>
    <row r="37" spans="2:15">
      <c r="D37" s="98" t="s">
        <v>4476</v>
      </c>
      <c r="E37" s="98" t="s">
        <v>4485</v>
      </c>
      <c r="F37" s="98" t="s">
        <v>4486</v>
      </c>
      <c r="G37" s="98" t="s">
        <v>4487</v>
      </c>
      <c r="H37" s="98" t="s">
        <v>4488</v>
      </c>
      <c r="I37" s="98" t="s">
        <v>4479</v>
      </c>
    </row>
    <row r="38" spans="2:15">
      <c r="D38" s="100"/>
      <c r="E38" s="100"/>
      <c r="F38" s="100"/>
      <c r="G38" s="100"/>
      <c r="H38" s="100"/>
      <c r="I38" s="100"/>
    </row>
    <row r="39" spans="2:15">
      <c r="D39" s="45" t="s">
        <v>2879</v>
      </c>
      <c r="E39" s="45" t="s">
        <v>3233</v>
      </c>
      <c r="F39" s="45" t="s">
        <v>3234</v>
      </c>
      <c r="G39" s="45" t="s">
        <v>3236</v>
      </c>
      <c r="H39" s="45" t="s">
        <v>3239</v>
      </c>
      <c r="I39" s="45" t="s">
        <v>3231</v>
      </c>
      <c r="N39" s="13" t="str">
        <f>Show!$B$110&amp;"S.23.03.04.02 Rows {"&amp;COLUMN($C$1)&amp;"}"&amp;"@ForceFilingCode:true"</f>
        <v>!S.23.03.04.02 Rows {3}@ForceFilingCode:true</v>
      </c>
      <c r="O39" s="13" t="str">
        <f>Show!$B$110&amp;"S.23.03.04.02 Columns {"&amp;COLUMN($D$1)&amp;"}"</f>
        <v>!S.23.03.04.02 Columns {4}</v>
      </c>
    </row>
    <row r="40" spans="2:15">
      <c r="B40" s="43" t="s">
        <v>2880</v>
      </c>
      <c r="C40" s="44" t="s">
        <v>2878</v>
      </c>
      <c r="D40" s="58"/>
      <c r="E40" s="67"/>
      <c r="F40" s="67"/>
      <c r="G40" s="67"/>
      <c r="H40" s="67"/>
      <c r="I40" s="59"/>
    </row>
    <row r="41" spans="2:15">
      <c r="B41" s="47" t="s">
        <v>4489</v>
      </c>
      <c r="C41" s="44" t="s">
        <v>2878</v>
      </c>
      <c r="D41" s="56"/>
      <c r="E41" s="66"/>
      <c r="F41" s="66"/>
      <c r="G41" s="66"/>
      <c r="H41" s="66"/>
      <c r="I41" s="57"/>
    </row>
    <row r="42" spans="2:15">
      <c r="B42" s="49" t="s">
        <v>2545</v>
      </c>
      <c r="C42" s="41" t="s">
        <v>2941</v>
      </c>
      <c r="D42" s="60"/>
      <c r="E42" s="60"/>
      <c r="F42" s="60"/>
      <c r="G42" s="60"/>
      <c r="H42" s="60"/>
      <c r="I42" s="60"/>
    </row>
    <row r="43" spans="2:15">
      <c r="B43" s="49" t="s">
        <v>2548</v>
      </c>
      <c r="C43" s="41" t="s">
        <v>2943</v>
      </c>
      <c r="D43" s="60"/>
      <c r="E43" s="60"/>
      <c r="F43" s="60"/>
      <c r="G43" s="60"/>
      <c r="H43" s="60"/>
      <c r="I43" s="60"/>
    </row>
    <row r="44" spans="2:15">
      <c r="B44" s="49" t="s">
        <v>2549</v>
      </c>
      <c r="C44" s="41" t="s">
        <v>2945</v>
      </c>
      <c r="D44" s="60"/>
      <c r="E44" s="60"/>
      <c r="F44" s="60"/>
      <c r="G44" s="60"/>
      <c r="H44" s="60"/>
      <c r="I44" s="60"/>
    </row>
    <row r="45" spans="2:15">
      <c r="B45" s="47" t="s">
        <v>4446</v>
      </c>
      <c r="C45" s="41" t="s">
        <v>2959</v>
      </c>
      <c r="D45" s="60"/>
      <c r="E45" s="60"/>
      <c r="F45" s="60"/>
      <c r="G45" s="60"/>
      <c r="H45" s="60"/>
      <c r="I45" s="60"/>
    </row>
    <row r="47" spans="2:15">
      <c r="N47" s="13" t="str">
        <f>Show!$B$110&amp;Show!$B$110&amp;"S.23.03.04.02 Rows {"&amp;COLUMN($C$1)&amp;"}"</f>
        <v>!!S.23.03.04.02 Rows {3}</v>
      </c>
      <c r="O47" s="13" t="str">
        <f>Show!$B$110&amp;Show!$B$110&amp;"S.23.03.04.02 Columns {"&amp;COLUMN($I$1)&amp;"}"</f>
        <v>!!S.23.03.04.02 Columns {9}</v>
      </c>
    </row>
    <row r="49" spans="2:15" ht="18.75">
      <c r="B49" s="97" t="s">
        <v>4511</v>
      </c>
      <c r="C49" s="96"/>
      <c r="D49" s="96"/>
      <c r="E49" s="96"/>
      <c r="F49" s="96"/>
      <c r="G49" s="96"/>
      <c r="H49" s="96"/>
      <c r="I49" s="96"/>
      <c r="J49" s="96"/>
      <c r="K49" s="96"/>
      <c r="L49" s="96"/>
    </row>
    <row r="53" spans="2:15">
      <c r="D53" s="101" t="s">
        <v>2877</v>
      </c>
      <c r="E53" s="103"/>
    </row>
    <row r="54" spans="2:15">
      <c r="D54" s="104"/>
      <c r="E54" s="106"/>
    </row>
    <row r="55" spans="2:15">
      <c r="D55" s="55" t="s">
        <v>4476</v>
      </c>
      <c r="E55" s="55" t="s">
        <v>4479</v>
      </c>
    </row>
    <row r="56" spans="2:15">
      <c r="D56" s="45" t="s">
        <v>2879</v>
      </c>
      <c r="E56" s="45" t="s">
        <v>3231</v>
      </c>
      <c r="N56" s="13" t="str">
        <f>Show!$B$110&amp;"S.23.03.04.03 Rows {"&amp;COLUMN($C$1)&amp;"}"&amp;"@ForceFilingCode:true"</f>
        <v>!S.23.03.04.03 Rows {3}@ForceFilingCode:true</v>
      </c>
      <c r="O56" s="13" t="str">
        <f>Show!$B$110&amp;"S.23.03.04.03 Columns {"&amp;COLUMN($D$1)&amp;"}"</f>
        <v>!S.23.03.04.03 Columns {4}</v>
      </c>
    </row>
    <row r="57" spans="2:15">
      <c r="B57" s="43" t="s">
        <v>2880</v>
      </c>
      <c r="C57" s="44" t="s">
        <v>2878</v>
      </c>
      <c r="D57" s="56"/>
      <c r="E57" s="57"/>
    </row>
    <row r="58" spans="2:15">
      <c r="B58" s="47" t="s">
        <v>4349</v>
      </c>
      <c r="C58" s="41" t="s">
        <v>2977</v>
      </c>
      <c r="D58" s="60"/>
      <c r="E58" s="60"/>
    </row>
    <row r="60" spans="2:15">
      <c r="N60" s="13" t="str">
        <f>Show!$B$110&amp;Show!$B$110&amp;"S.23.03.04.03 Rows {"&amp;COLUMN($C$1)&amp;"}"</f>
        <v>!!S.23.03.04.03 Rows {3}</v>
      </c>
      <c r="O60" s="13" t="str">
        <f>Show!$B$110&amp;Show!$B$110&amp;"S.23.03.04.03 Columns {"&amp;COLUMN($E$1)&amp;"}"</f>
        <v>!!S.23.03.04.03 Columns {5}</v>
      </c>
    </row>
    <row r="62" spans="2:15" ht="18.75">
      <c r="B62" s="97" t="s">
        <v>4512</v>
      </c>
      <c r="C62" s="96"/>
      <c r="D62" s="96"/>
      <c r="E62" s="96"/>
      <c r="F62" s="96"/>
      <c r="G62" s="96"/>
      <c r="H62" s="96"/>
      <c r="I62" s="96"/>
      <c r="J62" s="96"/>
      <c r="K62" s="96"/>
      <c r="L62" s="96"/>
    </row>
    <row r="66" spans="2:15">
      <c r="D66" s="101" t="s">
        <v>2877</v>
      </c>
      <c r="E66" s="102"/>
      <c r="F66" s="102"/>
      <c r="G66" s="103"/>
    </row>
    <row r="67" spans="2:15">
      <c r="D67" s="104"/>
      <c r="E67" s="105"/>
      <c r="F67" s="105"/>
      <c r="G67" s="106"/>
    </row>
    <row r="68" spans="2:15">
      <c r="D68" s="98" t="s">
        <v>4476</v>
      </c>
      <c r="E68" s="98" t="s">
        <v>4477</v>
      </c>
      <c r="F68" s="98" t="s">
        <v>4478</v>
      </c>
      <c r="G68" s="98" t="s">
        <v>4479</v>
      </c>
    </row>
    <row r="69" spans="2:15">
      <c r="D69" s="100"/>
      <c r="E69" s="100"/>
      <c r="F69" s="100"/>
      <c r="G69" s="100"/>
    </row>
    <row r="70" spans="2:15">
      <c r="D70" s="45" t="s">
        <v>2879</v>
      </c>
      <c r="E70" s="45" t="s">
        <v>3219</v>
      </c>
      <c r="F70" s="45" t="s">
        <v>3225</v>
      </c>
      <c r="G70" s="45" t="s">
        <v>3231</v>
      </c>
      <c r="N70" s="13" t="str">
        <f>Show!$B$110&amp;"S.23.03.04.04 Rows {"&amp;COLUMN($C$1)&amp;"}"&amp;"@ForceFilingCode:true"</f>
        <v>!S.23.03.04.04 Rows {3}@ForceFilingCode:true</v>
      </c>
      <c r="O70" s="13" t="str">
        <f>Show!$B$110&amp;"S.23.03.04.04 Columns {"&amp;COLUMN($D$1)&amp;"}"</f>
        <v>!S.23.03.04.04 Columns {4}</v>
      </c>
    </row>
    <row r="71" spans="2:15">
      <c r="B71" s="43" t="s">
        <v>2880</v>
      </c>
      <c r="C71" s="44" t="s">
        <v>2878</v>
      </c>
      <c r="D71" s="58"/>
      <c r="E71" s="67"/>
      <c r="F71" s="67"/>
      <c r="G71" s="59"/>
    </row>
    <row r="72" spans="2:15">
      <c r="B72" s="47" t="s">
        <v>4492</v>
      </c>
      <c r="C72" s="44" t="s">
        <v>2878</v>
      </c>
      <c r="D72" s="56"/>
      <c r="E72" s="66"/>
      <c r="F72" s="66"/>
      <c r="G72" s="57"/>
    </row>
    <row r="73" spans="2:15">
      <c r="B73" s="49" t="s">
        <v>2545</v>
      </c>
      <c r="C73" s="41" t="s">
        <v>2979</v>
      </c>
      <c r="D73" s="60"/>
      <c r="E73" s="60"/>
      <c r="F73" s="60"/>
      <c r="G73" s="60"/>
    </row>
    <row r="74" spans="2:15">
      <c r="B74" s="49" t="s">
        <v>2548</v>
      </c>
      <c r="C74" s="41" t="s">
        <v>2981</v>
      </c>
      <c r="D74" s="60"/>
      <c r="E74" s="60"/>
      <c r="F74" s="60"/>
      <c r="G74" s="60"/>
    </row>
    <row r="75" spans="2:15">
      <c r="B75" s="49" t="s">
        <v>2549</v>
      </c>
      <c r="C75" s="41" t="s">
        <v>2983</v>
      </c>
      <c r="D75" s="60"/>
      <c r="E75" s="60"/>
      <c r="F75" s="60"/>
      <c r="G75" s="60"/>
    </row>
    <row r="76" spans="2:15">
      <c r="B76" s="47" t="s">
        <v>4450</v>
      </c>
      <c r="C76" s="41" t="s">
        <v>2997</v>
      </c>
      <c r="D76" s="63"/>
      <c r="E76" s="63"/>
      <c r="F76" s="63"/>
      <c r="G76" s="63"/>
    </row>
    <row r="77" spans="2:15">
      <c r="B77" s="47" t="s">
        <v>4493</v>
      </c>
      <c r="C77" s="44" t="s">
        <v>2878</v>
      </c>
      <c r="D77" s="56"/>
      <c r="E77" s="66"/>
      <c r="F77" s="66"/>
      <c r="G77" s="57"/>
    </row>
    <row r="78" spans="2:15">
      <c r="B78" s="49" t="s">
        <v>2545</v>
      </c>
      <c r="C78" s="41" t="s">
        <v>2999</v>
      </c>
      <c r="D78" s="60"/>
      <c r="E78" s="60"/>
      <c r="F78" s="60"/>
      <c r="G78" s="60"/>
    </row>
    <row r="79" spans="2:15">
      <c r="B79" s="49" t="s">
        <v>2548</v>
      </c>
      <c r="C79" s="41" t="s">
        <v>3001</v>
      </c>
      <c r="D79" s="60"/>
      <c r="E79" s="60"/>
      <c r="F79" s="60"/>
      <c r="G79" s="60"/>
    </row>
    <row r="80" spans="2:15">
      <c r="B80" s="49" t="s">
        <v>2549</v>
      </c>
      <c r="C80" s="41" t="s">
        <v>3003</v>
      </c>
      <c r="D80" s="60"/>
      <c r="E80" s="60"/>
      <c r="F80" s="60"/>
      <c r="G80" s="60"/>
    </row>
    <row r="81" spans="2:15">
      <c r="B81" s="47" t="s">
        <v>3480</v>
      </c>
      <c r="C81" s="41" t="s">
        <v>3064</v>
      </c>
      <c r="D81" s="60"/>
      <c r="E81" s="60"/>
      <c r="F81" s="60"/>
      <c r="G81" s="60"/>
    </row>
    <row r="83" spans="2:15">
      <c r="N83" s="13" t="str">
        <f>Show!$B$110&amp;Show!$B$110&amp;"S.23.03.04.04 Rows {"&amp;COLUMN($C$1)&amp;"}"</f>
        <v>!!S.23.03.04.04 Rows {3}</v>
      </c>
      <c r="O83" s="13" t="str">
        <f>Show!$B$110&amp;Show!$B$110&amp;"S.23.03.04.04 Columns {"&amp;COLUMN($G$1)&amp;"}"</f>
        <v>!!S.23.03.04.04 Columns {7}</v>
      </c>
    </row>
    <row r="85" spans="2:15" ht="18.75">
      <c r="B85" s="97" t="s">
        <v>4513</v>
      </c>
      <c r="C85" s="96"/>
      <c r="D85" s="96"/>
      <c r="E85" s="96"/>
      <c r="F85" s="96"/>
      <c r="G85" s="96"/>
      <c r="H85" s="96"/>
      <c r="I85" s="96"/>
      <c r="J85" s="96"/>
      <c r="K85" s="96"/>
      <c r="L85" s="96"/>
    </row>
    <row r="89" spans="2:15">
      <c r="D89" s="101" t="s">
        <v>2877</v>
      </c>
      <c r="E89" s="102"/>
      <c r="F89" s="102"/>
      <c r="G89" s="102"/>
      <c r="H89" s="102"/>
      <c r="I89" s="103"/>
    </row>
    <row r="90" spans="2:15">
      <c r="D90" s="104"/>
      <c r="E90" s="105"/>
      <c r="F90" s="105"/>
      <c r="G90" s="105"/>
      <c r="H90" s="105"/>
      <c r="I90" s="106"/>
    </row>
    <row r="91" spans="2:15">
      <c r="D91" s="98" t="s">
        <v>4476</v>
      </c>
      <c r="E91" s="98" t="s">
        <v>4485</v>
      </c>
      <c r="F91" s="98" t="s">
        <v>4486</v>
      </c>
      <c r="G91" s="98" t="s">
        <v>4487</v>
      </c>
      <c r="H91" s="98" t="s">
        <v>4488</v>
      </c>
      <c r="I91" s="98" t="s">
        <v>4479</v>
      </c>
    </row>
    <row r="92" spans="2:15">
      <c r="D92" s="100"/>
      <c r="E92" s="100"/>
      <c r="F92" s="100"/>
      <c r="G92" s="100"/>
      <c r="H92" s="100"/>
      <c r="I92" s="100"/>
    </row>
    <row r="93" spans="2:15">
      <c r="D93" s="45" t="s">
        <v>2879</v>
      </c>
      <c r="E93" s="45" t="s">
        <v>3233</v>
      </c>
      <c r="F93" s="45" t="s">
        <v>3234</v>
      </c>
      <c r="G93" s="45" t="s">
        <v>3236</v>
      </c>
      <c r="H93" s="45" t="s">
        <v>3239</v>
      </c>
      <c r="I93" s="45" t="s">
        <v>3231</v>
      </c>
      <c r="N93" s="13" t="str">
        <f>Show!$B$110&amp;"S.23.03.04.05 Rows {"&amp;COLUMN($C$1)&amp;"}"&amp;"@ForceFilingCode:true"</f>
        <v>!S.23.03.04.05 Rows {3}@ForceFilingCode:true</v>
      </c>
      <c r="O93" s="13" t="str">
        <f>Show!$B$110&amp;"S.23.03.04.05 Columns {"&amp;COLUMN($D$1)&amp;"}"</f>
        <v>!S.23.03.04.05 Columns {4}</v>
      </c>
    </row>
    <row r="94" spans="2:15">
      <c r="B94" s="43" t="s">
        <v>2880</v>
      </c>
      <c r="C94" s="44" t="s">
        <v>2878</v>
      </c>
      <c r="D94" s="58"/>
      <c r="E94" s="67"/>
      <c r="F94" s="67"/>
      <c r="G94" s="67"/>
      <c r="H94" s="67"/>
      <c r="I94" s="59"/>
    </row>
    <row r="95" spans="2:15">
      <c r="B95" s="47" t="s">
        <v>4495</v>
      </c>
      <c r="C95" s="44" t="s">
        <v>2878</v>
      </c>
      <c r="D95" s="56"/>
      <c r="E95" s="66"/>
      <c r="F95" s="66"/>
      <c r="G95" s="66"/>
      <c r="H95" s="66"/>
      <c r="I95" s="57"/>
    </row>
    <row r="96" spans="2:15">
      <c r="B96" s="49" t="s">
        <v>2545</v>
      </c>
      <c r="C96" s="41" t="s">
        <v>3066</v>
      </c>
      <c r="D96" s="60"/>
      <c r="E96" s="60"/>
      <c r="F96" s="60"/>
      <c r="G96" s="60"/>
      <c r="H96" s="60"/>
      <c r="I96" s="60"/>
    </row>
    <row r="97" spans="2:15">
      <c r="B97" s="49" t="s">
        <v>2548</v>
      </c>
      <c r="C97" s="41" t="s">
        <v>3068</v>
      </c>
      <c r="D97" s="60"/>
      <c r="E97" s="60"/>
      <c r="F97" s="60"/>
      <c r="G97" s="60"/>
      <c r="H97" s="60"/>
      <c r="I97" s="60"/>
    </row>
    <row r="98" spans="2:15">
      <c r="B98" s="49" t="s">
        <v>2549</v>
      </c>
      <c r="C98" s="41" t="s">
        <v>3070</v>
      </c>
      <c r="D98" s="60"/>
      <c r="E98" s="60"/>
      <c r="F98" s="60"/>
      <c r="G98" s="60"/>
      <c r="H98" s="60"/>
      <c r="I98" s="60"/>
    </row>
    <row r="99" spans="2:15">
      <c r="B99" s="47" t="s">
        <v>4454</v>
      </c>
      <c r="C99" s="41" t="s">
        <v>3120</v>
      </c>
      <c r="D99" s="60"/>
      <c r="E99" s="60"/>
      <c r="F99" s="60"/>
      <c r="G99" s="60"/>
      <c r="H99" s="60"/>
      <c r="I99" s="60"/>
    </row>
    <row r="101" spans="2:15">
      <c r="N101" s="13" t="str">
        <f>Show!$B$110&amp;Show!$B$110&amp;"S.23.03.04.05 Rows {"&amp;COLUMN($C$1)&amp;"}"</f>
        <v>!!S.23.03.04.05 Rows {3}</v>
      </c>
      <c r="O101" s="13" t="str">
        <f>Show!$B$110&amp;Show!$B$110&amp;"S.23.03.04.05 Columns {"&amp;COLUMN($I$1)&amp;"}"</f>
        <v>!!S.23.03.04.05 Columns {9}</v>
      </c>
    </row>
    <row r="103" spans="2:15" ht="18.75">
      <c r="B103" s="97" t="s">
        <v>4514</v>
      </c>
      <c r="C103" s="96"/>
      <c r="D103" s="96"/>
      <c r="E103" s="96"/>
      <c r="F103" s="96"/>
      <c r="G103" s="96"/>
      <c r="H103" s="96"/>
      <c r="I103" s="96"/>
      <c r="J103" s="96"/>
      <c r="K103" s="96"/>
      <c r="L103" s="96"/>
    </row>
    <row r="107" spans="2:15">
      <c r="D107" s="101" t="s">
        <v>2877</v>
      </c>
      <c r="E107" s="103"/>
    </row>
    <row r="108" spans="2:15">
      <c r="D108" s="104"/>
      <c r="E108" s="106"/>
    </row>
    <row r="109" spans="2:15">
      <c r="D109" s="55" t="s">
        <v>4476</v>
      </c>
      <c r="E109" s="55" t="s">
        <v>4479</v>
      </c>
    </row>
    <row r="110" spans="2:15">
      <c r="D110" s="45" t="s">
        <v>2879</v>
      </c>
      <c r="E110" s="45" t="s">
        <v>3231</v>
      </c>
      <c r="N110" s="13" t="str">
        <f>Show!$B$110&amp;"S.23.03.04.06 Rows {"&amp;COLUMN($C$1)&amp;"}"&amp;"@ForceFilingCode:true"</f>
        <v>!S.23.03.04.06 Rows {3}@ForceFilingCode:true</v>
      </c>
      <c r="O110" s="13" t="str">
        <f>Show!$B$110&amp;"S.23.03.04.06 Columns {"&amp;COLUMN($D$1)&amp;"}"</f>
        <v>!S.23.03.04.06 Columns {4}</v>
      </c>
    </row>
    <row r="111" spans="2:15">
      <c r="B111" s="43" t="s">
        <v>2880</v>
      </c>
      <c r="C111" s="44" t="s">
        <v>2878</v>
      </c>
      <c r="D111" s="56"/>
      <c r="E111" s="57"/>
    </row>
    <row r="112" spans="2:15">
      <c r="B112" s="47" t="s">
        <v>4353</v>
      </c>
      <c r="C112" s="41" t="s">
        <v>3140</v>
      </c>
      <c r="D112" s="60"/>
      <c r="E112" s="60"/>
    </row>
    <row r="114" spans="2:15">
      <c r="N114" s="13" t="str">
        <f>Show!$B$110&amp;Show!$B$110&amp;"S.23.03.04.06 Rows {"&amp;COLUMN($C$1)&amp;"}"</f>
        <v>!!S.23.03.04.06 Rows {3}</v>
      </c>
      <c r="O114" s="13" t="str">
        <f>Show!$B$110&amp;Show!$B$110&amp;"S.23.03.04.06 Columns {"&amp;COLUMN($E$1)&amp;"}"</f>
        <v>!!S.23.03.04.06 Columns {5}</v>
      </c>
    </row>
    <row r="116" spans="2:15" ht="18.75">
      <c r="B116" s="97" t="s">
        <v>4515</v>
      </c>
      <c r="C116" s="96"/>
      <c r="D116" s="96"/>
      <c r="E116" s="96"/>
      <c r="F116" s="96"/>
      <c r="G116" s="96"/>
      <c r="H116" s="96"/>
      <c r="I116" s="96"/>
      <c r="J116" s="96"/>
      <c r="K116" s="96"/>
      <c r="L116" s="96"/>
    </row>
    <row r="120" spans="2:15">
      <c r="D120" s="101" t="s">
        <v>2877</v>
      </c>
      <c r="E120" s="102"/>
      <c r="F120" s="102"/>
      <c r="G120" s="102"/>
      <c r="H120" s="103"/>
    </row>
    <row r="121" spans="2:15">
      <c r="D121" s="104"/>
      <c r="E121" s="105"/>
      <c r="F121" s="105"/>
      <c r="G121" s="105"/>
      <c r="H121" s="106"/>
    </row>
    <row r="122" spans="2:15">
      <c r="D122" s="98" t="s">
        <v>4476</v>
      </c>
      <c r="E122" s="98" t="s">
        <v>4485</v>
      </c>
      <c r="F122" s="98" t="s">
        <v>4486</v>
      </c>
      <c r="G122" s="98" t="s">
        <v>4487</v>
      </c>
      <c r="H122" s="98" t="s">
        <v>4479</v>
      </c>
    </row>
    <row r="123" spans="2:15">
      <c r="D123" s="100"/>
      <c r="E123" s="100"/>
      <c r="F123" s="100"/>
      <c r="G123" s="100"/>
      <c r="H123" s="100"/>
    </row>
    <row r="124" spans="2:15">
      <c r="D124" s="45" t="s">
        <v>2879</v>
      </c>
      <c r="E124" s="45" t="s">
        <v>3233</v>
      </c>
      <c r="F124" s="45" t="s">
        <v>3234</v>
      </c>
      <c r="G124" s="45" t="s">
        <v>3236</v>
      </c>
      <c r="H124" s="45" t="s">
        <v>3231</v>
      </c>
      <c r="N124" s="13" t="str">
        <f>Show!$B$110&amp;"S.23.03.04.07 Rows {"&amp;COLUMN($C$1)&amp;"}"&amp;"@ForceFilingCode:true"</f>
        <v>!S.23.03.04.07 Rows {3}@ForceFilingCode:true</v>
      </c>
      <c r="O124" s="13" t="str">
        <f>Show!$B$110&amp;"S.23.03.04.07 Columns {"&amp;COLUMN($D$1)&amp;"}"</f>
        <v>!S.23.03.04.07 Columns {4}</v>
      </c>
    </row>
    <row r="125" spans="2:15">
      <c r="B125" s="43" t="s">
        <v>2880</v>
      </c>
      <c r="C125" s="44" t="s">
        <v>2878</v>
      </c>
      <c r="D125" s="58"/>
      <c r="E125" s="67"/>
      <c r="F125" s="67"/>
      <c r="G125" s="67"/>
      <c r="H125" s="59"/>
    </row>
    <row r="126" spans="2:15" ht="30">
      <c r="B126" s="47" t="s">
        <v>4498</v>
      </c>
      <c r="C126" s="44" t="s">
        <v>2878</v>
      </c>
      <c r="D126" s="56"/>
      <c r="E126" s="66"/>
      <c r="F126" s="66"/>
      <c r="G126" s="66"/>
      <c r="H126" s="57"/>
    </row>
    <row r="127" spans="2:15">
      <c r="B127" s="49" t="s">
        <v>4499</v>
      </c>
      <c r="C127" s="41" t="s">
        <v>3315</v>
      </c>
      <c r="D127" s="60"/>
      <c r="E127" s="60"/>
      <c r="F127" s="60"/>
      <c r="G127" s="60"/>
      <c r="H127" s="60"/>
    </row>
    <row r="128" spans="2:15">
      <c r="B128" s="49" t="s">
        <v>4500</v>
      </c>
      <c r="C128" s="41" t="s">
        <v>3496</v>
      </c>
      <c r="D128" s="60"/>
      <c r="E128" s="60"/>
      <c r="F128" s="60"/>
      <c r="G128" s="60"/>
      <c r="H128" s="60"/>
    </row>
    <row r="129" spans="2:15">
      <c r="B129" s="49" t="s">
        <v>2548</v>
      </c>
      <c r="C129" s="41" t="s">
        <v>3497</v>
      </c>
      <c r="D129" s="60"/>
      <c r="E129" s="60"/>
      <c r="F129" s="60"/>
      <c r="G129" s="60"/>
      <c r="H129" s="60"/>
    </row>
    <row r="130" spans="2:15">
      <c r="B130" s="49" t="s">
        <v>2549</v>
      </c>
      <c r="C130" s="41" t="s">
        <v>3498</v>
      </c>
      <c r="D130" s="60"/>
      <c r="E130" s="60"/>
      <c r="F130" s="60"/>
      <c r="G130" s="60"/>
      <c r="H130" s="60"/>
    </row>
    <row r="131" spans="2:15" ht="30">
      <c r="B131" s="47" t="s">
        <v>4501</v>
      </c>
      <c r="C131" s="41" t="s">
        <v>3500</v>
      </c>
      <c r="D131" s="60"/>
      <c r="E131" s="60"/>
      <c r="F131" s="60"/>
      <c r="G131" s="60"/>
      <c r="H131" s="60"/>
    </row>
    <row r="133" spans="2:15">
      <c r="N133" s="13" t="str">
        <f>Show!$B$110&amp;Show!$B$110&amp;"S.23.03.04.07 Rows {"&amp;COLUMN($C$1)&amp;"}"</f>
        <v>!!S.23.03.04.07 Rows {3}</v>
      </c>
      <c r="O133" s="13" t="str">
        <f>Show!$B$110&amp;Show!$B$110&amp;"S.23.03.04.07 Columns {"&amp;COLUMN($H$1)&amp;"}"</f>
        <v>!!S.23.03.04.07 Columns {8}</v>
      </c>
    </row>
    <row r="135" spans="2:15" ht="18.75">
      <c r="B135" s="97" t="s">
        <v>4516</v>
      </c>
      <c r="C135" s="96"/>
      <c r="D135" s="96"/>
      <c r="E135" s="96"/>
      <c r="F135" s="96"/>
      <c r="G135" s="96"/>
      <c r="H135" s="96"/>
      <c r="I135" s="96"/>
      <c r="J135" s="96"/>
      <c r="K135" s="96"/>
      <c r="L135" s="96"/>
    </row>
    <row r="139" spans="2:15">
      <c r="D139" s="101" t="s">
        <v>2877</v>
      </c>
      <c r="E139" s="102"/>
      <c r="F139" s="102"/>
      <c r="G139" s="102"/>
      <c r="H139" s="103"/>
    </row>
    <row r="140" spans="2:15">
      <c r="D140" s="104"/>
      <c r="E140" s="105"/>
      <c r="F140" s="105"/>
      <c r="G140" s="105"/>
      <c r="H140" s="106"/>
    </row>
    <row r="141" spans="2:15">
      <c r="D141" s="98" t="s">
        <v>4476</v>
      </c>
      <c r="E141" s="98" t="s">
        <v>4503</v>
      </c>
      <c r="F141" s="98" t="s">
        <v>4504</v>
      </c>
      <c r="G141" s="98" t="s">
        <v>4505</v>
      </c>
      <c r="H141" s="98" t="s">
        <v>4479</v>
      </c>
    </row>
    <row r="142" spans="2:15">
      <c r="D142" s="100"/>
      <c r="E142" s="100"/>
      <c r="F142" s="100"/>
      <c r="G142" s="100"/>
      <c r="H142" s="100"/>
    </row>
    <row r="143" spans="2:15">
      <c r="D143" s="45" t="s">
        <v>2879</v>
      </c>
      <c r="E143" s="45" t="s">
        <v>3241</v>
      </c>
      <c r="F143" s="45" t="s">
        <v>3243</v>
      </c>
      <c r="G143" s="45" t="s">
        <v>3375</v>
      </c>
      <c r="H143" s="45" t="s">
        <v>3231</v>
      </c>
      <c r="N143" s="13" t="str">
        <f>Show!$B$110&amp;"S.23.03.04.08 Rows {"&amp;COLUMN($C$1)&amp;"}"&amp;"@ForceFilingCode:true"</f>
        <v>!S.23.03.04.08 Rows {3}@ForceFilingCode:true</v>
      </c>
      <c r="O143" s="13" t="str">
        <f>Show!$B$110&amp;"S.23.03.04.08 Columns {"&amp;COLUMN($D$1)&amp;"}"</f>
        <v>!S.23.03.04.08 Columns {4}</v>
      </c>
    </row>
    <row r="144" spans="2:15">
      <c r="B144" s="43" t="s">
        <v>2880</v>
      </c>
      <c r="C144" s="44" t="s">
        <v>2878</v>
      </c>
      <c r="D144" s="58"/>
      <c r="E144" s="67"/>
      <c r="F144" s="67"/>
      <c r="G144" s="67"/>
      <c r="H144" s="59"/>
    </row>
    <row r="145" spans="2:15">
      <c r="B145" s="47" t="s">
        <v>4506</v>
      </c>
      <c r="C145" s="44" t="s">
        <v>2878</v>
      </c>
      <c r="D145" s="56"/>
      <c r="E145" s="66"/>
      <c r="F145" s="66"/>
      <c r="G145" s="66"/>
      <c r="H145" s="57"/>
    </row>
    <row r="146" spans="2:15">
      <c r="B146" s="49" t="s">
        <v>2548</v>
      </c>
      <c r="C146" s="41" t="s">
        <v>4507</v>
      </c>
      <c r="D146" s="60"/>
      <c r="E146" s="60"/>
      <c r="F146" s="60"/>
      <c r="G146" s="60"/>
      <c r="H146" s="60"/>
    </row>
    <row r="147" spans="2:15">
      <c r="B147" s="49" t="s">
        <v>2549</v>
      </c>
      <c r="C147" s="41" t="s">
        <v>4508</v>
      </c>
      <c r="D147" s="60"/>
      <c r="E147" s="60"/>
      <c r="F147" s="60"/>
      <c r="G147" s="60"/>
      <c r="H147" s="60"/>
    </row>
    <row r="148" spans="2:15">
      <c r="B148" s="47" t="s">
        <v>4368</v>
      </c>
      <c r="C148" s="41" t="s">
        <v>3502</v>
      </c>
      <c r="D148" s="60"/>
      <c r="E148" s="60"/>
      <c r="F148" s="60"/>
      <c r="G148" s="60"/>
      <c r="H148" s="60"/>
    </row>
    <row r="150" spans="2:15">
      <c r="N150" s="13" t="str">
        <f>Show!$B$110&amp;Show!$B$110&amp;"S.23.03.04.08 Rows {"&amp;COLUMN($C$1)&amp;"}"</f>
        <v>!!S.23.03.04.08 Rows {3}</v>
      </c>
      <c r="O150" s="13" t="str">
        <f>Show!$B$110&amp;Show!$B$110&amp;"S.23.03.04.08 Columns {"&amp;COLUMN($H$1)&amp;"}"</f>
        <v>!!S.23.03.04.08 Columns {8}</v>
      </c>
    </row>
  </sheetData>
  <sheetProtection sheet="1" objects="1" scenarios="1"/>
  <mergeCells count="47">
    <mergeCell ref="B135:L135"/>
    <mergeCell ref="D139:H140"/>
    <mergeCell ref="D141:D142"/>
    <mergeCell ref="E141:E142"/>
    <mergeCell ref="F141:F142"/>
    <mergeCell ref="G141:G142"/>
    <mergeCell ref="H141:H142"/>
    <mergeCell ref="B103:L103"/>
    <mergeCell ref="D107:E108"/>
    <mergeCell ref="B116:L116"/>
    <mergeCell ref="D120:H121"/>
    <mergeCell ref="D122:D123"/>
    <mergeCell ref="E122:E123"/>
    <mergeCell ref="F122:F123"/>
    <mergeCell ref="G122:G123"/>
    <mergeCell ref="H122:H123"/>
    <mergeCell ref="B85:L85"/>
    <mergeCell ref="D89:I90"/>
    <mergeCell ref="D91:D92"/>
    <mergeCell ref="E91:E92"/>
    <mergeCell ref="F91:F92"/>
    <mergeCell ref="G91:G92"/>
    <mergeCell ref="H91:H92"/>
    <mergeCell ref="I91:I92"/>
    <mergeCell ref="B49:L49"/>
    <mergeCell ref="D53:E54"/>
    <mergeCell ref="B62:L62"/>
    <mergeCell ref="D66:G67"/>
    <mergeCell ref="D68:D69"/>
    <mergeCell ref="E68:E69"/>
    <mergeCell ref="F68:F69"/>
    <mergeCell ref="G68:G69"/>
    <mergeCell ref="B31:L31"/>
    <mergeCell ref="D35:I36"/>
    <mergeCell ref="D37:D38"/>
    <mergeCell ref="E37:E38"/>
    <mergeCell ref="F37:F38"/>
    <mergeCell ref="G37:G38"/>
    <mergeCell ref="H37:H38"/>
    <mergeCell ref="I37:I38"/>
    <mergeCell ref="B2:O2"/>
    <mergeCell ref="B5:L5"/>
    <mergeCell ref="D9:G10"/>
    <mergeCell ref="D11:D12"/>
    <mergeCell ref="E11:E12"/>
    <mergeCell ref="F11:F12"/>
    <mergeCell ref="G11:G12"/>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4508-61D7-42E2-9F7B-B32BF57B38AF}">
  <sheetPr codeName="Blad115"/>
  <dimension ref="B2:O33"/>
  <sheetViews>
    <sheetView showGridLines="0" workbookViewId="0"/>
  </sheetViews>
  <sheetFormatPr defaultRowHeight="15"/>
  <cols>
    <col min="2" max="2" width="55.28515625" bestFit="1" customWidth="1"/>
    <col min="4" max="8" width="15.7109375" customWidth="1"/>
  </cols>
  <sheetData>
    <row r="2" spans="2:15" ht="23.25">
      <c r="B2" s="95" t="s">
        <v>680</v>
      </c>
      <c r="C2" s="96"/>
      <c r="D2" s="96"/>
      <c r="E2" s="96"/>
      <c r="F2" s="96"/>
      <c r="G2" s="96"/>
      <c r="H2" s="96"/>
      <c r="I2" s="96"/>
      <c r="J2" s="96"/>
      <c r="K2" s="96"/>
      <c r="L2" s="96"/>
      <c r="M2" s="96"/>
      <c r="N2" s="96"/>
      <c r="O2" s="96"/>
    </row>
    <row r="5" spans="2:15" ht="18.75">
      <c r="B5" s="97" t="s">
        <v>4517</v>
      </c>
      <c r="C5" s="96"/>
      <c r="D5" s="96"/>
      <c r="E5" s="96"/>
      <c r="F5" s="96"/>
      <c r="G5" s="96"/>
      <c r="H5" s="96"/>
      <c r="I5" s="96"/>
      <c r="J5" s="96"/>
      <c r="K5" s="96"/>
      <c r="L5" s="96"/>
    </row>
    <row r="9" spans="2:15">
      <c r="D9" s="101" t="s">
        <v>2877</v>
      </c>
      <c r="E9" s="103"/>
    </row>
    <row r="10" spans="2:15">
      <c r="D10" s="104"/>
      <c r="E10" s="106"/>
    </row>
    <row r="11" spans="2:15">
      <c r="D11" s="55" t="s">
        <v>4476</v>
      </c>
      <c r="E11" s="55" t="s">
        <v>4479</v>
      </c>
    </row>
    <row r="12" spans="2:15">
      <c r="D12" s="45" t="s">
        <v>2879</v>
      </c>
      <c r="E12" s="45" t="s">
        <v>3231</v>
      </c>
      <c r="M12" s="13" t="str">
        <f>Show!$B$111&amp;"S.23.03.07.01 Rows {"&amp;COLUMN($C$1)&amp;"}"&amp;"@ForceFilingCode:true"</f>
        <v>!S.23.03.07.01 Rows {3}@ForceFilingCode:true</v>
      </c>
      <c r="N12" s="13" t="str">
        <f>Show!$B$111&amp;"S.23.03.07.01 Columns {"&amp;COLUMN($D$1)&amp;"}"</f>
        <v>!S.23.03.07.01 Columns {4}</v>
      </c>
    </row>
    <row r="13" spans="2:15">
      <c r="B13" s="43" t="s">
        <v>2880</v>
      </c>
      <c r="C13" s="44" t="s">
        <v>2878</v>
      </c>
      <c r="D13" s="56"/>
      <c r="E13" s="57"/>
    </row>
    <row r="14" spans="2:15">
      <c r="B14" s="47" t="s">
        <v>4353</v>
      </c>
      <c r="C14" s="41" t="s">
        <v>3140</v>
      </c>
      <c r="D14" s="60"/>
      <c r="E14" s="60"/>
    </row>
    <row r="16" spans="2:15">
      <c r="M16" s="13" t="str">
        <f>Show!$B$111&amp;Show!$B$111&amp;"S.23.03.07.01 Rows {"&amp;COLUMN($C$1)&amp;"}"</f>
        <v>!!S.23.03.07.01 Rows {3}</v>
      </c>
      <c r="N16" s="13" t="str">
        <f>Show!$B$111&amp;Show!$B$111&amp;"S.23.03.07.01 Columns {"&amp;COLUMN($E$1)&amp;"}"</f>
        <v>!!S.23.03.07.01 Columns {5}</v>
      </c>
    </row>
    <row r="18" spans="2:14" ht="18.75">
      <c r="B18" s="97" t="s">
        <v>4518</v>
      </c>
      <c r="C18" s="96"/>
      <c r="D18" s="96"/>
      <c r="E18" s="96"/>
      <c r="F18" s="96"/>
      <c r="G18" s="96"/>
      <c r="H18" s="96"/>
      <c r="I18" s="96"/>
      <c r="J18" s="96"/>
      <c r="K18" s="96"/>
      <c r="L18" s="96"/>
    </row>
    <row r="22" spans="2:14">
      <c r="D22" s="101" t="s">
        <v>2877</v>
      </c>
      <c r="E22" s="102"/>
      <c r="F22" s="102"/>
      <c r="G22" s="102"/>
      <c r="H22" s="103"/>
    </row>
    <row r="23" spans="2:14">
      <c r="D23" s="104"/>
      <c r="E23" s="105"/>
      <c r="F23" s="105"/>
      <c r="G23" s="105"/>
      <c r="H23" s="106"/>
    </row>
    <row r="24" spans="2:14">
      <c r="D24" s="98" t="s">
        <v>4476</v>
      </c>
      <c r="E24" s="98" t="s">
        <v>4503</v>
      </c>
      <c r="F24" s="98" t="s">
        <v>4504</v>
      </c>
      <c r="G24" s="98" t="s">
        <v>4505</v>
      </c>
      <c r="H24" s="98" t="s">
        <v>4479</v>
      </c>
    </row>
    <row r="25" spans="2:14">
      <c r="D25" s="100"/>
      <c r="E25" s="100"/>
      <c r="F25" s="100"/>
      <c r="G25" s="100"/>
      <c r="H25" s="100"/>
    </row>
    <row r="26" spans="2:14">
      <c r="D26" s="45" t="s">
        <v>2879</v>
      </c>
      <c r="E26" s="45" t="s">
        <v>3241</v>
      </c>
      <c r="F26" s="45" t="s">
        <v>3243</v>
      </c>
      <c r="G26" s="45" t="s">
        <v>3375</v>
      </c>
      <c r="H26" s="45" t="s">
        <v>3231</v>
      </c>
      <c r="M26" s="13" t="str">
        <f>Show!$B$111&amp;"S.23.03.07.02 Rows {"&amp;COLUMN($C$1)&amp;"}"&amp;"@ForceFilingCode:true"</f>
        <v>!S.23.03.07.02 Rows {3}@ForceFilingCode:true</v>
      </c>
      <c r="N26" s="13" t="str">
        <f>Show!$B$111&amp;"S.23.03.07.02 Columns {"&amp;COLUMN($D$1)&amp;"}"</f>
        <v>!S.23.03.07.02 Columns {4}</v>
      </c>
    </row>
    <row r="27" spans="2:14">
      <c r="B27" s="43" t="s">
        <v>2880</v>
      </c>
      <c r="C27" s="44" t="s">
        <v>2878</v>
      </c>
      <c r="D27" s="58"/>
      <c r="E27" s="67"/>
      <c r="F27" s="67"/>
      <c r="G27" s="67"/>
      <c r="H27" s="59"/>
    </row>
    <row r="28" spans="2:14">
      <c r="B28" s="47" t="s">
        <v>4506</v>
      </c>
      <c r="C28" s="44" t="s">
        <v>2878</v>
      </c>
      <c r="D28" s="56"/>
      <c r="E28" s="66"/>
      <c r="F28" s="66"/>
      <c r="G28" s="66"/>
      <c r="H28" s="57"/>
    </row>
    <row r="29" spans="2:14">
      <c r="B29" s="49" t="s">
        <v>2548</v>
      </c>
      <c r="C29" s="41" t="s">
        <v>4507</v>
      </c>
      <c r="D29" s="60"/>
      <c r="E29" s="60"/>
      <c r="F29" s="60"/>
      <c r="G29" s="60"/>
      <c r="H29" s="60"/>
    </row>
    <row r="30" spans="2:14">
      <c r="B30" s="49" t="s">
        <v>2549</v>
      </c>
      <c r="C30" s="41" t="s">
        <v>4508</v>
      </c>
      <c r="D30" s="60"/>
      <c r="E30" s="60"/>
      <c r="F30" s="60"/>
      <c r="G30" s="60"/>
      <c r="H30" s="60"/>
    </row>
    <row r="31" spans="2:14">
      <c r="B31" s="47" t="s">
        <v>4368</v>
      </c>
      <c r="C31" s="41" t="s">
        <v>3502</v>
      </c>
      <c r="D31" s="60"/>
      <c r="E31" s="60"/>
      <c r="F31" s="60"/>
      <c r="G31" s="60"/>
      <c r="H31" s="60"/>
    </row>
    <row r="33" spans="13:14">
      <c r="M33" s="13" t="str">
        <f>Show!$B$111&amp;Show!$B$111&amp;"S.23.03.07.02 Rows {"&amp;COLUMN($C$1)&amp;"}"</f>
        <v>!!S.23.03.07.02 Rows {3}</v>
      </c>
      <c r="N33" s="13" t="str">
        <f>Show!$B$111&amp;Show!$B$111&amp;"S.23.03.07.02 Columns {"&amp;COLUMN($H$1)&amp;"}"</f>
        <v>!!S.23.03.07.02 Columns {8}</v>
      </c>
    </row>
  </sheetData>
  <sheetProtection sheet="1" objects="1" scenarios="1"/>
  <mergeCells count="10">
    <mergeCell ref="B2:O2"/>
    <mergeCell ref="B5:L5"/>
    <mergeCell ref="D9:E10"/>
    <mergeCell ref="B18:L18"/>
    <mergeCell ref="D22:H23"/>
    <mergeCell ref="D24:D25"/>
    <mergeCell ref="E24:E25"/>
    <mergeCell ref="F24:F25"/>
    <mergeCell ref="G24:G25"/>
    <mergeCell ref="H24:H2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AE18-BA92-4D01-BDF6-5FE89BC46350}">
  <sheetPr codeName="Blad116"/>
  <dimension ref="B2:X100"/>
  <sheetViews>
    <sheetView showGridLines="0" workbookViewId="0"/>
  </sheetViews>
  <sheetFormatPr defaultRowHeight="15"/>
  <cols>
    <col min="2" max="2" width="56.140625" bestFit="1" customWidth="1"/>
    <col min="3" max="11" width="15.7109375" customWidth="1"/>
    <col min="12" max="13" width="40.7109375" customWidth="1"/>
    <col min="14" max="14" width="15.7109375" customWidth="1"/>
    <col min="15" max="15" width="40.7109375" customWidth="1"/>
  </cols>
  <sheetData>
    <row r="2" spans="2:24" ht="23.25">
      <c r="B2" s="95" t="s">
        <v>682</v>
      </c>
      <c r="C2" s="96"/>
      <c r="D2" s="96"/>
      <c r="E2" s="96"/>
      <c r="F2" s="96"/>
      <c r="G2" s="96"/>
      <c r="H2" s="96"/>
      <c r="I2" s="96"/>
      <c r="J2" s="96"/>
      <c r="K2" s="96"/>
      <c r="L2" s="96"/>
      <c r="M2" s="96"/>
      <c r="N2" s="96"/>
      <c r="O2" s="96"/>
    </row>
    <row r="5" spans="2:24" ht="18.75">
      <c r="B5" s="97" t="s">
        <v>4519</v>
      </c>
      <c r="C5" s="96"/>
      <c r="D5" s="96"/>
      <c r="E5" s="96"/>
      <c r="F5" s="96"/>
      <c r="G5" s="96"/>
      <c r="H5" s="96"/>
      <c r="I5" s="96"/>
      <c r="J5" s="96"/>
      <c r="K5" s="96"/>
      <c r="L5" s="96"/>
    </row>
    <row r="9" spans="2:24">
      <c r="B9" s="98" t="s">
        <v>3374</v>
      </c>
      <c r="C9" s="101" t="s">
        <v>2877</v>
      </c>
      <c r="D9" s="102"/>
      <c r="E9" s="102"/>
      <c r="F9" s="102"/>
      <c r="G9" s="102"/>
      <c r="H9" s="102"/>
      <c r="I9" s="102"/>
      <c r="J9" s="102"/>
      <c r="K9" s="102"/>
      <c r="L9" s="102"/>
      <c r="M9" s="102"/>
      <c r="N9" s="102"/>
      <c r="O9" s="103"/>
    </row>
    <row r="10" spans="2:24">
      <c r="B10" s="99"/>
      <c r="C10" s="104"/>
      <c r="D10" s="105"/>
      <c r="E10" s="105"/>
      <c r="F10" s="105"/>
      <c r="G10" s="105"/>
      <c r="H10" s="105"/>
      <c r="I10" s="105"/>
      <c r="J10" s="105"/>
      <c r="K10" s="105"/>
      <c r="L10" s="105"/>
      <c r="M10" s="105"/>
      <c r="N10" s="105"/>
      <c r="O10" s="106"/>
    </row>
    <row r="11" spans="2:24" ht="75">
      <c r="B11" s="100"/>
      <c r="C11" s="55" t="s">
        <v>4521</v>
      </c>
      <c r="D11" s="55" t="s">
        <v>4522</v>
      </c>
      <c r="E11" s="55" t="s">
        <v>4523</v>
      </c>
      <c r="F11" s="55" t="s">
        <v>4524</v>
      </c>
      <c r="G11" s="55" t="s">
        <v>4525</v>
      </c>
      <c r="H11" s="55" t="s">
        <v>4526</v>
      </c>
      <c r="I11" s="55" t="s">
        <v>3648</v>
      </c>
      <c r="J11" s="55" t="s">
        <v>3627</v>
      </c>
      <c r="K11" s="55" t="s">
        <v>4527</v>
      </c>
      <c r="L11" s="55" t="s">
        <v>4528</v>
      </c>
      <c r="M11" s="55" t="s">
        <v>4529</v>
      </c>
      <c r="N11" s="55" t="s">
        <v>4530</v>
      </c>
      <c r="O11" s="55" t="s">
        <v>4531</v>
      </c>
    </row>
    <row r="12" spans="2:24">
      <c r="B12" s="42" t="s">
        <v>4520</v>
      </c>
      <c r="C12" s="42" t="s">
        <v>2879</v>
      </c>
      <c r="D12" s="42" t="s">
        <v>3219</v>
      </c>
      <c r="E12" s="42" t="s">
        <v>3225</v>
      </c>
      <c r="F12" s="42" t="s">
        <v>3223</v>
      </c>
      <c r="G12" s="42" t="s">
        <v>3233</v>
      </c>
      <c r="H12" s="42" t="s">
        <v>3234</v>
      </c>
      <c r="I12" s="42" t="s">
        <v>3236</v>
      </c>
      <c r="J12" s="42" t="s">
        <v>3239</v>
      </c>
      <c r="K12" s="42" t="s">
        <v>3241</v>
      </c>
      <c r="L12" s="42" t="s">
        <v>3243</v>
      </c>
      <c r="M12" s="42" t="s">
        <v>3375</v>
      </c>
      <c r="N12" s="42" t="s">
        <v>3475</v>
      </c>
      <c r="O12" s="42" t="s">
        <v>3479</v>
      </c>
      <c r="W12" s="13" t="str">
        <f>Show!$B$112&amp;"S.23.04.01.01 Rows {"&amp;COLUMN($B$1)&amp;"}"&amp;"@ForceFilingCode:true"</f>
        <v>!S.23.04.01.01 Rows {2}@ForceFilingCode:true</v>
      </c>
      <c r="X12" s="13" t="str">
        <f>Show!$B$112&amp;"S.23.04.01.01 Columns {"&amp;COLUMN($B$1)&amp;"}"</f>
        <v>!S.23.04.01.01 Columns {2}</v>
      </c>
    </row>
    <row r="13" spans="2:24">
      <c r="B13" s="50"/>
      <c r="C13" s="51"/>
      <c r="D13" s="60"/>
      <c r="E13" s="51"/>
      <c r="F13" s="51"/>
      <c r="G13" s="51"/>
      <c r="H13" s="51"/>
      <c r="I13" s="54"/>
      <c r="J13" s="54"/>
      <c r="K13" s="54"/>
      <c r="L13" s="51"/>
      <c r="M13" s="51"/>
      <c r="N13" s="54"/>
      <c r="O13" s="51"/>
    </row>
    <row r="15" spans="2:24">
      <c r="W15" s="13" t="str">
        <f>Show!$B$112&amp;Show!$B$112&amp;"S.23.04.01.01 Rows {"&amp;COLUMN($B$1)&amp;"}"</f>
        <v>!!S.23.04.01.01 Rows {2}</v>
      </c>
      <c r="X15" s="13" t="str">
        <f>Show!$B$112&amp;Show!$B$112&amp;"S.23.04.01.01 Columns {"&amp;COLUMN($O$1)&amp;"}"</f>
        <v>!!S.23.04.01.01 Columns {15}</v>
      </c>
    </row>
    <row r="17" spans="2:24" ht="18.75">
      <c r="B17" s="97" t="s">
        <v>4532</v>
      </c>
      <c r="C17" s="96"/>
      <c r="D17" s="96"/>
      <c r="E17" s="96"/>
      <c r="F17" s="96"/>
      <c r="G17" s="96"/>
      <c r="H17" s="96"/>
      <c r="I17" s="96"/>
      <c r="J17" s="96"/>
      <c r="K17" s="96"/>
      <c r="L17" s="96"/>
    </row>
    <row r="21" spans="2:24">
      <c r="B21" s="98" t="s">
        <v>3374</v>
      </c>
      <c r="C21" s="101" t="s">
        <v>2877</v>
      </c>
      <c r="D21" s="102"/>
      <c r="E21" s="102"/>
      <c r="F21" s="102"/>
      <c r="G21" s="102"/>
      <c r="H21" s="102"/>
      <c r="I21" s="102"/>
      <c r="J21" s="103"/>
    </row>
    <row r="22" spans="2:24">
      <c r="B22" s="99"/>
      <c r="C22" s="104"/>
      <c r="D22" s="105"/>
      <c r="E22" s="105"/>
      <c r="F22" s="105"/>
      <c r="G22" s="105"/>
      <c r="H22" s="105"/>
      <c r="I22" s="105"/>
      <c r="J22" s="106"/>
    </row>
    <row r="23" spans="2:24" ht="45">
      <c r="B23" s="100"/>
      <c r="C23" s="55" t="s">
        <v>4534</v>
      </c>
      <c r="D23" s="55" t="s">
        <v>4522</v>
      </c>
      <c r="E23" s="55" t="s">
        <v>4525</v>
      </c>
      <c r="F23" s="55" t="s">
        <v>4526</v>
      </c>
      <c r="G23" s="55" t="s">
        <v>3648</v>
      </c>
      <c r="H23" s="55" t="s">
        <v>4527</v>
      </c>
      <c r="I23" s="55" t="s">
        <v>4528</v>
      </c>
      <c r="J23" s="55" t="s">
        <v>4529</v>
      </c>
    </row>
    <row r="24" spans="2:24">
      <c r="B24" s="42" t="s">
        <v>4533</v>
      </c>
      <c r="C24" s="42" t="s">
        <v>3599</v>
      </c>
      <c r="D24" s="42" t="s">
        <v>3481</v>
      </c>
      <c r="E24" s="42" t="s">
        <v>3508</v>
      </c>
      <c r="F24" s="42" t="s">
        <v>3509</v>
      </c>
      <c r="G24" s="42" t="s">
        <v>3511</v>
      </c>
      <c r="H24" s="42" t="s">
        <v>3513</v>
      </c>
      <c r="I24" s="42" t="s">
        <v>3514</v>
      </c>
      <c r="J24" s="42" t="s">
        <v>3515</v>
      </c>
      <c r="W24" s="13" t="str">
        <f>Show!$B$112&amp;"S.23.04.01.02 Rows {"&amp;COLUMN($B$1)&amp;"}"&amp;"@ForceFilingCode:true"</f>
        <v>!S.23.04.01.02 Rows {2}@ForceFilingCode:true</v>
      </c>
      <c r="X24" s="13" t="str">
        <f>Show!$B$112&amp;"S.23.04.01.02 Columns {"&amp;COLUMN($B$1)&amp;"}"</f>
        <v>!S.23.04.01.02 Columns {2}</v>
      </c>
    </row>
    <row r="25" spans="2:24">
      <c r="B25" s="50"/>
      <c r="C25" s="51"/>
      <c r="D25" s="60"/>
      <c r="E25" s="51"/>
      <c r="F25" s="51"/>
      <c r="G25" s="54"/>
      <c r="H25" s="54"/>
      <c r="I25" s="51"/>
      <c r="J25" s="51"/>
    </row>
    <row r="27" spans="2:24">
      <c r="W27" s="13" t="str">
        <f>Show!$B$112&amp;Show!$B$112&amp;"S.23.04.01.02 Rows {"&amp;COLUMN($B$1)&amp;"}"</f>
        <v>!!S.23.04.01.02 Rows {2}</v>
      </c>
      <c r="X27" s="13" t="str">
        <f>Show!$B$112&amp;Show!$B$112&amp;"S.23.04.01.02 Columns {"&amp;COLUMN($J$1)&amp;"}"</f>
        <v>!!S.23.04.01.02 Columns {10}</v>
      </c>
    </row>
    <row r="29" spans="2:24" ht="18.75">
      <c r="B29" s="97" t="s">
        <v>4535</v>
      </c>
      <c r="C29" s="96"/>
      <c r="D29" s="96"/>
      <c r="E29" s="96"/>
      <c r="F29" s="96"/>
      <c r="G29" s="96"/>
      <c r="H29" s="96"/>
      <c r="I29" s="96"/>
      <c r="J29" s="96"/>
      <c r="K29" s="96"/>
      <c r="L29" s="96"/>
    </row>
    <row r="33" spans="2:24">
      <c r="B33" s="98" t="s">
        <v>3374</v>
      </c>
      <c r="C33" s="101" t="s">
        <v>2877</v>
      </c>
      <c r="D33" s="102"/>
      <c r="E33" s="102"/>
      <c r="F33" s="102"/>
      <c r="G33" s="102"/>
      <c r="H33" s="102"/>
      <c r="I33" s="102"/>
      <c r="J33" s="102"/>
      <c r="K33" s="102"/>
      <c r="L33" s="102"/>
      <c r="M33" s="102"/>
      <c r="N33" s="103"/>
    </row>
    <row r="34" spans="2:24">
      <c r="B34" s="99"/>
      <c r="C34" s="104"/>
      <c r="D34" s="105"/>
      <c r="E34" s="105"/>
      <c r="F34" s="105"/>
      <c r="G34" s="105"/>
      <c r="H34" s="105"/>
      <c r="I34" s="105"/>
      <c r="J34" s="105"/>
      <c r="K34" s="105"/>
      <c r="L34" s="105"/>
      <c r="M34" s="105"/>
      <c r="N34" s="106"/>
    </row>
    <row r="35" spans="2:24" ht="45">
      <c r="B35" s="100"/>
      <c r="C35" s="55" t="s">
        <v>4537</v>
      </c>
      <c r="D35" s="55" t="s">
        <v>4522</v>
      </c>
      <c r="E35" s="55" t="s">
        <v>4523</v>
      </c>
      <c r="F35" s="55" t="s">
        <v>4524</v>
      </c>
      <c r="G35" s="55" t="s">
        <v>4538</v>
      </c>
      <c r="H35" s="55" t="s">
        <v>4525</v>
      </c>
      <c r="I35" s="55" t="s">
        <v>3648</v>
      </c>
      <c r="J35" s="55" t="s">
        <v>3627</v>
      </c>
      <c r="K35" s="55" t="s">
        <v>4527</v>
      </c>
      <c r="L35" s="55" t="s">
        <v>4539</v>
      </c>
      <c r="M35" s="55" t="s">
        <v>4529</v>
      </c>
      <c r="N35" s="55" t="s">
        <v>4530</v>
      </c>
    </row>
    <row r="36" spans="2:24">
      <c r="B36" s="42" t="s">
        <v>4536</v>
      </c>
      <c r="C36" s="42" t="s">
        <v>3517</v>
      </c>
      <c r="D36" s="42" t="s">
        <v>3518</v>
      </c>
      <c r="E36" s="42" t="s">
        <v>3608</v>
      </c>
      <c r="F36" s="42" t="s">
        <v>3519</v>
      </c>
      <c r="G36" s="42" t="s">
        <v>3614</v>
      </c>
      <c r="H36" s="42" t="s">
        <v>3616</v>
      </c>
      <c r="I36" s="42" t="s">
        <v>3620</v>
      </c>
      <c r="J36" s="42" t="s">
        <v>3622</v>
      </c>
      <c r="K36" s="42" t="s">
        <v>3624</v>
      </c>
      <c r="L36" s="42" t="s">
        <v>3626</v>
      </c>
      <c r="M36" s="42" t="s">
        <v>3628</v>
      </c>
      <c r="N36" s="42" t="s">
        <v>3634</v>
      </c>
      <c r="W36" s="13" t="str">
        <f>Show!$B$112&amp;"S.23.04.01.03 Rows {"&amp;COLUMN($B$1)&amp;"}"&amp;"@ForceFilingCode:true"</f>
        <v>!S.23.04.01.03 Rows {2}@ForceFilingCode:true</v>
      </c>
      <c r="X36" s="13" t="str">
        <f>Show!$B$112&amp;"S.23.04.01.03 Columns {"&amp;COLUMN($B$1)&amp;"}"</f>
        <v>!S.23.04.01.03 Columns {2}</v>
      </c>
    </row>
    <row r="37" spans="2:24">
      <c r="B37" s="50"/>
      <c r="C37" s="51"/>
      <c r="D37" s="60"/>
      <c r="E37" s="51"/>
      <c r="F37" s="51"/>
      <c r="G37" s="51"/>
      <c r="H37" s="51"/>
      <c r="I37" s="54"/>
      <c r="J37" s="54"/>
      <c r="K37" s="54"/>
      <c r="L37" s="51"/>
      <c r="M37" s="51"/>
      <c r="N37" s="54"/>
    </row>
    <row r="39" spans="2:24">
      <c r="W39" s="13" t="str">
        <f>Show!$B$112&amp;Show!$B$112&amp;"S.23.04.01.03 Rows {"&amp;COLUMN($B$1)&amp;"}"</f>
        <v>!!S.23.04.01.03 Rows {2}</v>
      </c>
      <c r="X39" s="13" t="str">
        <f>Show!$B$112&amp;Show!$B$112&amp;"S.23.04.01.03 Columns {"&amp;COLUMN($N$1)&amp;"}"</f>
        <v>!!S.23.04.01.03 Columns {14}</v>
      </c>
    </row>
    <row r="41" spans="2:24" ht="18.75">
      <c r="B41" s="97" t="s">
        <v>4540</v>
      </c>
      <c r="C41" s="96"/>
      <c r="D41" s="96"/>
      <c r="E41" s="96"/>
      <c r="F41" s="96"/>
      <c r="G41" s="96"/>
      <c r="H41" s="96"/>
      <c r="I41" s="96"/>
      <c r="J41" s="96"/>
      <c r="K41" s="96"/>
      <c r="L41" s="96"/>
    </row>
    <row r="45" spans="2:24">
      <c r="B45" s="98" t="s">
        <v>3374</v>
      </c>
      <c r="C45" s="101" t="s">
        <v>2877</v>
      </c>
      <c r="D45" s="102"/>
      <c r="E45" s="102"/>
      <c r="F45" s="102"/>
      <c r="G45" s="102"/>
      <c r="H45" s="102"/>
      <c r="I45" s="103"/>
    </row>
    <row r="46" spans="2:24">
      <c r="B46" s="99"/>
      <c r="C46" s="104"/>
      <c r="D46" s="105"/>
      <c r="E46" s="105"/>
      <c r="F46" s="105"/>
      <c r="G46" s="105"/>
      <c r="H46" s="105"/>
      <c r="I46" s="106"/>
    </row>
    <row r="47" spans="2:24" ht="105">
      <c r="B47" s="100"/>
      <c r="C47" s="55" t="s">
        <v>4395</v>
      </c>
      <c r="D47" s="55" t="s">
        <v>4522</v>
      </c>
      <c r="E47" s="55" t="s">
        <v>4524</v>
      </c>
      <c r="F47" s="55" t="s">
        <v>2545</v>
      </c>
      <c r="G47" s="55" t="s">
        <v>2548</v>
      </c>
      <c r="H47" s="55" t="s">
        <v>2549</v>
      </c>
      <c r="I47" s="55" t="s">
        <v>4542</v>
      </c>
    </row>
    <row r="48" spans="2:24">
      <c r="B48" s="42" t="s">
        <v>4541</v>
      </c>
      <c r="C48" s="42" t="s">
        <v>3955</v>
      </c>
      <c r="D48" s="42" t="s">
        <v>3956</v>
      </c>
      <c r="E48" s="42" t="s">
        <v>3957</v>
      </c>
      <c r="F48" s="42" t="s">
        <v>3958</v>
      </c>
      <c r="G48" s="42" t="s">
        <v>3959</v>
      </c>
      <c r="H48" s="42" t="s">
        <v>3960</v>
      </c>
      <c r="I48" s="42" t="s">
        <v>3961</v>
      </c>
      <c r="W48" s="13" t="str">
        <f>Show!$B$112&amp;"S.23.04.01.04 Rows {"&amp;COLUMN($B$1)&amp;"}"&amp;"@ForceFilingCode:true"</f>
        <v>!S.23.04.01.04 Rows {2}@ForceFilingCode:true</v>
      </c>
      <c r="X48" s="13" t="str">
        <f>Show!$B$112&amp;"S.23.04.01.04 Columns {"&amp;COLUMN($B$1)&amp;"}"</f>
        <v>!S.23.04.01.04 Columns {2}</v>
      </c>
    </row>
    <row r="49" spans="2:24">
      <c r="B49" s="50"/>
      <c r="C49" s="51"/>
      <c r="D49" s="60"/>
      <c r="E49" s="51"/>
      <c r="F49" s="60"/>
      <c r="G49" s="60"/>
      <c r="H49" s="60"/>
      <c r="I49" s="54"/>
    </row>
    <row r="51" spans="2:24">
      <c r="W51" s="13" t="str">
        <f>Show!$B$112&amp;Show!$B$112&amp;"S.23.04.01.04 Rows {"&amp;COLUMN($B$1)&amp;"}"</f>
        <v>!!S.23.04.01.04 Rows {2}</v>
      </c>
      <c r="X51" s="13" t="str">
        <f>Show!$B$112&amp;Show!$B$112&amp;"S.23.04.01.04 Columns {"&amp;COLUMN($I$1)&amp;"}"</f>
        <v>!!S.23.04.01.04 Columns {9}</v>
      </c>
    </row>
    <row r="53" spans="2:24" ht="18.75">
      <c r="B53" s="97" t="s">
        <v>4543</v>
      </c>
      <c r="C53" s="96"/>
      <c r="D53" s="96"/>
      <c r="E53" s="96"/>
      <c r="F53" s="96"/>
      <c r="G53" s="96"/>
      <c r="H53" s="96"/>
      <c r="I53" s="96"/>
      <c r="J53" s="96"/>
      <c r="K53" s="96"/>
      <c r="L53" s="96"/>
    </row>
    <row r="57" spans="2:24">
      <c r="B57" s="98" t="s">
        <v>3374</v>
      </c>
      <c r="C57" s="101" t="s">
        <v>2877</v>
      </c>
      <c r="D57" s="103"/>
    </row>
    <row r="58" spans="2:24">
      <c r="B58" s="99"/>
      <c r="C58" s="104"/>
      <c r="D58" s="106"/>
    </row>
    <row r="59" spans="2:24" ht="30">
      <c r="B59" s="100"/>
      <c r="C59" s="55" t="s">
        <v>4545</v>
      </c>
      <c r="D59" s="55" t="s">
        <v>3480</v>
      </c>
    </row>
    <row r="60" spans="2:24">
      <c r="B60" s="42" t="s">
        <v>4544</v>
      </c>
      <c r="C60" s="42" t="s">
        <v>4546</v>
      </c>
      <c r="D60" s="42" t="s">
        <v>4547</v>
      </c>
      <c r="W60" s="13" t="str">
        <f>Show!$B$112&amp;"S.23.04.01.05 Rows {"&amp;COLUMN($B$1)&amp;"}"&amp;"@ForceFilingCode:true"</f>
        <v>!S.23.04.01.05 Rows {2}@ForceFilingCode:true</v>
      </c>
      <c r="X60" s="13" t="str">
        <f>Show!$B$112&amp;"S.23.04.01.05 Columns {"&amp;COLUMN($B$1)&amp;"}"</f>
        <v>!S.23.04.01.05 Columns {2}</v>
      </c>
    </row>
    <row r="61" spans="2:24">
      <c r="B61" s="50"/>
      <c r="C61" s="51"/>
      <c r="D61" s="60"/>
    </row>
    <row r="63" spans="2:24">
      <c r="W63" s="13" t="str">
        <f>Show!$B$112&amp;Show!$B$112&amp;"S.23.04.01.05 Rows {"&amp;COLUMN($B$1)&amp;"}"</f>
        <v>!!S.23.04.01.05 Rows {2}</v>
      </c>
      <c r="X63" s="13" t="str">
        <f>Show!$B$112&amp;Show!$B$112&amp;"S.23.04.01.05 Columns {"&amp;COLUMN($D$1)&amp;"}"</f>
        <v>!!S.23.04.01.05 Columns {4}</v>
      </c>
    </row>
    <row r="65" spans="2:24" ht="18.75">
      <c r="B65" s="97" t="s">
        <v>4548</v>
      </c>
      <c r="C65" s="96"/>
      <c r="D65" s="96"/>
      <c r="E65" s="96"/>
      <c r="F65" s="96"/>
      <c r="G65" s="96"/>
      <c r="H65" s="96"/>
      <c r="I65" s="96"/>
      <c r="J65" s="96"/>
      <c r="K65" s="96"/>
      <c r="L65" s="96"/>
    </row>
    <row r="69" spans="2:24">
      <c r="B69" s="98" t="s">
        <v>3374</v>
      </c>
      <c r="C69" s="101" t="s">
        <v>2877</v>
      </c>
      <c r="D69" s="102"/>
      <c r="E69" s="102"/>
      <c r="F69" s="102"/>
      <c r="G69" s="103"/>
    </row>
    <row r="70" spans="2:24">
      <c r="B70" s="99"/>
      <c r="C70" s="104"/>
      <c r="D70" s="105"/>
      <c r="E70" s="105"/>
      <c r="F70" s="105"/>
      <c r="G70" s="106"/>
    </row>
    <row r="71" spans="2:24" ht="45">
      <c r="B71" s="100"/>
      <c r="C71" s="55" t="s">
        <v>4550</v>
      </c>
      <c r="D71" s="55" t="s">
        <v>4522</v>
      </c>
      <c r="E71" s="55" t="s">
        <v>4552</v>
      </c>
      <c r="F71" s="55" t="s">
        <v>3648</v>
      </c>
      <c r="G71" s="55" t="s">
        <v>4542</v>
      </c>
    </row>
    <row r="72" spans="2:24">
      <c r="B72" s="42" t="s">
        <v>4549</v>
      </c>
      <c r="C72" s="42" t="s">
        <v>4551</v>
      </c>
      <c r="D72" s="42" t="s">
        <v>3969</v>
      </c>
      <c r="E72" s="42" t="s">
        <v>3970</v>
      </c>
      <c r="F72" s="42" t="s">
        <v>3971</v>
      </c>
      <c r="G72" s="42" t="s">
        <v>3972</v>
      </c>
      <c r="W72" s="13" t="str">
        <f>Show!$B$112&amp;"S.23.04.01.06 Rows {"&amp;COLUMN($B$1)&amp;"}"&amp;"@ForceFilingCode:true"</f>
        <v>!S.23.04.01.06 Rows {2}@ForceFilingCode:true</v>
      </c>
      <c r="X72" s="13" t="str">
        <f>Show!$B$112&amp;"S.23.04.01.06 Columns {"&amp;COLUMN($B$1)&amp;"}"</f>
        <v>!S.23.04.01.06 Columns {2}</v>
      </c>
    </row>
    <row r="73" spans="2:24">
      <c r="B73" s="50"/>
      <c r="C73" s="51"/>
      <c r="D73" s="60"/>
      <c r="E73" s="51"/>
      <c r="F73" s="54"/>
      <c r="G73" s="54"/>
    </row>
    <row r="75" spans="2:24">
      <c r="W75" s="13" t="str">
        <f>Show!$B$112&amp;Show!$B$112&amp;"S.23.04.01.06 Rows {"&amp;COLUMN($B$1)&amp;"}"</f>
        <v>!!S.23.04.01.06 Rows {2}</v>
      </c>
      <c r="X75" s="13" t="str">
        <f>Show!$B$112&amp;Show!$B$112&amp;"S.23.04.01.06 Columns {"&amp;COLUMN($G$1)&amp;"}"</f>
        <v>!!S.23.04.01.06 Columns {7}</v>
      </c>
    </row>
    <row r="77" spans="2:24" ht="18.75">
      <c r="B77" s="97" t="s">
        <v>4553</v>
      </c>
      <c r="C77" s="96"/>
      <c r="D77" s="96"/>
      <c r="E77" s="96"/>
      <c r="F77" s="96"/>
      <c r="G77" s="96"/>
      <c r="H77" s="96"/>
      <c r="I77" s="96"/>
      <c r="J77" s="96"/>
      <c r="K77" s="96"/>
      <c r="L77" s="96"/>
    </row>
    <row r="81" spans="2:24">
      <c r="B81" s="98" t="s">
        <v>4554</v>
      </c>
      <c r="C81" s="101" t="s">
        <v>2877</v>
      </c>
      <c r="D81" s="102"/>
      <c r="E81" s="102"/>
      <c r="F81" s="102"/>
      <c r="G81" s="103"/>
    </row>
    <row r="82" spans="2:24">
      <c r="B82" s="99"/>
      <c r="C82" s="104"/>
      <c r="D82" s="105"/>
      <c r="E82" s="105"/>
      <c r="F82" s="105"/>
      <c r="G82" s="106"/>
    </row>
    <row r="83" spans="2:24" ht="135">
      <c r="B83" s="100"/>
      <c r="C83" s="55" t="s">
        <v>4555</v>
      </c>
      <c r="D83" s="55" t="s">
        <v>4556</v>
      </c>
      <c r="E83" s="55" t="s">
        <v>4557</v>
      </c>
      <c r="F83" s="55" t="s">
        <v>4558</v>
      </c>
      <c r="G83" s="55" t="s">
        <v>4381</v>
      </c>
    </row>
    <row r="84" spans="2:24">
      <c r="B84" s="42" t="s">
        <v>3975</v>
      </c>
      <c r="C84" s="42" t="s">
        <v>3976</v>
      </c>
      <c r="D84" s="42" t="s">
        <v>3977</v>
      </c>
      <c r="E84" s="42" t="s">
        <v>3978</v>
      </c>
      <c r="F84" s="42" t="s">
        <v>3979</v>
      </c>
      <c r="G84" s="42" t="s">
        <v>3980</v>
      </c>
      <c r="W84" s="13" t="str">
        <f>Show!$B$112&amp;"S.23.04.01.07 Rows {"&amp;COLUMN($B$1)&amp;"}"&amp;"@ForceFilingCode:true"</f>
        <v>!S.23.04.01.07 Rows {2}@ForceFilingCode:true</v>
      </c>
      <c r="X84" s="13" t="str">
        <f>Show!$B$112&amp;"S.23.04.01.07 Columns {"&amp;COLUMN($B$1)&amp;"}"</f>
        <v>!S.23.04.01.07 Columns {2}</v>
      </c>
    </row>
    <row r="85" spans="2:24">
      <c r="B85" s="50"/>
      <c r="C85" s="60"/>
      <c r="D85" s="60"/>
      <c r="E85" s="60"/>
      <c r="F85" s="60"/>
      <c r="G85" s="60"/>
    </row>
    <row r="87" spans="2:24">
      <c r="W87" s="13" t="str">
        <f>Show!$B$112&amp;Show!$B$112&amp;"S.23.04.01.07 Rows {"&amp;COLUMN($B$1)&amp;"}"</f>
        <v>!!S.23.04.01.07 Rows {2}</v>
      </c>
      <c r="X87" s="13" t="str">
        <f>Show!$B$112&amp;Show!$B$112&amp;"S.23.04.01.07 Columns {"&amp;COLUMN($G$1)&amp;"}"</f>
        <v>!!S.23.04.01.07 Columns {7}</v>
      </c>
    </row>
    <row r="89" spans="2:24" ht="18.75">
      <c r="B89" s="97" t="s">
        <v>4559</v>
      </c>
      <c r="C89" s="96"/>
      <c r="D89" s="96"/>
      <c r="E89" s="96"/>
      <c r="F89" s="96"/>
      <c r="G89" s="96"/>
      <c r="H89" s="96"/>
      <c r="I89" s="96"/>
      <c r="J89" s="96"/>
      <c r="K89" s="96"/>
      <c r="L89" s="96"/>
    </row>
    <row r="93" spans="2:24">
      <c r="D93" s="98" t="s">
        <v>2877</v>
      </c>
    </row>
    <row r="94" spans="2:24">
      <c r="D94" s="100"/>
    </row>
    <row r="95" spans="2:24" ht="135">
      <c r="D95" s="55" t="s">
        <v>4381</v>
      </c>
    </row>
    <row r="96" spans="2:24">
      <c r="D96" s="45" t="s">
        <v>4560</v>
      </c>
      <c r="W96" s="13" t="str">
        <f>Show!$B$112&amp;"S.23.04.01.09 Rows {"&amp;COLUMN($C$1)&amp;"}"&amp;"@ForceFilingCode:true"</f>
        <v>!S.23.04.01.09 Rows {3}@ForceFilingCode:true</v>
      </c>
      <c r="X96" s="13" t="str">
        <f>Show!$B$112&amp;"S.23.04.01.09 Columns {"&amp;COLUMN($D$1)&amp;"}"</f>
        <v>!S.23.04.01.09 Columns {4}</v>
      </c>
    </row>
    <row r="97" spans="2:24">
      <c r="B97" s="43" t="s">
        <v>2880</v>
      </c>
      <c r="C97" s="44" t="s">
        <v>2878</v>
      </c>
      <c r="D97" s="46"/>
    </row>
    <row r="98" spans="2:24" ht="30">
      <c r="B98" s="47" t="s">
        <v>4381</v>
      </c>
      <c r="C98" s="41" t="s">
        <v>2883</v>
      </c>
      <c r="D98" s="60"/>
    </row>
    <row r="100" spans="2:24">
      <c r="W100" s="13" t="str">
        <f>Show!$B$112&amp;Show!$B$112&amp;"S.23.04.01.09 Rows {"&amp;COLUMN($C$1)&amp;"}"</f>
        <v>!!S.23.04.01.09 Rows {3}</v>
      </c>
      <c r="X100" s="13" t="str">
        <f>Show!$B$112&amp;Show!$B$112&amp;"S.23.04.01.09 Columns {"&amp;COLUMN($D$1)&amp;"}"</f>
        <v>!!S.23.04.01.09 Columns {4}</v>
      </c>
    </row>
  </sheetData>
  <sheetProtection sheet="1" objects="1" scenarios="1"/>
  <mergeCells count="24">
    <mergeCell ref="B77:L77"/>
    <mergeCell ref="B81:B83"/>
    <mergeCell ref="C81:G82"/>
    <mergeCell ref="B89:L89"/>
    <mergeCell ref="D93:D94"/>
    <mergeCell ref="B53:L53"/>
    <mergeCell ref="B57:B59"/>
    <mergeCell ref="C57:D58"/>
    <mergeCell ref="B65:L65"/>
    <mergeCell ref="B69:B71"/>
    <mergeCell ref="C69:G70"/>
    <mergeCell ref="B29:L29"/>
    <mergeCell ref="B33:B35"/>
    <mergeCell ref="C33:N34"/>
    <mergeCell ref="B41:L41"/>
    <mergeCell ref="B45:B47"/>
    <mergeCell ref="C45:I46"/>
    <mergeCell ref="B21:B23"/>
    <mergeCell ref="C21:J22"/>
    <mergeCell ref="B2:O2"/>
    <mergeCell ref="B5:L5"/>
    <mergeCell ref="B9:B11"/>
    <mergeCell ref="C9:O10"/>
    <mergeCell ref="B17:L17"/>
  </mergeCells>
  <dataValidations count="4">
    <dataValidation type="list" errorStyle="warning" allowBlank="1" showInputMessage="1" showErrorMessage="1" sqref="E13 E37" xr:uid="{215D6FEE-9942-4C18-8202-DE78EB053FA7}">
      <formula1>hier_EL_13</formula1>
    </dataValidation>
    <dataValidation type="list" errorStyle="warning" allowBlank="1" showInputMessage="1" showErrorMessage="1" sqref="F13 F37 E49" xr:uid="{6606311E-4AF0-4695-9054-FB890FBF7E1F}">
      <formula1>hier_CU_1</formula1>
    </dataValidation>
    <dataValidation type="list" errorStyle="warning" allowBlank="1" showInputMessage="1" showErrorMessage="1" sqref="G13 E25 H37" xr:uid="{4E5D9DCE-02AA-4E93-A6C2-B01C52F98CA5}">
      <formula1>hier_EL_14</formula1>
    </dataValidation>
    <dataValidation type="date" operator="greaterThan" allowBlank="1" showInputMessage="1" showErrorMessage="1" errorTitle="Date value" error="This cell can only contain dates" sqref="F73:G73 I49 N37 I37:K37 G25:H25 N13 I13:K13" xr:uid="{2BA6A4AF-8F03-4628-A529-953B514FFCED}">
      <formula1>1</formula1>
    </dataValidation>
  </dataValidation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4D0E-6DA0-4D83-8712-8E36DA565ED3}">
  <sheetPr codeName="Blad117"/>
  <dimension ref="B2:AC126"/>
  <sheetViews>
    <sheetView showGridLines="0" workbookViewId="0"/>
  </sheetViews>
  <sheetFormatPr defaultRowHeight="15"/>
  <cols>
    <col min="2" max="2" width="56.140625" bestFit="1" customWidth="1"/>
    <col min="3" max="3" width="40.7109375" customWidth="1"/>
    <col min="4" max="16" width="15.7109375" customWidth="1"/>
    <col min="17" max="18" width="40.7109375" customWidth="1"/>
    <col min="19" max="20" width="15.7109375" customWidth="1"/>
  </cols>
  <sheetData>
    <row r="2" spans="2:29" ht="23.25">
      <c r="B2" s="95" t="s">
        <v>682</v>
      </c>
      <c r="C2" s="96"/>
      <c r="D2" s="96"/>
      <c r="E2" s="96"/>
      <c r="F2" s="96"/>
      <c r="G2" s="96"/>
      <c r="H2" s="96"/>
      <c r="I2" s="96"/>
      <c r="J2" s="96"/>
      <c r="K2" s="96"/>
      <c r="L2" s="96"/>
      <c r="M2" s="96"/>
      <c r="N2" s="96"/>
      <c r="O2" s="96"/>
    </row>
    <row r="5" spans="2:29" ht="18.75">
      <c r="B5" s="97" t="s">
        <v>4561</v>
      </c>
      <c r="C5" s="96"/>
      <c r="D5" s="96"/>
      <c r="E5" s="96"/>
      <c r="F5" s="96"/>
      <c r="G5" s="96"/>
      <c r="H5" s="96"/>
      <c r="I5" s="96"/>
      <c r="J5" s="96"/>
      <c r="K5" s="96"/>
      <c r="L5" s="96"/>
    </row>
    <row r="9" spans="2:29">
      <c r="B9" s="98" t="s">
        <v>3374</v>
      </c>
      <c r="C9" s="101" t="s">
        <v>2877</v>
      </c>
      <c r="D9" s="102"/>
      <c r="E9" s="102"/>
      <c r="F9" s="102"/>
      <c r="G9" s="102"/>
      <c r="H9" s="102"/>
      <c r="I9" s="102"/>
      <c r="J9" s="102"/>
      <c r="K9" s="102"/>
      <c r="L9" s="102"/>
      <c r="M9" s="102"/>
      <c r="N9" s="102"/>
      <c r="O9" s="102"/>
      <c r="P9" s="102"/>
      <c r="Q9" s="102"/>
      <c r="R9" s="102"/>
      <c r="S9" s="102"/>
      <c r="T9" s="103"/>
    </row>
    <row r="10" spans="2:29">
      <c r="B10" s="99"/>
      <c r="C10" s="104"/>
      <c r="D10" s="105"/>
      <c r="E10" s="105"/>
      <c r="F10" s="105"/>
      <c r="G10" s="105"/>
      <c r="H10" s="105"/>
      <c r="I10" s="105"/>
      <c r="J10" s="105"/>
      <c r="K10" s="105"/>
      <c r="L10" s="105"/>
      <c r="M10" s="105"/>
      <c r="N10" s="105"/>
      <c r="O10" s="105"/>
      <c r="P10" s="105"/>
      <c r="Q10" s="105"/>
      <c r="R10" s="105"/>
      <c r="S10" s="105"/>
      <c r="T10" s="106"/>
    </row>
    <row r="11" spans="2:29" ht="60">
      <c r="B11" s="100"/>
      <c r="C11" s="55" t="s">
        <v>4521</v>
      </c>
      <c r="D11" s="55" t="s">
        <v>4522</v>
      </c>
      <c r="E11" s="55" t="s">
        <v>4523</v>
      </c>
      <c r="F11" s="55" t="s">
        <v>4524</v>
      </c>
      <c r="G11" s="55" t="s">
        <v>4562</v>
      </c>
      <c r="H11" s="55" t="s">
        <v>4538</v>
      </c>
      <c r="I11" s="55" t="s">
        <v>4525</v>
      </c>
      <c r="J11" s="55" t="s">
        <v>4526</v>
      </c>
      <c r="K11" s="55" t="s">
        <v>3648</v>
      </c>
      <c r="L11" s="55" t="s">
        <v>3627</v>
      </c>
      <c r="M11" s="55" t="s">
        <v>4527</v>
      </c>
      <c r="N11" s="55" t="s">
        <v>4528</v>
      </c>
      <c r="O11" s="55" t="s">
        <v>4529</v>
      </c>
      <c r="P11" s="55" t="s">
        <v>4530</v>
      </c>
      <c r="Q11" s="55" t="s">
        <v>4563</v>
      </c>
      <c r="R11" s="55" t="s">
        <v>4531</v>
      </c>
      <c r="S11" s="55" t="s">
        <v>4564</v>
      </c>
      <c r="T11" s="55" t="s">
        <v>4565</v>
      </c>
    </row>
    <row r="12" spans="2:29">
      <c r="B12" s="42" t="s">
        <v>4520</v>
      </c>
      <c r="C12" s="42" t="s">
        <v>2879</v>
      </c>
      <c r="D12" s="42" t="s">
        <v>3219</v>
      </c>
      <c r="E12" s="42" t="s">
        <v>3225</v>
      </c>
      <c r="F12" s="42" t="s">
        <v>3223</v>
      </c>
      <c r="G12" s="42" t="s">
        <v>3229</v>
      </c>
      <c r="H12" s="42" t="s">
        <v>3231</v>
      </c>
      <c r="I12" s="42" t="s">
        <v>3233</v>
      </c>
      <c r="J12" s="42" t="s">
        <v>3234</v>
      </c>
      <c r="K12" s="42" t="s">
        <v>3236</v>
      </c>
      <c r="L12" s="42" t="s">
        <v>3239</v>
      </c>
      <c r="M12" s="42" t="s">
        <v>3241</v>
      </c>
      <c r="N12" s="42" t="s">
        <v>3243</v>
      </c>
      <c r="O12" s="42" t="s">
        <v>3375</v>
      </c>
      <c r="P12" s="42" t="s">
        <v>3475</v>
      </c>
      <c r="Q12" s="42" t="s">
        <v>3477</v>
      </c>
      <c r="R12" s="42" t="s">
        <v>3479</v>
      </c>
      <c r="S12" s="42" t="s">
        <v>3594</v>
      </c>
      <c r="T12" s="42" t="s">
        <v>3596</v>
      </c>
      <c r="AB12" s="13" t="str">
        <f>Show!$B$113&amp;"S.23.04.04.01 Rows {"&amp;COLUMN($B$1)&amp;"}"&amp;"@ForceFilingCode:true"</f>
        <v>!S.23.04.04.01 Rows {2}@ForceFilingCode:true</v>
      </c>
      <c r="AC12" s="13" t="str">
        <f>Show!$B$113&amp;"S.23.04.04.01 Columns {"&amp;COLUMN($B$1)&amp;"}"</f>
        <v>!S.23.04.04.01 Columns {2}</v>
      </c>
    </row>
    <row r="13" spans="2:29">
      <c r="B13" s="50"/>
      <c r="C13" s="51"/>
      <c r="D13" s="60"/>
      <c r="E13" s="51"/>
      <c r="F13" s="51"/>
      <c r="G13" s="51"/>
      <c r="H13" s="51"/>
      <c r="I13" s="51"/>
      <c r="J13" s="51"/>
      <c r="K13" s="54"/>
      <c r="L13" s="54"/>
      <c r="M13" s="54"/>
      <c r="N13" s="51"/>
      <c r="O13" s="51"/>
      <c r="P13" s="54"/>
      <c r="Q13" s="51"/>
      <c r="R13" s="51"/>
      <c r="S13" s="70"/>
      <c r="T13" s="60"/>
    </row>
    <row r="15" spans="2:29">
      <c r="AB15" s="13" t="str">
        <f>Show!$B$113&amp;Show!$B$113&amp;"S.23.04.04.01 Rows {"&amp;COLUMN($B$1)&amp;"}"</f>
        <v>!!S.23.04.04.01 Rows {2}</v>
      </c>
      <c r="AC15" s="13" t="str">
        <f>Show!$B$113&amp;Show!$B$113&amp;"S.23.04.04.01 Columns {"&amp;COLUMN($T$1)&amp;"}"</f>
        <v>!!S.23.04.04.01 Columns {20}</v>
      </c>
    </row>
    <row r="17" spans="2:29" ht="18.75">
      <c r="B17" s="97" t="s">
        <v>4566</v>
      </c>
      <c r="C17" s="96"/>
      <c r="D17" s="96"/>
      <c r="E17" s="96"/>
      <c r="F17" s="96"/>
      <c r="G17" s="96"/>
      <c r="H17" s="96"/>
      <c r="I17" s="96"/>
      <c r="J17" s="96"/>
      <c r="K17" s="96"/>
      <c r="L17" s="96"/>
    </row>
    <row r="21" spans="2:29">
      <c r="B21" s="98" t="s">
        <v>3374</v>
      </c>
      <c r="C21" s="101" t="s">
        <v>2877</v>
      </c>
      <c r="D21" s="102"/>
      <c r="E21" s="102"/>
      <c r="F21" s="102"/>
      <c r="G21" s="102"/>
      <c r="H21" s="102"/>
      <c r="I21" s="102"/>
      <c r="J21" s="103"/>
    </row>
    <row r="22" spans="2:29">
      <c r="B22" s="99"/>
      <c r="C22" s="104"/>
      <c r="D22" s="105"/>
      <c r="E22" s="105"/>
      <c r="F22" s="105"/>
      <c r="G22" s="105"/>
      <c r="H22" s="105"/>
      <c r="I22" s="105"/>
      <c r="J22" s="106"/>
    </row>
    <row r="23" spans="2:29" ht="45">
      <c r="B23" s="100"/>
      <c r="C23" s="55" t="s">
        <v>4534</v>
      </c>
      <c r="D23" s="55" t="s">
        <v>4522</v>
      </c>
      <c r="E23" s="55" t="s">
        <v>4525</v>
      </c>
      <c r="F23" s="55" t="s">
        <v>4526</v>
      </c>
      <c r="G23" s="55" t="s">
        <v>3648</v>
      </c>
      <c r="H23" s="55" t="s">
        <v>4527</v>
      </c>
      <c r="I23" s="55" t="s">
        <v>4528</v>
      </c>
      <c r="J23" s="55" t="s">
        <v>4529</v>
      </c>
    </row>
    <row r="24" spans="2:29">
      <c r="B24" s="42" t="s">
        <v>4533</v>
      </c>
      <c r="C24" s="42" t="s">
        <v>3599</v>
      </c>
      <c r="D24" s="42" t="s">
        <v>3481</v>
      </c>
      <c r="E24" s="42" t="s">
        <v>3508</v>
      </c>
      <c r="F24" s="42" t="s">
        <v>3509</v>
      </c>
      <c r="G24" s="42" t="s">
        <v>3511</v>
      </c>
      <c r="H24" s="42" t="s">
        <v>3513</v>
      </c>
      <c r="I24" s="42" t="s">
        <v>3514</v>
      </c>
      <c r="J24" s="42" t="s">
        <v>3515</v>
      </c>
      <c r="AB24" s="13" t="str">
        <f>Show!$B$113&amp;"S.23.04.04.02 Rows {"&amp;COLUMN($B$1)&amp;"}"&amp;"@ForceFilingCode:true"</f>
        <v>!S.23.04.04.02 Rows {2}@ForceFilingCode:true</v>
      </c>
      <c r="AC24" s="13" t="str">
        <f>Show!$B$113&amp;"S.23.04.04.02 Columns {"&amp;COLUMN($B$1)&amp;"}"</f>
        <v>!S.23.04.04.02 Columns {2}</v>
      </c>
    </row>
    <row r="25" spans="2:29">
      <c r="B25" s="50"/>
      <c r="C25" s="51"/>
      <c r="D25" s="60"/>
      <c r="E25" s="51"/>
      <c r="F25" s="51"/>
      <c r="G25" s="54"/>
      <c r="H25" s="54"/>
      <c r="I25" s="51"/>
      <c r="J25" s="51"/>
    </row>
    <row r="27" spans="2:29">
      <c r="AB27" s="13" t="str">
        <f>Show!$B$113&amp;Show!$B$113&amp;"S.23.04.04.02 Rows {"&amp;COLUMN($B$1)&amp;"}"</f>
        <v>!!S.23.04.04.02 Rows {2}</v>
      </c>
      <c r="AC27" s="13" t="str">
        <f>Show!$B$113&amp;Show!$B$113&amp;"S.23.04.04.02 Columns {"&amp;COLUMN($J$1)&amp;"}"</f>
        <v>!!S.23.04.04.02 Columns {10}</v>
      </c>
    </row>
    <row r="29" spans="2:29" ht="18.75">
      <c r="B29" s="97" t="s">
        <v>4567</v>
      </c>
      <c r="C29" s="96"/>
      <c r="D29" s="96"/>
      <c r="E29" s="96"/>
      <c r="F29" s="96"/>
      <c r="G29" s="96"/>
      <c r="H29" s="96"/>
      <c r="I29" s="96"/>
      <c r="J29" s="96"/>
      <c r="K29" s="96"/>
      <c r="L29" s="96"/>
    </row>
    <row r="33" spans="2:29">
      <c r="B33" s="98" t="s">
        <v>3374</v>
      </c>
      <c r="C33" s="101" t="s">
        <v>2877</v>
      </c>
      <c r="D33" s="102"/>
      <c r="E33" s="102"/>
      <c r="F33" s="102"/>
      <c r="G33" s="102"/>
      <c r="H33" s="102"/>
      <c r="I33" s="102"/>
      <c r="J33" s="102"/>
      <c r="K33" s="102"/>
      <c r="L33" s="102"/>
      <c r="M33" s="102"/>
      <c r="N33" s="102"/>
      <c r="O33" s="102"/>
      <c r="P33" s="102"/>
      <c r="Q33" s="102"/>
      <c r="R33" s="102"/>
      <c r="S33" s="102"/>
      <c r="T33" s="103"/>
    </row>
    <row r="34" spans="2:29">
      <c r="B34" s="99"/>
      <c r="C34" s="104"/>
      <c r="D34" s="105"/>
      <c r="E34" s="105"/>
      <c r="F34" s="105"/>
      <c r="G34" s="105"/>
      <c r="H34" s="105"/>
      <c r="I34" s="105"/>
      <c r="J34" s="105"/>
      <c r="K34" s="105"/>
      <c r="L34" s="105"/>
      <c r="M34" s="105"/>
      <c r="N34" s="105"/>
      <c r="O34" s="105"/>
      <c r="P34" s="105"/>
      <c r="Q34" s="105"/>
      <c r="R34" s="105"/>
      <c r="S34" s="105"/>
      <c r="T34" s="106"/>
    </row>
    <row r="35" spans="2:29" ht="60">
      <c r="B35" s="100"/>
      <c r="C35" s="55" t="s">
        <v>4537</v>
      </c>
      <c r="D35" s="55" t="s">
        <v>4522</v>
      </c>
      <c r="E35" s="55" t="s">
        <v>4523</v>
      </c>
      <c r="F35" s="55" t="s">
        <v>4524</v>
      </c>
      <c r="G35" s="55" t="s">
        <v>4562</v>
      </c>
      <c r="H35" s="55" t="s">
        <v>4538</v>
      </c>
      <c r="I35" s="55" t="s">
        <v>4525</v>
      </c>
      <c r="J35" s="55" t="s">
        <v>4526</v>
      </c>
      <c r="K35" s="55" t="s">
        <v>3648</v>
      </c>
      <c r="L35" s="55" t="s">
        <v>3627</v>
      </c>
      <c r="M35" s="55" t="s">
        <v>4527</v>
      </c>
      <c r="N35" s="55" t="s">
        <v>4539</v>
      </c>
      <c r="O35" s="55" t="s">
        <v>4529</v>
      </c>
      <c r="P35" s="55" t="s">
        <v>4530</v>
      </c>
      <c r="Q35" s="55" t="s">
        <v>4563</v>
      </c>
      <c r="R35" s="55" t="s">
        <v>4531</v>
      </c>
      <c r="S35" s="55" t="s">
        <v>4564</v>
      </c>
      <c r="T35" s="55" t="s">
        <v>4568</v>
      </c>
    </row>
    <row r="36" spans="2:29">
      <c r="B36" s="42" t="s">
        <v>4536</v>
      </c>
      <c r="C36" s="42" t="s">
        <v>3517</v>
      </c>
      <c r="D36" s="42" t="s">
        <v>3518</v>
      </c>
      <c r="E36" s="42" t="s">
        <v>3608</v>
      </c>
      <c r="F36" s="42" t="s">
        <v>3519</v>
      </c>
      <c r="G36" s="42" t="s">
        <v>3612</v>
      </c>
      <c r="H36" s="42" t="s">
        <v>3614</v>
      </c>
      <c r="I36" s="42" t="s">
        <v>3616</v>
      </c>
      <c r="J36" s="42" t="s">
        <v>3618</v>
      </c>
      <c r="K36" s="42" t="s">
        <v>3620</v>
      </c>
      <c r="L36" s="42" t="s">
        <v>3622</v>
      </c>
      <c r="M36" s="42" t="s">
        <v>3624</v>
      </c>
      <c r="N36" s="42" t="s">
        <v>3626</v>
      </c>
      <c r="O36" s="42" t="s">
        <v>3628</v>
      </c>
      <c r="P36" s="42" t="s">
        <v>3634</v>
      </c>
      <c r="Q36" s="42" t="s">
        <v>3636</v>
      </c>
      <c r="R36" s="42" t="s">
        <v>3701</v>
      </c>
      <c r="S36" s="42" t="s">
        <v>3702</v>
      </c>
      <c r="T36" s="42" t="s">
        <v>3675</v>
      </c>
      <c r="AB36" s="13" t="str">
        <f>Show!$B$113&amp;"S.23.04.04.03 Rows {"&amp;COLUMN($B$1)&amp;"}"&amp;"@ForceFilingCode:true"</f>
        <v>!S.23.04.04.03 Rows {2}@ForceFilingCode:true</v>
      </c>
      <c r="AC36" s="13" t="str">
        <f>Show!$B$113&amp;"S.23.04.04.03 Columns {"&amp;COLUMN($B$1)&amp;"}"</f>
        <v>!S.23.04.04.03 Columns {2}</v>
      </c>
    </row>
    <row r="37" spans="2:29">
      <c r="B37" s="50"/>
      <c r="C37" s="51"/>
      <c r="D37" s="60"/>
      <c r="E37" s="51"/>
      <c r="F37" s="51"/>
      <c r="G37" s="51"/>
      <c r="H37" s="51"/>
      <c r="I37" s="51"/>
      <c r="J37" s="51"/>
      <c r="K37" s="54"/>
      <c r="L37" s="54"/>
      <c r="M37" s="54"/>
      <c r="N37" s="51"/>
      <c r="O37" s="51"/>
      <c r="P37" s="54"/>
      <c r="Q37" s="51"/>
      <c r="R37" s="51"/>
      <c r="S37" s="70"/>
      <c r="T37" s="60"/>
    </row>
    <row r="39" spans="2:29">
      <c r="AB39" s="13" t="str">
        <f>Show!$B$113&amp;Show!$B$113&amp;"S.23.04.04.03 Rows {"&amp;COLUMN($B$1)&amp;"}"</f>
        <v>!!S.23.04.04.03 Rows {2}</v>
      </c>
      <c r="AC39" s="13" t="str">
        <f>Show!$B$113&amp;Show!$B$113&amp;"S.23.04.04.03 Columns {"&amp;COLUMN($T$1)&amp;"}"</f>
        <v>!!S.23.04.04.03 Columns {20}</v>
      </c>
    </row>
    <row r="41" spans="2:29" ht="18.75">
      <c r="B41" s="97" t="s">
        <v>4569</v>
      </c>
      <c r="C41" s="96"/>
      <c r="D41" s="96"/>
      <c r="E41" s="96"/>
      <c r="F41" s="96"/>
      <c r="G41" s="96"/>
      <c r="H41" s="96"/>
      <c r="I41" s="96"/>
      <c r="J41" s="96"/>
      <c r="K41" s="96"/>
      <c r="L41" s="96"/>
    </row>
    <row r="45" spans="2:29">
      <c r="B45" s="98" t="s">
        <v>3374</v>
      </c>
      <c r="C45" s="101" t="s">
        <v>2877</v>
      </c>
      <c r="D45" s="102"/>
      <c r="E45" s="102"/>
      <c r="F45" s="102"/>
      <c r="G45" s="102"/>
      <c r="H45" s="102"/>
      <c r="I45" s="102"/>
      <c r="J45" s="102"/>
      <c r="K45" s="102"/>
      <c r="L45" s="102"/>
      <c r="M45" s="102"/>
      <c r="N45" s="103"/>
    </row>
    <row r="46" spans="2:29">
      <c r="B46" s="99"/>
      <c r="C46" s="104"/>
      <c r="D46" s="105"/>
      <c r="E46" s="105"/>
      <c r="F46" s="105"/>
      <c r="G46" s="105"/>
      <c r="H46" s="105"/>
      <c r="I46" s="105"/>
      <c r="J46" s="105"/>
      <c r="K46" s="105"/>
      <c r="L46" s="105"/>
      <c r="M46" s="105"/>
      <c r="N46" s="106"/>
    </row>
    <row r="47" spans="2:29" ht="75">
      <c r="B47" s="100"/>
      <c r="C47" s="55" t="s">
        <v>4395</v>
      </c>
      <c r="D47" s="55" t="s">
        <v>4522</v>
      </c>
      <c r="E47" s="55" t="s">
        <v>4524</v>
      </c>
      <c r="F47" s="55" t="s">
        <v>2545</v>
      </c>
      <c r="G47" s="55" t="s">
        <v>2548</v>
      </c>
      <c r="H47" s="55" t="s">
        <v>2549</v>
      </c>
      <c r="I47" s="55" t="s">
        <v>4542</v>
      </c>
      <c r="J47" s="55" t="s">
        <v>4563</v>
      </c>
      <c r="K47" s="55" t="s">
        <v>4570</v>
      </c>
      <c r="L47" s="55" t="s">
        <v>4531</v>
      </c>
      <c r="M47" s="55" t="s">
        <v>4564</v>
      </c>
      <c r="N47" s="55" t="s">
        <v>4571</v>
      </c>
    </row>
    <row r="48" spans="2:29">
      <c r="B48" s="42" t="s">
        <v>4541</v>
      </c>
      <c r="C48" s="42" t="s">
        <v>3955</v>
      </c>
      <c r="D48" s="42" t="s">
        <v>3956</v>
      </c>
      <c r="E48" s="42" t="s">
        <v>3957</v>
      </c>
      <c r="F48" s="42" t="s">
        <v>3958</v>
      </c>
      <c r="G48" s="42" t="s">
        <v>3959</v>
      </c>
      <c r="H48" s="42" t="s">
        <v>3960</v>
      </c>
      <c r="I48" s="42" t="s">
        <v>3961</v>
      </c>
      <c r="J48" s="42" t="s">
        <v>3962</v>
      </c>
      <c r="K48" s="42" t="s">
        <v>3963</v>
      </c>
      <c r="L48" s="42" t="s">
        <v>3964</v>
      </c>
      <c r="M48" s="42" t="s">
        <v>3965</v>
      </c>
      <c r="N48" s="42" t="s">
        <v>3967</v>
      </c>
      <c r="AB48" s="13" t="str">
        <f>Show!$B$113&amp;"S.23.04.04.04 Rows {"&amp;COLUMN($B$1)&amp;"}"&amp;"@ForceFilingCode:true"</f>
        <v>!S.23.04.04.04 Rows {2}@ForceFilingCode:true</v>
      </c>
      <c r="AC48" s="13" t="str">
        <f>Show!$B$113&amp;"S.23.04.04.04 Columns {"&amp;COLUMN($B$1)&amp;"}"</f>
        <v>!S.23.04.04.04 Columns {2}</v>
      </c>
    </row>
    <row r="49" spans="2:29">
      <c r="B49" s="50"/>
      <c r="C49" s="51"/>
      <c r="D49" s="60"/>
      <c r="E49" s="51"/>
      <c r="F49" s="60"/>
      <c r="G49" s="60"/>
      <c r="H49" s="60"/>
      <c r="I49" s="54"/>
      <c r="J49" s="51"/>
      <c r="K49" s="51"/>
      <c r="L49" s="51"/>
      <c r="M49" s="70"/>
      <c r="N49" s="60"/>
    </row>
    <row r="51" spans="2:29">
      <c r="AB51" s="13" t="str">
        <f>Show!$B$113&amp;Show!$B$113&amp;"S.23.04.04.04 Rows {"&amp;COLUMN($B$1)&amp;"}"</f>
        <v>!!S.23.04.04.04 Rows {2}</v>
      </c>
      <c r="AC51" s="13" t="str">
        <f>Show!$B$113&amp;Show!$B$113&amp;"S.23.04.04.04 Columns {"&amp;COLUMN($N$1)&amp;"}"</f>
        <v>!!S.23.04.04.04 Columns {14}</v>
      </c>
    </row>
    <row r="53" spans="2:29" ht="18.75">
      <c r="B53" s="97" t="s">
        <v>4572</v>
      </c>
      <c r="C53" s="96"/>
      <c r="D53" s="96"/>
      <c r="E53" s="96"/>
      <c r="F53" s="96"/>
      <c r="G53" s="96"/>
      <c r="H53" s="96"/>
      <c r="I53" s="96"/>
      <c r="J53" s="96"/>
      <c r="K53" s="96"/>
      <c r="L53" s="96"/>
    </row>
    <row r="57" spans="2:29">
      <c r="B57" s="98" t="s">
        <v>3374</v>
      </c>
      <c r="C57" s="101" t="s">
        <v>2877</v>
      </c>
      <c r="D57" s="103"/>
    </row>
    <row r="58" spans="2:29">
      <c r="B58" s="99"/>
      <c r="C58" s="104"/>
      <c r="D58" s="106"/>
    </row>
    <row r="59" spans="2:29">
      <c r="B59" s="100"/>
      <c r="C59" s="55" t="s">
        <v>4545</v>
      </c>
      <c r="D59" s="55" t="s">
        <v>3480</v>
      </c>
    </row>
    <row r="60" spans="2:29">
      <c r="B60" s="42" t="s">
        <v>4544</v>
      </c>
      <c r="C60" s="42" t="s">
        <v>4546</v>
      </c>
      <c r="D60" s="42" t="s">
        <v>4547</v>
      </c>
      <c r="AB60" s="13" t="str">
        <f>Show!$B$113&amp;"S.23.04.04.05 Rows {"&amp;COLUMN($B$1)&amp;"}"&amp;"@ForceFilingCode:true"</f>
        <v>!S.23.04.04.05 Rows {2}@ForceFilingCode:true</v>
      </c>
      <c r="AC60" s="13" t="str">
        <f>Show!$B$113&amp;"S.23.04.04.05 Columns {"&amp;COLUMN($B$1)&amp;"}"</f>
        <v>!S.23.04.04.05 Columns {2}</v>
      </c>
    </row>
    <row r="61" spans="2:29">
      <c r="B61" s="50"/>
      <c r="C61" s="51"/>
      <c r="D61" s="60"/>
    </row>
    <row r="63" spans="2:29">
      <c r="AB63" s="13" t="str">
        <f>Show!$B$113&amp;Show!$B$113&amp;"S.23.04.04.05 Rows {"&amp;COLUMN($B$1)&amp;"}"</f>
        <v>!!S.23.04.04.05 Rows {2}</v>
      </c>
      <c r="AC63" s="13" t="str">
        <f>Show!$B$113&amp;Show!$B$113&amp;"S.23.04.04.05 Columns {"&amp;COLUMN($D$1)&amp;"}"</f>
        <v>!!S.23.04.04.05 Columns {4}</v>
      </c>
    </row>
    <row r="65" spans="2:29" ht="18.75">
      <c r="B65" s="97" t="s">
        <v>4573</v>
      </c>
      <c r="C65" s="96"/>
      <c r="D65" s="96"/>
      <c r="E65" s="96"/>
      <c r="F65" s="96"/>
      <c r="G65" s="96"/>
      <c r="H65" s="96"/>
      <c r="I65" s="96"/>
      <c r="J65" s="96"/>
      <c r="K65" s="96"/>
      <c r="L65" s="96"/>
    </row>
    <row r="69" spans="2:29">
      <c r="B69" s="98" t="s">
        <v>3374</v>
      </c>
      <c r="C69" s="101" t="s">
        <v>2877</v>
      </c>
      <c r="D69" s="102"/>
      <c r="E69" s="102"/>
      <c r="F69" s="102"/>
      <c r="G69" s="102"/>
      <c r="H69" s="102"/>
      <c r="I69" s="103"/>
    </row>
    <row r="70" spans="2:29">
      <c r="B70" s="99"/>
      <c r="C70" s="104"/>
      <c r="D70" s="105"/>
      <c r="E70" s="105"/>
      <c r="F70" s="105"/>
      <c r="G70" s="105"/>
      <c r="H70" s="105"/>
      <c r="I70" s="106"/>
    </row>
    <row r="71" spans="2:29" ht="75">
      <c r="B71" s="100"/>
      <c r="C71" s="55" t="s">
        <v>4550</v>
      </c>
      <c r="D71" s="55" t="s">
        <v>4522</v>
      </c>
      <c r="E71" s="55" t="s">
        <v>4552</v>
      </c>
      <c r="F71" s="55" t="s">
        <v>3648</v>
      </c>
      <c r="G71" s="55" t="s">
        <v>4542</v>
      </c>
      <c r="H71" s="55" t="s">
        <v>4563</v>
      </c>
      <c r="I71" s="55" t="s">
        <v>4570</v>
      </c>
    </row>
    <row r="72" spans="2:29">
      <c r="B72" s="42" t="s">
        <v>4549</v>
      </c>
      <c r="C72" s="42" t="s">
        <v>4551</v>
      </c>
      <c r="D72" s="42" t="s">
        <v>3969</v>
      </c>
      <c r="E72" s="42" t="s">
        <v>3970</v>
      </c>
      <c r="F72" s="42" t="s">
        <v>3971</v>
      </c>
      <c r="G72" s="42" t="s">
        <v>3972</v>
      </c>
      <c r="H72" s="42" t="s">
        <v>3973</v>
      </c>
      <c r="I72" s="42" t="s">
        <v>3974</v>
      </c>
      <c r="AB72" s="13" t="str">
        <f>Show!$B$113&amp;"S.23.04.04.06 Rows {"&amp;COLUMN($B$1)&amp;"}"&amp;"@ForceFilingCode:true"</f>
        <v>!S.23.04.04.06 Rows {2}@ForceFilingCode:true</v>
      </c>
      <c r="AC72" s="13" t="str">
        <f>Show!$B$113&amp;"S.23.04.04.06 Columns {"&amp;COLUMN($B$1)&amp;"}"</f>
        <v>!S.23.04.04.06 Columns {2}</v>
      </c>
    </row>
    <row r="73" spans="2:29">
      <c r="B73" s="50"/>
      <c r="C73" s="51"/>
      <c r="D73" s="60"/>
      <c r="E73" s="51"/>
      <c r="F73" s="54"/>
      <c r="G73" s="54"/>
      <c r="H73" s="51"/>
      <c r="I73" s="51"/>
    </row>
    <row r="75" spans="2:29">
      <c r="AB75" s="13" t="str">
        <f>Show!$B$113&amp;Show!$B$113&amp;"S.23.04.04.06 Rows {"&amp;COLUMN($B$1)&amp;"}"</f>
        <v>!!S.23.04.04.06 Rows {2}</v>
      </c>
      <c r="AC75" s="13" t="str">
        <f>Show!$B$113&amp;Show!$B$113&amp;"S.23.04.04.06 Columns {"&amp;COLUMN($I$1)&amp;"}"</f>
        <v>!!S.23.04.04.06 Columns {9}</v>
      </c>
    </row>
    <row r="77" spans="2:29" ht="18.75">
      <c r="B77" s="97" t="s">
        <v>4574</v>
      </c>
      <c r="C77" s="96"/>
      <c r="D77" s="96"/>
      <c r="E77" s="96"/>
      <c r="F77" s="96"/>
      <c r="G77" s="96"/>
      <c r="H77" s="96"/>
      <c r="I77" s="96"/>
      <c r="J77" s="96"/>
      <c r="K77" s="96"/>
      <c r="L77" s="96"/>
    </row>
    <row r="81" spans="2:29">
      <c r="B81" s="98" t="s">
        <v>4554</v>
      </c>
      <c r="C81" s="101" t="s">
        <v>2877</v>
      </c>
      <c r="D81" s="102"/>
      <c r="E81" s="102"/>
      <c r="F81" s="102"/>
      <c r="G81" s="103"/>
    </row>
    <row r="82" spans="2:29">
      <c r="B82" s="99"/>
      <c r="C82" s="104"/>
      <c r="D82" s="105"/>
      <c r="E82" s="105"/>
      <c r="F82" s="105"/>
      <c r="G82" s="106"/>
    </row>
    <row r="83" spans="2:29" ht="135">
      <c r="B83" s="100"/>
      <c r="C83" s="55" t="s">
        <v>4555</v>
      </c>
      <c r="D83" s="55" t="s">
        <v>4556</v>
      </c>
      <c r="E83" s="55" t="s">
        <v>3314</v>
      </c>
      <c r="F83" s="55" t="s">
        <v>4558</v>
      </c>
      <c r="G83" s="55" t="s">
        <v>4381</v>
      </c>
    </row>
    <row r="84" spans="2:29">
      <c r="B84" s="42" t="s">
        <v>3975</v>
      </c>
      <c r="C84" s="42" t="s">
        <v>3976</v>
      </c>
      <c r="D84" s="42" t="s">
        <v>3977</v>
      </c>
      <c r="E84" s="42" t="s">
        <v>3978</v>
      </c>
      <c r="F84" s="42" t="s">
        <v>3979</v>
      </c>
      <c r="G84" s="42" t="s">
        <v>3980</v>
      </c>
      <c r="AB84" s="13" t="str">
        <f>Show!$B$113&amp;"S.23.04.04.07 Rows {"&amp;COLUMN($B$1)&amp;"}"&amp;"@ForceFilingCode:true"</f>
        <v>!S.23.04.04.07 Rows {2}@ForceFilingCode:true</v>
      </c>
      <c r="AC84" s="13" t="str">
        <f>Show!$B$113&amp;"S.23.04.04.07 Columns {"&amp;COLUMN($B$1)&amp;"}"</f>
        <v>!S.23.04.04.07 Columns {2}</v>
      </c>
    </row>
    <row r="85" spans="2:29">
      <c r="B85" s="50"/>
      <c r="C85" s="60"/>
      <c r="D85" s="60"/>
      <c r="E85" s="60"/>
      <c r="F85" s="60"/>
      <c r="G85" s="60"/>
    </row>
    <row r="87" spans="2:29">
      <c r="AB87" s="13" t="str">
        <f>Show!$B$113&amp;Show!$B$113&amp;"S.23.04.04.07 Rows {"&amp;COLUMN($B$1)&amp;"}"</f>
        <v>!!S.23.04.04.07 Rows {2}</v>
      </c>
      <c r="AC87" s="13" t="str">
        <f>Show!$B$113&amp;Show!$B$113&amp;"S.23.04.04.07 Columns {"&amp;COLUMN($G$1)&amp;"}"</f>
        <v>!!S.23.04.04.07 Columns {7}</v>
      </c>
    </row>
    <row r="89" spans="2:29" ht="18.75">
      <c r="B89" s="97" t="s">
        <v>4575</v>
      </c>
      <c r="C89" s="96"/>
      <c r="D89" s="96"/>
      <c r="E89" s="96"/>
      <c r="F89" s="96"/>
      <c r="G89" s="96"/>
      <c r="H89" s="96"/>
      <c r="I89" s="96"/>
      <c r="J89" s="96"/>
      <c r="K89" s="96"/>
      <c r="L89" s="96"/>
    </row>
    <row r="93" spans="2:29">
      <c r="D93" s="98" t="s">
        <v>2877</v>
      </c>
    </row>
    <row r="94" spans="2:29">
      <c r="D94" s="100"/>
    </row>
    <row r="95" spans="2:29" ht="135">
      <c r="D95" s="55" t="s">
        <v>4381</v>
      </c>
    </row>
    <row r="96" spans="2:29">
      <c r="D96" s="45" t="s">
        <v>4560</v>
      </c>
      <c r="AB96" s="13" t="str">
        <f>Show!$B$113&amp;"S.23.04.04.09 Rows {"&amp;COLUMN($C$1)&amp;"}"&amp;"@ForceFilingCode:true"</f>
        <v>!S.23.04.04.09 Rows {3}@ForceFilingCode:true</v>
      </c>
      <c r="AC96" s="13" t="str">
        <f>Show!$B$113&amp;"S.23.04.04.09 Columns {"&amp;COLUMN($D$1)&amp;"}"</f>
        <v>!S.23.04.04.09 Columns {4}</v>
      </c>
    </row>
    <row r="97" spans="2:29">
      <c r="B97" s="43" t="s">
        <v>2880</v>
      </c>
      <c r="C97" s="44" t="s">
        <v>2878</v>
      </c>
      <c r="D97" s="46"/>
    </row>
    <row r="98" spans="2:29" ht="30">
      <c r="B98" s="47" t="s">
        <v>4381</v>
      </c>
      <c r="C98" s="41" t="s">
        <v>2883</v>
      </c>
      <c r="D98" s="60"/>
    </row>
    <row r="100" spans="2:29">
      <c r="AB100" s="13" t="str">
        <f>Show!$B$113&amp;Show!$B$113&amp;"S.23.04.04.09 Rows {"&amp;COLUMN($C$1)&amp;"}"</f>
        <v>!!S.23.04.04.09 Rows {3}</v>
      </c>
      <c r="AC100" s="13" t="str">
        <f>Show!$B$113&amp;Show!$B$113&amp;"S.23.04.04.09 Columns {"&amp;COLUMN($D$1)&amp;"}"</f>
        <v>!!S.23.04.04.09 Columns {4}</v>
      </c>
    </row>
    <row r="102" spans="2:29" ht="18.75">
      <c r="B102" s="97" t="s">
        <v>4576</v>
      </c>
      <c r="C102" s="96"/>
      <c r="D102" s="96"/>
      <c r="E102" s="96"/>
      <c r="F102" s="96"/>
      <c r="G102" s="96"/>
      <c r="H102" s="96"/>
      <c r="I102" s="96"/>
      <c r="J102" s="96"/>
      <c r="K102" s="96"/>
      <c r="L102" s="96"/>
    </row>
    <row r="106" spans="2:29">
      <c r="B106" s="98" t="s">
        <v>3374</v>
      </c>
      <c r="C106" s="101" t="s">
        <v>2877</v>
      </c>
      <c r="D106" s="102"/>
      <c r="E106" s="102"/>
      <c r="F106" s="102"/>
      <c r="G106" s="102"/>
      <c r="H106" s="102"/>
      <c r="I106" s="102"/>
      <c r="J106" s="102"/>
      <c r="K106" s="102"/>
      <c r="L106" s="102"/>
      <c r="M106" s="102"/>
      <c r="N106" s="102"/>
      <c r="O106" s="102"/>
      <c r="P106" s="103"/>
    </row>
    <row r="107" spans="2:29">
      <c r="B107" s="99"/>
      <c r="C107" s="104"/>
      <c r="D107" s="105"/>
      <c r="E107" s="105"/>
      <c r="F107" s="105"/>
      <c r="G107" s="105"/>
      <c r="H107" s="105"/>
      <c r="I107" s="105"/>
      <c r="J107" s="105"/>
      <c r="K107" s="105"/>
      <c r="L107" s="105"/>
      <c r="M107" s="105"/>
      <c r="N107" s="105"/>
      <c r="O107" s="105"/>
      <c r="P107" s="106"/>
    </row>
    <row r="108" spans="2:29" ht="105">
      <c r="B108" s="100"/>
      <c r="C108" s="55" t="s">
        <v>4578</v>
      </c>
      <c r="D108" s="55" t="s">
        <v>56</v>
      </c>
      <c r="E108" s="55" t="s">
        <v>4579</v>
      </c>
      <c r="F108" s="55" t="s">
        <v>4580</v>
      </c>
      <c r="G108" s="55" t="s">
        <v>4396</v>
      </c>
      <c r="H108" s="55" t="s">
        <v>4581</v>
      </c>
      <c r="I108" s="55" t="s">
        <v>4582</v>
      </c>
      <c r="J108" s="55" t="s">
        <v>4584</v>
      </c>
      <c r="K108" s="55" t="s">
        <v>4586</v>
      </c>
      <c r="L108" s="55" t="s">
        <v>4587</v>
      </c>
      <c r="M108" s="55" t="s">
        <v>4588</v>
      </c>
      <c r="N108" s="55" t="s">
        <v>4394</v>
      </c>
      <c r="O108" s="55" t="s">
        <v>4589</v>
      </c>
      <c r="P108" s="55" t="s">
        <v>4590</v>
      </c>
    </row>
    <row r="109" spans="2:29">
      <c r="B109" s="42" t="s">
        <v>4577</v>
      </c>
      <c r="C109" s="42" t="s">
        <v>3981</v>
      </c>
      <c r="D109" s="42" t="s">
        <v>3982</v>
      </c>
      <c r="E109" s="42" t="s">
        <v>3983</v>
      </c>
      <c r="F109" s="42" t="s">
        <v>3984</v>
      </c>
      <c r="G109" s="42" t="s">
        <v>3986</v>
      </c>
      <c r="H109" s="42" t="s">
        <v>3987</v>
      </c>
      <c r="I109" s="42" t="s">
        <v>4583</v>
      </c>
      <c r="J109" s="42" t="s">
        <v>4585</v>
      </c>
      <c r="K109" s="42" t="s">
        <v>3989</v>
      </c>
      <c r="L109" s="42" t="s">
        <v>3990</v>
      </c>
      <c r="M109" s="42" t="s">
        <v>3991</v>
      </c>
      <c r="N109" s="42" t="s">
        <v>3992</v>
      </c>
      <c r="O109" s="42" t="s">
        <v>3993</v>
      </c>
      <c r="P109" s="42" t="s">
        <v>3994</v>
      </c>
      <c r="AB109" s="13" t="str">
        <f>Show!$B$113&amp;"S.23.04.04.10 Rows {"&amp;COLUMN($B$1)&amp;"}"&amp;"@ForceFilingCode:true"</f>
        <v>!S.23.04.04.10 Rows {2}@ForceFilingCode:true</v>
      </c>
      <c r="AC109" s="13" t="str">
        <f>Show!$B$113&amp;"S.23.04.04.10 Columns {"&amp;COLUMN($B$1)&amp;"}"</f>
        <v>!S.23.04.04.10 Columns {2}</v>
      </c>
    </row>
    <row r="110" spans="2:29">
      <c r="B110" s="50"/>
      <c r="C110" s="51"/>
      <c r="D110" s="51"/>
      <c r="E110" s="60"/>
      <c r="F110" s="60"/>
      <c r="G110" s="60"/>
      <c r="H110" s="60"/>
      <c r="I110" s="60"/>
      <c r="J110" s="60"/>
      <c r="K110" s="60"/>
      <c r="L110" s="60"/>
      <c r="M110" s="60"/>
      <c r="N110" s="60"/>
      <c r="O110" s="60"/>
      <c r="P110" s="60"/>
    </row>
    <row r="112" spans="2:29">
      <c r="AB112" s="13" t="str">
        <f>Show!$B$113&amp;Show!$B$113&amp;"S.23.04.04.10 Rows {"&amp;COLUMN($B$1)&amp;"}"</f>
        <v>!!S.23.04.04.10 Rows {2}</v>
      </c>
      <c r="AC112" s="13" t="str">
        <f>Show!$B$113&amp;Show!$B$113&amp;"S.23.04.04.10 Columns {"&amp;COLUMN($P$1)&amp;"}"</f>
        <v>!!S.23.04.04.10 Columns {16}</v>
      </c>
    </row>
    <row r="114" spans="2:29" ht="18.75">
      <c r="B114" s="97" t="s">
        <v>4591</v>
      </c>
      <c r="C114" s="96"/>
      <c r="D114" s="96"/>
      <c r="E114" s="96"/>
      <c r="F114" s="96"/>
      <c r="G114" s="96"/>
      <c r="H114" s="96"/>
      <c r="I114" s="96"/>
      <c r="J114" s="96"/>
      <c r="K114" s="96"/>
      <c r="L114" s="96"/>
    </row>
    <row r="118" spans="2:29">
      <c r="D118" s="101" t="s">
        <v>2877</v>
      </c>
      <c r="E118" s="102"/>
      <c r="F118" s="102"/>
      <c r="G118" s="102"/>
      <c r="H118" s="102"/>
      <c r="I118" s="102"/>
      <c r="J118" s="102"/>
      <c r="K118" s="102"/>
      <c r="L118" s="102"/>
      <c r="M118" s="102"/>
      <c r="N118" s="103"/>
    </row>
    <row r="119" spans="2:29">
      <c r="D119" s="104"/>
      <c r="E119" s="105"/>
      <c r="F119" s="105"/>
      <c r="G119" s="105"/>
      <c r="H119" s="105"/>
      <c r="I119" s="105"/>
      <c r="J119" s="105"/>
      <c r="K119" s="105"/>
      <c r="L119" s="105"/>
      <c r="M119" s="105"/>
      <c r="N119" s="106"/>
    </row>
    <row r="120" spans="2:29">
      <c r="D120" s="98" t="s">
        <v>4580</v>
      </c>
      <c r="E120" s="98" t="s">
        <v>4396</v>
      </c>
      <c r="F120" s="107" t="s">
        <v>4592</v>
      </c>
      <c r="G120" s="108"/>
      <c r="H120" s="108"/>
      <c r="I120" s="108"/>
      <c r="J120" s="108"/>
      <c r="K120" s="108"/>
      <c r="L120" s="109"/>
      <c r="M120" s="98" t="s">
        <v>4593</v>
      </c>
      <c r="N120" s="98" t="s">
        <v>4590</v>
      </c>
    </row>
    <row r="121" spans="2:29" ht="105">
      <c r="D121" s="100"/>
      <c r="E121" s="100"/>
      <c r="F121" s="55" t="s">
        <v>4581</v>
      </c>
      <c r="G121" s="55" t="s">
        <v>4582</v>
      </c>
      <c r="H121" s="55" t="s">
        <v>4584</v>
      </c>
      <c r="I121" s="55" t="s">
        <v>4586</v>
      </c>
      <c r="J121" s="55" t="s">
        <v>4587</v>
      </c>
      <c r="K121" s="55" t="s">
        <v>4588</v>
      </c>
      <c r="L121" s="55" t="s">
        <v>4394</v>
      </c>
      <c r="M121" s="100"/>
      <c r="N121" s="100"/>
    </row>
    <row r="122" spans="2:29">
      <c r="D122" s="45" t="s">
        <v>3995</v>
      </c>
      <c r="E122" s="45" t="s">
        <v>3996</v>
      </c>
      <c r="F122" s="45" t="s">
        <v>3997</v>
      </c>
      <c r="G122" s="45" t="s">
        <v>3998</v>
      </c>
      <c r="H122" s="45" t="s">
        <v>3999</v>
      </c>
      <c r="I122" s="45" t="s">
        <v>4000</v>
      </c>
      <c r="J122" s="45" t="s">
        <v>4001</v>
      </c>
      <c r="K122" s="45" t="s">
        <v>4002</v>
      </c>
      <c r="L122" s="45" t="s">
        <v>4003</v>
      </c>
      <c r="M122" s="45" t="s">
        <v>4004</v>
      </c>
      <c r="N122" s="45" t="s">
        <v>4006</v>
      </c>
      <c r="AB122" s="13" t="str">
        <f>Show!$B$113&amp;"S.23.04.04.11 Rows {"&amp;COLUMN($C$1)&amp;"}"&amp;"@ForceFilingCode:true"</f>
        <v>!S.23.04.04.11 Rows {3}@ForceFilingCode:true</v>
      </c>
      <c r="AC122" s="13" t="str">
        <f>Show!$B$113&amp;"S.23.04.04.11 Columns {"&amp;COLUMN($D$1)&amp;"}"</f>
        <v>!S.23.04.04.11 Columns {4}</v>
      </c>
    </row>
    <row r="123" spans="2:29">
      <c r="B123" s="43" t="s">
        <v>2880</v>
      </c>
      <c r="C123" s="44" t="s">
        <v>2878</v>
      </c>
      <c r="D123" s="56"/>
      <c r="E123" s="66"/>
      <c r="F123" s="66"/>
      <c r="G123" s="66"/>
      <c r="H123" s="66"/>
      <c r="I123" s="66"/>
      <c r="J123" s="66"/>
      <c r="K123" s="66"/>
      <c r="L123" s="66"/>
      <c r="M123" s="66"/>
      <c r="N123" s="57"/>
    </row>
    <row r="124" spans="2:29">
      <c r="B124" s="47" t="s">
        <v>3480</v>
      </c>
      <c r="C124" s="41" t="s">
        <v>2889</v>
      </c>
      <c r="D124" s="60"/>
      <c r="E124" s="60"/>
      <c r="F124" s="60"/>
      <c r="G124" s="60"/>
      <c r="H124" s="60"/>
      <c r="I124" s="60"/>
      <c r="J124" s="60"/>
      <c r="K124" s="60"/>
      <c r="L124" s="60"/>
      <c r="M124" s="60"/>
      <c r="N124" s="60"/>
    </row>
    <row r="126" spans="2:29">
      <c r="AB126" s="13" t="str">
        <f>Show!$B$113&amp;Show!$B$113&amp;"S.23.04.04.11 Rows {"&amp;COLUMN($C$1)&amp;"}"</f>
        <v>!!S.23.04.04.11 Rows {3}</v>
      </c>
      <c r="AC126" s="13" t="str">
        <f>Show!$B$113&amp;Show!$B$113&amp;"S.23.04.04.11 Columns {"&amp;COLUMN($N$1)&amp;"}"</f>
        <v>!!S.23.04.04.11 Columns {14}</v>
      </c>
    </row>
  </sheetData>
  <sheetProtection sheet="1" objects="1" scenarios="1"/>
  <mergeCells count="34">
    <mergeCell ref="B106:B108"/>
    <mergeCell ref="C106:P107"/>
    <mergeCell ref="B114:L114"/>
    <mergeCell ref="D118:N119"/>
    <mergeCell ref="D120:D121"/>
    <mergeCell ref="E120:E121"/>
    <mergeCell ref="F120:L120"/>
    <mergeCell ref="M120:M121"/>
    <mergeCell ref="N120:N121"/>
    <mergeCell ref="B102:L102"/>
    <mergeCell ref="B53:L53"/>
    <mergeCell ref="B57:B59"/>
    <mergeCell ref="C57:D58"/>
    <mergeCell ref="B65:L65"/>
    <mergeCell ref="B69:B71"/>
    <mergeCell ref="C69:I70"/>
    <mergeCell ref="B77:L77"/>
    <mergeCell ref="B81:B83"/>
    <mergeCell ref="C81:G82"/>
    <mergeCell ref="B89:L89"/>
    <mergeCell ref="D93:D94"/>
    <mergeCell ref="B29:L29"/>
    <mergeCell ref="B33:B35"/>
    <mergeCell ref="C33:T34"/>
    <mergeCell ref="B41:L41"/>
    <mergeCell ref="B45:B47"/>
    <mergeCell ref="C45:N46"/>
    <mergeCell ref="B21:B23"/>
    <mergeCell ref="C21:J22"/>
    <mergeCell ref="B2:O2"/>
    <mergeCell ref="B5:L5"/>
    <mergeCell ref="B9:B11"/>
    <mergeCell ref="C9:T10"/>
    <mergeCell ref="B17:L17"/>
  </mergeCells>
  <dataValidations count="6">
    <dataValidation type="list" errorStyle="warning" allowBlank="1" showInputMessage="1" showErrorMessage="1" sqref="E13 E37" xr:uid="{BD4E5E70-1347-4EAA-B5E4-A9AA0D15456D}">
      <formula1>hier_EL_13</formula1>
    </dataValidation>
    <dataValidation type="list" errorStyle="warning" allowBlank="1" showInputMessage="1" showErrorMessage="1" sqref="F13 F37 E49" xr:uid="{218EE82C-33CA-48DB-924B-A4F05513A40C}">
      <formula1>hier_CU_1</formula1>
    </dataValidation>
    <dataValidation type="list" errorStyle="warning" allowBlank="1" showInputMessage="1" showErrorMessage="1" sqref="G13 G37" xr:uid="{278A477D-C251-4ACD-8CA8-5260CF4E6508}">
      <formula1>hier_CS_11</formula1>
    </dataValidation>
    <dataValidation type="list" errorStyle="warning" allowBlank="1" showInputMessage="1" showErrorMessage="1" sqref="I13 E25 I37" xr:uid="{AADB3013-1384-4F3E-A69D-830EC6BCB095}">
      <formula1>hier_EL_14</formula1>
    </dataValidation>
    <dataValidation type="date" operator="greaterThan" allowBlank="1" showInputMessage="1" showErrorMessage="1" errorTitle="Date value" error="This cell can only contain dates" sqref="F73:G73 I49 P37 K37:M37 G25:H25 P13 K13:M13" xr:uid="{16A308CB-C503-47EA-9828-2CD7583D2AD8}">
      <formula1>1</formula1>
    </dataValidation>
    <dataValidation type="list" errorStyle="warning" allowBlank="1" showInputMessage="1" showErrorMessage="1" sqref="D110" xr:uid="{59DD8365-2C48-434A-AE06-D8564AF64277}">
      <formula1>hier_GA_18</formula1>
    </dataValidation>
  </dataValidation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560D1-BB9F-4D01-8F50-24FDF8E3BCD2}">
  <sheetPr codeName="Blad118"/>
  <dimension ref="B2:P147"/>
  <sheetViews>
    <sheetView showGridLines="0" workbookViewId="0"/>
  </sheetViews>
  <sheetFormatPr defaultRowHeight="15"/>
  <cols>
    <col min="2" max="2" width="29.140625" bestFit="1" customWidth="1"/>
    <col min="3" max="3" width="40.7109375" customWidth="1"/>
    <col min="4" max="7" width="15.7109375" customWidth="1"/>
  </cols>
  <sheetData>
    <row r="2" spans="2:16" ht="23.25">
      <c r="B2" s="95" t="s">
        <v>685</v>
      </c>
      <c r="C2" s="96"/>
      <c r="D2" s="96"/>
      <c r="E2" s="96"/>
      <c r="F2" s="96"/>
      <c r="G2" s="96"/>
      <c r="H2" s="96"/>
      <c r="I2" s="96"/>
      <c r="J2" s="96"/>
      <c r="K2" s="96"/>
      <c r="L2" s="96"/>
      <c r="M2" s="96"/>
      <c r="N2" s="96"/>
      <c r="O2" s="96"/>
    </row>
    <row r="5" spans="2:16" ht="18.75">
      <c r="B5" s="97" t="s">
        <v>4594</v>
      </c>
      <c r="C5" s="96"/>
      <c r="D5" s="96"/>
      <c r="E5" s="96"/>
      <c r="F5" s="96"/>
      <c r="G5" s="96"/>
      <c r="H5" s="96"/>
      <c r="I5" s="96"/>
      <c r="J5" s="96"/>
      <c r="K5" s="96"/>
      <c r="L5" s="96"/>
    </row>
    <row r="9" spans="2:16">
      <c r="B9" s="98" t="s">
        <v>3582</v>
      </c>
      <c r="C9" s="101" t="s">
        <v>2877</v>
      </c>
      <c r="D9" s="102"/>
      <c r="E9" s="102"/>
      <c r="F9" s="102"/>
      <c r="G9" s="103"/>
    </row>
    <row r="10" spans="2:16">
      <c r="B10" s="99"/>
      <c r="C10" s="104"/>
      <c r="D10" s="105"/>
      <c r="E10" s="105"/>
      <c r="F10" s="105"/>
      <c r="G10" s="106"/>
    </row>
    <row r="11" spans="2:16" ht="30">
      <c r="B11" s="100"/>
      <c r="C11" s="55" t="s">
        <v>4595</v>
      </c>
      <c r="D11" s="55" t="s">
        <v>3480</v>
      </c>
      <c r="E11" s="55" t="s">
        <v>4596</v>
      </c>
      <c r="F11" s="55" t="s">
        <v>4597</v>
      </c>
      <c r="G11" s="55" t="s">
        <v>2548</v>
      </c>
    </row>
    <row r="12" spans="2:16">
      <c r="B12" s="42" t="s">
        <v>3219</v>
      </c>
      <c r="C12" s="42" t="s">
        <v>2879</v>
      </c>
      <c r="D12" s="42" t="s">
        <v>3223</v>
      </c>
      <c r="E12" s="42" t="s">
        <v>3229</v>
      </c>
      <c r="F12" s="42" t="s">
        <v>3231</v>
      </c>
      <c r="G12" s="42" t="s">
        <v>3233</v>
      </c>
      <c r="O12" s="13" t="str">
        <f>Show!$B$114&amp;"S.24.01.01.01 Rows {"&amp;COLUMN($B$1)&amp;"}"&amp;"@ForceFilingCode:true"</f>
        <v>!S.24.01.01.01 Rows {2}@ForceFilingCode:true</v>
      </c>
      <c r="P12" s="13" t="str">
        <f>Show!$B$114&amp;"S.24.01.01.01 Columns {"&amp;COLUMN($B$1)&amp;"}"</f>
        <v>!S.24.01.01.01 Columns {2}</v>
      </c>
    </row>
    <row r="13" spans="2:16">
      <c r="B13" s="50"/>
      <c r="C13" s="51"/>
      <c r="D13" s="60"/>
      <c r="E13" s="60"/>
      <c r="F13" s="60"/>
      <c r="G13" s="60"/>
    </row>
    <row r="15" spans="2:16">
      <c r="O15" s="13" t="str">
        <f>Show!$B$114&amp;Show!$B$114&amp;"S.24.01.01.01 Rows {"&amp;COLUMN($B$1)&amp;"}"</f>
        <v>!!S.24.01.01.01 Rows {2}</v>
      </c>
      <c r="P15" s="13" t="str">
        <f>Show!$B$114&amp;Show!$B$114&amp;"S.24.01.01.01 Columns {"&amp;COLUMN($G$1)&amp;"}"</f>
        <v>!!S.24.01.01.01 Columns {7}</v>
      </c>
    </row>
    <row r="17" spans="2:16" ht="18.75">
      <c r="B17" s="97" t="s">
        <v>4598</v>
      </c>
      <c r="C17" s="96"/>
      <c r="D17" s="96"/>
      <c r="E17" s="96"/>
      <c r="F17" s="96"/>
      <c r="G17" s="96"/>
      <c r="H17" s="96"/>
      <c r="I17" s="96"/>
      <c r="J17" s="96"/>
      <c r="K17" s="96"/>
      <c r="L17" s="96"/>
    </row>
    <row r="21" spans="2:16">
      <c r="B21" s="98" t="s">
        <v>3582</v>
      </c>
      <c r="C21" s="101" t="s">
        <v>2877</v>
      </c>
      <c r="D21" s="102"/>
      <c r="E21" s="102"/>
      <c r="F21" s="102"/>
      <c r="G21" s="103"/>
    </row>
    <row r="22" spans="2:16">
      <c r="B22" s="99"/>
      <c r="C22" s="104"/>
      <c r="D22" s="105"/>
      <c r="E22" s="105"/>
      <c r="F22" s="105"/>
      <c r="G22" s="106"/>
    </row>
    <row r="23" spans="2:16" ht="30">
      <c r="B23" s="100"/>
      <c r="C23" s="55" t="s">
        <v>4595</v>
      </c>
      <c r="D23" s="55" t="s">
        <v>3480</v>
      </c>
      <c r="E23" s="55" t="s">
        <v>4596</v>
      </c>
      <c r="F23" s="55" t="s">
        <v>4597</v>
      </c>
      <c r="G23" s="55" t="s">
        <v>2548</v>
      </c>
    </row>
    <row r="24" spans="2:16">
      <c r="B24" s="42" t="s">
        <v>3236</v>
      </c>
      <c r="C24" s="42" t="s">
        <v>3234</v>
      </c>
      <c r="D24" s="42" t="s">
        <v>3241</v>
      </c>
      <c r="E24" s="42" t="s">
        <v>3243</v>
      </c>
      <c r="F24" s="42" t="s">
        <v>3375</v>
      </c>
      <c r="G24" s="42" t="s">
        <v>3475</v>
      </c>
      <c r="O24" s="13" t="str">
        <f>Show!$B$114&amp;"S.24.01.01.02 Rows {"&amp;COLUMN($B$1)&amp;"}"&amp;"@ForceFilingCode:true"</f>
        <v>!S.24.01.01.02 Rows {2}@ForceFilingCode:true</v>
      </c>
      <c r="P24" s="13" t="str">
        <f>Show!$B$114&amp;"S.24.01.01.02 Columns {"&amp;COLUMN($B$1)&amp;"}"</f>
        <v>!S.24.01.01.02 Columns {2}</v>
      </c>
    </row>
    <row r="25" spans="2:16">
      <c r="B25" s="50"/>
      <c r="C25" s="51"/>
      <c r="D25" s="60"/>
      <c r="E25" s="60"/>
      <c r="F25" s="60"/>
      <c r="G25" s="60"/>
    </row>
    <row r="27" spans="2:16">
      <c r="O27" s="13" t="str">
        <f>Show!$B$114&amp;Show!$B$114&amp;"S.24.01.01.02 Rows {"&amp;COLUMN($B$1)&amp;"}"</f>
        <v>!!S.24.01.01.02 Rows {2}</v>
      </c>
      <c r="P27" s="13" t="str">
        <f>Show!$B$114&amp;Show!$B$114&amp;"S.24.01.01.02 Columns {"&amp;COLUMN($G$1)&amp;"}"</f>
        <v>!!S.24.01.01.02 Columns {7}</v>
      </c>
    </row>
    <row r="29" spans="2:16" ht="18.75">
      <c r="B29" s="97" t="s">
        <v>4599</v>
      </c>
      <c r="C29" s="96"/>
      <c r="D29" s="96"/>
      <c r="E29" s="96"/>
      <c r="F29" s="96"/>
      <c r="G29" s="96"/>
      <c r="H29" s="96"/>
      <c r="I29" s="96"/>
      <c r="J29" s="96"/>
      <c r="K29" s="96"/>
      <c r="L29" s="96"/>
    </row>
    <row r="33" spans="2:16">
      <c r="D33" s="101" t="s">
        <v>2877</v>
      </c>
      <c r="E33" s="102"/>
      <c r="F33" s="102"/>
      <c r="G33" s="103"/>
    </row>
    <row r="34" spans="2:16">
      <c r="D34" s="104"/>
      <c r="E34" s="105"/>
      <c r="F34" s="105"/>
      <c r="G34" s="106"/>
    </row>
    <row r="35" spans="2:16" ht="30">
      <c r="D35" s="55" t="s">
        <v>3480</v>
      </c>
      <c r="E35" s="55" t="s">
        <v>4596</v>
      </c>
      <c r="F35" s="55" t="s">
        <v>4597</v>
      </c>
      <c r="G35" s="55" t="s">
        <v>2548</v>
      </c>
    </row>
    <row r="36" spans="2:16">
      <c r="D36" s="45" t="s">
        <v>3477</v>
      </c>
      <c r="E36" s="45" t="s">
        <v>3479</v>
      </c>
      <c r="F36" s="45" t="s">
        <v>3594</v>
      </c>
      <c r="G36" s="45" t="s">
        <v>3596</v>
      </c>
      <c r="O36" s="13" t="str">
        <f>Show!$B$114&amp;"S.24.01.01.03 Rows {"&amp;COLUMN($C$1)&amp;"}"&amp;"@ForceFilingCode:true"</f>
        <v>!S.24.01.01.03 Rows {3}@ForceFilingCode:true</v>
      </c>
      <c r="P36" s="13" t="str">
        <f>Show!$B$114&amp;"S.24.01.01.03 Columns {"&amp;COLUMN($D$1)&amp;"}"</f>
        <v>!S.24.01.01.03 Columns {4}</v>
      </c>
    </row>
    <row r="37" spans="2:16">
      <c r="B37" s="43" t="s">
        <v>2880</v>
      </c>
      <c r="C37" s="44" t="s">
        <v>2878</v>
      </c>
      <c r="D37" s="56"/>
      <c r="E37" s="66"/>
      <c r="F37" s="66"/>
      <c r="G37" s="57"/>
    </row>
    <row r="38" spans="2:16" ht="75">
      <c r="B38" s="47" t="s">
        <v>4600</v>
      </c>
      <c r="C38" s="41" t="s">
        <v>4601</v>
      </c>
      <c r="D38" s="60"/>
      <c r="E38" s="60"/>
      <c r="F38" s="60"/>
      <c r="G38" s="60"/>
    </row>
    <row r="40" spans="2:16">
      <c r="O40" s="13" t="str">
        <f>Show!$B$114&amp;Show!$B$114&amp;"S.24.01.01.03 Rows {"&amp;COLUMN($C$1)&amp;"}"</f>
        <v>!!S.24.01.01.03 Rows {3}</v>
      </c>
      <c r="P40" s="13" t="str">
        <f>Show!$B$114&amp;Show!$B$114&amp;"S.24.01.01.03 Columns {"&amp;COLUMN($G$1)&amp;"}"</f>
        <v>!!S.24.01.01.03 Columns {7}</v>
      </c>
    </row>
    <row r="42" spans="2:16" ht="18.75">
      <c r="B42" s="97" t="s">
        <v>4602</v>
      </c>
      <c r="C42" s="96"/>
      <c r="D42" s="96"/>
      <c r="E42" s="96"/>
      <c r="F42" s="96"/>
      <c r="G42" s="96"/>
      <c r="H42" s="96"/>
      <c r="I42" s="96"/>
      <c r="J42" s="96"/>
      <c r="K42" s="96"/>
      <c r="L42" s="96"/>
    </row>
    <row r="46" spans="2:16">
      <c r="D46" s="101" t="s">
        <v>2877</v>
      </c>
      <c r="E46" s="102"/>
      <c r="F46" s="102"/>
      <c r="G46" s="103"/>
    </row>
    <row r="47" spans="2:16">
      <c r="D47" s="104"/>
      <c r="E47" s="105"/>
      <c r="F47" s="105"/>
      <c r="G47" s="106"/>
    </row>
    <row r="48" spans="2:16" ht="30">
      <c r="D48" s="55" t="s">
        <v>3480</v>
      </c>
      <c r="E48" s="55" t="s">
        <v>2546</v>
      </c>
      <c r="F48" s="55" t="s">
        <v>2547</v>
      </c>
      <c r="G48" s="55" t="s">
        <v>2548</v>
      </c>
    </row>
    <row r="49" spans="2:16">
      <c r="D49" s="45" t="s">
        <v>3599</v>
      </c>
      <c r="E49" s="45" t="s">
        <v>3481</v>
      </c>
      <c r="F49" s="45" t="s">
        <v>3508</v>
      </c>
      <c r="G49" s="45" t="s">
        <v>3509</v>
      </c>
      <c r="O49" s="13" t="str">
        <f>Show!$B$114&amp;"S.24.01.01.04 Rows {"&amp;COLUMN($C$1)&amp;"}"&amp;"@ForceFilingCode:true"</f>
        <v>!S.24.01.01.04 Rows {3}@ForceFilingCode:true</v>
      </c>
      <c r="P49" s="13" t="str">
        <f>Show!$B$114&amp;"S.24.01.01.04 Columns {"&amp;COLUMN($D$1)&amp;"}"</f>
        <v>!S.24.01.01.04 Columns {4}</v>
      </c>
    </row>
    <row r="50" spans="2:16">
      <c r="B50" s="43" t="s">
        <v>2880</v>
      </c>
      <c r="C50" s="44" t="s">
        <v>2878</v>
      </c>
      <c r="D50" s="56"/>
      <c r="E50" s="66"/>
      <c r="F50" s="66"/>
      <c r="G50" s="57"/>
    </row>
    <row r="51" spans="2:16">
      <c r="B51" s="47" t="s">
        <v>4603</v>
      </c>
      <c r="C51" s="41" t="s">
        <v>2883</v>
      </c>
      <c r="D51" s="60"/>
      <c r="E51" s="60"/>
      <c r="F51" s="60"/>
      <c r="G51" s="60"/>
    </row>
    <row r="52" spans="2:16">
      <c r="B52" s="47" t="s">
        <v>4604</v>
      </c>
      <c r="C52" s="41" t="s">
        <v>2885</v>
      </c>
      <c r="D52" s="60"/>
      <c r="E52" s="60"/>
      <c r="F52" s="60"/>
      <c r="G52" s="60"/>
    </row>
    <row r="53" spans="2:16">
      <c r="B53" s="47" t="s">
        <v>3480</v>
      </c>
      <c r="C53" s="41" t="s">
        <v>2887</v>
      </c>
      <c r="D53" s="60"/>
      <c r="E53" s="60"/>
      <c r="F53" s="60"/>
      <c r="G53" s="60"/>
    </row>
    <row r="55" spans="2:16">
      <c r="O55" s="13" t="str">
        <f>Show!$B$114&amp;Show!$B$114&amp;"S.24.01.01.04 Rows {"&amp;COLUMN($C$1)&amp;"}"</f>
        <v>!!S.24.01.01.04 Rows {3}</v>
      </c>
      <c r="P55" s="13" t="str">
        <f>Show!$B$114&amp;Show!$B$114&amp;"S.24.01.01.04 Columns {"&amp;COLUMN($G$1)&amp;"}"</f>
        <v>!!S.24.01.01.04 Columns {7}</v>
      </c>
    </row>
    <row r="57" spans="2:16" ht="18.75">
      <c r="B57" s="97" t="s">
        <v>4605</v>
      </c>
      <c r="C57" s="96"/>
      <c r="D57" s="96"/>
      <c r="E57" s="96"/>
      <c r="F57" s="96"/>
      <c r="G57" s="96"/>
      <c r="H57" s="96"/>
      <c r="I57" s="96"/>
      <c r="J57" s="96"/>
      <c r="K57" s="96"/>
      <c r="L57" s="96"/>
    </row>
    <row r="61" spans="2:16">
      <c r="B61" s="98" t="s">
        <v>3582</v>
      </c>
      <c r="C61" s="101" t="s">
        <v>2877</v>
      </c>
      <c r="D61" s="102"/>
      <c r="E61" s="102"/>
      <c r="F61" s="102"/>
      <c r="G61" s="103"/>
    </row>
    <row r="62" spans="2:16">
      <c r="B62" s="99"/>
      <c r="C62" s="104"/>
      <c r="D62" s="105"/>
      <c r="E62" s="105"/>
      <c r="F62" s="105"/>
      <c r="G62" s="106"/>
    </row>
    <row r="63" spans="2:16" ht="30">
      <c r="B63" s="100"/>
      <c r="C63" s="55" t="s">
        <v>4595</v>
      </c>
      <c r="D63" s="55" t="s">
        <v>3480</v>
      </c>
      <c r="E63" s="55" t="s">
        <v>4606</v>
      </c>
      <c r="F63" s="55" t="s">
        <v>4607</v>
      </c>
      <c r="G63" s="55" t="s">
        <v>3309</v>
      </c>
    </row>
    <row r="64" spans="2:16">
      <c r="B64" s="42" t="s">
        <v>3513</v>
      </c>
      <c r="C64" s="42" t="s">
        <v>3511</v>
      </c>
      <c r="D64" s="42" t="s">
        <v>3515</v>
      </c>
      <c r="E64" s="42" t="s">
        <v>3517</v>
      </c>
      <c r="F64" s="42" t="s">
        <v>3518</v>
      </c>
      <c r="G64" s="42" t="s">
        <v>3608</v>
      </c>
      <c r="O64" s="13" t="str">
        <f>Show!$B$114&amp;"S.24.01.01.05 Rows {"&amp;COLUMN($B$1)&amp;"}"&amp;"@ForceFilingCode:true"</f>
        <v>!S.24.01.01.05 Rows {2}@ForceFilingCode:true</v>
      </c>
      <c r="P64" s="13" t="str">
        <f>Show!$B$114&amp;"S.24.01.01.05 Columns {"&amp;COLUMN($B$1)&amp;"}"</f>
        <v>!S.24.01.01.05 Columns {2}</v>
      </c>
    </row>
    <row r="65" spans="2:16">
      <c r="B65" s="50"/>
      <c r="C65" s="51"/>
      <c r="D65" s="60"/>
      <c r="E65" s="60"/>
      <c r="F65" s="60"/>
      <c r="G65" s="60"/>
    </row>
    <row r="67" spans="2:16">
      <c r="O67" s="13" t="str">
        <f>Show!$B$114&amp;Show!$B$114&amp;"S.24.01.01.05 Rows {"&amp;COLUMN($B$1)&amp;"}"</f>
        <v>!!S.24.01.01.05 Rows {2}</v>
      </c>
      <c r="P67" s="13" t="str">
        <f>Show!$B$114&amp;Show!$B$114&amp;"S.24.01.01.05 Columns {"&amp;COLUMN($G$1)&amp;"}"</f>
        <v>!!S.24.01.01.05 Columns {7}</v>
      </c>
    </row>
    <row r="69" spans="2:16" ht="18.75">
      <c r="B69" s="97" t="s">
        <v>4608</v>
      </c>
      <c r="C69" s="96"/>
      <c r="D69" s="96"/>
      <c r="E69" s="96"/>
      <c r="F69" s="96"/>
      <c r="G69" s="96"/>
      <c r="H69" s="96"/>
      <c r="I69" s="96"/>
      <c r="J69" s="96"/>
      <c r="K69" s="96"/>
      <c r="L69" s="96"/>
    </row>
    <row r="73" spans="2:16">
      <c r="B73" s="98" t="s">
        <v>3582</v>
      </c>
      <c r="C73" s="101" t="s">
        <v>2877</v>
      </c>
      <c r="D73" s="102"/>
      <c r="E73" s="102"/>
      <c r="F73" s="102"/>
      <c r="G73" s="103"/>
    </row>
    <row r="74" spans="2:16">
      <c r="B74" s="99"/>
      <c r="C74" s="104"/>
      <c r="D74" s="105"/>
      <c r="E74" s="105"/>
      <c r="F74" s="105"/>
      <c r="G74" s="106"/>
    </row>
    <row r="75" spans="2:16" ht="30">
      <c r="B75" s="100"/>
      <c r="C75" s="55" t="s">
        <v>4595</v>
      </c>
      <c r="D75" s="55" t="s">
        <v>3480</v>
      </c>
      <c r="E75" s="55" t="s">
        <v>4606</v>
      </c>
      <c r="F75" s="55" t="s">
        <v>4607</v>
      </c>
      <c r="G75" s="55" t="s">
        <v>3309</v>
      </c>
    </row>
    <row r="76" spans="2:16">
      <c r="B76" s="42" t="s">
        <v>3612</v>
      </c>
      <c r="C76" s="42" t="s">
        <v>3519</v>
      </c>
      <c r="D76" s="42" t="s">
        <v>3616</v>
      </c>
      <c r="E76" s="42" t="s">
        <v>3618</v>
      </c>
      <c r="F76" s="42" t="s">
        <v>3620</v>
      </c>
      <c r="G76" s="42" t="s">
        <v>3622</v>
      </c>
      <c r="O76" s="13" t="str">
        <f>Show!$B$114&amp;"S.24.01.01.06 Rows {"&amp;COLUMN($B$1)&amp;"}"&amp;"@ForceFilingCode:true"</f>
        <v>!S.24.01.01.06 Rows {2}@ForceFilingCode:true</v>
      </c>
      <c r="P76" s="13" t="str">
        <f>Show!$B$114&amp;"S.24.01.01.06 Columns {"&amp;COLUMN($B$1)&amp;"}"</f>
        <v>!S.24.01.01.06 Columns {2}</v>
      </c>
    </row>
    <row r="77" spans="2:16">
      <c r="B77" s="50"/>
      <c r="C77" s="51"/>
      <c r="D77" s="60"/>
      <c r="E77" s="60"/>
      <c r="F77" s="60"/>
      <c r="G77" s="60"/>
    </row>
    <row r="79" spans="2:16">
      <c r="O79" s="13" t="str">
        <f>Show!$B$114&amp;Show!$B$114&amp;"S.24.01.01.06 Rows {"&amp;COLUMN($B$1)&amp;"}"</f>
        <v>!!S.24.01.01.06 Rows {2}</v>
      </c>
      <c r="P79" s="13" t="str">
        <f>Show!$B$114&amp;Show!$B$114&amp;"S.24.01.01.06 Columns {"&amp;COLUMN($G$1)&amp;"}"</f>
        <v>!!S.24.01.01.06 Columns {7}</v>
      </c>
    </row>
    <row r="81" spans="2:16" ht="18.75">
      <c r="B81" s="97" t="s">
        <v>4609</v>
      </c>
      <c r="C81" s="96"/>
      <c r="D81" s="96"/>
      <c r="E81" s="96"/>
      <c r="F81" s="96"/>
      <c r="G81" s="96"/>
      <c r="H81" s="96"/>
      <c r="I81" s="96"/>
      <c r="J81" s="96"/>
      <c r="K81" s="96"/>
      <c r="L81" s="96"/>
    </row>
    <row r="85" spans="2:16">
      <c r="B85" s="98" t="s">
        <v>3582</v>
      </c>
      <c r="C85" s="101" t="s">
        <v>2877</v>
      </c>
      <c r="D85" s="102"/>
      <c r="E85" s="102"/>
      <c r="F85" s="102"/>
      <c r="G85" s="103"/>
    </row>
    <row r="86" spans="2:16">
      <c r="B86" s="99"/>
      <c r="C86" s="104"/>
      <c r="D86" s="105"/>
      <c r="E86" s="105"/>
      <c r="F86" s="105"/>
      <c r="G86" s="106"/>
    </row>
    <row r="87" spans="2:16" ht="30">
      <c r="B87" s="100"/>
      <c r="C87" s="55" t="s">
        <v>4595</v>
      </c>
      <c r="D87" s="55" t="s">
        <v>3480</v>
      </c>
      <c r="E87" s="55" t="s">
        <v>4606</v>
      </c>
      <c r="F87" s="55" t="s">
        <v>4607</v>
      </c>
      <c r="G87" s="55" t="s">
        <v>3309</v>
      </c>
    </row>
    <row r="88" spans="2:16">
      <c r="B88" s="42" t="s">
        <v>3626</v>
      </c>
      <c r="C88" s="42" t="s">
        <v>3624</v>
      </c>
      <c r="D88" s="42" t="s">
        <v>3634</v>
      </c>
      <c r="E88" s="42" t="s">
        <v>3636</v>
      </c>
      <c r="F88" s="42" t="s">
        <v>3701</v>
      </c>
      <c r="G88" s="42" t="s">
        <v>3702</v>
      </c>
      <c r="O88" s="13" t="str">
        <f>Show!$B$114&amp;"S.24.01.01.07 Rows {"&amp;COLUMN($B$1)&amp;"}"&amp;"@ForceFilingCode:true"</f>
        <v>!S.24.01.01.07 Rows {2}@ForceFilingCode:true</v>
      </c>
      <c r="P88" s="13" t="str">
        <f>Show!$B$114&amp;"S.24.01.01.07 Columns {"&amp;COLUMN($B$1)&amp;"}"</f>
        <v>!S.24.01.01.07 Columns {2}</v>
      </c>
    </row>
    <row r="89" spans="2:16">
      <c r="B89" s="50"/>
      <c r="C89" s="51"/>
      <c r="D89" s="60"/>
      <c r="E89" s="60"/>
      <c r="F89" s="60"/>
      <c r="G89" s="60"/>
    </row>
    <row r="91" spans="2:16">
      <c r="O91" s="13" t="str">
        <f>Show!$B$114&amp;Show!$B$114&amp;"S.24.01.01.07 Rows {"&amp;COLUMN($B$1)&amp;"}"</f>
        <v>!!S.24.01.01.07 Rows {2}</v>
      </c>
      <c r="P91" s="13" t="str">
        <f>Show!$B$114&amp;Show!$B$114&amp;"S.24.01.01.07 Columns {"&amp;COLUMN($G$1)&amp;"}"</f>
        <v>!!S.24.01.01.07 Columns {7}</v>
      </c>
    </row>
    <row r="93" spans="2:16" ht="18.75">
      <c r="B93" s="97" t="s">
        <v>4610</v>
      </c>
      <c r="C93" s="96"/>
      <c r="D93" s="96"/>
      <c r="E93" s="96"/>
      <c r="F93" s="96"/>
      <c r="G93" s="96"/>
      <c r="H93" s="96"/>
      <c r="I93" s="96"/>
      <c r="J93" s="96"/>
      <c r="K93" s="96"/>
      <c r="L93" s="96"/>
    </row>
    <row r="97" spans="2:16">
      <c r="B97" s="98" t="s">
        <v>3582</v>
      </c>
      <c r="C97" s="101" t="s">
        <v>2877</v>
      </c>
      <c r="D97" s="102"/>
      <c r="E97" s="102"/>
      <c r="F97" s="102"/>
      <c r="G97" s="103"/>
    </row>
    <row r="98" spans="2:16">
      <c r="B98" s="99"/>
      <c r="C98" s="104"/>
      <c r="D98" s="105"/>
      <c r="E98" s="105"/>
      <c r="F98" s="105"/>
      <c r="G98" s="106"/>
    </row>
    <row r="99" spans="2:16" ht="30">
      <c r="B99" s="100"/>
      <c r="C99" s="55" t="s">
        <v>4595</v>
      </c>
      <c r="D99" s="55" t="s">
        <v>3480</v>
      </c>
      <c r="E99" s="55" t="s">
        <v>4606</v>
      </c>
      <c r="F99" s="55" t="s">
        <v>4607</v>
      </c>
      <c r="G99" s="55" t="s">
        <v>3309</v>
      </c>
    </row>
    <row r="100" spans="2:16">
      <c r="B100" s="42" t="s">
        <v>3955</v>
      </c>
      <c r="C100" s="42" t="s">
        <v>3675</v>
      </c>
      <c r="D100" s="42" t="s">
        <v>3957</v>
      </c>
      <c r="E100" s="42" t="s">
        <v>3958</v>
      </c>
      <c r="F100" s="42" t="s">
        <v>3959</v>
      </c>
      <c r="G100" s="42" t="s">
        <v>3960</v>
      </c>
      <c r="O100" s="13" t="str">
        <f>Show!$B$114&amp;"S.24.01.01.08 Rows {"&amp;COLUMN($B$1)&amp;"}"&amp;"@ForceFilingCode:true"</f>
        <v>!S.24.01.01.08 Rows {2}@ForceFilingCode:true</v>
      </c>
      <c r="P100" s="13" t="str">
        <f>Show!$B$114&amp;"S.24.01.01.08 Columns {"&amp;COLUMN($B$1)&amp;"}"</f>
        <v>!S.24.01.01.08 Columns {2}</v>
      </c>
    </row>
    <row r="101" spans="2:16">
      <c r="B101" s="50"/>
      <c r="C101" s="51"/>
      <c r="D101" s="60"/>
      <c r="E101" s="60"/>
      <c r="F101" s="60"/>
      <c r="G101" s="60"/>
    </row>
    <row r="103" spans="2:16">
      <c r="O103" s="13" t="str">
        <f>Show!$B$114&amp;Show!$B$114&amp;"S.24.01.01.08 Rows {"&amp;COLUMN($B$1)&amp;"}"</f>
        <v>!!S.24.01.01.08 Rows {2}</v>
      </c>
      <c r="P103" s="13" t="str">
        <f>Show!$B$114&amp;Show!$B$114&amp;"S.24.01.01.08 Columns {"&amp;COLUMN($G$1)&amp;"}"</f>
        <v>!!S.24.01.01.08 Columns {7}</v>
      </c>
    </row>
    <row r="105" spans="2:16" ht="18.75">
      <c r="B105" s="97" t="s">
        <v>4611</v>
      </c>
      <c r="C105" s="96"/>
      <c r="D105" s="96"/>
      <c r="E105" s="96"/>
      <c r="F105" s="96"/>
      <c r="G105" s="96"/>
      <c r="H105" s="96"/>
      <c r="I105" s="96"/>
      <c r="J105" s="96"/>
      <c r="K105" s="96"/>
      <c r="L105" s="96"/>
    </row>
    <row r="109" spans="2:16">
      <c r="B109" s="98" t="s">
        <v>3582</v>
      </c>
      <c r="C109" s="101" t="s">
        <v>2877</v>
      </c>
      <c r="D109" s="102"/>
      <c r="E109" s="102"/>
      <c r="F109" s="102"/>
      <c r="G109" s="103"/>
    </row>
    <row r="110" spans="2:16">
      <c r="B110" s="99"/>
      <c r="C110" s="104"/>
      <c r="D110" s="105"/>
      <c r="E110" s="105"/>
      <c r="F110" s="105"/>
      <c r="G110" s="106"/>
    </row>
    <row r="111" spans="2:16" ht="30">
      <c r="B111" s="100"/>
      <c r="C111" s="55" t="s">
        <v>4595</v>
      </c>
      <c r="D111" s="55" t="s">
        <v>3480</v>
      </c>
      <c r="E111" s="55" t="s">
        <v>4606</v>
      </c>
      <c r="F111" s="55" t="s">
        <v>4607</v>
      </c>
      <c r="G111" s="55" t="s">
        <v>3309</v>
      </c>
    </row>
    <row r="112" spans="2:16">
      <c r="B112" s="42" t="s">
        <v>3962</v>
      </c>
      <c r="C112" s="42" t="s">
        <v>3961</v>
      </c>
      <c r="D112" s="42" t="s">
        <v>3964</v>
      </c>
      <c r="E112" s="42" t="s">
        <v>3965</v>
      </c>
      <c r="F112" s="42" t="s">
        <v>3967</v>
      </c>
      <c r="G112" s="42" t="s">
        <v>4546</v>
      </c>
      <c r="O112" s="13" t="str">
        <f>Show!$B$114&amp;"S.24.01.01.09 Rows {"&amp;COLUMN($B$1)&amp;"}"&amp;"@ForceFilingCode:true"</f>
        <v>!S.24.01.01.09 Rows {2}@ForceFilingCode:true</v>
      </c>
      <c r="P112" s="13" t="str">
        <f>Show!$B$114&amp;"S.24.01.01.09 Columns {"&amp;COLUMN($B$1)&amp;"}"</f>
        <v>!S.24.01.01.09 Columns {2}</v>
      </c>
    </row>
    <row r="113" spans="2:16">
      <c r="B113" s="50"/>
      <c r="C113" s="51"/>
      <c r="D113" s="60"/>
      <c r="E113" s="60"/>
      <c r="F113" s="60"/>
      <c r="G113" s="60"/>
    </row>
    <row r="115" spans="2:16">
      <c r="O115" s="13" t="str">
        <f>Show!$B$114&amp;Show!$B$114&amp;"S.24.01.01.09 Rows {"&amp;COLUMN($B$1)&amp;"}"</f>
        <v>!!S.24.01.01.09 Rows {2}</v>
      </c>
      <c r="P115" s="13" t="str">
        <f>Show!$B$114&amp;Show!$B$114&amp;"S.24.01.01.09 Columns {"&amp;COLUMN($G$1)&amp;"}"</f>
        <v>!!S.24.01.01.09 Columns {7}</v>
      </c>
    </row>
    <row r="117" spans="2:16" ht="18.75">
      <c r="B117" s="97" t="s">
        <v>4612</v>
      </c>
      <c r="C117" s="96"/>
      <c r="D117" s="96"/>
      <c r="E117" s="96"/>
      <c r="F117" s="96"/>
      <c r="G117" s="96"/>
      <c r="H117" s="96"/>
      <c r="I117" s="96"/>
      <c r="J117" s="96"/>
      <c r="K117" s="96"/>
      <c r="L117" s="96"/>
    </row>
    <row r="121" spans="2:16">
      <c r="D121" s="101" t="s">
        <v>2877</v>
      </c>
      <c r="E121" s="102"/>
      <c r="F121" s="102"/>
      <c r="G121" s="103"/>
    </row>
    <row r="122" spans="2:16">
      <c r="D122" s="104"/>
      <c r="E122" s="105"/>
      <c r="F122" s="105"/>
      <c r="G122" s="106"/>
    </row>
    <row r="123" spans="2:16">
      <c r="D123" s="98" t="s">
        <v>3480</v>
      </c>
      <c r="E123" s="98" t="s">
        <v>4606</v>
      </c>
      <c r="F123" s="98" t="s">
        <v>4607</v>
      </c>
      <c r="G123" s="98" t="s">
        <v>3309</v>
      </c>
    </row>
    <row r="124" spans="2:16">
      <c r="D124" s="100"/>
      <c r="E124" s="100"/>
      <c r="F124" s="100"/>
      <c r="G124" s="100"/>
    </row>
    <row r="125" spans="2:16">
      <c r="D125" s="45" t="s">
        <v>4547</v>
      </c>
      <c r="E125" s="45" t="s">
        <v>4551</v>
      </c>
      <c r="F125" s="45" t="s">
        <v>3969</v>
      </c>
      <c r="G125" s="45" t="s">
        <v>3970</v>
      </c>
      <c r="O125" s="13" t="str">
        <f>Show!$B$114&amp;"S.24.01.01.10 Rows {"&amp;COLUMN($C$1)&amp;"}"&amp;"@ForceFilingCode:true"</f>
        <v>!S.24.01.01.10 Rows {3}@ForceFilingCode:true</v>
      </c>
      <c r="P125" s="13" t="str">
        <f>Show!$B$114&amp;"S.24.01.01.10 Columns {"&amp;COLUMN($D$1)&amp;"}"</f>
        <v>!S.24.01.01.10 Columns {4}</v>
      </c>
    </row>
    <row r="126" spans="2:16">
      <c r="B126" s="43" t="s">
        <v>2880</v>
      </c>
      <c r="C126" s="44" t="s">
        <v>2878</v>
      </c>
      <c r="D126" s="56"/>
      <c r="E126" s="66"/>
      <c r="F126" s="66"/>
      <c r="G126" s="57"/>
    </row>
    <row r="127" spans="2:16" ht="60">
      <c r="B127" s="47" t="s">
        <v>4613</v>
      </c>
      <c r="C127" s="41" t="s">
        <v>2889</v>
      </c>
      <c r="D127" s="60"/>
      <c r="E127" s="60"/>
      <c r="F127" s="60"/>
      <c r="G127" s="60"/>
    </row>
    <row r="128" spans="2:16" ht="45">
      <c r="B128" s="49" t="s">
        <v>4614</v>
      </c>
      <c r="C128" s="41" t="s">
        <v>3078</v>
      </c>
      <c r="D128" s="60"/>
      <c r="E128" s="60"/>
      <c r="F128" s="60"/>
      <c r="G128" s="60"/>
    </row>
    <row r="129" spans="2:16" ht="30">
      <c r="B129" s="49" t="s">
        <v>4615</v>
      </c>
      <c r="C129" s="41" t="s">
        <v>2891</v>
      </c>
      <c r="D129" s="60"/>
      <c r="E129" s="60"/>
      <c r="F129" s="60"/>
      <c r="G129" s="60"/>
    </row>
    <row r="130" spans="2:16" ht="60">
      <c r="B130" s="47" t="s">
        <v>4616</v>
      </c>
      <c r="C130" s="41" t="s">
        <v>2893</v>
      </c>
      <c r="D130" s="60"/>
      <c r="E130" s="60"/>
      <c r="F130" s="60"/>
      <c r="G130" s="60"/>
    </row>
    <row r="131" spans="2:16">
      <c r="B131" s="49" t="s">
        <v>4617</v>
      </c>
      <c r="C131" s="41" t="s">
        <v>2895</v>
      </c>
      <c r="D131" s="60"/>
      <c r="E131" s="60"/>
      <c r="F131" s="60"/>
      <c r="G131" s="60"/>
    </row>
    <row r="132" spans="2:16">
      <c r="B132" s="49" t="s">
        <v>4618</v>
      </c>
      <c r="C132" s="41" t="s">
        <v>2897</v>
      </c>
      <c r="D132" s="60"/>
      <c r="E132" s="60"/>
      <c r="F132" s="60"/>
      <c r="G132" s="60"/>
    </row>
    <row r="134" spans="2:16">
      <c r="O134" s="13" t="str">
        <f>Show!$B$114&amp;Show!$B$114&amp;"S.24.01.01.10 Rows {"&amp;COLUMN($C$1)&amp;"}"</f>
        <v>!!S.24.01.01.10 Rows {3}</v>
      </c>
      <c r="P134" s="13" t="str">
        <f>Show!$B$114&amp;Show!$B$114&amp;"S.24.01.01.10 Columns {"&amp;COLUMN($G$1)&amp;"}"</f>
        <v>!!S.24.01.01.10 Columns {7}</v>
      </c>
    </row>
    <row r="136" spans="2:16" ht="18.75">
      <c r="B136" s="97" t="s">
        <v>4619</v>
      </c>
      <c r="C136" s="96"/>
      <c r="D136" s="96"/>
      <c r="E136" s="96"/>
      <c r="F136" s="96"/>
      <c r="G136" s="96"/>
      <c r="H136" s="96"/>
      <c r="I136" s="96"/>
      <c r="J136" s="96"/>
      <c r="K136" s="96"/>
      <c r="L136" s="96"/>
    </row>
    <row r="140" spans="2:16">
      <c r="D140" s="98" t="s">
        <v>2877</v>
      </c>
    </row>
    <row r="141" spans="2:16">
      <c r="D141" s="100"/>
    </row>
    <row r="142" spans="2:16">
      <c r="D142" s="55" t="s">
        <v>3480</v>
      </c>
    </row>
    <row r="143" spans="2:16">
      <c r="D143" s="45" t="s">
        <v>3971</v>
      </c>
      <c r="O143" s="13" t="str">
        <f>Show!$B$114&amp;"S.24.01.01.11 Rows {"&amp;COLUMN($C$1)&amp;"}"&amp;"@ForceFilingCode:true"</f>
        <v>!S.24.01.01.11 Rows {3}@ForceFilingCode:true</v>
      </c>
      <c r="P143" s="13" t="str">
        <f>Show!$B$114&amp;"S.24.01.01.11 Columns {"&amp;COLUMN($D$1)&amp;"}"</f>
        <v>!S.24.01.01.11 Columns {4}</v>
      </c>
    </row>
    <row r="144" spans="2:16">
      <c r="B144" s="43" t="s">
        <v>2880</v>
      </c>
      <c r="C144" s="44" t="s">
        <v>2878</v>
      </c>
      <c r="D144" s="46"/>
    </row>
    <row r="145" spans="2:16">
      <c r="B145" s="47" t="s">
        <v>4620</v>
      </c>
      <c r="C145" s="41" t="s">
        <v>2899</v>
      </c>
      <c r="D145" s="60"/>
    </row>
    <row r="147" spans="2:16">
      <c r="O147" s="13" t="str">
        <f>Show!$B$114&amp;Show!$B$114&amp;"S.24.01.01.11 Rows {"&amp;COLUMN($C$1)&amp;"}"</f>
        <v>!!S.24.01.01.11 Rows {3}</v>
      </c>
      <c r="P147" s="13" t="str">
        <f>Show!$B$114&amp;Show!$B$114&amp;"S.24.01.01.11 Columns {"&amp;COLUMN($D$1)&amp;"}"</f>
        <v>!!S.24.01.01.11 Columns {4}</v>
      </c>
    </row>
  </sheetData>
  <sheetProtection sheet="1" objects="1" scenarios="1"/>
  <mergeCells count="34">
    <mergeCell ref="B136:L136"/>
    <mergeCell ref="D140:D141"/>
    <mergeCell ref="B117:L117"/>
    <mergeCell ref="D121:G122"/>
    <mergeCell ref="D123:D124"/>
    <mergeCell ref="E123:E124"/>
    <mergeCell ref="F123:F124"/>
    <mergeCell ref="G123:G124"/>
    <mergeCell ref="B93:L93"/>
    <mergeCell ref="B97:B99"/>
    <mergeCell ref="C97:G98"/>
    <mergeCell ref="B105:L105"/>
    <mergeCell ref="B109:B111"/>
    <mergeCell ref="C109:G110"/>
    <mergeCell ref="B69:L69"/>
    <mergeCell ref="B73:B75"/>
    <mergeCell ref="C73:G74"/>
    <mergeCell ref="B81:L81"/>
    <mergeCell ref="B85:B87"/>
    <mergeCell ref="C85:G86"/>
    <mergeCell ref="B61:B63"/>
    <mergeCell ref="C61:G62"/>
    <mergeCell ref="B2:O2"/>
    <mergeCell ref="B5:L5"/>
    <mergeCell ref="B9:B11"/>
    <mergeCell ref="C9:G10"/>
    <mergeCell ref="B17:L17"/>
    <mergeCell ref="B21:B23"/>
    <mergeCell ref="C21:G22"/>
    <mergeCell ref="B29:L29"/>
    <mergeCell ref="D33:G34"/>
    <mergeCell ref="B42:L42"/>
    <mergeCell ref="D46:G47"/>
    <mergeCell ref="B57:L5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30C5-431F-4800-8342-BF64DAB8E83D}">
  <sheetPr codeName="Blad12"/>
  <dimension ref="B2:O20"/>
  <sheetViews>
    <sheetView showGridLines="0" workbookViewId="0"/>
  </sheetViews>
  <sheetFormatPr defaultRowHeight="15"/>
  <cols>
    <col min="2" max="2" width="44.28515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3088</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IF(COUNTIF(D:D,"Reported")&gt;0,Show!$B$8,"!")&amp;"S.01.01.10.01 Rows {"&amp;COLUMN($C$1)&amp;"}"&amp;"@ForceFilingCode:true"</f>
        <v>!S.01.01.10.01 Rows {3}@ForceFilingCode:true</v>
      </c>
      <c r="J13" s="13" t="str">
        <f>IF(COUNTIF(D:D,"Reported")&gt;0,Show!$B$8,"!")&amp;"S.01.01.10.01 Columns {"&amp;COLUMN($D$1)&amp;"}"</f>
        <v>!S.01.01.10.01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IF(COUNTIF(D:D,"Reported")&gt;0,Show!$B$8&amp;Show!$B$8,"!!")&amp;"S.01.01.10.01 Rows {"&amp;COLUMN($C$1)&amp;"}"</f>
        <v>!!S.01.01.10.01 Rows {3}</v>
      </c>
      <c r="J20" s="13" t="str">
        <f>IF(COUNTIF(D:D,"Reported")&gt;0,Show!$B$8&amp;Show!$B$8,"!!")&amp;"S.01.01.10.01 Columns {"&amp;COLUMN($D$1)&amp;"}"</f>
        <v>!!S.01.01.10.01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EE3ACBB6-2CDE-4673-82E8-2C6B15521735}">
      <formula1>hier_CN_2</formula1>
    </dataValidation>
    <dataValidation type="list" errorStyle="warning" allowBlank="1" showInputMessage="1" showErrorMessage="1" sqref="D17" xr:uid="{D2DC9158-5FE9-4B81-B56A-6F202BD64B3B}">
      <formula1>hier_CN_30</formula1>
    </dataValidation>
    <dataValidation type="list" errorStyle="warning" allowBlank="1" showInputMessage="1" showErrorMessage="1" sqref="D18 D19" xr:uid="{1377086C-C63F-4A21-9EBB-6226F05327B0}">
      <formula1>hier_CN_15</formula1>
    </dataValidation>
  </dataValidations>
  <hyperlinks>
    <hyperlink ref="B16" location="'S.01.02.01'!A1" display="S.01.02.01 - Basic Information - General" xr:uid="{56ADB474-04FA-448A-AAF5-2F87D3620B50}"/>
    <hyperlink ref="B17" location="'S.14.01.10'!A1" display="S.14.01.10 - Life obligations analysis" xr:uid="{54BC3CD0-E9B1-4227-A751-CBB7B68F3430}"/>
    <hyperlink ref="B18" location="'S.38.01.10'!A1" display="S.38.01.10 - Duration of technical provisions" xr:uid="{8815B8AD-FA95-416F-AD48-96F6D4226A67}"/>
    <hyperlink ref="B19" location="'S.40.01.10'!A1" display="S.40.01.10 - Profit or Loss sharing" xr:uid="{2F38D15F-F929-4B74-BD26-E341E04E5F94}"/>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51CF4-645C-4368-A6EF-2D707A2F646F}">
  <sheetPr codeName="Blad119"/>
  <dimension ref="B2:O116"/>
  <sheetViews>
    <sheetView showGridLines="0" workbookViewId="0"/>
  </sheetViews>
  <sheetFormatPr defaultRowHeight="15"/>
  <cols>
    <col min="2" max="2" width="79.42578125" bestFit="1" customWidth="1"/>
    <col min="4" max="6" width="15.7109375" customWidth="1"/>
  </cols>
  <sheetData>
    <row r="2" spans="2:15" ht="23.25">
      <c r="B2" s="95" t="s">
        <v>687</v>
      </c>
      <c r="C2" s="96"/>
      <c r="D2" s="96"/>
      <c r="E2" s="96"/>
      <c r="F2" s="96"/>
      <c r="G2" s="96"/>
      <c r="H2" s="96"/>
      <c r="I2" s="96"/>
      <c r="J2" s="96"/>
      <c r="K2" s="96"/>
      <c r="L2" s="96"/>
      <c r="M2" s="96"/>
      <c r="N2" s="96"/>
      <c r="O2" s="96"/>
    </row>
    <row r="5" spans="2:15" ht="18.75">
      <c r="B5" s="97" t="s">
        <v>4621</v>
      </c>
      <c r="C5" s="96"/>
      <c r="D5" s="96"/>
      <c r="E5" s="96"/>
      <c r="F5" s="96"/>
      <c r="G5" s="96"/>
      <c r="H5" s="96"/>
      <c r="I5" s="96"/>
      <c r="J5" s="96"/>
      <c r="K5" s="96"/>
      <c r="L5" s="96"/>
    </row>
    <row r="7" spans="2:15">
      <c r="B7" t="s">
        <v>3110</v>
      </c>
      <c r="K7" s="13" t="str">
        <f>Show!$B$115&amp;"S.25.01.01.01 Table label {"&amp;COLUMN($C$1)&amp;"}"</f>
        <v>!S.25.01.01.01 Table label {3}</v>
      </c>
      <c r="L7" s="13" t="str">
        <f>Show!$B$115&amp;"S.25.01.01.01 Table value {"&amp;COLUMN($D$1)&amp;"}"</f>
        <v>!S.25.01.01.01 Table value {4}</v>
      </c>
    </row>
    <row r="8" spans="2:15">
      <c r="B8" t="s">
        <v>3111</v>
      </c>
    </row>
    <row r="9" spans="2:15">
      <c r="B9" s="40" t="s">
        <v>4622</v>
      </c>
      <c r="C9" s="53" t="s">
        <v>3113</v>
      </c>
      <c r="D9" s="51"/>
    </row>
    <row r="10" spans="2:15">
      <c r="K10" s="13" t="str">
        <f>Show!$B$115&amp;Show!$B$115&amp;"S.25.01.01.01 Table label {"&amp;COLUMN($C$1)&amp;"}"</f>
        <v>!!S.25.01.01.01 Table label {3}</v>
      </c>
      <c r="L10" s="13" t="str">
        <f>Show!$B$115&amp;Show!$B$115&amp;"S.25.01.01.01 Table value {"&amp;COLUMN($D$1)&amp;"}"</f>
        <v>!!S.25.01.01.01 Table value {4}</v>
      </c>
    </row>
    <row r="12" spans="2:15">
      <c r="D12" s="101" t="s">
        <v>2877</v>
      </c>
      <c r="E12" s="102"/>
      <c r="F12" s="103"/>
    </row>
    <row r="13" spans="2:15">
      <c r="D13" s="104"/>
      <c r="E13" s="105"/>
      <c r="F13" s="106"/>
    </row>
    <row r="14" spans="2:15" ht="90">
      <c r="D14" s="55" t="s">
        <v>4623</v>
      </c>
      <c r="E14" s="55" t="s">
        <v>4624</v>
      </c>
      <c r="F14" s="55" t="s">
        <v>4625</v>
      </c>
    </row>
    <row r="15" spans="2:15">
      <c r="D15" s="45" t="s">
        <v>3225</v>
      </c>
      <c r="E15" s="45" t="s">
        <v>3223</v>
      </c>
      <c r="F15" s="45" t="s">
        <v>3229</v>
      </c>
      <c r="K15" s="13" t="str">
        <f>Show!$B$115&amp;"S.25.01.01.01 Rows {"&amp;COLUMN($C$1)&amp;"}"&amp;"@ForceFilingCode:true"</f>
        <v>!S.25.01.01.01 Rows {3}@ForceFilingCode:true</v>
      </c>
      <c r="L15" s="13" t="str">
        <f>Show!$B$115&amp;"S.25.01.01.01 Columns {"&amp;COLUMN($D$1)&amp;"}"</f>
        <v>!S.25.01.01.01 Columns {4}</v>
      </c>
    </row>
    <row r="16" spans="2:15">
      <c r="B16" s="43" t="s">
        <v>2880</v>
      </c>
      <c r="C16" s="44" t="s">
        <v>2878</v>
      </c>
      <c r="D16" s="56"/>
      <c r="E16" s="66"/>
      <c r="F16" s="57"/>
    </row>
    <row r="17" spans="2:12">
      <c r="B17" s="47" t="s">
        <v>4626</v>
      </c>
      <c r="C17" s="41" t="s">
        <v>2883</v>
      </c>
      <c r="D17" s="60"/>
      <c r="E17" s="60"/>
      <c r="F17" s="60"/>
    </row>
    <row r="18" spans="2:12">
      <c r="B18" s="47" t="s">
        <v>4627</v>
      </c>
      <c r="C18" s="41" t="s">
        <v>2885</v>
      </c>
      <c r="D18" s="60"/>
      <c r="E18" s="60"/>
      <c r="F18" s="60"/>
    </row>
    <row r="19" spans="2:12">
      <c r="B19" s="47" t="s">
        <v>4628</v>
      </c>
      <c r="C19" s="41" t="s">
        <v>2887</v>
      </c>
      <c r="D19" s="60"/>
      <c r="E19" s="60"/>
      <c r="F19" s="60"/>
    </row>
    <row r="20" spans="2:12">
      <c r="B20" s="47" t="s">
        <v>4629</v>
      </c>
      <c r="C20" s="41" t="s">
        <v>2889</v>
      </c>
      <c r="D20" s="60"/>
      <c r="E20" s="60"/>
      <c r="F20" s="60"/>
    </row>
    <row r="21" spans="2:12">
      <c r="B21" s="47" t="s">
        <v>4630</v>
      </c>
      <c r="C21" s="41" t="s">
        <v>3078</v>
      </c>
      <c r="D21" s="60"/>
      <c r="E21" s="60"/>
      <c r="F21" s="63"/>
    </row>
    <row r="22" spans="2:12">
      <c r="B22" s="47" t="s">
        <v>4631</v>
      </c>
      <c r="C22" s="41" t="s">
        <v>2891</v>
      </c>
      <c r="D22" s="60"/>
      <c r="E22" s="64"/>
      <c r="F22" s="48"/>
    </row>
    <row r="23" spans="2:12">
      <c r="B23" s="47" t="s">
        <v>4632</v>
      </c>
      <c r="C23" s="41" t="s">
        <v>2893</v>
      </c>
      <c r="D23" s="60"/>
      <c r="E23" s="64"/>
      <c r="F23" s="48"/>
    </row>
    <row r="24" spans="2:12">
      <c r="B24" s="47" t="s">
        <v>4633</v>
      </c>
      <c r="C24" s="41" t="s">
        <v>2899</v>
      </c>
      <c r="D24" s="60"/>
      <c r="E24" s="64"/>
      <c r="F24" s="46"/>
    </row>
    <row r="26" spans="2:12">
      <c r="K26" s="13" t="str">
        <f>Show!$B$115&amp;Show!$B$115&amp;"S.25.01.01.01 Rows {"&amp;COLUMN($C$1)&amp;"}"</f>
        <v>!!S.25.01.01.01 Rows {3}</v>
      </c>
      <c r="L26" s="13" t="str">
        <f>Show!$B$115&amp;Show!$B$115&amp;"S.25.01.01.01 Columns {"&amp;COLUMN($F$1)&amp;"}"</f>
        <v>!!S.25.01.01.01 Columns {6}</v>
      </c>
    </row>
    <row r="28" spans="2:12" ht="18.75">
      <c r="B28" s="97" t="s">
        <v>4634</v>
      </c>
      <c r="C28" s="96"/>
      <c r="D28" s="96"/>
      <c r="E28" s="96"/>
      <c r="F28" s="96"/>
      <c r="G28" s="96"/>
      <c r="H28" s="96"/>
      <c r="I28" s="96"/>
      <c r="J28" s="96"/>
      <c r="K28" s="96"/>
      <c r="L28" s="96"/>
    </row>
    <row r="30" spans="2:12">
      <c r="B30" t="s">
        <v>3110</v>
      </c>
      <c r="K30" s="13" t="str">
        <f>Show!$B$115&amp;"S.25.01.01.02 Table label {"&amp;COLUMN($C$1)&amp;"}"</f>
        <v>!S.25.01.01.02 Table label {3}</v>
      </c>
      <c r="L30" s="13" t="str">
        <f>Show!$B$115&amp;"S.25.01.01.02 Table value {"&amp;COLUMN($D$1)&amp;"}"</f>
        <v>!S.25.01.01.02 Table value {4}</v>
      </c>
    </row>
    <row r="31" spans="2:12">
      <c r="B31" t="s">
        <v>3111</v>
      </c>
    </row>
    <row r="32" spans="2:12">
      <c r="B32" s="40" t="s">
        <v>4622</v>
      </c>
      <c r="C32" s="53" t="s">
        <v>3113</v>
      </c>
      <c r="D32" s="51"/>
    </row>
    <row r="33" spans="2:12">
      <c r="K33" s="13" t="str">
        <f>Show!$B$115&amp;Show!$B$115&amp;"S.25.01.01.02 Table label {"&amp;COLUMN($C$1)&amp;"}"</f>
        <v>!!S.25.01.01.02 Table label {3}</v>
      </c>
      <c r="L33" s="13" t="str">
        <f>Show!$B$115&amp;Show!$B$115&amp;"S.25.01.01.02 Table value {"&amp;COLUMN($D$1)&amp;"}"</f>
        <v>!!S.25.01.01.02 Table value {4}</v>
      </c>
    </row>
    <row r="35" spans="2:12">
      <c r="D35" s="98" t="s">
        <v>2877</v>
      </c>
    </row>
    <row r="36" spans="2:12">
      <c r="D36" s="100"/>
    </row>
    <row r="37" spans="2:12">
      <c r="D37" s="98" t="s">
        <v>4635</v>
      </c>
    </row>
    <row r="38" spans="2:12">
      <c r="D38" s="100"/>
    </row>
    <row r="39" spans="2:12">
      <c r="D39" s="45" t="s">
        <v>3239</v>
      </c>
      <c r="K39" s="13" t="str">
        <f>Show!$B$115&amp;"S.25.01.01.02 Rows {"&amp;COLUMN($C$1)&amp;"}"&amp;"@ForceFilingCode:true"</f>
        <v>!S.25.01.01.02 Rows {3}@ForceFilingCode:true</v>
      </c>
      <c r="L39" s="13" t="str">
        <f>Show!$B$115&amp;"S.25.01.01.02 Columns {"&amp;COLUMN($D$1)&amp;"}"</f>
        <v>!S.25.01.01.02 Columns {4}</v>
      </c>
    </row>
    <row r="40" spans="2:12">
      <c r="B40" s="43" t="s">
        <v>2880</v>
      </c>
      <c r="C40" s="44" t="s">
        <v>2878</v>
      </c>
      <c r="D40" s="46"/>
    </row>
    <row r="41" spans="2:12">
      <c r="B41" s="47" t="s">
        <v>4636</v>
      </c>
      <c r="C41" s="41" t="s">
        <v>2903</v>
      </c>
      <c r="D41" s="60"/>
    </row>
    <row r="42" spans="2:12">
      <c r="B42" s="47" t="s">
        <v>4637</v>
      </c>
      <c r="C42" s="41" t="s">
        <v>2905</v>
      </c>
      <c r="D42" s="60"/>
    </row>
    <row r="43" spans="2:12">
      <c r="B43" s="47" t="s">
        <v>4638</v>
      </c>
      <c r="C43" s="41" t="s">
        <v>2907</v>
      </c>
      <c r="D43" s="60"/>
    </row>
    <row r="44" spans="2:12">
      <c r="B44" s="47" t="s">
        <v>4639</v>
      </c>
      <c r="C44" s="41" t="s">
        <v>2909</v>
      </c>
      <c r="D44" s="60"/>
    </row>
    <row r="45" spans="2:12" ht="30">
      <c r="B45" s="47" t="s">
        <v>4640</v>
      </c>
      <c r="C45" s="41" t="s">
        <v>2911</v>
      </c>
      <c r="D45" s="60"/>
    </row>
    <row r="46" spans="2:12">
      <c r="B46" s="47" t="s">
        <v>4641</v>
      </c>
      <c r="C46" s="41" t="s">
        <v>2919</v>
      </c>
      <c r="D46" s="60"/>
    </row>
    <row r="47" spans="2:12">
      <c r="B47" s="47" t="s">
        <v>4642</v>
      </c>
      <c r="C47" s="41" t="s">
        <v>2921</v>
      </c>
      <c r="D47" s="60"/>
    </row>
    <row r="48" spans="2:12">
      <c r="B48" s="47" t="s">
        <v>4643</v>
      </c>
      <c r="C48" s="41" t="s">
        <v>2923</v>
      </c>
      <c r="D48" s="63"/>
    </row>
    <row r="49" spans="2:12">
      <c r="B49" s="47" t="s">
        <v>4644</v>
      </c>
      <c r="C49" s="44" t="s">
        <v>2878</v>
      </c>
      <c r="D49" s="46"/>
    </row>
    <row r="50" spans="2:12">
      <c r="B50" s="49" t="s">
        <v>4645</v>
      </c>
      <c r="C50" s="41" t="s">
        <v>2959</v>
      </c>
      <c r="D50" s="60"/>
    </row>
    <row r="51" spans="2:12">
      <c r="B51" s="49" t="s">
        <v>4646</v>
      </c>
      <c r="C51" s="41" t="s">
        <v>2961</v>
      </c>
      <c r="D51" s="60"/>
    </row>
    <row r="52" spans="2:12">
      <c r="B52" s="49" t="s">
        <v>4647</v>
      </c>
      <c r="C52" s="41" t="s">
        <v>2963</v>
      </c>
      <c r="D52" s="60"/>
    </row>
    <row r="53" spans="2:12" ht="30">
      <c r="B53" s="49" t="s">
        <v>4648</v>
      </c>
      <c r="C53" s="41" t="s">
        <v>2965</v>
      </c>
      <c r="D53" s="60"/>
    </row>
    <row r="54" spans="2:12">
      <c r="B54" s="49" t="s">
        <v>4649</v>
      </c>
      <c r="C54" s="41" t="s">
        <v>2967</v>
      </c>
      <c r="D54" s="60"/>
    </row>
    <row r="55" spans="2:12">
      <c r="B55" s="49" t="s">
        <v>4650</v>
      </c>
      <c r="C55" s="41" t="s">
        <v>2969</v>
      </c>
      <c r="D55" s="51"/>
    </row>
    <row r="56" spans="2:12">
      <c r="B56" s="49" t="s">
        <v>4651</v>
      </c>
      <c r="C56" s="41" t="s">
        <v>2971</v>
      </c>
      <c r="D56" s="60"/>
    </row>
    <row r="58" spans="2:12">
      <c r="K58" s="13" t="str">
        <f>Show!$B$115&amp;Show!$B$115&amp;"S.25.01.01.02 Rows {"&amp;COLUMN($C$1)&amp;"}"</f>
        <v>!!S.25.01.01.02 Rows {3}</v>
      </c>
      <c r="L58" s="13" t="str">
        <f>Show!$B$115&amp;Show!$B$115&amp;"S.25.01.01.02 Columns {"&amp;COLUMN($D$1)&amp;"}"</f>
        <v>!!S.25.01.01.02 Columns {4}</v>
      </c>
    </row>
    <row r="60" spans="2:12" ht="18.75">
      <c r="B60" s="97" t="s">
        <v>4652</v>
      </c>
      <c r="C60" s="96"/>
      <c r="D60" s="96"/>
      <c r="E60" s="96"/>
      <c r="F60" s="96"/>
      <c r="G60" s="96"/>
      <c r="H60" s="96"/>
      <c r="I60" s="96"/>
      <c r="J60" s="96"/>
      <c r="K60" s="96"/>
      <c r="L60" s="96"/>
    </row>
    <row r="62" spans="2:12">
      <c r="B62" t="s">
        <v>3110</v>
      </c>
      <c r="K62" s="13" t="str">
        <f>Show!$B$115&amp;"S.25.01.01.03 Table label {"&amp;COLUMN($C$1)&amp;"}"</f>
        <v>!S.25.01.01.03 Table label {3}</v>
      </c>
      <c r="L62" s="13" t="str">
        <f>Show!$B$115&amp;"S.25.01.01.03 Table value {"&amp;COLUMN($D$1)&amp;"}"</f>
        <v>!S.25.01.01.03 Table value {4}</v>
      </c>
    </row>
    <row r="63" spans="2:12">
      <c r="B63" t="s">
        <v>3111</v>
      </c>
    </row>
    <row r="64" spans="2:12">
      <c r="B64" s="40" t="s">
        <v>4622</v>
      </c>
      <c r="C64" s="53" t="s">
        <v>3113</v>
      </c>
      <c r="D64" s="51"/>
    </row>
    <row r="65" spans="2:12">
      <c r="K65" s="13" t="str">
        <f>Show!$B$115&amp;Show!$B$115&amp;"S.25.01.01.03 Table label {"&amp;COLUMN($C$1)&amp;"}"</f>
        <v>!!S.25.01.01.03 Table label {3}</v>
      </c>
      <c r="L65" s="13" t="str">
        <f>Show!$B$115&amp;Show!$B$115&amp;"S.25.01.01.03 Table value {"&amp;COLUMN($D$1)&amp;"}"</f>
        <v>!!S.25.01.01.03 Table value {4}</v>
      </c>
    </row>
    <row r="67" spans="2:12">
      <c r="D67" s="98" t="s">
        <v>2877</v>
      </c>
    </row>
    <row r="68" spans="2:12">
      <c r="D68" s="100"/>
    </row>
    <row r="69" spans="2:12">
      <c r="D69" s="55" t="s">
        <v>4653</v>
      </c>
    </row>
    <row r="70" spans="2:12">
      <c r="D70" s="45" t="s">
        <v>4654</v>
      </c>
      <c r="K70" s="13" t="str">
        <f>Show!$B$115&amp;"S.25.01.01.03 Rows {"&amp;COLUMN($C$1)&amp;"}"&amp;"@ForceFilingCode:true"</f>
        <v>!S.25.01.01.03 Rows {3}@ForceFilingCode:true</v>
      </c>
      <c r="L70" s="13" t="str">
        <f>Show!$B$115&amp;"S.25.01.01.03 Columns {"&amp;COLUMN($D$1)&amp;"}"</f>
        <v>!S.25.01.01.03 Columns {4}</v>
      </c>
    </row>
    <row r="71" spans="2:12">
      <c r="B71" s="43" t="s">
        <v>2880</v>
      </c>
      <c r="C71" s="44" t="s">
        <v>2878</v>
      </c>
      <c r="D71" s="46"/>
    </row>
    <row r="72" spans="2:12">
      <c r="B72" s="47" t="s">
        <v>2562</v>
      </c>
      <c r="C72" s="41" t="s">
        <v>2995</v>
      </c>
      <c r="D72" s="51"/>
    </row>
    <row r="74" spans="2:12">
      <c r="K74" s="13" t="str">
        <f>Show!$B$115&amp;Show!$B$115&amp;"S.25.01.01.03 Rows {"&amp;COLUMN($C$1)&amp;"}"</f>
        <v>!!S.25.01.01.03 Rows {3}</v>
      </c>
      <c r="L74" s="13" t="str">
        <f>Show!$B$115&amp;Show!$B$115&amp;"S.25.01.01.03 Columns {"&amp;COLUMN($D$1)&amp;"}"</f>
        <v>!!S.25.01.01.03 Columns {4}</v>
      </c>
    </row>
    <row r="76" spans="2:12" ht="18.75">
      <c r="B76" s="97" t="s">
        <v>4655</v>
      </c>
      <c r="C76" s="96"/>
      <c r="D76" s="96"/>
      <c r="E76" s="96"/>
      <c r="F76" s="96"/>
      <c r="G76" s="96"/>
      <c r="H76" s="96"/>
      <c r="I76" s="96"/>
      <c r="J76" s="96"/>
      <c r="K76" s="96"/>
      <c r="L76" s="96"/>
    </row>
    <row r="78" spans="2:12">
      <c r="B78" t="s">
        <v>3110</v>
      </c>
      <c r="K78" s="13" t="str">
        <f>Show!$B$115&amp;"S.25.01.01.04 Table label {"&amp;COLUMN($C$1)&amp;"}"</f>
        <v>!S.25.01.01.04 Table label {3}</v>
      </c>
      <c r="L78" s="13" t="str">
        <f>Show!$B$115&amp;"S.25.01.01.04 Table value {"&amp;COLUMN($D$1)&amp;"}"</f>
        <v>!S.25.01.01.04 Table value {4}</v>
      </c>
    </row>
    <row r="79" spans="2:12">
      <c r="B79" t="s">
        <v>3111</v>
      </c>
    </row>
    <row r="80" spans="2:12">
      <c r="B80" s="40" t="s">
        <v>4622</v>
      </c>
      <c r="C80" s="53" t="s">
        <v>3113</v>
      </c>
      <c r="D80" s="51"/>
    </row>
    <row r="81" spans="2:12">
      <c r="K81" s="13" t="str">
        <f>Show!$B$115&amp;Show!$B$115&amp;"S.25.01.01.04 Table label {"&amp;COLUMN($C$1)&amp;"}"</f>
        <v>!!S.25.01.01.04 Table label {3}</v>
      </c>
      <c r="L81" s="13" t="str">
        <f>Show!$B$115&amp;Show!$B$115&amp;"S.25.01.01.04 Table value {"&amp;COLUMN($D$1)&amp;"}"</f>
        <v>!!S.25.01.01.04 Table value {4}</v>
      </c>
    </row>
    <row r="83" spans="2:12">
      <c r="D83" s="101" t="s">
        <v>2877</v>
      </c>
      <c r="E83" s="103"/>
    </row>
    <row r="84" spans="2:12">
      <c r="D84" s="104"/>
      <c r="E84" s="106"/>
    </row>
    <row r="85" spans="2:12">
      <c r="D85" s="98" t="s">
        <v>4656</v>
      </c>
      <c r="E85" s="98" t="s">
        <v>4657</v>
      </c>
    </row>
    <row r="86" spans="2:12">
      <c r="D86" s="100"/>
      <c r="E86" s="100"/>
    </row>
    <row r="87" spans="2:12">
      <c r="D87" s="45" t="s">
        <v>3241</v>
      </c>
      <c r="E87" s="45" t="s">
        <v>3243</v>
      </c>
      <c r="K87" s="13" t="str">
        <f>Show!$B$115&amp;"S.25.01.01.04 Rows {"&amp;COLUMN($C$1)&amp;"}"&amp;"@ForceFilingCode:true"</f>
        <v>!S.25.01.01.04 Rows {3}@ForceFilingCode:true</v>
      </c>
      <c r="L87" s="13" t="str">
        <f>Show!$B$115&amp;"S.25.01.01.04 Columns {"&amp;COLUMN($D$1)&amp;"}"</f>
        <v>!S.25.01.01.04 Columns {4}</v>
      </c>
    </row>
    <row r="88" spans="2:12">
      <c r="B88" s="43" t="s">
        <v>2880</v>
      </c>
      <c r="C88" s="44" t="s">
        <v>2878</v>
      </c>
      <c r="D88" s="56"/>
      <c r="E88" s="57"/>
    </row>
    <row r="89" spans="2:12">
      <c r="B89" s="47" t="s">
        <v>4658</v>
      </c>
      <c r="C89" s="41" t="s">
        <v>2997</v>
      </c>
      <c r="D89" s="60"/>
      <c r="E89" s="60"/>
    </row>
    <row r="90" spans="2:12">
      <c r="B90" s="49" t="s">
        <v>4659</v>
      </c>
      <c r="C90" s="41" t="s">
        <v>2999</v>
      </c>
      <c r="D90" s="60"/>
      <c r="E90" s="60"/>
    </row>
    <row r="91" spans="2:12">
      <c r="B91" s="49" t="s">
        <v>4660</v>
      </c>
      <c r="C91" s="41" t="s">
        <v>3001</v>
      </c>
      <c r="D91" s="60"/>
      <c r="E91" s="60"/>
    </row>
    <row r="92" spans="2:12">
      <c r="B92" s="47" t="s">
        <v>4661</v>
      </c>
      <c r="C92" s="41" t="s">
        <v>3003</v>
      </c>
      <c r="D92" s="60"/>
      <c r="E92" s="60"/>
    </row>
    <row r="94" spans="2:12">
      <c r="K94" s="13" t="str">
        <f>Show!$B$115&amp;Show!$B$115&amp;"S.25.01.01.04 Rows {"&amp;COLUMN($C$1)&amp;"}"</f>
        <v>!!S.25.01.01.04 Rows {3}</v>
      </c>
      <c r="L94" s="13" t="str">
        <f>Show!$B$115&amp;Show!$B$115&amp;"S.25.01.01.04 Columns {"&amp;COLUMN($E$1)&amp;"}"</f>
        <v>!!S.25.01.01.04 Columns {5}</v>
      </c>
    </row>
    <row r="96" spans="2:12" ht="18.75">
      <c r="B96" s="97" t="s">
        <v>4662</v>
      </c>
      <c r="C96" s="96"/>
      <c r="D96" s="96"/>
      <c r="E96" s="96"/>
      <c r="F96" s="96"/>
      <c r="G96" s="96"/>
      <c r="H96" s="96"/>
      <c r="I96" s="96"/>
      <c r="J96" s="96"/>
      <c r="K96" s="96"/>
      <c r="L96" s="96"/>
    </row>
    <row r="98" spans="2:12">
      <c r="B98" t="s">
        <v>3110</v>
      </c>
      <c r="K98" s="13" t="str">
        <f>Show!$B$115&amp;"S.25.01.01.05 Table label {"&amp;COLUMN($C$1)&amp;"}"</f>
        <v>!S.25.01.01.05 Table label {3}</v>
      </c>
      <c r="L98" s="13" t="str">
        <f>Show!$B$115&amp;"S.25.01.01.05 Table value {"&amp;COLUMN($D$1)&amp;"}"</f>
        <v>!S.25.01.01.05 Table value {4}</v>
      </c>
    </row>
    <row r="99" spans="2:12">
      <c r="B99" t="s">
        <v>3111</v>
      </c>
    </row>
    <row r="100" spans="2:12">
      <c r="B100" s="40" t="s">
        <v>4622</v>
      </c>
      <c r="C100" s="53" t="s">
        <v>3113</v>
      </c>
      <c r="D100" s="51"/>
    </row>
    <row r="101" spans="2:12">
      <c r="K101" s="13" t="str">
        <f>Show!$B$115&amp;Show!$B$115&amp;"S.25.01.01.05 Table label {"&amp;COLUMN($C$1)&amp;"}"</f>
        <v>!!S.25.01.01.05 Table label {3}</v>
      </c>
      <c r="L101" s="13" t="str">
        <f>Show!$B$115&amp;Show!$B$115&amp;"S.25.01.01.05 Table value {"&amp;COLUMN($D$1)&amp;"}"</f>
        <v>!!S.25.01.01.05 Table value {4}</v>
      </c>
    </row>
    <row r="103" spans="2:12">
      <c r="D103" s="98" t="s">
        <v>2877</v>
      </c>
    </row>
    <row r="104" spans="2:12">
      <c r="D104" s="100"/>
    </row>
    <row r="105" spans="2:12">
      <c r="D105" s="98" t="s">
        <v>4663</v>
      </c>
    </row>
    <row r="106" spans="2:12">
      <c r="D106" s="100"/>
    </row>
    <row r="107" spans="2:12">
      <c r="D107" s="45" t="s">
        <v>3375</v>
      </c>
      <c r="K107" s="13" t="str">
        <f>Show!$B$115&amp;"S.25.01.01.05 Rows {"&amp;COLUMN($C$1)&amp;"}"&amp;"@ForceFilingCode:true"</f>
        <v>!S.25.01.01.05 Rows {3}@ForceFilingCode:true</v>
      </c>
      <c r="L107" s="13" t="str">
        <f>Show!$B$115&amp;"S.25.01.01.05 Columns {"&amp;COLUMN($D$1)&amp;"}"</f>
        <v>!S.25.01.01.05 Columns {4}</v>
      </c>
    </row>
    <row r="108" spans="2:12">
      <c r="B108" s="43" t="s">
        <v>2880</v>
      </c>
      <c r="C108" s="44" t="s">
        <v>2878</v>
      </c>
      <c r="D108" s="46"/>
    </row>
    <row r="109" spans="2:12">
      <c r="B109" s="47" t="s">
        <v>4663</v>
      </c>
      <c r="C109" s="41" t="s">
        <v>3005</v>
      </c>
      <c r="D109" s="60"/>
    </row>
    <row r="110" spans="2:12">
      <c r="B110" s="49" t="s">
        <v>4664</v>
      </c>
      <c r="C110" s="41" t="s">
        <v>3007</v>
      </c>
      <c r="D110" s="60"/>
    </row>
    <row r="111" spans="2:12">
      <c r="B111" s="49" t="s">
        <v>4665</v>
      </c>
      <c r="C111" s="41" t="s">
        <v>3009</v>
      </c>
      <c r="D111" s="60"/>
    </row>
    <row r="112" spans="2:12">
      <c r="B112" s="49" t="s">
        <v>4666</v>
      </c>
      <c r="C112" s="41" t="s">
        <v>3011</v>
      </c>
      <c r="D112" s="60"/>
    </row>
    <row r="113" spans="2:12">
      <c r="B113" s="49" t="s">
        <v>4667</v>
      </c>
      <c r="C113" s="41" t="s">
        <v>3013</v>
      </c>
      <c r="D113" s="60"/>
    </row>
    <row r="114" spans="2:12">
      <c r="B114" s="49" t="s">
        <v>4668</v>
      </c>
      <c r="C114" s="41" t="s">
        <v>3015</v>
      </c>
      <c r="D114" s="60"/>
    </row>
    <row r="116" spans="2:12">
      <c r="K116" s="13" t="str">
        <f>Show!$B$115&amp;Show!$B$115&amp;"S.25.01.01.05 Rows {"&amp;COLUMN($C$1)&amp;"}"</f>
        <v>!!S.25.01.01.05 Rows {3}</v>
      </c>
      <c r="L116" s="13" t="str">
        <f>Show!$B$115&amp;Show!$B$115&amp;"S.25.01.01.05 Columns {"&amp;COLUMN($D$1)&amp;"}"</f>
        <v>!!S.25.01.01.05 Columns {4}</v>
      </c>
    </row>
  </sheetData>
  <sheetProtection sheet="1" objects="1" scenarios="1"/>
  <mergeCells count="15">
    <mergeCell ref="B96:L96"/>
    <mergeCell ref="D103:D104"/>
    <mergeCell ref="D105:D106"/>
    <mergeCell ref="B60:L60"/>
    <mergeCell ref="D67:D68"/>
    <mergeCell ref="B76:L76"/>
    <mergeCell ref="D83:E84"/>
    <mergeCell ref="D85:D86"/>
    <mergeCell ref="E85:E86"/>
    <mergeCell ref="D37:D38"/>
    <mergeCell ref="B2:O2"/>
    <mergeCell ref="B5:L5"/>
    <mergeCell ref="D12:F13"/>
    <mergeCell ref="B28:L28"/>
    <mergeCell ref="D35:D36"/>
  </mergeCells>
  <dataValidations count="3">
    <dataValidation type="list" errorStyle="warning" allowBlank="1" showInputMessage="1" showErrorMessage="1" sqref="D9 D32 D64 D80 D100" xr:uid="{38D3D63F-9EAE-4474-9A0E-B83FBE617F86}">
      <formula1>hier_AO_1</formula1>
    </dataValidation>
    <dataValidation type="list" errorStyle="warning" allowBlank="1" showInputMessage="1" showErrorMessage="1" sqref="D55" xr:uid="{10D9DF30-B5BB-4030-A28C-0797A735C147}">
      <formula1>hier_AP_18</formula1>
    </dataValidation>
    <dataValidation type="list" errorStyle="warning" allowBlank="1" showInputMessage="1" showErrorMessage="1" sqref="D72" xr:uid="{BC86C32B-BC90-4C3E-9604-C079D574155A}">
      <formula1>hier_AP_24</formula1>
    </dataValidation>
  </dataValidation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0F4F-E138-4F3A-8C2A-6F52911B60ED}">
  <sheetPr codeName="Blad120"/>
  <dimension ref="B2:O70"/>
  <sheetViews>
    <sheetView showGridLines="0" workbookViewId="0"/>
  </sheetViews>
  <sheetFormatPr defaultRowHeight="15"/>
  <cols>
    <col min="2" max="2" width="84.42578125" bestFit="1" customWidth="1"/>
    <col min="4" max="6" width="15.7109375" customWidth="1"/>
  </cols>
  <sheetData>
    <row r="2" spans="2:15" ht="23.25">
      <c r="B2" s="95" t="s">
        <v>689</v>
      </c>
      <c r="C2" s="96"/>
      <c r="D2" s="96"/>
      <c r="E2" s="96"/>
      <c r="F2" s="96"/>
      <c r="G2" s="96"/>
      <c r="H2" s="96"/>
      <c r="I2" s="96"/>
      <c r="J2" s="96"/>
      <c r="K2" s="96"/>
      <c r="L2" s="96"/>
      <c r="M2" s="96"/>
      <c r="N2" s="96"/>
      <c r="O2" s="96"/>
    </row>
    <row r="5" spans="2:15" ht="18.75">
      <c r="B5" s="97" t="s">
        <v>4669</v>
      </c>
      <c r="C5" s="96"/>
      <c r="D5" s="96"/>
      <c r="E5" s="96"/>
      <c r="F5" s="96"/>
      <c r="G5" s="96"/>
      <c r="H5" s="96"/>
      <c r="I5" s="96"/>
      <c r="J5" s="96"/>
      <c r="K5" s="96"/>
      <c r="L5" s="96"/>
    </row>
    <row r="7" spans="2:15">
      <c r="B7" t="s">
        <v>3110</v>
      </c>
      <c r="K7" s="13" t="str">
        <f>Show!$B$116&amp;"S.25.01.04.01 Table label {"&amp;COLUMN($C$1)&amp;"}"</f>
        <v>!S.25.01.04.01 Table label {3}</v>
      </c>
      <c r="L7" s="13" t="str">
        <f>Show!$B$116&amp;"S.25.01.04.01 Table value {"&amp;COLUMN($D$1)&amp;"}"</f>
        <v>!S.25.01.04.01 Table value {4}</v>
      </c>
    </row>
    <row r="8" spans="2:15">
      <c r="B8" t="s">
        <v>3111</v>
      </c>
    </row>
    <row r="9" spans="2:15">
      <c r="B9" s="40" t="s">
        <v>4622</v>
      </c>
      <c r="C9" s="53" t="s">
        <v>3113</v>
      </c>
      <c r="D9" s="51"/>
    </row>
    <row r="10" spans="2:15">
      <c r="K10" s="13" t="str">
        <f>Show!$B$116&amp;Show!$B$116&amp;"S.25.01.04.01 Table label {"&amp;COLUMN($C$1)&amp;"}"</f>
        <v>!!S.25.01.04.01 Table label {3}</v>
      </c>
      <c r="L10" s="13" t="str">
        <f>Show!$B$116&amp;Show!$B$116&amp;"S.25.01.04.01 Table value {"&amp;COLUMN($D$1)&amp;"}"</f>
        <v>!!S.25.01.04.01 Table value {4}</v>
      </c>
    </row>
    <row r="12" spans="2:15">
      <c r="D12" s="101" t="s">
        <v>2877</v>
      </c>
      <c r="E12" s="102"/>
      <c r="F12" s="103"/>
    </row>
    <row r="13" spans="2:15">
      <c r="D13" s="104"/>
      <c r="E13" s="105"/>
      <c r="F13" s="106"/>
    </row>
    <row r="14" spans="2:15" ht="90">
      <c r="D14" s="55" t="s">
        <v>4623</v>
      </c>
      <c r="E14" s="55" t="s">
        <v>4624</v>
      </c>
      <c r="F14" s="55" t="s">
        <v>4625</v>
      </c>
    </row>
    <row r="15" spans="2:15">
      <c r="D15" s="45" t="s">
        <v>3225</v>
      </c>
      <c r="E15" s="45" t="s">
        <v>3223</v>
      </c>
      <c r="F15" s="45" t="s">
        <v>3229</v>
      </c>
      <c r="K15" s="13" t="str">
        <f>Show!$B$116&amp;"S.25.01.04.01 Rows {"&amp;COLUMN($C$1)&amp;"}"&amp;"@ForceFilingCode:true"</f>
        <v>!S.25.01.04.01 Rows {3}@ForceFilingCode:true</v>
      </c>
      <c r="L15" s="13" t="str">
        <f>Show!$B$116&amp;"S.25.01.04.01 Columns {"&amp;COLUMN($D$1)&amp;"}"</f>
        <v>!S.25.01.04.01 Columns {4}</v>
      </c>
    </row>
    <row r="16" spans="2:15">
      <c r="B16" s="43" t="s">
        <v>2880</v>
      </c>
      <c r="C16" s="44" t="s">
        <v>2878</v>
      </c>
      <c r="D16" s="56"/>
      <c r="E16" s="66"/>
      <c r="F16" s="57"/>
    </row>
    <row r="17" spans="2:12">
      <c r="B17" s="47" t="s">
        <v>4626</v>
      </c>
      <c r="C17" s="41" t="s">
        <v>2883</v>
      </c>
      <c r="D17" s="60"/>
      <c r="E17" s="60"/>
      <c r="F17" s="60"/>
    </row>
    <row r="18" spans="2:12">
      <c r="B18" s="47" t="s">
        <v>4627</v>
      </c>
      <c r="C18" s="41" t="s">
        <v>2885</v>
      </c>
      <c r="D18" s="60"/>
      <c r="E18" s="60"/>
      <c r="F18" s="60"/>
    </row>
    <row r="19" spans="2:12">
      <c r="B19" s="47" t="s">
        <v>4628</v>
      </c>
      <c r="C19" s="41" t="s">
        <v>2887</v>
      </c>
      <c r="D19" s="60"/>
      <c r="E19" s="60"/>
      <c r="F19" s="60"/>
    </row>
    <row r="20" spans="2:12">
      <c r="B20" s="47" t="s">
        <v>4629</v>
      </c>
      <c r="C20" s="41" t="s">
        <v>2889</v>
      </c>
      <c r="D20" s="60"/>
      <c r="E20" s="60"/>
      <c r="F20" s="60"/>
    </row>
    <row r="21" spans="2:12">
      <c r="B21" s="47" t="s">
        <v>4630</v>
      </c>
      <c r="C21" s="41" t="s">
        <v>3078</v>
      </c>
      <c r="D21" s="60"/>
      <c r="E21" s="60"/>
      <c r="F21" s="63"/>
    </row>
    <row r="22" spans="2:12">
      <c r="B22" s="47" t="s">
        <v>4631</v>
      </c>
      <c r="C22" s="41" t="s">
        <v>2891</v>
      </c>
      <c r="D22" s="60"/>
      <c r="E22" s="64"/>
      <c r="F22" s="48"/>
    </row>
    <row r="23" spans="2:12">
      <c r="B23" s="47" t="s">
        <v>4632</v>
      </c>
      <c r="C23" s="41" t="s">
        <v>2893</v>
      </c>
      <c r="D23" s="60"/>
      <c r="E23" s="64"/>
      <c r="F23" s="48"/>
    </row>
    <row r="24" spans="2:12">
      <c r="B24" s="47" t="s">
        <v>4633</v>
      </c>
      <c r="C24" s="41" t="s">
        <v>2899</v>
      </c>
      <c r="D24" s="60"/>
      <c r="E24" s="64"/>
      <c r="F24" s="46"/>
    </row>
    <row r="26" spans="2:12">
      <c r="K26" s="13" t="str">
        <f>Show!$B$116&amp;Show!$B$116&amp;"S.25.01.04.01 Rows {"&amp;COLUMN($C$1)&amp;"}"</f>
        <v>!!S.25.01.04.01 Rows {3}</v>
      </c>
      <c r="L26" s="13" t="str">
        <f>Show!$B$116&amp;Show!$B$116&amp;"S.25.01.04.01 Columns {"&amp;COLUMN($F$1)&amp;"}"</f>
        <v>!!S.25.01.04.01 Columns {6}</v>
      </c>
    </row>
    <row r="28" spans="2:12" ht="18.75">
      <c r="B28" s="97" t="s">
        <v>4670</v>
      </c>
      <c r="C28" s="96"/>
      <c r="D28" s="96"/>
      <c r="E28" s="96"/>
      <c r="F28" s="96"/>
      <c r="G28" s="96"/>
      <c r="H28" s="96"/>
      <c r="I28" s="96"/>
      <c r="J28" s="96"/>
      <c r="K28" s="96"/>
      <c r="L28" s="96"/>
    </row>
    <row r="30" spans="2:12">
      <c r="B30" t="s">
        <v>3110</v>
      </c>
      <c r="K30" s="13" t="str">
        <f>Show!$B$116&amp;"S.25.01.04.02 Table label {"&amp;COLUMN($C$1)&amp;"}"</f>
        <v>!S.25.01.04.02 Table label {3}</v>
      </c>
      <c r="L30" s="13" t="str">
        <f>Show!$B$116&amp;"S.25.01.04.02 Table value {"&amp;COLUMN($D$1)&amp;"}"</f>
        <v>!S.25.01.04.02 Table value {4}</v>
      </c>
    </row>
    <row r="31" spans="2:12">
      <c r="B31" t="s">
        <v>3111</v>
      </c>
    </row>
    <row r="32" spans="2:12">
      <c r="B32" s="40" t="s">
        <v>4622</v>
      </c>
      <c r="C32" s="53" t="s">
        <v>3113</v>
      </c>
      <c r="D32" s="51"/>
    </row>
    <row r="33" spans="2:12">
      <c r="K33" s="13" t="str">
        <f>Show!$B$116&amp;Show!$B$116&amp;"S.25.01.04.02 Table label {"&amp;COLUMN($C$1)&amp;"}"</f>
        <v>!!S.25.01.04.02 Table label {3}</v>
      </c>
      <c r="L33" s="13" t="str">
        <f>Show!$B$116&amp;Show!$B$116&amp;"S.25.01.04.02 Table value {"&amp;COLUMN($D$1)&amp;"}"</f>
        <v>!!S.25.01.04.02 Table value {4}</v>
      </c>
    </row>
    <row r="35" spans="2:12">
      <c r="D35" s="98" t="s">
        <v>2877</v>
      </c>
    </row>
    <row r="36" spans="2:12">
      <c r="D36" s="100"/>
    </row>
    <row r="37" spans="2:12">
      <c r="D37" s="98" t="s">
        <v>4635</v>
      </c>
    </row>
    <row r="38" spans="2:12">
      <c r="D38" s="99"/>
    </row>
    <row r="39" spans="2:12">
      <c r="D39" s="100"/>
    </row>
    <row r="40" spans="2:12">
      <c r="D40" s="45" t="s">
        <v>3239</v>
      </c>
      <c r="K40" s="13" t="str">
        <f>Show!$B$116&amp;"S.25.01.04.02 Rows {"&amp;COLUMN($C$1)&amp;"}"&amp;"@ForceFilingCode:true"</f>
        <v>!S.25.01.04.02 Rows {3}@ForceFilingCode:true</v>
      </c>
      <c r="L40" s="13" t="str">
        <f>Show!$B$116&amp;"S.25.01.04.02 Columns {"&amp;COLUMN($D$1)&amp;"}"</f>
        <v>!S.25.01.04.02 Columns {4}</v>
      </c>
    </row>
    <row r="41" spans="2:12">
      <c r="B41" s="43" t="s">
        <v>2880</v>
      </c>
      <c r="C41" s="44" t="s">
        <v>2878</v>
      </c>
      <c r="D41" s="46"/>
    </row>
    <row r="42" spans="2:12">
      <c r="B42" s="47" t="s">
        <v>4636</v>
      </c>
      <c r="C42" s="41" t="s">
        <v>2903</v>
      </c>
      <c r="D42" s="60"/>
    </row>
    <row r="43" spans="2:12">
      <c r="B43" s="47" t="s">
        <v>4637</v>
      </c>
      <c r="C43" s="41" t="s">
        <v>2905</v>
      </c>
      <c r="D43" s="60"/>
    </row>
    <row r="44" spans="2:12">
      <c r="B44" s="47" t="s">
        <v>4638</v>
      </c>
      <c r="C44" s="41" t="s">
        <v>2907</v>
      </c>
      <c r="D44" s="60"/>
    </row>
    <row r="45" spans="2:12">
      <c r="B45" s="47" t="s">
        <v>4639</v>
      </c>
      <c r="C45" s="41" t="s">
        <v>2909</v>
      </c>
      <c r="D45" s="60"/>
    </row>
    <row r="46" spans="2:12" ht="30">
      <c r="B46" s="47" t="s">
        <v>4640</v>
      </c>
      <c r="C46" s="41" t="s">
        <v>2911</v>
      </c>
      <c r="D46" s="60"/>
    </row>
    <row r="47" spans="2:12">
      <c r="B47" s="47" t="s">
        <v>4641</v>
      </c>
      <c r="C47" s="41" t="s">
        <v>2919</v>
      </c>
      <c r="D47" s="60"/>
    </row>
    <row r="48" spans="2:12">
      <c r="B48" s="47" t="s">
        <v>4671</v>
      </c>
      <c r="C48" s="41" t="s">
        <v>2921</v>
      </c>
      <c r="D48" s="60"/>
    </row>
    <row r="49" spans="2:4">
      <c r="B49" s="47" t="s">
        <v>4672</v>
      </c>
      <c r="C49" s="41" t="s">
        <v>2923</v>
      </c>
      <c r="D49" s="63"/>
    </row>
    <row r="50" spans="2:4">
      <c r="B50" s="47" t="s">
        <v>4644</v>
      </c>
      <c r="C50" s="44" t="s">
        <v>2878</v>
      </c>
      <c r="D50" s="46"/>
    </row>
    <row r="51" spans="2:4">
      <c r="B51" s="49" t="s">
        <v>4645</v>
      </c>
      <c r="C51" s="41" t="s">
        <v>2959</v>
      </c>
      <c r="D51" s="60"/>
    </row>
    <row r="52" spans="2:4">
      <c r="B52" s="49" t="s">
        <v>4646</v>
      </c>
      <c r="C52" s="41" t="s">
        <v>2961</v>
      </c>
      <c r="D52" s="60"/>
    </row>
    <row r="53" spans="2:4">
      <c r="B53" s="49" t="s">
        <v>4647</v>
      </c>
      <c r="C53" s="41" t="s">
        <v>2963</v>
      </c>
      <c r="D53" s="60"/>
    </row>
    <row r="54" spans="2:4" ht="30">
      <c r="B54" s="49" t="s">
        <v>4648</v>
      </c>
      <c r="C54" s="41" t="s">
        <v>2965</v>
      </c>
      <c r="D54" s="60"/>
    </row>
    <row r="55" spans="2:4">
      <c r="B55" s="49" t="s">
        <v>4649</v>
      </c>
      <c r="C55" s="41" t="s">
        <v>2967</v>
      </c>
      <c r="D55" s="60"/>
    </row>
    <row r="56" spans="2:4">
      <c r="B56" s="49" t="s">
        <v>4650</v>
      </c>
      <c r="C56" s="41" t="s">
        <v>2969</v>
      </c>
      <c r="D56" s="51"/>
    </row>
    <row r="57" spans="2:4">
      <c r="B57" s="49" t="s">
        <v>4651</v>
      </c>
      <c r="C57" s="41" t="s">
        <v>2971</v>
      </c>
      <c r="D57" s="60"/>
    </row>
    <row r="58" spans="2:4">
      <c r="B58" s="49" t="s">
        <v>4673</v>
      </c>
      <c r="C58" s="41" t="s">
        <v>2973</v>
      </c>
      <c r="D58" s="63"/>
    </row>
    <row r="59" spans="2:4">
      <c r="B59" s="47" t="s">
        <v>4674</v>
      </c>
      <c r="C59" s="44" t="s">
        <v>2878</v>
      </c>
      <c r="D59" s="46"/>
    </row>
    <row r="60" spans="2:4">
      <c r="B60" s="49" t="s">
        <v>4675</v>
      </c>
      <c r="C60" s="41" t="s">
        <v>2977</v>
      </c>
      <c r="D60" s="60"/>
    </row>
    <row r="61" spans="2:4" ht="45">
      <c r="B61" s="61" t="s">
        <v>4676</v>
      </c>
      <c r="C61" s="41" t="s">
        <v>2979</v>
      </c>
      <c r="D61" s="60"/>
    </row>
    <row r="62" spans="2:4" ht="30">
      <c r="B62" s="61" t="s">
        <v>4677</v>
      </c>
      <c r="C62" s="41" t="s">
        <v>2981</v>
      </c>
      <c r="D62" s="60"/>
    </row>
    <row r="63" spans="2:4" ht="30">
      <c r="B63" s="61" t="s">
        <v>4678</v>
      </c>
      <c r="C63" s="41" t="s">
        <v>2983</v>
      </c>
      <c r="D63" s="60"/>
    </row>
    <row r="64" spans="2:4">
      <c r="B64" s="49" t="s">
        <v>4679</v>
      </c>
      <c r="C64" s="41" t="s">
        <v>2985</v>
      </c>
      <c r="D64" s="60"/>
    </row>
    <row r="65" spans="2:12">
      <c r="B65" s="49" t="s">
        <v>4680</v>
      </c>
      <c r="C65" s="41" t="s">
        <v>2987</v>
      </c>
      <c r="D65" s="63"/>
    </row>
    <row r="66" spans="2:12">
      <c r="B66" s="47" t="s">
        <v>4681</v>
      </c>
      <c r="C66" s="44" t="s">
        <v>2878</v>
      </c>
      <c r="D66" s="46"/>
    </row>
    <row r="67" spans="2:12">
      <c r="B67" s="49" t="s">
        <v>4682</v>
      </c>
      <c r="C67" s="41" t="s">
        <v>2989</v>
      </c>
      <c r="D67" s="60"/>
    </row>
    <row r="68" spans="2:12">
      <c r="B68" s="49" t="s">
        <v>4643</v>
      </c>
      <c r="C68" s="41" t="s">
        <v>2991</v>
      </c>
      <c r="D68" s="60"/>
    </row>
    <row r="70" spans="2:12">
      <c r="K70" s="13" t="str">
        <f>Show!$B$116&amp;Show!$B$116&amp;"S.25.01.04.02 Rows {"&amp;COLUMN($C$1)&amp;"}"</f>
        <v>!!S.25.01.04.02 Rows {3}</v>
      </c>
      <c r="L70" s="13" t="str">
        <f>Show!$B$116&amp;Show!$B$116&amp;"S.25.01.04.02 Columns {"&amp;COLUMN($D$1)&amp;"}"</f>
        <v>!!S.25.01.04.02 Columns {4}</v>
      </c>
    </row>
  </sheetData>
  <sheetProtection sheet="1" objects="1" scenarios="1"/>
  <mergeCells count="6">
    <mergeCell ref="D37:D39"/>
    <mergeCell ref="B2:O2"/>
    <mergeCell ref="B5:L5"/>
    <mergeCell ref="D12:F13"/>
    <mergeCell ref="B28:L28"/>
    <mergeCell ref="D35:D36"/>
  </mergeCells>
  <dataValidations count="2">
    <dataValidation type="list" errorStyle="warning" allowBlank="1" showInputMessage="1" showErrorMessage="1" sqref="D9 D32" xr:uid="{91995DB1-1BDB-4B09-BC72-217AEF085B54}">
      <formula1>hier_AO_1</formula1>
    </dataValidation>
    <dataValidation type="list" errorStyle="warning" allowBlank="1" showInputMessage="1" showErrorMessage="1" sqref="D56" xr:uid="{DD0D5122-3B4C-4438-B4DA-535B32FC1E5B}">
      <formula1>hier_AP_18</formula1>
    </dataValidation>
  </dataValidation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832A-332B-43CF-87E3-2BDD51ADF5AB}">
  <sheetPr codeName="Blad121"/>
  <dimension ref="B2:O96"/>
  <sheetViews>
    <sheetView showGridLines="0" workbookViewId="0">
      <selection activeCell="D18" sqref="D18"/>
    </sheetView>
  </sheetViews>
  <sheetFormatPr defaultRowHeight="15"/>
  <cols>
    <col min="2" max="2" width="79.42578125" bestFit="1" customWidth="1"/>
    <col min="4" max="5" width="15.7109375" customWidth="1"/>
  </cols>
  <sheetData>
    <row r="2" spans="2:15" ht="23.25">
      <c r="B2" s="95" t="s">
        <v>687</v>
      </c>
      <c r="C2" s="96"/>
      <c r="D2" s="96"/>
      <c r="E2" s="96"/>
      <c r="F2" s="96"/>
      <c r="G2" s="96"/>
      <c r="H2" s="96"/>
      <c r="I2" s="96"/>
      <c r="J2" s="96"/>
      <c r="K2" s="96"/>
      <c r="L2" s="96"/>
      <c r="M2" s="96"/>
      <c r="N2" s="96"/>
      <c r="O2" s="96"/>
    </row>
    <row r="5" spans="2:15" ht="18.75">
      <c r="B5" s="97" t="s">
        <v>4683</v>
      </c>
      <c r="C5" s="96"/>
      <c r="D5" s="96"/>
      <c r="E5" s="96"/>
      <c r="F5" s="96"/>
      <c r="G5" s="96"/>
      <c r="H5" s="96"/>
      <c r="I5" s="96"/>
      <c r="J5" s="96"/>
      <c r="K5" s="96"/>
      <c r="L5" s="96"/>
    </row>
    <row r="9" spans="2:15">
      <c r="D9" s="101" t="s">
        <v>2877</v>
      </c>
      <c r="E9" s="103"/>
    </row>
    <row r="10" spans="2:15">
      <c r="D10" s="104"/>
      <c r="E10" s="106"/>
    </row>
    <row r="11" spans="2:15" ht="45">
      <c r="D11" s="55" t="s">
        <v>4624</v>
      </c>
      <c r="E11" s="55" t="s">
        <v>4684</v>
      </c>
    </row>
    <row r="12" spans="2:15">
      <c r="D12" s="45" t="s">
        <v>3241</v>
      </c>
      <c r="E12" s="45" t="s">
        <v>3243</v>
      </c>
      <c r="J12" s="13"/>
      <c r="K12" s="13"/>
    </row>
    <row r="13" spans="2:15">
      <c r="B13" s="43" t="s">
        <v>2880</v>
      </c>
      <c r="C13" s="44" t="s">
        <v>2878</v>
      </c>
      <c r="D13" s="56"/>
      <c r="E13" s="57"/>
    </row>
    <row r="14" spans="2:15">
      <c r="B14" s="47" t="s">
        <v>4626</v>
      </c>
      <c r="C14" s="41" t="s">
        <v>2883</v>
      </c>
      <c r="D14" s="60">
        <f>'[9]S.25.01.01'!E8</f>
        <v>1515656452.6705287</v>
      </c>
      <c r="E14" s="68"/>
    </row>
    <row r="15" spans="2:15">
      <c r="B15" s="47" t="s">
        <v>4627</v>
      </c>
      <c r="C15" s="41" t="s">
        <v>2885</v>
      </c>
      <c r="D15" s="60">
        <f>'[9]S.25.01.01'!E9</f>
        <v>76817674.470967278</v>
      </c>
      <c r="E15" s="46"/>
    </row>
    <row r="16" spans="2:15">
      <c r="B16" s="47" t="s">
        <v>4628</v>
      </c>
      <c r="C16" s="41" t="s">
        <v>2887</v>
      </c>
      <c r="D16" s="60">
        <f>'[9]S.25.01.01'!E10</f>
        <v>1103905.7757543337</v>
      </c>
      <c r="E16" s="51"/>
    </row>
    <row r="17" spans="2:12">
      <c r="B17" s="47" t="s">
        <v>4629</v>
      </c>
      <c r="C17" s="41" t="s">
        <v>2889</v>
      </c>
      <c r="D17" s="60">
        <f>'[9]S.25.01.01'!E11</f>
        <v>88284724.004288644</v>
      </c>
      <c r="E17" s="51"/>
    </row>
    <row r="18" spans="2:12">
      <c r="B18" s="47" t="s">
        <v>4630</v>
      </c>
      <c r="C18" s="41" t="s">
        <v>3078</v>
      </c>
      <c r="D18" s="60">
        <f>'[9]S.25.01.01'!E12</f>
        <v>674079355.84297538</v>
      </c>
      <c r="E18" s="68"/>
    </row>
    <row r="19" spans="2:12">
      <c r="B19" s="47" t="s">
        <v>4631</v>
      </c>
      <c r="C19" s="41" t="s">
        <v>2891</v>
      </c>
      <c r="D19" s="60">
        <f>'[9]S.25.01.01'!E13</f>
        <v>-496547246.4232862</v>
      </c>
      <c r="E19" s="48"/>
    </row>
    <row r="20" spans="2:12">
      <c r="B20" s="47" t="s">
        <v>4632</v>
      </c>
      <c r="C20" s="41" t="s">
        <v>2893</v>
      </c>
      <c r="D20" s="60">
        <f>'[9]S.25.01.01'!E14</f>
        <v>0</v>
      </c>
      <c r="E20" s="48"/>
    </row>
    <row r="21" spans="2:12">
      <c r="B21" s="47" t="s">
        <v>4633</v>
      </c>
      <c r="C21" s="41" t="s">
        <v>2899</v>
      </c>
      <c r="D21" s="60">
        <f>'[9]S.25.01.01'!E15</f>
        <v>1859394866.3412282</v>
      </c>
      <c r="E21" s="46"/>
    </row>
    <row r="23" spans="2:12">
      <c r="J23" s="13"/>
      <c r="K23" s="13"/>
    </row>
    <row r="25" spans="2:12" ht="18.75">
      <c r="B25" s="97" t="s">
        <v>4685</v>
      </c>
      <c r="C25" s="96"/>
      <c r="D25" s="96"/>
      <c r="E25" s="96"/>
      <c r="F25" s="96"/>
      <c r="G25" s="96"/>
      <c r="H25" s="96"/>
      <c r="I25" s="96"/>
      <c r="J25" s="96"/>
      <c r="K25" s="96"/>
      <c r="L25" s="96"/>
    </row>
    <row r="29" spans="2:12">
      <c r="D29" s="98" t="s">
        <v>2877</v>
      </c>
    </row>
    <row r="30" spans="2:12">
      <c r="D30" s="100"/>
    </row>
    <row r="31" spans="2:12">
      <c r="D31" s="98" t="s">
        <v>4635</v>
      </c>
    </row>
    <row r="32" spans="2:12">
      <c r="D32" s="100"/>
    </row>
    <row r="33" spans="2:11">
      <c r="D33" s="45" t="s">
        <v>3239</v>
      </c>
      <c r="J33" s="13"/>
      <c r="K33" s="13"/>
    </row>
    <row r="34" spans="2:11">
      <c r="B34" s="43" t="s">
        <v>2880</v>
      </c>
      <c r="C34" s="44" t="s">
        <v>2878</v>
      </c>
      <c r="D34" s="46"/>
    </row>
    <row r="35" spans="2:11">
      <c r="B35" s="47" t="s">
        <v>4637</v>
      </c>
      <c r="C35" s="41" t="s">
        <v>2905</v>
      </c>
      <c r="D35" s="60">
        <f>'[9]S.25.01.01'!D30</f>
        <v>70612245.261742622</v>
      </c>
    </row>
    <row r="36" spans="2:11">
      <c r="B36" s="47" t="s">
        <v>4638</v>
      </c>
      <c r="C36" s="41" t="s">
        <v>2907</v>
      </c>
      <c r="D36" s="60">
        <f>'[9]S.25.01.01'!D31</f>
        <v>0</v>
      </c>
    </row>
    <row r="37" spans="2:11">
      <c r="B37" s="47" t="s">
        <v>4639</v>
      </c>
      <c r="C37" s="41" t="s">
        <v>2909</v>
      </c>
      <c r="D37" s="60">
        <f>'[9]S.25.01.01'!D32</f>
        <v>-6131375.6339710336</v>
      </c>
    </row>
    <row r="38" spans="2:11" ht="30">
      <c r="B38" s="47" t="s">
        <v>4640</v>
      </c>
      <c r="C38" s="41" t="s">
        <v>2911</v>
      </c>
      <c r="D38" s="60">
        <f>'[9]S.25.01.01'!D33</f>
        <v>0</v>
      </c>
    </row>
    <row r="39" spans="2:11">
      <c r="B39" s="47" t="s">
        <v>4641</v>
      </c>
      <c r="C39" s="41" t="s">
        <v>2919</v>
      </c>
      <c r="D39" s="60">
        <f>'[9]S.25.01.01'!D34</f>
        <v>1923875735.9689999</v>
      </c>
    </row>
    <row r="40" spans="2:11">
      <c r="B40" s="47" t="s">
        <v>4642</v>
      </c>
      <c r="C40" s="41" t="s">
        <v>2921</v>
      </c>
      <c r="D40" s="60">
        <f>'[9]S.25.01.01'!D35</f>
        <v>0</v>
      </c>
    </row>
    <row r="41" spans="2:11">
      <c r="B41" s="47" t="s">
        <v>4643</v>
      </c>
      <c r="C41" s="41" t="s">
        <v>2923</v>
      </c>
      <c r="D41" s="60">
        <f>'[9]S.25.01.01'!D36</f>
        <v>0</v>
      </c>
    </row>
    <row r="42" spans="2:11">
      <c r="B42" s="47" t="s">
        <v>4644</v>
      </c>
      <c r="C42" s="44" t="s">
        <v>2878</v>
      </c>
      <c r="D42" s="46"/>
    </row>
    <row r="43" spans="2:11">
      <c r="B43" s="49" t="s">
        <v>4645</v>
      </c>
      <c r="C43" s="41" t="s">
        <v>2959</v>
      </c>
      <c r="D43" s="60"/>
    </row>
    <row r="44" spans="2:11">
      <c r="B44" s="49" t="s">
        <v>4646</v>
      </c>
      <c r="C44" s="41" t="s">
        <v>2961</v>
      </c>
      <c r="D44" s="60"/>
    </row>
    <row r="45" spans="2:11">
      <c r="B45" s="49" t="s">
        <v>4647</v>
      </c>
      <c r="C45" s="41" t="s">
        <v>2963</v>
      </c>
      <c r="D45" s="60"/>
    </row>
    <row r="46" spans="2:11" ht="30">
      <c r="B46" s="49" t="s">
        <v>4648</v>
      </c>
      <c r="C46" s="41" t="s">
        <v>2965</v>
      </c>
      <c r="D46" s="60"/>
    </row>
    <row r="47" spans="2:11">
      <c r="B47" s="49" t="s">
        <v>4649</v>
      </c>
      <c r="C47" s="41" t="s">
        <v>2967</v>
      </c>
      <c r="D47" s="60"/>
    </row>
    <row r="49" spans="2:12">
      <c r="J49" s="13"/>
      <c r="K49" s="13"/>
    </row>
    <row r="51" spans="2:12" ht="18.75">
      <c r="B51" s="97" t="s">
        <v>4686</v>
      </c>
      <c r="C51" s="96"/>
      <c r="D51" s="96"/>
      <c r="E51" s="96"/>
      <c r="F51" s="96"/>
      <c r="G51" s="96"/>
      <c r="H51" s="96"/>
      <c r="I51" s="96"/>
      <c r="J51" s="96"/>
      <c r="K51" s="96"/>
      <c r="L51" s="96"/>
    </row>
    <row r="55" spans="2:12">
      <c r="D55" s="98" t="s">
        <v>2877</v>
      </c>
    </row>
    <row r="56" spans="2:12">
      <c r="D56" s="100"/>
    </row>
    <row r="57" spans="2:12">
      <c r="D57" s="55" t="s">
        <v>4687</v>
      </c>
    </row>
    <row r="58" spans="2:12">
      <c r="D58" s="45" t="s">
        <v>3236</v>
      </c>
      <c r="J58" s="13"/>
      <c r="K58" s="13"/>
    </row>
    <row r="59" spans="2:12">
      <c r="B59" s="43" t="s">
        <v>2880</v>
      </c>
      <c r="C59" s="44" t="s">
        <v>2878</v>
      </c>
      <c r="D59" s="46"/>
    </row>
    <row r="60" spans="2:12">
      <c r="B60" s="47" t="s">
        <v>4628</v>
      </c>
      <c r="C60" s="41" t="s">
        <v>2887</v>
      </c>
      <c r="D60" s="51"/>
    </row>
    <row r="61" spans="2:12">
      <c r="B61" s="47" t="s">
        <v>4629</v>
      </c>
      <c r="C61" s="41" t="s">
        <v>2889</v>
      </c>
      <c r="D61" s="51"/>
    </row>
    <row r="62" spans="2:12">
      <c r="B62" s="47" t="s">
        <v>4630</v>
      </c>
      <c r="C62" s="41" t="s">
        <v>3078</v>
      </c>
      <c r="D62" s="51"/>
    </row>
    <row r="64" spans="2:12">
      <c r="J64" s="13"/>
      <c r="K64" s="13"/>
    </row>
    <row r="66" spans="2:12" ht="18.75">
      <c r="B66" s="97" t="s">
        <v>4688</v>
      </c>
      <c r="C66" s="96"/>
      <c r="D66" s="96"/>
      <c r="E66" s="96"/>
      <c r="F66" s="96"/>
      <c r="G66" s="96"/>
      <c r="H66" s="96"/>
      <c r="I66" s="96"/>
      <c r="J66" s="96"/>
      <c r="K66" s="96"/>
      <c r="L66" s="96"/>
    </row>
    <row r="70" spans="2:12">
      <c r="D70" s="98" t="s">
        <v>2877</v>
      </c>
    </row>
    <row r="71" spans="2:12">
      <c r="D71" s="100"/>
    </row>
    <row r="72" spans="2:12">
      <c r="D72" s="55" t="s">
        <v>4653</v>
      </c>
    </row>
    <row r="73" spans="2:12">
      <c r="D73" s="45" t="s">
        <v>4654</v>
      </c>
      <c r="J73" s="13"/>
      <c r="K73" s="13"/>
    </row>
    <row r="74" spans="2:12">
      <c r="B74" s="43" t="s">
        <v>2880</v>
      </c>
      <c r="C74" s="44" t="s">
        <v>2878</v>
      </c>
      <c r="D74" s="46"/>
    </row>
    <row r="75" spans="2:12">
      <c r="B75" s="47" t="s">
        <v>2562</v>
      </c>
      <c r="C75" s="41" t="s">
        <v>2995</v>
      </c>
      <c r="D75" s="51"/>
    </row>
    <row r="77" spans="2:12">
      <c r="J77" s="13"/>
      <c r="K77" s="13"/>
    </row>
    <row r="79" spans="2:12" ht="18.75">
      <c r="B79" s="97" t="s">
        <v>4689</v>
      </c>
      <c r="C79" s="96"/>
      <c r="D79" s="96"/>
      <c r="E79" s="96"/>
      <c r="F79" s="96"/>
      <c r="G79" s="96"/>
      <c r="H79" s="96"/>
      <c r="I79" s="96"/>
      <c r="J79" s="96"/>
      <c r="K79" s="96"/>
      <c r="L79" s="96"/>
    </row>
    <row r="83" spans="2:11">
      <c r="D83" s="98" t="s">
        <v>2877</v>
      </c>
    </row>
    <row r="84" spans="2:11">
      <c r="D84" s="100"/>
    </row>
    <row r="85" spans="2:11">
      <c r="D85" s="98" t="s">
        <v>4663</v>
      </c>
    </row>
    <row r="86" spans="2:11">
      <c r="D86" s="100"/>
    </row>
    <row r="87" spans="2:11">
      <c r="D87" s="45" t="s">
        <v>3375</v>
      </c>
      <c r="J87" s="13"/>
      <c r="K87" s="13"/>
    </row>
    <row r="88" spans="2:11">
      <c r="B88" s="43" t="s">
        <v>2880</v>
      </c>
      <c r="C88" s="44" t="s">
        <v>2878</v>
      </c>
      <c r="D88" s="46"/>
    </row>
    <row r="89" spans="2:11">
      <c r="B89" s="47" t="s">
        <v>4663</v>
      </c>
      <c r="C89" s="41" t="s">
        <v>3005</v>
      </c>
      <c r="D89" s="60"/>
    </row>
    <row r="90" spans="2:11">
      <c r="B90" s="49" t="s">
        <v>4664</v>
      </c>
      <c r="C90" s="41" t="s">
        <v>3007</v>
      </c>
      <c r="D90" s="60"/>
    </row>
    <row r="91" spans="2:11">
      <c r="B91" s="49" t="s">
        <v>4665</v>
      </c>
      <c r="C91" s="41" t="s">
        <v>3009</v>
      </c>
      <c r="D91" s="60"/>
    </row>
    <row r="92" spans="2:11">
      <c r="B92" s="49" t="s">
        <v>4666</v>
      </c>
      <c r="C92" s="41" t="s">
        <v>3011</v>
      </c>
      <c r="D92" s="60"/>
    </row>
    <row r="93" spans="2:11">
      <c r="B93" s="49" t="s">
        <v>4667</v>
      </c>
      <c r="C93" s="41" t="s">
        <v>3013</v>
      </c>
      <c r="D93" s="60"/>
    </row>
    <row r="94" spans="2:11">
      <c r="B94" s="49" t="s">
        <v>4668</v>
      </c>
      <c r="C94" s="41" t="s">
        <v>3015</v>
      </c>
      <c r="D94" s="60"/>
    </row>
    <row r="96" spans="2:11">
      <c r="J96" s="13"/>
      <c r="K96" s="13"/>
    </row>
  </sheetData>
  <mergeCells count="13">
    <mergeCell ref="D85:D86"/>
    <mergeCell ref="B51:L51"/>
    <mergeCell ref="D55:D56"/>
    <mergeCell ref="B66:L66"/>
    <mergeCell ref="D70:D71"/>
    <mergeCell ref="B79:L79"/>
    <mergeCell ref="D83:D84"/>
    <mergeCell ref="D31:D32"/>
    <mergeCell ref="B2:O2"/>
    <mergeCell ref="B5:L5"/>
    <mergeCell ref="D9:E10"/>
    <mergeCell ref="B25:L25"/>
    <mergeCell ref="D29:D30"/>
  </mergeCells>
  <dataValidations count="1">
    <dataValidation type="list" errorStyle="warning" allowBlank="1" showInputMessage="1" showErrorMessage="1" sqref="D75" xr:uid="{6A84ABD2-E517-4659-B59A-57CC2BA42BED}">
      <formula1>hier_AP_24</formula1>
    </dataValidation>
  </dataValidation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ECB0-0440-4B79-B9BD-C6A642EDD837}">
  <sheetPr codeName="Blad122"/>
  <dimension ref="B2:O76"/>
  <sheetViews>
    <sheetView showGridLines="0" workbookViewId="0"/>
  </sheetViews>
  <sheetFormatPr defaultRowHeight="15"/>
  <cols>
    <col min="2" max="2" width="84.42578125" bestFit="1" customWidth="1"/>
    <col min="4" max="4" width="40.7109375" customWidth="1"/>
    <col min="5" max="5" width="15.7109375" customWidth="1"/>
  </cols>
  <sheetData>
    <row r="2" spans="2:15" ht="23.25">
      <c r="B2" s="95" t="s">
        <v>689</v>
      </c>
      <c r="C2" s="96"/>
      <c r="D2" s="96"/>
      <c r="E2" s="96"/>
      <c r="F2" s="96"/>
      <c r="G2" s="96"/>
      <c r="H2" s="96"/>
      <c r="I2" s="96"/>
      <c r="J2" s="96"/>
      <c r="K2" s="96"/>
      <c r="L2" s="96"/>
      <c r="M2" s="96"/>
      <c r="N2" s="96"/>
      <c r="O2" s="96"/>
    </row>
    <row r="5" spans="2:15" ht="18.75">
      <c r="B5" s="97" t="s">
        <v>4690</v>
      </c>
      <c r="C5" s="96"/>
      <c r="D5" s="96"/>
      <c r="E5" s="96"/>
      <c r="F5" s="96"/>
      <c r="G5" s="96"/>
      <c r="H5" s="96"/>
      <c r="I5" s="96"/>
      <c r="J5" s="96"/>
      <c r="K5" s="96"/>
      <c r="L5" s="96"/>
    </row>
    <row r="9" spans="2:15">
      <c r="D9" s="101" t="s">
        <v>2877</v>
      </c>
      <c r="E9" s="103"/>
    </row>
    <row r="10" spans="2:15">
      <c r="D10" s="104"/>
      <c r="E10" s="106"/>
    </row>
    <row r="11" spans="2:15">
      <c r="D11" s="55" t="s">
        <v>4624</v>
      </c>
      <c r="E11" s="55" t="s">
        <v>4684</v>
      </c>
    </row>
    <row r="12" spans="2:15">
      <c r="D12" s="45" t="s">
        <v>3241</v>
      </c>
      <c r="E12" s="45" t="s">
        <v>3243</v>
      </c>
      <c r="J12" s="13" t="str">
        <f>Show!$B$118&amp;"S.25.01.22.01 Rows {"&amp;COLUMN($C$1)&amp;"}"&amp;"@ForceFilingCode:true"</f>
        <v>!S.25.01.22.01 Rows {3}@ForceFilingCode:true</v>
      </c>
      <c r="K12" s="13" t="str">
        <f>Show!$B$118&amp;"S.25.01.22.01 Columns {"&amp;COLUMN($D$1)&amp;"}"</f>
        <v>!S.25.01.22.01 Columns {4}</v>
      </c>
    </row>
    <row r="13" spans="2:15">
      <c r="B13" s="43" t="s">
        <v>2880</v>
      </c>
      <c r="C13" s="44" t="s">
        <v>2878</v>
      </c>
      <c r="D13" s="56"/>
      <c r="E13" s="57"/>
    </row>
    <row r="14" spans="2:15">
      <c r="B14" s="47" t="s">
        <v>4626</v>
      </c>
      <c r="C14" s="41" t="s">
        <v>2883</v>
      </c>
      <c r="D14" s="60"/>
      <c r="E14" s="68"/>
    </row>
    <row r="15" spans="2:15">
      <c r="B15" s="47" t="s">
        <v>4627</v>
      </c>
      <c r="C15" s="41" t="s">
        <v>2885</v>
      </c>
      <c r="D15" s="64"/>
      <c r="E15" s="46"/>
    </row>
    <row r="16" spans="2:15">
      <c r="B16" s="47" t="s">
        <v>4628</v>
      </c>
      <c r="C16" s="41" t="s">
        <v>2887</v>
      </c>
      <c r="D16" s="60"/>
      <c r="E16" s="51"/>
    </row>
    <row r="17" spans="2:12">
      <c r="B17" s="47" t="s">
        <v>4629</v>
      </c>
      <c r="C17" s="41" t="s">
        <v>2889</v>
      </c>
      <c r="D17" s="60"/>
      <c r="E17" s="51"/>
    </row>
    <row r="18" spans="2:12">
      <c r="B18" s="47" t="s">
        <v>4630</v>
      </c>
      <c r="C18" s="41" t="s">
        <v>3078</v>
      </c>
      <c r="D18" s="60"/>
      <c r="E18" s="68"/>
    </row>
    <row r="19" spans="2:12">
      <c r="B19" s="47" t="s">
        <v>4631</v>
      </c>
      <c r="C19" s="41" t="s">
        <v>2891</v>
      </c>
      <c r="D19" s="64"/>
      <c r="E19" s="48"/>
    </row>
    <row r="20" spans="2:12">
      <c r="B20" s="47" t="s">
        <v>4632</v>
      </c>
      <c r="C20" s="41" t="s">
        <v>2893</v>
      </c>
      <c r="D20" s="64"/>
      <c r="E20" s="48"/>
    </row>
    <row r="21" spans="2:12">
      <c r="B21" s="47" t="s">
        <v>4633</v>
      </c>
      <c r="C21" s="41" t="s">
        <v>2899</v>
      </c>
      <c r="D21" s="64"/>
      <c r="E21" s="46"/>
    </row>
    <row r="23" spans="2:12">
      <c r="J23" s="13" t="str">
        <f>Show!$B$118&amp;Show!$B$118&amp;"S.25.01.22.01 Rows {"&amp;COLUMN($C$1)&amp;"}"</f>
        <v>!!S.25.01.22.01 Rows {3}</v>
      </c>
      <c r="K23" s="13" t="str">
        <f>Show!$B$118&amp;Show!$B$118&amp;"S.25.01.22.01 Columns {"&amp;COLUMN($E$1)&amp;"}"</f>
        <v>!!S.25.01.22.01 Columns {5}</v>
      </c>
    </row>
    <row r="25" spans="2:12" ht="18.75">
      <c r="B25" s="97" t="s">
        <v>4691</v>
      </c>
      <c r="C25" s="96"/>
      <c r="D25" s="96"/>
      <c r="E25" s="96"/>
      <c r="F25" s="96"/>
      <c r="G25" s="96"/>
      <c r="H25" s="96"/>
      <c r="I25" s="96"/>
      <c r="J25" s="96"/>
      <c r="K25" s="96"/>
      <c r="L25" s="96"/>
    </row>
    <row r="29" spans="2:12">
      <c r="D29" s="98" t="s">
        <v>2877</v>
      </c>
    </row>
    <row r="30" spans="2:12">
      <c r="D30" s="100"/>
    </row>
    <row r="31" spans="2:12">
      <c r="D31" s="98" t="s">
        <v>4635</v>
      </c>
    </row>
    <row r="32" spans="2:12">
      <c r="D32" s="99"/>
    </row>
    <row r="33" spans="2:11">
      <c r="D33" s="100"/>
    </row>
    <row r="34" spans="2:11">
      <c r="D34" s="45" t="s">
        <v>3239</v>
      </c>
      <c r="J34" s="13" t="str">
        <f>Show!$B$118&amp;"S.25.01.22.02 Rows {"&amp;COLUMN($C$1)&amp;"}"&amp;"@ForceFilingCode:true"</f>
        <v>!S.25.01.22.02 Rows {3}@ForceFilingCode:true</v>
      </c>
      <c r="K34" s="13" t="str">
        <f>Show!$B$118&amp;"S.25.01.22.02 Columns {"&amp;COLUMN($D$1)&amp;"}"</f>
        <v>!S.25.01.22.02 Columns {4}</v>
      </c>
    </row>
    <row r="35" spans="2:11">
      <c r="B35" s="43" t="s">
        <v>2880</v>
      </c>
      <c r="C35" s="44" t="s">
        <v>2878</v>
      </c>
      <c r="D35" s="46"/>
    </row>
    <row r="36" spans="2:11">
      <c r="B36" s="47" t="s">
        <v>4637</v>
      </c>
      <c r="C36" s="41" t="s">
        <v>2905</v>
      </c>
      <c r="D36" s="60"/>
    </row>
    <row r="37" spans="2:11">
      <c r="B37" s="47" t="s">
        <v>4638</v>
      </c>
      <c r="C37" s="41" t="s">
        <v>2907</v>
      </c>
      <c r="D37" s="60"/>
    </row>
    <row r="38" spans="2:11">
      <c r="B38" s="47" t="s">
        <v>4639</v>
      </c>
      <c r="C38" s="41" t="s">
        <v>2909</v>
      </c>
      <c r="D38" s="60"/>
    </row>
    <row r="39" spans="2:11" ht="30">
      <c r="B39" s="47" t="s">
        <v>4640</v>
      </c>
      <c r="C39" s="41" t="s">
        <v>2911</v>
      </c>
      <c r="D39" s="60"/>
    </row>
    <row r="40" spans="2:11">
      <c r="B40" s="47" t="s">
        <v>4641</v>
      </c>
      <c r="C40" s="41" t="s">
        <v>2919</v>
      </c>
      <c r="D40" s="60"/>
    </row>
    <row r="41" spans="2:11">
      <c r="B41" s="47" t="s">
        <v>4671</v>
      </c>
      <c r="C41" s="41" t="s">
        <v>2921</v>
      </c>
      <c r="D41" s="60"/>
    </row>
    <row r="42" spans="2:11">
      <c r="B42" s="47" t="s">
        <v>4672</v>
      </c>
      <c r="C42" s="41" t="s">
        <v>2923</v>
      </c>
      <c r="D42" s="63"/>
    </row>
    <row r="43" spans="2:11">
      <c r="B43" s="47" t="s">
        <v>4644</v>
      </c>
      <c r="C43" s="44" t="s">
        <v>2878</v>
      </c>
      <c r="D43" s="46"/>
    </row>
    <row r="44" spans="2:11">
      <c r="B44" s="49" t="s">
        <v>4645</v>
      </c>
      <c r="C44" s="41" t="s">
        <v>2959</v>
      </c>
      <c r="D44" s="60"/>
    </row>
    <row r="45" spans="2:11">
      <c r="B45" s="49" t="s">
        <v>4646</v>
      </c>
      <c r="C45" s="41" t="s">
        <v>2961</v>
      </c>
      <c r="D45" s="60"/>
    </row>
    <row r="46" spans="2:11">
      <c r="B46" s="49" t="s">
        <v>4647</v>
      </c>
      <c r="C46" s="41" t="s">
        <v>2963</v>
      </c>
      <c r="D46" s="60"/>
    </row>
    <row r="47" spans="2:11" ht="30">
      <c r="B47" s="49" t="s">
        <v>4648</v>
      </c>
      <c r="C47" s="41" t="s">
        <v>2965</v>
      </c>
      <c r="D47" s="60"/>
    </row>
    <row r="48" spans="2:11">
      <c r="B48" s="49" t="s">
        <v>4649</v>
      </c>
      <c r="C48" s="41" t="s">
        <v>2967</v>
      </c>
      <c r="D48" s="60"/>
    </row>
    <row r="49" spans="2:12">
      <c r="B49" s="49" t="s">
        <v>4673</v>
      </c>
      <c r="C49" s="41" t="s">
        <v>2973</v>
      </c>
      <c r="D49" s="63"/>
    </row>
    <row r="50" spans="2:12">
      <c r="B50" s="47" t="s">
        <v>4674</v>
      </c>
      <c r="C50" s="44" t="s">
        <v>2878</v>
      </c>
      <c r="D50" s="46"/>
    </row>
    <row r="51" spans="2:12">
      <c r="B51" s="49" t="s">
        <v>4675</v>
      </c>
      <c r="C51" s="41" t="s">
        <v>2977</v>
      </c>
      <c r="D51" s="60"/>
    </row>
    <row r="52" spans="2:12" ht="45">
      <c r="B52" s="61" t="s">
        <v>4676</v>
      </c>
      <c r="C52" s="41" t="s">
        <v>2979</v>
      </c>
      <c r="D52" s="60"/>
    </row>
    <row r="53" spans="2:12" ht="30">
      <c r="B53" s="61" t="s">
        <v>4677</v>
      </c>
      <c r="C53" s="41" t="s">
        <v>2981</v>
      </c>
      <c r="D53" s="60"/>
    </row>
    <row r="54" spans="2:12" ht="30">
      <c r="B54" s="47" t="s">
        <v>4678</v>
      </c>
      <c r="C54" s="41" t="s">
        <v>2983</v>
      </c>
      <c r="D54" s="60"/>
    </row>
    <row r="55" spans="2:12">
      <c r="B55" s="49" t="s">
        <v>4679</v>
      </c>
      <c r="C55" s="41" t="s">
        <v>2985</v>
      </c>
      <c r="D55" s="60"/>
    </row>
    <row r="56" spans="2:12">
      <c r="B56" s="49" t="s">
        <v>4680</v>
      </c>
      <c r="C56" s="41" t="s">
        <v>2987</v>
      </c>
      <c r="D56" s="63"/>
    </row>
    <row r="57" spans="2:12">
      <c r="B57" s="47" t="s">
        <v>4681</v>
      </c>
      <c r="C57" s="44" t="s">
        <v>2878</v>
      </c>
      <c r="D57" s="46"/>
    </row>
    <row r="58" spans="2:12">
      <c r="B58" s="49" t="s">
        <v>4682</v>
      </c>
      <c r="C58" s="41" t="s">
        <v>2989</v>
      </c>
      <c r="D58" s="60"/>
    </row>
    <row r="59" spans="2:12">
      <c r="B59" s="49" t="s">
        <v>4643</v>
      </c>
      <c r="C59" s="41" t="s">
        <v>2991</v>
      </c>
      <c r="D59" s="60"/>
    </row>
    <row r="61" spans="2:12">
      <c r="J61" s="13" t="str">
        <f>Show!$B$118&amp;Show!$B$118&amp;"S.25.01.22.02 Rows {"&amp;COLUMN($C$1)&amp;"}"</f>
        <v>!!S.25.01.22.02 Rows {3}</v>
      </c>
      <c r="K61" s="13" t="str">
        <f>Show!$B$118&amp;Show!$B$118&amp;"S.25.01.22.02 Columns {"&amp;COLUMN($D$1)&amp;"}"</f>
        <v>!!S.25.01.22.02 Columns {4}</v>
      </c>
    </row>
    <row r="63" spans="2:12" ht="18.75">
      <c r="B63" s="97" t="s">
        <v>4692</v>
      </c>
      <c r="C63" s="96"/>
      <c r="D63" s="96"/>
      <c r="E63" s="96"/>
      <c r="F63" s="96"/>
      <c r="G63" s="96"/>
      <c r="H63" s="96"/>
      <c r="I63" s="96"/>
      <c r="J63" s="96"/>
      <c r="K63" s="96"/>
      <c r="L63" s="96"/>
    </row>
    <row r="67" spans="2:11">
      <c r="D67" s="98" t="s">
        <v>2877</v>
      </c>
    </row>
    <row r="68" spans="2:11">
      <c r="D68" s="100"/>
    </row>
    <row r="69" spans="2:11">
      <c r="D69" s="55" t="s">
        <v>4687</v>
      </c>
    </row>
    <row r="70" spans="2:11">
      <c r="D70" s="45" t="s">
        <v>3236</v>
      </c>
      <c r="J70" s="13" t="str">
        <f>Show!$B$118&amp;"S.25.01.22.03 Rows {"&amp;COLUMN($C$1)&amp;"}"&amp;"@ForceFilingCode:true"</f>
        <v>!S.25.01.22.03 Rows {3}@ForceFilingCode:true</v>
      </c>
      <c r="K70" s="13" t="str">
        <f>Show!$B$118&amp;"S.25.01.22.03 Columns {"&amp;COLUMN($D$1)&amp;"}"</f>
        <v>!S.25.01.22.03 Columns {4}</v>
      </c>
    </row>
    <row r="71" spans="2:11">
      <c r="B71" s="43" t="s">
        <v>2880</v>
      </c>
      <c r="C71" s="44" t="s">
        <v>2878</v>
      </c>
      <c r="D71" s="46"/>
    </row>
    <row r="72" spans="2:11">
      <c r="B72" s="47" t="s">
        <v>4628</v>
      </c>
      <c r="C72" s="41" t="s">
        <v>2887</v>
      </c>
      <c r="D72" s="51"/>
    </row>
    <row r="73" spans="2:11">
      <c r="B73" s="47" t="s">
        <v>4629</v>
      </c>
      <c r="C73" s="41" t="s">
        <v>2889</v>
      </c>
      <c r="D73" s="51"/>
    </row>
    <row r="74" spans="2:11">
      <c r="B74" s="47" t="s">
        <v>4630</v>
      </c>
      <c r="C74" s="41" t="s">
        <v>3078</v>
      </c>
      <c r="D74" s="51"/>
    </row>
    <row r="76" spans="2:11">
      <c r="J76" s="13" t="str">
        <f>Show!$B$118&amp;Show!$B$118&amp;"S.25.01.22.03 Rows {"&amp;COLUMN($C$1)&amp;"}"</f>
        <v>!!S.25.01.22.03 Rows {3}</v>
      </c>
      <c r="K76" s="13" t="str">
        <f>Show!$B$118&amp;Show!$B$118&amp;"S.25.01.22.03 Columns {"&amp;COLUMN($D$1)&amp;"}"</f>
        <v>!!S.25.01.22.03 Columns {4}</v>
      </c>
    </row>
  </sheetData>
  <sheetProtection sheet="1" objects="1" scenarios="1"/>
  <mergeCells count="8">
    <mergeCell ref="B63:L63"/>
    <mergeCell ref="D67:D68"/>
    <mergeCell ref="B2:O2"/>
    <mergeCell ref="B5:L5"/>
    <mergeCell ref="D9:E10"/>
    <mergeCell ref="B25:L25"/>
    <mergeCell ref="D29:D30"/>
    <mergeCell ref="D31:D33"/>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869A-45C4-4A66-A64C-56ED97AA14A6}">
  <sheetPr codeName="Blad123"/>
  <dimension ref="B2:O115"/>
  <sheetViews>
    <sheetView showGridLines="0" workbookViewId="0"/>
  </sheetViews>
  <sheetFormatPr defaultRowHeight="15"/>
  <cols>
    <col min="2" max="2" width="70.5703125" bestFit="1" customWidth="1"/>
    <col min="4" max="5" width="15.7109375" customWidth="1"/>
  </cols>
  <sheetData>
    <row r="2" spans="2:15" ht="23.25">
      <c r="B2" s="95" t="s">
        <v>687</v>
      </c>
      <c r="C2" s="96"/>
      <c r="D2" s="96"/>
      <c r="E2" s="96"/>
      <c r="F2" s="96"/>
      <c r="G2" s="96"/>
      <c r="H2" s="96"/>
      <c r="I2" s="96"/>
      <c r="J2" s="96"/>
      <c r="K2" s="96"/>
      <c r="L2" s="96"/>
      <c r="M2" s="96"/>
      <c r="N2" s="96"/>
      <c r="O2" s="96"/>
    </row>
    <row r="5" spans="2:15" ht="18.75">
      <c r="B5" s="97" t="s">
        <v>4693</v>
      </c>
      <c r="C5" s="96"/>
      <c r="D5" s="96"/>
      <c r="E5" s="96"/>
      <c r="F5" s="96"/>
      <c r="G5" s="96"/>
      <c r="H5" s="96"/>
      <c r="I5" s="96"/>
      <c r="J5" s="96"/>
      <c r="K5" s="96"/>
      <c r="L5" s="96"/>
    </row>
    <row r="7" spans="2:15">
      <c r="B7" t="s">
        <v>3110</v>
      </c>
      <c r="J7" s="13" t="str">
        <f>Show!$B$119&amp;"SR.25.01.01.01 Table label {"&amp;COLUMN($C$1)&amp;"}"</f>
        <v>!SR.25.01.01.01 Table label {3}</v>
      </c>
      <c r="K7" s="13" t="str">
        <f>Show!$B$119&amp;"SR.25.01.01.01 Table value {"&amp;COLUMN($D$1)&amp;"}"</f>
        <v>!SR.25.01.01.01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J12" s="13" t="str">
        <f>Show!$B$119&amp;Show!$B$119&amp;"SR.25.01.01.01 Table label {"&amp;COLUMN($C$1)&amp;"}"</f>
        <v>!!SR.25.01.01.01 Table label {3}</v>
      </c>
      <c r="K12" s="13" t="str">
        <f>Show!$B$119&amp;Show!$B$119&amp;"SR.25.01.01.01 Table value {"&amp;COLUMN($D$1)&amp;"}"</f>
        <v>!!SR.25.01.01.01 Table value {4}</v>
      </c>
    </row>
    <row r="14" spans="2:15">
      <c r="D14" s="101" t="s">
        <v>2877</v>
      </c>
      <c r="E14" s="103"/>
    </row>
    <row r="15" spans="2:15">
      <c r="D15" s="104"/>
      <c r="E15" s="106"/>
    </row>
    <row r="16" spans="2:15" ht="45">
      <c r="D16" s="55" t="s">
        <v>4623</v>
      </c>
      <c r="E16" s="55" t="s">
        <v>4624</v>
      </c>
    </row>
    <row r="17" spans="2:12">
      <c r="D17" s="45" t="s">
        <v>3225</v>
      </c>
      <c r="E17" s="45" t="s">
        <v>3223</v>
      </c>
      <c r="J17" s="13" t="str">
        <f>Show!$B$119&amp;"SR.25.01.01.01 Rows {"&amp;COLUMN($C$1)&amp;"}"&amp;"@ForceFilingCode:true"</f>
        <v>!SR.25.01.01.01 Rows {3}@ForceFilingCode:true</v>
      </c>
      <c r="K17" s="13" t="str">
        <f>Show!$B$119&amp;"SR.25.01.01.01 Columns {"&amp;COLUMN($D$1)&amp;"}"</f>
        <v>!SR.25.01.01.01 Columns {4}</v>
      </c>
    </row>
    <row r="18" spans="2:12">
      <c r="B18" s="43" t="s">
        <v>2880</v>
      </c>
      <c r="C18" s="44" t="s">
        <v>2878</v>
      </c>
      <c r="D18" s="56"/>
      <c r="E18" s="57"/>
    </row>
    <row r="19" spans="2:12">
      <c r="B19" s="47" t="s">
        <v>4626</v>
      </c>
      <c r="C19" s="41" t="s">
        <v>2883</v>
      </c>
      <c r="D19" s="60"/>
      <c r="E19" s="60"/>
    </row>
    <row r="20" spans="2:12">
      <c r="B20" s="47" t="s">
        <v>4627</v>
      </c>
      <c r="C20" s="41" t="s">
        <v>2885</v>
      </c>
      <c r="D20" s="60"/>
      <c r="E20" s="60"/>
    </row>
    <row r="21" spans="2:12">
      <c r="B21" s="47" t="s">
        <v>4628</v>
      </c>
      <c r="C21" s="41" t="s">
        <v>2887</v>
      </c>
      <c r="D21" s="60"/>
      <c r="E21" s="60"/>
    </row>
    <row r="22" spans="2:12">
      <c r="B22" s="47" t="s">
        <v>4629</v>
      </c>
      <c r="C22" s="41" t="s">
        <v>2889</v>
      </c>
      <c r="D22" s="60"/>
      <c r="E22" s="60"/>
    </row>
    <row r="23" spans="2:12">
      <c r="B23" s="47" t="s">
        <v>4630</v>
      </c>
      <c r="C23" s="41" t="s">
        <v>3078</v>
      </c>
      <c r="D23" s="60"/>
      <c r="E23" s="60"/>
    </row>
    <row r="24" spans="2:12">
      <c r="B24" s="47" t="s">
        <v>4631</v>
      </c>
      <c r="C24" s="41" t="s">
        <v>2891</v>
      </c>
      <c r="D24" s="60"/>
      <c r="E24" s="60"/>
    </row>
    <row r="25" spans="2:12">
      <c r="B25" s="47" t="s">
        <v>4632</v>
      </c>
      <c r="C25" s="41" t="s">
        <v>2893</v>
      </c>
      <c r="D25" s="60"/>
      <c r="E25" s="60"/>
    </row>
    <row r="26" spans="2:12">
      <c r="B26" s="47" t="s">
        <v>4633</v>
      </c>
      <c r="C26" s="41" t="s">
        <v>2899</v>
      </c>
      <c r="D26" s="60"/>
      <c r="E26" s="60"/>
    </row>
    <row r="28" spans="2:12">
      <c r="J28" s="13" t="str">
        <f>Show!$B$119&amp;Show!$B$119&amp;"SR.25.01.01.01 Rows {"&amp;COLUMN($C$1)&amp;"}"</f>
        <v>!!SR.25.01.01.01 Rows {3}</v>
      </c>
      <c r="K28" s="13" t="str">
        <f>Show!$B$119&amp;Show!$B$119&amp;"SR.25.01.01.01 Columns {"&amp;COLUMN($E$1)&amp;"}"</f>
        <v>!!SR.25.01.01.01 Columns {5}</v>
      </c>
    </row>
    <row r="30" spans="2:12" ht="18.75">
      <c r="B30" s="97" t="s">
        <v>4694</v>
      </c>
      <c r="C30" s="96"/>
      <c r="D30" s="96"/>
      <c r="E30" s="96"/>
      <c r="F30" s="96"/>
      <c r="G30" s="96"/>
      <c r="H30" s="96"/>
      <c r="I30" s="96"/>
      <c r="J30" s="96"/>
      <c r="K30" s="96"/>
      <c r="L30" s="96"/>
    </row>
    <row r="32" spans="2:12">
      <c r="B32" t="s">
        <v>3110</v>
      </c>
      <c r="J32" s="13" t="str">
        <f>Show!$B$119&amp;"SR.25.01.01.02 Table label {"&amp;COLUMN($C$1)&amp;"}"</f>
        <v>!SR.25.01.01.02 Table label {3}</v>
      </c>
      <c r="K32" s="13" t="str">
        <f>Show!$B$119&amp;"SR.25.01.01.02 Table value {"&amp;COLUMN($D$1)&amp;"}"</f>
        <v>!SR.25.01.01.02 Table value {4}</v>
      </c>
    </row>
    <row r="33" spans="2:11">
      <c r="B33" t="s">
        <v>3111</v>
      </c>
    </row>
    <row r="34" spans="2:11">
      <c r="B34" s="40" t="s">
        <v>4622</v>
      </c>
      <c r="C34" s="53" t="s">
        <v>3113</v>
      </c>
      <c r="D34" s="51"/>
    </row>
    <row r="35" spans="2:11">
      <c r="B35" s="40" t="s">
        <v>3788</v>
      </c>
      <c r="C35" s="53" t="s">
        <v>3115</v>
      </c>
      <c r="D35" s="51"/>
    </row>
    <row r="36" spans="2:11">
      <c r="B36" s="40" t="s">
        <v>3114</v>
      </c>
      <c r="C36" s="53" t="s">
        <v>3323</v>
      </c>
      <c r="D36" s="50"/>
    </row>
    <row r="37" spans="2:11">
      <c r="J37" s="13" t="str">
        <f>Show!$B$119&amp;Show!$B$119&amp;"SR.25.01.01.02 Table label {"&amp;COLUMN($C$1)&amp;"}"</f>
        <v>!!SR.25.01.01.02 Table label {3}</v>
      </c>
      <c r="K37" s="13" t="str">
        <f>Show!$B$119&amp;Show!$B$119&amp;"SR.25.01.01.02 Table value {"&amp;COLUMN($D$1)&amp;"}"</f>
        <v>!!SR.25.01.01.02 Table value {4}</v>
      </c>
    </row>
    <row r="39" spans="2:11">
      <c r="D39" s="98" t="s">
        <v>2877</v>
      </c>
    </row>
    <row r="40" spans="2:11">
      <c r="D40" s="100"/>
    </row>
    <row r="41" spans="2:11">
      <c r="D41" s="98" t="s">
        <v>4635</v>
      </c>
    </row>
    <row r="42" spans="2:11">
      <c r="D42" s="100"/>
    </row>
    <row r="43" spans="2:11">
      <c r="D43" s="45" t="s">
        <v>3239</v>
      </c>
      <c r="J43" s="13" t="str">
        <f>Show!$B$119&amp;"SR.25.01.01.02 Rows {"&amp;COLUMN($C$1)&amp;"}"&amp;"@ForceFilingCode:true"</f>
        <v>!SR.25.01.01.02 Rows {3}@ForceFilingCode:true</v>
      </c>
      <c r="K43" s="13" t="str">
        <f>Show!$B$119&amp;"SR.25.01.01.02 Columns {"&amp;COLUMN($D$1)&amp;"}"</f>
        <v>!SR.25.01.01.02 Columns {4}</v>
      </c>
    </row>
    <row r="44" spans="2:11">
      <c r="B44" s="43" t="s">
        <v>2880</v>
      </c>
      <c r="C44" s="44" t="s">
        <v>2878</v>
      </c>
      <c r="D44" s="46"/>
    </row>
    <row r="45" spans="2:11">
      <c r="B45" s="47" t="s">
        <v>4637</v>
      </c>
      <c r="C45" s="41" t="s">
        <v>2905</v>
      </c>
      <c r="D45" s="60"/>
    </row>
    <row r="46" spans="2:11">
      <c r="B46" s="47" t="s">
        <v>4638</v>
      </c>
      <c r="C46" s="41" t="s">
        <v>2907</v>
      </c>
      <c r="D46" s="60"/>
    </row>
    <row r="47" spans="2:11">
      <c r="B47" s="47" t="s">
        <v>4639</v>
      </c>
      <c r="C47" s="41" t="s">
        <v>2909</v>
      </c>
      <c r="D47" s="60"/>
    </row>
    <row r="48" spans="2:11">
      <c r="B48" s="47" t="s">
        <v>711</v>
      </c>
      <c r="C48" s="41" t="s">
        <v>2919</v>
      </c>
      <c r="D48" s="60"/>
    </row>
    <row r="49" spans="2:12">
      <c r="B49" s="49" t="s">
        <v>4651</v>
      </c>
      <c r="C49" s="41" t="s">
        <v>2971</v>
      </c>
      <c r="D49" s="60"/>
    </row>
    <row r="51" spans="2:12">
      <c r="J51" s="13" t="str">
        <f>Show!$B$119&amp;Show!$B$119&amp;"SR.25.01.01.02 Rows {"&amp;COLUMN($C$1)&amp;"}"</f>
        <v>!!SR.25.01.01.02 Rows {3}</v>
      </c>
      <c r="K51" s="13" t="str">
        <f>Show!$B$119&amp;Show!$B$119&amp;"SR.25.01.01.02 Columns {"&amp;COLUMN($D$1)&amp;"}"</f>
        <v>!!SR.25.01.01.02 Columns {4}</v>
      </c>
    </row>
    <row r="53" spans="2:12" ht="18.75">
      <c r="B53" s="97" t="s">
        <v>4695</v>
      </c>
      <c r="C53" s="96"/>
      <c r="D53" s="96"/>
      <c r="E53" s="96"/>
      <c r="F53" s="96"/>
      <c r="G53" s="96"/>
      <c r="H53" s="96"/>
      <c r="I53" s="96"/>
      <c r="J53" s="96"/>
      <c r="K53" s="96"/>
      <c r="L53" s="96"/>
    </row>
    <row r="55" spans="2:12">
      <c r="B55" t="s">
        <v>3110</v>
      </c>
      <c r="J55" s="13" t="str">
        <f>Show!$B$119&amp;"SR.25.01.01.03 Table label {"&amp;COLUMN($C$1)&amp;"}"</f>
        <v>!SR.25.01.01.03 Table label {3}</v>
      </c>
      <c r="K55" s="13" t="str">
        <f>Show!$B$119&amp;"SR.25.01.01.03 Table value {"&amp;COLUMN($D$1)&amp;"}"</f>
        <v>!SR.25.01.01.03 Table value {4}</v>
      </c>
    </row>
    <row r="56" spans="2:12">
      <c r="B56" t="s">
        <v>3111</v>
      </c>
    </row>
    <row r="57" spans="2:12">
      <c r="B57" s="40" t="s">
        <v>4622</v>
      </c>
      <c r="C57" s="53" t="s">
        <v>3113</v>
      </c>
      <c r="D57" s="51"/>
    </row>
    <row r="58" spans="2:12">
      <c r="B58" s="40" t="s">
        <v>3788</v>
      </c>
      <c r="C58" s="53" t="s">
        <v>3115</v>
      </c>
      <c r="D58" s="51"/>
    </row>
    <row r="59" spans="2:12">
      <c r="B59" s="40" t="s">
        <v>3114</v>
      </c>
      <c r="C59" s="53" t="s">
        <v>3323</v>
      </c>
      <c r="D59" s="50"/>
    </row>
    <row r="60" spans="2:12">
      <c r="J60" s="13" t="str">
        <f>Show!$B$119&amp;Show!$B$119&amp;"SR.25.01.01.03 Table label {"&amp;COLUMN($C$1)&amp;"}"</f>
        <v>!!SR.25.01.01.03 Table label {3}</v>
      </c>
      <c r="K60" s="13" t="str">
        <f>Show!$B$119&amp;Show!$B$119&amp;"SR.25.01.01.03 Table value {"&amp;COLUMN($D$1)&amp;"}"</f>
        <v>!!SR.25.01.01.03 Table value {4}</v>
      </c>
    </row>
    <row r="62" spans="2:12">
      <c r="D62" s="98" t="s">
        <v>2877</v>
      </c>
    </row>
    <row r="63" spans="2:12">
      <c r="D63" s="100"/>
    </row>
    <row r="64" spans="2:12">
      <c r="D64" s="55" t="s">
        <v>4653</v>
      </c>
    </row>
    <row r="65" spans="2:12">
      <c r="D65" s="45" t="s">
        <v>4654</v>
      </c>
      <c r="J65" s="13" t="str">
        <f>Show!$B$119&amp;"SR.25.01.01.03 Rows {"&amp;COLUMN($C$1)&amp;"}"&amp;"@ForceFilingCode:true"</f>
        <v>!SR.25.01.01.03 Rows {3}@ForceFilingCode:true</v>
      </c>
      <c r="K65" s="13" t="str">
        <f>Show!$B$119&amp;"SR.25.01.01.03 Columns {"&amp;COLUMN($D$1)&amp;"}"</f>
        <v>!SR.25.01.01.03 Columns {4}</v>
      </c>
    </row>
    <row r="66" spans="2:12">
      <c r="B66" s="43" t="s">
        <v>2880</v>
      </c>
      <c r="C66" s="44" t="s">
        <v>2878</v>
      </c>
      <c r="D66" s="46"/>
    </row>
    <row r="67" spans="2:12">
      <c r="B67" s="47" t="s">
        <v>2562</v>
      </c>
      <c r="C67" s="41" t="s">
        <v>2995</v>
      </c>
      <c r="D67" s="51"/>
    </row>
    <row r="69" spans="2:12">
      <c r="J69" s="13" t="str">
        <f>Show!$B$119&amp;Show!$B$119&amp;"SR.25.01.01.03 Rows {"&amp;COLUMN($C$1)&amp;"}"</f>
        <v>!!SR.25.01.01.03 Rows {3}</v>
      </c>
      <c r="K69" s="13" t="str">
        <f>Show!$B$119&amp;Show!$B$119&amp;"SR.25.01.01.03 Columns {"&amp;COLUMN($D$1)&amp;"}"</f>
        <v>!!SR.25.01.01.03 Columns {4}</v>
      </c>
    </row>
    <row r="71" spans="2:12" ht="18.75">
      <c r="B71" s="97" t="s">
        <v>4696</v>
      </c>
      <c r="C71" s="96"/>
      <c r="D71" s="96"/>
      <c r="E71" s="96"/>
      <c r="F71" s="96"/>
      <c r="G71" s="96"/>
      <c r="H71" s="96"/>
      <c r="I71" s="96"/>
      <c r="J71" s="96"/>
      <c r="K71" s="96"/>
      <c r="L71" s="96"/>
    </row>
    <row r="73" spans="2:12">
      <c r="B73" t="s">
        <v>3110</v>
      </c>
      <c r="J73" s="13" t="str">
        <f>Show!$B$119&amp;"SR.25.01.01.04 Table label {"&amp;COLUMN($C$1)&amp;"}"</f>
        <v>!SR.25.01.01.04 Table label {3}</v>
      </c>
      <c r="K73" s="13" t="str">
        <f>Show!$B$119&amp;"SR.25.01.01.04 Table value {"&amp;COLUMN($D$1)&amp;"}"</f>
        <v>!SR.25.01.01.04 Table value {4}</v>
      </c>
    </row>
    <row r="74" spans="2:12">
      <c r="B74" t="s">
        <v>3111</v>
      </c>
    </row>
    <row r="75" spans="2:12">
      <c r="B75" s="40" t="s">
        <v>4622</v>
      </c>
      <c r="C75" s="53" t="s">
        <v>3113</v>
      </c>
      <c r="D75" s="51"/>
    </row>
    <row r="76" spans="2:12">
      <c r="B76" s="40" t="s">
        <v>3788</v>
      </c>
      <c r="C76" s="53" t="s">
        <v>3115</v>
      </c>
      <c r="D76" s="51"/>
    </row>
    <row r="77" spans="2:12">
      <c r="B77" s="40" t="s">
        <v>3114</v>
      </c>
      <c r="C77" s="53" t="s">
        <v>3323</v>
      </c>
      <c r="D77" s="50"/>
    </row>
    <row r="78" spans="2:12">
      <c r="J78" s="13" t="str">
        <f>Show!$B$119&amp;Show!$B$119&amp;"SR.25.01.01.04 Table label {"&amp;COLUMN($C$1)&amp;"}"</f>
        <v>!!SR.25.01.01.04 Table label {3}</v>
      </c>
      <c r="K78" s="13" t="str">
        <f>Show!$B$119&amp;Show!$B$119&amp;"SR.25.01.01.04 Table value {"&amp;COLUMN($D$1)&amp;"}"</f>
        <v>!!SR.25.01.01.04 Table value {4}</v>
      </c>
    </row>
    <row r="80" spans="2:12">
      <c r="D80" s="101" t="s">
        <v>2877</v>
      </c>
      <c r="E80" s="103"/>
    </row>
    <row r="81" spans="2:12">
      <c r="D81" s="104"/>
      <c r="E81" s="106"/>
    </row>
    <row r="82" spans="2:12">
      <c r="D82" s="98" t="s">
        <v>4656</v>
      </c>
      <c r="E82" s="98" t="s">
        <v>4657</v>
      </c>
    </row>
    <row r="83" spans="2:12">
      <c r="D83" s="100"/>
      <c r="E83" s="100"/>
    </row>
    <row r="84" spans="2:12">
      <c r="D84" s="45" t="s">
        <v>3241</v>
      </c>
      <c r="E84" s="45" t="s">
        <v>3243</v>
      </c>
      <c r="J84" s="13" t="str">
        <f>Show!$B$119&amp;"SR.25.01.01.04 Rows {"&amp;COLUMN($C$1)&amp;"}"&amp;"@ForceFilingCode:true"</f>
        <v>!SR.25.01.01.04 Rows {3}@ForceFilingCode:true</v>
      </c>
      <c r="K84" s="13" t="str">
        <f>Show!$B$119&amp;"SR.25.01.01.04 Columns {"&amp;COLUMN($D$1)&amp;"}"</f>
        <v>!SR.25.01.01.04 Columns {4}</v>
      </c>
    </row>
    <row r="85" spans="2:12">
      <c r="B85" s="43" t="s">
        <v>2880</v>
      </c>
      <c r="C85" s="44" t="s">
        <v>2878</v>
      </c>
      <c r="D85" s="56"/>
      <c r="E85" s="57"/>
    </row>
    <row r="86" spans="2:12">
      <c r="B86" s="47" t="s">
        <v>4658</v>
      </c>
      <c r="C86" s="41" t="s">
        <v>2997</v>
      </c>
      <c r="D86" s="60"/>
      <c r="E86" s="60"/>
    </row>
    <row r="87" spans="2:12">
      <c r="B87" s="49" t="s">
        <v>4659</v>
      </c>
      <c r="C87" s="41" t="s">
        <v>2999</v>
      </c>
      <c r="D87" s="60"/>
      <c r="E87" s="60"/>
    </row>
    <row r="88" spans="2:12">
      <c r="B88" s="49" t="s">
        <v>4660</v>
      </c>
      <c r="C88" s="41" t="s">
        <v>3001</v>
      </c>
      <c r="D88" s="60"/>
      <c r="E88" s="60"/>
    </row>
    <row r="89" spans="2:12">
      <c r="B89" s="47" t="s">
        <v>4661</v>
      </c>
      <c r="C89" s="41" t="s">
        <v>3003</v>
      </c>
      <c r="D89" s="60"/>
      <c r="E89" s="60"/>
    </row>
    <row r="91" spans="2:12">
      <c r="J91" s="13" t="str">
        <f>Show!$B$119&amp;Show!$B$119&amp;"SR.25.01.01.04 Rows {"&amp;COLUMN($C$1)&amp;"}"</f>
        <v>!!SR.25.01.01.04 Rows {3}</v>
      </c>
      <c r="K91" s="13" t="str">
        <f>Show!$B$119&amp;Show!$B$119&amp;"SR.25.01.01.04 Columns {"&amp;COLUMN($E$1)&amp;"}"</f>
        <v>!!SR.25.01.01.04 Columns {5}</v>
      </c>
    </row>
    <row r="93" spans="2:12" ht="18.75">
      <c r="B93" s="97" t="s">
        <v>4697</v>
      </c>
      <c r="C93" s="96"/>
      <c r="D93" s="96"/>
      <c r="E93" s="96"/>
      <c r="F93" s="96"/>
      <c r="G93" s="96"/>
      <c r="H93" s="96"/>
      <c r="I93" s="96"/>
      <c r="J93" s="96"/>
      <c r="K93" s="96"/>
      <c r="L93" s="96"/>
    </row>
    <row r="95" spans="2:12">
      <c r="B95" t="s">
        <v>3110</v>
      </c>
      <c r="J95" s="13" t="str">
        <f>Show!$B$119&amp;"SR.25.01.01.05 Table label {"&amp;COLUMN($C$1)&amp;"}"</f>
        <v>!SR.25.01.01.05 Table label {3}</v>
      </c>
      <c r="K95" s="13" t="str">
        <f>Show!$B$119&amp;"SR.25.01.01.05 Table value {"&amp;COLUMN($D$1)&amp;"}"</f>
        <v>!SR.25.01.01.05 Table value {4}</v>
      </c>
    </row>
    <row r="96" spans="2:12">
      <c r="B96" t="s">
        <v>3111</v>
      </c>
    </row>
    <row r="97" spans="2:11">
      <c r="B97" s="40" t="s">
        <v>4622</v>
      </c>
      <c r="C97" s="53" t="s">
        <v>3113</v>
      </c>
      <c r="D97" s="51"/>
    </row>
    <row r="98" spans="2:11">
      <c r="B98" s="40" t="s">
        <v>3788</v>
      </c>
      <c r="C98" s="53" t="s">
        <v>3115</v>
      </c>
      <c r="D98" s="51"/>
    </row>
    <row r="99" spans="2:11">
      <c r="B99" s="40" t="s">
        <v>3114</v>
      </c>
      <c r="C99" s="53" t="s">
        <v>3323</v>
      </c>
      <c r="D99" s="50"/>
    </row>
    <row r="100" spans="2:11">
      <c r="J100" s="13" t="str">
        <f>Show!$B$119&amp;Show!$B$119&amp;"SR.25.01.01.05 Table label {"&amp;COLUMN($C$1)&amp;"}"</f>
        <v>!!SR.25.01.01.05 Table label {3}</v>
      </c>
      <c r="K100" s="13" t="str">
        <f>Show!$B$119&amp;Show!$B$119&amp;"SR.25.01.01.05 Table value {"&amp;COLUMN($D$1)&amp;"}"</f>
        <v>!!SR.25.01.01.05 Table value {4}</v>
      </c>
    </row>
    <row r="102" spans="2:11">
      <c r="D102" s="98" t="s">
        <v>2877</v>
      </c>
    </row>
    <row r="103" spans="2:11">
      <c r="D103" s="100"/>
    </row>
    <row r="104" spans="2:11">
      <c r="D104" s="98" t="s">
        <v>4663</v>
      </c>
    </row>
    <row r="105" spans="2:11">
      <c r="D105" s="100"/>
    </row>
    <row r="106" spans="2:11">
      <c r="D106" s="45" t="s">
        <v>3375</v>
      </c>
      <c r="J106" s="13" t="str">
        <f>Show!$B$119&amp;"SR.25.01.01.05 Rows {"&amp;COLUMN($C$1)&amp;"}"&amp;"@ForceFilingCode:true"</f>
        <v>!SR.25.01.01.05 Rows {3}@ForceFilingCode:true</v>
      </c>
      <c r="K106" s="13" t="str">
        <f>Show!$B$119&amp;"SR.25.01.01.05 Columns {"&amp;COLUMN($D$1)&amp;"}"</f>
        <v>!SR.25.01.01.05 Columns {4}</v>
      </c>
    </row>
    <row r="107" spans="2:11">
      <c r="B107" s="43" t="s">
        <v>2880</v>
      </c>
      <c r="C107" s="44" t="s">
        <v>2878</v>
      </c>
      <c r="D107" s="46"/>
    </row>
    <row r="108" spans="2:11">
      <c r="B108" s="47" t="s">
        <v>4663</v>
      </c>
      <c r="C108" s="41" t="s">
        <v>3005</v>
      </c>
      <c r="D108" s="60"/>
    </row>
    <row r="109" spans="2:11">
      <c r="B109" s="49" t="s">
        <v>4664</v>
      </c>
      <c r="C109" s="41" t="s">
        <v>3007</v>
      </c>
      <c r="D109" s="60"/>
    </row>
    <row r="110" spans="2:11">
      <c r="B110" s="49" t="s">
        <v>4665</v>
      </c>
      <c r="C110" s="41" t="s">
        <v>3009</v>
      </c>
      <c r="D110" s="60"/>
    </row>
    <row r="111" spans="2:11">
      <c r="B111" s="49" t="s">
        <v>4666</v>
      </c>
      <c r="C111" s="41" t="s">
        <v>3011</v>
      </c>
      <c r="D111" s="60"/>
    </row>
    <row r="112" spans="2:11">
      <c r="B112" s="49" t="s">
        <v>4667</v>
      </c>
      <c r="C112" s="41" t="s">
        <v>3013</v>
      </c>
      <c r="D112" s="60"/>
    </row>
    <row r="113" spans="2:11">
      <c r="B113" s="49" t="s">
        <v>4668</v>
      </c>
      <c r="C113" s="41" t="s">
        <v>3015</v>
      </c>
      <c r="D113" s="60"/>
    </row>
    <row r="115" spans="2:11">
      <c r="J115" s="13" t="str">
        <f>Show!$B$119&amp;Show!$B$119&amp;"SR.25.01.01.05 Rows {"&amp;COLUMN($C$1)&amp;"}"</f>
        <v>!!SR.25.01.01.05 Rows {3}</v>
      </c>
      <c r="K115" s="13" t="str">
        <f>Show!$B$119&amp;Show!$B$119&amp;"SR.25.01.01.05 Columns {"&amp;COLUMN($D$1)&amp;"}"</f>
        <v>!!SR.25.01.01.05 Columns {4}</v>
      </c>
    </row>
  </sheetData>
  <sheetProtection sheet="1" objects="1" scenarios="1"/>
  <mergeCells count="15">
    <mergeCell ref="B93:L93"/>
    <mergeCell ref="D102:D103"/>
    <mergeCell ref="D104:D105"/>
    <mergeCell ref="B53:L53"/>
    <mergeCell ref="D62:D63"/>
    <mergeCell ref="B71:L71"/>
    <mergeCell ref="D80:E81"/>
    <mergeCell ref="D82:D83"/>
    <mergeCell ref="E82:E83"/>
    <mergeCell ref="D41:D42"/>
    <mergeCell ref="B2:O2"/>
    <mergeCell ref="B5:L5"/>
    <mergeCell ref="D14:E15"/>
    <mergeCell ref="B30:L30"/>
    <mergeCell ref="D39:D40"/>
  </mergeCells>
  <dataValidations count="3">
    <dataValidation type="list" errorStyle="warning" allowBlank="1" showInputMessage="1" showErrorMessage="1" sqref="D9 D34 D57 D75 D97" xr:uid="{571A3338-DA70-405A-B780-E0DE5E9EAC93}">
      <formula1>hier_AO_1</formula1>
    </dataValidation>
    <dataValidation type="list" errorStyle="warning" allowBlank="1" showInputMessage="1" showErrorMessage="1" sqref="D10 D35 D58 D76 D98" xr:uid="{F7EE520A-9176-4A14-B88E-8D221EC09BA2}">
      <formula1>hier_PU_20</formula1>
    </dataValidation>
    <dataValidation type="list" errorStyle="warning" allowBlank="1" showInputMessage="1" showErrorMessage="1" sqref="D67" xr:uid="{368BB2F5-23D4-4EE1-AFEE-AE299F32B7F3}">
      <formula1>hier_AP_24</formula1>
    </dataValidation>
  </dataValidation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7CC50-D414-4AFE-896E-61F386F2A4F0}">
  <sheetPr codeName="Blad124"/>
  <dimension ref="B2:O51"/>
  <sheetViews>
    <sheetView showGridLines="0" workbookViewId="0"/>
  </sheetViews>
  <sheetFormatPr defaultRowHeight="15"/>
  <cols>
    <col min="2" max="2" width="61.85546875" bestFit="1" customWidth="1"/>
    <col min="4" max="5" width="15.7109375" customWidth="1"/>
  </cols>
  <sheetData>
    <row r="2" spans="2:15" ht="23.25">
      <c r="B2" s="95" t="s">
        <v>689</v>
      </c>
      <c r="C2" s="96"/>
      <c r="D2" s="96"/>
      <c r="E2" s="96"/>
      <c r="F2" s="96"/>
      <c r="G2" s="96"/>
      <c r="H2" s="96"/>
      <c r="I2" s="96"/>
      <c r="J2" s="96"/>
      <c r="K2" s="96"/>
      <c r="L2" s="96"/>
      <c r="M2" s="96"/>
      <c r="N2" s="96"/>
      <c r="O2" s="96"/>
    </row>
    <row r="5" spans="2:15" ht="18.75">
      <c r="B5" s="97" t="s">
        <v>4698</v>
      </c>
      <c r="C5" s="96"/>
      <c r="D5" s="96"/>
      <c r="E5" s="96"/>
      <c r="F5" s="96"/>
      <c r="G5" s="96"/>
      <c r="H5" s="96"/>
      <c r="I5" s="96"/>
      <c r="J5" s="96"/>
      <c r="K5" s="96"/>
      <c r="L5" s="96"/>
    </row>
    <row r="7" spans="2:15">
      <c r="B7" t="s">
        <v>3110</v>
      </c>
      <c r="J7" s="13" t="str">
        <f>Show!$B$120&amp;"SR.25.01.04.01 Table label {"&amp;COLUMN($C$1)&amp;"}"</f>
        <v>!SR.25.01.04.01 Table label {3}</v>
      </c>
      <c r="K7" s="13" t="str">
        <f>Show!$B$120&amp;"SR.25.01.04.01 Table value {"&amp;COLUMN($D$1)&amp;"}"</f>
        <v>!SR.25.01.04.01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J12" s="13" t="str">
        <f>Show!$B$120&amp;Show!$B$120&amp;"SR.25.01.04.01 Table label {"&amp;COLUMN($C$1)&amp;"}"</f>
        <v>!!SR.25.01.04.01 Table label {3}</v>
      </c>
      <c r="K12" s="13" t="str">
        <f>Show!$B$120&amp;Show!$B$120&amp;"SR.25.01.04.01 Table value {"&amp;COLUMN($D$1)&amp;"}"</f>
        <v>!!SR.25.01.04.01 Table value {4}</v>
      </c>
    </row>
    <row r="14" spans="2:15">
      <c r="D14" s="101" t="s">
        <v>2877</v>
      </c>
      <c r="E14" s="103"/>
    </row>
    <row r="15" spans="2:15">
      <c r="D15" s="104"/>
      <c r="E15" s="106"/>
    </row>
    <row r="16" spans="2:15" ht="45">
      <c r="D16" s="55" t="s">
        <v>4623</v>
      </c>
      <c r="E16" s="55" t="s">
        <v>4624</v>
      </c>
    </row>
    <row r="17" spans="2:12">
      <c r="D17" s="45" t="s">
        <v>3225</v>
      </c>
      <c r="E17" s="45" t="s">
        <v>3223</v>
      </c>
      <c r="J17" s="13" t="str">
        <f>Show!$B$120&amp;"SR.25.01.04.01 Rows {"&amp;COLUMN($C$1)&amp;"}"&amp;"@ForceFilingCode:true"</f>
        <v>!SR.25.01.04.01 Rows {3}@ForceFilingCode:true</v>
      </c>
      <c r="K17" s="13" t="str">
        <f>Show!$B$120&amp;"SR.25.01.04.01 Columns {"&amp;COLUMN($D$1)&amp;"}"</f>
        <v>!SR.25.01.04.01 Columns {4}</v>
      </c>
    </row>
    <row r="18" spans="2:12">
      <c r="B18" s="43" t="s">
        <v>2880</v>
      </c>
      <c r="C18" s="44" t="s">
        <v>2878</v>
      </c>
      <c r="D18" s="56"/>
      <c r="E18" s="57"/>
    </row>
    <row r="19" spans="2:12">
      <c r="B19" s="47" t="s">
        <v>4626</v>
      </c>
      <c r="C19" s="41" t="s">
        <v>2883</v>
      </c>
      <c r="D19" s="60"/>
      <c r="E19" s="60"/>
    </row>
    <row r="20" spans="2:12">
      <c r="B20" s="47" t="s">
        <v>4627</v>
      </c>
      <c r="C20" s="41" t="s">
        <v>2885</v>
      </c>
      <c r="D20" s="60"/>
      <c r="E20" s="60"/>
    </row>
    <row r="21" spans="2:12">
      <c r="B21" s="47" t="s">
        <v>4628</v>
      </c>
      <c r="C21" s="41" t="s">
        <v>2887</v>
      </c>
      <c r="D21" s="60"/>
      <c r="E21" s="60"/>
    </row>
    <row r="22" spans="2:12">
      <c r="B22" s="47" t="s">
        <v>4629</v>
      </c>
      <c r="C22" s="41" t="s">
        <v>2889</v>
      </c>
      <c r="D22" s="60"/>
      <c r="E22" s="60"/>
    </row>
    <row r="23" spans="2:12">
      <c r="B23" s="47" t="s">
        <v>4630</v>
      </c>
      <c r="C23" s="41" t="s">
        <v>3078</v>
      </c>
      <c r="D23" s="60"/>
      <c r="E23" s="60"/>
    </row>
    <row r="24" spans="2:12">
      <c r="B24" s="47" t="s">
        <v>4631</v>
      </c>
      <c r="C24" s="41" t="s">
        <v>2891</v>
      </c>
      <c r="D24" s="60"/>
      <c r="E24" s="60"/>
    </row>
    <row r="25" spans="2:12">
      <c r="B25" s="47" t="s">
        <v>4632</v>
      </c>
      <c r="C25" s="41" t="s">
        <v>2893</v>
      </c>
      <c r="D25" s="60"/>
      <c r="E25" s="60"/>
    </row>
    <row r="26" spans="2:12">
      <c r="B26" s="47" t="s">
        <v>4633</v>
      </c>
      <c r="C26" s="41" t="s">
        <v>2899</v>
      </c>
      <c r="D26" s="60"/>
      <c r="E26" s="60"/>
    </row>
    <row r="28" spans="2:12">
      <c r="J28" s="13" t="str">
        <f>Show!$B$120&amp;Show!$B$120&amp;"SR.25.01.04.01 Rows {"&amp;COLUMN($C$1)&amp;"}"</f>
        <v>!!SR.25.01.04.01 Rows {3}</v>
      </c>
      <c r="K28" s="13" t="str">
        <f>Show!$B$120&amp;Show!$B$120&amp;"SR.25.01.04.01 Columns {"&amp;COLUMN($E$1)&amp;"}"</f>
        <v>!!SR.25.01.04.01 Columns {5}</v>
      </c>
    </row>
    <row r="30" spans="2:12" ht="18.75">
      <c r="B30" s="97" t="s">
        <v>4699</v>
      </c>
      <c r="C30" s="96"/>
      <c r="D30" s="96"/>
      <c r="E30" s="96"/>
      <c r="F30" s="96"/>
      <c r="G30" s="96"/>
      <c r="H30" s="96"/>
      <c r="I30" s="96"/>
      <c r="J30" s="96"/>
      <c r="K30" s="96"/>
      <c r="L30" s="96"/>
    </row>
    <row r="32" spans="2:12">
      <c r="B32" t="s">
        <v>3110</v>
      </c>
      <c r="J32" s="13" t="str">
        <f>Show!$B$120&amp;"SR.25.01.04.02 Table label {"&amp;COLUMN($C$1)&amp;"}"</f>
        <v>!SR.25.01.04.02 Table label {3}</v>
      </c>
      <c r="K32" s="13" t="str">
        <f>Show!$B$120&amp;"SR.25.01.04.02 Table value {"&amp;COLUMN($D$1)&amp;"}"</f>
        <v>!SR.25.01.04.02 Table value {4}</v>
      </c>
    </row>
    <row r="33" spans="2:11">
      <c r="B33" t="s">
        <v>3111</v>
      </c>
    </row>
    <row r="34" spans="2:11">
      <c r="B34" s="40" t="s">
        <v>4622</v>
      </c>
      <c r="C34" s="53" t="s">
        <v>3113</v>
      </c>
      <c r="D34" s="51"/>
    </row>
    <row r="35" spans="2:11">
      <c r="B35" s="40" t="s">
        <v>3788</v>
      </c>
      <c r="C35" s="53" t="s">
        <v>3115</v>
      </c>
      <c r="D35" s="51"/>
    </row>
    <row r="36" spans="2:11">
      <c r="B36" s="40" t="s">
        <v>3114</v>
      </c>
      <c r="C36" s="53" t="s">
        <v>3323</v>
      </c>
      <c r="D36" s="50"/>
    </row>
    <row r="37" spans="2:11">
      <c r="J37" s="13" t="str">
        <f>Show!$B$120&amp;Show!$B$120&amp;"SR.25.01.04.02 Table label {"&amp;COLUMN($C$1)&amp;"}"</f>
        <v>!!SR.25.01.04.02 Table label {3}</v>
      </c>
      <c r="K37" s="13" t="str">
        <f>Show!$B$120&amp;Show!$B$120&amp;"SR.25.01.04.02 Table value {"&amp;COLUMN($D$1)&amp;"}"</f>
        <v>!!SR.25.01.04.02 Table value {4}</v>
      </c>
    </row>
    <row r="39" spans="2:11">
      <c r="D39" s="98" t="s">
        <v>2877</v>
      </c>
    </row>
    <row r="40" spans="2:11">
      <c r="D40" s="100"/>
    </row>
    <row r="41" spans="2:11">
      <c r="D41" s="98" t="s">
        <v>4635</v>
      </c>
    </row>
    <row r="42" spans="2:11">
      <c r="D42" s="100"/>
    </row>
    <row r="43" spans="2:11">
      <c r="D43" s="45" t="s">
        <v>3239</v>
      </c>
      <c r="J43" s="13" t="str">
        <f>Show!$B$120&amp;"SR.25.01.04.02 Rows {"&amp;COLUMN($C$1)&amp;"}"&amp;"@ForceFilingCode:true"</f>
        <v>!SR.25.01.04.02 Rows {3}@ForceFilingCode:true</v>
      </c>
      <c r="K43" s="13" t="str">
        <f>Show!$B$120&amp;"SR.25.01.04.02 Columns {"&amp;COLUMN($D$1)&amp;"}"</f>
        <v>!SR.25.01.04.02 Columns {4}</v>
      </c>
    </row>
    <row r="44" spans="2:11">
      <c r="B44" s="43" t="s">
        <v>2880</v>
      </c>
      <c r="C44" s="44" t="s">
        <v>2878</v>
      </c>
      <c r="D44" s="46"/>
    </row>
    <row r="45" spans="2:11">
      <c r="B45" s="47" t="s">
        <v>4637</v>
      </c>
      <c r="C45" s="41" t="s">
        <v>2905</v>
      </c>
      <c r="D45" s="60"/>
    </row>
    <row r="46" spans="2:11">
      <c r="B46" s="47" t="s">
        <v>4638</v>
      </c>
      <c r="C46" s="41" t="s">
        <v>2907</v>
      </c>
      <c r="D46" s="60"/>
    </row>
    <row r="47" spans="2:11">
      <c r="B47" s="47" t="s">
        <v>4639</v>
      </c>
      <c r="C47" s="41" t="s">
        <v>2909</v>
      </c>
      <c r="D47" s="60"/>
    </row>
    <row r="48" spans="2:11">
      <c r="B48" s="47" t="s">
        <v>711</v>
      </c>
      <c r="C48" s="41" t="s">
        <v>2919</v>
      </c>
      <c r="D48" s="60"/>
    </row>
    <row r="49" spans="2:11">
      <c r="B49" s="49" t="s">
        <v>4651</v>
      </c>
      <c r="C49" s="41" t="s">
        <v>2971</v>
      </c>
      <c r="D49" s="60"/>
    </row>
    <row r="51" spans="2:11">
      <c r="J51" s="13" t="str">
        <f>Show!$B$120&amp;Show!$B$120&amp;"SR.25.01.04.02 Rows {"&amp;COLUMN($C$1)&amp;"}"</f>
        <v>!!SR.25.01.04.02 Rows {3}</v>
      </c>
      <c r="K51" s="13" t="str">
        <f>Show!$B$120&amp;Show!$B$120&amp;"SR.25.01.04.02 Columns {"&amp;COLUMN($D$1)&amp;"}"</f>
        <v>!!SR.25.01.04.02 Columns {4}</v>
      </c>
    </row>
  </sheetData>
  <sheetProtection sheet="1" objects="1" scenarios="1"/>
  <mergeCells count="6">
    <mergeCell ref="D41:D42"/>
    <mergeCell ref="B2:O2"/>
    <mergeCell ref="B5:L5"/>
    <mergeCell ref="D14:E15"/>
    <mergeCell ref="B30:L30"/>
    <mergeCell ref="D39:D40"/>
  </mergeCells>
  <dataValidations count="2">
    <dataValidation type="list" errorStyle="warning" allowBlank="1" showInputMessage="1" showErrorMessage="1" sqref="D9 D34" xr:uid="{F4B291D7-14B4-4A84-9E75-ED430CAB87D9}">
      <formula1>hier_AO_1</formula1>
    </dataValidation>
    <dataValidation type="list" errorStyle="warning" allowBlank="1" showInputMessage="1" showErrorMessage="1" sqref="D10 D35" xr:uid="{761EECED-B34A-4F4E-8D75-F18DE058AD83}">
      <formula1>hier_PU_20</formula1>
    </dataValidation>
  </dataValidation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744E5-EE94-4B82-A75F-16DD2A54FB64}">
  <sheetPr codeName="Blad125"/>
  <dimension ref="B2:P94"/>
  <sheetViews>
    <sheetView showGridLines="0" workbookViewId="0"/>
  </sheetViews>
  <sheetFormatPr defaultRowHeight="15"/>
  <cols>
    <col min="2" max="2" width="28.28515625" bestFit="1" customWidth="1"/>
    <col min="3" max="3" width="40.7109375" customWidth="1"/>
    <col min="4" max="5" width="15.7109375" customWidth="1"/>
    <col min="6" max="6" width="40.7109375" customWidth="1"/>
    <col min="7" max="7" width="15.7109375" customWidth="1"/>
  </cols>
  <sheetData>
    <row r="2" spans="2:16" ht="23.25">
      <c r="B2" s="95" t="s">
        <v>695</v>
      </c>
      <c r="C2" s="96"/>
      <c r="D2" s="96"/>
      <c r="E2" s="96"/>
      <c r="F2" s="96"/>
      <c r="G2" s="96"/>
      <c r="H2" s="96"/>
      <c r="I2" s="96"/>
      <c r="J2" s="96"/>
      <c r="K2" s="96"/>
      <c r="L2" s="96"/>
      <c r="M2" s="96"/>
      <c r="N2" s="96"/>
      <c r="O2" s="96"/>
    </row>
    <row r="5" spans="2:16" ht="18.75">
      <c r="B5" s="97" t="s">
        <v>4700</v>
      </c>
      <c r="C5" s="96"/>
      <c r="D5" s="96"/>
      <c r="E5" s="96"/>
      <c r="F5" s="96"/>
      <c r="G5" s="96"/>
      <c r="H5" s="96"/>
      <c r="I5" s="96"/>
      <c r="J5" s="96"/>
      <c r="K5" s="96"/>
      <c r="L5" s="96"/>
    </row>
    <row r="9" spans="2:16">
      <c r="B9" s="98" t="s">
        <v>4701</v>
      </c>
      <c r="C9" s="101" t="s">
        <v>2877</v>
      </c>
      <c r="D9" s="102"/>
      <c r="E9" s="102"/>
      <c r="F9" s="102"/>
      <c r="G9" s="103"/>
    </row>
    <row r="10" spans="2:16">
      <c r="B10" s="99"/>
      <c r="C10" s="104"/>
      <c r="D10" s="105"/>
      <c r="E10" s="105"/>
      <c r="F10" s="105"/>
      <c r="G10" s="106"/>
    </row>
    <row r="11" spans="2:16" ht="90">
      <c r="B11" s="100"/>
      <c r="C11" s="55" t="s">
        <v>4702</v>
      </c>
      <c r="D11" s="55" t="s">
        <v>4703</v>
      </c>
      <c r="E11" s="55" t="s">
        <v>4625</v>
      </c>
      <c r="F11" s="55" t="s">
        <v>4704</v>
      </c>
      <c r="G11" s="55" t="s">
        <v>4705</v>
      </c>
    </row>
    <row r="12" spans="2:16">
      <c r="B12" s="42" t="s">
        <v>2879</v>
      </c>
      <c r="C12" s="42" t="s">
        <v>3219</v>
      </c>
      <c r="D12" s="42" t="s">
        <v>3225</v>
      </c>
      <c r="E12" s="42" t="s">
        <v>3229</v>
      </c>
      <c r="F12" s="42" t="s">
        <v>3231</v>
      </c>
      <c r="G12" s="42" t="s">
        <v>3233</v>
      </c>
      <c r="O12" s="13" t="str">
        <f>Show!$B$121&amp;"S.25.02.01.01 Rows {"&amp;COLUMN($B$1)&amp;"}"&amp;"@ForceFilingCode:true"</f>
        <v>!S.25.02.01.01 Rows {2}@ForceFilingCode:true</v>
      </c>
      <c r="P12" s="13" t="str">
        <f>Show!$B$121&amp;"S.25.02.01.01 Columns {"&amp;COLUMN($B$1)&amp;"}"</f>
        <v>!S.25.02.01.01 Columns {2}</v>
      </c>
    </row>
    <row r="13" spans="2:16">
      <c r="B13" s="50"/>
      <c r="C13" s="51"/>
      <c r="D13" s="60"/>
      <c r="E13" s="60"/>
      <c r="F13" s="51"/>
      <c r="G13" s="60"/>
    </row>
    <row r="15" spans="2:16">
      <c r="O15" s="13" t="str">
        <f>Show!$B$121&amp;Show!$B$121&amp;"S.25.02.01.01 Rows {"&amp;COLUMN($B$1)&amp;"}"</f>
        <v>!!S.25.02.01.01 Rows {2}</v>
      </c>
      <c r="P15" s="13" t="str">
        <f>Show!$B$121&amp;Show!$B$121&amp;"S.25.02.01.01 Columns {"&amp;COLUMN($G$1)&amp;"}"</f>
        <v>!!S.25.02.01.01 Columns {7}</v>
      </c>
    </row>
    <row r="17" spans="2:16" ht="18.75">
      <c r="B17" s="97" t="s">
        <v>4706</v>
      </c>
      <c r="C17" s="96"/>
      <c r="D17" s="96"/>
      <c r="E17" s="96"/>
      <c r="F17" s="96"/>
      <c r="G17" s="96"/>
      <c r="H17" s="96"/>
      <c r="I17" s="96"/>
      <c r="J17" s="96"/>
      <c r="K17" s="96"/>
      <c r="L17" s="96"/>
    </row>
    <row r="21" spans="2:16">
      <c r="D21" s="98" t="s">
        <v>2877</v>
      </c>
    </row>
    <row r="22" spans="2:16">
      <c r="D22" s="99"/>
    </row>
    <row r="23" spans="2:16">
      <c r="D23" s="99"/>
    </row>
    <row r="24" spans="2:16">
      <c r="D24" s="100"/>
    </row>
    <row r="25" spans="2:16">
      <c r="D25" s="45" t="s">
        <v>3239</v>
      </c>
      <c r="O25" s="13" t="str">
        <f>Show!$B$121&amp;"S.25.02.01.02 Rows {"&amp;COLUMN($C$1)&amp;"}"&amp;"@ForceFilingCode:true"</f>
        <v>!S.25.02.01.02 Rows {3}@ForceFilingCode:true</v>
      </c>
      <c r="P25" s="13" t="str">
        <f>Show!$B$121&amp;"S.25.02.01.02 Columns {"&amp;COLUMN($D$1)&amp;"}"</f>
        <v>!S.25.02.01.02 Columns {4}</v>
      </c>
    </row>
    <row r="26" spans="2:16">
      <c r="B26" s="43" t="s">
        <v>2880</v>
      </c>
      <c r="C26" s="44" t="s">
        <v>2878</v>
      </c>
      <c r="D26" s="46"/>
    </row>
    <row r="27" spans="2:16" ht="30">
      <c r="B27" s="47" t="s">
        <v>4707</v>
      </c>
      <c r="C27" s="41" t="s">
        <v>2901</v>
      </c>
      <c r="D27" s="60"/>
    </row>
    <row r="28" spans="2:16">
      <c r="B28" s="47" t="s">
        <v>4631</v>
      </c>
      <c r="C28" s="41" t="s">
        <v>2891</v>
      </c>
      <c r="D28" s="60"/>
    </row>
    <row r="29" spans="2:16" ht="30">
      <c r="B29" s="47" t="s">
        <v>4636</v>
      </c>
      <c r="C29" s="41" t="s">
        <v>2903</v>
      </c>
      <c r="D29" s="60"/>
    </row>
    <row r="30" spans="2:16" ht="60">
      <c r="B30" s="47" t="s">
        <v>4640</v>
      </c>
      <c r="C30" s="41" t="s">
        <v>2911</v>
      </c>
      <c r="D30" s="60"/>
    </row>
    <row r="31" spans="2:16" ht="45">
      <c r="B31" s="47" t="s">
        <v>4708</v>
      </c>
      <c r="C31" s="41" t="s">
        <v>2919</v>
      </c>
      <c r="D31" s="60"/>
    </row>
    <row r="32" spans="2:16">
      <c r="B32" s="47" t="s">
        <v>4671</v>
      </c>
      <c r="C32" s="41" t="s">
        <v>2921</v>
      </c>
      <c r="D32" s="60"/>
    </row>
    <row r="33" spans="2:16" ht="30">
      <c r="B33" s="47" t="s">
        <v>4643</v>
      </c>
      <c r="C33" s="41" t="s">
        <v>2923</v>
      </c>
      <c r="D33" s="63"/>
    </row>
    <row r="34" spans="2:16">
      <c r="B34" s="47" t="s">
        <v>4644</v>
      </c>
      <c r="C34" s="44" t="s">
        <v>2878</v>
      </c>
      <c r="D34" s="46"/>
    </row>
    <row r="35" spans="2:16" ht="60">
      <c r="B35" s="49" t="s">
        <v>4709</v>
      </c>
      <c r="C35" s="41" t="s">
        <v>2939</v>
      </c>
      <c r="D35" s="60"/>
    </row>
    <row r="36" spans="2:16" ht="45">
      <c r="B36" s="49" t="s">
        <v>4710</v>
      </c>
      <c r="C36" s="41" t="s">
        <v>2941</v>
      </c>
      <c r="D36" s="60"/>
    </row>
    <row r="37" spans="2:16" ht="45">
      <c r="B37" s="49" t="s">
        <v>4645</v>
      </c>
      <c r="C37" s="41" t="s">
        <v>2959</v>
      </c>
      <c r="D37" s="60"/>
    </row>
    <row r="38" spans="2:16" ht="60">
      <c r="B38" s="49" t="s">
        <v>4646</v>
      </c>
      <c r="C38" s="41" t="s">
        <v>2961</v>
      </c>
      <c r="D38" s="60"/>
    </row>
    <row r="39" spans="2:16" ht="60">
      <c r="B39" s="49" t="s">
        <v>4711</v>
      </c>
      <c r="C39" s="41" t="s">
        <v>2963</v>
      </c>
      <c r="D39" s="60"/>
    </row>
    <row r="40" spans="2:16" ht="75">
      <c r="B40" s="49" t="s">
        <v>4712</v>
      </c>
      <c r="C40" s="41" t="s">
        <v>2965</v>
      </c>
      <c r="D40" s="60"/>
    </row>
    <row r="41" spans="2:16" ht="45">
      <c r="B41" s="49" t="s">
        <v>4649</v>
      </c>
      <c r="C41" s="41" t="s">
        <v>2967</v>
      </c>
      <c r="D41" s="60"/>
    </row>
    <row r="42" spans="2:16" ht="60">
      <c r="B42" s="49" t="s">
        <v>4650</v>
      </c>
      <c r="C42" s="41" t="s">
        <v>2969</v>
      </c>
      <c r="D42" s="51"/>
    </row>
    <row r="43" spans="2:16" ht="30">
      <c r="B43" s="49" t="s">
        <v>4651</v>
      </c>
      <c r="C43" s="41" t="s">
        <v>2971</v>
      </c>
      <c r="D43" s="60"/>
    </row>
    <row r="45" spans="2:16">
      <c r="O45" s="13" t="str">
        <f>Show!$B$121&amp;Show!$B$121&amp;"S.25.02.01.02 Rows {"&amp;COLUMN($C$1)&amp;"}"</f>
        <v>!!S.25.02.01.02 Rows {3}</v>
      </c>
      <c r="P45" s="13" t="str">
        <f>Show!$B$121&amp;Show!$B$121&amp;"S.25.02.01.02 Columns {"&amp;COLUMN($D$1)&amp;"}"</f>
        <v>!!S.25.02.01.02 Columns {4}</v>
      </c>
    </row>
    <row r="47" spans="2:16" ht="18.75">
      <c r="B47" s="97" t="s">
        <v>4713</v>
      </c>
      <c r="C47" s="96"/>
      <c r="D47" s="96"/>
      <c r="E47" s="96"/>
      <c r="F47" s="96"/>
      <c r="G47" s="96"/>
      <c r="H47" s="96"/>
      <c r="I47" s="96"/>
      <c r="J47" s="96"/>
      <c r="K47" s="96"/>
      <c r="L47" s="96"/>
    </row>
    <row r="51" spans="2:16">
      <c r="D51" s="98" t="s">
        <v>2877</v>
      </c>
    </row>
    <row r="52" spans="2:16">
      <c r="D52" s="100"/>
    </row>
    <row r="53" spans="2:16">
      <c r="D53" s="55" t="s">
        <v>4653</v>
      </c>
    </row>
    <row r="54" spans="2:16">
      <c r="D54" s="45" t="s">
        <v>4654</v>
      </c>
      <c r="O54" s="13" t="str">
        <f>Show!$B$121&amp;"S.25.02.01.03 Rows {"&amp;COLUMN($C$1)&amp;"}"&amp;"@ForceFilingCode:true"</f>
        <v>!S.25.02.01.03 Rows {3}@ForceFilingCode:true</v>
      </c>
      <c r="P54" s="13" t="str">
        <f>Show!$B$121&amp;"S.25.02.01.03 Columns {"&amp;COLUMN($D$1)&amp;"}"</f>
        <v>!S.25.02.01.03 Columns {4}</v>
      </c>
    </row>
    <row r="55" spans="2:16">
      <c r="B55" s="43" t="s">
        <v>2880</v>
      </c>
      <c r="C55" s="44" t="s">
        <v>2878</v>
      </c>
      <c r="D55" s="46"/>
    </row>
    <row r="56" spans="2:16" ht="30">
      <c r="B56" s="47" t="s">
        <v>2562</v>
      </c>
      <c r="C56" s="41" t="s">
        <v>2995</v>
      </c>
      <c r="D56" s="51"/>
    </row>
    <row r="58" spans="2:16">
      <c r="O58" s="13" t="str">
        <f>Show!$B$121&amp;Show!$B$121&amp;"S.25.02.01.03 Rows {"&amp;COLUMN($C$1)&amp;"}"</f>
        <v>!!S.25.02.01.03 Rows {3}</v>
      </c>
      <c r="P58" s="13" t="str">
        <f>Show!$B$121&amp;Show!$B$121&amp;"S.25.02.01.03 Columns {"&amp;COLUMN($D$1)&amp;"}"</f>
        <v>!!S.25.02.01.03 Columns {4}</v>
      </c>
    </row>
    <row r="60" spans="2:16" ht="18.75">
      <c r="B60" s="97" t="s">
        <v>4714</v>
      </c>
      <c r="C60" s="96"/>
      <c r="D60" s="96"/>
      <c r="E60" s="96"/>
      <c r="F60" s="96"/>
      <c r="G60" s="96"/>
      <c r="H60" s="96"/>
      <c r="I60" s="96"/>
      <c r="J60" s="96"/>
      <c r="K60" s="96"/>
      <c r="L60" s="96"/>
    </row>
    <row r="64" spans="2:16">
      <c r="D64" s="101" t="s">
        <v>2877</v>
      </c>
      <c r="E64" s="103"/>
    </row>
    <row r="65" spans="2:16">
      <c r="D65" s="104"/>
      <c r="E65" s="106"/>
    </row>
    <row r="66" spans="2:16">
      <c r="D66" s="98" t="s">
        <v>4656</v>
      </c>
      <c r="E66" s="98" t="s">
        <v>4657</v>
      </c>
    </row>
    <row r="67" spans="2:16">
      <c r="D67" s="100"/>
      <c r="E67" s="100"/>
    </row>
    <row r="68" spans="2:16">
      <c r="D68" s="45" t="s">
        <v>3241</v>
      </c>
      <c r="E68" s="45" t="s">
        <v>3243</v>
      </c>
      <c r="O68" s="13" t="str">
        <f>Show!$B$121&amp;"S.25.02.01.04 Rows {"&amp;COLUMN($C$1)&amp;"}"&amp;"@ForceFilingCode:true"</f>
        <v>!S.25.02.01.04 Rows {3}@ForceFilingCode:true</v>
      </c>
      <c r="P68" s="13" t="str">
        <f>Show!$B$121&amp;"S.25.02.01.04 Columns {"&amp;COLUMN($D$1)&amp;"}"</f>
        <v>!S.25.02.01.04 Columns {4}</v>
      </c>
    </row>
    <row r="69" spans="2:16">
      <c r="B69" s="43" t="s">
        <v>2880</v>
      </c>
      <c r="C69" s="44" t="s">
        <v>2878</v>
      </c>
      <c r="D69" s="56"/>
      <c r="E69" s="57"/>
    </row>
    <row r="70" spans="2:16">
      <c r="B70" s="47" t="s">
        <v>4658</v>
      </c>
      <c r="C70" s="41" t="s">
        <v>2997</v>
      </c>
      <c r="D70" s="60"/>
      <c r="E70" s="60"/>
    </row>
    <row r="71" spans="2:16">
      <c r="B71" s="49" t="s">
        <v>4659</v>
      </c>
      <c r="C71" s="41" t="s">
        <v>2999</v>
      </c>
      <c r="D71" s="60"/>
      <c r="E71" s="60"/>
    </row>
    <row r="72" spans="2:16" ht="30">
      <c r="B72" s="49" t="s">
        <v>4660</v>
      </c>
      <c r="C72" s="41" t="s">
        <v>3001</v>
      </c>
      <c r="D72" s="60"/>
      <c r="E72" s="60"/>
    </row>
    <row r="73" spans="2:16">
      <c r="B73" s="47" t="s">
        <v>4661</v>
      </c>
      <c r="C73" s="41" t="s">
        <v>3003</v>
      </c>
      <c r="D73" s="60"/>
      <c r="E73" s="60"/>
    </row>
    <row r="75" spans="2:16">
      <c r="O75" s="13" t="str">
        <f>Show!$B$121&amp;Show!$B$121&amp;"S.25.02.01.04 Rows {"&amp;COLUMN($C$1)&amp;"}"</f>
        <v>!!S.25.02.01.04 Rows {3}</v>
      </c>
      <c r="P75" s="13" t="str">
        <f>Show!$B$121&amp;Show!$B$121&amp;"S.25.02.01.04 Columns {"&amp;COLUMN($E$1)&amp;"}"</f>
        <v>!!S.25.02.01.04 Columns {5}</v>
      </c>
    </row>
    <row r="77" spans="2:16" ht="18.75">
      <c r="B77" s="97" t="s">
        <v>4715</v>
      </c>
      <c r="C77" s="96"/>
      <c r="D77" s="96"/>
      <c r="E77" s="96"/>
      <c r="F77" s="96"/>
      <c r="G77" s="96"/>
      <c r="H77" s="96"/>
      <c r="I77" s="96"/>
      <c r="J77" s="96"/>
      <c r="K77" s="96"/>
      <c r="L77" s="96"/>
    </row>
    <row r="81" spans="2:16">
      <c r="D81" s="98" t="s">
        <v>2877</v>
      </c>
    </row>
    <row r="82" spans="2:16">
      <c r="D82" s="100"/>
    </row>
    <row r="83" spans="2:16">
      <c r="D83" s="98" t="s">
        <v>4663</v>
      </c>
    </row>
    <row r="84" spans="2:16">
      <c r="D84" s="100"/>
    </row>
    <row r="85" spans="2:16">
      <c r="D85" s="45" t="s">
        <v>3375</v>
      </c>
      <c r="O85" s="13" t="str">
        <f>Show!$B$121&amp;"S.25.02.01.05 Rows {"&amp;COLUMN($C$1)&amp;"}"&amp;"@ForceFilingCode:true"</f>
        <v>!S.25.02.01.05 Rows {3}@ForceFilingCode:true</v>
      </c>
      <c r="P85" s="13" t="str">
        <f>Show!$B$121&amp;"S.25.02.01.05 Columns {"&amp;COLUMN($D$1)&amp;"}"</f>
        <v>!S.25.02.01.05 Columns {4}</v>
      </c>
    </row>
    <row r="86" spans="2:16">
      <c r="B86" s="43" t="s">
        <v>2880</v>
      </c>
      <c r="C86" s="44" t="s">
        <v>2878</v>
      </c>
      <c r="D86" s="46"/>
    </row>
    <row r="87" spans="2:16" ht="30">
      <c r="B87" s="47" t="s">
        <v>4716</v>
      </c>
      <c r="C87" s="41" t="s">
        <v>3005</v>
      </c>
      <c r="D87" s="60"/>
    </row>
    <row r="88" spans="2:16" ht="45">
      <c r="B88" s="49" t="s">
        <v>4717</v>
      </c>
      <c r="C88" s="41" t="s">
        <v>3007</v>
      </c>
      <c r="D88" s="60"/>
    </row>
    <row r="89" spans="2:16" ht="60">
      <c r="B89" s="49" t="s">
        <v>4718</v>
      </c>
      <c r="C89" s="41" t="s">
        <v>3009</v>
      </c>
      <c r="D89" s="60"/>
    </row>
    <row r="90" spans="2:16" ht="45">
      <c r="B90" s="49" t="s">
        <v>4719</v>
      </c>
      <c r="C90" s="41" t="s">
        <v>3011</v>
      </c>
      <c r="D90" s="60"/>
    </row>
    <row r="91" spans="2:16" ht="45">
      <c r="B91" s="49" t="s">
        <v>4720</v>
      </c>
      <c r="C91" s="41" t="s">
        <v>3013</v>
      </c>
      <c r="D91" s="60"/>
    </row>
    <row r="92" spans="2:16" ht="30">
      <c r="B92" s="49" t="s">
        <v>4721</v>
      </c>
      <c r="C92" s="41" t="s">
        <v>3015</v>
      </c>
      <c r="D92" s="60"/>
    </row>
    <row r="94" spans="2:16">
      <c r="O94" s="13" t="str">
        <f>Show!$B$121&amp;Show!$B$121&amp;"S.25.02.01.05 Rows {"&amp;COLUMN($C$1)&amp;"}"</f>
        <v>!!S.25.02.01.05 Rows {3}</v>
      </c>
      <c r="P94" s="13" t="str">
        <f>Show!$B$121&amp;Show!$B$121&amp;"S.25.02.01.05 Columns {"&amp;COLUMN($D$1)&amp;"}"</f>
        <v>!!S.25.02.01.05 Columns {4}</v>
      </c>
    </row>
  </sheetData>
  <sheetProtection sheet="1" objects="1" scenarios="1"/>
  <mergeCells count="15">
    <mergeCell ref="B77:L77"/>
    <mergeCell ref="D81:D82"/>
    <mergeCell ref="D83:D84"/>
    <mergeCell ref="B47:L47"/>
    <mergeCell ref="D51:D52"/>
    <mergeCell ref="B60:L60"/>
    <mergeCell ref="D64:E65"/>
    <mergeCell ref="D66:D67"/>
    <mergeCell ref="E66:E67"/>
    <mergeCell ref="D21:D24"/>
    <mergeCell ref="B2:O2"/>
    <mergeCell ref="B5:L5"/>
    <mergeCell ref="B9:B11"/>
    <mergeCell ref="C9:G10"/>
    <mergeCell ref="B17:L17"/>
  </mergeCells>
  <dataValidations count="3">
    <dataValidation type="list" errorStyle="warning" allowBlank="1" showInputMessage="1" showErrorMessage="1" sqref="F13" xr:uid="{59FA6EF7-CFEC-4256-8EA6-9E66AFB5BFE6}">
      <formula1>hier_AP_14</formula1>
    </dataValidation>
    <dataValidation type="list" errorStyle="warning" allowBlank="1" showInputMessage="1" showErrorMessage="1" sqref="D42" xr:uid="{5F98A56B-37D5-49D3-A0DC-F049C13524E7}">
      <formula1>hier_AP_18</formula1>
    </dataValidation>
    <dataValidation type="list" errorStyle="warning" allowBlank="1" showInputMessage="1" showErrorMessage="1" sqref="D56" xr:uid="{629AE637-25CC-43EF-9C6B-D3B1E4F6CB37}">
      <formula1>hier_AP_24</formula1>
    </dataValidation>
  </dataValidation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1CAEC-75FB-4D22-80BD-AA2C2F308109}">
  <sheetPr codeName="Blad126"/>
  <dimension ref="B2:P56"/>
  <sheetViews>
    <sheetView showGridLines="0" workbookViewId="0"/>
  </sheetViews>
  <sheetFormatPr defaultRowHeight="15"/>
  <cols>
    <col min="2" max="2" width="28.28515625" bestFit="1" customWidth="1"/>
    <col min="3" max="3" width="40.7109375" customWidth="1"/>
    <col min="4" max="5" width="15.7109375" customWidth="1"/>
    <col min="6" max="6" width="40.7109375" customWidth="1"/>
    <col min="7" max="7" width="15.7109375" customWidth="1"/>
  </cols>
  <sheetData>
    <row r="2" spans="2:16" ht="23.25">
      <c r="B2" s="95" t="s">
        <v>697</v>
      </c>
      <c r="C2" s="96"/>
      <c r="D2" s="96"/>
      <c r="E2" s="96"/>
      <c r="F2" s="96"/>
      <c r="G2" s="96"/>
      <c r="H2" s="96"/>
      <c r="I2" s="96"/>
      <c r="J2" s="96"/>
      <c r="K2" s="96"/>
      <c r="L2" s="96"/>
      <c r="M2" s="96"/>
      <c r="N2" s="96"/>
      <c r="O2" s="96"/>
    </row>
    <row r="5" spans="2:16" ht="18.75">
      <c r="B5" s="97" t="s">
        <v>4722</v>
      </c>
      <c r="C5" s="96"/>
      <c r="D5" s="96"/>
      <c r="E5" s="96"/>
      <c r="F5" s="96"/>
      <c r="G5" s="96"/>
      <c r="H5" s="96"/>
      <c r="I5" s="96"/>
      <c r="J5" s="96"/>
      <c r="K5" s="96"/>
      <c r="L5" s="96"/>
    </row>
    <row r="9" spans="2:16">
      <c r="B9" s="98" t="s">
        <v>4701</v>
      </c>
      <c r="C9" s="101" t="s">
        <v>2877</v>
      </c>
      <c r="D9" s="102"/>
      <c r="E9" s="102"/>
      <c r="F9" s="102"/>
      <c r="G9" s="103"/>
    </row>
    <row r="10" spans="2:16">
      <c r="B10" s="99"/>
      <c r="C10" s="104"/>
      <c r="D10" s="105"/>
      <c r="E10" s="105"/>
      <c r="F10" s="105"/>
      <c r="G10" s="106"/>
    </row>
    <row r="11" spans="2:16" ht="90">
      <c r="B11" s="100"/>
      <c r="C11" s="55" t="s">
        <v>4702</v>
      </c>
      <c r="D11" s="55" t="s">
        <v>4703</v>
      </c>
      <c r="E11" s="55" t="s">
        <v>4625</v>
      </c>
      <c r="F11" s="55" t="s">
        <v>4704</v>
      </c>
      <c r="G11" s="55" t="s">
        <v>4705</v>
      </c>
    </row>
    <row r="12" spans="2:16">
      <c r="B12" s="42" t="s">
        <v>2879</v>
      </c>
      <c r="C12" s="42" t="s">
        <v>3219</v>
      </c>
      <c r="D12" s="42" t="s">
        <v>3225</v>
      </c>
      <c r="E12" s="42" t="s">
        <v>3229</v>
      </c>
      <c r="F12" s="42" t="s">
        <v>3231</v>
      </c>
      <c r="G12" s="42" t="s">
        <v>3233</v>
      </c>
      <c r="O12" s="13" t="str">
        <f>Show!$B$122&amp;"S.25.02.04.01 Rows {"&amp;COLUMN($B$1)&amp;"}"&amp;"@ForceFilingCode:true"</f>
        <v>!S.25.02.04.01 Rows {2}@ForceFilingCode:true</v>
      </c>
      <c r="P12" s="13" t="str">
        <f>Show!$B$122&amp;"S.25.02.04.01 Columns {"&amp;COLUMN($B$1)&amp;"}"</f>
        <v>!S.25.02.04.01 Columns {2}</v>
      </c>
    </row>
    <row r="13" spans="2:16">
      <c r="B13" s="50"/>
      <c r="C13" s="51"/>
      <c r="D13" s="60"/>
      <c r="E13" s="60"/>
      <c r="F13" s="51"/>
      <c r="G13" s="60"/>
    </row>
    <row r="15" spans="2:16">
      <c r="O15" s="13" t="str">
        <f>Show!$B$122&amp;Show!$B$122&amp;"S.25.02.04.01 Rows {"&amp;COLUMN($B$1)&amp;"}"</f>
        <v>!!S.25.02.04.01 Rows {2}</v>
      </c>
      <c r="P15" s="13" t="str">
        <f>Show!$B$122&amp;Show!$B$122&amp;"S.25.02.04.01 Columns {"&amp;COLUMN($G$1)&amp;"}"</f>
        <v>!!S.25.02.04.01 Columns {7}</v>
      </c>
    </row>
    <row r="17" spans="2:16" ht="18.75">
      <c r="B17" s="97" t="s">
        <v>4723</v>
      </c>
      <c r="C17" s="96"/>
      <c r="D17" s="96"/>
      <c r="E17" s="96"/>
      <c r="F17" s="96"/>
      <c r="G17" s="96"/>
      <c r="H17" s="96"/>
      <c r="I17" s="96"/>
      <c r="J17" s="96"/>
      <c r="K17" s="96"/>
      <c r="L17" s="96"/>
    </row>
    <row r="21" spans="2:16">
      <c r="D21" s="98" t="s">
        <v>2877</v>
      </c>
    </row>
    <row r="22" spans="2:16">
      <c r="D22" s="99"/>
    </row>
    <row r="23" spans="2:16">
      <c r="D23" s="99"/>
    </row>
    <row r="24" spans="2:16">
      <c r="D24" s="100"/>
    </row>
    <row r="25" spans="2:16">
      <c r="D25" s="45" t="s">
        <v>3239</v>
      </c>
      <c r="O25" s="13" t="str">
        <f>Show!$B$122&amp;"S.25.02.04.02 Rows {"&amp;COLUMN($C$1)&amp;"}"&amp;"@ForceFilingCode:true"</f>
        <v>!S.25.02.04.02 Rows {3}@ForceFilingCode:true</v>
      </c>
      <c r="P25" s="13" t="str">
        <f>Show!$B$122&amp;"S.25.02.04.02 Columns {"&amp;COLUMN($D$1)&amp;"}"</f>
        <v>!S.25.02.04.02 Columns {4}</v>
      </c>
    </row>
    <row r="26" spans="2:16">
      <c r="B26" s="43" t="s">
        <v>2880</v>
      </c>
      <c r="C26" s="44" t="s">
        <v>2878</v>
      </c>
      <c r="D26" s="46"/>
    </row>
    <row r="27" spans="2:16" ht="30">
      <c r="B27" s="47" t="s">
        <v>4707</v>
      </c>
      <c r="C27" s="41" t="s">
        <v>2901</v>
      </c>
      <c r="D27" s="60"/>
    </row>
    <row r="28" spans="2:16">
      <c r="B28" s="47" t="s">
        <v>4631</v>
      </c>
      <c r="C28" s="41" t="s">
        <v>2891</v>
      </c>
      <c r="D28" s="60"/>
    </row>
    <row r="29" spans="2:16" ht="30">
      <c r="B29" s="47" t="s">
        <v>4636</v>
      </c>
      <c r="C29" s="41" t="s">
        <v>2903</v>
      </c>
      <c r="D29" s="60"/>
    </row>
    <row r="30" spans="2:16" ht="60">
      <c r="B30" s="47" t="s">
        <v>4640</v>
      </c>
      <c r="C30" s="41" t="s">
        <v>2911</v>
      </c>
      <c r="D30" s="60"/>
    </row>
    <row r="31" spans="2:16" ht="45">
      <c r="B31" s="47" t="s">
        <v>4708</v>
      </c>
      <c r="C31" s="41" t="s">
        <v>2919</v>
      </c>
      <c r="D31" s="60"/>
    </row>
    <row r="32" spans="2:16">
      <c r="B32" s="47" t="s">
        <v>4671</v>
      </c>
      <c r="C32" s="41" t="s">
        <v>2921</v>
      </c>
      <c r="D32" s="60"/>
    </row>
    <row r="33" spans="2:4" ht="60">
      <c r="B33" s="47" t="s">
        <v>4672</v>
      </c>
      <c r="C33" s="41" t="s">
        <v>2923</v>
      </c>
      <c r="D33" s="63"/>
    </row>
    <row r="34" spans="2:4">
      <c r="B34" s="47" t="s">
        <v>4644</v>
      </c>
      <c r="C34" s="44" t="s">
        <v>2878</v>
      </c>
      <c r="D34" s="46"/>
    </row>
    <row r="35" spans="2:4" ht="60">
      <c r="B35" s="49" t="s">
        <v>4709</v>
      </c>
      <c r="C35" s="41" t="s">
        <v>2939</v>
      </c>
      <c r="D35" s="60"/>
    </row>
    <row r="36" spans="2:4" ht="45">
      <c r="B36" s="49" t="s">
        <v>4710</v>
      </c>
      <c r="C36" s="41" t="s">
        <v>2941</v>
      </c>
      <c r="D36" s="60"/>
    </row>
    <row r="37" spans="2:4" ht="45">
      <c r="B37" s="49" t="s">
        <v>4645</v>
      </c>
      <c r="C37" s="41" t="s">
        <v>2959</v>
      </c>
      <c r="D37" s="60"/>
    </row>
    <row r="38" spans="2:4" ht="60">
      <c r="B38" s="49" t="s">
        <v>4646</v>
      </c>
      <c r="C38" s="41" t="s">
        <v>2961</v>
      </c>
      <c r="D38" s="60"/>
    </row>
    <row r="39" spans="2:4" ht="60">
      <c r="B39" s="49" t="s">
        <v>4711</v>
      </c>
      <c r="C39" s="41" t="s">
        <v>2963</v>
      </c>
      <c r="D39" s="60"/>
    </row>
    <row r="40" spans="2:4" ht="75">
      <c r="B40" s="49" t="s">
        <v>4712</v>
      </c>
      <c r="C40" s="41" t="s">
        <v>2965</v>
      </c>
      <c r="D40" s="60"/>
    </row>
    <row r="41" spans="2:4" ht="45">
      <c r="B41" s="49" t="s">
        <v>4649</v>
      </c>
      <c r="C41" s="41" t="s">
        <v>2967</v>
      </c>
      <c r="D41" s="60"/>
    </row>
    <row r="42" spans="2:4" ht="60">
      <c r="B42" s="49" t="s">
        <v>4650</v>
      </c>
      <c r="C42" s="41" t="s">
        <v>2969</v>
      </c>
      <c r="D42" s="51"/>
    </row>
    <row r="43" spans="2:4" ht="30">
      <c r="B43" s="49" t="s">
        <v>4651</v>
      </c>
      <c r="C43" s="41" t="s">
        <v>2971</v>
      </c>
      <c r="D43" s="60"/>
    </row>
    <row r="44" spans="2:4" ht="45">
      <c r="B44" s="49" t="s">
        <v>4673</v>
      </c>
      <c r="C44" s="41" t="s">
        <v>2973</v>
      </c>
      <c r="D44" s="63"/>
    </row>
    <row r="45" spans="2:4" ht="30">
      <c r="B45" s="47" t="s">
        <v>4674</v>
      </c>
      <c r="C45" s="44" t="s">
        <v>2878</v>
      </c>
      <c r="D45" s="46"/>
    </row>
    <row r="46" spans="2:4" ht="60">
      <c r="B46" s="49" t="s">
        <v>4675</v>
      </c>
      <c r="C46" s="41" t="s">
        <v>2977</v>
      </c>
      <c r="D46" s="60"/>
    </row>
    <row r="47" spans="2:4" ht="150">
      <c r="B47" s="49" t="s">
        <v>4676</v>
      </c>
      <c r="C47" s="41" t="s">
        <v>2979</v>
      </c>
      <c r="D47" s="60"/>
    </row>
    <row r="48" spans="2:4" ht="105">
      <c r="B48" s="49" t="s">
        <v>4677</v>
      </c>
      <c r="C48" s="41" t="s">
        <v>2981</v>
      </c>
      <c r="D48" s="60"/>
    </row>
    <row r="49" spans="2:16" ht="120">
      <c r="B49" s="49" t="s">
        <v>4678</v>
      </c>
      <c r="C49" s="41" t="s">
        <v>2983</v>
      </c>
      <c r="D49" s="60"/>
    </row>
    <row r="50" spans="2:16" ht="60">
      <c r="B50" s="49" t="s">
        <v>4679</v>
      </c>
      <c r="C50" s="41" t="s">
        <v>2985</v>
      </c>
      <c r="D50" s="60"/>
    </row>
    <row r="51" spans="2:16" ht="30">
      <c r="B51" s="49" t="s">
        <v>4680</v>
      </c>
      <c r="C51" s="41" t="s">
        <v>2987</v>
      </c>
      <c r="D51" s="63"/>
    </row>
    <row r="52" spans="2:16">
      <c r="B52" s="47" t="s">
        <v>4681</v>
      </c>
      <c r="C52" s="44" t="s">
        <v>2878</v>
      </c>
      <c r="D52" s="46"/>
    </row>
    <row r="53" spans="2:16" ht="30">
      <c r="B53" s="49" t="s">
        <v>4682</v>
      </c>
      <c r="C53" s="41" t="s">
        <v>2989</v>
      </c>
      <c r="D53" s="60"/>
    </row>
    <row r="54" spans="2:16" ht="30">
      <c r="B54" s="49" t="s">
        <v>4643</v>
      </c>
      <c r="C54" s="41" t="s">
        <v>2991</v>
      </c>
      <c r="D54" s="60"/>
    </row>
    <row r="56" spans="2:16">
      <c r="O56" s="13" t="str">
        <f>Show!$B$122&amp;Show!$B$122&amp;"S.25.02.04.02 Rows {"&amp;COLUMN($C$1)&amp;"}"</f>
        <v>!!S.25.02.04.02 Rows {3}</v>
      </c>
      <c r="P56" s="13" t="str">
        <f>Show!$B$122&amp;Show!$B$122&amp;"S.25.02.04.02 Columns {"&amp;COLUMN($D$1)&amp;"}"</f>
        <v>!!S.25.02.04.02 Columns {4}</v>
      </c>
    </row>
  </sheetData>
  <sheetProtection sheet="1" objects="1" scenarios="1"/>
  <mergeCells count="6">
    <mergeCell ref="D21:D24"/>
    <mergeCell ref="B2:O2"/>
    <mergeCell ref="B5:L5"/>
    <mergeCell ref="B9:B11"/>
    <mergeCell ref="C9:G10"/>
    <mergeCell ref="B17:L17"/>
  </mergeCells>
  <dataValidations count="2">
    <dataValidation type="list" errorStyle="warning" allowBlank="1" showInputMessage="1" showErrorMessage="1" sqref="F13" xr:uid="{A842545D-BD39-4384-AC3C-196DD1A7A7FF}">
      <formula1>hier_AP_14</formula1>
    </dataValidation>
    <dataValidation type="list" errorStyle="warning" allowBlank="1" showInputMessage="1" showErrorMessage="1" sqref="D42" xr:uid="{788CFF19-4E6C-4A15-B2CB-E573A59863DC}">
      <formula1>hier_AP_18</formula1>
    </dataValidation>
  </dataValidation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C7B5-3C0C-4950-BB6C-5AB5AFA503E1}">
  <sheetPr codeName="Blad127"/>
  <dimension ref="B2:P74"/>
  <sheetViews>
    <sheetView showGridLines="0" workbookViewId="0"/>
  </sheetViews>
  <sheetFormatPr defaultRowHeight="15"/>
  <cols>
    <col min="2" max="2" width="28.28515625" bestFit="1" customWidth="1"/>
    <col min="3" max="3" width="40.7109375" customWidth="1"/>
    <col min="4" max="5" width="15.7109375" customWidth="1"/>
    <col min="6" max="7" width="40.7109375" customWidth="1"/>
  </cols>
  <sheetData>
    <row r="2" spans="2:16" ht="23.25">
      <c r="B2" s="95" t="s">
        <v>695</v>
      </c>
      <c r="C2" s="96"/>
      <c r="D2" s="96"/>
      <c r="E2" s="96"/>
      <c r="F2" s="96"/>
      <c r="G2" s="96"/>
      <c r="H2" s="96"/>
      <c r="I2" s="96"/>
      <c r="J2" s="96"/>
      <c r="K2" s="96"/>
      <c r="L2" s="96"/>
      <c r="M2" s="96"/>
      <c r="N2" s="96"/>
      <c r="O2" s="96"/>
    </row>
    <row r="5" spans="2:16" ht="18.75">
      <c r="B5" s="97" t="s">
        <v>4724</v>
      </c>
      <c r="C5" s="96"/>
      <c r="D5" s="96"/>
      <c r="E5" s="96"/>
      <c r="F5" s="96"/>
      <c r="G5" s="96"/>
      <c r="H5" s="96"/>
      <c r="I5" s="96"/>
      <c r="J5" s="96"/>
      <c r="K5" s="96"/>
      <c r="L5" s="96"/>
    </row>
    <row r="9" spans="2:16">
      <c r="B9" s="98" t="s">
        <v>4701</v>
      </c>
      <c r="C9" s="101" t="s">
        <v>2877</v>
      </c>
      <c r="D9" s="102"/>
      <c r="E9" s="102"/>
      <c r="F9" s="102"/>
      <c r="G9" s="103"/>
    </row>
    <row r="10" spans="2:16">
      <c r="B10" s="99"/>
      <c r="C10" s="104"/>
      <c r="D10" s="105"/>
      <c r="E10" s="105"/>
      <c r="F10" s="105"/>
      <c r="G10" s="106"/>
    </row>
    <row r="11" spans="2:16" ht="60">
      <c r="B11" s="100"/>
      <c r="C11" s="55" t="s">
        <v>4702</v>
      </c>
      <c r="D11" s="55" t="s">
        <v>4703</v>
      </c>
      <c r="E11" s="55" t="s">
        <v>4705</v>
      </c>
      <c r="F11" s="55" t="s">
        <v>4687</v>
      </c>
      <c r="G11" s="55" t="s">
        <v>4684</v>
      </c>
    </row>
    <row r="12" spans="2:16">
      <c r="B12" s="42" t="s">
        <v>2879</v>
      </c>
      <c r="C12" s="42" t="s">
        <v>3219</v>
      </c>
      <c r="D12" s="42" t="s">
        <v>3225</v>
      </c>
      <c r="E12" s="42" t="s">
        <v>3233</v>
      </c>
      <c r="F12" s="42" t="s">
        <v>3236</v>
      </c>
      <c r="G12" s="42" t="s">
        <v>3243</v>
      </c>
      <c r="O12" s="13" t="str">
        <f>Show!$B$123&amp;"S.25.02.21.01 Rows {"&amp;COLUMN($B$1)&amp;"}"&amp;"@ForceFilingCode:true"</f>
        <v>!S.25.02.21.01 Rows {2}@ForceFilingCode:true</v>
      </c>
      <c r="P12" s="13" t="str">
        <f>Show!$B$123&amp;"S.25.02.21.01 Columns {"&amp;COLUMN($B$1)&amp;"}"</f>
        <v>!S.25.02.21.01 Columns {2}</v>
      </c>
    </row>
    <row r="13" spans="2:16">
      <c r="B13" s="50"/>
      <c r="C13" s="51"/>
      <c r="D13" s="60"/>
      <c r="E13" s="60"/>
      <c r="F13" s="51"/>
      <c r="G13" s="51"/>
    </row>
    <row r="15" spans="2:16">
      <c r="O15" s="13" t="str">
        <f>Show!$B$123&amp;Show!$B$123&amp;"S.25.02.21.01 Rows {"&amp;COLUMN($B$1)&amp;"}"</f>
        <v>!!S.25.02.21.01 Rows {2}</v>
      </c>
      <c r="P15" s="13" t="str">
        <f>Show!$B$123&amp;Show!$B$123&amp;"S.25.02.21.01 Columns {"&amp;COLUMN($G$1)&amp;"}"</f>
        <v>!!S.25.02.21.01 Columns {7}</v>
      </c>
    </row>
    <row r="17" spans="2:16" ht="18.75">
      <c r="B17" s="97" t="s">
        <v>4725</v>
      </c>
      <c r="C17" s="96"/>
      <c r="D17" s="96"/>
      <c r="E17" s="96"/>
      <c r="F17" s="96"/>
      <c r="G17" s="96"/>
      <c r="H17" s="96"/>
      <c r="I17" s="96"/>
      <c r="J17" s="96"/>
      <c r="K17" s="96"/>
      <c r="L17" s="96"/>
    </row>
    <row r="21" spans="2:16">
      <c r="D21" s="98" t="s">
        <v>2877</v>
      </c>
    </row>
    <row r="22" spans="2:16">
      <c r="D22" s="99"/>
    </row>
    <row r="23" spans="2:16">
      <c r="D23" s="99"/>
    </row>
    <row r="24" spans="2:16">
      <c r="D24" s="100"/>
    </row>
    <row r="25" spans="2:16">
      <c r="D25" s="45" t="s">
        <v>3239</v>
      </c>
      <c r="O25" s="13" t="str">
        <f>Show!$B$123&amp;"S.25.02.21.02 Rows {"&amp;COLUMN($C$1)&amp;"}"&amp;"@ForceFilingCode:true"</f>
        <v>!S.25.02.21.02 Rows {3}@ForceFilingCode:true</v>
      </c>
      <c r="P25" s="13" t="str">
        <f>Show!$B$123&amp;"S.25.02.21.02 Columns {"&amp;COLUMN($D$1)&amp;"}"</f>
        <v>!S.25.02.21.02 Columns {4}</v>
      </c>
    </row>
    <row r="26" spans="2:16">
      <c r="B26" s="43" t="s">
        <v>2880</v>
      </c>
      <c r="C26" s="44" t="s">
        <v>2878</v>
      </c>
      <c r="D26" s="46"/>
    </row>
    <row r="27" spans="2:16" ht="30">
      <c r="B27" s="47" t="s">
        <v>4707</v>
      </c>
      <c r="C27" s="41" t="s">
        <v>2901</v>
      </c>
      <c r="D27" s="60"/>
    </row>
    <row r="28" spans="2:16">
      <c r="B28" s="47" t="s">
        <v>4631</v>
      </c>
      <c r="C28" s="41" t="s">
        <v>2891</v>
      </c>
      <c r="D28" s="60"/>
    </row>
    <row r="29" spans="2:16" ht="60">
      <c r="B29" s="47" t="s">
        <v>4640</v>
      </c>
      <c r="C29" s="41" t="s">
        <v>2911</v>
      </c>
      <c r="D29" s="60"/>
    </row>
    <row r="30" spans="2:16" ht="45">
      <c r="B30" s="47" t="s">
        <v>4708</v>
      </c>
      <c r="C30" s="41" t="s">
        <v>2919</v>
      </c>
      <c r="D30" s="60"/>
    </row>
    <row r="31" spans="2:16">
      <c r="B31" s="47" t="s">
        <v>4671</v>
      </c>
      <c r="C31" s="41" t="s">
        <v>2921</v>
      </c>
      <c r="D31" s="60"/>
    </row>
    <row r="32" spans="2:16" ht="30">
      <c r="B32" s="47" t="s">
        <v>4643</v>
      </c>
      <c r="C32" s="41" t="s">
        <v>2923</v>
      </c>
      <c r="D32" s="63"/>
    </row>
    <row r="33" spans="2:16">
      <c r="B33" s="47" t="s">
        <v>4644</v>
      </c>
      <c r="C33" s="44" t="s">
        <v>2878</v>
      </c>
      <c r="D33" s="46"/>
    </row>
    <row r="34" spans="2:16" ht="60">
      <c r="B34" s="49" t="s">
        <v>4709</v>
      </c>
      <c r="C34" s="41" t="s">
        <v>2939</v>
      </c>
      <c r="D34" s="60"/>
    </row>
    <row r="35" spans="2:16" ht="45">
      <c r="B35" s="49" t="s">
        <v>4710</v>
      </c>
      <c r="C35" s="41" t="s">
        <v>2941</v>
      </c>
      <c r="D35" s="60"/>
    </row>
    <row r="36" spans="2:16" ht="45">
      <c r="B36" s="49" t="s">
        <v>4645</v>
      </c>
      <c r="C36" s="41" t="s">
        <v>2959</v>
      </c>
      <c r="D36" s="60"/>
    </row>
    <row r="37" spans="2:16" ht="60">
      <c r="B37" s="49" t="s">
        <v>4646</v>
      </c>
      <c r="C37" s="41" t="s">
        <v>2961</v>
      </c>
      <c r="D37" s="60"/>
    </row>
    <row r="38" spans="2:16" ht="60">
      <c r="B38" s="49" t="s">
        <v>4711</v>
      </c>
      <c r="C38" s="41" t="s">
        <v>2963</v>
      </c>
      <c r="D38" s="60"/>
    </row>
    <row r="39" spans="2:16" ht="75">
      <c r="B39" s="49" t="s">
        <v>4712</v>
      </c>
      <c r="C39" s="41" t="s">
        <v>2965</v>
      </c>
      <c r="D39" s="60"/>
    </row>
    <row r="40" spans="2:16" ht="45">
      <c r="B40" s="49" t="s">
        <v>4649</v>
      </c>
      <c r="C40" s="41" t="s">
        <v>2967</v>
      </c>
      <c r="D40" s="60"/>
    </row>
    <row r="42" spans="2:16">
      <c r="O42" s="13" t="str">
        <f>Show!$B$123&amp;Show!$B$123&amp;"S.25.02.21.02 Rows {"&amp;COLUMN($C$1)&amp;"}"</f>
        <v>!!S.25.02.21.02 Rows {3}</v>
      </c>
      <c r="P42" s="13" t="str">
        <f>Show!$B$123&amp;Show!$B$123&amp;"S.25.02.21.02 Columns {"&amp;COLUMN($D$1)&amp;"}"</f>
        <v>!!S.25.02.21.02 Columns {4}</v>
      </c>
    </row>
    <row r="44" spans="2:16" ht="18.75">
      <c r="B44" s="97" t="s">
        <v>4726</v>
      </c>
      <c r="C44" s="96"/>
      <c r="D44" s="96"/>
      <c r="E44" s="96"/>
      <c r="F44" s="96"/>
      <c r="G44" s="96"/>
      <c r="H44" s="96"/>
      <c r="I44" s="96"/>
      <c r="J44" s="96"/>
      <c r="K44" s="96"/>
      <c r="L44" s="96"/>
    </row>
    <row r="48" spans="2:16">
      <c r="D48" s="98" t="s">
        <v>2877</v>
      </c>
    </row>
    <row r="49" spans="2:16">
      <c r="D49" s="100"/>
    </row>
    <row r="50" spans="2:16">
      <c r="D50" s="55" t="s">
        <v>4653</v>
      </c>
    </row>
    <row r="51" spans="2:16">
      <c r="D51" s="45" t="s">
        <v>4654</v>
      </c>
      <c r="O51" s="13" t="str">
        <f>Show!$B$123&amp;"S.25.02.21.03 Rows {"&amp;COLUMN($C$1)&amp;"}"&amp;"@ForceFilingCode:true"</f>
        <v>!S.25.02.21.03 Rows {3}@ForceFilingCode:true</v>
      </c>
      <c r="P51" s="13" t="str">
        <f>Show!$B$123&amp;"S.25.02.21.03 Columns {"&amp;COLUMN($D$1)&amp;"}"</f>
        <v>!S.25.02.21.03 Columns {4}</v>
      </c>
    </row>
    <row r="52" spans="2:16">
      <c r="B52" s="43" t="s">
        <v>2880</v>
      </c>
      <c r="C52" s="44" t="s">
        <v>2878</v>
      </c>
      <c r="D52" s="46"/>
    </row>
    <row r="53" spans="2:16" ht="30">
      <c r="B53" s="47" t="s">
        <v>2562</v>
      </c>
      <c r="C53" s="41" t="s">
        <v>2995</v>
      </c>
      <c r="D53" s="51"/>
    </row>
    <row r="55" spans="2:16">
      <c r="O55" s="13" t="str">
        <f>Show!$B$123&amp;Show!$B$123&amp;"S.25.02.21.03 Rows {"&amp;COLUMN($C$1)&amp;"}"</f>
        <v>!!S.25.02.21.03 Rows {3}</v>
      </c>
      <c r="P55" s="13" t="str">
        <f>Show!$B$123&amp;Show!$B$123&amp;"S.25.02.21.03 Columns {"&amp;COLUMN($D$1)&amp;"}"</f>
        <v>!!S.25.02.21.03 Columns {4}</v>
      </c>
    </row>
    <row r="57" spans="2:16" ht="18.75">
      <c r="B57" s="97" t="s">
        <v>4727</v>
      </c>
      <c r="C57" s="96"/>
      <c r="D57" s="96"/>
      <c r="E57" s="96"/>
      <c r="F57" s="96"/>
      <c r="G57" s="96"/>
      <c r="H57" s="96"/>
      <c r="I57" s="96"/>
      <c r="J57" s="96"/>
      <c r="K57" s="96"/>
      <c r="L57" s="96"/>
    </row>
    <row r="61" spans="2:16">
      <c r="D61" s="98" t="s">
        <v>2877</v>
      </c>
    </row>
    <row r="62" spans="2:16">
      <c r="D62" s="100"/>
    </row>
    <row r="63" spans="2:16">
      <c r="D63" s="98" t="s">
        <v>4663</v>
      </c>
    </row>
    <row r="64" spans="2:16">
      <c r="D64" s="100"/>
    </row>
    <row r="65" spans="2:16">
      <c r="D65" s="45" t="s">
        <v>3375</v>
      </c>
      <c r="O65" s="13" t="str">
        <f>Show!$B$123&amp;"S.25.02.21.05 Rows {"&amp;COLUMN($C$1)&amp;"}"&amp;"@ForceFilingCode:true"</f>
        <v>!S.25.02.21.05 Rows {3}@ForceFilingCode:true</v>
      </c>
      <c r="P65" s="13" t="str">
        <f>Show!$B$123&amp;"S.25.02.21.05 Columns {"&amp;COLUMN($D$1)&amp;"}"</f>
        <v>!S.25.02.21.05 Columns {4}</v>
      </c>
    </row>
    <row r="66" spans="2:16">
      <c r="B66" s="43" t="s">
        <v>2880</v>
      </c>
      <c r="C66" s="44" t="s">
        <v>2878</v>
      </c>
      <c r="D66" s="46"/>
    </row>
    <row r="67" spans="2:16" ht="30">
      <c r="B67" s="47" t="s">
        <v>4716</v>
      </c>
      <c r="C67" s="41" t="s">
        <v>3005</v>
      </c>
      <c r="D67" s="60"/>
    </row>
    <row r="68" spans="2:16" ht="45">
      <c r="B68" s="49" t="s">
        <v>4717</v>
      </c>
      <c r="C68" s="41" t="s">
        <v>3007</v>
      </c>
      <c r="D68" s="60"/>
    </row>
    <row r="69" spans="2:16" ht="60">
      <c r="B69" s="49" t="s">
        <v>4718</v>
      </c>
      <c r="C69" s="41" t="s">
        <v>3009</v>
      </c>
      <c r="D69" s="60"/>
    </row>
    <row r="70" spans="2:16" ht="45">
      <c r="B70" s="49" t="s">
        <v>4719</v>
      </c>
      <c r="C70" s="41" t="s">
        <v>3011</v>
      </c>
      <c r="D70" s="60"/>
    </row>
    <row r="71" spans="2:16" ht="45">
      <c r="B71" s="49" t="s">
        <v>4720</v>
      </c>
      <c r="C71" s="41" t="s">
        <v>3013</v>
      </c>
      <c r="D71" s="60"/>
    </row>
    <row r="72" spans="2:16" ht="30">
      <c r="B72" s="49" t="s">
        <v>4721</v>
      </c>
      <c r="C72" s="41" t="s">
        <v>3015</v>
      </c>
      <c r="D72" s="60"/>
    </row>
    <row r="74" spans="2:16">
      <c r="O74" s="13" t="str">
        <f>Show!$B$123&amp;Show!$B$123&amp;"S.25.02.21.05 Rows {"&amp;COLUMN($C$1)&amp;"}"</f>
        <v>!!S.25.02.21.05 Rows {3}</v>
      </c>
      <c r="P74" s="13" t="str">
        <f>Show!$B$123&amp;Show!$B$123&amp;"S.25.02.21.05 Columns {"&amp;COLUMN($D$1)&amp;"}"</f>
        <v>!!S.25.02.21.05 Columns {4}</v>
      </c>
    </row>
  </sheetData>
  <sheetProtection sheet="1" objects="1" scenarios="1"/>
  <mergeCells count="11">
    <mergeCell ref="B44:L44"/>
    <mergeCell ref="D48:D49"/>
    <mergeCell ref="B57:L57"/>
    <mergeCell ref="D61:D62"/>
    <mergeCell ref="D63:D64"/>
    <mergeCell ref="D21:D24"/>
    <mergeCell ref="B2:O2"/>
    <mergeCell ref="B5:L5"/>
    <mergeCell ref="B9:B11"/>
    <mergeCell ref="C9:G10"/>
    <mergeCell ref="B17:L17"/>
  </mergeCells>
  <dataValidations count="1">
    <dataValidation type="list" errorStyle="warning" allowBlank="1" showInputMessage="1" showErrorMessage="1" sqref="D53" xr:uid="{A2BFCF30-FCF5-4D7B-9B73-2D1CBBC90FB6}">
      <formula1>hier_AP_24</formula1>
    </dataValidation>
  </dataValidation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AE15-DEB9-4EA4-90C2-3D191C018396}">
  <sheetPr codeName="Blad128"/>
  <dimension ref="B2:P53"/>
  <sheetViews>
    <sheetView showGridLines="0" workbookViewId="0"/>
  </sheetViews>
  <sheetFormatPr defaultRowHeight="15"/>
  <cols>
    <col min="2" max="2" width="28.28515625" bestFit="1" customWidth="1"/>
    <col min="3" max="3" width="40.7109375" customWidth="1"/>
    <col min="4" max="5" width="15.7109375" customWidth="1"/>
    <col min="6" max="7" width="40.7109375" customWidth="1"/>
  </cols>
  <sheetData>
    <row r="2" spans="2:16" ht="23.25">
      <c r="B2" s="95" t="s">
        <v>697</v>
      </c>
      <c r="C2" s="96"/>
      <c r="D2" s="96"/>
      <c r="E2" s="96"/>
      <c r="F2" s="96"/>
      <c r="G2" s="96"/>
      <c r="H2" s="96"/>
      <c r="I2" s="96"/>
      <c r="J2" s="96"/>
      <c r="K2" s="96"/>
      <c r="L2" s="96"/>
      <c r="M2" s="96"/>
      <c r="N2" s="96"/>
      <c r="O2" s="96"/>
    </row>
    <row r="5" spans="2:16" ht="18.75">
      <c r="B5" s="97" t="s">
        <v>4728</v>
      </c>
      <c r="C5" s="96"/>
      <c r="D5" s="96"/>
      <c r="E5" s="96"/>
      <c r="F5" s="96"/>
      <c r="G5" s="96"/>
      <c r="H5" s="96"/>
      <c r="I5" s="96"/>
      <c r="J5" s="96"/>
      <c r="K5" s="96"/>
      <c r="L5" s="96"/>
    </row>
    <row r="9" spans="2:16">
      <c r="B9" s="98" t="s">
        <v>4701</v>
      </c>
      <c r="C9" s="101" t="s">
        <v>2877</v>
      </c>
      <c r="D9" s="102"/>
      <c r="E9" s="102"/>
      <c r="F9" s="102"/>
      <c r="G9" s="103"/>
    </row>
    <row r="10" spans="2:16">
      <c r="B10" s="99"/>
      <c r="C10" s="104"/>
      <c r="D10" s="105"/>
      <c r="E10" s="105"/>
      <c r="F10" s="105"/>
      <c r="G10" s="106"/>
    </row>
    <row r="11" spans="2:16" ht="60">
      <c r="B11" s="100"/>
      <c r="C11" s="55" t="s">
        <v>4702</v>
      </c>
      <c r="D11" s="55" t="s">
        <v>4703</v>
      </c>
      <c r="E11" s="55" t="s">
        <v>4705</v>
      </c>
      <c r="F11" s="55" t="s">
        <v>4687</v>
      </c>
      <c r="G11" s="55" t="s">
        <v>4684</v>
      </c>
    </row>
    <row r="12" spans="2:16">
      <c r="B12" s="42" t="s">
        <v>2879</v>
      </c>
      <c r="C12" s="42" t="s">
        <v>3219</v>
      </c>
      <c r="D12" s="42" t="s">
        <v>3225</v>
      </c>
      <c r="E12" s="42" t="s">
        <v>3233</v>
      </c>
      <c r="F12" s="42" t="s">
        <v>3236</v>
      </c>
      <c r="G12" s="42" t="s">
        <v>3243</v>
      </c>
      <c r="O12" s="13" t="str">
        <f>Show!$B$124&amp;"S.25.02.22.01 Rows {"&amp;COLUMN($B$1)&amp;"}"&amp;"@ForceFilingCode:true"</f>
        <v>!S.25.02.22.01 Rows {2}@ForceFilingCode:true</v>
      </c>
      <c r="P12" s="13" t="str">
        <f>Show!$B$124&amp;"S.25.02.22.01 Columns {"&amp;COLUMN($B$1)&amp;"}"</f>
        <v>!S.25.02.22.01 Columns {2}</v>
      </c>
    </row>
    <row r="13" spans="2:16">
      <c r="B13" s="50"/>
      <c r="C13" s="51"/>
      <c r="D13" s="60"/>
      <c r="E13" s="60"/>
      <c r="F13" s="51"/>
      <c r="G13" s="51"/>
    </row>
    <row r="15" spans="2:16">
      <c r="O15" s="13" t="str">
        <f>Show!$B$124&amp;Show!$B$124&amp;"S.25.02.22.01 Rows {"&amp;COLUMN($B$1)&amp;"}"</f>
        <v>!!S.25.02.22.01 Rows {2}</v>
      </c>
      <c r="P15" s="13" t="str">
        <f>Show!$B$124&amp;Show!$B$124&amp;"S.25.02.22.01 Columns {"&amp;COLUMN($G$1)&amp;"}"</f>
        <v>!!S.25.02.22.01 Columns {7}</v>
      </c>
    </row>
    <row r="17" spans="2:16" ht="18.75">
      <c r="B17" s="97" t="s">
        <v>4729</v>
      </c>
      <c r="C17" s="96"/>
      <c r="D17" s="96"/>
      <c r="E17" s="96"/>
      <c r="F17" s="96"/>
      <c r="G17" s="96"/>
      <c r="H17" s="96"/>
      <c r="I17" s="96"/>
      <c r="J17" s="96"/>
      <c r="K17" s="96"/>
      <c r="L17" s="96"/>
    </row>
    <row r="21" spans="2:16">
      <c r="D21" s="98" t="s">
        <v>2877</v>
      </c>
    </row>
    <row r="22" spans="2:16">
      <c r="D22" s="99"/>
    </row>
    <row r="23" spans="2:16">
      <c r="D23" s="99"/>
    </row>
    <row r="24" spans="2:16">
      <c r="D24" s="100"/>
    </row>
    <row r="25" spans="2:16">
      <c r="D25" s="45" t="s">
        <v>3239</v>
      </c>
      <c r="O25" s="13" t="str">
        <f>Show!$B$124&amp;"S.25.02.22.02 Rows {"&amp;COLUMN($C$1)&amp;"}"&amp;"@ForceFilingCode:true"</f>
        <v>!S.25.02.22.02 Rows {3}@ForceFilingCode:true</v>
      </c>
      <c r="P25" s="13" t="str">
        <f>Show!$B$124&amp;"S.25.02.22.02 Columns {"&amp;COLUMN($D$1)&amp;"}"</f>
        <v>!S.25.02.22.02 Columns {4}</v>
      </c>
    </row>
    <row r="26" spans="2:16">
      <c r="B26" s="43" t="s">
        <v>2880</v>
      </c>
      <c r="C26" s="44" t="s">
        <v>2878</v>
      </c>
      <c r="D26" s="46"/>
    </row>
    <row r="27" spans="2:16" ht="30">
      <c r="B27" s="47" t="s">
        <v>4707</v>
      </c>
      <c r="C27" s="41" t="s">
        <v>2901</v>
      </c>
      <c r="D27" s="60"/>
    </row>
    <row r="28" spans="2:16">
      <c r="B28" s="47" t="s">
        <v>4631</v>
      </c>
      <c r="C28" s="41" t="s">
        <v>2891</v>
      </c>
      <c r="D28" s="60"/>
    </row>
    <row r="29" spans="2:16" ht="60">
      <c r="B29" s="47" t="s">
        <v>4640</v>
      </c>
      <c r="C29" s="41" t="s">
        <v>2911</v>
      </c>
      <c r="D29" s="60"/>
    </row>
    <row r="30" spans="2:16" ht="45">
      <c r="B30" s="47" t="s">
        <v>4708</v>
      </c>
      <c r="C30" s="41" t="s">
        <v>2919</v>
      </c>
      <c r="D30" s="60"/>
    </row>
    <row r="31" spans="2:16">
      <c r="B31" s="47" t="s">
        <v>4671</v>
      </c>
      <c r="C31" s="41" t="s">
        <v>2921</v>
      </c>
      <c r="D31" s="60"/>
    </row>
    <row r="32" spans="2:16" ht="60">
      <c r="B32" s="47" t="s">
        <v>4672</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45">
      <c r="B36" s="49" t="s">
        <v>4645</v>
      </c>
      <c r="C36" s="41" t="s">
        <v>2959</v>
      </c>
      <c r="D36" s="60"/>
    </row>
    <row r="37" spans="2:4" ht="60">
      <c r="B37" s="49" t="s">
        <v>4646</v>
      </c>
      <c r="C37" s="41" t="s">
        <v>2961</v>
      </c>
      <c r="D37" s="60"/>
    </row>
    <row r="38" spans="2:4" ht="60">
      <c r="B38" s="49" t="s">
        <v>4711</v>
      </c>
      <c r="C38" s="41" t="s">
        <v>2963</v>
      </c>
      <c r="D38" s="60"/>
    </row>
    <row r="39" spans="2:4" ht="75">
      <c r="B39" s="49" t="s">
        <v>4712</v>
      </c>
      <c r="C39" s="41" t="s">
        <v>2965</v>
      </c>
      <c r="D39" s="60"/>
    </row>
    <row r="40" spans="2:4" ht="45">
      <c r="B40" s="49" t="s">
        <v>4649</v>
      </c>
      <c r="C40" s="41" t="s">
        <v>2967</v>
      </c>
      <c r="D40" s="60"/>
    </row>
    <row r="41" spans="2:4" ht="45">
      <c r="B41" s="49" t="s">
        <v>4673</v>
      </c>
      <c r="C41" s="41" t="s">
        <v>2973</v>
      </c>
      <c r="D41" s="63"/>
    </row>
    <row r="42" spans="2:4" ht="30">
      <c r="B42" s="47" t="s">
        <v>4674</v>
      </c>
      <c r="C42" s="44" t="s">
        <v>2878</v>
      </c>
      <c r="D42" s="46"/>
    </row>
    <row r="43" spans="2:4" ht="60">
      <c r="B43" s="49" t="s">
        <v>4675</v>
      </c>
      <c r="C43" s="41" t="s">
        <v>2977</v>
      </c>
      <c r="D43" s="60"/>
    </row>
    <row r="44" spans="2:4" ht="150">
      <c r="B44" s="49" t="s">
        <v>4676</v>
      </c>
      <c r="C44" s="41" t="s">
        <v>2979</v>
      </c>
      <c r="D44" s="60"/>
    </row>
    <row r="45" spans="2:4" ht="105">
      <c r="B45" s="49" t="s">
        <v>4677</v>
      </c>
      <c r="C45" s="41" t="s">
        <v>2981</v>
      </c>
      <c r="D45" s="60"/>
    </row>
    <row r="46" spans="2:4" ht="120">
      <c r="B46" s="49" t="s">
        <v>4678</v>
      </c>
      <c r="C46" s="41" t="s">
        <v>2983</v>
      </c>
      <c r="D46" s="60"/>
    </row>
    <row r="47" spans="2:4" ht="60">
      <c r="B47" s="49" t="s">
        <v>4679</v>
      </c>
      <c r="C47" s="41" t="s">
        <v>2985</v>
      </c>
      <c r="D47" s="60"/>
    </row>
    <row r="48" spans="2:4" ht="30">
      <c r="B48" s="49" t="s">
        <v>4680</v>
      </c>
      <c r="C48" s="41" t="s">
        <v>2987</v>
      </c>
      <c r="D48" s="63"/>
    </row>
    <row r="49" spans="2:16">
      <c r="B49" s="47" t="s">
        <v>4681</v>
      </c>
      <c r="C49" s="44" t="s">
        <v>2878</v>
      </c>
      <c r="D49" s="46"/>
    </row>
    <row r="50" spans="2:16" ht="30">
      <c r="B50" s="49" t="s">
        <v>4682</v>
      </c>
      <c r="C50" s="41" t="s">
        <v>2989</v>
      </c>
      <c r="D50" s="60"/>
    </row>
    <row r="51" spans="2:16" ht="30">
      <c r="B51" s="49" t="s">
        <v>4643</v>
      </c>
      <c r="C51" s="41" t="s">
        <v>2991</v>
      </c>
      <c r="D51" s="60"/>
    </row>
    <row r="53" spans="2:16">
      <c r="O53" s="13" t="str">
        <f>Show!$B$124&amp;Show!$B$124&amp;"S.25.02.22.02 Rows {"&amp;COLUMN($C$1)&amp;"}"</f>
        <v>!!S.25.02.22.02 Rows {3}</v>
      </c>
      <c r="P53" s="13" t="str">
        <f>Show!$B$124&amp;Show!$B$124&amp;"S.25.02.22.02 Columns {"&amp;COLUMN($D$1)&amp;"}"</f>
        <v>!!S.25.02.22.02 Columns {4}</v>
      </c>
    </row>
  </sheetData>
  <sheetProtection sheet="1" objects="1" scenarios="1"/>
  <mergeCells count="6">
    <mergeCell ref="D21:D24"/>
    <mergeCell ref="B2:O2"/>
    <mergeCell ref="B5:L5"/>
    <mergeCell ref="B9:B11"/>
    <mergeCell ref="C9:G10"/>
    <mergeCell ref="B17:L1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8A4DF-7AC0-4276-BF80-AB92D9A17EB8}">
  <sheetPr codeName="Blad13"/>
  <dimension ref="B2:O20"/>
  <sheetViews>
    <sheetView showGridLines="0" workbookViewId="0">
      <selection activeCell="D16" sqref="D16"/>
    </sheetView>
  </sheetViews>
  <sheetFormatPr defaultRowHeight="15"/>
  <cols>
    <col min="2" max="2" width="42.8554687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3094</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IF(COUNTIF(D:D,"Reported")&gt;0,Show!$B$9,"!")&amp;"S.01.01.11.01 Rows {"&amp;COLUMN($C$1)&amp;"}"&amp;"@ForceFilingCode:true"</f>
        <v>!S.01.01.11.01 Rows {3}@ForceFilingCode:true</v>
      </c>
      <c r="J13" s="13" t="str">
        <f>IF(COUNTIF(D:D,"Reported")&gt;0,Show!$B$9,"!")&amp;"S.01.01.11.01 Columns {"&amp;COLUMN($D$1)&amp;"}"</f>
        <v>!S.01.01.11.01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3095</v>
      </c>
      <c r="C17" s="41" t="s">
        <v>3096</v>
      </c>
      <c r="D17" s="51"/>
    </row>
    <row r="18" spans="2:10">
      <c r="B18" s="52" t="s">
        <v>3097</v>
      </c>
      <c r="C18" s="41" t="s">
        <v>3098</v>
      </c>
      <c r="D18" s="51"/>
    </row>
    <row r="19" spans="2:10">
      <c r="B19" s="52" t="s">
        <v>3099</v>
      </c>
      <c r="C19" s="41" t="s">
        <v>3100</v>
      </c>
      <c r="D19" s="51"/>
    </row>
    <row r="20" spans="2:10">
      <c r="I20" s="13" t="str">
        <f>IF(COUNTIF(D:D,"Reported")&gt;0,Show!$B$9&amp;Show!$B$9,"!!")&amp;"S.01.01.11.01 Rows {"&amp;COLUMN($C$1)&amp;"}"</f>
        <v>!!S.01.01.11.01 Rows {3}</v>
      </c>
      <c r="J20" s="13" t="str">
        <f>IF(COUNTIF(D:D,"Reported")&gt;0,Show!$B$9&amp;Show!$B$9,"!!")&amp;"S.01.01.11.01 Columns {"&amp;COLUMN($D$1)&amp;"}"</f>
        <v>!!S.01.01.11.01 Columns {4}</v>
      </c>
    </row>
  </sheetData>
  <sheetProtection sheet="1" objects="1" scenarios="1"/>
  <mergeCells count="3">
    <mergeCell ref="B2:O2"/>
    <mergeCell ref="B5:L5"/>
    <mergeCell ref="D9:D12"/>
  </mergeCells>
  <dataValidations count="4">
    <dataValidation type="list" errorStyle="warning" allowBlank="1" showInputMessage="1" showErrorMessage="1" sqref="D16" xr:uid="{2FA5923B-9193-4749-B747-AD88CE814618}">
      <formula1>hier_CN_2</formula1>
    </dataValidation>
    <dataValidation type="list" errorStyle="warning" allowBlank="1" showInputMessage="1" showErrorMessage="1" sqref="D17" xr:uid="{9DC883AA-14D8-4BBA-9EC5-CA362AD9BC7D}">
      <formula1>hier_CN_15</formula1>
    </dataValidation>
    <dataValidation type="list" errorStyle="warning" allowBlank="1" showInputMessage="1" showErrorMessage="1" sqref="D18" xr:uid="{F9BD5F6D-FDC9-4E6D-857F-28F9BBEC975C}">
      <formula1>hier_CN_75</formula1>
    </dataValidation>
    <dataValidation type="list" errorStyle="warning" allowBlank="1" showInputMessage="1" showErrorMessage="1" sqref="D19" xr:uid="{37CCB055-6DEE-4941-A4FA-4D823F7B065B}">
      <formula1>hier_CN_96</formula1>
    </dataValidation>
  </dataValidations>
  <hyperlinks>
    <hyperlink ref="B16" location="'S.01.02.01'!A1" display="S.01.02.01 - Basic Information - General" xr:uid="{8DF461C4-B01E-4D23-867A-74A940488A9F}"/>
    <hyperlink ref="B17" location="'S.25.04.11'!A1" display="S.25.04.11 - Solvency Capital Requirement" xr:uid="{E5F93B87-2100-477A-B0FB-C90FBF6D2C0C}"/>
    <hyperlink ref="B18" location="'S.39.01.11'!A1" display="S.39.01.11 - Profit and Loss" xr:uid="{B594C7C7-3634-4268-8D4B-0B9F03A0ED63}"/>
    <hyperlink ref="B19" location="'S.41.01.11'!A1" display="S.41.01.11 - Lapses" xr:uid="{627AE14D-8F0B-4DFC-B77B-6EF232CD1072}"/>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3555F-F754-43D6-8D73-18A341077084}">
  <sheetPr codeName="Blad129"/>
  <dimension ref="B2:O106"/>
  <sheetViews>
    <sheetView showGridLines="0" workbookViewId="0"/>
  </sheetViews>
  <sheetFormatPr defaultRowHeight="15"/>
  <cols>
    <col min="2" max="2" width="61.85546875" bestFit="1" customWidth="1"/>
    <col min="3" max="3" width="40.7109375" customWidth="1"/>
    <col min="4" max="6" width="15.7109375" customWidth="1"/>
  </cols>
  <sheetData>
    <row r="2" spans="2:15" ht="23.25">
      <c r="B2" s="95" t="s">
        <v>695</v>
      </c>
      <c r="C2" s="96"/>
      <c r="D2" s="96"/>
      <c r="E2" s="96"/>
      <c r="F2" s="96"/>
      <c r="G2" s="96"/>
      <c r="H2" s="96"/>
      <c r="I2" s="96"/>
      <c r="J2" s="96"/>
      <c r="K2" s="96"/>
      <c r="L2" s="96"/>
      <c r="M2" s="96"/>
      <c r="N2" s="96"/>
      <c r="O2" s="96"/>
    </row>
    <row r="5" spans="2:15" ht="18.75">
      <c r="B5" s="97" t="s">
        <v>4730</v>
      </c>
      <c r="C5" s="96"/>
      <c r="D5" s="96"/>
      <c r="E5" s="96"/>
      <c r="F5" s="96"/>
      <c r="G5" s="96"/>
      <c r="H5" s="96"/>
      <c r="I5" s="96"/>
      <c r="J5" s="96"/>
      <c r="K5" s="96"/>
      <c r="L5" s="96"/>
    </row>
    <row r="7" spans="2:15">
      <c r="B7" t="s">
        <v>3110</v>
      </c>
      <c r="N7" s="13" t="str">
        <f>Show!$B$125&amp;"SR.25.02.01.01 Table label {"&amp;COLUMN($C$1)&amp;"}"</f>
        <v>!SR.25.02.01.01 Table label {3}</v>
      </c>
      <c r="O7" s="13" t="str">
        <f>Show!$B$125&amp;"SR.25.02.01.01 Table value {"&amp;COLUMN($D$1)&amp;"}"</f>
        <v>!SR.25.02.01.01 Table value {4}</v>
      </c>
    </row>
    <row r="8" spans="2:15">
      <c r="B8" t="s">
        <v>3111</v>
      </c>
    </row>
    <row r="9" spans="2:15">
      <c r="B9" s="40" t="s">
        <v>3788</v>
      </c>
      <c r="C9" s="53" t="s">
        <v>3115</v>
      </c>
      <c r="D9" s="51"/>
    </row>
    <row r="10" spans="2:15">
      <c r="B10" s="40" t="s">
        <v>3114</v>
      </c>
      <c r="C10" s="53" t="s">
        <v>3323</v>
      </c>
      <c r="D10" s="50"/>
    </row>
    <row r="11" spans="2:15">
      <c r="N11" s="13" t="str">
        <f>Show!$B$125&amp;Show!$B$125&amp;"SR.25.02.01.01 Table label {"&amp;COLUMN($C$1)&amp;"}"</f>
        <v>!!SR.25.02.01.01 Table label {3}</v>
      </c>
      <c r="O11" s="13" t="str">
        <f>Show!$B$125&amp;Show!$B$125&amp;"SR.25.02.01.01 Table value {"&amp;COLUMN($D$1)&amp;"}"</f>
        <v>!!SR.25.02.01.01 Table value {4}</v>
      </c>
    </row>
    <row r="13" spans="2:15">
      <c r="B13" s="98" t="s">
        <v>4701</v>
      </c>
      <c r="C13" s="101" t="s">
        <v>2877</v>
      </c>
      <c r="D13" s="102"/>
      <c r="E13" s="102"/>
      <c r="F13" s="103"/>
    </row>
    <row r="14" spans="2:15">
      <c r="B14" s="99"/>
      <c r="C14" s="104"/>
      <c r="D14" s="105"/>
      <c r="E14" s="105"/>
      <c r="F14" s="106"/>
    </row>
    <row r="15" spans="2:15" ht="135">
      <c r="B15" s="100"/>
      <c r="C15" s="55" t="s">
        <v>4702</v>
      </c>
      <c r="D15" s="55" t="s">
        <v>4703</v>
      </c>
      <c r="E15" s="55" t="s">
        <v>4704</v>
      </c>
      <c r="F15" s="55" t="s">
        <v>4705</v>
      </c>
    </row>
    <row r="16" spans="2:15">
      <c r="B16" s="42" t="s">
        <v>2879</v>
      </c>
      <c r="C16" s="42" t="s">
        <v>3219</v>
      </c>
      <c r="D16" s="42" t="s">
        <v>3225</v>
      </c>
      <c r="E16" s="42" t="s">
        <v>3231</v>
      </c>
      <c r="F16" s="42" t="s">
        <v>3233</v>
      </c>
      <c r="N16" s="13" t="str">
        <f>Show!$B$125&amp;"SR.25.02.01.01 Rows {"&amp;COLUMN($B$1)&amp;"}"&amp;"@ForceFilingCode:true"</f>
        <v>!SR.25.02.01.01 Rows {2}@ForceFilingCode:true</v>
      </c>
      <c r="O16" s="13" t="str">
        <f>Show!$B$125&amp;"SR.25.02.01.01 Columns {"&amp;COLUMN($B$1)&amp;"}"</f>
        <v>!SR.25.02.01.01 Columns {2}</v>
      </c>
    </row>
    <row r="17" spans="2:15">
      <c r="B17" s="50"/>
      <c r="C17" s="51"/>
      <c r="D17" s="60"/>
      <c r="E17" s="51"/>
      <c r="F17" s="60"/>
    </row>
    <row r="19" spans="2:15">
      <c r="N19" s="13" t="str">
        <f>Show!$B$125&amp;Show!$B$125&amp;"SR.25.02.01.01 Rows {"&amp;COLUMN($B$1)&amp;"}"</f>
        <v>!!SR.25.02.01.01 Rows {2}</v>
      </c>
      <c r="O19" s="13" t="str">
        <f>Show!$B$125&amp;Show!$B$125&amp;"SR.25.02.01.01 Columns {"&amp;COLUMN($F$1)&amp;"}"</f>
        <v>!!SR.25.02.01.01 Columns {6}</v>
      </c>
    </row>
    <row r="21" spans="2:15" ht="18.75">
      <c r="B21" s="97" t="s">
        <v>4731</v>
      </c>
      <c r="C21" s="96"/>
      <c r="D21" s="96"/>
      <c r="E21" s="96"/>
      <c r="F21" s="96"/>
      <c r="G21" s="96"/>
      <c r="H21" s="96"/>
      <c r="I21" s="96"/>
      <c r="J21" s="96"/>
      <c r="K21" s="96"/>
      <c r="L21" s="96"/>
    </row>
    <row r="23" spans="2:15">
      <c r="B23" t="s">
        <v>3110</v>
      </c>
      <c r="N23" s="13" t="str">
        <f>Show!$B$125&amp;"SR.25.02.01.02 Table label {"&amp;COLUMN($C$1)&amp;"}"</f>
        <v>!SR.25.02.01.02 Table label {3}</v>
      </c>
      <c r="O23" s="13" t="str">
        <f>Show!$B$125&amp;"SR.25.02.01.02 Table value {"&amp;COLUMN($D$1)&amp;"}"</f>
        <v>!SR.25.02.01.02 Table value {4}</v>
      </c>
    </row>
    <row r="24" spans="2:15">
      <c r="B24" t="s">
        <v>3111</v>
      </c>
    </row>
    <row r="25" spans="2:15">
      <c r="B25" s="40" t="s">
        <v>3788</v>
      </c>
      <c r="C25" s="53" t="s">
        <v>3115</v>
      </c>
      <c r="D25" s="51"/>
    </row>
    <row r="26" spans="2:15">
      <c r="B26" s="40" t="s">
        <v>3114</v>
      </c>
      <c r="C26" s="53" t="s">
        <v>3323</v>
      </c>
      <c r="D26" s="50"/>
    </row>
    <row r="27" spans="2:15">
      <c r="N27" s="13" t="str">
        <f>Show!$B$125&amp;Show!$B$125&amp;"SR.25.02.01.02 Table label {"&amp;COLUMN($C$1)&amp;"}"</f>
        <v>!!SR.25.02.01.02 Table label {3}</v>
      </c>
      <c r="O27" s="13" t="str">
        <f>Show!$B$125&amp;Show!$B$125&amp;"SR.25.02.01.02 Table value {"&amp;COLUMN($D$1)&amp;"}"</f>
        <v>!!SR.25.02.01.02 Table value {4}</v>
      </c>
    </row>
    <row r="29" spans="2:15">
      <c r="D29" s="98" t="s">
        <v>2877</v>
      </c>
    </row>
    <row r="30" spans="2:15">
      <c r="D30" s="99"/>
    </row>
    <row r="31" spans="2:15">
      <c r="D31" s="99"/>
    </row>
    <row r="32" spans="2:15">
      <c r="D32" s="100"/>
    </row>
    <row r="33" spans="2:15">
      <c r="D33" s="45" t="s">
        <v>3239</v>
      </c>
      <c r="N33" s="13" t="str">
        <f>Show!$B$125&amp;"SR.25.02.01.02 Rows {"&amp;COLUMN($C$1)&amp;"}"&amp;"@ForceFilingCode:true"</f>
        <v>!SR.25.02.01.02 Rows {3}@ForceFilingCode:true</v>
      </c>
      <c r="O33" s="13" t="str">
        <f>Show!$B$125&amp;"SR.25.02.01.02 Columns {"&amp;COLUMN($D$1)&amp;"}"</f>
        <v>!SR.25.02.01.02 Columns {4}</v>
      </c>
    </row>
    <row r="34" spans="2:15">
      <c r="B34" s="43" t="s">
        <v>2880</v>
      </c>
      <c r="C34" s="44" t="s">
        <v>2878</v>
      </c>
      <c r="D34" s="46"/>
    </row>
    <row r="35" spans="2:15">
      <c r="B35" s="47" t="s">
        <v>4707</v>
      </c>
      <c r="C35" s="41" t="s">
        <v>2901</v>
      </c>
      <c r="D35" s="60"/>
    </row>
    <row r="36" spans="2:15">
      <c r="B36" s="47" t="s">
        <v>4631</v>
      </c>
      <c r="C36" s="41" t="s">
        <v>2891</v>
      </c>
      <c r="D36" s="60"/>
    </row>
    <row r="37" spans="2:15">
      <c r="B37" s="47" t="s">
        <v>4708</v>
      </c>
      <c r="C37" s="41" t="s">
        <v>2919</v>
      </c>
      <c r="D37" s="60"/>
    </row>
    <row r="38" spans="2:15">
      <c r="B38" s="47" t="s">
        <v>4671</v>
      </c>
      <c r="C38" s="41" t="s">
        <v>2921</v>
      </c>
      <c r="D38" s="60"/>
    </row>
    <row r="39" spans="2:15">
      <c r="B39" s="47" t="s">
        <v>4643</v>
      </c>
      <c r="C39" s="41" t="s">
        <v>2923</v>
      </c>
      <c r="D39" s="63"/>
    </row>
    <row r="40" spans="2:15">
      <c r="B40" s="47" t="s">
        <v>4644</v>
      </c>
      <c r="C40" s="44" t="s">
        <v>2878</v>
      </c>
      <c r="D40" s="46"/>
    </row>
    <row r="41" spans="2:15" ht="30">
      <c r="B41" s="49" t="s">
        <v>4709</v>
      </c>
      <c r="C41" s="41" t="s">
        <v>2939</v>
      </c>
      <c r="D41" s="60"/>
    </row>
    <row r="42" spans="2:15" ht="30">
      <c r="B42" s="49" t="s">
        <v>4710</v>
      </c>
      <c r="C42" s="41" t="s">
        <v>2941</v>
      </c>
      <c r="D42" s="60"/>
    </row>
    <row r="43" spans="2:15">
      <c r="B43" s="49" t="s">
        <v>4651</v>
      </c>
      <c r="C43" s="41" t="s">
        <v>2971</v>
      </c>
      <c r="D43" s="60"/>
    </row>
    <row r="45" spans="2:15">
      <c r="N45" s="13" t="str">
        <f>Show!$B$125&amp;Show!$B$125&amp;"SR.25.02.01.02 Rows {"&amp;COLUMN($C$1)&amp;"}"</f>
        <v>!!SR.25.02.01.02 Rows {3}</v>
      </c>
      <c r="O45" s="13" t="str">
        <f>Show!$B$125&amp;Show!$B$125&amp;"SR.25.02.01.02 Columns {"&amp;COLUMN($D$1)&amp;"}"</f>
        <v>!!SR.25.02.01.02 Columns {4}</v>
      </c>
    </row>
    <row r="47" spans="2:15" ht="18.75">
      <c r="B47" s="97" t="s">
        <v>4732</v>
      </c>
      <c r="C47" s="96"/>
      <c r="D47" s="96"/>
      <c r="E47" s="96"/>
      <c r="F47" s="96"/>
      <c r="G47" s="96"/>
      <c r="H47" s="96"/>
      <c r="I47" s="96"/>
      <c r="J47" s="96"/>
      <c r="K47" s="96"/>
      <c r="L47" s="96"/>
    </row>
    <row r="49" spans="2:15">
      <c r="B49" t="s">
        <v>3110</v>
      </c>
      <c r="N49" s="13" t="str">
        <f>Show!$B$125&amp;"SR.25.02.01.03 Table label {"&amp;COLUMN($C$1)&amp;"}"</f>
        <v>!SR.25.02.01.03 Table label {3}</v>
      </c>
      <c r="O49" s="13" t="str">
        <f>Show!$B$125&amp;"SR.25.02.01.03 Table value {"&amp;COLUMN($D$1)&amp;"}"</f>
        <v>!SR.25.02.01.03 Table value {4}</v>
      </c>
    </row>
    <row r="50" spans="2:15">
      <c r="B50" t="s">
        <v>3111</v>
      </c>
    </row>
    <row r="51" spans="2:15">
      <c r="B51" s="40" t="s">
        <v>3788</v>
      </c>
      <c r="C51" s="53" t="s">
        <v>3115</v>
      </c>
      <c r="D51" s="51"/>
    </row>
    <row r="52" spans="2:15">
      <c r="B52" s="40" t="s">
        <v>3114</v>
      </c>
      <c r="C52" s="53" t="s">
        <v>3323</v>
      </c>
      <c r="D52" s="50"/>
    </row>
    <row r="53" spans="2:15">
      <c r="N53" s="13" t="str">
        <f>Show!$B$125&amp;Show!$B$125&amp;"SR.25.02.01.03 Table label {"&amp;COLUMN($C$1)&amp;"}"</f>
        <v>!!SR.25.02.01.03 Table label {3}</v>
      </c>
      <c r="O53" s="13" t="str">
        <f>Show!$B$125&amp;Show!$B$125&amp;"SR.25.02.01.03 Table value {"&amp;COLUMN($D$1)&amp;"}"</f>
        <v>!!SR.25.02.01.03 Table value {4}</v>
      </c>
    </row>
    <row r="55" spans="2:15">
      <c r="D55" s="98" t="s">
        <v>2877</v>
      </c>
    </row>
    <row r="56" spans="2:15">
      <c r="D56" s="100"/>
    </row>
    <row r="57" spans="2:15">
      <c r="D57" s="55" t="s">
        <v>4653</v>
      </c>
    </row>
    <row r="58" spans="2:15">
      <c r="D58" s="45" t="s">
        <v>4654</v>
      </c>
      <c r="N58" s="13" t="str">
        <f>Show!$B$125&amp;"SR.25.02.01.03 Rows {"&amp;COLUMN($C$1)&amp;"}"&amp;"@ForceFilingCode:true"</f>
        <v>!SR.25.02.01.03 Rows {3}@ForceFilingCode:true</v>
      </c>
      <c r="O58" s="13" t="str">
        <f>Show!$B$125&amp;"SR.25.02.01.03 Columns {"&amp;COLUMN($D$1)&amp;"}"</f>
        <v>!SR.25.02.01.03 Columns {4}</v>
      </c>
    </row>
    <row r="59" spans="2:15">
      <c r="B59" s="43" t="s">
        <v>2880</v>
      </c>
      <c r="C59" s="44" t="s">
        <v>2878</v>
      </c>
      <c r="D59" s="46"/>
    </row>
    <row r="60" spans="2:15">
      <c r="B60" s="47" t="s">
        <v>2562</v>
      </c>
      <c r="C60" s="41" t="s">
        <v>2995</v>
      </c>
      <c r="D60" s="51"/>
    </row>
    <row r="62" spans="2:15">
      <c r="N62" s="13" t="str">
        <f>Show!$B$125&amp;Show!$B$125&amp;"SR.25.02.01.03 Rows {"&amp;COLUMN($C$1)&amp;"}"</f>
        <v>!!SR.25.02.01.03 Rows {3}</v>
      </c>
      <c r="O62" s="13" t="str">
        <f>Show!$B$125&amp;Show!$B$125&amp;"SR.25.02.01.03 Columns {"&amp;COLUMN($D$1)&amp;"}"</f>
        <v>!!SR.25.02.01.03 Columns {4}</v>
      </c>
    </row>
    <row r="64" spans="2:15" ht="18.75">
      <c r="B64" s="97" t="s">
        <v>4733</v>
      </c>
      <c r="C64" s="96"/>
      <c r="D64" s="96"/>
      <c r="E64" s="96"/>
      <c r="F64" s="96"/>
      <c r="G64" s="96"/>
      <c r="H64" s="96"/>
      <c r="I64" s="96"/>
      <c r="J64" s="96"/>
      <c r="K64" s="96"/>
      <c r="L64" s="96"/>
    </row>
    <row r="66" spans="2:15">
      <c r="B66" t="s">
        <v>3110</v>
      </c>
      <c r="N66" s="13" t="str">
        <f>Show!$B$125&amp;"SR.25.02.01.04 Table label {"&amp;COLUMN($C$1)&amp;"}"</f>
        <v>!SR.25.02.01.04 Table label {3}</v>
      </c>
      <c r="O66" s="13" t="str">
        <f>Show!$B$125&amp;"SR.25.02.01.04 Table value {"&amp;COLUMN($D$1)&amp;"}"</f>
        <v>!SR.25.02.01.04 Table value {4}</v>
      </c>
    </row>
    <row r="67" spans="2:15">
      <c r="B67" t="s">
        <v>3111</v>
      </c>
    </row>
    <row r="68" spans="2:15">
      <c r="B68" s="40" t="s">
        <v>3788</v>
      </c>
      <c r="C68" s="53" t="s">
        <v>3115</v>
      </c>
      <c r="D68" s="51"/>
    </row>
    <row r="69" spans="2:15">
      <c r="B69" s="40" t="s">
        <v>3114</v>
      </c>
      <c r="C69" s="53" t="s">
        <v>3323</v>
      </c>
      <c r="D69" s="50"/>
    </row>
    <row r="70" spans="2:15">
      <c r="N70" s="13" t="str">
        <f>Show!$B$125&amp;Show!$B$125&amp;"SR.25.02.01.04 Table label {"&amp;COLUMN($C$1)&amp;"}"</f>
        <v>!!SR.25.02.01.04 Table label {3}</v>
      </c>
      <c r="O70" s="13" t="str">
        <f>Show!$B$125&amp;Show!$B$125&amp;"SR.25.02.01.04 Table value {"&amp;COLUMN($D$1)&amp;"}"</f>
        <v>!!SR.25.02.01.04 Table value {4}</v>
      </c>
    </row>
    <row r="72" spans="2:15">
      <c r="D72" s="101" t="s">
        <v>2877</v>
      </c>
      <c r="E72" s="103"/>
    </row>
    <row r="73" spans="2:15">
      <c r="D73" s="104"/>
      <c r="E73" s="106"/>
    </row>
    <row r="74" spans="2:15">
      <c r="D74" s="98" t="s">
        <v>4656</v>
      </c>
      <c r="E74" s="98" t="s">
        <v>4657</v>
      </c>
    </row>
    <row r="75" spans="2:15">
      <c r="D75" s="100"/>
      <c r="E75" s="100"/>
    </row>
    <row r="76" spans="2:15">
      <c r="D76" s="45" t="s">
        <v>3241</v>
      </c>
      <c r="E76" s="45" t="s">
        <v>3243</v>
      </c>
      <c r="N76" s="13" t="str">
        <f>Show!$B$125&amp;"SR.25.02.01.04 Rows {"&amp;COLUMN($C$1)&amp;"}"&amp;"@ForceFilingCode:true"</f>
        <v>!SR.25.02.01.04 Rows {3}@ForceFilingCode:true</v>
      </c>
      <c r="O76" s="13" t="str">
        <f>Show!$B$125&amp;"SR.25.02.01.04 Columns {"&amp;COLUMN($D$1)&amp;"}"</f>
        <v>!SR.25.02.01.04 Columns {4}</v>
      </c>
    </row>
    <row r="77" spans="2:15">
      <c r="B77" s="43" t="s">
        <v>2880</v>
      </c>
      <c r="C77" s="44" t="s">
        <v>2878</v>
      </c>
      <c r="D77" s="56"/>
      <c r="E77" s="57"/>
    </row>
    <row r="78" spans="2:15">
      <c r="B78" s="47" t="s">
        <v>4658</v>
      </c>
      <c r="C78" s="41" t="s">
        <v>2997</v>
      </c>
      <c r="D78" s="60"/>
      <c r="E78" s="60"/>
    </row>
    <row r="79" spans="2:15">
      <c r="B79" s="49" t="s">
        <v>4659</v>
      </c>
      <c r="C79" s="41" t="s">
        <v>2999</v>
      </c>
      <c r="D79" s="60"/>
      <c r="E79" s="60"/>
    </row>
    <row r="80" spans="2:15">
      <c r="B80" s="49" t="s">
        <v>4660</v>
      </c>
      <c r="C80" s="41" t="s">
        <v>3001</v>
      </c>
      <c r="D80" s="60"/>
      <c r="E80" s="60"/>
    </row>
    <row r="81" spans="2:15">
      <c r="B81" s="47" t="s">
        <v>4661</v>
      </c>
      <c r="C81" s="41" t="s">
        <v>3003</v>
      </c>
      <c r="D81" s="60"/>
      <c r="E81" s="60"/>
    </row>
    <row r="83" spans="2:15">
      <c r="N83" s="13" t="str">
        <f>Show!$B$125&amp;Show!$B$125&amp;"SR.25.02.01.04 Rows {"&amp;COLUMN($C$1)&amp;"}"</f>
        <v>!!SR.25.02.01.04 Rows {3}</v>
      </c>
      <c r="O83" s="13" t="str">
        <f>Show!$B$125&amp;Show!$B$125&amp;"SR.25.02.01.04 Columns {"&amp;COLUMN($E$1)&amp;"}"</f>
        <v>!!SR.25.02.01.04 Columns {5}</v>
      </c>
    </row>
    <row r="85" spans="2:15" ht="18.75">
      <c r="B85" s="97" t="s">
        <v>4734</v>
      </c>
      <c r="C85" s="96"/>
      <c r="D85" s="96"/>
      <c r="E85" s="96"/>
      <c r="F85" s="96"/>
      <c r="G85" s="96"/>
      <c r="H85" s="96"/>
      <c r="I85" s="96"/>
      <c r="J85" s="96"/>
      <c r="K85" s="96"/>
      <c r="L85" s="96"/>
    </row>
    <row r="87" spans="2:15">
      <c r="B87" t="s">
        <v>3110</v>
      </c>
      <c r="N87" s="13" t="str">
        <f>Show!$B$125&amp;"SR.25.02.01.05 Table label {"&amp;COLUMN($C$1)&amp;"}"</f>
        <v>!SR.25.02.01.05 Table label {3}</v>
      </c>
      <c r="O87" s="13" t="str">
        <f>Show!$B$125&amp;"SR.25.02.01.05 Table value {"&amp;COLUMN($D$1)&amp;"}"</f>
        <v>!SR.25.02.01.05 Table value {4}</v>
      </c>
    </row>
    <row r="88" spans="2:15">
      <c r="B88" t="s">
        <v>3111</v>
      </c>
    </row>
    <row r="89" spans="2:15">
      <c r="B89" s="40" t="s">
        <v>3788</v>
      </c>
      <c r="C89" s="53" t="s">
        <v>3115</v>
      </c>
      <c r="D89" s="51"/>
    </row>
    <row r="90" spans="2:15">
      <c r="B90" s="40" t="s">
        <v>3114</v>
      </c>
      <c r="C90" s="53" t="s">
        <v>3323</v>
      </c>
      <c r="D90" s="50"/>
    </row>
    <row r="91" spans="2:15">
      <c r="N91" s="13" t="str">
        <f>Show!$B$125&amp;Show!$B$125&amp;"SR.25.02.01.05 Table label {"&amp;COLUMN($C$1)&amp;"}"</f>
        <v>!!SR.25.02.01.05 Table label {3}</v>
      </c>
      <c r="O91" s="13" t="str">
        <f>Show!$B$125&amp;Show!$B$125&amp;"SR.25.02.01.05 Table value {"&amp;COLUMN($D$1)&amp;"}"</f>
        <v>!!SR.25.02.01.05 Table value {4}</v>
      </c>
    </row>
    <row r="93" spans="2:15">
      <c r="D93" s="98" t="s">
        <v>2877</v>
      </c>
    </row>
    <row r="94" spans="2:15">
      <c r="D94" s="100"/>
    </row>
    <row r="95" spans="2:15">
      <c r="D95" s="98" t="s">
        <v>4663</v>
      </c>
    </row>
    <row r="96" spans="2:15">
      <c r="D96" s="100"/>
    </row>
    <row r="97" spans="2:15">
      <c r="D97" s="45" t="s">
        <v>3375</v>
      </c>
      <c r="N97" s="13" t="str">
        <f>Show!$B$125&amp;"SR.25.02.01.05 Rows {"&amp;COLUMN($C$1)&amp;"}"&amp;"@ForceFilingCode:true"</f>
        <v>!SR.25.02.01.05 Rows {3}@ForceFilingCode:true</v>
      </c>
      <c r="O97" s="13" t="str">
        <f>Show!$B$125&amp;"SR.25.02.01.05 Columns {"&amp;COLUMN($D$1)&amp;"}"</f>
        <v>!SR.25.02.01.05 Columns {4}</v>
      </c>
    </row>
    <row r="98" spans="2:15">
      <c r="B98" s="43" t="s">
        <v>2880</v>
      </c>
      <c r="C98" s="44" t="s">
        <v>2878</v>
      </c>
      <c r="D98" s="46"/>
    </row>
    <row r="99" spans="2:15">
      <c r="B99" s="47" t="s">
        <v>4716</v>
      </c>
      <c r="C99" s="41" t="s">
        <v>3005</v>
      </c>
      <c r="D99" s="60"/>
    </row>
    <row r="100" spans="2:15" ht="30">
      <c r="B100" s="49" t="s">
        <v>4717</v>
      </c>
      <c r="C100" s="41" t="s">
        <v>3007</v>
      </c>
      <c r="D100" s="60"/>
    </row>
    <row r="101" spans="2:15" ht="30">
      <c r="B101" s="49" t="s">
        <v>4718</v>
      </c>
      <c r="C101" s="41" t="s">
        <v>3009</v>
      </c>
      <c r="D101" s="60"/>
    </row>
    <row r="102" spans="2:15" ht="30">
      <c r="B102" s="49" t="s">
        <v>4735</v>
      </c>
      <c r="C102" s="41" t="s">
        <v>3011</v>
      </c>
      <c r="D102" s="60"/>
    </row>
    <row r="103" spans="2:15" ht="30">
      <c r="B103" s="49" t="s">
        <v>4720</v>
      </c>
      <c r="C103" s="41" t="s">
        <v>3013</v>
      </c>
      <c r="D103" s="60"/>
    </row>
    <row r="104" spans="2:15">
      <c r="B104" s="49" t="s">
        <v>4721</v>
      </c>
      <c r="C104" s="41" t="s">
        <v>3015</v>
      </c>
      <c r="D104" s="60"/>
    </row>
    <row r="106" spans="2:15">
      <c r="N106" s="13" t="str">
        <f>Show!$B$125&amp;Show!$B$125&amp;"SR.25.02.01.05 Rows {"&amp;COLUMN($C$1)&amp;"}"</f>
        <v>!!SR.25.02.01.05 Rows {3}</v>
      </c>
      <c r="O106" s="13" t="str">
        <f>Show!$B$125&amp;Show!$B$125&amp;"SR.25.02.01.05 Columns {"&amp;COLUMN($D$1)&amp;"}"</f>
        <v>!!SR.25.02.01.05 Columns {4}</v>
      </c>
    </row>
  </sheetData>
  <sheetProtection sheet="1" objects="1" scenarios="1"/>
  <mergeCells count="15">
    <mergeCell ref="B85:L85"/>
    <mergeCell ref="D93:D94"/>
    <mergeCell ref="D95:D96"/>
    <mergeCell ref="B47:L47"/>
    <mergeCell ref="D55:D56"/>
    <mergeCell ref="B64:L64"/>
    <mergeCell ref="D72:E73"/>
    <mergeCell ref="D74:D75"/>
    <mergeCell ref="E74:E75"/>
    <mergeCell ref="D29:D32"/>
    <mergeCell ref="B2:O2"/>
    <mergeCell ref="B5:L5"/>
    <mergeCell ref="B13:B15"/>
    <mergeCell ref="C13:F14"/>
    <mergeCell ref="B21:L21"/>
  </mergeCells>
  <dataValidations count="3">
    <dataValidation type="list" errorStyle="warning" allowBlank="1" showInputMessage="1" showErrorMessage="1" sqref="D9 D25 D51 D68 D89" xr:uid="{FE200BBD-E0E4-4BAD-94C4-CCC95FAD117E}">
      <formula1>hier_PU_20</formula1>
    </dataValidation>
    <dataValidation type="list" errorStyle="warning" allowBlank="1" showInputMessage="1" showErrorMessage="1" sqref="E17" xr:uid="{434F8B17-4A99-4CEB-81B9-B21B76FE1076}">
      <formula1>hier_AP_14</formula1>
    </dataValidation>
    <dataValidation type="list" errorStyle="warning" allowBlank="1" showInputMessage="1" showErrorMessage="1" sqref="D60" xr:uid="{5ED28472-7047-47AD-BF3A-F0B0542271BF}">
      <formula1>hier_AP_24</formula1>
    </dataValidation>
  </dataValidation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FDD85-BCF1-407A-A20B-2FCEB5B3C4AF}">
  <sheetPr codeName="Blad130"/>
  <dimension ref="B2:O45"/>
  <sheetViews>
    <sheetView showGridLines="0" workbookViewId="0"/>
  </sheetViews>
  <sheetFormatPr defaultRowHeight="15"/>
  <cols>
    <col min="2" max="2" width="61.85546875" bestFit="1" customWidth="1"/>
    <col min="3" max="3" width="40.7109375" customWidth="1"/>
    <col min="4" max="4" width="15.7109375" customWidth="1"/>
    <col min="5" max="5" width="40.7109375" customWidth="1"/>
    <col min="6" max="6" width="15.7109375" customWidth="1"/>
  </cols>
  <sheetData>
    <row r="2" spans="2:15" ht="23.25">
      <c r="B2" s="95" t="s">
        <v>697</v>
      </c>
      <c r="C2" s="96"/>
      <c r="D2" s="96"/>
      <c r="E2" s="96"/>
      <c r="F2" s="96"/>
      <c r="G2" s="96"/>
      <c r="H2" s="96"/>
      <c r="I2" s="96"/>
      <c r="J2" s="96"/>
      <c r="K2" s="96"/>
      <c r="L2" s="96"/>
      <c r="M2" s="96"/>
      <c r="N2" s="96"/>
      <c r="O2" s="96"/>
    </row>
    <row r="5" spans="2:15" ht="18.75">
      <c r="B5" s="97" t="s">
        <v>4736</v>
      </c>
      <c r="C5" s="96"/>
      <c r="D5" s="96"/>
      <c r="E5" s="96"/>
      <c r="F5" s="96"/>
      <c r="G5" s="96"/>
      <c r="H5" s="96"/>
      <c r="I5" s="96"/>
      <c r="J5" s="96"/>
      <c r="K5" s="96"/>
      <c r="L5" s="96"/>
    </row>
    <row r="7" spans="2:15">
      <c r="B7" t="s">
        <v>3110</v>
      </c>
      <c r="N7" s="13" t="str">
        <f>Show!$B$126&amp;"SR.25.02.04.01 Table label {"&amp;COLUMN($C$1)&amp;"}"</f>
        <v>!SR.25.02.04.01 Table label {3}</v>
      </c>
      <c r="O7" s="13" t="str">
        <f>Show!$B$126&amp;"SR.25.02.04.01 Table value {"&amp;COLUMN($D$1)&amp;"}"</f>
        <v>!SR.25.02.04.01 Table value {4}</v>
      </c>
    </row>
    <row r="8" spans="2:15">
      <c r="B8" t="s">
        <v>3111</v>
      </c>
    </row>
    <row r="9" spans="2:15">
      <c r="B9" s="40" t="s">
        <v>3788</v>
      </c>
      <c r="C9" s="53" t="s">
        <v>3115</v>
      </c>
      <c r="D9" s="51"/>
    </row>
    <row r="10" spans="2:15">
      <c r="B10" s="40" t="s">
        <v>3114</v>
      </c>
      <c r="C10" s="53" t="s">
        <v>3323</v>
      </c>
      <c r="D10" s="50"/>
    </row>
    <row r="11" spans="2:15">
      <c r="N11" s="13" t="str">
        <f>Show!$B$126&amp;Show!$B$126&amp;"SR.25.02.04.01 Table label {"&amp;COLUMN($C$1)&amp;"}"</f>
        <v>!!SR.25.02.04.01 Table label {3}</v>
      </c>
      <c r="O11" s="13" t="str">
        <f>Show!$B$126&amp;Show!$B$126&amp;"SR.25.02.04.01 Table value {"&amp;COLUMN($D$1)&amp;"}"</f>
        <v>!!SR.25.02.04.01 Table value {4}</v>
      </c>
    </row>
    <row r="13" spans="2:15">
      <c r="B13" s="98" t="s">
        <v>4701</v>
      </c>
      <c r="C13" s="101" t="s">
        <v>2877</v>
      </c>
      <c r="D13" s="102"/>
      <c r="E13" s="102"/>
      <c r="F13" s="103"/>
    </row>
    <row r="14" spans="2:15">
      <c r="B14" s="99"/>
      <c r="C14" s="104"/>
      <c r="D14" s="105"/>
      <c r="E14" s="105"/>
      <c r="F14" s="106"/>
    </row>
    <row r="15" spans="2:15" ht="60">
      <c r="B15" s="100"/>
      <c r="C15" s="55" t="s">
        <v>4702</v>
      </c>
      <c r="D15" s="55" t="s">
        <v>4703</v>
      </c>
      <c r="E15" s="55" t="s">
        <v>4704</v>
      </c>
      <c r="F15" s="55" t="s">
        <v>4705</v>
      </c>
    </row>
    <row r="16" spans="2:15">
      <c r="B16" s="42" t="s">
        <v>2879</v>
      </c>
      <c r="C16" s="42" t="s">
        <v>3219</v>
      </c>
      <c r="D16" s="42" t="s">
        <v>3225</v>
      </c>
      <c r="E16" s="42" t="s">
        <v>3231</v>
      </c>
      <c r="F16" s="42" t="s">
        <v>3233</v>
      </c>
      <c r="N16" s="13" t="str">
        <f>Show!$B$126&amp;"SR.25.02.04.01 Rows {"&amp;COLUMN($B$1)&amp;"}"&amp;"@ForceFilingCode:true"</f>
        <v>!SR.25.02.04.01 Rows {2}@ForceFilingCode:true</v>
      </c>
      <c r="O16" s="13" t="str">
        <f>Show!$B$126&amp;"SR.25.02.04.01 Columns {"&amp;COLUMN($B$1)&amp;"}"</f>
        <v>!SR.25.02.04.01 Columns {2}</v>
      </c>
    </row>
    <row r="17" spans="2:15">
      <c r="B17" s="50"/>
      <c r="C17" s="51"/>
      <c r="D17" s="60"/>
      <c r="E17" s="51"/>
      <c r="F17" s="60"/>
    </row>
    <row r="19" spans="2:15">
      <c r="N19" s="13" t="str">
        <f>Show!$B$126&amp;Show!$B$126&amp;"SR.25.02.04.01 Rows {"&amp;COLUMN($B$1)&amp;"}"</f>
        <v>!!SR.25.02.04.01 Rows {2}</v>
      </c>
      <c r="O19" s="13" t="str">
        <f>Show!$B$126&amp;Show!$B$126&amp;"SR.25.02.04.01 Columns {"&amp;COLUMN($F$1)&amp;"}"</f>
        <v>!!SR.25.02.04.01 Columns {6}</v>
      </c>
    </row>
    <row r="21" spans="2:15" ht="18.75">
      <c r="B21" s="97" t="s">
        <v>4737</v>
      </c>
      <c r="C21" s="96"/>
      <c r="D21" s="96"/>
      <c r="E21" s="96"/>
      <c r="F21" s="96"/>
      <c r="G21" s="96"/>
      <c r="H21" s="96"/>
      <c r="I21" s="96"/>
      <c r="J21" s="96"/>
      <c r="K21" s="96"/>
      <c r="L21" s="96"/>
    </row>
    <row r="23" spans="2:15">
      <c r="B23" t="s">
        <v>3110</v>
      </c>
      <c r="N23" s="13" t="str">
        <f>Show!$B$126&amp;"SR.25.02.04.02 Table label {"&amp;COLUMN($C$1)&amp;"}"</f>
        <v>!SR.25.02.04.02 Table label {3}</v>
      </c>
      <c r="O23" s="13" t="str">
        <f>Show!$B$126&amp;"SR.25.02.04.02 Table value {"&amp;COLUMN($D$1)&amp;"}"</f>
        <v>!SR.25.02.04.02 Table value {4}</v>
      </c>
    </row>
    <row r="24" spans="2:15">
      <c r="B24" t="s">
        <v>3111</v>
      </c>
    </row>
    <row r="25" spans="2:15">
      <c r="B25" s="40" t="s">
        <v>3788</v>
      </c>
      <c r="C25" s="53" t="s">
        <v>3115</v>
      </c>
      <c r="D25" s="51"/>
    </row>
    <row r="26" spans="2:15">
      <c r="B26" s="40" t="s">
        <v>3114</v>
      </c>
      <c r="C26" s="53" t="s">
        <v>3323</v>
      </c>
      <c r="D26" s="50"/>
    </row>
    <row r="27" spans="2:15">
      <c r="N27" s="13" t="str">
        <f>Show!$B$126&amp;Show!$B$126&amp;"SR.25.02.04.02 Table label {"&amp;COLUMN($C$1)&amp;"}"</f>
        <v>!!SR.25.02.04.02 Table label {3}</v>
      </c>
      <c r="O27" s="13" t="str">
        <f>Show!$B$126&amp;Show!$B$126&amp;"SR.25.02.04.02 Table value {"&amp;COLUMN($D$1)&amp;"}"</f>
        <v>!!SR.25.02.04.02 Table value {4}</v>
      </c>
    </row>
    <row r="29" spans="2:15">
      <c r="D29" s="98" t="s">
        <v>2877</v>
      </c>
    </row>
    <row r="30" spans="2:15">
      <c r="D30" s="99"/>
    </row>
    <row r="31" spans="2:15">
      <c r="D31" s="99"/>
    </row>
    <row r="32" spans="2:15">
      <c r="D32" s="100"/>
    </row>
    <row r="33" spans="2:15">
      <c r="D33" s="45" t="s">
        <v>3239</v>
      </c>
      <c r="N33" s="13" t="str">
        <f>Show!$B$126&amp;"SR.25.02.04.02 Rows {"&amp;COLUMN($C$1)&amp;"}"&amp;"@ForceFilingCode:true"</f>
        <v>!SR.25.02.04.02 Rows {3}@ForceFilingCode:true</v>
      </c>
      <c r="O33" s="13" t="str">
        <f>Show!$B$126&amp;"SR.25.02.04.02 Columns {"&amp;COLUMN($D$1)&amp;"}"</f>
        <v>!SR.25.02.04.02 Columns {4}</v>
      </c>
    </row>
    <row r="34" spans="2:15">
      <c r="B34" s="43" t="s">
        <v>2880</v>
      </c>
      <c r="C34" s="44" t="s">
        <v>2878</v>
      </c>
      <c r="D34" s="46"/>
    </row>
    <row r="35" spans="2:15">
      <c r="B35" s="47" t="s">
        <v>4707</v>
      </c>
      <c r="C35" s="41" t="s">
        <v>2901</v>
      </c>
      <c r="D35" s="60"/>
    </row>
    <row r="36" spans="2:15">
      <c r="B36" s="47" t="s">
        <v>4631</v>
      </c>
      <c r="C36" s="41" t="s">
        <v>2891</v>
      </c>
      <c r="D36" s="60"/>
    </row>
    <row r="37" spans="2:15">
      <c r="B37" s="47" t="s">
        <v>4708</v>
      </c>
      <c r="C37" s="41" t="s">
        <v>2919</v>
      </c>
      <c r="D37" s="60"/>
    </row>
    <row r="38" spans="2:15">
      <c r="B38" s="47" t="s">
        <v>4671</v>
      </c>
      <c r="C38" s="41" t="s">
        <v>2921</v>
      </c>
      <c r="D38" s="60"/>
    </row>
    <row r="39" spans="2:15">
      <c r="B39" s="47" t="s">
        <v>4643</v>
      </c>
      <c r="C39" s="41" t="s">
        <v>2923</v>
      </c>
      <c r="D39" s="63"/>
    </row>
    <row r="40" spans="2:15">
      <c r="B40" s="47" t="s">
        <v>4644</v>
      </c>
      <c r="C40" s="44" t="s">
        <v>2878</v>
      </c>
      <c r="D40" s="46"/>
    </row>
    <row r="41" spans="2:15" ht="30">
      <c r="B41" s="49" t="s">
        <v>4709</v>
      </c>
      <c r="C41" s="41" t="s">
        <v>2939</v>
      </c>
      <c r="D41" s="60"/>
    </row>
    <row r="42" spans="2:15" ht="30">
      <c r="B42" s="49" t="s">
        <v>4710</v>
      </c>
      <c r="C42" s="41" t="s">
        <v>2941</v>
      </c>
      <c r="D42" s="60"/>
    </row>
    <row r="43" spans="2:15">
      <c r="B43" s="49" t="s">
        <v>4651</v>
      </c>
      <c r="C43" s="41" t="s">
        <v>2971</v>
      </c>
      <c r="D43" s="60"/>
    </row>
    <row r="45" spans="2:15">
      <c r="N45" s="13" t="str">
        <f>Show!$B$126&amp;Show!$B$126&amp;"SR.25.02.04.02 Rows {"&amp;COLUMN($C$1)&amp;"}"</f>
        <v>!!SR.25.02.04.02 Rows {3}</v>
      </c>
      <c r="O45" s="13" t="str">
        <f>Show!$B$126&amp;Show!$B$126&amp;"SR.25.02.04.02 Columns {"&amp;COLUMN($D$1)&amp;"}"</f>
        <v>!!SR.25.02.04.02 Columns {4}</v>
      </c>
    </row>
  </sheetData>
  <sheetProtection sheet="1" objects="1" scenarios="1"/>
  <mergeCells count="6">
    <mergeCell ref="D29:D32"/>
    <mergeCell ref="B2:O2"/>
    <mergeCell ref="B5:L5"/>
    <mergeCell ref="B13:B15"/>
    <mergeCell ref="C13:F14"/>
    <mergeCell ref="B21:L21"/>
  </mergeCells>
  <dataValidations count="2">
    <dataValidation type="list" errorStyle="warning" allowBlank="1" showInputMessage="1" showErrorMessage="1" sqref="D9 D25" xr:uid="{436559DB-B0B6-4234-BAA8-AEC4E584C8EC}">
      <formula1>hier_PU_20</formula1>
    </dataValidation>
    <dataValidation type="list" errorStyle="warning" allowBlank="1" showInputMessage="1" showErrorMessage="1" sqref="E17" xr:uid="{328901C8-B8D5-4CA2-A0B1-A1ACDCC20DCF}">
      <formula1>hier_AP_14</formula1>
    </dataValidation>
  </dataValidation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4A60-ECAC-43CC-86F4-A694FCF5D6D3}">
  <sheetPr codeName="Blad131"/>
  <dimension ref="B2:O91"/>
  <sheetViews>
    <sheetView showGridLines="0" workbookViewId="0"/>
  </sheetViews>
  <sheetFormatPr defaultRowHeight="15"/>
  <cols>
    <col min="2" max="2" width="28.28515625" bestFit="1" customWidth="1"/>
    <col min="3" max="3" width="40.7109375" customWidth="1"/>
    <col min="4" max="5" width="15.7109375" customWidth="1"/>
  </cols>
  <sheetData>
    <row r="2" spans="2:15" ht="23.25">
      <c r="B2" s="95" t="s">
        <v>703</v>
      </c>
      <c r="C2" s="96"/>
      <c r="D2" s="96"/>
      <c r="E2" s="96"/>
      <c r="F2" s="96"/>
      <c r="G2" s="96"/>
      <c r="H2" s="96"/>
      <c r="I2" s="96"/>
      <c r="J2" s="96"/>
      <c r="K2" s="96"/>
      <c r="L2" s="96"/>
      <c r="M2" s="96"/>
      <c r="N2" s="96"/>
      <c r="O2" s="96"/>
    </row>
    <row r="5" spans="2:15" ht="18.75">
      <c r="B5" s="97" t="s">
        <v>4738</v>
      </c>
      <c r="C5" s="96"/>
      <c r="D5" s="96"/>
      <c r="E5" s="96"/>
      <c r="F5" s="96"/>
      <c r="G5" s="96"/>
      <c r="H5" s="96"/>
      <c r="I5" s="96"/>
      <c r="J5" s="96"/>
      <c r="K5" s="96"/>
      <c r="L5" s="96"/>
    </row>
    <row r="9" spans="2:15">
      <c r="B9" s="98" t="s">
        <v>4701</v>
      </c>
      <c r="C9" s="101" t="s">
        <v>2877</v>
      </c>
      <c r="D9" s="102"/>
      <c r="E9" s="103"/>
    </row>
    <row r="10" spans="2:15">
      <c r="B10" s="99"/>
      <c r="C10" s="104"/>
      <c r="D10" s="105"/>
      <c r="E10" s="106"/>
    </row>
    <row r="11" spans="2:15" ht="135">
      <c r="B11" s="100"/>
      <c r="C11" s="55" t="s">
        <v>4702</v>
      </c>
      <c r="D11" s="55" t="s">
        <v>4703</v>
      </c>
      <c r="E11" s="55" t="s">
        <v>4704</v>
      </c>
    </row>
    <row r="12" spans="2:15">
      <c r="B12" s="42" t="s">
        <v>2879</v>
      </c>
      <c r="C12" s="42" t="s">
        <v>3219</v>
      </c>
      <c r="D12" s="42" t="s">
        <v>3225</v>
      </c>
      <c r="E12" s="42" t="s">
        <v>3231</v>
      </c>
      <c r="M12" s="13" t="str">
        <f>Show!$B$127&amp;"S.25.03.01.01 Rows {"&amp;COLUMN($B$1)&amp;"}"&amp;"@ForceFilingCode:true"</f>
        <v>!S.25.03.01.01 Rows {2}@ForceFilingCode:true</v>
      </c>
      <c r="N12" s="13" t="str">
        <f>Show!$B$127&amp;"S.25.03.01.01 Columns {"&amp;COLUMN($B$1)&amp;"}"</f>
        <v>!S.25.03.01.01 Columns {2}</v>
      </c>
    </row>
    <row r="13" spans="2:15">
      <c r="B13" s="50"/>
      <c r="C13" s="51"/>
      <c r="D13" s="60"/>
      <c r="E13" s="51"/>
    </row>
    <row r="15" spans="2:15">
      <c r="M15" s="13" t="str">
        <f>Show!$B$127&amp;Show!$B$127&amp;"S.25.03.01.01 Rows {"&amp;COLUMN($B$1)&amp;"}"</f>
        <v>!!S.25.03.01.01 Rows {2}</v>
      </c>
      <c r="N15" s="13" t="str">
        <f>Show!$B$127&amp;Show!$B$127&amp;"S.25.03.01.01 Columns {"&amp;COLUMN($E$1)&amp;"}"</f>
        <v>!!S.25.03.01.01 Columns {5}</v>
      </c>
    </row>
    <row r="17" spans="2:14" ht="18.75">
      <c r="B17" s="97" t="s">
        <v>4739</v>
      </c>
      <c r="C17" s="96"/>
      <c r="D17" s="96"/>
      <c r="E17" s="96"/>
      <c r="F17" s="96"/>
      <c r="G17" s="96"/>
      <c r="H17" s="96"/>
      <c r="I17" s="96"/>
      <c r="J17" s="96"/>
      <c r="K17" s="96"/>
      <c r="L17" s="96"/>
    </row>
    <row r="21" spans="2:14">
      <c r="D21" s="98" t="s">
        <v>2877</v>
      </c>
    </row>
    <row r="22" spans="2:14">
      <c r="D22" s="99"/>
    </row>
    <row r="23" spans="2:14">
      <c r="D23" s="99"/>
    </row>
    <row r="24" spans="2:14">
      <c r="D24" s="100"/>
    </row>
    <row r="25" spans="2:14">
      <c r="D25" s="45" t="s">
        <v>3239</v>
      </c>
      <c r="M25" s="13" t="str">
        <f>Show!$B$127&amp;"S.25.03.01.02 Rows {"&amp;COLUMN($C$1)&amp;"}"&amp;"@ForceFilingCode:true"</f>
        <v>!S.25.03.01.02 Rows {3}@ForceFilingCode:true</v>
      </c>
      <c r="N25" s="13" t="str">
        <f>Show!$B$127&amp;"S.25.03.01.02 Columns {"&amp;COLUMN($D$1)&amp;"}"</f>
        <v>!S.25.03.01.02 Columns {4}</v>
      </c>
    </row>
    <row r="26" spans="2:14">
      <c r="B26" s="43" t="s">
        <v>2880</v>
      </c>
      <c r="C26" s="44" t="s">
        <v>2878</v>
      </c>
      <c r="D26" s="46"/>
    </row>
    <row r="27" spans="2:14" ht="30">
      <c r="B27" s="47" t="s">
        <v>4707</v>
      </c>
      <c r="C27" s="41" t="s">
        <v>2901</v>
      </c>
      <c r="D27" s="60"/>
    </row>
    <row r="28" spans="2:14">
      <c r="B28" s="47" t="s">
        <v>4631</v>
      </c>
      <c r="C28" s="41" t="s">
        <v>2891</v>
      </c>
      <c r="D28" s="60"/>
    </row>
    <row r="29" spans="2:14" ht="75">
      <c r="B29" s="47" t="s">
        <v>4740</v>
      </c>
      <c r="C29" s="41" t="s">
        <v>2911</v>
      </c>
      <c r="D29" s="60"/>
    </row>
    <row r="30" spans="2:14" ht="45">
      <c r="B30" s="47" t="s">
        <v>4708</v>
      </c>
      <c r="C30" s="41" t="s">
        <v>2919</v>
      </c>
      <c r="D30" s="60"/>
    </row>
    <row r="31" spans="2:14">
      <c r="B31" s="47" t="s">
        <v>4671</v>
      </c>
      <c r="C31" s="41" t="s">
        <v>2921</v>
      </c>
      <c r="D31" s="60"/>
    </row>
    <row r="32" spans="2:14" ht="30">
      <c r="B32" s="47" t="s">
        <v>4643</v>
      </c>
      <c r="C32" s="41" t="s">
        <v>2923</v>
      </c>
      <c r="D32" s="63"/>
    </row>
    <row r="33" spans="2:14">
      <c r="B33" s="47" t="s">
        <v>4644</v>
      </c>
      <c r="C33" s="44" t="s">
        <v>2878</v>
      </c>
      <c r="D33" s="46"/>
    </row>
    <row r="34" spans="2:14" ht="60">
      <c r="B34" s="49" t="s">
        <v>4709</v>
      </c>
      <c r="C34" s="41" t="s">
        <v>2939</v>
      </c>
      <c r="D34" s="60"/>
    </row>
    <row r="35" spans="2:14" ht="45">
      <c r="B35" s="49" t="s">
        <v>4710</v>
      </c>
      <c r="C35" s="41" t="s">
        <v>2941</v>
      </c>
      <c r="D35" s="60"/>
    </row>
    <row r="36" spans="2:14" ht="60">
      <c r="B36" s="49" t="s">
        <v>4646</v>
      </c>
      <c r="C36" s="41" t="s">
        <v>2961</v>
      </c>
      <c r="D36" s="60"/>
    </row>
    <row r="37" spans="2:14" ht="60">
      <c r="B37" s="49" t="s">
        <v>4711</v>
      </c>
      <c r="C37" s="41" t="s">
        <v>2963</v>
      </c>
      <c r="D37" s="60"/>
    </row>
    <row r="38" spans="2:14" ht="75">
      <c r="B38" s="49" t="s">
        <v>4712</v>
      </c>
      <c r="C38" s="41" t="s">
        <v>2965</v>
      </c>
      <c r="D38" s="60"/>
    </row>
    <row r="39" spans="2:14" ht="45">
      <c r="B39" s="49" t="s">
        <v>4649</v>
      </c>
      <c r="C39" s="41" t="s">
        <v>2967</v>
      </c>
      <c r="D39" s="60"/>
    </row>
    <row r="40" spans="2:14" ht="30">
      <c r="B40" s="49" t="s">
        <v>4651</v>
      </c>
      <c r="C40" s="41" t="s">
        <v>2971</v>
      </c>
      <c r="D40" s="60"/>
    </row>
    <row r="42" spans="2:14">
      <c r="M42" s="13" t="str">
        <f>Show!$B$127&amp;Show!$B$127&amp;"S.25.03.01.02 Rows {"&amp;COLUMN($C$1)&amp;"}"</f>
        <v>!!S.25.03.01.02 Rows {3}</v>
      </c>
      <c r="N42" s="13" t="str">
        <f>Show!$B$127&amp;Show!$B$127&amp;"S.25.03.01.02 Columns {"&amp;COLUMN($D$1)&amp;"}"</f>
        <v>!!S.25.03.01.02 Columns {4}</v>
      </c>
    </row>
    <row r="44" spans="2:14" ht="18.75">
      <c r="B44" s="97" t="s">
        <v>4741</v>
      </c>
      <c r="C44" s="96"/>
      <c r="D44" s="96"/>
      <c r="E44" s="96"/>
      <c r="F44" s="96"/>
      <c r="G44" s="96"/>
      <c r="H44" s="96"/>
      <c r="I44" s="96"/>
      <c r="J44" s="96"/>
      <c r="K44" s="96"/>
      <c r="L44" s="96"/>
    </row>
    <row r="48" spans="2:14">
      <c r="D48" s="98" t="s">
        <v>2877</v>
      </c>
    </row>
    <row r="49" spans="2:14">
      <c r="D49" s="100"/>
    </row>
    <row r="50" spans="2:14">
      <c r="D50" s="55" t="s">
        <v>4653</v>
      </c>
    </row>
    <row r="51" spans="2:14">
      <c r="D51" s="45" t="s">
        <v>4654</v>
      </c>
      <c r="M51" s="13" t="str">
        <f>Show!$B$127&amp;"S.25.03.01.03 Rows {"&amp;COLUMN($C$1)&amp;"}"&amp;"@ForceFilingCode:true"</f>
        <v>!S.25.03.01.03 Rows {3}@ForceFilingCode:true</v>
      </c>
      <c r="N51" s="13" t="str">
        <f>Show!$B$127&amp;"S.25.03.01.03 Columns {"&amp;COLUMN($D$1)&amp;"}"</f>
        <v>!S.25.03.01.03 Columns {4}</v>
      </c>
    </row>
    <row r="52" spans="2:14">
      <c r="B52" s="43" t="s">
        <v>2880</v>
      </c>
      <c r="C52" s="44" t="s">
        <v>2878</v>
      </c>
      <c r="D52" s="46"/>
    </row>
    <row r="53" spans="2:14" ht="30">
      <c r="B53" s="47" t="s">
        <v>2562</v>
      </c>
      <c r="C53" s="41" t="s">
        <v>2995</v>
      </c>
      <c r="D53" s="51"/>
    </row>
    <row r="55" spans="2:14">
      <c r="M55" s="13" t="str">
        <f>Show!$B$127&amp;Show!$B$127&amp;"S.25.03.01.03 Rows {"&amp;COLUMN($C$1)&amp;"}"</f>
        <v>!!S.25.03.01.03 Rows {3}</v>
      </c>
      <c r="N55" s="13" t="str">
        <f>Show!$B$127&amp;Show!$B$127&amp;"S.25.03.01.03 Columns {"&amp;COLUMN($D$1)&amp;"}"</f>
        <v>!!S.25.03.01.03 Columns {4}</v>
      </c>
    </row>
    <row r="57" spans="2:14" ht="18.75">
      <c r="B57" s="97" t="s">
        <v>4742</v>
      </c>
      <c r="C57" s="96"/>
      <c r="D57" s="96"/>
      <c r="E57" s="96"/>
      <c r="F57" s="96"/>
      <c r="G57" s="96"/>
      <c r="H57" s="96"/>
      <c r="I57" s="96"/>
      <c r="J57" s="96"/>
      <c r="K57" s="96"/>
      <c r="L57" s="96"/>
    </row>
    <row r="61" spans="2:14">
      <c r="D61" s="101" t="s">
        <v>2877</v>
      </c>
      <c r="E61" s="103"/>
    </row>
    <row r="62" spans="2:14">
      <c r="D62" s="104"/>
      <c r="E62" s="106"/>
    </row>
    <row r="63" spans="2:14">
      <c r="D63" s="98" t="s">
        <v>4656</v>
      </c>
      <c r="E63" s="98" t="s">
        <v>4657</v>
      </c>
    </row>
    <row r="64" spans="2:14">
      <c r="D64" s="100"/>
      <c r="E64" s="100"/>
    </row>
    <row r="65" spans="2:14">
      <c r="D65" s="45" t="s">
        <v>3241</v>
      </c>
      <c r="E65" s="45" t="s">
        <v>3243</v>
      </c>
      <c r="M65" s="13" t="str">
        <f>Show!$B$127&amp;"S.25.03.01.04 Rows {"&amp;COLUMN($C$1)&amp;"}"&amp;"@ForceFilingCode:true"</f>
        <v>!S.25.03.01.04 Rows {3}@ForceFilingCode:true</v>
      </c>
      <c r="N65" s="13" t="str">
        <f>Show!$B$127&amp;"S.25.03.01.04 Columns {"&amp;COLUMN($D$1)&amp;"}"</f>
        <v>!S.25.03.01.04 Columns {4}</v>
      </c>
    </row>
    <row r="66" spans="2:14">
      <c r="B66" s="43" t="s">
        <v>2880</v>
      </c>
      <c r="C66" s="44" t="s">
        <v>2878</v>
      </c>
      <c r="D66" s="56"/>
      <c r="E66" s="57"/>
    </row>
    <row r="67" spans="2:14">
      <c r="B67" s="47" t="s">
        <v>4658</v>
      </c>
      <c r="C67" s="41" t="s">
        <v>2997</v>
      </c>
      <c r="D67" s="60"/>
      <c r="E67" s="60"/>
    </row>
    <row r="68" spans="2:14">
      <c r="B68" s="49" t="s">
        <v>4659</v>
      </c>
      <c r="C68" s="41" t="s">
        <v>2999</v>
      </c>
      <c r="D68" s="60"/>
      <c r="E68" s="60"/>
    </row>
    <row r="69" spans="2:14" ht="30">
      <c r="B69" s="49" t="s">
        <v>4660</v>
      </c>
      <c r="C69" s="41" t="s">
        <v>3001</v>
      </c>
      <c r="D69" s="60"/>
      <c r="E69" s="60"/>
    </row>
    <row r="70" spans="2:14">
      <c r="B70" s="47" t="s">
        <v>4661</v>
      </c>
      <c r="C70" s="41" t="s">
        <v>3003</v>
      </c>
      <c r="D70" s="60"/>
      <c r="E70" s="60"/>
    </row>
    <row r="72" spans="2:14">
      <c r="M72" s="13" t="str">
        <f>Show!$B$127&amp;Show!$B$127&amp;"S.25.03.01.04 Rows {"&amp;COLUMN($C$1)&amp;"}"</f>
        <v>!!S.25.03.01.04 Rows {3}</v>
      </c>
      <c r="N72" s="13" t="str">
        <f>Show!$B$127&amp;Show!$B$127&amp;"S.25.03.01.04 Columns {"&amp;COLUMN($E$1)&amp;"}"</f>
        <v>!!S.25.03.01.04 Columns {5}</v>
      </c>
    </row>
    <row r="74" spans="2:14" ht="18.75">
      <c r="B74" s="97" t="s">
        <v>4743</v>
      </c>
      <c r="C74" s="96"/>
      <c r="D74" s="96"/>
      <c r="E74" s="96"/>
      <c r="F74" s="96"/>
      <c r="G74" s="96"/>
      <c r="H74" s="96"/>
      <c r="I74" s="96"/>
      <c r="J74" s="96"/>
      <c r="K74" s="96"/>
      <c r="L74" s="96"/>
    </row>
    <row r="78" spans="2:14">
      <c r="D78" s="98" t="s">
        <v>2877</v>
      </c>
    </row>
    <row r="79" spans="2:14">
      <c r="D79" s="100"/>
    </row>
    <row r="80" spans="2:14">
      <c r="D80" s="98" t="s">
        <v>4663</v>
      </c>
    </row>
    <row r="81" spans="2:14">
      <c r="D81" s="100"/>
    </row>
    <row r="82" spans="2:14">
      <c r="D82" s="45" t="s">
        <v>3375</v>
      </c>
      <c r="M82" s="13" t="str">
        <f>Show!$B$127&amp;"S.25.03.01.05 Rows {"&amp;COLUMN($C$1)&amp;"}"&amp;"@ForceFilingCode:true"</f>
        <v>!S.25.03.01.05 Rows {3}@ForceFilingCode:true</v>
      </c>
      <c r="N82" s="13" t="str">
        <f>Show!$B$127&amp;"S.25.03.01.05 Columns {"&amp;COLUMN($D$1)&amp;"}"</f>
        <v>!S.25.03.01.05 Columns {4}</v>
      </c>
    </row>
    <row r="83" spans="2:14">
      <c r="B83" s="43" t="s">
        <v>2880</v>
      </c>
      <c r="C83" s="44" t="s">
        <v>2878</v>
      </c>
      <c r="D83" s="46"/>
    </row>
    <row r="84" spans="2:14" ht="30">
      <c r="B84" s="47" t="s">
        <v>4716</v>
      </c>
      <c r="C84" s="41" t="s">
        <v>3005</v>
      </c>
      <c r="D84" s="60"/>
    </row>
    <row r="85" spans="2:14" ht="45">
      <c r="B85" s="49" t="s">
        <v>4717</v>
      </c>
      <c r="C85" s="41" t="s">
        <v>3007</v>
      </c>
      <c r="D85" s="60"/>
    </row>
    <row r="86" spans="2:14" ht="60">
      <c r="B86" s="49" t="s">
        <v>4718</v>
      </c>
      <c r="C86" s="41" t="s">
        <v>3009</v>
      </c>
      <c r="D86" s="60"/>
    </row>
    <row r="87" spans="2:14" ht="45">
      <c r="B87" s="49" t="s">
        <v>4735</v>
      </c>
      <c r="C87" s="41" t="s">
        <v>3011</v>
      </c>
      <c r="D87" s="60"/>
    </row>
    <row r="88" spans="2:14" ht="45">
      <c r="B88" s="49" t="s">
        <v>4720</v>
      </c>
      <c r="C88" s="41" t="s">
        <v>3013</v>
      </c>
      <c r="D88" s="60"/>
    </row>
    <row r="89" spans="2:14" ht="30">
      <c r="B89" s="49" t="s">
        <v>4721</v>
      </c>
      <c r="C89" s="41" t="s">
        <v>3015</v>
      </c>
      <c r="D89" s="60"/>
    </row>
    <row r="91" spans="2:14">
      <c r="M91" s="13" t="str">
        <f>Show!$B$127&amp;Show!$B$127&amp;"S.25.03.01.05 Rows {"&amp;COLUMN($C$1)&amp;"}"</f>
        <v>!!S.25.03.01.05 Rows {3}</v>
      </c>
      <c r="N91" s="13" t="str">
        <f>Show!$B$127&amp;Show!$B$127&amp;"S.25.03.01.05 Columns {"&amp;COLUMN($D$1)&amp;"}"</f>
        <v>!!S.25.03.01.05 Columns {4}</v>
      </c>
    </row>
  </sheetData>
  <sheetProtection sheet="1" objects="1" scenarios="1"/>
  <mergeCells count="15">
    <mergeCell ref="B74:L74"/>
    <mergeCell ref="D78:D79"/>
    <mergeCell ref="D80:D81"/>
    <mergeCell ref="B44:L44"/>
    <mergeCell ref="D48:D49"/>
    <mergeCell ref="B57:L57"/>
    <mergeCell ref="D61:E62"/>
    <mergeCell ref="D63:D64"/>
    <mergeCell ref="E63:E64"/>
    <mergeCell ref="D21:D24"/>
    <mergeCell ref="B2:O2"/>
    <mergeCell ref="B5:L5"/>
    <mergeCell ref="B9:B11"/>
    <mergeCell ref="C9:E10"/>
    <mergeCell ref="B17:L17"/>
  </mergeCells>
  <dataValidations count="2">
    <dataValidation type="list" errorStyle="warning" allowBlank="1" showInputMessage="1" showErrorMessage="1" sqref="E13" xr:uid="{6A78E5FD-1E7D-4F75-90B7-F8BD7ADE5C40}">
      <formula1>hier_AP_14</formula1>
    </dataValidation>
    <dataValidation type="list" errorStyle="warning" allowBlank="1" showInputMessage="1" showErrorMessage="1" sqref="D53" xr:uid="{7CAAFA6D-AEB5-4C92-B8AD-E3619FD68B9B}">
      <formula1>hier_AP_24</formula1>
    </dataValidation>
  </dataValidation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2F86-E855-43F6-B053-746BC77F0EAB}">
  <sheetPr codeName="Blad132"/>
  <dimension ref="B2:O50"/>
  <sheetViews>
    <sheetView showGridLines="0" workbookViewId="0"/>
  </sheetViews>
  <sheetFormatPr defaultRowHeight="15"/>
  <cols>
    <col min="2" max="2" width="28.28515625" bestFit="1" customWidth="1"/>
    <col min="3" max="3" width="40.7109375" customWidth="1"/>
    <col min="4" max="4" width="15.7109375" customWidth="1"/>
    <col min="5" max="5" width="40.7109375" customWidth="1"/>
  </cols>
  <sheetData>
    <row r="2" spans="2:15" ht="23.25">
      <c r="B2" s="95" t="s">
        <v>705</v>
      </c>
      <c r="C2" s="96"/>
      <c r="D2" s="96"/>
      <c r="E2" s="96"/>
      <c r="F2" s="96"/>
      <c r="G2" s="96"/>
      <c r="H2" s="96"/>
      <c r="I2" s="96"/>
      <c r="J2" s="96"/>
      <c r="K2" s="96"/>
      <c r="L2" s="96"/>
      <c r="M2" s="96"/>
      <c r="N2" s="96"/>
      <c r="O2" s="96"/>
    </row>
    <row r="5" spans="2:15" ht="18.75">
      <c r="B5" s="97" t="s">
        <v>4744</v>
      </c>
      <c r="C5" s="96"/>
      <c r="D5" s="96"/>
      <c r="E5" s="96"/>
      <c r="F5" s="96"/>
      <c r="G5" s="96"/>
      <c r="H5" s="96"/>
      <c r="I5" s="96"/>
      <c r="J5" s="96"/>
      <c r="K5" s="96"/>
      <c r="L5" s="96"/>
    </row>
    <row r="9" spans="2:15">
      <c r="B9" s="98" t="s">
        <v>4701</v>
      </c>
      <c r="C9" s="101" t="s">
        <v>2877</v>
      </c>
      <c r="D9" s="102"/>
      <c r="E9" s="103"/>
    </row>
    <row r="10" spans="2:15">
      <c r="B10" s="99"/>
      <c r="C10" s="104"/>
      <c r="D10" s="105"/>
      <c r="E10" s="106"/>
    </row>
    <row r="11" spans="2:15" ht="60">
      <c r="B11" s="100"/>
      <c r="C11" s="55" t="s">
        <v>4702</v>
      </c>
      <c r="D11" s="55" t="s">
        <v>4703</v>
      </c>
      <c r="E11" s="55" t="s">
        <v>4704</v>
      </c>
    </row>
    <row r="12" spans="2:15">
      <c r="B12" s="42" t="s">
        <v>2879</v>
      </c>
      <c r="C12" s="42" t="s">
        <v>3219</v>
      </c>
      <c r="D12" s="42" t="s">
        <v>3225</v>
      </c>
      <c r="E12" s="42" t="s">
        <v>3231</v>
      </c>
      <c r="M12" s="13" t="str">
        <f>Show!$B$128&amp;"S.25.03.04.01 Rows {"&amp;COLUMN($B$1)&amp;"}"&amp;"@ForceFilingCode:true"</f>
        <v>!S.25.03.04.01 Rows {2}@ForceFilingCode:true</v>
      </c>
      <c r="N12" s="13" t="str">
        <f>Show!$B$128&amp;"S.25.03.04.01 Columns {"&amp;COLUMN($B$1)&amp;"}"</f>
        <v>!S.25.03.04.01 Columns {2}</v>
      </c>
    </row>
    <row r="13" spans="2:15">
      <c r="B13" s="50"/>
      <c r="C13" s="51"/>
      <c r="D13" s="60"/>
      <c r="E13" s="51"/>
    </row>
    <row r="15" spans="2:15">
      <c r="M15" s="13" t="str">
        <f>Show!$B$128&amp;Show!$B$128&amp;"S.25.03.04.01 Rows {"&amp;COLUMN($B$1)&amp;"}"</f>
        <v>!!S.25.03.04.01 Rows {2}</v>
      </c>
      <c r="N15" s="13" t="str">
        <f>Show!$B$128&amp;Show!$B$128&amp;"S.25.03.04.01 Columns {"&amp;COLUMN($E$1)&amp;"}"</f>
        <v>!!S.25.03.04.01 Columns {5}</v>
      </c>
    </row>
    <row r="17" spans="2:14" ht="18.75">
      <c r="B17" s="97" t="s">
        <v>4745</v>
      </c>
      <c r="C17" s="96"/>
      <c r="D17" s="96"/>
      <c r="E17" s="96"/>
      <c r="F17" s="96"/>
      <c r="G17" s="96"/>
      <c r="H17" s="96"/>
      <c r="I17" s="96"/>
      <c r="J17" s="96"/>
      <c r="K17" s="96"/>
      <c r="L17" s="96"/>
    </row>
    <row r="21" spans="2:14">
      <c r="D21" s="98" t="s">
        <v>2877</v>
      </c>
    </row>
    <row r="22" spans="2:14">
      <c r="D22" s="99"/>
    </row>
    <row r="23" spans="2:14">
      <c r="D23" s="99"/>
    </row>
    <row r="24" spans="2:14">
      <c r="D24" s="100"/>
    </row>
    <row r="25" spans="2:14">
      <c r="D25" s="45" t="s">
        <v>3239</v>
      </c>
      <c r="M25" s="13" t="str">
        <f>Show!$B$128&amp;"S.25.03.04.02 Rows {"&amp;COLUMN($C$1)&amp;"}"&amp;"@ForceFilingCode:true"</f>
        <v>!S.25.03.04.02 Rows {3}@ForceFilingCode:true</v>
      </c>
      <c r="N25" s="13" t="str">
        <f>Show!$B$128&amp;"S.25.03.04.02 Columns {"&amp;COLUMN($D$1)&amp;"}"</f>
        <v>!S.25.03.04.02 Columns {4}</v>
      </c>
    </row>
    <row r="26" spans="2:14">
      <c r="B26" s="43" t="s">
        <v>2880</v>
      </c>
      <c r="C26" s="44" t="s">
        <v>2878</v>
      </c>
      <c r="D26" s="46"/>
    </row>
    <row r="27" spans="2:14" ht="30">
      <c r="B27" s="47" t="s">
        <v>4707</v>
      </c>
      <c r="C27" s="41" t="s">
        <v>2901</v>
      </c>
      <c r="D27" s="60"/>
    </row>
    <row r="28" spans="2:14">
      <c r="B28" s="47" t="s">
        <v>4631</v>
      </c>
      <c r="C28" s="41" t="s">
        <v>2891</v>
      </c>
      <c r="D28" s="60"/>
    </row>
    <row r="29" spans="2:14" ht="60">
      <c r="B29" s="47" t="s">
        <v>4640</v>
      </c>
      <c r="C29" s="41" t="s">
        <v>2911</v>
      </c>
      <c r="D29" s="60"/>
    </row>
    <row r="30" spans="2:14" ht="45">
      <c r="B30" s="47" t="s">
        <v>4708</v>
      </c>
      <c r="C30" s="41" t="s">
        <v>2919</v>
      </c>
      <c r="D30" s="60"/>
    </row>
    <row r="31" spans="2:14">
      <c r="B31" s="47" t="s">
        <v>4671</v>
      </c>
      <c r="C31" s="41" t="s">
        <v>2921</v>
      </c>
      <c r="D31" s="60"/>
    </row>
    <row r="32" spans="2:14" ht="30">
      <c r="B32" s="47" t="s">
        <v>4643</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60">
      <c r="B36" s="49" t="s">
        <v>4646</v>
      </c>
      <c r="C36" s="41" t="s">
        <v>2961</v>
      </c>
      <c r="D36" s="60"/>
    </row>
    <row r="37" spans="2:4" ht="60">
      <c r="B37" s="49" t="s">
        <v>4711</v>
      </c>
      <c r="C37" s="41" t="s">
        <v>2963</v>
      </c>
      <c r="D37" s="60"/>
    </row>
    <row r="38" spans="2:4" ht="75">
      <c r="B38" s="49" t="s">
        <v>4712</v>
      </c>
      <c r="C38" s="41" t="s">
        <v>2965</v>
      </c>
      <c r="D38" s="60"/>
    </row>
    <row r="39" spans="2:4" ht="45">
      <c r="B39" s="49" t="s">
        <v>4649</v>
      </c>
      <c r="C39" s="41" t="s">
        <v>2967</v>
      </c>
      <c r="D39" s="60"/>
    </row>
    <row r="40" spans="2:4" ht="30">
      <c r="B40" s="49" t="s">
        <v>4651</v>
      </c>
      <c r="C40" s="41" t="s">
        <v>2971</v>
      </c>
      <c r="D40" s="60"/>
    </row>
    <row r="41" spans="2:4" ht="45">
      <c r="B41" s="49" t="s">
        <v>4673</v>
      </c>
      <c r="C41" s="41" t="s">
        <v>2973</v>
      </c>
      <c r="D41" s="63"/>
    </row>
    <row r="42" spans="2:4" ht="30">
      <c r="B42" s="47" t="s">
        <v>4674</v>
      </c>
      <c r="C42" s="44" t="s">
        <v>2878</v>
      </c>
      <c r="D42" s="46"/>
    </row>
    <row r="43" spans="2:4" ht="60">
      <c r="B43" s="49" t="s">
        <v>4675</v>
      </c>
      <c r="C43" s="41" t="s">
        <v>2977</v>
      </c>
      <c r="D43" s="60"/>
    </row>
    <row r="44" spans="2:4" ht="150">
      <c r="B44" s="49" t="s">
        <v>4676</v>
      </c>
      <c r="C44" s="41" t="s">
        <v>2979</v>
      </c>
      <c r="D44" s="60"/>
    </row>
    <row r="45" spans="2:4" ht="105">
      <c r="B45" s="49" t="s">
        <v>4677</v>
      </c>
      <c r="C45" s="41" t="s">
        <v>2981</v>
      </c>
      <c r="D45" s="60"/>
    </row>
    <row r="46" spans="2:4" ht="120">
      <c r="B46" s="49" t="s">
        <v>4678</v>
      </c>
      <c r="C46" s="41" t="s">
        <v>2983</v>
      </c>
      <c r="D46" s="60"/>
    </row>
    <row r="47" spans="2:4" ht="60">
      <c r="B47" s="49" t="s">
        <v>4679</v>
      </c>
      <c r="C47" s="41" t="s">
        <v>2985</v>
      </c>
      <c r="D47" s="60"/>
    </row>
    <row r="48" spans="2:4" ht="30">
      <c r="B48" s="49" t="s">
        <v>4680</v>
      </c>
      <c r="C48" s="41" t="s">
        <v>2987</v>
      </c>
      <c r="D48" s="60"/>
    </row>
    <row r="50" spans="13:14">
      <c r="M50" s="13" t="str">
        <f>Show!$B$128&amp;Show!$B$128&amp;"S.25.03.04.02 Rows {"&amp;COLUMN($C$1)&amp;"}"</f>
        <v>!!S.25.03.04.02 Rows {3}</v>
      </c>
      <c r="N50" s="13" t="str">
        <f>Show!$B$128&amp;Show!$B$128&amp;"S.25.03.04.02 Columns {"&amp;COLUMN($D$1)&amp;"}"</f>
        <v>!!S.25.03.04.02 Columns {4}</v>
      </c>
    </row>
  </sheetData>
  <sheetProtection sheet="1" objects="1" scenarios="1"/>
  <mergeCells count="6">
    <mergeCell ref="D21:D24"/>
    <mergeCell ref="B2:O2"/>
    <mergeCell ref="B5:L5"/>
    <mergeCell ref="B9:B11"/>
    <mergeCell ref="C9:E10"/>
    <mergeCell ref="B17:L17"/>
  </mergeCells>
  <dataValidations count="1">
    <dataValidation type="list" errorStyle="warning" allowBlank="1" showInputMessage="1" showErrorMessage="1" sqref="E13" xr:uid="{664DD499-6113-4ACB-B33F-C50F3BBD4508}">
      <formula1>hier_AP_14</formula1>
    </dataValidation>
  </dataValidation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550-0DEB-4DB9-9235-F7D46B20E275}">
  <sheetPr codeName="Blad133"/>
  <dimension ref="B2:O73"/>
  <sheetViews>
    <sheetView showGridLines="0" workbookViewId="0"/>
  </sheetViews>
  <sheetFormatPr defaultRowHeight="15"/>
  <cols>
    <col min="2" max="2" width="28.28515625" bestFit="1" customWidth="1"/>
    <col min="3" max="3" width="40.7109375" customWidth="1"/>
    <col min="4" max="4" width="15.7109375" customWidth="1"/>
  </cols>
  <sheetData>
    <row r="2" spans="2:15" ht="23.25">
      <c r="B2" s="95" t="s">
        <v>703</v>
      </c>
      <c r="C2" s="96"/>
      <c r="D2" s="96"/>
      <c r="E2" s="96"/>
      <c r="F2" s="96"/>
      <c r="G2" s="96"/>
      <c r="H2" s="96"/>
      <c r="I2" s="96"/>
      <c r="J2" s="96"/>
      <c r="K2" s="96"/>
      <c r="L2" s="96"/>
      <c r="M2" s="96"/>
      <c r="N2" s="96"/>
      <c r="O2" s="96"/>
    </row>
    <row r="5" spans="2:15" ht="18.75">
      <c r="B5" s="97" t="s">
        <v>4746</v>
      </c>
      <c r="C5" s="96"/>
      <c r="D5" s="96"/>
      <c r="E5" s="96"/>
      <c r="F5" s="96"/>
      <c r="G5" s="96"/>
      <c r="H5" s="96"/>
      <c r="I5" s="96"/>
      <c r="J5" s="96"/>
      <c r="K5" s="96"/>
      <c r="L5" s="96"/>
    </row>
    <row r="9" spans="2:15">
      <c r="B9" s="98" t="s">
        <v>4701</v>
      </c>
      <c r="C9" s="101" t="s">
        <v>2877</v>
      </c>
      <c r="D9" s="103"/>
    </row>
    <row r="10" spans="2:15">
      <c r="B10" s="99"/>
      <c r="C10" s="104"/>
      <c r="D10" s="106"/>
    </row>
    <row r="11" spans="2:15" ht="60">
      <c r="B11" s="100"/>
      <c r="C11" s="55" t="s">
        <v>4702</v>
      </c>
      <c r="D11" s="55" t="s">
        <v>4703</v>
      </c>
    </row>
    <row r="12" spans="2:15">
      <c r="B12" s="42" t="s">
        <v>2879</v>
      </c>
      <c r="C12" s="42" t="s">
        <v>3219</v>
      </c>
      <c r="D12" s="42" t="s">
        <v>3225</v>
      </c>
      <c r="L12" s="13" t="str">
        <f>Show!$B$129&amp;"S.25.03.21.01 Rows {"&amp;COLUMN($B$1)&amp;"}"&amp;"@ForceFilingCode:true"</f>
        <v>!S.25.03.21.01 Rows {2}@ForceFilingCode:true</v>
      </c>
      <c r="M12" s="13" t="str">
        <f>Show!$B$129&amp;"S.25.03.21.01 Columns {"&amp;COLUMN($B$1)&amp;"}"</f>
        <v>!S.25.03.21.01 Columns {2}</v>
      </c>
    </row>
    <row r="13" spans="2:15">
      <c r="B13" s="50"/>
      <c r="C13" s="51"/>
      <c r="D13" s="60"/>
    </row>
    <row r="15" spans="2:15">
      <c r="L15" s="13" t="str">
        <f>Show!$B$129&amp;Show!$B$129&amp;"S.25.03.21.01 Rows {"&amp;COLUMN($B$1)&amp;"}"</f>
        <v>!!S.25.03.21.01 Rows {2}</v>
      </c>
      <c r="M15" s="13" t="str">
        <f>Show!$B$129&amp;Show!$B$129&amp;"S.25.03.21.01 Columns {"&amp;COLUMN($D$1)&amp;"}"</f>
        <v>!!S.25.03.21.01 Columns {4}</v>
      </c>
    </row>
    <row r="17" spans="2:13" ht="18.75">
      <c r="B17" s="97" t="s">
        <v>4747</v>
      </c>
      <c r="C17" s="96"/>
      <c r="D17" s="96"/>
      <c r="E17" s="96"/>
      <c r="F17" s="96"/>
      <c r="G17" s="96"/>
      <c r="H17" s="96"/>
      <c r="I17" s="96"/>
      <c r="J17" s="96"/>
      <c r="K17" s="96"/>
      <c r="L17" s="96"/>
    </row>
    <row r="21" spans="2:13">
      <c r="D21" s="98" t="s">
        <v>2877</v>
      </c>
    </row>
    <row r="22" spans="2:13">
      <c r="D22" s="99"/>
    </row>
    <row r="23" spans="2:13">
      <c r="D23" s="99"/>
    </row>
    <row r="24" spans="2:13">
      <c r="D24" s="100"/>
    </row>
    <row r="25" spans="2:13">
      <c r="D25" s="45" t="s">
        <v>3239</v>
      </c>
      <c r="L25" s="13" t="str">
        <f>Show!$B$129&amp;"S.25.03.21.02 Rows {"&amp;COLUMN($C$1)&amp;"}"&amp;"@ForceFilingCode:true"</f>
        <v>!S.25.03.21.02 Rows {3}@ForceFilingCode:true</v>
      </c>
      <c r="M25" s="13" t="str">
        <f>Show!$B$129&amp;"S.25.03.21.02 Columns {"&amp;COLUMN($D$1)&amp;"}"</f>
        <v>!S.25.03.21.02 Columns {4}</v>
      </c>
    </row>
    <row r="26" spans="2:13">
      <c r="B26" s="43" t="s">
        <v>2880</v>
      </c>
      <c r="C26" s="44" t="s">
        <v>2878</v>
      </c>
      <c r="D26" s="46"/>
    </row>
    <row r="27" spans="2:13" ht="30">
      <c r="B27" s="47" t="s">
        <v>4707</v>
      </c>
      <c r="C27" s="41" t="s">
        <v>2901</v>
      </c>
      <c r="D27" s="60"/>
    </row>
    <row r="28" spans="2:13">
      <c r="B28" s="47" t="s">
        <v>4631</v>
      </c>
      <c r="C28" s="41" t="s">
        <v>2891</v>
      </c>
      <c r="D28" s="60"/>
    </row>
    <row r="29" spans="2:13" ht="75">
      <c r="B29" s="47" t="s">
        <v>4740</v>
      </c>
      <c r="C29" s="41" t="s">
        <v>2911</v>
      </c>
      <c r="D29" s="60"/>
    </row>
    <row r="30" spans="2:13" ht="45">
      <c r="B30" s="47" t="s">
        <v>4708</v>
      </c>
      <c r="C30" s="41" t="s">
        <v>2919</v>
      </c>
      <c r="D30" s="60"/>
    </row>
    <row r="31" spans="2:13">
      <c r="B31" s="47" t="s">
        <v>4671</v>
      </c>
      <c r="C31" s="41" t="s">
        <v>2921</v>
      </c>
      <c r="D31" s="60"/>
    </row>
    <row r="32" spans="2:13" ht="30">
      <c r="B32" s="47" t="s">
        <v>4643</v>
      </c>
      <c r="C32" s="41" t="s">
        <v>2923</v>
      </c>
      <c r="D32" s="63"/>
    </row>
    <row r="33" spans="2:13">
      <c r="B33" s="47" t="s">
        <v>4644</v>
      </c>
      <c r="C33" s="44" t="s">
        <v>2878</v>
      </c>
      <c r="D33" s="46"/>
    </row>
    <row r="34" spans="2:13" ht="60">
      <c r="B34" s="49" t="s">
        <v>4709</v>
      </c>
      <c r="C34" s="41" t="s">
        <v>2939</v>
      </c>
      <c r="D34" s="60"/>
    </row>
    <row r="35" spans="2:13" ht="45">
      <c r="B35" s="49" t="s">
        <v>4710</v>
      </c>
      <c r="C35" s="41" t="s">
        <v>2941</v>
      </c>
      <c r="D35" s="60"/>
    </row>
    <row r="36" spans="2:13" ht="60">
      <c r="B36" s="49" t="s">
        <v>4646</v>
      </c>
      <c r="C36" s="41" t="s">
        <v>2961</v>
      </c>
      <c r="D36" s="60"/>
    </row>
    <row r="37" spans="2:13" ht="60">
      <c r="B37" s="49" t="s">
        <v>4711</v>
      </c>
      <c r="C37" s="41" t="s">
        <v>2963</v>
      </c>
      <c r="D37" s="60"/>
    </row>
    <row r="38" spans="2:13" ht="75">
      <c r="B38" s="49" t="s">
        <v>4712</v>
      </c>
      <c r="C38" s="41" t="s">
        <v>2965</v>
      </c>
      <c r="D38" s="60"/>
    </row>
    <row r="39" spans="2:13" ht="45">
      <c r="B39" s="49" t="s">
        <v>4649</v>
      </c>
      <c r="C39" s="41" t="s">
        <v>2967</v>
      </c>
      <c r="D39" s="60"/>
    </row>
    <row r="41" spans="2:13">
      <c r="L41" s="13" t="str">
        <f>Show!$B$129&amp;Show!$B$129&amp;"S.25.03.21.02 Rows {"&amp;COLUMN($C$1)&amp;"}"</f>
        <v>!!S.25.03.21.02 Rows {3}</v>
      </c>
      <c r="M41" s="13" t="str">
        <f>Show!$B$129&amp;Show!$B$129&amp;"S.25.03.21.02 Columns {"&amp;COLUMN($D$1)&amp;"}"</f>
        <v>!!S.25.03.21.02 Columns {4}</v>
      </c>
    </row>
    <row r="43" spans="2:13" ht="18.75">
      <c r="B43" s="97" t="s">
        <v>4748</v>
      </c>
      <c r="C43" s="96"/>
      <c r="D43" s="96"/>
      <c r="E43" s="96"/>
      <c r="F43" s="96"/>
      <c r="G43" s="96"/>
      <c r="H43" s="96"/>
      <c r="I43" s="96"/>
      <c r="J43" s="96"/>
      <c r="K43" s="96"/>
      <c r="L43" s="96"/>
    </row>
    <row r="47" spans="2:13">
      <c r="D47" s="98" t="s">
        <v>2877</v>
      </c>
    </row>
    <row r="48" spans="2:13">
      <c r="D48" s="100"/>
    </row>
    <row r="49" spans="2:13">
      <c r="D49" s="55" t="s">
        <v>4653</v>
      </c>
    </row>
    <row r="50" spans="2:13">
      <c r="D50" s="45" t="s">
        <v>4654</v>
      </c>
      <c r="L50" s="13" t="str">
        <f>Show!$B$129&amp;"S.25.03.21.03 Rows {"&amp;COLUMN($C$1)&amp;"}"&amp;"@ForceFilingCode:true"</f>
        <v>!S.25.03.21.03 Rows {3}@ForceFilingCode:true</v>
      </c>
      <c r="M50" s="13" t="str">
        <f>Show!$B$129&amp;"S.25.03.21.03 Columns {"&amp;COLUMN($D$1)&amp;"}"</f>
        <v>!S.25.03.21.03 Columns {4}</v>
      </c>
    </row>
    <row r="51" spans="2:13">
      <c r="B51" s="43" t="s">
        <v>2880</v>
      </c>
      <c r="C51" s="44" t="s">
        <v>2878</v>
      </c>
      <c r="D51" s="46"/>
    </row>
    <row r="52" spans="2:13" ht="30">
      <c r="B52" s="47" t="s">
        <v>2562</v>
      </c>
      <c r="C52" s="41" t="s">
        <v>2995</v>
      </c>
      <c r="D52" s="51"/>
    </row>
    <row r="54" spans="2:13">
      <c r="L54" s="13" t="str">
        <f>Show!$B$129&amp;Show!$B$129&amp;"S.25.03.21.03 Rows {"&amp;COLUMN($C$1)&amp;"}"</f>
        <v>!!S.25.03.21.03 Rows {3}</v>
      </c>
      <c r="M54" s="13" t="str">
        <f>Show!$B$129&amp;Show!$B$129&amp;"S.25.03.21.03 Columns {"&amp;COLUMN($D$1)&amp;"}"</f>
        <v>!!S.25.03.21.03 Columns {4}</v>
      </c>
    </row>
    <row r="56" spans="2:13" ht="18.75">
      <c r="B56" s="97" t="s">
        <v>4749</v>
      </c>
      <c r="C56" s="96"/>
      <c r="D56" s="96"/>
      <c r="E56" s="96"/>
      <c r="F56" s="96"/>
      <c r="G56" s="96"/>
      <c r="H56" s="96"/>
      <c r="I56" s="96"/>
      <c r="J56" s="96"/>
      <c r="K56" s="96"/>
      <c r="L56" s="96"/>
    </row>
    <row r="60" spans="2:13">
      <c r="D60" s="98" t="s">
        <v>2877</v>
      </c>
    </row>
    <row r="61" spans="2:13">
      <c r="D61" s="100"/>
    </row>
    <row r="62" spans="2:13">
      <c r="D62" s="98" t="s">
        <v>4663</v>
      </c>
    </row>
    <row r="63" spans="2:13">
      <c r="D63" s="100"/>
    </row>
    <row r="64" spans="2:13">
      <c r="D64" s="45" t="s">
        <v>3375</v>
      </c>
      <c r="L64" s="13" t="str">
        <f>Show!$B$129&amp;"S.25.03.21.05 Rows {"&amp;COLUMN($C$1)&amp;"}"&amp;"@ForceFilingCode:true"</f>
        <v>!S.25.03.21.05 Rows {3}@ForceFilingCode:true</v>
      </c>
      <c r="M64" s="13" t="str">
        <f>Show!$B$129&amp;"S.25.03.21.05 Columns {"&amp;COLUMN($D$1)&amp;"}"</f>
        <v>!S.25.03.21.05 Columns {4}</v>
      </c>
    </row>
    <row r="65" spans="2:13">
      <c r="B65" s="43" t="s">
        <v>2880</v>
      </c>
      <c r="C65" s="44" t="s">
        <v>2878</v>
      </c>
      <c r="D65" s="46"/>
    </row>
    <row r="66" spans="2:13" ht="30">
      <c r="B66" s="47" t="s">
        <v>4716</v>
      </c>
      <c r="C66" s="41" t="s">
        <v>3005</v>
      </c>
      <c r="D66" s="60"/>
    </row>
    <row r="67" spans="2:13" ht="45">
      <c r="B67" s="49" t="s">
        <v>4717</v>
      </c>
      <c r="C67" s="41" t="s">
        <v>3007</v>
      </c>
      <c r="D67" s="60"/>
    </row>
    <row r="68" spans="2:13" ht="60">
      <c r="B68" s="49" t="s">
        <v>4718</v>
      </c>
      <c r="C68" s="41" t="s">
        <v>3009</v>
      </c>
      <c r="D68" s="60"/>
    </row>
    <row r="69" spans="2:13" ht="45">
      <c r="B69" s="49" t="s">
        <v>4735</v>
      </c>
      <c r="C69" s="41" t="s">
        <v>3011</v>
      </c>
      <c r="D69" s="60"/>
    </row>
    <row r="70" spans="2:13" ht="45">
      <c r="B70" s="49" t="s">
        <v>4720</v>
      </c>
      <c r="C70" s="41" t="s">
        <v>3013</v>
      </c>
      <c r="D70" s="60"/>
    </row>
    <row r="71" spans="2:13" ht="30">
      <c r="B71" s="49" t="s">
        <v>4721</v>
      </c>
      <c r="C71" s="41" t="s">
        <v>3015</v>
      </c>
      <c r="D71" s="60"/>
    </row>
    <row r="73" spans="2:13">
      <c r="L73" s="13" t="str">
        <f>Show!$B$129&amp;Show!$B$129&amp;"S.25.03.21.05 Rows {"&amp;COLUMN($C$1)&amp;"}"</f>
        <v>!!S.25.03.21.05 Rows {3}</v>
      </c>
      <c r="M73" s="13" t="str">
        <f>Show!$B$129&amp;Show!$B$129&amp;"S.25.03.21.05 Columns {"&amp;COLUMN($D$1)&amp;"}"</f>
        <v>!!S.25.03.21.05 Columns {4}</v>
      </c>
    </row>
  </sheetData>
  <sheetProtection sheet="1" objects="1" scenarios="1"/>
  <mergeCells count="11">
    <mergeCell ref="B43:L43"/>
    <mergeCell ref="D47:D48"/>
    <mergeCell ref="B56:L56"/>
    <mergeCell ref="D60:D61"/>
    <mergeCell ref="D62:D63"/>
    <mergeCell ref="D21:D24"/>
    <mergeCell ref="B2:O2"/>
    <mergeCell ref="B5:L5"/>
    <mergeCell ref="B9:B11"/>
    <mergeCell ref="C9:D10"/>
    <mergeCell ref="B17:L17"/>
  </mergeCells>
  <dataValidations count="1">
    <dataValidation type="list" errorStyle="warning" allowBlank="1" showInputMessage="1" showErrorMessage="1" sqref="D52" xr:uid="{BCAE4ACB-78CB-4F73-A20D-73D09E157DEB}">
      <formula1>hier_AP_24</formula1>
    </dataValidation>
  </dataValidation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B6A-40E6-4FCA-817A-58A71854C81F}">
  <sheetPr codeName="Blad134"/>
  <dimension ref="B2:O49"/>
  <sheetViews>
    <sheetView showGridLines="0" workbookViewId="0"/>
  </sheetViews>
  <sheetFormatPr defaultRowHeight="15"/>
  <cols>
    <col min="2" max="2" width="28.28515625" bestFit="1" customWidth="1"/>
    <col min="3" max="3" width="40.7109375" customWidth="1"/>
    <col min="4" max="4" width="15.7109375" customWidth="1"/>
  </cols>
  <sheetData>
    <row r="2" spans="2:15" ht="23.25">
      <c r="B2" s="95" t="s">
        <v>705</v>
      </c>
      <c r="C2" s="96"/>
      <c r="D2" s="96"/>
      <c r="E2" s="96"/>
      <c r="F2" s="96"/>
      <c r="G2" s="96"/>
      <c r="H2" s="96"/>
      <c r="I2" s="96"/>
      <c r="J2" s="96"/>
      <c r="K2" s="96"/>
      <c r="L2" s="96"/>
      <c r="M2" s="96"/>
      <c r="N2" s="96"/>
      <c r="O2" s="96"/>
    </row>
    <row r="5" spans="2:15" ht="18.75">
      <c r="B5" s="97" t="s">
        <v>4750</v>
      </c>
      <c r="C5" s="96"/>
      <c r="D5" s="96"/>
      <c r="E5" s="96"/>
      <c r="F5" s="96"/>
      <c r="G5" s="96"/>
      <c r="H5" s="96"/>
      <c r="I5" s="96"/>
      <c r="J5" s="96"/>
      <c r="K5" s="96"/>
      <c r="L5" s="96"/>
    </row>
    <row r="9" spans="2:15">
      <c r="B9" s="98" t="s">
        <v>4701</v>
      </c>
      <c r="C9" s="101" t="s">
        <v>2877</v>
      </c>
      <c r="D9" s="103"/>
    </row>
    <row r="10" spans="2:15">
      <c r="B10" s="99"/>
      <c r="C10" s="104"/>
      <c r="D10" s="106"/>
    </row>
    <row r="11" spans="2:15" ht="60">
      <c r="B11" s="100"/>
      <c r="C11" s="55" t="s">
        <v>4702</v>
      </c>
      <c r="D11" s="55" t="s">
        <v>4703</v>
      </c>
    </row>
    <row r="12" spans="2:15">
      <c r="B12" s="42" t="s">
        <v>2879</v>
      </c>
      <c r="C12" s="42" t="s">
        <v>3219</v>
      </c>
      <c r="D12" s="42" t="s">
        <v>3225</v>
      </c>
      <c r="L12" s="13" t="str">
        <f>Show!$B$130&amp;"S.25.03.22.01 Rows {"&amp;COLUMN($B$1)&amp;"}"&amp;"@ForceFilingCode:true"</f>
        <v>!S.25.03.22.01 Rows {2}@ForceFilingCode:true</v>
      </c>
      <c r="M12" s="13" t="str">
        <f>Show!$B$130&amp;"S.25.03.22.01 Columns {"&amp;COLUMN($B$1)&amp;"}"</f>
        <v>!S.25.03.22.01 Columns {2}</v>
      </c>
    </row>
    <row r="13" spans="2:15">
      <c r="B13" s="50"/>
      <c r="C13" s="51"/>
      <c r="D13" s="60"/>
    </row>
    <row r="15" spans="2:15">
      <c r="L15" s="13" t="str">
        <f>Show!$B$130&amp;Show!$B$130&amp;"S.25.03.22.01 Rows {"&amp;COLUMN($B$1)&amp;"}"</f>
        <v>!!S.25.03.22.01 Rows {2}</v>
      </c>
      <c r="M15" s="13" t="str">
        <f>Show!$B$130&amp;Show!$B$130&amp;"S.25.03.22.01 Columns {"&amp;COLUMN($D$1)&amp;"}"</f>
        <v>!!S.25.03.22.01 Columns {4}</v>
      </c>
    </row>
    <row r="17" spans="2:13" ht="18.75">
      <c r="B17" s="97" t="s">
        <v>4751</v>
      </c>
      <c r="C17" s="96"/>
      <c r="D17" s="96"/>
      <c r="E17" s="96"/>
      <c r="F17" s="96"/>
      <c r="G17" s="96"/>
      <c r="H17" s="96"/>
      <c r="I17" s="96"/>
      <c r="J17" s="96"/>
      <c r="K17" s="96"/>
      <c r="L17" s="96"/>
    </row>
    <row r="21" spans="2:13">
      <c r="D21" s="98" t="s">
        <v>2877</v>
      </c>
    </row>
    <row r="22" spans="2:13">
      <c r="D22" s="99"/>
    </row>
    <row r="23" spans="2:13">
      <c r="D23" s="99"/>
    </row>
    <row r="24" spans="2:13">
      <c r="D24" s="100"/>
    </row>
    <row r="25" spans="2:13">
      <c r="D25" s="45" t="s">
        <v>3239</v>
      </c>
      <c r="L25" s="13" t="str">
        <f>Show!$B$130&amp;"S.25.03.22.02 Rows {"&amp;COLUMN($C$1)&amp;"}"&amp;"@ForceFilingCode:true"</f>
        <v>!S.25.03.22.02 Rows {3}@ForceFilingCode:true</v>
      </c>
      <c r="M25" s="13" t="str">
        <f>Show!$B$130&amp;"S.25.03.22.02 Columns {"&amp;COLUMN($D$1)&amp;"}"</f>
        <v>!S.25.03.22.02 Columns {4}</v>
      </c>
    </row>
    <row r="26" spans="2:13">
      <c r="B26" s="43" t="s">
        <v>2880</v>
      </c>
      <c r="C26" s="44" t="s">
        <v>2878</v>
      </c>
      <c r="D26" s="46"/>
    </row>
    <row r="27" spans="2:13" ht="30">
      <c r="B27" s="47" t="s">
        <v>4707</v>
      </c>
      <c r="C27" s="41" t="s">
        <v>2901</v>
      </c>
      <c r="D27" s="60"/>
    </row>
    <row r="28" spans="2:13">
      <c r="B28" s="47" t="s">
        <v>4631</v>
      </c>
      <c r="C28" s="41" t="s">
        <v>2891</v>
      </c>
      <c r="D28" s="60"/>
    </row>
    <row r="29" spans="2:13" ht="60">
      <c r="B29" s="47" t="s">
        <v>4640</v>
      </c>
      <c r="C29" s="41" t="s">
        <v>2911</v>
      </c>
      <c r="D29" s="60"/>
    </row>
    <row r="30" spans="2:13" ht="45">
      <c r="B30" s="47" t="s">
        <v>4708</v>
      </c>
      <c r="C30" s="41" t="s">
        <v>2919</v>
      </c>
      <c r="D30" s="60"/>
    </row>
    <row r="31" spans="2:13">
      <c r="B31" s="47" t="s">
        <v>4671</v>
      </c>
      <c r="C31" s="41" t="s">
        <v>2921</v>
      </c>
      <c r="D31" s="60"/>
    </row>
    <row r="32" spans="2:13" ht="30">
      <c r="B32" s="47" t="s">
        <v>4643</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60">
      <c r="B36" s="49" t="s">
        <v>4646</v>
      </c>
      <c r="C36" s="41" t="s">
        <v>2961</v>
      </c>
      <c r="D36" s="60"/>
    </row>
    <row r="37" spans="2:4" ht="60">
      <c r="B37" s="49" t="s">
        <v>4711</v>
      </c>
      <c r="C37" s="41" t="s">
        <v>2963</v>
      </c>
      <c r="D37" s="60"/>
    </row>
    <row r="38" spans="2:4" ht="75">
      <c r="B38" s="49" t="s">
        <v>4712</v>
      </c>
      <c r="C38" s="41" t="s">
        <v>2965</v>
      </c>
      <c r="D38" s="60"/>
    </row>
    <row r="39" spans="2:4" ht="45">
      <c r="B39" s="49" t="s">
        <v>4649</v>
      </c>
      <c r="C39" s="41" t="s">
        <v>2967</v>
      </c>
      <c r="D39" s="60"/>
    </row>
    <row r="40" spans="2:4" ht="45">
      <c r="B40" s="49" t="s">
        <v>4673</v>
      </c>
      <c r="C40" s="41" t="s">
        <v>2973</v>
      </c>
      <c r="D40" s="63"/>
    </row>
    <row r="41" spans="2:4" ht="30">
      <c r="B41" s="47" t="s">
        <v>4674</v>
      </c>
      <c r="C41" s="44" t="s">
        <v>2878</v>
      </c>
      <c r="D41" s="46"/>
    </row>
    <row r="42" spans="2:4" ht="60">
      <c r="B42" s="49" t="s">
        <v>4675</v>
      </c>
      <c r="C42" s="41" t="s">
        <v>2977</v>
      </c>
      <c r="D42" s="60"/>
    </row>
    <row r="43" spans="2:4" ht="150">
      <c r="B43" s="49" t="s">
        <v>4676</v>
      </c>
      <c r="C43" s="41" t="s">
        <v>2979</v>
      </c>
      <c r="D43" s="60"/>
    </row>
    <row r="44" spans="2:4" ht="105">
      <c r="B44" s="49" t="s">
        <v>4677</v>
      </c>
      <c r="C44" s="41" t="s">
        <v>2981</v>
      </c>
      <c r="D44" s="60"/>
    </row>
    <row r="45" spans="2:4" ht="120">
      <c r="B45" s="49" t="s">
        <v>4678</v>
      </c>
      <c r="C45" s="41" t="s">
        <v>2983</v>
      </c>
      <c r="D45" s="60"/>
    </row>
    <row r="46" spans="2:4" ht="60">
      <c r="B46" s="49" t="s">
        <v>4679</v>
      </c>
      <c r="C46" s="41" t="s">
        <v>2985</v>
      </c>
      <c r="D46" s="60"/>
    </row>
    <row r="47" spans="2:4" ht="30">
      <c r="B47" s="49" t="s">
        <v>4680</v>
      </c>
      <c r="C47" s="41" t="s">
        <v>2987</v>
      </c>
      <c r="D47" s="60"/>
    </row>
    <row r="49" spans="12:13">
      <c r="L49" s="13" t="str">
        <f>Show!$B$130&amp;Show!$B$130&amp;"S.25.03.22.02 Rows {"&amp;COLUMN($C$1)&amp;"}"</f>
        <v>!!S.25.03.22.02 Rows {3}</v>
      </c>
      <c r="M49" s="13" t="str">
        <f>Show!$B$130&amp;Show!$B$130&amp;"S.25.03.22.02 Columns {"&amp;COLUMN($D$1)&amp;"}"</f>
        <v>!!S.25.03.22.02 Columns {4}</v>
      </c>
    </row>
  </sheetData>
  <sheetProtection sheet="1" objects="1" scenarios="1"/>
  <mergeCells count="6">
    <mergeCell ref="D21:D24"/>
    <mergeCell ref="B2:O2"/>
    <mergeCell ref="B5:L5"/>
    <mergeCell ref="B9:B11"/>
    <mergeCell ref="C9:D10"/>
    <mergeCell ref="B17:L17"/>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E6B2-6DF9-4E02-BA9B-79F85B99B1A8}">
  <sheetPr codeName="Blad135"/>
  <dimension ref="B2:O106"/>
  <sheetViews>
    <sheetView showGridLines="0" workbookViewId="0"/>
  </sheetViews>
  <sheetFormatPr defaultRowHeight="15"/>
  <cols>
    <col min="2" max="2" width="61.85546875" bestFit="1" customWidth="1"/>
    <col min="3" max="3" width="40.7109375" customWidth="1"/>
    <col min="4" max="5" width="15.7109375" customWidth="1"/>
  </cols>
  <sheetData>
    <row r="2" spans="2:15" ht="23.25">
      <c r="B2" s="95" t="s">
        <v>703</v>
      </c>
      <c r="C2" s="96"/>
      <c r="D2" s="96"/>
      <c r="E2" s="96"/>
      <c r="F2" s="96"/>
      <c r="G2" s="96"/>
      <c r="H2" s="96"/>
      <c r="I2" s="96"/>
      <c r="J2" s="96"/>
      <c r="K2" s="96"/>
      <c r="L2" s="96"/>
      <c r="M2" s="96"/>
      <c r="N2" s="96"/>
      <c r="O2" s="96"/>
    </row>
    <row r="5" spans="2:15" ht="18.75">
      <c r="B5" s="97" t="s">
        <v>4752</v>
      </c>
      <c r="C5" s="96"/>
      <c r="D5" s="96"/>
      <c r="E5" s="96"/>
      <c r="F5" s="96"/>
      <c r="G5" s="96"/>
      <c r="H5" s="96"/>
      <c r="I5" s="96"/>
      <c r="J5" s="96"/>
      <c r="K5" s="96"/>
      <c r="L5" s="96"/>
    </row>
    <row r="7" spans="2:15">
      <c r="B7" t="s">
        <v>3110</v>
      </c>
      <c r="M7" s="13" t="str">
        <f>Show!$B$131&amp;"SR.25.03.01.01 Table label {"&amp;COLUMN($C$1)&amp;"}"</f>
        <v>!SR.25.03.01.01 Table label {3}</v>
      </c>
      <c r="N7" s="13" t="str">
        <f>Show!$B$131&amp;"SR.25.03.01.01 Table value {"&amp;COLUMN($D$1)&amp;"}"</f>
        <v>!SR.25.03.01.01 Table value {4}</v>
      </c>
    </row>
    <row r="8" spans="2:15">
      <c r="B8" t="s">
        <v>3111</v>
      </c>
    </row>
    <row r="9" spans="2:15">
      <c r="B9" s="40" t="s">
        <v>3788</v>
      </c>
      <c r="C9" s="53" t="s">
        <v>3115</v>
      </c>
      <c r="D9" s="51"/>
    </row>
    <row r="10" spans="2:15">
      <c r="B10" s="40" t="s">
        <v>3114</v>
      </c>
      <c r="C10" s="53" t="s">
        <v>3323</v>
      </c>
      <c r="D10" s="50"/>
    </row>
    <row r="11" spans="2:15">
      <c r="M11" s="13" t="str">
        <f>Show!$B$131&amp;Show!$B$131&amp;"SR.25.03.01.01 Table label {"&amp;COLUMN($C$1)&amp;"}"</f>
        <v>!!SR.25.03.01.01 Table label {3}</v>
      </c>
      <c r="N11" s="13" t="str">
        <f>Show!$B$131&amp;Show!$B$131&amp;"SR.25.03.01.01 Table value {"&amp;COLUMN($D$1)&amp;"}"</f>
        <v>!!SR.25.03.01.01 Table value {4}</v>
      </c>
    </row>
    <row r="13" spans="2:15">
      <c r="B13" s="98" t="s">
        <v>4701</v>
      </c>
      <c r="C13" s="101" t="s">
        <v>2877</v>
      </c>
      <c r="D13" s="102"/>
      <c r="E13" s="103"/>
    </row>
    <row r="14" spans="2:15">
      <c r="B14" s="99"/>
      <c r="C14" s="104"/>
      <c r="D14" s="105"/>
      <c r="E14" s="106"/>
    </row>
    <row r="15" spans="2:15" ht="135">
      <c r="B15" s="100"/>
      <c r="C15" s="55" t="s">
        <v>4702</v>
      </c>
      <c r="D15" s="55" t="s">
        <v>4703</v>
      </c>
      <c r="E15" s="55" t="s">
        <v>4704</v>
      </c>
    </row>
    <row r="16" spans="2:15">
      <c r="B16" s="42" t="s">
        <v>2879</v>
      </c>
      <c r="C16" s="42" t="s">
        <v>3219</v>
      </c>
      <c r="D16" s="42" t="s">
        <v>3225</v>
      </c>
      <c r="E16" s="42" t="s">
        <v>3231</v>
      </c>
      <c r="M16" s="13" t="str">
        <f>Show!$B$131&amp;"SR.25.03.01.01 Rows {"&amp;COLUMN($B$1)&amp;"}"&amp;"@ForceFilingCode:true"</f>
        <v>!SR.25.03.01.01 Rows {2}@ForceFilingCode:true</v>
      </c>
      <c r="N16" s="13" t="str">
        <f>Show!$B$131&amp;"SR.25.03.01.01 Columns {"&amp;COLUMN($B$1)&amp;"}"</f>
        <v>!SR.25.03.01.01 Columns {2}</v>
      </c>
    </row>
    <row r="17" spans="2:14">
      <c r="B17" s="50"/>
      <c r="C17" s="51"/>
      <c r="D17" s="60"/>
      <c r="E17" s="51"/>
    </row>
    <row r="19" spans="2:14">
      <c r="M19" s="13" t="str">
        <f>Show!$B$131&amp;Show!$B$131&amp;"SR.25.03.01.01 Rows {"&amp;COLUMN($B$1)&amp;"}"</f>
        <v>!!SR.25.03.01.01 Rows {2}</v>
      </c>
      <c r="N19" s="13" t="str">
        <f>Show!$B$131&amp;Show!$B$131&amp;"SR.25.03.01.01 Columns {"&amp;COLUMN($E$1)&amp;"}"</f>
        <v>!!SR.25.03.01.01 Columns {5}</v>
      </c>
    </row>
    <row r="21" spans="2:14" ht="18.75">
      <c r="B21" s="97" t="s">
        <v>4753</v>
      </c>
      <c r="C21" s="96"/>
      <c r="D21" s="96"/>
      <c r="E21" s="96"/>
      <c r="F21" s="96"/>
      <c r="G21" s="96"/>
      <c r="H21" s="96"/>
      <c r="I21" s="96"/>
      <c r="J21" s="96"/>
      <c r="K21" s="96"/>
      <c r="L21" s="96"/>
    </row>
    <row r="23" spans="2:14">
      <c r="B23" t="s">
        <v>3110</v>
      </c>
      <c r="M23" s="13" t="str">
        <f>Show!$B$131&amp;"SR.25.03.01.02 Table label {"&amp;COLUMN($C$1)&amp;"}"</f>
        <v>!SR.25.03.01.02 Table label {3}</v>
      </c>
      <c r="N23" s="13" t="str">
        <f>Show!$B$131&amp;"SR.25.03.01.02 Table value {"&amp;COLUMN($D$1)&amp;"}"</f>
        <v>!SR.25.03.01.02 Table value {4}</v>
      </c>
    </row>
    <row r="24" spans="2:14">
      <c r="B24" t="s">
        <v>3111</v>
      </c>
    </row>
    <row r="25" spans="2:14">
      <c r="B25" s="40" t="s">
        <v>3788</v>
      </c>
      <c r="C25" s="53" t="s">
        <v>3115</v>
      </c>
      <c r="D25" s="51"/>
    </row>
    <row r="26" spans="2:14">
      <c r="B26" s="40" t="s">
        <v>3114</v>
      </c>
      <c r="C26" s="53" t="s">
        <v>3323</v>
      </c>
      <c r="D26" s="50"/>
    </row>
    <row r="27" spans="2:14">
      <c r="M27" s="13" t="str">
        <f>Show!$B$131&amp;Show!$B$131&amp;"SR.25.03.01.02 Table label {"&amp;COLUMN($C$1)&amp;"}"</f>
        <v>!!SR.25.03.01.02 Table label {3}</v>
      </c>
      <c r="N27" s="13" t="str">
        <f>Show!$B$131&amp;Show!$B$131&amp;"SR.25.03.01.02 Table value {"&amp;COLUMN($D$1)&amp;"}"</f>
        <v>!!SR.25.03.01.02 Table value {4}</v>
      </c>
    </row>
    <row r="29" spans="2:14">
      <c r="D29" s="98" t="s">
        <v>2877</v>
      </c>
    </row>
    <row r="30" spans="2:14">
      <c r="D30" s="99"/>
    </row>
    <row r="31" spans="2:14">
      <c r="D31" s="99"/>
    </row>
    <row r="32" spans="2:14">
      <c r="D32" s="100"/>
    </row>
    <row r="33" spans="2:14">
      <c r="D33" s="45" t="s">
        <v>3239</v>
      </c>
      <c r="M33" s="13" t="str">
        <f>Show!$B$131&amp;"SR.25.03.01.02 Rows {"&amp;COLUMN($C$1)&amp;"}"&amp;"@ForceFilingCode:true"</f>
        <v>!SR.25.03.01.02 Rows {3}@ForceFilingCode:true</v>
      </c>
      <c r="N33" s="13" t="str">
        <f>Show!$B$131&amp;"SR.25.03.01.02 Columns {"&amp;COLUMN($D$1)&amp;"}"</f>
        <v>!SR.25.03.01.02 Columns {4}</v>
      </c>
    </row>
    <row r="34" spans="2:14">
      <c r="B34" s="43" t="s">
        <v>2880</v>
      </c>
      <c r="C34" s="44" t="s">
        <v>2878</v>
      </c>
      <c r="D34" s="46"/>
    </row>
    <row r="35" spans="2:14">
      <c r="B35" s="47" t="s">
        <v>4707</v>
      </c>
      <c r="C35" s="41" t="s">
        <v>2901</v>
      </c>
      <c r="D35" s="60"/>
    </row>
    <row r="36" spans="2:14">
      <c r="B36" s="47" t="s">
        <v>4631</v>
      </c>
      <c r="C36" s="41" t="s">
        <v>2891</v>
      </c>
      <c r="D36" s="60"/>
    </row>
    <row r="37" spans="2:14">
      <c r="B37" s="47" t="s">
        <v>4708</v>
      </c>
      <c r="C37" s="41" t="s">
        <v>2919</v>
      </c>
      <c r="D37" s="60"/>
    </row>
    <row r="38" spans="2:14">
      <c r="B38" s="47" t="s">
        <v>4671</v>
      </c>
      <c r="C38" s="41" t="s">
        <v>2921</v>
      </c>
      <c r="D38" s="60"/>
    </row>
    <row r="39" spans="2:14">
      <c r="B39" s="47" t="s">
        <v>4643</v>
      </c>
      <c r="C39" s="41" t="s">
        <v>2923</v>
      </c>
      <c r="D39" s="63"/>
    </row>
    <row r="40" spans="2:14">
      <c r="B40" s="47" t="s">
        <v>4644</v>
      </c>
      <c r="C40" s="44" t="s">
        <v>2878</v>
      </c>
      <c r="D40" s="46"/>
    </row>
    <row r="41" spans="2:14" ht="30">
      <c r="B41" s="49" t="s">
        <v>4709</v>
      </c>
      <c r="C41" s="41" t="s">
        <v>2939</v>
      </c>
      <c r="D41" s="60"/>
    </row>
    <row r="42" spans="2:14" ht="30">
      <c r="B42" s="49" t="s">
        <v>4710</v>
      </c>
      <c r="C42" s="41" t="s">
        <v>2941</v>
      </c>
      <c r="D42" s="60"/>
    </row>
    <row r="43" spans="2:14">
      <c r="B43" s="49" t="s">
        <v>4651</v>
      </c>
      <c r="C43" s="41" t="s">
        <v>2971</v>
      </c>
      <c r="D43" s="60"/>
    </row>
    <row r="45" spans="2:14">
      <c r="M45" s="13" t="str">
        <f>Show!$B$131&amp;Show!$B$131&amp;"SR.25.03.01.02 Rows {"&amp;COLUMN($C$1)&amp;"}"</f>
        <v>!!SR.25.03.01.02 Rows {3}</v>
      </c>
      <c r="N45" s="13" t="str">
        <f>Show!$B$131&amp;Show!$B$131&amp;"SR.25.03.01.02 Columns {"&amp;COLUMN($D$1)&amp;"}"</f>
        <v>!!SR.25.03.01.02 Columns {4}</v>
      </c>
    </row>
    <row r="47" spans="2:14" ht="18.75">
      <c r="B47" s="97" t="s">
        <v>4754</v>
      </c>
      <c r="C47" s="96"/>
      <c r="D47" s="96"/>
      <c r="E47" s="96"/>
      <c r="F47" s="96"/>
      <c r="G47" s="96"/>
      <c r="H47" s="96"/>
      <c r="I47" s="96"/>
      <c r="J47" s="96"/>
      <c r="K47" s="96"/>
      <c r="L47" s="96"/>
    </row>
    <row r="49" spans="2:14">
      <c r="B49" t="s">
        <v>3110</v>
      </c>
      <c r="M49" s="13" t="str">
        <f>Show!$B$131&amp;"SR.25.03.01.03 Table label {"&amp;COLUMN($C$1)&amp;"}"</f>
        <v>!SR.25.03.01.03 Table label {3}</v>
      </c>
      <c r="N49" s="13" t="str">
        <f>Show!$B$131&amp;"SR.25.03.01.03 Table value {"&amp;COLUMN($D$1)&amp;"}"</f>
        <v>!SR.25.03.01.03 Table value {4}</v>
      </c>
    </row>
    <row r="50" spans="2:14">
      <c r="B50" t="s">
        <v>3111</v>
      </c>
    </row>
    <row r="51" spans="2:14">
      <c r="B51" s="40" t="s">
        <v>3788</v>
      </c>
      <c r="C51" s="53" t="s">
        <v>3115</v>
      </c>
      <c r="D51" s="51"/>
    </row>
    <row r="52" spans="2:14">
      <c r="B52" s="40" t="s">
        <v>3114</v>
      </c>
      <c r="C52" s="53" t="s">
        <v>3323</v>
      </c>
      <c r="D52" s="50"/>
    </row>
    <row r="53" spans="2:14">
      <c r="M53" s="13" t="str">
        <f>Show!$B$131&amp;Show!$B$131&amp;"SR.25.03.01.03 Table label {"&amp;COLUMN($C$1)&amp;"}"</f>
        <v>!!SR.25.03.01.03 Table label {3}</v>
      </c>
      <c r="N53" s="13" t="str">
        <f>Show!$B$131&amp;Show!$B$131&amp;"SR.25.03.01.03 Table value {"&amp;COLUMN($D$1)&amp;"}"</f>
        <v>!!SR.25.03.01.03 Table value {4}</v>
      </c>
    </row>
    <row r="55" spans="2:14">
      <c r="D55" s="98" t="s">
        <v>2877</v>
      </c>
    </row>
    <row r="56" spans="2:14">
      <c r="D56" s="100"/>
    </row>
    <row r="57" spans="2:14">
      <c r="D57" s="55" t="s">
        <v>4653</v>
      </c>
    </row>
    <row r="58" spans="2:14">
      <c r="D58" s="45" t="s">
        <v>4654</v>
      </c>
      <c r="M58" s="13" t="str">
        <f>Show!$B$131&amp;"SR.25.03.01.03 Rows {"&amp;COLUMN($C$1)&amp;"}"&amp;"@ForceFilingCode:true"</f>
        <v>!SR.25.03.01.03 Rows {3}@ForceFilingCode:true</v>
      </c>
      <c r="N58" s="13" t="str">
        <f>Show!$B$131&amp;"SR.25.03.01.03 Columns {"&amp;COLUMN($D$1)&amp;"}"</f>
        <v>!SR.25.03.01.03 Columns {4}</v>
      </c>
    </row>
    <row r="59" spans="2:14">
      <c r="B59" s="43" t="s">
        <v>2880</v>
      </c>
      <c r="C59" s="44" t="s">
        <v>2878</v>
      </c>
      <c r="D59" s="46"/>
    </row>
    <row r="60" spans="2:14">
      <c r="B60" s="47" t="s">
        <v>2562</v>
      </c>
      <c r="C60" s="41" t="s">
        <v>2995</v>
      </c>
      <c r="D60" s="51"/>
    </row>
    <row r="62" spans="2:14">
      <c r="M62" s="13" t="str">
        <f>Show!$B$131&amp;Show!$B$131&amp;"SR.25.03.01.03 Rows {"&amp;COLUMN($C$1)&amp;"}"</f>
        <v>!!SR.25.03.01.03 Rows {3}</v>
      </c>
      <c r="N62" s="13" t="str">
        <f>Show!$B$131&amp;Show!$B$131&amp;"SR.25.03.01.03 Columns {"&amp;COLUMN($D$1)&amp;"}"</f>
        <v>!!SR.25.03.01.03 Columns {4}</v>
      </c>
    </row>
    <row r="64" spans="2:14" ht="18.75">
      <c r="B64" s="97" t="s">
        <v>4755</v>
      </c>
      <c r="C64" s="96"/>
      <c r="D64" s="96"/>
      <c r="E64" s="96"/>
      <c r="F64" s="96"/>
      <c r="G64" s="96"/>
      <c r="H64" s="96"/>
      <c r="I64" s="96"/>
      <c r="J64" s="96"/>
      <c r="K64" s="96"/>
      <c r="L64" s="96"/>
    </row>
    <row r="66" spans="2:14">
      <c r="B66" t="s">
        <v>3110</v>
      </c>
      <c r="M66" s="13" t="str">
        <f>Show!$B$131&amp;"SR.25.03.01.04 Table label {"&amp;COLUMN($C$1)&amp;"}"</f>
        <v>!SR.25.03.01.04 Table label {3}</v>
      </c>
      <c r="N66" s="13" t="str">
        <f>Show!$B$131&amp;"SR.25.03.01.04 Table value {"&amp;COLUMN($D$1)&amp;"}"</f>
        <v>!SR.25.03.01.04 Table value {4}</v>
      </c>
    </row>
    <row r="67" spans="2:14">
      <c r="B67" t="s">
        <v>3111</v>
      </c>
    </row>
    <row r="68" spans="2:14">
      <c r="B68" s="40" t="s">
        <v>3788</v>
      </c>
      <c r="C68" s="53" t="s">
        <v>3115</v>
      </c>
      <c r="D68" s="51"/>
    </row>
    <row r="69" spans="2:14">
      <c r="B69" s="40" t="s">
        <v>3114</v>
      </c>
      <c r="C69" s="53" t="s">
        <v>3323</v>
      </c>
      <c r="D69" s="50"/>
    </row>
    <row r="70" spans="2:14">
      <c r="M70" s="13" t="str">
        <f>Show!$B$131&amp;Show!$B$131&amp;"SR.25.03.01.04 Table label {"&amp;COLUMN($C$1)&amp;"}"</f>
        <v>!!SR.25.03.01.04 Table label {3}</v>
      </c>
      <c r="N70" s="13" t="str">
        <f>Show!$B$131&amp;Show!$B$131&amp;"SR.25.03.01.04 Table value {"&amp;COLUMN($D$1)&amp;"}"</f>
        <v>!!SR.25.03.01.04 Table value {4}</v>
      </c>
    </row>
    <row r="72" spans="2:14">
      <c r="D72" s="101" t="s">
        <v>2877</v>
      </c>
      <c r="E72" s="103"/>
    </row>
    <row r="73" spans="2:14">
      <c r="D73" s="104"/>
      <c r="E73" s="106"/>
    </row>
    <row r="74" spans="2:14">
      <c r="D74" s="98" t="s">
        <v>4656</v>
      </c>
      <c r="E74" s="98" t="s">
        <v>4657</v>
      </c>
    </row>
    <row r="75" spans="2:14">
      <c r="D75" s="100"/>
      <c r="E75" s="100"/>
    </row>
    <row r="76" spans="2:14">
      <c r="D76" s="45" t="s">
        <v>3241</v>
      </c>
      <c r="E76" s="45" t="s">
        <v>3243</v>
      </c>
      <c r="M76" s="13" t="str">
        <f>Show!$B$131&amp;"SR.25.03.01.04 Rows {"&amp;COLUMN($C$1)&amp;"}"&amp;"@ForceFilingCode:true"</f>
        <v>!SR.25.03.01.04 Rows {3}@ForceFilingCode:true</v>
      </c>
      <c r="N76" s="13" t="str">
        <f>Show!$B$131&amp;"SR.25.03.01.04 Columns {"&amp;COLUMN($D$1)&amp;"}"</f>
        <v>!SR.25.03.01.04 Columns {4}</v>
      </c>
    </row>
    <row r="77" spans="2:14">
      <c r="B77" s="43" t="s">
        <v>2880</v>
      </c>
      <c r="C77" s="44" t="s">
        <v>2878</v>
      </c>
      <c r="D77" s="56"/>
      <c r="E77" s="57"/>
    </row>
    <row r="78" spans="2:14">
      <c r="B78" s="47" t="s">
        <v>4658</v>
      </c>
      <c r="C78" s="41" t="s">
        <v>2997</v>
      </c>
      <c r="D78" s="60"/>
      <c r="E78" s="60"/>
    </row>
    <row r="79" spans="2:14">
      <c r="B79" s="49" t="s">
        <v>4659</v>
      </c>
      <c r="C79" s="41" t="s">
        <v>2999</v>
      </c>
      <c r="D79" s="60"/>
      <c r="E79" s="60"/>
    </row>
    <row r="80" spans="2:14">
      <c r="B80" s="49" t="s">
        <v>4660</v>
      </c>
      <c r="C80" s="41" t="s">
        <v>3001</v>
      </c>
      <c r="D80" s="60"/>
      <c r="E80" s="60"/>
    </row>
    <row r="81" spans="2:14">
      <c r="B81" s="47" t="s">
        <v>4661</v>
      </c>
      <c r="C81" s="41" t="s">
        <v>3003</v>
      </c>
      <c r="D81" s="60"/>
      <c r="E81" s="60"/>
    </row>
    <row r="83" spans="2:14">
      <c r="M83" s="13" t="str">
        <f>Show!$B$131&amp;Show!$B$131&amp;"SR.25.03.01.04 Rows {"&amp;COLUMN($C$1)&amp;"}"</f>
        <v>!!SR.25.03.01.04 Rows {3}</v>
      </c>
      <c r="N83" s="13" t="str">
        <f>Show!$B$131&amp;Show!$B$131&amp;"SR.25.03.01.04 Columns {"&amp;COLUMN($E$1)&amp;"}"</f>
        <v>!!SR.25.03.01.04 Columns {5}</v>
      </c>
    </row>
    <row r="85" spans="2:14" ht="18.75">
      <c r="B85" s="97" t="s">
        <v>4756</v>
      </c>
      <c r="C85" s="96"/>
      <c r="D85" s="96"/>
      <c r="E85" s="96"/>
      <c r="F85" s="96"/>
      <c r="G85" s="96"/>
      <c r="H85" s="96"/>
      <c r="I85" s="96"/>
      <c r="J85" s="96"/>
      <c r="K85" s="96"/>
      <c r="L85" s="96"/>
    </row>
    <row r="87" spans="2:14">
      <c r="B87" t="s">
        <v>3110</v>
      </c>
      <c r="M87" s="13" t="str">
        <f>Show!$B$131&amp;"SR.25.03.01.05 Table label {"&amp;COLUMN($C$1)&amp;"}"</f>
        <v>!SR.25.03.01.05 Table label {3}</v>
      </c>
      <c r="N87" s="13" t="str">
        <f>Show!$B$131&amp;"SR.25.03.01.05 Table value {"&amp;COLUMN($D$1)&amp;"}"</f>
        <v>!SR.25.03.01.05 Table value {4}</v>
      </c>
    </row>
    <row r="88" spans="2:14">
      <c r="B88" t="s">
        <v>3111</v>
      </c>
    </row>
    <row r="89" spans="2:14">
      <c r="B89" s="40" t="s">
        <v>3788</v>
      </c>
      <c r="C89" s="53" t="s">
        <v>3115</v>
      </c>
      <c r="D89" s="51"/>
    </row>
    <row r="90" spans="2:14">
      <c r="B90" s="40" t="s">
        <v>3114</v>
      </c>
      <c r="C90" s="53" t="s">
        <v>3323</v>
      </c>
      <c r="D90" s="50"/>
    </row>
    <row r="91" spans="2:14">
      <c r="M91" s="13" t="str">
        <f>Show!$B$131&amp;Show!$B$131&amp;"SR.25.03.01.05 Table label {"&amp;COLUMN($C$1)&amp;"}"</f>
        <v>!!SR.25.03.01.05 Table label {3}</v>
      </c>
      <c r="N91" s="13" t="str">
        <f>Show!$B$131&amp;Show!$B$131&amp;"SR.25.03.01.05 Table value {"&amp;COLUMN($D$1)&amp;"}"</f>
        <v>!!SR.25.03.01.05 Table value {4}</v>
      </c>
    </row>
    <row r="93" spans="2:14">
      <c r="D93" s="98" t="s">
        <v>2877</v>
      </c>
    </row>
    <row r="94" spans="2:14">
      <c r="D94" s="100"/>
    </row>
    <row r="95" spans="2:14">
      <c r="D95" s="98" t="s">
        <v>4663</v>
      </c>
    </row>
    <row r="96" spans="2:14">
      <c r="D96" s="100"/>
    </row>
    <row r="97" spans="2:14">
      <c r="D97" s="45" t="s">
        <v>3375</v>
      </c>
      <c r="M97" s="13" t="str">
        <f>Show!$B$131&amp;"SR.25.03.01.05 Rows {"&amp;COLUMN($C$1)&amp;"}"&amp;"@ForceFilingCode:true"</f>
        <v>!SR.25.03.01.05 Rows {3}@ForceFilingCode:true</v>
      </c>
      <c r="N97" s="13" t="str">
        <f>Show!$B$131&amp;"SR.25.03.01.05 Columns {"&amp;COLUMN($D$1)&amp;"}"</f>
        <v>!SR.25.03.01.05 Columns {4}</v>
      </c>
    </row>
    <row r="98" spans="2:14">
      <c r="B98" s="43" t="s">
        <v>2880</v>
      </c>
      <c r="C98" s="44" t="s">
        <v>2878</v>
      </c>
      <c r="D98" s="46"/>
    </row>
    <row r="99" spans="2:14">
      <c r="B99" s="47" t="s">
        <v>4716</v>
      </c>
      <c r="C99" s="41" t="s">
        <v>3005</v>
      </c>
      <c r="D99" s="60"/>
    </row>
    <row r="100" spans="2:14" ht="30">
      <c r="B100" s="49" t="s">
        <v>4717</v>
      </c>
      <c r="C100" s="41" t="s">
        <v>3007</v>
      </c>
      <c r="D100" s="60"/>
    </row>
    <row r="101" spans="2:14" ht="30">
      <c r="B101" s="49" t="s">
        <v>4718</v>
      </c>
      <c r="C101" s="41" t="s">
        <v>3009</v>
      </c>
      <c r="D101" s="60"/>
    </row>
    <row r="102" spans="2:14" ht="30">
      <c r="B102" s="49" t="s">
        <v>4735</v>
      </c>
      <c r="C102" s="41" t="s">
        <v>3011</v>
      </c>
      <c r="D102" s="60"/>
    </row>
    <row r="103" spans="2:14" ht="30">
      <c r="B103" s="49" t="s">
        <v>4720</v>
      </c>
      <c r="C103" s="41" t="s">
        <v>3013</v>
      </c>
      <c r="D103" s="60"/>
    </row>
    <row r="104" spans="2:14">
      <c r="B104" s="49" t="s">
        <v>4721</v>
      </c>
      <c r="C104" s="41" t="s">
        <v>3015</v>
      </c>
      <c r="D104" s="60"/>
    </row>
    <row r="106" spans="2:14">
      <c r="M106" s="13" t="str">
        <f>Show!$B$131&amp;Show!$B$131&amp;"SR.25.03.01.05 Rows {"&amp;COLUMN($C$1)&amp;"}"</f>
        <v>!!SR.25.03.01.05 Rows {3}</v>
      </c>
      <c r="N106" s="13" t="str">
        <f>Show!$B$131&amp;Show!$B$131&amp;"SR.25.03.01.05 Columns {"&amp;COLUMN($D$1)&amp;"}"</f>
        <v>!!SR.25.03.01.05 Columns {4}</v>
      </c>
    </row>
  </sheetData>
  <sheetProtection sheet="1" objects="1" scenarios="1"/>
  <mergeCells count="15">
    <mergeCell ref="B85:L85"/>
    <mergeCell ref="D93:D94"/>
    <mergeCell ref="D95:D96"/>
    <mergeCell ref="B47:L47"/>
    <mergeCell ref="D55:D56"/>
    <mergeCell ref="B64:L64"/>
    <mergeCell ref="D72:E73"/>
    <mergeCell ref="D74:D75"/>
    <mergeCell ref="E74:E75"/>
    <mergeCell ref="D29:D32"/>
    <mergeCell ref="B2:O2"/>
    <mergeCell ref="B5:L5"/>
    <mergeCell ref="B13:B15"/>
    <mergeCell ref="C13:E14"/>
    <mergeCell ref="B21:L21"/>
  </mergeCells>
  <dataValidations count="3">
    <dataValidation type="list" errorStyle="warning" allowBlank="1" showInputMessage="1" showErrorMessage="1" sqref="D9 D25 D51 D68 D89" xr:uid="{054BA594-4A16-4278-A73D-838C1DC948F7}">
      <formula1>hier_PU_20</formula1>
    </dataValidation>
    <dataValidation type="list" errorStyle="warning" allowBlank="1" showInputMessage="1" showErrorMessage="1" sqref="E17" xr:uid="{0807F5D5-5EE0-4F63-BCF9-E1F2AE86B8C5}">
      <formula1>hier_AP_14</formula1>
    </dataValidation>
    <dataValidation type="list" errorStyle="warning" allowBlank="1" showInputMessage="1" showErrorMessage="1" sqref="D60" xr:uid="{9F5B268F-9714-49F8-92CB-06739BF32AF2}">
      <formula1>hier_AP_24</formula1>
    </dataValidation>
  </dataValidation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B2FE-6828-4CDA-BC9A-6B795B3ED7A8}">
  <sheetPr codeName="Blad136"/>
  <dimension ref="B2:O45"/>
  <sheetViews>
    <sheetView showGridLines="0" workbookViewId="0"/>
  </sheetViews>
  <sheetFormatPr defaultRowHeight="15"/>
  <cols>
    <col min="2" max="2" width="61.85546875" bestFit="1" customWidth="1"/>
    <col min="3" max="3" width="40.7109375" customWidth="1"/>
    <col min="4" max="4" width="15.7109375" customWidth="1"/>
    <col min="5" max="5" width="40.7109375" customWidth="1"/>
  </cols>
  <sheetData>
    <row r="2" spans="2:15" ht="23.25">
      <c r="B2" s="95" t="s">
        <v>705</v>
      </c>
      <c r="C2" s="96"/>
      <c r="D2" s="96"/>
      <c r="E2" s="96"/>
      <c r="F2" s="96"/>
      <c r="G2" s="96"/>
      <c r="H2" s="96"/>
      <c r="I2" s="96"/>
      <c r="J2" s="96"/>
      <c r="K2" s="96"/>
      <c r="L2" s="96"/>
      <c r="M2" s="96"/>
      <c r="N2" s="96"/>
      <c r="O2" s="96"/>
    </row>
    <row r="5" spans="2:15" ht="18.75">
      <c r="B5" s="97" t="s">
        <v>4757</v>
      </c>
      <c r="C5" s="96"/>
      <c r="D5" s="96"/>
      <c r="E5" s="96"/>
      <c r="F5" s="96"/>
      <c r="G5" s="96"/>
      <c r="H5" s="96"/>
      <c r="I5" s="96"/>
      <c r="J5" s="96"/>
      <c r="K5" s="96"/>
      <c r="L5" s="96"/>
    </row>
    <row r="7" spans="2:15">
      <c r="B7" t="s">
        <v>3110</v>
      </c>
      <c r="M7" s="13" t="str">
        <f>Show!$B$132&amp;"SR.25.03.04.01 Table label {"&amp;COLUMN($C$1)&amp;"}"</f>
        <v>!SR.25.03.04.01 Table label {3}</v>
      </c>
      <c r="N7" s="13" t="str">
        <f>Show!$B$132&amp;"SR.25.03.04.01 Table value {"&amp;COLUMN($D$1)&amp;"}"</f>
        <v>!SR.25.03.04.01 Table value {4}</v>
      </c>
    </row>
    <row r="8" spans="2:15">
      <c r="B8" t="s">
        <v>3111</v>
      </c>
    </row>
    <row r="9" spans="2:15">
      <c r="B9" s="40" t="s">
        <v>3788</v>
      </c>
      <c r="C9" s="53" t="s">
        <v>3115</v>
      </c>
      <c r="D9" s="51"/>
    </row>
    <row r="10" spans="2:15">
      <c r="B10" s="40" t="s">
        <v>3114</v>
      </c>
      <c r="C10" s="53" t="s">
        <v>3323</v>
      </c>
      <c r="D10" s="50"/>
    </row>
    <row r="11" spans="2:15">
      <c r="M11" s="13" t="str">
        <f>Show!$B$132&amp;Show!$B$132&amp;"SR.25.03.04.01 Table label {"&amp;COLUMN($C$1)&amp;"}"</f>
        <v>!!SR.25.03.04.01 Table label {3}</v>
      </c>
      <c r="N11" s="13" t="str">
        <f>Show!$B$132&amp;Show!$B$132&amp;"SR.25.03.04.01 Table value {"&amp;COLUMN($D$1)&amp;"}"</f>
        <v>!!SR.25.03.04.01 Table value {4}</v>
      </c>
    </row>
    <row r="13" spans="2:15">
      <c r="B13" s="98" t="s">
        <v>4701</v>
      </c>
      <c r="C13" s="101" t="s">
        <v>2877</v>
      </c>
      <c r="D13" s="102"/>
      <c r="E13" s="103"/>
    </row>
    <row r="14" spans="2:15">
      <c r="B14" s="99"/>
      <c r="C14" s="104"/>
      <c r="D14" s="105"/>
      <c r="E14" s="106"/>
    </row>
    <row r="15" spans="2:15" ht="60">
      <c r="B15" s="100"/>
      <c r="C15" s="55" t="s">
        <v>4702</v>
      </c>
      <c r="D15" s="55" t="s">
        <v>4703</v>
      </c>
      <c r="E15" s="55" t="s">
        <v>4704</v>
      </c>
    </row>
    <row r="16" spans="2:15">
      <c r="B16" s="42" t="s">
        <v>2879</v>
      </c>
      <c r="C16" s="42" t="s">
        <v>3219</v>
      </c>
      <c r="D16" s="42" t="s">
        <v>3225</v>
      </c>
      <c r="E16" s="42" t="s">
        <v>3231</v>
      </c>
      <c r="M16" s="13" t="str">
        <f>Show!$B$132&amp;"SR.25.03.04.01 Rows {"&amp;COLUMN($B$1)&amp;"}"&amp;"@ForceFilingCode:true"</f>
        <v>!SR.25.03.04.01 Rows {2}@ForceFilingCode:true</v>
      </c>
      <c r="N16" s="13" t="str">
        <f>Show!$B$132&amp;"SR.25.03.04.01 Columns {"&amp;COLUMN($B$1)&amp;"}"</f>
        <v>!SR.25.03.04.01 Columns {2}</v>
      </c>
    </row>
    <row r="17" spans="2:14">
      <c r="B17" s="50"/>
      <c r="C17" s="51"/>
      <c r="D17" s="60"/>
      <c r="E17" s="51"/>
    </row>
    <row r="19" spans="2:14">
      <c r="M19" s="13" t="str">
        <f>Show!$B$132&amp;Show!$B$132&amp;"SR.25.03.04.01 Rows {"&amp;COLUMN($B$1)&amp;"}"</f>
        <v>!!SR.25.03.04.01 Rows {2}</v>
      </c>
      <c r="N19" s="13" t="str">
        <f>Show!$B$132&amp;Show!$B$132&amp;"SR.25.03.04.01 Columns {"&amp;COLUMN($E$1)&amp;"}"</f>
        <v>!!SR.25.03.04.01 Columns {5}</v>
      </c>
    </row>
    <row r="21" spans="2:14" ht="18.75">
      <c r="B21" s="97" t="s">
        <v>4758</v>
      </c>
      <c r="C21" s="96"/>
      <c r="D21" s="96"/>
      <c r="E21" s="96"/>
      <c r="F21" s="96"/>
      <c r="G21" s="96"/>
      <c r="H21" s="96"/>
      <c r="I21" s="96"/>
      <c r="J21" s="96"/>
      <c r="K21" s="96"/>
      <c r="L21" s="96"/>
    </row>
    <row r="23" spans="2:14">
      <c r="B23" t="s">
        <v>3110</v>
      </c>
      <c r="M23" s="13" t="str">
        <f>Show!$B$132&amp;"SR.25.03.04.02 Table label {"&amp;COLUMN($C$1)&amp;"}"</f>
        <v>!SR.25.03.04.02 Table label {3}</v>
      </c>
      <c r="N23" s="13" t="str">
        <f>Show!$B$132&amp;"SR.25.03.04.02 Table value {"&amp;COLUMN($D$1)&amp;"}"</f>
        <v>!SR.25.03.04.02 Table value {4}</v>
      </c>
    </row>
    <row r="24" spans="2:14">
      <c r="B24" t="s">
        <v>3111</v>
      </c>
    </row>
    <row r="25" spans="2:14">
      <c r="B25" s="40" t="s">
        <v>3788</v>
      </c>
      <c r="C25" s="53" t="s">
        <v>3115</v>
      </c>
      <c r="D25" s="51"/>
    </row>
    <row r="26" spans="2:14">
      <c r="B26" s="40" t="s">
        <v>3114</v>
      </c>
      <c r="C26" s="53" t="s">
        <v>3323</v>
      </c>
      <c r="D26" s="50"/>
    </row>
    <row r="27" spans="2:14">
      <c r="M27" s="13" t="str">
        <f>Show!$B$132&amp;Show!$B$132&amp;"SR.25.03.04.02 Table label {"&amp;COLUMN($C$1)&amp;"}"</f>
        <v>!!SR.25.03.04.02 Table label {3}</v>
      </c>
      <c r="N27" s="13" t="str">
        <f>Show!$B$132&amp;Show!$B$132&amp;"SR.25.03.04.02 Table value {"&amp;COLUMN($D$1)&amp;"}"</f>
        <v>!!SR.25.03.04.02 Table value {4}</v>
      </c>
    </row>
    <row r="29" spans="2:14">
      <c r="D29" s="98" t="s">
        <v>2877</v>
      </c>
    </row>
    <row r="30" spans="2:14">
      <c r="D30" s="99"/>
    </row>
    <row r="31" spans="2:14">
      <c r="D31" s="99"/>
    </row>
    <row r="32" spans="2:14">
      <c r="D32" s="100"/>
    </row>
    <row r="33" spans="2:14">
      <c r="D33" s="45" t="s">
        <v>3239</v>
      </c>
      <c r="M33" s="13" t="str">
        <f>Show!$B$132&amp;"SR.25.03.04.02 Rows {"&amp;COLUMN($C$1)&amp;"}"&amp;"@ForceFilingCode:true"</f>
        <v>!SR.25.03.04.02 Rows {3}@ForceFilingCode:true</v>
      </c>
      <c r="N33" s="13" t="str">
        <f>Show!$B$132&amp;"SR.25.03.04.02 Columns {"&amp;COLUMN($D$1)&amp;"}"</f>
        <v>!SR.25.03.04.02 Columns {4}</v>
      </c>
    </row>
    <row r="34" spans="2:14">
      <c r="B34" s="43" t="s">
        <v>2880</v>
      </c>
      <c r="C34" s="44" t="s">
        <v>2878</v>
      </c>
      <c r="D34" s="46"/>
    </row>
    <row r="35" spans="2:14">
      <c r="B35" s="47" t="s">
        <v>4707</v>
      </c>
      <c r="C35" s="41" t="s">
        <v>2901</v>
      </c>
      <c r="D35" s="60"/>
    </row>
    <row r="36" spans="2:14">
      <c r="B36" s="47" t="s">
        <v>4631</v>
      </c>
      <c r="C36" s="41" t="s">
        <v>2891</v>
      </c>
      <c r="D36" s="60"/>
    </row>
    <row r="37" spans="2:14">
      <c r="B37" s="47" t="s">
        <v>4708</v>
      </c>
      <c r="C37" s="41" t="s">
        <v>2919</v>
      </c>
      <c r="D37" s="60"/>
    </row>
    <row r="38" spans="2:14">
      <c r="B38" s="47" t="s">
        <v>4671</v>
      </c>
      <c r="C38" s="41" t="s">
        <v>2921</v>
      </c>
      <c r="D38" s="60"/>
    </row>
    <row r="39" spans="2:14">
      <c r="B39" s="47" t="s">
        <v>4643</v>
      </c>
      <c r="C39" s="41" t="s">
        <v>2923</v>
      </c>
      <c r="D39" s="63"/>
    </row>
    <row r="40" spans="2:14">
      <c r="B40" s="47" t="s">
        <v>4644</v>
      </c>
      <c r="C40" s="44" t="s">
        <v>2878</v>
      </c>
      <c r="D40" s="46"/>
    </row>
    <row r="41" spans="2:14" ht="30">
      <c r="B41" s="49" t="s">
        <v>4709</v>
      </c>
      <c r="C41" s="41" t="s">
        <v>2939</v>
      </c>
      <c r="D41" s="60"/>
    </row>
    <row r="42" spans="2:14" ht="30">
      <c r="B42" s="49" t="s">
        <v>4710</v>
      </c>
      <c r="C42" s="41" t="s">
        <v>2941</v>
      </c>
      <c r="D42" s="60"/>
    </row>
    <row r="43" spans="2:14">
      <c r="B43" s="49" t="s">
        <v>4651</v>
      </c>
      <c r="C43" s="41" t="s">
        <v>2971</v>
      </c>
      <c r="D43" s="60"/>
    </row>
    <row r="45" spans="2:14">
      <c r="M45" s="13" t="str">
        <f>Show!$B$132&amp;Show!$B$132&amp;"SR.25.03.04.02 Rows {"&amp;COLUMN($C$1)&amp;"}"</f>
        <v>!!SR.25.03.04.02 Rows {3}</v>
      </c>
      <c r="N45" s="13" t="str">
        <f>Show!$B$132&amp;Show!$B$132&amp;"SR.25.03.04.02 Columns {"&amp;COLUMN($D$1)&amp;"}"</f>
        <v>!!SR.25.03.04.02 Columns {4}</v>
      </c>
    </row>
  </sheetData>
  <sheetProtection sheet="1" objects="1" scenarios="1"/>
  <mergeCells count="6">
    <mergeCell ref="D29:D32"/>
    <mergeCell ref="B2:O2"/>
    <mergeCell ref="B5:L5"/>
    <mergeCell ref="B13:B15"/>
    <mergeCell ref="C13:E14"/>
    <mergeCell ref="B21:L21"/>
  </mergeCells>
  <dataValidations count="2">
    <dataValidation type="list" errorStyle="warning" allowBlank="1" showInputMessage="1" showErrorMessage="1" sqref="D9 D25" xr:uid="{6305871C-6451-44A9-839D-0F115D384633}">
      <formula1>hier_PU_20</formula1>
    </dataValidation>
    <dataValidation type="list" errorStyle="warning" allowBlank="1" showInputMessage="1" showErrorMessage="1" sqref="E17" xr:uid="{00A34369-D976-40C8-A55A-BFEE6DE6402B}">
      <formula1>hier_AP_14</formula1>
    </dataValidation>
  </dataValidation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823F-D14B-4CAB-B9A1-9660C624C20F}">
  <sheetPr codeName="Blad137"/>
  <dimension ref="B2:O17"/>
  <sheetViews>
    <sheetView showGridLines="0" workbookViewId="0"/>
  </sheetViews>
  <sheetFormatPr defaultRowHeight="15"/>
  <cols>
    <col min="2" max="2" width="31.5703125" bestFit="1" customWidth="1"/>
    <col min="4" max="4" width="15.7109375" customWidth="1"/>
  </cols>
  <sheetData>
    <row r="2" spans="2:15" ht="23.25">
      <c r="B2" s="95" t="s">
        <v>711</v>
      </c>
      <c r="C2" s="96"/>
      <c r="D2" s="96"/>
      <c r="E2" s="96"/>
      <c r="F2" s="96"/>
      <c r="G2" s="96"/>
      <c r="H2" s="96"/>
      <c r="I2" s="96"/>
      <c r="J2" s="96"/>
      <c r="K2" s="96"/>
      <c r="L2" s="96"/>
      <c r="M2" s="96"/>
      <c r="N2" s="96"/>
      <c r="O2" s="96"/>
    </row>
    <row r="5" spans="2:15" ht="18.75">
      <c r="B5" s="97" t="s">
        <v>4759</v>
      </c>
      <c r="C5" s="96"/>
      <c r="D5" s="96"/>
      <c r="E5" s="96"/>
      <c r="F5" s="96"/>
      <c r="G5" s="96"/>
      <c r="H5" s="96"/>
      <c r="I5" s="96"/>
      <c r="J5" s="96"/>
      <c r="K5" s="96"/>
      <c r="L5" s="96"/>
    </row>
    <row r="9" spans="2:15">
      <c r="D9" s="98" t="s">
        <v>2877</v>
      </c>
    </row>
    <row r="10" spans="2:15">
      <c r="D10" s="100"/>
    </row>
    <row r="11" spans="2:15" ht="45">
      <c r="D11" s="55" t="s">
        <v>4623</v>
      </c>
    </row>
    <row r="12" spans="2:15">
      <c r="D12" s="45" t="s">
        <v>2879</v>
      </c>
      <c r="I12" s="13" t="str">
        <f>Show!$B$133&amp;"S.25.04.11.01 Rows {"&amp;COLUMN($C$1)&amp;"}"&amp;"@ForceFilingCode:true"</f>
        <v>!S.25.04.11.01 Rows {3}@ForceFilingCode:true</v>
      </c>
      <c r="J12" s="13" t="str">
        <f>Show!$B$133&amp;"S.25.04.11.01 Columns {"&amp;COLUMN($D$1)&amp;"}"</f>
        <v>!S.25.04.11.01 Columns {4}</v>
      </c>
    </row>
    <row r="13" spans="2:15">
      <c r="B13" s="43" t="s">
        <v>2880</v>
      </c>
      <c r="C13" s="44" t="s">
        <v>2878</v>
      </c>
      <c r="D13" s="46"/>
    </row>
    <row r="14" spans="2:15">
      <c r="B14" s="47" t="s">
        <v>711</v>
      </c>
      <c r="C14" s="41" t="s">
        <v>2883</v>
      </c>
      <c r="D14" s="60"/>
    </row>
    <row r="15" spans="2:15">
      <c r="B15" s="47" t="s">
        <v>4255</v>
      </c>
      <c r="C15" s="41" t="s">
        <v>2885</v>
      </c>
      <c r="D15" s="60"/>
    </row>
    <row r="17" spans="9:10">
      <c r="I17" s="13" t="str">
        <f>Show!$B$133&amp;Show!$B$133&amp;"S.25.04.11.01 Rows {"&amp;COLUMN($C$1)&amp;"}"</f>
        <v>!!S.25.04.11.01 Rows {3}</v>
      </c>
      <c r="J17" s="13" t="str">
        <f>Show!$B$133&amp;Show!$B$133&amp;"S.25.04.11.01 Columns {"&amp;COLUMN($D$1)&amp;"}"</f>
        <v>!!S.25.04.11.01 Columns {4}</v>
      </c>
    </row>
  </sheetData>
  <sheetProtection sheet="1" objects="1" scenarios="1"/>
  <mergeCells count="3">
    <mergeCell ref="B2:O2"/>
    <mergeCell ref="B5:L5"/>
    <mergeCell ref="D9:D10"/>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3B7A-3755-4301-BCE9-BE9AC2D9E55B}">
  <sheetPr codeName="Blad138"/>
  <dimension ref="B2:O17"/>
  <sheetViews>
    <sheetView showGridLines="0" workbookViewId="0"/>
  </sheetViews>
  <sheetFormatPr defaultRowHeight="15"/>
  <cols>
    <col min="2" max="2" width="36" bestFit="1" customWidth="1"/>
    <col min="4" max="4" width="15.7109375" customWidth="1"/>
  </cols>
  <sheetData>
    <row r="2" spans="2:15" ht="23.25">
      <c r="B2" s="95" t="s">
        <v>711</v>
      </c>
      <c r="C2" s="96"/>
      <c r="D2" s="96"/>
      <c r="E2" s="96"/>
      <c r="F2" s="96"/>
      <c r="G2" s="96"/>
      <c r="H2" s="96"/>
      <c r="I2" s="96"/>
      <c r="J2" s="96"/>
      <c r="K2" s="96"/>
      <c r="L2" s="96"/>
      <c r="M2" s="96"/>
      <c r="N2" s="96"/>
      <c r="O2" s="96"/>
    </row>
    <row r="5" spans="2:15" ht="18.75">
      <c r="B5" s="97" t="s">
        <v>4760</v>
      </c>
      <c r="C5" s="96"/>
      <c r="D5" s="96"/>
      <c r="E5" s="96"/>
      <c r="F5" s="96"/>
      <c r="G5" s="96"/>
      <c r="H5" s="96"/>
      <c r="I5" s="96"/>
      <c r="J5" s="96"/>
      <c r="K5" s="96"/>
      <c r="L5" s="96"/>
    </row>
    <row r="9" spans="2:15">
      <c r="D9" s="98" t="s">
        <v>2877</v>
      </c>
    </row>
    <row r="10" spans="2:15">
      <c r="D10" s="100"/>
    </row>
    <row r="11" spans="2:15" ht="45">
      <c r="D11" s="55" t="s">
        <v>4623</v>
      </c>
    </row>
    <row r="12" spans="2:15">
      <c r="D12" s="45" t="s">
        <v>2879</v>
      </c>
      <c r="I12" s="13" t="str">
        <f>Show!$B$134&amp;"S.25.04.13.01 Rows {"&amp;COLUMN($C$1)&amp;"}"&amp;"@ForceFilingCode:true"</f>
        <v>!S.25.04.13.01 Rows {3}@ForceFilingCode:true</v>
      </c>
      <c r="J12" s="13" t="str">
        <f>Show!$B$134&amp;"S.25.04.13.01 Columns {"&amp;COLUMN($D$1)&amp;"}"</f>
        <v>!S.25.04.13.01 Columns {4}</v>
      </c>
    </row>
    <row r="13" spans="2:15">
      <c r="B13" s="43" t="s">
        <v>2880</v>
      </c>
      <c r="C13" s="44" t="s">
        <v>2878</v>
      </c>
      <c r="D13" s="46"/>
    </row>
    <row r="14" spans="2:15">
      <c r="B14" s="47" t="s">
        <v>711</v>
      </c>
      <c r="C14" s="41" t="s">
        <v>2883</v>
      </c>
      <c r="D14" s="60"/>
    </row>
    <row r="15" spans="2:15">
      <c r="B15" s="47" t="s">
        <v>4761</v>
      </c>
      <c r="C15" s="41" t="s">
        <v>2887</v>
      </c>
      <c r="D15" s="60"/>
    </row>
    <row r="17" spans="9:10">
      <c r="I17" s="13" t="str">
        <f>Show!$B$134&amp;Show!$B$134&amp;"S.25.04.13.01 Rows {"&amp;COLUMN($C$1)&amp;"}"</f>
        <v>!!S.25.04.13.01 Rows {3}</v>
      </c>
      <c r="J17" s="13" t="str">
        <f>Show!$B$134&amp;Show!$B$134&amp;"S.25.04.13.01 Columns {"&amp;COLUMN($D$1)&amp;"}"</f>
        <v>!!S.25.04.13.01 Columns {4}</v>
      </c>
    </row>
  </sheetData>
  <sheetProtection sheet="1" objects="1" scenarios="1"/>
  <mergeCells count="3">
    <mergeCell ref="B2:O2"/>
    <mergeCell ref="B5:L5"/>
    <mergeCell ref="D9:D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83A2-9379-4C38-8545-91EB206F7554}">
  <sheetPr codeName="Blad14"/>
  <dimension ref="B2:O20"/>
  <sheetViews>
    <sheetView showGridLines="0" workbookViewId="0"/>
  </sheetViews>
  <sheetFormatPr defaultRowHeight="15"/>
  <cols>
    <col min="2" max="2" width="44.28515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3101</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IF(COUNTIF(D:D,"Reported")&gt;0,Show!$B$10,"!")&amp;"S.01.01.12.01 Rows {"&amp;COLUMN($C$1)&amp;"}"&amp;"@ForceFilingCode:true"</f>
        <v>!S.01.01.12.01 Rows {3}@ForceFilingCode:true</v>
      </c>
      <c r="J13" s="13" t="str">
        <f>IF(COUNTIF(D:D,"Reported")&gt;0,Show!$B$10,"!")&amp;"S.01.01.12.01 Columns {"&amp;COLUMN($D$1)&amp;"}"</f>
        <v>!S.01.01.12.01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IF(COUNTIF(D:D,"Reported")&gt;0,Show!$B$10&amp;Show!$B$10,"!!")&amp;"S.01.01.12.01 Rows {"&amp;COLUMN($C$1)&amp;"}"</f>
        <v>!!S.01.01.12.01 Rows {3}</v>
      </c>
      <c r="J20" s="13" t="str">
        <f>IF(COUNTIF(D:D,"Reported")&gt;0,Show!$B$10&amp;Show!$B$10,"!!")&amp;"S.01.01.12.01 Columns {"&amp;COLUMN($D$1)&amp;"}"</f>
        <v>!!S.01.01.12.01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9EFAEFB6-A959-4345-9A78-BC00AA8F0601}">
      <formula1>hier_CN_2</formula1>
    </dataValidation>
    <dataValidation type="list" errorStyle="warning" allowBlank="1" showInputMessage="1" showErrorMessage="1" sqref="D17" xr:uid="{8BA6C931-7251-49A5-9C2B-12F4F6DC6DB4}">
      <formula1>hier_CN_30</formula1>
    </dataValidation>
    <dataValidation type="list" errorStyle="warning" allowBlank="1" showInputMessage="1" showErrorMessage="1" sqref="D18 D19" xr:uid="{57733711-F297-41AA-9E83-C7C4D1F67403}">
      <formula1>hier_CN_15</formula1>
    </dataValidation>
  </dataValidations>
  <hyperlinks>
    <hyperlink ref="B16" location="'S.01.02.04'!A1" display="S.01.02.04 - Basic Information - General" xr:uid="{9A3ED7AC-5331-4210-8336-F49CDB24FED9}"/>
    <hyperlink ref="B17" location="'S.14.01.10'!A1" display="S.14.01.10 - Life obligations analysis" xr:uid="{A48342A0-FAEF-4808-AD9A-B7D86B4D1B9E}"/>
    <hyperlink ref="B18" location="'S.38.01.10'!A1" display="S.38.01.10 - Duration of technical provisions" xr:uid="{1C28E4B8-90C0-4FFE-98D6-01679429DC54}"/>
    <hyperlink ref="B19" location="'S.40.01.10'!A1" display="S.40.01.10 - Profit or Loss sharing" xr:uid="{B822E362-62A4-4E39-A8E8-40EFC361FD85}"/>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EE18-7E01-4056-8124-8E0CF3381741}">
  <sheetPr codeName="Blad139"/>
  <dimension ref="B2:P145"/>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95" t="s">
        <v>714</v>
      </c>
      <c r="C2" s="96"/>
      <c r="D2" s="96"/>
      <c r="E2" s="96"/>
      <c r="F2" s="96"/>
      <c r="G2" s="96"/>
      <c r="H2" s="96"/>
      <c r="I2" s="96"/>
      <c r="J2" s="96"/>
      <c r="K2" s="96"/>
      <c r="L2" s="96"/>
      <c r="M2" s="96"/>
      <c r="N2" s="96"/>
      <c r="O2" s="96"/>
    </row>
    <row r="5" spans="2:16" ht="18.75">
      <c r="B5" s="97" t="s">
        <v>4762</v>
      </c>
      <c r="C5" s="96"/>
      <c r="D5" s="96"/>
      <c r="E5" s="96"/>
      <c r="F5" s="96"/>
      <c r="G5" s="96"/>
      <c r="H5" s="96"/>
      <c r="I5" s="96"/>
      <c r="J5" s="96"/>
      <c r="K5" s="96"/>
      <c r="L5" s="96"/>
    </row>
    <row r="7" spans="2:16">
      <c r="B7" t="s">
        <v>3110</v>
      </c>
      <c r="O7" s="13" t="str">
        <f>Show!$B$135&amp;"S.26.01.01.01 Table label {"&amp;COLUMN($C$1)&amp;"}"</f>
        <v>!S.26.01.01.01 Table label {3}</v>
      </c>
      <c r="P7" s="13" t="str">
        <f>Show!$B$135&amp;"S.26.01.01.01 Table value {"&amp;COLUMN($D$1)&amp;"}"</f>
        <v>!S.26.01.01.01 Table value {4}</v>
      </c>
    </row>
    <row r="8" spans="2:16">
      <c r="B8" t="s">
        <v>3111</v>
      </c>
    </row>
    <row r="9" spans="2:16">
      <c r="B9" s="40" t="s">
        <v>4622</v>
      </c>
      <c r="C9" s="53" t="s">
        <v>3113</v>
      </c>
      <c r="D9" s="51"/>
    </row>
    <row r="10" spans="2:16">
      <c r="O10" s="13" t="str">
        <f>Show!$B$135&amp;Show!$B$135&amp;"S.26.01.01.01 Table label {"&amp;COLUMN($C$1)&amp;"}"</f>
        <v>!!S.26.01.01.01 Table label {3}</v>
      </c>
      <c r="P10" s="13" t="str">
        <f>Show!$B$135&amp;Show!$B$135&amp;"S.26.01.01.01 Table value {"&amp;COLUMN($D$1)&amp;"}"</f>
        <v>!!S.26.01.01.01 Table value {4}</v>
      </c>
    </row>
    <row r="12" spans="2:16">
      <c r="D12" s="101" t="s">
        <v>2877</v>
      </c>
      <c r="E12" s="102"/>
      <c r="F12" s="102"/>
      <c r="G12" s="102"/>
      <c r="H12" s="103"/>
    </row>
    <row r="13" spans="2:16">
      <c r="D13" s="104"/>
      <c r="E13" s="105"/>
      <c r="F13" s="105"/>
      <c r="G13" s="105"/>
      <c r="H13" s="106"/>
    </row>
    <row r="14" spans="2:16">
      <c r="D14" s="107" t="s">
        <v>4763</v>
      </c>
      <c r="E14" s="109"/>
      <c r="F14" s="107" t="s">
        <v>4764</v>
      </c>
      <c r="G14" s="108"/>
      <c r="H14" s="109"/>
    </row>
    <row r="15" spans="2:16">
      <c r="D15" s="98" t="s">
        <v>3252</v>
      </c>
      <c r="E15" s="98" t="s">
        <v>2389</v>
      </c>
      <c r="F15" s="98" t="s">
        <v>3252</v>
      </c>
      <c r="G15" s="98" t="s">
        <v>4765</v>
      </c>
      <c r="H15" s="98" t="s">
        <v>4766</v>
      </c>
    </row>
    <row r="16" spans="2:16">
      <c r="D16" s="100"/>
      <c r="E16" s="100"/>
      <c r="F16" s="100"/>
      <c r="G16" s="100"/>
      <c r="H16" s="100"/>
    </row>
    <row r="17" spans="2:16">
      <c r="D17" s="45" t="s">
        <v>3219</v>
      </c>
      <c r="E17" s="45" t="s">
        <v>3225</v>
      </c>
      <c r="F17" s="45" t="s">
        <v>3223</v>
      </c>
      <c r="G17" s="45" t="s">
        <v>3229</v>
      </c>
      <c r="H17" s="45" t="s">
        <v>3233</v>
      </c>
      <c r="O17" s="13" t="str">
        <f>Show!$B$135&amp;"S.26.01.01.01 Rows {"&amp;COLUMN($C$1)&amp;"}"&amp;"@ForceFilingCode:true"</f>
        <v>!S.26.01.01.01 Rows {3}@ForceFilingCode:true</v>
      </c>
      <c r="P17" s="13" t="str">
        <f>Show!$B$135&amp;"S.26.01.01.01 Columns {"&amp;COLUMN($D$1)&amp;"}"</f>
        <v>!S.26.01.01.01 Columns {4}</v>
      </c>
    </row>
    <row r="18" spans="2:16">
      <c r="B18" s="43" t="s">
        <v>2880</v>
      </c>
      <c r="C18" s="44" t="s">
        <v>2878</v>
      </c>
      <c r="D18" s="58"/>
      <c r="E18" s="67"/>
      <c r="F18" s="67"/>
      <c r="G18" s="67"/>
      <c r="H18" s="59"/>
    </row>
    <row r="19" spans="2:16">
      <c r="B19" s="47" t="s">
        <v>4767</v>
      </c>
      <c r="C19" s="44" t="s">
        <v>2899</v>
      </c>
      <c r="D19" s="56"/>
      <c r="E19" s="56"/>
      <c r="F19" s="56"/>
      <c r="G19" s="56"/>
      <c r="H19" s="46"/>
    </row>
    <row r="20" spans="2:16">
      <c r="B20" s="49" t="s">
        <v>4768</v>
      </c>
      <c r="C20" s="41" t="s">
        <v>2901</v>
      </c>
      <c r="D20" s="60"/>
      <c r="E20" s="60"/>
      <c r="F20" s="60"/>
      <c r="G20" s="60"/>
      <c r="H20" s="60"/>
    </row>
    <row r="21" spans="2:16">
      <c r="B21" s="49" t="s">
        <v>4769</v>
      </c>
      <c r="C21" s="41" t="s">
        <v>2903</v>
      </c>
      <c r="D21" s="63"/>
      <c r="E21" s="63"/>
      <c r="F21" s="63"/>
      <c r="G21" s="63"/>
      <c r="H21" s="63"/>
    </row>
    <row r="22" spans="2:16">
      <c r="B22" s="47" t="s">
        <v>4770</v>
      </c>
      <c r="C22" s="44" t="s">
        <v>2919</v>
      </c>
      <c r="D22" s="56"/>
      <c r="E22" s="56"/>
      <c r="F22" s="56"/>
      <c r="G22" s="56"/>
      <c r="H22" s="46"/>
    </row>
    <row r="23" spans="2:16">
      <c r="B23" s="49" t="s">
        <v>4771</v>
      </c>
      <c r="C23" s="41" t="s">
        <v>2921</v>
      </c>
      <c r="D23" s="60"/>
      <c r="E23" s="63"/>
      <c r="F23" s="60"/>
      <c r="G23" s="63"/>
      <c r="H23" s="63"/>
    </row>
    <row r="24" spans="2:16">
      <c r="B24" s="61" t="s">
        <v>4772</v>
      </c>
      <c r="C24" s="41" t="s">
        <v>4773</v>
      </c>
      <c r="D24" s="64"/>
      <c r="E24" s="48"/>
      <c r="F24" s="64"/>
      <c r="G24" s="58"/>
      <c r="H24" s="48"/>
    </row>
    <row r="25" spans="2:16">
      <c r="B25" s="61" t="s">
        <v>4774</v>
      </c>
      <c r="C25" s="41" t="s">
        <v>2925</v>
      </c>
      <c r="D25" s="64"/>
      <c r="E25" s="48"/>
      <c r="F25" s="64"/>
      <c r="G25" s="58"/>
      <c r="H25" s="48"/>
    </row>
    <row r="26" spans="2:16">
      <c r="B26" s="61" t="s">
        <v>4775</v>
      </c>
      <c r="C26" s="41" t="s">
        <v>4776</v>
      </c>
      <c r="D26" s="64"/>
      <c r="E26" s="48"/>
      <c r="F26" s="64"/>
      <c r="G26" s="58"/>
      <c r="H26" s="48"/>
    </row>
    <row r="27" spans="2:16">
      <c r="B27" s="61" t="s">
        <v>4777</v>
      </c>
      <c r="C27" s="41" t="s">
        <v>2927</v>
      </c>
      <c r="D27" s="64"/>
      <c r="E27" s="46"/>
      <c r="F27" s="64"/>
      <c r="G27" s="56"/>
      <c r="H27" s="46"/>
    </row>
    <row r="28" spans="2:16">
      <c r="B28" s="49" t="s">
        <v>4778</v>
      </c>
      <c r="C28" s="41" t="s">
        <v>2929</v>
      </c>
      <c r="D28" s="60"/>
      <c r="E28" s="63"/>
      <c r="F28" s="60"/>
      <c r="G28" s="63"/>
      <c r="H28" s="63"/>
    </row>
    <row r="29" spans="2:16">
      <c r="B29" s="61" t="s">
        <v>4779</v>
      </c>
      <c r="C29" s="41" t="s">
        <v>4780</v>
      </c>
      <c r="D29" s="64"/>
      <c r="E29" s="48"/>
      <c r="F29" s="64"/>
      <c r="G29" s="58"/>
      <c r="H29" s="48"/>
    </row>
    <row r="30" spans="2:16">
      <c r="B30" s="61" t="s">
        <v>4781</v>
      </c>
      <c r="C30" s="41" t="s">
        <v>2933</v>
      </c>
      <c r="D30" s="64"/>
      <c r="E30" s="48"/>
      <c r="F30" s="64"/>
      <c r="G30" s="58"/>
      <c r="H30" s="48"/>
    </row>
    <row r="31" spans="2:16">
      <c r="B31" s="61" t="s">
        <v>4782</v>
      </c>
      <c r="C31" s="41" t="s">
        <v>4783</v>
      </c>
      <c r="D31" s="64"/>
      <c r="E31" s="48"/>
      <c r="F31" s="64"/>
      <c r="G31" s="58"/>
      <c r="H31" s="48"/>
    </row>
    <row r="32" spans="2:16">
      <c r="B32" s="61" t="s">
        <v>4784</v>
      </c>
      <c r="C32" s="41" t="s">
        <v>2935</v>
      </c>
      <c r="D32" s="64"/>
      <c r="E32" s="46"/>
      <c r="F32" s="64"/>
      <c r="G32" s="56"/>
      <c r="H32" s="46"/>
    </row>
    <row r="33" spans="2:8">
      <c r="B33" s="49" t="s">
        <v>4785</v>
      </c>
      <c r="C33" s="41" t="s">
        <v>4786</v>
      </c>
      <c r="D33" s="60"/>
      <c r="E33" s="63"/>
      <c r="F33" s="60"/>
      <c r="G33" s="63"/>
      <c r="H33" s="63"/>
    </row>
    <row r="34" spans="2:8">
      <c r="B34" s="61" t="s">
        <v>4787</v>
      </c>
      <c r="C34" s="41" t="s">
        <v>4788</v>
      </c>
      <c r="D34" s="64"/>
      <c r="E34" s="48"/>
      <c r="F34" s="64"/>
      <c r="G34" s="58"/>
      <c r="H34" s="48"/>
    </row>
    <row r="35" spans="2:8">
      <c r="B35" s="61" t="s">
        <v>4789</v>
      </c>
      <c r="C35" s="41" t="s">
        <v>4790</v>
      </c>
      <c r="D35" s="64"/>
      <c r="E35" s="48"/>
      <c r="F35" s="64"/>
      <c r="G35" s="58"/>
      <c r="H35" s="48"/>
    </row>
    <row r="36" spans="2:8">
      <c r="B36" s="61" t="s">
        <v>4791</v>
      </c>
      <c r="C36" s="41" t="s">
        <v>4792</v>
      </c>
      <c r="D36" s="64"/>
      <c r="E36" s="46"/>
      <c r="F36" s="64"/>
      <c r="G36" s="56"/>
      <c r="H36" s="46"/>
    </row>
    <row r="37" spans="2:8">
      <c r="B37" s="49" t="s">
        <v>4793</v>
      </c>
      <c r="C37" s="41" t="s">
        <v>4794</v>
      </c>
      <c r="D37" s="60"/>
      <c r="E37" s="63"/>
      <c r="F37" s="60"/>
      <c r="G37" s="63"/>
      <c r="H37" s="63"/>
    </row>
    <row r="38" spans="2:8" ht="30">
      <c r="B38" s="61" t="s">
        <v>4795</v>
      </c>
      <c r="C38" s="41" t="s">
        <v>4796</v>
      </c>
      <c r="D38" s="64"/>
      <c r="E38" s="48"/>
      <c r="F38" s="64"/>
      <c r="G38" s="58"/>
      <c r="H38" s="48"/>
    </row>
    <row r="39" spans="2:8">
      <c r="B39" s="61" t="s">
        <v>4797</v>
      </c>
      <c r="C39" s="41" t="s">
        <v>4798</v>
      </c>
      <c r="D39" s="64"/>
      <c r="E39" s="48"/>
      <c r="F39" s="64"/>
      <c r="G39" s="58"/>
      <c r="H39" s="48"/>
    </row>
    <row r="40" spans="2:8">
      <c r="B40" s="61" t="s">
        <v>4799</v>
      </c>
      <c r="C40" s="41" t="s">
        <v>4800</v>
      </c>
      <c r="D40" s="64"/>
      <c r="E40" s="46"/>
      <c r="F40" s="64"/>
      <c r="G40" s="56"/>
      <c r="H40" s="46"/>
    </row>
    <row r="41" spans="2:8">
      <c r="B41" s="47" t="s">
        <v>4801</v>
      </c>
      <c r="C41" s="41" t="s">
        <v>2939</v>
      </c>
      <c r="D41" s="63"/>
      <c r="E41" s="63"/>
      <c r="F41" s="63"/>
      <c r="G41" s="63"/>
      <c r="H41" s="63"/>
    </row>
    <row r="42" spans="2:8">
      <c r="B42" s="47" t="s">
        <v>4802</v>
      </c>
      <c r="C42" s="44" t="s">
        <v>2959</v>
      </c>
      <c r="D42" s="56"/>
      <c r="E42" s="56"/>
      <c r="F42" s="56"/>
      <c r="G42" s="56"/>
      <c r="H42" s="46"/>
    </row>
    <row r="43" spans="2:8">
      <c r="B43" s="49" t="s">
        <v>4803</v>
      </c>
      <c r="C43" s="41" t="s">
        <v>2961</v>
      </c>
      <c r="D43" s="60"/>
      <c r="E43" s="60"/>
      <c r="F43" s="60"/>
      <c r="G43" s="60"/>
      <c r="H43" s="60"/>
    </row>
    <row r="44" spans="2:8">
      <c r="B44" s="61" t="s">
        <v>4804</v>
      </c>
      <c r="C44" s="41" t="s">
        <v>4805</v>
      </c>
      <c r="D44" s="60"/>
      <c r="E44" s="60"/>
      <c r="F44" s="60"/>
      <c r="G44" s="60"/>
      <c r="H44" s="60"/>
    </row>
    <row r="45" spans="2:8" ht="30">
      <c r="B45" s="61" t="s">
        <v>4806</v>
      </c>
      <c r="C45" s="41" t="s">
        <v>4807</v>
      </c>
      <c r="D45" s="60"/>
      <c r="E45" s="60"/>
      <c r="F45" s="60"/>
      <c r="G45" s="60"/>
      <c r="H45" s="60"/>
    </row>
    <row r="46" spans="2:8" ht="30">
      <c r="B46" s="61" t="s">
        <v>4808</v>
      </c>
      <c r="C46" s="41" t="s">
        <v>4809</v>
      </c>
      <c r="D46" s="63"/>
      <c r="E46" s="63"/>
      <c r="F46" s="63"/>
      <c r="G46" s="63"/>
      <c r="H46" s="63"/>
    </row>
    <row r="47" spans="2:8">
      <c r="B47" s="49" t="s">
        <v>4810</v>
      </c>
      <c r="C47" s="44" t="s">
        <v>2963</v>
      </c>
      <c r="D47" s="56"/>
      <c r="E47" s="56"/>
      <c r="F47" s="56"/>
      <c r="G47" s="56"/>
      <c r="H47" s="46"/>
    </row>
    <row r="48" spans="2:8">
      <c r="B48" s="61" t="s">
        <v>4811</v>
      </c>
      <c r="C48" s="41" t="s">
        <v>2965</v>
      </c>
      <c r="D48" s="60"/>
      <c r="E48" s="60"/>
      <c r="F48" s="60"/>
      <c r="G48" s="60"/>
      <c r="H48" s="60"/>
    </row>
    <row r="49" spans="2:16">
      <c r="B49" s="61" t="s">
        <v>4812</v>
      </c>
      <c r="C49" s="41" t="s">
        <v>2967</v>
      </c>
      <c r="D49" s="60"/>
      <c r="E49" s="60"/>
      <c r="F49" s="60"/>
      <c r="G49" s="60"/>
      <c r="H49" s="60"/>
    </row>
    <row r="50" spans="2:16">
      <c r="B50" s="49" t="s">
        <v>4813</v>
      </c>
      <c r="C50" s="41" t="s">
        <v>2969</v>
      </c>
      <c r="D50" s="60"/>
      <c r="E50" s="60"/>
      <c r="F50" s="60"/>
      <c r="G50" s="60"/>
      <c r="H50" s="60"/>
    </row>
    <row r="51" spans="2:16">
      <c r="B51" s="61" t="s">
        <v>4814</v>
      </c>
      <c r="C51" s="41" t="s">
        <v>4815</v>
      </c>
      <c r="D51" s="60"/>
      <c r="E51" s="60"/>
      <c r="F51" s="60"/>
      <c r="G51" s="60"/>
      <c r="H51" s="60"/>
    </row>
    <row r="52" spans="2:16">
      <c r="B52" s="61" t="s">
        <v>4816</v>
      </c>
      <c r="C52" s="41" t="s">
        <v>4817</v>
      </c>
      <c r="D52" s="60"/>
      <c r="E52" s="60"/>
      <c r="F52" s="60"/>
      <c r="G52" s="60"/>
      <c r="H52" s="60"/>
    </row>
    <row r="53" spans="2:16">
      <c r="B53" s="61" t="s">
        <v>4818</v>
      </c>
      <c r="C53" s="41" t="s">
        <v>2975</v>
      </c>
      <c r="D53" s="60"/>
      <c r="E53" s="60"/>
      <c r="F53" s="60"/>
      <c r="G53" s="60"/>
      <c r="H53" s="60"/>
    </row>
    <row r="54" spans="2:16">
      <c r="B54" s="61" t="s">
        <v>4819</v>
      </c>
      <c r="C54" s="41" t="s">
        <v>4820</v>
      </c>
      <c r="D54" s="60"/>
      <c r="E54" s="60"/>
      <c r="F54" s="60"/>
      <c r="G54" s="60"/>
      <c r="H54" s="60"/>
    </row>
    <row r="55" spans="2:16">
      <c r="B55" s="61" t="s">
        <v>4821</v>
      </c>
      <c r="C55" s="41" t="s">
        <v>4822</v>
      </c>
      <c r="D55" s="60"/>
      <c r="E55" s="60"/>
      <c r="F55" s="60"/>
      <c r="G55" s="60"/>
      <c r="H55" s="60"/>
    </row>
    <row r="56" spans="2:16">
      <c r="B56" s="61" t="s">
        <v>4823</v>
      </c>
      <c r="C56" s="41" t="s">
        <v>4824</v>
      </c>
      <c r="D56" s="60"/>
      <c r="E56" s="63"/>
      <c r="F56" s="63"/>
      <c r="G56" s="63"/>
      <c r="H56" s="63"/>
    </row>
    <row r="57" spans="2:16">
      <c r="B57" s="47" t="s">
        <v>4825</v>
      </c>
      <c r="C57" s="41" t="s">
        <v>2977</v>
      </c>
      <c r="D57" s="65"/>
      <c r="E57" s="58"/>
      <c r="F57" s="58"/>
      <c r="G57" s="58"/>
      <c r="H57" s="48"/>
    </row>
    <row r="58" spans="2:16">
      <c r="B58" s="47" t="s">
        <v>4826</v>
      </c>
      <c r="C58" s="44" t="s">
        <v>2997</v>
      </c>
      <c r="D58" s="56"/>
      <c r="E58" s="56"/>
      <c r="F58" s="56"/>
      <c r="G58" s="56"/>
      <c r="H58" s="46"/>
    </row>
    <row r="59" spans="2:16">
      <c r="B59" s="49" t="s">
        <v>4827</v>
      </c>
      <c r="C59" s="41" t="s">
        <v>2999</v>
      </c>
      <c r="D59" s="60"/>
      <c r="E59" s="60"/>
      <c r="F59" s="60"/>
      <c r="G59" s="60"/>
      <c r="H59" s="60"/>
    </row>
    <row r="60" spans="2:16">
      <c r="B60" s="49" t="s">
        <v>4828</v>
      </c>
      <c r="C60" s="41" t="s">
        <v>3001</v>
      </c>
      <c r="D60" s="63"/>
      <c r="E60" s="63"/>
      <c r="F60" s="63"/>
      <c r="G60" s="63"/>
      <c r="H60" s="63"/>
    </row>
    <row r="61" spans="2:16">
      <c r="B61" s="47" t="s">
        <v>4829</v>
      </c>
      <c r="C61" s="44" t="s">
        <v>3064</v>
      </c>
      <c r="D61" s="58"/>
      <c r="E61" s="58"/>
      <c r="F61" s="58"/>
      <c r="G61" s="58"/>
      <c r="H61" s="48"/>
    </row>
    <row r="62" spans="2:16">
      <c r="B62" s="47" t="s">
        <v>4830</v>
      </c>
      <c r="C62" s="44" t="s">
        <v>3120</v>
      </c>
      <c r="D62" s="56"/>
      <c r="E62" s="56"/>
      <c r="F62" s="56"/>
      <c r="G62" s="56"/>
      <c r="H62" s="46"/>
    </row>
    <row r="64" spans="2:16">
      <c r="O64" s="13" t="str">
        <f>Show!$B$135&amp;Show!$B$135&amp;"S.26.01.01.01 Rows {"&amp;COLUMN($C$1)&amp;"}"</f>
        <v>!!S.26.01.01.01 Rows {3}</v>
      </c>
      <c r="P64" s="13" t="str">
        <f>Show!$B$135&amp;Show!$B$135&amp;"S.26.01.01.01 Columns {"&amp;COLUMN($H$1)&amp;"}"</f>
        <v>!!S.26.01.01.01 Columns {8}</v>
      </c>
    </row>
    <row r="66" spans="2:16" ht="18.75">
      <c r="B66" s="97" t="s">
        <v>4831</v>
      </c>
      <c r="C66" s="96"/>
      <c r="D66" s="96"/>
      <c r="E66" s="96"/>
      <c r="F66" s="96"/>
      <c r="G66" s="96"/>
      <c r="H66" s="96"/>
      <c r="I66" s="96"/>
      <c r="J66" s="96"/>
      <c r="K66" s="96"/>
      <c r="L66" s="96"/>
    </row>
    <row r="68" spans="2:16">
      <c r="B68" t="s">
        <v>3110</v>
      </c>
      <c r="O68" s="13" t="str">
        <f>Show!$B$135&amp;"S.26.01.01.02 Table label {"&amp;COLUMN($C$1)&amp;"}"</f>
        <v>!S.26.01.01.02 Table label {3}</v>
      </c>
      <c r="P68" s="13" t="str">
        <f>Show!$B$135&amp;"S.26.01.01.02 Table value {"&amp;COLUMN($D$1)&amp;"}"</f>
        <v>!S.26.01.01.02 Table value {4}</v>
      </c>
    </row>
    <row r="69" spans="2:16">
      <c r="B69" t="s">
        <v>3111</v>
      </c>
    </row>
    <row r="70" spans="2:16">
      <c r="B70" s="40" t="s">
        <v>4622</v>
      </c>
      <c r="C70" s="53" t="s">
        <v>3113</v>
      </c>
      <c r="D70" s="51"/>
    </row>
    <row r="71" spans="2:16">
      <c r="O71" s="13" t="str">
        <f>Show!$B$135&amp;Show!$B$135&amp;"S.26.01.01.02 Table label {"&amp;COLUMN($C$1)&amp;"}"</f>
        <v>!!S.26.01.01.02 Table label {3}</v>
      </c>
      <c r="P71" s="13" t="str">
        <f>Show!$B$135&amp;Show!$B$135&amp;"S.26.01.01.02 Table value {"&amp;COLUMN($D$1)&amp;"}"</f>
        <v>!!S.26.01.01.02 Table value {4}</v>
      </c>
    </row>
    <row r="73" spans="2:16">
      <c r="D73" s="101" t="s">
        <v>2877</v>
      </c>
      <c r="E73" s="103"/>
    </row>
    <row r="74" spans="2:16">
      <c r="D74" s="104"/>
      <c r="E74" s="106"/>
    </row>
    <row r="75" spans="2:16">
      <c r="D75" s="107" t="s">
        <v>4764</v>
      </c>
      <c r="E75" s="109"/>
    </row>
    <row r="76" spans="2:16">
      <c r="D76" s="98" t="s">
        <v>4623</v>
      </c>
      <c r="E76" s="98" t="s">
        <v>4624</v>
      </c>
    </row>
    <row r="77" spans="2:16">
      <c r="D77" s="100"/>
      <c r="E77" s="100"/>
    </row>
    <row r="78" spans="2:16">
      <c r="D78" s="45" t="s">
        <v>3231</v>
      </c>
      <c r="E78" s="45" t="s">
        <v>3234</v>
      </c>
      <c r="O78" s="13" t="str">
        <f>Show!$B$135&amp;"S.26.01.01.02 Rows {"&amp;COLUMN($C$1)&amp;"}"&amp;"@ForceFilingCode:true"</f>
        <v>!S.26.01.01.02 Rows {3}@ForceFilingCode:true</v>
      </c>
      <c r="P78" s="13" t="str">
        <f>Show!$B$135&amp;"S.26.01.01.02 Columns {"&amp;COLUMN($D$1)&amp;"}"</f>
        <v>!S.26.01.01.02 Columns {4}</v>
      </c>
    </row>
    <row r="79" spans="2:16">
      <c r="B79" s="43" t="s">
        <v>2880</v>
      </c>
      <c r="C79" s="44" t="s">
        <v>2878</v>
      </c>
      <c r="D79" s="56"/>
      <c r="E79" s="57"/>
    </row>
    <row r="80" spans="2:16">
      <c r="B80" s="47" t="s">
        <v>4767</v>
      </c>
      <c r="C80" s="41" t="s">
        <v>2899</v>
      </c>
      <c r="D80" s="60"/>
      <c r="E80" s="60"/>
    </row>
    <row r="81" spans="2:5">
      <c r="B81" s="49" t="s">
        <v>4768</v>
      </c>
      <c r="C81" s="41" t="s">
        <v>2901</v>
      </c>
      <c r="D81" s="60"/>
      <c r="E81" s="60"/>
    </row>
    <row r="82" spans="2:5">
      <c r="B82" s="49" t="s">
        <v>4769</v>
      </c>
      <c r="C82" s="41" t="s">
        <v>2903</v>
      </c>
      <c r="D82" s="60"/>
      <c r="E82" s="60"/>
    </row>
    <row r="83" spans="2:5">
      <c r="B83" s="47" t="s">
        <v>4770</v>
      </c>
      <c r="C83" s="41" t="s">
        <v>2919</v>
      </c>
      <c r="D83" s="60"/>
      <c r="E83" s="60"/>
    </row>
    <row r="84" spans="2:5">
      <c r="B84" s="49" t="s">
        <v>4771</v>
      </c>
      <c r="C84" s="41" t="s">
        <v>2921</v>
      </c>
      <c r="D84" s="63"/>
      <c r="E84" s="63"/>
    </row>
    <row r="85" spans="2:5">
      <c r="B85" s="61" t="s">
        <v>4772</v>
      </c>
      <c r="C85" s="44" t="s">
        <v>4773</v>
      </c>
      <c r="D85" s="58"/>
      <c r="E85" s="48"/>
    </row>
    <row r="86" spans="2:5">
      <c r="B86" s="61" t="s">
        <v>4774</v>
      </c>
      <c r="C86" s="44" t="s">
        <v>2925</v>
      </c>
      <c r="D86" s="58"/>
      <c r="E86" s="48"/>
    </row>
    <row r="87" spans="2:5">
      <c r="B87" s="61" t="s">
        <v>4775</v>
      </c>
      <c r="C87" s="44" t="s">
        <v>4776</v>
      </c>
      <c r="D87" s="58"/>
      <c r="E87" s="48"/>
    </row>
    <row r="88" spans="2:5">
      <c r="B88" s="61" t="s">
        <v>4777</v>
      </c>
      <c r="C88" s="44" t="s">
        <v>2927</v>
      </c>
      <c r="D88" s="56"/>
      <c r="E88" s="46"/>
    </row>
    <row r="89" spans="2:5">
      <c r="B89" s="49" t="s">
        <v>4778</v>
      </c>
      <c r="C89" s="41" t="s">
        <v>2929</v>
      </c>
      <c r="D89" s="63"/>
      <c r="E89" s="63"/>
    </row>
    <row r="90" spans="2:5">
      <c r="B90" s="61" t="s">
        <v>4779</v>
      </c>
      <c r="C90" s="44" t="s">
        <v>4780</v>
      </c>
      <c r="D90" s="58"/>
      <c r="E90" s="48"/>
    </row>
    <row r="91" spans="2:5">
      <c r="B91" s="61" t="s">
        <v>4781</v>
      </c>
      <c r="C91" s="44" t="s">
        <v>2933</v>
      </c>
      <c r="D91" s="58"/>
      <c r="E91" s="48"/>
    </row>
    <row r="92" spans="2:5">
      <c r="B92" s="61" t="s">
        <v>4782</v>
      </c>
      <c r="C92" s="44" t="s">
        <v>4783</v>
      </c>
      <c r="D92" s="58"/>
      <c r="E92" s="48"/>
    </row>
    <row r="93" spans="2:5">
      <c r="B93" s="61" t="s">
        <v>4784</v>
      </c>
      <c r="C93" s="44" t="s">
        <v>2935</v>
      </c>
      <c r="D93" s="56"/>
      <c r="E93" s="46"/>
    </row>
    <row r="94" spans="2:5">
      <c r="B94" s="49" t="s">
        <v>4785</v>
      </c>
      <c r="C94" s="41" t="s">
        <v>4786</v>
      </c>
      <c r="D94" s="63"/>
      <c r="E94" s="63"/>
    </row>
    <row r="95" spans="2:5">
      <c r="B95" s="61" t="s">
        <v>4787</v>
      </c>
      <c r="C95" s="44" t="s">
        <v>4788</v>
      </c>
      <c r="D95" s="58"/>
      <c r="E95" s="48"/>
    </row>
    <row r="96" spans="2:5">
      <c r="B96" s="61" t="s">
        <v>4789</v>
      </c>
      <c r="C96" s="44" t="s">
        <v>4790</v>
      </c>
      <c r="D96" s="58"/>
      <c r="E96" s="48"/>
    </row>
    <row r="97" spans="2:5">
      <c r="B97" s="61" t="s">
        <v>4791</v>
      </c>
      <c r="C97" s="44" t="s">
        <v>4792</v>
      </c>
      <c r="D97" s="56"/>
      <c r="E97" s="46"/>
    </row>
    <row r="98" spans="2:5">
      <c r="B98" s="49" t="s">
        <v>4793</v>
      </c>
      <c r="C98" s="41" t="s">
        <v>4794</v>
      </c>
      <c r="D98" s="63"/>
      <c r="E98" s="63"/>
    </row>
    <row r="99" spans="2:5" ht="30">
      <c r="B99" s="61" t="s">
        <v>4795</v>
      </c>
      <c r="C99" s="44" t="s">
        <v>4796</v>
      </c>
      <c r="D99" s="58"/>
      <c r="E99" s="48"/>
    </row>
    <row r="100" spans="2:5">
      <c r="B100" s="61" t="s">
        <v>4797</v>
      </c>
      <c r="C100" s="44" t="s">
        <v>4798</v>
      </c>
      <c r="D100" s="58"/>
      <c r="E100" s="48"/>
    </row>
    <row r="101" spans="2:5">
      <c r="B101" s="61" t="s">
        <v>4799</v>
      </c>
      <c r="C101" s="44" t="s">
        <v>4800</v>
      </c>
      <c r="D101" s="56"/>
      <c r="E101" s="46"/>
    </row>
    <row r="102" spans="2:5">
      <c r="B102" s="47" t="s">
        <v>4801</v>
      </c>
      <c r="C102" s="41" t="s">
        <v>2939</v>
      </c>
      <c r="D102" s="60"/>
      <c r="E102" s="60"/>
    </row>
    <row r="103" spans="2:5">
      <c r="B103" s="47" t="s">
        <v>4802</v>
      </c>
      <c r="C103" s="41" t="s">
        <v>2959</v>
      </c>
      <c r="D103" s="60"/>
      <c r="E103" s="60"/>
    </row>
    <row r="104" spans="2:5">
      <c r="B104" s="49" t="s">
        <v>4803</v>
      </c>
      <c r="C104" s="41" t="s">
        <v>2961</v>
      </c>
      <c r="D104" s="60"/>
      <c r="E104" s="60"/>
    </row>
    <row r="105" spans="2:5">
      <c r="B105" s="61" t="s">
        <v>4804</v>
      </c>
      <c r="C105" s="41" t="s">
        <v>4805</v>
      </c>
      <c r="D105" s="60"/>
      <c r="E105" s="60"/>
    </row>
    <row r="106" spans="2:5" ht="30">
      <c r="B106" s="61" t="s">
        <v>4806</v>
      </c>
      <c r="C106" s="41" t="s">
        <v>4807</v>
      </c>
      <c r="D106" s="60"/>
      <c r="E106" s="60"/>
    </row>
    <row r="107" spans="2:5" ht="30">
      <c r="B107" s="61" t="s">
        <v>4808</v>
      </c>
      <c r="C107" s="41" t="s">
        <v>4809</v>
      </c>
      <c r="D107" s="60"/>
      <c r="E107" s="60"/>
    </row>
    <row r="108" spans="2:5">
      <c r="B108" s="49" t="s">
        <v>4810</v>
      </c>
      <c r="C108" s="41" t="s">
        <v>2963</v>
      </c>
      <c r="D108" s="60"/>
      <c r="E108" s="60"/>
    </row>
    <row r="109" spans="2:5">
      <c r="B109" s="61" t="s">
        <v>4811</v>
      </c>
      <c r="C109" s="41" t="s">
        <v>2965</v>
      </c>
      <c r="D109" s="60"/>
      <c r="E109" s="60"/>
    </row>
    <row r="110" spans="2:5">
      <c r="B110" s="61" t="s">
        <v>4812</v>
      </c>
      <c r="C110" s="41" t="s">
        <v>2967</v>
      </c>
      <c r="D110" s="60"/>
      <c r="E110" s="60"/>
    </row>
    <row r="111" spans="2:5">
      <c r="B111" s="49" t="s">
        <v>4813</v>
      </c>
      <c r="C111" s="41" t="s">
        <v>2969</v>
      </c>
      <c r="D111" s="60"/>
      <c r="E111" s="60"/>
    </row>
    <row r="112" spans="2:5">
      <c r="B112" s="61" t="s">
        <v>4814</v>
      </c>
      <c r="C112" s="41" t="s">
        <v>4815</v>
      </c>
      <c r="D112" s="60"/>
      <c r="E112" s="60"/>
    </row>
    <row r="113" spans="2:16">
      <c r="B113" s="61" t="s">
        <v>4816</v>
      </c>
      <c r="C113" s="41" t="s">
        <v>4817</v>
      </c>
      <c r="D113" s="60"/>
      <c r="E113" s="60"/>
    </row>
    <row r="114" spans="2:16">
      <c r="B114" s="61" t="s">
        <v>4818</v>
      </c>
      <c r="C114" s="41" t="s">
        <v>2975</v>
      </c>
      <c r="D114" s="60"/>
      <c r="E114" s="60"/>
    </row>
    <row r="115" spans="2:16">
      <c r="B115" s="61" t="s">
        <v>4819</v>
      </c>
      <c r="C115" s="41" t="s">
        <v>4820</v>
      </c>
      <c r="D115" s="60"/>
      <c r="E115" s="60"/>
    </row>
    <row r="116" spans="2:16">
      <c r="B116" s="61" t="s">
        <v>4821</v>
      </c>
      <c r="C116" s="41" t="s">
        <v>4822</v>
      </c>
      <c r="D116" s="60"/>
      <c r="E116" s="60"/>
    </row>
    <row r="117" spans="2:16">
      <c r="B117" s="61" t="s">
        <v>4823</v>
      </c>
      <c r="C117" s="41" t="s">
        <v>4824</v>
      </c>
      <c r="D117" s="60"/>
      <c r="E117" s="60"/>
    </row>
    <row r="118" spans="2:16">
      <c r="B118" s="47" t="s">
        <v>4825</v>
      </c>
      <c r="C118" s="41" t="s">
        <v>2977</v>
      </c>
      <c r="D118" s="60"/>
      <c r="E118" s="60"/>
    </row>
    <row r="119" spans="2:16">
      <c r="B119" s="47" t="s">
        <v>4826</v>
      </c>
      <c r="C119" s="41" t="s">
        <v>2997</v>
      </c>
      <c r="D119" s="60"/>
      <c r="E119" s="60"/>
    </row>
    <row r="120" spans="2:16">
      <c r="B120" s="49" t="s">
        <v>4827</v>
      </c>
      <c r="C120" s="41" t="s">
        <v>2999</v>
      </c>
      <c r="D120" s="60"/>
      <c r="E120" s="60"/>
    </row>
    <row r="121" spans="2:16">
      <c r="B121" s="49" t="s">
        <v>4828</v>
      </c>
      <c r="C121" s="41" t="s">
        <v>3001</v>
      </c>
      <c r="D121" s="60"/>
      <c r="E121" s="60"/>
    </row>
    <row r="122" spans="2:16">
      <c r="B122" s="47" t="s">
        <v>4829</v>
      </c>
      <c r="C122" s="41" t="s">
        <v>3064</v>
      </c>
      <c r="D122" s="60"/>
      <c r="E122" s="60"/>
    </row>
    <row r="123" spans="2:16">
      <c r="B123" s="47" t="s">
        <v>4830</v>
      </c>
      <c r="C123" s="41" t="s">
        <v>3120</v>
      </c>
      <c r="D123" s="60"/>
      <c r="E123" s="60"/>
    </row>
    <row r="125" spans="2:16">
      <c r="O125" s="13" t="str">
        <f>Show!$B$135&amp;Show!$B$135&amp;"S.26.01.01.02 Rows {"&amp;COLUMN($C$1)&amp;"}"</f>
        <v>!!S.26.01.01.02 Rows {3}</v>
      </c>
      <c r="P125" s="13" t="str">
        <f>Show!$B$135&amp;Show!$B$135&amp;"S.26.01.01.02 Columns {"&amp;COLUMN($E$1)&amp;"}"</f>
        <v>!!S.26.01.01.02 Columns {5}</v>
      </c>
    </row>
    <row r="127" spans="2:16" ht="18.75">
      <c r="B127" s="97" t="s">
        <v>4832</v>
      </c>
      <c r="C127" s="96"/>
      <c r="D127" s="96"/>
      <c r="E127" s="96"/>
      <c r="F127" s="96"/>
      <c r="G127" s="96"/>
      <c r="H127" s="96"/>
      <c r="I127" s="96"/>
      <c r="J127" s="96"/>
      <c r="K127" s="96"/>
      <c r="L127" s="96"/>
    </row>
    <row r="129" spans="2:16">
      <c r="B129" t="s">
        <v>3110</v>
      </c>
      <c r="O129" s="13" t="str">
        <f>Show!$B$135&amp;"S.26.01.01.03 Table label {"&amp;COLUMN($C$1)&amp;"}"</f>
        <v>!S.26.01.01.03 Table label {3}</v>
      </c>
      <c r="P129" s="13" t="str">
        <f>Show!$B$135&amp;"S.26.01.01.03 Table value {"&amp;COLUMN($D$1)&amp;"}"</f>
        <v>!S.26.01.01.03 Table value {4}</v>
      </c>
    </row>
    <row r="130" spans="2:16">
      <c r="B130" t="s">
        <v>3111</v>
      </c>
    </row>
    <row r="131" spans="2:16">
      <c r="B131" s="40" t="s">
        <v>4622</v>
      </c>
      <c r="C131" s="53" t="s">
        <v>3113</v>
      </c>
      <c r="D131" s="51"/>
    </row>
    <row r="132" spans="2:16">
      <c r="O132" s="13" t="str">
        <f>Show!$B$135&amp;Show!$B$135&amp;"S.26.01.01.03 Table label {"&amp;COLUMN($C$1)&amp;"}"</f>
        <v>!!S.26.01.01.03 Table label {3}</v>
      </c>
      <c r="P132" s="13" t="str">
        <f>Show!$B$135&amp;Show!$B$135&amp;"S.26.01.01.03 Table value {"&amp;COLUMN($D$1)&amp;"}"</f>
        <v>!!S.26.01.01.03 Table value {4}</v>
      </c>
    </row>
    <row r="134" spans="2:16">
      <c r="D134" s="98" t="s">
        <v>2877</v>
      </c>
    </row>
    <row r="135" spans="2:16">
      <c r="D135" s="100"/>
    </row>
    <row r="136" spans="2:16">
      <c r="D136" s="55" t="s">
        <v>2574</v>
      </c>
    </row>
    <row r="137" spans="2:16">
      <c r="D137" s="45" t="s">
        <v>2879</v>
      </c>
      <c r="O137" s="13" t="str">
        <f>Show!$B$135&amp;"S.26.01.01.03 Rows {"&amp;COLUMN($C$1)&amp;"}"&amp;"@ForceFilingCode:true"</f>
        <v>!S.26.01.01.03 Rows {3}@ForceFilingCode:true</v>
      </c>
      <c r="P137" s="13" t="str">
        <f>Show!$B$135&amp;"S.26.01.01.03 Columns {"&amp;COLUMN($D$1)&amp;"}"</f>
        <v>!S.26.01.01.03 Columns {4}</v>
      </c>
    </row>
    <row r="138" spans="2:16">
      <c r="B138" s="43" t="s">
        <v>2880</v>
      </c>
      <c r="C138" s="44" t="s">
        <v>2878</v>
      </c>
      <c r="D138" s="46"/>
    </row>
    <row r="139" spans="2:16">
      <c r="B139" s="47" t="s">
        <v>4833</v>
      </c>
      <c r="C139" s="41" t="s">
        <v>4834</v>
      </c>
      <c r="D139" s="51"/>
    </row>
    <row r="140" spans="2:16">
      <c r="B140" s="47" t="s">
        <v>4835</v>
      </c>
      <c r="C140" s="41" t="s">
        <v>4836</v>
      </c>
      <c r="D140" s="51"/>
    </row>
    <row r="141" spans="2:16">
      <c r="B141" s="47" t="s">
        <v>4837</v>
      </c>
      <c r="C141" s="41" t="s">
        <v>2885</v>
      </c>
      <c r="D141" s="51"/>
    </row>
    <row r="142" spans="2:16">
      <c r="B142" s="47" t="s">
        <v>4838</v>
      </c>
      <c r="C142" s="41" t="s">
        <v>2887</v>
      </c>
      <c r="D142" s="51"/>
    </row>
    <row r="143" spans="2:16">
      <c r="B143" s="47" t="s">
        <v>4839</v>
      </c>
      <c r="C143" s="41" t="s">
        <v>2889</v>
      </c>
      <c r="D143" s="51"/>
    </row>
    <row r="145" spans="15:16">
      <c r="O145" s="13" t="str">
        <f>Show!$B$135&amp;Show!$B$135&amp;"S.26.01.01.03 Rows {"&amp;COLUMN($C$1)&amp;"}"</f>
        <v>!!S.26.01.01.03 Rows {3}</v>
      </c>
      <c r="P145" s="13" t="str">
        <f>Show!$B$135&amp;Show!$B$135&amp;"S.26.01.01.03 Columns {"&amp;COLUMN($D$1)&amp;"}"</f>
        <v>!!S.26.01.01.03 Columns {4}</v>
      </c>
    </row>
  </sheetData>
  <sheetProtection sheet="1" objects="1" scenarios="1"/>
  <mergeCells count="17">
    <mergeCell ref="D134:D135"/>
    <mergeCell ref="B66:L66"/>
    <mergeCell ref="D73:E74"/>
    <mergeCell ref="D75:E75"/>
    <mergeCell ref="D76:D77"/>
    <mergeCell ref="E76:E77"/>
    <mergeCell ref="B127:L127"/>
    <mergeCell ref="B2:O2"/>
    <mergeCell ref="B5:L5"/>
    <mergeCell ref="D12:H13"/>
    <mergeCell ref="D14:E14"/>
    <mergeCell ref="F14:H14"/>
    <mergeCell ref="D15:D16"/>
    <mergeCell ref="E15:E16"/>
    <mergeCell ref="F15:F16"/>
    <mergeCell ref="G15:G16"/>
    <mergeCell ref="H15:H16"/>
  </mergeCells>
  <dataValidations count="3">
    <dataValidation type="list" errorStyle="warning" allowBlank="1" showInputMessage="1" showErrorMessage="1" sqref="D9 D70 D131" xr:uid="{9F04F1D5-AE18-47F8-ADE4-9EFE25BDB611}">
      <formula1>hier_AO_1</formula1>
    </dataValidation>
    <dataValidation type="list" errorStyle="warning" allowBlank="1" showInputMessage="1" showErrorMessage="1" sqref="D140" xr:uid="{A282F277-CB5A-4DC6-B510-CB0D9C4399D1}">
      <formula1>hier_AP_25</formula1>
    </dataValidation>
    <dataValidation type="list" errorStyle="warning" allowBlank="1" showInputMessage="1" showErrorMessage="1" sqref="D141 D142 D143" xr:uid="{E45DDDEA-67E6-43A3-85F5-8B2774B4699B}">
      <formula1>hier_AP_17</formula1>
    </dataValidation>
  </dataValidation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976F-8008-468C-84C4-98C7860FCFD7}">
  <sheetPr codeName="Blad140"/>
  <dimension ref="B2:P161"/>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95" t="s">
        <v>714</v>
      </c>
      <c r="C2" s="96"/>
      <c r="D2" s="96"/>
      <c r="E2" s="96"/>
      <c r="F2" s="96"/>
      <c r="G2" s="96"/>
      <c r="H2" s="96"/>
      <c r="I2" s="96"/>
      <c r="J2" s="96"/>
      <c r="K2" s="96"/>
      <c r="L2" s="96"/>
      <c r="M2" s="96"/>
      <c r="N2" s="96"/>
      <c r="O2" s="96"/>
    </row>
    <row r="5" spans="2:16" ht="18.75">
      <c r="B5" s="97" t="s">
        <v>4840</v>
      </c>
      <c r="C5" s="96"/>
      <c r="D5" s="96"/>
      <c r="E5" s="96"/>
      <c r="F5" s="96"/>
      <c r="G5" s="96"/>
      <c r="H5" s="96"/>
      <c r="I5" s="96"/>
      <c r="J5" s="96"/>
      <c r="K5" s="96"/>
      <c r="L5" s="96"/>
    </row>
    <row r="7" spans="2:16">
      <c r="B7" t="s">
        <v>3110</v>
      </c>
      <c r="O7" s="13" t="str">
        <f>Show!$B$136&amp;"S.26.01.04.01 Table label {"&amp;COLUMN($C$1)&amp;"}"</f>
        <v>!S.26.01.04.01 Table label {3}</v>
      </c>
      <c r="P7" s="13" t="str">
        <f>Show!$B$136&amp;"S.26.01.04.01 Table value {"&amp;COLUMN($D$1)&amp;"}"</f>
        <v>!S.26.01.04.01 Table value {4}</v>
      </c>
    </row>
    <row r="8" spans="2:16">
      <c r="B8" t="s">
        <v>3111</v>
      </c>
    </row>
    <row r="9" spans="2:16">
      <c r="B9" s="40" t="s">
        <v>4622</v>
      </c>
      <c r="C9" s="53" t="s">
        <v>3113</v>
      </c>
      <c r="D9" s="51"/>
    </row>
    <row r="10" spans="2:16">
      <c r="O10" s="13" t="str">
        <f>Show!$B$136&amp;Show!$B$136&amp;"S.26.01.04.01 Table label {"&amp;COLUMN($C$1)&amp;"}"</f>
        <v>!!S.26.01.04.01 Table label {3}</v>
      </c>
      <c r="P10" s="13" t="str">
        <f>Show!$B$136&amp;Show!$B$136&amp;"S.26.01.04.01 Table value {"&amp;COLUMN($D$1)&amp;"}"</f>
        <v>!!S.26.01.04.01 Table value {4}</v>
      </c>
    </row>
    <row r="12" spans="2:16">
      <c r="D12" s="101" t="s">
        <v>2877</v>
      </c>
      <c r="E12" s="102"/>
      <c r="F12" s="102"/>
      <c r="G12" s="102"/>
      <c r="H12" s="103"/>
    </row>
    <row r="13" spans="2:16">
      <c r="D13" s="104"/>
      <c r="E13" s="105"/>
      <c r="F13" s="105"/>
      <c r="G13" s="105"/>
      <c r="H13" s="106"/>
    </row>
    <row r="14" spans="2:16">
      <c r="D14" s="107" t="s">
        <v>4763</v>
      </c>
      <c r="E14" s="109"/>
      <c r="F14" s="107" t="s">
        <v>4764</v>
      </c>
      <c r="G14" s="108"/>
      <c r="H14" s="109"/>
    </row>
    <row r="15" spans="2:16">
      <c r="D15" s="98" t="s">
        <v>3252</v>
      </c>
      <c r="E15" s="98" t="s">
        <v>2389</v>
      </c>
      <c r="F15" s="98" t="s">
        <v>3252</v>
      </c>
      <c r="G15" s="98" t="s">
        <v>4765</v>
      </c>
      <c r="H15" s="98" t="s">
        <v>4766</v>
      </c>
    </row>
    <row r="16" spans="2:16">
      <c r="D16" s="100"/>
      <c r="E16" s="100"/>
      <c r="F16" s="100"/>
      <c r="G16" s="100"/>
      <c r="H16" s="100"/>
    </row>
    <row r="17" spans="2:16">
      <c r="D17" s="45" t="s">
        <v>3219</v>
      </c>
      <c r="E17" s="45" t="s">
        <v>3225</v>
      </c>
      <c r="F17" s="45" t="s">
        <v>3223</v>
      </c>
      <c r="G17" s="45" t="s">
        <v>3229</v>
      </c>
      <c r="H17" s="45" t="s">
        <v>3233</v>
      </c>
      <c r="O17" s="13" t="str">
        <f>Show!$B$136&amp;"S.26.01.04.01 Rows {"&amp;COLUMN($C$1)&amp;"}"&amp;"@ForceFilingCode:true"</f>
        <v>!S.26.01.04.01 Rows {3}@ForceFilingCode:true</v>
      </c>
      <c r="P17" s="13" t="str">
        <f>Show!$B$136&amp;"S.26.01.04.01 Columns {"&amp;COLUMN($D$1)&amp;"}"</f>
        <v>!S.26.01.04.01 Columns {4}</v>
      </c>
    </row>
    <row r="18" spans="2:16">
      <c r="B18" s="43" t="s">
        <v>2880</v>
      </c>
      <c r="C18" s="44" t="s">
        <v>2878</v>
      </c>
      <c r="D18" s="58"/>
      <c r="E18" s="67"/>
      <c r="F18" s="67"/>
      <c r="G18" s="67"/>
      <c r="H18" s="59"/>
    </row>
    <row r="19" spans="2:16">
      <c r="B19" s="47" t="s">
        <v>4767</v>
      </c>
      <c r="C19" s="44" t="s">
        <v>2899</v>
      </c>
      <c r="D19" s="56"/>
      <c r="E19" s="56"/>
      <c r="F19" s="56"/>
      <c r="G19" s="56"/>
      <c r="H19" s="46"/>
    </row>
    <row r="20" spans="2:16">
      <c r="B20" s="49" t="s">
        <v>4768</v>
      </c>
      <c r="C20" s="41" t="s">
        <v>2901</v>
      </c>
      <c r="D20" s="60"/>
      <c r="E20" s="60"/>
      <c r="F20" s="60"/>
      <c r="G20" s="60"/>
      <c r="H20" s="60"/>
    </row>
    <row r="21" spans="2:16">
      <c r="B21" s="49" t="s">
        <v>4769</v>
      </c>
      <c r="C21" s="41" t="s">
        <v>2903</v>
      </c>
      <c r="D21" s="63"/>
      <c r="E21" s="63"/>
      <c r="F21" s="63"/>
      <c r="G21" s="63"/>
      <c r="H21" s="63"/>
    </row>
    <row r="22" spans="2:16">
      <c r="B22" s="47" t="s">
        <v>4770</v>
      </c>
      <c r="C22" s="44" t="s">
        <v>2919</v>
      </c>
      <c r="D22" s="56"/>
      <c r="E22" s="56"/>
      <c r="F22" s="56"/>
      <c r="G22" s="56"/>
      <c r="H22" s="46"/>
    </row>
    <row r="23" spans="2:16">
      <c r="B23" s="49" t="s">
        <v>4771</v>
      </c>
      <c r="C23" s="41" t="s">
        <v>2921</v>
      </c>
      <c r="D23" s="60"/>
      <c r="E23" s="63"/>
      <c r="F23" s="60"/>
      <c r="G23" s="63"/>
      <c r="H23" s="63"/>
    </row>
    <row r="24" spans="2:16">
      <c r="B24" s="61" t="s">
        <v>4772</v>
      </c>
      <c r="C24" s="41" t="s">
        <v>4773</v>
      </c>
      <c r="D24" s="64"/>
      <c r="E24" s="48"/>
      <c r="F24" s="64"/>
      <c r="G24" s="58"/>
      <c r="H24" s="48"/>
    </row>
    <row r="25" spans="2:16">
      <c r="B25" s="61" t="s">
        <v>4774</v>
      </c>
      <c r="C25" s="41" t="s">
        <v>2925</v>
      </c>
      <c r="D25" s="64"/>
      <c r="E25" s="48"/>
      <c r="F25" s="64"/>
      <c r="G25" s="58"/>
      <c r="H25" s="48"/>
    </row>
    <row r="26" spans="2:16">
      <c r="B26" s="61" t="s">
        <v>4775</v>
      </c>
      <c r="C26" s="41" t="s">
        <v>4776</v>
      </c>
      <c r="D26" s="64"/>
      <c r="E26" s="48"/>
      <c r="F26" s="64"/>
      <c r="G26" s="58"/>
      <c r="H26" s="48"/>
    </row>
    <row r="27" spans="2:16">
      <c r="B27" s="61" t="s">
        <v>4777</v>
      </c>
      <c r="C27" s="41" t="s">
        <v>2927</v>
      </c>
      <c r="D27" s="64"/>
      <c r="E27" s="46"/>
      <c r="F27" s="64"/>
      <c r="G27" s="56"/>
      <c r="H27" s="46"/>
    </row>
    <row r="28" spans="2:16">
      <c r="B28" s="49" t="s">
        <v>4778</v>
      </c>
      <c r="C28" s="41" t="s">
        <v>2929</v>
      </c>
      <c r="D28" s="60"/>
      <c r="E28" s="63"/>
      <c r="F28" s="60"/>
      <c r="G28" s="63"/>
      <c r="H28" s="63"/>
    </row>
    <row r="29" spans="2:16">
      <c r="B29" s="61" t="s">
        <v>4779</v>
      </c>
      <c r="C29" s="41" t="s">
        <v>4780</v>
      </c>
      <c r="D29" s="64"/>
      <c r="E29" s="48"/>
      <c r="F29" s="64"/>
      <c r="G29" s="58"/>
      <c r="H29" s="48"/>
    </row>
    <row r="30" spans="2:16">
      <c r="B30" s="61" t="s">
        <v>4781</v>
      </c>
      <c r="C30" s="41" t="s">
        <v>2933</v>
      </c>
      <c r="D30" s="64"/>
      <c r="E30" s="48"/>
      <c r="F30" s="64"/>
      <c r="G30" s="58"/>
      <c r="H30" s="48"/>
    </row>
    <row r="31" spans="2:16">
      <c r="B31" s="61" t="s">
        <v>4782</v>
      </c>
      <c r="C31" s="41" t="s">
        <v>4783</v>
      </c>
      <c r="D31" s="64"/>
      <c r="E31" s="48"/>
      <c r="F31" s="64"/>
      <c r="G31" s="58"/>
      <c r="H31" s="48"/>
    </row>
    <row r="32" spans="2:16">
      <c r="B32" s="61" t="s">
        <v>4784</v>
      </c>
      <c r="C32" s="41" t="s">
        <v>2935</v>
      </c>
      <c r="D32" s="64"/>
      <c r="E32" s="46"/>
      <c r="F32" s="64"/>
      <c r="G32" s="56"/>
      <c r="H32" s="46"/>
    </row>
    <row r="33" spans="2:8">
      <c r="B33" s="49" t="s">
        <v>4785</v>
      </c>
      <c r="C33" s="41" t="s">
        <v>4786</v>
      </c>
      <c r="D33" s="60"/>
      <c r="E33" s="63"/>
      <c r="F33" s="60"/>
      <c r="G33" s="63"/>
      <c r="H33" s="63"/>
    </row>
    <row r="34" spans="2:8">
      <c r="B34" s="61" t="s">
        <v>4787</v>
      </c>
      <c r="C34" s="41" t="s">
        <v>4788</v>
      </c>
      <c r="D34" s="64"/>
      <c r="E34" s="48"/>
      <c r="F34" s="64"/>
      <c r="G34" s="58"/>
      <c r="H34" s="48"/>
    </row>
    <row r="35" spans="2:8">
      <c r="B35" s="61" t="s">
        <v>4789</v>
      </c>
      <c r="C35" s="41" t="s">
        <v>4790</v>
      </c>
      <c r="D35" s="64"/>
      <c r="E35" s="48"/>
      <c r="F35" s="64"/>
      <c r="G35" s="58"/>
      <c r="H35" s="48"/>
    </row>
    <row r="36" spans="2:8">
      <c r="B36" s="61" t="s">
        <v>4791</v>
      </c>
      <c r="C36" s="41" t="s">
        <v>4792</v>
      </c>
      <c r="D36" s="64"/>
      <c r="E36" s="46"/>
      <c r="F36" s="64"/>
      <c r="G36" s="56"/>
      <c r="H36" s="46"/>
    </row>
    <row r="37" spans="2:8">
      <c r="B37" s="49" t="s">
        <v>4793</v>
      </c>
      <c r="C37" s="41" t="s">
        <v>4794</v>
      </c>
      <c r="D37" s="60"/>
      <c r="E37" s="63"/>
      <c r="F37" s="60"/>
      <c r="G37" s="63"/>
      <c r="H37" s="63"/>
    </row>
    <row r="38" spans="2:8" ht="30">
      <c r="B38" s="61" t="s">
        <v>4795</v>
      </c>
      <c r="C38" s="41" t="s">
        <v>4796</v>
      </c>
      <c r="D38" s="64"/>
      <c r="E38" s="48"/>
      <c r="F38" s="64"/>
      <c r="G38" s="58"/>
      <c r="H38" s="48"/>
    </row>
    <row r="39" spans="2:8">
      <c r="B39" s="61" t="s">
        <v>4797</v>
      </c>
      <c r="C39" s="41" t="s">
        <v>4798</v>
      </c>
      <c r="D39" s="64"/>
      <c r="E39" s="48"/>
      <c r="F39" s="64"/>
      <c r="G39" s="58"/>
      <c r="H39" s="48"/>
    </row>
    <row r="40" spans="2:8">
      <c r="B40" s="61" t="s">
        <v>4799</v>
      </c>
      <c r="C40" s="41" t="s">
        <v>4800</v>
      </c>
      <c r="D40" s="64"/>
      <c r="E40" s="46"/>
      <c r="F40" s="64"/>
      <c r="G40" s="56"/>
      <c r="H40" s="46"/>
    </row>
    <row r="41" spans="2:8">
      <c r="B41" s="47" t="s">
        <v>4801</v>
      </c>
      <c r="C41" s="41" t="s">
        <v>2939</v>
      </c>
      <c r="D41" s="63"/>
      <c r="E41" s="63"/>
      <c r="F41" s="63"/>
      <c r="G41" s="63"/>
      <c r="H41" s="63"/>
    </row>
    <row r="42" spans="2:8">
      <c r="B42" s="47" t="s">
        <v>4802</v>
      </c>
      <c r="C42" s="44" t="s">
        <v>2959</v>
      </c>
      <c r="D42" s="56"/>
      <c r="E42" s="56"/>
      <c r="F42" s="56"/>
      <c r="G42" s="56"/>
      <c r="H42" s="46"/>
    </row>
    <row r="43" spans="2:8">
      <c r="B43" s="49" t="s">
        <v>4803</v>
      </c>
      <c r="C43" s="41" t="s">
        <v>2961</v>
      </c>
      <c r="D43" s="60"/>
      <c r="E43" s="60"/>
      <c r="F43" s="60"/>
      <c r="G43" s="60"/>
      <c r="H43" s="60"/>
    </row>
    <row r="44" spans="2:8">
      <c r="B44" s="61" t="s">
        <v>4804</v>
      </c>
      <c r="C44" s="41" t="s">
        <v>4805</v>
      </c>
      <c r="D44" s="60"/>
      <c r="E44" s="60"/>
      <c r="F44" s="60"/>
      <c r="G44" s="60"/>
      <c r="H44" s="60"/>
    </row>
    <row r="45" spans="2:8" ht="30">
      <c r="B45" s="61" t="s">
        <v>4806</v>
      </c>
      <c r="C45" s="41" t="s">
        <v>4807</v>
      </c>
      <c r="D45" s="60"/>
      <c r="E45" s="60"/>
      <c r="F45" s="60"/>
      <c r="G45" s="60"/>
      <c r="H45" s="60"/>
    </row>
    <row r="46" spans="2:8" ht="30">
      <c r="B46" s="61" t="s">
        <v>4808</v>
      </c>
      <c r="C46" s="41" t="s">
        <v>4809</v>
      </c>
      <c r="D46" s="63"/>
      <c r="E46" s="63"/>
      <c r="F46" s="63"/>
      <c r="G46" s="63"/>
      <c r="H46" s="63"/>
    </row>
    <row r="47" spans="2:8">
      <c r="B47" s="49" t="s">
        <v>4810</v>
      </c>
      <c r="C47" s="44" t="s">
        <v>2963</v>
      </c>
      <c r="D47" s="56"/>
      <c r="E47" s="56"/>
      <c r="F47" s="56"/>
      <c r="G47" s="56"/>
      <c r="H47" s="46"/>
    </row>
    <row r="48" spans="2:8">
      <c r="B48" s="61" t="s">
        <v>4811</v>
      </c>
      <c r="C48" s="41" t="s">
        <v>2965</v>
      </c>
      <c r="D48" s="60"/>
      <c r="E48" s="60"/>
      <c r="F48" s="60"/>
      <c r="G48" s="60"/>
      <c r="H48" s="60"/>
    </row>
    <row r="49" spans="2:16">
      <c r="B49" s="61" t="s">
        <v>4812</v>
      </c>
      <c r="C49" s="41" t="s">
        <v>2967</v>
      </c>
      <c r="D49" s="60"/>
      <c r="E49" s="60"/>
      <c r="F49" s="60"/>
      <c r="G49" s="60"/>
      <c r="H49" s="60"/>
    </row>
    <row r="50" spans="2:16">
      <c r="B50" s="49" t="s">
        <v>4813</v>
      </c>
      <c r="C50" s="41" t="s">
        <v>2969</v>
      </c>
      <c r="D50" s="60"/>
      <c r="E50" s="60"/>
      <c r="F50" s="60"/>
      <c r="G50" s="60"/>
      <c r="H50" s="60"/>
    </row>
    <row r="51" spans="2:16">
      <c r="B51" s="61" t="s">
        <v>4814</v>
      </c>
      <c r="C51" s="41" t="s">
        <v>4815</v>
      </c>
      <c r="D51" s="60"/>
      <c r="E51" s="60"/>
      <c r="F51" s="60"/>
      <c r="G51" s="60"/>
      <c r="H51" s="60"/>
    </row>
    <row r="52" spans="2:16">
      <c r="B52" s="61" t="s">
        <v>4816</v>
      </c>
      <c r="C52" s="41" t="s">
        <v>4817</v>
      </c>
      <c r="D52" s="60"/>
      <c r="E52" s="60"/>
      <c r="F52" s="60"/>
      <c r="G52" s="60"/>
      <c r="H52" s="60"/>
    </row>
    <row r="53" spans="2:16">
      <c r="B53" s="61" t="s">
        <v>4818</v>
      </c>
      <c r="C53" s="41" t="s">
        <v>2975</v>
      </c>
      <c r="D53" s="60"/>
      <c r="E53" s="60"/>
      <c r="F53" s="60"/>
      <c r="G53" s="60"/>
      <c r="H53" s="60"/>
    </row>
    <row r="54" spans="2:16">
      <c r="B54" s="61" t="s">
        <v>4819</v>
      </c>
      <c r="C54" s="41" t="s">
        <v>4820</v>
      </c>
      <c r="D54" s="60"/>
      <c r="E54" s="60"/>
      <c r="F54" s="60"/>
      <c r="G54" s="60"/>
      <c r="H54" s="60"/>
    </row>
    <row r="55" spans="2:16">
      <c r="B55" s="61" t="s">
        <v>4821</v>
      </c>
      <c r="C55" s="41" t="s">
        <v>4822</v>
      </c>
      <c r="D55" s="60"/>
      <c r="E55" s="60"/>
      <c r="F55" s="60"/>
      <c r="G55" s="60"/>
      <c r="H55" s="60"/>
    </row>
    <row r="56" spans="2:16">
      <c r="B56" s="61" t="s">
        <v>4823</v>
      </c>
      <c r="C56" s="41" t="s">
        <v>4824</v>
      </c>
      <c r="D56" s="60"/>
      <c r="E56" s="63"/>
      <c r="F56" s="63"/>
      <c r="G56" s="63"/>
      <c r="H56" s="63"/>
    </row>
    <row r="57" spans="2:16">
      <c r="B57" s="47" t="s">
        <v>4825</v>
      </c>
      <c r="C57" s="41" t="s">
        <v>2977</v>
      </c>
      <c r="D57" s="65"/>
      <c r="E57" s="58"/>
      <c r="F57" s="58"/>
      <c r="G57" s="58"/>
      <c r="H57" s="48"/>
    </row>
    <row r="58" spans="2:16">
      <c r="B58" s="47" t="s">
        <v>4826</v>
      </c>
      <c r="C58" s="44" t="s">
        <v>2997</v>
      </c>
      <c r="D58" s="56"/>
      <c r="E58" s="56"/>
      <c r="F58" s="56"/>
      <c r="G58" s="56"/>
      <c r="H58" s="46"/>
    </row>
    <row r="59" spans="2:16">
      <c r="B59" s="49" t="s">
        <v>4827</v>
      </c>
      <c r="C59" s="41" t="s">
        <v>2999</v>
      </c>
      <c r="D59" s="60"/>
      <c r="E59" s="60"/>
      <c r="F59" s="60"/>
      <c r="G59" s="60"/>
      <c r="H59" s="60"/>
    </row>
    <row r="60" spans="2:16">
      <c r="B60" s="49" t="s">
        <v>4828</v>
      </c>
      <c r="C60" s="41" t="s">
        <v>3001</v>
      </c>
      <c r="D60" s="63"/>
      <c r="E60" s="63"/>
      <c r="F60" s="63"/>
      <c r="G60" s="63"/>
      <c r="H60" s="63"/>
    </row>
    <row r="61" spans="2:16">
      <c r="B61" s="47" t="s">
        <v>4829</v>
      </c>
      <c r="C61" s="44" t="s">
        <v>3064</v>
      </c>
      <c r="D61" s="58"/>
      <c r="E61" s="58"/>
      <c r="F61" s="58"/>
      <c r="G61" s="58"/>
      <c r="H61" s="48"/>
    </row>
    <row r="62" spans="2:16">
      <c r="B62" s="47" t="s">
        <v>4830</v>
      </c>
      <c r="C62" s="44" t="s">
        <v>3120</v>
      </c>
      <c r="D62" s="56"/>
      <c r="E62" s="56"/>
      <c r="F62" s="56"/>
      <c r="G62" s="56"/>
      <c r="H62" s="46"/>
    </row>
    <row r="64" spans="2:16">
      <c r="O64" s="13" t="str">
        <f>Show!$B$136&amp;Show!$B$136&amp;"S.26.01.04.01 Rows {"&amp;COLUMN($C$1)&amp;"}"</f>
        <v>!!S.26.01.04.01 Rows {3}</v>
      </c>
      <c r="P64" s="13" t="str">
        <f>Show!$B$136&amp;Show!$B$136&amp;"S.26.01.04.01 Columns {"&amp;COLUMN($H$1)&amp;"}"</f>
        <v>!!S.26.01.04.01 Columns {8}</v>
      </c>
    </row>
    <row r="66" spans="2:16" ht="18.75">
      <c r="B66" s="97" t="s">
        <v>4841</v>
      </c>
      <c r="C66" s="96"/>
      <c r="D66" s="96"/>
      <c r="E66" s="96"/>
      <c r="F66" s="96"/>
      <c r="G66" s="96"/>
      <c r="H66" s="96"/>
      <c r="I66" s="96"/>
      <c r="J66" s="96"/>
      <c r="K66" s="96"/>
      <c r="L66" s="96"/>
    </row>
    <row r="68" spans="2:16">
      <c r="B68" t="s">
        <v>3110</v>
      </c>
      <c r="O68" s="13" t="str">
        <f>Show!$B$136&amp;"S.26.01.04.02 Table label {"&amp;COLUMN($C$1)&amp;"}"</f>
        <v>!S.26.01.04.02 Table label {3}</v>
      </c>
      <c r="P68" s="13" t="str">
        <f>Show!$B$136&amp;"S.26.01.04.02 Table value {"&amp;COLUMN($D$1)&amp;"}"</f>
        <v>!S.26.01.04.02 Table value {4}</v>
      </c>
    </row>
    <row r="69" spans="2:16">
      <c r="B69" t="s">
        <v>3111</v>
      </c>
    </row>
    <row r="70" spans="2:16">
      <c r="B70" s="40" t="s">
        <v>4622</v>
      </c>
      <c r="C70" s="53" t="s">
        <v>3113</v>
      </c>
      <c r="D70" s="51"/>
    </row>
    <row r="71" spans="2:16">
      <c r="O71" s="13" t="str">
        <f>Show!$B$136&amp;Show!$B$136&amp;"S.26.01.04.02 Table label {"&amp;COLUMN($C$1)&amp;"}"</f>
        <v>!!S.26.01.04.02 Table label {3}</v>
      </c>
      <c r="P71" s="13" t="str">
        <f>Show!$B$136&amp;Show!$B$136&amp;"S.26.01.04.02 Table value {"&amp;COLUMN($D$1)&amp;"}"</f>
        <v>!!S.26.01.04.02 Table value {4}</v>
      </c>
    </row>
    <row r="73" spans="2:16">
      <c r="D73" s="101" t="s">
        <v>2877</v>
      </c>
      <c r="E73" s="103"/>
    </row>
    <row r="74" spans="2:16">
      <c r="D74" s="104"/>
      <c r="E74" s="106"/>
    </row>
    <row r="75" spans="2:16">
      <c r="D75" s="107" t="s">
        <v>4764</v>
      </c>
      <c r="E75" s="109"/>
    </row>
    <row r="76" spans="2:16">
      <c r="D76" s="98" t="s">
        <v>4623</v>
      </c>
      <c r="E76" s="98" t="s">
        <v>4624</v>
      </c>
    </row>
    <row r="77" spans="2:16">
      <c r="D77" s="100"/>
      <c r="E77" s="100"/>
    </row>
    <row r="78" spans="2:16">
      <c r="D78" s="45" t="s">
        <v>3231</v>
      </c>
      <c r="E78" s="45" t="s">
        <v>3234</v>
      </c>
      <c r="O78" s="13" t="str">
        <f>Show!$B$136&amp;"S.26.01.04.02 Rows {"&amp;COLUMN($C$1)&amp;"}"&amp;"@ForceFilingCode:true"</f>
        <v>!S.26.01.04.02 Rows {3}@ForceFilingCode:true</v>
      </c>
      <c r="P78" s="13" t="str">
        <f>Show!$B$136&amp;"S.26.01.04.02 Columns {"&amp;COLUMN($D$1)&amp;"}"</f>
        <v>!S.26.01.04.02 Columns {4}</v>
      </c>
    </row>
    <row r="79" spans="2:16">
      <c r="B79" s="43" t="s">
        <v>2880</v>
      </c>
      <c r="C79" s="44" t="s">
        <v>2878</v>
      </c>
      <c r="D79" s="56"/>
      <c r="E79" s="57"/>
    </row>
    <row r="80" spans="2:16">
      <c r="B80" s="47" t="s">
        <v>4767</v>
      </c>
      <c r="C80" s="41" t="s">
        <v>2899</v>
      </c>
      <c r="D80" s="60"/>
      <c r="E80" s="60"/>
    </row>
    <row r="81" spans="2:5">
      <c r="B81" s="49" t="s">
        <v>4768</v>
      </c>
      <c r="C81" s="41" t="s">
        <v>2901</v>
      </c>
      <c r="D81" s="60"/>
      <c r="E81" s="60"/>
    </row>
    <row r="82" spans="2:5">
      <c r="B82" s="49" t="s">
        <v>4769</v>
      </c>
      <c r="C82" s="41" t="s">
        <v>2903</v>
      </c>
      <c r="D82" s="60"/>
      <c r="E82" s="60"/>
    </row>
    <row r="83" spans="2:5">
      <c r="B83" s="47" t="s">
        <v>4770</v>
      </c>
      <c r="C83" s="41" t="s">
        <v>2919</v>
      </c>
      <c r="D83" s="60"/>
      <c r="E83" s="60"/>
    </row>
    <row r="84" spans="2:5">
      <c r="B84" s="49" t="s">
        <v>4771</v>
      </c>
      <c r="C84" s="41" t="s">
        <v>2921</v>
      </c>
      <c r="D84" s="63"/>
      <c r="E84" s="63"/>
    </row>
    <row r="85" spans="2:5">
      <c r="B85" s="61" t="s">
        <v>4772</v>
      </c>
      <c r="C85" s="44" t="s">
        <v>4773</v>
      </c>
      <c r="D85" s="58"/>
      <c r="E85" s="48"/>
    </row>
    <row r="86" spans="2:5">
      <c r="B86" s="61" t="s">
        <v>4774</v>
      </c>
      <c r="C86" s="44" t="s">
        <v>2925</v>
      </c>
      <c r="D86" s="58"/>
      <c r="E86" s="48"/>
    </row>
    <row r="87" spans="2:5">
      <c r="B87" s="61" t="s">
        <v>4775</v>
      </c>
      <c r="C87" s="44" t="s">
        <v>4776</v>
      </c>
      <c r="D87" s="58"/>
      <c r="E87" s="48"/>
    </row>
    <row r="88" spans="2:5">
      <c r="B88" s="61" t="s">
        <v>4777</v>
      </c>
      <c r="C88" s="44" t="s">
        <v>2927</v>
      </c>
      <c r="D88" s="56"/>
      <c r="E88" s="46"/>
    </row>
    <row r="89" spans="2:5">
      <c r="B89" s="49" t="s">
        <v>4778</v>
      </c>
      <c r="C89" s="41" t="s">
        <v>2929</v>
      </c>
      <c r="D89" s="63"/>
      <c r="E89" s="63"/>
    </row>
    <row r="90" spans="2:5">
      <c r="B90" s="61" t="s">
        <v>4779</v>
      </c>
      <c r="C90" s="44" t="s">
        <v>4780</v>
      </c>
      <c r="D90" s="58"/>
      <c r="E90" s="48"/>
    </row>
    <row r="91" spans="2:5">
      <c r="B91" s="61" t="s">
        <v>4781</v>
      </c>
      <c r="C91" s="44" t="s">
        <v>2933</v>
      </c>
      <c r="D91" s="58"/>
      <c r="E91" s="48"/>
    </row>
    <row r="92" spans="2:5">
      <c r="B92" s="61" t="s">
        <v>4782</v>
      </c>
      <c r="C92" s="44" t="s">
        <v>4783</v>
      </c>
      <c r="D92" s="58"/>
      <c r="E92" s="48"/>
    </row>
    <row r="93" spans="2:5">
      <c r="B93" s="61" t="s">
        <v>4784</v>
      </c>
      <c r="C93" s="44" t="s">
        <v>2935</v>
      </c>
      <c r="D93" s="56"/>
      <c r="E93" s="46"/>
    </row>
    <row r="94" spans="2:5">
      <c r="B94" s="49" t="s">
        <v>4785</v>
      </c>
      <c r="C94" s="41" t="s">
        <v>4786</v>
      </c>
      <c r="D94" s="63"/>
      <c r="E94" s="63"/>
    </row>
    <row r="95" spans="2:5">
      <c r="B95" s="61" t="s">
        <v>4787</v>
      </c>
      <c r="C95" s="44" t="s">
        <v>4788</v>
      </c>
      <c r="D95" s="58"/>
      <c r="E95" s="48"/>
    </row>
    <row r="96" spans="2:5">
      <c r="B96" s="61" t="s">
        <v>4789</v>
      </c>
      <c r="C96" s="44" t="s">
        <v>4790</v>
      </c>
      <c r="D96" s="58"/>
      <c r="E96" s="48"/>
    </row>
    <row r="97" spans="2:5">
      <c r="B97" s="61" t="s">
        <v>4791</v>
      </c>
      <c r="C97" s="44" t="s">
        <v>4792</v>
      </c>
      <c r="D97" s="56"/>
      <c r="E97" s="46"/>
    </row>
    <row r="98" spans="2:5">
      <c r="B98" s="49" t="s">
        <v>4793</v>
      </c>
      <c r="C98" s="41" t="s">
        <v>4794</v>
      </c>
      <c r="D98" s="63"/>
      <c r="E98" s="63"/>
    </row>
    <row r="99" spans="2:5" ht="30">
      <c r="B99" s="61" t="s">
        <v>4795</v>
      </c>
      <c r="C99" s="44" t="s">
        <v>4796</v>
      </c>
      <c r="D99" s="58"/>
      <c r="E99" s="48"/>
    </row>
    <row r="100" spans="2:5">
      <c r="B100" s="61" t="s">
        <v>4797</v>
      </c>
      <c r="C100" s="44" t="s">
        <v>4798</v>
      </c>
      <c r="D100" s="58"/>
      <c r="E100" s="48"/>
    </row>
    <row r="101" spans="2:5">
      <c r="B101" s="61" t="s">
        <v>4799</v>
      </c>
      <c r="C101" s="44" t="s">
        <v>4800</v>
      </c>
      <c r="D101" s="56"/>
      <c r="E101" s="46"/>
    </row>
    <row r="102" spans="2:5">
      <c r="B102" s="47" t="s">
        <v>4801</v>
      </c>
      <c r="C102" s="41" t="s">
        <v>2939</v>
      </c>
      <c r="D102" s="60"/>
      <c r="E102" s="60"/>
    </row>
    <row r="103" spans="2:5">
      <c r="B103" s="47" t="s">
        <v>4802</v>
      </c>
      <c r="C103" s="41" t="s">
        <v>2959</v>
      </c>
      <c r="D103" s="60"/>
      <c r="E103" s="60"/>
    </row>
    <row r="104" spans="2:5">
      <c r="B104" s="49" t="s">
        <v>4803</v>
      </c>
      <c r="C104" s="41" t="s">
        <v>2961</v>
      </c>
      <c r="D104" s="60"/>
      <c r="E104" s="60"/>
    </row>
    <row r="105" spans="2:5">
      <c r="B105" s="61" t="s">
        <v>4804</v>
      </c>
      <c r="C105" s="41" t="s">
        <v>4805</v>
      </c>
      <c r="D105" s="60"/>
      <c r="E105" s="60"/>
    </row>
    <row r="106" spans="2:5" ht="30">
      <c r="B106" s="61" t="s">
        <v>4806</v>
      </c>
      <c r="C106" s="41" t="s">
        <v>4807</v>
      </c>
      <c r="D106" s="60"/>
      <c r="E106" s="60"/>
    </row>
    <row r="107" spans="2:5" ht="30">
      <c r="B107" s="61" t="s">
        <v>4808</v>
      </c>
      <c r="C107" s="41" t="s">
        <v>4809</v>
      </c>
      <c r="D107" s="60"/>
      <c r="E107" s="60"/>
    </row>
    <row r="108" spans="2:5">
      <c r="B108" s="49" t="s">
        <v>4810</v>
      </c>
      <c r="C108" s="41" t="s">
        <v>2963</v>
      </c>
      <c r="D108" s="60"/>
      <c r="E108" s="60"/>
    </row>
    <row r="109" spans="2:5">
      <c r="B109" s="61" t="s">
        <v>4811</v>
      </c>
      <c r="C109" s="41" t="s">
        <v>2965</v>
      </c>
      <c r="D109" s="60"/>
      <c r="E109" s="60"/>
    </row>
    <row r="110" spans="2:5">
      <c r="B110" s="61" t="s">
        <v>4812</v>
      </c>
      <c r="C110" s="41" t="s">
        <v>2967</v>
      </c>
      <c r="D110" s="60"/>
      <c r="E110" s="60"/>
    </row>
    <row r="111" spans="2:5">
      <c r="B111" s="49" t="s">
        <v>4813</v>
      </c>
      <c r="C111" s="41" t="s">
        <v>2969</v>
      </c>
      <c r="D111" s="60"/>
      <c r="E111" s="60"/>
    </row>
    <row r="112" spans="2:5">
      <c r="B112" s="61" t="s">
        <v>4814</v>
      </c>
      <c r="C112" s="41" t="s">
        <v>4815</v>
      </c>
      <c r="D112" s="60"/>
      <c r="E112" s="60"/>
    </row>
    <row r="113" spans="2:16">
      <c r="B113" s="61" t="s">
        <v>4816</v>
      </c>
      <c r="C113" s="41" t="s">
        <v>4817</v>
      </c>
      <c r="D113" s="60"/>
      <c r="E113" s="60"/>
    </row>
    <row r="114" spans="2:16">
      <c r="B114" s="61" t="s">
        <v>4818</v>
      </c>
      <c r="C114" s="41" t="s">
        <v>2975</v>
      </c>
      <c r="D114" s="60"/>
      <c r="E114" s="60"/>
    </row>
    <row r="115" spans="2:16">
      <c r="B115" s="61" t="s">
        <v>4819</v>
      </c>
      <c r="C115" s="41" t="s">
        <v>4820</v>
      </c>
      <c r="D115" s="60"/>
      <c r="E115" s="60"/>
    </row>
    <row r="116" spans="2:16">
      <c r="B116" s="61" t="s">
        <v>4821</v>
      </c>
      <c r="C116" s="41" t="s">
        <v>4822</v>
      </c>
      <c r="D116" s="60"/>
      <c r="E116" s="60"/>
    </row>
    <row r="117" spans="2:16">
      <c r="B117" s="61" t="s">
        <v>4823</v>
      </c>
      <c r="C117" s="41" t="s">
        <v>4824</v>
      </c>
      <c r="D117" s="60"/>
      <c r="E117" s="60"/>
    </row>
    <row r="118" spans="2:16">
      <c r="B118" s="47" t="s">
        <v>4825</v>
      </c>
      <c r="C118" s="41" t="s">
        <v>2977</v>
      </c>
      <c r="D118" s="60"/>
      <c r="E118" s="60"/>
    </row>
    <row r="119" spans="2:16">
      <c r="B119" s="47" t="s">
        <v>4826</v>
      </c>
      <c r="C119" s="41" t="s">
        <v>2997</v>
      </c>
      <c r="D119" s="60"/>
      <c r="E119" s="60"/>
    </row>
    <row r="120" spans="2:16">
      <c r="B120" s="49" t="s">
        <v>4827</v>
      </c>
      <c r="C120" s="41" t="s">
        <v>2999</v>
      </c>
      <c r="D120" s="60"/>
      <c r="E120" s="60"/>
    </row>
    <row r="121" spans="2:16">
      <c r="B121" s="49" t="s">
        <v>4828</v>
      </c>
      <c r="C121" s="41" t="s">
        <v>3001</v>
      </c>
      <c r="D121" s="60"/>
      <c r="E121" s="60"/>
    </row>
    <row r="122" spans="2:16">
      <c r="B122" s="47" t="s">
        <v>4829</v>
      </c>
      <c r="C122" s="41" t="s">
        <v>3064</v>
      </c>
      <c r="D122" s="60"/>
      <c r="E122" s="60"/>
    </row>
    <row r="123" spans="2:16">
      <c r="B123" s="47" t="s">
        <v>4830</v>
      </c>
      <c r="C123" s="41" t="s">
        <v>3120</v>
      </c>
      <c r="D123" s="60"/>
      <c r="E123" s="60"/>
    </row>
    <row r="125" spans="2:16">
      <c r="O125" s="13" t="str">
        <f>Show!$B$136&amp;Show!$B$136&amp;"S.26.01.04.02 Rows {"&amp;COLUMN($C$1)&amp;"}"</f>
        <v>!!S.26.01.04.02 Rows {3}</v>
      </c>
      <c r="P125" s="13" t="str">
        <f>Show!$B$136&amp;Show!$B$136&amp;"S.26.01.04.02 Columns {"&amp;COLUMN($E$1)&amp;"}"</f>
        <v>!!S.26.01.04.02 Columns {5}</v>
      </c>
    </row>
    <row r="127" spans="2:16" ht="18.75">
      <c r="B127" s="97" t="s">
        <v>4842</v>
      </c>
      <c r="C127" s="96"/>
      <c r="D127" s="96"/>
      <c r="E127" s="96"/>
      <c r="F127" s="96"/>
      <c r="G127" s="96"/>
      <c r="H127" s="96"/>
      <c r="I127" s="96"/>
      <c r="J127" s="96"/>
      <c r="K127" s="96"/>
      <c r="L127" s="96"/>
    </row>
    <row r="129" spans="2:16">
      <c r="B129" t="s">
        <v>3110</v>
      </c>
      <c r="O129" s="13" t="str">
        <f>Show!$B$136&amp;"S.26.01.04.03 Table label {"&amp;COLUMN($C$1)&amp;"}"</f>
        <v>!S.26.01.04.03 Table label {3}</v>
      </c>
      <c r="P129" s="13" t="str">
        <f>Show!$B$136&amp;"S.26.01.04.03 Table value {"&amp;COLUMN($D$1)&amp;"}"</f>
        <v>!S.26.01.04.03 Table value {4}</v>
      </c>
    </row>
    <row r="130" spans="2:16">
      <c r="B130" t="s">
        <v>3111</v>
      </c>
    </row>
    <row r="131" spans="2:16">
      <c r="B131" s="40" t="s">
        <v>4622</v>
      </c>
      <c r="C131" s="53" t="s">
        <v>3113</v>
      </c>
      <c r="D131" s="51"/>
    </row>
    <row r="132" spans="2:16">
      <c r="O132" s="13" t="str">
        <f>Show!$B$136&amp;Show!$B$136&amp;"S.26.01.04.03 Table label {"&amp;COLUMN($C$1)&amp;"}"</f>
        <v>!!S.26.01.04.03 Table label {3}</v>
      </c>
      <c r="P132" s="13" t="str">
        <f>Show!$B$136&amp;Show!$B$136&amp;"S.26.01.04.03 Table value {"&amp;COLUMN($D$1)&amp;"}"</f>
        <v>!!S.26.01.04.03 Table value {4}</v>
      </c>
    </row>
    <row r="134" spans="2:16">
      <c r="D134" s="98" t="s">
        <v>2877</v>
      </c>
    </row>
    <row r="135" spans="2:16">
      <c r="D135" s="100"/>
    </row>
    <row r="136" spans="2:16">
      <c r="D136" s="55" t="s">
        <v>2574</v>
      </c>
    </row>
    <row r="137" spans="2:16">
      <c r="D137" s="45" t="s">
        <v>2879</v>
      </c>
      <c r="O137" s="13" t="str">
        <f>Show!$B$136&amp;"S.26.01.04.03 Rows {"&amp;COLUMN($C$1)&amp;"}"&amp;"@ForceFilingCode:true"</f>
        <v>!S.26.01.04.03 Rows {3}@ForceFilingCode:true</v>
      </c>
      <c r="P137" s="13" t="str">
        <f>Show!$B$136&amp;"S.26.01.04.03 Columns {"&amp;COLUMN($D$1)&amp;"}"</f>
        <v>!S.26.01.04.03 Columns {4}</v>
      </c>
    </row>
    <row r="138" spans="2:16">
      <c r="B138" s="43" t="s">
        <v>2880</v>
      </c>
      <c r="C138" s="44" t="s">
        <v>2878</v>
      </c>
      <c r="D138" s="46"/>
    </row>
    <row r="139" spans="2:16">
      <c r="B139" s="47" t="s">
        <v>4833</v>
      </c>
      <c r="C139" s="41" t="s">
        <v>4834</v>
      </c>
      <c r="D139" s="51"/>
    </row>
    <row r="140" spans="2:16">
      <c r="B140" s="47" t="s">
        <v>4835</v>
      </c>
      <c r="C140" s="41" t="s">
        <v>4836</v>
      </c>
      <c r="D140" s="51"/>
    </row>
    <row r="141" spans="2:16">
      <c r="B141" s="47" t="s">
        <v>4837</v>
      </c>
      <c r="C141" s="41" t="s">
        <v>2885</v>
      </c>
      <c r="D141" s="51"/>
    </row>
    <row r="142" spans="2:16">
      <c r="B142" s="47" t="s">
        <v>4838</v>
      </c>
      <c r="C142" s="41" t="s">
        <v>2887</v>
      </c>
      <c r="D142" s="51"/>
    </row>
    <row r="143" spans="2:16">
      <c r="B143" s="47" t="s">
        <v>4839</v>
      </c>
      <c r="C143" s="41" t="s">
        <v>2889</v>
      </c>
      <c r="D143" s="51"/>
    </row>
    <row r="145" spans="2:16">
      <c r="O145" s="13" t="str">
        <f>Show!$B$136&amp;Show!$B$136&amp;"S.26.01.04.03 Rows {"&amp;COLUMN($C$1)&amp;"}"</f>
        <v>!!S.26.01.04.03 Rows {3}</v>
      </c>
      <c r="P145" s="13" t="str">
        <f>Show!$B$136&amp;Show!$B$136&amp;"S.26.01.04.03 Columns {"&amp;COLUMN($D$1)&amp;"}"</f>
        <v>!!S.26.01.04.03 Columns {4}</v>
      </c>
    </row>
    <row r="147" spans="2:16" ht="18.75">
      <c r="B147" s="97" t="s">
        <v>4843</v>
      </c>
      <c r="C147" s="96"/>
      <c r="D147" s="96"/>
      <c r="E147" s="96"/>
      <c r="F147" s="96"/>
      <c r="G147" s="96"/>
      <c r="H147" s="96"/>
      <c r="I147" s="96"/>
      <c r="J147" s="96"/>
      <c r="K147" s="96"/>
      <c r="L147" s="96"/>
    </row>
    <row r="149" spans="2:16">
      <c r="B149" t="s">
        <v>3110</v>
      </c>
      <c r="O149" s="13" t="str">
        <f>Show!$B$136&amp;"S.26.01.04.04 Table label {"&amp;COLUMN($C$1)&amp;"}"</f>
        <v>!S.26.01.04.04 Table label {3}</v>
      </c>
      <c r="P149" s="13" t="str">
        <f>Show!$B$136&amp;"S.26.01.04.04 Table value {"&amp;COLUMN($D$1)&amp;"}"</f>
        <v>!S.26.01.04.04 Table value {4}</v>
      </c>
    </row>
    <row r="150" spans="2:16">
      <c r="B150" t="s">
        <v>3111</v>
      </c>
    </row>
    <row r="151" spans="2:16">
      <c r="B151" s="40" t="s">
        <v>4622</v>
      </c>
      <c r="C151" s="53" t="s">
        <v>3113</v>
      </c>
      <c r="D151" s="51"/>
    </row>
    <row r="152" spans="2:16">
      <c r="O152" s="13" t="str">
        <f>Show!$B$136&amp;Show!$B$136&amp;"S.26.01.04.04 Table label {"&amp;COLUMN($C$1)&amp;"}"</f>
        <v>!!S.26.01.04.04 Table label {3}</v>
      </c>
      <c r="P152" s="13" t="str">
        <f>Show!$B$136&amp;Show!$B$136&amp;"S.26.01.04.04 Table value {"&amp;COLUMN($D$1)&amp;"}"</f>
        <v>!!S.26.01.04.04 Table value {4}</v>
      </c>
    </row>
    <row r="154" spans="2:16">
      <c r="D154" s="98" t="s">
        <v>2877</v>
      </c>
    </row>
    <row r="155" spans="2:16">
      <c r="D155" s="99"/>
    </row>
    <row r="156" spans="2:16">
      <c r="D156" s="100"/>
    </row>
    <row r="157" spans="2:16">
      <c r="D157" s="45" t="s">
        <v>3236</v>
      </c>
      <c r="O157" s="13" t="str">
        <f>Show!$B$136&amp;"S.26.01.04.04 Rows {"&amp;COLUMN($C$1)&amp;"}"&amp;"@ForceFilingCode:true"</f>
        <v>!S.26.01.04.04 Rows {3}@ForceFilingCode:true</v>
      </c>
      <c r="P157" s="13" t="str">
        <f>Show!$B$136&amp;"S.26.01.04.04 Columns {"&amp;COLUMN($D$1)&amp;"}"</f>
        <v>!S.26.01.04.04 Columns {4}</v>
      </c>
    </row>
    <row r="158" spans="2:16">
      <c r="B158" s="43" t="s">
        <v>2880</v>
      </c>
      <c r="C158" s="44" t="s">
        <v>2878</v>
      </c>
      <c r="D158" s="46"/>
    </row>
    <row r="159" spans="2:16">
      <c r="B159" s="47" t="s">
        <v>4844</v>
      </c>
      <c r="C159" s="41" t="s">
        <v>3122</v>
      </c>
      <c r="D159" s="51"/>
    </row>
    <row r="161" spans="15:16">
      <c r="O161" s="13" t="str">
        <f>Show!$B$136&amp;Show!$B$136&amp;"S.26.01.04.04 Rows {"&amp;COLUMN($C$1)&amp;"}"</f>
        <v>!!S.26.01.04.04 Rows {3}</v>
      </c>
      <c r="P161" s="13" t="str">
        <f>Show!$B$136&amp;Show!$B$136&amp;"S.26.01.04.04 Columns {"&amp;COLUMN($D$1)&amp;"}"</f>
        <v>!!S.26.01.04.04 Columns {4}</v>
      </c>
    </row>
  </sheetData>
  <sheetProtection sheet="1" objects="1" scenarios="1"/>
  <mergeCells count="19">
    <mergeCell ref="D134:D135"/>
    <mergeCell ref="B147:L147"/>
    <mergeCell ref="D154:D156"/>
    <mergeCell ref="B66:L66"/>
    <mergeCell ref="D73:E74"/>
    <mergeCell ref="D75:E75"/>
    <mergeCell ref="D76:D77"/>
    <mergeCell ref="E76:E77"/>
    <mergeCell ref="B127:L127"/>
    <mergeCell ref="B2:O2"/>
    <mergeCell ref="B5:L5"/>
    <mergeCell ref="D12:H13"/>
    <mergeCell ref="D14:E14"/>
    <mergeCell ref="F14:H14"/>
    <mergeCell ref="D15:D16"/>
    <mergeCell ref="E15:E16"/>
    <mergeCell ref="F15:F16"/>
    <mergeCell ref="G15:G16"/>
    <mergeCell ref="H15:H16"/>
  </mergeCells>
  <dataValidations count="4">
    <dataValidation type="list" errorStyle="warning" allowBlank="1" showInputMessage="1" showErrorMessage="1" sqref="D9 D70 D131 D151" xr:uid="{B705330F-F146-48AE-B0D6-4E915200352C}">
      <formula1>hier_AO_1</formula1>
    </dataValidation>
    <dataValidation type="list" errorStyle="warning" allowBlank="1" showInputMessage="1" showErrorMessage="1" sqref="D140" xr:uid="{6A2A2A1F-D069-4D75-8C43-791CDCB33842}">
      <formula1>hier_AP_25</formula1>
    </dataValidation>
    <dataValidation type="list" errorStyle="warning" allowBlank="1" showInputMessage="1" showErrorMessage="1" sqref="D141 D142 D143" xr:uid="{BD3347E5-B051-460E-8A2F-9703B98D318C}">
      <formula1>hier_AP_17</formula1>
    </dataValidation>
    <dataValidation type="list" errorStyle="warning" allowBlank="1" showInputMessage="1" showErrorMessage="1" sqref="D159" xr:uid="{256E4F2F-9607-45BE-B69A-B6639BE2DE68}">
      <formula1>hier_CU_5</formula1>
    </dataValidation>
  </dataValidation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AE36-DB47-4C6B-886D-A0C00ECAB20D}">
  <sheetPr codeName="Blad141"/>
  <dimension ref="B2:P151"/>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95" t="s">
        <v>714</v>
      </c>
      <c r="C2" s="96"/>
      <c r="D2" s="96"/>
      <c r="E2" s="96"/>
      <c r="F2" s="96"/>
      <c r="G2" s="96"/>
      <c r="H2" s="96"/>
      <c r="I2" s="96"/>
      <c r="J2" s="96"/>
      <c r="K2" s="96"/>
      <c r="L2" s="96"/>
      <c r="M2" s="96"/>
      <c r="N2" s="96"/>
      <c r="O2" s="96"/>
    </row>
    <row r="5" spans="2:16" ht="18.75">
      <c r="B5" s="97" t="s">
        <v>4845</v>
      </c>
      <c r="C5" s="96"/>
      <c r="D5" s="96"/>
      <c r="E5" s="96"/>
      <c r="F5" s="96"/>
      <c r="G5" s="96"/>
      <c r="H5" s="96"/>
      <c r="I5" s="96"/>
      <c r="J5" s="96"/>
      <c r="K5" s="96"/>
      <c r="L5" s="96"/>
    </row>
    <row r="7" spans="2:16">
      <c r="B7" t="s">
        <v>3110</v>
      </c>
      <c r="O7" s="13" t="str">
        <f>Show!$B$137&amp;"SR.26.01.01.01 Table label {"&amp;COLUMN($C$1)&amp;"}"</f>
        <v>!SR.26.01.01.01 Table label {3}</v>
      </c>
      <c r="P7" s="13" t="str">
        <f>Show!$B$137&amp;"SR.26.01.01.01 Table value {"&amp;COLUMN($D$1)&amp;"}"</f>
        <v>!SR.26.01.01.01 Table value {4}</v>
      </c>
    </row>
    <row r="8" spans="2:16">
      <c r="B8" t="s">
        <v>3111</v>
      </c>
    </row>
    <row r="9" spans="2:16">
      <c r="B9" s="40" t="s">
        <v>4622</v>
      </c>
      <c r="C9" s="53" t="s">
        <v>3113</v>
      </c>
      <c r="D9" s="51"/>
    </row>
    <row r="10" spans="2:16">
      <c r="B10" s="40" t="s">
        <v>3788</v>
      </c>
      <c r="C10" s="53" t="s">
        <v>3115</v>
      </c>
      <c r="D10" s="51"/>
    </row>
    <row r="11" spans="2:16">
      <c r="B11" s="40" t="s">
        <v>3114</v>
      </c>
      <c r="C11" s="53" t="s">
        <v>3323</v>
      </c>
      <c r="D11" s="50"/>
    </row>
    <row r="12" spans="2:16">
      <c r="O12" s="13" t="str">
        <f>Show!$B$137&amp;Show!$B$137&amp;"SR.26.01.01.01 Table label {"&amp;COLUMN($C$1)&amp;"}"</f>
        <v>!!SR.26.01.01.01 Table label {3}</v>
      </c>
      <c r="P12" s="13" t="str">
        <f>Show!$B$137&amp;Show!$B$137&amp;"SR.26.01.01.01 Table value {"&amp;COLUMN($D$1)&amp;"}"</f>
        <v>!!SR.26.01.01.01 Table value {4}</v>
      </c>
    </row>
    <row r="14" spans="2:16">
      <c r="D14" s="101" t="s">
        <v>2877</v>
      </c>
      <c r="E14" s="102"/>
      <c r="F14" s="102"/>
      <c r="G14" s="102"/>
      <c r="H14" s="103"/>
    </row>
    <row r="15" spans="2:16">
      <c r="D15" s="104"/>
      <c r="E15" s="105"/>
      <c r="F15" s="105"/>
      <c r="G15" s="105"/>
      <c r="H15" s="106"/>
    </row>
    <row r="16" spans="2:16">
      <c r="D16" s="107" t="s">
        <v>4763</v>
      </c>
      <c r="E16" s="109"/>
      <c r="F16" s="107" t="s">
        <v>4764</v>
      </c>
      <c r="G16" s="108"/>
      <c r="H16" s="109"/>
    </row>
    <row r="17" spans="2:16">
      <c r="D17" s="98" t="s">
        <v>3252</v>
      </c>
      <c r="E17" s="98" t="s">
        <v>2389</v>
      </c>
      <c r="F17" s="98" t="s">
        <v>3252</v>
      </c>
      <c r="G17" s="98" t="s">
        <v>4765</v>
      </c>
      <c r="H17" s="98" t="s">
        <v>4766</v>
      </c>
    </row>
    <row r="18" spans="2:16">
      <c r="D18" s="100"/>
      <c r="E18" s="100"/>
      <c r="F18" s="100"/>
      <c r="G18" s="100"/>
      <c r="H18" s="100"/>
    </row>
    <row r="19" spans="2:16">
      <c r="D19" s="45" t="s">
        <v>3219</v>
      </c>
      <c r="E19" s="45" t="s">
        <v>3225</v>
      </c>
      <c r="F19" s="45" t="s">
        <v>3223</v>
      </c>
      <c r="G19" s="45" t="s">
        <v>3229</v>
      </c>
      <c r="H19" s="45" t="s">
        <v>3233</v>
      </c>
      <c r="O19" s="13" t="str">
        <f>Show!$B$137&amp;"SR.26.01.01.01 Rows {"&amp;COLUMN($C$1)&amp;"}"&amp;"@ForceFilingCode:true"</f>
        <v>!SR.26.01.01.01 Rows {3}@ForceFilingCode:true</v>
      </c>
      <c r="P19" s="13" t="str">
        <f>Show!$B$137&amp;"SR.26.01.01.01 Columns {"&amp;COLUMN($D$1)&amp;"}"</f>
        <v>!SR.26.01.01.01 Columns {4}</v>
      </c>
    </row>
    <row r="20" spans="2:16">
      <c r="B20" s="43" t="s">
        <v>2880</v>
      </c>
      <c r="C20" s="44" t="s">
        <v>2878</v>
      </c>
      <c r="D20" s="58"/>
      <c r="E20" s="67"/>
      <c r="F20" s="67"/>
      <c r="G20" s="67"/>
      <c r="H20" s="59"/>
    </row>
    <row r="21" spans="2:16">
      <c r="B21" s="47" t="s">
        <v>4767</v>
      </c>
      <c r="C21" s="44" t="s">
        <v>2899</v>
      </c>
      <c r="D21" s="56"/>
      <c r="E21" s="56"/>
      <c r="F21" s="56"/>
      <c r="G21" s="56"/>
      <c r="H21" s="46"/>
    </row>
    <row r="22" spans="2:16">
      <c r="B22" s="49" t="s">
        <v>4768</v>
      </c>
      <c r="C22" s="41" t="s">
        <v>2901</v>
      </c>
      <c r="D22" s="60"/>
      <c r="E22" s="60"/>
      <c r="F22" s="60"/>
      <c r="G22" s="60"/>
      <c r="H22" s="60"/>
    </row>
    <row r="23" spans="2:16">
      <c r="B23" s="49" t="s">
        <v>4769</v>
      </c>
      <c r="C23" s="41" t="s">
        <v>2903</v>
      </c>
      <c r="D23" s="63"/>
      <c r="E23" s="63"/>
      <c r="F23" s="63"/>
      <c r="G23" s="63"/>
      <c r="H23" s="63"/>
    </row>
    <row r="24" spans="2:16">
      <c r="B24" s="47" t="s">
        <v>4770</v>
      </c>
      <c r="C24" s="44" t="s">
        <v>2919</v>
      </c>
      <c r="D24" s="56"/>
      <c r="E24" s="56"/>
      <c r="F24" s="56"/>
      <c r="G24" s="56"/>
      <c r="H24" s="46"/>
    </row>
    <row r="25" spans="2:16">
      <c r="B25" s="49" t="s">
        <v>4771</v>
      </c>
      <c r="C25" s="41" t="s">
        <v>2921</v>
      </c>
      <c r="D25" s="60"/>
      <c r="E25" s="63"/>
      <c r="F25" s="60"/>
      <c r="G25" s="63"/>
      <c r="H25" s="63"/>
    </row>
    <row r="26" spans="2:16">
      <c r="B26" s="61" t="s">
        <v>4772</v>
      </c>
      <c r="C26" s="41" t="s">
        <v>4773</v>
      </c>
      <c r="D26" s="64"/>
      <c r="E26" s="48"/>
      <c r="F26" s="64"/>
      <c r="G26" s="58"/>
      <c r="H26" s="48"/>
    </row>
    <row r="27" spans="2:16">
      <c r="B27" s="61" t="s">
        <v>4774</v>
      </c>
      <c r="C27" s="41" t="s">
        <v>2925</v>
      </c>
      <c r="D27" s="64"/>
      <c r="E27" s="48"/>
      <c r="F27" s="64"/>
      <c r="G27" s="58"/>
      <c r="H27" s="48"/>
    </row>
    <row r="28" spans="2:16">
      <c r="B28" s="61" t="s">
        <v>4775</v>
      </c>
      <c r="C28" s="41" t="s">
        <v>4776</v>
      </c>
      <c r="D28" s="64"/>
      <c r="E28" s="48"/>
      <c r="F28" s="64"/>
      <c r="G28" s="58"/>
      <c r="H28" s="48"/>
    </row>
    <row r="29" spans="2:16">
      <c r="B29" s="61" t="s">
        <v>4777</v>
      </c>
      <c r="C29" s="41" t="s">
        <v>2927</v>
      </c>
      <c r="D29" s="64"/>
      <c r="E29" s="46"/>
      <c r="F29" s="64"/>
      <c r="G29" s="56"/>
      <c r="H29" s="46"/>
    </row>
    <row r="30" spans="2:16">
      <c r="B30" s="49" t="s">
        <v>4778</v>
      </c>
      <c r="C30" s="41" t="s">
        <v>2929</v>
      </c>
      <c r="D30" s="60"/>
      <c r="E30" s="63"/>
      <c r="F30" s="60"/>
      <c r="G30" s="63"/>
      <c r="H30" s="63"/>
    </row>
    <row r="31" spans="2:16">
      <c r="B31" s="61" t="s">
        <v>4779</v>
      </c>
      <c r="C31" s="41" t="s">
        <v>4780</v>
      </c>
      <c r="D31" s="64"/>
      <c r="E31" s="48"/>
      <c r="F31" s="64"/>
      <c r="G31" s="58"/>
      <c r="H31" s="48"/>
    </row>
    <row r="32" spans="2:16">
      <c r="B32" s="61" t="s">
        <v>4781</v>
      </c>
      <c r="C32" s="41" t="s">
        <v>2933</v>
      </c>
      <c r="D32" s="64"/>
      <c r="E32" s="48"/>
      <c r="F32" s="64"/>
      <c r="G32" s="58"/>
      <c r="H32" s="48"/>
    </row>
    <row r="33" spans="2:8">
      <c r="B33" s="61" t="s">
        <v>4782</v>
      </c>
      <c r="C33" s="41" t="s">
        <v>4783</v>
      </c>
      <c r="D33" s="64"/>
      <c r="E33" s="48"/>
      <c r="F33" s="64"/>
      <c r="G33" s="58"/>
      <c r="H33" s="48"/>
    </row>
    <row r="34" spans="2:8">
      <c r="B34" s="61" t="s">
        <v>4784</v>
      </c>
      <c r="C34" s="41" t="s">
        <v>2935</v>
      </c>
      <c r="D34" s="64"/>
      <c r="E34" s="46"/>
      <c r="F34" s="64"/>
      <c r="G34" s="56"/>
      <c r="H34" s="46"/>
    </row>
    <row r="35" spans="2:8">
      <c r="B35" s="49" t="s">
        <v>4785</v>
      </c>
      <c r="C35" s="41" t="s">
        <v>4786</v>
      </c>
      <c r="D35" s="60"/>
      <c r="E35" s="63"/>
      <c r="F35" s="60"/>
      <c r="G35" s="63"/>
      <c r="H35" s="63"/>
    </row>
    <row r="36" spans="2:8">
      <c r="B36" s="61" t="s">
        <v>4787</v>
      </c>
      <c r="C36" s="41" t="s">
        <v>4788</v>
      </c>
      <c r="D36" s="64"/>
      <c r="E36" s="48"/>
      <c r="F36" s="64"/>
      <c r="G36" s="58"/>
      <c r="H36" s="48"/>
    </row>
    <row r="37" spans="2:8">
      <c r="B37" s="61" t="s">
        <v>4789</v>
      </c>
      <c r="C37" s="41" t="s">
        <v>4790</v>
      </c>
      <c r="D37" s="64"/>
      <c r="E37" s="48"/>
      <c r="F37" s="64"/>
      <c r="G37" s="58"/>
      <c r="H37" s="48"/>
    </row>
    <row r="38" spans="2:8">
      <c r="B38" s="61" t="s">
        <v>4791</v>
      </c>
      <c r="C38" s="41" t="s">
        <v>4792</v>
      </c>
      <c r="D38" s="64"/>
      <c r="E38" s="46"/>
      <c r="F38" s="64"/>
      <c r="G38" s="56"/>
      <c r="H38" s="46"/>
    </row>
    <row r="39" spans="2:8">
      <c r="B39" s="49" t="s">
        <v>4793</v>
      </c>
      <c r="C39" s="41" t="s">
        <v>4794</v>
      </c>
      <c r="D39" s="60"/>
      <c r="E39" s="63"/>
      <c r="F39" s="60"/>
      <c r="G39" s="63"/>
      <c r="H39" s="63"/>
    </row>
    <row r="40" spans="2:8" ht="30">
      <c r="B40" s="61" t="s">
        <v>4795</v>
      </c>
      <c r="C40" s="41" t="s">
        <v>4796</v>
      </c>
      <c r="D40" s="64"/>
      <c r="E40" s="48"/>
      <c r="F40" s="64"/>
      <c r="G40" s="58"/>
      <c r="H40" s="48"/>
    </row>
    <row r="41" spans="2:8">
      <c r="B41" s="61" t="s">
        <v>4797</v>
      </c>
      <c r="C41" s="41" t="s">
        <v>4798</v>
      </c>
      <c r="D41" s="64"/>
      <c r="E41" s="48"/>
      <c r="F41" s="64"/>
      <c r="G41" s="58"/>
      <c r="H41" s="48"/>
    </row>
    <row r="42" spans="2:8">
      <c r="B42" s="61" t="s">
        <v>4799</v>
      </c>
      <c r="C42" s="41" t="s">
        <v>4800</v>
      </c>
      <c r="D42" s="64"/>
      <c r="E42" s="46"/>
      <c r="F42" s="64"/>
      <c r="G42" s="56"/>
      <c r="H42" s="46"/>
    </row>
    <row r="43" spans="2:8">
      <c r="B43" s="47" t="s">
        <v>4801</v>
      </c>
      <c r="C43" s="41" t="s">
        <v>2939</v>
      </c>
      <c r="D43" s="63"/>
      <c r="E43" s="63"/>
      <c r="F43" s="63"/>
      <c r="G43" s="63"/>
      <c r="H43" s="63"/>
    </row>
    <row r="44" spans="2:8">
      <c r="B44" s="47" t="s">
        <v>4802</v>
      </c>
      <c r="C44" s="44" t="s">
        <v>2959</v>
      </c>
      <c r="D44" s="56"/>
      <c r="E44" s="56"/>
      <c r="F44" s="56"/>
      <c r="G44" s="56"/>
      <c r="H44" s="46"/>
    </row>
    <row r="45" spans="2:8">
      <c r="B45" s="49" t="s">
        <v>4803</v>
      </c>
      <c r="C45" s="41" t="s">
        <v>2961</v>
      </c>
      <c r="D45" s="60"/>
      <c r="E45" s="60"/>
      <c r="F45" s="60"/>
      <c r="G45" s="60"/>
      <c r="H45" s="60"/>
    </row>
    <row r="46" spans="2:8">
      <c r="B46" s="61" t="s">
        <v>4804</v>
      </c>
      <c r="C46" s="41" t="s">
        <v>4805</v>
      </c>
      <c r="D46" s="60"/>
      <c r="E46" s="60"/>
      <c r="F46" s="60"/>
      <c r="G46" s="60"/>
      <c r="H46" s="60"/>
    </row>
    <row r="47" spans="2:8" ht="30">
      <c r="B47" s="61" t="s">
        <v>4806</v>
      </c>
      <c r="C47" s="41" t="s">
        <v>4807</v>
      </c>
      <c r="D47" s="60"/>
      <c r="E47" s="60"/>
      <c r="F47" s="60"/>
      <c r="G47" s="60"/>
      <c r="H47" s="60"/>
    </row>
    <row r="48" spans="2:8" ht="30">
      <c r="B48" s="61" t="s">
        <v>4808</v>
      </c>
      <c r="C48" s="41" t="s">
        <v>4809</v>
      </c>
      <c r="D48" s="63"/>
      <c r="E48" s="63"/>
      <c r="F48" s="63"/>
      <c r="G48" s="63"/>
      <c r="H48" s="63"/>
    </row>
    <row r="49" spans="2:8">
      <c r="B49" s="49" t="s">
        <v>4810</v>
      </c>
      <c r="C49" s="44" t="s">
        <v>2963</v>
      </c>
      <c r="D49" s="56"/>
      <c r="E49" s="56"/>
      <c r="F49" s="56"/>
      <c r="G49" s="56"/>
      <c r="H49" s="46"/>
    </row>
    <row r="50" spans="2:8">
      <c r="B50" s="61" t="s">
        <v>4811</v>
      </c>
      <c r="C50" s="41" t="s">
        <v>2965</v>
      </c>
      <c r="D50" s="60"/>
      <c r="E50" s="60"/>
      <c r="F50" s="60"/>
      <c r="G50" s="60"/>
      <c r="H50" s="60"/>
    </row>
    <row r="51" spans="2:8">
      <c r="B51" s="61" t="s">
        <v>4812</v>
      </c>
      <c r="C51" s="41" t="s">
        <v>2967</v>
      </c>
      <c r="D51" s="60"/>
      <c r="E51" s="60"/>
      <c r="F51" s="60"/>
      <c r="G51" s="60"/>
      <c r="H51" s="60"/>
    </row>
    <row r="52" spans="2:8">
      <c r="B52" s="49" t="s">
        <v>4813</v>
      </c>
      <c r="C52" s="41" t="s">
        <v>2969</v>
      </c>
      <c r="D52" s="60"/>
      <c r="E52" s="60"/>
      <c r="F52" s="60"/>
      <c r="G52" s="60"/>
      <c r="H52" s="60"/>
    </row>
    <row r="53" spans="2:8">
      <c r="B53" s="61" t="s">
        <v>4814</v>
      </c>
      <c r="C53" s="41" t="s">
        <v>4815</v>
      </c>
      <c r="D53" s="60"/>
      <c r="E53" s="60"/>
      <c r="F53" s="60"/>
      <c r="G53" s="60"/>
      <c r="H53" s="60"/>
    </row>
    <row r="54" spans="2:8">
      <c r="B54" s="61" t="s">
        <v>4816</v>
      </c>
      <c r="C54" s="41" t="s">
        <v>4817</v>
      </c>
      <c r="D54" s="60"/>
      <c r="E54" s="60"/>
      <c r="F54" s="60"/>
      <c r="G54" s="60"/>
      <c r="H54" s="60"/>
    </row>
    <row r="55" spans="2:8">
      <c r="B55" s="61" t="s">
        <v>4818</v>
      </c>
      <c r="C55" s="41" t="s">
        <v>2975</v>
      </c>
      <c r="D55" s="60"/>
      <c r="E55" s="60"/>
      <c r="F55" s="60"/>
      <c r="G55" s="60"/>
      <c r="H55" s="60"/>
    </row>
    <row r="56" spans="2:8">
      <c r="B56" s="61" t="s">
        <v>4819</v>
      </c>
      <c r="C56" s="41" t="s">
        <v>4820</v>
      </c>
      <c r="D56" s="60"/>
      <c r="E56" s="60"/>
      <c r="F56" s="60"/>
      <c r="G56" s="60"/>
      <c r="H56" s="60"/>
    </row>
    <row r="57" spans="2:8">
      <c r="B57" s="61" t="s">
        <v>4821</v>
      </c>
      <c r="C57" s="41" t="s">
        <v>4822</v>
      </c>
      <c r="D57" s="60"/>
      <c r="E57" s="60"/>
      <c r="F57" s="60"/>
      <c r="G57" s="60"/>
      <c r="H57" s="60"/>
    </row>
    <row r="58" spans="2:8">
      <c r="B58" s="61" t="s">
        <v>4823</v>
      </c>
      <c r="C58" s="41" t="s">
        <v>4824</v>
      </c>
      <c r="D58" s="60"/>
      <c r="E58" s="63"/>
      <c r="F58" s="63"/>
      <c r="G58" s="63"/>
      <c r="H58" s="63"/>
    </row>
    <row r="59" spans="2:8">
      <c r="B59" s="47" t="s">
        <v>4825</v>
      </c>
      <c r="C59" s="41" t="s">
        <v>2977</v>
      </c>
      <c r="D59" s="65"/>
      <c r="E59" s="58"/>
      <c r="F59" s="58"/>
      <c r="G59" s="58"/>
      <c r="H59" s="48"/>
    </row>
    <row r="60" spans="2:8">
      <c r="B60" s="47" t="s">
        <v>4826</v>
      </c>
      <c r="C60" s="44" t="s">
        <v>2997</v>
      </c>
      <c r="D60" s="56"/>
      <c r="E60" s="56"/>
      <c r="F60" s="56"/>
      <c r="G60" s="56"/>
      <c r="H60" s="46"/>
    </row>
    <row r="61" spans="2:8">
      <c r="B61" s="49" t="s">
        <v>4827</v>
      </c>
      <c r="C61" s="41" t="s">
        <v>2999</v>
      </c>
      <c r="D61" s="60"/>
      <c r="E61" s="60"/>
      <c r="F61" s="60"/>
      <c r="G61" s="60"/>
      <c r="H61" s="60"/>
    </row>
    <row r="62" spans="2:8">
      <c r="B62" s="49" t="s">
        <v>4828</v>
      </c>
      <c r="C62" s="41" t="s">
        <v>3001</v>
      </c>
      <c r="D62" s="63"/>
      <c r="E62" s="63"/>
      <c r="F62" s="63"/>
      <c r="G62" s="63"/>
      <c r="H62" s="63"/>
    </row>
    <row r="63" spans="2:8">
      <c r="B63" s="47" t="s">
        <v>4829</v>
      </c>
      <c r="C63" s="44" t="s">
        <v>3064</v>
      </c>
      <c r="D63" s="58"/>
      <c r="E63" s="58"/>
      <c r="F63" s="58"/>
      <c r="G63" s="58"/>
      <c r="H63" s="48"/>
    </row>
    <row r="64" spans="2:8">
      <c r="B64" s="47" t="s">
        <v>4830</v>
      </c>
      <c r="C64" s="44" t="s">
        <v>3120</v>
      </c>
      <c r="D64" s="56"/>
      <c r="E64" s="56"/>
      <c r="F64" s="56"/>
      <c r="G64" s="56"/>
      <c r="H64" s="46"/>
    </row>
    <row r="66" spans="2:16">
      <c r="O66" s="13" t="str">
        <f>Show!$B$137&amp;Show!$B$137&amp;"SR.26.01.01.01 Rows {"&amp;COLUMN($C$1)&amp;"}"</f>
        <v>!!SR.26.01.01.01 Rows {3}</v>
      </c>
      <c r="P66" s="13" t="str">
        <f>Show!$B$137&amp;Show!$B$137&amp;"SR.26.01.01.01 Columns {"&amp;COLUMN($H$1)&amp;"}"</f>
        <v>!!SR.26.01.01.01 Columns {8}</v>
      </c>
    </row>
    <row r="68" spans="2:16" ht="18.75">
      <c r="B68" s="97" t="s">
        <v>4846</v>
      </c>
      <c r="C68" s="96"/>
      <c r="D68" s="96"/>
      <c r="E68" s="96"/>
      <c r="F68" s="96"/>
      <c r="G68" s="96"/>
      <c r="H68" s="96"/>
      <c r="I68" s="96"/>
      <c r="J68" s="96"/>
      <c r="K68" s="96"/>
      <c r="L68" s="96"/>
    </row>
    <row r="70" spans="2:16">
      <c r="B70" t="s">
        <v>3110</v>
      </c>
      <c r="O70" s="13" t="str">
        <f>Show!$B$137&amp;"SR.26.01.01.02 Table label {"&amp;COLUMN($C$1)&amp;"}"</f>
        <v>!SR.26.01.01.02 Table label {3}</v>
      </c>
      <c r="P70" s="13" t="str">
        <f>Show!$B$137&amp;"SR.26.01.01.02 Table value {"&amp;COLUMN($D$1)&amp;"}"</f>
        <v>!SR.26.01.01.02 Table value {4}</v>
      </c>
    </row>
    <row r="71" spans="2:16">
      <c r="B71" t="s">
        <v>3111</v>
      </c>
    </row>
    <row r="72" spans="2:16">
      <c r="B72" s="40" t="s">
        <v>4622</v>
      </c>
      <c r="C72" s="53" t="s">
        <v>3113</v>
      </c>
      <c r="D72" s="51"/>
    </row>
    <row r="73" spans="2:16">
      <c r="B73" s="40" t="s">
        <v>3788</v>
      </c>
      <c r="C73" s="53" t="s">
        <v>3115</v>
      </c>
      <c r="D73" s="51"/>
    </row>
    <row r="74" spans="2:16">
      <c r="B74" s="40" t="s">
        <v>3114</v>
      </c>
      <c r="C74" s="53" t="s">
        <v>3323</v>
      </c>
      <c r="D74" s="50"/>
    </row>
    <row r="75" spans="2:16">
      <c r="O75" s="13" t="str">
        <f>Show!$B$137&amp;Show!$B$137&amp;"SR.26.01.01.02 Table label {"&amp;COLUMN($C$1)&amp;"}"</f>
        <v>!!SR.26.01.01.02 Table label {3}</v>
      </c>
      <c r="P75" s="13" t="str">
        <f>Show!$B$137&amp;Show!$B$137&amp;"SR.26.01.01.02 Table value {"&amp;COLUMN($D$1)&amp;"}"</f>
        <v>!!SR.26.01.01.02 Table value {4}</v>
      </c>
    </row>
    <row r="77" spans="2:16">
      <c r="D77" s="101" t="s">
        <v>2877</v>
      </c>
      <c r="E77" s="103"/>
    </row>
    <row r="78" spans="2:16">
      <c r="D78" s="104"/>
      <c r="E78" s="106"/>
    </row>
    <row r="79" spans="2:16">
      <c r="D79" s="107" t="s">
        <v>4764</v>
      </c>
      <c r="E79" s="109"/>
    </row>
    <row r="80" spans="2:16">
      <c r="D80" s="98" t="s">
        <v>4623</v>
      </c>
      <c r="E80" s="98" t="s">
        <v>4624</v>
      </c>
    </row>
    <row r="81" spans="2:16">
      <c r="D81" s="100"/>
      <c r="E81" s="100"/>
    </row>
    <row r="82" spans="2:16">
      <c r="D82" s="45" t="s">
        <v>3231</v>
      </c>
      <c r="E82" s="45" t="s">
        <v>3234</v>
      </c>
      <c r="O82" s="13" t="str">
        <f>Show!$B$137&amp;"SR.26.01.01.02 Rows {"&amp;COLUMN($C$1)&amp;"}"&amp;"@ForceFilingCode:true"</f>
        <v>!SR.26.01.01.02 Rows {3}@ForceFilingCode:true</v>
      </c>
      <c r="P82" s="13" t="str">
        <f>Show!$B$137&amp;"SR.26.01.01.02 Columns {"&amp;COLUMN($D$1)&amp;"}"</f>
        <v>!SR.26.01.01.02 Columns {4}</v>
      </c>
    </row>
    <row r="83" spans="2:16">
      <c r="B83" s="43" t="s">
        <v>2880</v>
      </c>
      <c r="C83" s="44" t="s">
        <v>2878</v>
      </c>
      <c r="D83" s="56"/>
      <c r="E83" s="57"/>
    </row>
    <row r="84" spans="2:16">
      <c r="B84" s="47" t="s">
        <v>4767</v>
      </c>
      <c r="C84" s="41" t="s">
        <v>2899</v>
      </c>
      <c r="D84" s="60"/>
      <c r="E84" s="60"/>
    </row>
    <row r="85" spans="2:16">
      <c r="B85" s="49" t="s">
        <v>4768</v>
      </c>
      <c r="C85" s="41" t="s">
        <v>2901</v>
      </c>
      <c r="D85" s="60"/>
      <c r="E85" s="60"/>
    </row>
    <row r="86" spans="2:16">
      <c r="B86" s="49" t="s">
        <v>4769</v>
      </c>
      <c r="C86" s="41" t="s">
        <v>2903</v>
      </c>
      <c r="D86" s="60"/>
      <c r="E86" s="60"/>
    </row>
    <row r="87" spans="2:16">
      <c r="B87" s="47" t="s">
        <v>4770</v>
      </c>
      <c r="C87" s="41" t="s">
        <v>2919</v>
      </c>
      <c r="D87" s="60"/>
      <c r="E87" s="60"/>
    </row>
    <row r="88" spans="2:16">
      <c r="B88" s="49" t="s">
        <v>4771</v>
      </c>
      <c r="C88" s="41" t="s">
        <v>2921</v>
      </c>
      <c r="D88" s="63"/>
      <c r="E88" s="63"/>
    </row>
    <row r="89" spans="2:16">
      <c r="B89" s="61" t="s">
        <v>4772</v>
      </c>
      <c r="C89" s="44" t="s">
        <v>4773</v>
      </c>
      <c r="D89" s="58"/>
      <c r="E89" s="48"/>
    </row>
    <row r="90" spans="2:16">
      <c r="B90" s="61" t="s">
        <v>4774</v>
      </c>
      <c r="C90" s="44" t="s">
        <v>2925</v>
      </c>
      <c r="D90" s="58"/>
      <c r="E90" s="48"/>
    </row>
    <row r="91" spans="2:16">
      <c r="B91" s="61" t="s">
        <v>4775</v>
      </c>
      <c r="C91" s="44" t="s">
        <v>4776</v>
      </c>
      <c r="D91" s="58"/>
      <c r="E91" s="48"/>
    </row>
    <row r="92" spans="2:16">
      <c r="B92" s="61" t="s">
        <v>4777</v>
      </c>
      <c r="C92" s="44" t="s">
        <v>2927</v>
      </c>
      <c r="D92" s="56"/>
      <c r="E92" s="46"/>
    </row>
    <row r="93" spans="2:16">
      <c r="B93" s="49" t="s">
        <v>4778</v>
      </c>
      <c r="C93" s="41" t="s">
        <v>2929</v>
      </c>
      <c r="D93" s="63"/>
      <c r="E93" s="63"/>
    </row>
    <row r="94" spans="2:16">
      <c r="B94" s="61" t="s">
        <v>4779</v>
      </c>
      <c r="C94" s="44" t="s">
        <v>4780</v>
      </c>
      <c r="D94" s="58"/>
      <c r="E94" s="48"/>
    </row>
    <row r="95" spans="2:16">
      <c r="B95" s="61" t="s">
        <v>4781</v>
      </c>
      <c r="C95" s="44" t="s">
        <v>2933</v>
      </c>
      <c r="D95" s="58"/>
      <c r="E95" s="48"/>
    </row>
    <row r="96" spans="2:16">
      <c r="B96" s="61" t="s">
        <v>4782</v>
      </c>
      <c r="C96" s="44" t="s">
        <v>4783</v>
      </c>
      <c r="D96" s="58"/>
      <c r="E96" s="48"/>
    </row>
    <row r="97" spans="2:5">
      <c r="B97" s="61" t="s">
        <v>4784</v>
      </c>
      <c r="C97" s="44" t="s">
        <v>2935</v>
      </c>
      <c r="D97" s="56"/>
      <c r="E97" s="46"/>
    </row>
    <row r="98" spans="2:5">
      <c r="B98" s="49" t="s">
        <v>4785</v>
      </c>
      <c r="C98" s="41" t="s">
        <v>4786</v>
      </c>
      <c r="D98" s="63"/>
      <c r="E98" s="63"/>
    </row>
    <row r="99" spans="2:5">
      <c r="B99" s="61" t="s">
        <v>4787</v>
      </c>
      <c r="C99" s="44" t="s">
        <v>4788</v>
      </c>
      <c r="D99" s="58"/>
      <c r="E99" s="48"/>
    </row>
    <row r="100" spans="2:5">
      <c r="B100" s="61" t="s">
        <v>4789</v>
      </c>
      <c r="C100" s="44" t="s">
        <v>4790</v>
      </c>
      <c r="D100" s="58"/>
      <c r="E100" s="48"/>
    </row>
    <row r="101" spans="2:5">
      <c r="B101" s="61" t="s">
        <v>4791</v>
      </c>
      <c r="C101" s="44" t="s">
        <v>4792</v>
      </c>
      <c r="D101" s="56"/>
      <c r="E101" s="46"/>
    </row>
    <row r="102" spans="2:5">
      <c r="B102" s="49" t="s">
        <v>4793</v>
      </c>
      <c r="C102" s="41" t="s">
        <v>4794</v>
      </c>
      <c r="D102" s="63"/>
      <c r="E102" s="63"/>
    </row>
    <row r="103" spans="2:5" ht="30">
      <c r="B103" s="61" t="s">
        <v>4795</v>
      </c>
      <c r="C103" s="44" t="s">
        <v>4796</v>
      </c>
      <c r="D103" s="58"/>
      <c r="E103" s="48"/>
    </row>
    <row r="104" spans="2:5">
      <c r="B104" s="61" t="s">
        <v>4797</v>
      </c>
      <c r="C104" s="44" t="s">
        <v>4798</v>
      </c>
      <c r="D104" s="58"/>
      <c r="E104" s="48"/>
    </row>
    <row r="105" spans="2:5">
      <c r="B105" s="61" t="s">
        <v>4799</v>
      </c>
      <c r="C105" s="44" t="s">
        <v>4800</v>
      </c>
      <c r="D105" s="56"/>
      <c r="E105" s="46"/>
    </row>
    <row r="106" spans="2:5">
      <c r="B106" s="47" t="s">
        <v>4801</v>
      </c>
      <c r="C106" s="41" t="s">
        <v>2939</v>
      </c>
      <c r="D106" s="60"/>
      <c r="E106" s="60"/>
    </row>
    <row r="107" spans="2:5">
      <c r="B107" s="47" t="s">
        <v>4802</v>
      </c>
      <c r="C107" s="41" t="s">
        <v>2959</v>
      </c>
      <c r="D107" s="60"/>
      <c r="E107" s="60"/>
    </row>
    <row r="108" spans="2:5">
      <c r="B108" s="49" t="s">
        <v>4803</v>
      </c>
      <c r="C108" s="41" t="s">
        <v>2961</v>
      </c>
      <c r="D108" s="60"/>
      <c r="E108" s="60"/>
    </row>
    <row r="109" spans="2:5">
      <c r="B109" s="61" t="s">
        <v>4804</v>
      </c>
      <c r="C109" s="41" t="s">
        <v>4805</v>
      </c>
      <c r="D109" s="60"/>
      <c r="E109" s="60"/>
    </row>
    <row r="110" spans="2:5" ht="30">
      <c r="B110" s="61" t="s">
        <v>4806</v>
      </c>
      <c r="C110" s="41" t="s">
        <v>4807</v>
      </c>
      <c r="D110" s="60"/>
      <c r="E110" s="60"/>
    </row>
    <row r="111" spans="2:5" ht="30">
      <c r="B111" s="61" t="s">
        <v>4808</v>
      </c>
      <c r="C111" s="41" t="s">
        <v>4809</v>
      </c>
      <c r="D111" s="60"/>
      <c r="E111" s="60"/>
    </row>
    <row r="112" spans="2:5">
      <c r="B112" s="49" t="s">
        <v>4810</v>
      </c>
      <c r="C112" s="41" t="s">
        <v>2963</v>
      </c>
      <c r="D112" s="60"/>
      <c r="E112" s="60"/>
    </row>
    <row r="113" spans="2:5">
      <c r="B113" s="61" t="s">
        <v>4811</v>
      </c>
      <c r="C113" s="41" t="s">
        <v>2965</v>
      </c>
      <c r="D113" s="60"/>
      <c r="E113" s="60"/>
    </row>
    <row r="114" spans="2:5">
      <c r="B114" s="61" t="s">
        <v>4812</v>
      </c>
      <c r="C114" s="41" t="s">
        <v>2967</v>
      </c>
      <c r="D114" s="60"/>
      <c r="E114" s="60"/>
    </row>
    <row r="115" spans="2:5">
      <c r="B115" s="49" t="s">
        <v>4813</v>
      </c>
      <c r="C115" s="41" t="s">
        <v>2969</v>
      </c>
      <c r="D115" s="60"/>
      <c r="E115" s="60"/>
    </row>
    <row r="116" spans="2:5">
      <c r="B116" s="61" t="s">
        <v>4814</v>
      </c>
      <c r="C116" s="41" t="s">
        <v>4815</v>
      </c>
      <c r="D116" s="60"/>
      <c r="E116" s="60"/>
    </row>
    <row r="117" spans="2:5">
      <c r="B117" s="61" t="s">
        <v>4816</v>
      </c>
      <c r="C117" s="41" t="s">
        <v>4817</v>
      </c>
      <c r="D117" s="60"/>
      <c r="E117" s="60"/>
    </row>
    <row r="118" spans="2:5">
      <c r="B118" s="61" t="s">
        <v>4818</v>
      </c>
      <c r="C118" s="41" t="s">
        <v>2975</v>
      </c>
      <c r="D118" s="60"/>
      <c r="E118" s="60"/>
    </row>
    <row r="119" spans="2:5">
      <c r="B119" s="61" t="s">
        <v>4819</v>
      </c>
      <c r="C119" s="41" t="s">
        <v>4820</v>
      </c>
      <c r="D119" s="60"/>
      <c r="E119" s="60"/>
    </row>
    <row r="120" spans="2:5">
      <c r="B120" s="61" t="s">
        <v>4821</v>
      </c>
      <c r="C120" s="41" t="s">
        <v>4822</v>
      </c>
      <c r="D120" s="60"/>
      <c r="E120" s="60"/>
    </row>
    <row r="121" spans="2:5">
      <c r="B121" s="61" t="s">
        <v>4823</v>
      </c>
      <c r="C121" s="41" t="s">
        <v>4824</v>
      </c>
      <c r="D121" s="60"/>
      <c r="E121" s="60"/>
    </row>
    <row r="122" spans="2:5">
      <c r="B122" s="47" t="s">
        <v>4825</v>
      </c>
      <c r="C122" s="41" t="s">
        <v>2977</v>
      </c>
      <c r="D122" s="60"/>
      <c r="E122" s="60"/>
    </row>
    <row r="123" spans="2:5">
      <c r="B123" s="47" t="s">
        <v>4826</v>
      </c>
      <c r="C123" s="41" t="s">
        <v>2997</v>
      </c>
      <c r="D123" s="60"/>
      <c r="E123" s="60"/>
    </row>
    <row r="124" spans="2:5">
      <c r="B124" s="49" t="s">
        <v>4827</v>
      </c>
      <c r="C124" s="41" t="s">
        <v>2999</v>
      </c>
      <c r="D124" s="60"/>
      <c r="E124" s="60"/>
    </row>
    <row r="125" spans="2:5">
      <c r="B125" s="49" t="s">
        <v>4828</v>
      </c>
      <c r="C125" s="41" t="s">
        <v>3001</v>
      </c>
      <c r="D125" s="60"/>
      <c r="E125" s="60"/>
    </row>
    <row r="126" spans="2:5">
      <c r="B126" s="47" t="s">
        <v>4829</v>
      </c>
      <c r="C126" s="41" t="s">
        <v>3064</v>
      </c>
      <c r="D126" s="60"/>
      <c r="E126" s="60"/>
    </row>
    <row r="127" spans="2:5">
      <c r="B127" s="47" t="s">
        <v>4830</v>
      </c>
      <c r="C127" s="41" t="s">
        <v>3120</v>
      </c>
      <c r="D127" s="60"/>
      <c r="E127" s="60"/>
    </row>
    <row r="129" spans="2:16">
      <c r="O129" s="13" t="str">
        <f>Show!$B$137&amp;Show!$B$137&amp;"SR.26.01.01.02 Rows {"&amp;COLUMN($C$1)&amp;"}"</f>
        <v>!!SR.26.01.01.02 Rows {3}</v>
      </c>
      <c r="P129" s="13" t="str">
        <f>Show!$B$137&amp;Show!$B$137&amp;"SR.26.01.01.02 Columns {"&amp;COLUMN($E$1)&amp;"}"</f>
        <v>!!SR.26.01.01.02 Columns {5}</v>
      </c>
    </row>
    <row r="131" spans="2:16" ht="18.75">
      <c r="B131" s="97" t="s">
        <v>4847</v>
      </c>
      <c r="C131" s="96"/>
      <c r="D131" s="96"/>
      <c r="E131" s="96"/>
      <c r="F131" s="96"/>
      <c r="G131" s="96"/>
      <c r="H131" s="96"/>
      <c r="I131" s="96"/>
      <c r="J131" s="96"/>
      <c r="K131" s="96"/>
      <c r="L131" s="96"/>
    </row>
    <row r="133" spans="2:16">
      <c r="B133" t="s">
        <v>3110</v>
      </c>
      <c r="O133" s="13" t="str">
        <f>Show!$B$137&amp;"SR.26.01.01.03 Table label {"&amp;COLUMN($C$1)&amp;"}"</f>
        <v>!SR.26.01.01.03 Table label {3}</v>
      </c>
      <c r="P133" s="13" t="str">
        <f>Show!$B$137&amp;"SR.26.01.01.03 Table value {"&amp;COLUMN($D$1)&amp;"}"</f>
        <v>!SR.26.01.01.03 Table value {4}</v>
      </c>
    </row>
    <row r="134" spans="2:16">
      <c r="B134" t="s">
        <v>3111</v>
      </c>
    </row>
    <row r="135" spans="2:16">
      <c r="B135" s="40" t="s">
        <v>4622</v>
      </c>
      <c r="C135" s="53" t="s">
        <v>3113</v>
      </c>
      <c r="D135" s="51"/>
    </row>
    <row r="136" spans="2:16">
      <c r="B136" s="40" t="s">
        <v>3788</v>
      </c>
      <c r="C136" s="53" t="s">
        <v>3115</v>
      </c>
      <c r="D136" s="51"/>
    </row>
    <row r="137" spans="2:16">
      <c r="B137" s="40" t="s">
        <v>3114</v>
      </c>
      <c r="C137" s="53" t="s">
        <v>3323</v>
      </c>
      <c r="D137" s="50"/>
    </row>
    <row r="138" spans="2:16">
      <c r="O138" s="13" t="str">
        <f>Show!$B$137&amp;Show!$B$137&amp;"SR.26.01.01.03 Table label {"&amp;COLUMN($C$1)&amp;"}"</f>
        <v>!!SR.26.01.01.03 Table label {3}</v>
      </c>
      <c r="P138" s="13" t="str">
        <f>Show!$B$137&amp;Show!$B$137&amp;"SR.26.01.01.03 Table value {"&amp;COLUMN($D$1)&amp;"}"</f>
        <v>!!SR.26.01.01.03 Table value {4}</v>
      </c>
    </row>
    <row r="140" spans="2:16">
      <c r="D140" s="98" t="s">
        <v>2877</v>
      </c>
    </row>
    <row r="141" spans="2:16">
      <c r="D141" s="100"/>
    </row>
    <row r="142" spans="2:16">
      <c r="D142" s="55" t="s">
        <v>2574</v>
      </c>
    </row>
    <row r="143" spans="2:16">
      <c r="D143" s="45" t="s">
        <v>2879</v>
      </c>
      <c r="O143" s="13" t="str">
        <f>Show!$B$137&amp;"SR.26.01.01.03 Rows {"&amp;COLUMN($C$1)&amp;"}"&amp;"@ForceFilingCode:true"</f>
        <v>!SR.26.01.01.03 Rows {3}@ForceFilingCode:true</v>
      </c>
      <c r="P143" s="13" t="str">
        <f>Show!$B$137&amp;"SR.26.01.01.03 Columns {"&amp;COLUMN($D$1)&amp;"}"</f>
        <v>!SR.26.01.01.03 Columns {4}</v>
      </c>
    </row>
    <row r="144" spans="2:16">
      <c r="B144" s="43" t="s">
        <v>2880</v>
      </c>
      <c r="C144" s="44" t="s">
        <v>2878</v>
      </c>
      <c r="D144" s="46"/>
    </row>
    <row r="145" spans="2:16">
      <c r="B145" s="47" t="s">
        <v>4833</v>
      </c>
      <c r="C145" s="41" t="s">
        <v>4834</v>
      </c>
      <c r="D145" s="51"/>
    </row>
    <row r="146" spans="2:16">
      <c r="B146" s="47" t="s">
        <v>4835</v>
      </c>
      <c r="C146" s="41" t="s">
        <v>4836</v>
      </c>
      <c r="D146" s="51"/>
    </row>
    <row r="147" spans="2:16">
      <c r="B147" s="47" t="s">
        <v>4837</v>
      </c>
      <c r="C147" s="41" t="s">
        <v>2885</v>
      </c>
      <c r="D147" s="51"/>
    </row>
    <row r="148" spans="2:16">
      <c r="B148" s="47" t="s">
        <v>4838</v>
      </c>
      <c r="C148" s="41" t="s">
        <v>2887</v>
      </c>
      <c r="D148" s="51"/>
    </row>
    <row r="149" spans="2:16">
      <c r="B149" s="47" t="s">
        <v>4839</v>
      </c>
      <c r="C149" s="41" t="s">
        <v>2889</v>
      </c>
      <c r="D149" s="51"/>
    </row>
    <row r="151" spans="2:16">
      <c r="O151" s="13" t="str">
        <f>Show!$B$137&amp;Show!$B$137&amp;"SR.26.01.01.03 Rows {"&amp;COLUMN($C$1)&amp;"}"</f>
        <v>!!SR.26.01.01.03 Rows {3}</v>
      </c>
      <c r="P151" s="13" t="str">
        <f>Show!$B$137&amp;Show!$B$137&amp;"SR.26.01.01.03 Columns {"&amp;COLUMN($D$1)&amp;"}"</f>
        <v>!!SR.26.01.01.03 Columns {4}</v>
      </c>
    </row>
  </sheetData>
  <sheetProtection sheet="1" objects="1" scenarios="1"/>
  <mergeCells count="17">
    <mergeCell ref="D140:D141"/>
    <mergeCell ref="B68:L68"/>
    <mergeCell ref="D77:E78"/>
    <mergeCell ref="D79:E79"/>
    <mergeCell ref="D80:D81"/>
    <mergeCell ref="E80:E81"/>
    <mergeCell ref="B131:L131"/>
    <mergeCell ref="B2:O2"/>
    <mergeCell ref="B5:L5"/>
    <mergeCell ref="D14:H15"/>
    <mergeCell ref="D16:E16"/>
    <mergeCell ref="F16:H16"/>
    <mergeCell ref="D17:D18"/>
    <mergeCell ref="E17:E18"/>
    <mergeCell ref="F17:F18"/>
    <mergeCell ref="G17:G18"/>
    <mergeCell ref="H17:H18"/>
  </mergeCells>
  <dataValidations count="4">
    <dataValidation type="list" errorStyle="warning" allowBlank="1" showInputMessage="1" showErrorMessage="1" sqref="D9 D72 D135" xr:uid="{100385F4-D458-472D-BEFF-4D09D2DB2A9E}">
      <formula1>hier_AO_1</formula1>
    </dataValidation>
    <dataValidation type="list" errorStyle="warning" allowBlank="1" showInputMessage="1" showErrorMessage="1" sqref="D10 D73 D136" xr:uid="{5B742BB1-46B4-4C46-8008-FC42DDDCCD9A}">
      <formula1>hier_PU_20</formula1>
    </dataValidation>
    <dataValidation type="list" errorStyle="warning" allowBlank="1" showInputMessage="1" showErrorMessage="1" sqref="D146" xr:uid="{3A21EE5E-1DDA-4E8F-89D4-31E27E632CEB}">
      <formula1>hier_AP_25</formula1>
    </dataValidation>
    <dataValidation type="list" errorStyle="warning" allowBlank="1" showInputMessage="1" showErrorMessage="1" sqref="D147 D148 D149" xr:uid="{4194C4EF-5D32-43B5-A9B0-8EFBB3CF58EE}">
      <formula1>hier_AP_17</formula1>
    </dataValidation>
  </dataValidation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2075-C3E3-480B-AA54-35AC4F05163C}">
  <sheetPr codeName="Blad142"/>
  <dimension ref="B2:O68"/>
  <sheetViews>
    <sheetView showGridLines="0" workbookViewId="0"/>
  </sheetViews>
  <sheetFormatPr defaultRowHeight="15"/>
  <cols>
    <col min="2" max="2" width="81.5703125" bestFit="1" customWidth="1"/>
    <col min="4" max="9" width="15.7109375" customWidth="1"/>
  </cols>
  <sheetData>
    <row r="2" spans="2:15" ht="23.25">
      <c r="B2" s="95" t="s">
        <v>718</v>
      </c>
      <c r="C2" s="96"/>
      <c r="D2" s="96"/>
      <c r="E2" s="96"/>
      <c r="F2" s="96"/>
      <c r="G2" s="96"/>
      <c r="H2" s="96"/>
      <c r="I2" s="96"/>
      <c r="J2" s="96"/>
      <c r="K2" s="96"/>
      <c r="L2" s="96"/>
      <c r="M2" s="96"/>
      <c r="N2" s="96"/>
      <c r="O2" s="96"/>
    </row>
    <row r="5" spans="2:15" ht="18.75">
      <c r="B5" s="97" t="s">
        <v>4848</v>
      </c>
      <c r="C5" s="96"/>
      <c r="D5" s="96"/>
      <c r="E5" s="96"/>
      <c r="F5" s="96"/>
      <c r="G5" s="96"/>
      <c r="H5" s="96"/>
      <c r="I5" s="96"/>
      <c r="J5" s="96"/>
      <c r="K5" s="96"/>
      <c r="L5" s="96"/>
    </row>
    <row r="7" spans="2:15">
      <c r="B7" t="s">
        <v>3110</v>
      </c>
      <c r="N7" s="13" t="str">
        <f>Show!$B$138&amp;"S.26.02.01.01 Table label {"&amp;COLUMN($C$1)&amp;"}"</f>
        <v>!S.26.02.01.01 Table label {3}</v>
      </c>
      <c r="O7" s="13" t="str">
        <f>Show!$B$138&amp;"S.26.02.01.01 Table value {"&amp;COLUMN($D$1)&amp;"}"</f>
        <v>!S.26.02.01.01 Table value {4}</v>
      </c>
    </row>
    <row r="8" spans="2:15">
      <c r="B8" t="s">
        <v>3111</v>
      </c>
    </row>
    <row r="9" spans="2:15">
      <c r="B9" s="40" t="s">
        <v>4622</v>
      </c>
      <c r="C9" s="53" t="s">
        <v>3113</v>
      </c>
      <c r="D9" s="51"/>
    </row>
    <row r="10" spans="2:15">
      <c r="N10" s="13" t="str">
        <f>Show!$B$138&amp;Show!$B$138&amp;"S.26.02.01.01 Table label {"&amp;COLUMN($C$1)&amp;"}"</f>
        <v>!!S.26.02.01.01 Table label {3}</v>
      </c>
      <c r="O10" s="13" t="str">
        <f>Show!$B$138&amp;Show!$B$138&amp;"S.26.02.01.01 Table value {"&amp;COLUMN($D$1)&amp;"}"</f>
        <v>!!S.26.02.01.01 Table value {4}</v>
      </c>
    </row>
    <row r="12" spans="2:15">
      <c r="D12" s="101" t="s">
        <v>2877</v>
      </c>
      <c r="E12" s="102"/>
      <c r="F12" s="102"/>
      <c r="G12" s="102"/>
      <c r="H12" s="102"/>
      <c r="I12" s="103"/>
    </row>
    <row r="13" spans="2:15">
      <c r="D13" s="104"/>
      <c r="E13" s="105"/>
      <c r="F13" s="105"/>
      <c r="G13" s="105"/>
      <c r="H13" s="105"/>
      <c r="I13" s="106"/>
    </row>
    <row r="14" spans="2:15">
      <c r="D14" s="98" t="s">
        <v>4849</v>
      </c>
      <c r="E14" s="98" t="s">
        <v>4850</v>
      </c>
      <c r="F14" s="98" t="s">
        <v>4851</v>
      </c>
      <c r="G14" s="98" t="s">
        <v>4852</v>
      </c>
      <c r="H14" s="98" t="s">
        <v>4623</v>
      </c>
      <c r="I14" s="98" t="s">
        <v>4624</v>
      </c>
    </row>
    <row r="15" spans="2:15">
      <c r="D15" s="100"/>
      <c r="E15" s="100"/>
      <c r="F15" s="100"/>
      <c r="G15" s="100"/>
      <c r="H15" s="100"/>
      <c r="I15" s="100"/>
    </row>
    <row r="16" spans="2:15">
      <c r="D16" s="45" t="s">
        <v>3219</v>
      </c>
      <c r="E16" s="45" t="s">
        <v>3225</v>
      </c>
      <c r="F16" s="45" t="s">
        <v>3229</v>
      </c>
      <c r="G16" s="45" t="s">
        <v>3231</v>
      </c>
      <c r="H16" s="45" t="s">
        <v>3233</v>
      </c>
      <c r="I16" s="45" t="s">
        <v>3234</v>
      </c>
      <c r="N16" s="13" t="str">
        <f>Show!$B$138&amp;"S.26.02.01.01 Rows {"&amp;COLUMN($C$1)&amp;"}"&amp;"@ForceFilingCode:true"</f>
        <v>!S.26.02.01.01 Rows {3}@ForceFilingCode:true</v>
      </c>
      <c r="O16" s="13" t="str">
        <f>Show!$B$138&amp;"S.26.02.01.01 Columns {"&amp;COLUMN($D$1)&amp;"}"</f>
        <v>!S.26.02.01.01 Columns {4}</v>
      </c>
    </row>
    <row r="17" spans="2:9">
      <c r="B17" s="43" t="s">
        <v>2880</v>
      </c>
      <c r="C17" s="44" t="s">
        <v>2878</v>
      </c>
      <c r="D17" s="58"/>
      <c r="E17" s="67"/>
      <c r="F17" s="67"/>
      <c r="G17" s="67"/>
      <c r="H17" s="67"/>
      <c r="I17" s="57"/>
    </row>
    <row r="18" spans="2:9">
      <c r="B18" s="47" t="s">
        <v>4853</v>
      </c>
      <c r="C18" s="44" t="s">
        <v>2899</v>
      </c>
      <c r="D18" s="56"/>
      <c r="E18" s="56"/>
      <c r="F18" s="56"/>
      <c r="G18" s="56"/>
      <c r="H18" s="48"/>
      <c r="I18" s="63"/>
    </row>
    <row r="19" spans="2:9">
      <c r="B19" s="49" t="s">
        <v>4854</v>
      </c>
      <c r="C19" s="41" t="s">
        <v>2901</v>
      </c>
      <c r="D19" s="51"/>
      <c r="E19" s="51"/>
      <c r="F19" s="60"/>
      <c r="G19" s="71"/>
      <c r="H19" s="58"/>
      <c r="I19" s="48"/>
    </row>
    <row r="20" spans="2:9">
      <c r="B20" s="49" t="s">
        <v>4855</v>
      </c>
      <c r="C20" s="41" t="s">
        <v>2903</v>
      </c>
      <c r="D20" s="51"/>
      <c r="E20" s="51"/>
      <c r="F20" s="60"/>
      <c r="G20" s="71"/>
      <c r="H20" s="58"/>
      <c r="I20" s="48"/>
    </row>
    <row r="21" spans="2:9">
      <c r="B21" s="49" t="s">
        <v>4856</v>
      </c>
      <c r="C21" s="41" t="s">
        <v>2905</v>
      </c>
      <c r="D21" s="51"/>
      <c r="E21" s="51"/>
      <c r="F21" s="60"/>
      <c r="G21" s="71"/>
      <c r="H21" s="58"/>
      <c r="I21" s="48"/>
    </row>
    <row r="22" spans="2:9">
      <c r="B22" s="49" t="s">
        <v>4857</v>
      </c>
      <c r="C22" s="41" t="s">
        <v>2907</v>
      </c>
      <c r="D22" s="51"/>
      <c r="E22" s="51"/>
      <c r="F22" s="60"/>
      <c r="G22" s="71"/>
      <c r="H22" s="58"/>
      <c r="I22" s="48"/>
    </row>
    <row r="23" spans="2:9">
      <c r="B23" s="49" t="s">
        <v>4858</v>
      </c>
      <c r="C23" s="41" t="s">
        <v>2909</v>
      </c>
      <c r="D23" s="51"/>
      <c r="E23" s="51"/>
      <c r="F23" s="60"/>
      <c r="G23" s="71"/>
      <c r="H23" s="58"/>
      <c r="I23" s="48"/>
    </row>
    <row r="24" spans="2:9">
      <c r="B24" s="49" t="s">
        <v>4859</v>
      </c>
      <c r="C24" s="41" t="s">
        <v>2911</v>
      </c>
      <c r="D24" s="51"/>
      <c r="E24" s="51"/>
      <c r="F24" s="60"/>
      <c r="G24" s="71"/>
      <c r="H24" s="58"/>
      <c r="I24" s="48"/>
    </row>
    <row r="25" spans="2:9">
      <c r="B25" s="49" t="s">
        <v>4860</v>
      </c>
      <c r="C25" s="41" t="s">
        <v>2913</v>
      </c>
      <c r="D25" s="51"/>
      <c r="E25" s="51"/>
      <c r="F25" s="60"/>
      <c r="G25" s="71"/>
      <c r="H25" s="58"/>
      <c r="I25" s="48"/>
    </row>
    <row r="26" spans="2:9">
      <c r="B26" s="49" t="s">
        <v>4861</v>
      </c>
      <c r="C26" s="41" t="s">
        <v>2915</v>
      </c>
      <c r="D26" s="51"/>
      <c r="E26" s="51"/>
      <c r="F26" s="60"/>
      <c r="G26" s="71"/>
      <c r="H26" s="58"/>
      <c r="I26" s="48"/>
    </row>
    <row r="27" spans="2:9">
      <c r="B27" s="49" t="s">
        <v>4862</v>
      </c>
      <c r="C27" s="41" t="s">
        <v>2917</v>
      </c>
      <c r="D27" s="51"/>
      <c r="E27" s="51"/>
      <c r="F27" s="60"/>
      <c r="G27" s="71"/>
      <c r="H27" s="58"/>
      <c r="I27" s="48"/>
    </row>
    <row r="28" spans="2:9">
      <c r="B28" s="49" t="s">
        <v>4863</v>
      </c>
      <c r="C28" s="41" t="s">
        <v>2919</v>
      </c>
      <c r="D28" s="68"/>
      <c r="E28" s="68"/>
      <c r="F28" s="63"/>
      <c r="G28" s="78"/>
      <c r="H28" s="58"/>
      <c r="I28" s="46"/>
    </row>
    <row r="29" spans="2:9">
      <c r="B29" s="47" t="s">
        <v>4864</v>
      </c>
      <c r="C29" s="44" t="s">
        <v>2939</v>
      </c>
      <c r="D29" s="58"/>
      <c r="E29" s="58"/>
      <c r="F29" s="56"/>
      <c r="G29" s="58"/>
      <c r="H29" s="48"/>
      <c r="I29" s="63"/>
    </row>
    <row r="30" spans="2:9">
      <c r="B30" s="49" t="s">
        <v>4865</v>
      </c>
      <c r="C30" s="44" t="s">
        <v>2941</v>
      </c>
      <c r="D30" s="58"/>
      <c r="E30" s="48"/>
      <c r="F30" s="64"/>
      <c r="G30" s="58"/>
      <c r="H30" s="58"/>
      <c r="I30" s="48"/>
    </row>
    <row r="31" spans="2:9" ht="30">
      <c r="B31" s="49" t="s">
        <v>4866</v>
      </c>
      <c r="C31" s="44" t="s">
        <v>2943</v>
      </c>
      <c r="D31" s="58"/>
      <c r="E31" s="48"/>
      <c r="F31" s="65"/>
      <c r="G31" s="58"/>
      <c r="H31" s="58"/>
      <c r="I31" s="46"/>
    </row>
    <row r="32" spans="2:9">
      <c r="B32" s="47" t="s">
        <v>4867</v>
      </c>
      <c r="C32" s="44" t="s">
        <v>2945</v>
      </c>
      <c r="D32" s="58"/>
      <c r="E32" s="58"/>
      <c r="F32" s="58"/>
      <c r="G32" s="58"/>
      <c r="H32" s="46"/>
      <c r="I32" s="60"/>
    </row>
    <row r="33" spans="2:15">
      <c r="B33" s="47" t="s">
        <v>4868</v>
      </c>
      <c r="C33" s="44" t="s">
        <v>2959</v>
      </c>
      <c r="D33" s="56"/>
      <c r="E33" s="56"/>
      <c r="F33" s="56"/>
      <c r="G33" s="46"/>
      <c r="H33" s="60"/>
      <c r="I33" s="60"/>
    </row>
    <row r="35" spans="2:15">
      <c r="N35" s="13" t="str">
        <f>Show!$B$138&amp;Show!$B$138&amp;"S.26.02.01.01 Rows {"&amp;COLUMN($C$1)&amp;"}"</f>
        <v>!!S.26.02.01.01 Rows {3}</v>
      </c>
      <c r="O35" s="13" t="str">
        <f>Show!$B$138&amp;Show!$B$138&amp;"S.26.02.01.01 Columns {"&amp;COLUMN($I$1)&amp;"}"</f>
        <v>!!S.26.02.01.01 Columns {9}</v>
      </c>
    </row>
    <row r="37" spans="2:15" ht="18.75">
      <c r="B37" s="97" t="s">
        <v>4869</v>
      </c>
      <c r="C37" s="96"/>
      <c r="D37" s="96"/>
      <c r="E37" s="96"/>
      <c r="F37" s="96"/>
      <c r="G37" s="96"/>
      <c r="H37" s="96"/>
      <c r="I37" s="96"/>
      <c r="J37" s="96"/>
      <c r="K37" s="96"/>
      <c r="L37" s="96"/>
    </row>
    <row r="39" spans="2:15">
      <c r="B39" t="s">
        <v>3110</v>
      </c>
      <c r="N39" s="13" t="str">
        <f>Show!$B$138&amp;"S.26.02.01.02 Table label {"&amp;COLUMN($C$1)&amp;"}"</f>
        <v>!S.26.02.01.02 Table label {3}</v>
      </c>
      <c r="O39" s="13" t="str">
        <f>Show!$B$138&amp;"S.26.02.01.02 Table value {"&amp;COLUMN($D$1)&amp;"}"</f>
        <v>!S.26.02.01.02 Table value {4}</v>
      </c>
    </row>
    <row r="40" spans="2:15">
      <c r="B40" t="s">
        <v>3111</v>
      </c>
    </row>
    <row r="41" spans="2:15">
      <c r="B41" s="40" t="s">
        <v>4622</v>
      </c>
      <c r="C41" s="53" t="s">
        <v>3113</v>
      </c>
      <c r="D41" s="51"/>
    </row>
    <row r="42" spans="2:15">
      <c r="N42" s="13" t="str">
        <f>Show!$B$138&amp;Show!$B$138&amp;"S.26.02.01.02 Table label {"&amp;COLUMN($C$1)&amp;"}"</f>
        <v>!!S.26.02.01.02 Table label {3}</v>
      </c>
      <c r="O42" s="13" t="str">
        <f>Show!$B$138&amp;Show!$B$138&amp;"S.26.02.01.02 Table value {"&amp;COLUMN($D$1)&amp;"}"</f>
        <v>!!S.26.02.01.02 Table value {4}</v>
      </c>
    </row>
    <row r="44" spans="2:15">
      <c r="D44" s="98" t="s">
        <v>2877</v>
      </c>
    </row>
    <row r="45" spans="2:15">
      <c r="D45" s="100"/>
    </row>
    <row r="46" spans="2:15" ht="30">
      <c r="D46" s="55" t="s">
        <v>2574</v>
      </c>
    </row>
    <row r="47" spans="2:15">
      <c r="D47" s="45" t="s">
        <v>2879</v>
      </c>
      <c r="N47" s="13" t="str">
        <f>Show!$B$138&amp;"S.26.02.01.02 Rows {"&amp;COLUMN($C$1)&amp;"}"&amp;"@ForceFilingCode:true"</f>
        <v>!S.26.02.01.02 Rows {3}@ForceFilingCode:true</v>
      </c>
      <c r="O47" s="13" t="str">
        <f>Show!$B$138&amp;"S.26.02.01.02 Columns {"&amp;COLUMN($D$1)&amp;"}"</f>
        <v>!S.26.02.01.02 Columns {4}</v>
      </c>
    </row>
    <row r="48" spans="2:15">
      <c r="B48" s="43" t="s">
        <v>2880</v>
      </c>
      <c r="C48" s="44" t="s">
        <v>2878</v>
      </c>
      <c r="D48" s="46"/>
    </row>
    <row r="49" spans="2:15">
      <c r="B49" s="47" t="s">
        <v>4684</v>
      </c>
      <c r="C49" s="41" t="s">
        <v>2883</v>
      </c>
      <c r="D49" s="51"/>
    </row>
    <row r="51" spans="2:15">
      <c r="N51" s="13" t="str">
        <f>Show!$B$138&amp;Show!$B$138&amp;"S.26.02.01.02 Rows {"&amp;COLUMN($C$1)&amp;"}"</f>
        <v>!!S.26.02.01.02 Rows {3}</v>
      </c>
      <c r="O51" s="13" t="str">
        <f>Show!$B$138&amp;Show!$B$138&amp;"S.26.02.01.02 Columns {"&amp;COLUMN($D$1)&amp;"}"</f>
        <v>!!S.26.02.01.02 Columns {4}</v>
      </c>
    </row>
    <row r="53" spans="2:15" ht="18.75">
      <c r="B53" s="97" t="s">
        <v>4870</v>
      </c>
      <c r="C53" s="96"/>
      <c r="D53" s="96"/>
      <c r="E53" s="96"/>
      <c r="F53" s="96"/>
      <c r="G53" s="96"/>
      <c r="H53" s="96"/>
      <c r="I53" s="96"/>
      <c r="J53" s="96"/>
      <c r="K53" s="96"/>
      <c r="L53" s="96"/>
    </row>
    <row r="55" spans="2:15">
      <c r="B55" t="s">
        <v>3110</v>
      </c>
      <c r="N55" s="13" t="str">
        <f>Show!$B$138&amp;"S.26.02.01.03 Table label {"&amp;COLUMN($C$1)&amp;"}"</f>
        <v>!S.26.02.01.03 Table label {3}</v>
      </c>
      <c r="O55" s="13" t="str">
        <f>Show!$B$138&amp;"S.26.02.01.03 Table value {"&amp;COLUMN($D$1)&amp;"}"</f>
        <v>!S.26.02.01.03 Table value {4}</v>
      </c>
    </row>
    <row r="56" spans="2:15">
      <c r="B56" t="s">
        <v>3111</v>
      </c>
    </row>
    <row r="57" spans="2:15">
      <c r="B57" s="40" t="s">
        <v>4622</v>
      </c>
      <c r="C57" s="53" t="s">
        <v>3113</v>
      </c>
      <c r="D57" s="51"/>
    </row>
    <row r="58" spans="2:15">
      <c r="N58" s="13" t="str">
        <f>Show!$B$138&amp;Show!$B$138&amp;"S.26.02.01.03 Table label {"&amp;COLUMN($C$1)&amp;"}"</f>
        <v>!!S.26.02.01.03 Table label {3}</v>
      </c>
      <c r="O58" s="13" t="str">
        <f>Show!$B$138&amp;Show!$B$138&amp;"S.26.02.01.03 Table value {"&amp;COLUMN($D$1)&amp;"}"</f>
        <v>!!S.26.02.01.03 Table value {4}</v>
      </c>
    </row>
    <row r="60" spans="2:15">
      <c r="D60" s="98" t="s">
        <v>2877</v>
      </c>
    </row>
    <row r="61" spans="2:15">
      <c r="D61" s="99"/>
    </row>
    <row r="62" spans="2:15">
      <c r="D62" s="100"/>
    </row>
    <row r="63" spans="2:15">
      <c r="D63" s="45" t="s">
        <v>3236</v>
      </c>
      <c r="N63" s="13" t="str">
        <f>Show!$B$138&amp;"S.26.02.01.03 Rows {"&amp;COLUMN($C$1)&amp;"}"&amp;"@ForceFilingCode:true"</f>
        <v>!S.26.02.01.03 Rows {3}@ForceFilingCode:true</v>
      </c>
      <c r="O63" s="13" t="str">
        <f>Show!$B$138&amp;"S.26.02.01.03 Columns {"&amp;COLUMN($D$1)&amp;"}"</f>
        <v>!S.26.02.01.03 Columns {4}</v>
      </c>
    </row>
    <row r="64" spans="2:15">
      <c r="B64" s="43" t="s">
        <v>2880</v>
      </c>
      <c r="C64" s="44" t="s">
        <v>2878</v>
      </c>
      <c r="D64" s="46"/>
    </row>
    <row r="65" spans="2:15">
      <c r="B65" s="47" t="s">
        <v>4871</v>
      </c>
      <c r="C65" s="41" t="s">
        <v>2977</v>
      </c>
      <c r="D65" s="60"/>
    </row>
    <row r="66" spans="2:15">
      <c r="B66" s="47" t="s">
        <v>4872</v>
      </c>
      <c r="C66" s="41" t="s">
        <v>2979</v>
      </c>
      <c r="D66" s="60"/>
    </row>
    <row r="68" spans="2:15">
      <c r="N68" s="13" t="str">
        <f>Show!$B$138&amp;Show!$B$138&amp;"S.26.02.01.03 Rows {"&amp;COLUMN($C$1)&amp;"}"</f>
        <v>!!S.26.02.01.03 Rows {3}</v>
      </c>
      <c r="O68" s="13" t="str">
        <f>Show!$B$138&amp;Show!$B$138&amp;"S.26.02.01.03 Columns {"&amp;COLUMN($D$1)&amp;"}"</f>
        <v>!!S.26.02.01.03 Columns {4}</v>
      </c>
    </row>
  </sheetData>
  <sheetProtection sheet="1" objects="1" scenarios="1"/>
  <mergeCells count="13">
    <mergeCell ref="B37:L37"/>
    <mergeCell ref="D44:D45"/>
    <mergeCell ref="B53:L53"/>
    <mergeCell ref="D60:D62"/>
    <mergeCell ref="B2:O2"/>
    <mergeCell ref="B5:L5"/>
    <mergeCell ref="D12:I13"/>
    <mergeCell ref="D14:D15"/>
    <mergeCell ref="E14:E15"/>
    <mergeCell ref="F14:F15"/>
    <mergeCell ref="G14:G15"/>
    <mergeCell ref="H14:H15"/>
    <mergeCell ref="I14:I15"/>
  </mergeCells>
  <dataValidations count="1">
    <dataValidation type="list" errorStyle="warning" allowBlank="1" showInputMessage="1" showErrorMessage="1" sqref="D9 D41 D57" xr:uid="{D73A435D-9C43-4BD5-99E2-7678C6AE764D}">
      <formula1>hier_AO_1</formula1>
    </dataValidation>
  </dataValidation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32F10-14C3-42E5-AD71-9AEC33D3EEAD}">
  <sheetPr codeName="Blad143"/>
  <dimension ref="B2:O68"/>
  <sheetViews>
    <sheetView showGridLines="0" workbookViewId="0"/>
  </sheetViews>
  <sheetFormatPr defaultRowHeight="15"/>
  <cols>
    <col min="2" max="2" width="81.5703125" bestFit="1" customWidth="1"/>
    <col min="4" max="9" width="15.7109375" customWidth="1"/>
  </cols>
  <sheetData>
    <row r="2" spans="2:15" ht="23.25">
      <c r="B2" s="95" t="s">
        <v>718</v>
      </c>
      <c r="C2" s="96"/>
      <c r="D2" s="96"/>
      <c r="E2" s="96"/>
      <c r="F2" s="96"/>
      <c r="G2" s="96"/>
      <c r="H2" s="96"/>
      <c r="I2" s="96"/>
      <c r="J2" s="96"/>
      <c r="K2" s="96"/>
      <c r="L2" s="96"/>
      <c r="M2" s="96"/>
      <c r="N2" s="96"/>
      <c r="O2" s="96"/>
    </row>
    <row r="5" spans="2:15" ht="18.75">
      <c r="B5" s="97" t="s">
        <v>4873</v>
      </c>
      <c r="C5" s="96"/>
      <c r="D5" s="96"/>
      <c r="E5" s="96"/>
      <c r="F5" s="96"/>
      <c r="G5" s="96"/>
      <c r="H5" s="96"/>
      <c r="I5" s="96"/>
      <c r="J5" s="96"/>
      <c r="K5" s="96"/>
      <c r="L5" s="96"/>
    </row>
    <row r="7" spans="2:15">
      <c r="B7" t="s">
        <v>3110</v>
      </c>
      <c r="N7" s="13" t="str">
        <f>Show!$B$139&amp;"S.26.02.04.01 Table label {"&amp;COLUMN($C$1)&amp;"}"</f>
        <v>!S.26.02.04.01 Table label {3}</v>
      </c>
      <c r="O7" s="13" t="str">
        <f>Show!$B$139&amp;"S.26.02.04.01 Table value {"&amp;COLUMN($D$1)&amp;"}"</f>
        <v>!S.26.02.04.01 Table value {4}</v>
      </c>
    </row>
    <row r="8" spans="2:15">
      <c r="B8" t="s">
        <v>3111</v>
      </c>
    </row>
    <row r="9" spans="2:15">
      <c r="B9" s="40" t="s">
        <v>4622</v>
      </c>
      <c r="C9" s="53" t="s">
        <v>3113</v>
      </c>
      <c r="D9" s="51"/>
    </row>
    <row r="10" spans="2:15">
      <c r="N10" s="13" t="str">
        <f>Show!$B$139&amp;Show!$B$139&amp;"S.26.02.04.01 Table label {"&amp;COLUMN($C$1)&amp;"}"</f>
        <v>!!S.26.02.04.01 Table label {3}</v>
      </c>
      <c r="O10" s="13" t="str">
        <f>Show!$B$139&amp;Show!$B$139&amp;"S.26.02.04.01 Table value {"&amp;COLUMN($D$1)&amp;"}"</f>
        <v>!!S.26.02.04.01 Table value {4}</v>
      </c>
    </row>
    <row r="12" spans="2:15">
      <c r="D12" s="101" t="s">
        <v>2877</v>
      </c>
      <c r="E12" s="102"/>
      <c r="F12" s="102"/>
      <c r="G12" s="102"/>
      <c r="H12" s="102"/>
      <c r="I12" s="103"/>
    </row>
    <row r="13" spans="2:15">
      <c r="D13" s="104"/>
      <c r="E13" s="105"/>
      <c r="F13" s="105"/>
      <c r="G13" s="105"/>
      <c r="H13" s="105"/>
      <c r="I13" s="106"/>
    </row>
    <row r="14" spans="2:15">
      <c r="D14" s="98" t="s">
        <v>4849</v>
      </c>
      <c r="E14" s="98" t="s">
        <v>4850</v>
      </c>
      <c r="F14" s="98" t="s">
        <v>4851</v>
      </c>
      <c r="G14" s="98" t="s">
        <v>4852</v>
      </c>
      <c r="H14" s="98" t="s">
        <v>4623</v>
      </c>
      <c r="I14" s="98" t="s">
        <v>4624</v>
      </c>
    </row>
    <row r="15" spans="2:15">
      <c r="D15" s="100"/>
      <c r="E15" s="100"/>
      <c r="F15" s="100"/>
      <c r="G15" s="100"/>
      <c r="H15" s="100"/>
      <c r="I15" s="100"/>
    </row>
    <row r="16" spans="2:15">
      <c r="D16" s="45" t="s">
        <v>3219</v>
      </c>
      <c r="E16" s="45" t="s">
        <v>3225</v>
      </c>
      <c r="F16" s="45" t="s">
        <v>3229</v>
      </c>
      <c r="G16" s="45" t="s">
        <v>3231</v>
      </c>
      <c r="H16" s="45" t="s">
        <v>3233</v>
      </c>
      <c r="I16" s="45" t="s">
        <v>3234</v>
      </c>
      <c r="N16" s="13" t="str">
        <f>Show!$B$139&amp;"S.26.02.04.01 Rows {"&amp;COLUMN($C$1)&amp;"}"&amp;"@ForceFilingCode:true"</f>
        <v>!S.26.02.04.01 Rows {3}@ForceFilingCode:true</v>
      </c>
      <c r="O16" s="13" t="str">
        <f>Show!$B$139&amp;"S.26.02.04.01 Columns {"&amp;COLUMN($D$1)&amp;"}"</f>
        <v>!S.26.02.04.01 Columns {4}</v>
      </c>
    </row>
    <row r="17" spans="2:9">
      <c r="B17" s="43" t="s">
        <v>2880</v>
      </c>
      <c r="C17" s="44" t="s">
        <v>2878</v>
      </c>
      <c r="D17" s="58"/>
      <c r="E17" s="67"/>
      <c r="F17" s="67"/>
      <c r="G17" s="67"/>
      <c r="H17" s="67"/>
      <c r="I17" s="57"/>
    </row>
    <row r="18" spans="2:9">
      <c r="B18" s="47" t="s">
        <v>4853</v>
      </c>
      <c r="C18" s="44" t="s">
        <v>2899</v>
      </c>
      <c r="D18" s="56"/>
      <c r="E18" s="56"/>
      <c r="F18" s="56"/>
      <c r="G18" s="56"/>
      <c r="H18" s="48"/>
      <c r="I18" s="63"/>
    </row>
    <row r="19" spans="2:9">
      <c r="B19" s="49" t="s">
        <v>4854</v>
      </c>
      <c r="C19" s="41" t="s">
        <v>2901</v>
      </c>
      <c r="D19" s="51"/>
      <c r="E19" s="51"/>
      <c r="F19" s="60"/>
      <c r="G19" s="71"/>
      <c r="H19" s="58"/>
      <c r="I19" s="48"/>
    </row>
    <row r="20" spans="2:9">
      <c r="B20" s="49" t="s">
        <v>4855</v>
      </c>
      <c r="C20" s="41" t="s">
        <v>2903</v>
      </c>
      <c r="D20" s="51"/>
      <c r="E20" s="51"/>
      <c r="F20" s="60"/>
      <c r="G20" s="71"/>
      <c r="H20" s="58"/>
      <c r="I20" s="48"/>
    </row>
    <row r="21" spans="2:9">
      <c r="B21" s="49" t="s">
        <v>4856</v>
      </c>
      <c r="C21" s="41" t="s">
        <v>2905</v>
      </c>
      <c r="D21" s="51"/>
      <c r="E21" s="51"/>
      <c r="F21" s="60"/>
      <c r="G21" s="71"/>
      <c r="H21" s="58"/>
      <c r="I21" s="48"/>
    </row>
    <row r="22" spans="2:9">
      <c r="B22" s="49" t="s">
        <v>4857</v>
      </c>
      <c r="C22" s="41" t="s">
        <v>2907</v>
      </c>
      <c r="D22" s="51"/>
      <c r="E22" s="51"/>
      <c r="F22" s="60"/>
      <c r="G22" s="71"/>
      <c r="H22" s="58"/>
      <c r="I22" s="48"/>
    </row>
    <row r="23" spans="2:9">
      <c r="B23" s="49" t="s">
        <v>4858</v>
      </c>
      <c r="C23" s="41" t="s">
        <v>2909</v>
      </c>
      <c r="D23" s="51"/>
      <c r="E23" s="51"/>
      <c r="F23" s="60"/>
      <c r="G23" s="71"/>
      <c r="H23" s="58"/>
      <c r="I23" s="48"/>
    </row>
    <row r="24" spans="2:9">
      <c r="B24" s="49" t="s">
        <v>4859</v>
      </c>
      <c r="C24" s="41" t="s">
        <v>2911</v>
      </c>
      <c r="D24" s="51"/>
      <c r="E24" s="51"/>
      <c r="F24" s="60"/>
      <c r="G24" s="71"/>
      <c r="H24" s="58"/>
      <c r="I24" s="48"/>
    </row>
    <row r="25" spans="2:9">
      <c r="B25" s="49" t="s">
        <v>4860</v>
      </c>
      <c r="C25" s="41" t="s">
        <v>2913</v>
      </c>
      <c r="D25" s="51"/>
      <c r="E25" s="51"/>
      <c r="F25" s="60"/>
      <c r="G25" s="71"/>
      <c r="H25" s="58"/>
      <c r="I25" s="48"/>
    </row>
    <row r="26" spans="2:9">
      <c r="B26" s="49" t="s">
        <v>4861</v>
      </c>
      <c r="C26" s="41" t="s">
        <v>2915</v>
      </c>
      <c r="D26" s="51"/>
      <c r="E26" s="51"/>
      <c r="F26" s="60"/>
      <c r="G26" s="71"/>
      <c r="H26" s="58"/>
      <c r="I26" s="48"/>
    </row>
    <row r="27" spans="2:9">
      <c r="B27" s="49" t="s">
        <v>4862</v>
      </c>
      <c r="C27" s="41" t="s">
        <v>2917</v>
      </c>
      <c r="D27" s="51"/>
      <c r="E27" s="51"/>
      <c r="F27" s="60"/>
      <c r="G27" s="71"/>
      <c r="H27" s="58"/>
      <c r="I27" s="48"/>
    </row>
    <row r="28" spans="2:9">
      <c r="B28" s="49" t="s">
        <v>4863</v>
      </c>
      <c r="C28" s="41" t="s">
        <v>2919</v>
      </c>
      <c r="D28" s="68"/>
      <c r="E28" s="68"/>
      <c r="F28" s="63"/>
      <c r="G28" s="78"/>
      <c r="H28" s="58"/>
      <c r="I28" s="46"/>
    </row>
    <row r="29" spans="2:9">
      <c r="B29" s="47" t="s">
        <v>4864</v>
      </c>
      <c r="C29" s="44" t="s">
        <v>2939</v>
      </c>
      <c r="D29" s="58"/>
      <c r="E29" s="58"/>
      <c r="F29" s="56"/>
      <c r="G29" s="58"/>
      <c r="H29" s="48"/>
      <c r="I29" s="63"/>
    </row>
    <row r="30" spans="2:9">
      <c r="B30" s="49" t="s">
        <v>4865</v>
      </c>
      <c r="C30" s="44" t="s">
        <v>2941</v>
      </c>
      <c r="D30" s="58"/>
      <c r="E30" s="48"/>
      <c r="F30" s="64"/>
      <c r="G30" s="58"/>
      <c r="H30" s="58"/>
      <c r="I30" s="48"/>
    </row>
    <row r="31" spans="2:9" ht="30">
      <c r="B31" s="49" t="s">
        <v>4866</v>
      </c>
      <c r="C31" s="44" t="s">
        <v>2943</v>
      </c>
      <c r="D31" s="58"/>
      <c r="E31" s="48"/>
      <c r="F31" s="65"/>
      <c r="G31" s="58"/>
      <c r="H31" s="58"/>
      <c r="I31" s="46"/>
    </row>
    <row r="32" spans="2:9">
      <c r="B32" s="47" t="s">
        <v>4867</v>
      </c>
      <c r="C32" s="44" t="s">
        <v>2945</v>
      </c>
      <c r="D32" s="58"/>
      <c r="E32" s="58"/>
      <c r="F32" s="58"/>
      <c r="G32" s="58"/>
      <c r="H32" s="46"/>
      <c r="I32" s="60"/>
    </row>
    <row r="33" spans="2:15">
      <c r="B33" s="47" t="s">
        <v>4868</v>
      </c>
      <c r="C33" s="44" t="s">
        <v>2959</v>
      </c>
      <c r="D33" s="56"/>
      <c r="E33" s="56"/>
      <c r="F33" s="56"/>
      <c r="G33" s="46"/>
      <c r="H33" s="60"/>
      <c r="I33" s="60"/>
    </row>
    <row r="35" spans="2:15">
      <c r="N35" s="13" t="str">
        <f>Show!$B$139&amp;Show!$B$139&amp;"S.26.02.04.01 Rows {"&amp;COLUMN($C$1)&amp;"}"</f>
        <v>!!S.26.02.04.01 Rows {3}</v>
      </c>
      <c r="O35" s="13" t="str">
        <f>Show!$B$139&amp;Show!$B$139&amp;"S.26.02.04.01 Columns {"&amp;COLUMN($I$1)&amp;"}"</f>
        <v>!!S.26.02.04.01 Columns {9}</v>
      </c>
    </row>
    <row r="37" spans="2:15" ht="18.75">
      <c r="B37" s="97" t="s">
        <v>4874</v>
      </c>
      <c r="C37" s="96"/>
      <c r="D37" s="96"/>
      <c r="E37" s="96"/>
      <c r="F37" s="96"/>
      <c r="G37" s="96"/>
      <c r="H37" s="96"/>
      <c r="I37" s="96"/>
      <c r="J37" s="96"/>
      <c r="K37" s="96"/>
      <c r="L37" s="96"/>
    </row>
    <row r="39" spans="2:15">
      <c r="B39" t="s">
        <v>3110</v>
      </c>
      <c r="N39" s="13" t="str">
        <f>Show!$B$139&amp;"S.26.02.04.02 Table label {"&amp;COLUMN($C$1)&amp;"}"</f>
        <v>!S.26.02.04.02 Table label {3}</v>
      </c>
      <c r="O39" s="13" t="str">
        <f>Show!$B$139&amp;"S.26.02.04.02 Table value {"&amp;COLUMN($D$1)&amp;"}"</f>
        <v>!S.26.02.04.02 Table value {4}</v>
      </c>
    </row>
    <row r="40" spans="2:15">
      <c r="B40" t="s">
        <v>3111</v>
      </c>
    </row>
    <row r="41" spans="2:15">
      <c r="B41" s="40" t="s">
        <v>4622</v>
      </c>
      <c r="C41" s="53" t="s">
        <v>3113</v>
      </c>
      <c r="D41" s="51"/>
    </row>
    <row r="42" spans="2:15">
      <c r="N42" s="13" t="str">
        <f>Show!$B$139&amp;Show!$B$139&amp;"S.26.02.04.02 Table label {"&amp;COLUMN($C$1)&amp;"}"</f>
        <v>!!S.26.02.04.02 Table label {3}</v>
      </c>
      <c r="O42" s="13" t="str">
        <f>Show!$B$139&amp;Show!$B$139&amp;"S.26.02.04.02 Table value {"&amp;COLUMN($D$1)&amp;"}"</f>
        <v>!!S.26.02.04.02 Table value {4}</v>
      </c>
    </row>
    <row r="44" spans="2:15">
      <c r="D44" s="98" t="s">
        <v>2877</v>
      </c>
    </row>
    <row r="45" spans="2:15">
      <c r="D45" s="100"/>
    </row>
    <row r="46" spans="2:15" ht="30">
      <c r="D46" s="55" t="s">
        <v>2574</v>
      </c>
    </row>
    <row r="47" spans="2:15">
      <c r="D47" s="45" t="s">
        <v>2879</v>
      </c>
      <c r="N47" s="13" t="str">
        <f>Show!$B$139&amp;"S.26.02.04.02 Rows {"&amp;COLUMN($C$1)&amp;"}"&amp;"@ForceFilingCode:true"</f>
        <v>!S.26.02.04.02 Rows {3}@ForceFilingCode:true</v>
      </c>
      <c r="O47" s="13" t="str">
        <f>Show!$B$139&amp;"S.26.02.04.02 Columns {"&amp;COLUMN($D$1)&amp;"}"</f>
        <v>!S.26.02.04.02 Columns {4}</v>
      </c>
    </row>
    <row r="48" spans="2:15">
      <c r="B48" s="43" t="s">
        <v>2880</v>
      </c>
      <c r="C48" s="44" t="s">
        <v>2878</v>
      </c>
      <c r="D48" s="46"/>
    </row>
    <row r="49" spans="2:15">
      <c r="B49" s="47" t="s">
        <v>4684</v>
      </c>
      <c r="C49" s="41" t="s">
        <v>2883</v>
      </c>
      <c r="D49" s="51"/>
    </row>
    <row r="51" spans="2:15">
      <c r="N51" s="13" t="str">
        <f>Show!$B$139&amp;Show!$B$139&amp;"S.26.02.04.02 Rows {"&amp;COLUMN($C$1)&amp;"}"</f>
        <v>!!S.26.02.04.02 Rows {3}</v>
      </c>
      <c r="O51" s="13" t="str">
        <f>Show!$B$139&amp;Show!$B$139&amp;"S.26.02.04.02 Columns {"&amp;COLUMN($D$1)&amp;"}"</f>
        <v>!!S.26.02.04.02 Columns {4}</v>
      </c>
    </row>
    <row r="53" spans="2:15" ht="18.75">
      <c r="B53" s="97" t="s">
        <v>4875</v>
      </c>
      <c r="C53" s="96"/>
      <c r="D53" s="96"/>
      <c r="E53" s="96"/>
      <c r="F53" s="96"/>
      <c r="G53" s="96"/>
      <c r="H53" s="96"/>
      <c r="I53" s="96"/>
      <c r="J53" s="96"/>
      <c r="K53" s="96"/>
      <c r="L53" s="96"/>
    </row>
    <row r="55" spans="2:15">
      <c r="B55" t="s">
        <v>3110</v>
      </c>
      <c r="N55" s="13" t="str">
        <f>Show!$B$139&amp;"S.26.02.04.03 Table label {"&amp;COLUMN($C$1)&amp;"}"</f>
        <v>!S.26.02.04.03 Table label {3}</v>
      </c>
      <c r="O55" s="13" t="str">
        <f>Show!$B$139&amp;"S.26.02.04.03 Table value {"&amp;COLUMN($D$1)&amp;"}"</f>
        <v>!S.26.02.04.03 Table value {4}</v>
      </c>
    </row>
    <row r="56" spans="2:15">
      <c r="B56" t="s">
        <v>3111</v>
      </c>
    </row>
    <row r="57" spans="2:15">
      <c r="B57" s="40" t="s">
        <v>4622</v>
      </c>
      <c r="C57" s="53" t="s">
        <v>3113</v>
      </c>
      <c r="D57" s="51"/>
    </row>
    <row r="58" spans="2:15">
      <c r="N58" s="13" t="str">
        <f>Show!$B$139&amp;Show!$B$139&amp;"S.26.02.04.03 Table label {"&amp;COLUMN($C$1)&amp;"}"</f>
        <v>!!S.26.02.04.03 Table label {3}</v>
      </c>
      <c r="O58" s="13" t="str">
        <f>Show!$B$139&amp;Show!$B$139&amp;"S.26.02.04.03 Table value {"&amp;COLUMN($D$1)&amp;"}"</f>
        <v>!!S.26.02.04.03 Table value {4}</v>
      </c>
    </row>
    <row r="60" spans="2:15">
      <c r="D60" s="98" t="s">
        <v>2877</v>
      </c>
    </row>
    <row r="61" spans="2:15">
      <c r="D61" s="99"/>
    </row>
    <row r="62" spans="2:15">
      <c r="D62" s="100"/>
    </row>
    <row r="63" spans="2:15">
      <c r="D63" s="45" t="s">
        <v>3236</v>
      </c>
      <c r="N63" s="13" t="str">
        <f>Show!$B$139&amp;"S.26.02.04.03 Rows {"&amp;COLUMN($C$1)&amp;"}"&amp;"@ForceFilingCode:true"</f>
        <v>!S.26.02.04.03 Rows {3}@ForceFilingCode:true</v>
      </c>
      <c r="O63" s="13" t="str">
        <f>Show!$B$139&amp;"S.26.02.04.03 Columns {"&amp;COLUMN($D$1)&amp;"}"</f>
        <v>!S.26.02.04.03 Columns {4}</v>
      </c>
    </row>
    <row r="64" spans="2:15">
      <c r="B64" s="43" t="s">
        <v>2880</v>
      </c>
      <c r="C64" s="44" t="s">
        <v>2878</v>
      </c>
      <c r="D64" s="46"/>
    </row>
    <row r="65" spans="2:15">
      <c r="B65" s="47" t="s">
        <v>4871</v>
      </c>
      <c r="C65" s="41" t="s">
        <v>2977</v>
      </c>
      <c r="D65" s="60"/>
    </row>
    <row r="66" spans="2:15">
      <c r="B66" s="47" t="s">
        <v>4872</v>
      </c>
      <c r="C66" s="41" t="s">
        <v>2979</v>
      </c>
      <c r="D66" s="60"/>
    </row>
    <row r="68" spans="2:15">
      <c r="N68" s="13" t="str">
        <f>Show!$B$139&amp;Show!$B$139&amp;"S.26.02.04.03 Rows {"&amp;COLUMN($C$1)&amp;"}"</f>
        <v>!!S.26.02.04.03 Rows {3}</v>
      </c>
      <c r="O68" s="13" t="str">
        <f>Show!$B$139&amp;Show!$B$139&amp;"S.26.02.04.03 Columns {"&amp;COLUMN($D$1)&amp;"}"</f>
        <v>!!S.26.02.04.03 Columns {4}</v>
      </c>
    </row>
  </sheetData>
  <sheetProtection sheet="1" objects="1" scenarios="1"/>
  <mergeCells count="13">
    <mergeCell ref="B37:L37"/>
    <mergeCell ref="D44:D45"/>
    <mergeCell ref="B53:L53"/>
    <mergeCell ref="D60:D62"/>
    <mergeCell ref="B2:O2"/>
    <mergeCell ref="B5:L5"/>
    <mergeCell ref="D12:I13"/>
    <mergeCell ref="D14:D15"/>
    <mergeCell ref="E14:E15"/>
    <mergeCell ref="F14:F15"/>
    <mergeCell ref="G14:G15"/>
    <mergeCell ref="H14:H15"/>
    <mergeCell ref="I14:I15"/>
  </mergeCells>
  <dataValidations count="1">
    <dataValidation type="list" errorStyle="warning" allowBlank="1" showInputMessage="1" showErrorMessage="1" sqref="D9 D41 D57" xr:uid="{5B1BADC0-BEA2-437A-B4CA-B003575DDFA8}">
      <formula1>hier_AO_1</formula1>
    </dataValidation>
  </dataValidation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B186-C00B-4EE5-BC38-A5B493CD5B8D}">
  <sheetPr codeName="Blad144"/>
  <dimension ref="B2:O55"/>
  <sheetViews>
    <sheetView showGridLines="0" workbookViewId="0"/>
  </sheetViews>
  <sheetFormatPr defaultRowHeight="15"/>
  <cols>
    <col min="2" max="2" width="81.5703125" bestFit="1" customWidth="1"/>
    <col min="4" max="4" width="40.7109375" customWidth="1"/>
    <col min="5" max="9" width="15.7109375" customWidth="1"/>
  </cols>
  <sheetData>
    <row r="2" spans="2:15" ht="23.25">
      <c r="B2" s="95" t="s">
        <v>718</v>
      </c>
      <c r="C2" s="96"/>
      <c r="D2" s="96"/>
      <c r="E2" s="96"/>
      <c r="F2" s="96"/>
      <c r="G2" s="96"/>
      <c r="H2" s="96"/>
      <c r="I2" s="96"/>
      <c r="J2" s="96"/>
      <c r="K2" s="96"/>
      <c r="L2" s="96"/>
      <c r="M2" s="96"/>
      <c r="N2" s="96"/>
      <c r="O2" s="96"/>
    </row>
    <row r="5" spans="2:15" ht="18.75">
      <c r="B5" s="97" t="s">
        <v>4876</v>
      </c>
      <c r="C5" s="96"/>
      <c r="D5" s="96"/>
      <c r="E5" s="96"/>
      <c r="F5" s="96"/>
      <c r="G5" s="96"/>
      <c r="H5" s="96"/>
      <c r="I5" s="96"/>
      <c r="J5" s="96"/>
      <c r="K5" s="96"/>
      <c r="L5" s="96"/>
    </row>
    <row r="7" spans="2:15">
      <c r="B7" t="s">
        <v>3110</v>
      </c>
      <c r="N7" s="13" t="str">
        <f>Show!$B$140&amp;"SR.26.02.01.01 Table label {"&amp;COLUMN($C$1)&amp;"}"</f>
        <v>!SR.26.02.01.01 Table label {3}</v>
      </c>
      <c r="O7" s="13" t="str">
        <f>Show!$B$140&amp;"SR.26.02.01.01 Table value {"&amp;COLUMN($D$1)&amp;"}"</f>
        <v>!SR.26.02.01.01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N12" s="13" t="str">
        <f>Show!$B$140&amp;Show!$B$140&amp;"SR.26.02.01.01 Table label {"&amp;COLUMN($C$1)&amp;"}"</f>
        <v>!!SR.26.02.01.01 Table label {3}</v>
      </c>
      <c r="O12" s="13" t="str">
        <f>Show!$B$140&amp;Show!$B$140&amp;"SR.26.02.01.01 Table value {"&amp;COLUMN($D$1)&amp;"}"</f>
        <v>!!SR.26.02.01.01 Table value {4}</v>
      </c>
    </row>
    <row r="14" spans="2:15">
      <c r="D14" s="101" t="s">
        <v>2877</v>
      </c>
      <c r="E14" s="102"/>
      <c r="F14" s="102"/>
      <c r="G14" s="102"/>
      <c r="H14" s="102"/>
      <c r="I14" s="103"/>
    </row>
    <row r="15" spans="2:15">
      <c r="D15" s="104"/>
      <c r="E15" s="105"/>
      <c r="F15" s="105"/>
      <c r="G15" s="105"/>
      <c r="H15" s="105"/>
      <c r="I15" s="106"/>
    </row>
    <row r="16" spans="2:15">
      <c r="D16" s="98" t="s">
        <v>4849</v>
      </c>
      <c r="E16" s="98" t="s">
        <v>4850</v>
      </c>
      <c r="F16" s="98" t="s">
        <v>4851</v>
      </c>
      <c r="G16" s="98" t="s">
        <v>4852</v>
      </c>
      <c r="H16" s="98" t="s">
        <v>4623</v>
      </c>
      <c r="I16" s="98" t="s">
        <v>4624</v>
      </c>
    </row>
    <row r="17" spans="2:15">
      <c r="D17" s="100"/>
      <c r="E17" s="100"/>
      <c r="F17" s="100"/>
      <c r="G17" s="100"/>
      <c r="H17" s="100"/>
      <c r="I17" s="100"/>
    </row>
    <row r="18" spans="2:15">
      <c r="D18" s="45" t="s">
        <v>3219</v>
      </c>
      <c r="E18" s="45" t="s">
        <v>3225</v>
      </c>
      <c r="F18" s="45" t="s">
        <v>3229</v>
      </c>
      <c r="G18" s="45" t="s">
        <v>3231</v>
      </c>
      <c r="H18" s="45" t="s">
        <v>3233</v>
      </c>
      <c r="I18" s="45" t="s">
        <v>3234</v>
      </c>
      <c r="N18" s="13" t="str">
        <f>Show!$B$140&amp;"SR.26.02.01.01 Rows {"&amp;COLUMN($C$1)&amp;"}"&amp;"@ForceFilingCode:true"</f>
        <v>!SR.26.02.01.01 Rows {3}@ForceFilingCode:true</v>
      </c>
      <c r="O18" s="13" t="str">
        <f>Show!$B$140&amp;"SR.26.02.01.01 Columns {"&amp;COLUMN($D$1)&amp;"}"</f>
        <v>!SR.26.02.01.01 Columns {4}</v>
      </c>
    </row>
    <row r="19" spans="2:15">
      <c r="B19" s="43" t="s">
        <v>2880</v>
      </c>
      <c r="C19" s="44" t="s">
        <v>2878</v>
      </c>
      <c r="D19" s="58"/>
      <c r="E19" s="67"/>
      <c r="F19" s="67"/>
      <c r="G19" s="67"/>
      <c r="H19" s="67"/>
      <c r="I19" s="57"/>
    </row>
    <row r="20" spans="2:15">
      <c r="B20" s="47" t="s">
        <v>4853</v>
      </c>
      <c r="C20" s="44" t="s">
        <v>2899</v>
      </c>
      <c r="D20" s="56"/>
      <c r="E20" s="56"/>
      <c r="F20" s="56"/>
      <c r="G20" s="56"/>
      <c r="H20" s="48"/>
      <c r="I20" s="63"/>
    </row>
    <row r="21" spans="2:15">
      <c r="B21" s="49" t="s">
        <v>4854</v>
      </c>
      <c r="C21" s="41" t="s">
        <v>2901</v>
      </c>
      <c r="D21" s="51"/>
      <c r="E21" s="51"/>
      <c r="F21" s="60"/>
      <c r="G21" s="71"/>
      <c r="H21" s="58"/>
      <c r="I21" s="48"/>
    </row>
    <row r="22" spans="2:15">
      <c r="B22" s="49" t="s">
        <v>4855</v>
      </c>
      <c r="C22" s="41" t="s">
        <v>2903</v>
      </c>
      <c r="D22" s="51"/>
      <c r="E22" s="51"/>
      <c r="F22" s="60"/>
      <c r="G22" s="71"/>
      <c r="H22" s="58"/>
      <c r="I22" s="48"/>
    </row>
    <row r="23" spans="2:15">
      <c r="B23" s="49" t="s">
        <v>4856</v>
      </c>
      <c r="C23" s="41" t="s">
        <v>2905</v>
      </c>
      <c r="D23" s="51"/>
      <c r="E23" s="51"/>
      <c r="F23" s="60"/>
      <c r="G23" s="71"/>
      <c r="H23" s="58"/>
      <c r="I23" s="48"/>
    </row>
    <row r="24" spans="2:15">
      <c r="B24" s="49" t="s">
        <v>4857</v>
      </c>
      <c r="C24" s="41" t="s">
        <v>2907</v>
      </c>
      <c r="D24" s="51"/>
      <c r="E24" s="51"/>
      <c r="F24" s="60"/>
      <c r="G24" s="71"/>
      <c r="H24" s="58"/>
      <c r="I24" s="48"/>
    </row>
    <row r="25" spans="2:15">
      <c r="B25" s="49" t="s">
        <v>4858</v>
      </c>
      <c r="C25" s="41" t="s">
        <v>2909</v>
      </c>
      <c r="D25" s="51"/>
      <c r="E25" s="51"/>
      <c r="F25" s="60"/>
      <c r="G25" s="71"/>
      <c r="H25" s="58"/>
      <c r="I25" s="48"/>
    </row>
    <row r="26" spans="2:15">
      <c r="B26" s="49" t="s">
        <v>4859</v>
      </c>
      <c r="C26" s="41" t="s">
        <v>2911</v>
      </c>
      <c r="D26" s="51"/>
      <c r="E26" s="51"/>
      <c r="F26" s="60"/>
      <c r="G26" s="71"/>
      <c r="H26" s="58"/>
      <c r="I26" s="48"/>
    </row>
    <row r="27" spans="2:15">
      <c r="B27" s="49" t="s">
        <v>4860</v>
      </c>
      <c r="C27" s="41" t="s">
        <v>2913</v>
      </c>
      <c r="D27" s="51"/>
      <c r="E27" s="51"/>
      <c r="F27" s="60"/>
      <c r="G27" s="71"/>
      <c r="H27" s="58"/>
      <c r="I27" s="48"/>
    </row>
    <row r="28" spans="2:15">
      <c r="B28" s="49" t="s">
        <v>4861</v>
      </c>
      <c r="C28" s="41" t="s">
        <v>2915</v>
      </c>
      <c r="D28" s="51"/>
      <c r="E28" s="51"/>
      <c r="F28" s="60"/>
      <c r="G28" s="71"/>
      <c r="H28" s="58"/>
      <c r="I28" s="48"/>
    </row>
    <row r="29" spans="2:15">
      <c r="B29" s="49" t="s">
        <v>4862</v>
      </c>
      <c r="C29" s="41" t="s">
        <v>2917</v>
      </c>
      <c r="D29" s="51"/>
      <c r="E29" s="51"/>
      <c r="F29" s="60"/>
      <c r="G29" s="71"/>
      <c r="H29" s="58"/>
      <c r="I29" s="48"/>
    </row>
    <row r="30" spans="2:15">
      <c r="B30" s="49" t="s">
        <v>4863</v>
      </c>
      <c r="C30" s="41" t="s">
        <v>2919</v>
      </c>
      <c r="D30" s="68"/>
      <c r="E30" s="68"/>
      <c r="F30" s="63"/>
      <c r="G30" s="78"/>
      <c r="H30" s="58"/>
      <c r="I30" s="46"/>
    </row>
    <row r="31" spans="2:15">
      <c r="B31" s="47" t="s">
        <v>4864</v>
      </c>
      <c r="C31" s="44" t="s">
        <v>2939</v>
      </c>
      <c r="D31" s="58"/>
      <c r="E31" s="58"/>
      <c r="F31" s="56"/>
      <c r="G31" s="58"/>
      <c r="H31" s="48"/>
      <c r="I31" s="63"/>
    </row>
    <row r="32" spans="2:15">
      <c r="B32" s="49" t="s">
        <v>4865</v>
      </c>
      <c r="C32" s="44" t="s">
        <v>2941</v>
      </c>
      <c r="D32" s="58"/>
      <c r="E32" s="48"/>
      <c r="F32" s="64"/>
      <c r="G32" s="58"/>
      <c r="H32" s="58"/>
      <c r="I32" s="48"/>
    </row>
    <row r="33" spans="2:15" ht="30">
      <c r="B33" s="49" t="s">
        <v>4866</v>
      </c>
      <c r="C33" s="44" t="s">
        <v>2943</v>
      </c>
      <c r="D33" s="58"/>
      <c r="E33" s="48"/>
      <c r="F33" s="65"/>
      <c r="G33" s="58"/>
      <c r="H33" s="58"/>
      <c r="I33" s="46"/>
    </row>
    <row r="34" spans="2:15">
      <c r="B34" s="47" t="s">
        <v>4867</v>
      </c>
      <c r="C34" s="44" t="s">
        <v>2945</v>
      </c>
      <c r="D34" s="58"/>
      <c r="E34" s="58"/>
      <c r="F34" s="58"/>
      <c r="G34" s="58"/>
      <c r="H34" s="46"/>
      <c r="I34" s="60"/>
    </row>
    <row r="35" spans="2:15">
      <c r="B35" s="47" t="s">
        <v>4868</v>
      </c>
      <c r="C35" s="44" t="s">
        <v>2959</v>
      </c>
      <c r="D35" s="56"/>
      <c r="E35" s="56"/>
      <c r="F35" s="56"/>
      <c r="G35" s="46"/>
      <c r="H35" s="60"/>
      <c r="I35" s="60"/>
    </row>
    <row r="37" spans="2:15">
      <c r="N37" s="13" t="str">
        <f>Show!$B$140&amp;Show!$B$140&amp;"SR.26.02.01.01 Rows {"&amp;COLUMN($C$1)&amp;"}"</f>
        <v>!!SR.26.02.01.01 Rows {3}</v>
      </c>
      <c r="O37" s="13" t="str">
        <f>Show!$B$140&amp;Show!$B$140&amp;"SR.26.02.01.01 Columns {"&amp;COLUMN($I$1)&amp;"}"</f>
        <v>!!SR.26.02.01.01 Columns {9}</v>
      </c>
    </row>
    <row r="39" spans="2:15" ht="18.75">
      <c r="B39" s="97" t="s">
        <v>4877</v>
      </c>
      <c r="C39" s="96"/>
      <c r="D39" s="96"/>
      <c r="E39" s="96"/>
      <c r="F39" s="96"/>
      <c r="G39" s="96"/>
      <c r="H39" s="96"/>
      <c r="I39" s="96"/>
      <c r="J39" s="96"/>
      <c r="K39" s="96"/>
      <c r="L39" s="96"/>
    </row>
    <row r="41" spans="2:15">
      <c r="B41" t="s">
        <v>3110</v>
      </c>
      <c r="N41" s="13" t="str">
        <f>Show!$B$140&amp;"SR.26.02.01.02 Table label {"&amp;COLUMN($C$1)&amp;"}"</f>
        <v>!SR.26.02.01.02 Table label {3}</v>
      </c>
      <c r="O41" s="13" t="str">
        <f>Show!$B$140&amp;"SR.26.02.01.02 Table value {"&amp;COLUMN($D$1)&amp;"}"</f>
        <v>!SR.26.02.01.02 Table value {4}</v>
      </c>
    </row>
    <row r="42" spans="2:15">
      <c r="B42" t="s">
        <v>3111</v>
      </c>
    </row>
    <row r="43" spans="2:15">
      <c r="B43" s="40" t="s">
        <v>4622</v>
      </c>
      <c r="C43" s="53" t="s">
        <v>3113</v>
      </c>
      <c r="D43" s="51"/>
    </row>
    <row r="44" spans="2:15">
      <c r="B44" s="40" t="s">
        <v>3788</v>
      </c>
      <c r="C44" s="53" t="s">
        <v>3115</v>
      </c>
      <c r="D44" s="51"/>
    </row>
    <row r="45" spans="2:15">
      <c r="B45" s="40" t="s">
        <v>3114</v>
      </c>
      <c r="C45" s="53" t="s">
        <v>3323</v>
      </c>
      <c r="D45" s="50"/>
    </row>
    <row r="46" spans="2:15">
      <c r="N46" s="13" t="str">
        <f>Show!$B$140&amp;Show!$B$140&amp;"SR.26.02.01.02 Table label {"&amp;COLUMN($C$1)&amp;"}"</f>
        <v>!!SR.26.02.01.02 Table label {3}</v>
      </c>
      <c r="O46" s="13" t="str">
        <f>Show!$B$140&amp;Show!$B$140&amp;"SR.26.02.01.02 Table value {"&amp;COLUMN($D$1)&amp;"}"</f>
        <v>!!SR.26.02.01.02 Table value {4}</v>
      </c>
    </row>
    <row r="48" spans="2:15">
      <c r="D48" s="98" t="s">
        <v>2877</v>
      </c>
    </row>
    <row r="49" spans="2:15">
      <c r="D49" s="100"/>
    </row>
    <row r="50" spans="2:15">
      <c r="D50" s="55" t="s">
        <v>2574</v>
      </c>
    </row>
    <row r="51" spans="2:15">
      <c r="D51" s="45" t="s">
        <v>2879</v>
      </c>
      <c r="N51" s="13" t="str">
        <f>Show!$B$140&amp;"SR.26.02.01.02 Rows {"&amp;COLUMN($C$1)&amp;"}"&amp;"@ForceFilingCode:true"</f>
        <v>!SR.26.02.01.02 Rows {3}@ForceFilingCode:true</v>
      </c>
      <c r="O51" s="13" t="str">
        <f>Show!$B$140&amp;"SR.26.02.01.02 Columns {"&amp;COLUMN($D$1)&amp;"}"</f>
        <v>!SR.26.02.01.02 Columns {4}</v>
      </c>
    </row>
    <row r="52" spans="2:15">
      <c r="B52" s="43" t="s">
        <v>2880</v>
      </c>
      <c r="C52" s="44" t="s">
        <v>2878</v>
      </c>
      <c r="D52" s="46"/>
    </row>
    <row r="53" spans="2:15">
      <c r="B53" s="47" t="s">
        <v>4684</v>
      </c>
      <c r="C53" s="41" t="s">
        <v>2883</v>
      </c>
      <c r="D53" s="51"/>
    </row>
    <row r="55" spans="2:15">
      <c r="N55" s="13" t="str">
        <f>Show!$B$140&amp;Show!$B$140&amp;"SR.26.02.01.02 Rows {"&amp;COLUMN($C$1)&amp;"}"</f>
        <v>!!SR.26.02.01.02 Rows {3}</v>
      </c>
      <c r="O55" s="13" t="str">
        <f>Show!$B$140&amp;Show!$B$140&amp;"SR.26.02.01.02 Columns {"&amp;COLUMN($D$1)&amp;"}"</f>
        <v>!!SR.26.02.01.02 Columns {4}</v>
      </c>
    </row>
  </sheetData>
  <sheetProtection sheet="1" objects="1" scenarios="1"/>
  <mergeCells count="11">
    <mergeCell ref="B39:L39"/>
    <mergeCell ref="D48:D49"/>
    <mergeCell ref="B2:O2"/>
    <mergeCell ref="B5:L5"/>
    <mergeCell ref="D14:I15"/>
    <mergeCell ref="D16:D17"/>
    <mergeCell ref="E16:E17"/>
    <mergeCell ref="F16:F17"/>
    <mergeCell ref="G16:G17"/>
    <mergeCell ref="H16:H17"/>
    <mergeCell ref="I16:I17"/>
  </mergeCells>
  <dataValidations count="2">
    <dataValidation type="list" errorStyle="warning" allowBlank="1" showInputMessage="1" showErrorMessage="1" sqref="D9 D43" xr:uid="{543D33CA-8F86-4FDA-AB0F-0FDE95A47485}">
      <formula1>hier_AO_1</formula1>
    </dataValidation>
    <dataValidation type="list" errorStyle="warning" allowBlank="1" showInputMessage="1" showErrorMessage="1" sqref="D10 D44" xr:uid="{53CAD8A1-99A3-4D44-AF2B-F798A945D288}">
      <formula1>hier_PU_20</formula1>
    </dataValidation>
  </dataValidation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7876-A308-4462-86D7-782ACD333CC3}">
  <sheetPr codeName="Blad145"/>
  <dimension ref="B2:P96"/>
  <sheetViews>
    <sheetView showGridLines="0" workbookViewId="0"/>
  </sheetViews>
  <sheetFormatPr defaultRowHeight="15"/>
  <cols>
    <col min="2" max="2" width="50.140625" bestFit="1" customWidth="1"/>
    <col min="4" max="8" width="15.7109375" customWidth="1"/>
  </cols>
  <sheetData>
    <row r="2" spans="2:16" ht="23.25">
      <c r="B2" s="95" t="s">
        <v>722</v>
      </c>
      <c r="C2" s="96"/>
      <c r="D2" s="96"/>
      <c r="E2" s="96"/>
      <c r="F2" s="96"/>
      <c r="G2" s="96"/>
      <c r="H2" s="96"/>
      <c r="I2" s="96"/>
      <c r="J2" s="96"/>
      <c r="K2" s="96"/>
      <c r="L2" s="96"/>
      <c r="M2" s="96"/>
      <c r="N2" s="96"/>
      <c r="O2" s="96"/>
    </row>
    <row r="5" spans="2:16" ht="18.75">
      <c r="B5" s="97" t="s">
        <v>4878</v>
      </c>
      <c r="C5" s="96"/>
      <c r="D5" s="96"/>
      <c r="E5" s="96"/>
      <c r="F5" s="96"/>
      <c r="G5" s="96"/>
      <c r="H5" s="96"/>
      <c r="I5" s="96"/>
      <c r="J5" s="96"/>
      <c r="K5" s="96"/>
      <c r="L5" s="96"/>
    </row>
    <row r="7" spans="2:16">
      <c r="B7" t="s">
        <v>3110</v>
      </c>
      <c r="O7" s="13" t="str">
        <f>Show!$B$141&amp;"S.26.03.01.01 Table label {"&amp;COLUMN($C$1)&amp;"}"</f>
        <v>!S.26.03.01.01 Table label {3}</v>
      </c>
      <c r="P7" s="13" t="str">
        <f>Show!$B$141&amp;"S.26.03.01.01 Table value {"&amp;COLUMN($D$1)&amp;"}"</f>
        <v>!S.26.03.01.01 Table value {4}</v>
      </c>
    </row>
    <row r="8" spans="2:16">
      <c r="B8" t="s">
        <v>3111</v>
      </c>
    </row>
    <row r="9" spans="2:16">
      <c r="B9" s="40" t="s">
        <v>4622</v>
      </c>
      <c r="C9" s="53" t="s">
        <v>3113</v>
      </c>
      <c r="D9" s="51"/>
    </row>
    <row r="10" spans="2:16">
      <c r="O10" s="13" t="str">
        <f>Show!$B$141&amp;Show!$B$141&amp;"S.26.03.01.01 Table label {"&amp;COLUMN($C$1)&amp;"}"</f>
        <v>!!S.26.03.01.01 Table label {3}</v>
      </c>
      <c r="P10" s="13" t="str">
        <f>Show!$B$141&amp;Show!$B$141&amp;"S.26.03.01.01 Table value {"&amp;COLUMN($D$1)&amp;"}"</f>
        <v>!!S.26.03.01.01 Table value {4}</v>
      </c>
    </row>
    <row r="12" spans="2:16">
      <c r="D12" s="101" t="s">
        <v>2877</v>
      </c>
      <c r="E12" s="102"/>
      <c r="F12" s="102"/>
      <c r="G12" s="102"/>
      <c r="H12" s="103"/>
    </row>
    <row r="13" spans="2:16">
      <c r="D13" s="104"/>
      <c r="E13" s="105"/>
      <c r="F13" s="105"/>
      <c r="G13" s="105"/>
      <c r="H13" s="106"/>
    </row>
    <row r="14" spans="2:16">
      <c r="D14" s="107" t="s">
        <v>4763</v>
      </c>
      <c r="E14" s="109"/>
      <c r="F14" s="107" t="s">
        <v>4764</v>
      </c>
      <c r="G14" s="108"/>
      <c r="H14" s="109"/>
    </row>
    <row r="15" spans="2:16" ht="90">
      <c r="D15" s="55" t="s">
        <v>3252</v>
      </c>
      <c r="E15" s="55" t="s">
        <v>2389</v>
      </c>
      <c r="F15" s="55" t="s">
        <v>3252</v>
      </c>
      <c r="G15" s="55" t="s">
        <v>4765</v>
      </c>
      <c r="H15" s="55" t="s">
        <v>4766</v>
      </c>
    </row>
    <row r="16" spans="2:16">
      <c r="D16" s="45" t="s">
        <v>3219</v>
      </c>
      <c r="E16" s="45" t="s">
        <v>3225</v>
      </c>
      <c r="F16" s="45" t="s">
        <v>3223</v>
      </c>
      <c r="G16" s="45" t="s">
        <v>3229</v>
      </c>
      <c r="H16" s="45" t="s">
        <v>3233</v>
      </c>
      <c r="O16" s="13" t="str">
        <f>Show!$B$141&amp;"S.26.03.01.01 Rows {"&amp;COLUMN($C$1)&amp;"}"&amp;"@ForceFilingCode:true"</f>
        <v>!S.26.03.01.01 Rows {3}@ForceFilingCode:true</v>
      </c>
      <c r="P16" s="13" t="str">
        <f>Show!$B$141&amp;"S.26.03.01.01 Columns {"&amp;COLUMN($D$1)&amp;"}"</f>
        <v>!S.26.03.01.01 Columns {4}</v>
      </c>
    </row>
    <row r="17" spans="2:16">
      <c r="B17" s="43" t="s">
        <v>2880</v>
      </c>
      <c r="C17" s="44" t="s">
        <v>2878</v>
      </c>
      <c r="D17" s="56"/>
      <c r="E17" s="66"/>
      <c r="F17" s="66"/>
      <c r="G17" s="66"/>
      <c r="H17" s="57"/>
    </row>
    <row r="18" spans="2:16">
      <c r="B18" s="47" t="s">
        <v>4879</v>
      </c>
      <c r="C18" s="41" t="s">
        <v>2899</v>
      </c>
      <c r="D18" s="60"/>
      <c r="E18" s="60"/>
      <c r="F18" s="60"/>
      <c r="G18" s="60"/>
      <c r="H18" s="60"/>
    </row>
    <row r="19" spans="2:16">
      <c r="B19" s="47" t="s">
        <v>4880</v>
      </c>
      <c r="C19" s="41" t="s">
        <v>2919</v>
      </c>
      <c r="D19" s="60"/>
      <c r="E19" s="60"/>
      <c r="F19" s="60"/>
      <c r="G19" s="60"/>
      <c r="H19" s="60"/>
    </row>
    <row r="20" spans="2:16">
      <c r="B20" s="47" t="s">
        <v>4881</v>
      </c>
      <c r="C20" s="41" t="s">
        <v>2939</v>
      </c>
      <c r="D20" s="63"/>
      <c r="E20" s="63"/>
      <c r="F20" s="63"/>
      <c r="G20" s="63"/>
      <c r="H20" s="63"/>
    </row>
    <row r="21" spans="2:16">
      <c r="B21" s="47" t="s">
        <v>4882</v>
      </c>
      <c r="C21" s="44" t="s">
        <v>2959</v>
      </c>
      <c r="D21" s="56"/>
      <c r="E21" s="56"/>
      <c r="F21" s="56"/>
      <c r="G21" s="56"/>
      <c r="H21" s="46"/>
    </row>
    <row r="22" spans="2:16">
      <c r="B22" s="49" t="s">
        <v>4883</v>
      </c>
      <c r="C22" s="41" t="s">
        <v>2961</v>
      </c>
      <c r="D22" s="60"/>
      <c r="E22" s="60"/>
      <c r="F22" s="60"/>
      <c r="G22" s="60"/>
      <c r="H22" s="60"/>
    </row>
    <row r="23" spans="2:16">
      <c r="B23" s="49" t="s">
        <v>4884</v>
      </c>
      <c r="C23" s="41" t="s">
        <v>2963</v>
      </c>
      <c r="D23" s="60"/>
      <c r="E23" s="60"/>
      <c r="F23" s="60"/>
      <c r="G23" s="60"/>
      <c r="H23" s="60"/>
    </row>
    <row r="24" spans="2:16">
      <c r="B24" s="49" t="s">
        <v>4885</v>
      </c>
      <c r="C24" s="41" t="s">
        <v>2965</v>
      </c>
      <c r="D24" s="60"/>
      <c r="E24" s="60"/>
      <c r="F24" s="60"/>
      <c r="G24" s="60"/>
      <c r="H24" s="60"/>
    </row>
    <row r="25" spans="2:16">
      <c r="B25" s="47" t="s">
        <v>4886</v>
      </c>
      <c r="C25" s="41" t="s">
        <v>2977</v>
      </c>
      <c r="D25" s="60"/>
      <c r="E25" s="60"/>
      <c r="F25" s="60"/>
      <c r="G25" s="60"/>
      <c r="H25" s="60"/>
    </row>
    <row r="26" spans="2:16">
      <c r="B26" s="47" t="s">
        <v>4887</v>
      </c>
      <c r="C26" s="41" t="s">
        <v>2997</v>
      </c>
      <c r="D26" s="60"/>
      <c r="E26" s="60"/>
      <c r="F26" s="60"/>
      <c r="G26" s="60"/>
      <c r="H26" s="60"/>
    </row>
    <row r="27" spans="2:16">
      <c r="B27" s="47" t="s">
        <v>4888</v>
      </c>
      <c r="C27" s="41" t="s">
        <v>3064</v>
      </c>
      <c r="D27" s="63"/>
      <c r="E27" s="63"/>
      <c r="F27" s="63"/>
      <c r="G27" s="63"/>
      <c r="H27" s="63"/>
    </row>
    <row r="28" spans="2:16">
      <c r="B28" s="47" t="s">
        <v>4889</v>
      </c>
      <c r="C28" s="44" t="s">
        <v>3120</v>
      </c>
      <c r="D28" s="58"/>
      <c r="E28" s="58"/>
      <c r="F28" s="58"/>
      <c r="G28" s="58"/>
      <c r="H28" s="48"/>
    </row>
    <row r="29" spans="2:16">
      <c r="B29" s="47" t="s">
        <v>4890</v>
      </c>
      <c r="C29" s="44" t="s">
        <v>3140</v>
      </c>
      <c r="D29" s="56"/>
      <c r="E29" s="56"/>
      <c r="F29" s="56"/>
      <c r="G29" s="56"/>
      <c r="H29" s="46"/>
    </row>
    <row r="31" spans="2:16">
      <c r="O31" s="13" t="str">
        <f>Show!$B$141&amp;Show!$B$141&amp;"S.26.03.01.01 Rows {"&amp;COLUMN($C$1)&amp;"}"</f>
        <v>!!S.26.03.01.01 Rows {3}</v>
      </c>
      <c r="P31" s="13" t="str">
        <f>Show!$B$141&amp;Show!$B$141&amp;"S.26.03.01.01 Columns {"&amp;COLUMN($H$1)&amp;"}"</f>
        <v>!!S.26.03.01.01 Columns {8}</v>
      </c>
    </row>
    <row r="33" spans="2:16" ht="18.75">
      <c r="B33" s="97" t="s">
        <v>4891</v>
      </c>
      <c r="C33" s="96"/>
      <c r="D33" s="96"/>
      <c r="E33" s="96"/>
      <c r="F33" s="96"/>
      <c r="G33" s="96"/>
      <c r="H33" s="96"/>
      <c r="I33" s="96"/>
      <c r="J33" s="96"/>
      <c r="K33" s="96"/>
      <c r="L33" s="96"/>
    </row>
    <row r="35" spans="2:16">
      <c r="B35" t="s">
        <v>3110</v>
      </c>
      <c r="O35" s="13" t="str">
        <f>Show!$B$141&amp;"S.26.03.01.02 Table label {"&amp;COLUMN($C$1)&amp;"}"</f>
        <v>!S.26.03.01.02 Table label {3}</v>
      </c>
      <c r="P35" s="13" t="str">
        <f>Show!$B$141&amp;"S.26.03.01.02 Table value {"&amp;COLUMN($D$1)&amp;"}"</f>
        <v>!S.26.03.01.02 Table value {4}</v>
      </c>
    </row>
    <row r="36" spans="2:16">
      <c r="B36" t="s">
        <v>3111</v>
      </c>
    </row>
    <row r="37" spans="2:16">
      <c r="B37" s="40" t="s">
        <v>4622</v>
      </c>
      <c r="C37" s="53" t="s">
        <v>3113</v>
      </c>
      <c r="D37" s="51"/>
    </row>
    <row r="38" spans="2:16">
      <c r="O38" s="13" t="str">
        <f>Show!$B$141&amp;Show!$B$141&amp;"S.26.03.01.02 Table label {"&amp;COLUMN($C$1)&amp;"}"</f>
        <v>!!S.26.03.01.02 Table label {3}</v>
      </c>
      <c r="P38" s="13" t="str">
        <f>Show!$B$141&amp;Show!$B$141&amp;"S.26.03.01.02 Table value {"&amp;COLUMN($D$1)&amp;"}"</f>
        <v>!!S.26.03.01.02 Table value {4}</v>
      </c>
    </row>
    <row r="40" spans="2:16">
      <c r="D40" s="98" t="s">
        <v>2877</v>
      </c>
    </row>
    <row r="41" spans="2:16">
      <c r="D41" s="100"/>
    </row>
    <row r="42" spans="2:16">
      <c r="D42" s="55" t="s">
        <v>4687</v>
      </c>
    </row>
    <row r="43" spans="2:16">
      <c r="D43" s="45" t="s">
        <v>3236</v>
      </c>
      <c r="O43" s="13" t="str">
        <f>Show!$B$141&amp;"S.26.03.01.02 Rows {"&amp;COLUMN($C$1)&amp;"}"&amp;"@ForceFilingCode:true"</f>
        <v>!S.26.03.01.02 Rows {3}@ForceFilingCode:true</v>
      </c>
      <c r="P43" s="13" t="str">
        <f>Show!$B$141&amp;"S.26.03.01.02 Columns {"&amp;COLUMN($D$1)&amp;"}"</f>
        <v>!S.26.03.01.02 Columns {4}</v>
      </c>
    </row>
    <row r="44" spans="2:16">
      <c r="B44" s="43" t="s">
        <v>2880</v>
      </c>
      <c r="C44" s="44" t="s">
        <v>2878</v>
      </c>
      <c r="D44" s="46"/>
    </row>
    <row r="45" spans="2:16">
      <c r="B45" s="47" t="s">
        <v>4892</v>
      </c>
      <c r="C45" s="41" t="s">
        <v>3315</v>
      </c>
      <c r="D45" s="70"/>
    </row>
    <row r="47" spans="2:16">
      <c r="O47" s="13" t="str">
        <f>Show!$B$141&amp;Show!$B$141&amp;"S.26.03.01.02 Rows {"&amp;COLUMN($C$1)&amp;"}"</f>
        <v>!!S.26.03.01.02 Rows {3}</v>
      </c>
      <c r="P47" s="13" t="str">
        <f>Show!$B$141&amp;Show!$B$141&amp;"S.26.03.01.02 Columns {"&amp;COLUMN($D$1)&amp;"}"</f>
        <v>!!S.26.03.01.02 Columns {4}</v>
      </c>
    </row>
    <row r="49" spans="2:16" ht="18.75">
      <c r="B49" s="97" t="s">
        <v>4893</v>
      </c>
      <c r="C49" s="96"/>
      <c r="D49" s="96"/>
      <c r="E49" s="96"/>
      <c r="F49" s="96"/>
      <c r="G49" s="96"/>
      <c r="H49" s="96"/>
      <c r="I49" s="96"/>
      <c r="J49" s="96"/>
      <c r="K49" s="96"/>
      <c r="L49" s="96"/>
    </row>
    <row r="51" spans="2:16">
      <c r="B51" t="s">
        <v>3110</v>
      </c>
      <c r="O51" s="13" t="str">
        <f>Show!$B$141&amp;"S.26.03.01.03 Table label {"&amp;COLUMN($C$1)&amp;"}"</f>
        <v>!S.26.03.01.03 Table label {3}</v>
      </c>
      <c r="P51" s="13" t="str">
        <f>Show!$B$141&amp;"S.26.03.01.03 Table value {"&amp;COLUMN($D$1)&amp;"}"</f>
        <v>!S.26.03.01.03 Table value {4}</v>
      </c>
    </row>
    <row r="52" spans="2:16">
      <c r="B52" t="s">
        <v>3111</v>
      </c>
    </row>
    <row r="53" spans="2:16">
      <c r="B53" s="40" t="s">
        <v>4622</v>
      </c>
      <c r="C53" s="53" t="s">
        <v>3113</v>
      </c>
      <c r="D53" s="51"/>
    </row>
    <row r="54" spans="2:16">
      <c r="O54" s="13" t="str">
        <f>Show!$B$141&amp;Show!$B$141&amp;"S.26.03.01.03 Table label {"&amp;COLUMN($C$1)&amp;"}"</f>
        <v>!!S.26.03.01.03 Table label {3}</v>
      </c>
      <c r="P54" s="13" t="str">
        <f>Show!$B$141&amp;Show!$B$141&amp;"S.26.03.01.03 Table value {"&amp;COLUMN($D$1)&amp;"}"</f>
        <v>!!S.26.03.01.03 Table value {4}</v>
      </c>
    </row>
    <row r="56" spans="2:16">
      <c r="D56" s="98" t="s">
        <v>2877</v>
      </c>
    </row>
    <row r="57" spans="2:16">
      <c r="D57" s="100"/>
    </row>
    <row r="58" spans="2:16" ht="30">
      <c r="D58" s="55" t="s">
        <v>2574</v>
      </c>
    </row>
    <row r="59" spans="2:16">
      <c r="D59" s="45" t="s">
        <v>2879</v>
      </c>
      <c r="O59" s="13" t="str">
        <f>Show!$B$141&amp;"S.26.03.01.03 Rows {"&amp;COLUMN($C$1)&amp;"}"&amp;"@ForceFilingCode:true"</f>
        <v>!S.26.03.01.03 Rows {3}@ForceFilingCode:true</v>
      </c>
      <c r="P59" s="13" t="str">
        <f>Show!$B$141&amp;"S.26.03.01.03 Columns {"&amp;COLUMN($D$1)&amp;"}"</f>
        <v>!S.26.03.01.03 Columns {4}</v>
      </c>
    </row>
    <row r="60" spans="2:16">
      <c r="B60" s="43" t="s">
        <v>2880</v>
      </c>
      <c r="C60" s="44" t="s">
        <v>2878</v>
      </c>
      <c r="D60" s="46"/>
    </row>
    <row r="61" spans="2:16">
      <c r="B61" s="47" t="s">
        <v>4894</v>
      </c>
      <c r="C61" s="41" t="s">
        <v>2883</v>
      </c>
      <c r="D61" s="51"/>
    </row>
    <row r="62" spans="2:16">
      <c r="B62" s="47" t="s">
        <v>4895</v>
      </c>
      <c r="C62" s="41" t="s">
        <v>2885</v>
      </c>
      <c r="D62" s="51"/>
    </row>
    <row r="63" spans="2:16">
      <c r="B63" s="47" t="s">
        <v>4896</v>
      </c>
      <c r="C63" s="41" t="s">
        <v>2887</v>
      </c>
      <c r="D63" s="51"/>
    </row>
    <row r="64" spans="2:16">
      <c r="B64" s="47" t="s">
        <v>4897</v>
      </c>
      <c r="C64" s="41" t="s">
        <v>2889</v>
      </c>
      <c r="D64" s="51"/>
    </row>
    <row r="65" spans="2:16">
      <c r="B65" s="47" t="s">
        <v>4898</v>
      </c>
      <c r="C65" s="41" t="s">
        <v>3078</v>
      </c>
      <c r="D65" s="51"/>
    </row>
    <row r="66" spans="2:16">
      <c r="B66" s="47" t="s">
        <v>4899</v>
      </c>
      <c r="C66" s="41" t="s">
        <v>2891</v>
      </c>
      <c r="D66" s="51"/>
    </row>
    <row r="68" spans="2:16">
      <c r="O68" s="13" t="str">
        <f>Show!$B$141&amp;Show!$B$141&amp;"S.26.03.01.03 Rows {"&amp;COLUMN($C$1)&amp;"}"</f>
        <v>!!S.26.03.01.03 Rows {3}</v>
      </c>
      <c r="P68" s="13" t="str">
        <f>Show!$B$141&amp;Show!$B$141&amp;"S.26.03.01.03 Columns {"&amp;COLUMN($D$1)&amp;"}"</f>
        <v>!!S.26.03.01.03 Columns {4}</v>
      </c>
    </row>
    <row r="70" spans="2:16" ht="18.75">
      <c r="B70" s="97" t="s">
        <v>4900</v>
      </c>
      <c r="C70" s="96"/>
      <c r="D70" s="96"/>
      <c r="E70" s="96"/>
      <c r="F70" s="96"/>
      <c r="G70" s="96"/>
      <c r="H70" s="96"/>
      <c r="I70" s="96"/>
      <c r="J70" s="96"/>
      <c r="K70" s="96"/>
      <c r="L70" s="96"/>
    </row>
    <row r="72" spans="2:16">
      <c r="B72" t="s">
        <v>3110</v>
      </c>
      <c r="O72" s="13" t="str">
        <f>Show!$B$141&amp;"S.26.03.01.04 Table label {"&amp;COLUMN($C$1)&amp;"}"</f>
        <v>!S.26.03.01.04 Table label {3}</v>
      </c>
      <c r="P72" s="13" t="str">
        <f>Show!$B$141&amp;"S.26.03.01.04 Table value {"&amp;COLUMN($D$1)&amp;"}"</f>
        <v>!S.26.03.01.04 Table value {4}</v>
      </c>
    </row>
    <row r="73" spans="2:16">
      <c r="B73" t="s">
        <v>3111</v>
      </c>
    </row>
    <row r="74" spans="2:16">
      <c r="B74" s="40" t="s">
        <v>4622</v>
      </c>
      <c r="C74" s="53" t="s">
        <v>3113</v>
      </c>
      <c r="D74" s="51"/>
    </row>
    <row r="75" spans="2:16">
      <c r="O75" s="13" t="str">
        <f>Show!$B$141&amp;Show!$B$141&amp;"S.26.03.01.04 Table label {"&amp;COLUMN($C$1)&amp;"}"</f>
        <v>!!S.26.03.01.04 Table label {3}</v>
      </c>
      <c r="P75" s="13" t="str">
        <f>Show!$B$141&amp;Show!$B$141&amp;"S.26.03.01.04 Table value {"&amp;COLUMN($D$1)&amp;"}"</f>
        <v>!!S.26.03.01.04 Table value {4}</v>
      </c>
    </row>
    <row r="77" spans="2:16">
      <c r="D77" s="101" t="s">
        <v>2877</v>
      </c>
      <c r="E77" s="103"/>
    </row>
    <row r="78" spans="2:16">
      <c r="D78" s="104"/>
      <c r="E78" s="106"/>
    </row>
    <row r="79" spans="2:16">
      <c r="D79" s="107" t="s">
        <v>4764</v>
      </c>
      <c r="E79" s="109"/>
    </row>
    <row r="80" spans="2:16" ht="45">
      <c r="D80" s="55" t="s">
        <v>4623</v>
      </c>
      <c r="E80" s="55" t="s">
        <v>4624</v>
      </c>
    </row>
    <row r="81" spans="2:16">
      <c r="D81" s="45" t="s">
        <v>3231</v>
      </c>
      <c r="E81" s="45" t="s">
        <v>3234</v>
      </c>
      <c r="O81" s="13" t="str">
        <f>Show!$B$141&amp;"S.26.03.01.04 Rows {"&amp;COLUMN($C$1)&amp;"}"&amp;"@ForceFilingCode:true"</f>
        <v>!S.26.03.01.04 Rows {3}@ForceFilingCode:true</v>
      </c>
      <c r="P81" s="13" t="str">
        <f>Show!$B$141&amp;"S.26.03.01.04 Columns {"&amp;COLUMN($D$1)&amp;"}"</f>
        <v>!S.26.03.01.04 Columns {4}</v>
      </c>
    </row>
    <row r="82" spans="2:16">
      <c r="B82" s="43" t="s">
        <v>2880</v>
      </c>
      <c r="C82" s="44" t="s">
        <v>2878</v>
      </c>
      <c r="D82" s="56"/>
      <c r="E82" s="57"/>
    </row>
    <row r="83" spans="2:16">
      <c r="B83" s="47" t="s">
        <v>4879</v>
      </c>
      <c r="C83" s="41" t="s">
        <v>2899</v>
      </c>
      <c r="D83" s="60"/>
      <c r="E83" s="60"/>
    </row>
    <row r="84" spans="2:16">
      <c r="B84" s="47" t="s">
        <v>4880</v>
      </c>
      <c r="C84" s="41" t="s">
        <v>2919</v>
      </c>
      <c r="D84" s="60"/>
      <c r="E84" s="60"/>
    </row>
    <row r="85" spans="2:16">
      <c r="B85" s="47" t="s">
        <v>4881</v>
      </c>
      <c r="C85" s="41" t="s">
        <v>2939</v>
      </c>
      <c r="D85" s="60"/>
      <c r="E85" s="60"/>
    </row>
    <row r="86" spans="2:16">
      <c r="B86" s="47" t="s">
        <v>4882</v>
      </c>
      <c r="C86" s="41" t="s">
        <v>2959</v>
      </c>
      <c r="D86" s="60"/>
      <c r="E86" s="60"/>
    </row>
    <row r="87" spans="2:16">
      <c r="B87" s="49" t="s">
        <v>4883</v>
      </c>
      <c r="C87" s="41" t="s">
        <v>2961</v>
      </c>
      <c r="D87" s="60"/>
      <c r="E87" s="60"/>
    </row>
    <row r="88" spans="2:16">
      <c r="B88" s="49" t="s">
        <v>4884</v>
      </c>
      <c r="C88" s="41" t="s">
        <v>2963</v>
      </c>
      <c r="D88" s="60"/>
      <c r="E88" s="60"/>
    </row>
    <row r="89" spans="2:16">
      <c r="B89" s="49" t="s">
        <v>4885</v>
      </c>
      <c r="C89" s="41" t="s">
        <v>2965</v>
      </c>
      <c r="D89" s="60"/>
      <c r="E89" s="60"/>
    </row>
    <row r="90" spans="2:16">
      <c r="B90" s="47" t="s">
        <v>4886</v>
      </c>
      <c r="C90" s="41" t="s">
        <v>2977</v>
      </c>
      <c r="D90" s="60"/>
      <c r="E90" s="60"/>
    </row>
    <row r="91" spans="2:16">
      <c r="B91" s="47" t="s">
        <v>4887</v>
      </c>
      <c r="C91" s="41" t="s">
        <v>2997</v>
      </c>
      <c r="D91" s="60"/>
      <c r="E91" s="60"/>
    </row>
    <row r="92" spans="2:16">
      <c r="B92" s="47" t="s">
        <v>4888</v>
      </c>
      <c r="C92" s="41" t="s">
        <v>3064</v>
      </c>
      <c r="D92" s="60"/>
      <c r="E92" s="60"/>
    </row>
    <row r="93" spans="2:16">
      <c r="B93" s="47" t="s">
        <v>4889</v>
      </c>
      <c r="C93" s="41" t="s">
        <v>3120</v>
      </c>
      <c r="D93" s="60"/>
      <c r="E93" s="60"/>
    </row>
    <row r="94" spans="2:16">
      <c r="B94" s="47" t="s">
        <v>4890</v>
      </c>
      <c r="C94" s="41" t="s">
        <v>3140</v>
      </c>
      <c r="D94" s="60"/>
      <c r="E94" s="60"/>
    </row>
    <row r="96" spans="2:16">
      <c r="O96" s="13" t="str">
        <f>Show!$B$141&amp;Show!$B$141&amp;"S.26.03.01.04 Rows {"&amp;COLUMN($C$1)&amp;"}"</f>
        <v>!!S.26.03.01.04 Rows {3}</v>
      </c>
      <c r="P96" s="13" t="str">
        <f>Show!$B$141&amp;Show!$B$141&amp;"S.26.03.01.04 Columns {"&amp;COLUMN($E$1)&amp;"}"</f>
        <v>!!S.26.03.01.04 Columns {5}</v>
      </c>
    </row>
  </sheetData>
  <sheetProtection sheet="1" objects="1" scenarios="1"/>
  <mergeCells count="12">
    <mergeCell ref="D79:E79"/>
    <mergeCell ref="B2:O2"/>
    <mergeCell ref="B5:L5"/>
    <mergeCell ref="D12:H13"/>
    <mergeCell ref="D14:E14"/>
    <mergeCell ref="F14:H14"/>
    <mergeCell ref="B33:L33"/>
    <mergeCell ref="D40:D41"/>
    <mergeCell ref="B49:L49"/>
    <mergeCell ref="D56:D57"/>
    <mergeCell ref="B70:L70"/>
    <mergeCell ref="D77:E78"/>
  </mergeCells>
  <dataValidations count="2">
    <dataValidation type="list" errorStyle="warning" allowBlank="1" showInputMessage="1" showErrorMessage="1" sqref="D9 D37 D53 D74" xr:uid="{D4875FEC-4C30-493C-A655-838464D9C8E9}">
      <formula1>hier_AO_1</formula1>
    </dataValidation>
    <dataValidation type="list" errorStyle="warning" allowBlank="1" showInputMessage="1" showErrorMessage="1" sqref="D61 D62 D63 D65 D66" xr:uid="{4159DEF3-80E2-421E-8A89-39677A990671}">
      <formula1>hier_AP_17</formula1>
    </dataValidation>
  </dataValidation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FD0E8-76AD-4F88-8D49-24C78E115B8D}">
  <sheetPr codeName="Blad146"/>
  <dimension ref="B2:P96"/>
  <sheetViews>
    <sheetView showGridLines="0" workbookViewId="0"/>
  </sheetViews>
  <sheetFormatPr defaultRowHeight="15"/>
  <cols>
    <col min="2" max="2" width="50.140625" bestFit="1" customWidth="1"/>
    <col min="4" max="8" width="15.7109375" customWidth="1"/>
  </cols>
  <sheetData>
    <row r="2" spans="2:16" ht="23.25">
      <c r="B2" s="95" t="s">
        <v>722</v>
      </c>
      <c r="C2" s="96"/>
      <c r="D2" s="96"/>
      <c r="E2" s="96"/>
      <c r="F2" s="96"/>
      <c r="G2" s="96"/>
      <c r="H2" s="96"/>
      <c r="I2" s="96"/>
      <c r="J2" s="96"/>
      <c r="K2" s="96"/>
      <c r="L2" s="96"/>
      <c r="M2" s="96"/>
      <c r="N2" s="96"/>
      <c r="O2" s="96"/>
    </row>
    <row r="5" spans="2:16" ht="18.75">
      <c r="B5" s="97" t="s">
        <v>4901</v>
      </c>
      <c r="C5" s="96"/>
      <c r="D5" s="96"/>
      <c r="E5" s="96"/>
      <c r="F5" s="96"/>
      <c r="G5" s="96"/>
      <c r="H5" s="96"/>
      <c r="I5" s="96"/>
      <c r="J5" s="96"/>
      <c r="K5" s="96"/>
      <c r="L5" s="96"/>
    </row>
    <row r="7" spans="2:16">
      <c r="B7" t="s">
        <v>3110</v>
      </c>
      <c r="O7" s="13" t="str">
        <f>Show!$B$142&amp;"S.26.03.04.01 Table label {"&amp;COLUMN($C$1)&amp;"}"</f>
        <v>!S.26.03.04.01 Table label {3}</v>
      </c>
      <c r="P7" s="13" t="str">
        <f>Show!$B$142&amp;"S.26.03.04.01 Table value {"&amp;COLUMN($D$1)&amp;"}"</f>
        <v>!S.26.03.04.01 Table value {4}</v>
      </c>
    </row>
    <row r="8" spans="2:16">
      <c r="B8" t="s">
        <v>3111</v>
      </c>
    </row>
    <row r="9" spans="2:16">
      <c r="B9" s="40" t="s">
        <v>4622</v>
      </c>
      <c r="C9" s="53" t="s">
        <v>3113</v>
      </c>
      <c r="D9" s="51"/>
    </row>
    <row r="10" spans="2:16">
      <c r="O10" s="13" t="str">
        <f>Show!$B$142&amp;Show!$B$142&amp;"S.26.03.04.01 Table label {"&amp;COLUMN($C$1)&amp;"}"</f>
        <v>!!S.26.03.04.01 Table label {3}</v>
      </c>
      <c r="P10" s="13" t="str">
        <f>Show!$B$142&amp;Show!$B$142&amp;"S.26.03.04.01 Table value {"&amp;COLUMN($D$1)&amp;"}"</f>
        <v>!!S.26.03.04.01 Table value {4}</v>
      </c>
    </row>
    <row r="12" spans="2:16">
      <c r="D12" s="101" t="s">
        <v>2877</v>
      </c>
      <c r="E12" s="102"/>
      <c r="F12" s="102"/>
      <c r="G12" s="102"/>
      <c r="H12" s="103"/>
    </row>
    <row r="13" spans="2:16">
      <c r="D13" s="104"/>
      <c r="E13" s="105"/>
      <c r="F13" s="105"/>
      <c r="G13" s="105"/>
      <c r="H13" s="106"/>
    </row>
    <row r="14" spans="2:16">
      <c r="D14" s="107" t="s">
        <v>4763</v>
      </c>
      <c r="E14" s="109"/>
      <c r="F14" s="107" t="s">
        <v>4764</v>
      </c>
      <c r="G14" s="108"/>
      <c r="H14" s="109"/>
    </row>
    <row r="15" spans="2:16" ht="90">
      <c r="D15" s="55" t="s">
        <v>3252</v>
      </c>
      <c r="E15" s="55" t="s">
        <v>2389</v>
      </c>
      <c r="F15" s="55" t="s">
        <v>3252</v>
      </c>
      <c r="G15" s="55" t="s">
        <v>4765</v>
      </c>
      <c r="H15" s="55" t="s">
        <v>4766</v>
      </c>
    </row>
    <row r="16" spans="2:16">
      <c r="D16" s="45" t="s">
        <v>3219</v>
      </c>
      <c r="E16" s="45" t="s">
        <v>3225</v>
      </c>
      <c r="F16" s="45" t="s">
        <v>3223</v>
      </c>
      <c r="G16" s="45" t="s">
        <v>3229</v>
      </c>
      <c r="H16" s="45" t="s">
        <v>3233</v>
      </c>
      <c r="O16" s="13" t="str">
        <f>Show!$B$142&amp;"S.26.03.04.01 Rows {"&amp;COLUMN($C$1)&amp;"}"&amp;"@ForceFilingCode:true"</f>
        <v>!S.26.03.04.01 Rows {3}@ForceFilingCode:true</v>
      </c>
      <c r="P16" s="13" t="str">
        <f>Show!$B$142&amp;"S.26.03.04.01 Columns {"&amp;COLUMN($D$1)&amp;"}"</f>
        <v>!S.26.03.04.01 Columns {4}</v>
      </c>
    </row>
    <row r="17" spans="2:16">
      <c r="B17" s="43" t="s">
        <v>2880</v>
      </c>
      <c r="C17" s="44" t="s">
        <v>2878</v>
      </c>
      <c r="D17" s="56"/>
      <c r="E17" s="66"/>
      <c r="F17" s="66"/>
      <c r="G17" s="66"/>
      <c r="H17" s="57"/>
    </row>
    <row r="18" spans="2:16">
      <c r="B18" s="47" t="s">
        <v>4879</v>
      </c>
      <c r="C18" s="41" t="s">
        <v>2899</v>
      </c>
      <c r="D18" s="60"/>
      <c r="E18" s="60"/>
      <c r="F18" s="60"/>
      <c r="G18" s="60"/>
      <c r="H18" s="60"/>
    </row>
    <row r="19" spans="2:16">
      <c r="B19" s="47" t="s">
        <v>4880</v>
      </c>
      <c r="C19" s="41" t="s">
        <v>2919</v>
      </c>
      <c r="D19" s="60"/>
      <c r="E19" s="60"/>
      <c r="F19" s="60"/>
      <c r="G19" s="60"/>
      <c r="H19" s="60"/>
    </row>
    <row r="20" spans="2:16">
      <c r="B20" s="47" t="s">
        <v>4881</v>
      </c>
      <c r="C20" s="41" t="s">
        <v>2939</v>
      </c>
      <c r="D20" s="63"/>
      <c r="E20" s="63"/>
      <c r="F20" s="63"/>
      <c r="G20" s="63"/>
      <c r="H20" s="63"/>
    </row>
    <row r="21" spans="2:16">
      <c r="B21" s="47" t="s">
        <v>4882</v>
      </c>
      <c r="C21" s="44" t="s">
        <v>2959</v>
      </c>
      <c r="D21" s="56"/>
      <c r="E21" s="56"/>
      <c r="F21" s="56"/>
      <c r="G21" s="56"/>
      <c r="H21" s="46"/>
    </row>
    <row r="22" spans="2:16">
      <c r="B22" s="49" t="s">
        <v>4883</v>
      </c>
      <c r="C22" s="41" t="s">
        <v>2961</v>
      </c>
      <c r="D22" s="60"/>
      <c r="E22" s="60"/>
      <c r="F22" s="60"/>
      <c r="G22" s="60"/>
      <c r="H22" s="60"/>
    </row>
    <row r="23" spans="2:16">
      <c r="B23" s="49" t="s">
        <v>4884</v>
      </c>
      <c r="C23" s="41" t="s">
        <v>2963</v>
      </c>
      <c r="D23" s="60"/>
      <c r="E23" s="60"/>
      <c r="F23" s="60"/>
      <c r="G23" s="60"/>
      <c r="H23" s="60"/>
    </row>
    <row r="24" spans="2:16">
      <c r="B24" s="49" t="s">
        <v>4885</v>
      </c>
      <c r="C24" s="41" t="s">
        <v>2965</v>
      </c>
      <c r="D24" s="60"/>
      <c r="E24" s="60"/>
      <c r="F24" s="60"/>
      <c r="G24" s="60"/>
      <c r="H24" s="60"/>
    </row>
    <row r="25" spans="2:16">
      <c r="B25" s="47" t="s">
        <v>4886</v>
      </c>
      <c r="C25" s="41" t="s">
        <v>2977</v>
      </c>
      <c r="D25" s="60"/>
      <c r="E25" s="60"/>
      <c r="F25" s="60"/>
      <c r="G25" s="60"/>
      <c r="H25" s="60"/>
    </row>
    <row r="26" spans="2:16">
      <c r="B26" s="47" t="s">
        <v>4887</v>
      </c>
      <c r="C26" s="41" t="s">
        <v>2997</v>
      </c>
      <c r="D26" s="60"/>
      <c r="E26" s="60"/>
      <c r="F26" s="60"/>
      <c r="G26" s="60"/>
      <c r="H26" s="60"/>
    </row>
    <row r="27" spans="2:16">
      <c r="B27" s="47" t="s">
        <v>4888</v>
      </c>
      <c r="C27" s="41" t="s">
        <v>3064</v>
      </c>
      <c r="D27" s="63"/>
      <c r="E27" s="63"/>
      <c r="F27" s="63"/>
      <c r="G27" s="63"/>
      <c r="H27" s="63"/>
    </row>
    <row r="28" spans="2:16">
      <c r="B28" s="47" t="s">
        <v>4889</v>
      </c>
      <c r="C28" s="44" t="s">
        <v>3120</v>
      </c>
      <c r="D28" s="58"/>
      <c r="E28" s="58"/>
      <c r="F28" s="58"/>
      <c r="G28" s="58"/>
      <c r="H28" s="48"/>
    </row>
    <row r="29" spans="2:16">
      <c r="B29" s="47" t="s">
        <v>4890</v>
      </c>
      <c r="C29" s="44" t="s">
        <v>3140</v>
      </c>
      <c r="D29" s="56"/>
      <c r="E29" s="56"/>
      <c r="F29" s="56"/>
      <c r="G29" s="56"/>
      <c r="H29" s="46"/>
    </row>
    <row r="31" spans="2:16">
      <c r="O31" s="13" t="str">
        <f>Show!$B$142&amp;Show!$B$142&amp;"S.26.03.04.01 Rows {"&amp;COLUMN($C$1)&amp;"}"</f>
        <v>!!S.26.03.04.01 Rows {3}</v>
      </c>
      <c r="P31" s="13" t="str">
        <f>Show!$B$142&amp;Show!$B$142&amp;"S.26.03.04.01 Columns {"&amp;COLUMN($H$1)&amp;"}"</f>
        <v>!!S.26.03.04.01 Columns {8}</v>
      </c>
    </row>
    <row r="33" spans="2:16" ht="18.75">
      <c r="B33" s="97" t="s">
        <v>4902</v>
      </c>
      <c r="C33" s="96"/>
      <c r="D33" s="96"/>
      <c r="E33" s="96"/>
      <c r="F33" s="96"/>
      <c r="G33" s="96"/>
      <c r="H33" s="96"/>
      <c r="I33" s="96"/>
      <c r="J33" s="96"/>
      <c r="K33" s="96"/>
      <c r="L33" s="96"/>
    </row>
    <row r="35" spans="2:16">
      <c r="B35" t="s">
        <v>3110</v>
      </c>
      <c r="O35" s="13" t="str">
        <f>Show!$B$142&amp;"S.26.03.04.02 Table label {"&amp;COLUMN($C$1)&amp;"}"</f>
        <v>!S.26.03.04.02 Table label {3}</v>
      </c>
      <c r="P35" s="13" t="str">
        <f>Show!$B$142&amp;"S.26.03.04.02 Table value {"&amp;COLUMN($D$1)&amp;"}"</f>
        <v>!S.26.03.04.02 Table value {4}</v>
      </c>
    </row>
    <row r="36" spans="2:16">
      <c r="B36" t="s">
        <v>3111</v>
      </c>
    </row>
    <row r="37" spans="2:16">
      <c r="B37" s="40" t="s">
        <v>4622</v>
      </c>
      <c r="C37" s="53" t="s">
        <v>3113</v>
      </c>
      <c r="D37" s="51"/>
    </row>
    <row r="38" spans="2:16">
      <c r="O38" s="13" t="str">
        <f>Show!$B$142&amp;Show!$B$142&amp;"S.26.03.04.02 Table label {"&amp;COLUMN($C$1)&amp;"}"</f>
        <v>!!S.26.03.04.02 Table label {3}</v>
      </c>
      <c r="P38" s="13" t="str">
        <f>Show!$B$142&amp;Show!$B$142&amp;"S.26.03.04.02 Table value {"&amp;COLUMN($D$1)&amp;"}"</f>
        <v>!!S.26.03.04.02 Table value {4}</v>
      </c>
    </row>
    <row r="40" spans="2:16">
      <c r="D40" s="98" t="s">
        <v>2877</v>
      </c>
    </row>
    <row r="41" spans="2:16">
      <c r="D41" s="100"/>
    </row>
    <row r="42" spans="2:16">
      <c r="D42" s="55" t="s">
        <v>4687</v>
      </c>
    </row>
    <row r="43" spans="2:16">
      <c r="D43" s="45" t="s">
        <v>3236</v>
      </c>
      <c r="O43" s="13" t="str">
        <f>Show!$B$142&amp;"S.26.03.04.02 Rows {"&amp;COLUMN($C$1)&amp;"}"&amp;"@ForceFilingCode:true"</f>
        <v>!S.26.03.04.02 Rows {3}@ForceFilingCode:true</v>
      </c>
      <c r="P43" s="13" t="str">
        <f>Show!$B$142&amp;"S.26.03.04.02 Columns {"&amp;COLUMN($D$1)&amp;"}"</f>
        <v>!S.26.03.04.02 Columns {4}</v>
      </c>
    </row>
    <row r="44" spans="2:16">
      <c r="B44" s="43" t="s">
        <v>2880</v>
      </c>
      <c r="C44" s="44" t="s">
        <v>2878</v>
      </c>
      <c r="D44" s="46"/>
    </row>
    <row r="45" spans="2:16">
      <c r="B45" s="47" t="s">
        <v>4892</v>
      </c>
      <c r="C45" s="41" t="s">
        <v>3315</v>
      </c>
      <c r="D45" s="70"/>
    </row>
    <row r="47" spans="2:16">
      <c r="O47" s="13" t="str">
        <f>Show!$B$142&amp;Show!$B$142&amp;"S.26.03.04.02 Rows {"&amp;COLUMN($C$1)&amp;"}"</f>
        <v>!!S.26.03.04.02 Rows {3}</v>
      </c>
      <c r="P47" s="13" t="str">
        <f>Show!$B$142&amp;Show!$B$142&amp;"S.26.03.04.02 Columns {"&amp;COLUMN($D$1)&amp;"}"</f>
        <v>!!S.26.03.04.02 Columns {4}</v>
      </c>
    </row>
    <row r="49" spans="2:16" ht="18.75">
      <c r="B49" s="97" t="s">
        <v>4903</v>
      </c>
      <c r="C49" s="96"/>
      <c r="D49" s="96"/>
      <c r="E49" s="96"/>
      <c r="F49" s="96"/>
      <c r="G49" s="96"/>
      <c r="H49" s="96"/>
      <c r="I49" s="96"/>
      <c r="J49" s="96"/>
      <c r="K49" s="96"/>
      <c r="L49" s="96"/>
    </row>
    <row r="51" spans="2:16">
      <c r="B51" t="s">
        <v>3110</v>
      </c>
      <c r="O51" s="13" t="str">
        <f>Show!$B$142&amp;"S.26.03.04.03 Table label {"&amp;COLUMN($C$1)&amp;"}"</f>
        <v>!S.26.03.04.03 Table label {3}</v>
      </c>
      <c r="P51" s="13" t="str">
        <f>Show!$B$142&amp;"S.26.03.04.03 Table value {"&amp;COLUMN($D$1)&amp;"}"</f>
        <v>!S.26.03.04.03 Table value {4}</v>
      </c>
    </row>
    <row r="52" spans="2:16">
      <c r="B52" t="s">
        <v>3111</v>
      </c>
    </row>
    <row r="53" spans="2:16">
      <c r="B53" s="40" t="s">
        <v>4622</v>
      </c>
      <c r="C53" s="53" t="s">
        <v>3113</v>
      </c>
      <c r="D53" s="51"/>
    </row>
    <row r="54" spans="2:16">
      <c r="O54" s="13" t="str">
        <f>Show!$B$142&amp;Show!$B$142&amp;"S.26.03.04.03 Table label {"&amp;COLUMN($C$1)&amp;"}"</f>
        <v>!!S.26.03.04.03 Table label {3}</v>
      </c>
      <c r="P54" s="13" t="str">
        <f>Show!$B$142&amp;Show!$B$142&amp;"S.26.03.04.03 Table value {"&amp;COLUMN($D$1)&amp;"}"</f>
        <v>!!S.26.03.04.03 Table value {4}</v>
      </c>
    </row>
    <row r="56" spans="2:16">
      <c r="D56" s="98" t="s">
        <v>2877</v>
      </c>
    </row>
    <row r="57" spans="2:16">
      <c r="D57" s="100"/>
    </row>
    <row r="58" spans="2:16" ht="30">
      <c r="D58" s="55" t="s">
        <v>2574</v>
      </c>
    </row>
    <row r="59" spans="2:16">
      <c r="D59" s="45" t="s">
        <v>2879</v>
      </c>
      <c r="O59" s="13" t="str">
        <f>Show!$B$142&amp;"S.26.03.04.03 Rows {"&amp;COLUMN($C$1)&amp;"}"&amp;"@ForceFilingCode:true"</f>
        <v>!S.26.03.04.03 Rows {3}@ForceFilingCode:true</v>
      </c>
      <c r="P59" s="13" t="str">
        <f>Show!$B$142&amp;"S.26.03.04.03 Columns {"&amp;COLUMN($D$1)&amp;"}"</f>
        <v>!S.26.03.04.03 Columns {4}</v>
      </c>
    </row>
    <row r="60" spans="2:16">
      <c r="B60" s="43" t="s">
        <v>2880</v>
      </c>
      <c r="C60" s="44" t="s">
        <v>2878</v>
      </c>
      <c r="D60" s="46"/>
    </row>
    <row r="61" spans="2:16">
      <c r="B61" s="47" t="s">
        <v>4894</v>
      </c>
      <c r="C61" s="41" t="s">
        <v>2883</v>
      </c>
      <c r="D61" s="51"/>
    </row>
    <row r="62" spans="2:16">
      <c r="B62" s="47" t="s">
        <v>4895</v>
      </c>
      <c r="C62" s="41" t="s">
        <v>2885</v>
      </c>
      <c r="D62" s="51"/>
    </row>
    <row r="63" spans="2:16">
      <c r="B63" s="47" t="s">
        <v>4896</v>
      </c>
      <c r="C63" s="41" t="s">
        <v>2887</v>
      </c>
      <c r="D63" s="51"/>
    </row>
    <row r="64" spans="2:16">
      <c r="B64" s="47" t="s">
        <v>4897</v>
      </c>
      <c r="C64" s="41" t="s">
        <v>2889</v>
      </c>
      <c r="D64" s="51"/>
    </row>
    <row r="65" spans="2:16">
      <c r="B65" s="47" t="s">
        <v>4898</v>
      </c>
      <c r="C65" s="41" t="s">
        <v>3078</v>
      </c>
      <c r="D65" s="51"/>
    </row>
    <row r="66" spans="2:16">
      <c r="B66" s="47" t="s">
        <v>4899</v>
      </c>
      <c r="C66" s="41" t="s">
        <v>2891</v>
      </c>
      <c r="D66" s="51"/>
    </row>
    <row r="68" spans="2:16">
      <c r="O68" s="13" t="str">
        <f>Show!$B$142&amp;Show!$B$142&amp;"S.26.03.04.03 Rows {"&amp;COLUMN($C$1)&amp;"}"</f>
        <v>!!S.26.03.04.03 Rows {3}</v>
      </c>
      <c r="P68" s="13" t="str">
        <f>Show!$B$142&amp;Show!$B$142&amp;"S.26.03.04.03 Columns {"&amp;COLUMN($D$1)&amp;"}"</f>
        <v>!!S.26.03.04.03 Columns {4}</v>
      </c>
    </row>
    <row r="70" spans="2:16" ht="18.75">
      <c r="B70" s="97" t="s">
        <v>4904</v>
      </c>
      <c r="C70" s="96"/>
      <c r="D70" s="96"/>
      <c r="E70" s="96"/>
      <c r="F70" s="96"/>
      <c r="G70" s="96"/>
      <c r="H70" s="96"/>
      <c r="I70" s="96"/>
      <c r="J70" s="96"/>
      <c r="K70" s="96"/>
      <c r="L70" s="96"/>
    </row>
    <row r="72" spans="2:16">
      <c r="B72" t="s">
        <v>3110</v>
      </c>
      <c r="O72" s="13" t="str">
        <f>Show!$B$142&amp;"S.26.03.04.04 Table label {"&amp;COLUMN($C$1)&amp;"}"</f>
        <v>!S.26.03.04.04 Table label {3}</v>
      </c>
      <c r="P72" s="13" t="str">
        <f>Show!$B$142&amp;"S.26.03.04.04 Table value {"&amp;COLUMN($D$1)&amp;"}"</f>
        <v>!S.26.03.04.04 Table value {4}</v>
      </c>
    </row>
    <row r="73" spans="2:16">
      <c r="B73" t="s">
        <v>3111</v>
      </c>
    </row>
    <row r="74" spans="2:16">
      <c r="B74" s="40" t="s">
        <v>4622</v>
      </c>
      <c r="C74" s="53" t="s">
        <v>3113</v>
      </c>
      <c r="D74" s="51"/>
    </row>
    <row r="75" spans="2:16">
      <c r="O75" s="13" t="str">
        <f>Show!$B$142&amp;Show!$B$142&amp;"S.26.03.04.04 Table label {"&amp;COLUMN($C$1)&amp;"}"</f>
        <v>!!S.26.03.04.04 Table label {3}</v>
      </c>
      <c r="P75" s="13" t="str">
        <f>Show!$B$142&amp;Show!$B$142&amp;"S.26.03.04.04 Table value {"&amp;COLUMN($D$1)&amp;"}"</f>
        <v>!!S.26.03.04.04 Table value {4}</v>
      </c>
    </row>
    <row r="77" spans="2:16">
      <c r="D77" s="101" t="s">
        <v>2877</v>
      </c>
      <c r="E77" s="103"/>
    </row>
    <row r="78" spans="2:16">
      <c r="D78" s="104"/>
      <c r="E78" s="106"/>
    </row>
    <row r="79" spans="2:16">
      <c r="D79" s="107" t="s">
        <v>4764</v>
      </c>
      <c r="E79" s="109"/>
    </row>
    <row r="80" spans="2:16" ht="45">
      <c r="D80" s="55" t="s">
        <v>4623</v>
      </c>
      <c r="E80" s="55" t="s">
        <v>4624</v>
      </c>
    </row>
    <row r="81" spans="2:16">
      <c r="D81" s="45" t="s">
        <v>3231</v>
      </c>
      <c r="E81" s="45" t="s">
        <v>3234</v>
      </c>
      <c r="O81" s="13" t="str">
        <f>Show!$B$142&amp;"S.26.03.04.04 Rows {"&amp;COLUMN($C$1)&amp;"}"&amp;"@ForceFilingCode:true"</f>
        <v>!S.26.03.04.04 Rows {3}@ForceFilingCode:true</v>
      </c>
      <c r="P81" s="13" t="str">
        <f>Show!$B$142&amp;"S.26.03.04.04 Columns {"&amp;COLUMN($D$1)&amp;"}"</f>
        <v>!S.26.03.04.04 Columns {4}</v>
      </c>
    </row>
    <row r="82" spans="2:16">
      <c r="B82" s="43" t="s">
        <v>2880</v>
      </c>
      <c r="C82" s="44" t="s">
        <v>2878</v>
      </c>
      <c r="D82" s="56"/>
      <c r="E82" s="57"/>
    </row>
    <row r="83" spans="2:16">
      <c r="B83" s="47" t="s">
        <v>4879</v>
      </c>
      <c r="C83" s="41" t="s">
        <v>2899</v>
      </c>
      <c r="D83" s="60"/>
      <c r="E83" s="60"/>
    </row>
    <row r="84" spans="2:16">
      <c r="B84" s="47" t="s">
        <v>4880</v>
      </c>
      <c r="C84" s="41" t="s">
        <v>2919</v>
      </c>
      <c r="D84" s="60"/>
      <c r="E84" s="60"/>
    </row>
    <row r="85" spans="2:16">
      <c r="B85" s="47" t="s">
        <v>4881</v>
      </c>
      <c r="C85" s="41" t="s">
        <v>2939</v>
      </c>
      <c r="D85" s="60"/>
      <c r="E85" s="60"/>
    </row>
    <row r="86" spans="2:16">
      <c r="B86" s="47" t="s">
        <v>4882</v>
      </c>
      <c r="C86" s="41" t="s">
        <v>2959</v>
      </c>
      <c r="D86" s="60"/>
      <c r="E86" s="60"/>
    </row>
    <row r="87" spans="2:16">
      <c r="B87" s="49" t="s">
        <v>4883</v>
      </c>
      <c r="C87" s="41" t="s">
        <v>2961</v>
      </c>
      <c r="D87" s="60"/>
      <c r="E87" s="60"/>
    </row>
    <row r="88" spans="2:16">
      <c r="B88" s="49" t="s">
        <v>4884</v>
      </c>
      <c r="C88" s="41" t="s">
        <v>2963</v>
      </c>
      <c r="D88" s="60"/>
      <c r="E88" s="60"/>
    </row>
    <row r="89" spans="2:16">
      <c r="B89" s="49" t="s">
        <v>4885</v>
      </c>
      <c r="C89" s="41" t="s">
        <v>2965</v>
      </c>
      <c r="D89" s="60"/>
      <c r="E89" s="60"/>
    </row>
    <row r="90" spans="2:16">
      <c r="B90" s="47" t="s">
        <v>4886</v>
      </c>
      <c r="C90" s="41" t="s">
        <v>2977</v>
      </c>
      <c r="D90" s="60"/>
      <c r="E90" s="60"/>
    </row>
    <row r="91" spans="2:16">
      <c r="B91" s="47" t="s">
        <v>4887</v>
      </c>
      <c r="C91" s="41" t="s">
        <v>2997</v>
      </c>
      <c r="D91" s="60"/>
      <c r="E91" s="60"/>
    </row>
    <row r="92" spans="2:16">
      <c r="B92" s="47" t="s">
        <v>4888</v>
      </c>
      <c r="C92" s="41" t="s">
        <v>3064</v>
      </c>
      <c r="D92" s="60"/>
      <c r="E92" s="60"/>
    </row>
    <row r="93" spans="2:16">
      <c r="B93" s="47" t="s">
        <v>4889</v>
      </c>
      <c r="C93" s="41" t="s">
        <v>3120</v>
      </c>
      <c r="D93" s="60"/>
      <c r="E93" s="60"/>
    </row>
    <row r="94" spans="2:16">
      <c r="B94" s="47" t="s">
        <v>4890</v>
      </c>
      <c r="C94" s="41" t="s">
        <v>3140</v>
      </c>
      <c r="D94" s="60"/>
      <c r="E94" s="60"/>
    </row>
    <row r="96" spans="2:16">
      <c r="O96" s="13" t="str">
        <f>Show!$B$142&amp;Show!$B$142&amp;"S.26.03.04.04 Rows {"&amp;COLUMN($C$1)&amp;"}"</f>
        <v>!!S.26.03.04.04 Rows {3}</v>
      </c>
      <c r="P96" s="13" t="str">
        <f>Show!$B$142&amp;Show!$B$142&amp;"S.26.03.04.04 Columns {"&amp;COLUMN($E$1)&amp;"}"</f>
        <v>!!S.26.03.04.04 Columns {5}</v>
      </c>
    </row>
  </sheetData>
  <sheetProtection sheet="1" objects="1" scenarios="1"/>
  <mergeCells count="12">
    <mergeCell ref="D79:E79"/>
    <mergeCell ref="B2:O2"/>
    <mergeCell ref="B5:L5"/>
    <mergeCell ref="D12:H13"/>
    <mergeCell ref="D14:E14"/>
    <mergeCell ref="F14:H14"/>
    <mergeCell ref="B33:L33"/>
    <mergeCell ref="D40:D41"/>
    <mergeCell ref="B49:L49"/>
    <mergeCell ref="D56:D57"/>
    <mergeCell ref="B70:L70"/>
    <mergeCell ref="D77:E78"/>
  </mergeCells>
  <dataValidations count="2">
    <dataValidation type="list" errorStyle="warning" allowBlank="1" showInputMessage="1" showErrorMessage="1" sqref="D9 D37 D53 D74" xr:uid="{0D1B3FA2-72EF-46A1-B2D8-81D0382E4978}">
      <formula1>hier_AO_1</formula1>
    </dataValidation>
    <dataValidation type="list" errorStyle="warning" allowBlank="1" showInputMessage="1" showErrorMessage="1" sqref="D61 D62 D63 D65 D66" xr:uid="{6BCE3EFA-331D-4D22-9B7B-5A28FDB8490D}">
      <formula1>hier_AP_17</formula1>
    </dataValidation>
  </dataValidation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9793-4E6A-4BF6-B54C-C23D49BFCD42}">
  <sheetPr codeName="Blad147"/>
  <dimension ref="B2:P104"/>
  <sheetViews>
    <sheetView showGridLines="0" workbookViewId="0"/>
  </sheetViews>
  <sheetFormatPr defaultRowHeight="15"/>
  <cols>
    <col min="2" max="2" width="61.85546875" bestFit="1" customWidth="1"/>
    <col min="4" max="8" width="15.7109375" customWidth="1"/>
  </cols>
  <sheetData>
    <row r="2" spans="2:16" ht="23.25">
      <c r="B2" s="95" t="s">
        <v>722</v>
      </c>
      <c r="C2" s="96"/>
      <c r="D2" s="96"/>
      <c r="E2" s="96"/>
      <c r="F2" s="96"/>
      <c r="G2" s="96"/>
      <c r="H2" s="96"/>
      <c r="I2" s="96"/>
      <c r="J2" s="96"/>
      <c r="K2" s="96"/>
      <c r="L2" s="96"/>
      <c r="M2" s="96"/>
      <c r="N2" s="96"/>
      <c r="O2" s="96"/>
    </row>
    <row r="5" spans="2:16" ht="18.75">
      <c r="B5" s="97" t="s">
        <v>4905</v>
      </c>
      <c r="C5" s="96"/>
      <c r="D5" s="96"/>
      <c r="E5" s="96"/>
      <c r="F5" s="96"/>
      <c r="G5" s="96"/>
      <c r="H5" s="96"/>
      <c r="I5" s="96"/>
      <c r="J5" s="96"/>
      <c r="K5" s="96"/>
      <c r="L5" s="96"/>
    </row>
    <row r="7" spans="2:16">
      <c r="B7" t="s">
        <v>3110</v>
      </c>
      <c r="O7" s="13" t="str">
        <f>Show!$B$143&amp;"SR.26.03.01.01 Table label {"&amp;COLUMN($C$1)&amp;"}"</f>
        <v>!SR.26.03.01.01 Table label {3}</v>
      </c>
      <c r="P7" s="13" t="str">
        <f>Show!$B$143&amp;"SR.26.03.01.01 Table value {"&amp;COLUMN($D$1)&amp;"}"</f>
        <v>!SR.26.03.01.01 Table value {4}</v>
      </c>
    </row>
    <row r="8" spans="2:16">
      <c r="B8" t="s">
        <v>3111</v>
      </c>
    </row>
    <row r="9" spans="2:16">
      <c r="B9" s="40" t="s">
        <v>4622</v>
      </c>
      <c r="C9" s="53" t="s">
        <v>3113</v>
      </c>
      <c r="D9" s="51"/>
    </row>
    <row r="10" spans="2:16">
      <c r="B10" s="40" t="s">
        <v>3788</v>
      </c>
      <c r="C10" s="53" t="s">
        <v>3115</v>
      </c>
      <c r="D10" s="51"/>
    </row>
    <row r="11" spans="2:16">
      <c r="B11" s="40" t="s">
        <v>3114</v>
      </c>
      <c r="C11" s="53" t="s">
        <v>3323</v>
      </c>
      <c r="D11" s="50"/>
    </row>
    <row r="12" spans="2:16">
      <c r="O12" s="13" t="str">
        <f>Show!$B$143&amp;Show!$B$143&amp;"SR.26.03.01.01 Table label {"&amp;COLUMN($C$1)&amp;"}"</f>
        <v>!!SR.26.03.01.01 Table label {3}</v>
      </c>
      <c r="P12" s="13" t="str">
        <f>Show!$B$143&amp;Show!$B$143&amp;"SR.26.03.01.01 Table value {"&amp;COLUMN($D$1)&amp;"}"</f>
        <v>!!SR.26.03.01.01 Table value {4}</v>
      </c>
    </row>
    <row r="14" spans="2:16">
      <c r="D14" s="101" t="s">
        <v>2877</v>
      </c>
      <c r="E14" s="102"/>
      <c r="F14" s="102"/>
      <c r="G14" s="102"/>
      <c r="H14" s="103"/>
    </row>
    <row r="15" spans="2:16">
      <c r="D15" s="104"/>
      <c r="E15" s="105"/>
      <c r="F15" s="105"/>
      <c r="G15" s="105"/>
      <c r="H15" s="106"/>
    </row>
    <row r="16" spans="2:16">
      <c r="D16" s="107" t="s">
        <v>4763</v>
      </c>
      <c r="E16" s="109"/>
      <c r="F16" s="107" t="s">
        <v>4764</v>
      </c>
      <c r="G16" s="108"/>
      <c r="H16" s="109"/>
    </row>
    <row r="17" spans="2:16" ht="90">
      <c r="D17" s="55" t="s">
        <v>3252</v>
      </c>
      <c r="E17" s="55" t="s">
        <v>2389</v>
      </c>
      <c r="F17" s="55" t="s">
        <v>3252</v>
      </c>
      <c r="G17" s="55" t="s">
        <v>4765</v>
      </c>
      <c r="H17" s="55" t="s">
        <v>4766</v>
      </c>
    </row>
    <row r="18" spans="2:16">
      <c r="D18" s="45" t="s">
        <v>3219</v>
      </c>
      <c r="E18" s="45" t="s">
        <v>3225</v>
      </c>
      <c r="F18" s="45" t="s">
        <v>3223</v>
      </c>
      <c r="G18" s="45" t="s">
        <v>3229</v>
      </c>
      <c r="H18" s="45" t="s">
        <v>3233</v>
      </c>
      <c r="O18" s="13" t="str">
        <f>Show!$B$143&amp;"SR.26.03.01.01 Rows {"&amp;COLUMN($C$1)&amp;"}"&amp;"@ForceFilingCode:true"</f>
        <v>!SR.26.03.01.01 Rows {3}@ForceFilingCode:true</v>
      </c>
      <c r="P18" s="13" t="str">
        <f>Show!$B$143&amp;"SR.26.03.01.01 Columns {"&amp;COLUMN($D$1)&amp;"}"</f>
        <v>!SR.26.03.01.01 Columns {4}</v>
      </c>
    </row>
    <row r="19" spans="2:16">
      <c r="B19" s="43" t="s">
        <v>2880</v>
      </c>
      <c r="C19" s="44" t="s">
        <v>2878</v>
      </c>
      <c r="D19" s="56"/>
      <c r="E19" s="66"/>
      <c r="F19" s="66"/>
      <c r="G19" s="66"/>
      <c r="H19" s="57"/>
    </row>
    <row r="20" spans="2:16">
      <c r="B20" s="47" t="s">
        <v>4879</v>
      </c>
      <c r="C20" s="41" t="s">
        <v>2899</v>
      </c>
      <c r="D20" s="60"/>
      <c r="E20" s="60"/>
      <c r="F20" s="60"/>
      <c r="G20" s="60"/>
      <c r="H20" s="60"/>
    </row>
    <row r="21" spans="2:16">
      <c r="B21" s="47" t="s">
        <v>4880</v>
      </c>
      <c r="C21" s="41" t="s">
        <v>2919</v>
      </c>
      <c r="D21" s="60"/>
      <c r="E21" s="60"/>
      <c r="F21" s="60"/>
      <c r="G21" s="60"/>
      <c r="H21" s="60"/>
    </row>
    <row r="22" spans="2:16">
      <c r="B22" s="47" t="s">
        <v>4881</v>
      </c>
      <c r="C22" s="41" t="s">
        <v>2939</v>
      </c>
      <c r="D22" s="63"/>
      <c r="E22" s="63"/>
      <c r="F22" s="63"/>
      <c r="G22" s="63"/>
      <c r="H22" s="63"/>
    </row>
    <row r="23" spans="2:16">
      <c r="B23" s="47" t="s">
        <v>4882</v>
      </c>
      <c r="C23" s="44" t="s">
        <v>2959</v>
      </c>
      <c r="D23" s="56"/>
      <c r="E23" s="56"/>
      <c r="F23" s="56"/>
      <c r="G23" s="56"/>
      <c r="H23" s="46"/>
    </row>
    <row r="24" spans="2:16">
      <c r="B24" s="49" t="s">
        <v>4883</v>
      </c>
      <c r="C24" s="41" t="s">
        <v>2961</v>
      </c>
      <c r="D24" s="60"/>
      <c r="E24" s="60"/>
      <c r="F24" s="60"/>
      <c r="G24" s="60"/>
      <c r="H24" s="60"/>
    </row>
    <row r="25" spans="2:16">
      <c r="B25" s="49" t="s">
        <v>4884</v>
      </c>
      <c r="C25" s="41" t="s">
        <v>2963</v>
      </c>
      <c r="D25" s="60"/>
      <c r="E25" s="60"/>
      <c r="F25" s="60"/>
      <c r="G25" s="60"/>
      <c r="H25" s="60"/>
    </row>
    <row r="26" spans="2:16">
      <c r="B26" s="49" t="s">
        <v>4885</v>
      </c>
      <c r="C26" s="41" t="s">
        <v>2965</v>
      </c>
      <c r="D26" s="60"/>
      <c r="E26" s="60"/>
      <c r="F26" s="60"/>
      <c r="G26" s="60"/>
      <c r="H26" s="60"/>
    </row>
    <row r="27" spans="2:16">
      <c r="B27" s="47" t="s">
        <v>4886</v>
      </c>
      <c r="C27" s="41" t="s">
        <v>2977</v>
      </c>
      <c r="D27" s="60"/>
      <c r="E27" s="60"/>
      <c r="F27" s="60"/>
      <c r="G27" s="60"/>
      <c r="H27" s="60"/>
    </row>
    <row r="28" spans="2:16">
      <c r="B28" s="47" t="s">
        <v>4887</v>
      </c>
      <c r="C28" s="41" t="s">
        <v>2997</v>
      </c>
      <c r="D28" s="60"/>
      <c r="E28" s="60"/>
      <c r="F28" s="60"/>
      <c r="G28" s="60"/>
      <c r="H28" s="60"/>
    </row>
    <row r="29" spans="2:16">
      <c r="B29" s="47" t="s">
        <v>4888</v>
      </c>
      <c r="C29" s="41" t="s">
        <v>3064</v>
      </c>
      <c r="D29" s="63"/>
      <c r="E29" s="63"/>
      <c r="F29" s="63"/>
      <c r="G29" s="63"/>
      <c r="H29" s="63"/>
    </row>
    <row r="30" spans="2:16">
      <c r="B30" s="47" t="s">
        <v>4889</v>
      </c>
      <c r="C30" s="44" t="s">
        <v>3120</v>
      </c>
      <c r="D30" s="58"/>
      <c r="E30" s="58"/>
      <c r="F30" s="58"/>
      <c r="G30" s="58"/>
      <c r="H30" s="48"/>
    </row>
    <row r="31" spans="2:16">
      <c r="B31" s="47" t="s">
        <v>4890</v>
      </c>
      <c r="C31" s="44" t="s">
        <v>3140</v>
      </c>
      <c r="D31" s="56"/>
      <c r="E31" s="56"/>
      <c r="F31" s="56"/>
      <c r="G31" s="56"/>
      <c r="H31" s="46"/>
    </row>
    <row r="33" spans="2:16">
      <c r="O33" s="13" t="str">
        <f>Show!$B$143&amp;Show!$B$143&amp;"SR.26.03.01.01 Rows {"&amp;COLUMN($C$1)&amp;"}"</f>
        <v>!!SR.26.03.01.01 Rows {3}</v>
      </c>
      <c r="P33" s="13" t="str">
        <f>Show!$B$143&amp;Show!$B$143&amp;"SR.26.03.01.01 Columns {"&amp;COLUMN($H$1)&amp;"}"</f>
        <v>!!SR.26.03.01.01 Columns {8}</v>
      </c>
    </row>
    <row r="35" spans="2:16" ht="18.75">
      <c r="B35" s="97" t="s">
        <v>4906</v>
      </c>
      <c r="C35" s="96"/>
      <c r="D35" s="96"/>
      <c r="E35" s="96"/>
      <c r="F35" s="96"/>
      <c r="G35" s="96"/>
      <c r="H35" s="96"/>
      <c r="I35" s="96"/>
      <c r="J35" s="96"/>
      <c r="K35" s="96"/>
      <c r="L35" s="96"/>
    </row>
    <row r="37" spans="2:16">
      <c r="B37" t="s">
        <v>3110</v>
      </c>
      <c r="O37" s="13" t="str">
        <f>Show!$B$143&amp;"SR.26.03.01.02 Table label {"&amp;COLUMN($C$1)&amp;"}"</f>
        <v>!SR.26.03.01.02 Table label {3}</v>
      </c>
      <c r="P37" s="13" t="str">
        <f>Show!$B$143&amp;"SR.26.03.01.02 Table value {"&amp;COLUMN($D$1)&amp;"}"</f>
        <v>!SR.26.03.01.02 Table value {4}</v>
      </c>
    </row>
    <row r="38" spans="2:16">
      <c r="B38" t="s">
        <v>3111</v>
      </c>
    </row>
    <row r="39" spans="2:16">
      <c r="B39" s="40" t="s">
        <v>4622</v>
      </c>
      <c r="C39" s="53" t="s">
        <v>3113</v>
      </c>
      <c r="D39" s="51"/>
    </row>
    <row r="40" spans="2:16">
      <c r="B40" s="40" t="s">
        <v>3788</v>
      </c>
      <c r="C40" s="53" t="s">
        <v>3115</v>
      </c>
      <c r="D40" s="51"/>
    </row>
    <row r="41" spans="2:16">
      <c r="B41" s="40" t="s">
        <v>3114</v>
      </c>
      <c r="C41" s="53" t="s">
        <v>3323</v>
      </c>
      <c r="D41" s="50"/>
    </row>
    <row r="42" spans="2:16">
      <c r="O42" s="13" t="str">
        <f>Show!$B$143&amp;Show!$B$143&amp;"SR.26.03.01.02 Table label {"&amp;COLUMN($C$1)&amp;"}"</f>
        <v>!!SR.26.03.01.02 Table label {3}</v>
      </c>
      <c r="P42" s="13" t="str">
        <f>Show!$B$143&amp;Show!$B$143&amp;"SR.26.03.01.02 Table value {"&amp;COLUMN($D$1)&amp;"}"</f>
        <v>!!SR.26.03.01.02 Table value {4}</v>
      </c>
    </row>
    <row r="44" spans="2:16">
      <c r="D44" s="98" t="s">
        <v>2877</v>
      </c>
    </row>
    <row r="45" spans="2:16">
      <c r="D45" s="100"/>
    </row>
    <row r="46" spans="2:16">
      <c r="D46" s="55" t="s">
        <v>4687</v>
      </c>
    </row>
    <row r="47" spans="2:16">
      <c r="D47" s="45" t="s">
        <v>3236</v>
      </c>
      <c r="O47" s="13" t="str">
        <f>Show!$B$143&amp;"SR.26.03.01.02 Rows {"&amp;COLUMN($C$1)&amp;"}"&amp;"@ForceFilingCode:true"</f>
        <v>!SR.26.03.01.02 Rows {3}@ForceFilingCode:true</v>
      </c>
      <c r="P47" s="13" t="str">
        <f>Show!$B$143&amp;"SR.26.03.01.02 Columns {"&amp;COLUMN($D$1)&amp;"}"</f>
        <v>!SR.26.03.01.02 Columns {4}</v>
      </c>
    </row>
    <row r="48" spans="2:16">
      <c r="B48" s="43" t="s">
        <v>2880</v>
      </c>
      <c r="C48" s="44" t="s">
        <v>2878</v>
      </c>
      <c r="D48" s="46"/>
    </row>
    <row r="49" spans="2:16">
      <c r="B49" s="47" t="s">
        <v>4892</v>
      </c>
      <c r="C49" s="41" t="s">
        <v>3315</v>
      </c>
      <c r="D49" s="70"/>
    </row>
    <row r="51" spans="2:16">
      <c r="O51" s="13" t="str">
        <f>Show!$B$143&amp;Show!$B$143&amp;"SR.26.03.01.02 Rows {"&amp;COLUMN($C$1)&amp;"}"</f>
        <v>!!SR.26.03.01.02 Rows {3}</v>
      </c>
      <c r="P51" s="13" t="str">
        <f>Show!$B$143&amp;Show!$B$143&amp;"SR.26.03.01.02 Columns {"&amp;COLUMN($D$1)&amp;"}"</f>
        <v>!!SR.26.03.01.02 Columns {4}</v>
      </c>
    </row>
    <row r="53" spans="2:16" ht="18.75">
      <c r="B53" s="97" t="s">
        <v>4907</v>
      </c>
      <c r="C53" s="96"/>
      <c r="D53" s="96"/>
      <c r="E53" s="96"/>
      <c r="F53" s="96"/>
      <c r="G53" s="96"/>
      <c r="H53" s="96"/>
      <c r="I53" s="96"/>
      <c r="J53" s="96"/>
      <c r="K53" s="96"/>
      <c r="L53" s="96"/>
    </row>
    <row r="55" spans="2:16">
      <c r="B55" t="s">
        <v>3110</v>
      </c>
      <c r="O55" s="13" t="str">
        <f>Show!$B$143&amp;"SR.26.03.01.03 Table label {"&amp;COLUMN($C$1)&amp;"}"</f>
        <v>!SR.26.03.01.03 Table label {3}</v>
      </c>
      <c r="P55" s="13" t="str">
        <f>Show!$B$143&amp;"SR.26.03.01.03 Table value {"&amp;COLUMN($D$1)&amp;"}"</f>
        <v>!SR.26.03.01.03 Table value {4}</v>
      </c>
    </row>
    <row r="56" spans="2:16">
      <c r="B56" t="s">
        <v>3111</v>
      </c>
    </row>
    <row r="57" spans="2:16">
      <c r="B57" s="40" t="s">
        <v>4622</v>
      </c>
      <c r="C57" s="53" t="s">
        <v>3113</v>
      </c>
      <c r="D57" s="51"/>
    </row>
    <row r="58" spans="2:16">
      <c r="B58" s="40" t="s">
        <v>3788</v>
      </c>
      <c r="C58" s="53" t="s">
        <v>3115</v>
      </c>
      <c r="D58" s="51"/>
    </row>
    <row r="59" spans="2:16">
      <c r="B59" s="40" t="s">
        <v>3114</v>
      </c>
      <c r="C59" s="53" t="s">
        <v>3323</v>
      </c>
      <c r="D59" s="50"/>
    </row>
    <row r="60" spans="2:16">
      <c r="O60" s="13" t="str">
        <f>Show!$B$143&amp;Show!$B$143&amp;"SR.26.03.01.03 Table label {"&amp;COLUMN($C$1)&amp;"}"</f>
        <v>!!SR.26.03.01.03 Table label {3}</v>
      </c>
      <c r="P60" s="13" t="str">
        <f>Show!$B$143&amp;Show!$B$143&amp;"SR.26.03.01.03 Table value {"&amp;COLUMN($D$1)&amp;"}"</f>
        <v>!!SR.26.03.01.03 Table value {4}</v>
      </c>
    </row>
    <row r="62" spans="2:16">
      <c r="D62" s="98" t="s">
        <v>2877</v>
      </c>
    </row>
    <row r="63" spans="2:16">
      <c r="D63" s="100"/>
    </row>
    <row r="64" spans="2:16" ht="30">
      <c r="D64" s="55" t="s">
        <v>2574</v>
      </c>
    </row>
    <row r="65" spans="2:16">
      <c r="D65" s="45" t="s">
        <v>2879</v>
      </c>
      <c r="O65" s="13" t="str">
        <f>Show!$B$143&amp;"SR.26.03.01.03 Rows {"&amp;COLUMN($C$1)&amp;"}"&amp;"@ForceFilingCode:true"</f>
        <v>!SR.26.03.01.03 Rows {3}@ForceFilingCode:true</v>
      </c>
      <c r="P65" s="13" t="str">
        <f>Show!$B$143&amp;"SR.26.03.01.03 Columns {"&amp;COLUMN($D$1)&amp;"}"</f>
        <v>!SR.26.03.01.03 Columns {4}</v>
      </c>
    </row>
    <row r="66" spans="2:16">
      <c r="B66" s="43" t="s">
        <v>2880</v>
      </c>
      <c r="C66" s="44" t="s">
        <v>2878</v>
      </c>
      <c r="D66" s="46"/>
    </row>
    <row r="67" spans="2:16">
      <c r="B67" s="47" t="s">
        <v>4894</v>
      </c>
      <c r="C67" s="41" t="s">
        <v>2883</v>
      </c>
      <c r="D67" s="51"/>
    </row>
    <row r="68" spans="2:16">
      <c r="B68" s="47" t="s">
        <v>4895</v>
      </c>
      <c r="C68" s="41" t="s">
        <v>2885</v>
      </c>
      <c r="D68" s="51"/>
    </row>
    <row r="69" spans="2:16">
      <c r="B69" s="47" t="s">
        <v>4896</v>
      </c>
      <c r="C69" s="41" t="s">
        <v>2887</v>
      </c>
      <c r="D69" s="51"/>
    </row>
    <row r="70" spans="2:16">
      <c r="B70" s="47" t="s">
        <v>4897</v>
      </c>
      <c r="C70" s="41" t="s">
        <v>2889</v>
      </c>
      <c r="D70" s="51"/>
    </row>
    <row r="71" spans="2:16">
      <c r="B71" s="47" t="s">
        <v>4898</v>
      </c>
      <c r="C71" s="41" t="s">
        <v>3078</v>
      </c>
      <c r="D71" s="51"/>
    </row>
    <row r="72" spans="2:16">
      <c r="B72" s="47" t="s">
        <v>4899</v>
      </c>
      <c r="C72" s="41" t="s">
        <v>2891</v>
      </c>
      <c r="D72" s="51"/>
    </row>
    <row r="74" spans="2:16">
      <c r="O74" s="13" t="str">
        <f>Show!$B$143&amp;Show!$B$143&amp;"SR.26.03.01.03 Rows {"&amp;COLUMN($C$1)&amp;"}"</f>
        <v>!!SR.26.03.01.03 Rows {3}</v>
      </c>
      <c r="P74" s="13" t="str">
        <f>Show!$B$143&amp;Show!$B$143&amp;"SR.26.03.01.03 Columns {"&amp;COLUMN($D$1)&amp;"}"</f>
        <v>!!SR.26.03.01.03 Columns {4}</v>
      </c>
    </row>
    <row r="76" spans="2:16" ht="18.75">
      <c r="B76" s="97" t="s">
        <v>4908</v>
      </c>
      <c r="C76" s="96"/>
      <c r="D76" s="96"/>
      <c r="E76" s="96"/>
      <c r="F76" s="96"/>
      <c r="G76" s="96"/>
      <c r="H76" s="96"/>
      <c r="I76" s="96"/>
      <c r="J76" s="96"/>
      <c r="K76" s="96"/>
      <c r="L76" s="96"/>
    </row>
    <row r="78" spans="2:16">
      <c r="B78" t="s">
        <v>3110</v>
      </c>
      <c r="O78" s="13" t="str">
        <f>Show!$B$143&amp;"SR.26.03.01.04 Table label {"&amp;COLUMN($C$1)&amp;"}"</f>
        <v>!SR.26.03.01.04 Table label {3}</v>
      </c>
      <c r="P78" s="13" t="str">
        <f>Show!$B$143&amp;"SR.26.03.01.04 Table value {"&amp;COLUMN($D$1)&amp;"}"</f>
        <v>!SR.26.03.01.04 Table value {4}</v>
      </c>
    </row>
    <row r="79" spans="2:16">
      <c r="B79" t="s">
        <v>3111</v>
      </c>
    </row>
    <row r="80" spans="2:16">
      <c r="B80" s="40" t="s">
        <v>4622</v>
      </c>
      <c r="C80" s="53" t="s">
        <v>3113</v>
      </c>
      <c r="D80" s="51"/>
    </row>
    <row r="81" spans="2:16">
      <c r="B81" s="40" t="s">
        <v>3788</v>
      </c>
      <c r="C81" s="53" t="s">
        <v>3115</v>
      </c>
      <c r="D81" s="51"/>
    </row>
    <row r="82" spans="2:16">
      <c r="B82" s="40" t="s">
        <v>3114</v>
      </c>
      <c r="C82" s="53" t="s">
        <v>3323</v>
      </c>
      <c r="D82" s="50"/>
    </row>
    <row r="83" spans="2:16">
      <c r="O83" s="13" t="str">
        <f>Show!$B$143&amp;Show!$B$143&amp;"SR.26.03.01.04 Table label {"&amp;COLUMN($C$1)&amp;"}"</f>
        <v>!!SR.26.03.01.04 Table label {3}</v>
      </c>
      <c r="P83" s="13" t="str">
        <f>Show!$B$143&amp;Show!$B$143&amp;"SR.26.03.01.04 Table value {"&amp;COLUMN($D$1)&amp;"}"</f>
        <v>!!SR.26.03.01.04 Table value {4}</v>
      </c>
    </row>
    <row r="85" spans="2:16">
      <c r="D85" s="101" t="s">
        <v>2877</v>
      </c>
      <c r="E85" s="103"/>
    </row>
    <row r="86" spans="2:16">
      <c r="D86" s="104"/>
      <c r="E86" s="106"/>
    </row>
    <row r="87" spans="2:16">
      <c r="D87" s="107" t="s">
        <v>4764</v>
      </c>
      <c r="E87" s="109"/>
    </row>
    <row r="88" spans="2:16" ht="45">
      <c r="D88" s="55" t="s">
        <v>4623</v>
      </c>
      <c r="E88" s="55" t="s">
        <v>4624</v>
      </c>
    </row>
    <row r="89" spans="2:16">
      <c r="D89" s="45" t="s">
        <v>3231</v>
      </c>
      <c r="E89" s="45" t="s">
        <v>3234</v>
      </c>
      <c r="O89" s="13" t="str">
        <f>Show!$B$143&amp;"SR.26.03.01.04 Rows {"&amp;COLUMN($C$1)&amp;"}"&amp;"@ForceFilingCode:true"</f>
        <v>!SR.26.03.01.04 Rows {3}@ForceFilingCode:true</v>
      </c>
      <c r="P89" s="13" t="str">
        <f>Show!$B$143&amp;"SR.26.03.01.04 Columns {"&amp;COLUMN($D$1)&amp;"}"</f>
        <v>!SR.26.03.01.04 Columns {4}</v>
      </c>
    </row>
    <row r="90" spans="2:16">
      <c r="B90" s="43" t="s">
        <v>2880</v>
      </c>
      <c r="C90" s="44" t="s">
        <v>2878</v>
      </c>
      <c r="D90" s="56"/>
      <c r="E90" s="57"/>
    </row>
    <row r="91" spans="2:16">
      <c r="B91" s="47" t="s">
        <v>4879</v>
      </c>
      <c r="C91" s="41" t="s">
        <v>2899</v>
      </c>
      <c r="D91" s="60"/>
      <c r="E91" s="60"/>
    </row>
    <row r="92" spans="2:16">
      <c r="B92" s="47" t="s">
        <v>4880</v>
      </c>
      <c r="C92" s="41" t="s">
        <v>2919</v>
      </c>
      <c r="D92" s="60"/>
      <c r="E92" s="60"/>
    </row>
    <row r="93" spans="2:16">
      <c r="B93" s="47" t="s">
        <v>4881</v>
      </c>
      <c r="C93" s="41" t="s">
        <v>2939</v>
      </c>
      <c r="D93" s="60"/>
      <c r="E93" s="60"/>
    </row>
    <row r="94" spans="2:16">
      <c r="B94" s="47" t="s">
        <v>4882</v>
      </c>
      <c r="C94" s="41" t="s">
        <v>2959</v>
      </c>
      <c r="D94" s="60"/>
      <c r="E94" s="60"/>
    </row>
    <row r="95" spans="2:16">
      <c r="B95" s="49" t="s">
        <v>4883</v>
      </c>
      <c r="C95" s="41" t="s">
        <v>2961</v>
      </c>
      <c r="D95" s="60"/>
      <c r="E95" s="60"/>
    </row>
    <row r="96" spans="2:16">
      <c r="B96" s="49" t="s">
        <v>4884</v>
      </c>
      <c r="C96" s="41" t="s">
        <v>2963</v>
      </c>
      <c r="D96" s="60"/>
      <c r="E96" s="60"/>
    </row>
    <row r="97" spans="2:16">
      <c r="B97" s="49" t="s">
        <v>4885</v>
      </c>
      <c r="C97" s="41" t="s">
        <v>2965</v>
      </c>
      <c r="D97" s="60"/>
      <c r="E97" s="60"/>
    </row>
    <row r="98" spans="2:16">
      <c r="B98" s="47" t="s">
        <v>4886</v>
      </c>
      <c r="C98" s="41" t="s">
        <v>2977</v>
      </c>
      <c r="D98" s="60"/>
      <c r="E98" s="60"/>
    </row>
    <row r="99" spans="2:16">
      <c r="B99" s="47" t="s">
        <v>4887</v>
      </c>
      <c r="C99" s="41" t="s">
        <v>2997</v>
      </c>
      <c r="D99" s="60"/>
      <c r="E99" s="60"/>
    </row>
    <row r="100" spans="2:16">
      <c r="B100" s="47" t="s">
        <v>4888</v>
      </c>
      <c r="C100" s="41" t="s">
        <v>3064</v>
      </c>
      <c r="D100" s="60"/>
      <c r="E100" s="60"/>
    </row>
    <row r="101" spans="2:16">
      <c r="B101" s="47" t="s">
        <v>4889</v>
      </c>
      <c r="C101" s="41" t="s">
        <v>3120</v>
      </c>
      <c r="D101" s="60"/>
      <c r="E101" s="60"/>
    </row>
    <row r="102" spans="2:16">
      <c r="B102" s="47" t="s">
        <v>4890</v>
      </c>
      <c r="C102" s="41" t="s">
        <v>3140</v>
      </c>
      <c r="D102" s="60"/>
      <c r="E102" s="60"/>
    </row>
    <row r="104" spans="2:16">
      <c r="O104" s="13" t="str">
        <f>Show!$B$143&amp;Show!$B$143&amp;"SR.26.03.01.04 Rows {"&amp;COLUMN($C$1)&amp;"}"</f>
        <v>!!SR.26.03.01.04 Rows {3}</v>
      </c>
      <c r="P104" s="13" t="str">
        <f>Show!$B$143&amp;Show!$B$143&amp;"SR.26.03.01.04 Columns {"&amp;COLUMN($E$1)&amp;"}"</f>
        <v>!!SR.26.03.01.04 Columns {5}</v>
      </c>
    </row>
  </sheetData>
  <sheetProtection sheet="1" objects="1" scenarios="1"/>
  <mergeCells count="12">
    <mergeCell ref="D87:E87"/>
    <mergeCell ref="B2:O2"/>
    <mergeCell ref="B5:L5"/>
    <mergeCell ref="D14:H15"/>
    <mergeCell ref="D16:E16"/>
    <mergeCell ref="F16:H16"/>
    <mergeCell ref="B35:L35"/>
    <mergeCell ref="D44:D45"/>
    <mergeCell ref="B53:L53"/>
    <mergeCell ref="D62:D63"/>
    <mergeCell ref="B76:L76"/>
    <mergeCell ref="D85:E86"/>
  </mergeCells>
  <dataValidations count="3">
    <dataValidation type="list" errorStyle="warning" allowBlank="1" showInputMessage="1" showErrorMessage="1" sqref="D9 D39 D57 D80" xr:uid="{3739185E-9683-4B72-AA5D-DDF3FA5CE117}">
      <formula1>hier_AO_1</formula1>
    </dataValidation>
    <dataValidation type="list" errorStyle="warning" allowBlank="1" showInputMessage="1" showErrorMessage="1" sqref="D10 D40 D58 D81" xr:uid="{9B92D97A-BAAB-4BA6-84EF-70AFF4010372}">
      <formula1>hier_PU_20</formula1>
    </dataValidation>
    <dataValidation type="list" errorStyle="warning" allowBlank="1" showInputMessage="1" showErrorMessage="1" sqref="D67 D68 D69 D71 D72" xr:uid="{0118110C-F75C-4509-BD1C-100CDFAE810B}">
      <formula1>hier_AP_17</formula1>
    </dataValidation>
  </dataValidation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545FE-7637-442C-9568-696C45C22BF2}">
  <sheetPr codeName="Blad148"/>
  <dimension ref="B2:T182"/>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95" t="s">
        <v>726</v>
      </c>
      <c r="C2" s="96"/>
      <c r="D2" s="96"/>
      <c r="E2" s="96"/>
      <c r="F2" s="96"/>
      <c r="G2" s="96"/>
      <c r="H2" s="96"/>
      <c r="I2" s="96"/>
      <c r="J2" s="96"/>
      <c r="K2" s="96"/>
      <c r="L2" s="96"/>
      <c r="M2" s="96"/>
      <c r="N2" s="96"/>
      <c r="O2" s="96"/>
    </row>
    <row r="5" spans="2:20" ht="18.75">
      <c r="B5" s="97" t="s">
        <v>4909</v>
      </c>
      <c r="C5" s="96"/>
      <c r="D5" s="96"/>
      <c r="E5" s="96"/>
      <c r="F5" s="96"/>
      <c r="G5" s="96"/>
      <c r="H5" s="96"/>
      <c r="I5" s="96"/>
      <c r="J5" s="96"/>
      <c r="K5" s="96"/>
      <c r="L5" s="96"/>
    </row>
    <row r="7" spans="2:20">
      <c r="B7" t="s">
        <v>3110</v>
      </c>
      <c r="S7" s="13" t="str">
        <f>Show!$B$144&amp;"S.26.04.01.01 Table label {"&amp;COLUMN($C$1)&amp;"}"</f>
        <v>!S.26.04.01.01 Table label {3}</v>
      </c>
      <c r="T7" s="13" t="str">
        <f>Show!$B$144&amp;"S.26.04.01.01 Table value {"&amp;COLUMN($D$1)&amp;"}"</f>
        <v>!S.26.04.01.01 Table value {4}</v>
      </c>
    </row>
    <row r="8" spans="2:20">
      <c r="B8" t="s">
        <v>3111</v>
      </c>
    </row>
    <row r="9" spans="2:20">
      <c r="B9" s="40" t="s">
        <v>4622</v>
      </c>
      <c r="C9" s="53" t="s">
        <v>3113</v>
      </c>
      <c r="D9" s="51"/>
    </row>
    <row r="10" spans="2:20">
      <c r="S10" s="13" t="str">
        <f>Show!$B$144&amp;Show!$B$144&amp;"S.26.04.01.01 Table label {"&amp;COLUMN($C$1)&amp;"}"</f>
        <v>!!S.26.04.01.01 Table label {3}</v>
      </c>
      <c r="T10" s="13" t="str">
        <f>Show!$B$144&amp;Show!$B$144&amp;"S.26.04.01.01 Table value {"&amp;COLUMN($D$1)&amp;"}"</f>
        <v>!!S.26.04.01.01 Table value {4}</v>
      </c>
    </row>
    <row r="12" spans="2:20">
      <c r="D12" s="101" t="s">
        <v>2877</v>
      </c>
      <c r="E12" s="102"/>
      <c r="F12" s="102"/>
      <c r="G12" s="102"/>
      <c r="H12" s="102"/>
      <c r="I12" s="102"/>
      <c r="J12" s="103"/>
    </row>
    <row r="13" spans="2:20">
      <c r="D13" s="104"/>
      <c r="E13" s="105"/>
      <c r="F13" s="105"/>
      <c r="G13" s="105"/>
      <c r="H13" s="105"/>
      <c r="I13" s="105"/>
      <c r="J13" s="106"/>
    </row>
    <row r="14" spans="2:20">
      <c r="D14" s="107" t="s">
        <v>4763</v>
      </c>
      <c r="E14" s="109"/>
      <c r="F14" s="107" t="s">
        <v>4764</v>
      </c>
      <c r="G14" s="108"/>
      <c r="H14" s="108"/>
      <c r="I14" s="108"/>
      <c r="J14" s="109"/>
    </row>
    <row r="15" spans="2:20">
      <c r="D15" s="98" t="s">
        <v>3252</v>
      </c>
      <c r="E15" s="98" t="s">
        <v>2389</v>
      </c>
      <c r="F15" s="98" t="s">
        <v>3252</v>
      </c>
      <c r="G15" s="98" t="s">
        <v>4765</v>
      </c>
      <c r="H15" s="98" t="s">
        <v>4623</v>
      </c>
      <c r="I15" s="98" t="s">
        <v>4766</v>
      </c>
      <c r="J15" s="98" t="s">
        <v>4624</v>
      </c>
    </row>
    <row r="16" spans="2:20">
      <c r="D16" s="100"/>
      <c r="E16" s="100"/>
      <c r="F16" s="100"/>
      <c r="G16" s="100"/>
      <c r="H16" s="100"/>
      <c r="I16" s="100"/>
      <c r="J16" s="100"/>
    </row>
    <row r="17" spans="2:20">
      <c r="D17" s="45" t="s">
        <v>3219</v>
      </c>
      <c r="E17" s="45" t="s">
        <v>3225</v>
      </c>
      <c r="F17" s="45" t="s">
        <v>3223</v>
      </c>
      <c r="G17" s="45" t="s">
        <v>3229</v>
      </c>
      <c r="H17" s="45" t="s">
        <v>3231</v>
      </c>
      <c r="I17" s="45" t="s">
        <v>3233</v>
      </c>
      <c r="J17" s="45" t="s">
        <v>3234</v>
      </c>
      <c r="S17" s="13" t="str">
        <f>Show!$B$144&amp;"S.26.04.01.01 Rows {"&amp;COLUMN($C$1)&amp;"}"&amp;"@ForceFilingCode:true"</f>
        <v>!S.26.04.01.01 Rows {3}@ForceFilingCode:true</v>
      </c>
      <c r="T17" s="13" t="str">
        <f>Show!$B$144&amp;"S.26.04.01.01 Columns {"&amp;COLUMN($D$1)&amp;"}"</f>
        <v>!S.26.04.01.01 Columns {4}</v>
      </c>
    </row>
    <row r="18" spans="2:20">
      <c r="B18" s="43" t="s">
        <v>2880</v>
      </c>
      <c r="C18" s="44" t="s">
        <v>2878</v>
      </c>
      <c r="D18" s="56"/>
      <c r="E18" s="66"/>
      <c r="F18" s="66"/>
      <c r="G18" s="66"/>
      <c r="H18" s="66"/>
      <c r="I18" s="66"/>
      <c r="J18" s="57"/>
    </row>
    <row r="19" spans="2:20">
      <c r="B19" s="47" t="s">
        <v>4910</v>
      </c>
      <c r="C19" s="41" t="s">
        <v>2899</v>
      </c>
      <c r="D19" s="60"/>
      <c r="E19" s="60"/>
      <c r="F19" s="60"/>
      <c r="G19" s="60"/>
      <c r="H19" s="60"/>
      <c r="I19" s="60"/>
      <c r="J19" s="60"/>
    </row>
    <row r="20" spans="2:20">
      <c r="B20" s="47" t="s">
        <v>4911</v>
      </c>
      <c r="C20" s="41" t="s">
        <v>2919</v>
      </c>
      <c r="D20" s="63"/>
      <c r="E20" s="63"/>
      <c r="F20" s="63"/>
      <c r="G20" s="63"/>
      <c r="H20" s="60"/>
      <c r="I20" s="63"/>
      <c r="J20" s="60"/>
    </row>
    <row r="21" spans="2:20">
      <c r="B21" s="47" t="s">
        <v>4912</v>
      </c>
      <c r="C21" s="44" t="s">
        <v>2939</v>
      </c>
      <c r="D21" s="58"/>
      <c r="E21" s="58"/>
      <c r="F21" s="58"/>
      <c r="G21" s="48"/>
      <c r="H21" s="64"/>
      <c r="I21" s="48"/>
      <c r="J21" s="60"/>
    </row>
    <row r="22" spans="2:20">
      <c r="B22" s="49" t="s">
        <v>4913</v>
      </c>
      <c r="C22" s="44" t="s">
        <v>2941</v>
      </c>
      <c r="D22" s="56"/>
      <c r="E22" s="56"/>
      <c r="F22" s="56"/>
      <c r="G22" s="46"/>
      <c r="H22" s="64"/>
      <c r="I22" s="46"/>
      <c r="J22" s="60"/>
    </row>
    <row r="23" spans="2:20">
      <c r="B23" s="61" t="s">
        <v>4914</v>
      </c>
      <c r="C23" s="41" t="s">
        <v>2943</v>
      </c>
      <c r="D23" s="60"/>
      <c r="E23" s="60"/>
      <c r="F23" s="60"/>
      <c r="G23" s="60"/>
      <c r="H23" s="60"/>
      <c r="I23" s="60"/>
      <c r="J23" s="60"/>
    </row>
    <row r="24" spans="2:20">
      <c r="B24" s="61" t="s">
        <v>4915</v>
      </c>
      <c r="C24" s="41" t="s">
        <v>2945</v>
      </c>
      <c r="D24" s="60"/>
      <c r="E24" s="60"/>
      <c r="F24" s="60"/>
      <c r="G24" s="60"/>
      <c r="H24" s="60"/>
      <c r="I24" s="60"/>
      <c r="J24" s="60"/>
    </row>
    <row r="25" spans="2:20">
      <c r="B25" s="49" t="s">
        <v>4916</v>
      </c>
      <c r="C25" s="41" t="s">
        <v>2947</v>
      </c>
      <c r="D25" s="63"/>
      <c r="E25" s="63"/>
      <c r="F25" s="63"/>
      <c r="G25" s="63"/>
      <c r="H25" s="60"/>
      <c r="I25" s="63"/>
      <c r="J25" s="60"/>
    </row>
    <row r="26" spans="2:20">
      <c r="B26" s="47" t="s">
        <v>4917</v>
      </c>
      <c r="C26" s="44" t="s">
        <v>2959</v>
      </c>
      <c r="D26" s="56"/>
      <c r="E26" s="56"/>
      <c r="F26" s="56"/>
      <c r="G26" s="46"/>
      <c r="H26" s="64"/>
      <c r="I26" s="46"/>
      <c r="J26" s="60"/>
    </row>
    <row r="27" spans="2:20">
      <c r="B27" s="49" t="s">
        <v>4883</v>
      </c>
      <c r="C27" s="41" t="s">
        <v>2961</v>
      </c>
      <c r="D27" s="60"/>
      <c r="E27" s="60"/>
      <c r="F27" s="60"/>
      <c r="G27" s="60"/>
      <c r="H27" s="60"/>
      <c r="I27" s="60"/>
      <c r="J27" s="60"/>
    </row>
    <row r="28" spans="2:20">
      <c r="B28" s="49" t="s">
        <v>4884</v>
      </c>
      <c r="C28" s="41" t="s">
        <v>2963</v>
      </c>
      <c r="D28" s="60"/>
      <c r="E28" s="60"/>
      <c r="F28" s="60"/>
      <c r="G28" s="60"/>
      <c r="H28" s="60"/>
      <c r="I28" s="60"/>
      <c r="J28" s="60"/>
    </row>
    <row r="29" spans="2:20">
      <c r="B29" s="49" t="s">
        <v>4885</v>
      </c>
      <c r="C29" s="41" t="s">
        <v>2965</v>
      </c>
      <c r="D29" s="60"/>
      <c r="E29" s="60"/>
      <c r="F29" s="60"/>
      <c r="G29" s="60"/>
      <c r="H29" s="60"/>
      <c r="I29" s="60"/>
      <c r="J29" s="60"/>
    </row>
    <row r="30" spans="2:20">
      <c r="B30" s="47" t="s">
        <v>4918</v>
      </c>
      <c r="C30" s="41" t="s">
        <v>2977</v>
      </c>
      <c r="D30" s="60"/>
      <c r="E30" s="60"/>
      <c r="F30" s="60"/>
      <c r="G30" s="60"/>
      <c r="H30" s="60"/>
      <c r="I30" s="60"/>
      <c r="J30" s="60"/>
    </row>
    <row r="31" spans="2:20">
      <c r="B31" s="47" t="s">
        <v>4919</v>
      </c>
      <c r="C31" s="41" t="s">
        <v>2997</v>
      </c>
      <c r="D31" s="63"/>
      <c r="E31" s="63"/>
      <c r="F31" s="63"/>
      <c r="G31" s="63"/>
      <c r="H31" s="60"/>
      <c r="I31" s="63"/>
      <c r="J31" s="60"/>
    </row>
    <row r="32" spans="2:20">
      <c r="B32" s="47" t="s">
        <v>4920</v>
      </c>
      <c r="C32" s="44" t="s">
        <v>3064</v>
      </c>
      <c r="D32" s="58"/>
      <c r="E32" s="58"/>
      <c r="F32" s="58"/>
      <c r="G32" s="48"/>
      <c r="H32" s="64"/>
      <c r="I32" s="48"/>
      <c r="J32" s="60"/>
    </row>
    <row r="33" spans="2:20">
      <c r="B33" s="47" t="s">
        <v>4921</v>
      </c>
      <c r="C33" s="44" t="s">
        <v>3120</v>
      </c>
      <c r="D33" s="56"/>
      <c r="E33" s="56"/>
      <c r="F33" s="56"/>
      <c r="G33" s="46"/>
      <c r="H33" s="64"/>
      <c r="I33" s="46"/>
      <c r="J33" s="60"/>
    </row>
    <row r="35" spans="2:20">
      <c r="S35" s="13" t="str">
        <f>Show!$B$144&amp;Show!$B$144&amp;"S.26.04.01.01 Rows {"&amp;COLUMN($C$1)&amp;"}"</f>
        <v>!!S.26.04.01.01 Rows {3}</v>
      </c>
      <c r="T35" s="13" t="str">
        <f>Show!$B$144&amp;Show!$B$144&amp;"S.26.04.01.01 Columns {"&amp;COLUMN($J$1)&amp;"}"</f>
        <v>!!S.26.04.01.01 Columns {10}</v>
      </c>
    </row>
    <row r="37" spans="2:20" ht="18.75">
      <c r="B37" s="97" t="s">
        <v>4922</v>
      </c>
      <c r="C37" s="96"/>
      <c r="D37" s="96"/>
      <c r="E37" s="96"/>
      <c r="F37" s="96"/>
      <c r="G37" s="96"/>
      <c r="H37" s="96"/>
      <c r="I37" s="96"/>
      <c r="J37" s="96"/>
      <c r="K37" s="96"/>
      <c r="L37" s="96"/>
    </row>
    <row r="39" spans="2:20">
      <c r="B39" t="s">
        <v>3110</v>
      </c>
      <c r="S39" s="13" t="str">
        <f>Show!$B$144&amp;"S.26.04.01.02 Table label {"&amp;COLUMN($C$1)&amp;"}"</f>
        <v>!S.26.04.01.02 Table label {3}</v>
      </c>
      <c r="T39" s="13" t="str">
        <f>Show!$B$144&amp;"S.26.04.01.02 Table value {"&amp;COLUMN($D$1)&amp;"}"</f>
        <v>!S.26.04.01.02 Table value {4}</v>
      </c>
    </row>
    <row r="40" spans="2:20">
      <c r="B40" t="s">
        <v>3111</v>
      </c>
    </row>
    <row r="41" spans="2:20">
      <c r="B41" s="40" t="s">
        <v>4622</v>
      </c>
      <c r="C41" s="53" t="s">
        <v>3113</v>
      </c>
      <c r="D41" s="51"/>
    </row>
    <row r="42" spans="2:20">
      <c r="S42" s="13" t="str">
        <f>Show!$B$144&amp;Show!$B$144&amp;"S.26.04.01.02 Table label {"&amp;COLUMN($C$1)&amp;"}"</f>
        <v>!!S.26.04.01.02 Table label {3}</v>
      </c>
      <c r="T42" s="13" t="str">
        <f>Show!$B$144&amp;Show!$B$144&amp;"S.26.04.01.02 Table value {"&amp;COLUMN($D$1)&amp;"}"</f>
        <v>!!S.26.04.01.02 Table value {4}</v>
      </c>
    </row>
    <row r="44" spans="2:20">
      <c r="D44" s="98" t="s">
        <v>2877</v>
      </c>
    </row>
    <row r="45" spans="2:20">
      <c r="D45" s="100"/>
    </row>
    <row r="46" spans="2:20">
      <c r="D46" s="55" t="s">
        <v>4687</v>
      </c>
    </row>
    <row r="47" spans="2:20">
      <c r="D47" s="45" t="s">
        <v>3236</v>
      </c>
      <c r="S47" s="13" t="str">
        <f>Show!$B$144&amp;"S.26.04.01.02 Rows {"&amp;COLUMN($C$1)&amp;"}"&amp;"@ForceFilingCode:true"</f>
        <v>!S.26.04.01.02 Rows {3}@ForceFilingCode:true</v>
      </c>
      <c r="T47" s="13" t="str">
        <f>Show!$B$144&amp;"S.26.04.01.02 Columns {"&amp;COLUMN($D$1)&amp;"}"</f>
        <v>!S.26.04.01.02 Columns {4}</v>
      </c>
    </row>
    <row r="48" spans="2:20">
      <c r="B48" s="43" t="s">
        <v>2880</v>
      </c>
      <c r="C48" s="44" t="s">
        <v>2878</v>
      </c>
      <c r="D48" s="46"/>
    </row>
    <row r="49" spans="2:20">
      <c r="B49" s="47" t="s">
        <v>4892</v>
      </c>
      <c r="C49" s="41" t="s">
        <v>3140</v>
      </c>
      <c r="D49" s="70"/>
    </row>
    <row r="51" spans="2:20">
      <c r="S51" s="13" t="str">
        <f>Show!$B$144&amp;Show!$B$144&amp;"S.26.04.01.02 Rows {"&amp;COLUMN($C$1)&amp;"}"</f>
        <v>!!S.26.04.01.02 Rows {3}</v>
      </c>
      <c r="T51" s="13" t="str">
        <f>Show!$B$144&amp;Show!$B$144&amp;"S.26.04.01.02 Columns {"&amp;COLUMN($D$1)&amp;"}"</f>
        <v>!!S.26.04.01.02 Columns {4}</v>
      </c>
    </row>
    <row r="53" spans="2:20" ht="18.75">
      <c r="B53" s="97" t="s">
        <v>4923</v>
      </c>
      <c r="C53" s="96"/>
      <c r="D53" s="96"/>
      <c r="E53" s="96"/>
      <c r="F53" s="96"/>
      <c r="G53" s="96"/>
      <c r="H53" s="96"/>
      <c r="I53" s="96"/>
      <c r="J53" s="96"/>
      <c r="K53" s="96"/>
      <c r="L53" s="96"/>
    </row>
    <row r="55" spans="2:20">
      <c r="B55" t="s">
        <v>3110</v>
      </c>
      <c r="S55" s="13" t="str">
        <f>Show!$B$144&amp;"S.26.04.01.03 Table label {"&amp;COLUMN($C$1)&amp;"}"</f>
        <v>!S.26.04.01.03 Table label {3}</v>
      </c>
      <c r="T55" s="13" t="str">
        <f>Show!$B$144&amp;"S.26.04.01.03 Table value {"&amp;COLUMN($D$1)&amp;"}"</f>
        <v>!S.26.04.01.03 Table value {4}</v>
      </c>
    </row>
    <row r="56" spans="2:20">
      <c r="B56" t="s">
        <v>3111</v>
      </c>
    </row>
    <row r="57" spans="2:20">
      <c r="B57" s="40" t="s">
        <v>4622</v>
      </c>
      <c r="C57" s="53" t="s">
        <v>3113</v>
      </c>
      <c r="D57" s="51"/>
    </row>
    <row r="58" spans="2:20">
      <c r="S58" s="13" t="str">
        <f>Show!$B$144&amp;Show!$B$144&amp;"S.26.04.01.03 Table label {"&amp;COLUMN($C$1)&amp;"}"</f>
        <v>!!S.26.04.01.03 Table label {3}</v>
      </c>
      <c r="T58" s="13" t="str">
        <f>Show!$B$144&amp;Show!$B$144&amp;"S.26.04.01.03 Table value {"&amp;COLUMN($D$1)&amp;"}"</f>
        <v>!!S.26.04.01.03 Table value {4}</v>
      </c>
    </row>
    <row r="60" spans="2:20">
      <c r="D60" s="101" t="s">
        <v>2877</v>
      </c>
      <c r="E60" s="102"/>
      <c r="F60" s="102"/>
      <c r="G60" s="102"/>
      <c r="H60" s="102"/>
      <c r="I60" s="102"/>
      <c r="J60" s="102"/>
      <c r="K60" s="103"/>
    </row>
    <row r="61" spans="2:20">
      <c r="D61" s="104"/>
      <c r="E61" s="105"/>
      <c r="F61" s="105"/>
      <c r="G61" s="105"/>
      <c r="H61" s="105"/>
      <c r="I61" s="105"/>
      <c r="J61" s="105"/>
      <c r="K61" s="106"/>
    </row>
    <row r="62" spans="2:20" ht="45">
      <c r="D62" s="107" t="s">
        <v>4924</v>
      </c>
      <c r="E62" s="108"/>
      <c r="F62" s="109"/>
      <c r="G62" s="55" t="s">
        <v>4928</v>
      </c>
      <c r="H62" s="107" t="s">
        <v>4929</v>
      </c>
      <c r="I62" s="108"/>
      <c r="J62" s="108"/>
      <c r="K62" s="109"/>
    </row>
    <row r="63" spans="2:20" ht="60">
      <c r="D63" s="55" t="s">
        <v>4925</v>
      </c>
      <c r="E63" s="55" t="s">
        <v>4926</v>
      </c>
      <c r="F63" s="55" t="s">
        <v>4927</v>
      </c>
      <c r="G63" s="55" t="s">
        <v>4687</v>
      </c>
      <c r="H63" s="55" t="s">
        <v>4930</v>
      </c>
      <c r="I63" s="55" t="s">
        <v>4931</v>
      </c>
      <c r="J63" s="55" t="s">
        <v>4932</v>
      </c>
      <c r="K63" s="55" t="s">
        <v>4933</v>
      </c>
    </row>
    <row r="64" spans="2:20">
      <c r="D64" s="45" t="s">
        <v>3239</v>
      </c>
      <c r="E64" s="45" t="s">
        <v>3241</v>
      </c>
      <c r="F64" s="45" t="s">
        <v>3243</v>
      </c>
      <c r="G64" s="45" t="s">
        <v>3375</v>
      </c>
      <c r="H64" s="45" t="s">
        <v>3475</v>
      </c>
      <c r="I64" s="45" t="s">
        <v>3477</v>
      </c>
      <c r="J64" s="45" t="s">
        <v>3479</v>
      </c>
      <c r="K64" s="45" t="s">
        <v>3594</v>
      </c>
      <c r="S64" s="13" t="str">
        <f>Show!$B$144&amp;"S.26.04.01.03 Rows {"&amp;COLUMN($C$1)&amp;"}"&amp;"@ForceFilingCode:true"</f>
        <v>!S.26.04.01.03 Rows {3}@ForceFilingCode:true</v>
      </c>
      <c r="T64" s="13" t="str">
        <f>Show!$B$144&amp;"S.26.04.01.03 Columns {"&amp;COLUMN($D$1)&amp;"}"</f>
        <v>!S.26.04.01.03 Columns {4}</v>
      </c>
    </row>
    <row r="65" spans="2:20">
      <c r="B65" s="43" t="s">
        <v>2880</v>
      </c>
      <c r="C65" s="44" t="s">
        <v>2878</v>
      </c>
      <c r="D65" s="56"/>
      <c r="E65" s="66"/>
      <c r="F65" s="66"/>
      <c r="G65" s="66"/>
      <c r="H65" s="66"/>
      <c r="I65" s="66"/>
      <c r="J65" s="66"/>
      <c r="K65" s="57"/>
    </row>
    <row r="66" spans="2:20">
      <c r="B66" s="47" t="s">
        <v>4934</v>
      </c>
      <c r="C66" s="41" t="s">
        <v>3315</v>
      </c>
      <c r="D66" s="70"/>
      <c r="E66" s="51"/>
      <c r="F66" s="70"/>
      <c r="G66" s="70"/>
      <c r="H66" s="60"/>
      <c r="I66" s="60"/>
      <c r="J66" s="70"/>
      <c r="K66" s="60"/>
    </row>
    <row r="67" spans="2:20">
      <c r="B67" s="47" t="s">
        <v>4935</v>
      </c>
      <c r="C67" s="41" t="s">
        <v>3496</v>
      </c>
      <c r="D67" s="70"/>
      <c r="E67" s="51"/>
      <c r="F67" s="70"/>
      <c r="G67" s="70"/>
      <c r="H67" s="60"/>
      <c r="I67" s="60"/>
      <c r="J67" s="70"/>
      <c r="K67" s="60"/>
    </row>
    <row r="68" spans="2:20">
      <c r="B68" s="47" t="s">
        <v>4936</v>
      </c>
      <c r="C68" s="41" t="s">
        <v>3497</v>
      </c>
      <c r="D68" s="70"/>
      <c r="E68" s="51"/>
      <c r="F68" s="70"/>
      <c r="G68" s="70"/>
      <c r="H68" s="60"/>
      <c r="I68" s="60"/>
      <c r="J68" s="70"/>
      <c r="K68" s="60"/>
    </row>
    <row r="69" spans="2:20">
      <c r="B69" s="47" t="s">
        <v>3902</v>
      </c>
      <c r="C69" s="41" t="s">
        <v>3498</v>
      </c>
      <c r="D69" s="76"/>
      <c r="E69" s="68"/>
      <c r="F69" s="76"/>
      <c r="G69" s="76"/>
      <c r="H69" s="63"/>
      <c r="I69" s="63"/>
      <c r="J69" s="76"/>
      <c r="K69" s="60"/>
    </row>
    <row r="70" spans="2:20">
      <c r="B70" s="47" t="s">
        <v>4937</v>
      </c>
      <c r="C70" s="44" t="s">
        <v>3499</v>
      </c>
      <c r="D70" s="56"/>
      <c r="E70" s="58"/>
      <c r="F70" s="58"/>
      <c r="G70" s="58"/>
      <c r="H70" s="58"/>
      <c r="I70" s="58"/>
      <c r="J70" s="48"/>
      <c r="K70" s="63"/>
    </row>
    <row r="71" spans="2:20">
      <c r="B71" s="47" t="s">
        <v>4938</v>
      </c>
      <c r="C71" s="41" t="s">
        <v>4939</v>
      </c>
      <c r="D71" s="71"/>
      <c r="E71" s="56"/>
      <c r="F71" s="56"/>
      <c r="G71" s="56"/>
      <c r="H71" s="56"/>
      <c r="I71" s="56"/>
      <c r="J71" s="56"/>
      <c r="K71" s="46"/>
    </row>
    <row r="73" spans="2:20">
      <c r="S73" s="13" t="str">
        <f>Show!$B$144&amp;Show!$B$144&amp;"S.26.04.01.03 Rows {"&amp;COLUMN($C$1)&amp;"}"</f>
        <v>!!S.26.04.01.03 Rows {3}</v>
      </c>
      <c r="T73" s="13" t="str">
        <f>Show!$B$144&amp;Show!$B$144&amp;"S.26.04.01.03 Columns {"&amp;COLUMN($K$1)&amp;"}"</f>
        <v>!!S.26.04.01.03 Columns {11}</v>
      </c>
    </row>
    <row r="75" spans="2:20" ht="18.75">
      <c r="B75" s="97" t="s">
        <v>4940</v>
      </c>
      <c r="C75" s="96"/>
      <c r="D75" s="96"/>
      <c r="E75" s="96"/>
      <c r="F75" s="96"/>
      <c r="G75" s="96"/>
      <c r="H75" s="96"/>
      <c r="I75" s="96"/>
      <c r="J75" s="96"/>
      <c r="K75" s="96"/>
      <c r="L75" s="96"/>
    </row>
    <row r="77" spans="2:20">
      <c r="B77" t="s">
        <v>3110</v>
      </c>
      <c r="S77" s="13" t="str">
        <f>Show!$B$144&amp;"S.26.04.01.04 Table label {"&amp;COLUMN($C$1)&amp;"}"</f>
        <v>!S.26.04.01.04 Table label {3}</v>
      </c>
      <c r="T77" s="13" t="str">
        <f>Show!$B$144&amp;"S.26.04.01.04 Table value {"&amp;COLUMN($D$1)&amp;"}"</f>
        <v>!S.26.04.01.04 Table value {4}</v>
      </c>
    </row>
    <row r="78" spans="2:20">
      <c r="B78" t="s">
        <v>3111</v>
      </c>
    </row>
    <row r="79" spans="2:20">
      <c r="B79" s="40" t="s">
        <v>4622</v>
      </c>
      <c r="C79" s="53" t="s">
        <v>3113</v>
      </c>
      <c r="D79" s="51"/>
    </row>
    <row r="80" spans="2:20">
      <c r="S80" s="13" t="str">
        <f>Show!$B$144&amp;Show!$B$144&amp;"S.26.04.01.04 Table label {"&amp;COLUMN($C$1)&amp;"}"</f>
        <v>!!S.26.04.01.04 Table label {3}</v>
      </c>
      <c r="T80" s="13" t="str">
        <f>Show!$B$144&amp;Show!$B$144&amp;"S.26.04.01.04 Table value {"&amp;COLUMN($D$1)&amp;"}"</f>
        <v>!!S.26.04.01.04 Table value {4}</v>
      </c>
    </row>
    <row r="82" spans="2:20">
      <c r="D82" s="98" t="s">
        <v>2877</v>
      </c>
    </row>
    <row r="83" spans="2:20">
      <c r="D83" s="100"/>
    </row>
    <row r="84" spans="2:20">
      <c r="D84" s="55" t="s">
        <v>4643</v>
      </c>
    </row>
    <row r="85" spans="2:20">
      <c r="D85" s="45" t="s">
        <v>3596</v>
      </c>
      <c r="S85" s="13" t="str">
        <f>Show!$B$144&amp;"S.26.04.01.04 Rows {"&amp;COLUMN($C$1)&amp;"}"&amp;"@ForceFilingCode:true"</f>
        <v>!S.26.04.01.04 Rows {3}@ForceFilingCode:true</v>
      </c>
      <c r="T85" s="13" t="str">
        <f>Show!$B$144&amp;"S.26.04.01.04 Columns {"&amp;COLUMN($D$1)&amp;"}"</f>
        <v>!S.26.04.01.04 Columns {4}</v>
      </c>
    </row>
    <row r="86" spans="2:20">
      <c r="B86" s="43" t="s">
        <v>2880</v>
      </c>
      <c r="C86" s="44" t="s">
        <v>2878</v>
      </c>
      <c r="D86" s="46"/>
    </row>
    <row r="87" spans="2:20">
      <c r="B87" s="47" t="s">
        <v>4941</v>
      </c>
      <c r="C87" s="41" t="s">
        <v>3500</v>
      </c>
      <c r="D87" s="60"/>
    </row>
    <row r="89" spans="2:20">
      <c r="S89" s="13" t="str">
        <f>Show!$B$144&amp;Show!$B$144&amp;"S.26.04.01.04 Rows {"&amp;COLUMN($C$1)&amp;"}"</f>
        <v>!!S.26.04.01.04 Rows {3}</v>
      </c>
      <c r="T89" s="13" t="str">
        <f>Show!$B$144&amp;Show!$B$144&amp;"S.26.04.01.04 Columns {"&amp;COLUMN($D$1)&amp;"}"</f>
        <v>!!S.26.04.01.04 Columns {4}</v>
      </c>
    </row>
    <row r="91" spans="2:20" ht="18.75">
      <c r="B91" s="97" t="s">
        <v>4942</v>
      </c>
      <c r="C91" s="96"/>
      <c r="D91" s="96"/>
      <c r="E91" s="96"/>
      <c r="F91" s="96"/>
      <c r="G91" s="96"/>
      <c r="H91" s="96"/>
      <c r="I91" s="96"/>
      <c r="J91" s="96"/>
      <c r="K91" s="96"/>
      <c r="L91" s="96"/>
    </row>
    <row r="93" spans="2:20">
      <c r="B93" t="s">
        <v>3110</v>
      </c>
      <c r="S93" s="13" t="str">
        <f>Show!$B$144&amp;"S.26.04.01.05 Table label {"&amp;COLUMN($C$1)&amp;"}"</f>
        <v>!S.26.04.01.05 Table label {3}</v>
      </c>
      <c r="T93" s="13" t="str">
        <f>Show!$B$144&amp;"S.26.04.01.05 Table value {"&amp;COLUMN($D$1)&amp;"}"</f>
        <v>!S.26.04.01.05 Table value {4}</v>
      </c>
    </row>
    <row r="94" spans="2:20">
      <c r="B94" t="s">
        <v>3111</v>
      </c>
    </row>
    <row r="95" spans="2:20">
      <c r="B95" s="40" t="s">
        <v>4622</v>
      </c>
      <c r="C95" s="53" t="s">
        <v>3113</v>
      </c>
      <c r="D95" s="51"/>
    </row>
    <row r="96" spans="2:20">
      <c r="S96" s="13" t="str">
        <f>Show!$B$144&amp;Show!$B$144&amp;"S.26.04.01.05 Table label {"&amp;COLUMN($C$1)&amp;"}"</f>
        <v>!!S.26.04.01.05 Table label {3}</v>
      </c>
      <c r="T96" s="13" t="str">
        <f>Show!$B$144&amp;Show!$B$144&amp;"S.26.04.01.05 Table value {"&amp;COLUMN($D$1)&amp;"}"</f>
        <v>!!S.26.04.01.05 Table value {4}</v>
      </c>
    </row>
    <row r="98" spans="2:20">
      <c r="D98" s="101" t="s">
        <v>2877</v>
      </c>
      <c r="E98" s="102"/>
      <c r="F98" s="102"/>
      <c r="G98" s="102"/>
      <c r="H98" s="103"/>
    </row>
    <row r="99" spans="2:20">
      <c r="D99" s="104"/>
      <c r="E99" s="105"/>
      <c r="F99" s="105"/>
      <c r="G99" s="105"/>
      <c r="H99" s="106"/>
    </row>
    <row r="100" spans="2:20">
      <c r="D100" s="107" t="s">
        <v>4763</v>
      </c>
      <c r="E100" s="109"/>
      <c r="F100" s="107" t="s">
        <v>4764</v>
      </c>
      <c r="G100" s="108"/>
      <c r="H100" s="109"/>
    </row>
    <row r="101" spans="2:20" ht="30">
      <c r="D101" s="55" t="s">
        <v>3252</v>
      </c>
      <c r="E101" s="55" t="s">
        <v>2389</v>
      </c>
      <c r="F101" s="55" t="s">
        <v>3252</v>
      </c>
      <c r="G101" s="55" t="s">
        <v>2389</v>
      </c>
      <c r="H101" s="55" t="s">
        <v>4643</v>
      </c>
    </row>
    <row r="102" spans="2:20">
      <c r="D102" s="45" t="s">
        <v>3599</v>
      </c>
      <c r="E102" s="45" t="s">
        <v>3481</v>
      </c>
      <c r="F102" s="45" t="s">
        <v>3508</v>
      </c>
      <c r="G102" s="45" t="s">
        <v>3509</v>
      </c>
      <c r="H102" s="45" t="s">
        <v>3511</v>
      </c>
      <c r="S102" s="13" t="str">
        <f>Show!$B$144&amp;"S.26.04.01.05 Rows {"&amp;COLUMN($C$1)&amp;"}"&amp;"@ForceFilingCode:true"</f>
        <v>!S.26.04.01.05 Rows {3}@ForceFilingCode:true</v>
      </c>
      <c r="T102" s="13" t="str">
        <f>Show!$B$144&amp;"S.26.04.01.05 Columns {"&amp;COLUMN($D$1)&amp;"}"</f>
        <v>!S.26.04.01.05 Columns {4}</v>
      </c>
    </row>
    <row r="103" spans="2:20">
      <c r="B103" s="43" t="s">
        <v>2880</v>
      </c>
      <c r="C103" s="44" t="s">
        <v>2878</v>
      </c>
      <c r="D103" s="56"/>
      <c r="E103" s="66"/>
      <c r="F103" s="66"/>
      <c r="G103" s="66"/>
      <c r="H103" s="57"/>
    </row>
    <row r="104" spans="2:20">
      <c r="B104" s="47" t="s">
        <v>4943</v>
      </c>
      <c r="C104" s="41" t="s">
        <v>3502</v>
      </c>
      <c r="D104" s="60"/>
      <c r="E104" s="60"/>
      <c r="F104" s="60"/>
      <c r="G104" s="60"/>
      <c r="H104" s="60"/>
    </row>
    <row r="106" spans="2:20">
      <c r="S106" s="13" t="str">
        <f>Show!$B$144&amp;Show!$B$144&amp;"S.26.04.01.05 Rows {"&amp;COLUMN($C$1)&amp;"}"</f>
        <v>!!S.26.04.01.05 Rows {3}</v>
      </c>
      <c r="T106" s="13" t="str">
        <f>Show!$B$144&amp;Show!$B$144&amp;"S.26.04.01.05 Columns {"&amp;COLUMN($H$1)&amp;"}"</f>
        <v>!!S.26.04.01.05 Columns {8}</v>
      </c>
    </row>
    <row r="108" spans="2:20" ht="18.75">
      <c r="B108" s="97" t="s">
        <v>4944</v>
      </c>
      <c r="C108" s="96"/>
      <c r="D108" s="96"/>
      <c r="E108" s="96"/>
      <c r="F108" s="96"/>
      <c r="G108" s="96"/>
      <c r="H108" s="96"/>
      <c r="I108" s="96"/>
      <c r="J108" s="96"/>
      <c r="K108" s="96"/>
      <c r="L108" s="96"/>
    </row>
    <row r="110" spans="2:20">
      <c r="B110" t="s">
        <v>3110</v>
      </c>
      <c r="S110" s="13" t="str">
        <f>Show!$B$144&amp;"S.26.04.01.06 Table label {"&amp;COLUMN($C$1)&amp;"}"</f>
        <v>!S.26.04.01.06 Table label {3}</v>
      </c>
      <c r="T110" s="13" t="str">
        <f>Show!$B$144&amp;"S.26.04.01.06 Table value {"&amp;COLUMN($D$1)&amp;"}"</f>
        <v>!S.26.04.01.06 Table value {4}</v>
      </c>
    </row>
    <row r="111" spans="2:20">
      <c r="B111" t="s">
        <v>3111</v>
      </c>
    </row>
    <row r="112" spans="2:20">
      <c r="B112" s="40" t="s">
        <v>4622</v>
      </c>
      <c r="C112" s="53" t="s">
        <v>3113</v>
      </c>
      <c r="D112" s="51"/>
    </row>
    <row r="113" spans="2:20">
      <c r="S113" s="13" t="str">
        <f>Show!$B$144&amp;Show!$B$144&amp;"S.26.04.01.06 Table label {"&amp;COLUMN($C$1)&amp;"}"</f>
        <v>!!S.26.04.01.06 Table label {3}</v>
      </c>
      <c r="T113" s="13" t="str">
        <f>Show!$B$144&amp;Show!$B$144&amp;"S.26.04.01.06 Table value {"&amp;COLUMN($D$1)&amp;"}"</f>
        <v>!!S.26.04.01.06 Table value {4}</v>
      </c>
    </row>
    <row r="115" spans="2:20">
      <c r="D115" s="98" t="s">
        <v>2877</v>
      </c>
    </row>
    <row r="116" spans="2:20">
      <c r="D116" s="100"/>
    </row>
    <row r="117" spans="2:20">
      <c r="D117" s="55" t="s">
        <v>4643</v>
      </c>
    </row>
    <row r="118" spans="2:20">
      <c r="D118" s="45" t="s">
        <v>3513</v>
      </c>
      <c r="S118" s="13" t="str">
        <f>Show!$B$144&amp;"S.26.04.01.06 Rows {"&amp;COLUMN($C$1)&amp;"}"&amp;"@ForceFilingCode:true"</f>
        <v>!S.26.04.01.06 Rows {3}@ForceFilingCode:true</v>
      </c>
      <c r="T118" s="13" t="str">
        <f>Show!$B$144&amp;"S.26.04.01.06 Columns {"&amp;COLUMN($D$1)&amp;"}"</f>
        <v>!S.26.04.01.06 Columns {4}</v>
      </c>
    </row>
    <row r="119" spans="2:20">
      <c r="B119" s="43" t="s">
        <v>2880</v>
      </c>
      <c r="C119" s="44" t="s">
        <v>2878</v>
      </c>
      <c r="D119" s="46"/>
    </row>
    <row r="120" spans="2:20">
      <c r="B120" s="47" t="s">
        <v>4945</v>
      </c>
      <c r="C120" s="41" t="s">
        <v>3504</v>
      </c>
      <c r="D120" s="60"/>
    </row>
    <row r="121" spans="2:20">
      <c r="B121" s="47" t="s">
        <v>4946</v>
      </c>
      <c r="C121" s="41" t="s">
        <v>4947</v>
      </c>
      <c r="D121" s="60"/>
    </row>
    <row r="123" spans="2:20">
      <c r="S123" s="13" t="str">
        <f>Show!$B$144&amp;Show!$B$144&amp;"S.26.04.01.06 Rows {"&amp;COLUMN($C$1)&amp;"}"</f>
        <v>!!S.26.04.01.06 Rows {3}</v>
      </c>
      <c r="T123" s="13" t="str">
        <f>Show!$B$144&amp;Show!$B$144&amp;"S.26.04.01.06 Columns {"&amp;COLUMN($D$1)&amp;"}"</f>
        <v>!!S.26.04.01.06 Columns {4}</v>
      </c>
    </row>
    <row r="125" spans="2:20" ht="18.75">
      <c r="B125" s="97" t="s">
        <v>4948</v>
      </c>
      <c r="C125" s="96"/>
      <c r="D125" s="96"/>
      <c r="E125" s="96"/>
      <c r="F125" s="96"/>
      <c r="G125" s="96"/>
      <c r="H125" s="96"/>
      <c r="I125" s="96"/>
      <c r="J125" s="96"/>
      <c r="K125" s="96"/>
      <c r="L125" s="96"/>
    </row>
    <row r="127" spans="2:20">
      <c r="B127" t="s">
        <v>3110</v>
      </c>
      <c r="S127" s="13" t="str">
        <f>Show!$B$144&amp;"S.26.04.01.07 Table label {"&amp;COLUMN($C$1)&amp;"}"</f>
        <v>!S.26.04.01.07 Table label {3}</v>
      </c>
      <c r="T127" s="13" t="str">
        <f>Show!$B$144&amp;"S.26.04.01.07 Table value {"&amp;COLUMN($D$1)&amp;"}"</f>
        <v>!S.26.04.01.07 Table value {4}</v>
      </c>
    </row>
    <row r="128" spans="2:20">
      <c r="B128" t="s">
        <v>3111</v>
      </c>
    </row>
    <row r="129" spans="2:20">
      <c r="B129" s="40" t="s">
        <v>4622</v>
      </c>
      <c r="C129" s="53" t="s">
        <v>3113</v>
      </c>
      <c r="D129" s="51"/>
    </row>
    <row r="130" spans="2:20">
      <c r="S130" s="13" t="str">
        <f>Show!$B$144&amp;Show!$B$144&amp;"S.26.04.01.07 Table label {"&amp;COLUMN($C$1)&amp;"}"</f>
        <v>!!S.26.04.01.07 Table label {3}</v>
      </c>
      <c r="T130" s="13" t="str">
        <f>Show!$B$144&amp;Show!$B$144&amp;"S.26.04.01.07 Table value {"&amp;COLUMN($D$1)&amp;"}"</f>
        <v>!!S.26.04.01.07 Table value {4}</v>
      </c>
    </row>
    <row r="132" spans="2:20">
      <c r="D132" s="101" t="s">
        <v>2877</v>
      </c>
      <c r="E132" s="103"/>
    </row>
    <row r="133" spans="2:20">
      <c r="D133" s="104"/>
      <c r="E133" s="106"/>
    </row>
    <row r="134" spans="2:20" ht="45">
      <c r="D134" s="55" t="s">
        <v>4623</v>
      </c>
      <c r="E134" s="55" t="s">
        <v>4624</v>
      </c>
    </row>
    <row r="135" spans="2:20">
      <c r="D135" s="45" t="s">
        <v>3514</v>
      </c>
      <c r="E135" s="45" t="s">
        <v>3515</v>
      </c>
      <c r="S135" s="13" t="str">
        <f>Show!$B$144&amp;"S.26.04.01.07 Rows {"&amp;COLUMN($C$1)&amp;"}"&amp;"@ForceFilingCode:true"</f>
        <v>!S.26.04.01.07 Rows {3}@ForceFilingCode:true</v>
      </c>
      <c r="T135" s="13" t="str">
        <f>Show!$B$144&amp;"S.26.04.01.07 Columns {"&amp;COLUMN($D$1)&amp;"}"</f>
        <v>!S.26.04.01.07 Columns {4}</v>
      </c>
    </row>
    <row r="136" spans="2:20">
      <c r="B136" s="43" t="s">
        <v>2880</v>
      </c>
      <c r="C136" s="44" t="s">
        <v>2878</v>
      </c>
      <c r="D136" s="56"/>
      <c r="E136" s="57"/>
    </row>
    <row r="137" spans="2:20">
      <c r="B137" s="47" t="s">
        <v>4949</v>
      </c>
      <c r="C137" s="41" t="s">
        <v>3523</v>
      </c>
      <c r="D137" s="60"/>
      <c r="E137" s="60"/>
    </row>
    <row r="138" spans="2:20">
      <c r="B138" s="47" t="s">
        <v>4950</v>
      </c>
      <c r="C138" s="41" t="s">
        <v>3524</v>
      </c>
      <c r="D138" s="60"/>
      <c r="E138" s="60"/>
    </row>
    <row r="139" spans="2:20">
      <c r="B139" s="47" t="s">
        <v>4951</v>
      </c>
      <c r="C139" s="41" t="s">
        <v>3525</v>
      </c>
      <c r="D139" s="60"/>
      <c r="E139" s="60"/>
    </row>
    <row r="140" spans="2:20">
      <c r="B140" s="47" t="s">
        <v>4952</v>
      </c>
      <c r="C140" s="41" t="s">
        <v>4953</v>
      </c>
      <c r="D140" s="60"/>
      <c r="E140" s="60"/>
    </row>
    <row r="141" spans="2:20">
      <c r="B141" s="47" t="s">
        <v>4954</v>
      </c>
      <c r="C141" s="41" t="s">
        <v>4955</v>
      </c>
      <c r="D141" s="60"/>
      <c r="E141" s="60"/>
    </row>
    <row r="143" spans="2:20">
      <c r="S143" s="13" t="str">
        <f>Show!$B$144&amp;Show!$B$144&amp;"S.26.04.01.07 Rows {"&amp;COLUMN($C$1)&amp;"}"</f>
        <v>!!S.26.04.01.07 Rows {3}</v>
      </c>
      <c r="T143" s="13" t="str">
        <f>Show!$B$144&amp;Show!$B$144&amp;"S.26.04.01.07 Columns {"&amp;COLUMN($E$1)&amp;"}"</f>
        <v>!!S.26.04.01.07 Columns {5}</v>
      </c>
    </row>
    <row r="145" spans="2:20" ht="18.75">
      <c r="B145" s="97" t="s">
        <v>4956</v>
      </c>
      <c r="C145" s="96"/>
      <c r="D145" s="96"/>
      <c r="E145" s="96"/>
      <c r="F145" s="96"/>
      <c r="G145" s="96"/>
      <c r="H145" s="96"/>
      <c r="I145" s="96"/>
      <c r="J145" s="96"/>
      <c r="K145" s="96"/>
      <c r="L145" s="96"/>
    </row>
    <row r="147" spans="2:20">
      <c r="B147" t="s">
        <v>3110</v>
      </c>
      <c r="S147" s="13" t="str">
        <f>Show!$B$144&amp;"S.26.04.01.08 Table label {"&amp;COLUMN($C$1)&amp;"}"</f>
        <v>!S.26.04.01.08 Table label {3}</v>
      </c>
      <c r="T147" s="13" t="str">
        <f>Show!$B$144&amp;"S.26.04.01.08 Table value {"&amp;COLUMN($D$1)&amp;"}"</f>
        <v>!S.26.04.01.08 Table value {4}</v>
      </c>
    </row>
    <row r="148" spans="2:20">
      <c r="B148" t="s">
        <v>3111</v>
      </c>
    </row>
    <row r="149" spans="2:20">
      <c r="B149" s="40" t="s">
        <v>4622</v>
      </c>
      <c r="C149" s="53" t="s">
        <v>3113</v>
      </c>
      <c r="D149" s="51"/>
    </row>
    <row r="150" spans="2:20">
      <c r="S150" s="13" t="str">
        <f>Show!$B$144&amp;Show!$B$144&amp;"S.26.04.01.08 Table label {"&amp;COLUMN($C$1)&amp;"}"</f>
        <v>!!S.26.04.01.08 Table label {3}</v>
      </c>
      <c r="T150" s="13" t="str">
        <f>Show!$B$144&amp;Show!$B$144&amp;"S.26.04.01.08 Table value {"&amp;COLUMN($D$1)&amp;"}"</f>
        <v>!!S.26.04.01.08 Table value {4}</v>
      </c>
    </row>
    <row r="152" spans="2:20">
      <c r="D152" s="101" t="s">
        <v>2877</v>
      </c>
      <c r="E152" s="103"/>
    </row>
    <row r="153" spans="2:20">
      <c r="D153" s="104"/>
      <c r="E153" s="106"/>
    </row>
    <row r="154" spans="2:20" ht="45">
      <c r="D154" s="55" t="s">
        <v>4623</v>
      </c>
      <c r="E154" s="55" t="s">
        <v>4624</v>
      </c>
    </row>
    <row r="155" spans="2:20">
      <c r="D155" s="45" t="s">
        <v>3517</v>
      </c>
      <c r="E155" s="45" t="s">
        <v>3518</v>
      </c>
      <c r="S155" s="13" t="str">
        <f>Show!$B$144&amp;"S.26.04.01.08 Rows {"&amp;COLUMN($C$1)&amp;"}"&amp;"@ForceFilingCode:true"</f>
        <v>!S.26.04.01.08 Rows {3}@ForceFilingCode:true</v>
      </c>
      <c r="T155" s="13" t="str">
        <f>Show!$B$144&amp;"S.26.04.01.08 Columns {"&amp;COLUMN($D$1)&amp;"}"</f>
        <v>!S.26.04.01.08 Columns {4}</v>
      </c>
    </row>
    <row r="156" spans="2:20">
      <c r="B156" s="43" t="s">
        <v>2880</v>
      </c>
      <c r="C156" s="44" t="s">
        <v>2878</v>
      </c>
      <c r="D156" s="56"/>
      <c r="E156" s="57"/>
    </row>
    <row r="157" spans="2:20">
      <c r="B157" s="47" t="s">
        <v>4957</v>
      </c>
      <c r="C157" s="41" t="s">
        <v>3526</v>
      </c>
      <c r="D157" s="60"/>
      <c r="E157" s="60"/>
    </row>
    <row r="158" spans="2:20">
      <c r="B158" s="47" t="s">
        <v>4958</v>
      </c>
      <c r="C158" s="41" t="s">
        <v>3529</v>
      </c>
      <c r="D158" s="60"/>
      <c r="E158" s="60"/>
    </row>
    <row r="160" spans="2:20">
      <c r="S160" s="13" t="str">
        <f>Show!$B$144&amp;Show!$B$144&amp;"S.26.04.01.08 Rows {"&amp;COLUMN($C$1)&amp;"}"</f>
        <v>!!S.26.04.01.08 Rows {3}</v>
      </c>
      <c r="T160" s="13" t="str">
        <f>Show!$B$144&amp;Show!$B$144&amp;"S.26.04.01.08 Columns {"&amp;COLUMN($E$1)&amp;"}"</f>
        <v>!!S.26.04.01.08 Columns {5}</v>
      </c>
    </row>
    <row r="162" spans="2:20" ht="18.75">
      <c r="B162" s="97" t="s">
        <v>4959</v>
      </c>
      <c r="C162" s="96"/>
      <c r="D162" s="96"/>
      <c r="E162" s="96"/>
      <c r="F162" s="96"/>
      <c r="G162" s="96"/>
      <c r="H162" s="96"/>
      <c r="I162" s="96"/>
      <c r="J162" s="96"/>
      <c r="K162" s="96"/>
      <c r="L162" s="96"/>
    </row>
    <row r="164" spans="2:20">
      <c r="B164" t="s">
        <v>3110</v>
      </c>
      <c r="S164" s="13" t="str">
        <f>Show!$B$144&amp;"S.26.04.01.09 Table label {"&amp;COLUMN($C$1)&amp;"}"</f>
        <v>!S.26.04.01.09 Table label {3}</v>
      </c>
      <c r="T164" s="13" t="str">
        <f>Show!$B$144&amp;"S.26.04.01.09 Table value {"&amp;COLUMN($D$1)&amp;"}"</f>
        <v>!S.26.04.01.09 Table value {4}</v>
      </c>
    </row>
    <row r="165" spans="2:20">
      <c r="B165" t="s">
        <v>3111</v>
      </c>
    </row>
    <row r="166" spans="2:20">
      <c r="B166" s="40" t="s">
        <v>4622</v>
      </c>
      <c r="C166" s="53" t="s">
        <v>3113</v>
      </c>
      <c r="D166" s="51"/>
    </row>
    <row r="167" spans="2:20">
      <c r="S167" s="13" t="str">
        <f>Show!$B$144&amp;Show!$B$144&amp;"S.26.04.01.09 Table label {"&amp;COLUMN($C$1)&amp;"}"</f>
        <v>!!S.26.04.01.09 Table label {3}</v>
      </c>
      <c r="T167" s="13" t="str">
        <f>Show!$B$144&amp;Show!$B$144&amp;"S.26.04.01.09 Table value {"&amp;COLUMN($D$1)&amp;"}"</f>
        <v>!!S.26.04.01.09 Table value {4}</v>
      </c>
    </row>
    <row r="169" spans="2:20">
      <c r="D169" s="98" t="s">
        <v>2877</v>
      </c>
    </row>
    <row r="170" spans="2:20">
      <c r="D170" s="100"/>
    </row>
    <row r="171" spans="2:20">
      <c r="D171" s="55" t="s">
        <v>2574</v>
      </c>
    </row>
    <row r="172" spans="2:20">
      <c r="D172" s="45" t="s">
        <v>2879</v>
      </c>
      <c r="S172" s="13" t="str">
        <f>Show!$B$144&amp;"S.26.04.01.09 Rows {"&amp;COLUMN($C$1)&amp;"}"&amp;"@ForceFilingCode:true"</f>
        <v>!S.26.04.01.09 Rows {3}@ForceFilingCode:true</v>
      </c>
      <c r="T172" s="13" t="str">
        <f>Show!$B$144&amp;"S.26.04.01.09 Columns {"&amp;COLUMN($D$1)&amp;"}"</f>
        <v>!S.26.04.01.09 Columns {4}</v>
      </c>
    </row>
    <row r="173" spans="2:20">
      <c r="B173" s="43" t="s">
        <v>2880</v>
      </c>
      <c r="C173" s="44" t="s">
        <v>2878</v>
      </c>
      <c r="D173" s="46"/>
    </row>
    <row r="174" spans="2:20">
      <c r="B174" s="47" t="s">
        <v>4960</v>
      </c>
      <c r="C174" s="41" t="s">
        <v>2883</v>
      </c>
      <c r="D174" s="51"/>
    </row>
    <row r="175" spans="2:20">
      <c r="B175" s="47" t="s">
        <v>4961</v>
      </c>
      <c r="C175" s="41" t="s">
        <v>2885</v>
      </c>
      <c r="D175" s="51"/>
    </row>
    <row r="176" spans="2:20">
      <c r="B176" s="47" t="s">
        <v>4962</v>
      </c>
      <c r="C176" s="41" t="s">
        <v>2887</v>
      </c>
      <c r="D176" s="51"/>
    </row>
    <row r="177" spans="2:20">
      <c r="B177" s="47" t="s">
        <v>4963</v>
      </c>
      <c r="C177" s="41" t="s">
        <v>2889</v>
      </c>
      <c r="D177" s="51"/>
    </row>
    <row r="178" spans="2:20">
      <c r="B178" s="47" t="s">
        <v>4964</v>
      </c>
      <c r="C178" s="41" t="s">
        <v>3078</v>
      </c>
      <c r="D178" s="51"/>
    </row>
    <row r="179" spans="2:20">
      <c r="B179" s="47" t="s">
        <v>4965</v>
      </c>
      <c r="C179" s="41" t="s">
        <v>4966</v>
      </c>
      <c r="D179" s="51"/>
    </row>
    <row r="180" spans="2:20">
      <c r="B180" s="47" t="s">
        <v>4967</v>
      </c>
      <c r="C180" s="41" t="s">
        <v>2891</v>
      </c>
      <c r="D180" s="51"/>
    </row>
    <row r="182" spans="2:20">
      <c r="S182" s="13" t="str">
        <f>Show!$B$144&amp;Show!$B$144&amp;"S.26.04.01.09 Rows {"&amp;COLUMN($C$1)&amp;"}"</f>
        <v>!!S.26.04.01.09 Rows {3}</v>
      </c>
      <c r="T182" s="13" t="str">
        <f>Show!$B$144&amp;Show!$B$144&amp;"S.26.04.01.09 Columns {"&amp;COLUMN($D$1)&amp;"}"</f>
        <v>!!S.26.04.01.09 Columns {4}</v>
      </c>
    </row>
  </sheetData>
  <sheetProtection sheet="1" objects="1" scenarios="1"/>
  <mergeCells count="32">
    <mergeCell ref="D98:H99"/>
    <mergeCell ref="B145:L145"/>
    <mergeCell ref="D152:E153"/>
    <mergeCell ref="B162:L162"/>
    <mergeCell ref="D169:D170"/>
    <mergeCell ref="D100:E100"/>
    <mergeCell ref="F100:H100"/>
    <mergeCell ref="B108:L108"/>
    <mergeCell ref="D115:D116"/>
    <mergeCell ref="B125:L125"/>
    <mergeCell ref="D132:E133"/>
    <mergeCell ref="J15:J16"/>
    <mergeCell ref="B37:L37"/>
    <mergeCell ref="D44:D45"/>
    <mergeCell ref="B53:L53"/>
    <mergeCell ref="B91:L91"/>
    <mergeCell ref="D62:F62"/>
    <mergeCell ref="H62:K62"/>
    <mergeCell ref="B75:L75"/>
    <mergeCell ref="D82:D83"/>
    <mergeCell ref="D60:K61"/>
    <mergeCell ref="D15:D16"/>
    <mergeCell ref="E15:E16"/>
    <mergeCell ref="F15:F16"/>
    <mergeCell ref="G15:G16"/>
    <mergeCell ref="H15:H16"/>
    <mergeCell ref="I15:I16"/>
    <mergeCell ref="B2:O2"/>
    <mergeCell ref="B5:L5"/>
    <mergeCell ref="D12:J13"/>
    <mergeCell ref="D14:E14"/>
    <mergeCell ref="F14:J14"/>
  </mergeCells>
  <dataValidations count="4">
    <dataValidation type="list" errorStyle="warning" allowBlank="1" showInputMessage="1" showErrorMessage="1" sqref="D9 D41 D57 D79 D95 D112 D129 D149 D166" xr:uid="{4DE575A6-1842-4334-8A01-796AFE8DB2DA}">
      <formula1>hier_AO_1</formula1>
    </dataValidation>
    <dataValidation type="list" errorStyle="warning" allowBlank="1" showInputMessage="1" showErrorMessage="1" sqref="E66 E67 E68 E69" xr:uid="{E34331C3-8242-41FD-ABB8-9CFFEB482452}">
      <formula1>hier_AP_12</formula1>
    </dataValidation>
    <dataValidation type="list" errorStyle="warning" allowBlank="1" showInputMessage="1" showErrorMessage="1" sqref="D174 D175 D176 D177 D180" xr:uid="{DA4328A9-9C4D-437C-9D71-09DD1E81A138}">
      <formula1>hier_AP_17</formula1>
    </dataValidation>
    <dataValidation type="list" errorStyle="warning" allowBlank="1" showInputMessage="1" showErrorMessage="1" sqref="D179" xr:uid="{91CACEB0-2369-4E5F-AEC0-D1061D002351}">
      <formula1>hier_AP_26</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EBA4-B2A6-4036-8161-6B002F22B8B2}">
  <sheetPr codeName="Blad15"/>
  <dimension ref="B2:O24"/>
  <sheetViews>
    <sheetView showGridLines="0" workbookViewId="0"/>
  </sheetViews>
  <sheetFormatPr defaultRowHeight="15"/>
  <cols>
    <col min="2" max="2" width="61.8554687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3102</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IF(COUNTIF(D:D,"Reported")&gt;0,Show!$B$11,"!")&amp;"S.01.01.13.01 Rows {"&amp;COLUMN($C$1)&amp;"}"&amp;"@ForceFilingCode:true"</f>
        <v>!S.01.01.13.01 Rows {3}@ForceFilingCode:true</v>
      </c>
      <c r="J13" s="13" t="str">
        <f>IF(COUNTIF(D:D,"Reported")&gt;0,Show!$B$11,"!")&amp;"S.01.01.13.01 Columns {"&amp;COLUMN($D$1)&amp;"}"</f>
        <v>!S.01.01.13.01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3103</v>
      </c>
      <c r="C17" s="41" t="s">
        <v>2887</v>
      </c>
      <c r="D17" s="51"/>
    </row>
    <row r="18" spans="2:10">
      <c r="B18" s="52" t="s">
        <v>3104</v>
      </c>
      <c r="C18" s="41" t="s">
        <v>2901</v>
      </c>
      <c r="D18" s="51"/>
    </row>
    <row r="19" spans="2:10">
      <c r="B19" s="52" t="s">
        <v>3035</v>
      </c>
      <c r="C19" s="41" t="s">
        <v>2907</v>
      </c>
      <c r="D19" s="51"/>
    </row>
    <row r="20" spans="2:10">
      <c r="B20" s="52" t="s">
        <v>3105</v>
      </c>
      <c r="C20" s="41" t="s">
        <v>2961</v>
      </c>
      <c r="D20" s="51"/>
    </row>
    <row r="21" spans="2:10">
      <c r="B21" s="52" t="s">
        <v>3106</v>
      </c>
      <c r="C21" s="41" t="s">
        <v>3096</v>
      </c>
      <c r="D21" s="51"/>
    </row>
    <row r="22" spans="2:10">
      <c r="B22" s="52" t="s">
        <v>3097</v>
      </c>
      <c r="C22" s="41" t="s">
        <v>3098</v>
      </c>
      <c r="D22" s="51"/>
    </row>
    <row r="23" spans="2:10">
      <c r="B23" s="52" t="s">
        <v>3099</v>
      </c>
      <c r="C23" s="41" t="s">
        <v>3100</v>
      </c>
      <c r="D23" s="51"/>
    </row>
    <row r="24" spans="2:10">
      <c r="I24" s="13" t="str">
        <f>IF(COUNTIF(D:D,"Reported")&gt;0,Show!$B$11&amp;Show!$B$11,"!!")&amp;"S.01.01.13.01 Rows {"&amp;COLUMN($C$1)&amp;"}"</f>
        <v>!!S.01.01.13.01 Rows {3}</v>
      </c>
      <c r="J24" s="13" t="str">
        <f>IF(COUNTIF(D:D,"Reported")&gt;0,Show!$B$11&amp;Show!$B$11,"!!")&amp;"S.01.01.13.01 Columns {"&amp;COLUMN($D$1)&amp;"}"</f>
        <v>!!S.01.01.13.01 Columns {4}</v>
      </c>
    </row>
  </sheetData>
  <sheetProtection sheet="1" objects="1" scenarios="1"/>
  <mergeCells count="3">
    <mergeCell ref="B2:O2"/>
    <mergeCell ref="B5:L5"/>
    <mergeCell ref="D9:D12"/>
  </mergeCells>
  <dataValidations count="6">
    <dataValidation type="list" errorStyle="warning" allowBlank="1" showInputMessage="1" showErrorMessage="1" sqref="D16" xr:uid="{8A5193E3-5D63-423E-8FB2-EAD70F20F314}">
      <formula1>hier_CN_2</formula1>
    </dataValidation>
    <dataValidation type="list" errorStyle="warning" allowBlank="1" showInputMessage="1" showErrorMessage="1" sqref="D17" xr:uid="{55AA1D16-44B0-42EE-9D6E-1A8727780F7F}">
      <formula1>hier_CN_16</formula1>
    </dataValidation>
    <dataValidation type="list" errorStyle="warning" allowBlank="1" showInputMessage="1" showErrorMessage="1" sqref="D18 D20" xr:uid="{DB2B49F8-7DA8-4641-AE78-C8C0EC385971}">
      <formula1>hier_CN_114</formula1>
    </dataValidation>
    <dataValidation type="list" errorStyle="warning" allowBlank="1" showInputMessage="1" showErrorMessage="1" sqref="D19 D21" xr:uid="{4BADCF7D-6D8E-4CD6-941C-8336EDCB3E97}">
      <formula1>hier_CN_15</formula1>
    </dataValidation>
    <dataValidation type="list" errorStyle="warning" allowBlank="1" showInputMessage="1" showErrorMessage="1" sqref="D22" xr:uid="{64D53AB7-04E6-4511-85D2-E4E7966EF5D0}">
      <formula1>hier_CN_75</formula1>
    </dataValidation>
    <dataValidation type="list" errorStyle="warning" allowBlank="1" showInputMessage="1" showErrorMessage="1" sqref="D23" xr:uid="{02A0E5F1-BB01-4B9E-9725-1AD195E3DC4E}">
      <formula1>hier_CN_96</formula1>
    </dataValidation>
  </dataValidations>
  <hyperlinks>
    <hyperlink ref="B16" location="'S.01.02.04'!A1" display="S.01.02.04 - Basic Information - General" xr:uid="{B0C80AA4-5D31-4777-BBEA-10F94815F8E6}"/>
    <hyperlink ref="B17" location="'S.02.01.02'!A1" display="S.02.01.02 - Balance Sheet" xr:uid="{1CF23977-41BA-49E6-B97A-B1AF5BC6C110}"/>
    <hyperlink ref="B18" location="'S.05.01.13'!A1" display="S.05.01.13 - Premiums, claims and expenses by line of business" xr:uid="{A8CFB712-8ED5-475A-BC79-A5EBCC139E22}"/>
    <hyperlink ref="B19" location="'S.06.02.04'!A1" display="S.06.02.04 - List of assets" xr:uid="{8FD2B20C-3DB3-4B66-8DBB-564C81439B10}"/>
    <hyperlink ref="B20" location="'S.23.01.13'!A1" display="S.23.01.13 - Own funds" xr:uid="{64EB7B52-A13F-4E57-85D1-7EF0147B262E}"/>
    <hyperlink ref="B21" location="'S.25.04.13'!A1" display="S.25.04.13 - Solvency Capital Requirement" xr:uid="{76EF733B-899D-4981-B4CB-8C17168B7D36}"/>
    <hyperlink ref="B22" location="'S.39.01.11'!A1" display="S.39.01.11 - Profit and Loss" xr:uid="{B1441C13-7E15-48F7-88DC-6C1251C21219}"/>
    <hyperlink ref="B23" location="'S.41.01.11'!A1" display="S.41.01.11 - Lapses" xr:uid="{2EED2F41-EB21-4B28-81F0-4503B634375B}"/>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8D01-3A32-4E00-90AF-8A149DE0D4CD}">
  <sheetPr codeName="Blad149"/>
  <dimension ref="B2:T182"/>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95" t="s">
        <v>726</v>
      </c>
      <c r="C2" s="96"/>
      <c r="D2" s="96"/>
      <c r="E2" s="96"/>
      <c r="F2" s="96"/>
      <c r="G2" s="96"/>
      <c r="H2" s="96"/>
      <c r="I2" s="96"/>
      <c r="J2" s="96"/>
      <c r="K2" s="96"/>
      <c r="L2" s="96"/>
      <c r="M2" s="96"/>
      <c r="N2" s="96"/>
      <c r="O2" s="96"/>
    </row>
    <row r="5" spans="2:20" ht="18.75">
      <c r="B5" s="97" t="s">
        <v>4968</v>
      </c>
      <c r="C5" s="96"/>
      <c r="D5" s="96"/>
      <c r="E5" s="96"/>
      <c r="F5" s="96"/>
      <c r="G5" s="96"/>
      <c r="H5" s="96"/>
      <c r="I5" s="96"/>
      <c r="J5" s="96"/>
      <c r="K5" s="96"/>
      <c r="L5" s="96"/>
    </row>
    <row r="7" spans="2:20">
      <c r="B7" t="s">
        <v>3110</v>
      </c>
      <c r="S7" s="13" t="str">
        <f>Show!$B$145&amp;"S.26.04.04.01 Table label {"&amp;COLUMN($C$1)&amp;"}"</f>
        <v>!S.26.04.04.01 Table label {3}</v>
      </c>
      <c r="T7" s="13" t="str">
        <f>Show!$B$145&amp;"S.26.04.04.01 Table value {"&amp;COLUMN($D$1)&amp;"}"</f>
        <v>!S.26.04.04.01 Table value {4}</v>
      </c>
    </row>
    <row r="8" spans="2:20">
      <c r="B8" t="s">
        <v>3111</v>
      </c>
    </row>
    <row r="9" spans="2:20">
      <c r="B9" s="40" t="s">
        <v>4622</v>
      </c>
      <c r="C9" s="53" t="s">
        <v>3113</v>
      </c>
      <c r="D9" s="51"/>
    </row>
    <row r="10" spans="2:20">
      <c r="S10" s="13" t="str">
        <f>Show!$B$145&amp;Show!$B$145&amp;"S.26.04.04.01 Table label {"&amp;COLUMN($C$1)&amp;"}"</f>
        <v>!!S.26.04.04.01 Table label {3}</v>
      </c>
      <c r="T10" s="13" t="str">
        <f>Show!$B$145&amp;Show!$B$145&amp;"S.26.04.04.01 Table value {"&amp;COLUMN($D$1)&amp;"}"</f>
        <v>!!S.26.04.04.01 Table value {4}</v>
      </c>
    </row>
    <row r="12" spans="2:20">
      <c r="D12" s="101" t="s">
        <v>2877</v>
      </c>
      <c r="E12" s="102"/>
      <c r="F12" s="102"/>
      <c r="G12" s="102"/>
      <c r="H12" s="102"/>
      <c r="I12" s="102"/>
      <c r="J12" s="103"/>
    </row>
    <row r="13" spans="2:20">
      <c r="D13" s="104"/>
      <c r="E13" s="105"/>
      <c r="F13" s="105"/>
      <c r="G13" s="105"/>
      <c r="H13" s="105"/>
      <c r="I13" s="105"/>
      <c r="J13" s="106"/>
    </row>
    <row r="14" spans="2:20">
      <c r="D14" s="107" t="s">
        <v>4763</v>
      </c>
      <c r="E14" s="109"/>
      <c r="F14" s="107" t="s">
        <v>4764</v>
      </c>
      <c r="G14" s="108"/>
      <c r="H14" s="108"/>
      <c r="I14" s="108"/>
      <c r="J14" s="109"/>
    </row>
    <row r="15" spans="2:20">
      <c r="D15" s="98" t="s">
        <v>3252</v>
      </c>
      <c r="E15" s="98" t="s">
        <v>2389</v>
      </c>
      <c r="F15" s="98" t="s">
        <v>3252</v>
      </c>
      <c r="G15" s="98" t="s">
        <v>4765</v>
      </c>
      <c r="H15" s="98" t="s">
        <v>4623</v>
      </c>
      <c r="I15" s="98" t="s">
        <v>4766</v>
      </c>
      <c r="J15" s="98" t="s">
        <v>4624</v>
      </c>
    </row>
    <row r="16" spans="2:20">
      <c r="D16" s="100"/>
      <c r="E16" s="100"/>
      <c r="F16" s="100"/>
      <c r="G16" s="100"/>
      <c r="H16" s="100"/>
      <c r="I16" s="100"/>
      <c r="J16" s="100"/>
    </row>
    <row r="17" spans="2:20">
      <c r="D17" s="45" t="s">
        <v>3219</v>
      </c>
      <c r="E17" s="45" t="s">
        <v>3225</v>
      </c>
      <c r="F17" s="45" t="s">
        <v>3223</v>
      </c>
      <c r="G17" s="45" t="s">
        <v>3229</v>
      </c>
      <c r="H17" s="45" t="s">
        <v>3231</v>
      </c>
      <c r="I17" s="45" t="s">
        <v>3233</v>
      </c>
      <c r="J17" s="45" t="s">
        <v>3234</v>
      </c>
      <c r="S17" s="13" t="str">
        <f>Show!$B$145&amp;"S.26.04.04.01 Rows {"&amp;COLUMN($C$1)&amp;"}"&amp;"@ForceFilingCode:true"</f>
        <v>!S.26.04.04.01 Rows {3}@ForceFilingCode:true</v>
      </c>
      <c r="T17" s="13" t="str">
        <f>Show!$B$145&amp;"S.26.04.04.01 Columns {"&amp;COLUMN($D$1)&amp;"}"</f>
        <v>!S.26.04.04.01 Columns {4}</v>
      </c>
    </row>
    <row r="18" spans="2:20">
      <c r="B18" s="43" t="s">
        <v>2880</v>
      </c>
      <c r="C18" s="44" t="s">
        <v>2878</v>
      </c>
      <c r="D18" s="56"/>
      <c r="E18" s="66"/>
      <c r="F18" s="66"/>
      <c r="G18" s="66"/>
      <c r="H18" s="66"/>
      <c r="I18" s="66"/>
      <c r="J18" s="57"/>
    </row>
    <row r="19" spans="2:20">
      <c r="B19" s="47" t="s">
        <v>4910</v>
      </c>
      <c r="C19" s="41" t="s">
        <v>2899</v>
      </c>
      <c r="D19" s="60"/>
      <c r="E19" s="60"/>
      <c r="F19" s="60"/>
      <c r="G19" s="60"/>
      <c r="H19" s="60"/>
      <c r="I19" s="60"/>
      <c r="J19" s="60"/>
    </row>
    <row r="20" spans="2:20">
      <c r="B20" s="47" t="s">
        <v>4911</v>
      </c>
      <c r="C20" s="41" t="s">
        <v>2919</v>
      </c>
      <c r="D20" s="63"/>
      <c r="E20" s="63"/>
      <c r="F20" s="63"/>
      <c r="G20" s="63"/>
      <c r="H20" s="60"/>
      <c r="I20" s="63"/>
      <c r="J20" s="60"/>
    </row>
    <row r="21" spans="2:20">
      <c r="B21" s="47" t="s">
        <v>4912</v>
      </c>
      <c r="C21" s="44" t="s">
        <v>2939</v>
      </c>
      <c r="D21" s="58"/>
      <c r="E21" s="58"/>
      <c r="F21" s="58"/>
      <c r="G21" s="48"/>
      <c r="H21" s="64"/>
      <c r="I21" s="48"/>
      <c r="J21" s="60"/>
    </row>
    <row r="22" spans="2:20">
      <c r="B22" s="49" t="s">
        <v>4913</v>
      </c>
      <c r="C22" s="44" t="s">
        <v>2941</v>
      </c>
      <c r="D22" s="56"/>
      <c r="E22" s="56"/>
      <c r="F22" s="56"/>
      <c r="G22" s="46"/>
      <c r="H22" s="64"/>
      <c r="I22" s="46"/>
      <c r="J22" s="60"/>
    </row>
    <row r="23" spans="2:20">
      <c r="B23" s="61" t="s">
        <v>4914</v>
      </c>
      <c r="C23" s="41" t="s">
        <v>2943</v>
      </c>
      <c r="D23" s="60"/>
      <c r="E23" s="60"/>
      <c r="F23" s="60"/>
      <c r="G23" s="60"/>
      <c r="H23" s="60"/>
      <c r="I23" s="60"/>
      <c r="J23" s="60"/>
    </row>
    <row r="24" spans="2:20">
      <c r="B24" s="61" t="s">
        <v>4915</v>
      </c>
      <c r="C24" s="41" t="s">
        <v>2945</v>
      </c>
      <c r="D24" s="60"/>
      <c r="E24" s="60"/>
      <c r="F24" s="60"/>
      <c r="G24" s="60"/>
      <c r="H24" s="60"/>
      <c r="I24" s="60"/>
      <c r="J24" s="60"/>
    </row>
    <row r="25" spans="2:20">
      <c r="B25" s="49" t="s">
        <v>4916</v>
      </c>
      <c r="C25" s="41" t="s">
        <v>2947</v>
      </c>
      <c r="D25" s="63"/>
      <c r="E25" s="63"/>
      <c r="F25" s="63"/>
      <c r="G25" s="63"/>
      <c r="H25" s="60"/>
      <c r="I25" s="63"/>
      <c r="J25" s="60"/>
    </row>
    <row r="26" spans="2:20">
      <c r="B26" s="47" t="s">
        <v>4917</v>
      </c>
      <c r="C26" s="44" t="s">
        <v>2959</v>
      </c>
      <c r="D26" s="56"/>
      <c r="E26" s="56"/>
      <c r="F26" s="56"/>
      <c r="G26" s="46"/>
      <c r="H26" s="64"/>
      <c r="I26" s="46"/>
      <c r="J26" s="60"/>
    </row>
    <row r="27" spans="2:20">
      <c r="B27" s="49" t="s">
        <v>4883</v>
      </c>
      <c r="C27" s="41" t="s">
        <v>2961</v>
      </c>
      <c r="D27" s="60"/>
      <c r="E27" s="60"/>
      <c r="F27" s="60"/>
      <c r="G27" s="60"/>
      <c r="H27" s="60"/>
      <c r="I27" s="60"/>
      <c r="J27" s="60"/>
    </row>
    <row r="28" spans="2:20">
      <c r="B28" s="49" t="s">
        <v>4884</v>
      </c>
      <c r="C28" s="41" t="s">
        <v>2963</v>
      </c>
      <c r="D28" s="60"/>
      <c r="E28" s="60"/>
      <c r="F28" s="60"/>
      <c r="G28" s="60"/>
      <c r="H28" s="60"/>
      <c r="I28" s="60"/>
      <c r="J28" s="60"/>
    </row>
    <row r="29" spans="2:20">
      <c r="B29" s="49" t="s">
        <v>4885</v>
      </c>
      <c r="C29" s="41" t="s">
        <v>2965</v>
      </c>
      <c r="D29" s="60"/>
      <c r="E29" s="60"/>
      <c r="F29" s="60"/>
      <c r="G29" s="60"/>
      <c r="H29" s="60"/>
      <c r="I29" s="60"/>
      <c r="J29" s="60"/>
    </row>
    <row r="30" spans="2:20">
      <c r="B30" s="47" t="s">
        <v>4918</v>
      </c>
      <c r="C30" s="41" t="s">
        <v>2977</v>
      </c>
      <c r="D30" s="60"/>
      <c r="E30" s="60"/>
      <c r="F30" s="60"/>
      <c r="G30" s="60"/>
      <c r="H30" s="60"/>
      <c r="I30" s="60"/>
      <c r="J30" s="60"/>
    </row>
    <row r="31" spans="2:20">
      <c r="B31" s="47" t="s">
        <v>4919</v>
      </c>
      <c r="C31" s="41" t="s">
        <v>2997</v>
      </c>
      <c r="D31" s="63"/>
      <c r="E31" s="63"/>
      <c r="F31" s="63"/>
      <c r="G31" s="63"/>
      <c r="H31" s="60"/>
      <c r="I31" s="63"/>
      <c r="J31" s="60"/>
    </row>
    <row r="32" spans="2:20">
      <c r="B32" s="47" t="s">
        <v>4920</v>
      </c>
      <c r="C32" s="44" t="s">
        <v>3064</v>
      </c>
      <c r="D32" s="58"/>
      <c r="E32" s="58"/>
      <c r="F32" s="58"/>
      <c r="G32" s="48"/>
      <c r="H32" s="64"/>
      <c r="I32" s="48"/>
      <c r="J32" s="60"/>
    </row>
    <row r="33" spans="2:20">
      <c r="B33" s="47" t="s">
        <v>4921</v>
      </c>
      <c r="C33" s="44" t="s">
        <v>3120</v>
      </c>
      <c r="D33" s="56"/>
      <c r="E33" s="56"/>
      <c r="F33" s="56"/>
      <c r="G33" s="46"/>
      <c r="H33" s="64"/>
      <c r="I33" s="46"/>
      <c r="J33" s="60"/>
    </row>
    <row r="35" spans="2:20">
      <c r="S35" s="13" t="str">
        <f>Show!$B$145&amp;Show!$B$145&amp;"S.26.04.04.01 Rows {"&amp;COLUMN($C$1)&amp;"}"</f>
        <v>!!S.26.04.04.01 Rows {3}</v>
      </c>
      <c r="T35" s="13" t="str">
        <f>Show!$B$145&amp;Show!$B$145&amp;"S.26.04.04.01 Columns {"&amp;COLUMN($J$1)&amp;"}"</f>
        <v>!!S.26.04.04.01 Columns {10}</v>
      </c>
    </row>
    <row r="37" spans="2:20" ht="18.75">
      <c r="B37" s="97" t="s">
        <v>4969</v>
      </c>
      <c r="C37" s="96"/>
      <c r="D37" s="96"/>
      <c r="E37" s="96"/>
      <c r="F37" s="96"/>
      <c r="G37" s="96"/>
      <c r="H37" s="96"/>
      <c r="I37" s="96"/>
      <c r="J37" s="96"/>
      <c r="K37" s="96"/>
      <c r="L37" s="96"/>
    </row>
    <row r="39" spans="2:20">
      <c r="B39" t="s">
        <v>3110</v>
      </c>
      <c r="S39" s="13" t="str">
        <f>Show!$B$145&amp;"S.26.04.04.02 Table label {"&amp;COLUMN($C$1)&amp;"}"</f>
        <v>!S.26.04.04.02 Table label {3}</v>
      </c>
      <c r="T39" s="13" t="str">
        <f>Show!$B$145&amp;"S.26.04.04.02 Table value {"&amp;COLUMN($D$1)&amp;"}"</f>
        <v>!S.26.04.04.02 Table value {4}</v>
      </c>
    </row>
    <row r="40" spans="2:20">
      <c r="B40" t="s">
        <v>3111</v>
      </c>
    </row>
    <row r="41" spans="2:20">
      <c r="B41" s="40" t="s">
        <v>4622</v>
      </c>
      <c r="C41" s="53" t="s">
        <v>3113</v>
      </c>
      <c r="D41" s="51"/>
    </row>
    <row r="42" spans="2:20">
      <c r="S42" s="13" t="str">
        <f>Show!$B$145&amp;Show!$B$145&amp;"S.26.04.04.02 Table label {"&amp;COLUMN($C$1)&amp;"}"</f>
        <v>!!S.26.04.04.02 Table label {3}</v>
      </c>
      <c r="T42" s="13" t="str">
        <f>Show!$B$145&amp;Show!$B$145&amp;"S.26.04.04.02 Table value {"&amp;COLUMN($D$1)&amp;"}"</f>
        <v>!!S.26.04.04.02 Table value {4}</v>
      </c>
    </row>
    <row r="44" spans="2:20">
      <c r="D44" s="98" t="s">
        <v>2877</v>
      </c>
    </row>
    <row r="45" spans="2:20">
      <c r="D45" s="100"/>
    </row>
    <row r="46" spans="2:20">
      <c r="D46" s="55" t="s">
        <v>4687</v>
      </c>
    </row>
    <row r="47" spans="2:20">
      <c r="D47" s="45" t="s">
        <v>3236</v>
      </c>
      <c r="S47" s="13" t="str">
        <f>Show!$B$145&amp;"S.26.04.04.02 Rows {"&amp;COLUMN($C$1)&amp;"}"&amp;"@ForceFilingCode:true"</f>
        <v>!S.26.04.04.02 Rows {3}@ForceFilingCode:true</v>
      </c>
      <c r="T47" s="13" t="str">
        <f>Show!$B$145&amp;"S.26.04.04.02 Columns {"&amp;COLUMN($D$1)&amp;"}"</f>
        <v>!S.26.04.04.02 Columns {4}</v>
      </c>
    </row>
    <row r="48" spans="2:20">
      <c r="B48" s="43" t="s">
        <v>2880</v>
      </c>
      <c r="C48" s="44" t="s">
        <v>2878</v>
      </c>
      <c r="D48" s="46"/>
    </row>
    <row r="49" spans="2:20">
      <c r="B49" s="47" t="s">
        <v>4892</v>
      </c>
      <c r="C49" s="41" t="s">
        <v>3140</v>
      </c>
      <c r="D49" s="70"/>
    </row>
    <row r="51" spans="2:20">
      <c r="S51" s="13" t="str">
        <f>Show!$B$145&amp;Show!$B$145&amp;"S.26.04.04.02 Rows {"&amp;COLUMN($C$1)&amp;"}"</f>
        <v>!!S.26.04.04.02 Rows {3}</v>
      </c>
      <c r="T51" s="13" t="str">
        <f>Show!$B$145&amp;Show!$B$145&amp;"S.26.04.04.02 Columns {"&amp;COLUMN($D$1)&amp;"}"</f>
        <v>!!S.26.04.04.02 Columns {4}</v>
      </c>
    </row>
    <row r="53" spans="2:20" ht="18.75">
      <c r="B53" s="97" t="s">
        <v>4970</v>
      </c>
      <c r="C53" s="96"/>
      <c r="D53" s="96"/>
      <c r="E53" s="96"/>
      <c r="F53" s="96"/>
      <c r="G53" s="96"/>
      <c r="H53" s="96"/>
      <c r="I53" s="96"/>
      <c r="J53" s="96"/>
      <c r="K53" s="96"/>
      <c r="L53" s="96"/>
    </row>
    <row r="55" spans="2:20">
      <c r="B55" t="s">
        <v>3110</v>
      </c>
      <c r="S55" s="13" t="str">
        <f>Show!$B$145&amp;"S.26.04.04.03 Table label {"&amp;COLUMN($C$1)&amp;"}"</f>
        <v>!S.26.04.04.03 Table label {3}</v>
      </c>
      <c r="T55" s="13" t="str">
        <f>Show!$B$145&amp;"S.26.04.04.03 Table value {"&amp;COLUMN($D$1)&amp;"}"</f>
        <v>!S.26.04.04.03 Table value {4}</v>
      </c>
    </row>
    <row r="56" spans="2:20">
      <c r="B56" t="s">
        <v>3111</v>
      </c>
    </row>
    <row r="57" spans="2:20">
      <c r="B57" s="40" t="s">
        <v>4622</v>
      </c>
      <c r="C57" s="53" t="s">
        <v>3113</v>
      </c>
      <c r="D57" s="51"/>
    </row>
    <row r="58" spans="2:20">
      <c r="S58" s="13" t="str">
        <f>Show!$B$145&amp;Show!$B$145&amp;"S.26.04.04.03 Table label {"&amp;COLUMN($C$1)&amp;"}"</f>
        <v>!!S.26.04.04.03 Table label {3}</v>
      </c>
      <c r="T58" s="13" t="str">
        <f>Show!$B$145&amp;Show!$B$145&amp;"S.26.04.04.03 Table value {"&amp;COLUMN($D$1)&amp;"}"</f>
        <v>!!S.26.04.04.03 Table value {4}</v>
      </c>
    </row>
    <row r="60" spans="2:20">
      <c r="D60" s="101" t="s">
        <v>2877</v>
      </c>
      <c r="E60" s="102"/>
      <c r="F60" s="102"/>
      <c r="G60" s="102"/>
      <c r="H60" s="102"/>
      <c r="I60" s="102"/>
      <c r="J60" s="102"/>
      <c r="K60" s="103"/>
    </row>
    <row r="61" spans="2:20">
      <c r="D61" s="104"/>
      <c r="E61" s="105"/>
      <c r="F61" s="105"/>
      <c r="G61" s="105"/>
      <c r="H61" s="105"/>
      <c r="I61" s="105"/>
      <c r="J61" s="105"/>
      <c r="K61" s="106"/>
    </row>
    <row r="62" spans="2:20" ht="45">
      <c r="D62" s="107" t="s">
        <v>4924</v>
      </c>
      <c r="E62" s="108"/>
      <c r="F62" s="109"/>
      <c r="G62" s="55" t="s">
        <v>4928</v>
      </c>
      <c r="H62" s="107" t="s">
        <v>4929</v>
      </c>
      <c r="I62" s="108"/>
      <c r="J62" s="108"/>
      <c r="K62" s="109"/>
    </row>
    <row r="63" spans="2:20" ht="60">
      <c r="D63" s="55" t="s">
        <v>4925</v>
      </c>
      <c r="E63" s="55" t="s">
        <v>4926</v>
      </c>
      <c r="F63" s="55" t="s">
        <v>4927</v>
      </c>
      <c r="G63" s="55" t="s">
        <v>4687</v>
      </c>
      <c r="H63" s="55" t="s">
        <v>4930</v>
      </c>
      <c r="I63" s="55" t="s">
        <v>4931</v>
      </c>
      <c r="J63" s="55" t="s">
        <v>4932</v>
      </c>
      <c r="K63" s="55" t="s">
        <v>4933</v>
      </c>
    </row>
    <row r="64" spans="2:20">
      <c r="D64" s="45" t="s">
        <v>3239</v>
      </c>
      <c r="E64" s="45" t="s">
        <v>3241</v>
      </c>
      <c r="F64" s="45" t="s">
        <v>3243</v>
      </c>
      <c r="G64" s="45" t="s">
        <v>3375</v>
      </c>
      <c r="H64" s="45" t="s">
        <v>3475</v>
      </c>
      <c r="I64" s="45" t="s">
        <v>3477</v>
      </c>
      <c r="J64" s="45" t="s">
        <v>3479</v>
      </c>
      <c r="K64" s="45" t="s">
        <v>3594</v>
      </c>
      <c r="S64" s="13" t="str">
        <f>Show!$B$145&amp;"S.26.04.04.03 Rows {"&amp;COLUMN($C$1)&amp;"}"&amp;"@ForceFilingCode:true"</f>
        <v>!S.26.04.04.03 Rows {3}@ForceFilingCode:true</v>
      </c>
      <c r="T64" s="13" t="str">
        <f>Show!$B$145&amp;"S.26.04.04.03 Columns {"&amp;COLUMN($D$1)&amp;"}"</f>
        <v>!S.26.04.04.03 Columns {4}</v>
      </c>
    </row>
    <row r="65" spans="2:20">
      <c r="B65" s="43" t="s">
        <v>2880</v>
      </c>
      <c r="C65" s="44" t="s">
        <v>2878</v>
      </c>
      <c r="D65" s="56"/>
      <c r="E65" s="66"/>
      <c r="F65" s="66"/>
      <c r="G65" s="66"/>
      <c r="H65" s="66"/>
      <c r="I65" s="66"/>
      <c r="J65" s="66"/>
      <c r="K65" s="57"/>
    </row>
    <row r="66" spans="2:20">
      <c r="B66" s="47" t="s">
        <v>4934</v>
      </c>
      <c r="C66" s="41" t="s">
        <v>3315</v>
      </c>
      <c r="D66" s="70"/>
      <c r="E66" s="51"/>
      <c r="F66" s="70"/>
      <c r="G66" s="70"/>
      <c r="H66" s="60"/>
      <c r="I66" s="60"/>
      <c r="J66" s="70"/>
      <c r="K66" s="60"/>
    </row>
    <row r="67" spans="2:20">
      <c r="B67" s="47" t="s">
        <v>4935</v>
      </c>
      <c r="C67" s="41" t="s">
        <v>3496</v>
      </c>
      <c r="D67" s="70"/>
      <c r="E67" s="51"/>
      <c r="F67" s="70"/>
      <c r="G67" s="70"/>
      <c r="H67" s="60"/>
      <c r="I67" s="60"/>
      <c r="J67" s="70"/>
      <c r="K67" s="60"/>
    </row>
    <row r="68" spans="2:20">
      <c r="B68" s="47" t="s">
        <v>4936</v>
      </c>
      <c r="C68" s="41" t="s">
        <v>3497</v>
      </c>
      <c r="D68" s="70"/>
      <c r="E68" s="51"/>
      <c r="F68" s="70"/>
      <c r="G68" s="70"/>
      <c r="H68" s="60"/>
      <c r="I68" s="60"/>
      <c r="J68" s="70"/>
      <c r="K68" s="60"/>
    </row>
    <row r="69" spans="2:20">
      <c r="B69" s="47" t="s">
        <v>3902</v>
      </c>
      <c r="C69" s="41" t="s">
        <v>3498</v>
      </c>
      <c r="D69" s="76"/>
      <c r="E69" s="68"/>
      <c r="F69" s="76"/>
      <c r="G69" s="76"/>
      <c r="H69" s="63"/>
      <c r="I69" s="63"/>
      <c r="J69" s="76"/>
      <c r="K69" s="60"/>
    </row>
    <row r="70" spans="2:20">
      <c r="B70" s="47" t="s">
        <v>4937</v>
      </c>
      <c r="C70" s="44" t="s">
        <v>3499</v>
      </c>
      <c r="D70" s="56"/>
      <c r="E70" s="58"/>
      <c r="F70" s="58"/>
      <c r="G70" s="58"/>
      <c r="H70" s="58"/>
      <c r="I70" s="58"/>
      <c r="J70" s="48"/>
      <c r="K70" s="63"/>
    </row>
    <row r="71" spans="2:20">
      <c r="B71" s="47" t="s">
        <v>4938</v>
      </c>
      <c r="C71" s="41" t="s">
        <v>4939</v>
      </c>
      <c r="D71" s="71"/>
      <c r="E71" s="56"/>
      <c r="F71" s="56"/>
      <c r="G71" s="56"/>
      <c r="H71" s="56"/>
      <c r="I71" s="56"/>
      <c r="J71" s="56"/>
      <c r="K71" s="46"/>
    </row>
    <row r="73" spans="2:20">
      <c r="S73" s="13" t="str">
        <f>Show!$B$145&amp;Show!$B$145&amp;"S.26.04.04.03 Rows {"&amp;COLUMN($C$1)&amp;"}"</f>
        <v>!!S.26.04.04.03 Rows {3}</v>
      </c>
      <c r="T73" s="13" t="str">
        <f>Show!$B$145&amp;Show!$B$145&amp;"S.26.04.04.03 Columns {"&amp;COLUMN($K$1)&amp;"}"</f>
        <v>!!S.26.04.04.03 Columns {11}</v>
      </c>
    </row>
    <row r="75" spans="2:20" ht="18.75">
      <c r="B75" s="97" t="s">
        <v>4971</v>
      </c>
      <c r="C75" s="96"/>
      <c r="D75" s="96"/>
      <c r="E75" s="96"/>
      <c r="F75" s="96"/>
      <c r="G75" s="96"/>
      <c r="H75" s="96"/>
      <c r="I75" s="96"/>
      <c r="J75" s="96"/>
      <c r="K75" s="96"/>
      <c r="L75" s="96"/>
    </row>
    <row r="77" spans="2:20">
      <c r="B77" t="s">
        <v>3110</v>
      </c>
      <c r="S77" s="13" t="str">
        <f>Show!$B$145&amp;"S.26.04.04.04 Table label {"&amp;COLUMN($C$1)&amp;"}"</f>
        <v>!S.26.04.04.04 Table label {3}</v>
      </c>
      <c r="T77" s="13" t="str">
        <f>Show!$B$145&amp;"S.26.04.04.04 Table value {"&amp;COLUMN($D$1)&amp;"}"</f>
        <v>!S.26.04.04.04 Table value {4}</v>
      </c>
    </row>
    <row r="78" spans="2:20">
      <c r="B78" t="s">
        <v>3111</v>
      </c>
    </row>
    <row r="79" spans="2:20">
      <c r="B79" s="40" t="s">
        <v>4622</v>
      </c>
      <c r="C79" s="53" t="s">
        <v>3113</v>
      </c>
      <c r="D79" s="51"/>
    </row>
    <row r="80" spans="2:20">
      <c r="S80" s="13" t="str">
        <f>Show!$B$145&amp;Show!$B$145&amp;"S.26.04.04.04 Table label {"&amp;COLUMN($C$1)&amp;"}"</f>
        <v>!!S.26.04.04.04 Table label {3}</v>
      </c>
      <c r="T80" s="13" t="str">
        <f>Show!$B$145&amp;Show!$B$145&amp;"S.26.04.04.04 Table value {"&amp;COLUMN($D$1)&amp;"}"</f>
        <v>!!S.26.04.04.04 Table value {4}</v>
      </c>
    </row>
    <row r="82" spans="2:20">
      <c r="D82" s="98" t="s">
        <v>2877</v>
      </c>
    </row>
    <row r="83" spans="2:20">
      <c r="D83" s="100"/>
    </row>
    <row r="84" spans="2:20">
      <c r="D84" s="55" t="s">
        <v>4643</v>
      </c>
    </row>
    <row r="85" spans="2:20">
      <c r="D85" s="45" t="s">
        <v>3596</v>
      </c>
      <c r="S85" s="13" t="str">
        <f>Show!$B$145&amp;"S.26.04.04.04 Rows {"&amp;COLUMN($C$1)&amp;"}"&amp;"@ForceFilingCode:true"</f>
        <v>!S.26.04.04.04 Rows {3}@ForceFilingCode:true</v>
      </c>
      <c r="T85" s="13" t="str">
        <f>Show!$B$145&amp;"S.26.04.04.04 Columns {"&amp;COLUMN($D$1)&amp;"}"</f>
        <v>!S.26.04.04.04 Columns {4}</v>
      </c>
    </row>
    <row r="86" spans="2:20">
      <c r="B86" s="43" t="s">
        <v>2880</v>
      </c>
      <c r="C86" s="44" t="s">
        <v>2878</v>
      </c>
      <c r="D86" s="46"/>
    </row>
    <row r="87" spans="2:20">
      <c r="B87" s="47" t="s">
        <v>4941</v>
      </c>
      <c r="C87" s="41" t="s">
        <v>3500</v>
      </c>
      <c r="D87" s="60"/>
    </row>
    <row r="89" spans="2:20">
      <c r="S89" s="13" t="str">
        <f>Show!$B$145&amp;Show!$B$145&amp;"S.26.04.04.04 Rows {"&amp;COLUMN($C$1)&amp;"}"</f>
        <v>!!S.26.04.04.04 Rows {3}</v>
      </c>
      <c r="T89" s="13" t="str">
        <f>Show!$B$145&amp;Show!$B$145&amp;"S.26.04.04.04 Columns {"&amp;COLUMN($D$1)&amp;"}"</f>
        <v>!!S.26.04.04.04 Columns {4}</v>
      </c>
    </row>
    <row r="91" spans="2:20" ht="18.75">
      <c r="B91" s="97" t="s">
        <v>4972</v>
      </c>
      <c r="C91" s="96"/>
      <c r="D91" s="96"/>
      <c r="E91" s="96"/>
      <c r="F91" s="96"/>
      <c r="G91" s="96"/>
      <c r="H91" s="96"/>
      <c r="I91" s="96"/>
      <c r="J91" s="96"/>
      <c r="K91" s="96"/>
      <c r="L91" s="96"/>
    </row>
    <row r="93" spans="2:20">
      <c r="B93" t="s">
        <v>3110</v>
      </c>
      <c r="S93" s="13" t="str">
        <f>Show!$B$145&amp;"S.26.04.04.05 Table label {"&amp;COLUMN($C$1)&amp;"}"</f>
        <v>!S.26.04.04.05 Table label {3}</v>
      </c>
      <c r="T93" s="13" t="str">
        <f>Show!$B$145&amp;"S.26.04.04.05 Table value {"&amp;COLUMN($D$1)&amp;"}"</f>
        <v>!S.26.04.04.05 Table value {4}</v>
      </c>
    </row>
    <row r="94" spans="2:20">
      <c r="B94" t="s">
        <v>3111</v>
      </c>
    </row>
    <row r="95" spans="2:20">
      <c r="B95" s="40" t="s">
        <v>4622</v>
      </c>
      <c r="C95" s="53" t="s">
        <v>3113</v>
      </c>
      <c r="D95" s="51"/>
    </row>
    <row r="96" spans="2:20">
      <c r="S96" s="13" t="str">
        <f>Show!$B$145&amp;Show!$B$145&amp;"S.26.04.04.05 Table label {"&amp;COLUMN($C$1)&amp;"}"</f>
        <v>!!S.26.04.04.05 Table label {3}</v>
      </c>
      <c r="T96" s="13" t="str">
        <f>Show!$B$145&amp;Show!$B$145&amp;"S.26.04.04.05 Table value {"&amp;COLUMN($D$1)&amp;"}"</f>
        <v>!!S.26.04.04.05 Table value {4}</v>
      </c>
    </row>
    <row r="98" spans="2:20">
      <c r="D98" s="101" t="s">
        <v>2877</v>
      </c>
      <c r="E98" s="102"/>
      <c r="F98" s="102"/>
      <c r="G98" s="102"/>
      <c r="H98" s="103"/>
    </row>
    <row r="99" spans="2:20">
      <c r="D99" s="104"/>
      <c r="E99" s="105"/>
      <c r="F99" s="105"/>
      <c r="G99" s="105"/>
      <c r="H99" s="106"/>
    </row>
    <row r="100" spans="2:20">
      <c r="D100" s="107" t="s">
        <v>4763</v>
      </c>
      <c r="E100" s="109"/>
      <c r="F100" s="107" t="s">
        <v>4764</v>
      </c>
      <c r="G100" s="108"/>
      <c r="H100" s="109"/>
    </row>
    <row r="101" spans="2:20" ht="30">
      <c r="D101" s="55" t="s">
        <v>3252</v>
      </c>
      <c r="E101" s="55" t="s">
        <v>2389</v>
      </c>
      <c r="F101" s="55" t="s">
        <v>3252</v>
      </c>
      <c r="G101" s="55" t="s">
        <v>2389</v>
      </c>
      <c r="H101" s="55" t="s">
        <v>4643</v>
      </c>
    </row>
    <row r="102" spans="2:20">
      <c r="D102" s="45" t="s">
        <v>3599</v>
      </c>
      <c r="E102" s="45" t="s">
        <v>3481</v>
      </c>
      <c r="F102" s="45" t="s">
        <v>3508</v>
      </c>
      <c r="G102" s="45" t="s">
        <v>3509</v>
      </c>
      <c r="H102" s="45" t="s">
        <v>3511</v>
      </c>
      <c r="S102" s="13" t="str">
        <f>Show!$B$145&amp;"S.26.04.04.05 Rows {"&amp;COLUMN($C$1)&amp;"}"&amp;"@ForceFilingCode:true"</f>
        <v>!S.26.04.04.05 Rows {3}@ForceFilingCode:true</v>
      </c>
      <c r="T102" s="13" t="str">
        <f>Show!$B$145&amp;"S.26.04.04.05 Columns {"&amp;COLUMN($D$1)&amp;"}"</f>
        <v>!S.26.04.04.05 Columns {4}</v>
      </c>
    </row>
    <row r="103" spans="2:20">
      <c r="B103" s="43" t="s">
        <v>2880</v>
      </c>
      <c r="C103" s="44" t="s">
        <v>2878</v>
      </c>
      <c r="D103" s="56"/>
      <c r="E103" s="66"/>
      <c r="F103" s="66"/>
      <c r="G103" s="66"/>
      <c r="H103" s="57"/>
    </row>
    <row r="104" spans="2:20">
      <c r="B104" s="47" t="s">
        <v>4943</v>
      </c>
      <c r="C104" s="41" t="s">
        <v>3502</v>
      </c>
      <c r="D104" s="60"/>
      <c r="E104" s="60"/>
      <c r="F104" s="60"/>
      <c r="G104" s="60"/>
      <c r="H104" s="60"/>
    </row>
    <row r="106" spans="2:20">
      <c r="S106" s="13" t="str">
        <f>Show!$B$145&amp;Show!$B$145&amp;"S.26.04.04.05 Rows {"&amp;COLUMN($C$1)&amp;"}"</f>
        <v>!!S.26.04.04.05 Rows {3}</v>
      </c>
      <c r="T106" s="13" t="str">
        <f>Show!$B$145&amp;Show!$B$145&amp;"S.26.04.04.05 Columns {"&amp;COLUMN($H$1)&amp;"}"</f>
        <v>!!S.26.04.04.05 Columns {8}</v>
      </c>
    </row>
    <row r="108" spans="2:20" ht="18.75">
      <c r="B108" s="97" t="s">
        <v>4973</v>
      </c>
      <c r="C108" s="96"/>
      <c r="D108" s="96"/>
      <c r="E108" s="96"/>
      <c r="F108" s="96"/>
      <c r="G108" s="96"/>
      <c r="H108" s="96"/>
      <c r="I108" s="96"/>
      <c r="J108" s="96"/>
      <c r="K108" s="96"/>
      <c r="L108" s="96"/>
    </row>
    <row r="110" spans="2:20">
      <c r="B110" t="s">
        <v>3110</v>
      </c>
      <c r="S110" s="13" t="str">
        <f>Show!$B$145&amp;"S.26.04.04.06 Table label {"&amp;COLUMN($C$1)&amp;"}"</f>
        <v>!S.26.04.04.06 Table label {3}</v>
      </c>
      <c r="T110" s="13" t="str">
        <f>Show!$B$145&amp;"S.26.04.04.06 Table value {"&amp;COLUMN($D$1)&amp;"}"</f>
        <v>!S.26.04.04.06 Table value {4}</v>
      </c>
    </row>
    <row r="111" spans="2:20">
      <c r="B111" t="s">
        <v>3111</v>
      </c>
    </row>
    <row r="112" spans="2:20">
      <c r="B112" s="40" t="s">
        <v>4622</v>
      </c>
      <c r="C112" s="53" t="s">
        <v>3113</v>
      </c>
      <c r="D112" s="51"/>
    </row>
    <row r="113" spans="2:20">
      <c r="S113" s="13" t="str">
        <f>Show!$B$145&amp;Show!$B$145&amp;"S.26.04.04.06 Table label {"&amp;COLUMN($C$1)&amp;"}"</f>
        <v>!!S.26.04.04.06 Table label {3}</v>
      </c>
      <c r="T113" s="13" t="str">
        <f>Show!$B$145&amp;Show!$B$145&amp;"S.26.04.04.06 Table value {"&amp;COLUMN($D$1)&amp;"}"</f>
        <v>!!S.26.04.04.06 Table value {4}</v>
      </c>
    </row>
    <row r="115" spans="2:20">
      <c r="D115" s="98" t="s">
        <v>2877</v>
      </c>
    </row>
    <row r="116" spans="2:20">
      <c r="D116" s="100"/>
    </row>
    <row r="117" spans="2:20">
      <c r="D117" s="55" t="s">
        <v>4643</v>
      </c>
    </row>
    <row r="118" spans="2:20">
      <c r="D118" s="45" t="s">
        <v>3513</v>
      </c>
      <c r="S118" s="13" t="str">
        <f>Show!$B$145&amp;"S.26.04.04.06 Rows {"&amp;COLUMN($C$1)&amp;"}"&amp;"@ForceFilingCode:true"</f>
        <v>!S.26.04.04.06 Rows {3}@ForceFilingCode:true</v>
      </c>
      <c r="T118" s="13" t="str">
        <f>Show!$B$145&amp;"S.26.04.04.06 Columns {"&amp;COLUMN($D$1)&amp;"}"</f>
        <v>!S.26.04.04.06 Columns {4}</v>
      </c>
    </row>
    <row r="119" spans="2:20">
      <c r="B119" s="43" t="s">
        <v>2880</v>
      </c>
      <c r="C119" s="44" t="s">
        <v>2878</v>
      </c>
      <c r="D119" s="46"/>
    </row>
    <row r="120" spans="2:20">
      <c r="B120" s="47" t="s">
        <v>4945</v>
      </c>
      <c r="C120" s="41" t="s">
        <v>3504</v>
      </c>
      <c r="D120" s="60"/>
    </row>
    <row r="121" spans="2:20">
      <c r="B121" s="47" t="s">
        <v>4946</v>
      </c>
      <c r="C121" s="41" t="s">
        <v>4947</v>
      </c>
      <c r="D121" s="60"/>
    </row>
    <row r="123" spans="2:20">
      <c r="S123" s="13" t="str">
        <f>Show!$B$145&amp;Show!$B$145&amp;"S.26.04.04.06 Rows {"&amp;COLUMN($C$1)&amp;"}"</f>
        <v>!!S.26.04.04.06 Rows {3}</v>
      </c>
      <c r="T123" s="13" t="str">
        <f>Show!$B$145&amp;Show!$B$145&amp;"S.26.04.04.06 Columns {"&amp;COLUMN($D$1)&amp;"}"</f>
        <v>!!S.26.04.04.06 Columns {4}</v>
      </c>
    </row>
    <row r="125" spans="2:20" ht="18.75">
      <c r="B125" s="97" t="s">
        <v>4974</v>
      </c>
      <c r="C125" s="96"/>
      <c r="D125" s="96"/>
      <c r="E125" s="96"/>
      <c r="F125" s="96"/>
      <c r="G125" s="96"/>
      <c r="H125" s="96"/>
      <c r="I125" s="96"/>
      <c r="J125" s="96"/>
      <c r="K125" s="96"/>
      <c r="L125" s="96"/>
    </row>
    <row r="127" spans="2:20">
      <c r="B127" t="s">
        <v>3110</v>
      </c>
      <c r="S127" s="13" t="str">
        <f>Show!$B$145&amp;"S.26.04.04.07 Table label {"&amp;COLUMN($C$1)&amp;"}"</f>
        <v>!S.26.04.04.07 Table label {3}</v>
      </c>
      <c r="T127" s="13" t="str">
        <f>Show!$B$145&amp;"S.26.04.04.07 Table value {"&amp;COLUMN($D$1)&amp;"}"</f>
        <v>!S.26.04.04.07 Table value {4}</v>
      </c>
    </row>
    <row r="128" spans="2:20">
      <c r="B128" t="s">
        <v>3111</v>
      </c>
    </row>
    <row r="129" spans="2:20">
      <c r="B129" s="40" t="s">
        <v>4622</v>
      </c>
      <c r="C129" s="53" t="s">
        <v>3113</v>
      </c>
      <c r="D129" s="51"/>
    </row>
    <row r="130" spans="2:20">
      <c r="S130" s="13" t="str">
        <f>Show!$B$145&amp;Show!$B$145&amp;"S.26.04.04.07 Table label {"&amp;COLUMN($C$1)&amp;"}"</f>
        <v>!!S.26.04.04.07 Table label {3}</v>
      </c>
      <c r="T130" s="13" t="str">
        <f>Show!$B$145&amp;Show!$B$145&amp;"S.26.04.04.07 Table value {"&amp;COLUMN($D$1)&amp;"}"</f>
        <v>!!S.26.04.04.07 Table value {4}</v>
      </c>
    </row>
    <row r="132" spans="2:20">
      <c r="D132" s="101" t="s">
        <v>2877</v>
      </c>
      <c r="E132" s="103"/>
    </row>
    <row r="133" spans="2:20">
      <c r="D133" s="104"/>
      <c r="E133" s="106"/>
    </row>
    <row r="134" spans="2:20" ht="45">
      <c r="D134" s="55" t="s">
        <v>4623</v>
      </c>
      <c r="E134" s="55" t="s">
        <v>4624</v>
      </c>
    </row>
    <row r="135" spans="2:20">
      <c r="D135" s="45" t="s">
        <v>3514</v>
      </c>
      <c r="E135" s="45" t="s">
        <v>3515</v>
      </c>
      <c r="S135" s="13" t="str">
        <f>Show!$B$145&amp;"S.26.04.04.07 Rows {"&amp;COLUMN($C$1)&amp;"}"&amp;"@ForceFilingCode:true"</f>
        <v>!S.26.04.04.07 Rows {3}@ForceFilingCode:true</v>
      </c>
      <c r="T135" s="13" t="str">
        <f>Show!$B$145&amp;"S.26.04.04.07 Columns {"&amp;COLUMN($D$1)&amp;"}"</f>
        <v>!S.26.04.04.07 Columns {4}</v>
      </c>
    </row>
    <row r="136" spans="2:20">
      <c r="B136" s="43" t="s">
        <v>2880</v>
      </c>
      <c r="C136" s="44" t="s">
        <v>2878</v>
      </c>
      <c r="D136" s="56"/>
      <c r="E136" s="57"/>
    </row>
    <row r="137" spans="2:20">
      <c r="B137" s="47" t="s">
        <v>4949</v>
      </c>
      <c r="C137" s="41" t="s">
        <v>3523</v>
      </c>
      <c r="D137" s="60"/>
      <c r="E137" s="60"/>
    </row>
    <row r="138" spans="2:20">
      <c r="B138" s="47" t="s">
        <v>4950</v>
      </c>
      <c r="C138" s="41" t="s">
        <v>3524</v>
      </c>
      <c r="D138" s="60"/>
      <c r="E138" s="60"/>
    </row>
    <row r="139" spans="2:20">
      <c r="B139" s="47" t="s">
        <v>4951</v>
      </c>
      <c r="C139" s="41" t="s">
        <v>3525</v>
      </c>
      <c r="D139" s="60"/>
      <c r="E139" s="60"/>
    </row>
    <row r="140" spans="2:20">
      <c r="B140" s="47" t="s">
        <v>4952</v>
      </c>
      <c r="C140" s="41" t="s">
        <v>4953</v>
      </c>
      <c r="D140" s="60"/>
      <c r="E140" s="60"/>
    </row>
    <row r="141" spans="2:20">
      <c r="B141" s="47" t="s">
        <v>4954</v>
      </c>
      <c r="C141" s="41" t="s">
        <v>4955</v>
      </c>
      <c r="D141" s="60"/>
      <c r="E141" s="60"/>
    </row>
    <row r="143" spans="2:20">
      <c r="S143" s="13" t="str">
        <f>Show!$B$145&amp;Show!$B$145&amp;"S.26.04.04.07 Rows {"&amp;COLUMN($C$1)&amp;"}"</f>
        <v>!!S.26.04.04.07 Rows {3}</v>
      </c>
      <c r="T143" s="13" t="str">
        <f>Show!$B$145&amp;Show!$B$145&amp;"S.26.04.04.07 Columns {"&amp;COLUMN($E$1)&amp;"}"</f>
        <v>!!S.26.04.04.07 Columns {5}</v>
      </c>
    </row>
    <row r="145" spans="2:20" ht="18.75">
      <c r="B145" s="97" t="s">
        <v>4975</v>
      </c>
      <c r="C145" s="96"/>
      <c r="D145" s="96"/>
      <c r="E145" s="96"/>
      <c r="F145" s="96"/>
      <c r="G145" s="96"/>
      <c r="H145" s="96"/>
      <c r="I145" s="96"/>
      <c r="J145" s="96"/>
      <c r="K145" s="96"/>
      <c r="L145" s="96"/>
    </row>
    <row r="147" spans="2:20">
      <c r="B147" t="s">
        <v>3110</v>
      </c>
      <c r="S147" s="13" t="str">
        <f>Show!$B$145&amp;"S.26.04.04.08 Table label {"&amp;COLUMN($C$1)&amp;"}"</f>
        <v>!S.26.04.04.08 Table label {3}</v>
      </c>
      <c r="T147" s="13" t="str">
        <f>Show!$B$145&amp;"S.26.04.04.08 Table value {"&amp;COLUMN($D$1)&amp;"}"</f>
        <v>!S.26.04.04.08 Table value {4}</v>
      </c>
    </row>
    <row r="148" spans="2:20">
      <c r="B148" t="s">
        <v>3111</v>
      </c>
    </row>
    <row r="149" spans="2:20">
      <c r="B149" s="40" t="s">
        <v>4622</v>
      </c>
      <c r="C149" s="53" t="s">
        <v>3113</v>
      </c>
      <c r="D149" s="51"/>
    </row>
    <row r="150" spans="2:20">
      <c r="S150" s="13" t="str">
        <f>Show!$B$145&amp;Show!$B$145&amp;"S.26.04.04.08 Table label {"&amp;COLUMN($C$1)&amp;"}"</f>
        <v>!!S.26.04.04.08 Table label {3}</v>
      </c>
      <c r="T150" s="13" t="str">
        <f>Show!$B$145&amp;Show!$B$145&amp;"S.26.04.04.08 Table value {"&amp;COLUMN($D$1)&amp;"}"</f>
        <v>!!S.26.04.04.08 Table value {4}</v>
      </c>
    </row>
    <row r="152" spans="2:20">
      <c r="D152" s="101" t="s">
        <v>2877</v>
      </c>
      <c r="E152" s="103"/>
    </row>
    <row r="153" spans="2:20">
      <c r="D153" s="104"/>
      <c r="E153" s="106"/>
    </row>
    <row r="154" spans="2:20" ht="45">
      <c r="D154" s="55" t="s">
        <v>4623</v>
      </c>
      <c r="E154" s="55" t="s">
        <v>4624</v>
      </c>
    </row>
    <row r="155" spans="2:20">
      <c r="D155" s="45" t="s">
        <v>3517</v>
      </c>
      <c r="E155" s="45" t="s">
        <v>3518</v>
      </c>
      <c r="S155" s="13" t="str">
        <f>Show!$B$145&amp;"S.26.04.04.08 Rows {"&amp;COLUMN($C$1)&amp;"}"&amp;"@ForceFilingCode:true"</f>
        <v>!S.26.04.04.08 Rows {3}@ForceFilingCode:true</v>
      </c>
      <c r="T155" s="13" t="str">
        <f>Show!$B$145&amp;"S.26.04.04.08 Columns {"&amp;COLUMN($D$1)&amp;"}"</f>
        <v>!S.26.04.04.08 Columns {4}</v>
      </c>
    </row>
    <row r="156" spans="2:20">
      <c r="B156" s="43" t="s">
        <v>2880</v>
      </c>
      <c r="C156" s="44" t="s">
        <v>2878</v>
      </c>
      <c r="D156" s="56"/>
      <c r="E156" s="57"/>
    </row>
    <row r="157" spans="2:20">
      <c r="B157" s="47" t="s">
        <v>4957</v>
      </c>
      <c r="C157" s="41" t="s">
        <v>3526</v>
      </c>
      <c r="D157" s="60"/>
      <c r="E157" s="60"/>
    </row>
    <row r="158" spans="2:20">
      <c r="B158" s="47" t="s">
        <v>4958</v>
      </c>
      <c r="C158" s="41" t="s">
        <v>3529</v>
      </c>
      <c r="D158" s="60"/>
      <c r="E158" s="60"/>
    </row>
    <row r="160" spans="2:20">
      <c r="S160" s="13" t="str">
        <f>Show!$B$145&amp;Show!$B$145&amp;"S.26.04.04.08 Rows {"&amp;COLUMN($C$1)&amp;"}"</f>
        <v>!!S.26.04.04.08 Rows {3}</v>
      </c>
      <c r="T160" s="13" t="str">
        <f>Show!$B$145&amp;Show!$B$145&amp;"S.26.04.04.08 Columns {"&amp;COLUMN($E$1)&amp;"}"</f>
        <v>!!S.26.04.04.08 Columns {5}</v>
      </c>
    </row>
    <row r="162" spans="2:20" ht="18.75">
      <c r="B162" s="97" t="s">
        <v>4976</v>
      </c>
      <c r="C162" s="96"/>
      <c r="D162" s="96"/>
      <c r="E162" s="96"/>
      <c r="F162" s="96"/>
      <c r="G162" s="96"/>
      <c r="H162" s="96"/>
      <c r="I162" s="96"/>
      <c r="J162" s="96"/>
      <c r="K162" s="96"/>
      <c r="L162" s="96"/>
    </row>
    <row r="164" spans="2:20">
      <c r="B164" t="s">
        <v>3110</v>
      </c>
      <c r="S164" s="13" t="str">
        <f>Show!$B$145&amp;"S.26.04.04.09 Table label {"&amp;COLUMN($C$1)&amp;"}"</f>
        <v>!S.26.04.04.09 Table label {3}</v>
      </c>
      <c r="T164" s="13" t="str">
        <f>Show!$B$145&amp;"S.26.04.04.09 Table value {"&amp;COLUMN($D$1)&amp;"}"</f>
        <v>!S.26.04.04.09 Table value {4}</v>
      </c>
    </row>
    <row r="165" spans="2:20">
      <c r="B165" t="s">
        <v>3111</v>
      </c>
    </row>
    <row r="166" spans="2:20">
      <c r="B166" s="40" t="s">
        <v>4622</v>
      </c>
      <c r="C166" s="53" t="s">
        <v>3113</v>
      </c>
      <c r="D166" s="51"/>
    </row>
    <row r="167" spans="2:20">
      <c r="S167" s="13" t="str">
        <f>Show!$B$145&amp;Show!$B$145&amp;"S.26.04.04.09 Table label {"&amp;COLUMN($C$1)&amp;"}"</f>
        <v>!!S.26.04.04.09 Table label {3}</v>
      </c>
      <c r="T167" s="13" t="str">
        <f>Show!$B$145&amp;Show!$B$145&amp;"S.26.04.04.09 Table value {"&amp;COLUMN($D$1)&amp;"}"</f>
        <v>!!S.26.04.04.09 Table value {4}</v>
      </c>
    </row>
    <row r="169" spans="2:20">
      <c r="D169" s="98" t="s">
        <v>2877</v>
      </c>
    </row>
    <row r="170" spans="2:20">
      <c r="D170" s="100"/>
    </row>
    <row r="171" spans="2:20">
      <c r="D171" s="55" t="s">
        <v>2574</v>
      </c>
    </row>
    <row r="172" spans="2:20">
      <c r="D172" s="45" t="s">
        <v>2879</v>
      </c>
      <c r="S172" s="13" t="str">
        <f>Show!$B$145&amp;"S.26.04.04.09 Rows {"&amp;COLUMN($C$1)&amp;"}"&amp;"@ForceFilingCode:true"</f>
        <v>!S.26.04.04.09 Rows {3}@ForceFilingCode:true</v>
      </c>
      <c r="T172" s="13" t="str">
        <f>Show!$B$145&amp;"S.26.04.04.09 Columns {"&amp;COLUMN($D$1)&amp;"}"</f>
        <v>!S.26.04.04.09 Columns {4}</v>
      </c>
    </row>
    <row r="173" spans="2:20">
      <c r="B173" s="43" t="s">
        <v>2880</v>
      </c>
      <c r="C173" s="44" t="s">
        <v>2878</v>
      </c>
      <c r="D173" s="46"/>
    </row>
    <row r="174" spans="2:20">
      <c r="B174" s="47" t="s">
        <v>4960</v>
      </c>
      <c r="C174" s="41" t="s">
        <v>2883</v>
      </c>
      <c r="D174" s="51"/>
    </row>
    <row r="175" spans="2:20">
      <c r="B175" s="47" t="s">
        <v>4961</v>
      </c>
      <c r="C175" s="41" t="s">
        <v>2885</v>
      </c>
      <c r="D175" s="51"/>
    </row>
    <row r="176" spans="2:20">
      <c r="B176" s="47" t="s">
        <v>4962</v>
      </c>
      <c r="C176" s="41" t="s">
        <v>2887</v>
      </c>
      <c r="D176" s="51"/>
    </row>
    <row r="177" spans="2:20">
      <c r="B177" s="47" t="s">
        <v>4963</v>
      </c>
      <c r="C177" s="41" t="s">
        <v>2889</v>
      </c>
      <c r="D177" s="51"/>
    </row>
    <row r="178" spans="2:20">
      <c r="B178" s="47" t="s">
        <v>4964</v>
      </c>
      <c r="C178" s="41" t="s">
        <v>3078</v>
      </c>
      <c r="D178" s="51"/>
    </row>
    <row r="179" spans="2:20">
      <c r="B179" s="47" t="s">
        <v>4965</v>
      </c>
      <c r="C179" s="41" t="s">
        <v>4966</v>
      </c>
      <c r="D179" s="51"/>
    </row>
    <row r="180" spans="2:20">
      <c r="B180" s="47" t="s">
        <v>4967</v>
      </c>
      <c r="C180" s="41" t="s">
        <v>2891</v>
      </c>
      <c r="D180" s="51"/>
    </row>
    <row r="182" spans="2:20">
      <c r="S182" s="13" t="str">
        <f>Show!$B$145&amp;Show!$B$145&amp;"S.26.04.04.09 Rows {"&amp;COLUMN($C$1)&amp;"}"</f>
        <v>!!S.26.04.04.09 Rows {3}</v>
      </c>
      <c r="T182" s="13" t="str">
        <f>Show!$B$145&amp;Show!$B$145&amp;"S.26.04.04.09 Columns {"&amp;COLUMN($D$1)&amp;"}"</f>
        <v>!!S.26.04.04.09 Columns {4}</v>
      </c>
    </row>
  </sheetData>
  <sheetProtection sheet="1" objects="1" scenarios="1"/>
  <mergeCells count="32">
    <mergeCell ref="D98:H99"/>
    <mergeCell ref="B145:L145"/>
    <mergeCell ref="D152:E153"/>
    <mergeCell ref="B162:L162"/>
    <mergeCell ref="D169:D170"/>
    <mergeCell ref="D100:E100"/>
    <mergeCell ref="F100:H100"/>
    <mergeCell ref="B108:L108"/>
    <mergeCell ref="D115:D116"/>
    <mergeCell ref="B125:L125"/>
    <mergeCell ref="D132:E133"/>
    <mergeCell ref="J15:J16"/>
    <mergeCell ref="B37:L37"/>
    <mergeCell ref="D44:D45"/>
    <mergeCell ref="B53:L53"/>
    <mergeCell ref="B91:L91"/>
    <mergeCell ref="D62:F62"/>
    <mergeCell ref="H62:K62"/>
    <mergeCell ref="B75:L75"/>
    <mergeCell ref="D82:D83"/>
    <mergeCell ref="D60:K61"/>
    <mergeCell ref="D15:D16"/>
    <mergeCell ref="E15:E16"/>
    <mergeCell ref="F15:F16"/>
    <mergeCell ref="G15:G16"/>
    <mergeCell ref="H15:H16"/>
    <mergeCell ref="I15:I16"/>
    <mergeCell ref="B2:O2"/>
    <mergeCell ref="B5:L5"/>
    <mergeCell ref="D12:J13"/>
    <mergeCell ref="D14:E14"/>
    <mergeCell ref="F14:J14"/>
  </mergeCells>
  <dataValidations count="4">
    <dataValidation type="list" errorStyle="warning" allowBlank="1" showInputMessage="1" showErrorMessage="1" sqref="D9 D41 D57 D79 D95 D112 D129 D149 D166" xr:uid="{9B0466EF-710D-4A5E-84D5-0EF5CF72ED7A}">
      <formula1>hier_AO_1</formula1>
    </dataValidation>
    <dataValidation type="list" errorStyle="warning" allowBlank="1" showInputMessage="1" showErrorMessage="1" sqref="E66 E67 E68 E69" xr:uid="{6E70518A-0862-48EC-A985-D59C8CBB7774}">
      <formula1>hier_AP_12</formula1>
    </dataValidation>
    <dataValidation type="list" errorStyle="warning" allowBlank="1" showInputMessage="1" showErrorMessage="1" sqref="D174 D175 D176 D177 D180" xr:uid="{AADA4F51-6627-4F91-A141-09B84665E2DA}">
      <formula1>hier_AP_17</formula1>
    </dataValidation>
    <dataValidation type="list" errorStyle="warning" allowBlank="1" showInputMessage="1" showErrorMessage="1" sqref="D179" xr:uid="{E54E4D5F-1C3A-44AB-9F87-B93F679C81AB}">
      <formula1>hier_AP_26</formula1>
    </dataValidation>
  </dataValidation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8C14-ACD7-45C3-AE55-CB4E574EB1B8}">
  <sheetPr codeName="Blad150"/>
  <dimension ref="B2:T200"/>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95" t="s">
        <v>726</v>
      </c>
      <c r="C2" s="96"/>
      <c r="D2" s="96"/>
      <c r="E2" s="96"/>
      <c r="F2" s="96"/>
      <c r="G2" s="96"/>
      <c r="H2" s="96"/>
      <c r="I2" s="96"/>
      <c r="J2" s="96"/>
      <c r="K2" s="96"/>
      <c r="L2" s="96"/>
      <c r="M2" s="96"/>
      <c r="N2" s="96"/>
      <c r="O2" s="96"/>
    </row>
    <row r="5" spans="2:20" ht="18.75">
      <c r="B5" s="97" t="s">
        <v>4977</v>
      </c>
      <c r="C5" s="96"/>
      <c r="D5" s="96"/>
      <c r="E5" s="96"/>
      <c r="F5" s="96"/>
      <c r="G5" s="96"/>
      <c r="H5" s="96"/>
      <c r="I5" s="96"/>
      <c r="J5" s="96"/>
      <c r="K5" s="96"/>
      <c r="L5" s="96"/>
    </row>
    <row r="7" spans="2:20">
      <c r="B7" t="s">
        <v>3110</v>
      </c>
      <c r="S7" s="13" t="str">
        <f>Show!$B$146&amp;"SR.26.04.01.01 Table label {"&amp;COLUMN($C$1)&amp;"}"</f>
        <v>!SR.26.04.01.01 Table label {3}</v>
      </c>
      <c r="T7" s="13" t="str">
        <f>Show!$B$146&amp;"SR.26.04.01.01 Table value {"&amp;COLUMN($D$1)&amp;"}"</f>
        <v>!SR.26.04.01.01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Show!$B$146&amp;Show!$B$146&amp;"SR.26.04.01.01 Table label {"&amp;COLUMN($C$1)&amp;"}"</f>
        <v>!!SR.26.04.01.01 Table label {3}</v>
      </c>
      <c r="T12" s="13" t="str">
        <f>Show!$B$146&amp;Show!$B$146&amp;"SR.26.04.01.01 Table value {"&amp;COLUMN($D$1)&amp;"}"</f>
        <v>!!SR.26.04.01.01 Table value {4}</v>
      </c>
    </row>
    <row r="14" spans="2:20">
      <c r="D14" s="101" t="s">
        <v>2877</v>
      </c>
      <c r="E14" s="102"/>
      <c r="F14" s="102"/>
      <c r="G14" s="102"/>
      <c r="H14" s="102"/>
      <c r="I14" s="102"/>
      <c r="J14" s="103"/>
    </row>
    <row r="15" spans="2:20">
      <c r="D15" s="104"/>
      <c r="E15" s="105"/>
      <c r="F15" s="105"/>
      <c r="G15" s="105"/>
      <c r="H15" s="105"/>
      <c r="I15" s="105"/>
      <c r="J15" s="106"/>
    </row>
    <row r="16" spans="2:20">
      <c r="D16" s="107" t="s">
        <v>4763</v>
      </c>
      <c r="E16" s="109"/>
      <c r="F16" s="107" t="s">
        <v>4764</v>
      </c>
      <c r="G16" s="108"/>
      <c r="H16" s="108"/>
      <c r="I16" s="108"/>
      <c r="J16" s="109"/>
    </row>
    <row r="17" spans="2:20">
      <c r="D17" s="98" t="s">
        <v>3252</v>
      </c>
      <c r="E17" s="98" t="s">
        <v>2389</v>
      </c>
      <c r="F17" s="98" t="s">
        <v>3252</v>
      </c>
      <c r="G17" s="98" t="s">
        <v>4765</v>
      </c>
      <c r="H17" s="98" t="s">
        <v>4623</v>
      </c>
      <c r="I17" s="98" t="s">
        <v>4766</v>
      </c>
      <c r="J17" s="98" t="s">
        <v>4624</v>
      </c>
    </row>
    <row r="18" spans="2:20">
      <c r="D18" s="100"/>
      <c r="E18" s="100"/>
      <c r="F18" s="100"/>
      <c r="G18" s="100"/>
      <c r="H18" s="100"/>
      <c r="I18" s="100"/>
      <c r="J18" s="100"/>
    </row>
    <row r="19" spans="2:20">
      <c r="D19" s="45" t="s">
        <v>3219</v>
      </c>
      <c r="E19" s="45" t="s">
        <v>3225</v>
      </c>
      <c r="F19" s="45" t="s">
        <v>3223</v>
      </c>
      <c r="G19" s="45" t="s">
        <v>3229</v>
      </c>
      <c r="H19" s="45" t="s">
        <v>3231</v>
      </c>
      <c r="I19" s="45" t="s">
        <v>3233</v>
      </c>
      <c r="J19" s="45" t="s">
        <v>3234</v>
      </c>
      <c r="S19" s="13" t="str">
        <f>Show!$B$146&amp;"SR.26.04.01.01 Rows {"&amp;COLUMN($C$1)&amp;"}"&amp;"@ForceFilingCode:true"</f>
        <v>!SR.26.04.01.01 Rows {3}@ForceFilingCode:true</v>
      </c>
      <c r="T19" s="13" t="str">
        <f>Show!$B$146&amp;"SR.26.04.01.01 Columns {"&amp;COLUMN($D$1)&amp;"}"</f>
        <v>!SR.26.04.01.01 Columns {4}</v>
      </c>
    </row>
    <row r="20" spans="2:20">
      <c r="B20" s="43" t="s">
        <v>2880</v>
      </c>
      <c r="C20" s="44" t="s">
        <v>2878</v>
      </c>
      <c r="D20" s="56"/>
      <c r="E20" s="66"/>
      <c r="F20" s="66"/>
      <c r="G20" s="66"/>
      <c r="H20" s="66"/>
      <c r="I20" s="66"/>
      <c r="J20" s="57"/>
    </row>
    <row r="21" spans="2:20">
      <c r="B21" s="47" t="s">
        <v>4910</v>
      </c>
      <c r="C21" s="41" t="s">
        <v>2899</v>
      </c>
      <c r="D21" s="60"/>
      <c r="E21" s="60"/>
      <c r="F21" s="60"/>
      <c r="G21" s="60"/>
      <c r="H21" s="60"/>
      <c r="I21" s="60"/>
      <c r="J21" s="60"/>
    </row>
    <row r="22" spans="2:20">
      <c r="B22" s="47" t="s">
        <v>4911</v>
      </c>
      <c r="C22" s="41" t="s">
        <v>2919</v>
      </c>
      <c r="D22" s="63"/>
      <c r="E22" s="63"/>
      <c r="F22" s="63"/>
      <c r="G22" s="63"/>
      <c r="H22" s="60"/>
      <c r="I22" s="63"/>
      <c r="J22" s="60"/>
    </row>
    <row r="23" spans="2:20">
      <c r="B23" s="47" t="s">
        <v>4912</v>
      </c>
      <c r="C23" s="44" t="s">
        <v>2939</v>
      </c>
      <c r="D23" s="58"/>
      <c r="E23" s="58"/>
      <c r="F23" s="58"/>
      <c r="G23" s="48"/>
      <c r="H23" s="64"/>
      <c r="I23" s="48"/>
      <c r="J23" s="60"/>
    </row>
    <row r="24" spans="2:20">
      <c r="B24" s="49" t="s">
        <v>4913</v>
      </c>
      <c r="C24" s="44" t="s">
        <v>2941</v>
      </c>
      <c r="D24" s="56"/>
      <c r="E24" s="56"/>
      <c r="F24" s="56"/>
      <c r="G24" s="46"/>
      <c r="H24" s="64"/>
      <c r="I24" s="46"/>
      <c r="J24" s="60"/>
    </row>
    <row r="25" spans="2:20">
      <c r="B25" s="61" t="s">
        <v>4914</v>
      </c>
      <c r="C25" s="41" t="s">
        <v>2943</v>
      </c>
      <c r="D25" s="60"/>
      <c r="E25" s="60"/>
      <c r="F25" s="60"/>
      <c r="G25" s="60"/>
      <c r="H25" s="60"/>
      <c r="I25" s="60"/>
      <c r="J25" s="60"/>
    </row>
    <row r="26" spans="2:20">
      <c r="B26" s="61" t="s">
        <v>4915</v>
      </c>
      <c r="C26" s="41" t="s">
        <v>2945</v>
      </c>
      <c r="D26" s="60"/>
      <c r="E26" s="60"/>
      <c r="F26" s="60"/>
      <c r="G26" s="60"/>
      <c r="H26" s="60"/>
      <c r="I26" s="60"/>
      <c r="J26" s="60"/>
    </row>
    <row r="27" spans="2:20">
      <c r="B27" s="49" t="s">
        <v>4916</v>
      </c>
      <c r="C27" s="41" t="s">
        <v>2947</v>
      </c>
      <c r="D27" s="63"/>
      <c r="E27" s="63"/>
      <c r="F27" s="63"/>
      <c r="G27" s="63"/>
      <c r="H27" s="60"/>
      <c r="I27" s="63"/>
      <c r="J27" s="60"/>
    </row>
    <row r="28" spans="2:20">
      <c r="B28" s="47" t="s">
        <v>4917</v>
      </c>
      <c r="C28" s="44" t="s">
        <v>2959</v>
      </c>
      <c r="D28" s="56"/>
      <c r="E28" s="56"/>
      <c r="F28" s="56"/>
      <c r="G28" s="46"/>
      <c r="H28" s="64"/>
      <c r="I28" s="46"/>
      <c r="J28" s="60"/>
    </row>
    <row r="29" spans="2:20">
      <c r="B29" s="49" t="s">
        <v>4883</v>
      </c>
      <c r="C29" s="41" t="s">
        <v>2961</v>
      </c>
      <c r="D29" s="60"/>
      <c r="E29" s="60"/>
      <c r="F29" s="60"/>
      <c r="G29" s="60"/>
      <c r="H29" s="60"/>
      <c r="I29" s="60"/>
      <c r="J29" s="60"/>
    </row>
    <row r="30" spans="2:20">
      <c r="B30" s="49" t="s">
        <v>4884</v>
      </c>
      <c r="C30" s="41" t="s">
        <v>2963</v>
      </c>
      <c r="D30" s="60"/>
      <c r="E30" s="60"/>
      <c r="F30" s="60"/>
      <c r="G30" s="60"/>
      <c r="H30" s="60"/>
      <c r="I30" s="60"/>
      <c r="J30" s="60"/>
    </row>
    <row r="31" spans="2:20">
      <c r="B31" s="49" t="s">
        <v>4885</v>
      </c>
      <c r="C31" s="41" t="s">
        <v>2965</v>
      </c>
      <c r="D31" s="60"/>
      <c r="E31" s="60"/>
      <c r="F31" s="60"/>
      <c r="G31" s="60"/>
      <c r="H31" s="60"/>
      <c r="I31" s="60"/>
      <c r="J31" s="60"/>
    </row>
    <row r="32" spans="2:20">
      <c r="B32" s="47" t="s">
        <v>4918</v>
      </c>
      <c r="C32" s="41" t="s">
        <v>2977</v>
      </c>
      <c r="D32" s="60"/>
      <c r="E32" s="60"/>
      <c r="F32" s="60"/>
      <c r="G32" s="60"/>
      <c r="H32" s="60"/>
      <c r="I32" s="60"/>
      <c r="J32" s="60"/>
    </row>
    <row r="33" spans="2:20">
      <c r="B33" s="47" t="s">
        <v>4919</v>
      </c>
      <c r="C33" s="41" t="s">
        <v>2997</v>
      </c>
      <c r="D33" s="63"/>
      <c r="E33" s="63"/>
      <c r="F33" s="63"/>
      <c r="G33" s="63"/>
      <c r="H33" s="60"/>
      <c r="I33" s="63"/>
      <c r="J33" s="60"/>
    </row>
    <row r="34" spans="2:20">
      <c r="B34" s="47" t="s">
        <v>4920</v>
      </c>
      <c r="C34" s="44" t="s">
        <v>3064</v>
      </c>
      <c r="D34" s="58"/>
      <c r="E34" s="58"/>
      <c r="F34" s="58"/>
      <c r="G34" s="48"/>
      <c r="H34" s="64"/>
      <c r="I34" s="48"/>
      <c r="J34" s="60"/>
    </row>
    <row r="35" spans="2:20">
      <c r="B35" s="47" t="s">
        <v>4921</v>
      </c>
      <c r="C35" s="44" t="s">
        <v>3120</v>
      </c>
      <c r="D35" s="56"/>
      <c r="E35" s="56"/>
      <c r="F35" s="56"/>
      <c r="G35" s="46"/>
      <c r="H35" s="64"/>
      <c r="I35" s="46"/>
      <c r="J35" s="60"/>
    </row>
    <row r="37" spans="2:20">
      <c r="S37" s="13" t="str">
        <f>Show!$B$146&amp;Show!$B$146&amp;"SR.26.04.01.01 Rows {"&amp;COLUMN($C$1)&amp;"}"</f>
        <v>!!SR.26.04.01.01 Rows {3}</v>
      </c>
      <c r="T37" s="13" t="str">
        <f>Show!$B$146&amp;Show!$B$146&amp;"SR.26.04.01.01 Columns {"&amp;COLUMN($J$1)&amp;"}"</f>
        <v>!!SR.26.04.01.01 Columns {10}</v>
      </c>
    </row>
    <row r="39" spans="2:20" ht="18.75">
      <c r="B39" s="97" t="s">
        <v>4978</v>
      </c>
      <c r="C39" s="96"/>
      <c r="D39" s="96"/>
      <c r="E39" s="96"/>
      <c r="F39" s="96"/>
      <c r="G39" s="96"/>
      <c r="H39" s="96"/>
      <c r="I39" s="96"/>
      <c r="J39" s="96"/>
      <c r="K39" s="96"/>
      <c r="L39" s="96"/>
    </row>
    <row r="41" spans="2:20">
      <c r="B41" t="s">
        <v>3110</v>
      </c>
      <c r="S41" s="13" t="str">
        <f>Show!$B$146&amp;"SR.26.04.01.02 Table label {"&amp;COLUMN($C$1)&amp;"}"</f>
        <v>!SR.26.04.01.02 Table label {3}</v>
      </c>
      <c r="T41" s="13" t="str">
        <f>Show!$B$146&amp;"SR.26.04.01.02 Table value {"&amp;COLUMN($D$1)&amp;"}"</f>
        <v>!SR.26.04.01.02 Table value {4}</v>
      </c>
    </row>
    <row r="42" spans="2:20">
      <c r="B42" t="s">
        <v>3111</v>
      </c>
    </row>
    <row r="43" spans="2:20">
      <c r="B43" s="40" t="s">
        <v>4622</v>
      </c>
      <c r="C43" s="53" t="s">
        <v>3113</v>
      </c>
      <c r="D43" s="51"/>
    </row>
    <row r="44" spans="2:20">
      <c r="B44" s="40" t="s">
        <v>3788</v>
      </c>
      <c r="C44" s="53" t="s">
        <v>3115</v>
      </c>
      <c r="D44" s="51"/>
    </row>
    <row r="45" spans="2:20">
      <c r="B45" s="40" t="s">
        <v>3114</v>
      </c>
      <c r="C45" s="53" t="s">
        <v>3323</v>
      </c>
      <c r="D45" s="50"/>
    </row>
    <row r="46" spans="2:20">
      <c r="S46" s="13" t="str">
        <f>Show!$B$146&amp;Show!$B$146&amp;"SR.26.04.01.02 Table label {"&amp;COLUMN($C$1)&amp;"}"</f>
        <v>!!SR.26.04.01.02 Table label {3}</v>
      </c>
      <c r="T46" s="13" t="str">
        <f>Show!$B$146&amp;Show!$B$146&amp;"SR.26.04.01.02 Table value {"&amp;COLUMN($D$1)&amp;"}"</f>
        <v>!!SR.26.04.01.02 Table value {4}</v>
      </c>
    </row>
    <row r="48" spans="2:20">
      <c r="D48" s="98" t="s">
        <v>2877</v>
      </c>
    </row>
    <row r="49" spans="2:20">
      <c r="D49" s="100"/>
    </row>
    <row r="50" spans="2:20">
      <c r="D50" s="55" t="s">
        <v>4687</v>
      </c>
    </row>
    <row r="51" spans="2:20">
      <c r="D51" s="45" t="s">
        <v>3236</v>
      </c>
      <c r="S51" s="13" t="str">
        <f>Show!$B$146&amp;"SR.26.04.01.02 Rows {"&amp;COLUMN($C$1)&amp;"}"&amp;"@ForceFilingCode:true"</f>
        <v>!SR.26.04.01.02 Rows {3}@ForceFilingCode:true</v>
      </c>
      <c r="T51" s="13" t="str">
        <f>Show!$B$146&amp;"SR.26.04.01.02 Columns {"&amp;COLUMN($D$1)&amp;"}"</f>
        <v>!SR.26.04.01.02 Columns {4}</v>
      </c>
    </row>
    <row r="52" spans="2:20">
      <c r="B52" s="43" t="s">
        <v>2880</v>
      </c>
      <c r="C52" s="44" t="s">
        <v>2878</v>
      </c>
      <c r="D52" s="46"/>
    </row>
    <row r="53" spans="2:20">
      <c r="B53" s="47" t="s">
        <v>4892</v>
      </c>
      <c r="C53" s="41" t="s">
        <v>3140</v>
      </c>
      <c r="D53" s="70"/>
    </row>
    <row r="55" spans="2:20">
      <c r="S55" s="13" t="str">
        <f>Show!$B$146&amp;Show!$B$146&amp;"SR.26.04.01.02 Rows {"&amp;COLUMN($C$1)&amp;"}"</f>
        <v>!!SR.26.04.01.02 Rows {3}</v>
      </c>
      <c r="T55" s="13" t="str">
        <f>Show!$B$146&amp;Show!$B$146&amp;"SR.26.04.01.02 Columns {"&amp;COLUMN($D$1)&amp;"}"</f>
        <v>!!SR.26.04.01.02 Columns {4}</v>
      </c>
    </row>
    <row r="57" spans="2:20" ht="18.75">
      <c r="B57" s="97" t="s">
        <v>4979</v>
      </c>
      <c r="C57" s="96"/>
      <c r="D57" s="96"/>
      <c r="E57" s="96"/>
      <c r="F57" s="96"/>
      <c r="G57" s="96"/>
      <c r="H57" s="96"/>
      <c r="I57" s="96"/>
      <c r="J57" s="96"/>
      <c r="K57" s="96"/>
      <c r="L57" s="96"/>
    </row>
    <row r="59" spans="2:20">
      <c r="B59" t="s">
        <v>3110</v>
      </c>
      <c r="S59" s="13" t="str">
        <f>Show!$B$146&amp;"SR.26.04.01.03 Table label {"&amp;COLUMN($C$1)&amp;"}"</f>
        <v>!SR.26.04.01.03 Table label {3}</v>
      </c>
      <c r="T59" s="13" t="str">
        <f>Show!$B$146&amp;"SR.26.04.01.03 Table value {"&amp;COLUMN($D$1)&amp;"}"</f>
        <v>!SR.26.04.01.03 Table value {4}</v>
      </c>
    </row>
    <row r="60" spans="2:20">
      <c r="B60" t="s">
        <v>3111</v>
      </c>
    </row>
    <row r="61" spans="2:20">
      <c r="B61" s="40" t="s">
        <v>4622</v>
      </c>
      <c r="C61" s="53" t="s">
        <v>3113</v>
      </c>
      <c r="D61" s="51"/>
    </row>
    <row r="62" spans="2:20">
      <c r="B62" s="40" t="s">
        <v>3788</v>
      </c>
      <c r="C62" s="53" t="s">
        <v>3115</v>
      </c>
      <c r="D62" s="51"/>
    </row>
    <row r="63" spans="2:20">
      <c r="B63" s="40" t="s">
        <v>3114</v>
      </c>
      <c r="C63" s="53" t="s">
        <v>3323</v>
      </c>
      <c r="D63" s="50"/>
    </row>
    <row r="64" spans="2:20">
      <c r="S64" s="13" t="str">
        <f>Show!$B$146&amp;Show!$B$146&amp;"SR.26.04.01.03 Table label {"&amp;COLUMN($C$1)&amp;"}"</f>
        <v>!!SR.26.04.01.03 Table label {3}</v>
      </c>
      <c r="T64" s="13" t="str">
        <f>Show!$B$146&amp;Show!$B$146&amp;"SR.26.04.01.03 Table value {"&amp;COLUMN($D$1)&amp;"}"</f>
        <v>!!SR.26.04.01.03 Table value {4}</v>
      </c>
    </row>
    <row r="66" spans="2:20">
      <c r="D66" s="101" t="s">
        <v>2877</v>
      </c>
      <c r="E66" s="102"/>
      <c r="F66" s="102"/>
      <c r="G66" s="102"/>
      <c r="H66" s="102"/>
      <c r="I66" s="102"/>
      <c r="J66" s="102"/>
      <c r="K66" s="103"/>
    </row>
    <row r="67" spans="2:20">
      <c r="D67" s="104"/>
      <c r="E67" s="105"/>
      <c r="F67" s="105"/>
      <c r="G67" s="105"/>
      <c r="H67" s="105"/>
      <c r="I67" s="105"/>
      <c r="J67" s="105"/>
      <c r="K67" s="106"/>
    </row>
    <row r="68" spans="2:20" ht="45">
      <c r="D68" s="107" t="s">
        <v>4924</v>
      </c>
      <c r="E68" s="108"/>
      <c r="F68" s="109"/>
      <c r="G68" s="55" t="s">
        <v>4928</v>
      </c>
      <c r="H68" s="107" t="s">
        <v>4929</v>
      </c>
      <c r="I68" s="108"/>
      <c r="J68" s="108"/>
      <c r="K68" s="109"/>
    </row>
    <row r="69" spans="2:20" ht="60">
      <c r="D69" s="55" t="s">
        <v>4925</v>
      </c>
      <c r="E69" s="55" t="s">
        <v>4926</v>
      </c>
      <c r="F69" s="55" t="s">
        <v>4927</v>
      </c>
      <c r="G69" s="55" t="s">
        <v>4687</v>
      </c>
      <c r="H69" s="55" t="s">
        <v>4930</v>
      </c>
      <c r="I69" s="55" t="s">
        <v>4931</v>
      </c>
      <c r="J69" s="55" t="s">
        <v>4932</v>
      </c>
      <c r="K69" s="55" t="s">
        <v>4933</v>
      </c>
    </row>
    <row r="70" spans="2:20">
      <c r="D70" s="45" t="s">
        <v>3239</v>
      </c>
      <c r="E70" s="45" t="s">
        <v>3241</v>
      </c>
      <c r="F70" s="45" t="s">
        <v>3243</v>
      </c>
      <c r="G70" s="45" t="s">
        <v>3375</v>
      </c>
      <c r="H70" s="45" t="s">
        <v>3475</v>
      </c>
      <c r="I70" s="45" t="s">
        <v>3477</v>
      </c>
      <c r="J70" s="45" t="s">
        <v>3479</v>
      </c>
      <c r="K70" s="45" t="s">
        <v>3594</v>
      </c>
      <c r="S70" s="13" t="str">
        <f>Show!$B$146&amp;"SR.26.04.01.03 Rows {"&amp;COLUMN($C$1)&amp;"}"&amp;"@ForceFilingCode:true"</f>
        <v>!SR.26.04.01.03 Rows {3}@ForceFilingCode:true</v>
      </c>
      <c r="T70" s="13" t="str">
        <f>Show!$B$146&amp;"SR.26.04.01.03 Columns {"&amp;COLUMN($D$1)&amp;"}"</f>
        <v>!SR.26.04.01.03 Columns {4}</v>
      </c>
    </row>
    <row r="71" spans="2:20">
      <c r="B71" s="43" t="s">
        <v>2880</v>
      </c>
      <c r="C71" s="44" t="s">
        <v>2878</v>
      </c>
      <c r="D71" s="56"/>
      <c r="E71" s="66"/>
      <c r="F71" s="66"/>
      <c r="G71" s="66"/>
      <c r="H71" s="66"/>
      <c r="I71" s="66"/>
      <c r="J71" s="66"/>
      <c r="K71" s="57"/>
    </row>
    <row r="72" spans="2:20">
      <c r="B72" s="47" t="s">
        <v>4934</v>
      </c>
      <c r="C72" s="41" t="s">
        <v>3315</v>
      </c>
      <c r="D72" s="70"/>
      <c r="E72" s="51"/>
      <c r="F72" s="70"/>
      <c r="G72" s="70"/>
      <c r="H72" s="60"/>
      <c r="I72" s="60"/>
      <c r="J72" s="70"/>
      <c r="K72" s="60"/>
    </row>
    <row r="73" spans="2:20">
      <c r="B73" s="47" t="s">
        <v>4935</v>
      </c>
      <c r="C73" s="41" t="s">
        <v>3496</v>
      </c>
      <c r="D73" s="70"/>
      <c r="E73" s="51"/>
      <c r="F73" s="70"/>
      <c r="G73" s="70"/>
      <c r="H73" s="60"/>
      <c r="I73" s="60"/>
      <c r="J73" s="70"/>
      <c r="K73" s="60"/>
    </row>
    <row r="74" spans="2:20">
      <c r="B74" s="47" t="s">
        <v>4936</v>
      </c>
      <c r="C74" s="41" t="s">
        <v>3497</v>
      </c>
      <c r="D74" s="70"/>
      <c r="E74" s="51"/>
      <c r="F74" s="70"/>
      <c r="G74" s="70"/>
      <c r="H74" s="60"/>
      <c r="I74" s="60"/>
      <c r="J74" s="70"/>
      <c r="K74" s="60"/>
    </row>
    <row r="75" spans="2:20">
      <c r="B75" s="47" t="s">
        <v>3902</v>
      </c>
      <c r="C75" s="41" t="s">
        <v>3498</v>
      </c>
      <c r="D75" s="76"/>
      <c r="E75" s="68"/>
      <c r="F75" s="76"/>
      <c r="G75" s="76"/>
      <c r="H75" s="63"/>
      <c r="I75" s="63"/>
      <c r="J75" s="76"/>
      <c r="K75" s="60"/>
    </row>
    <row r="76" spans="2:20">
      <c r="B76" s="47" t="s">
        <v>4937</v>
      </c>
      <c r="C76" s="44" t="s">
        <v>3499</v>
      </c>
      <c r="D76" s="56"/>
      <c r="E76" s="58"/>
      <c r="F76" s="58"/>
      <c r="G76" s="58"/>
      <c r="H76" s="58"/>
      <c r="I76" s="58"/>
      <c r="J76" s="48"/>
      <c r="K76" s="63"/>
    </row>
    <row r="77" spans="2:20">
      <c r="B77" s="47" t="s">
        <v>4938</v>
      </c>
      <c r="C77" s="41" t="s">
        <v>4939</v>
      </c>
      <c r="D77" s="71"/>
      <c r="E77" s="56"/>
      <c r="F77" s="56"/>
      <c r="G77" s="56"/>
      <c r="H77" s="56"/>
      <c r="I77" s="56"/>
      <c r="J77" s="56"/>
      <c r="K77" s="46"/>
    </row>
    <row r="79" spans="2:20">
      <c r="S79" s="13" t="str">
        <f>Show!$B$146&amp;Show!$B$146&amp;"SR.26.04.01.03 Rows {"&amp;COLUMN($C$1)&amp;"}"</f>
        <v>!!SR.26.04.01.03 Rows {3}</v>
      </c>
      <c r="T79" s="13" t="str">
        <f>Show!$B$146&amp;Show!$B$146&amp;"SR.26.04.01.03 Columns {"&amp;COLUMN($K$1)&amp;"}"</f>
        <v>!!SR.26.04.01.03 Columns {11}</v>
      </c>
    </row>
    <row r="81" spans="2:20" ht="18.75">
      <c r="B81" s="97" t="s">
        <v>4980</v>
      </c>
      <c r="C81" s="96"/>
      <c r="D81" s="96"/>
      <c r="E81" s="96"/>
      <c r="F81" s="96"/>
      <c r="G81" s="96"/>
      <c r="H81" s="96"/>
      <c r="I81" s="96"/>
      <c r="J81" s="96"/>
      <c r="K81" s="96"/>
      <c r="L81" s="96"/>
    </row>
    <row r="83" spans="2:20">
      <c r="B83" t="s">
        <v>3110</v>
      </c>
      <c r="S83" s="13" t="str">
        <f>Show!$B$146&amp;"SR.26.04.01.04 Table label {"&amp;COLUMN($C$1)&amp;"}"</f>
        <v>!SR.26.04.01.04 Table label {3}</v>
      </c>
      <c r="T83" s="13" t="str">
        <f>Show!$B$146&amp;"SR.26.04.01.04 Table value {"&amp;COLUMN($D$1)&amp;"}"</f>
        <v>!SR.26.04.01.04 Table value {4}</v>
      </c>
    </row>
    <row r="84" spans="2:20">
      <c r="B84" t="s">
        <v>3111</v>
      </c>
    </row>
    <row r="85" spans="2:20">
      <c r="B85" s="40" t="s">
        <v>4622</v>
      </c>
      <c r="C85" s="53" t="s">
        <v>3113</v>
      </c>
      <c r="D85" s="51"/>
    </row>
    <row r="86" spans="2:20">
      <c r="B86" s="40" t="s">
        <v>3788</v>
      </c>
      <c r="C86" s="53" t="s">
        <v>3115</v>
      </c>
      <c r="D86" s="51"/>
    </row>
    <row r="87" spans="2:20">
      <c r="B87" s="40" t="s">
        <v>3114</v>
      </c>
      <c r="C87" s="53" t="s">
        <v>3323</v>
      </c>
      <c r="D87" s="50"/>
    </row>
    <row r="88" spans="2:20">
      <c r="S88" s="13" t="str">
        <f>Show!$B$146&amp;Show!$B$146&amp;"SR.26.04.01.04 Table label {"&amp;COLUMN($C$1)&amp;"}"</f>
        <v>!!SR.26.04.01.04 Table label {3}</v>
      </c>
      <c r="T88" s="13" t="str">
        <f>Show!$B$146&amp;Show!$B$146&amp;"SR.26.04.01.04 Table value {"&amp;COLUMN($D$1)&amp;"}"</f>
        <v>!!SR.26.04.01.04 Table value {4}</v>
      </c>
    </row>
    <row r="90" spans="2:20">
      <c r="D90" s="98" t="s">
        <v>2877</v>
      </c>
    </row>
    <row r="91" spans="2:20">
      <c r="D91" s="100"/>
    </row>
    <row r="92" spans="2:20">
      <c r="D92" s="55" t="s">
        <v>4643</v>
      </c>
    </row>
    <row r="93" spans="2:20">
      <c r="D93" s="45" t="s">
        <v>3596</v>
      </c>
      <c r="S93" s="13" t="str">
        <f>Show!$B$146&amp;"SR.26.04.01.04 Rows {"&amp;COLUMN($C$1)&amp;"}"&amp;"@ForceFilingCode:true"</f>
        <v>!SR.26.04.01.04 Rows {3}@ForceFilingCode:true</v>
      </c>
      <c r="T93" s="13" t="str">
        <f>Show!$B$146&amp;"SR.26.04.01.04 Columns {"&amp;COLUMN($D$1)&amp;"}"</f>
        <v>!SR.26.04.01.04 Columns {4}</v>
      </c>
    </row>
    <row r="94" spans="2:20">
      <c r="B94" s="43" t="s">
        <v>2880</v>
      </c>
      <c r="C94" s="44" t="s">
        <v>2878</v>
      </c>
      <c r="D94" s="46"/>
    </row>
    <row r="95" spans="2:20">
      <c r="B95" s="47" t="s">
        <v>4981</v>
      </c>
      <c r="C95" s="41" t="s">
        <v>3500</v>
      </c>
      <c r="D95" s="60"/>
    </row>
    <row r="97" spans="2:20">
      <c r="S97" s="13" t="str">
        <f>Show!$B$146&amp;Show!$B$146&amp;"SR.26.04.01.04 Rows {"&amp;COLUMN($C$1)&amp;"}"</f>
        <v>!!SR.26.04.01.04 Rows {3}</v>
      </c>
      <c r="T97" s="13" t="str">
        <f>Show!$B$146&amp;Show!$B$146&amp;"SR.26.04.01.04 Columns {"&amp;COLUMN($D$1)&amp;"}"</f>
        <v>!!SR.26.04.01.04 Columns {4}</v>
      </c>
    </row>
    <row r="99" spans="2:20" ht="18.75">
      <c r="B99" s="97" t="s">
        <v>4982</v>
      </c>
      <c r="C99" s="96"/>
      <c r="D99" s="96"/>
      <c r="E99" s="96"/>
      <c r="F99" s="96"/>
      <c r="G99" s="96"/>
      <c r="H99" s="96"/>
      <c r="I99" s="96"/>
      <c r="J99" s="96"/>
      <c r="K99" s="96"/>
      <c r="L99" s="96"/>
    </row>
    <row r="101" spans="2:20">
      <c r="B101" t="s">
        <v>3110</v>
      </c>
      <c r="S101" s="13" t="str">
        <f>Show!$B$146&amp;"SR.26.04.01.05 Table label {"&amp;COLUMN($C$1)&amp;"}"</f>
        <v>!SR.26.04.01.05 Table label {3}</v>
      </c>
      <c r="T101" s="13" t="str">
        <f>Show!$B$146&amp;"SR.26.04.01.05 Table value {"&amp;COLUMN($D$1)&amp;"}"</f>
        <v>!SR.26.04.01.05 Table value {4}</v>
      </c>
    </row>
    <row r="102" spans="2:20">
      <c r="B102" t="s">
        <v>3111</v>
      </c>
    </row>
    <row r="103" spans="2:20">
      <c r="B103" s="40" t="s">
        <v>4622</v>
      </c>
      <c r="C103" s="53" t="s">
        <v>3113</v>
      </c>
      <c r="D103" s="51"/>
    </row>
    <row r="104" spans="2:20">
      <c r="B104" s="40" t="s">
        <v>3788</v>
      </c>
      <c r="C104" s="53" t="s">
        <v>3115</v>
      </c>
      <c r="D104" s="51"/>
    </row>
    <row r="105" spans="2:20">
      <c r="B105" s="40" t="s">
        <v>3114</v>
      </c>
      <c r="C105" s="53" t="s">
        <v>3323</v>
      </c>
      <c r="D105" s="50"/>
    </row>
    <row r="106" spans="2:20">
      <c r="S106" s="13" t="str">
        <f>Show!$B$146&amp;Show!$B$146&amp;"SR.26.04.01.05 Table label {"&amp;COLUMN($C$1)&amp;"}"</f>
        <v>!!SR.26.04.01.05 Table label {3}</v>
      </c>
      <c r="T106" s="13" t="str">
        <f>Show!$B$146&amp;Show!$B$146&amp;"SR.26.04.01.05 Table value {"&amp;COLUMN($D$1)&amp;"}"</f>
        <v>!!SR.26.04.01.05 Table value {4}</v>
      </c>
    </row>
    <row r="108" spans="2:20">
      <c r="D108" s="101" t="s">
        <v>2877</v>
      </c>
      <c r="E108" s="102"/>
      <c r="F108" s="102"/>
      <c r="G108" s="102"/>
      <c r="H108" s="103"/>
    </row>
    <row r="109" spans="2:20">
      <c r="D109" s="104"/>
      <c r="E109" s="105"/>
      <c r="F109" s="105"/>
      <c r="G109" s="105"/>
      <c r="H109" s="106"/>
    </row>
    <row r="110" spans="2:20">
      <c r="D110" s="107" t="s">
        <v>4763</v>
      </c>
      <c r="E110" s="109"/>
      <c r="F110" s="107" t="s">
        <v>4764</v>
      </c>
      <c r="G110" s="108"/>
      <c r="H110" s="109"/>
    </row>
    <row r="111" spans="2:20" ht="30">
      <c r="D111" s="55" t="s">
        <v>3252</v>
      </c>
      <c r="E111" s="55" t="s">
        <v>2389</v>
      </c>
      <c r="F111" s="55" t="s">
        <v>3252</v>
      </c>
      <c r="G111" s="55" t="s">
        <v>2389</v>
      </c>
      <c r="H111" s="55" t="s">
        <v>4643</v>
      </c>
    </row>
    <row r="112" spans="2:20">
      <c r="D112" s="45" t="s">
        <v>3599</v>
      </c>
      <c r="E112" s="45" t="s">
        <v>3481</v>
      </c>
      <c r="F112" s="45" t="s">
        <v>3508</v>
      </c>
      <c r="G112" s="45" t="s">
        <v>3509</v>
      </c>
      <c r="H112" s="45" t="s">
        <v>3511</v>
      </c>
      <c r="S112" s="13" t="str">
        <f>Show!$B$146&amp;"SR.26.04.01.05 Rows {"&amp;COLUMN($C$1)&amp;"}"&amp;"@ForceFilingCode:true"</f>
        <v>!SR.26.04.01.05 Rows {3}@ForceFilingCode:true</v>
      </c>
      <c r="T112" s="13" t="str">
        <f>Show!$B$146&amp;"SR.26.04.01.05 Columns {"&amp;COLUMN($D$1)&amp;"}"</f>
        <v>!SR.26.04.01.05 Columns {4}</v>
      </c>
    </row>
    <row r="113" spans="2:20">
      <c r="B113" s="43" t="s">
        <v>2880</v>
      </c>
      <c r="C113" s="44" t="s">
        <v>2878</v>
      </c>
      <c r="D113" s="56"/>
      <c r="E113" s="66"/>
      <c r="F113" s="66"/>
      <c r="G113" s="66"/>
      <c r="H113" s="57"/>
    </row>
    <row r="114" spans="2:20">
      <c r="B114" s="47" t="s">
        <v>4943</v>
      </c>
      <c r="C114" s="41" t="s">
        <v>3502</v>
      </c>
      <c r="D114" s="60"/>
      <c r="E114" s="60"/>
      <c r="F114" s="60"/>
      <c r="G114" s="60"/>
      <c r="H114" s="60"/>
    </row>
    <row r="116" spans="2:20">
      <c r="S116" s="13" t="str">
        <f>Show!$B$146&amp;Show!$B$146&amp;"SR.26.04.01.05 Rows {"&amp;COLUMN($C$1)&amp;"}"</f>
        <v>!!SR.26.04.01.05 Rows {3}</v>
      </c>
      <c r="T116" s="13" t="str">
        <f>Show!$B$146&amp;Show!$B$146&amp;"SR.26.04.01.05 Columns {"&amp;COLUMN($H$1)&amp;"}"</f>
        <v>!!SR.26.04.01.05 Columns {8}</v>
      </c>
    </row>
    <row r="118" spans="2:20" ht="18.75">
      <c r="B118" s="97" t="s">
        <v>4983</v>
      </c>
      <c r="C118" s="96"/>
      <c r="D118" s="96"/>
      <c r="E118" s="96"/>
      <c r="F118" s="96"/>
      <c r="G118" s="96"/>
      <c r="H118" s="96"/>
      <c r="I118" s="96"/>
      <c r="J118" s="96"/>
      <c r="K118" s="96"/>
      <c r="L118" s="96"/>
    </row>
    <row r="120" spans="2:20">
      <c r="B120" t="s">
        <v>3110</v>
      </c>
      <c r="S120" s="13" t="str">
        <f>Show!$B$146&amp;"SR.26.04.01.06 Table label {"&amp;COLUMN($C$1)&amp;"}"</f>
        <v>!SR.26.04.01.06 Table label {3}</v>
      </c>
      <c r="T120" s="13" t="str">
        <f>Show!$B$146&amp;"SR.26.04.01.06 Table value {"&amp;COLUMN($D$1)&amp;"}"</f>
        <v>!SR.26.04.01.06 Table value {4}</v>
      </c>
    </row>
    <row r="121" spans="2:20">
      <c r="B121" t="s">
        <v>3111</v>
      </c>
    </row>
    <row r="122" spans="2:20">
      <c r="B122" s="40" t="s">
        <v>4622</v>
      </c>
      <c r="C122" s="53" t="s">
        <v>3113</v>
      </c>
      <c r="D122" s="51"/>
    </row>
    <row r="123" spans="2:20">
      <c r="B123" s="40" t="s">
        <v>3788</v>
      </c>
      <c r="C123" s="53" t="s">
        <v>3115</v>
      </c>
      <c r="D123" s="51"/>
    </row>
    <row r="124" spans="2:20">
      <c r="B124" s="40" t="s">
        <v>3114</v>
      </c>
      <c r="C124" s="53" t="s">
        <v>3323</v>
      </c>
      <c r="D124" s="50"/>
    </row>
    <row r="125" spans="2:20">
      <c r="S125" s="13" t="str">
        <f>Show!$B$146&amp;Show!$B$146&amp;"SR.26.04.01.06 Table label {"&amp;COLUMN($C$1)&amp;"}"</f>
        <v>!!SR.26.04.01.06 Table label {3}</v>
      </c>
      <c r="T125" s="13" t="str">
        <f>Show!$B$146&amp;Show!$B$146&amp;"SR.26.04.01.06 Table value {"&amp;COLUMN($D$1)&amp;"}"</f>
        <v>!!SR.26.04.01.06 Table value {4}</v>
      </c>
    </row>
    <row r="127" spans="2:20">
      <c r="D127" s="98" t="s">
        <v>2877</v>
      </c>
    </row>
    <row r="128" spans="2:20">
      <c r="D128" s="100"/>
    </row>
    <row r="129" spans="2:20">
      <c r="D129" s="55" t="s">
        <v>4643</v>
      </c>
    </row>
    <row r="130" spans="2:20">
      <c r="D130" s="45" t="s">
        <v>3513</v>
      </c>
      <c r="S130" s="13" t="str">
        <f>Show!$B$146&amp;"SR.26.04.01.06 Rows {"&amp;COLUMN($C$1)&amp;"}"&amp;"@ForceFilingCode:true"</f>
        <v>!SR.26.04.01.06 Rows {3}@ForceFilingCode:true</v>
      </c>
      <c r="T130" s="13" t="str">
        <f>Show!$B$146&amp;"SR.26.04.01.06 Columns {"&amp;COLUMN($D$1)&amp;"}"</f>
        <v>!SR.26.04.01.06 Columns {4}</v>
      </c>
    </row>
    <row r="131" spans="2:20">
      <c r="B131" s="43" t="s">
        <v>2880</v>
      </c>
      <c r="C131" s="44" t="s">
        <v>2878</v>
      </c>
      <c r="D131" s="46"/>
    </row>
    <row r="132" spans="2:20">
      <c r="B132" s="47" t="s">
        <v>4945</v>
      </c>
      <c r="C132" s="41" t="s">
        <v>3504</v>
      </c>
      <c r="D132" s="60"/>
    </row>
    <row r="133" spans="2:20">
      <c r="B133" s="47" t="s">
        <v>4946</v>
      </c>
      <c r="C133" s="41" t="s">
        <v>4947</v>
      </c>
      <c r="D133" s="60"/>
    </row>
    <row r="135" spans="2:20">
      <c r="S135" s="13" t="str">
        <f>Show!$B$146&amp;Show!$B$146&amp;"SR.26.04.01.06 Rows {"&amp;COLUMN($C$1)&amp;"}"</f>
        <v>!!SR.26.04.01.06 Rows {3}</v>
      </c>
      <c r="T135" s="13" t="str">
        <f>Show!$B$146&amp;Show!$B$146&amp;"SR.26.04.01.06 Columns {"&amp;COLUMN($D$1)&amp;"}"</f>
        <v>!!SR.26.04.01.06 Columns {4}</v>
      </c>
    </row>
    <row r="137" spans="2:20" ht="18.75">
      <c r="B137" s="97" t="s">
        <v>4984</v>
      </c>
      <c r="C137" s="96"/>
      <c r="D137" s="96"/>
      <c r="E137" s="96"/>
      <c r="F137" s="96"/>
      <c r="G137" s="96"/>
      <c r="H137" s="96"/>
      <c r="I137" s="96"/>
      <c r="J137" s="96"/>
      <c r="K137" s="96"/>
      <c r="L137" s="96"/>
    </row>
    <row r="139" spans="2:20">
      <c r="B139" t="s">
        <v>3110</v>
      </c>
      <c r="S139" s="13" t="str">
        <f>Show!$B$146&amp;"SR.26.04.01.07 Table label {"&amp;COLUMN($C$1)&amp;"}"</f>
        <v>!SR.26.04.01.07 Table label {3}</v>
      </c>
      <c r="T139" s="13" t="str">
        <f>Show!$B$146&amp;"SR.26.04.01.07 Table value {"&amp;COLUMN($D$1)&amp;"}"</f>
        <v>!SR.26.04.01.07 Table value {4}</v>
      </c>
    </row>
    <row r="140" spans="2:20">
      <c r="B140" t="s">
        <v>3111</v>
      </c>
    </row>
    <row r="141" spans="2:20">
      <c r="B141" s="40" t="s">
        <v>4622</v>
      </c>
      <c r="C141" s="53" t="s">
        <v>3113</v>
      </c>
      <c r="D141" s="51"/>
    </row>
    <row r="142" spans="2:20">
      <c r="B142" s="40" t="s">
        <v>3788</v>
      </c>
      <c r="C142" s="53" t="s">
        <v>3115</v>
      </c>
      <c r="D142" s="51"/>
    </row>
    <row r="143" spans="2:20">
      <c r="B143" s="40" t="s">
        <v>3114</v>
      </c>
      <c r="C143" s="53" t="s">
        <v>3323</v>
      </c>
      <c r="D143" s="50"/>
    </row>
    <row r="144" spans="2:20">
      <c r="S144" s="13" t="str">
        <f>Show!$B$146&amp;Show!$B$146&amp;"SR.26.04.01.07 Table label {"&amp;COLUMN($C$1)&amp;"}"</f>
        <v>!!SR.26.04.01.07 Table label {3}</v>
      </c>
      <c r="T144" s="13" t="str">
        <f>Show!$B$146&amp;Show!$B$146&amp;"SR.26.04.01.07 Table value {"&amp;COLUMN($D$1)&amp;"}"</f>
        <v>!!SR.26.04.01.07 Table value {4}</v>
      </c>
    </row>
    <row r="146" spans="2:20">
      <c r="D146" s="101" t="s">
        <v>2877</v>
      </c>
      <c r="E146" s="103"/>
    </row>
    <row r="147" spans="2:20">
      <c r="D147" s="104"/>
      <c r="E147" s="106"/>
    </row>
    <row r="148" spans="2:20" ht="45">
      <c r="D148" s="55" t="s">
        <v>4623</v>
      </c>
      <c r="E148" s="55" t="s">
        <v>4624</v>
      </c>
    </row>
    <row r="149" spans="2:20">
      <c r="D149" s="45" t="s">
        <v>3514</v>
      </c>
      <c r="E149" s="45" t="s">
        <v>3515</v>
      </c>
      <c r="S149" s="13" t="str">
        <f>Show!$B$146&amp;"SR.26.04.01.07 Rows {"&amp;COLUMN($C$1)&amp;"}"&amp;"@ForceFilingCode:true"</f>
        <v>!SR.26.04.01.07 Rows {3}@ForceFilingCode:true</v>
      </c>
      <c r="T149" s="13" t="str">
        <f>Show!$B$146&amp;"SR.26.04.01.07 Columns {"&amp;COLUMN($D$1)&amp;"}"</f>
        <v>!SR.26.04.01.07 Columns {4}</v>
      </c>
    </row>
    <row r="150" spans="2:20">
      <c r="B150" s="43" t="s">
        <v>2880</v>
      </c>
      <c r="C150" s="44" t="s">
        <v>2878</v>
      </c>
      <c r="D150" s="56"/>
      <c r="E150" s="57"/>
    </row>
    <row r="151" spans="2:20">
      <c r="B151" s="47" t="s">
        <v>4949</v>
      </c>
      <c r="C151" s="41" t="s">
        <v>3523</v>
      </c>
      <c r="D151" s="60"/>
      <c r="E151" s="60"/>
    </row>
    <row r="152" spans="2:20">
      <c r="B152" s="47" t="s">
        <v>4950</v>
      </c>
      <c r="C152" s="41" t="s">
        <v>3524</v>
      </c>
      <c r="D152" s="60"/>
      <c r="E152" s="60"/>
    </row>
    <row r="153" spans="2:20">
      <c r="B153" s="47" t="s">
        <v>4951</v>
      </c>
      <c r="C153" s="41" t="s">
        <v>3525</v>
      </c>
      <c r="D153" s="60"/>
      <c r="E153" s="60"/>
    </row>
    <row r="154" spans="2:20">
      <c r="B154" s="47" t="s">
        <v>4952</v>
      </c>
      <c r="C154" s="41" t="s">
        <v>4953</v>
      </c>
      <c r="D154" s="60"/>
      <c r="E154" s="60"/>
    </row>
    <row r="155" spans="2:20">
      <c r="B155" s="47" t="s">
        <v>4954</v>
      </c>
      <c r="C155" s="41" t="s">
        <v>4955</v>
      </c>
      <c r="D155" s="60"/>
      <c r="E155" s="60"/>
    </row>
    <row r="157" spans="2:20">
      <c r="S157" s="13" t="str">
        <f>Show!$B$146&amp;Show!$B$146&amp;"SR.26.04.01.07 Rows {"&amp;COLUMN($C$1)&amp;"}"</f>
        <v>!!SR.26.04.01.07 Rows {3}</v>
      </c>
      <c r="T157" s="13" t="str">
        <f>Show!$B$146&amp;Show!$B$146&amp;"SR.26.04.01.07 Columns {"&amp;COLUMN($E$1)&amp;"}"</f>
        <v>!!SR.26.04.01.07 Columns {5}</v>
      </c>
    </row>
    <row r="159" spans="2:20" ht="18.75">
      <c r="B159" s="97" t="s">
        <v>4985</v>
      </c>
      <c r="C159" s="96"/>
      <c r="D159" s="96"/>
      <c r="E159" s="96"/>
      <c r="F159" s="96"/>
      <c r="G159" s="96"/>
      <c r="H159" s="96"/>
      <c r="I159" s="96"/>
      <c r="J159" s="96"/>
      <c r="K159" s="96"/>
      <c r="L159" s="96"/>
    </row>
    <row r="161" spans="2:20">
      <c r="B161" t="s">
        <v>3110</v>
      </c>
      <c r="S161" s="13" t="str">
        <f>Show!$B$146&amp;"SR.26.04.01.08 Table label {"&amp;COLUMN($C$1)&amp;"}"</f>
        <v>!SR.26.04.01.08 Table label {3}</v>
      </c>
      <c r="T161" s="13" t="str">
        <f>Show!$B$146&amp;"SR.26.04.01.08 Table value {"&amp;COLUMN($D$1)&amp;"}"</f>
        <v>!SR.26.04.01.08 Table value {4}</v>
      </c>
    </row>
    <row r="162" spans="2:20">
      <c r="B162" t="s">
        <v>3111</v>
      </c>
    </row>
    <row r="163" spans="2:20">
      <c r="B163" s="40" t="s">
        <v>4622</v>
      </c>
      <c r="C163" s="53" t="s">
        <v>3113</v>
      </c>
      <c r="D163" s="51"/>
    </row>
    <row r="164" spans="2:20">
      <c r="B164" s="40" t="s">
        <v>3788</v>
      </c>
      <c r="C164" s="53" t="s">
        <v>3115</v>
      </c>
      <c r="D164" s="51"/>
    </row>
    <row r="165" spans="2:20">
      <c r="B165" s="40" t="s">
        <v>3114</v>
      </c>
      <c r="C165" s="53" t="s">
        <v>3323</v>
      </c>
      <c r="D165" s="50"/>
    </row>
    <row r="166" spans="2:20">
      <c r="S166" s="13" t="str">
        <f>Show!$B$146&amp;Show!$B$146&amp;"SR.26.04.01.08 Table label {"&amp;COLUMN($C$1)&amp;"}"</f>
        <v>!!SR.26.04.01.08 Table label {3}</v>
      </c>
      <c r="T166" s="13" t="str">
        <f>Show!$B$146&amp;Show!$B$146&amp;"SR.26.04.01.08 Table value {"&amp;COLUMN($D$1)&amp;"}"</f>
        <v>!!SR.26.04.01.08 Table value {4}</v>
      </c>
    </row>
    <row r="168" spans="2:20">
      <c r="D168" s="101" t="s">
        <v>2877</v>
      </c>
      <c r="E168" s="103"/>
    </row>
    <row r="169" spans="2:20">
      <c r="D169" s="104"/>
      <c r="E169" s="106"/>
    </row>
    <row r="170" spans="2:20" ht="45">
      <c r="D170" s="55" t="s">
        <v>4623</v>
      </c>
      <c r="E170" s="55" t="s">
        <v>4624</v>
      </c>
    </row>
    <row r="171" spans="2:20">
      <c r="D171" s="45" t="s">
        <v>3517</v>
      </c>
      <c r="E171" s="45" t="s">
        <v>3518</v>
      </c>
      <c r="S171" s="13" t="str">
        <f>Show!$B$146&amp;"SR.26.04.01.08 Rows {"&amp;COLUMN($C$1)&amp;"}"&amp;"@ForceFilingCode:true"</f>
        <v>!SR.26.04.01.08 Rows {3}@ForceFilingCode:true</v>
      </c>
      <c r="T171" s="13" t="str">
        <f>Show!$B$146&amp;"SR.26.04.01.08 Columns {"&amp;COLUMN($D$1)&amp;"}"</f>
        <v>!SR.26.04.01.08 Columns {4}</v>
      </c>
    </row>
    <row r="172" spans="2:20">
      <c r="B172" s="43" t="s">
        <v>2880</v>
      </c>
      <c r="C172" s="44" t="s">
        <v>2878</v>
      </c>
      <c r="D172" s="56"/>
      <c r="E172" s="57"/>
    </row>
    <row r="173" spans="2:20">
      <c r="B173" s="47" t="s">
        <v>4957</v>
      </c>
      <c r="C173" s="41" t="s">
        <v>3526</v>
      </c>
      <c r="D173" s="60"/>
      <c r="E173" s="60"/>
    </row>
    <row r="174" spans="2:20">
      <c r="B174" s="47" t="s">
        <v>4958</v>
      </c>
      <c r="C174" s="41" t="s">
        <v>3529</v>
      </c>
      <c r="D174" s="60"/>
      <c r="E174" s="60"/>
    </row>
    <row r="176" spans="2:20">
      <c r="S176" s="13" t="str">
        <f>Show!$B$146&amp;Show!$B$146&amp;"SR.26.04.01.08 Rows {"&amp;COLUMN($C$1)&amp;"}"</f>
        <v>!!SR.26.04.01.08 Rows {3}</v>
      </c>
      <c r="T176" s="13" t="str">
        <f>Show!$B$146&amp;Show!$B$146&amp;"SR.26.04.01.08 Columns {"&amp;COLUMN($E$1)&amp;"}"</f>
        <v>!!SR.26.04.01.08 Columns {5}</v>
      </c>
    </row>
    <row r="178" spans="2:20" ht="18.75">
      <c r="B178" s="97" t="s">
        <v>4986</v>
      </c>
      <c r="C178" s="96"/>
      <c r="D178" s="96"/>
      <c r="E178" s="96"/>
      <c r="F178" s="96"/>
      <c r="G178" s="96"/>
      <c r="H178" s="96"/>
      <c r="I178" s="96"/>
      <c r="J178" s="96"/>
      <c r="K178" s="96"/>
      <c r="L178" s="96"/>
    </row>
    <row r="180" spans="2:20">
      <c r="B180" t="s">
        <v>3110</v>
      </c>
      <c r="S180" s="13" t="str">
        <f>Show!$B$146&amp;"SR.26.04.01.09 Table label {"&amp;COLUMN($C$1)&amp;"}"</f>
        <v>!SR.26.04.01.09 Table label {3}</v>
      </c>
      <c r="T180" s="13" t="str">
        <f>Show!$B$146&amp;"SR.26.04.01.09 Table value {"&amp;COLUMN($D$1)&amp;"}"</f>
        <v>!SR.26.04.01.09 Table value {4}</v>
      </c>
    </row>
    <row r="181" spans="2:20">
      <c r="B181" t="s">
        <v>3111</v>
      </c>
    </row>
    <row r="182" spans="2:20">
      <c r="B182" s="40" t="s">
        <v>4622</v>
      </c>
      <c r="C182" s="53" t="s">
        <v>3113</v>
      </c>
      <c r="D182" s="51"/>
    </row>
    <row r="183" spans="2:20">
      <c r="B183" s="40" t="s">
        <v>3788</v>
      </c>
      <c r="C183" s="53" t="s">
        <v>3115</v>
      </c>
      <c r="D183" s="51"/>
    </row>
    <row r="184" spans="2:20">
      <c r="B184" s="40" t="s">
        <v>3114</v>
      </c>
      <c r="C184" s="53" t="s">
        <v>3323</v>
      </c>
      <c r="D184" s="50"/>
    </row>
    <row r="185" spans="2:20">
      <c r="S185" s="13" t="str">
        <f>Show!$B$146&amp;Show!$B$146&amp;"SR.26.04.01.09 Table label {"&amp;COLUMN($C$1)&amp;"}"</f>
        <v>!!SR.26.04.01.09 Table label {3}</v>
      </c>
      <c r="T185" s="13" t="str">
        <f>Show!$B$146&amp;Show!$B$146&amp;"SR.26.04.01.09 Table value {"&amp;COLUMN($D$1)&amp;"}"</f>
        <v>!!SR.26.04.01.09 Table value {4}</v>
      </c>
    </row>
    <row r="187" spans="2:20">
      <c r="D187" s="98" t="s">
        <v>2877</v>
      </c>
    </row>
    <row r="188" spans="2:20">
      <c r="D188" s="100"/>
    </row>
    <row r="189" spans="2:20">
      <c r="D189" s="55" t="s">
        <v>2574</v>
      </c>
    </row>
    <row r="190" spans="2:20">
      <c r="D190" s="45" t="s">
        <v>2879</v>
      </c>
      <c r="S190" s="13" t="str">
        <f>Show!$B$146&amp;"SR.26.04.01.09 Rows {"&amp;COLUMN($C$1)&amp;"}"&amp;"@ForceFilingCode:true"</f>
        <v>!SR.26.04.01.09 Rows {3}@ForceFilingCode:true</v>
      </c>
      <c r="T190" s="13" t="str">
        <f>Show!$B$146&amp;"SR.26.04.01.09 Columns {"&amp;COLUMN($D$1)&amp;"}"</f>
        <v>!SR.26.04.01.09 Columns {4}</v>
      </c>
    </row>
    <row r="191" spans="2:20">
      <c r="B191" s="43" t="s">
        <v>2880</v>
      </c>
      <c r="C191" s="44" t="s">
        <v>2878</v>
      </c>
      <c r="D191" s="46"/>
    </row>
    <row r="192" spans="2:20">
      <c r="B192" s="47" t="s">
        <v>4960</v>
      </c>
      <c r="C192" s="41" t="s">
        <v>2883</v>
      </c>
      <c r="D192" s="51"/>
    </row>
    <row r="193" spans="2:20">
      <c r="B193" s="47" t="s">
        <v>4961</v>
      </c>
      <c r="C193" s="41" t="s">
        <v>2885</v>
      </c>
      <c r="D193" s="51"/>
    </row>
    <row r="194" spans="2:20">
      <c r="B194" s="47" t="s">
        <v>4962</v>
      </c>
      <c r="C194" s="41" t="s">
        <v>2887</v>
      </c>
      <c r="D194" s="51"/>
    </row>
    <row r="195" spans="2:20">
      <c r="B195" s="47" t="s">
        <v>4963</v>
      </c>
      <c r="C195" s="41" t="s">
        <v>2889</v>
      </c>
      <c r="D195" s="51"/>
    </row>
    <row r="196" spans="2:20">
      <c r="B196" s="47" t="s">
        <v>4964</v>
      </c>
      <c r="C196" s="41" t="s">
        <v>3078</v>
      </c>
      <c r="D196" s="51"/>
    </row>
    <row r="197" spans="2:20">
      <c r="B197" s="47" t="s">
        <v>4965</v>
      </c>
      <c r="C197" s="41" t="s">
        <v>4966</v>
      </c>
      <c r="D197" s="51"/>
    </row>
    <row r="198" spans="2:20">
      <c r="B198" s="47" t="s">
        <v>4967</v>
      </c>
      <c r="C198" s="41" t="s">
        <v>2891</v>
      </c>
      <c r="D198" s="51"/>
    </row>
    <row r="200" spans="2:20">
      <c r="S200" s="13" t="str">
        <f>Show!$B$146&amp;Show!$B$146&amp;"SR.26.04.01.09 Rows {"&amp;COLUMN($C$1)&amp;"}"</f>
        <v>!!SR.26.04.01.09 Rows {3}</v>
      </c>
      <c r="T200" s="13" t="str">
        <f>Show!$B$146&amp;Show!$B$146&amp;"SR.26.04.01.09 Columns {"&amp;COLUMN($D$1)&amp;"}"</f>
        <v>!!SR.26.04.01.09 Columns {4}</v>
      </c>
    </row>
  </sheetData>
  <sheetProtection sheet="1" objects="1" scenarios="1"/>
  <mergeCells count="32">
    <mergeCell ref="D108:H109"/>
    <mergeCell ref="B159:L159"/>
    <mergeCell ref="D168:E169"/>
    <mergeCell ref="B178:L178"/>
    <mergeCell ref="D187:D188"/>
    <mergeCell ref="D110:E110"/>
    <mergeCell ref="F110:H110"/>
    <mergeCell ref="B118:L118"/>
    <mergeCell ref="D127:D128"/>
    <mergeCell ref="B137:L137"/>
    <mergeCell ref="D146:E147"/>
    <mergeCell ref="J17:J18"/>
    <mergeCell ref="B39:L39"/>
    <mergeCell ref="D48:D49"/>
    <mergeCell ref="B57:L57"/>
    <mergeCell ref="B99:L99"/>
    <mergeCell ref="D68:F68"/>
    <mergeCell ref="H68:K68"/>
    <mergeCell ref="B81:L81"/>
    <mergeCell ref="D90:D91"/>
    <mergeCell ref="D66:K67"/>
    <mergeCell ref="D17:D18"/>
    <mergeCell ref="E17:E18"/>
    <mergeCell ref="F17:F18"/>
    <mergeCell ref="G17:G18"/>
    <mergeCell ref="H17:H18"/>
    <mergeCell ref="I17:I18"/>
    <mergeCell ref="B2:O2"/>
    <mergeCell ref="B5:L5"/>
    <mergeCell ref="D14:J15"/>
    <mergeCell ref="D16:E16"/>
    <mergeCell ref="F16:J16"/>
  </mergeCells>
  <dataValidations count="5">
    <dataValidation type="list" errorStyle="warning" allowBlank="1" showInputMessage="1" showErrorMessage="1" sqref="D9 D43 D61 D85 D103 D122 D141 D163 D182" xr:uid="{EF8A4AA1-7CFB-41A5-B54A-64B23F686741}">
      <formula1>hier_AO_1</formula1>
    </dataValidation>
    <dataValidation type="list" errorStyle="warning" allowBlank="1" showInputMessage="1" showErrorMessage="1" sqref="D10 D44 D62 D86 D104 D123 D142 D164 D183" xr:uid="{47536A07-2B04-4BF4-B31F-F9C1F07F2F0C}">
      <formula1>hier_PU_20</formula1>
    </dataValidation>
    <dataValidation type="list" errorStyle="warning" allowBlank="1" showInputMessage="1" showErrorMessage="1" sqref="E72 E73 E74 E75" xr:uid="{ED02BB99-0BF7-4A91-A8EF-632BF71F7A16}">
      <formula1>hier_AP_12</formula1>
    </dataValidation>
    <dataValidation type="list" errorStyle="warning" allowBlank="1" showInputMessage="1" showErrorMessage="1" sqref="D192 D193 D194 D195 D198" xr:uid="{58686445-F774-413C-9AF1-4826C051D8DB}">
      <formula1>hier_AP_17</formula1>
    </dataValidation>
    <dataValidation type="list" errorStyle="warning" allowBlank="1" showInputMessage="1" showErrorMessage="1" sqref="D197" xr:uid="{D40DC74B-CE1E-42A8-8A16-31DB6A275CB9}">
      <formula1>hier_AP_26</formula1>
    </dataValidation>
  </dataValidation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2F3-1D34-44D1-94BB-32D4C8FF0E06}">
  <sheetPr codeName="Blad151"/>
  <dimension ref="B2:T101"/>
  <sheetViews>
    <sheetView showGridLines="0" workbookViewId="0"/>
  </sheetViews>
  <sheetFormatPr defaultRowHeight="15"/>
  <cols>
    <col min="2" max="2" width="55.42578125" bestFit="1" customWidth="1"/>
    <col min="4" max="4" width="40.7109375" customWidth="1"/>
    <col min="5" max="11" width="15.7109375" customWidth="1"/>
  </cols>
  <sheetData>
    <row r="2" spans="2:20" ht="23.25">
      <c r="B2" s="95" t="s">
        <v>730</v>
      </c>
      <c r="C2" s="96"/>
      <c r="D2" s="96"/>
      <c r="E2" s="96"/>
      <c r="F2" s="96"/>
      <c r="G2" s="96"/>
      <c r="H2" s="96"/>
      <c r="I2" s="96"/>
      <c r="J2" s="96"/>
      <c r="K2" s="96"/>
      <c r="L2" s="96"/>
      <c r="M2" s="96"/>
      <c r="N2" s="96"/>
      <c r="O2" s="96"/>
    </row>
    <row r="5" spans="2:20" ht="18.75">
      <c r="B5" s="97" t="s">
        <v>4987</v>
      </c>
      <c r="C5" s="96"/>
      <c r="D5" s="96"/>
      <c r="E5" s="96"/>
      <c r="F5" s="96"/>
      <c r="G5" s="96"/>
      <c r="H5" s="96"/>
      <c r="I5" s="96"/>
      <c r="J5" s="96"/>
      <c r="K5" s="96"/>
      <c r="L5" s="96"/>
    </row>
    <row r="7" spans="2:20">
      <c r="B7" t="s">
        <v>3110</v>
      </c>
      <c r="S7" s="13" t="str">
        <f>Show!$B$147&amp;"S.26.05.01.01 Table label {"&amp;COLUMN($C$1)&amp;"}"</f>
        <v>!S.26.05.01.01 Table label {3}</v>
      </c>
      <c r="T7" s="13" t="str">
        <f>Show!$B$147&amp;"S.26.05.01.01 Table value {"&amp;COLUMN($D$1)&amp;"}"</f>
        <v>!S.26.05.01.01 Table value {4}</v>
      </c>
    </row>
    <row r="8" spans="2:20">
      <c r="B8" t="s">
        <v>3111</v>
      </c>
    </row>
    <row r="9" spans="2:20">
      <c r="B9" s="40" t="s">
        <v>4622</v>
      </c>
      <c r="C9" s="53" t="s">
        <v>3113</v>
      </c>
      <c r="D9" s="51"/>
    </row>
    <row r="10" spans="2:20">
      <c r="S10" s="13" t="str">
        <f>Show!$B$147&amp;Show!$B$147&amp;"S.26.05.01.01 Table label {"&amp;COLUMN($C$1)&amp;"}"</f>
        <v>!!S.26.05.01.01 Table label {3}</v>
      </c>
      <c r="T10" s="13" t="str">
        <f>Show!$B$147&amp;Show!$B$147&amp;"S.26.05.01.01 Table value {"&amp;COLUMN($D$1)&amp;"}"</f>
        <v>!!S.26.05.01.01 Table value {4}</v>
      </c>
    </row>
    <row r="12" spans="2:20">
      <c r="D12" s="101" t="s">
        <v>2877</v>
      </c>
      <c r="E12" s="102"/>
      <c r="F12" s="102"/>
      <c r="G12" s="102"/>
      <c r="H12" s="102"/>
      <c r="I12" s="102"/>
      <c r="J12" s="102"/>
      <c r="K12" s="103"/>
    </row>
    <row r="13" spans="2:20">
      <c r="D13" s="104"/>
      <c r="E13" s="105"/>
      <c r="F13" s="105"/>
      <c r="G13" s="105"/>
      <c r="H13" s="105"/>
      <c r="I13" s="105"/>
      <c r="J13" s="105"/>
      <c r="K13" s="106"/>
    </row>
    <row r="14" spans="2:20" ht="45">
      <c r="D14" s="107" t="s">
        <v>4924</v>
      </c>
      <c r="E14" s="108"/>
      <c r="F14" s="109"/>
      <c r="G14" s="55" t="s">
        <v>4928</v>
      </c>
      <c r="H14" s="107" t="s">
        <v>4929</v>
      </c>
      <c r="I14" s="108"/>
      <c r="J14" s="108"/>
      <c r="K14" s="109"/>
    </row>
    <row r="15" spans="2:20" ht="60">
      <c r="D15" s="55" t="s">
        <v>4925</v>
      </c>
      <c r="E15" s="55" t="s">
        <v>4926</v>
      </c>
      <c r="F15" s="55" t="s">
        <v>4927</v>
      </c>
      <c r="G15" s="55" t="s">
        <v>4687</v>
      </c>
      <c r="H15" s="55" t="s">
        <v>4930</v>
      </c>
      <c r="I15" s="55" t="s">
        <v>4931</v>
      </c>
      <c r="J15" s="55" t="s">
        <v>4932</v>
      </c>
      <c r="K15" s="55" t="s">
        <v>4933</v>
      </c>
    </row>
    <row r="16" spans="2:20">
      <c r="D16" s="45" t="s">
        <v>3219</v>
      </c>
      <c r="E16" s="45" t="s">
        <v>3225</v>
      </c>
      <c r="F16" s="45" t="s">
        <v>3223</v>
      </c>
      <c r="G16" s="45" t="s">
        <v>3229</v>
      </c>
      <c r="H16" s="45" t="s">
        <v>3231</v>
      </c>
      <c r="I16" s="45" t="s">
        <v>3233</v>
      </c>
      <c r="J16" s="45" t="s">
        <v>3234</v>
      </c>
      <c r="K16" s="45" t="s">
        <v>3236</v>
      </c>
      <c r="S16" s="13" t="str">
        <f>Show!$B$147&amp;"S.26.05.01.01 Rows {"&amp;COLUMN($C$1)&amp;"}"&amp;"@ForceFilingCode:true"</f>
        <v>!S.26.05.01.01 Rows {3}@ForceFilingCode:true</v>
      </c>
      <c r="T16" s="13" t="str">
        <f>Show!$B$147&amp;"S.26.05.01.01 Columns {"&amp;COLUMN($D$1)&amp;"}"</f>
        <v>!S.26.05.01.01 Columns {4}</v>
      </c>
    </row>
    <row r="17" spans="2:11">
      <c r="B17" s="43" t="s">
        <v>2880</v>
      </c>
      <c r="C17" s="44" t="s">
        <v>2878</v>
      </c>
      <c r="D17" s="56"/>
      <c r="E17" s="66"/>
      <c r="F17" s="66"/>
      <c r="G17" s="66"/>
      <c r="H17" s="66"/>
      <c r="I17" s="66"/>
      <c r="J17" s="66"/>
      <c r="K17" s="57"/>
    </row>
    <row r="18" spans="2:11">
      <c r="B18" s="47" t="s">
        <v>4988</v>
      </c>
      <c r="C18" s="41" t="s">
        <v>2899</v>
      </c>
      <c r="D18" s="70"/>
      <c r="E18" s="51"/>
      <c r="F18" s="70"/>
      <c r="G18" s="70"/>
      <c r="H18" s="60"/>
      <c r="I18" s="60"/>
      <c r="J18" s="70"/>
      <c r="K18" s="60"/>
    </row>
    <row r="19" spans="2:11">
      <c r="B19" s="47" t="s">
        <v>4989</v>
      </c>
      <c r="C19" s="41" t="s">
        <v>2901</v>
      </c>
      <c r="D19" s="70"/>
      <c r="E19" s="51"/>
      <c r="F19" s="70"/>
      <c r="G19" s="70"/>
      <c r="H19" s="60"/>
      <c r="I19" s="60"/>
      <c r="J19" s="70"/>
      <c r="K19" s="60"/>
    </row>
    <row r="20" spans="2:11">
      <c r="B20" s="47" t="s">
        <v>4990</v>
      </c>
      <c r="C20" s="41" t="s">
        <v>2903</v>
      </c>
      <c r="D20" s="70"/>
      <c r="E20" s="51"/>
      <c r="F20" s="70"/>
      <c r="G20" s="70"/>
      <c r="H20" s="60"/>
      <c r="I20" s="60"/>
      <c r="J20" s="70"/>
      <c r="K20" s="60"/>
    </row>
    <row r="21" spans="2:11">
      <c r="B21" s="47" t="s">
        <v>4991</v>
      </c>
      <c r="C21" s="41" t="s">
        <v>2905</v>
      </c>
      <c r="D21" s="70"/>
      <c r="E21" s="51"/>
      <c r="F21" s="70"/>
      <c r="G21" s="70"/>
      <c r="H21" s="60"/>
      <c r="I21" s="60"/>
      <c r="J21" s="70"/>
      <c r="K21" s="60"/>
    </row>
    <row r="22" spans="2:11">
      <c r="B22" s="47" t="s">
        <v>4992</v>
      </c>
      <c r="C22" s="41" t="s">
        <v>2907</v>
      </c>
      <c r="D22" s="70"/>
      <c r="E22" s="51"/>
      <c r="F22" s="70"/>
      <c r="G22" s="70"/>
      <c r="H22" s="60"/>
      <c r="I22" s="60"/>
      <c r="J22" s="70"/>
      <c r="K22" s="60"/>
    </row>
    <row r="23" spans="2:11">
      <c r="B23" s="47" t="s">
        <v>4993</v>
      </c>
      <c r="C23" s="41" t="s">
        <v>2909</v>
      </c>
      <c r="D23" s="70"/>
      <c r="E23" s="51"/>
      <c r="F23" s="70"/>
      <c r="G23" s="70"/>
      <c r="H23" s="60"/>
      <c r="I23" s="60"/>
      <c r="J23" s="70"/>
      <c r="K23" s="60"/>
    </row>
    <row r="24" spans="2:11">
      <c r="B24" s="47" t="s">
        <v>4994</v>
      </c>
      <c r="C24" s="41" t="s">
        <v>2911</v>
      </c>
      <c r="D24" s="70"/>
      <c r="E24" s="51"/>
      <c r="F24" s="70"/>
      <c r="G24" s="70"/>
      <c r="H24" s="60"/>
      <c r="I24" s="60"/>
      <c r="J24" s="70"/>
      <c r="K24" s="60"/>
    </row>
    <row r="25" spans="2:11">
      <c r="B25" s="47" t="s">
        <v>3470</v>
      </c>
      <c r="C25" s="41" t="s">
        <v>2913</v>
      </c>
      <c r="D25" s="70"/>
      <c r="E25" s="51"/>
      <c r="F25" s="70"/>
      <c r="G25" s="70"/>
      <c r="H25" s="60"/>
      <c r="I25" s="60"/>
      <c r="J25" s="70"/>
      <c r="K25" s="60"/>
    </row>
    <row r="26" spans="2:11">
      <c r="B26" s="47" t="s">
        <v>4995</v>
      </c>
      <c r="C26" s="41" t="s">
        <v>2915</v>
      </c>
      <c r="D26" s="70"/>
      <c r="E26" s="51"/>
      <c r="F26" s="70"/>
      <c r="G26" s="70"/>
      <c r="H26" s="60"/>
      <c r="I26" s="60"/>
      <c r="J26" s="70"/>
      <c r="K26" s="60"/>
    </row>
    <row r="27" spans="2:11">
      <c r="B27" s="47" t="s">
        <v>4996</v>
      </c>
      <c r="C27" s="41" t="s">
        <v>2917</v>
      </c>
      <c r="D27" s="70"/>
      <c r="E27" s="51"/>
      <c r="F27" s="70"/>
      <c r="G27" s="70"/>
      <c r="H27" s="60"/>
      <c r="I27" s="60"/>
      <c r="J27" s="70"/>
      <c r="K27" s="60"/>
    </row>
    <row r="28" spans="2:11">
      <c r="B28" s="47" t="s">
        <v>4997</v>
      </c>
      <c r="C28" s="41" t="s">
        <v>2919</v>
      </c>
      <c r="D28" s="70"/>
      <c r="E28" s="51"/>
      <c r="F28" s="70"/>
      <c r="G28" s="70"/>
      <c r="H28" s="60"/>
      <c r="I28" s="60"/>
      <c r="J28" s="70"/>
      <c r="K28" s="60"/>
    </row>
    <row r="29" spans="2:11">
      <c r="B29" s="47" t="s">
        <v>4998</v>
      </c>
      <c r="C29" s="41" t="s">
        <v>2921</v>
      </c>
      <c r="D29" s="76"/>
      <c r="E29" s="68"/>
      <c r="F29" s="76"/>
      <c r="G29" s="76"/>
      <c r="H29" s="63"/>
      <c r="I29" s="63"/>
      <c r="J29" s="76"/>
      <c r="K29" s="60"/>
    </row>
    <row r="30" spans="2:11">
      <c r="B30" s="47" t="s">
        <v>4937</v>
      </c>
      <c r="C30" s="44" t="s">
        <v>2923</v>
      </c>
      <c r="D30" s="56"/>
      <c r="E30" s="58"/>
      <c r="F30" s="58"/>
      <c r="G30" s="58"/>
      <c r="H30" s="58"/>
      <c r="I30" s="58"/>
      <c r="J30" s="48"/>
      <c r="K30" s="63"/>
    </row>
    <row r="31" spans="2:11">
      <c r="B31" s="47" t="s">
        <v>4938</v>
      </c>
      <c r="C31" s="41" t="s">
        <v>2925</v>
      </c>
      <c r="D31" s="71"/>
      <c r="E31" s="56"/>
      <c r="F31" s="56"/>
      <c r="G31" s="56"/>
      <c r="H31" s="56"/>
      <c r="I31" s="56"/>
      <c r="J31" s="56"/>
      <c r="K31" s="46"/>
    </row>
    <row r="33" spans="2:20">
      <c r="S33" s="13" t="str">
        <f>Show!$B$147&amp;Show!$B$147&amp;"S.26.05.01.01 Rows {"&amp;COLUMN($C$1)&amp;"}"</f>
        <v>!!S.26.05.01.01 Rows {3}</v>
      </c>
      <c r="T33" s="13" t="str">
        <f>Show!$B$147&amp;Show!$B$147&amp;"S.26.05.01.01 Columns {"&amp;COLUMN($K$1)&amp;"}"</f>
        <v>!!S.26.05.01.01 Columns {11}</v>
      </c>
    </row>
    <row r="35" spans="2:20" ht="18.75">
      <c r="B35" s="97" t="s">
        <v>4999</v>
      </c>
      <c r="C35" s="96"/>
      <c r="D35" s="96"/>
      <c r="E35" s="96"/>
      <c r="F35" s="96"/>
      <c r="G35" s="96"/>
      <c r="H35" s="96"/>
      <c r="I35" s="96"/>
      <c r="J35" s="96"/>
      <c r="K35" s="96"/>
      <c r="L35" s="96"/>
    </row>
    <row r="37" spans="2:20">
      <c r="B37" t="s">
        <v>3110</v>
      </c>
      <c r="S37" s="13" t="str">
        <f>Show!$B$147&amp;"S.26.05.01.02 Table label {"&amp;COLUMN($C$1)&amp;"}"</f>
        <v>!S.26.05.01.02 Table label {3}</v>
      </c>
      <c r="T37" s="13" t="str">
        <f>Show!$B$147&amp;"S.26.05.01.02 Table value {"&amp;COLUMN($D$1)&amp;"}"</f>
        <v>!S.26.05.01.02 Table value {4}</v>
      </c>
    </row>
    <row r="38" spans="2:20">
      <c r="B38" t="s">
        <v>3111</v>
      </c>
    </row>
    <row r="39" spans="2:20">
      <c r="B39" s="40" t="s">
        <v>4622</v>
      </c>
      <c r="C39" s="53" t="s">
        <v>3113</v>
      </c>
      <c r="D39" s="51"/>
    </row>
    <row r="40" spans="2:20">
      <c r="S40" s="13" t="str">
        <f>Show!$B$147&amp;Show!$B$147&amp;"S.26.05.01.02 Table label {"&amp;COLUMN($C$1)&amp;"}"</f>
        <v>!!S.26.05.01.02 Table label {3}</v>
      </c>
      <c r="T40" s="13" t="str">
        <f>Show!$B$147&amp;Show!$B$147&amp;"S.26.05.01.02 Table value {"&amp;COLUMN($D$1)&amp;"}"</f>
        <v>!!S.26.05.01.02 Table value {4}</v>
      </c>
    </row>
    <row r="42" spans="2:20">
      <c r="D42" s="98" t="s">
        <v>2877</v>
      </c>
    </row>
    <row r="43" spans="2:20">
      <c r="D43" s="100"/>
    </row>
    <row r="44" spans="2:20">
      <c r="D44" s="55" t="s">
        <v>4643</v>
      </c>
    </row>
    <row r="45" spans="2:20">
      <c r="D45" s="45" t="s">
        <v>3239</v>
      </c>
      <c r="S45" s="13" t="str">
        <f>Show!$B$147&amp;"S.26.05.01.02 Rows {"&amp;COLUMN($C$1)&amp;"}"&amp;"@ForceFilingCode:true"</f>
        <v>!S.26.05.01.02 Rows {3}@ForceFilingCode:true</v>
      </c>
      <c r="T45" s="13" t="str">
        <f>Show!$B$147&amp;"S.26.05.01.02 Columns {"&amp;COLUMN($D$1)&amp;"}"</f>
        <v>!S.26.05.01.02 Columns {4}</v>
      </c>
    </row>
    <row r="46" spans="2:20">
      <c r="B46" s="43" t="s">
        <v>2880</v>
      </c>
      <c r="C46" s="44" t="s">
        <v>2878</v>
      </c>
      <c r="D46" s="46"/>
    </row>
    <row r="47" spans="2:20">
      <c r="B47" s="47" t="s">
        <v>5000</v>
      </c>
      <c r="C47" s="41" t="s">
        <v>2939</v>
      </c>
      <c r="D47" s="60"/>
    </row>
    <row r="49" spans="2:20">
      <c r="S49" s="13" t="str">
        <f>Show!$B$147&amp;Show!$B$147&amp;"S.26.05.01.02 Rows {"&amp;COLUMN($C$1)&amp;"}"</f>
        <v>!!S.26.05.01.02 Rows {3}</v>
      </c>
      <c r="T49" s="13" t="str">
        <f>Show!$B$147&amp;Show!$B$147&amp;"S.26.05.01.02 Columns {"&amp;COLUMN($D$1)&amp;"}"</f>
        <v>!!S.26.05.01.02 Columns {4}</v>
      </c>
    </row>
    <row r="51" spans="2:20" ht="18.75">
      <c r="B51" s="97" t="s">
        <v>5001</v>
      </c>
      <c r="C51" s="96"/>
      <c r="D51" s="96"/>
      <c r="E51" s="96"/>
      <c r="F51" s="96"/>
      <c r="G51" s="96"/>
      <c r="H51" s="96"/>
      <c r="I51" s="96"/>
      <c r="J51" s="96"/>
      <c r="K51" s="96"/>
      <c r="L51" s="96"/>
    </row>
    <row r="53" spans="2:20">
      <c r="B53" t="s">
        <v>3110</v>
      </c>
      <c r="S53" s="13" t="str">
        <f>Show!$B$147&amp;"S.26.05.01.03 Table label {"&amp;COLUMN($C$1)&amp;"}"</f>
        <v>!S.26.05.01.03 Table label {3}</v>
      </c>
      <c r="T53" s="13" t="str">
        <f>Show!$B$147&amp;"S.26.05.01.03 Table value {"&amp;COLUMN($D$1)&amp;"}"</f>
        <v>!S.26.05.01.03 Table value {4}</v>
      </c>
    </row>
    <row r="54" spans="2:20">
      <c r="B54" t="s">
        <v>3111</v>
      </c>
    </row>
    <row r="55" spans="2:20">
      <c r="B55" s="40" t="s">
        <v>4622</v>
      </c>
      <c r="C55" s="53" t="s">
        <v>3113</v>
      </c>
      <c r="D55" s="51"/>
    </row>
    <row r="56" spans="2:20">
      <c r="S56" s="13" t="str">
        <f>Show!$B$147&amp;Show!$B$147&amp;"S.26.05.01.03 Table label {"&amp;COLUMN($C$1)&amp;"}"</f>
        <v>!!S.26.05.01.03 Table label {3}</v>
      </c>
      <c r="T56" s="13" t="str">
        <f>Show!$B$147&amp;Show!$B$147&amp;"S.26.05.01.03 Table value {"&amp;COLUMN($D$1)&amp;"}"</f>
        <v>!!S.26.05.01.03 Table value {4}</v>
      </c>
    </row>
    <row r="58" spans="2:20">
      <c r="D58" s="101" t="s">
        <v>2877</v>
      </c>
      <c r="E58" s="102"/>
      <c r="F58" s="102"/>
      <c r="G58" s="102"/>
      <c r="H58" s="103"/>
    </row>
    <row r="59" spans="2:20">
      <c r="D59" s="104"/>
      <c r="E59" s="105"/>
      <c r="F59" s="105"/>
      <c r="G59" s="105"/>
      <c r="H59" s="106"/>
    </row>
    <row r="60" spans="2:20">
      <c r="D60" s="107" t="s">
        <v>4763</v>
      </c>
      <c r="E60" s="109"/>
      <c r="F60" s="107" t="s">
        <v>4764</v>
      </c>
      <c r="G60" s="108"/>
      <c r="H60" s="109"/>
    </row>
    <row r="61" spans="2:20" ht="30">
      <c r="D61" s="55" t="s">
        <v>3252</v>
      </c>
      <c r="E61" s="55" t="s">
        <v>2389</v>
      </c>
      <c r="F61" s="55" t="s">
        <v>3252</v>
      </c>
      <c r="G61" s="55" t="s">
        <v>2389</v>
      </c>
      <c r="H61" s="55" t="s">
        <v>4643</v>
      </c>
    </row>
    <row r="62" spans="2:20">
      <c r="D62" s="45" t="s">
        <v>3241</v>
      </c>
      <c r="E62" s="45" t="s">
        <v>3243</v>
      </c>
      <c r="F62" s="45" t="s">
        <v>3375</v>
      </c>
      <c r="G62" s="45" t="s">
        <v>3475</v>
      </c>
      <c r="H62" s="45" t="s">
        <v>3477</v>
      </c>
      <c r="S62" s="13" t="str">
        <f>Show!$B$147&amp;"S.26.05.01.03 Rows {"&amp;COLUMN($C$1)&amp;"}"&amp;"@ForceFilingCode:true"</f>
        <v>!S.26.05.01.03 Rows {3}@ForceFilingCode:true</v>
      </c>
      <c r="T62" s="13" t="str">
        <f>Show!$B$147&amp;"S.26.05.01.03 Columns {"&amp;COLUMN($D$1)&amp;"}"</f>
        <v>!S.26.05.01.03 Columns {4}</v>
      </c>
    </row>
    <row r="63" spans="2:20">
      <c r="B63" s="43" t="s">
        <v>2880</v>
      </c>
      <c r="C63" s="44" t="s">
        <v>2878</v>
      </c>
      <c r="D63" s="56"/>
      <c r="E63" s="66"/>
      <c r="F63" s="66"/>
      <c r="G63" s="66"/>
      <c r="H63" s="57"/>
    </row>
    <row r="64" spans="2:20">
      <c r="B64" s="47" t="s">
        <v>5002</v>
      </c>
      <c r="C64" s="41" t="s">
        <v>2959</v>
      </c>
      <c r="D64" s="60"/>
      <c r="E64" s="60"/>
      <c r="F64" s="60"/>
      <c r="G64" s="60"/>
      <c r="H64" s="60"/>
    </row>
    <row r="66" spans="2:20">
      <c r="S66" s="13" t="str">
        <f>Show!$B$147&amp;Show!$B$147&amp;"S.26.05.01.03 Rows {"&amp;COLUMN($C$1)&amp;"}"</f>
        <v>!!S.26.05.01.03 Rows {3}</v>
      </c>
      <c r="T66" s="13" t="str">
        <f>Show!$B$147&amp;Show!$B$147&amp;"S.26.05.01.03 Columns {"&amp;COLUMN($H$1)&amp;"}"</f>
        <v>!!S.26.05.01.03 Columns {8}</v>
      </c>
    </row>
    <row r="68" spans="2:20" ht="18.75">
      <c r="B68" s="97" t="s">
        <v>5003</v>
      </c>
      <c r="C68" s="96"/>
      <c r="D68" s="96"/>
      <c r="E68" s="96"/>
      <c r="F68" s="96"/>
      <c r="G68" s="96"/>
      <c r="H68" s="96"/>
      <c r="I68" s="96"/>
      <c r="J68" s="96"/>
      <c r="K68" s="96"/>
      <c r="L68" s="96"/>
    </row>
    <row r="70" spans="2:20">
      <c r="B70" t="s">
        <v>3110</v>
      </c>
      <c r="S70" s="13" t="str">
        <f>Show!$B$147&amp;"S.26.05.01.04 Table label {"&amp;COLUMN($C$1)&amp;"}"</f>
        <v>!S.26.05.01.04 Table label {3}</v>
      </c>
      <c r="T70" s="13" t="str">
        <f>Show!$B$147&amp;"S.26.05.01.04 Table value {"&amp;COLUMN($D$1)&amp;"}"</f>
        <v>!S.26.05.01.04 Table value {4}</v>
      </c>
    </row>
    <row r="71" spans="2:20">
      <c r="B71" t="s">
        <v>3111</v>
      </c>
    </row>
    <row r="72" spans="2:20">
      <c r="B72" s="40" t="s">
        <v>4622</v>
      </c>
      <c r="C72" s="53" t="s">
        <v>3113</v>
      </c>
      <c r="D72" s="51"/>
    </row>
    <row r="73" spans="2:20">
      <c r="S73" s="13" t="str">
        <f>Show!$B$147&amp;Show!$B$147&amp;"S.26.05.01.04 Table label {"&amp;COLUMN($C$1)&amp;"}"</f>
        <v>!!S.26.05.01.04 Table label {3}</v>
      </c>
      <c r="T73" s="13" t="str">
        <f>Show!$B$147&amp;Show!$B$147&amp;"S.26.05.01.04 Table value {"&amp;COLUMN($D$1)&amp;"}"</f>
        <v>!!S.26.05.01.04 Table value {4}</v>
      </c>
    </row>
    <row r="75" spans="2:20">
      <c r="D75" s="98" t="s">
        <v>2877</v>
      </c>
    </row>
    <row r="76" spans="2:20">
      <c r="D76" s="100"/>
    </row>
    <row r="77" spans="2:20">
      <c r="D77" s="55" t="s">
        <v>4643</v>
      </c>
    </row>
    <row r="78" spans="2:20">
      <c r="D78" s="45" t="s">
        <v>3479</v>
      </c>
      <c r="S78" s="13" t="str">
        <f>Show!$B$147&amp;"S.26.05.01.04 Rows {"&amp;COLUMN($C$1)&amp;"}"&amp;"@ForceFilingCode:true"</f>
        <v>!S.26.05.01.04 Rows {3}@ForceFilingCode:true</v>
      </c>
      <c r="T78" s="13" t="str">
        <f>Show!$B$147&amp;"S.26.05.01.04 Columns {"&amp;COLUMN($D$1)&amp;"}"</f>
        <v>!S.26.05.01.04 Columns {4}</v>
      </c>
    </row>
    <row r="79" spans="2:20">
      <c r="B79" s="43" t="s">
        <v>2880</v>
      </c>
      <c r="C79" s="44" t="s">
        <v>2878</v>
      </c>
      <c r="D79" s="46"/>
    </row>
    <row r="80" spans="2:20">
      <c r="B80" s="47" t="s">
        <v>5004</v>
      </c>
      <c r="C80" s="41" t="s">
        <v>2977</v>
      </c>
      <c r="D80" s="60"/>
    </row>
    <row r="81" spans="2:20">
      <c r="B81" s="47" t="s">
        <v>5005</v>
      </c>
      <c r="C81" s="41" t="s">
        <v>2997</v>
      </c>
      <c r="D81" s="60"/>
    </row>
    <row r="82" spans="2:20">
      <c r="B82" s="47" t="s">
        <v>5006</v>
      </c>
      <c r="C82" s="41" t="s">
        <v>3064</v>
      </c>
      <c r="D82" s="60"/>
    </row>
    <row r="84" spans="2:20">
      <c r="S84" s="13" t="str">
        <f>Show!$B$147&amp;Show!$B$147&amp;"S.26.05.01.04 Rows {"&amp;COLUMN($C$1)&amp;"}"</f>
        <v>!!S.26.05.01.04 Rows {3}</v>
      </c>
      <c r="T84" s="13" t="str">
        <f>Show!$B$147&amp;Show!$B$147&amp;"S.26.05.01.04 Columns {"&amp;COLUMN($D$1)&amp;"}"</f>
        <v>!!S.26.05.01.04 Columns {4}</v>
      </c>
    </row>
    <row r="86" spans="2:20" ht="18.75">
      <c r="B86" s="97" t="s">
        <v>5007</v>
      </c>
      <c r="C86" s="96"/>
      <c r="D86" s="96"/>
      <c r="E86" s="96"/>
      <c r="F86" s="96"/>
      <c r="G86" s="96"/>
      <c r="H86" s="96"/>
      <c r="I86" s="96"/>
      <c r="J86" s="96"/>
      <c r="K86" s="96"/>
      <c r="L86" s="96"/>
    </row>
    <row r="88" spans="2:20">
      <c r="B88" t="s">
        <v>3110</v>
      </c>
      <c r="S88" s="13" t="str">
        <f>Show!$B$147&amp;"S.26.05.01.05 Table label {"&amp;COLUMN($C$1)&amp;"}"</f>
        <v>!S.26.05.01.05 Table label {3}</v>
      </c>
      <c r="T88" s="13" t="str">
        <f>Show!$B$147&amp;"S.26.05.01.05 Table value {"&amp;COLUMN($D$1)&amp;"}"</f>
        <v>!S.26.05.01.05 Table value {4}</v>
      </c>
    </row>
    <row r="89" spans="2:20">
      <c r="B89" t="s">
        <v>3111</v>
      </c>
    </row>
    <row r="90" spans="2:20">
      <c r="B90" s="40" t="s">
        <v>4622</v>
      </c>
      <c r="C90" s="53" t="s">
        <v>3113</v>
      </c>
      <c r="D90" s="51"/>
    </row>
    <row r="91" spans="2:20">
      <c r="S91" s="13" t="str">
        <f>Show!$B$147&amp;Show!$B$147&amp;"S.26.05.01.05 Table label {"&amp;COLUMN($C$1)&amp;"}"</f>
        <v>!!S.26.05.01.05 Table label {3}</v>
      </c>
      <c r="T91" s="13" t="str">
        <f>Show!$B$147&amp;Show!$B$147&amp;"S.26.05.01.05 Table value {"&amp;COLUMN($D$1)&amp;"}"</f>
        <v>!!S.26.05.01.05 Table value {4}</v>
      </c>
    </row>
    <row r="93" spans="2:20">
      <c r="D93" s="98" t="s">
        <v>2877</v>
      </c>
    </row>
    <row r="94" spans="2:20">
      <c r="D94" s="100"/>
    </row>
    <row r="95" spans="2:20">
      <c r="D95" s="55" t="s">
        <v>2574</v>
      </c>
    </row>
    <row r="96" spans="2:20">
      <c r="D96" s="45" t="s">
        <v>2879</v>
      </c>
      <c r="S96" s="13" t="str">
        <f>Show!$B$147&amp;"S.26.05.01.05 Rows {"&amp;COLUMN($C$1)&amp;"}"&amp;"@ForceFilingCode:true"</f>
        <v>!S.26.05.01.05 Rows {3}@ForceFilingCode:true</v>
      </c>
      <c r="T96" s="13" t="str">
        <f>Show!$B$147&amp;"S.26.05.01.05 Columns {"&amp;COLUMN($D$1)&amp;"}"</f>
        <v>!S.26.05.01.05 Columns {4}</v>
      </c>
    </row>
    <row r="97" spans="2:20">
      <c r="B97" s="43" t="s">
        <v>2880</v>
      </c>
      <c r="C97" s="44" t="s">
        <v>2878</v>
      </c>
      <c r="D97" s="46"/>
    </row>
    <row r="98" spans="2:20">
      <c r="B98" s="47" t="s">
        <v>5008</v>
      </c>
      <c r="C98" s="41" t="s">
        <v>2883</v>
      </c>
      <c r="D98" s="51"/>
    </row>
    <row r="99" spans="2:20">
      <c r="B99" s="47" t="s">
        <v>5009</v>
      </c>
      <c r="C99" s="41" t="s">
        <v>5010</v>
      </c>
      <c r="D99" s="51"/>
    </row>
    <row r="101" spans="2:20">
      <c r="S101" s="13" t="str">
        <f>Show!$B$147&amp;Show!$B$147&amp;"S.26.05.01.05 Rows {"&amp;COLUMN($C$1)&amp;"}"</f>
        <v>!!S.26.05.01.05 Rows {3}</v>
      </c>
      <c r="T101" s="13" t="str">
        <f>Show!$B$147&amp;Show!$B$147&amp;"S.26.05.01.05 Columns {"&amp;COLUMN($D$1)&amp;"}"</f>
        <v>!!S.26.05.01.05 Columns {4}</v>
      </c>
    </row>
  </sheetData>
  <sheetProtection sheet="1" objects="1" scenarios="1"/>
  <mergeCells count="15">
    <mergeCell ref="D75:D76"/>
    <mergeCell ref="B86:L86"/>
    <mergeCell ref="D93:D94"/>
    <mergeCell ref="D42:D43"/>
    <mergeCell ref="B51:L51"/>
    <mergeCell ref="D58:H59"/>
    <mergeCell ref="D60:E60"/>
    <mergeCell ref="F60:H60"/>
    <mergeCell ref="B68:L68"/>
    <mergeCell ref="B35:L35"/>
    <mergeCell ref="B2:O2"/>
    <mergeCell ref="B5:L5"/>
    <mergeCell ref="D12:K13"/>
    <mergeCell ref="D14:F14"/>
    <mergeCell ref="H14:K14"/>
  </mergeCells>
  <dataValidations count="4">
    <dataValidation type="list" errorStyle="warning" allowBlank="1" showInputMessage="1" showErrorMessage="1" sqref="D9 D39 D55 D72 D90" xr:uid="{72F981F8-AAF1-461F-AA02-2507884D5C02}">
      <formula1>hier_AO_1</formula1>
    </dataValidation>
    <dataValidation type="list" errorStyle="warning" allowBlank="1" showInputMessage="1" showErrorMessage="1" sqref="E18 E19 E20 E21 E22 E23 E24 E25 E26 E27 E28 E29" xr:uid="{9FADE879-9754-41D8-8009-CBAC6EBC1214}">
      <formula1>hier_AP_12</formula1>
    </dataValidation>
    <dataValidation type="list" errorStyle="warning" allowBlank="1" showInputMessage="1" showErrorMessage="1" sqref="D98" xr:uid="{71DCCBBB-F950-48D7-85BD-A7E138FB3849}">
      <formula1>hier_AP_17</formula1>
    </dataValidation>
    <dataValidation type="list" errorStyle="warning" allowBlank="1" showInputMessage="1" showErrorMessage="1" sqref="D99" xr:uid="{8AF14E85-ABBC-4A2B-8F8C-F191722A0958}">
      <formula1>hier_AP_27</formula1>
    </dataValidation>
  </dataValidation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52E2-8C78-4423-9B63-66C82CCF7DF9}">
  <sheetPr codeName="Blad152"/>
  <dimension ref="B2:T101"/>
  <sheetViews>
    <sheetView showGridLines="0" workbookViewId="0"/>
  </sheetViews>
  <sheetFormatPr defaultRowHeight="15"/>
  <cols>
    <col min="2" max="2" width="55.42578125" bestFit="1" customWidth="1"/>
    <col min="4" max="4" width="40.7109375" customWidth="1"/>
    <col min="5" max="11" width="15.7109375" customWidth="1"/>
  </cols>
  <sheetData>
    <row r="2" spans="2:20" ht="23.25">
      <c r="B2" s="95" t="s">
        <v>730</v>
      </c>
      <c r="C2" s="96"/>
      <c r="D2" s="96"/>
      <c r="E2" s="96"/>
      <c r="F2" s="96"/>
      <c r="G2" s="96"/>
      <c r="H2" s="96"/>
      <c r="I2" s="96"/>
      <c r="J2" s="96"/>
      <c r="K2" s="96"/>
      <c r="L2" s="96"/>
      <c r="M2" s="96"/>
      <c r="N2" s="96"/>
      <c r="O2" s="96"/>
    </row>
    <row r="5" spans="2:20" ht="18.75">
      <c r="B5" s="97" t="s">
        <v>5011</v>
      </c>
      <c r="C5" s="96"/>
      <c r="D5" s="96"/>
      <c r="E5" s="96"/>
      <c r="F5" s="96"/>
      <c r="G5" s="96"/>
      <c r="H5" s="96"/>
      <c r="I5" s="96"/>
      <c r="J5" s="96"/>
      <c r="K5" s="96"/>
      <c r="L5" s="96"/>
    </row>
    <row r="7" spans="2:20">
      <c r="B7" t="s">
        <v>3110</v>
      </c>
      <c r="S7" s="13" t="str">
        <f>Show!$B$148&amp;"S.26.05.04.01 Table label {"&amp;COLUMN($C$1)&amp;"}"</f>
        <v>!S.26.05.04.01 Table label {3}</v>
      </c>
      <c r="T7" s="13" t="str">
        <f>Show!$B$148&amp;"S.26.05.04.01 Table value {"&amp;COLUMN($D$1)&amp;"}"</f>
        <v>!S.26.05.04.01 Table value {4}</v>
      </c>
    </row>
    <row r="8" spans="2:20">
      <c r="B8" t="s">
        <v>3111</v>
      </c>
    </row>
    <row r="9" spans="2:20">
      <c r="B9" s="40" t="s">
        <v>4622</v>
      </c>
      <c r="C9" s="53" t="s">
        <v>3113</v>
      </c>
      <c r="D9" s="51"/>
    </row>
    <row r="10" spans="2:20">
      <c r="S10" s="13" t="str">
        <f>Show!$B$148&amp;Show!$B$148&amp;"S.26.05.04.01 Table label {"&amp;COLUMN($C$1)&amp;"}"</f>
        <v>!!S.26.05.04.01 Table label {3}</v>
      </c>
      <c r="T10" s="13" t="str">
        <f>Show!$B$148&amp;Show!$B$148&amp;"S.26.05.04.01 Table value {"&amp;COLUMN($D$1)&amp;"}"</f>
        <v>!!S.26.05.04.01 Table value {4}</v>
      </c>
    </row>
    <row r="12" spans="2:20">
      <c r="D12" s="101" t="s">
        <v>2877</v>
      </c>
      <c r="E12" s="102"/>
      <c r="F12" s="102"/>
      <c r="G12" s="102"/>
      <c r="H12" s="102"/>
      <c r="I12" s="102"/>
      <c r="J12" s="102"/>
      <c r="K12" s="103"/>
    </row>
    <row r="13" spans="2:20">
      <c r="D13" s="104"/>
      <c r="E13" s="105"/>
      <c r="F13" s="105"/>
      <c r="G13" s="105"/>
      <c r="H13" s="105"/>
      <c r="I13" s="105"/>
      <c r="J13" s="105"/>
      <c r="K13" s="106"/>
    </row>
    <row r="14" spans="2:20" ht="45">
      <c r="D14" s="107" t="s">
        <v>4924</v>
      </c>
      <c r="E14" s="108"/>
      <c r="F14" s="109"/>
      <c r="G14" s="55" t="s">
        <v>4928</v>
      </c>
      <c r="H14" s="107" t="s">
        <v>4929</v>
      </c>
      <c r="I14" s="108"/>
      <c r="J14" s="108"/>
      <c r="K14" s="109"/>
    </row>
    <row r="15" spans="2:20" ht="60">
      <c r="D15" s="55" t="s">
        <v>4925</v>
      </c>
      <c r="E15" s="55" t="s">
        <v>4926</v>
      </c>
      <c r="F15" s="55" t="s">
        <v>4927</v>
      </c>
      <c r="G15" s="55" t="s">
        <v>4687</v>
      </c>
      <c r="H15" s="55" t="s">
        <v>4930</v>
      </c>
      <c r="I15" s="55" t="s">
        <v>4931</v>
      </c>
      <c r="J15" s="55" t="s">
        <v>4932</v>
      </c>
      <c r="K15" s="55" t="s">
        <v>4933</v>
      </c>
    </row>
    <row r="16" spans="2:20">
      <c r="D16" s="45" t="s">
        <v>3219</v>
      </c>
      <c r="E16" s="45" t="s">
        <v>3225</v>
      </c>
      <c r="F16" s="45" t="s">
        <v>3223</v>
      </c>
      <c r="G16" s="45" t="s">
        <v>3229</v>
      </c>
      <c r="H16" s="45" t="s">
        <v>3231</v>
      </c>
      <c r="I16" s="45" t="s">
        <v>3233</v>
      </c>
      <c r="J16" s="45" t="s">
        <v>3234</v>
      </c>
      <c r="K16" s="45" t="s">
        <v>3236</v>
      </c>
      <c r="S16" s="13" t="str">
        <f>Show!$B$148&amp;"S.26.05.04.01 Rows {"&amp;COLUMN($C$1)&amp;"}"&amp;"@ForceFilingCode:true"</f>
        <v>!S.26.05.04.01 Rows {3}@ForceFilingCode:true</v>
      </c>
      <c r="T16" s="13" t="str">
        <f>Show!$B$148&amp;"S.26.05.04.01 Columns {"&amp;COLUMN($D$1)&amp;"}"</f>
        <v>!S.26.05.04.01 Columns {4}</v>
      </c>
    </row>
    <row r="17" spans="2:11">
      <c r="B17" s="43" t="s">
        <v>2880</v>
      </c>
      <c r="C17" s="44" t="s">
        <v>2878</v>
      </c>
      <c r="D17" s="56"/>
      <c r="E17" s="66"/>
      <c r="F17" s="66"/>
      <c r="G17" s="66"/>
      <c r="H17" s="66"/>
      <c r="I17" s="66"/>
      <c r="J17" s="66"/>
      <c r="K17" s="57"/>
    </row>
    <row r="18" spans="2:11">
      <c r="B18" s="47" t="s">
        <v>4988</v>
      </c>
      <c r="C18" s="41" t="s">
        <v>2899</v>
      </c>
      <c r="D18" s="70"/>
      <c r="E18" s="51"/>
      <c r="F18" s="70"/>
      <c r="G18" s="70"/>
      <c r="H18" s="60"/>
      <c r="I18" s="60"/>
      <c r="J18" s="70"/>
      <c r="K18" s="60"/>
    </row>
    <row r="19" spans="2:11">
      <c r="B19" s="47" t="s">
        <v>4989</v>
      </c>
      <c r="C19" s="41" t="s">
        <v>2901</v>
      </c>
      <c r="D19" s="70"/>
      <c r="E19" s="51"/>
      <c r="F19" s="70"/>
      <c r="G19" s="70"/>
      <c r="H19" s="60"/>
      <c r="I19" s="60"/>
      <c r="J19" s="70"/>
      <c r="K19" s="60"/>
    </row>
    <row r="20" spans="2:11">
      <c r="B20" s="47" t="s">
        <v>4990</v>
      </c>
      <c r="C20" s="41" t="s">
        <v>2903</v>
      </c>
      <c r="D20" s="70"/>
      <c r="E20" s="51"/>
      <c r="F20" s="70"/>
      <c r="G20" s="70"/>
      <c r="H20" s="60"/>
      <c r="I20" s="60"/>
      <c r="J20" s="70"/>
      <c r="K20" s="60"/>
    </row>
    <row r="21" spans="2:11">
      <c r="B21" s="47" t="s">
        <v>4991</v>
      </c>
      <c r="C21" s="41" t="s">
        <v>2905</v>
      </c>
      <c r="D21" s="70"/>
      <c r="E21" s="51"/>
      <c r="F21" s="70"/>
      <c r="G21" s="70"/>
      <c r="H21" s="60"/>
      <c r="I21" s="60"/>
      <c r="J21" s="70"/>
      <c r="K21" s="60"/>
    </row>
    <row r="22" spans="2:11">
      <c r="B22" s="47" t="s">
        <v>4992</v>
      </c>
      <c r="C22" s="41" t="s">
        <v>2907</v>
      </c>
      <c r="D22" s="70"/>
      <c r="E22" s="51"/>
      <c r="F22" s="70"/>
      <c r="G22" s="70"/>
      <c r="H22" s="60"/>
      <c r="I22" s="60"/>
      <c r="J22" s="70"/>
      <c r="K22" s="60"/>
    </row>
    <row r="23" spans="2:11">
      <c r="B23" s="47" t="s">
        <v>4993</v>
      </c>
      <c r="C23" s="41" t="s">
        <v>2909</v>
      </c>
      <c r="D23" s="70"/>
      <c r="E23" s="51"/>
      <c r="F23" s="70"/>
      <c r="G23" s="70"/>
      <c r="H23" s="60"/>
      <c r="I23" s="60"/>
      <c r="J23" s="70"/>
      <c r="K23" s="60"/>
    </row>
    <row r="24" spans="2:11">
      <c r="B24" s="47" t="s">
        <v>4994</v>
      </c>
      <c r="C24" s="41" t="s">
        <v>2911</v>
      </c>
      <c r="D24" s="70"/>
      <c r="E24" s="51"/>
      <c r="F24" s="70"/>
      <c r="G24" s="70"/>
      <c r="H24" s="60"/>
      <c r="I24" s="60"/>
      <c r="J24" s="70"/>
      <c r="K24" s="60"/>
    </row>
    <row r="25" spans="2:11">
      <c r="B25" s="47" t="s">
        <v>3470</v>
      </c>
      <c r="C25" s="41" t="s">
        <v>2913</v>
      </c>
      <c r="D25" s="70"/>
      <c r="E25" s="51"/>
      <c r="F25" s="70"/>
      <c r="G25" s="70"/>
      <c r="H25" s="60"/>
      <c r="I25" s="60"/>
      <c r="J25" s="70"/>
      <c r="K25" s="60"/>
    </row>
    <row r="26" spans="2:11">
      <c r="B26" s="47" t="s">
        <v>4995</v>
      </c>
      <c r="C26" s="41" t="s">
        <v>2915</v>
      </c>
      <c r="D26" s="70"/>
      <c r="E26" s="51"/>
      <c r="F26" s="70"/>
      <c r="G26" s="70"/>
      <c r="H26" s="60"/>
      <c r="I26" s="60"/>
      <c r="J26" s="70"/>
      <c r="K26" s="60"/>
    </row>
    <row r="27" spans="2:11">
      <c r="B27" s="47" t="s">
        <v>4996</v>
      </c>
      <c r="C27" s="41" t="s">
        <v>2917</v>
      </c>
      <c r="D27" s="70"/>
      <c r="E27" s="51"/>
      <c r="F27" s="70"/>
      <c r="G27" s="70"/>
      <c r="H27" s="60"/>
      <c r="I27" s="60"/>
      <c r="J27" s="70"/>
      <c r="K27" s="60"/>
    </row>
    <row r="28" spans="2:11">
      <c r="B28" s="47" t="s">
        <v>4997</v>
      </c>
      <c r="C28" s="41" t="s">
        <v>2919</v>
      </c>
      <c r="D28" s="70"/>
      <c r="E28" s="51"/>
      <c r="F28" s="70"/>
      <c r="G28" s="70"/>
      <c r="H28" s="60"/>
      <c r="I28" s="60"/>
      <c r="J28" s="70"/>
      <c r="K28" s="60"/>
    </row>
    <row r="29" spans="2:11">
      <c r="B29" s="47" t="s">
        <v>4998</v>
      </c>
      <c r="C29" s="41" t="s">
        <v>2921</v>
      </c>
      <c r="D29" s="76"/>
      <c r="E29" s="68"/>
      <c r="F29" s="76"/>
      <c r="G29" s="76"/>
      <c r="H29" s="63"/>
      <c r="I29" s="63"/>
      <c r="J29" s="76"/>
      <c r="K29" s="60"/>
    </row>
    <row r="30" spans="2:11">
      <c r="B30" s="47" t="s">
        <v>4937</v>
      </c>
      <c r="C30" s="44" t="s">
        <v>2923</v>
      </c>
      <c r="D30" s="56"/>
      <c r="E30" s="58"/>
      <c r="F30" s="58"/>
      <c r="G30" s="58"/>
      <c r="H30" s="58"/>
      <c r="I30" s="58"/>
      <c r="J30" s="48"/>
      <c r="K30" s="63"/>
    </row>
    <row r="31" spans="2:11">
      <c r="B31" s="47" t="s">
        <v>4938</v>
      </c>
      <c r="C31" s="41" t="s">
        <v>2925</v>
      </c>
      <c r="D31" s="71"/>
      <c r="E31" s="56"/>
      <c r="F31" s="56"/>
      <c r="G31" s="56"/>
      <c r="H31" s="56"/>
      <c r="I31" s="56"/>
      <c r="J31" s="56"/>
      <c r="K31" s="46"/>
    </row>
    <row r="33" spans="2:20">
      <c r="S33" s="13" t="str">
        <f>Show!$B$148&amp;Show!$B$148&amp;"S.26.05.04.01 Rows {"&amp;COLUMN($C$1)&amp;"}"</f>
        <v>!!S.26.05.04.01 Rows {3}</v>
      </c>
      <c r="T33" s="13" t="str">
        <f>Show!$B$148&amp;Show!$B$148&amp;"S.26.05.04.01 Columns {"&amp;COLUMN($K$1)&amp;"}"</f>
        <v>!!S.26.05.04.01 Columns {11}</v>
      </c>
    </row>
    <row r="35" spans="2:20" ht="18.75">
      <c r="B35" s="97" t="s">
        <v>5012</v>
      </c>
      <c r="C35" s="96"/>
      <c r="D35" s="96"/>
      <c r="E35" s="96"/>
      <c r="F35" s="96"/>
      <c r="G35" s="96"/>
      <c r="H35" s="96"/>
      <c r="I35" s="96"/>
      <c r="J35" s="96"/>
      <c r="K35" s="96"/>
      <c r="L35" s="96"/>
    </row>
    <row r="37" spans="2:20">
      <c r="B37" t="s">
        <v>3110</v>
      </c>
      <c r="S37" s="13" t="str">
        <f>Show!$B$148&amp;"S.26.05.04.02 Table label {"&amp;COLUMN($C$1)&amp;"}"</f>
        <v>!S.26.05.04.02 Table label {3}</v>
      </c>
      <c r="T37" s="13" t="str">
        <f>Show!$B$148&amp;"S.26.05.04.02 Table value {"&amp;COLUMN($D$1)&amp;"}"</f>
        <v>!S.26.05.04.02 Table value {4}</v>
      </c>
    </row>
    <row r="38" spans="2:20">
      <c r="B38" t="s">
        <v>3111</v>
      </c>
    </row>
    <row r="39" spans="2:20">
      <c r="B39" s="40" t="s">
        <v>4622</v>
      </c>
      <c r="C39" s="53" t="s">
        <v>3113</v>
      </c>
      <c r="D39" s="51"/>
    </row>
    <row r="40" spans="2:20">
      <c r="S40" s="13" t="str">
        <f>Show!$B$148&amp;Show!$B$148&amp;"S.26.05.04.02 Table label {"&amp;COLUMN($C$1)&amp;"}"</f>
        <v>!!S.26.05.04.02 Table label {3}</v>
      </c>
      <c r="T40" s="13" t="str">
        <f>Show!$B$148&amp;Show!$B$148&amp;"S.26.05.04.02 Table value {"&amp;COLUMN($D$1)&amp;"}"</f>
        <v>!!S.26.05.04.02 Table value {4}</v>
      </c>
    </row>
    <row r="42" spans="2:20">
      <c r="D42" s="98" t="s">
        <v>2877</v>
      </c>
    </row>
    <row r="43" spans="2:20">
      <c r="D43" s="100"/>
    </row>
    <row r="44" spans="2:20">
      <c r="D44" s="55" t="s">
        <v>4643</v>
      </c>
    </row>
    <row r="45" spans="2:20">
      <c r="D45" s="45" t="s">
        <v>3239</v>
      </c>
      <c r="S45" s="13" t="str">
        <f>Show!$B$148&amp;"S.26.05.04.02 Rows {"&amp;COLUMN($C$1)&amp;"}"&amp;"@ForceFilingCode:true"</f>
        <v>!S.26.05.04.02 Rows {3}@ForceFilingCode:true</v>
      </c>
      <c r="T45" s="13" t="str">
        <f>Show!$B$148&amp;"S.26.05.04.02 Columns {"&amp;COLUMN($D$1)&amp;"}"</f>
        <v>!S.26.05.04.02 Columns {4}</v>
      </c>
    </row>
    <row r="46" spans="2:20">
      <c r="B46" s="43" t="s">
        <v>2880</v>
      </c>
      <c r="C46" s="44" t="s">
        <v>2878</v>
      </c>
      <c r="D46" s="46"/>
    </row>
    <row r="47" spans="2:20">
      <c r="B47" s="47" t="s">
        <v>5000</v>
      </c>
      <c r="C47" s="41" t="s">
        <v>2939</v>
      </c>
      <c r="D47" s="60"/>
    </row>
    <row r="49" spans="2:20">
      <c r="S49" s="13" t="str">
        <f>Show!$B$148&amp;Show!$B$148&amp;"S.26.05.04.02 Rows {"&amp;COLUMN($C$1)&amp;"}"</f>
        <v>!!S.26.05.04.02 Rows {3}</v>
      </c>
      <c r="T49" s="13" t="str">
        <f>Show!$B$148&amp;Show!$B$148&amp;"S.26.05.04.02 Columns {"&amp;COLUMN($D$1)&amp;"}"</f>
        <v>!!S.26.05.04.02 Columns {4}</v>
      </c>
    </row>
    <row r="51" spans="2:20" ht="18.75">
      <c r="B51" s="97" t="s">
        <v>5013</v>
      </c>
      <c r="C51" s="96"/>
      <c r="D51" s="96"/>
      <c r="E51" s="96"/>
      <c r="F51" s="96"/>
      <c r="G51" s="96"/>
      <c r="H51" s="96"/>
      <c r="I51" s="96"/>
      <c r="J51" s="96"/>
      <c r="K51" s="96"/>
      <c r="L51" s="96"/>
    </row>
    <row r="53" spans="2:20">
      <c r="B53" t="s">
        <v>3110</v>
      </c>
      <c r="S53" s="13" t="str">
        <f>Show!$B$148&amp;"S.26.05.04.03 Table label {"&amp;COLUMN($C$1)&amp;"}"</f>
        <v>!S.26.05.04.03 Table label {3}</v>
      </c>
      <c r="T53" s="13" t="str">
        <f>Show!$B$148&amp;"S.26.05.04.03 Table value {"&amp;COLUMN($D$1)&amp;"}"</f>
        <v>!S.26.05.04.03 Table value {4}</v>
      </c>
    </row>
    <row r="54" spans="2:20">
      <c r="B54" t="s">
        <v>3111</v>
      </c>
    </row>
    <row r="55" spans="2:20">
      <c r="B55" s="40" t="s">
        <v>4622</v>
      </c>
      <c r="C55" s="53" t="s">
        <v>3113</v>
      </c>
      <c r="D55" s="51"/>
    </row>
    <row r="56" spans="2:20">
      <c r="S56" s="13" t="str">
        <f>Show!$B$148&amp;Show!$B$148&amp;"S.26.05.04.03 Table label {"&amp;COLUMN($C$1)&amp;"}"</f>
        <v>!!S.26.05.04.03 Table label {3}</v>
      </c>
      <c r="T56" s="13" t="str">
        <f>Show!$B$148&amp;Show!$B$148&amp;"S.26.05.04.03 Table value {"&amp;COLUMN($D$1)&amp;"}"</f>
        <v>!!S.26.05.04.03 Table value {4}</v>
      </c>
    </row>
    <row r="58" spans="2:20">
      <c r="D58" s="101" t="s">
        <v>2877</v>
      </c>
      <c r="E58" s="102"/>
      <c r="F58" s="102"/>
      <c r="G58" s="102"/>
      <c r="H58" s="103"/>
    </row>
    <row r="59" spans="2:20">
      <c r="D59" s="104"/>
      <c r="E59" s="105"/>
      <c r="F59" s="105"/>
      <c r="G59" s="105"/>
      <c r="H59" s="106"/>
    </row>
    <row r="60" spans="2:20">
      <c r="D60" s="107" t="s">
        <v>4763</v>
      </c>
      <c r="E60" s="109"/>
      <c r="F60" s="107" t="s">
        <v>4764</v>
      </c>
      <c r="G60" s="108"/>
      <c r="H60" s="109"/>
    </row>
    <row r="61" spans="2:20" ht="30">
      <c r="D61" s="55" t="s">
        <v>3252</v>
      </c>
      <c r="E61" s="55" t="s">
        <v>2389</v>
      </c>
      <c r="F61" s="55" t="s">
        <v>3252</v>
      </c>
      <c r="G61" s="55" t="s">
        <v>2389</v>
      </c>
      <c r="H61" s="55" t="s">
        <v>4643</v>
      </c>
    </row>
    <row r="62" spans="2:20">
      <c r="D62" s="45" t="s">
        <v>3241</v>
      </c>
      <c r="E62" s="45" t="s">
        <v>3243</v>
      </c>
      <c r="F62" s="45" t="s">
        <v>3375</v>
      </c>
      <c r="G62" s="45" t="s">
        <v>3475</v>
      </c>
      <c r="H62" s="45" t="s">
        <v>3477</v>
      </c>
      <c r="S62" s="13" t="str">
        <f>Show!$B$148&amp;"S.26.05.04.03 Rows {"&amp;COLUMN($C$1)&amp;"}"&amp;"@ForceFilingCode:true"</f>
        <v>!S.26.05.04.03 Rows {3}@ForceFilingCode:true</v>
      </c>
      <c r="T62" s="13" t="str">
        <f>Show!$B$148&amp;"S.26.05.04.03 Columns {"&amp;COLUMN($D$1)&amp;"}"</f>
        <v>!S.26.05.04.03 Columns {4}</v>
      </c>
    </row>
    <row r="63" spans="2:20">
      <c r="B63" s="43" t="s">
        <v>2880</v>
      </c>
      <c r="C63" s="44" t="s">
        <v>2878</v>
      </c>
      <c r="D63" s="56"/>
      <c r="E63" s="66"/>
      <c r="F63" s="66"/>
      <c r="G63" s="66"/>
      <c r="H63" s="57"/>
    </row>
    <row r="64" spans="2:20">
      <c r="B64" s="47" t="s">
        <v>5002</v>
      </c>
      <c r="C64" s="41" t="s">
        <v>2959</v>
      </c>
      <c r="D64" s="60"/>
      <c r="E64" s="60"/>
      <c r="F64" s="60"/>
      <c r="G64" s="60"/>
      <c r="H64" s="60"/>
    </row>
    <row r="66" spans="2:20">
      <c r="S66" s="13" t="str">
        <f>Show!$B$148&amp;Show!$B$148&amp;"S.26.05.04.03 Rows {"&amp;COLUMN($C$1)&amp;"}"</f>
        <v>!!S.26.05.04.03 Rows {3}</v>
      </c>
      <c r="T66" s="13" t="str">
        <f>Show!$B$148&amp;Show!$B$148&amp;"S.26.05.04.03 Columns {"&amp;COLUMN($H$1)&amp;"}"</f>
        <v>!!S.26.05.04.03 Columns {8}</v>
      </c>
    </row>
    <row r="68" spans="2:20" ht="18.75">
      <c r="B68" s="97" t="s">
        <v>5014</v>
      </c>
      <c r="C68" s="96"/>
      <c r="D68" s="96"/>
      <c r="E68" s="96"/>
      <c r="F68" s="96"/>
      <c r="G68" s="96"/>
      <c r="H68" s="96"/>
      <c r="I68" s="96"/>
      <c r="J68" s="96"/>
      <c r="K68" s="96"/>
      <c r="L68" s="96"/>
    </row>
    <row r="70" spans="2:20">
      <c r="B70" t="s">
        <v>3110</v>
      </c>
      <c r="S70" s="13" t="str">
        <f>Show!$B$148&amp;"S.26.05.04.04 Table label {"&amp;COLUMN($C$1)&amp;"}"</f>
        <v>!S.26.05.04.04 Table label {3}</v>
      </c>
      <c r="T70" s="13" t="str">
        <f>Show!$B$148&amp;"S.26.05.04.04 Table value {"&amp;COLUMN($D$1)&amp;"}"</f>
        <v>!S.26.05.04.04 Table value {4}</v>
      </c>
    </row>
    <row r="71" spans="2:20">
      <c r="B71" t="s">
        <v>3111</v>
      </c>
    </row>
    <row r="72" spans="2:20">
      <c r="B72" s="40" t="s">
        <v>4622</v>
      </c>
      <c r="C72" s="53" t="s">
        <v>3113</v>
      </c>
      <c r="D72" s="51"/>
    </row>
    <row r="73" spans="2:20">
      <c r="S73" s="13" t="str">
        <f>Show!$B$148&amp;Show!$B$148&amp;"S.26.05.04.04 Table label {"&amp;COLUMN($C$1)&amp;"}"</f>
        <v>!!S.26.05.04.04 Table label {3}</v>
      </c>
      <c r="T73" s="13" t="str">
        <f>Show!$B$148&amp;Show!$B$148&amp;"S.26.05.04.04 Table value {"&amp;COLUMN($D$1)&amp;"}"</f>
        <v>!!S.26.05.04.04 Table value {4}</v>
      </c>
    </row>
    <row r="75" spans="2:20">
      <c r="D75" s="98" t="s">
        <v>2877</v>
      </c>
    </row>
    <row r="76" spans="2:20">
      <c r="D76" s="100"/>
    </row>
    <row r="77" spans="2:20">
      <c r="D77" s="55" t="s">
        <v>4643</v>
      </c>
    </row>
    <row r="78" spans="2:20">
      <c r="D78" s="45" t="s">
        <v>3479</v>
      </c>
      <c r="S78" s="13" t="str">
        <f>Show!$B$148&amp;"S.26.05.04.04 Rows {"&amp;COLUMN($C$1)&amp;"}"&amp;"@ForceFilingCode:true"</f>
        <v>!S.26.05.04.04 Rows {3}@ForceFilingCode:true</v>
      </c>
      <c r="T78" s="13" t="str">
        <f>Show!$B$148&amp;"S.26.05.04.04 Columns {"&amp;COLUMN($D$1)&amp;"}"</f>
        <v>!S.26.05.04.04 Columns {4}</v>
      </c>
    </row>
    <row r="79" spans="2:20">
      <c r="B79" s="43" t="s">
        <v>2880</v>
      </c>
      <c r="C79" s="44" t="s">
        <v>2878</v>
      </c>
      <c r="D79" s="46"/>
    </row>
    <row r="80" spans="2:20">
      <c r="B80" s="47" t="s">
        <v>5004</v>
      </c>
      <c r="C80" s="41" t="s">
        <v>2977</v>
      </c>
      <c r="D80" s="60"/>
    </row>
    <row r="81" spans="2:20">
      <c r="B81" s="47" t="s">
        <v>5005</v>
      </c>
      <c r="C81" s="41" t="s">
        <v>2997</v>
      </c>
      <c r="D81" s="60"/>
    </row>
    <row r="82" spans="2:20">
      <c r="B82" s="47" t="s">
        <v>5006</v>
      </c>
      <c r="C82" s="41" t="s">
        <v>3064</v>
      </c>
      <c r="D82" s="60"/>
    </row>
    <row r="84" spans="2:20">
      <c r="S84" s="13" t="str">
        <f>Show!$B$148&amp;Show!$B$148&amp;"S.26.05.04.04 Rows {"&amp;COLUMN($C$1)&amp;"}"</f>
        <v>!!S.26.05.04.04 Rows {3}</v>
      </c>
      <c r="T84" s="13" t="str">
        <f>Show!$B$148&amp;Show!$B$148&amp;"S.26.05.04.04 Columns {"&amp;COLUMN($D$1)&amp;"}"</f>
        <v>!!S.26.05.04.04 Columns {4}</v>
      </c>
    </row>
    <row r="86" spans="2:20" ht="18.75">
      <c r="B86" s="97" t="s">
        <v>5015</v>
      </c>
      <c r="C86" s="96"/>
      <c r="D86" s="96"/>
      <c r="E86" s="96"/>
      <c r="F86" s="96"/>
      <c r="G86" s="96"/>
      <c r="H86" s="96"/>
      <c r="I86" s="96"/>
      <c r="J86" s="96"/>
      <c r="K86" s="96"/>
      <c r="L86" s="96"/>
    </row>
    <row r="88" spans="2:20">
      <c r="B88" t="s">
        <v>3110</v>
      </c>
      <c r="S88" s="13" t="str">
        <f>Show!$B$148&amp;"S.26.05.04.05 Table label {"&amp;COLUMN($C$1)&amp;"}"</f>
        <v>!S.26.05.04.05 Table label {3}</v>
      </c>
      <c r="T88" s="13" t="str">
        <f>Show!$B$148&amp;"S.26.05.04.05 Table value {"&amp;COLUMN($D$1)&amp;"}"</f>
        <v>!S.26.05.04.05 Table value {4}</v>
      </c>
    </row>
    <row r="89" spans="2:20">
      <c r="B89" t="s">
        <v>3111</v>
      </c>
    </row>
    <row r="90" spans="2:20">
      <c r="B90" s="40" t="s">
        <v>4622</v>
      </c>
      <c r="C90" s="53" t="s">
        <v>3113</v>
      </c>
      <c r="D90" s="51"/>
    </row>
    <row r="91" spans="2:20">
      <c r="S91" s="13" t="str">
        <f>Show!$B$148&amp;Show!$B$148&amp;"S.26.05.04.05 Table label {"&amp;COLUMN($C$1)&amp;"}"</f>
        <v>!!S.26.05.04.05 Table label {3}</v>
      </c>
      <c r="T91" s="13" t="str">
        <f>Show!$B$148&amp;Show!$B$148&amp;"S.26.05.04.05 Table value {"&amp;COLUMN($D$1)&amp;"}"</f>
        <v>!!S.26.05.04.05 Table value {4}</v>
      </c>
    </row>
    <row r="93" spans="2:20">
      <c r="D93" s="98" t="s">
        <v>2877</v>
      </c>
    </row>
    <row r="94" spans="2:20">
      <c r="D94" s="100"/>
    </row>
    <row r="95" spans="2:20">
      <c r="D95" s="55" t="s">
        <v>2574</v>
      </c>
    </row>
    <row r="96" spans="2:20">
      <c r="D96" s="45" t="s">
        <v>2879</v>
      </c>
      <c r="S96" s="13" t="str">
        <f>Show!$B$148&amp;"S.26.05.04.05 Rows {"&amp;COLUMN($C$1)&amp;"}"&amp;"@ForceFilingCode:true"</f>
        <v>!S.26.05.04.05 Rows {3}@ForceFilingCode:true</v>
      </c>
      <c r="T96" s="13" t="str">
        <f>Show!$B$148&amp;"S.26.05.04.05 Columns {"&amp;COLUMN($D$1)&amp;"}"</f>
        <v>!S.26.05.04.05 Columns {4}</v>
      </c>
    </row>
    <row r="97" spans="2:20">
      <c r="B97" s="43" t="s">
        <v>2880</v>
      </c>
      <c r="C97" s="44" t="s">
        <v>2878</v>
      </c>
      <c r="D97" s="46"/>
    </row>
    <row r="98" spans="2:20">
      <c r="B98" s="47" t="s">
        <v>5008</v>
      </c>
      <c r="C98" s="41" t="s">
        <v>2883</v>
      </c>
      <c r="D98" s="51"/>
    </row>
    <row r="99" spans="2:20">
      <c r="B99" s="47" t="s">
        <v>5009</v>
      </c>
      <c r="C99" s="41" t="s">
        <v>5010</v>
      </c>
      <c r="D99" s="51"/>
    </row>
    <row r="101" spans="2:20">
      <c r="S101" s="13" t="str">
        <f>Show!$B$148&amp;Show!$B$148&amp;"S.26.05.04.05 Rows {"&amp;COLUMN($C$1)&amp;"}"</f>
        <v>!!S.26.05.04.05 Rows {3}</v>
      </c>
      <c r="T101" s="13" t="str">
        <f>Show!$B$148&amp;Show!$B$148&amp;"S.26.05.04.05 Columns {"&amp;COLUMN($D$1)&amp;"}"</f>
        <v>!!S.26.05.04.05 Columns {4}</v>
      </c>
    </row>
  </sheetData>
  <sheetProtection sheet="1" objects="1" scenarios="1"/>
  <mergeCells count="15">
    <mergeCell ref="D75:D76"/>
    <mergeCell ref="B86:L86"/>
    <mergeCell ref="D93:D94"/>
    <mergeCell ref="D42:D43"/>
    <mergeCell ref="B51:L51"/>
    <mergeCell ref="D58:H59"/>
    <mergeCell ref="D60:E60"/>
    <mergeCell ref="F60:H60"/>
    <mergeCell ref="B68:L68"/>
    <mergeCell ref="B35:L35"/>
    <mergeCell ref="B2:O2"/>
    <mergeCell ref="B5:L5"/>
    <mergeCell ref="D12:K13"/>
    <mergeCell ref="D14:F14"/>
    <mergeCell ref="H14:K14"/>
  </mergeCells>
  <dataValidations count="4">
    <dataValidation type="list" errorStyle="warning" allowBlank="1" showInputMessage="1" showErrorMessage="1" sqref="D9 D39 D55 D72 D90" xr:uid="{7BFA1853-EA53-4CE0-BB4B-C53FE7168270}">
      <formula1>hier_AO_1</formula1>
    </dataValidation>
    <dataValidation type="list" errorStyle="warning" allowBlank="1" showInputMessage="1" showErrorMessage="1" sqref="E18 E19 E20 E21 E22 E23 E24 E25 E26 E27 E28 E29" xr:uid="{D9195D49-3A59-4ED0-BA84-D978DF55BC97}">
      <formula1>hier_AP_12</formula1>
    </dataValidation>
    <dataValidation type="list" errorStyle="warning" allowBlank="1" showInputMessage="1" showErrorMessage="1" sqref="D98" xr:uid="{F1FB6B37-5D45-4E1B-9B6E-D77C1F69E132}">
      <formula1>hier_AP_17</formula1>
    </dataValidation>
    <dataValidation type="list" errorStyle="warning" allowBlank="1" showInputMessage="1" showErrorMessage="1" sqref="D99" xr:uid="{86899085-246D-4222-BACA-480DEC0338B3}">
      <formula1>hier_AP_27</formula1>
    </dataValidation>
  </dataValidation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B57D-7661-41FE-9150-3BD0CF6577B5}">
  <sheetPr codeName="Blad153"/>
  <dimension ref="B2:T111"/>
  <sheetViews>
    <sheetView showGridLines="0" workbookViewId="0"/>
  </sheetViews>
  <sheetFormatPr defaultRowHeight="15"/>
  <cols>
    <col min="2" max="2" width="61.85546875" bestFit="1" customWidth="1"/>
    <col min="4" max="4" width="40.7109375" customWidth="1"/>
    <col min="5" max="11" width="15.7109375" customWidth="1"/>
  </cols>
  <sheetData>
    <row r="2" spans="2:20" ht="23.25">
      <c r="B2" s="95" t="s">
        <v>730</v>
      </c>
      <c r="C2" s="96"/>
      <c r="D2" s="96"/>
      <c r="E2" s="96"/>
      <c r="F2" s="96"/>
      <c r="G2" s="96"/>
      <c r="H2" s="96"/>
      <c r="I2" s="96"/>
      <c r="J2" s="96"/>
      <c r="K2" s="96"/>
      <c r="L2" s="96"/>
      <c r="M2" s="96"/>
      <c r="N2" s="96"/>
      <c r="O2" s="96"/>
    </row>
    <row r="5" spans="2:20" ht="18.75">
      <c r="B5" s="97" t="s">
        <v>5016</v>
      </c>
      <c r="C5" s="96"/>
      <c r="D5" s="96"/>
      <c r="E5" s="96"/>
      <c r="F5" s="96"/>
      <c r="G5" s="96"/>
      <c r="H5" s="96"/>
      <c r="I5" s="96"/>
      <c r="J5" s="96"/>
      <c r="K5" s="96"/>
      <c r="L5" s="96"/>
    </row>
    <row r="7" spans="2:20">
      <c r="B7" t="s">
        <v>3110</v>
      </c>
      <c r="S7" s="13" t="str">
        <f>Show!$B$149&amp;"SR.26.05.01.01 Table label {"&amp;COLUMN($C$1)&amp;"}"</f>
        <v>!SR.26.05.01.01 Table label {3}</v>
      </c>
      <c r="T7" s="13" t="str">
        <f>Show!$B$149&amp;"SR.26.05.01.01 Table value {"&amp;COLUMN($D$1)&amp;"}"</f>
        <v>!SR.26.05.01.01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Show!$B$149&amp;Show!$B$149&amp;"SR.26.05.01.01 Table label {"&amp;COLUMN($C$1)&amp;"}"</f>
        <v>!!SR.26.05.01.01 Table label {3}</v>
      </c>
      <c r="T12" s="13" t="str">
        <f>Show!$B$149&amp;Show!$B$149&amp;"SR.26.05.01.01 Table value {"&amp;COLUMN($D$1)&amp;"}"</f>
        <v>!!SR.26.05.01.01 Table value {4}</v>
      </c>
    </row>
    <row r="14" spans="2:20">
      <c r="D14" s="101" t="s">
        <v>2877</v>
      </c>
      <c r="E14" s="102"/>
      <c r="F14" s="102"/>
      <c r="G14" s="102"/>
      <c r="H14" s="102"/>
      <c r="I14" s="102"/>
      <c r="J14" s="102"/>
      <c r="K14" s="103"/>
    </row>
    <row r="15" spans="2:20">
      <c r="D15" s="104"/>
      <c r="E15" s="105"/>
      <c r="F15" s="105"/>
      <c r="G15" s="105"/>
      <c r="H15" s="105"/>
      <c r="I15" s="105"/>
      <c r="J15" s="105"/>
      <c r="K15" s="106"/>
    </row>
    <row r="16" spans="2:20" ht="45">
      <c r="D16" s="107" t="s">
        <v>4924</v>
      </c>
      <c r="E16" s="108"/>
      <c r="F16" s="109"/>
      <c r="G16" s="55" t="s">
        <v>4928</v>
      </c>
      <c r="H16" s="107" t="s">
        <v>4929</v>
      </c>
      <c r="I16" s="108"/>
      <c r="J16" s="108"/>
      <c r="K16" s="109"/>
    </row>
    <row r="17" spans="2:20" ht="60">
      <c r="D17" s="55" t="s">
        <v>4925</v>
      </c>
      <c r="E17" s="55" t="s">
        <v>4926</v>
      </c>
      <c r="F17" s="55" t="s">
        <v>4927</v>
      </c>
      <c r="G17" s="55" t="s">
        <v>4687</v>
      </c>
      <c r="H17" s="55" t="s">
        <v>4930</v>
      </c>
      <c r="I17" s="55" t="s">
        <v>4931</v>
      </c>
      <c r="J17" s="55" t="s">
        <v>4932</v>
      </c>
      <c r="K17" s="55" t="s">
        <v>4933</v>
      </c>
    </row>
    <row r="18" spans="2:20">
      <c r="D18" s="45" t="s">
        <v>3219</v>
      </c>
      <c r="E18" s="45" t="s">
        <v>3225</v>
      </c>
      <c r="F18" s="45" t="s">
        <v>3223</v>
      </c>
      <c r="G18" s="45" t="s">
        <v>3229</v>
      </c>
      <c r="H18" s="45" t="s">
        <v>3231</v>
      </c>
      <c r="I18" s="45" t="s">
        <v>3233</v>
      </c>
      <c r="J18" s="45" t="s">
        <v>3234</v>
      </c>
      <c r="K18" s="45" t="s">
        <v>3236</v>
      </c>
      <c r="S18" s="13" t="str">
        <f>Show!$B$149&amp;"SR.26.05.01.01 Rows {"&amp;COLUMN($C$1)&amp;"}"&amp;"@ForceFilingCode:true"</f>
        <v>!SR.26.05.01.01 Rows {3}@ForceFilingCode:true</v>
      </c>
      <c r="T18" s="13" t="str">
        <f>Show!$B$149&amp;"SR.26.05.01.01 Columns {"&amp;COLUMN($D$1)&amp;"}"</f>
        <v>!SR.26.05.01.01 Columns {4}</v>
      </c>
    </row>
    <row r="19" spans="2:20">
      <c r="B19" s="43" t="s">
        <v>2880</v>
      </c>
      <c r="C19" s="44" t="s">
        <v>2878</v>
      </c>
      <c r="D19" s="56"/>
      <c r="E19" s="66"/>
      <c r="F19" s="66"/>
      <c r="G19" s="66"/>
      <c r="H19" s="66"/>
      <c r="I19" s="66"/>
      <c r="J19" s="66"/>
      <c r="K19" s="57"/>
    </row>
    <row r="20" spans="2:20">
      <c r="B20" s="47" t="s">
        <v>4988</v>
      </c>
      <c r="C20" s="41" t="s">
        <v>2899</v>
      </c>
      <c r="D20" s="70"/>
      <c r="E20" s="51"/>
      <c r="F20" s="70"/>
      <c r="G20" s="70"/>
      <c r="H20" s="60"/>
      <c r="I20" s="60"/>
      <c r="J20" s="70"/>
      <c r="K20" s="60"/>
    </row>
    <row r="21" spans="2:20">
      <c r="B21" s="47" t="s">
        <v>4989</v>
      </c>
      <c r="C21" s="41" t="s">
        <v>2901</v>
      </c>
      <c r="D21" s="70"/>
      <c r="E21" s="51"/>
      <c r="F21" s="70"/>
      <c r="G21" s="70"/>
      <c r="H21" s="60"/>
      <c r="I21" s="60"/>
      <c r="J21" s="70"/>
      <c r="K21" s="60"/>
    </row>
    <row r="22" spans="2:20">
      <c r="B22" s="47" t="s">
        <v>4990</v>
      </c>
      <c r="C22" s="41" t="s">
        <v>2903</v>
      </c>
      <c r="D22" s="70"/>
      <c r="E22" s="51"/>
      <c r="F22" s="70"/>
      <c r="G22" s="70"/>
      <c r="H22" s="60"/>
      <c r="I22" s="60"/>
      <c r="J22" s="70"/>
      <c r="K22" s="60"/>
    </row>
    <row r="23" spans="2:20">
      <c r="B23" s="47" t="s">
        <v>4991</v>
      </c>
      <c r="C23" s="41" t="s">
        <v>2905</v>
      </c>
      <c r="D23" s="70"/>
      <c r="E23" s="51"/>
      <c r="F23" s="70"/>
      <c r="G23" s="70"/>
      <c r="H23" s="60"/>
      <c r="I23" s="60"/>
      <c r="J23" s="70"/>
      <c r="K23" s="60"/>
    </row>
    <row r="24" spans="2:20">
      <c r="B24" s="47" t="s">
        <v>4992</v>
      </c>
      <c r="C24" s="41" t="s">
        <v>2907</v>
      </c>
      <c r="D24" s="70"/>
      <c r="E24" s="51"/>
      <c r="F24" s="70"/>
      <c r="G24" s="70"/>
      <c r="H24" s="60"/>
      <c r="I24" s="60"/>
      <c r="J24" s="70"/>
      <c r="K24" s="60"/>
    </row>
    <row r="25" spans="2:20">
      <c r="B25" s="47" t="s">
        <v>4993</v>
      </c>
      <c r="C25" s="41" t="s">
        <v>2909</v>
      </c>
      <c r="D25" s="70"/>
      <c r="E25" s="51"/>
      <c r="F25" s="70"/>
      <c r="G25" s="70"/>
      <c r="H25" s="60"/>
      <c r="I25" s="60"/>
      <c r="J25" s="70"/>
      <c r="K25" s="60"/>
    </row>
    <row r="26" spans="2:20">
      <c r="B26" s="47" t="s">
        <v>4994</v>
      </c>
      <c r="C26" s="41" t="s">
        <v>2911</v>
      </c>
      <c r="D26" s="70"/>
      <c r="E26" s="51"/>
      <c r="F26" s="70"/>
      <c r="G26" s="70"/>
      <c r="H26" s="60"/>
      <c r="I26" s="60"/>
      <c r="J26" s="70"/>
      <c r="K26" s="60"/>
    </row>
    <row r="27" spans="2:20">
      <c r="B27" s="47" t="s">
        <v>3470</v>
      </c>
      <c r="C27" s="41" t="s">
        <v>2913</v>
      </c>
      <c r="D27" s="70"/>
      <c r="E27" s="51"/>
      <c r="F27" s="70"/>
      <c r="G27" s="70"/>
      <c r="H27" s="60"/>
      <c r="I27" s="60"/>
      <c r="J27" s="70"/>
      <c r="K27" s="60"/>
    </row>
    <row r="28" spans="2:20">
      <c r="B28" s="47" t="s">
        <v>4995</v>
      </c>
      <c r="C28" s="41" t="s">
        <v>2915</v>
      </c>
      <c r="D28" s="70"/>
      <c r="E28" s="51"/>
      <c r="F28" s="70"/>
      <c r="G28" s="70"/>
      <c r="H28" s="60"/>
      <c r="I28" s="60"/>
      <c r="J28" s="70"/>
      <c r="K28" s="60"/>
    </row>
    <row r="29" spans="2:20">
      <c r="B29" s="47" t="s">
        <v>4996</v>
      </c>
      <c r="C29" s="41" t="s">
        <v>2917</v>
      </c>
      <c r="D29" s="70"/>
      <c r="E29" s="51"/>
      <c r="F29" s="70"/>
      <c r="G29" s="70"/>
      <c r="H29" s="60"/>
      <c r="I29" s="60"/>
      <c r="J29" s="70"/>
      <c r="K29" s="60"/>
    </row>
    <row r="30" spans="2:20">
      <c r="B30" s="47" t="s">
        <v>4997</v>
      </c>
      <c r="C30" s="41" t="s">
        <v>2919</v>
      </c>
      <c r="D30" s="70"/>
      <c r="E30" s="51"/>
      <c r="F30" s="70"/>
      <c r="G30" s="70"/>
      <c r="H30" s="60"/>
      <c r="I30" s="60"/>
      <c r="J30" s="70"/>
      <c r="K30" s="60"/>
    </row>
    <row r="31" spans="2:20">
      <c r="B31" s="47" t="s">
        <v>4998</v>
      </c>
      <c r="C31" s="41" t="s">
        <v>2921</v>
      </c>
      <c r="D31" s="76"/>
      <c r="E31" s="68"/>
      <c r="F31" s="76"/>
      <c r="G31" s="76"/>
      <c r="H31" s="63"/>
      <c r="I31" s="63"/>
      <c r="J31" s="76"/>
      <c r="K31" s="60"/>
    </row>
    <row r="32" spans="2:20">
      <c r="B32" s="47" t="s">
        <v>4937</v>
      </c>
      <c r="C32" s="44" t="s">
        <v>2923</v>
      </c>
      <c r="D32" s="56"/>
      <c r="E32" s="58"/>
      <c r="F32" s="58"/>
      <c r="G32" s="58"/>
      <c r="H32" s="58"/>
      <c r="I32" s="58"/>
      <c r="J32" s="48"/>
      <c r="K32" s="63"/>
    </row>
    <row r="33" spans="2:20">
      <c r="B33" s="47" t="s">
        <v>4938</v>
      </c>
      <c r="C33" s="41" t="s">
        <v>2925</v>
      </c>
      <c r="D33" s="71"/>
      <c r="E33" s="56"/>
      <c r="F33" s="56"/>
      <c r="G33" s="56"/>
      <c r="H33" s="56"/>
      <c r="I33" s="56"/>
      <c r="J33" s="56"/>
      <c r="K33" s="46"/>
    </row>
    <row r="35" spans="2:20">
      <c r="S35" s="13" t="str">
        <f>Show!$B$149&amp;Show!$B$149&amp;"SR.26.05.01.01 Rows {"&amp;COLUMN($C$1)&amp;"}"</f>
        <v>!!SR.26.05.01.01 Rows {3}</v>
      </c>
      <c r="T35" s="13" t="str">
        <f>Show!$B$149&amp;Show!$B$149&amp;"SR.26.05.01.01 Columns {"&amp;COLUMN($K$1)&amp;"}"</f>
        <v>!!SR.26.05.01.01 Columns {11}</v>
      </c>
    </row>
    <row r="37" spans="2:20" ht="18.75">
      <c r="B37" s="97" t="s">
        <v>5017</v>
      </c>
      <c r="C37" s="96"/>
      <c r="D37" s="96"/>
      <c r="E37" s="96"/>
      <c r="F37" s="96"/>
      <c r="G37" s="96"/>
      <c r="H37" s="96"/>
      <c r="I37" s="96"/>
      <c r="J37" s="96"/>
      <c r="K37" s="96"/>
      <c r="L37" s="96"/>
    </row>
    <row r="39" spans="2:20">
      <c r="B39" t="s">
        <v>3110</v>
      </c>
      <c r="S39" s="13" t="str">
        <f>Show!$B$149&amp;"SR.26.05.01.02 Table label {"&amp;COLUMN($C$1)&amp;"}"</f>
        <v>!SR.26.05.01.02 Table label {3}</v>
      </c>
      <c r="T39" s="13" t="str">
        <f>Show!$B$149&amp;"SR.26.05.01.02 Table value {"&amp;COLUMN($D$1)&amp;"}"</f>
        <v>!SR.26.05.01.02 Table value {4}</v>
      </c>
    </row>
    <row r="40" spans="2:20">
      <c r="B40" t="s">
        <v>3111</v>
      </c>
    </row>
    <row r="41" spans="2:20">
      <c r="B41" s="40" t="s">
        <v>4622</v>
      </c>
      <c r="C41" s="53" t="s">
        <v>3113</v>
      </c>
      <c r="D41" s="51"/>
    </row>
    <row r="42" spans="2:20">
      <c r="B42" s="40" t="s">
        <v>3788</v>
      </c>
      <c r="C42" s="53" t="s">
        <v>3115</v>
      </c>
      <c r="D42" s="51"/>
    </row>
    <row r="43" spans="2:20">
      <c r="B43" s="40" t="s">
        <v>3114</v>
      </c>
      <c r="C43" s="53" t="s">
        <v>3323</v>
      </c>
      <c r="D43" s="50"/>
    </row>
    <row r="44" spans="2:20">
      <c r="S44" s="13" t="str">
        <f>Show!$B$149&amp;Show!$B$149&amp;"SR.26.05.01.02 Table label {"&amp;COLUMN($C$1)&amp;"}"</f>
        <v>!!SR.26.05.01.02 Table label {3}</v>
      </c>
      <c r="T44" s="13" t="str">
        <f>Show!$B$149&amp;Show!$B$149&amp;"SR.26.05.01.02 Table value {"&amp;COLUMN($D$1)&amp;"}"</f>
        <v>!!SR.26.05.01.02 Table value {4}</v>
      </c>
    </row>
    <row r="46" spans="2:20">
      <c r="D46" s="98" t="s">
        <v>2877</v>
      </c>
    </row>
    <row r="47" spans="2:20">
      <c r="D47" s="100"/>
    </row>
    <row r="48" spans="2:20">
      <c r="D48" s="55" t="s">
        <v>4643</v>
      </c>
    </row>
    <row r="49" spans="2:20">
      <c r="D49" s="45" t="s">
        <v>3239</v>
      </c>
      <c r="S49" s="13" t="str">
        <f>Show!$B$149&amp;"SR.26.05.01.02 Rows {"&amp;COLUMN($C$1)&amp;"}"&amp;"@ForceFilingCode:true"</f>
        <v>!SR.26.05.01.02 Rows {3}@ForceFilingCode:true</v>
      </c>
      <c r="T49" s="13" t="str">
        <f>Show!$B$149&amp;"SR.26.05.01.02 Columns {"&amp;COLUMN($D$1)&amp;"}"</f>
        <v>!SR.26.05.01.02 Columns {4}</v>
      </c>
    </row>
    <row r="50" spans="2:20">
      <c r="B50" s="43" t="s">
        <v>2880</v>
      </c>
      <c r="C50" s="44" t="s">
        <v>2878</v>
      </c>
      <c r="D50" s="46"/>
    </row>
    <row r="51" spans="2:20">
      <c r="B51" s="47" t="s">
        <v>5000</v>
      </c>
      <c r="C51" s="41" t="s">
        <v>2939</v>
      </c>
      <c r="D51" s="60"/>
    </row>
    <row r="53" spans="2:20">
      <c r="S53" s="13" t="str">
        <f>Show!$B$149&amp;Show!$B$149&amp;"SR.26.05.01.02 Rows {"&amp;COLUMN($C$1)&amp;"}"</f>
        <v>!!SR.26.05.01.02 Rows {3}</v>
      </c>
      <c r="T53" s="13" t="str">
        <f>Show!$B$149&amp;Show!$B$149&amp;"SR.26.05.01.02 Columns {"&amp;COLUMN($D$1)&amp;"}"</f>
        <v>!!SR.26.05.01.02 Columns {4}</v>
      </c>
    </row>
    <row r="55" spans="2:20" ht="18.75">
      <c r="B55" s="97" t="s">
        <v>5018</v>
      </c>
      <c r="C55" s="96"/>
      <c r="D55" s="96"/>
      <c r="E55" s="96"/>
      <c r="F55" s="96"/>
      <c r="G55" s="96"/>
      <c r="H55" s="96"/>
      <c r="I55" s="96"/>
      <c r="J55" s="96"/>
      <c r="K55" s="96"/>
      <c r="L55" s="96"/>
    </row>
    <row r="57" spans="2:20">
      <c r="B57" t="s">
        <v>3110</v>
      </c>
      <c r="S57" s="13" t="str">
        <f>Show!$B$149&amp;"SR.26.05.01.03 Table label {"&amp;COLUMN($C$1)&amp;"}"</f>
        <v>!SR.26.05.01.03 Table label {3}</v>
      </c>
      <c r="T57" s="13" t="str">
        <f>Show!$B$149&amp;"SR.26.05.01.03 Table value {"&amp;COLUMN($D$1)&amp;"}"</f>
        <v>!SR.26.05.01.03 Table value {4}</v>
      </c>
    </row>
    <row r="58" spans="2:20">
      <c r="B58" t="s">
        <v>3111</v>
      </c>
    </row>
    <row r="59" spans="2:20">
      <c r="B59" s="40" t="s">
        <v>4622</v>
      </c>
      <c r="C59" s="53" t="s">
        <v>3113</v>
      </c>
      <c r="D59" s="51"/>
    </row>
    <row r="60" spans="2:20">
      <c r="B60" s="40" t="s">
        <v>3788</v>
      </c>
      <c r="C60" s="53" t="s">
        <v>3115</v>
      </c>
      <c r="D60" s="51"/>
    </row>
    <row r="61" spans="2:20">
      <c r="B61" s="40" t="s">
        <v>3114</v>
      </c>
      <c r="C61" s="53" t="s">
        <v>3323</v>
      </c>
      <c r="D61" s="50"/>
    </row>
    <row r="62" spans="2:20">
      <c r="S62" s="13" t="str">
        <f>Show!$B$149&amp;Show!$B$149&amp;"SR.26.05.01.03 Table label {"&amp;COLUMN($C$1)&amp;"}"</f>
        <v>!!SR.26.05.01.03 Table label {3}</v>
      </c>
      <c r="T62" s="13" t="str">
        <f>Show!$B$149&amp;Show!$B$149&amp;"SR.26.05.01.03 Table value {"&amp;COLUMN($D$1)&amp;"}"</f>
        <v>!!SR.26.05.01.03 Table value {4}</v>
      </c>
    </row>
    <row r="64" spans="2:20">
      <c r="D64" s="101" t="s">
        <v>2877</v>
      </c>
      <c r="E64" s="102"/>
      <c r="F64" s="102"/>
      <c r="G64" s="102"/>
      <c r="H64" s="103"/>
    </row>
    <row r="65" spans="2:20">
      <c r="D65" s="104"/>
      <c r="E65" s="105"/>
      <c r="F65" s="105"/>
      <c r="G65" s="105"/>
      <c r="H65" s="106"/>
    </row>
    <row r="66" spans="2:20">
      <c r="D66" s="107" t="s">
        <v>4763</v>
      </c>
      <c r="E66" s="109"/>
      <c r="F66" s="107" t="s">
        <v>4764</v>
      </c>
      <c r="G66" s="108"/>
      <c r="H66" s="109"/>
    </row>
    <row r="67" spans="2:20" ht="30">
      <c r="D67" s="55" t="s">
        <v>3252</v>
      </c>
      <c r="E67" s="55" t="s">
        <v>2389</v>
      </c>
      <c r="F67" s="55" t="s">
        <v>3252</v>
      </c>
      <c r="G67" s="55" t="s">
        <v>2389</v>
      </c>
      <c r="H67" s="55" t="s">
        <v>4643</v>
      </c>
    </row>
    <row r="68" spans="2:20">
      <c r="D68" s="45" t="s">
        <v>3241</v>
      </c>
      <c r="E68" s="45" t="s">
        <v>3243</v>
      </c>
      <c r="F68" s="45" t="s">
        <v>3375</v>
      </c>
      <c r="G68" s="45" t="s">
        <v>3475</v>
      </c>
      <c r="H68" s="45" t="s">
        <v>3477</v>
      </c>
      <c r="S68" s="13" t="str">
        <f>Show!$B$149&amp;"SR.26.05.01.03 Rows {"&amp;COLUMN($C$1)&amp;"}"&amp;"@ForceFilingCode:true"</f>
        <v>!SR.26.05.01.03 Rows {3}@ForceFilingCode:true</v>
      </c>
      <c r="T68" s="13" t="str">
        <f>Show!$B$149&amp;"SR.26.05.01.03 Columns {"&amp;COLUMN($D$1)&amp;"}"</f>
        <v>!SR.26.05.01.03 Columns {4}</v>
      </c>
    </row>
    <row r="69" spans="2:20">
      <c r="B69" s="43" t="s">
        <v>2880</v>
      </c>
      <c r="C69" s="44" t="s">
        <v>2878</v>
      </c>
      <c r="D69" s="56"/>
      <c r="E69" s="66"/>
      <c r="F69" s="66"/>
      <c r="G69" s="66"/>
      <c r="H69" s="57"/>
    </row>
    <row r="70" spans="2:20">
      <c r="B70" s="47" t="s">
        <v>5002</v>
      </c>
      <c r="C70" s="41" t="s">
        <v>2959</v>
      </c>
      <c r="D70" s="60"/>
      <c r="E70" s="60"/>
      <c r="F70" s="60"/>
      <c r="G70" s="60"/>
      <c r="H70" s="60"/>
    </row>
    <row r="72" spans="2:20">
      <c r="S72" s="13" t="str">
        <f>Show!$B$149&amp;Show!$B$149&amp;"SR.26.05.01.03 Rows {"&amp;COLUMN($C$1)&amp;"}"</f>
        <v>!!SR.26.05.01.03 Rows {3}</v>
      </c>
      <c r="T72" s="13" t="str">
        <f>Show!$B$149&amp;Show!$B$149&amp;"SR.26.05.01.03 Columns {"&amp;COLUMN($H$1)&amp;"}"</f>
        <v>!!SR.26.05.01.03 Columns {8}</v>
      </c>
    </row>
    <row r="74" spans="2:20" ht="18.75">
      <c r="B74" s="97" t="s">
        <v>5019</v>
      </c>
      <c r="C74" s="96"/>
      <c r="D74" s="96"/>
      <c r="E74" s="96"/>
      <c r="F74" s="96"/>
      <c r="G74" s="96"/>
      <c r="H74" s="96"/>
      <c r="I74" s="96"/>
      <c r="J74" s="96"/>
      <c r="K74" s="96"/>
      <c r="L74" s="96"/>
    </row>
    <row r="76" spans="2:20">
      <c r="B76" t="s">
        <v>3110</v>
      </c>
      <c r="S76" s="13" t="str">
        <f>Show!$B$149&amp;"SR.26.05.01.04 Table label {"&amp;COLUMN($C$1)&amp;"}"</f>
        <v>!SR.26.05.01.04 Table label {3}</v>
      </c>
      <c r="T76" s="13" t="str">
        <f>Show!$B$149&amp;"SR.26.05.01.04 Table value {"&amp;COLUMN($D$1)&amp;"}"</f>
        <v>!SR.26.05.01.04 Table value {4}</v>
      </c>
    </row>
    <row r="77" spans="2:20">
      <c r="B77" t="s">
        <v>3111</v>
      </c>
    </row>
    <row r="78" spans="2:20">
      <c r="B78" s="40" t="s">
        <v>4622</v>
      </c>
      <c r="C78" s="53" t="s">
        <v>3113</v>
      </c>
      <c r="D78" s="51"/>
    </row>
    <row r="79" spans="2:20">
      <c r="B79" s="40" t="s">
        <v>3788</v>
      </c>
      <c r="C79" s="53" t="s">
        <v>3115</v>
      </c>
      <c r="D79" s="51"/>
    </row>
    <row r="80" spans="2:20">
      <c r="B80" s="40" t="s">
        <v>3114</v>
      </c>
      <c r="C80" s="53" t="s">
        <v>3323</v>
      </c>
      <c r="D80" s="50"/>
    </row>
    <row r="81" spans="2:20">
      <c r="S81" s="13" t="str">
        <f>Show!$B$149&amp;Show!$B$149&amp;"SR.26.05.01.04 Table label {"&amp;COLUMN($C$1)&amp;"}"</f>
        <v>!!SR.26.05.01.04 Table label {3}</v>
      </c>
      <c r="T81" s="13" t="str">
        <f>Show!$B$149&amp;Show!$B$149&amp;"SR.26.05.01.04 Table value {"&amp;COLUMN($D$1)&amp;"}"</f>
        <v>!!SR.26.05.01.04 Table value {4}</v>
      </c>
    </row>
    <row r="83" spans="2:20">
      <c r="D83" s="98" t="s">
        <v>2877</v>
      </c>
    </row>
    <row r="84" spans="2:20">
      <c r="D84" s="100"/>
    </row>
    <row r="85" spans="2:20">
      <c r="D85" s="55" t="s">
        <v>4643</v>
      </c>
    </row>
    <row r="86" spans="2:20">
      <c r="D86" s="45" t="s">
        <v>3479</v>
      </c>
      <c r="S86" s="13" t="str">
        <f>Show!$B$149&amp;"SR.26.05.01.04 Rows {"&amp;COLUMN($C$1)&amp;"}"&amp;"@ForceFilingCode:true"</f>
        <v>!SR.26.05.01.04 Rows {3}@ForceFilingCode:true</v>
      </c>
      <c r="T86" s="13" t="str">
        <f>Show!$B$149&amp;"SR.26.05.01.04 Columns {"&amp;COLUMN($D$1)&amp;"}"</f>
        <v>!SR.26.05.01.04 Columns {4}</v>
      </c>
    </row>
    <row r="87" spans="2:20">
      <c r="B87" s="43" t="s">
        <v>2880</v>
      </c>
      <c r="C87" s="44" t="s">
        <v>2878</v>
      </c>
      <c r="D87" s="46"/>
    </row>
    <row r="88" spans="2:20">
      <c r="B88" s="47" t="s">
        <v>5004</v>
      </c>
      <c r="C88" s="41" t="s">
        <v>2977</v>
      </c>
      <c r="D88" s="60"/>
    </row>
    <row r="89" spans="2:20">
      <c r="B89" s="47" t="s">
        <v>5005</v>
      </c>
      <c r="C89" s="41" t="s">
        <v>2997</v>
      </c>
      <c r="D89" s="60"/>
    </row>
    <row r="90" spans="2:20">
      <c r="B90" s="47" t="s">
        <v>5006</v>
      </c>
      <c r="C90" s="41" t="s">
        <v>3064</v>
      </c>
      <c r="D90" s="60"/>
    </row>
    <row r="92" spans="2:20">
      <c r="S92" s="13" t="str">
        <f>Show!$B$149&amp;Show!$B$149&amp;"SR.26.05.01.04 Rows {"&amp;COLUMN($C$1)&amp;"}"</f>
        <v>!!SR.26.05.01.04 Rows {3}</v>
      </c>
      <c r="T92" s="13" t="str">
        <f>Show!$B$149&amp;Show!$B$149&amp;"SR.26.05.01.04 Columns {"&amp;COLUMN($D$1)&amp;"}"</f>
        <v>!!SR.26.05.01.04 Columns {4}</v>
      </c>
    </row>
    <row r="94" spans="2:20" ht="18.75">
      <c r="B94" s="97" t="s">
        <v>5020</v>
      </c>
      <c r="C94" s="96"/>
      <c r="D94" s="96"/>
      <c r="E94" s="96"/>
      <c r="F94" s="96"/>
      <c r="G94" s="96"/>
      <c r="H94" s="96"/>
      <c r="I94" s="96"/>
      <c r="J94" s="96"/>
      <c r="K94" s="96"/>
      <c r="L94" s="96"/>
    </row>
    <row r="96" spans="2:20">
      <c r="B96" t="s">
        <v>3110</v>
      </c>
      <c r="S96" s="13" t="str">
        <f>Show!$B$149&amp;"SR.26.05.01.05 Table label {"&amp;COLUMN($C$1)&amp;"}"</f>
        <v>!SR.26.05.01.05 Table label {3}</v>
      </c>
      <c r="T96" s="13" t="str">
        <f>Show!$B$149&amp;"SR.26.05.01.05 Table value {"&amp;COLUMN($D$1)&amp;"}"</f>
        <v>!SR.26.05.01.05 Table value {4}</v>
      </c>
    </row>
    <row r="97" spans="2:20">
      <c r="B97" t="s">
        <v>3111</v>
      </c>
    </row>
    <row r="98" spans="2:20">
      <c r="B98" s="40" t="s">
        <v>4622</v>
      </c>
      <c r="C98" s="53" t="s">
        <v>3113</v>
      </c>
      <c r="D98" s="51"/>
    </row>
    <row r="99" spans="2:20">
      <c r="B99" s="40" t="s">
        <v>3788</v>
      </c>
      <c r="C99" s="53" t="s">
        <v>3115</v>
      </c>
      <c r="D99" s="51"/>
    </row>
    <row r="100" spans="2:20">
      <c r="B100" s="40" t="s">
        <v>3114</v>
      </c>
      <c r="C100" s="53" t="s">
        <v>3323</v>
      </c>
      <c r="D100" s="50"/>
    </row>
    <row r="101" spans="2:20">
      <c r="S101" s="13" t="str">
        <f>Show!$B$149&amp;Show!$B$149&amp;"SR.26.05.01.05 Table label {"&amp;COLUMN($C$1)&amp;"}"</f>
        <v>!!SR.26.05.01.05 Table label {3}</v>
      </c>
      <c r="T101" s="13" t="str">
        <f>Show!$B$149&amp;Show!$B$149&amp;"SR.26.05.01.05 Table value {"&amp;COLUMN($D$1)&amp;"}"</f>
        <v>!!SR.26.05.01.05 Table value {4}</v>
      </c>
    </row>
    <row r="103" spans="2:20">
      <c r="D103" s="98" t="s">
        <v>2877</v>
      </c>
    </row>
    <row r="104" spans="2:20">
      <c r="D104" s="100"/>
    </row>
    <row r="105" spans="2:20">
      <c r="D105" s="55" t="s">
        <v>2574</v>
      </c>
    </row>
    <row r="106" spans="2:20">
      <c r="D106" s="45" t="s">
        <v>2879</v>
      </c>
      <c r="S106" s="13" t="str">
        <f>Show!$B$149&amp;"SR.26.05.01.05 Rows {"&amp;COLUMN($C$1)&amp;"}"&amp;"@ForceFilingCode:true"</f>
        <v>!SR.26.05.01.05 Rows {3}@ForceFilingCode:true</v>
      </c>
      <c r="T106" s="13" t="str">
        <f>Show!$B$149&amp;"SR.26.05.01.05 Columns {"&amp;COLUMN($D$1)&amp;"}"</f>
        <v>!SR.26.05.01.05 Columns {4}</v>
      </c>
    </row>
    <row r="107" spans="2:20">
      <c r="B107" s="43" t="s">
        <v>2880</v>
      </c>
      <c r="C107" s="44" t="s">
        <v>2878</v>
      </c>
      <c r="D107" s="46"/>
    </row>
    <row r="108" spans="2:20">
      <c r="B108" s="47" t="s">
        <v>5008</v>
      </c>
      <c r="C108" s="41" t="s">
        <v>2883</v>
      </c>
      <c r="D108" s="51"/>
    </row>
    <row r="109" spans="2:20">
      <c r="B109" s="47" t="s">
        <v>5009</v>
      </c>
      <c r="C109" s="41" t="s">
        <v>5010</v>
      </c>
      <c r="D109" s="51"/>
    </row>
    <row r="111" spans="2:20">
      <c r="S111" s="13" t="str">
        <f>Show!$B$149&amp;Show!$B$149&amp;"SR.26.05.01.05 Rows {"&amp;COLUMN($C$1)&amp;"}"</f>
        <v>!!SR.26.05.01.05 Rows {3}</v>
      </c>
      <c r="T111" s="13" t="str">
        <f>Show!$B$149&amp;Show!$B$149&amp;"SR.26.05.01.05 Columns {"&amp;COLUMN($D$1)&amp;"}"</f>
        <v>!!SR.26.05.01.05 Columns {4}</v>
      </c>
    </row>
  </sheetData>
  <sheetProtection sheet="1" objects="1" scenarios="1"/>
  <mergeCells count="15">
    <mergeCell ref="D83:D84"/>
    <mergeCell ref="B94:L94"/>
    <mergeCell ref="D103:D104"/>
    <mergeCell ref="D46:D47"/>
    <mergeCell ref="B55:L55"/>
    <mergeCell ref="D64:H65"/>
    <mergeCell ref="D66:E66"/>
    <mergeCell ref="F66:H66"/>
    <mergeCell ref="B74:L74"/>
    <mergeCell ref="B37:L37"/>
    <mergeCell ref="B2:O2"/>
    <mergeCell ref="B5:L5"/>
    <mergeCell ref="D14:K15"/>
    <mergeCell ref="D16:F16"/>
    <mergeCell ref="H16:K16"/>
  </mergeCells>
  <dataValidations count="5">
    <dataValidation type="list" errorStyle="warning" allowBlank="1" showInputMessage="1" showErrorMessage="1" sqref="D9 D41 D59 D78 D98" xr:uid="{EFE6E9D3-1919-4FC2-B615-A2115A06FE9A}">
      <formula1>hier_AO_1</formula1>
    </dataValidation>
    <dataValidation type="list" errorStyle="warning" allowBlank="1" showInputMessage="1" showErrorMessage="1" sqref="D10 D42 D60 D79 D99" xr:uid="{C7274569-221C-486A-A715-FE6C2C3F2A4B}">
      <formula1>hier_PU_20</formula1>
    </dataValidation>
    <dataValidation type="list" errorStyle="warning" allowBlank="1" showInputMessage="1" showErrorMessage="1" sqref="E20 E21 E22 E23 E24 E25 E26 E27 E28 E29 E30 E31" xr:uid="{AD9F044B-AB09-4D5E-B3EA-28D8132F1B3A}">
      <formula1>hier_AP_12</formula1>
    </dataValidation>
    <dataValidation type="list" errorStyle="warning" allowBlank="1" showInputMessage="1" showErrorMessage="1" sqref="D108" xr:uid="{F78C7107-859E-48A5-95E6-FB7E114303A6}">
      <formula1>hier_AP_17</formula1>
    </dataValidation>
    <dataValidation type="list" errorStyle="warning" allowBlank="1" showInputMessage="1" showErrorMessage="1" sqref="D109" xr:uid="{EF59BC04-B6DA-4BC3-91DE-8A2EB06E597B}">
      <formula1>hier_AP_27</formula1>
    </dataValidation>
  </dataValidation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A749-B390-479A-8BFD-D3BB134DB485}">
  <sheetPr codeName="Blad154"/>
  <dimension ref="B2:O38"/>
  <sheetViews>
    <sheetView showGridLines="0" workbookViewId="0"/>
  </sheetViews>
  <sheetFormatPr defaultRowHeight="15"/>
  <cols>
    <col min="2" max="2" width="85.7109375" customWidth="1"/>
    <col min="4" max="4" width="15.7109375" customWidth="1"/>
  </cols>
  <sheetData>
    <row r="2" spans="2:15" ht="23.25">
      <c r="B2" s="95" t="s">
        <v>734</v>
      </c>
      <c r="C2" s="96"/>
      <c r="D2" s="96"/>
      <c r="E2" s="96"/>
      <c r="F2" s="96"/>
      <c r="G2" s="96"/>
      <c r="H2" s="96"/>
      <c r="I2" s="96"/>
      <c r="J2" s="96"/>
      <c r="K2" s="96"/>
      <c r="L2" s="96"/>
      <c r="M2" s="96"/>
      <c r="N2" s="96"/>
      <c r="O2" s="96"/>
    </row>
    <row r="5" spans="2:15" ht="18.75">
      <c r="B5" s="97" t="s">
        <v>5021</v>
      </c>
      <c r="C5" s="96"/>
      <c r="D5" s="96"/>
      <c r="E5" s="96"/>
      <c r="F5" s="96"/>
      <c r="G5" s="96"/>
      <c r="H5" s="96"/>
      <c r="I5" s="96"/>
      <c r="J5" s="96"/>
      <c r="K5" s="96"/>
      <c r="L5" s="96"/>
    </row>
    <row r="7" spans="2:15">
      <c r="B7" t="s">
        <v>3110</v>
      </c>
      <c r="I7" s="13" t="str">
        <f>Show!$B$150&amp;"S.26.06.01.01 Table label {"&amp;COLUMN($C$1)&amp;"}"</f>
        <v>!S.26.06.01.01 Table label {3}</v>
      </c>
      <c r="J7" s="13" t="str">
        <f>Show!$B$150&amp;"S.26.06.01.01 Table value {"&amp;COLUMN($D$1)&amp;"}"</f>
        <v>!S.26.06.01.01 Table value {4}</v>
      </c>
    </row>
    <row r="8" spans="2:15">
      <c r="B8" t="s">
        <v>3111</v>
      </c>
    </row>
    <row r="9" spans="2:15">
      <c r="B9" s="40" t="s">
        <v>4622</v>
      </c>
      <c r="C9" s="53" t="s">
        <v>3113</v>
      </c>
      <c r="D9" s="51"/>
    </row>
    <row r="10" spans="2:15">
      <c r="I10" s="13" t="str">
        <f>Show!$B$150&amp;Show!$B$150&amp;"S.26.06.01.01 Table label {"&amp;COLUMN($C$1)&amp;"}"</f>
        <v>!!S.26.06.01.01 Table label {3}</v>
      </c>
      <c r="J10" s="13" t="str">
        <f>Show!$B$150&amp;Show!$B$150&amp;"S.26.06.01.01 Table value {"&amp;COLUMN($D$1)&amp;"}"</f>
        <v>!!S.26.06.01.01 Table value {4}</v>
      </c>
    </row>
    <row r="12" spans="2:15">
      <c r="D12" s="98" t="s">
        <v>2877</v>
      </c>
    </row>
    <row r="13" spans="2:15">
      <c r="D13" s="100"/>
    </row>
    <row r="14" spans="2:15">
      <c r="D14" s="98" t="s">
        <v>5022</v>
      </c>
    </row>
    <row r="15" spans="2:15">
      <c r="D15" s="100"/>
    </row>
    <row r="16" spans="2:15">
      <c r="D16" s="45" t="s">
        <v>3219</v>
      </c>
      <c r="I16" s="13" t="str">
        <f>Show!$B$150&amp;"S.26.06.01.01 Rows {"&amp;COLUMN($C$1)&amp;"}"&amp;"@ForceFilingCode:true"</f>
        <v>!S.26.06.01.01 Rows {3}@ForceFilingCode:true</v>
      </c>
      <c r="J16" s="13" t="str">
        <f>Show!$B$150&amp;"S.26.06.01.01 Columns {"&amp;COLUMN($D$1)&amp;"}"</f>
        <v>!S.26.06.01.01 Columns {4}</v>
      </c>
    </row>
    <row r="17" spans="2:4">
      <c r="B17" s="43" t="s">
        <v>2880</v>
      </c>
      <c r="C17" s="44" t="s">
        <v>2878</v>
      </c>
      <c r="D17" s="48"/>
    </row>
    <row r="18" spans="2:4">
      <c r="B18" s="47" t="s">
        <v>5023</v>
      </c>
      <c r="C18" s="44" t="s">
        <v>2878</v>
      </c>
      <c r="D18" s="46"/>
    </row>
    <row r="19" spans="2:4" ht="30">
      <c r="B19" s="49" t="s">
        <v>5024</v>
      </c>
      <c r="C19" s="41" t="s">
        <v>2899</v>
      </c>
      <c r="D19" s="60"/>
    </row>
    <row r="20" spans="2:4">
      <c r="B20" s="49" t="s">
        <v>5025</v>
      </c>
      <c r="C20" s="41" t="s">
        <v>2901</v>
      </c>
      <c r="D20" s="60"/>
    </row>
    <row r="21" spans="2:4">
      <c r="B21" s="49" t="s">
        <v>5026</v>
      </c>
      <c r="C21" s="41" t="s">
        <v>2903</v>
      </c>
      <c r="D21" s="60"/>
    </row>
    <row r="22" spans="2:4">
      <c r="B22" s="47" t="s">
        <v>5027</v>
      </c>
      <c r="C22" s="41" t="s">
        <v>2905</v>
      </c>
      <c r="D22" s="63"/>
    </row>
    <row r="23" spans="2:4">
      <c r="B23" s="47" t="s">
        <v>5028</v>
      </c>
      <c r="C23" s="44" t="s">
        <v>2878</v>
      </c>
      <c r="D23" s="46"/>
    </row>
    <row r="24" spans="2:4" ht="30">
      <c r="B24" s="49" t="s">
        <v>5029</v>
      </c>
      <c r="C24" s="41" t="s">
        <v>2919</v>
      </c>
      <c r="D24" s="60"/>
    </row>
    <row r="25" spans="2:4">
      <c r="B25" s="49" t="s">
        <v>5030</v>
      </c>
      <c r="C25" s="41" t="s">
        <v>2921</v>
      </c>
      <c r="D25" s="60"/>
    </row>
    <row r="26" spans="2:4">
      <c r="B26" s="49" t="s">
        <v>5031</v>
      </c>
      <c r="C26" s="41" t="s">
        <v>2923</v>
      </c>
      <c r="D26" s="60"/>
    </row>
    <row r="27" spans="2:4" ht="30">
      <c r="B27" s="49" t="s">
        <v>5032</v>
      </c>
      <c r="C27" s="41" t="s">
        <v>2925</v>
      </c>
      <c r="D27" s="60"/>
    </row>
    <row r="28" spans="2:4">
      <c r="B28" s="49" t="s">
        <v>5033</v>
      </c>
      <c r="C28" s="41" t="s">
        <v>2927</v>
      </c>
      <c r="D28" s="60"/>
    </row>
    <row r="29" spans="2:4">
      <c r="B29" s="49" t="s">
        <v>5034</v>
      </c>
      <c r="C29" s="41" t="s">
        <v>2929</v>
      </c>
      <c r="D29" s="60"/>
    </row>
    <row r="30" spans="2:4">
      <c r="B30" s="47" t="s">
        <v>5035</v>
      </c>
      <c r="C30" s="41" t="s">
        <v>2931</v>
      </c>
      <c r="D30" s="63"/>
    </row>
    <row r="31" spans="2:4">
      <c r="B31" s="47" t="s">
        <v>5036</v>
      </c>
      <c r="C31" s="44" t="s">
        <v>2878</v>
      </c>
      <c r="D31" s="46"/>
    </row>
    <row r="32" spans="2:4">
      <c r="B32" s="49" t="s">
        <v>5037</v>
      </c>
      <c r="C32" s="41" t="s">
        <v>2939</v>
      </c>
      <c r="D32" s="60"/>
    </row>
    <row r="33" spans="2:10">
      <c r="B33" s="49" t="s">
        <v>5038</v>
      </c>
      <c r="C33" s="41" t="s">
        <v>2941</v>
      </c>
      <c r="D33" s="60"/>
    </row>
    <row r="34" spans="2:10">
      <c r="B34" s="49" t="s">
        <v>5039</v>
      </c>
      <c r="C34" s="41" t="s">
        <v>2943</v>
      </c>
      <c r="D34" s="60"/>
    </row>
    <row r="35" spans="2:10">
      <c r="B35" s="49" t="s">
        <v>5040</v>
      </c>
      <c r="C35" s="41" t="s">
        <v>2945</v>
      </c>
      <c r="D35" s="60"/>
    </row>
    <row r="36" spans="2:10">
      <c r="B36" s="47" t="s">
        <v>5041</v>
      </c>
      <c r="C36" s="41" t="s">
        <v>2947</v>
      </c>
      <c r="D36" s="60"/>
    </row>
    <row r="38" spans="2:10">
      <c r="I38" s="13" t="str">
        <f>Show!$B$150&amp;Show!$B$150&amp;"S.26.06.01.01 Rows {"&amp;COLUMN($C$1)&amp;"}"</f>
        <v>!!S.26.06.01.01 Rows {3}</v>
      </c>
      <c r="J38" s="13" t="str">
        <f>Show!$B$150&amp;Show!$B$150&amp;"S.26.06.01.01 Columns {"&amp;COLUMN($D$1)&amp;"}"</f>
        <v>!!S.26.06.01.01 Columns {4}</v>
      </c>
    </row>
  </sheetData>
  <sheetProtection sheet="1" objects="1" scenarios="1"/>
  <mergeCells count="4">
    <mergeCell ref="B2:O2"/>
    <mergeCell ref="B5:L5"/>
    <mergeCell ref="D12:D13"/>
    <mergeCell ref="D14:D15"/>
  </mergeCells>
  <dataValidations count="1">
    <dataValidation type="list" errorStyle="warning" allowBlank="1" showInputMessage="1" showErrorMessage="1" sqref="D9" xr:uid="{D8277D2D-F2CC-4023-AB21-2165D06A4CBF}">
      <formula1>hier_AO_1</formula1>
    </dataValidation>
  </dataValidation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4F3B3-991E-4768-AFFD-B10275EBE1C8}">
  <sheetPr codeName="Blad155"/>
  <dimension ref="B2:O38"/>
  <sheetViews>
    <sheetView showGridLines="0" workbookViewId="0"/>
  </sheetViews>
  <sheetFormatPr defaultRowHeight="15"/>
  <cols>
    <col min="2" max="2" width="85.7109375" customWidth="1"/>
    <col min="4" max="4" width="15.7109375" customWidth="1"/>
  </cols>
  <sheetData>
    <row r="2" spans="2:15" ht="23.25">
      <c r="B2" s="95" t="s">
        <v>734</v>
      </c>
      <c r="C2" s="96"/>
      <c r="D2" s="96"/>
      <c r="E2" s="96"/>
      <c r="F2" s="96"/>
      <c r="G2" s="96"/>
      <c r="H2" s="96"/>
      <c r="I2" s="96"/>
      <c r="J2" s="96"/>
      <c r="K2" s="96"/>
      <c r="L2" s="96"/>
      <c r="M2" s="96"/>
      <c r="N2" s="96"/>
      <c r="O2" s="96"/>
    </row>
    <row r="5" spans="2:15" ht="18.75">
      <c r="B5" s="97" t="s">
        <v>5042</v>
      </c>
      <c r="C5" s="96"/>
      <c r="D5" s="96"/>
      <c r="E5" s="96"/>
      <c r="F5" s="96"/>
      <c r="G5" s="96"/>
      <c r="H5" s="96"/>
      <c r="I5" s="96"/>
      <c r="J5" s="96"/>
      <c r="K5" s="96"/>
      <c r="L5" s="96"/>
    </row>
    <row r="7" spans="2:15">
      <c r="B7" t="s">
        <v>3110</v>
      </c>
      <c r="I7" s="13" t="str">
        <f>Show!$B$151&amp;"S.26.06.04.01 Table label {"&amp;COLUMN($C$1)&amp;"}"</f>
        <v>!S.26.06.04.01 Table label {3}</v>
      </c>
      <c r="J7" s="13" t="str">
        <f>Show!$B$151&amp;"S.26.06.04.01 Table value {"&amp;COLUMN($D$1)&amp;"}"</f>
        <v>!S.26.06.04.01 Table value {4}</v>
      </c>
    </row>
    <row r="8" spans="2:15">
      <c r="B8" t="s">
        <v>3111</v>
      </c>
    </row>
    <row r="9" spans="2:15">
      <c r="B9" s="40" t="s">
        <v>4622</v>
      </c>
      <c r="C9" s="53" t="s">
        <v>3113</v>
      </c>
      <c r="D9" s="51"/>
    </row>
    <row r="10" spans="2:15">
      <c r="I10" s="13" t="str">
        <f>Show!$B$151&amp;Show!$B$151&amp;"S.26.06.04.01 Table label {"&amp;COLUMN($C$1)&amp;"}"</f>
        <v>!!S.26.06.04.01 Table label {3}</v>
      </c>
      <c r="J10" s="13" t="str">
        <f>Show!$B$151&amp;Show!$B$151&amp;"S.26.06.04.01 Table value {"&amp;COLUMN($D$1)&amp;"}"</f>
        <v>!!S.26.06.04.01 Table value {4}</v>
      </c>
    </row>
    <row r="12" spans="2:15">
      <c r="D12" s="98" t="s">
        <v>2877</v>
      </c>
    </row>
    <row r="13" spans="2:15">
      <c r="D13" s="100"/>
    </row>
    <row r="14" spans="2:15">
      <c r="D14" s="98" t="s">
        <v>5022</v>
      </c>
    </row>
    <row r="15" spans="2:15">
      <c r="D15" s="100"/>
    </row>
    <row r="16" spans="2:15">
      <c r="D16" s="45" t="s">
        <v>3219</v>
      </c>
      <c r="I16" s="13" t="str">
        <f>Show!$B$151&amp;"S.26.06.04.01 Rows {"&amp;COLUMN($C$1)&amp;"}"&amp;"@ForceFilingCode:true"</f>
        <v>!S.26.06.04.01 Rows {3}@ForceFilingCode:true</v>
      </c>
      <c r="J16" s="13" t="str">
        <f>Show!$B$151&amp;"S.26.06.04.01 Columns {"&amp;COLUMN($D$1)&amp;"}"</f>
        <v>!S.26.06.04.01 Columns {4}</v>
      </c>
    </row>
    <row r="17" spans="2:4">
      <c r="B17" s="43" t="s">
        <v>2880</v>
      </c>
      <c r="C17" s="44" t="s">
        <v>2878</v>
      </c>
      <c r="D17" s="48"/>
    </row>
    <row r="18" spans="2:4">
      <c r="B18" s="47" t="s">
        <v>5023</v>
      </c>
      <c r="C18" s="44" t="s">
        <v>2878</v>
      </c>
      <c r="D18" s="46"/>
    </row>
    <row r="19" spans="2:4" ht="30">
      <c r="B19" s="49" t="s">
        <v>5024</v>
      </c>
      <c r="C19" s="41" t="s">
        <v>2899</v>
      </c>
      <c r="D19" s="60"/>
    </row>
    <row r="20" spans="2:4">
      <c r="B20" s="49" t="s">
        <v>5025</v>
      </c>
      <c r="C20" s="41" t="s">
        <v>2901</v>
      </c>
      <c r="D20" s="60"/>
    </row>
    <row r="21" spans="2:4">
      <c r="B21" s="49" t="s">
        <v>5026</v>
      </c>
      <c r="C21" s="41" t="s">
        <v>2903</v>
      </c>
      <c r="D21" s="60"/>
    </row>
    <row r="22" spans="2:4">
      <c r="B22" s="47" t="s">
        <v>5027</v>
      </c>
      <c r="C22" s="41" t="s">
        <v>2905</v>
      </c>
      <c r="D22" s="63"/>
    </row>
    <row r="23" spans="2:4">
      <c r="B23" s="47" t="s">
        <v>5028</v>
      </c>
      <c r="C23" s="44" t="s">
        <v>2878</v>
      </c>
      <c r="D23" s="46"/>
    </row>
    <row r="24" spans="2:4" ht="30">
      <c r="B24" s="49" t="s">
        <v>5029</v>
      </c>
      <c r="C24" s="41" t="s">
        <v>2919</v>
      </c>
      <c r="D24" s="60"/>
    </row>
    <row r="25" spans="2:4">
      <c r="B25" s="49" t="s">
        <v>5030</v>
      </c>
      <c r="C25" s="41" t="s">
        <v>2921</v>
      </c>
      <c r="D25" s="60"/>
    </row>
    <row r="26" spans="2:4">
      <c r="B26" s="49" t="s">
        <v>5031</v>
      </c>
      <c r="C26" s="41" t="s">
        <v>2923</v>
      </c>
      <c r="D26" s="60"/>
    </row>
    <row r="27" spans="2:4" ht="30">
      <c r="B27" s="49" t="s">
        <v>5032</v>
      </c>
      <c r="C27" s="41" t="s">
        <v>2925</v>
      </c>
      <c r="D27" s="60"/>
    </row>
    <row r="28" spans="2:4">
      <c r="B28" s="49" t="s">
        <v>5033</v>
      </c>
      <c r="C28" s="41" t="s">
        <v>2927</v>
      </c>
      <c r="D28" s="60"/>
    </row>
    <row r="29" spans="2:4">
      <c r="B29" s="49" t="s">
        <v>5034</v>
      </c>
      <c r="C29" s="41" t="s">
        <v>2929</v>
      </c>
      <c r="D29" s="60"/>
    </row>
    <row r="30" spans="2:4">
      <c r="B30" s="47" t="s">
        <v>5035</v>
      </c>
      <c r="C30" s="41" t="s">
        <v>2931</v>
      </c>
      <c r="D30" s="63"/>
    </row>
    <row r="31" spans="2:4">
      <c r="B31" s="47" t="s">
        <v>5036</v>
      </c>
      <c r="C31" s="44" t="s">
        <v>2878</v>
      </c>
      <c r="D31" s="46"/>
    </row>
    <row r="32" spans="2:4">
      <c r="B32" s="49" t="s">
        <v>5037</v>
      </c>
      <c r="C32" s="41" t="s">
        <v>2939</v>
      </c>
      <c r="D32" s="60"/>
    </row>
    <row r="33" spans="2:10">
      <c r="B33" s="49" t="s">
        <v>5038</v>
      </c>
      <c r="C33" s="41" t="s">
        <v>2941</v>
      </c>
      <c r="D33" s="60"/>
    </row>
    <row r="34" spans="2:10">
      <c r="B34" s="49" t="s">
        <v>5039</v>
      </c>
      <c r="C34" s="41" t="s">
        <v>2943</v>
      </c>
      <c r="D34" s="60"/>
    </row>
    <row r="35" spans="2:10">
      <c r="B35" s="49" t="s">
        <v>5040</v>
      </c>
      <c r="C35" s="41" t="s">
        <v>2945</v>
      </c>
      <c r="D35" s="60"/>
    </row>
    <row r="36" spans="2:10">
      <c r="B36" s="47" t="s">
        <v>5041</v>
      </c>
      <c r="C36" s="41" t="s">
        <v>2947</v>
      </c>
      <c r="D36" s="60"/>
    </row>
    <row r="38" spans="2:10">
      <c r="I38" s="13" t="str">
        <f>Show!$B$151&amp;Show!$B$151&amp;"S.26.06.04.01 Rows {"&amp;COLUMN($C$1)&amp;"}"</f>
        <v>!!S.26.06.04.01 Rows {3}</v>
      </c>
      <c r="J38" s="13" t="str">
        <f>Show!$B$151&amp;Show!$B$151&amp;"S.26.06.04.01 Columns {"&amp;COLUMN($D$1)&amp;"}"</f>
        <v>!!S.26.06.04.01 Columns {4}</v>
      </c>
    </row>
  </sheetData>
  <sheetProtection sheet="1" objects="1" scenarios="1"/>
  <mergeCells count="4">
    <mergeCell ref="B2:O2"/>
    <mergeCell ref="B5:L5"/>
    <mergeCell ref="D12:D13"/>
    <mergeCell ref="D14:D15"/>
  </mergeCells>
  <dataValidations count="1">
    <dataValidation type="list" errorStyle="warning" allowBlank="1" showInputMessage="1" showErrorMessage="1" sqref="D9" xr:uid="{8FFC5549-2F76-4182-9F7B-E85F4BD0D6AD}">
      <formula1>hier_AO_1</formula1>
    </dataValidation>
  </dataValidation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9EB3-5F7D-4F18-B54F-8132315FDD05}">
  <sheetPr codeName="Blad156"/>
  <dimension ref="B2:O40"/>
  <sheetViews>
    <sheetView showGridLines="0" workbookViewId="0"/>
  </sheetViews>
  <sheetFormatPr defaultRowHeight="15"/>
  <cols>
    <col min="2" max="2" width="85.7109375" customWidth="1"/>
    <col min="4" max="4" width="15.7109375" customWidth="1"/>
  </cols>
  <sheetData>
    <row r="2" spans="2:15" ht="23.25">
      <c r="B2" s="95" t="s">
        <v>734</v>
      </c>
      <c r="C2" s="96"/>
      <c r="D2" s="96"/>
      <c r="E2" s="96"/>
      <c r="F2" s="96"/>
      <c r="G2" s="96"/>
      <c r="H2" s="96"/>
      <c r="I2" s="96"/>
      <c r="J2" s="96"/>
      <c r="K2" s="96"/>
      <c r="L2" s="96"/>
      <c r="M2" s="96"/>
      <c r="N2" s="96"/>
      <c r="O2" s="96"/>
    </row>
    <row r="5" spans="2:15" ht="18.75">
      <c r="B5" s="97" t="s">
        <v>5043</v>
      </c>
      <c r="C5" s="96"/>
      <c r="D5" s="96"/>
      <c r="E5" s="96"/>
      <c r="F5" s="96"/>
      <c r="G5" s="96"/>
      <c r="H5" s="96"/>
      <c r="I5" s="96"/>
      <c r="J5" s="96"/>
      <c r="K5" s="96"/>
      <c r="L5" s="96"/>
    </row>
    <row r="7" spans="2:15">
      <c r="B7" t="s">
        <v>3110</v>
      </c>
      <c r="I7" s="13" t="str">
        <f>Show!$B$152&amp;"SR.26.06.01.01 Table label {"&amp;COLUMN($C$1)&amp;"}"</f>
        <v>!SR.26.06.01.01 Table label {3}</v>
      </c>
      <c r="J7" s="13" t="str">
        <f>Show!$B$152&amp;"SR.26.06.01.01 Table value {"&amp;COLUMN($D$1)&amp;"}"</f>
        <v>!SR.26.06.01.01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I12" s="13" t="str">
        <f>Show!$B$152&amp;Show!$B$152&amp;"SR.26.06.01.01 Table label {"&amp;COLUMN($C$1)&amp;"}"</f>
        <v>!!SR.26.06.01.01 Table label {3}</v>
      </c>
      <c r="J12" s="13" t="str">
        <f>Show!$B$152&amp;Show!$B$152&amp;"SR.26.06.01.01 Table value {"&amp;COLUMN($D$1)&amp;"}"</f>
        <v>!!SR.26.06.01.01 Table value {4}</v>
      </c>
    </row>
    <row r="14" spans="2:15">
      <c r="D14" s="98" t="s">
        <v>2877</v>
      </c>
    </row>
    <row r="15" spans="2:15">
      <c r="D15" s="100"/>
    </row>
    <row r="16" spans="2:15">
      <c r="D16" s="98" t="s">
        <v>5022</v>
      </c>
    </row>
    <row r="17" spans="2:10">
      <c r="D17" s="100"/>
    </row>
    <row r="18" spans="2:10">
      <c r="D18" s="45" t="s">
        <v>3219</v>
      </c>
      <c r="I18" s="13" t="str">
        <f>Show!$B$152&amp;"SR.26.06.01.01 Rows {"&amp;COLUMN($C$1)&amp;"}"&amp;"@ForceFilingCode:true"</f>
        <v>!SR.26.06.01.01 Rows {3}@ForceFilingCode:true</v>
      </c>
      <c r="J18" s="13" t="str">
        <f>Show!$B$152&amp;"SR.26.06.01.01 Columns {"&amp;COLUMN($D$1)&amp;"}"</f>
        <v>!SR.26.06.01.01 Columns {4}</v>
      </c>
    </row>
    <row r="19" spans="2:10">
      <c r="B19" s="43" t="s">
        <v>2880</v>
      </c>
      <c r="C19" s="44" t="s">
        <v>2878</v>
      </c>
      <c r="D19" s="48"/>
    </row>
    <row r="20" spans="2:10">
      <c r="B20" s="47" t="s">
        <v>5023</v>
      </c>
      <c r="C20" s="44" t="s">
        <v>2878</v>
      </c>
      <c r="D20" s="46"/>
    </row>
    <row r="21" spans="2:10" ht="30">
      <c r="B21" s="49" t="s">
        <v>5024</v>
      </c>
      <c r="C21" s="41" t="s">
        <v>2899</v>
      </c>
      <c r="D21" s="60"/>
    </row>
    <row r="22" spans="2:10">
      <c r="B22" s="49" t="s">
        <v>5025</v>
      </c>
      <c r="C22" s="41" t="s">
        <v>2901</v>
      </c>
      <c r="D22" s="60"/>
    </row>
    <row r="23" spans="2:10">
      <c r="B23" s="49" t="s">
        <v>5026</v>
      </c>
      <c r="C23" s="41" t="s">
        <v>2903</v>
      </c>
      <c r="D23" s="60"/>
    </row>
    <row r="24" spans="2:10">
      <c r="B24" s="47" t="s">
        <v>5027</v>
      </c>
      <c r="C24" s="41" t="s">
        <v>2905</v>
      </c>
      <c r="D24" s="63"/>
    </row>
    <row r="25" spans="2:10">
      <c r="B25" s="47" t="s">
        <v>5028</v>
      </c>
      <c r="C25" s="44" t="s">
        <v>2878</v>
      </c>
      <c r="D25" s="46"/>
    </row>
    <row r="26" spans="2:10" ht="30">
      <c r="B26" s="49" t="s">
        <v>5029</v>
      </c>
      <c r="C26" s="41" t="s">
        <v>2919</v>
      </c>
      <c r="D26" s="60"/>
    </row>
    <row r="27" spans="2:10">
      <c r="B27" s="49" t="s">
        <v>5030</v>
      </c>
      <c r="C27" s="41" t="s">
        <v>2921</v>
      </c>
      <c r="D27" s="60"/>
    </row>
    <row r="28" spans="2:10">
      <c r="B28" s="49" t="s">
        <v>5031</v>
      </c>
      <c r="C28" s="41" t="s">
        <v>2923</v>
      </c>
      <c r="D28" s="60"/>
    </row>
    <row r="29" spans="2:10" ht="30">
      <c r="B29" s="49" t="s">
        <v>5032</v>
      </c>
      <c r="C29" s="41" t="s">
        <v>2925</v>
      </c>
      <c r="D29" s="60"/>
    </row>
    <row r="30" spans="2:10">
      <c r="B30" s="49" t="s">
        <v>5033</v>
      </c>
      <c r="C30" s="41" t="s">
        <v>2927</v>
      </c>
      <c r="D30" s="60"/>
    </row>
    <row r="31" spans="2:10">
      <c r="B31" s="49" t="s">
        <v>5034</v>
      </c>
      <c r="C31" s="41" t="s">
        <v>2929</v>
      </c>
      <c r="D31" s="60"/>
    </row>
    <row r="32" spans="2:10">
      <c r="B32" s="47" t="s">
        <v>5035</v>
      </c>
      <c r="C32" s="41" t="s">
        <v>2931</v>
      </c>
      <c r="D32" s="63"/>
    </row>
    <row r="33" spans="2:10">
      <c r="B33" s="47" t="s">
        <v>5036</v>
      </c>
      <c r="C33" s="44" t="s">
        <v>2878</v>
      </c>
      <c r="D33" s="46"/>
    </row>
    <row r="34" spans="2:10">
      <c r="B34" s="49" t="s">
        <v>5037</v>
      </c>
      <c r="C34" s="41" t="s">
        <v>2939</v>
      </c>
      <c r="D34" s="60"/>
    </row>
    <row r="35" spans="2:10">
      <c r="B35" s="49" t="s">
        <v>5038</v>
      </c>
      <c r="C35" s="41" t="s">
        <v>2941</v>
      </c>
      <c r="D35" s="60"/>
    </row>
    <row r="36" spans="2:10">
      <c r="B36" s="49" t="s">
        <v>5039</v>
      </c>
      <c r="C36" s="41" t="s">
        <v>2943</v>
      </c>
      <c r="D36" s="60"/>
    </row>
    <row r="37" spans="2:10">
      <c r="B37" s="49" t="s">
        <v>5040</v>
      </c>
      <c r="C37" s="41" t="s">
        <v>2945</v>
      </c>
      <c r="D37" s="60"/>
    </row>
    <row r="38" spans="2:10">
      <c r="B38" s="47" t="s">
        <v>5041</v>
      </c>
      <c r="C38" s="41" t="s">
        <v>2947</v>
      </c>
      <c r="D38" s="60"/>
    </row>
    <row r="40" spans="2:10">
      <c r="I40" s="13" t="str">
        <f>Show!$B$152&amp;Show!$B$152&amp;"SR.26.06.01.01 Rows {"&amp;COLUMN($C$1)&amp;"}"</f>
        <v>!!SR.26.06.01.01 Rows {3}</v>
      </c>
      <c r="J40" s="13" t="str">
        <f>Show!$B$152&amp;Show!$B$152&amp;"SR.26.06.01.01 Columns {"&amp;COLUMN($D$1)&amp;"}"</f>
        <v>!!SR.26.06.01.01 Columns {4}</v>
      </c>
    </row>
  </sheetData>
  <sheetProtection sheet="1" objects="1" scenarios="1"/>
  <mergeCells count="4">
    <mergeCell ref="B2:O2"/>
    <mergeCell ref="B5:L5"/>
    <mergeCell ref="D14:D15"/>
    <mergeCell ref="D16:D17"/>
  </mergeCells>
  <dataValidations count="2">
    <dataValidation type="list" errorStyle="warning" allowBlank="1" showInputMessage="1" showErrorMessage="1" sqref="D9" xr:uid="{3410288E-D4B2-45E1-A977-49526D9B3C45}">
      <formula1>hier_AO_1</formula1>
    </dataValidation>
    <dataValidation type="list" errorStyle="warning" allowBlank="1" showInputMessage="1" showErrorMessage="1" sqref="D10" xr:uid="{8DB37606-CE49-49B6-AE33-A2DC9EAAA197}">
      <formula1>hier_PU_20</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DE99-50AE-457B-9A1D-089E5F93901D}">
  <sheetPr codeName="Blad157"/>
  <dimension ref="B2:T124"/>
  <sheetViews>
    <sheetView showGridLines="0" workbookViewId="0"/>
  </sheetViews>
  <sheetFormatPr defaultRowHeight="15"/>
  <cols>
    <col min="2" max="2" width="58.42578125" bestFit="1" customWidth="1"/>
    <col min="4" max="14" width="15.7109375" customWidth="1"/>
  </cols>
  <sheetData>
    <row r="2" spans="2:20" ht="23.25">
      <c r="B2" s="95" t="s">
        <v>738</v>
      </c>
      <c r="C2" s="96"/>
      <c r="D2" s="96"/>
      <c r="E2" s="96"/>
      <c r="F2" s="96"/>
      <c r="G2" s="96"/>
      <c r="H2" s="96"/>
      <c r="I2" s="96"/>
      <c r="J2" s="96"/>
      <c r="K2" s="96"/>
      <c r="L2" s="96"/>
      <c r="M2" s="96"/>
      <c r="N2" s="96"/>
      <c r="O2" s="96"/>
    </row>
    <row r="5" spans="2:20" ht="18.75">
      <c r="B5" s="97" t="s">
        <v>5044</v>
      </c>
      <c r="C5" s="96"/>
      <c r="D5" s="96"/>
      <c r="E5" s="96"/>
      <c r="F5" s="96"/>
      <c r="G5" s="96"/>
      <c r="H5" s="96"/>
      <c r="I5" s="96"/>
      <c r="J5" s="96"/>
      <c r="K5" s="96"/>
      <c r="L5" s="96"/>
    </row>
    <row r="7" spans="2:20">
      <c r="B7" t="s">
        <v>3110</v>
      </c>
      <c r="S7" s="13" t="str">
        <f>Show!$B$153&amp;"S.26.07.01.01 Table label {"&amp;COLUMN($C$1)&amp;"}"</f>
        <v>!S.26.07.01.01 Table label {3}</v>
      </c>
      <c r="T7" s="13" t="str">
        <f>Show!$B$153&amp;"S.26.07.01.01 Table value {"&amp;COLUMN($D$1)&amp;"}"</f>
        <v>!S.26.07.01.01 Table value {4}</v>
      </c>
    </row>
    <row r="8" spans="2:20">
      <c r="B8" t="s">
        <v>3111</v>
      </c>
    </row>
    <row r="9" spans="2:20">
      <c r="B9" s="40" t="s">
        <v>4622</v>
      </c>
      <c r="C9" s="53" t="s">
        <v>3113</v>
      </c>
      <c r="D9" s="51"/>
    </row>
    <row r="10" spans="2:20">
      <c r="S10" s="13" t="str">
        <f>Show!$B$153&amp;Show!$B$153&amp;"S.26.07.01.01 Table label {"&amp;COLUMN($C$1)&amp;"}"</f>
        <v>!!S.26.07.01.01 Table label {3}</v>
      </c>
      <c r="T10" s="13" t="str">
        <f>Show!$B$153&amp;Show!$B$153&amp;"S.26.07.01.01 Table value {"&amp;COLUMN($D$1)&amp;"}"</f>
        <v>!!S.26.07.01.01 Table value {4}</v>
      </c>
    </row>
    <row r="12" spans="2:20">
      <c r="D12" s="101" t="s">
        <v>2877</v>
      </c>
      <c r="E12" s="102"/>
      <c r="F12" s="102"/>
      <c r="G12" s="102"/>
      <c r="H12" s="102"/>
      <c r="I12" s="102"/>
      <c r="J12" s="102"/>
      <c r="K12" s="103"/>
    </row>
    <row r="13" spans="2:20">
      <c r="D13" s="104"/>
      <c r="E13" s="105"/>
      <c r="F13" s="105"/>
      <c r="G13" s="105"/>
      <c r="H13" s="105"/>
      <c r="I13" s="105"/>
      <c r="J13" s="105"/>
      <c r="K13" s="106"/>
    </row>
    <row r="14" spans="2:20">
      <c r="D14" s="107" t="s">
        <v>3617</v>
      </c>
      <c r="E14" s="108"/>
      <c r="F14" s="108"/>
      <c r="G14" s="108"/>
      <c r="H14" s="108"/>
      <c r="I14" s="108"/>
      <c r="J14" s="108"/>
      <c r="K14" s="109"/>
    </row>
    <row r="15" spans="2:20" ht="30">
      <c r="D15" s="55">
        <v>0</v>
      </c>
      <c r="E15" s="55">
        <v>1</v>
      </c>
      <c r="F15" s="55">
        <v>2</v>
      </c>
      <c r="G15" s="55">
        <v>3</v>
      </c>
      <c r="H15" s="55">
        <v>4</v>
      </c>
      <c r="I15" s="55">
        <v>5</v>
      </c>
      <c r="J15" s="55">
        <v>6</v>
      </c>
      <c r="K15" s="55" t="s">
        <v>2370</v>
      </c>
    </row>
    <row r="16" spans="2:20">
      <c r="D16" s="45" t="s">
        <v>2879</v>
      </c>
      <c r="E16" s="45" t="s">
        <v>3219</v>
      </c>
      <c r="F16" s="45" t="s">
        <v>3225</v>
      </c>
      <c r="G16" s="45" t="s">
        <v>3223</v>
      </c>
      <c r="H16" s="45" t="s">
        <v>3229</v>
      </c>
      <c r="I16" s="45" t="s">
        <v>3231</v>
      </c>
      <c r="J16" s="45" t="s">
        <v>3233</v>
      </c>
      <c r="K16" s="45" t="s">
        <v>3234</v>
      </c>
      <c r="S16" s="13" t="str">
        <f>Show!$B$153&amp;"S.26.07.01.01 Rows {"&amp;COLUMN($C$1)&amp;"}"&amp;"@ForceFilingCode:true"</f>
        <v>!S.26.07.01.01 Rows {3}@ForceFilingCode:true</v>
      </c>
      <c r="T16" s="13" t="str">
        <f>Show!$B$153&amp;"S.26.07.01.01 Columns {"&amp;COLUMN($D$1)&amp;"}"</f>
        <v>!S.26.07.01.01 Columns {4}</v>
      </c>
    </row>
    <row r="17" spans="2:20">
      <c r="B17" s="43" t="s">
        <v>2880</v>
      </c>
      <c r="C17" s="44" t="s">
        <v>2878</v>
      </c>
      <c r="D17" s="56"/>
      <c r="E17" s="66"/>
      <c r="F17" s="66"/>
      <c r="G17" s="66"/>
      <c r="H17" s="66"/>
      <c r="I17" s="66"/>
      <c r="J17" s="66"/>
      <c r="K17" s="57"/>
    </row>
    <row r="18" spans="2:20">
      <c r="B18" s="47" t="s">
        <v>5045</v>
      </c>
      <c r="C18" s="41" t="s">
        <v>2883</v>
      </c>
      <c r="D18" s="60"/>
      <c r="E18" s="60"/>
      <c r="F18" s="60"/>
      <c r="G18" s="60"/>
      <c r="H18" s="60"/>
      <c r="I18" s="60"/>
      <c r="J18" s="60"/>
      <c r="K18" s="60"/>
    </row>
    <row r="19" spans="2:20">
      <c r="B19" s="47" t="s">
        <v>5046</v>
      </c>
      <c r="C19" s="41" t="s">
        <v>2885</v>
      </c>
      <c r="D19" s="69"/>
      <c r="E19" s="69"/>
      <c r="F19" s="69"/>
      <c r="G19" s="69"/>
      <c r="H19" s="69"/>
      <c r="I19" s="69"/>
      <c r="J19" s="69"/>
      <c r="K19" s="69"/>
    </row>
    <row r="21" spans="2:20">
      <c r="S21" s="13" t="str">
        <f>Show!$B$153&amp;Show!$B$153&amp;"S.26.07.01.01 Rows {"&amp;COLUMN($C$1)&amp;"}"</f>
        <v>!!S.26.07.01.01 Rows {3}</v>
      </c>
      <c r="T21" s="13" t="str">
        <f>Show!$B$153&amp;Show!$B$153&amp;"S.26.07.01.01 Columns {"&amp;COLUMN($K$1)&amp;"}"</f>
        <v>!!S.26.07.01.01 Columns {11}</v>
      </c>
    </row>
    <row r="23" spans="2:20" ht="18.75">
      <c r="B23" s="97" t="s">
        <v>5047</v>
      </c>
      <c r="C23" s="96"/>
      <c r="D23" s="96"/>
      <c r="E23" s="96"/>
      <c r="F23" s="96"/>
      <c r="G23" s="96"/>
      <c r="H23" s="96"/>
      <c r="I23" s="96"/>
      <c r="J23" s="96"/>
      <c r="K23" s="96"/>
      <c r="L23" s="96"/>
    </row>
    <row r="25" spans="2:20">
      <c r="B25" t="s">
        <v>3110</v>
      </c>
      <c r="S25" s="13" t="str">
        <f>Show!$B$153&amp;"S.26.07.01.02 Table label {"&amp;COLUMN($C$1)&amp;"}"</f>
        <v>!S.26.07.01.02 Table label {3}</v>
      </c>
      <c r="T25" s="13" t="str">
        <f>Show!$B$153&amp;"S.26.07.01.02 Table value {"&amp;COLUMN($D$1)&amp;"}"</f>
        <v>!S.26.07.01.02 Table value {4}</v>
      </c>
    </row>
    <row r="26" spans="2:20">
      <c r="B26" t="s">
        <v>3111</v>
      </c>
    </row>
    <row r="27" spans="2:20">
      <c r="B27" s="40" t="s">
        <v>4622</v>
      </c>
      <c r="C27" s="53" t="s">
        <v>3113</v>
      </c>
      <c r="D27" s="51"/>
    </row>
    <row r="28" spans="2:20">
      <c r="S28" s="13" t="str">
        <f>Show!$B$153&amp;Show!$B$153&amp;"S.26.07.01.02 Table label {"&amp;COLUMN($C$1)&amp;"}"</f>
        <v>!!S.26.07.01.02 Table label {3}</v>
      </c>
      <c r="T28" s="13" t="str">
        <f>Show!$B$153&amp;Show!$B$153&amp;"S.26.07.01.02 Table value {"&amp;COLUMN($D$1)&amp;"}"</f>
        <v>!!S.26.07.01.02 Table value {4}</v>
      </c>
    </row>
    <row r="30" spans="2:20">
      <c r="D30" s="98" t="s">
        <v>2877</v>
      </c>
    </row>
    <row r="31" spans="2:20">
      <c r="D31" s="99"/>
    </row>
    <row r="32" spans="2:20">
      <c r="D32" s="100"/>
    </row>
    <row r="33" spans="2:20">
      <c r="D33" s="45" t="s">
        <v>3236</v>
      </c>
      <c r="S33" s="13" t="str">
        <f>Show!$B$153&amp;"S.26.07.01.02 Rows {"&amp;COLUMN($C$1)&amp;"}"&amp;"@ForceFilingCode:true"</f>
        <v>!S.26.07.01.02 Rows {3}@ForceFilingCode:true</v>
      </c>
      <c r="T33" s="13" t="str">
        <f>Show!$B$153&amp;"S.26.07.01.02 Columns {"&amp;COLUMN($D$1)&amp;"}"</f>
        <v>!S.26.07.01.02 Columns {4}</v>
      </c>
    </row>
    <row r="34" spans="2:20">
      <c r="B34" s="43" t="s">
        <v>2880</v>
      </c>
      <c r="C34" s="44" t="s">
        <v>2878</v>
      </c>
      <c r="D34" s="46"/>
    </row>
    <row r="35" spans="2:20">
      <c r="B35" s="47" t="s">
        <v>5048</v>
      </c>
      <c r="C35" s="41" t="s">
        <v>2887</v>
      </c>
      <c r="D35" s="60"/>
    </row>
    <row r="37" spans="2:20">
      <c r="S37" s="13" t="str">
        <f>Show!$B$153&amp;Show!$B$153&amp;"S.26.07.01.02 Rows {"&amp;COLUMN($C$1)&amp;"}"</f>
        <v>!!S.26.07.01.02 Rows {3}</v>
      </c>
      <c r="T37" s="13" t="str">
        <f>Show!$B$153&amp;Show!$B$153&amp;"S.26.07.01.02 Columns {"&amp;COLUMN($D$1)&amp;"}"</f>
        <v>!!S.26.07.01.02 Columns {4}</v>
      </c>
    </row>
    <row r="39" spans="2:20" ht="18.75">
      <c r="B39" s="97" t="s">
        <v>5049</v>
      </c>
      <c r="C39" s="96"/>
      <c r="D39" s="96"/>
      <c r="E39" s="96"/>
      <c r="F39" s="96"/>
      <c r="G39" s="96"/>
      <c r="H39" s="96"/>
      <c r="I39" s="96"/>
      <c r="J39" s="96"/>
      <c r="K39" s="96"/>
      <c r="L39" s="96"/>
    </row>
    <row r="41" spans="2:20">
      <c r="B41" t="s">
        <v>3110</v>
      </c>
      <c r="S41" s="13" t="str">
        <f>Show!$B$153&amp;"S.26.07.01.03 Table label {"&amp;COLUMN($C$1)&amp;"}"</f>
        <v>!S.26.07.01.03 Table label {3}</v>
      </c>
      <c r="T41" s="13" t="str">
        <f>Show!$B$153&amp;"S.26.07.01.03 Table value {"&amp;COLUMN($D$1)&amp;"}"</f>
        <v>!S.26.07.01.03 Table value {4}</v>
      </c>
    </row>
    <row r="42" spans="2:20">
      <c r="B42" t="s">
        <v>3111</v>
      </c>
    </row>
    <row r="43" spans="2:20">
      <c r="B43" s="40" t="s">
        <v>4622</v>
      </c>
      <c r="C43" s="53" t="s">
        <v>3113</v>
      </c>
      <c r="D43" s="51"/>
    </row>
    <row r="44" spans="2:20">
      <c r="B44" s="40" t="s">
        <v>5050</v>
      </c>
      <c r="C44" s="53" t="s">
        <v>3875</v>
      </c>
      <c r="D44" s="51"/>
    </row>
    <row r="45" spans="2:20">
      <c r="S45" s="13" t="str">
        <f>Show!$B$153&amp;Show!$B$153&amp;"S.26.07.01.03 Table label {"&amp;COLUMN($C$1)&amp;"}"</f>
        <v>!!S.26.07.01.03 Table label {3}</v>
      </c>
      <c r="T45" s="13" t="str">
        <f>Show!$B$153&amp;Show!$B$153&amp;"S.26.07.01.03 Table value {"&amp;COLUMN($D$1)&amp;"}"</f>
        <v>!!S.26.07.01.03 Table value {4}</v>
      </c>
    </row>
    <row r="47" spans="2:20">
      <c r="D47" s="101" t="s">
        <v>2877</v>
      </c>
      <c r="E47" s="103"/>
    </row>
    <row r="48" spans="2:20">
      <c r="D48" s="104"/>
      <c r="E48" s="106"/>
    </row>
    <row r="49" spans="2:20">
      <c r="D49" s="107" t="s">
        <v>5022</v>
      </c>
      <c r="E49" s="109"/>
    </row>
    <row r="50" spans="2:20" ht="30">
      <c r="D50" s="55" t="s">
        <v>5051</v>
      </c>
      <c r="E50" s="55" t="s">
        <v>5052</v>
      </c>
    </row>
    <row r="51" spans="2:20">
      <c r="D51" s="45" t="s">
        <v>3239</v>
      </c>
      <c r="E51" s="45" t="s">
        <v>3241</v>
      </c>
      <c r="S51" s="13" t="str">
        <f>Show!$B$153&amp;"S.26.07.01.03 Rows {"&amp;COLUMN($C$1)&amp;"}"&amp;"@ForceFilingCode:true"</f>
        <v>!S.26.07.01.03 Rows {3}@ForceFilingCode:true</v>
      </c>
      <c r="T51" s="13" t="str">
        <f>Show!$B$153&amp;"S.26.07.01.03 Columns {"&amp;COLUMN($D$1)&amp;"}"</f>
        <v>!S.26.07.01.03 Columns {4}</v>
      </c>
    </row>
    <row r="52" spans="2:20">
      <c r="B52" s="43" t="s">
        <v>2880</v>
      </c>
      <c r="C52" s="44" t="s">
        <v>2878</v>
      </c>
      <c r="D52" s="56"/>
      <c r="E52" s="57"/>
    </row>
    <row r="53" spans="2:20">
      <c r="B53" s="47" t="s">
        <v>3606</v>
      </c>
      <c r="C53" s="41" t="s">
        <v>2889</v>
      </c>
      <c r="D53" s="60"/>
      <c r="E53" s="60"/>
    </row>
    <row r="55" spans="2:20">
      <c r="S55" s="13" t="str">
        <f>Show!$B$153&amp;Show!$B$153&amp;"S.26.07.01.03 Rows {"&amp;COLUMN($C$1)&amp;"}"</f>
        <v>!!S.26.07.01.03 Rows {3}</v>
      </c>
      <c r="T55" s="13" t="str">
        <f>Show!$B$153&amp;Show!$B$153&amp;"S.26.07.01.03 Columns {"&amp;COLUMN($E$1)&amp;"}"</f>
        <v>!!S.26.07.01.03 Columns {5}</v>
      </c>
    </row>
    <row r="57" spans="2:20" ht="18.75">
      <c r="B57" s="97" t="s">
        <v>5053</v>
      </c>
      <c r="C57" s="96"/>
      <c r="D57" s="96"/>
      <c r="E57" s="96"/>
      <c r="F57" s="96"/>
      <c r="G57" s="96"/>
      <c r="H57" s="96"/>
      <c r="I57" s="96"/>
      <c r="J57" s="96"/>
      <c r="K57" s="96"/>
      <c r="L57" s="96"/>
    </row>
    <row r="59" spans="2:20">
      <c r="B59" t="s">
        <v>3110</v>
      </c>
      <c r="S59" s="13" t="str">
        <f>Show!$B$153&amp;"S.26.07.01.04 Table label {"&amp;COLUMN($C$1)&amp;"}"</f>
        <v>!S.26.07.01.04 Table label {3}</v>
      </c>
      <c r="T59" s="13" t="str">
        <f>Show!$B$153&amp;"S.26.07.01.04 Table value {"&amp;COLUMN($D$1)&amp;"}"</f>
        <v>!S.26.07.01.04 Table value {4}</v>
      </c>
    </row>
    <row r="60" spans="2:20">
      <c r="B60" t="s">
        <v>3111</v>
      </c>
    </row>
    <row r="61" spans="2:20">
      <c r="B61" s="40" t="s">
        <v>4622</v>
      </c>
      <c r="C61" s="53" t="s">
        <v>3113</v>
      </c>
      <c r="D61" s="51"/>
    </row>
    <row r="62" spans="2:20">
      <c r="S62" s="13" t="str">
        <f>Show!$B$153&amp;Show!$B$153&amp;"S.26.07.01.04 Table label {"&amp;COLUMN($C$1)&amp;"}"</f>
        <v>!!S.26.07.01.04 Table label {3}</v>
      </c>
      <c r="T62" s="13" t="str">
        <f>Show!$B$153&amp;Show!$B$153&amp;"S.26.07.01.04 Table value {"&amp;COLUMN($D$1)&amp;"}"</f>
        <v>!!S.26.07.01.04 Table value {4}</v>
      </c>
    </row>
    <row r="64" spans="2:20">
      <c r="D64" s="101" t="s">
        <v>2877</v>
      </c>
      <c r="E64" s="102"/>
      <c r="F64" s="102"/>
      <c r="G64" s="102"/>
      <c r="H64" s="102"/>
      <c r="I64" s="102"/>
      <c r="J64" s="102"/>
      <c r="K64" s="102"/>
      <c r="L64" s="102"/>
      <c r="M64" s="102"/>
      <c r="N64" s="103"/>
    </row>
    <row r="65" spans="2:20">
      <c r="D65" s="104"/>
      <c r="E65" s="105"/>
      <c r="F65" s="105"/>
      <c r="G65" s="105"/>
      <c r="H65" s="105"/>
      <c r="I65" s="105"/>
      <c r="J65" s="105"/>
      <c r="K65" s="105"/>
      <c r="L65" s="105"/>
      <c r="M65" s="105"/>
      <c r="N65" s="106"/>
    </row>
    <row r="66" spans="2:20">
      <c r="D66" s="98" t="s">
        <v>5054</v>
      </c>
      <c r="E66" s="98" t="s">
        <v>5055</v>
      </c>
      <c r="F66" s="98" t="s">
        <v>5056</v>
      </c>
      <c r="G66" s="98" t="s">
        <v>3292</v>
      </c>
      <c r="H66" s="98" t="s">
        <v>5057</v>
      </c>
      <c r="I66" s="98" t="s">
        <v>5058</v>
      </c>
      <c r="J66" s="98" t="s">
        <v>5046</v>
      </c>
      <c r="K66" s="98" t="s">
        <v>5059</v>
      </c>
      <c r="L66" s="98" t="s">
        <v>5060</v>
      </c>
      <c r="M66" s="98" t="s">
        <v>5061</v>
      </c>
      <c r="N66" s="98" t="s">
        <v>5062</v>
      </c>
    </row>
    <row r="67" spans="2:20">
      <c r="D67" s="100"/>
      <c r="E67" s="100"/>
      <c r="F67" s="100"/>
      <c r="G67" s="100"/>
      <c r="H67" s="100"/>
      <c r="I67" s="100"/>
      <c r="J67" s="100"/>
      <c r="K67" s="100"/>
      <c r="L67" s="100"/>
      <c r="M67" s="100"/>
      <c r="N67" s="100"/>
    </row>
    <row r="68" spans="2:20">
      <c r="D68" s="45" t="s">
        <v>3243</v>
      </c>
      <c r="E68" s="45" t="s">
        <v>3375</v>
      </c>
      <c r="F68" s="45" t="s">
        <v>3475</v>
      </c>
      <c r="G68" s="45" t="s">
        <v>3477</v>
      </c>
      <c r="H68" s="45" t="s">
        <v>3479</v>
      </c>
      <c r="I68" s="45" t="s">
        <v>3594</v>
      </c>
      <c r="J68" s="45" t="s">
        <v>3596</v>
      </c>
      <c r="K68" s="45" t="s">
        <v>3599</v>
      </c>
      <c r="L68" s="45" t="s">
        <v>3481</v>
      </c>
      <c r="M68" s="45" t="s">
        <v>3508</v>
      </c>
      <c r="N68" s="45" t="s">
        <v>3509</v>
      </c>
      <c r="S68" s="13" t="str">
        <f>Show!$B$153&amp;"S.26.07.01.04 Rows {"&amp;COLUMN($C$1)&amp;"}"&amp;"@ForceFilingCode:true"</f>
        <v>!S.26.07.01.04 Rows {3}@ForceFilingCode:true</v>
      </c>
      <c r="T68" s="13" t="str">
        <f>Show!$B$153&amp;"S.26.07.01.04 Columns {"&amp;COLUMN($D$1)&amp;"}"</f>
        <v>!S.26.07.01.04 Columns {4}</v>
      </c>
    </row>
    <row r="69" spans="2:20">
      <c r="B69" s="43" t="s">
        <v>2880</v>
      </c>
      <c r="C69" s="44" t="s">
        <v>2878</v>
      </c>
      <c r="D69" s="56"/>
      <c r="E69" s="67"/>
      <c r="F69" s="67"/>
      <c r="G69" s="67"/>
      <c r="H69" s="66"/>
      <c r="I69" s="67"/>
      <c r="J69" s="66"/>
      <c r="K69" s="67"/>
      <c r="L69" s="67"/>
      <c r="M69" s="67"/>
      <c r="N69" s="59"/>
    </row>
    <row r="70" spans="2:20">
      <c r="B70" s="47" t="s">
        <v>4879</v>
      </c>
      <c r="C70" s="41" t="s">
        <v>2899</v>
      </c>
      <c r="D70" s="65"/>
      <c r="E70" s="58"/>
      <c r="F70" s="58"/>
      <c r="G70" s="46"/>
      <c r="H70" s="71"/>
      <c r="I70" s="48"/>
      <c r="J70" s="79"/>
      <c r="K70" s="58"/>
      <c r="L70" s="58"/>
      <c r="M70" s="58"/>
      <c r="N70" s="48"/>
    </row>
    <row r="71" spans="2:20">
      <c r="B71" s="47" t="s">
        <v>4880</v>
      </c>
      <c r="C71" s="44" t="s">
        <v>2901</v>
      </c>
      <c r="D71" s="56"/>
      <c r="E71" s="56"/>
      <c r="F71" s="48"/>
      <c r="G71" s="60"/>
      <c r="H71" s="71"/>
      <c r="I71" s="46"/>
      <c r="J71" s="79"/>
      <c r="K71" s="58"/>
      <c r="L71" s="56"/>
      <c r="M71" s="58"/>
      <c r="N71" s="48"/>
    </row>
    <row r="72" spans="2:20">
      <c r="B72" s="47" t="s">
        <v>4881</v>
      </c>
      <c r="C72" s="41" t="s">
        <v>2903</v>
      </c>
      <c r="D72" s="63"/>
      <c r="E72" s="65"/>
      <c r="F72" s="48"/>
      <c r="G72" s="63"/>
      <c r="H72" s="76"/>
      <c r="I72" s="76"/>
      <c r="J72" s="80"/>
      <c r="K72" s="48"/>
      <c r="L72" s="78"/>
      <c r="M72" s="58"/>
      <c r="N72" s="48"/>
    </row>
    <row r="73" spans="2:20">
      <c r="B73" s="47" t="s">
        <v>4882</v>
      </c>
      <c r="C73" s="44" t="s">
        <v>2878</v>
      </c>
      <c r="D73" s="58"/>
      <c r="E73" s="67"/>
      <c r="F73" s="66"/>
      <c r="G73" s="67"/>
      <c r="H73" s="66"/>
      <c r="I73" s="67"/>
      <c r="J73" s="67"/>
      <c r="K73" s="66"/>
      <c r="L73" s="67"/>
      <c r="M73" s="67"/>
      <c r="N73" s="59"/>
    </row>
    <row r="74" spans="2:20">
      <c r="B74" s="49" t="s">
        <v>5063</v>
      </c>
      <c r="C74" s="44" t="s">
        <v>2905</v>
      </c>
      <c r="D74" s="58"/>
      <c r="E74" s="48"/>
      <c r="F74" s="64"/>
      <c r="G74" s="48"/>
      <c r="H74" s="71"/>
      <c r="I74" s="58"/>
      <c r="J74" s="48"/>
      <c r="K74" s="79"/>
      <c r="L74" s="58"/>
      <c r="M74" s="58"/>
      <c r="N74" s="48"/>
    </row>
    <row r="75" spans="2:20">
      <c r="B75" s="49" t="s">
        <v>5064</v>
      </c>
      <c r="C75" s="44" t="s">
        <v>2907</v>
      </c>
      <c r="D75" s="58"/>
      <c r="E75" s="48"/>
      <c r="F75" s="65"/>
      <c r="G75" s="48"/>
      <c r="H75" s="78"/>
      <c r="I75" s="58"/>
      <c r="J75" s="46"/>
      <c r="K75" s="80"/>
      <c r="L75" s="58"/>
      <c r="M75" s="56"/>
      <c r="N75" s="46"/>
    </row>
    <row r="76" spans="2:20">
      <c r="B76" s="47" t="s">
        <v>4886</v>
      </c>
      <c r="C76" s="44" t="s">
        <v>2909</v>
      </c>
      <c r="D76" s="56"/>
      <c r="E76" s="58"/>
      <c r="F76" s="58"/>
      <c r="G76" s="58"/>
      <c r="H76" s="58"/>
      <c r="I76" s="48"/>
      <c r="J76" s="80"/>
      <c r="K76" s="58"/>
      <c r="L76" s="48"/>
      <c r="M76" s="63"/>
      <c r="N76" s="76"/>
    </row>
    <row r="77" spans="2:20">
      <c r="B77" s="47" t="s">
        <v>4888</v>
      </c>
      <c r="C77" s="41" t="s">
        <v>2911</v>
      </c>
      <c r="D77" s="65"/>
      <c r="E77" s="58"/>
      <c r="F77" s="58"/>
      <c r="G77" s="58"/>
      <c r="H77" s="58"/>
      <c r="I77" s="58"/>
      <c r="J77" s="58"/>
      <c r="K77" s="58"/>
      <c r="L77" s="58"/>
      <c r="M77" s="58"/>
      <c r="N77" s="48"/>
    </row>
    <row r="78" spans="2:20">
      <c r="B78" s="47" t="s">
        <v>4629</v>
      </c>
      <c r="C78" s="44" t="s">
        <v>2878</v>
      </c>
      <c r="D78" s="56"/>
      <c r="E78" s="67"/>
      <c r="F78" s="67"/>
      <c r="G78" s="67"/>
      <c r="H78" s="66"/>
      <c r="I78" s="67"/>
      <c r="J78" s="66"/>
      <c r="K78" s="67"/>
      <c r="L78" s="67"/>
      <c r="M78" s="67"/>
      <c r="N78" s="59"/>
    </row>
    <row r="79" spans="2:20">
      <c r="B79" s="49" t="s">
        <v>4910</v>
      </c>
      <c r="C79" s="41" t="s">
        <v>2919</v>
      </c>
      <c r="D79" s="65"/>
      <c r="E79" s="58"/>
      <c r="F79" s="58"/>
      <c r="G79" s="46"/>
      <c r="H79" s="71"/>
      <c r="I79" s="48"/>
      <c r="J79" s="79"/>
      <c r="K79" s="58"/>
      <c r="L79" s="58"/>
      <c r="M79" s="58"/>
      <c r="N79" s="48"/>
    </row>
    <row r="80" spans="2:20">
      <c r="B80" s="49" t="s">
        <v>4911</v>
      </c>
      <c r="C80" s="44" t="s">
        <v>2921</v>
      </c>
      <c r="D80" s="58"/>
      <c r="E80" s="58"/>
      <c r="F80" s="48"/>
      <c r="G80" s="63"/>
      <c r="H80" s="78"/>
      <c r="I80" s="48"/>
      <c r="J80" s="79"/>
      <c r="K80" s="58"/>
      <c r="L80" s="58"/>
      <c r="M80" s="56"/>
      <c r="N80" s="46"/>
    </row>
    <row r="81" spans="2:20">
      <c r="B81" s="49" t="s">
        <v>5065</v>
      </c>
      <c r="C81" s="44" t="s">
        <v>2923</v>
      </c>
      <c r="D81" s="56"/>
      <c r="E81" s="56"/>
      <c r="F81" s="58"/>
      <c r="G81" s="56"/>
      <c r="H81" s="56"/>
      <c r="I81" s="46"/>
      <c r="J81" s="79"/>
      <c r="K81" s="58"/>
      <c r="L81" s="46"/>
      <c r="M81" s="63"/>
      <c r="N81" s="76"/>
    </row>
    <row r="82" spans="2:20">
      <c r="B82" s="49" t="s">
        <v>5066</v>
      </c>
      <c r="C82" s="41" t="s">
        <v>2925</v>
      </c>
      <c r="D82" s="63"/>
      <c r="E82" s="65"/>
      <c r="F82" s="48"/>
      <c r="G82" s="63"/>
      <c r="H82" s="76"/>
      <c r="I82" s="76"/>
      <c r="J82" s="80"/>
      <c r="K82" s="48"/>
      <c r="L82" s="78"/>
      <c r="M82" s="58"/>
      <c r="N82" s="48"/>
    </row>
    <row r="83" spans="2:20">
      <c r="B83" s="47" t="s">
        <v>5067</v>
      </c>
      <c r="C83" s="44" t="s">
        <v>2878</v>
      </c>
      <c r="D83" s="58"/>
      <c r="E83" s="67"/>
      <c r="F83" s="66"/>
      <c r="G83" s="67"/>
      <c r="H83" s="66"/>
      <c r="I83" s="67"/>
      <c r="J83" s="67"/>
      <c r="K83" s="66"/>
      <c r="L83" s="67"/>
      <c r="M83" s="67"/>
      <c r="N83" s="59"/>
    </row>
    <row r="84" spans="2:20">
      <c r="B84" s="49" t="s">
        <v>5063</v>
      </c>
      <c r="C84" s="44" t="s">
        <v>2927</v>
      </c>
      <c r="D84" s="58"/>
      <c r="E84" s="48"/>
      <c r="F84" s="64"/>
      <c r="G84" s="48"/>
      <c r="H84" s="71"/>
      <c r="I84" s="58"/>
      <c r="J84" s="48"/>
      <c r="K84" s="79"/>
      <c r="L84" s="58"/>
      <c r="M84" s="58"/>
      <c r="N84" s="48"/>
    </row>
    <row r="85" spans="2:20">
      <c r="B85" s="49" t="s">
        <v>5064</v>
      </c>
      <c r="C85" s="44" t="s">
        <v>2929</v>
      </c>
      <c r="D85" s="58"/>
      <c r="E85" s="48"/>
      <c r="F85" s="65"/>
      <c r="G85" s="48"/>
      <c r="H85" s="78"/>
      <c r="I85" s="58"/>
      <c r="J85" s="46"/>
      <c r="K85" s="80"/>
      <c r="L85" s="58"/>
      <c r="M85" s="56"/>
      <c r="N85" s="46"/>
    </row>
    <row r="86" spans="2:20">
      <c r="B86" s="47" t="s">
        <v>4918</v>
      </c>
      <c r="C86" s="44" t="s">
        <v>2931</v>
      </c>
      <c r="D86" s="56"/>
      <c r="E86" s="56"/>
      <c r="F86" s="56"/>
      <c r="G86" s="56"/>
      <c r="H86" s="56"/>
      <c r="I86" s="46"/>
      <c r="J86" s="79"/>
      <c r="K86" s="56"/>
      <c r="L86" s="46"/>
      <c r="M86" s="60"/>
      <c r="N86" s="70"/>
    </row>
    <row r="88" spans="2:20">
      <c r="S88" s="13" t="str">
        <f>Show!$B$153&amp;Show!$B$153&amp;"S.26.07.01.04 Rows {"&amp;COLUMN($C$1)&amp;"}"</f>
        <v>!!S.26.07.01.04 Rows {3}</v>
      </c>
      <c r="T88" s="13" t="str">
        <f>Show!$B$153&amp;Show!$B$153&amp;"S.26.07.01.04 Columns {"&amp;COLUMN($N$1)&amp;"}"</f>
        <v>!!S.26.07.01.04 Columns {14}</v>
      </c>
    </row>
    <row r="90" spans="2:20" ht="18.75">
      <c r="B90" s="97" t="s">
        <v>5068</v>
      </c>
      <c r="C90" s="96"/>
      <c r="D90" s="96"/>
      <c r="E90" s="96"/>
      <c r="F90" s="96"/>
      <c r="G90" s="96"/>
      <c r="H90" s="96"/>
      <c r="I90" s="96"/>
      <c r="J90" s="96"/>
      <c r="K90" s="96"/>
      <c r="L90" s="96"/>
    </row>
    <row r="92" spans="2:20">
      <c r="B92" t="s">
        <v>3110</v>
      </c>
      <c r="S92" s="13" t="str">
        <f>Show!$B$153&amp;"S.26.07.01.05 Table label {"&amp;COLUMN($C$1)&amp;"}"</f>
        <v>!S.26.07.01.05 Table label {3}</v>
      </c>
      <c r="T92" s="13" t="str">
        <f>Show!$B$153&amp;"S.26.07.01.05 Table value {"&amp;COLUMN($D$1)&amp;"}"</f>
        <v>!S.26.07.01.05 Table value {4}</v>
      </c>
    </row>
    <row r="93" spans="2:20">
      <c r="B93" t="s">
        <v>3111</v>
      </c>
    </row>
    <row r="94" spans="2:20">
      <c r="B94" s="40" t="s">
        <v>4622</v>
      </c>
      <c r="C94" s="53" t="s">
        <v>3113</v>
      </c>
      <c r="D94" s="51"/>
    </row>
    <row r="95" spans="2:20">
      <c r="S95" s="13" t="str">
        <f>Show!$B$153&amp;Show!$B$153&amp;"S.26.07.01.05 Table label {"&amp;COLUMN($C$1)&amp;"}"</f>
        <v>!!S.26.07.01.05 Table label {3}</v>
      </c>
      <c r="T95" s="13" t="str">
        <f>Show!$B$153&amp;Show!$B$153&amp;"S.26.07.01.05 Table value {"&amp;COLUMN($D$1)&amp;"}"</f>
        <v>!!S.26.07.01.05 Table value {4}</v>
      </c>
    </row>
    <row r="97" spans="2:20">
      <c r="D97" s="98" t="s">
        <v>2877</v>
      </c>
    </row>
    <row r="98" spans="2:20">
      <c r="D98" s="99"/>
    </row>
    <row r="99" spans="2:20">
      <c r="D99" s="100"/>
    </row>
    <row r="100" spans="2:20">
      <c r="D100" s="45" t="s">
        <v>3519</v>
      </c>
      <c r="S100" s="13" t="str">
        <f>Show!$B$153&amp;"S.26.07.01.05 Rows {"&amp;COLUMN($C$1)&amp;"}"&amp;"@ForceFilingCode:true"</f>
        <v>!S.26.07.01.05 Rows {3}@ForceFilingCode:true</v>
      </c>
      <c r="T100" s="13" t="str">
        <f>Show!$B$153&amp;"S.26.07.01.05 Columns {"&amp;COLUMN($D$1)&amp;"}"</f>
        <v>!S.26.07.01.05 Columns {4}</v>
      </c>
    </row>
    <row r="101" spans="2:20">
      <c r="B101" s="43" t="s">
        <v>2880</v>
      </c>
      <c r="C101" s="44" t="s">
        <v>2878</v>
      </c>
      <c r="D101" s="46"/>
    </row>
    <row r="102" spans="2:20">
      <c r="B102" s="47" t="s">
        <v>5069</v>
      </c>
      <c r="C102" s="41" t="s">
        <v>2939</v>
      </c>
      <c r="D102" s="60"/>
    </row>
    <row r="104" spans="2:20">
      <c r="S104" s="13" t="str">
        <f>Show!$B$153&amp;Show!$B$153&amp;"S.26.07.01.05 Rows {"&amp;COLUMN($C$1)&amp;"}"</f>
        <v>!!S.26.07.01.05 Rows {3}</v>
      </c>
      <c r="T104" s="13" t="str">
        <f>Show!$B$153&amp;Show!$B$153&amp;"S.26.07.01.05 Columns {"&amp;COLUMN($D$1)&amp;"}"</f>
        <v>!!S.26.07.01.05 Columns {4}</v>
      </c>
    </row>
    <row r="106" spans="2:20" ht="18.75">
      <c r="B106" s="97" t="s">
        <v>5070</v>
      </c>
      <c r="C106" s="96"/>
      <c r="D106" s="96"/>
      <c r="E106" s="96"/>
      <c r="F106" s="96"/>
      <c r="G106" s="96"/>
      <c r="H106" s="96"/>
      <c r="I106" s="96"/>
      <c r="J106" s="96"/>
      <c r="K106" s="96"/>
      <c r="L106" s="96"/>
    </row>
    <row r="108" spans="2:20">
      <c r="B108" t="s">
        <v>3110</v>
      </c>
      <c r="S108" s="13" t="str">
        <f>Show!$B$153&amp;"S.26.07.01.06 Table label {"&amp;COLUMN($C$1)&amp;"}"</f>
        <v>!S.26.07.01.06 Table label {3}</v>
      </c>
      <c r="T108" s="13" t="str">
        <f>Show!$B$153&amp;"S.26.07.01.06 Table value {"&amp;COLUMN($D$1)&amp;"}"</f>
        <v>!S.26.07.01.06 Table value {4}</v>
      </c>
    </row>
    <row r="109" spans="2:20">
      <c r="B109" t="s">
        <v>3111</v>
      </c>
    </row>
    <row r="110" spans="2:20">
      <c r="B110" s="40" t="s">
        <v>4622</v>
      </c>
      <c r="C110" s="53" t="s">
        <v>3113</v>
      </c>
      <c r="D110" s="51"/>
    </row>
    <row r="111" spans="2:20">
      <c r="S111" s="13" t="str">
        <f>Show!$B$153&amp;Show!$B$153&amp;"S.26.07.01.06 Table label {"&amp;COLUMN($C$1)&amp;"}"</f>
        <v>!!S.26.07.01.06 Table label {3}</v>
      </c>
      <c r="T111" s="13" t="str">
        <f>Show!$B$153&amp;Show!$B$153&amp;"S.26.07.01.06 Table value {"&amp;COLUMN($D$1)&amp;"}"</f>
        <v>!!S.26.07.01.06 Table value {4}</v>
      </c>
    </row>
    <row r="113" spans="2:20">
      <c r="D113" s="101" t="s">
        <v>2877</v>
      </c>
      <c r="E113" s="103"/>
    </row>
    <row r="114" spans="2:20">
      <c r="D114" s="104"/>
      <c r="E114" s="106"/>
    </row>
    <row r="115" spans="2:20" ht="30">
      <c r="D115" s="55" t="s">
        <v>5071</v>
      </c>
      <c r="E115" s="55" t="s">
        <v>5072</v>
      </c>
    </row>
    <row r="116" spans="2:20">
      <c r="D116" s="45" t="s">
        <v>3614</v>
      </c>
      <c r="E116" s="45" t="s">
        <v>3616</v>
      </c>
      <c r="S116" s="13" t="str">
        <f>Show!$B$153&amp;"S.26.07.01.06 Rows {"&amp;COLUMN($C$1)&amp;"}"&amp;"@ForceFilingCode:true"</f>
        <v>!S.26.07.01.06 Rows {3}@ForceFilingCode:true</v>
      </c>
      <c r="T116" s="13" t="str">
        <f>Show!$B$153&amp;"S.26.07.01.06 Columns {"&amp;COLUMN($D$1)&amp;"}"</f>
        <v>!S.26.07.01.06 Columns {4}</v>
      </c>
    </row>
    <row r="117" spans="2:20">
      <c r="B117" s="43" t="s">
        <v>2880</v>
      </c>
      <c r="C117" s="44" t="s">
        <v>2878</v>
      </c>
      <c r="D117" s="56"/>
      <c r="E117" s="57"/>
    </row>
    <row r="118" spans="2:20">
      <c r="B118" s="47" t="s">
        <v>5073</v>
      </c>
      <c r="C118" s="41" t="s">
        <v>2959</v>
      </c>
      <c r="D118" s="70"/>
      <c r="E118" s="60"/>
    </row>
    <row r="119" spans="2:20">
      <c r="B119" s="47" t="s">
        <v>5074</v>
      </c>
      <c r="C119" s="41" t="s">
        <v>2961</v>
      </c>
      <c r="D119" s="70"/>
      <c r="E119" s="60"/>
    </row>
    <row r="120" spans="2:20">
      <c r="B120" s="47" t="s">
        <v>5075</v>
      </c>
      <c r="C120" s="41" t="s">
        <v>2963</v>
      </c>
      <c r="D120" s="70"/>
      <c r="E120" s="60"/>
    </row>
    <row r="121" spans="2:20">
      <c r="B121" s="47" t="s">
        <v>5076</v>
      </c>
      <c r="C121" s="41" t="s">
        <v>2965</v>
      </c>
      <c r="D121" s="70"/>
      <c r="E121" s="60"/>
    </row>
    <row r="122" spans="2:20">
      <c r="B122" s="47" t="s">
        <v>5077</v>
      </c>
      <c r="C122" s="41" t="s">
        <v>2967</v>
      </c>
      <c r="D122" s="70"/>
      <c r="E122" s="60"/>
    </row>
    <row r="124" spans="2:20">
      <c r="S124" s="13" t="str">
        <f>Show!$B$153&amp;Show!$B$153&amp;"S.26.07.01.06 Rows {"&amp;COLUMN($C$1)&amp;"}"</f>
        <v>!!S.26.07.01.06 Rows {3}</v>
      </c>
      <c r="T124" s="13" t="str">
        <f>Show!$B$153&amp;Show!$B$153&amp;"S.26.07.01.06 Columns {"&amp;COLUMN($E$1)&amp;"}"</f>
        <v>!!S.26.07.01.06 Columns {5}</v>
      </c>
    </row>
  </sheetData>
  <sheetProtection sheet="1" objects="1" scenarios="1"/>
  <mergeCells count="26">
    <mergeCell ref="B90:L90"/>
    <mergeCell ref="D97:D99"/>
    <mergeCell ref="B106:L106"/>
    <mergeCell ref="D113:E114"/>
    <mergeCell ref="I66:I67"/>
    <mergeCell ref="J66:J67"/>
    <mergeCell ref="K66:K67"/>
    <mergeCell ref="L66:L67"/>
    <mergeCell ref="M66:M67"/>
    <mergeCell ref="N66:N67"/>
    <mergeCell ref="B39:L39"/>
    <mergeCell ref="D47:E48"/>
    <mergeCell ref="D49:E49"/>
    <mergeCell ref="B57:L57"/>
    <mergeCell ref="D64:N65"/>
    <mergeCell ref="D66:D67"/>
    <mergeCell ref="E66:E67"/>
    <mergeCell ref="F66:F67"/>
    <mergeCell ref="G66:G67"/>
    <mergeCell ref="H66:H67"/>
    <mergeCell ref="D30:D32"/>
    <mergeCell ref="B2:O2"/>
    <mergeCell ref="B5:L5"/>
    <mergeCell ref="D12:K13"/>
    <mergeCell ref="D14:K14"/>
    <mergeCell ref="B23:L23"/>
  </mergeCells>
  <dataValidations count="2">
    <dataValidation type="list" errorStyle="warning" allowBlank="1" showInputMessage="1" showErrorMessage="1" sqref="D9 D27 D43 D61 D94 D110" xr:uid="{BF2FC123-E4F1-42BD-913F-29829AA3E0B7}">
      <formula1>hier_AO_1</formula1>
    </dataValidation>
    <dataValidation type="list" errorStyle="warning" allowBlank="1" showInputMessage="1" showErrorMessage="1" sqref="D44" xr:uid="{A0B614CA-0D0D-4B1E-96DB-7915A65DD9AA}">
      <formula1>hier_CU_5</formula1>
    </dataValidation>
  </dataValidation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7779-BA58-43FA-AE93-639AED78E558}">
  <sheetPr codeName="Blad158"/>
  <dimension ref="B2:T124"/>
  <sheetViews>
    <sheetView showGridLines="0" workbookViewId="0"/>
  </sheetViews>
  <sheetFormatPr defaultRowHeight="15"/>
  <cols>
    <col min="2" max="2" width="58.42578125" bestFit="1" customWidth="1"/>
    <col min="4" max="14" width="15.7109375" customWidth="1"/>
  </cols>
  <sheetData>
    <row r="2" spans="2:20" ht="23.25">
      <c r="B2" s="95" t="s">
        <v>738</v>
      </c>
      <c r="C2" s="96"/>
      <c r="D2" s="96"/>
      <c r="E2" s="96"/>
      <c r="F2" s="96"/>
      <c r="G2" s="96"/>
      <c r="H2" s="96"/>
      <c r="I2" s="96"/>
      <c r="J2" s="96"/>
      <c r="K2" s="96"/>
      <c r="L2" s="96"/>
      <c r="M2" s="96"/>
      <c r="N2" s="96"/>
      <c r="O2" s="96"/>
    </row>
    <row r="5" spans="2:20" ht="18.75">
      <c r="B5" s="97" t="s">
        <v>5078</v>
      </c>
      <c r="C5" s="96"/>
      <c r="D5" s="96"/>
      <c r="E5" s="96"/>
      <c r="F5" s="96"/>
      <c r="G5" s="96"/>
      <c r="H5" s="96"/>
      <c r="I5" s="96"/>
      <c r="J5" s="96"/>
      <c r="K5" s="96"/>
      <c r="L5" s="96"/>
    </row>
    <row r="7" spans="2:20">
      <c r="B7" t="s">
        <v>3110</v>
      </c>
      <c r="S7" s="13" t="str">
        <f>Show!$B$154&amp;"S.26.07.04.01 Table label {"&amp;COLUMN($C$1)&amp;"}"</f>
        <v>!S.26.07.04.01 Table label {3}</v>
      </c>
      <c r="T7" s="13" t="str">
        <f>Show!$B$154&amp;"S.26.07.04.01 Table value {"&amp;COLUMN($D$1)&amp;"}"</f>
        <v>!S.26.07.04.01 Table value {4}</v>
      </c>
    </row>
    <row r="8" spans="2:20">
      <c r="B8" t="s">
        <v>3111</v>
      </c>
    </row>
    <row r="9" spans="2:20">
      <c r="B9" s="40" t="s">
        <v>4622</v>
      </c>
      <c r="C9" s="53" t="s">
        <v>3113</v>
      </c>
      <c r="D9" s="51"/>
    </row>
    <row r="10" spans="2:20">
      <c r="S10" s="13" t="str">
        <f>Show!$B$154&amp;Show!$B$154&amp;"S.26.07.04.01 Table label {"&amp;COLUMN($C$1)&amp;"}"</f>
        <v>!!S.26.07.04.01 Table label {3}</v>
      </c>
      <c r="T10" s="13" t="str">
        <f>Show!$B$154&amp;Show!$B$154&amp;"S.26.07.04.01 Table value {"&amp;COLUMN($D$1)&amp;"}"</f>
        <v>!!S.26.07.04.01 Table value {4}</v>
      </c>
    </row>
    <row r="12" spans="2:20">
      <c r="D12" s="101" t="s">
        <v>2877</v>
      </c>
      <c r="E12" s="102"/>
      <c r="F12" s="102"/>
      <c r="G12" s="102"/>
      <c r="H12" s="102"/>
      <c r="I12" s="102"/>
      <c r="J12" s="102"/>
      <c r="K12" s="103"/>
    </row>
    <row r="13" spans="2:20">
      <c r="D13" s="104"/>
      <c r="E13" s="105"/>
      <c r="F13" s="105"/>
      <c r="G13" s="105"/>
      <c r="H13" s="105"/>
      <c r="I13" s="105"/>
      <c r="J13" s="105"/>
      <c r="K13" s="106"/>
    </row>
    <row r="14" spans="2:20">
      <c r="D14" s="107" t="s">
        <v>3617</v>
      </c>
      <c r="E14" s="108"/>
      <c r="F14" s="108"/>
      <c r="G14" s="108"/>
      <c r="H14" s="108"/>
      <c r="I14" s="108"/>
      <c r="J14" s="108"/>
      <c r="K14" s="109"/>
    </row>
    <row r="15" spans="2:20" ht="30">
      <c r="D15" s="55">
        <v>0</v>
      </c>
      <c r="E15" s="55">
        <v>1</v>
      </c>
      <c r="F15" s="55">
        <v>2</v>
      </c>
      <c r="G15" s="55">
        <v>3</v>
      </c>
      <c r="H15" s="55">
        <v>4</v>
      </c>
      <c r="I15" s="55">
        <v>5</v>
      </c>
      <c r="J15" s="55">
        <v>6</v>
      </c>
      <c r="K15" s="55" t="s">
        <v>2370</v>
      </c>
    </row>
    <row r="16" spans="2:20">
      <c r="D16" s="45" t="s">
        <v>2879</v>
      </c>
      <c r="E16" s="45" t="s">
        <v>3219</v>
      </c>
      <c r="F16" s="45" t="s">
        <v>3225</v>
      </c>
      <c r="G16" s="45" t="s">
        <v>3223</v>
      </c>
      <c r="H16" s="45" t="s">
        <v>3229</v>
      </c>
      <c r="I16" s="45" t="s">
        <v>3231</v>
      </c>
      <c r="J16" s="45" t="s">
        <v>3233</v>
      </c>
      <c r="K16" s="45" t="s">
        <v>3234</v>
      </c>
      <c r="S16" s="13" t="str">
        <f>Show!$B$154&amp;"S.26.07.04.01 Rows {"&amp;COLUMN($C$1)&amp;"}"&amp;"@ForceFilingCode:true"</f>
        <v>!S.26.07.04.01 Rows {3}@ForceFilingCode:true</v>
      </c>
      <c r="T16" s="13" t="str">
        <f>Show!$B$154&amp;"S.26.07.04.01 Columns {"&amp;COLUMN($D$1)&amp;"}"</f>
        <v>!S.26.07.04.01 Columns {4}</v>
      </c>
    </row>
    <row r="17" spans="2:20">
      <c r="B17" s="43" t="s">
        <v>2880</v>
      </c>
      <c r="C17" s="44" t="s">
        <v>2878</v>
      </c>
      <c r="D17" s="56"/>
      <c r="E17" s="66"/>
      <c r="F17" s="66"/>
      <c r="G17" s="66"/>
      <c r="H17" s="66"/>
      <c r="I17" s="66"/>
      <c r="J17" s="66"/>
      <c r="K17" s="57"/>
    </row>
    <row r="18" spans="2:20">
      <c r="B18" s="47" t="s">
        <v>5045</v>
      </c>
      <c r="C18" s="41" t="s">
        <v>2883</v>
      </c>
      <c r="D18" s="60"/>
      <c r="E18" s="60"/>
      <c r="F18" s="60"/>
      <c r="G18" s="60"/>
      <c r="H18" s="60"/>
      <c r="I18" s="60"/>
      <c r="J18" s="60"/>
      <c r="K18" s="60"/>
    </row>
    <row r="19" spans="2:20">
      <c r="B19" s="47" t="s">
        <v>5046</v>
      </c>
      <c r="C19" s="41" t="s">
        <v>2885</v>
      </c>
      <c r="D19" s="69"/>
      <c r="E19" s="69"/>
      <c r="F19" s="69"/>
      <c r="G19" s="69"/>
      <c r="H19" s="69"/>
      <c r="I19" s="69"/>
      <c r="J19" s="69"/>
      <c r="K19" s="69"/>
    </row>
    <row r="21" spans="2:20">
      <c r="S21" s="13" t="str">
        <f>Show!$B$154&amp;Show!$B$154&amp;"S.26.07.04.01 Rows {"&amp;COLUMN($C$1)&amp;"}"</f>
        <v>!!S.26.07.04.01 Rows {3}</v>
      </c>
      <c r="T21" s="13" t="str">
        <f>Show!$B$154&amp;Show!$B$154&amp;"S.26.07.04.01 Columns {"&amp;COLUMN($K$1)&amp;"}"</f>
        <v>!!S.26.07.04.01 Columns {11}</v>
      </c>
    </row>
    <row r="23" spans="2:20" ht="18.75">
      <c r="B23" s="97" t="s">
        <v>5079</v>
      </c>
      <c r="C23" s="96"/>
      <c r="D23" s="96"/>
      <c r="E23" s="96"/>
      <c r="F23" s="96"/>
      <c r="G23" s="96"/>
      <c r="H23" s="96"/>
      <c r="I23" s="96"/>
      <c r="J23" s="96"/>
      <c r="K23" s="96"/>
      <c r="L23" s="96"/>
    </row>
    <row r="25" spans="2:20">
      <c r="B25" t="s">
        <v>3110</v>
      </c>
      <c r="S25" s="13" t="str">
        <f>Show!$B$154&amp;"S.26.07.04.02 Table label {"&amp;COLUMN($C$1)&amp;"}"</f>
        <v>!S.26.07.04.02 Table label {3}</v>
      </c>
      <c r="T25" s="13" t="str">
        <f>Show!$B$154&amp;"S.26.07.04.02 Table value {"&amp;COLUMN($D$1)&amp;"}"</f>
        <v>!S.26.07.04.02 Table value {4}</v>
      </c>
    </row>
    <row r="26" spans="2:20">
      <c r="B26" t="s">
        <v>3111</v>
      </c>
    </row>
    <row r="27" spans="2:20">
      <c r="B27" s="40" t="s">
        <v>4622</v>
      </c>
      <c r="C27" s="53" t="s">
        <v>3113</v>
      </c>
      <c r="D27" s="51"/>
    </row>
    <row r="28" spans="2:20">
      <c r="S28" s="13" t="str">
        <f>Show!$B$154&amp;Show!$B$154&amp;"S.26.07.04.02 Table label {"&amp;COLUMN($C$1)&amp;"}"</f>
        <v>!!S.26.07.04.02 Table label {3}</v>
      </c>
      <c r="T28" s="13" t="str">
        <f>Show!$B$154&amp;Show!$B$154&amp;"S.26.07.04.02 Table value {"&amp;COLUMN($D$1)&amp;"}"</f>
        <v>!!S.26.07.04.02 Table value {4}</v>
      </c>
    </row>
    <row r="30" spans="2:20">
      <c r="D30" s="98" t="s">
        <v>2877</v>
      </c>
    </row>
    <row r="31" spans="2:20">
      <c r="D31" s="99"/>
    </row>
    <row r="32" spans="2:20">
      <c r="D32" s="100"/>
    </row>
    <row r="33" spans="2:20">
      <c r="D33" s="45" t="s">
        <v>3236</v>
      </c>
      <c r="S33" s="13" t="str">
        <f>Show!$B$154&amp;"S.26.07.04.02 Rows {"&amp;COLUMN($C$1)&amp;"}"&amp;"@ForceFilingCode:true"</f>
        <v>!S.26.07.04.02 Rows {3}@ForceFilingCode:true</v>
      </c>
      <c r="T33" s="13" t="str">
        <f>Show!$B$154&amp;"S.26.07.04.02 Columns {"&amp;COLUMN($D$1)&amp;"}"</f>
        <v>!S.26.07.04.02 Columns {4}</v>
      </c>
    </row>
    <row r="34" spans="2:20">
      <c r="B34" s="43" t="s">
        <v>2880</v>
      </c>
      <c r="C34" s="44" t="s">
        <v>2878</v>
      </c>
      <c r="D34" s="46"/>
    </row>
    <row r="35" spans="2:20">
      <c r="B35" s="47" t="s">
        <v>5048</v>
      </c>
      <c r="C35" s="41" t="s">
        <v>2887</v>
      </c>
      <c r="D35" s="60"/>
    </row>
    <row r="37" spans="2:20">
      <c r="S37" s="13" t="str">
        <f>Show!$B$154&amp;Show!$B$154&amp;"S.26.07.04.02 Rows {"&amp;COLUMN($C$1)&amp;"}"</f>
        <v>!!S.26.07.04.02 Rows {3}</v>
      </c>
      <c r="T37" s="13" t="str">
        <f>Show!$B$154&amp;Show!$B$154&amp;"S.26.07.04.02 Columns {"&amp;COLUMN($D$1)&amp;"}"</f>
        <v>!!S.26.07.04.02 Columns {4}</v>
      </c>
    </row>
    <row r="39" spans="2:20" ht="18.75">
      <c r="B39" s="97" t="s">
        <v>5080</v>
      </c>
      <c r="C39" s="96"/>
      <c r="D39" s="96"/>
      <c r="E39" s="96"/>
      <c r="F39" s="96"/>
      <c r="G39" s="96"/>
      <c r="H39" s="96"/>
      <c r="I39" s="96"/>
      <c r="J39" s="96"/>
      <c r="K39" s="96"/>
      <c r="L39" s="96"/>
    </row>
    <row r="41" spans="2:20">
      <c r="B41" t="s">
        <v>3110</v>
      </c>
      <c r="S41" s="13" t="str">
        <f>Show!$B$154&amp;"S.26.07.04.03 Table label {"&amp;COLUMN($C$1)&amp;"}"</f>
        <v>!S.26.07.04.03 Table label {3}</v>
      </c>
      <c r="T41" s="13" t="str">
        <f>Show!$B$154&amp;"S.26.07.04.03 Table value {"&amp;COLUMN($D$1)&amp;"}"</f>
        <v>!S.26.07.04.03 Table value {4}</v>
      </c>
    </row>
    <row r="42" spans="2:20">
      <c r="B42" t="s">
        <v>3111</v>
      </c>
    </row>
    <row r="43" spans="2:20">
      <c r="B43" s="40" t="s">
        <v>4622</v>
      </c>
      <c r="C43" s="53" t="s">
        <v>3113</v>
      </c>
      <c r="D43" s="51"/>
    </row>
    <row r="44" spans="2:20">
      <c r="B44" s="40" t="s">
        <v>5050</v>
      </c>
      <c r="C44" s="53" t="s">
        <v>3875</v>
      </c>
      <c r="D44" s="51"/>
    </row>
    <row r="45" spans="2:20">
      <c r="S45" s="13" t="str">
        <f>Show!$B$154&amp;Show!$B$154&amp;"S.26.07.04.03 Table label {"&amp;COLUMN($C$1)&amp;"}"</f>
        <v>!!S.26.07.04.03 Table label {3}</v>
      </c>
      <c r="T45" s="13" t="str">
        <f>Show!$B$154&amp;Show!$B$154&amp;"S.26.07.04.03 Table value {"&amp;COLUMN($D$1)&amp;"}"</f>
        <v>!!S.26.07.04.03 Table value {4}</v>
      </c>
    </row>
    <row r="47" spans="2:20">
      <c r="D47" s="101" t="s">
        <v>2877</v>
      </c>
      <c r="E47" s="103"/>
    </row>
    <row r="48" spans="2:20">
      <c r="D48" s="104"/>
      <c r="E48" s="106"/>
    </row>
    <row r="49" spans="2:20">
      <c r="D49" s="107" t="s">
        <v>5022</v>
      </c>
      <c r="E49" s="109"/>
    </row>
    <row r="50" spans="2:20" ht="30">
      <c r="D50" s="55" t="s">
        <v>5051</v>
      </c>
      <c r="E50" s="55" t="s">
        <v>5052</v>
      </c>
    </row>
    <row r="51" spans="2:20">
      <c r="D51" s="45" t="s">
        <v>3239</v>
      </c>
      <c r="E51" s="45" t="s">
        <v>3241</v>
      </c>
      <c r="S51" s="13" t="str">
        <f>Show!$B$154&amp;"S.26.07.04.03 Rows {"&amp;COLUMN($C$1)&amp;"}"&amp;"@ForceFilingCode:true"</f>
        <v>!S.26.07.04.03 Rows {3}@ForceFilingCode:true</v>
      </c>
      <c r="T51" s="13" t="str">
        <f>Show!$B$154&amp;"S.26.07.04.03 Columns {"&amp;COLUMN($D$1)&amp;"}"</f>
        <v>!S.26.07.04.03 Columns {4}</v>
      </c>
    </row>
    <row r="52" spans="2:20">
      <c r="B52" s="43" t="s">
        <v>2880</v>
      </c>
      <c r="C52" s="44" t="s">
        <v>2878</v>
      </c>
      <c r="D52" s="56"/>
      <c r="E52" s="57"/>
    </row>
    <row r="53" spans="2:20">
      <c r="B53" s="47" t="s">
        <v>3606</v>
      </c>
      <c r="C53" s="41" t="s">
        <v>2889</v>
      </c>
      <c r="D53" s="60"/>
      <c r="E53" s="60"/>
    </row>
    <row r="55" spans="2:20">
      <c r="S55" s="13" t="str">
        <f>Show!$B$154&amp;Show!$B$154&amp;"S.26.07.04.03 Rows {"&amp;COLUMN($C$1)&amp;"}"</f>
        <v>!!S.26.07.04.03 Rows {3}</v>
      </c>
      <c r="T55" s="13" t="str">
        <f>Show!$B$154&amp;Show!$B$154&amp;"S.26.07.04.03 Columns {"&amp;COLUMN($E$1)&amp;"}"</f>
        <v>!!S.26.07.04.03 Columns {5}</v>
      </c>
    </row>
    <row r="57" spans="2:20" ht="18.75">
      <c r="B57" s="97" t="s">
        <v>5081</v>
      </c>
      <c r="C57" s="96"/>
      <c r="D57" s="96"/>
      <c r="E57" s="96"/>
      <c r="F57" s="96"/>
      <c r="G57" s="96"/>
      <c r="H57" s="96"/>
      <c r="I57" s="96"/>
      <c r="J57" s="96"/>
      <c r="K57" s="96"/>
      <c r="L57" s="96"/>
    </row>
    <row r="59" spans="2:20">
      <c r="B59" t="s">
        <v>3110</v>
      </c>
      <c r="S59" s="13" t="str">
        <f>Show!$B$154&amp;"S.26.07.04.04 Table label {"&amp;COLUMN($C$1)&amp;"}"</f>
        <v>!S.26.07.04.04 Table label {3}</v>
      </c>
      <c r="T59" s="13" t="str">
        <f>Show!$B$154&amp;"S.26.07.04.04 Table value {"&amp;COLUMN($D$1)&amp;"}"</f>
        <v>!S.26.07.04.04 Table value {4}</v>
      </c>
    </row>
    <row r="60" spans="2:20">
      <c r="B60" t="s">
        <v>3111</v>
      </c>
    </row>
    <row r="61" spans="2:20">
      <c r="B61" s="40" t="s">
        <v>4622</v>
      </c>
      <c r="C61" s="53" t="s">
        <v>3113</v>
      </c>
      <c r="D61" s="51"/>
    </row>
    <row r="62" spans="2:20">
      <c r="S62" s="13" t="str">
        <f>Show!$B$154&amp;Show!$B$154&amp;"S.26.07.04.04 Table label {"&amp;COLUMN($C$1)&amp;"}"</f>
        <v>!!S.26.07.04.04 Table label {3}</v>
      </c>
      <c r="T62" s="13" t="str">
        <f>Show!$B$154&amp;Show!$B$154&amp;"S.26.07.04.04 Table value {"&amp;COLUMN($D$1)&amp;"}"</f>
        <v>!!S.26.07.04.04 Table value {4}</v>
      </c>
    </row>
    <row r="64" spans="2:20">
      <c r="D64" s="101" t="s">
        <v>2877</v>
      </c>
      <c r="E64" s="102"/>
      <c r="F64" s="102"/>
      <c r="G64" s="102"/>
      <c r="H64" s="102"/>
      <c r="I64" s="102"/>
      <c r="J64" s="102"/>
      <c r="K64" s="102"/>
      <c r="L64" s="102"/>
      <c r="M64" s="102"/>
      <c r="N64" s="103"/>
    </row>
    <row r="65" spans="2:20">
      <c r="D65" s="104"/>
      <c r="E65" s="105"/>
      <c r="F65" s="105"/>
      <c r="G65" s="105"/>
      <c r="H65" s="105"/>
      <c r="I65" s="105"/>
      <c r="J65" s="105"/>
      <c r="K65" s="105"/>
      <c r="L65" s="105"/>
      <c r="M65" s="105"/>
      <c r="N65" s="106"/>
    </row>
    <row r="66" spans="2:20">
      <c r="D66" s="98" t="s">
        <v>5054</v>
      </c>
      <c r="E66" s="98" t="s">
        <v>5055</v>
      </c>
      <c r="F66" s="98" t="s">
        <v>5056</v>
      </c>
      <c r="G66" s="98" t="s">
        <v>3292</v>
      </c>
      <c r="H66" s="98" t="s">
        <v>5057</v>
      </c>
      <c r="I66" s="98" t="s">
        <v>5058</v>
      </c>
      <c r="J66" s="98" t="s">
        <v>5046</v>
      </c>
      <c r="K66" s="98" t="s">
        <v>5059</v>
      </c>
      <c r="L66" s="98" t="s">
        <v>5060</v>
      </c>
      <c r="M66" s="98" t="s">
        <v>5061</v>
      </c>
      <c r="N66" s="98" t="s">
        <v>5062</v>
      </c>
    </row>
    <row r="67" spans="2:20">
      <c r="D67" s="100"/>
      <c r="E67" s="100"/>
      <c r="F67" s="100"/>
      <c r="G67" s="100"/>
      <c r="H67" s="100"/>
      <c r="I67" s="100"/>
      <c r="J67" s="100"/>
      <c r="K67" s="100"/>
      <c r="L67" s="100"/>
      <c r="M67" s="100"/>
      <c r="N67" s="100"/>
    </row>
    <row r="68" spans="2:20">
      <c r="D68" s="45" t="s">
        <v>3243</v>
      </c>
      <c r="E68" s="45" t="s">
        <v>3375</v>
      </c>
      <c r="F68" s="45" t="s">
        <v>3475</v>
      </c>
      <c r="G68" s="45" t="s">
        <v>3477</v>
      </c>
      <c r="H68" s="45" t="s">
        <v>3479</v>
      </c>
      <c r="I68" s="45" t="s">
        <v>3594</v>
      </c>
      <c r="J68" s="45" t="s">
        <v>3596</v>
      </c>
      <c r="K68" s="45" t="s">
        <v>3599</v>
      </c>
      <c r="L68" s="45" t="s">
        <v>3481</v>
      </c>
      <c r="M68" s="45" t="s">
        <v>3508</v>
      </c>
      <c r="N68" s="45" t="s">
        <v>3509</v>
      </c>
      <c r="S68" s="13" t="str">
        <f>Show!$B$154&amp;"S.26.07.04.04 Rows {"&amp;COLUMN($C$1)&amp;"}"&amp;"@ForceFilingCode:true"</f>
        <v>!S.26.07.04.04 Rows {3}@ForceFilingCode:true</v>
      </c>
      <c r="T68" s="13" t="str">
        <f>Show!$B$154&amp;"S.26.07.04.04 Columns {"&amp;COLUMN($D$1)&amp;"}"</f>
        <v>!S.26.07.04.04 Columns {4}</v>
      </c>
    </row>
    <row r="69" spans="2:20">
      <c r="B69" s="43" t="s">
        <v>2880</v>
      </c>
      <c r="C69" s="44" t="s">
        <v>2878</v>
      </c>
      <c r="D69" s="56"/>
      <c r="E69" s="67"/>
      <c r="F69" s="67"/>
      <c r="G69" s="67"/>
      <c r="H69" s="66"/>
      <c r="I69" s="67"/>
      <c r="J69" s="66"/>
      <c r="K69" s="67"/>
      <c r="L69" s="67"/>
      <c r="M69" s="67"/>
      <c r="N69" s="59"/>
    </row>
    <row r="70" spans="2:20">
      <c r="B70" s="47" t="s">
        <v>4879</v>
      </c>
      <c r="C70" s="41" t="s">
        <v>2899</v>
      </c>
      <c r="D70" s="65"/>
      <c r="E70" s="58"/>
      <c r="F70" s="58"/>
      <c r="G70" s="46"/>
      <c r="H70" s="71"/>
      <c r="I70" s="48"/>
      <c r="J70" s="79"/>
      <c r="K70" s="58"/>
      <c r="L70" s="58"/>
      <c r="M70" s="58"/>
      <c r="N70" s="48"/>
    </row>
    <row r="71" spans="2:20">
      <c r="B71" s="47" t="s">
        <v>4880</v>
      </c>
      <c r="C71" s="44" t="s">
        <v>2901</v>
      </c>
      <c r="D71" s="56"/>
      <c r="E71" s="56"/>
      <c r="F71" s="48"/>
      <c r="G71" s="60"/>
      <c r="H71" s="71"/>
      <c r="I71" s="46"/>
      <c r="J71" s="79"/>
      <c r="K71" s="58"/>
      <c r="L71" s="56"/>
      <c r="M71" s="58"/>
      <c r="N71" s="48"/>
    </row>
    <row r="72" spans="2:20">
      <c r="B72" s="47" t="s">
        <v>4881</v>
      </c>
      <c r="C72" s="41" t="s">
        <v>2903</v>
      </c>
      <c r="D72" s="63"/>
      <c r="E72" s="65"/>
      <c r="F72" s="48"/>
      <c r="G72" s="63"/>
      <c r="H72" s="76"/>
      <c r="I72" s="76"/>
      <c r="J72" s="80"/>
      <c r="K72" s="48"/>
      <c r="L72" s="78"/>
      <c r="M72" s="58"/>
      <c r="N72" s="48"/>
    </row>
    <row r="73" spans="2:20">
      <c r="B73" s="47" t="s">
        <v>4882</v>
      </c>
      <c r="C73" s="44" t="s">
        <v>2878</v>
      </c>
      <c r="D73" s="58"/>
      <c r="E73" s="67"/>
      <c r="F73" s="66"/>
      <c r="G73" s="67"/>
      <c r="H73" s="66"/>
      <c r="I73" s="67"/>
      <c r="J73" s="67"/>
      <c r="K73" s="66"/>
      <c r="L73" s="67"/>
      <c r="M73" s="67"/>
      <c r="N73" s="59"/>
    </row>
    <row r="74" spans="2:20">
      <c r="B74" s="49" t="s">
        <v>5063</v>
      </c>
      <c r="C74" s="44" t="s">
        <v>2905</v>
      </c>
      <c r="D74" s="58"/>
      <c r="E74" s="48"/>
      <c r="F74" s="64"/>
      <c r="G74" s="48"/>
      <c r="H74" s="71"/>
      <c r="I74" s="58"/>
      <c r="J74" s="48"/>
      <c r="K74" s="79"/>
      <c r="L74" s="58"/>
      <c r="M74" s="58"/>
      <c r="N74" s="48"/>
    </row>
    <row r="75" spans="2:20">
      <c r="B75" s="49" t="s">
        <v>5064</v>
      </c>
      <c r="C75" s="44" t="s">
        <v>2907</v>
      </c>
      <c r="D75" s="58"/>
      <c r="E75" s="48"/>
      <c r="F75" s="65"/>
      <c r="G75" s="48"/>
      <c r="H75" s="78"/>
      <c r="I75" s="58"/>
      <c r="J75" s="46"/>
      <c r="K75" s="80"/>
      <c r="L75" s="58"/>
      <c r="M75" s="56"/>
      <c r="N75" s="46"/>
    </row>
    <row r="76" spans="2:20">
      <c r="B76" s="47" t="s">
        <v>4886</v>
      </c>
      <c r="C76" s="44" t="s">
        <v>2909</v>
      </c>
      <c r="D76" s="56"/>
      <c r="E76" s="58"/>
      <c r="F76" s="58"/>
      <c r="G76" s="58"/>
      <c r="H76" s="58"/>
      <c r="I76" s="48"/>
      <c r="J76" s="80"/>
      <c r="K76" s="58"/>
      <c r="L76" s="48"/>
      <c r="M76" s="63"/>
      <c r="N76" s="76"/>
    </row>
    <row r="77" spans="2:20">
      <c r="B77" s="47" t="s">
        <v>4888</v>
      </c>
      <c r="C77" s="41" t="s">
        <v>2911</v>
      </c>
      <c r="D77" s="65"/>
      <c r="E77" s="58"/>
      <c r="F77" s="58"/>
      <c r="G77" s="58"/>
      <c r="H77" s="58"/>
      <c r="I77" s="58"/>
      <c r="J77" s="58"/>
      <c r="K77" s="58"/>
      <c r="L77" s="58"/>
      <c r="M77" s="58"/>
      <c r="N77" s="48"/>
    </row>
    <row r="78" spans="2:20">
      <c r="B78" s="47" t="s">
        <v>4629</v>
      </c>
      <c r="C78" s="44" t="s">
        <v>2878</v>
      </c>
      <c r="D78" s="56"/>
      <c r="E78" s="67"/>
      <c r="F78" s="67"/>
      <c r="G78" s="67"/>
      <c r="H78" s="66"/>
      <c r="I78" s="67"/>
      <c r="J78" s="66"/>
      <c r="K78" s="67"/>
      <c r="L78" s="67"/>
      <c r="M78" s="67"/>
      <c r="N78" s="59"/>
    </row>
    <row r="79" spans="2:20">
      <c r="B79" s="49" t="s">
        <v>4910</v>
      </c>
      <c r="C79" s="41" t="s">
        <v>2919</v>
      </c>
      <c r="D79" s="65"/>
      <c r="E79" s="58"/>
      <c r="F79" s="58"/>
      <c r="G79" s="46"/>
      <c r="H79" s="71"/>
      <c r="I79" s="48"/>
      <c r="J79" s="79"/>
      <c r="K79" s="58"/>
      <c r="L79" s="58"/>
      <c r="M79" s="58"/>
      <c r="N79" s="48"/>
    </row>
    <row r="80" spans="2:20">
      <c r="B80" s="49" t="s">
        <v>4911</v>
      </c>
      <c r="C80" s="44" t="s">
        <v>2921</v>
      </c>
      <c r="D80" s="58"/>
      <c r="E80" s="58"/>
      <c r="F80" s="48"/>
      <c r="G80" s="63"/>
      <c r="H80" s="78"/>
      <c r="I80" s="48"/>
      <c r="J80" s="79"/>
      <c r="K80" s="58"/>
      <c r="L80" s="58"/>
      <c r="M80" s="56"/>
      <c r="N80" s="46"/>
    </row>
    <row r="81" spans="2:20">
      <c r="B81" s="49" t="s">
        <v>5065</v>
      </c>
      <c r="C81" s="44" t="s">
        <v>2923</v>
      </c>
      <c r="D81" s="56"/>
      <c r="E81" s="56"/>
      <c r="F81" s="58"/>
      <c r="G81" s="56"/>
      <c r="H81" s="56"/>
      <c r="I81" s="46"/>
      <c r="J81" s="79"/>
      <c r="K81" s="58"/>
      <c r="L81" s="46"/>
      <c r="M81" s="63"/>
      <c r="N81" s="76"/>
    </row>
    <row r="82" spans="2:20">
      <c r="B82" s="49" t="s">
        <v>5066</v>
      </c>
      <c r="C82" s="41" t="s">
        <v>2925</v>
      </c>
      <c r="D82" s="63"/>
      <c r="E82" s="65"/>
      <c r="F82" s="48"/>
      <c r="G82" s="63"/>
      <c r="H82" s="76"/>
      <c r="I82" s="76"/>
      <c r="J82" s="80"/>
      <c r="K82" s="48"/>
      <c r="L82" s="78"/>
      <c r="M82" s="58"/>
      <c r="N82" s="48"/>
    </row>
    <row r="83" spans="2:20">
      <c r="B83" s="47" t="s">
        <v>5067</v>
      </c>
      <c r="C83" s="44" t="s">
        <v>2878</v>
      </c>
      <c r="D83" s="58"/>
      <c r="E83" s="67"/>
      <c r="F83" s="66"/>
      <c r="G83" s="67"/>
      <c r="H83" s="66"/>
      <c r="I83" s="67"/>
      <c r="J83" s="67"/>
      <c r="K83" s="66"/>
      <c r="L83" s="67"/>
      <c r="M83" s="67"/>
      <c r="N83" s="59"/>
    </row>
    <row r="84" spans="2:20">
      <c r="B84" s="49" t="s">
        <v>5063</v>
      </c>
      <c r="C84" s="44" t="s">
        <v>2927</v>
      </c>
      <c r="D84" s="58"/>
      <c r="E84" s="48"/>
      <c r="F84" s="64"/>
      <c r="G84" s="48"/>
      <c r="H84" s="71"/>
      <c r="I84" s="58"/>
      <c r="J84" s="48"/>
      <c r="K84" s="79"/>
      <c r="L84" s="58"/>
      <c r="M84" s="58"/>
      <c r="N84" s="48"/>
    </row>
    <row r="85" spans="2:20">
      <c r="B85" s="49" t="s">
        <v>5064</v>
      </c>
      <c r="C85" s="44" t="s">
        <v>2929</v>
      </c>
      <c r="D85" s="58"/>
      <c r="E85" s="48"/>
      <c r="F85" s="65"/>
      <c r="G85" s="48"/>
      <c r="H85" s="78"/>
      <c r="I85" s="58"/>
      <c r="J85" s="46"/>
      <c r="K85" s="80"/>
      <c r="L85" s="58"/>
      <c r="M85" s="56"/>
      <c r="N85" s="46"/>
    </row>
    <row r="86" spans="2:20">
      <c r="B86" s="47" t="s">
        <v>4918</v>
      </c>
      <c r="C86" s="44" t="s">
        <v>2931</v>
      </c>
      <c r="D86" s="56"/>
      <c r="E86" s="56"/>
      <c r="F86" s="56"/>
      <c r="G86" s="56"/>
      <c r="H86" s="56"/>
      <c r="I86" s="46"/>
      <c r="J86" s="79"/>
      <c r="K86" s="56"/>
      <c r="L86" s="46"/>
      <c r="M86" s="60"/>
      <c r="N86" s="70"/>
    </row>
    <row r="88" spans="2:20">
      <c r="S88" s="13" t="str">
        <f>Show!$B$154&amp;Show!$B$154&amp;"S.26.07.04.04 Rows {"&amp;COLUMN($C$1)&amp;"}"</f>
        <v>!!S.26.07.04.04 Rows {3}</v>
      </c>
      <c r="T88" s="13" t="str">
        <f>Show!$B$154&amp;Show!$B$154&amp;"S.26.07.04.04 Columns {"&amp;COLUMN($N$1)&amp;"}"</f>
        <v>!!S.26.07.04.04 Columns {14}</v>
      </c>
    </row>
    <row r="90" spans="2:20" ht="18.75">
      <c r="B90" s="97" t="s">
        <v>5082</v>
      </c>
      <c r="C90" s="96"/>
      <c r="D90" s="96"/>
      <c r="E90" s="96"/>
      <c r="F90" s="96"/>
      <c r="G90" s="96"/>
      <c r="H90" s="96"/>
      <c r="I90" s="96"/>
      <c r="J90" s="96"/>
      <c r="K90" s="96"/>
      <c r="L90" s="96"/>
    </row>
    <row r="92" spans="2:20">
      <c r="B92" t="s">
        <v>3110</v>
      </c>
      <c r="S92" s="13" t="str">
        <f>Show!$B$154&amp;"S.26.07.04.05 Table label {"&amp;COLUMN($C$1)&amp;"}"</f>
        <v>!S.26.07.04.05 Table label {3}</v>
      </c>
      <c r="T92" s="13" t="str">
        <f>Show!$B$154&amp;"S.26.07.04.05 Table value {"&amp;COLUMN($D$1)&amp;"}"</f>
        <v>!S.26.07.04.05 Table value {4}</v>
      </c>
    </row>
    <row r="93" spans="2:20">
      <c r="B93" t="s">
        <v>3111</v>
      </c>
    </row>
    <row r="94" spans="2:20">
      <c r="B94" s="40" t="s">
        <v>4622</v>
      </c>
      <c r="C94" s="53" t="s">
        <v>3113</v>
      </c>
      <c r="D94" s="51"/>
    </row>
    <row r="95" spans="2:20">
      <c r="S95" s="13" t="str">
        <f>Show!$B$154&amp;Show!$B$154&amp;"S.26.07.04.05 Table label {"&amp;COLUMN($C$1)&amp;"}"</f>
        <v>!!S.26.07.04.05 Table label {3}</v>
      </c>
      <c r="T95" s="13" t="str">
        <f>Show!$B$154&amp;Show!$B$154&amp;"S.26.07.04.05 Table value {"&amp;COLUMN($D$1)&amp;"}"</f>
        <v>!!S.26.07.04.05 Table value {4}</v>
      </c>
    </row>
    <row r="97" spans="2:20">
      <c r="D97" s="98" t="s">
        <v>2877</v>
      </c>
    </row>
    <row r="98" spans="2:20">
      <c r="D98" s="99"/>
    </row>
    <row r="99" spans="2:20">
      <c r="D99" s="100"/>
    </row>
    <row r="100" spans="2:20">
      <c r="D100" s="45" t="s">
        <v>3519</v>
      </c>
      <c r="S100" s="13" t="str">
        <f>Show!$B$154&amp;"S.26.07.04.05 Rows {"&amp;COLUMN($C$1)&amp;"}"&amp;"@ForceFilingCode:true"</f>
        <v>!S.26.07.04.05 Rows {3}@ForceFilingCode:true</v>
      </c>
      <c r="T100" s="13" t="str">
        <f>Show!$B$154&amp;"S.26.07.04.05 Columns {"&amp;COLUMN($D$1)&amp;"}"</f>
        <v>!S.26.07.04.05 Columns {4}</v>
      </c>
    </row>
    <row r="101" spans="2:20">
      <c r="B101" s="43" t="s">
        <v>2880</v>
      </c>
      <c r="C101" s="44" t="s">
        <v>2878</v>
      </c>
      <c r="D101" s="46"/>
    </row>
    <row r="102" spans="2:20">
      <c r="B102" s="47" t="s">
        <v>5069</v>
      </c>
      <c r="C102" s="41" t="s">
        <v>2939</v>
      </c>
      <c r="D102" s="60"/>
    </row>
    <row r="104" spans="2:20">
      <c r="S104" s="13" t="str">
        <f>Show!$B$154&amp;Show!$B$154&amp;"S.26.07.04.05 Rows {"&amp;COLUMN($C$1)&amp;"}"</f>
        <v>!!S.26.07.04.05 Rows {3}</v>
      </c>
      <c r="T104" s="13" t="str">
        <f>Show!$B$154&amp;Show!$B$154&amp;"S.26.07.04.05 Columns {"&amp;COLUMN($D$1)&amp;"}"</f>
        <v>!!S.26.07.04.05 Columns {4}</v>
      </c>
    </row>
    <row r="106" spans="2:20" ht="18.75">
      <c r="B106" s="97" t="s">
        <v>5083</v>
      </c>
      <c r="C106" s="96"/>
      <c r="D106" s="96"/>
      <c r="E106" s="96"/>
      <c r="F106" s="96"/>
      <c r="G106" s="96"/>
      <c r="H106" s="96"/>
      <c r="I106" s="96"/>
      <c r="J106" s="96"/>
      <c r="K106" s="96"/>
      <c r="L106" s="96"/>
    </row>
    <row r="108" spans="2:20">
      <c r="B108" t="s">
        <v>3110</v>
      </c>
      <c r="S108" s="13" t="str">
        <f>Show!$B$154&amp;"S.26.07.04.06 Table label {"&amp;COLUMN($C$1)&amp;"}"</f>
        <v>!S.26.07.04.06 Table label {3}</v>
      </c>
      <c r="T108" s="13" t="str">
        <f>Show!$B$154&amp;"S.26.07.04.06 Table value {"&amp;COLUMN($D$1)&amp;"}"</f>
        <v>!S.26.07.04.06 Table value {4}</v>
      </c>
    </row>
    <row r="109" spans="2:20">
      <c r="B109" t="s">
        <v>3111</v>
      </c>
    </row>
    <row r="110" spans="2:20">
      <c r="B110" s="40" t="s">
        <v>4622</v>
      </c>
      <c r="C110" s="53" t="s">
        <v>3113</v>
      </c>
      <c r="D110" s="51"/>
    </row>
    <row r="111" spans="2:20">
      <c r="S111" s="13" t="str">
        <f>Show!$B$154&amp;Show!$B$154&amp;"S.26.07.04.06 Table label {"&amp;COLUMN($C$1)&amp;"}"</f>
        <v>!!S.26.07.04.06 Table label {3}</v>
      </c>
      <c r="T111" s="13" t="str">
        <f>Show!$B$154&amp;Show!$B$154&amp;"S.26.07.04.06 Table value {"&amp;COLUMN($D$1)&amp;"}"</f>
        <v>!!S.26.07.04.06 Table value {4}</v>
      </c>
    </row>
    <row r="113" spans="2:20">
      <c r="D113" s="101" t="s">
        <v>2877</v>
      </c>
      <c r="E113" s="103"/>
    </row>
    <row r="114" spans="2:20">
      <c r="D114" s="104"/>
      <c r="E114" s="106"/>
    </row>
    <row r="115" spans="2:20" ht="30">
      <c r="D115" s="55" t="s">
        <v>5071</v>
      </c>
      <c r="E115" s="55" t="s">
        <v>5072</v>
      </c>
    </row>
    <row r="116" spans="2:20">
      <c r="D116" s="45" t="s">
        <v>3614</v>
      </c>
      <c r="E116" s="45" t="s">
        <v>3616</v>
      </c>
      <c r="S116" s="13" t="str">
        <f>Show!$B$154&amp;"S.26.07.04.06 Rows {"&amp;COLUMN($C$1)&amp;"}"&amp;"@ForceFilingCode:true"</f>
        <v>!S.26.07.04.06 Rows {3}@ForceFilingCode:true</v>
      </c>
      <c r="T116" s="13" t="str">
        <f>Show!$B$154&amp;"S.26.07.04.06 Columns {"&amp;COLUMN($D$1)&amp;"}"</f>
        <v>!S.26.07.04.06 Columns {4}</v>
      </c>
    </row>
    <row r="117" spans="2:20">
      <c r="B117" s="43" t="s">
        <v>2880</v>
      </c>
      <c r="C117" s="44" t="s">
        <v>2878</v>
      </c>
      <c r="D117" s="56"/>
      <c r="E117" s="57"/>
    </row>
    <row r="118" spans="2:20">
      <c r="B118" s="47" t="s">
        <v>5073</v>
      </c>
      <c r="C118" s="41" t="s">
        <v>2959</v>
      </c>
      <c r="D118" s="70"/>
      <c r="E118" s="60"/>
    </row>
    <row r="119" spans="2:20">
      <c r="B119" s="47" t="s">
        <v>5074</v>
      </c>
      <c r="C119" s="41" t="s">
        <v>2961</v>
      </c>
      <c r="D119" s="70"/>
      <c r="E119" s="60"/>
    </row>
    <row r="120" spans="2:20">
      <c r="B120" s="47" t="s">
        <v>5075</v>
      </c>
      <c r="C120" s="41" t="s">
        <v>2963</v>
      </c>
      <c r="D120" s="70"/>
      <c r="E120" s="60"/>
    </row>
    <row r="121" spans="2:20">
      <c r="B121" s="47" t="s">
        <v>5076</v>
      </c>
      <c r="C121" s="41" t="s">
        <v>2965</v>
      </c>
      <c r="D121" s="70"/>
      <c r="E121" s="60"/>
    </row>
    <row r="122" spans="2:20">
      <c r="B122" s="47" t="s">
        <v>5077</v>
      </c>
      <c r="C122" s="41" t="s">
        <v>2967</v>
      </c>
      <c r="D122" s="70"/>
      <c r="E122" s="60"/>
    </row>
    <row r="124" spans="2:20">
      <c r="S124" s="13" t="str">
        <f>Show!$B$154&amp;Show!$B$154&amp;"S.26.07.04.06 Rows {"&amp;COLUMN($C$1)&amp;"}"</f>
        <v>!!S.26.07.04.06 Rows {3}</v>
      </c>
      <c r="T124" s="13" t="str">
        <f>Show!$B$154&amp;Show!$B$154&amp;"S.26.07.04.06 Columns {"&amp;COLUMN($E$1)&amp;"}"</f>
        <v>!!S.26.07.04.06 Columns {5}</v>
      </c>
    </row>
  </sheetData>
  <sheetProtection sheet="1" objects="1" scenarios="1"/>
  <mergeCells count="26">
    <mergeCell ref="B90:L90"/>
    <mergeCell ref="D97:D99"/>
    <mergeCell ref="B106:L106"/>
    <mergeCell ref="D113:E114"/>
    <mergeCell ref="I66:I67"/>
    <mergeCell ref="J66:J67"/>
    <mergeCell ref="K66:K67"/>
    <mergeCell ref="L66:L67"/>
    <mergeCell ref="M66:M67"/>
    <mergeCell ref="N66:N67"/>
    <mergeCell ref="B39:L39"/>
    <mergeCell ref="D47:E48"/>
    <mergeCell ref="D49:E49"/>
    <mergeCell ref="B57:L57"/>
    <mergeCell ref="D64:N65"/>
    <mergeCell ref="D66:D67"/>
    <mergeCell ref="E66:E67"/>
    <mergeCell ref="F66:F67"/>
    <mergeCell ref="G66:G67"/>
    <mergeCell ref="H66:H67"/>
    <mergeCell ref="D30:D32"/>
    <mergeCell ref="B2:O2"/>
    <mergeCell ref="B5:L5"/>
    <mergeCell ref="D12:K13"/>
    <mergeCell ref="D14:K14"/>
    <mergeCell ref="B23:L23"/>
  </mergeCells>
  <dataValidations count="2">
    <dataValidation type="list" errorStyle="warning" allowBlank="1" showInputMessage="1" showErrorMessage="1" sqref="D9 D27 D43 D61 D94 D110" xr:uid="{CB94158C-E1C0-4155-BF5E-44332C2B91E1}">
      <formula1>hier_AO_1</formula1>
    </dataValidation>
    <dataValidation type="list" errorStyle="warning" allowBlank="1" showInputMessage="1" showErrorMessage="1" sqref="D44" xr:uid="{9FB61C61-3ECC-483E-A17F-5D0E3019E11B}">
      <formula1>hier_CU_5</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CDD40-4B7B-48B5-8FA7-26CA35828541}">
  <sheetPr codeName="Blad16"/>
  <dimension ref="B2:O20"/>
  <sheetViews>
    <sheetView showGridLines="0" workbookViewId="0"/>
  </sheetViews>
  <sheetFormatPr defaultRowHeight="15"/>
  <cols>
    <col min="2" max="2" width="44.28515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3107</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IF(COUNTIF(D:D,"Reported")&gt;0,Show!$B$12,"!")&amp;"S.01.01.14.01 Rows {"&amp;COLUMN($C$1)&amp;"}"&amp;"@ForceFilingCode:true"</f>
        <v>!S.01.01.14.01 Rows {3}@ForceFilingCode:true</v>
      </c>
      <c r="J13" s="13" t="str">
        <f>IF(COUNTIF(D:D,"Reported")&gt;0,Show!$B$12,"!")&amp;"S.01.01.14.01 Columns {"&amp;COLUMN($D$1)&amp;"}"</f>
        <v>!S.01.01.14.01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IF(COUNTIF(D:D,"Reported")&gt;0,Show!$B$12&amp;Show!$B$12,"!!")&amp;"S.01.01.14.01 Rows {"&amp;COLUMN($C$1)&amp;"}"</f>
        <v>!!S.01.01.14.01 Rows {3}</v>
      </c>
      <c r="J20" s="13" t="str">
        <f>IF(COUNTIF(D:D,"Reported")&gt;0,Show!$B$12&amp;Show!$B$12,"!!")&amp;"S.01.01.14.01 Columns {"&amp;COLUMN($D$1)&amp;"}"</f>
        <v>!!S.01.01.14.01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92B658F0-0CD7-4551-B0FD-381252CAAF65}">
      <formula1>hier_CN_2</formula1>
    </dataValidation>
    <dataValidation type="list" errorStyle="warning" allowBlank="1" showInputMessage="1" showErrorMessage="1" sqref="D17" xr:uid="{78F85248-30AC-46ED-8E87-4AF3FA8A2DC0}">
      <formula1>hier_CN_30</formula1>
    </dataValidation>
    <dataValidation type="list" errorStyle="warning" allowBlank="1" showInputMessage="1" showErrorMessage="1" sqref="D18 D19" xr:uid="{0165061B-0402-44F1-A7FA-C3A61BE2D705}">
      <formula1>hier_CN_15</formula1>
    </dataValidation>
  </dataValidations>
  <hyperlinks>
    <hyperlink ref="B16" location="'S.01.02.07'!A1" display="S.01.02.07 - Basic Information - General" xr:uid="{FC15F812-2B60-4891-8E3F-4D4D8223A75C}"/>
    <hyperlink ref="B17" location="'S.14.01.10'!A1" display="S.14.01.10 - Life obligations analysis" xr:uid="{8183F88D-95DD-4938-AF63-73AAD4647B23}"/>
    <hyperlink ref="B18" location="'S.38.01.10'!A1" display="S.38.01.10 - Duration of technical provisions" xr:uid="{8A64963C-53D6-4B10-A8AC-4E4C432F7017}"/>
    <hyperlink ref="B19" location="'S.40.01.10'!A1" display="S.40.01.10 - Profit or Loss sharing" xr:uid="{D985F38F-CF9E-4737-8C33-D4E1CFB88F5A}"/>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151C-8875-4972-884A-14E08B84CBA9}">
  <sheetPr codeName="Blad159"/>
  <dimension ref="B2:T136"/>
  <sheetViews>
    <sheetView showGridLines="0" workbookViewId="0"/>
  </sheetViews>
  <sheetFormatPr defaultRowHeight="15"/>
  <cols>
    <col min="2" max="2" width="61.85546875" bestFit="1" customWidth="1"/>
    <col min="4" max="14" width="15.7109375" customWidth="1"/>
  </cols>
  <sheetData>
    <row r="2" spans="2:20" ht="23.25">
      <c r="B2" s="95" t="s">
        <v>738</v>
      </c>
      <c r="C2" s="96"/>
      <c r="D2" s="96"/>
      <c r="E2" s="96"/>
      <c r="F2" s="96"/>
      <c r="G2" s="96"/>
      <c r="H2" s="96"/>
      <c r="I2" s="96"/>
      <c r="J2" s="96"/>
      <c r="K2" s="96"/>
      <c r="L2" s="96"/>
      <c r="M2" s="96"/>
      <c r="N2" s="96"/>
      <c r="O2" s="96"/>
    </row>
    <row r="5" spans="2:20" ht="18.75">
      <c r="B5" s="97" t="s">
        <v>5084</v>
      </c>
      <c r="C5" s="96"/>
      <c r="D5" s="96"/>
      <c r="E5" s="96"/>
      <c r="F5" s="96"/>
      <c r="G5" s="96"/>
      <c r="H5" s="96"/>
      <c r="I5" s="96"/>
      <c r="J5" s="96"/>
      <c r="K5" s="96"/>
      <c r="L5" s="96"/>
    </row>
    <row r="7" spans="2:20">
      <c r="B7" t="s">
        <v>3110</v>
      </c>
      <c r="S7" s="13" t="str">
        <f>Show!$B$155&amp;"SR.26.07.01.01 Table label {"&amp;COLUMN($C$1)&amp;"}"</f>
        <v>!SR.26.07.01.01 Table label {3}</v>
      </c>
      <c r="T7" s="13" t="str">
        <f>Show!$B$155&amp;"SR.26.07.01.01 Table value {"&amp;COLUMN($D$1)&amp;"}"</f>
        <v>!SR.26.07.01.01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Show!$B$155&amp;Show!$B$155&amp;"SR.26.07.01.01 Table label {"&amp;COLUMN($C$1)&amp;"}"</f>
        <v>!!SR.26.07.01.01 Table label {3}</v>
      </c>
      <c r="T12" s="13" t="str">
        <f>Show!$B$155&amp;Show!$B$155&amp;"SR.26.07.01.01 Table value {"&amp;COLUMN($D$1)&amp;"}"</f>
        <v>!!SR.26.07.01.01 Table value {4}</v>
      </c>
    </row>
    <row r="14" spans="2:20">
      <c r="D14" s="101" t="s">
        <v>2877</v>
      </c>
      <c r="E14" s="102"/>
      <c r="F14" s="102"/>
      <c r="G14" s="102"/>
      <c r="H14" s="102"/>
      <c r="I14" s="102"/>
      <c r="J14" s="102"/>
      <c r="K14" s="103"/>
    </row>
    <row r="15" spans="2:20">
      <c r="D15" s="104"/>
      <c r="E15" s="105"/>
      <c r="F15" s="105"/>
      <c r="G15" s="105"/>
      <c r="H15" s="105"/>
      <c r="I15" s="105"/>
      <c r="J15" s="105"/>
      <c r="K15" s="106"/>
    </row>
    <row r="16" spans="2:20">
      <c r="D16" s="107" t="s">
        <v>3617</v>
      </c>
      <c r="E16" s="108"/>
      <c r="F16" s="108"/>
      <c r="G16" s="108"/>
      <c r="H16" s="108"/>
      <c r="I16" s="108"/>
      <c r="J16" s="108"/>
      <c r="K16" s="109"/>
    </row>
    <row r="17" spans="2:20" ht="30">
      <c r="D17" s="55">
        <v>0</v>
      </c>
      <c r="E17" s="55">
        <v>1</v>
      </c>
      <c r="F17" s="55">
        <v>2</v>
      </c>
      <c r="G17" s="55">
        <v>3</v>
      </c>
      <c r="H17" s="55">
        <v>4</v>
      </c>
      <c r="I17" s="55">
        <v>5</v>
      </c>
      <c r="J17" s="55">
        <v>6</v>
      </c>
      <c r="K17" s="55" t="s">
        <v>2370</v>
      </c>
    </row>
    <row r="18" spans="2:20">
      <c r="D18" s="45" t="s">
        <v>2879</v>
      </c>
      <c r="E18" s="45" t="s">
        <v>3219</v>
      </c>
      <c r="F18" s="45" t="s">
        <v>3225</v>
      </c>
      <c r="G18" s="45" t="s">
        <v>3223</v>
      </c>
      <c r="H18" s="45" t="s">
        <v>3229</v>
      </c>
      <c r="I18" s="45" t="s">
        <v>3231</v>
      </c>
      <c r="J18" s="45" t="s">
        <v>3233</v>
      </c>
      <c r="K18" s="45" t="s">
        <v>3234</v>
      </c>
      <c r="S18" s="13" t="str">
        <f>Show!$B$155&amp;"SR.26.07.01.01 Rows {"&amp;COLUMN($C$1)&amp;"}"&amp;"@ForceFilingCode:true"</f>
        <v>!SR.26.07.01.01 Rows {3}@ForceFilingCode:true</v>
      </c>
      <c r="T18" s="13" t="str">
        <f>Show!$B$155&amp;"SR.26.07.01.01 Columns {"&amp;COLUMN($D$1)&amp;"}"</f>
        <v>!SR.26.07.01.01 Columns {4}</v>
      </c>
    </row>
    <row r="19" spans="2:20">
      <c r="B19" s="43" t="s">
        <v>2880</v>
      </c>
      <c r="C19" s="44" t="s">
        <v>2878</v>
      </c>
      <c r="D19" s="56"/>
      <c r="E19" s="66"/>
      <c r="F19" s="66"/>
      <c r="G19" s="66"/>
      <c r="H19" s="66"/>
      <c r="I19" s="66"/>
      <c r="J19" s="66"/>
      <c r="K19" s="57"/>
    </row>
    <row r="20" spans="2:20">
      <c r="B20" s="47" t="s">
        <v>5045</v>
      </c>
      <c r="C20" s="41" t="s">
        <v>2883</v>
      </c>
      <c r="D20" s="60"/>
      <c r="E20" s="60"/>
      <c r="F20" s="60"/>
      <c r="G20" s="60"/>
      <c r="H20" s="60"/>
      <c r="I20" s="60"/>
      <c r="J20" s="60"/>
      <c r="K20" s="60"/>
    </row>
    <row r="21" spans="2:20">
      <c r="B21" s="47" t="s">
        <v>5046</v>
      </c>
      <c r="C21" s="41" t="s">
        <v>2885</v>
      </c>
      <c r="D21" s="69"/>
      <c r="E21" s="69"/>
      <c r="F21" s="69"/>
      <c r="G21" s="69"/>
      <c r="H21" s="69"/>
      <c r="I21" s="69"/>
      <c r="J21" s="69"/>
      <c r="K21" s="69"/>
    </row>
    <row r="23" spans="2:20">
      <c r="S23" s="13" t="str">
        <f>Show!$B$155&amp;Show!$B$155&amp;"SR.26.07.01.01 Rows {"&amp;COLUMN($C$1)&amp;"}"</f>
        <v>!!SR.26.07.01.01 Rows {3}</v>
      </c>
      <c r="T23" s="13" t="str">
        <f>Show!$B$155&amp;Show!$B$155&amp;"SR.26.07.01.01 Columns {"&amp;COLUMN($K$1)&amp;"}"</f>
        <v>!!SR.26.07.01.01 Columns {11}</v>
      </c>
    </row>
    <row r="25" spans="2:20" ht="18.75">
      <c r="B25" s="97" t="s">
        <v>5085</v>
      </c>
      <c r="C25" s="96"/>
      <c r="D25" s="96"/>
      <c r="E25" s="96"/>
      <c r="F25" s="96"/>
      <c r="G25" s="96"/>
      <c r="H25" s="96"/>
      <c r="I25" s="96"/>
      <c r="J25" s="96"/>
      <c r="K25" s="96"/>
      <c r="L25" s="96"/>
    </row>
    <row r="27" spans="2:20">
      <c r="B27" t="s">
        <v>3110</v>
      </c>
      <c r="S27" s="13" t="str">
        <f>Show!$B$155&amp;"SR.26.07.01.02 Table label {"&amp;COLUMN($C$1)&amp;"}"</f>
        <v>!SR.26.07.01.02 Table label {3}</v>
      </c>
      <c r="T27" s="13" t="str">
        <f>Show!$B$155&amp;"SR.26.07.01.02 Table value {"&amp;COLUMN($D$1)&amp;"}"</f>
        <v>!SR.26.07.01.02 Table value {4}</v>
      </c>
    </row>
    <row r="28" spans="2:20">
      <c r="B28" t="s">
        <v>3111</v>
      </c>
    </row>
    <row r="29" spans="2:20">
      <c r="B29" s="40" t="s">
        <v>4622</v>
      </c>
      <c r="C29" s="53" t="s">
        <v>3113</v>
      </c>
      <c r="D29" s="51"/>
    </row>
    <row r="30" spans="2:20">
      <c r="B30" s="40" t="s">
        <v>3788</v>
      </c>
      <c r="C30" s="53" t="s">
        <v>3115</v>
      </c>
      <c r="D30" s="51"/>
    </row>
    <row r="31" spans="2:20">
      <c r="B31" s="40" t="s">
        <v>3114</v>
      </c>
      <c r="C31" s="53" t="s">
        <v>3323</v>
      </c>
      <c r="D31" s="50"/>
    </row>
    <row r="32" spans="2:20">
      <c r="S32" s="13" t="str">
        <f>Show!$B$155&amp;Show!$B$155&amp;"SR.26.07.01.02 Table label {"&amp;COLUMN($C$1)&amp;"}"</f>
        <v>!!SR.26.07.01.02 Table label {3}</v>
      </c>
      <c r="T32" s="13" t="str">
        <f>Show!$B$155&amp;Show!$B$155&amp;"SR.26.07.01.02 Table value {"&amp;COLUMN($D$1)&amp;"}"</f>
        <v>!!SR.26.07.01.02 Table value {4}</v>
      </c>
    </row>
    <row r="34" spans="2:20">
      <c r="D34" s="98" t="s">
        <v>2877</v>
      </c>
    </row>
    <row r="35" spans="2:20">
      <c r="D35" s="99"/>
    </row>
    <row r="36" spans="2:20">
      <c r="D36" s="100"/>
    </row>
    <row r="37" spans="2:20">
      <c r="D37" s="45" t="s">
        <v>3236</v>
      </c>
      <c r="S37" s="13" t="str">
        <f>Show!$B$155&amp;"SR.26.07.01.02 Rows {"&amp;COLUMN($C$1)&amp;"}"&amp;"@ForceFilingCode:true"</f>
        <v>!SR.26.07.01.02 Rows {3}@ForceFilingCode:true</v>
      </c>
      <c r="T37" s="13" t="str">
        <f>Show!$B$155&amp;"SR.26.07.01.02 Columns {"&amp;COLUMN($D$1)&amp;"}"</f>
        <v>!SR.26.07.01.02 Columns {4}</v>
      </c>
    </row>
    <row r="38" spans="2:20">
      <c r="B38" s="43" t="s">
        <v>2880</v>
      </c>
      <c r="C38" s="44" t="s">
        <v>2878</v>
      </c>
      <c r="D38" s="46"/>
    </row>
    <row r="39" spans="2:20">
      <c r="B39" s="47" t="s">
        <v>5048</v>
      </c>
      <c r="C39" s="41" t="s">
        <v>2887</v>
      </c>
      <c r="D39" s="60"/>
    </row>
    <row r="41" spans="2:20">
      <c r="S41" s="13" t="str">
        <f>Show!$B$155&amp;Show!$B$155&amp;"SR.26.07.01.02 Rows {"&amp;COLUMN($C$1)&amp;"}"</f>
        <v>!!SR.26.07.01.02 Rows {3}</v>
      </c>
      <c r="T41" s="13" t="str">
        <f>Show!$B$155&amp;Show!$B$155&amp;"SR.26.07.01.02 Columns {"&amp;COLUMN($D$1)&amp;"}"</f>
        <v>!!SR.26.07.01.02 Columns {4}</v>
      </c>
    </row>
    <row r="43" spans="2:20" ht="18.75">
      <c r="B43" s="97" t="s">
        <v>5086</v>
      </c>
      <c r="C43" s="96"/>
      <c r="D43" s="96"/>
      <c r="E43" s="96"/>
      <c r="F43" s="96"/>
      <c r="G43" s="96"/>
      <c r="H43" s="96"/>
      <c r="I43" s="96"/>
      <c r="J43" s="96"/>
      <c r="K43" s="96"/>
      <c r="L43" s="96"/>
    </row>
    <row r="45" spans="2:20">
      <c r="B45" t="s">
        <v>3110</v>
      </c>
      <c r="S45" s="13" t="str">
        <f>Show!$B$155&amp;"SR.26.07.01.03 Table label {"&amp;COLUMN($C$1)&amp;"}"</f>
        <v>!SR.26.07.01.03 Table label {3}</v>
      </c>
      <c r="T45" s="13" t="str">
        <f>Show!$B$155&amp;"SR.26.07.01.03 Table value {"&amp;COLUMN($D$1)&amp;"}"</f>
        <v>!SR.26.07.01.03 Table value {4}</v>
      </c>
    </row>
    <row r="46" spans="2:20">
      <c r="B46" t="s">
        <v>3111</v>
      </c>
    </row>
    <row r="47" spans="2:20">
      <c r="B47" s="40" t="s">
        <v>4622</v>
      </c>
      <c r="C47" s="53" t="s">
        <v>3113</v>
      </c>
      <c r="D47" s="51"/>
    </row>
    <row r="48" spans="2:20">
      <c r="B48" s="40" t="s">
        <v>5050</v>
      </c>
      <c r="C48" s="53" t="s">
        <v>3875</v>
      </c>
      <c r="D48" s="51"/>
    </row>
    <row r="49" spans="2:20">
      <c r="B49" s="40" t="s">
        <v>3788</v>
      </c>
      <c r="C49" s="53" t="s">
        <v>3115</v>
      </c>
      <c r="D49" s="51"/>
    </row>
    <row r="50" spans="2:20">
      <c r="B50" s="40" t="s">
        <v>3114</v>
      </c>
      <c r="C50" s="53" t="s">
        <v>3323</v>
      </c>
      <c r="D50" s="50"/>
    </row>
    <row r="51" spans="2:20">
      <c r="S51" s="13" t="str">
        <f>Show!$B$155&amp;Show!$B$155&amp;"SR.26.07.01.03 Table label {"&amp;COLUMN($C$1)&amp;"}"</f>
        <v>!!SR.26.07.01.03 Table label {3}</v>
      </c>
      <c r="T51" s="13" t="str">
        <f>Show!$B$155&amp;Show!$B$155&amp;"SR.26.07.01.03 Table value {"&amp;COLUMN($D$1)&amp;"}"</f>
        <v>!!SR.26.07.01.03 Table value {4}</v>
      </c>
    </row>
    <row r="53" spans="2:20">
      <c r="D53" s="101" t="s">
        <v>2877</v>
      </c>
      <c r="E53" s="103"/>
    </row>
    <row r="54" spans="2:20">
      <c r="D54" s="104"/>
      <c r="E54" s="106"/>
    </row>
    <row r="55" spans="2:20">
      <c r="D55" s="107" t="s">
        <v>5022</v>
      </c>
      <c r="E55" s="109"/>
    </row>
    <row r="56" spans="2:20" ht="30">
      <c r="D56" s="55" t="s">
        <v>5051</v>
      </c>
      <c r="E56" s="55" t="s">
        <v>5052</v>
      </c>
    </row>
    <row r="57" spans="2:20">
      <c r="D57" s="45" t="s">
        <v>3239</v>
      </c>
      <c r="E57" s="45" t="s">
        <v>3241</v>
      </c>
      <c r="S57" s="13" t="str">
        <f>Show!$B$155&amp;"SR.26.07.01.03 Rows {"&amp;COLUMN($C$1)&amp;"}"&amp;"@ForceFilingCode:true"</f>
        <v>!SR.26.07.01.03 Rows {3}@ForceFilingCode:true</v>
      </c>
      <c r="T57" s="13" t="str">
        <f>Show!$B$155&amp;"SR.26.07.01.03 Columns {"&amp;COLUMN($D$1)&amp;"}"</f>
        <v>!SR.26.07.01.03 Columns {4}</v>
      </c>
    </row>
    <row r="58" spans="2:20">
      <c r="B58" s="43" t="s">
        <v>2880</v>
      </c>
      <c r="C58" s="44" t="s">
        <v>2878</v>
      </c>
      <c r="D58" s="56"/>
      <c r="E58" s="57"/>
    </row>
    <row r="59" spans="2:20">
      <c r="B59" s="47" t="s">
        <v>3606</v>
      </c>
      <c r="C59" s="41" t="s">
        <v>2889</v>
      </c>
      <c r="D59" s="60"/>
      <c r="E59" s="60"/>
    </row>
    <row r="61" spans="2:20">
      <c r="S61" s="13" t="str">
        <f>Show!$B$155&amp;Show!$B$155&amp;"SR.26.07.01.03 Rows {"&amp;COLUMN($C$1)&amp;"}"</f>
        <v>!!SR.26.07.01.03 Rows {3}</v>
      </c>
      <c r="T61" s="13" t="str">
        <f>Show!$B$155&amp;Show!$B$155&amp;"SR.26.07.01.03 Columns {"&amp;COLUMN($E$1)&amp;"}"</f>
        <v>!!SR.26.07.01.03 Columns {5}</v>
      </c>
    </row>
    <row r="63" spans="2:20" ht="18.75">
      <c r="B63" s="97" t="s">
        <v>5087</v>
      </c>
      <c r="C63" s="96"/>
      <c r="D63" s="96"/>
      <c r="E63" s="96"/>
      <c r="F63" s="96"/>
      <c r="G63" s="96"/>
      <c r="H63" s="96"/>
      <c r="I63" s="96"/>
      <c r="J63" s="96"/>
      <c r="K63" s="96"/>
      <c r="L63" s="96"/>
    </row>
    <row r="65" spans="2:20">
      <c r="B65" t="s">
        <v>3110</v>
      </c>
      <c r="S65" s="13" t="str">
        <f>Show!$B$155&amp;"SR.26.07.01.04 Table label {"&amp;COLUMN($C$1)&amp;"}"</f>
        <v>!SR.26.07.01.04 Table label {3}</v>
      </c>
      <c r="T65" s="13" t="str">
        <f>Show!$B$155&amp;"SR.26.07.01.04 Table value {"&amp;COLUMN($D$1)&amp;"}"</f>
        <v>!SR.26.07.01.04 Table value {4}</v>
      </c>
    </row>
    <row r="66" spans="2:20">
      <c r="B66" t="s">
        <v>3111</v>
      </c>
    </row>
    <row r="67" spans="2:20">
      <c r="B67" s="40" t="s">
        <v>4622</v>
      </c>
      <c r="C67" s="53" t="s">
        <v>3113</v>
      </c>
      <c r="D67" s="51"/>
    </row>
    <row r="68" spans="2:20">
      <c r="B68" s="40" t="s">
        <v>3788</v>
      </c>
      <c r="C68" s="53" t="s">
        <v>3115</v>
      </c>
      <c r="D68" s="51"/>
    </row>
    <row r="69" spans="2:20">
      <c r="B69" s="40" t="s">
        <v>3114</v>
      </c>
      <c r="C69" s="53" t="s">
        <v>3323</v>
      </c>
      <c r="D69" s="50"/>
    </row>
    <row r="70" spans="2:20">
      <c r="S70" s="13" t="str">
        <f>Show!$B$155&amp;Show!$B$155&amp;"SR.26.07.01.04 Table label {"&amp;COLUMN($C$1)&amp;"}"</f>
        <v>!!SR.26.07.01.04 Table label {3}</v>
      </c>
      <c r="T70" s="13" t="str">
        <f>Show!$B$155&amp;Show!$B$155&amp;"SR.26.07.01.04 Table value {"&amp;COLUMN($D$1)&amp;"}"</f>
        <v>!!SR.26.07.01.04 Table value {4}</v>
      </c>
    </row>
    <row r="72" spans="2:20">
      <c r="D72" s="101" t="s">
        <v>2877</v>
      </c>
      <c r="E72" s="102"/>
      <c r="F72" s="102"/>
      <c r="G72" s="102"/>
      <c r="H72" s="102"/>
      <c r="I72" s="102"/>
      <c r="J72" s="102"/>
      <c r="K72" s="102"/>
      <c r="L72" s="102"/>
      <c r="M72" s="102"/>
      <c r="N72" s="103"/>
    </row>
    <row r="73" spans="2:20">
      <c r="D73" s="104"/>
      <c r="E73" s="105"/>
      <c r="F73" s="105"/>
      <c r="G73" s="105"/>
      <c r="H73" s="105"/>
      <c r="I73" s="105"/>
      <c r="J73" s="105"/>
      <c r="K73" s="105"/>
      <c r="L73" s="105"/>
      <c r="M73" s="105"/>
      <c r="N73" s="106"/>
    </row>
    <row r="74" spans="2:20">
      <c r="D74" s="98" t="s">
        <v>5054</v>
      </c>
      <c r="E74" s="98" t="s">
        <v>5055</v>
      </c>
      <c r="F74" s="98" t="s">
        <v>5056</v>
      </c>
      <c r="G74" s="98" t="s">
        <v>3292</v>
      </c>
      <c r="H74" s="98" t="s">
        <v>5057</v>
      </c>
      <c r="I74" s="98" t="s">
        <v>5058</v>
      </c>
      <c r="J74" s="98" t="s">
        <v>5046</v>
      </c>
      <c r="K74" s="98" t="s">
        <v>5059</v>
      </c>
      <c r="L74" s="98" t="s">
        <v>5060</v>
      </c>
      <c r="M74" s="98" t="s">
        <v>5061</v>
      </c>
      <c r="N74" s="98" t="s">
        <v>5062</v>
      </c>
    </row>
    <row r="75" spans="2:20">
      <c r="D75" s="100"/>
      <c r="E75" s="100"/>
      <c r="F75" s="100"/>
      <c r="G75" s="100"/>
      <c r="H75" s="100"/>
      <c r="I75" s="100"/>
      <c r="J75" s="100"/>
      <c r="K75" s="100"/>
      <c r="L75" s="100"/>
      <c r="M75" s="100"/>
      <c r="N75" s="100"/>
    </row>
    <row r="76" spans="2:20">
      <c r="D76" s="45" t="s">
        <v>3243</v>
      </c>
      <c r="E76" s="45" t="s">
        <v>3375</v>
      </c>
      <c r="F76" s="45" t="s">
        <v>3475</v>
      </c>
      <c r="G76" s="45" t="s">
        <v>3477</v>
      </c>
      <c r="H76" s="45" t="s">
        <v>3479</v>
      </c>
      <c r="I76" s="45" t="s">
        <v>3594</v>
      </c>
      <c r="J76" s="45" t="s">
        <v>3596</v>
      </c>
      <c r="K76" s="45" t="s">
        <v>3599</v>
      </c>
      <c r="L76" s="45" t="s">
        <v>3481</v>
      </c>
      <c r="M76" s="45" t="s">
        <v>3508</v>
      </c>
      <c r="N76" s="45" t="s">
        <v>3509</v>
      </c>
      <c r="S76" s="13" t="str">
        <f>Show!$B$155&amp;"SR.26.07.01.04 Rows {"&amp;COLUMN($C$1)&amp;"}"&amp;"@ForceFilingCode:true"</f>
        <v>!SR.26.07.01.04 Rows {3}@ForceFilingCode:true</v>
      </c>
      <c r="T76" s="13" t="str">
        <f>Show!$B$155&amp;"SR.26.07.01.04 Columns {"&amp;COLUMN($D$1)&amp;"}"</f>
        <v>!SR.26.07.01.04 Columns {4}</v>
      </c>
    </row>
    <row r="77" spans="2:20">
      <c r="B77" s="43" t="s">
        <v>2880</v>
      </c>
      <c r="C77" s="44" t="s">
        <v>2878</v>
      </c>
      <c r="D77" s="56"/>
      <c r="E77" s="67"/>
      <c r="F77" s="67"/>
      <c r="G77" s="67"/>
      <c r="H77" s="66"/>
      <c r="I77" s="67"/>
      <c r="J77" s="66"/>
      <c r="K77" s="67"/>
      <c r="L77" s="67"/>
      <c r="M77" s="67"/>
      <c r="N77" s="59"/>
    </row>
    <row r="78" spans="2:20">
      <c r="B78" s="47" t="s">
        <v>4879</v>
      </c>
      <c r="C78" s="41" t="s">
        <v>2899</v>
      </c>
      <c r="D78" s="65"/>
      <c r="E78" s="58"/>
      <c r="F78" s="58"/>
      <c r="G78" s="46"/>
      <c r="H78" s="71"/>
      <c r="I78" s="48"/>
      <c r="J78" s="79"/>
      <c r="K78" s="58"/>
      <c r="L78" s="58"/>
      <c r="M78" s="58"/>
      <c r="N78" s="48"/>
    </row>
    <row r="79" spans="2:20">
      <c r="B79" s="47" t="s">
        <v>4880</v>
      </c>
      <c r="C79" s="44" t="s">
        <v>2901</v>
      </c>
      <c r="D79" s="56"/>
      <c r="E79" s="56"/>
      <c r="F79" s="48"/>
      <c r="G79" s="60"/>
      <c r="H79" s="71"/>
      <c r="I79" s="46"/>
      <c r="J79" s="79"/>
      <c r="K79" s="58"/>
      <c r="L79" s="56"/>
      <c r="M79" s="58"/>
      <c r="N79" s="48"/>
    </row>
    <row r="80" spans="2:20">
      <c r="B80" s="47" t="s">
        <v>4881</v>
      </c>
      <c r="C80" s="41" t="s">
        <v>2903</v>
      </c>
      <c r="D80" s="63"/>
      <c r="E80" s="65"/>
      <c r="F80" s="48"/>
      <c r="G80" s="63"/>
      <c r="H80" s="76"/>
      <c r="I80" s="76"/>
      <c r="J80" s="80"/>
      <c r="K80" s="48"/>
      <c r="L80" s="78"/>
      <c r="M80" s="58"/>
      <c r="N80" s="48"/>
    </row>
    <row r="81" spans="2:20">
      <c r="B81" s="47" t="s">
        <v>4882</v>
      </c>
      <c r="C81" s="44" t="s">
        <v>2878</v>
      </c>
      <c r="D81" s="58"/>
      <c r="E81" s="67"/>
      <c r="F81" s="66"/>
      <c r="G81" s="67"/>
      <c r="H81" s="66"/>
      <c r="I81" s="67"/>
      <c r="J81" s="67"/>
      <c r="K81" s="66"/>
      <c r="L81" s="67"/>
      <c r="M81" s="67"/>
      <c r="N81" s="59"/>
    </row>
    <row r="82" spans="2:20">
      <c r="B82" s="49" t="s">
        <v>5063</v>
      </c>
      <c r="C82" s="44" t="s">
        <v>2905</v>
      </c>
      <c r="D82" s="58"/>
      <c r="E82" s="48"/>
      <c r="F82" s="64"/>
      <c r="G82" s="48"/>
      <c r="H82" s="71"/>
      <c r="I82" s="58"/>
      <c r="J82" s="48"/>
      <c r="K82" s="79"/>
      <c r="L82" s="58"/>
      <c r="M82" s="58"/>
      <c r="N82" s="48"/>
    </row>
    <row r="83" spans="2:20">
      <c r="B83" s="49" t="s">
        <v>5064</v>
      </c>
      <c r="C83" s="44" t="s">
        <v>2907</v>
      </c>
      <c r="D83" s="58"/>
      <c r="E83" s="48"/>
      <c r="F83" s="65"/>
      <c r="G83" s="48"/>
      <c r="H83" s="78"/>
      <c r="I83" s="58"/>
      <c r="J83" s="46"/>
      <c r="K83" s="80"/>
      <c r="L83" s="58"/>
      <c r="M83" s="56"/>
      <c r="N83" s="46"/>
    </row>
    <row r="84" spans="2:20">
      <c r="B84" s="47" t="s">
        <v>4886</v>
      </c>
      <c r="C84" s="44" t="s">
        <v>2909</v>
      </c>
      <c r="D84" s="56"/>
      <c r="E84" s="58"/>
      <c r="F84" s="58"/>
      <c r="G84" s="58"/>
      <c r="H84" s="58"/>
      <c r="I84" s="48"/>
      <c r="J84" s="80"/>
      <c r="K84" s="58"/>
      <c r="L84" s="48"/>
      <c r="M84" s="63"/>
      <c r="N84" s="76"/>
    </row>
    <row r="85" spans="2:20">
      <c r="B85" s="47" t="s">
        <v>4888</v>
      </c>
      <c r="C85" s="41" t="s">
        <v>2911</v>
      </c>
      <c r="D85" s="65"/>
      <c r="E85" s="58"/>
      <c r="F85" s="58"/>
      <c r="G85" s="58"/>
      <c r="H85" s="58"/>
      <c r="I85" s="58"/>
      <c r="J85" s="58"/>
      <c r="K85" s="58"/>
      <c r="L85" s="58"/>
      <c r="M85" s="58"/>
      <c r="N85" s="48"/>
    </row>
    <row r="86" spans="2:20">
      <c r="B86" s="47" t="s">
        <v>4629</v>
      </c>
      <c r="C86" s="44" t="s">
        <v>2878</v>
      </c>
      <c r="D86" s="56"/>
      <c r="E86" s="67"/>
      <c r="F86" s="67"/>
      <c r="G86" s="67"/>
      <c r="H86" s="66"/>
      <c r="I86" s="67"/>
      <c r="J86" s="66"/>
      <c r="K86" s="67"/>
      <c r="L86" s="67"/>
      <c r="M86" s="67"/>
      <c r="N86" s="59"/>
    </row>
    <row r="87" spans="2:20">
      <c r="B87" s="49" t="s">
        <v>4910</v>
      </c>
      <c r="C87" s="41" t="s">
        <v>2919</v>
      </c>
      <c r="D87" s="65"/>
      <c r="E87" s="58"/>
      <c r="F87" s="58"/>
      <c r="G87" s="46"/>
      <c r="H87" s="71"/>
      <c r="I87" s="48"/>
      <c r="J87" s="79"/>
      <c r="K87" s="58"/>
      <c r="L87" s="58"/>
      <c r="M87" s="58"/>
      <c r="N87" s="48"/>
    </row>
    <row r="88" spans="2:20">
      <c r="B88" s="49" t="s">
        <v>4911</v>
      </c>
      <c r="C88" s="44" t="s">
        <v>2921</v>
      </c>
      <c r="D88" s="58"/>
      <c r="E88" s="58"/>
      <c r="F88" s="48"/>
      <c r="G88" s="63"/>
      <c r="H88" s="78"/>
      <c r="I88" s="48"/>
      <c r="J88" s="79"/>
      <c r="K88" s="58"/>
      <c r="L88" s="58"/>
      <c r="M88" s="56"/>
      <c r="N88" s="46"/>
    </row>
    <row r="89" spans="2:20">
      <c r="B89" s="49" t="s">
        <v>5065</v>
      </c>
      <c r="C89" s="44" t="s">
        <v>2923</v>
      </c>
      <c r="D89" s="56"/>
      <c r="E89" s="56"/>
      <c r="F89" s="58"/>
      <c r="G89" s="56"/>
      <c r="H89" s="56"/>
      <c r="I89" s="46"/>
      <c r="J89" s="79"/>
      <c r="K89" s="58"/>
      <c r="L89" s="46"/>
      <c r="M89" s="63"/>
      <c r="N89" s="76"/>
    </row>
    <row r="90" spans="2:20">
      <c r="B90" s="49" t="s">
        <v>5066</v>
      </c>
      <c r="C90" s="41" t="s">
        <v>2925</v>
      </c>
      <c r="D90" s="63"/>
      <c r="E90" s="65"/>
      <c r="F90" s="48"/>
      <c r="G90" s="63"/>
      <c r="H90" s="76"/>
      <c r="I90" s="76"/>
      <c r="J90" s="80"/>
      <c r="K90" s="48"/>
      <c r="L90" s="78"/>
      <c r="M90" s="58"/>
      <c r="N90" s="48"/>
    </row>
    <row r="91" spans="2:20">
      <c r="B91" s="47" t="s">
        <v>5067</v>
      </c>
      <c r="C91" s="44" t="s">
        <v>2878</v>
      </c>
      <c r="D91" s="58"/>
      <c r="E91" s="67"/>
      <c r="F91" s="66"/>
      <c r="G91" s="67"/>
      <c r="H91" s="66"/>
      <c r="I91" s="67"/>
      <c r="J91" s="67"/>
      <c r="K91" s="66"/>
      <c r="L91" s="67"/>
      <c r="M91" s="67"/>
      <c r="N91" s="59"/>
    </row>
    <row r="92" spans="2:20">
      <c r="B92" s="49" t="s">
        <v>5063</v>
      </c>
      <c r="C92" s="44" t="s">
        <v>2927</v>
      </c>
      <c r="D92" s="58"/>
      <c r="E92" s="48"/>
      <c r="F92" s="64"/>
      <c r="G92" s="48"/>
      <c r="H92" s="71"/>
      <c r="I92" s="58"/>
      <c r="J92" s="48"/>
      <c r="K92" s="79"/>
      <c r="L92" s="58"/>
      <c r="M92" s="58"/>
      <c r="N92" s="48"/>
    </row>
    <row r="93" spans="2:20">
      <c r="B93" s="49" t="s">
        <v>5064</v>
      </c>
      <c r="C93" s="44" t="s">
        <v>2929</v>
      </c>
      <c r="D93" s="58"/>
      <c r="E93" s="48"/>
      <c r="F93" s="65"/>
      <c r="G93" s="48"/>
      <c r="H93" s="78"/>
      <c r="I93" s="58"/>
      <c r="J93" s="46"/>
      <c r="K93" s="80"/>
      <c r="L93" s="58"/>
      <c r="M93" s="56"/>
      <c r="N93" s="46"/>
    </row>
    <row r="94" spans="2:20">
      <c r="B94" s="47" t="s">
        <v>4918</v>
      </c>
      <c r="C94" s="44" t="s">
        <v>2931</v>
      </c>
      <c r="D94" s="56"/>
      <c r="E94" s="56"/>
      <c r="F94" s="56"/>
      <c r="G94" s="56"/>
      <c r="H94" s="56"/>
      <c r="I94" s="46"/>
      <c r="J94" s="79"/>
      <c r="K94" s="56"/>
      <c r="L94" s="46"/>
      <c r="M94" s="60"/>
      <c r="N94" s="70"/>
    </row>
    <row r="96" spans="2:20">
      <c r="S96" s="13" t="str">
        <f>Show!$B$155&amp;Show!$B$155&amp;"SR.26.07.01.04 Rows {"&amp;COLUMN($C$1)&amp;"}"</f>
        <v>!!SR.26.07.01.04 Rows {3}</v>
      </c>
      <c r="T96" s="13" t="str">
        <f>Show!$B$155&amp;Show!$B$155&amp;"SR.26.07.01.04 Columns {"&amp;COLUMN($N$1)&amp;"}"</f>
        <v>!!SR.26.07.01.04 Columns {14}</v>
      </c>
    </row>
    <row r="98" spans="2:20" ht="18.75">
      <c r="B98" s="97" t="s">
        <v>5088</v>
      </c>
      <c r="C98" s="96"/>
      <c r="D98" s="96"/>
      <c r="E98" s="96"/>
      <c r="F98" s="96"/>
      <c r="G98" s="96"/>
      <c r="H98" s="96"/>
      <c r="I98" s="96"/>
      <c r="J98" s="96"/>
      <c r="K98" s="96"/>
      <c r="L98" s="96"/>
    </row>
    <row r="100" spans="2:20">
      <c r="B100" t="s">
        <v>3110</v>
      </c>
      <c r="S100" s="13" t="str">
        <f>Show!$B$155&amp;"SR.26.07.01.05 Table label {"&amp;COLUMN($C$1)&amp;"}"</f>
        <v>!SR.26.07.01.05 Table label {3}</v>
      </c>
      <c r="T100" s="13" t="str">
        <f>Show!$B$155&amp;"SR.26.07.01.05 Table value {"&amp;COLUMN($D$1)&amp;"}"</f>
        <v>!SR.26.07.01.05 Table value {4}</v>
      </c>
    </row>
    <row r="101" spans="2:20">
      <c r="B101" t="s">
        <v>3111</v>
      </c>
    </row>
    <row r="102" spans="2:20">
      <c r="B102" s="40" t="s">
        <v>4622</v>
      </c>
      <c r="C102" s="53" t="s">
        <v>3113</v>
      </c>
      <c r="D102" s="51"/>
    </row>
    <row r="103" spans="2:20">
      <c r="B103" s="40" t="s">
        <v>3788</v>
      </c>
      <c r="C103" s="53" t="s">
        <v>3115</v>
      </c>
      <c r="D103" s="51"/>
    </row>
    <row r="104" spans="2:20">
      <c r="B104" s="40" t="s">
        <v>3114</v>
      </c>
      <c r="C104" s="53" t="s">
        <v>3323</v>
      </c>
      <c r="D104" s="50"/>
    </row>
    <row r="105" spans="2:20">
      <c r="S105" s="13" t="str">
        <f>Show!$B$155&amp;Show!$B$155&amp;"SR.26.07.01.05 Table label {"&amp;COLUMN($C$1)&amp;"}"</f>
        <v>!!SR.26.07.01.05 Table label {3}</v>
      </c>
      <c r="T105" s="13" t="str">
        <f>Show!$B$155&amp;Show!$B$155&amp;"SR.26.07.01.05 Table value {"&amp;COLUMN($D$1)&amp;"}"</f>
        <v>!!SR.26.07.01.05 Table value {4}</v>
      </c>
    </row>
    <row r="107" spans="2:20">
      <c r="D107" s="98" t="s">
        <v>2877</v>
      </c>
    </row>
    <row r="108" spans="2:20">
      <c r="D108" s="99"/>
    </row>
    <row r="109" spans="2:20">
      <c r="D109" s="100"/>
    </row>
    <row r="110" spans="2:20">
      <c r="D110" s="45" t="s">
        <v>3519</v>
      </c>
      <c r="S110" s="13" t="str">
        <f>Show!$B$155&amp;"SR.26.07.01.05 Rows {"&amp;COLUMN($C$1)&amp;"}"&amp;"@ForceFilingCode:true"</f>
        <v>!SR.26.07.01.05 Rows {3}@ForceFilingCode:true</v>
      </c>
      <c r="T110" s="13" t="str">
        <f>Show!$B$155&amp;"SR.26.07.01.05 Columns {"&amp;COLUMN($D$1)&amp;"}"</f>
        <v>!SR.26.07.01.05 Columns {4}</v>
      </c>
    </row>
    <row r="111" spans="2:20">
      <c r="B111" s="43" t="s">
        <v>2880</v>
      </c>
      <c r="C111" s="44" t="s">
        <v>2878</v>
      </c>
      <c r="D111" s="46"/>
    </row>
    <row r="112" spans="2:20">
      <c r="B112" s="47" t="s">
        <v>5069</v>
      </c>
      <c r="C112" s="41" t="s">
        <v>2939</v>
      </c>
      <c r="D112" s="60"/>
    </row>
    <row r="114" spans="2:20">
      <c r="S114" s="13" t="str">
        <f>Show!$B$155&amp;Show!$B$155&amp;"SR.26.07.01.05 Rows {"&amp;COLUMN($C$1)&amp;"}"</f>
        <v>!!SR.26.07.01.05 Rows {3}</v>
      </c>
      <c r="T114" s="13" t="str">
        <f>Show!$B$155&amp;Show!$B$155&amp;"SR.26.07.01.05 Columns {"&amp;COLUMN($D$1)&amp;"}"</f>
        <v>!!SR.26.07.01.05 Columns {4}</v>
      </c>
    </row>
    <row r="116" spans="2:20" ht="18.75">
      <c r="B116" s="97" t="s">
        <v>5089</v>
      </c>
      <c r="C116" s="96"/>
      <c r="D116" s="96"/>
      <c r="E116" s="96"/>
      <c r="F116" s="96"/>
      <c r="G116" s="96"/>
      <c r="H116" s="96"/>
      <c r="I116" s="96"/>
      <c r="J116" s="96"/>
      <c r="K116" s="96"/>
      <c r="L116" s="96"/>
    </row>
    <row r="118" spans="2:20">
      <c r="B118" t="s">
        <v>3110</v>
      </c>
      <c r="S118" s="13" t="str">
        <f>Show!$B$155&amp;"SR.26.07.01.06 Table label {"&amp;COLUMN($C$1)&amp;"}"</f>
        <v>!SR.26.07.01.06 Table label {3}</v>
      </c>
      <c r="T118" s="13" t="str">
        <f>Show!$B$155&amp;"SR.26.07.01.06 Table value {"&amp;COLUMN($D$1)&amp;"}"</f>
        <v>!SR.26.07.01.06 Table value {4}</v>
      </c>
    </row>
    <row r="119" spans="2:20">
      <c r="B119" t="s">
        <v>3111</v>
      </c>
    </row>
    <row r="120" spans="2:20">
      <c r="B120" s="40" t="s">
        <v>4622</v>
      </c>
      <c r="C120" s="53" t="s">
        <v>3113</v>
      </c>
      <c r="D120" s="51"/>
    </row>
    <row r="121" spans="2:20">
      <c r="B121" s="40" t="s">
        <v>3788</v>
      </c>
      <c r="C121" s="53" t="s">
        <v>3115</v>
      </c>
      <c r="D121" s="51"/>
    </row>
    <row r="122" spans="2:20">
      <c r="B122" s="40" t="s">
        <v>3114</v>
      </c>
      <c r="C122" s="53" t="s">
        <v>3323</v>
      </c>
      <c r="D122" s="50"/>
    </row>
    <row r="123" spans="2:20">
      <c r="S123" s="13" t="str">
        <f>Show!$B$155&amp;Show!$B$155&amp;"SR.26.07.01.06 Table label {"&amp;COLUMN($C$1)&amp;"}"</f>
        <v>!!SR.26.07.01.06 Table label {3}</v>
      </c>
      <c r="T123" s="13" t="str">
        <f>Show!$B$155&amp;Show!$B$155&amp;"SR.26.07.01.06 Table value {"&amp;COLUMN($D$1)&amp;"}"</f>
        <v>!!SR.26.07.01.06 Table value {4}</v>
      </c>
    </row>
    <row r="125" spans="2:20">
      <c r="D125" s="101" t="s">
        <v>2877</v>
      </c>
      <c r="E125" s="103"/>
    </row>
    <row r="126" spans="2:20">
      <c r="D126" s="104"/>
      <c r="E126" s="106"/>
    </row>
    <row r="127" spans="2:20" ht="30">
      <c r="D127" s="55" t="s">
        <v>5071</v>
      </c>
      <c r="E127" s="55" t="s">
        <v>5072</v>
      </c>
    </row>
    <row r="128" spans="2:20">
      <c r="D128" s="45" t="s">
        <v>3614</v>
      </c>
      <c r="E128" s="45" t="s">
        <v>3616</v>
      </c>
      <c r="S128" s="13" t="str">
        <f>Show!$B$155&amp;"SR.26.07.01.06 Rows {"&amp;COLUMN($C$1)&amp;"}"&amp;"@ForceFilingCode:true"</f>
        <v>!SR.26.07.01.06 Rows {3}@ForceFilingCode:true</v>
      </c>
      <c r="T128" s="13" t="str">
        <f>Show!$B$155&amp;"SR.26.07.01.06 Columns {"&amp;COLUMN($D$1)&amp;"}"</f>
        <v>!SR.26.07.01.06 Columns {4}</v>
      </c>
    </row>
    <row r="129" spans="2:20">
      <c r="B129" s="43" t="s">
        <v>2880</v>
      </c>
      <c r="C129" s="44" t="s">
        <v>2878</v>
      </c>
      <c r="D129" s="56"/>
      <c r="E129" s="57"/>
    </row>
    <row r="130" spans="2:20">
      <c r="B130" s="47" t="s">
        <v>5073</v>
      </c>
      <c r="C130" s="41" t="s">
        <v>2959</v>
      </c>
      <c r="D130" s="70"/>
      <c r="E130" s="60"/>
    </row>
    <row r="131" spans="2:20">
      <c r="B131" s="47" t="s">
        <v>5074</v>
      </c>
      <c r="C131" s="41" t="s">
        <v>2961</v>
      </c>
      <c r="D131" s="70"/>
      <c r="E131" s="60"/>
    </row>
    <row r="132" spans="2:20">
      <c r="B132" s="47" t="s">
        <v>5075</v>
      </c>
      <c r="C132" s="41" t="s">
        <v>2963</v>
      </c>
      <c r="D132" s="70"/>
      <c r="E132" s="60"/>
    </row>
    <row r="133" spans="2:20">
      <c r="B133" s="47" t="s">
        <v>5076</v>
      </c>
      <c r="C133" s="41" t="s">
        <v>2965</v>
      </c>
      <c r="D133" s="70"/>
      <c r="E133" s="60"/>
    </row>
    <row r="134" spans="2:20">
      <c r="B134" s="47" t="s">
        <v>5077</v>
      </c>
      <c r="C134" s="41" t="s">
        <v>2967</v>
      </c>
      <c r="D134" s="70"/>
      <c r="E134" s="60"/>
    </row>
    <row r="136" spans="2:20">
      <c r="S136" s="13" t="str">
        <f>Show!$B$155&amp;Show!$B$155&amp;"SR.26.07.01.06 Rows {"&amp;COLUMN($C$1)&amp;"}"</f>
        <v>!!SR.26.07.01.06 Rows {3}</v>
      </c>
      <c r="T136" s="13" t="str">
        <f>Show!$B$155&amp;Show!$B$155&amp;"SR.26.07.01.06 Columns {"&amp;COLUMN($E$1)&amp;"}"</f>
        <v>!!SR.26.07.01.06 Columns {5}</v>
      </c>
    </row>
  </sheetData>
  <sheetProtection sheet="1" objects="1" scenarios="1"/>
  <mergeCells count="26">
    <mergeCell ref="B98:L98"/>
    <mergeCell ref="D107:D109"/>
    <mergeCell ref="B116:L116"/>
    <mergeCell ref="D125:E126"/>
    <mergeCell ref="I74:I75"/>
    <mergeCell ref="J74:J75"/>
    <mergeCell ref="K74:K75"/>
    <mergeCell ref="L74:L75"/>
    <mergeCell ref="M74:M75"/>
    <mergeCell ref="N74:N75"/>
    <mergeCell ref="B43:L43"/>
    <mergeCell ref="D53:E54"/>
    <mergeCell ref="D55:E55"/>
    <mergeCell ref="B63:L63"/>
    <mergeCell ref="D72:N73"/>
    <mergeCell ref="D74:D75"/>
    <mergeCell ref="E74:E75"/>
    <mergeCell ref="F74:F75"/>
    <mergeCell ref="G74:G75"/>
    <mergeCell ref="H74:H75"/>
    <mergeCell ref="D34:D36"/>
    <mergeCell ref="B2:O2"/>
    <mergeCell ref="B5:L5"/>
    <mergeCell ref="D14:K15"/>
    <mergeCell ref="D16:K16"/>
    <mergeCell ref="B25:L25"/>
  </mergeCells>
  <dataValidations count="3">
    <dataValidation type="list" errorStyle="warning" allowBlank="1" showInputMessage="1" showErrorMessage="1" sqref="D9 D29 D47 D67 D102 D120" xr:uid="{1B598CDA-7E70-43C9-BDDA-ABE3CAD26732}">
      <formula1>hier_AO_1</formula1>
    </dataValidation>
    <dataValidation type="list" errorStyle="warning" allowBlank="1" showInputMessage="1" showErrorMessage="1" sqref="D10 D30 D49 D68 D103 D121" xr:uid="{ABC75460-8C34-486C-B8DB-BFCB7349EE96}">
      <formula1>hier_PU_20</formula1>
    </dataValidation>
    <dataValidation type="list" errorStyle="warning" allowBlank="1" showInputMessage="1" showErrorMessage="1" sqref="D48" xr:uid="{C3818EFD-C7E1-4E5A-A475-310726F8613E}">
      <formula1>hier_CU_5</formula1>
    </dataValidation>
  </dataValidation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EAE1-C95F-4662-80D7-C2D580BEA5DF}">
  <sheetPr codeName="Blad160"/>
  <dimension ref="B2:AA705"/>
  <sheetViews>
    <sheetView showGridLines="0" workbookViewId="0"/>
  </sheetViews>
  <sheetFormatPr defaultRowHeight="15"/>
  <cols>
    <col min="2" max="2" width="82.28515625" bestFit="1" customWidth="1"/>
    <col min="4" max="17" width="15.7109375" customWidth="1"/>
  </cols>
  <sheetData>
    <row r="2" spans="2:27" ht="23.25">
      <c r="B2" s="95" t="s">
        <v>742</v>
      </c>
      <c r="C2" s="96"/>
      <c r="D2" s="96"/>
      <c r="E2" s="96"/>
      <c r="F2" s="96"/>
      <c r="G2" s="96"/>
      <c r="H2" s="96"/>
      <c r="I2" s="96"/>
      <c r="J2" s="96"/>
      <c r="K2" s="96"/>
      <c r="L2" s="96"/>
      <c r="M2" s="96"/>
      <c r="N2" s="96"/>
      <c r="O2" s="96"/>
    </row>
    <row r="5" spans="2:27" ht="18.75">
      <c r="B5" s="97" t="s">
        <v>5090</v>
      </c>
      <c r="C5" s="96"/>
      <c r="D5" s="96"/>
      <c r="E5" s="96"/>
      <c r="F5" s="96"/>
      <c r="G5" s="96"/>
      <c r="H5" s="96"/>
      <c r="I5" s="96"/>
      <c r="J5" s="96"/>
      <c r="K5" s="96"/>
      <c r="L5" s="96"/>
    </row>
    <row r="9" spans="2:27">
      <c r="D9" s="101" t="s">
        <v>2877</v>
      </c>
      <c r="E9" s="102"/>
      <c r="F9" s="103"/>
    </row>
    <row r="10" spans="2:27">
      <c r="D10" s="104"/>
      <c r="E10" s="105"/>
      <c r="F10" s="106"/>
    </row>
    <row r="11" spans="2:27">
      <c r="D11" s="98" t="s">
        <v>5091</v>
      </c>
      <c r="E11" s="98" t="s">
        <v>5092</v>
      </c>
      <c r="F11" s="98" t="s">
        <v>5093</v>
      </c>
    </row>
    <row r="12" spans="2:27">
      <c r="D12" s="99"/>
      <c r="E12" s="99"/>
      <c r="F12" s="99"/>
    </row>
    <row r="13" spans="2:27">
      <c r="D13" s="100"/>
      <c r="E13" s="100"/>
      <c r="F13" s="100"/>
    </row>
    <row r="14" spans="2:27">
      <c r="D14" s="45" t="s">
        <v>2879</v>
      </c>
      <c r="E14" s="45" t="s">
        <v>3219</v>
      </c>
      <c r="F14" s="45" t="s">
        <v>3225</v>
      </c>
      <c r="Z14" s="13" t="str">
        <f>Show!$B$156&amp;"S.27.01.01.01 Rows {"&amp;COLUMN($C$1)&amp;"}"&amp;"@ForceFilingCode:true"</f>
        <v>!S.27.01.01.01 Rows {3}@ForceFilingCode:true</v>
      </c>
      <c r="AA14" s="13" t="str">
        <f>Show!$B$156&amp;"S.27.01.01.01 Columns {"&amp;COLUMN($D$1)&amp;"}"</f>
        <v>!S.27.01.01.01 Columns {4}</v>
      </c>
    </row>
    <row r="15" spans="2:27">
      <c r="B15" s="43" t="s">
        <v>2880</v>
      </c>
      <c r="C15" s="44" t="s">
        <v>2878</v>
      </c>
      <c r="D15" s="58"/>
      <c r="E15" s="67"/>
      <c r="F15" s="59"/>
    </row>
    <row r="16" spans="2:27">
      <c r="B16" s="47" t="s">
        <v>5094</v>
      </c>
      <c r="C16" s="44" t="s">
        <v>2878</v>
      </c>
      <c r="D16" s="56"/>
      <c r="E16" s="66"/>
      <c r="F16" s="57"/>
    </row>
    <row r="17" spans="2:6">
      <c r="B17" s="49" t="s">
        <v>5095</v>
      </c>
      <c r="C17" s="41" t="s">
        <v>2883</v>
      </c>
      <c r="D17" s="60"/>
      <c r="E17" s="60"/>
      <c r="F17" s="60"/>
    </row>
    <row r="18" spans="2:6">
      <c r="B18" s="61" t="s">
        <v>5073</v>
      </c>
      <c r="C18" s="41" t="s">
        <v>2885</v>
      </c>
      <c r="D18" s="60"/>
      <c r="E18" s="60"/>
      <c r="F18" s="60"/>
    </row>
    <row r="19" spans="2:6">
      <c r="B19" s="61" t="s">
        <v>5075</v>
      </c>
      <c r="C19" s="41" t="s">
        <v>2887</v>
      </c>
      <c r="D19" s="60"/>
      <c r="E19" s="60"/>
      <c r="F19" s="60"/>
    </row>
    <row r="20" spans="2:6">
      <c r="B20" s="61" t="s">
        <v>5076</v>
      </c>
      <c r="C20" s="41" t="s">
        <v>2889</v>
      </c>
      <c r="D20" s="60"/>
      <c r="E20" s="60"/>
      <c r="F20" s="60"/>
    </row>
    <row r="21" spans="2:6">
      <c r="B21" s="61" t="s">
        <v>5074</v>
      </c>
      <c r="C21" s="41" t="s">
        <v>3078</v>
      </c>
      <c r="D21" s="60"/>
      <c r="E21" s="60"/>
      <c r="F21" s="60"/>
    </row>
    <row r="22" spans="2:6">
      <c r="B22" s="61" t="s">
        <v>5077</v>
      </c>
      <c r="C22" s="41" t="s">
        <v>2891</v>
      </c>
      <c r="D22" s="60"/>
      <c r="E22" s="60"/>
      <c r="F22" s="60"/>
    </row>
    <row r="23" spans="2:6">
      <c r="B23" s="61" t="s">
        <v>5096</v>
      </c>
      <c r="C23" s="41" t="s">
        <v>2893</v>
      </c>
      <c r="D23" s="60"/>
      <c r="E23" s="60"/>
      <c r="F23" s="60"/>
    </row>
    <row r="24" spans="2:6">
      <c r="B24" s="49" t="s">
        <v>5097</v>
      </c>
      <c r="C24" s="41" t="s">
        <v>2895</v>
      </c>
      <c r="D24" s="60"/>
      <c r="E24" s="60"/>
      <c r="F24" s="60"/>
    </row>
    <row r="25" spans="2:6">
      <c r="B25" s="49" t="s">
        <v>5098</v>
      </c>
      <c r="C25" s="41" t="s">
        <v>2897</v>
      </c>
      <c r="D25" s="60"/>
      <c r="E25" s="60"/>
      <c r="F25" s="60"/>
    </row>
    <row r="26" spans="2:6">
      <c r="B26" s="61" t="s">
        <v>4988</v>
      </c>
      <c r="C26" s="41" t="s">
        <v>2899</v>
      </c>
      <c r="D26" s="60"/>
      <c r="E26" s="60"/>
      <c r="F26" s="60"/>
    </row>
    <row r="27" spans="2:6">
      <c r="B27" s="61" t="s">
        <v>5099</v>
      </c>
      <c r="C27" s="41" t="s">
        <v>2901</v>
      </c>
      <c r="D27" s="60"/>
      <c r="E27" s="60"/>
      <c r="F27" s="60"/>
    </row>
    <row r="28" spans="2:6">
      <c r="B28" s="61" t="s">
        <v>5100</v>
      </c>
      <c r="C28" s="41" t="s">
        <v>2903</v>
      </c>
      <c r="D28" s="60"/>
      <c r="E28" s="60"/>
      <c r="F28" s="60"/>
    </row>
    <row r="29" spans="2:6">
      <c r="B29" s="61" t="s">
        <v>5101</v>
      </c>
      <c r="C29" s="41" t="s">
        <v>2905</v>
      </c>
      <c r="D29" s="60"/>
      <c r="E29" s="60"/>
      <c r="F29" s="60"/>
    </row>
    <row r="30" spans="2:6">
      <c r="B30" s="61" t="s">
        <v>5102</v>
      </c>
      <c r="C30" s="41" t="s">
        <v>2907</v>
      </c>
      <c r="D30" s="60"/>
      <c r="E30" s="60"/>
      <c r="F30" s="60"/>
    </row>
    <row r="31" spans="2:6">
      <c r="B31" s="61" t="s">
        <v>5103</v>
      </c>
      <c r="C31" s="41" t="s">
        <v>2909</v>
      </c>
      <c r="D31" s="60"/>
      <c r="E31" s="60"/>
      <c r="F31" s="60"/>
    </row>
    <row r="32" spans="2:6">
      <c r="B32" s="61" t="s">
        <v>5096</v>
      </c>
      <c r="C32" s="41" t="s">
        <v>2911</v>
      </c>
      <c r="D32" s="60"/>
      <c r="E32" s="60"/>
      <c r="F32" s="60"/>
    </row>
    <row r="33" spans="2:27">
      <c r="B33" s="49" t="s">
        <v>5104</v>
      </c>
      <c r="C33" s="41" t="s">
        <v>2913</v>
      </c>
      <c r="D33" s="60"/>
      <c r="E33" s="60"/>
      <c r="F33" s="60"/>
    </row>
    <row r="34" spans="2:27">
      <c r="B34" s="61" t="s">
        <v>5096</v>
      </c>
      <c r="C34" s="41" t="s">
        <v>2915</v>
      </c>
      <c r="D34" s="60"/>
      <c r="E34" s="60"/>
      <c r="F34" s="60"/>
    </row>
    <row r="35" spans="2:27">
      <c r="B35" s="49" t="s">
        <v>5105</v>
      </c>
      <c r="C35" s="41" t="s">
        <v>2917</v>
      </c>
      <c r="D35" s="60"/>
      <c r="E35" s="60"/>
      <c r="F35" s="60"/>
    </row>
    <row r="36" spans="2:27">
      <c r="B36" s="61" t="s">
        <v>5106</v>
      </c>
      <c r="C36" s="41" t="s">
        <v>2919</v>
      </c>
      <c r="D36" s="60"/>
      <c r="E36" s="60"/>
      <c r="F36" s="60"/>
    </row>
    <row r="37" spans="2:27">
      <c r="B37" s="49" t="s">
        <v>5107</v>
      </c>
      <c r="C37" s="41" t="s">
        <v>2921</v>
      </c>
      <c r="D37" s="63"/>
      <c r="E37" s="63"/>
      <c r="F37" s="63"/>
    </row>
    <row r="38" spans="2:27">
      <c r="B38" s="47" t="s">
        <v>5108</v>
      </c>
      <c r="C38" s="44" t="s">
        <v>2878</v>
      </c>
      <c r="D38" s="56"/>
      <c r="E38" s="66"/>
      <c r="F38" s="57"/>
    </row>
    <row r="39" spans="2:27">
      <c r="B39" s="49" t="s">
        <v>5109</v>
      </c>
      <c r="C39" s="41" t="s">
        <v>2939</v>
      </c>
      <c r="D39" s="60"/>
      <c r="E39" s="60"/>
      <c r="F39" s="60"/>
    </row>
    <row r="40" spans="2:27">
      <c r="B40" s="61" t="s">
        <v>5110</v>
      </c>
      <c r="C40" s="41" t="s">
        <v>2941</v>
      </c>
      <c r="D40" s="60"/>
      <c r="E40" s="60"/>
      <c r="F40" s="60"/>
    </row>
    <row r="41" spans="2:27">
      <c r="B41" s="61" t="s">
        <v>5111</v>
      </c>
      <c r="C41" s="41" t="s">
        <v>2943</v>
      </c>
      <c r="D41" s="60"/>
      <c r="E41" s="60"/>
      <c r="F41" s="60"/>
    </row>
    <row r="42" spans="2:27">
      <c r="B42" s="61" t="s">
        <v>5112</v>
      </c>
      <c r="C42" s="41" t="s">
        <v>2945</v>
      </c>
      <c r="D42" s="60"/>
      <c r="E42" s="60"/>
      <c r="F42" s="60"/>
    </row>
    <row r="43" spans="2:27">
      <c r="B43" s="61" t="s">
        <v>5106</v>
      </c>
      <c r="C43" s="41" t="s">
        <v>2947</v>
      </c>
      <c r="D43" s="60"/>
      <c r="E43" s="60"/>
      <c r="F43" s="60"/>
    </row>
    <row r="45" spans="2:27">
      <c r="Z45" s="13" t="str">
        <f>Show!$B$156&amp;Show!$B$156&amp;"S.27.01.01.01 Rows {"&amp;COLUMN($C$1)&amp;"}"</f>
        <v>!!S.27.01.01.01 Rows {3}</v>
      </c>
      <c r="AA45" s="13" t="str">
        <f>Show!$B$156&amp;Show!$B$156&amp;"S.27.01.01.01 Columns {"&amp;COLUMN($F$1)&amp;"}"</f>
        <v>!!S.27.01.01.01 Columns {6}</v>
      </c>
    </row>
    <row r="47" spans="2:27" ht="18.75">
      <c r="B47" s="97" t="s">
        <v>5113</v>
      </c>
      <c r="C47" s="96"/>
      <c r="D47" s="96"/>
      <c r="E47" s="96"/>
      <c r="F47" s="96"/>
      <c r="G47" s="96"/>
      <c r="H47" s="96"/>
      <c r="I47" s="96"/>
      <c r="J47" s="96"/>
      <c r="K47" s="96"/>
      <c r="L47" s="96"/>
    </row>
    <row r="51" spans="2:27">
      <c r="D51" s="101" t="s">
        <v>2877</v>
      </c>
      <c r="E51" s="102"/>
      <c r="F51" s="102"/>
      <c r="G51" s="102"/>
      <c r="H51" s="102"/>
      <c r="I51" s="102"/>
      <c r="J51" s="102"/>
      <c r="K51" s="102"/>
      <c r="L51" s="103"/>
    </row>
    <row r="52" spans="2:27">
      <c r="D52" s="104"/>
      <c r="E52" s="105"/>
      <c r="F52" s="105"/>
      <c r="G52" s="105"/>
      <c r="H52" s="105"/>
      <c r="I52" s="105"/>
      <c r="J52" s="105"/>
      <c r="K52" s="105"/>
      <c r="L52" s="106"/>
    </row>
    <row r="53" spans="2:27">
      <c r="D53" s="98" t="s">
        <v>5114</v>
      </c>
      <c r="E53" s="98" t="s">
        <v>5115</v>
      </c>
      <c r="F53" s="98" t="s">
        <v>5116</v>
      </c>
      <c r="G53" s="98" t="s">
        <v>5117</v>
      </c>
      <c r="H53" s="98" t="s">
        <v>5118</v>
      </c>
      <c r="I53" s="98" t="s">
        <v>5119</v>
      </c>
      <c r="J53" s="98" t="s">
        <v>5120</v>
      </c>
      <c r="K53" s="98" t="s">
        <v>5121</v>
      </c>
      <c r="L53" s="98" t="s">
        <v>5122</v>
      </c>
    </row>
    <row r="54" spans="2:27">
      <c r="D54" s="100"/>
      <c r="E54" s="100"/>
      <c r="F54" s="100"/>
      <c r="G54" s="100"/>
      <c r="H54" s="100"/>
      <c r="I54" s="100"/>
      <c r="J54" s="100"/>
      <c r="K54" s="100"/>
      <c r="L54" s="100"/>
    </row>
    <row r="55" spans="2:27">
      <c r="D55" s="45" t="s">
        <v>3223</v>
      </c>
      <c r="E55" s="45" t="s">
        <v>3229</v>
      </c>
      <c r="F55" s="45" t="s">
        <v>3231</v>
      </c>
      <c r="G55" s="45" t="s">
        <v>3233</v>
      </c>
      <c r="H55" s="45" t="s">
        <v>3234</v>
      </c>
      <c r="I55" s="45" t="s">
        <v>3236</v>
      </c>
      <c r="J55" s="45" t="s">
        <v>3239</v>
      </c>
      <c r="K55" s="45" t="s">
        <v>3241</v>
      </c>
      <c r="L55" s="45" t="s">
        <v>3243</v>
      </c>
      <c r="Z55" s="13" t="str">
        <f>Show!$B$156&amp;"S.27.01.01.02 Rows {"&amp;COLUMN($C$1)&amp;"}"&amp;"@ForceFilingCode:true"</f>
        <v>!S.27.01.01.02 Rows {3}@ForceFilingCode:true</v>
      </c>
      <c r="AA55" s="13" t="str">
        <f>Show!$B$156&amp;"S.27.01.01.02 Columns {"&amp;COLUMN($D$1)&amp;"}"</f>
        <v>!S.27.01.01.02 Columns {4}</v>
      </c>
    </row>
    <row r="56" spans="2:27">
      <c r="B56" s="43" t="s">
        <v>2880</v>
      </c>
      <c r="C56" s="44" t="s">
        <v>2878</v>
      </c>
      <c r="D56" s="58"/>
      <c r="E56" s="67"/>
      <c r="F56" s="67"/>
      <c r="G56" s="67"/>
      <c r="H56" s="67"/>
      <c r="I56" s="67"/>
      <c r="J56" s="67"/>
      <c r="K56" s="67"/>
      <c r="L56" s="59"/>
    </row>
    <row r="57" spans="2:27">
      <c r="B57" s="47" t="s">
        <v>5123</v>
      </c>
      <c r="C57" s="44" t="s">
        <v>2878</v>
      </c>
      <c r="D57" s="58"/>
      <c r="E57" s="66"/>
      <c r="F57" s="66"/>
      <c r="G57" s="66"/>
      <c r="H57" s="66"/>
      <c r="I57" s="66"/>
      <c r="J57" s="66"/>
      <c r="K57" s="66"/>
      <c r="L57" s="57"/>
    </row>
    <row r="58" spans="2:27">
      <c r="B58" s="49" t="s">
        <v>5124</v>
      </c>
      <c r="C58" s="44" t="s">
        <v>2959</v>
      </c>
      <c r="D58" s="48"/>
      <c r="E58" s="60"/>
      <c r="F58" s="60"/>
      <c r="G58" s="70"/>
      <c r="H58" s="51"/>
      <c r="I58" s="60"/>
      <c r="J58" s="60"/>
      <c r="K58" s="60"/>
      <c r="L58" s="60"/>
    </row>
    <row r="59" spans="2:27">
      <c r="B59" s="49" t="s">
        <v>5125</v>
      </c>
      <c r="C59" s="44" t="s">
        <v>2961</v>
      </c>
      <c r="D59" s="48"/>
      <c r="E59" s="60"/>
      <c r="F59" s="60"/>
      <c r="G59" s="70"/>
      <c r="H59" s="51"/>
      <c r="I59" s="60"/>
      <c r="J59" s="60"/>
      <c r="K59" s="60"/>
      <c r="L59" s="60"/>
    </row>
    <row r="60" spans="2:27">
      <c r="B60" s="49" t="s">
        <v>5126</v>
      </c>
      <c r="C60" s="44" t="s">
        <v>2963</v>
      </c>
      <c r="D60" s="48"/>
      <c r="E60" s="60"/>
      <c r="F60" s="60"/>
      <c r="G60" s="70"/>
      <c r="H60" s="51"/>
      <c r="I60" s="60"/>
      <c r="J60" s="60"/>
      <c r="K60" s="60"/>
      <c r="L60" s="60"/>
    </row>
    <row r="61" spans="2:27">
      <c r="B61" s="49" t="s">
        <v>5127</v>
      </c>
      <c r="C61" s="44" t="s">
        <v>2965</v>
      </c>
      <c r="D61" s="48"/>
      <c r="E61" s="60"/>
      <c r="F61" s="60"/>
      <c r="G61" s="70"/>
      <c r="H61" s="51"/>
      <c r="I61" s="60"/>
      <c r="J61" s="60"/>
      <c r="K61" s="60"/>
      <c r="L61" s="60"/>
    </row>
    <row r="62" spans="2:27">
      <c r="B62" s="49" t="s">
        <v>5128</v>
      </c>
      <c r="C62" s="44" t="s">
        <v>2967</v>
      </c>
      <c r="D62" s="48"/>
      <c r="E62" s="60"/>
      <c r="F62" s="60"/>
      <c r="G62" s="70"/>
      <c r="H62" s="51"/>
      <c r="I62" s="60"/>
      <c r="J62" s="60"/>
      <c r="K62" s="60"/>
      <c r="L62" s="60"/>
    </row>
    <row r="63" spans="2:27">
      <c r="B63" s="49" t="s">
        <v>5129</v>
      </c>
      <c r="C63" s="44" t="s">
        <v>5130</v>
      </c>
      <c r="D63" s="48"/>
      <c r="E63" s="60"/>
      <c r="F63" s="60"/>
      <c r="G63" s="70"/>
      <c r="H63" s="51"/>
      <c r="I63" s="60"/>
      <c r="J63" s="60"/>
      <c r="K63" s="60"/>
      <c r="L63" s="60"/>
    </row>
    <row r="64" spans="2:27" ht="30">
      <c r="B64" s="49" t="s">
        <v>5131</v>
      </c>
      <c r="C64" s="44" t="s">
        <v>2969</v>
      </c>
      <c r="D64" s="48"/>
      <c r="E64" s="60"/>
      <c r="F64" s="60"/>
      <c r="G64" s="70"/>
      <c r="H64" s="51"/>
      <c r="I64" s="60"/>
      <c r="J64" s="60"/>
      <c r="K64" s="60"/>
      <c r="L64" s="60"/>
    </row>
    <row r="65" spans="2:12">
      <c r="B65" s="49" t="s">
        <v>5132</v>
      </c>
      <c r="C65" s="44" t="s">
        <v>2971</v>
      </c>
      <c r="D65" s="48"/>
      <c r="E65" s="60"/>
      <c r="F65" s="60"/>
      <c r="G65" s="70"/>
      <c r="H65" s="51"/>
      <c r="I65" s="60"/>
      <c r="J65" s="60"/>
      <c r="K65" s="60"/>
      <c r="L65" s="60"/>
    </row>
    <row r="66" spans="2:12">
      <c r="B66" s="49" t="s">
        <v>5133</v>
      </c>
      <c r="C66" s="44" t="s">
        <v>4815</v>
      </c>
      <c r="D66" s="48"/>
      <c r="E66" s="60"/>
      <c r="F66" s="60"/>
      <c r="G66" s="70"/>
      <c r="H66" s="51"/>
      <c r="I66" s="60"/>
      <c r="J66" s="60"/>
      <c r="K66" s="60"/>
      <c r="L66" s="60"/>
    </row>
    <row r="67" spans="2:12">
      <c r="B67" s="49" t="s">
        <v>5134</v>
      </c>
      <c r="C67" s="44" t="s">
        <v>2973</v>
      </c>
      <c r="D67" s="48"/>
      <c r="E67" s="60"/>
      <c r="F67" s="60"/>
      <c r="G67" s="70"/>
      <c r="H67" s="51"/>
      <c r="I67" s="60"/>
      <c r="J67" s="60"/>
      <c r="K67" s="60"/>
      <c r="L67" s="60"/>
    </row>
    <row r="68" spans="2:12">
      <c r="B68" s="49" t="s">
        <v>5135</v>
      </c>
      <c r="C68" s="44" t="s">
        <v>2975</v>
      </c>
      <c r="D68" s="48"/>
      <c r="E68" s="60"/>
      <c r="F68" s="60"/>
      <c r="G68" s="70"/>
      <c r="H68" s="51"/>
      <c r="I68" s="60"/>
      <c r="J68" s="60"/>
      <c r="K68" s="60"/>
      <c r="L68" s="60"/>
    </row>
    <row r="69" spans="2:12">
      <c r="B69" s="49" t="s">
        <v>5136</v>
      </c>
      <c r="C69" s="44" t="s">
        <v>3096</v>
      </c>
      <c r="D69" s="48"/>
      <c r="E69" s="60"/>
      <c r="F69" s="60"/>
      <c r="G69" s="70"/>
      <c r="H69" s="51"/>
      <c r="I69" s="60"/>
      <c r="J69" s="60"/>
      <c r="K69" s="60"/>
      <c r="L69" s="60"/>
    </row>
    <row r="70" spans="2:12">
      <c r="B70" s="49" t="s">
        <v>5137</v>
      </c>
      <c r="C70" s="44" t="s">
        <v>2977</v>
      </c>
      <c r="D70" s="48"/>
      <c r="E70" s="60"/>
      <c r="F70" s="60"/>
      <c r="G70" s="70"/>
      <c r="H70" s="51"/>
      <c r="I70" s="60"/>
      <c r="J70" s="60"/>
      <c r="K70" s="60"/>
      <c r="L70" s="60"/>
    </row>
    <row r="71" spans="2:12">
      <c r="B71" s="49" t="s">
        <v>5138</v>
      </c>
      <c r="C71" s="44" t="s">
        <v>2979</v>
      </c>
      <c r="D71" s="48"/>
      <c r="E71" s="60"/>
      <c r="F71" s="60"/>
      <c r="G71" s="70"/>
      <c r="H71" s="51"/>
      <c r="I71" s="60"/>
      <c r="J71" s="60"/>
      <c r="K71" s="60"/>
      <c r="L71" s="60"/>
    </row>
    <row r="72" spans="2:12">
      <c r="B72" s="49" t="s">
        <v>5139</v>
      </c>
      <c r="C72" s="44" t="s">
        <v>2981</v>
      </c>
      <c r="D72" s="48"/>
      <c r="E72" s="60"/>
      <c r="F72" s="60"/>
      <c r="G72" s="70"/>
      <c r="H72" s="51"/>
      <c r="I72" s="60"/>
      <c r="J72" s="60"/>
      <c r="K72" s="60"/>
      <c r="L72" s="60"/>
    </row>
    <row r="73" spans="2:12">
      <c r="B73" s="49" t="s">
        <v>5140</v>
      </c>
      <c r="C73" s="44" t="s">
        <v>5141</v>
      </c>
      <c r="D73" s="48"/>
      <c r="E73" s="60"/>
      <c r="F73" s="60"/>
      <c r="G73" s="70"/>
      <c r="H73" s="51"/>
      <c r="I73" s="60"/>
      <c r="J73" s="60"/>
      <c r="K73" s="60"/>
      <c r="L73" s="60"/>
    </row>
    <row r="74" spans="2:12">
      <c r="B74" s="49" t="s">
        <v>5142</v>
      </c>
      <c r="C74" s="44" t="s">
        <v>2983</v>
      </c>
      <c r="D74" s="48"/>
      <c r="E74" s="60"/>
      <c r="F74" s="60"/>
      <c r="G74" s="70"/>
      <c r="H74" s="51"/>
      <c r="I74" s="60"/>
      <c r="J74" s="60"/>
      <c r="K74" s="60"/>
      <c r="L74" s="60"/>
    </row>
    <row r="75" spans="2:12">
      <c r="B75" s="49" t="s">
        <v>5143</v>
      </c>
      <c r="C75" s="44" t="s">
        <v>2985</v>
      </c>
      <c r="D75" s="48"/>
      <c r="E75" s="60"/>
      <c r="F75" s="60"/>
      <c r="G75" s="70"/>
      <c r="H75" s="51"/>
      <c r="I75" s="60"/>
      <c r="J75" s="60"/>
      <c r="K75" s="60"/>
      <c r="L75" s="60"/>
    </row>
    <row r="76" spans="2:12">
      <c r="B76" s="49" t="s">
        <v>5144</v>
      </c>
      <c r="C76" s="44" t="s">
        <v>2987</v>
      </c>
      <c r="D76" s="48"/>
      <c r="E76" s="60"/>
      <c r="F76" s="60"/>
      <c r="G76" s="70"/>
      <c r="H76" s="51"/>
      <c r="I76" s="60"/>
      <c r="J76" s="60"/>
      <c r="K76" s="60"/>
      <c r="L76" s="60"/>
    </row>
    <row r="77" spans="2:12">
      <c r="B77" s="49" t="s">
        <v>5145</v>
      </c>
      <c r="C77" s="44" t="s">
        <v>2989</v>
      </c>
      <c r="D77" s="48"/>
      <c r="E77" s="60"/>
      <c r="F77" s="60"/>
      <c r="G77" s="70"/>
      <c r="H77" s="51"/>
      <c r="I77" s="60"/>
      <c r="J77" s="60"/>
      <c r="K77" s="60"/>
      <c r="L77" s="60"/>
    </row>
    <row r="78" spans="2:12">
      <c r="B78" s="49" t="s">
        <v>5146</v>
      </c>
      <c r="C78" s="44" t="s">
        <v>2991</v>
      </c>
      <c r="D78" s="48"/>
      <c r="E78" s="60"/>
      <c r="F78" s="60"/>
      <c r="G78" s="70"/>
      <c r="H78" s="51"/>
      <c r="I78" s="60"/>
      <c r="J78" s="60"/>
      <c r="K78" s="60"/>
      <c r="L78" s="60"/>
    </row>
    <row r="79" spans="2:12">
      <c r="B79" s="49" t="s">
        <v>5147</v>
      </c>
      <c r="C79" s="44" t="s">
        <v>2993</v>
      </c>
      <c r="D79" s="48"/>
      <c r="E79" s="60"/>
      <c r="F79" s="60"/>
      <c r="G79" s="70"/>
      <c r="H79" s="51"/>
      <c r="I79" s="60"/>
      <c r="J79" s="60"/>
      <c r="K79" s="60"/>
      <c r="L79" s="60"/>
    </row>
    <row r="80" spans="2:12">
      <c r="B80" s="49" t="s">
        <v>5148</v>
      </c>
      <c r="C80" s="44" t="s">
        <v>2995</v>
      </c>
      <c r="D80" s="48"/>
      <c r="E80" s="60"/>
      <c r="F80" s="60"/>
      <c r="G80" s="70"/>
      <c r="H80" s="68"/>
      <c r="I80" s="60"/>
      <c r="J80" s="60"/>
      <c r="K80" s="60"/>
      <c r="L80" s="60"/>
    </row>
    <row r="81" spans="2:12">
      <c r="B81" s="49" t="s">
        <v>5149</v>
      </c>
      <c r="C81" s="44" t="s">
        <v>2997</v>
      </c>
      <c r="D81" s="46"/>
      <c r="E81" s="63"/>
      <c r="F81" s="63"/>
      <c r="G81" s="78"/>
      <c r="H81" s="48"/>
      <c r="I81" s="63"/>
      <c r="J81" s="63"/>
      <c r="K81" s="63"/>
      <c r="L81" s="63"/>
    </row>
    <row r="82" spans="2:12">
      <c r="B82" s="49" t="s">
        <v>5150</v>
      </c>
      <c r="C82" s="41" t="s">
        <v>2999</v>
      </c>
      <c r="D82" s="64"/>
      <c r="E82" s="58"/>
      <c r="F82" s="58"/>
      <c r="G82" s="58"/>
      <c r="H82" s="58"/>
      <c r="I82" s="58"/>
      <c r="J82" s="58"/>
      <c r="K82" s="58"/>
      <c r="L82" s="48"/>
    </row>
    <row r="83" spans="2:12">
      <c r="B83" s="49" t="s">
        <v>5151</v>
      </c>
      <c r="C83" s="41" t="s">
        <v>3001</v>
      </c>
      <c r="D83" s="64"/>
      <c r="E83" s="58"/>
      <c r="F83" s="58"/>
      <c r="G83" s="58"/>
      <c r="H83" s="58"/>
      <c r="I83" s="58"/>
      <c r="J83" s="58"/>
      <c r="K83" s="58"/>
      <c r="L83" s="48"/>
    </row>
    <row r="84" spans="2:12">
      <c r="B84" s="49" t="s">
        <v>5152</v>
      </c>
      <c r="C84" s="41" t="s">
        <v>3003</v>
      </c>
      <c r="D84" s="64"/>
      <c r="E84" s="58"/>
      <c r="F84" s="58"/>
      <c r="G84" s="58"/>
      <c r="H84" s="58"/>
      <c r="I84" s="58"/>
      <c r="J84" s="58"/>
      <c r="K84" s="58"/>
      <c r="L84" s="48"/>
    </row>
    <row r="85" spans="2:12">
      <c r="B85" s="49" t="s">
        <v>5153</v>
      </c>
      <c r="C85" s="41" t="s">
        <v>3005</v>
      </c>
      <c r="D85" s="64"/>
      <c r="E85" s="58"/>
      <c r="F85" s="58"/>
      <c r="G85" s="58"/>
      <c r="H85" s="58"/>
      <c r="I85" s="58"/>
      <c r="J85" s="58"/>
      <c r="K85" s="58"/>
      <c r="L85" s="48"/>
    </row>
    <row r="86" spans="2:12">
      <c r="B86" s="49" t="s">
        <v>5154</v>
      </c>
      <c r="C86" s="41" t="s">
        <v>3007</v>
      </c>
      <c r="D86" s="64"/>
      <c r="E86" s="58"/>
      <c r="F86" s="58"/>
      <c r="G86" s="58"/>
      <c r="H86" s="58"/>
      <c r="I86" s="58"/>
      <c r="J86" s="58"/>
      <c r="K86" s="58"/>
      <c r="L86" s="48"/>
    </row>
    <row r="87" spans="2:12">
      <c r="B87" s="49" t="s">
        <v>5155</v>
      </c>
      <c r="C87" s="41" t="s">
        <v>3009</v>
      </c>
      <c r="D87" s="64"/>
      <c r="E87" s="58"/>
      <c r="F87" s="58"/>
      <c r="G87" s="58"/>
      <c r="H87" s="58"/>
      <c r="I87" s="58"/>
      <c r="J87" s="58"/>
      <c r="K87" s="58"/>
      <c r="L87" s="48"/>
    </row>
    <row r="88" spans="2:12">
      <c r="B88" s="49" t="s">
        <v>5156</v>
      </c>
      <c r="C88" s="41" t="s">
        <v>3011</v>
      </c>
      <c r="D88" s="64"/>
      <c r="E88" s="58"/>
      <c r="F88" s="58"/>
      <c r="G88" s="58"/>
      <c r="H88" s="58"/>
      <c r="I88" s="58"/>
      <c r="J88" s="58"/>
      <c r="K88" s="58"/>
      <c r="L88" s="48"/>
    </row>
    <row r="89" spans="2:12">
      <c r="B89" s="49" t="s">
        <v>5157</v>
      </c>
      <c r="C89" s="41" t="s">
        <v>3013</v>
      </c>
      <c r="D89" s="64"/>
      <c r="E89" s="58"/>
      <c r="F89" s="58"/>
      <c r="G89" s="58"/>
      <c r="H89" s="58"/>
      <c r="I89" s="58"/>
      <c r="J89" s="58"/>
      <c r="K89" s="58"/>
      <c r="L89" s="48"/>
    </row>
    <row r="90" spans="2:12">
      <c r="B90" s="49" t="s">
        <v>5158</v>
      </c>
      <c r="C90" s="41" t="s">
        <v>3015</v>
      </c>
      <c r="D90" s="64"/>
      <c r="E90" s="58"/>
      <c r="F90" s="58"/>
      <c r="G90" s="58"/>
      <c r="H90" s="58"/>
      <c r="I90" s="58"/>
      <c r="J90" s="58"/>
      <c r="K90" s="58"/>
      <c r="L90" s="48"/>
    </row>
    <row r="91" spans="2:12">
      <c r="B91" s="49" t="s">
        <v>5159</v>
      </c>
      <c r="C91" s="41" t="s">
        <v>3064</v>
      </c>
      <c r="D91" s="64"/>
      <c r="E91" s="58"/>
      <c r="F91" s="58"/>
      <c r="G91" s="58"/>
      <c r="H91" s="58"/>
      <c r="I91" s="58"/>
      <c r="J91" s="58"/>
      <c r="K91" s="58"/>
      <c r="L91" s="48"/>
    </row>
    <row r="92" spans="2:12">
      <c r="B92" s="49" t="s">
        <v>5160</v>
      </c>
      <c r="C92" s="41" t="s">
        <v>3066</v>
      </c>
      <c r="D92" s="64"/>
      <c r="E92" s="58"/>
      <c r="F92" s="58"/>
      <c r="G92" s="58"/>
      <c r="H92" s="58"/>
      <c r="I92" s="58"/>
      <c r="J92" s="58"/>
      <c r="K92" s="58"/>
      <c r="L92" s="48"/>
    </row>
    <row r="93" spans="2:12">
      <c r="B93" s="49" t="s">
        <v>5161</v>
      </c>
      <c r="C93" s="41" t="s">
        <v>3068</v>
      </c>
      <c r="D93" s="64"/>
      <c r="E93" s="58"/>
      <c r="F93" s="58"/>
      <c r="G93" s="58"/>
      <c r="H93" s="58"/>
      <c r="I93" s="58"/>
      <c r="J93" s="58"/>
      <c r="K93" s="58"/>
      <c r="L93" s="48"/>
    </row>
    <row r="94" spans="2:12">
      <c r="B94" s="49" t="s">
        <v>5162</v>
      </c>
      <c r="C94" s="41" t="s">
        <v>3070</v>
      </c>
      <c r="D94" s="64"/>
      <c r="E94" s="58"/>
      <c r="F94" s="58"/>
      <c r="G94" s="58"/>
      <c r="H94" s="58"/>
      <c r="I94" s="58"/>
      <c r="J94" s="58"/>
      <c r="K94" s="58"/>
      <c r="L94" s="48"/>
    </row>
    <row r="95" spans="2:12">
      <c r="B95" s="49" t="s">
        <v>5163</v>
      </c>
      <c r="C95" s="41" t="s">
        <v>3017</v>
      </c>
      <c r="D95" s="64"/>
      <c r="E95" s="58"/>
      <c r="F95" s="58"/>
      <c r="G95" s="58"/>
      <c r="H95" s="58"/>
      <c r="I95" s="58"/>
      <c r="J95" s="58"/>
      <c r="K95" s="58"/>
      <c r="L95" s="48"/>
    </row>
    <row r="96" spans="2:12">
      <c r="B96" s="49" t="s">
        <v>5164</v>
      </c>
      <c r="C96" s="41" t="s">
        <v>3019</v>
      </c>
      <c r="D96" s="64"/>
      <c r="E96" s="58"/>
      <c r="F96" s="58"/>
      <c r="G96" s="58"/>
      <c r="H96" s="58"/>
      <c r="I96" s="58"/>
      <c r="J96" s="58"/>
      <c r="K96" s="58"/>
      <c r="L96" s="48"/>
    </row>
    <row r="97" spans="2:27">
      <c r="B97" s="49" t="s">
        <v>5165</v>
      </c>
      <c r="C97" s="41" t="s">
        <v>3021</v>
      </c>
      <c r="D97" s="64"/>
      <c r="E97" s="58"/>
      <c r="F97" s="58"/>
      <c r="G97" s="58"/>
      <c r="H97" s="58"/>
      <c r="I97" s="58"/>
      <c r="J97" s="58"/>
      <c r="K97" s="58"/>
      <c r="L97" s="48"/>
    </row>
    <row r="98" spans="2:27">
      <c r="B98" s="49" t="s">
        <v>5166</v>
      </c>
      <c r="C98" s="41" t="s">
        <v>3023</v>
      </c>
      <c r="D98" s="64"/>
      <c r="E98" s="58"/>
      <c r="F98" s="58"/>
      <c r="G98" s="58"/>
      <c r="H98" s="58"/>
      <c r="I98" s="58"/>
      <c r="J98" s="58"/>
      <c r="K98" s="58"/>
      <c r="L98" s="48"/>
    </row>
    <row r="99" spans="2:27">
      <c r="B99" s="49" t="s">
        <v>5167</v>
      </c>
      <c r="C99" s="41" t="s">
        <v>3072</v>
      </c>
      <c r="D99" s="64"/>
      <c r="E99" s="58"/>
      <c r="F99" s="58"/>
      <c r="G99" s="58"/>
      <c r="H99" s="58"/>
      <c r="I99" s="56"/>
      <c r="J99" s="56"/>
      <c r="K99" s="56"/>
      <c r="L99" s="46"/>
    </row>
    <row r="100" spans="2:27">
      <c r="B100" s="49" t="s">
        <v>5168</v>
      </c>
      <c r="C100" s="41" t="s">
        <v>3118</v>
      </c>
      <c r="D100" s="65"/>
      <c r="E100" s="58"/>
      <c r="F100" s="58"/>
      <c r="G100" s="58"/>
      <c r="H100" s="48"/>
      <c r="I100" s="60"/>
      <c r="J100" s="60"/>
      <c r="K100" s="60"/>
      <c r="L100" s="60"/>
    </row>
    <row r="101" spans="2:27">
      <c r="B101" s="49" t="s">
        <v>5169</v>
      </c>
      <c r="C101" s="44" t="s">
        <v>3120</v>
      </c>
      <c r="D101" s="58"/>
      <c r="E101" s="58"/>
      <c r="F101" s="58"/>
      <c r="G101" s="58"/>
      <c r="H101" s="48"/>
      <c r="I101" s="60"/>
      <c r="J101" s="63"/>
      <c r="K101" s="63"/>
      <c r="L101" s="60"/>
    </row>
    <row r="102" spans="2:27">
      <c r="B102" s="49" t="s">
        <v>5170</v>
      </c>
      <c r="C102" s="44" t="s">
        <v>3122</v>
      </c>
      <c r="D102" s="58"/>
      <c r="E102" s="58"/>
      <c r="F102" s="58"/>
      <c r="G102" s="58"/>
      <c r="H102" s="48"/>
      <c r="I102" s="64"/>
      <c r="J102" s="58"/>
      <c r="K102" s="48"/>
      <c r="L102" s="60"/>
    </row>
    <row r="103" spans="2:27">
      <c r="B103" s="49" t="s">
        <v>5171</v>
      </c>
      <c r="C103" s="44" t="s">
        <v>3124</v>
      </c>
      <c r="D103" s="56"/>
      <c r="E103" s="56"/>
      <c r="F103" s="56"/>
      <c r="G103" s="56"/>
      <c r="H103" s="46"/>
      <c r="I103" s="64"/>
      <c r="J103" s="56"/>
      <c r="K103" s="46"/>
      <c r="L103" s="60"/>
    </row>
    <row r="105" spans="2:27">
      <c r="Z105" s="13" t="str">
        <f>Show!$B$156&amp;Show!$B$156&amp;"S.27.01.01.02 Rows {"&amp;COLUMN($C$1)&amp;"}"</f>
        <v>!!S.27.01.01.02 Rows {3}</v>
      </c>
      <c r="AA105" s="13" t="str">
        <f>Show!$B$156&amp;Show!$B$156&amp;"S.27.01.01.02 Columns {"&amp;COLUMN($L$1)&amp;"}"</f>
        <v>!!S.27.01.01.02 Columns {12}</v>
      </c>
    </row>
    <row r="107" spans="2:27" ht="18.75">
      <c r="B107" s="97" t="s">
        <v>5172</v>
      </c>
      <c r="C107" s="96"/>
      <c r="D107" s="96"/>
      <c r="E107" s="96"/>
      <c r="F107" s="96"/>
      <c r="G107" s="96"/>
      <c r="H107" s="96"/>
      <c r="I107" s="96"/>
      <c r="J107" s="96"/>
      <c r="K107" s="96"/>
      <c r="L107" s="96"/>
    </row>
    <row r="111" spans="2:27">
      <c r="D111" s="101" t="s">
        <v>2877</v>
      </c>
      <c r="E111" s="102"/>
      <c r="F111" s="102"/>
      <c r="G111" s="102"/>
      <c r="H111" s="102"/>
      <c r="I111" s="102"/>
      <c r="J111" s="102"/>
      <c r="K111" s="103"/>
    </row>
    <row r="112" spans="2:27">
      <c r="D112" s="104"/>
      <c r="E112" s="105"/>
      <c r="F112" s="105"/>
      <c r="G112" s="105"/>
      <c r="H112" s="105"/>
      <c r="I112" s="105"/>
      <c r="J112" s="105"/>
      <c r="K112" s="106"/>
    </row>
    <row r="113" spans="2:27">
      <c r="D113" s="98" t="s">
        <v>5114</v>
      </c>
      <c r="E113" s="98" t="s">
        <v>5115</v>
      </c>
      <c r="F113" s="98" t="s">
        <v>5116</v>
      </c>
      <c r="G113" s="98" t="s">
        <v>5117</v>
      </c>
      <c r="H113" s="98" t="s">
        <v>5119</v>
      </c>
      <c r="I113" s="98" t="s">
        <v>5120</v>
      </c>
      <c r="J113" s="98" t="s">
        <v>5121</v>
      </c>
      <c r="K113" s="98" t="s">
        <v>5122</v>
      </c>
    </row>
    <row r="114" spans="2:27">
      <c r="D114" s="100"/>
      <c r="E114" s="100"/>
      <c r="F114" s="100"/>
      <c r="G114" s="100"/>
      <c r="H114" s="100"/>
      <c r="I114" s="100"/>
      <c r="J114" s="100"/>
      <c r="K114" s="100"/>
    </row>
    <row r="115" spans="2:27">
      <c r="D115" s="45" t="s">
        <v>3375</v>
      </c>
      <c r="E115" s="45" t="s">
        <v>3475</v>
      </c>
      <c r="F115" s="45" t="s">
        <v>3477</v>
      </c>
      <c r="G115" s="45" t="s">
        <v>3479</v>
      </c>
      <c r="H115" s="45" t="s">
        <v>3594</v>
      </c>
      <c r="I115" s="45" t="s">
        <v>3596</v>
      </c>
      <c r="J115" s="45" t="s">
        <v>3599</v>
      </c>
      <c r="K115" s="45" t="s">
        <v>3481</v>
      </c>
      <c r="Z115" s="13" t="str">
        <f>Show!$B$156&amp;"S.27.01.01.03 Rows {"&amp;COLUMN($C$1)&amp;"}"&amp;"@ForceFilingCode:true"</f>
        <v>!S.27.01.01.03 Rows {3}@ForceFilingCode:true</v>
      </c>
      <c r="AA115" s="13" t="str">
        <f>Show!$B$156&amp;"S.27.01.01.03 Columns {"&amp;COLUMN($D$1)&amp;"}"</f>
        <v>!S.27.01.01.03 Columns {4}</v>
      </c>
    </row>
    <row r="116" spans="2:27">
      <c r="B116" s="43" t="s">
        <v>2880</v>
      </c>
      <c r="C116" s="44" t="s">
        <v>2878</v>
      </c>
      <c r="D116" s="58"/>
      <c r="E116" s="67"/>
      <c r="F116" s="67"/>
      <c r="G116" s="67"/>
      <c r="H116" s="67"/>
      <c r="I116" s="67"/>
      <c r="J116" s="67"/>
      <c r="K116" s="59"/>
    </row>
    <row r="117" spans="2:27">
      <c r="B117" s="47" t="s">
        <v>5173</v>
      </c>
      <c r="C117" s="44" t="s">
        <v>2878</v>
      </c>
      <c r="D117" s="58"/>
      <c r="E117" s="66"/>
      <c r="F117" s="66"/>
      <c r="G117" s="66"/>
      <c r="H117" s="66"/>
      <c r="I117" s="66"/>
      <c r="J117" s="66"/>
      <c r="K117" s="57"/>
    </row>
    <row r="118" spans="2:27">
      <c r="B118" s="49" t="s">
        <v>5124</v>
      </c>
      <c r="C118" s="44" t="s">
        <v>3126</v>
      </c>
      <c r="D118" s="48"/>
      <c r="E118" s="60"/>
      <c r="F118" s="60"/>
      <c r="G118" s="70"/>
      <c r="H118" s="60"/>
      <c r="I118" s="60"/>
      <c r="J118" s="60"/>
      <c r="K118" s="60"/>
    </row>
    <row r="119" spans="2:27">
      <c r="B119" s="49" t="s">
        <v>5125</v>
      </c>
      <c r="C119" s="44" t="s">
        <v>3128</v>
      </c>
      <c r="D119" s="48"/>
      <c r="E119" s="60"/>
      <c r="F119" s="60"/>
      <c r="G119" s="70"/>
      <c r="H119" s="60"/>
      <c r="I119" s="60"/>
      <c r="J119" s="60"/>
      <c r="K119" s="60"/>
    </row>
    <row r="120" spans="2:27">
      <c r="B120" s="49" t="s">
        <v>5174</v>
      </c>
      <c r="C120" s="44" t="s">
        <v>3130</v>
      </c>
      <c r="D120" s="48"/>
      <c r="E120" s="60"/>
      <c r="F120" s="60"/>
      <c r="G120" s="70"/>
      <c r="H120" s="60"/>
      <c r="I120" s="60"/>
      <c r="J120" s="60"/>
      <c r="K120" s="60"/>
    </row>
    <row r="121" spans="2:27">
      <c r="B121" s="49" t="s">
        <v>5175</v>
      </c>
      <c r="C121" s="44" t="s">
        <v>3132</v>
      </c>
      <c r="D121" s="48"/>
      <c r="E121" s="60"/>
      <c r="F121" s="60"/>
      <c r="G121" s="70"/>
      <c r="H121" s="60"/>
      <c r="I121" s="60"/>
      <c r="J121" s="60"/>
      <c r="K121" s="60"/>
    </row>
    <row r="122" spans="2:27">
      <c r="B122" s="49" t="s">
        <v>5176</v>
      </c>
      <c r="C122" s="44" t="s">
        <v>3134</v>
      </c>
      <c r="D122" s="48"/>
      <c r="E122" s="60"/>
      <c r="F122" s="60"/>
      <c r="G122" s="70"/>
      <c r="H122" s="60"/>
      <c r="I122" s="60"/>
      <c r="J122" s="60"/>
      <c r="K122" s="60"/>
    </row>
    <row r="123" spans="2:27">
      <c r="B123" s="49" t="s">
        <v>5126</v>
      </c>
      <c r="C123" s="44" t="s">
        <v>3136</v>
      </c>
      <c r="D123" s="48"/>
      <c r="E123" s="60"/>
      <c r="F123" s="60"/>
      <c r="G123" s="70"/>
      <c r="H123" s="60"/>
      <c r="I123" s="60"/>
      <c r="J123" s="60"/>
      <c r="K123" s="60"/>
    </row>
    <row r="124" spans="2:27">
      <c r="B124" s="49" t="s">
        <v>5127</v>
      </c>
      <c r="C124" s="44" t="s">
        <v>3138</v>
      </c>
      <c r="D124" s="48"/>
      <c r="E124" s="60"/>
      <c r="F124" s="60"/>
      <c r="G124" s="70"/>
      <c r="H124" s="60"/>
      <c r="I124" s="60"/>
      <c r="J124" s="60"/>
      <c r="K124" s="60"/>
    </row>
    <row r="125" spans="2:27" ht="30">
      <c r="B125" s="49" t="s">
        <v>5131</v>
      </c>
      <c r="C125" s="44" t="s">
        <v>3140</v>
      </c>
      <c r="D125" s="48"/>
      <c r="E125" s="60"/>
      <c r="F125" s="60"/>
      <c r="G125" s="70"/>
      <c r="H125" s="60"/>
      <c r="I125" s="60"/>
      <c r="J125" s="60"/>
      <c r="K125" s="60"/>
    </row>
    <row r="126" spans="2:27">
      <c r="B126" s="49" t="s">
        <v>5132</v>
      </c>
      <c r="C126" s="44" t="s">
        <v>3142</v>
      </c>
      <c r="D126" s="48"/>
      <c r="E126" s="60"/>
      <c r="F126" s="60"/>
      <c r="G126" s="70"/>
      <c r="H126" s="60"/>
      <c r="I126" s="60"/>
      <c r="J126" s="60"/>
      <c r="K126" s="60"/>
    </row>
    <row r="127" spans="2:27">
      <c r="B127" s="49" t="s">
        <v>5177</v>
      </c>
      <c r="C127" s="44" t="s">
        <v>3144</v>
      </c>
      <c r="D127" s="48"/>
      <c r="E127" s="60"/>
      <c r="F127" s="60"/>
      <c r="G127" s="70"/>
      <c r="H127" s="60"/>
      <c r="I127" s="60"/>
      <c r="J127" s="60"/>
      <c r="K127" s="60"/>
    </row>
    <row r="128" spans="2:27">
      <c r="B128" s="49" t="s">
        <v>5133</v>
      </c>
      <c r="C128" s="44" t="s">
        <v>3146</v>
      </c>
      <c r="D128" s="48"/>
      <c r="E128" s="60"/>
      <c r="F128" s="60"/>
      <c r="G128" s="70"/>
      <c r="H128" s="60"/>
      <c r="I128" s="60"/>
      <c r="J128" s="60"/>
      <c r="K128" s="60"/>
    </row>
    <row r="129" spans="2:11">
      <c r="B129" s="49" t="s">
        <v>5178</v>
      </c>
      <c r="C129" s="44" t="s">
        <v>3148</v>
      </c>
      <c r="D129" s="48"/>
      <c r="E129" s="60"/>
      <c r="F129" s="60"/>
      <c r="G129" s="70"/>
      <c r="H129" s="60"/>
      <c r="I129" s="60"/>
      <c r="J129" s="60"/>
      <c r="K129" s="60"/>
    </row>
    <row r="130" spans="2:11">
      <c r="B130" s="49" t="s">
        <v>5179</v>
      </c>
      <c r="C130" s="44" t="s">
        <v>3091</v>
      </c>
      <c r="D130" s="48"/>
      <c r="E130" s="60"/>
      <c r="F130" s="60"/>
      <c r="G130" s="70"/>
      <c r="H130" s="60"/>
      <c r="I130" s="60"/>
      <c r="J130" s="60"/>
      <c r="K130" s="60"/>
    </row>
    <row r="131" spans="2:11">
      <c r="B131" s="49" t="s">
        <v>5180</v>
      </c>
      <c r="C131" s="44" t="s">
        <v>3098</v>
      </c>
      <c r="D131" s="48"/>
      <c r="E131" s="60"/>
      <c r="F131" s="60"/>
      <c r="G131" s="70"/>
      <c r="H131" s="60"/>
      <c r="I131" s="60"/>
      <c r="J131" s="60"/>
      <c r="K131" s="60"/>
    </row>
    <row r="132" spans="2:11">
      <c r="B132" s="49" t="s">
        <v>5181</v>
      </c>
      <c r="C132" s="44" t="s">
        <v>3093</v>
      </c>
      <c r="D132" s="48"/>
      <c r="E132" s="60"/>
      <c r="F132" s="60"/>
      <c r="G132" s="70"/>
      <c r="H132" s="60"/>
      <c r="I132" s="60"/>
      <c r="J132" s="60"/>
      <c r="K132" s="60"/>
    </row>
    <row r="133" spans="2:11">
      <c r="B133" s="49" t="s">
        <v>5182</v>
      </c>
      <c r="C133" s="44" t="s">
        <v>3100</v>
      </c>
      <c r="D133" s="48"/>
      <c r="E133" s="60"/>
      <c r="F133" s="60"/>
      <c r="G133" s="70"/>
      <c r="H133" s="60"/>
      <c r="I133" s="60"/>
      <c r="J133" s="60"/>
      <c r="K133" s="60"/>
    </row>
    <row r="134" spans="2:11">
      <c r="B134" s="49" t="s">
        <v>5129</v>
      </c>
      <c r="C134" s="44" t="s">
        <v>3200</v>
      </c>
      <c r="D134" s="48"/>
      <c r="E134" s="60"/>
      <c r="F134" s="60"/>
      <c r="G134" s="70"/>
      <c r="H134" s="60"/>
      <c r="I134" s="60"/>
      <c r="J134" s="60"/>
      <c r="K134" s="60"/>
    </row>
    <row r="135" spans="2:11">
      <c r="B135" s="49" t="s">
        <v>5145</v>
      </c>
      <c r="C135" s="44" t="s">
        <v>3315</v>
      </c>
      <c r="D135" s="48"/>
      <c r="E135" s="60"/>
      <c r="F135" s="60"/>
      <c r="G135" s="70"/>
      <c r="H135" s="60"/>
      <c r="I135" s="60"/>
      <c r="J135" s="60"/>
      <c r="K135" s="60"/>
    </row>
    <row r="136" spans="2:11">
      <c r="B136" s="49" t="s">
        <v>5146</v>
      </c>
      <c r="C136" s="44" t="s">
        <v>3496</v>
      </c>
      <c r="D136" s="48"/>
      <c r="E136" s="60"/>
      <c r="F136" s="60"/>
      <c r="G136" s="70"/>
      <c r="H136" s="60"/>
      <c r="I136" s="60"/>
      <c r="J136" s="60"/>
      <c r="K136" s="60"/>
    </row>
    <row r="137" spans="2:11">
      <c r="B137" s="49" t="s">
        <v>5147</v>
      </c>
      <c r="C137" s="44" t="s">
        <v>3497</v>
      </c>
      <c r="D137" s="48"/>
      <c r="E137" s="60"/>
      <c r="F137" s="60"/>
      <c r="G137" s="70"/>
      <c r="H137" s="60"/>
      <c r="I137" s="60"/>
      <c r="J137" s="60"/>
      <c r="K137" s="60"/>
    </row>
    <row r="138" spans="2:11">
      <c r="B138" s="49" t="s">
        <v>5183</v>
      </c>
      <c r="C138" s="44" t="s">
        <v>3498</v>
      </c>
      <c r="D138" s="46"/>
      <c r="E138" s="63"/>
      <c r="F138" s="63"/>
      <c r="G138" s="76"/>
      <c r="H138" s="63"/>
      <c r="I138" s="63"/>
      <c r="J138" s="63"/>
      <c r="K138" s="63"/>
    </row>
    <row r="139" spans="2:11">
      <c r="B139" s="49" t="s">
        <v>5150</v>
      </c>
      <c r="C139" s="41" t="s">
        <v>3499</v>
      </c>
      <c r="D139" s="64"/>
      <c r="E139" s="58"/>
      <c r="F139" s="58"/>
      <c r="G139" s="58"/>
      <c r="H139" s="58"/>
      <c r="I139" s="58"/>
      <c r="J139" s="58"/>
      <c r="K139" s="48"/>
    </row>
    <row r="140" spans="2:11">
      <c r="B140" s="49" t="s">
        <v>5151</v>
      </c>
      <c r="C140" s="41" t="s">
        <v>4939</v>
      </c>
      <c r="D140" s="64"/>
      <c r="E140" s="58"/>
      <c r="F140" s="58"/>
      <c r="G140" s="58"/>
      <c r="H140" s="58"/>
      <c r="I140" s="58"/>
      <c r="J140" s="58"/>
      <c r="K140" s="48"/>
    </row>
    <row r="141" spans="2:11">
      <c r="B141" s="49" t="s">
        <v>5152</v>
      </c>
      <c r="C141" s="41" t="s">
        <v>5184</v>
      </c>
      <c r="D141" s="64"/>
      <c r="E141" s="58"/>
      <c r="F141" s="58"/>
      <c r="G141" s="58"/>
      <c r="H141" s="58"/>
      <c r="I141" s="58"/>
      <c r="J141" s="58"/>
      <c r="K141" s="48"/>
    </row>
    <row r="142" spans="2:11">
      <c r="B142" s="49" t="s">
        <v>5153</v>
      </c>
      <c r="C142" s="41" t="s">
        <v>5185</v>
      </c>
      <c r="D142" s="64"/>
      <c r="E142" s="58"/>
      <c r="F142" s="58"/>
      <c r="G142" s="58"/>
      <c r="H142" s="58"/>
      <c r="I142" s="58"/>
      <c r="J142" s="58"/>
      <c r="K142" s="48"/>
    </row>
    <row r="143" spans="2:11">
      <c r="B143" s="49" t="s">
        <v>5154</v>
      </c>
      <c r="C143" s="41" t="s">
        <v>5186</v>
      </c>
      <c r="D143" s="64"/>
      <c r="E143" s="58"/>
      <c r="F143" s="58"/>
      <c r="G143" s="58"/>
      <c r="H143" s="58"/>
      <c r="I143" s="58"/>
      <c r="J143" s="58"/>
      <c r="K143" s="48"/>
    </row>
    <row r="144" spans="2:11">
      <c r="B144" s="49" t="s">
        <v>5155</v>
      </c>
      <c r="C144" s="41" t="s">
        <v>5187</v>
      </c>
      <c r="D144" s="64"/>
      <c r="E144" s="58"/>
      <c r="F144" s="58"/>
      <c r="G144" s="58"/>
      <c r="H144" s="58"/>
      <c r="I144" s="58"/>
      <c r="J144" s="58"/>
      <c r="K144" s="48"/>
    </row>
    <row r="145" spans="2:11">
      <c r="B145" s="49" t="s">
        <v>5156</v>
      </c>
      <c r="C145" s="41" t="s">
        <v>3500</v>
      </c>
      <c r="D145" s="64"/>
      <c r="E145" s="58"/>
      <c r="F145" s="58"/>
      <c r="G145" s="58"/>
      <c r="H145" s="58"/>
      <c r="I145" s="58"/>
      <c r="J145" s="58"/>
      <c r="K145" s="48"/>
    </row>
    <row r="146" spans="2:11">
      <c r="B146" s="49" t="s">
        <v>5157</v>
      </c>
      <c r="C146" s="41" t="s">
        <v>4507</v>
      </c>
      <c r="D146" s="64"/>
      <c r="E146" s="58"/>
      <c r="F146" s="58"/>
      <c r="G146" s="58"/>
      <c r="H146" s="58"/>
      <c r="I146" s="58"/>
      <c r="J146" s="58"/>
      <c r="K146" s="48"/>
    </row>
    <row r="147" spans="2:11">
      <c r="B147" s="49" t="s">
        <v>5158</v>
      </c>
      <c r="C147" s="41" t="s">
        <v>4508</v>
      </c>
      <c r="D147" s="64"/>
      <c r="E147" s="58"/>
      <c r="F147" s="58"/>
      <c r="G147" s="58"/>
      <c r="H147" s="58"/>
      <c r="I147" s="58"/>
      <c r="J147" s="58"/>
      <c r="K147" s="48"/>
    </row>
    <row r="148" spans="2:11">
      <c r="B148" s="49" t="s">
        <v>5159</v>
      </c>
      <c r="C148" s="41" t="s">
        <v>5188</v>
      </c>
      <c r="D148" s="64"/>
      <c r="E148" s="58"/>
      <c r="F148" s="58"/>
      <c r="G148" s="58"/>
      <c r="H148" s="58"/>
      <c r="I148" s="58"/>
      <c r="J148" s="58"/>
      <c r="K148" s="48"/>
    </row>
    <row r="149" spans="2:11">
      <c r="B149" s="49" t="s">
        <v>5160</v>
      </c>
      <c r="C149" s="41" t="s">
        <v>5189</v>
      </c>
      <c r="D149" s="64"/>
      <c r="E149" s="58"/>
      <c r="F149" s="58"/>
      <c r="G149" s="58"/>
      <c r="H149" s="58"/>
      <c r="I149" s="58"/>
      <c r="J149" s="58"/>
      <c r="K149" s="48"/>
    </row>
    <row r="150" spans="2:11">
      <c r="B150" s="49" t="s">
        <v>5161</v>
      </c>
      <c r="C150" s="41" t="s">
        <v>5190</v>
      </c>
      <c r="D150" s="64"/>
      <c r="E150" s="58"/>
      <c r="F150" s="58"/>
      <c r="G150" s="58"/>
      <c r="H150" s="58"/>
      <c r="I150" s="58"/>
      <c r="J150" s="58"/>
      <c r="K150" s="48"/>
    </row>
    <row r="151" spans="2:11">
      <c r="B151" s="49" t="s">
        <v>5162</v>
      </c>
      <c r="C151" s="41" t="s">
        <v>5191</v>
      </c>
      <c r="D151" s="64"/>
      <c r="E151" s="58"/>
      <c r="F151" s="58"/>
      <c r="G151" s="58"/>
      <c r="H151" s="58"/>
      <c r="I151" s="58"/>
      <c r="J151" s="58"/>
      <c r="K151" s="48"/>
    </row>
    <row r="152" spans="2:11">
      <c r="B152" s="49" t="s">
        <v>5163</v>
      </c>
      <c r="C152" s="41" t="s">
        <v>5192</v>
      </c>
      <c r="D152" s="64"/>
      <c r="E152" s="58"/>
      <c r="F152" s="58"/>
      <c r="G152" s="58"/>
      <c r="H152" s="58"/>
      <c r="I152" s="58"/>
      <c r="J152" s="58"/>
      <c r="K152" s="48"/>
    </row>
    <row r="153" spans="2:11">
      <c r="B153" s="49" t="s">
        <v>5164</v>
      </c>
      <c r="C153" s="41" t="s">
        <v>5193</v>
      </c>
      <c r="D153" s="64"/>
      <c r="E153" s="58"/>
      <c r="F153" s="58"/>
      <c r="G153" s="58"/>
      <c r="H153" s="58"/>
      <c r="I153" s="58"/>
      <c r="J153" s="58"/>
      <c r="K153" s="48"/>
    </row>
    <row r="154" spans="2:11">
      <c r="B154" s="49" t="s">
        <v>5165</v>
      </c>
      <c r="C154" s="41" t="s">
        <v>5194</v>
      </c>
      <c r="D154" s="64"/>
      <c r="E154" s="58"/>
      <c r="F154" s="58"/>
      <c r="G154" s="58"/>
      <c r="H154" s="58"/>
      <c r="I154" s="58"/>
      <c r="J154" s="58"/>
      <c r="K154" s="48"/>
    </row>
    <row r="155" spans="2:11">
      <c r="B155" s="49" t="s">
        <v>5166</v>
      </c>
      <c r="C155" s="41" t="s">
        <v>3502</v>
      </c>
      <c r="D155" s="64"/>
      <c r="E155" s="58"/>
      <c r="F155" s="58"/>
      <c r="G155" s="58"/>
      <c r="H155" s="58"/>
      <c r="I155" s="58"/>
      <c r="J155" s="58"/>
      <c r="K155" s="48"/>
    </row>
    <row r="156" spans="2:11">
      <c r="B156" s="49" t="s">
        <v>5167</v>
      </c>
      <c r="C156" s="41" t="s">
        <v>5195</v>
      </c>
      <c r="D156" s="64"/>
      <c r="E156" s="58"/>
      <c r="F156" s="58"/>
      <c r="G156" s="58"/>
      <c r="H156" s="56"/>
      <c r="I156" s="56"/>
      <c r="J156" s="56"/>
      <c r="K156" s="46"/>
    </row>
    <row r="157" spans="2:11">
      <c r="B157" s="49" t="s">
        <v>5196</v>
      </c>
      <c r="C157" s="41" t="s">
        <v>5197</v>
      </c>
      <c r="D157" s="65"/>
      <c r="E157" s="58"/>
      <c r="F157" s="58"/>
      <c r="G157" s="48"/>
      <c r="H157" s="60"/>
      <c r="I157" s="60"/>
      <c r="J157" s="60"/>
      <c r="K157" s="60"/>
    </row>
    <row r="158" spans="2:11">
      <c r="B158" s="49" t="s">
        <v>5198</v>
      </c>
      <c r="C158" s="44" t="s">
        <v>5199</v>
      </c>
      <c r="D158" s="58"/>
      <c r="E158" s="58"/>
      <c r="F158" s="58"/>
      <c r="G158" s="48"/>
      <c r="H158" s="60"/>
      <c r="I158" s="63"/>
      <c r="J158" s="63"/>
      <c r="K158" s="60"/>
    </row>
    <row r="159" spans="2:11">
      <c r="B159" s="49" t="s">
        <v>5170</v>
      </c>
      <c r="C159" s="44" t="s">
        <v>5200</v>
      </c>
      <c r="D159" s="58"/>
      <c r="E159" s="58"/>
      <c r="F159" s="58"/>
      <c r="G159" s="48"/>
      <c r="H159" s="64"/>
      <c r="I159" s="58"/>
      <c r="J159" s="48"/>
      <c r="K159" s="60"/>
    </row>
    <row r="160" spans="2:11">
      <c r="B160" s="49" t="s">
        <v>5201</v>
      </c>
      <c r="C160" s="44" t="s">
        <v>5202</v>
      </c>
      <c r="D160" s="56"/>
      <c r="E160" s="56"/>
      <c r="F160" s="56"/>
      <c r="G160" s="46"/>
      <c r="H160" s="64"/>
      <c r="I160" s="56"/>
      <c r="J160" s="46"/>
      <c r="K160" s="60"/>
    </row>
    <row r="162" spans="2:27">
      <c r="Z162" s="13" t="str">
        <f>Show!$B$156&amp;Show!$B$156&amp;"S.27.01.01.03 Rows {"&amp;COLUMN($C$1)&amp;"}"</f>
        <v>!!S.27.01.01.03 Rows {3}</v>
      </c>
      <c r="AA162" s="13" t="str">
        <f>Show!$B$156&amp;Show!$B$156&amp;"S.27.01.01.03 Columns {"&amp;COLUMN($K$1)&amp;"}"</f>
        <v>!!S.27.01.01.03 Columns {11}</v>
      </c>
    </row>
    <row r="164" spans="2:27" ht="18.75">
      <c r="B164" s="97" t="s">
        <v>5203</v>
      </c>
      <c r="C164" s="96"/>
      <c r="D164" s="96"/>
      <c r="E164" s="96"/>
      <c r="F164" s="96"/>
      <c r="G164" s="96"/>
      <c r="H164" s="96"/>
      <c r="I164" s="96"/>
      <c r="J164" s="96"/>
      <c r="K164" s="96"/>
      <c r="L164" s="96"/>
    </row>
    <row r="168" spans="2:27">
      <c r="D168" s="101" t="s">
        <v>2877</v>
      </c>
      <c r="E168" s="102"/>
      <c r="F168" s="102"/>
      <c r="G168" s="102"/>
      <c r="H168" s="102"/>
      <c r="I168" s="102"/>
      <c r="J168" s="102"/>
      <c r="K168" s="102"/>
      <c r="L168" s="103"/>
    </row>
    <row r="169" spans="2:27">
      <c r="D169" s="104"/>
      <c r="E169" s="105"/>
      <c r="F169" s="105"/>
      <c r="G169" s="105"/>
      <c r="H169" s="105"/>
      <c r="I169" s="105"/>
      <c r="J169" s="105"/>
      <c r="K169" s="105"/>
      <c r="L169" s="106"/>
    </row>
    <row r="170" spans="2:27">
      <c r="D170" s="98" t="s">
        <v>5114</v>
      </c>
      <c r="E170" s="98" t="s">
        <v>5115</v>
      </c>
      <c r="F170" s="98" t="s">
        <v>5116</v>
      </c>
      <c r="G170" s="98" t="s">
        <v>5117</v>
      </c>
      <c r="H170" s="98" t="s">
        <v>5118</v>
      </c>
      <c r="I170" s="98" t="s">
        <v>5119</v>
      </c>
      <c r="J170" s="98" t="s">
        <v>5120</v>
      </c>
      <c r="K170" s="98" t="s">
        <v>5121</v>
      </c>
      <c r="L170" s="98" t="s">
        <v>5122</v>
      </c>
    </row>
    <row r="171" spans="2:27">
      <c r="D171" s="100"/>
      <c r="E171" s="100"/>
      <c r="F171" s="100"/>
      <c r="G171" s="100"/>
      <c r="H171" s="100"/>
      <c r="I171" s="100"/>
      <c r="J171" s="100"/>
      <c r="K171" s="100"/>
      <c r="L171" s="100"/>
    </row>
    <row r="172" spans="2:27">
      <c r="D172" s="45" t="s">
        <v>3508</v>
      </c>
      <c r="E172" s="45" t="s">
        <v>3509</v>
      </c>
      <c r="F172" s="45" t="s">
        <v>3511</v>
      </c>
      <c r="G172" s="45" t="s">
        <v>3513</v>
      </c>
      <c r="H172" s="45" t="s">
        <v>3514</v>
      </c>
      <c r="I172" s="45" t="s">
        <v>3515</v>
      </c>
      <c r="J172" s="45" t="s">
        <v>3517</v>
      </c>
      <c r="K172" s="45" t="s">
        <v>3518</v>
      </c>
      <c r="L172" s="45" t="s">
        <v>3608</v>
      </c>
      <c r="Z172" s="13" t="str">
        <f>Show!$B$156&amp;"S.27.01.01.04 Rows {"&amp;COLUMN($C$1)&amp;"}"&amp;"@ForceFilingCode:true"</f>
        <v>!S.27.01.01.04 Rows {3}@ForceFilingCode:true</v>
      </c>
      <c r="AA172" s="13" t="str">
        <f>Show!$B$156&amp;"S.27.01.01.04 Columns {"&amp;COLUMN($D$1)&amp;"}"</f>
        <v>!S.27.01.01.04 Columns {4}</v>
      </c>
    </row>
    <row r="173" spans="2:27">
      <c r="B173" s="43" t="s">
        <v>2880</v>
      </c>
      <c r="C173" s="44" t="s">
        <v>2878</v>
      </c>
      <c r="D173" s="58"/>
      <c r="E173" s="67"/>
      <c r="F173" s="67"/>
      <c r="G173" s="67"/>
      <c r="H173" s="67"/>
      <c r="I173" s="67"/>
      <c r="J173" s="67"/>
      <c r="K173" s="67"/>
      <c r="L173" s="59"/>
    </row>
    <row r="174" spans="2:27">
      <c r="B174" s="47" t="s">
        <v>5204</v>
      </c>
      <c r="C174" s="44" t="s">
        <v>2878</v>
      </c>
      <c r="D174" s="58"/>
      <c r="E174" s="66"/>
      <c r="F174" s="66"/>
      <c r="G174" s="66"/>
      <c r="H174" s="66"/>
      <c r="I174" s="66"/>
      <c r="J174" s="66"/>
      <c r="K174" s="66"/>
      <c r="L174" s="57"/>
    </row>
    <row r="175" spans="2:27">
      <c r="B175" s="49" t="s">
        <v>5124</v>
      </c>
      <c r="C175" s="44" t="s">
        <v>5205</v>
      </c>
      <c r="D175" s="48"/>
      <c r="E175" s="60"/>
      <c r="F175" s="60"/>
      <c r="G175" s="70"/>
      <c r="H175" s="51"/>
      <c r="I175" s="60"/>
      <c r="J175" s="60"/>
      <c r="K175" s="60"/>
      <c r="L175" s="60"/>
    </row>
    <row r="176" spans="2:27">
      <c r="B176" s="49" t="s">
        <v>5125</v>
      </c>
      <c r="C176" s="44" t="s">
        <v>5206</v>
      </c>
      <c r="D176" s="48"/>
      <c r="E176" s="60"/>
      <c r="F176" s="60"/>
      <c r="G176" s="70"/>
      <c r="H176" s="51"/>
      <c r="I176" s="60"/>
      <c r="J176" s="60"/>
      <c r="K176" s="60"/>
      <c r="L176" s="60"/>
    </row>
    <row r="177" spans="2:12">
      <c r="B177" s="49" t="s">
        <v>5174</v>
      </c>
      <c r="C177" s="44" t="s">
        <v>5207</v>
      </c>
      <c r="D177" s="48"/>
      <c r="E177" s="60"/>
      <c r="F177" s="60"/>
      <c r="G177" s="70"/>
      <c r="H177" s="51"/>
      <c r="I177" s="60"/>
      <c r="J177" s="60"/>
      <c r="K177" s="60"/>
      <c r="L177" s="60"/>
    </row>
    <row r="178" spans="2:12">
      <c r="B178" s="49" t="s">
        <v>5126</v>
      </c>
      <c r="C178" s="44" t="s">
        <v>5208</v>
      </c>
      <c r="D178" s="48"/>
      <c r="E178" s="60"/>
      <c r="F178" s="60"/>
      <c r="G178" s="70"/>
      <c r="H178" s="51"/>
      <c r="I178" s="60"/>
      <c r="J178" s="60"/>
      <c r="K178" s="60"/>
      <c r="L178" s="60"/>
    </row>
    <row r="179" spans="2:12">
      <c r="B179" s="49" t="s">
        <v>5127</v>
      </c>
      <c r="C179" s="44" t="s">
        <v>3504</v>
      </c>
      <c r="D179" s="48"/>
      <c r="E179" s="60"/>
      <c r="F179" s="60"/>
      <c r="G179" s="70"/>
      <c r="H179" s="51"/>
      <c r="I179" s="60"/>
      <c r="J179" s="60"/>
      <c r="K179" s="60"/>
      <c r="L179" s="60"/>
    </row>
    <row r="180" spans="2:12" ht="30">
      <c r="B180" s="49" t="s">
        <v>5131</v>
      </c>
      <c r="C180" s="44" t="s">
        <v>5209</v>
      </c>
      <c r="D180" s="48"/>
      <c r="E180" s="60"/>
      <c r="F180" s="60"/>
      <c r="G180" s="70"/>
      <c r="H180" s="51"/>
      <c r="I180" s="60"/>
      <c r="J180" s="60"/>
      <c r="K180" s="60"/>
      <c r="L180" s="60"/>
    </row>
    <row r="181" spans="2:12">
      <c r="B181" s="49" t="s">
        <v>5132</v>
      </c>
      <c r="C181" s="44" t="s">
        <v>5210</v>
      </c>
      <c r="D181" s="48"/>
      <c r="E181" s="60"/>
      <c r="F181" s="60"/>
      <c r="G181" s="70"/>
      <c r="H181" s="51"/>
      <c r="I181" s="60"/>
      <c r="J181" s="60"/>
      <c r="K181" s="60"/>
      <c r="L181" s="60"/>
    </row>
    <row r="182" spans="2:12">
      <c r="B182" s="49" t="s">
        <v>5133</v>
      </c>
      <c r="C182" s="44" t="s">
        <v>5211</v>
      </c>
      <c r="D182" s="48"/>
      <c r="E182" s="60"/>
      <c r="F182" s="60"/>
      <c r="G182" s="70"/>
      <c r="H182" s="51"/>
      <c r="I182" s="60"/>
      <c r="J182" s="60"/>
      <c r="K182" s="60"/>
      <c r="L182" s="60"/>
    </row>
    <row r="183" spans="2:12">
      <c r="B183" s="49" t="s">
        <v>5178</v>
      </c>
      <c r="C183" s="44" t="s">
        <v>5212</v>
      </c>
      <c r="D183" s="48"/>
      <c r="E183" s="60"/>
      <c r="F183" s="60"/>
      <c r="G183" s="70"/>
      <c r="H183" s="51"/>
      <c r="I183" s="60"/>
      <c r="J183" s="60"/>
      <c r="K183" s="60"/>
      <c r="L183" s="60"/>
    </row>
    <row r="184" spans="2:12">
      <c r="B184" s="49" t="s">
        <v>5139</v>
      </c>
      <c r="C184" s="44" t="s">
        <v>5213</v>
      </c>
      <c r="D184" s="48"/>
      <c r="E184" s="60"/>
      <c r="F184" s="60"/>
      <c r="G184" s="70"/>
      <c r="H184" s="51"/>
      <c r="I184" s="60"/>
      <c r="J184" s="60"/>
      <c r="K184" s="60"/>
      <c r="L184" s="60"/>
    </row>
    <row r="185" spans="2:12">
      <c r="B185" s="49" t="s">
        <v>5181</v>
      </c>
      <c r="C185" s="44" t="s">
        <v>5214</v>
      </c>
      <c r="D185" s="48"/>
      <c r="E185" s="60"/>
      <c r="F185" s="60"/>
      <c r="G185" s="70"/>
      <c r="H185" s="51"/>
      <c r="I185" s="60"/>
      <c r="J185" s="60"/>
      <c r="K185" s="60"/>
      <c r="L185" s="60"/>
    </row>
    <row r="186" spans="2:12">
      <c r="B186" s="49" t="s">
        <v>5182</v>
      </c>
      <c r="C186" s="44" t="s">
        <v>5215</v>
      </c>
      <c r="D186" s="48"/>
      <c r="E186" s="60"/>
      <c r="F186" s="60"/>
      <c r="G186" s="70"/>
      <c r="H186" s="51"/>
      <c r="I186" s="60"/>
      <c r="J186" s="60"/>
      <c r="K186" s="60"/>
      <c r="L186" s="60"/>
    </row>
    <row r="187" spans="2:12">
      <c r="B187" s="49" t="s">
        <v>5129</v>
      </c>
      <c r="C187" s="44" t="s">
        <v>5216</v>
      </c>
      <c r="D187" s="48"/>
      <c r="E187" s="60"/>
      <c r="F187" s="60"/>
      <c r="G187" s="70"/>
      <c r="H187" s="51"/>
      <c r="I187" s="60"/>
      <c r="J187" s="60"/>
      <c r="K187" s="60"/>
      <c r="L187" s="60"/>
    </row>
    <row r="188" spans="2:12">
      <c r="B188" s="49" t="s">
        <v>5144</v>
      </c>
      <c r="C188" s="44" t="s">
        <v>5217</v>
      </c>
      <c r="D188" s="48"/>
      <c r="E188" s="60"/>
      <c r="F188" s="60"/>
      <c r="G188" s="70"/>
      <c r="H188" s="68"/>
      <c r="I188" s="60"/>
      <c r="J188" s="60"/>
      <c r="K188" s="60"/>
      <c r="L188" s="60"/>
    </row>
    <row r="189" spans="2:12">
      <c r="B189" s="49" t="s">
        <v>5218</v>
      </c>
      <c r="C189" s="44" t="s">
        <v>4947</v>
      </c>
      <c r="D189" s="46"/>
      <c r="E189" s="63"/>
      <c r="F189" s="63"/>
      <c r="G189" s="78"/>
      <c r="H189" s="48"/>
      <c r="I189" s="63"/>
      <c r="J189" s="63"/>
      <c r="K189" s="63"/>
      <c r="L189" s="63"/>
    </row>
    <row r="190" spans="2:12">
      <c r="B190" s="49" t="s">
        <v>5150</v>
      </c>
      <c r="C190" s="41" t="s">
        <v>3521</v>
      </c>
      <c r="D190" s="64"/>
      <c r="E190" s="58"/>
      <c r="F190" s="58"/>
      <c r="G190" s="58"/>
      <c r="H190" s="58"/>
      <c r="I190" s="58"/>
      <c r="J190" s="58"/>
      <c r="K190" s="58"/>
      <c r="L190" s="48"/>
    </row>
    <row r="191" spans="2:12">
      <c r="B191" s="49" t="s">
        <v>5151</v>
      </c>
      <c r="C191" s="41" t="s">
        <v>3522</v>
      </c>
      <c r="D191" s="64"/>
      <c r="E191" s="58"/>
      <c r="F191" s="58"/>
      <c r="G191" s="58"/>
      <c r="H191" s="58"/>
      <c r="I191" s="58"/>
      <c r="J191" s="58"/>
      <c r="K191" s="58"/>
      <c r="L191" s="48"/>
    </row>
    <row r="192" spans="2:12">
      <c r="B192" s="49" t="s">
        <v>5152</v>
      </c>
      <c r="C192" s="41" t="s">
        <v>5219</v>
      </c>
      <c r="D192" s="64"/>
      <c r="E192" s="58"/>
      <c r="F192" s="58"/>
      <c r="G192" s="58"/>
      <c r="H192" s="58"/>
      <c r="I192" s="58"/>
      <c r="J192" s="58"/>
      <c r="K192" s="58"/>
      <c r="L192" s="48"/>
    </row>
    <row r="193" spans="2:12">
      <c r="B193" s="49" t="s">
        <v>5153</v>
      </c>
      <c r="C193" s="41" t="s">
        <v>5220</v>
      </c>
      <c r="D193" s="64"/>
      <c r="E193" s="58"/>
      <c r="F193" s="58"/>
      <c r="G193" s="58"/>
      <c r="H193" s="58"/>
      <c r="I193" s="58"/>
      <c r="J193" s="58"/>
      <c r="K193" s="58"/>
      <c r="L193" s="48"/>
    </row>
    <row r="194" spans="2:12">
      <c r="B194" s="49" t="s">
        <v>5154</v>
      </c>
      <c r="C194" s="41" t="s">
        <v>5221</v>
      </c>
      <c r="D194" s="64"/>
      <c r="E194" s="58"/>
      <c r="F194" s="58"/>
      <c r="G194" s="58"/>
      <c r="H194" s="58"/>
      <c r="I194" s="58"/>
      <c r="J194" s="58"/>
      <c r="K194" s="58"/>
      <c r="L194" s="48"/>
    </row>
    <row r="195" spans="2:12">
      <c r="B195" s="49" t="s">
        <v>5155</v>
      </c>
      <c r="C195" s="41" t="s">
        <v>5222</v>
      </c>
      <c r="D195" s="64"/>
      <c r="E195" s="58"/>
      <c r="F195" s="58"/>
      <c r="G195" s="58"/>
      <c r="H195" s="58"/>
      <c r="I195" s="58"/>
      <c r="J195" s="58"/>
      <c r="K195" s="58"/>
      <c r="L195" s="48"/>
    </row>
    <row r="196" spans="2:12">
      <c r="B196" s="49" t="s">
        <v>5156</v>
      </c>
      <c r="C196" s="41" t="s">
        <v>5223</v>
      </c>
      <c r="D196" s="64"/>
      <c r="E196" s="58"/>
      <c r="F196" s="58"/>
      <c r="G196" s="58"/>
      <c r="H196" s="58"/>
      <c r="I196" s="58"/>
      <c r="J196" s="58"/>
      <c r="K196" s="58"/>
      <c r="L196" s="48"/>
    </row>
    <row r="197" spans="2:12">
      <c r="B197" s="49" t="s">
        <v>5157</v>
      </c>
      <c r="C197" s="41" t="s">
        <v>5224</v>
      </c>
      <c r="D197" s="64"/>
      <c r="E197" s="58"/>
      <c r="F197" s="58"/>
      <c r="G197" s="58"/>
      <c r="H197" s="58"/>
      <c r="I197" s="58"/>
      <c r="J197" s="58"/>
      <c r="K197" s="58"/>
      <c r="L197" s="48"/>
    </row>
    <row r="198" spans="2:12">
      <c r="B198" s="49" t="s">
        <v>5158</v>
      </c>
      <c r="C198" s="41" t="s">
        <v>5225</v>
      </c>
      <c r="D198" s="64"/>
      <c r="E198" s="58"/>
      <c r="F198" s="58"/>
      <c r="G198" s="58"/>
      <c r="H198" s="58"/>
      <c r="I198" s="58"/>
      <c r="J198" s="58"/>
      <c r="K198" s="58"/>
      <c r="L198" s="48"/>
    </row>
    <row r="199" spans="2:12">
      <c r="B199" s="49" t="s">
        <v>5159</v>
      </c>
      <c r="C199" s="41" t="s">
        <v>3523</v>
      </c>
      <c r="D199" s="64"/>
      <c r="E199" s="58"/>
      <c r="F199" s="58"/>
      <c r="G199" s="58"/>
      <c r="H199" s="58"/>
      <c r="I199" s="58"/>
      <c r="J199" s="58"/>
      <c r="K199" s="58"/>
      <c r="L199" s="48"/>
    </row>
    <row r="200" spans="2:12">
      <c r="B200" s="49" t="s">
        <v>5160</v>
      </c>
      <c r="C200" s="41" t="s">
        <v>3524</v>
      </c>
      <c r="D200" s="64"/>
      <c r="E200" s="58"/>
      <c r="F200" s="58"/>
      <c r="G200" s="58"/>
      <c r="H200" s="58"/>
      <c r="I200" s="58"/>
      <c r="J200" s="58"/>
      <c r="K200" s="58"/>
      <c r="L200" s="48"/>
    </row>
    <row r="201" spans="2:12">
      <c r="B201" s="49" t="s">
        <v>5161</v>
      </c>
      <c r="C201" s="41" t="s">
        <v>3525</v>
      </c>
      <c r="D201" s="64"/>
      <c r="E201" s="58"/>
      <c r="F201" s="58"/>
      <c r="G201" s="58"/>
      <c r="H201" s="58"/>
      <c r="I201" s="58"/>
      <c r="J201" s="58"/>
      <c r="K201" s="58"/>
      <c r="L201" s="48"/>
    </row>
    <row r="202" spans="2:12">
      <c r="B202" s="49" t="s">
        <v>5162</v>
      </c>
      <c r="C202" s="41" t="s">
        <v>4953</v>
      </c>
      <c r="D202" s="64"/>
      <c r="E202" s="58"/>
      <c r="F202" s="58"/>
      <c r="G202" s="58"/>
      <c r="H202" s="58"/>
      <c r="I202" s="58"/>
      <c r="J202" s="58"/>
      <c r="K202" s="58"/>
      <c r="L202" s="48"/>
    </row>
    <row r="203" spans="2:12">
      <c r="B203" s="49" t="s">
        <v>5163</v>
      </c>
      <c r="C203" s="41" t="s">
        <v>4955</v>
      </c>
      <c r="D203" s="64"/>
      <c r="E203" s="58"/>
      <c r="F203" s="58"/>
      <c r="G203" s="58"/>
      <c r="H203" s="58"/>
      <c r="I203" s="58"/>
      <c r="J203" s="58"/>
      <c r="K203" s="58"/>
      <c r="L203" s="48"/>
    </row>
    <row r="204" spans="2:12">
      <c r="B204" s="49" t="s">
        <v>5164</v>
      </c>
      <c r="C204" s="41" t="s">
        <v>5226</v>
      </c>
      <c r="D204" s="64"/>
      <c r="E204" s="58"/>
      <c r="F204" s="58"/>
      <c r="G204" s="58"/>
      <c r="H204" s="58"/>
      <c r="I204" s="58"/>
      <c r="J204" s="58"/>
      <c r="K204" s="58"/>
      <c r="L204" s="48"/>
    </row>
    <row r="205" spans="2:12">
      <c r="B205" s="49" t="s">
        <v>5165</v>
      </c>
      <c r="C205" s="41" t="s">
        <v>5227</v>
      </c>
      <c r="D205" s="64"/>
      <c r="E205" s="58"/>
      <c r="F205" s="58"/>
      <c r="G205" s="58"/>
      <c r="H205" s="58"/>
      <c r="I205" s="58"/>
      <c r="J205" s="58"/>
      <c r="K205" s="58"/>
      <c r="L205" s="48"/>
    </row>
    <row r="206" spans="2:12">
      <c r="B206" s="49" t="s">
        <v>5166</v>
      </c>
      <c r="C206" s="41" t="s">
        <v>5228</v>
      </c>
      <c r="D206" s="64"/>
      <c r="E206" s="58"/>
      <c r="F206" s="58"/>
      <c r="G206" s="58"/>
      <c r="H206" s="58"/>
      <c r="I206" s="58"/>
      <c r="J206" s="58"/>
      <c r="K206" s="58"/>
      <c r="L206" s="48"/>
    </row>
    <row r="207" spans="2:12">
      <c r="B207" s="49" t="s">
        <v>5167</v>
      </c>
      <c r="C207" s="41" t="s">
        <v>5229</v>
      </c>
      <c r="D207" s="64"/>
      <c r="E207" s="58"/>
      <c r="F207" s="58"/>
      <c r="G207" s="58"/>
      <c r="H207" s="58"/>
      <c r="I207" s="56"/>
      <c r="J207" s="56"/>
      <c r="K207" s="56"/>
      <c r="L207" s="46"/>
    </row>
    <row r="208" spans="2:12">
      <c r="B208" s="49" t="s">
        <v>5230</v>
      </c>
      <c r="C208" s="41" t="s">
        <v>5231</v>
      </c>
      <c r="D208" s="65"/>
      <c r="E208" s="58"/>
      <c r="F208" s="58"/>
      <c r="G208" s="58"/>
      <c r="H208" s="48"/>
      <c r="I208" s="60"/>
      <c r="J208" s="60"/>
      <c r="K208" s="60"/>
      <c r="L208" s="60"/>
    </row>
    <row r="209" spans="2:27">
      <c r="B209" s="49" t="s">
        <v>5232</v>
      </c>
      <c r="C209" s="44" t="s">
        <v>3526</v>
      </c>
      <c r="D209" s="58"/>
      <c r="E209" s="58"/>
      <c r="F209" s="58"/>
      <c r="G209" s="58"/>
      <c r="H209" s="48"/>
      <c r="I209" s="60"/>
      <c r="J209" s="63"/>
      <c r="K209" s="63"/>
      <c r="L209" s="60"/>
    </row>
    <row r="210" spans="2:27">
      <c r="B210" s="49" t="s">
        <v>5170</v>
      </c>
      <c r="C210" s="44" t="s">
        <v>3527</v>
      </c>
      <c r="D210" s="58"/>
      <c r="E210" s="58"/>
      <c r="F210" s="58"/>
      <c r="G210" s="58"/>
      <c r="H210" s="48"/>
      <c r="I210" s="64"/>
      <c r="J210" s="58"/>
      <c r="K210" s="48"/>
      <c r="L210" s="60"/>
    </row>
    <row r="211" spans="2:27">
      <c r="B211" s="49" t="s">
        <v>5233</v>
      </c>
      <c r="C211" s="44" t="s">
        <v>3528</v>
      </c>
      <c r="D211" s="56"/>
      <c r="E211" s="56"/>
      <c r="F211" s="56"/>
      <c r="G211" s="56"/>
      <c r="H211" s="46"/>
      <c r="I211" s="64"/>
      <c r="J211" s="56"/>
      <c r="K211" s="46"/>
      <c r="L211" s="60"/>
    </row>
    <row r="213" spans="2:27">
      <c r="Z213" s="13" t="str">
        <f>Show!$B$156&amp;Show!$B$156&amp;"S.27.01.01.04 Rows {"&amp;COLUMN($C$1)&amp;"}"</f>
        <v>!!S.27.01.01.04 Rows {3}</v>
      </c>
      <c r="AA213" s="13" t="str">
        <f>Show!$B$156&amp;Show!$B$156&amp;"S.27.01.01.04 Columns {"&amp;COLUMN($L$1)&amp;"}"</f>
        <v>!!S.27.01.01.04 Columns {12}</v>
      </c>
    </row>
    <row r="215" spans="2:27" ht="18.75">
      <c r="B215" s="97" t="s">
        <v>5234</v>
      </c>
      <c r="C215" s="96"/>
      <c r="D215" s="96"/>
      <c r="E215" s="96"/>
      <c r="F215" s="96"/>
      <c r="G215" s="96"/>
      <c r="H215" s="96"/>
      <c r="I215" s="96"/>
      <c r="J215" s="96"/>
      <c r="K215" s="96"/>
      <c r="L215" s="96"/>
    </row>
    <row r="219" spans="2:27">
      <c r="D219" s="101" t="s">
        <v>2877</v>
      </c>
      <c r="E219" s="102"/>
      <c r="F219" s="102"/>
      <c r="G219" s="102"/>
      <c r="H219" s="102"/>
      <c r="I219" s="102"/>
      <c r="J219" s="102"/>
      <c r="K219" s="102"/>
      <c r="L219" s="103"/>
    </row>
    <row r="220" spans="2:27">
      <c r="D220" s="104"/>
      <c r="E220" s="105"/>
      <c r="F220" s="105"/>
      <c r="G220" s="105"/>
      <c r="H220" s="105"/>
      <c r="I220" s="105"/>
      <c r="J220" s="105"/>
      <c r="K220" s="105"/>
      <c r="L220" s="106"/>
    </row>
    <row r="221" spans="2:27">
      <c r="D221" s="98" t="s">
        <v>5114</v>
      </c>
      <c r="E221" s="98" t="s">
        <v>5115</v>
      </c>
      <c r="F221" s="98" t="s">
        <v>5116</v>
      </c>
      <c r="G221" s="98" t="s">
        <v>5117</v>
      </c>
      <c r="H221" s="98" t="s">
        <v>5118</v>
      </c>
      <c r="I221" s="98" t="s">
        <v>5119</v>
      </c>
      <c r="J221" s="98" t="s">
        <v>5120</v>
      </c>
      <c r="K221" s="98" t="s">
        <v>5121</v>
      </c>
      <c r="L221" s="98" t="s">
        <v>5122</v>
      </c>
    </row>
    <row r="222" spans="2:27">
      <c r="D222" s="100"/>
      <c r="E222" s="100"/>
      <c r="F222" s="100"/>
      <c r="G222" s="100"/>
      <c r="H222" s="100"/>
      <c r="I222" s="100"/>
      <c r="J222" s="100"/>
      <c r="K222" s="100"/>
      <c r="L222" s="100"/>
    </row>
    <row r="223" spans="2:27">
      <c r="D223" s="45" t="s">
        <v>3519</v>
      </c>
      <c r="E223" s="45" t="s">
        <v>3612</v>
      </c>
      <c r="F223" s="45" t="s">
        <v>3614</v>
      </c>
      <c r="G223" s="45" t="s">
        <v>3616</v>
      </c>
      <c r="H223" s="45" t="s">
        <v>3618</v>
      </c>
      <c r="I223" s="45" t="s">
        <v>3620</v>
      </c>
      <c r="J223" s="45" t="s">
        <v>3622</v>
      </c>
      <c r="K223" s="45" t="s">
        <v>3624</v>
      </c>
      <c r="L223" s="45" t="s">
        <v>3626</v>
      </c>
      <c r="Z223" s="13" t="str">
        <f>Show!$B$156&amp;"S.27.01.01.05 Rows {"&amp;COLUMN($C$1)&amp;"}"&amp;"@ForceFilingCode:true"</f>
        <v>!S.27.01.01.05 Rows {3}@ForceFilingCode:true</v>
      </c>
      <c r="AA223" s="13" t="str">
        <f>Show!$B$156&amp;"S.27.01.01.05 Columns {"&amp;COLUMN($D$1)&amp;"}"</f>
        <v>!S.27.01.01.05 Columns {4}</v>
      </c>
    </row>
    <row r="224" spans="2:27">
      <c r="B224" s="43" t="s">
        <v>2880</v>
      </c>
      <c r="C224" s="44" t="s">
        <v>2878</v>
      </c>
      <c r="D224" s="58"/>
      <c r="E224" s="67"/>
      <c r="F224" s="67"/>
      <c r="G224" s="67"/>
      <c r="H224" s="67"/>
      <c r="I224" s="67"/>
      <c r="J224" s="67"/>
      <c r="K224" s="67"/>
      <c r="L224" s="59"/>
    </row>
    <row r="225" spans="2:12">
      <c r="B225" s="47" t="s">
        <v>5235</v>
      </c>
      <c r="C225" s="44" t="s">
        <v>2878</v>
      </c>
      <c r="D225" s="58"/>
      <c r="E225" s="66"/>
      <c r="F225" s="66"/>
      <c r="G225" s="66"/>
      <c r="H225" s="66"/>
      <c r="I225" s="66"/>
      <c r="J225" s="66"/>
      <c r="K225" s="66"/>
      <c r="L225" s="57"/>
    </row>
    <row r="226" spans="2:12">
      <c r="B226" s="49" t="s">
        <v>5124</v>
      </c>
      <c r="C226" s="44" t="s">
        <v>5236</v>
      </c>
      <c r="D226" s="48"/>
      <c r="E226" s="60"/>
      <c r="F226" s="60"/>
      <c r="G226" s="70"/>
      <c r="H226" s="51"/>
      <c r="I226" s="60"/>
      <c r="J226" s="60"/>
      <c r="K226" s="60"/>
      <c r="L226" s="60"/>
    </row>
    <row r="227" spans="2:12">
      <c r="B227" s="49" t="s">
        <v>5125</v>
      </c>
      <c r="C227" s="44" t="s">
        <v>5237</v>
      </c>
      <c r="D227" s="48"/>
      <c r="E227" s="60"/>
      <c r="F227" s="60"/>
      <c r="G227" s="70"/>
      <c r="H227" s="51"/>
      <c r="I227" s="60"/>
      <c r="J227" s="60"/>
      <c r="K227" s="60"/>
      <c r="L227" s="60"/>
    </row>
    <row r="228" spans="2:12">
      <c r="B228" s="49" t="s">
        <v>5126</v>
      </c>
      <c r="C228" s="44" t="s">
        <v>5238</v>
      </c>
      <c r="D228" s="48"/>
      <c r="E228" s="60"/>
      <c r="F228" s="60"/>
      <c r="G228" s="70"/>
      <c r="H228" s="51"/>
      <c r="I228" s="60"/>
      <c r="J228" s="60"/>
      <c r="K228" s="60"/>
      <c r="L228" s="60"/>
    </row>
    <row r="229" spans="2:12">
      <c r="B229" s="49" t="s">
        <v>5127</v>
      </c>
      <c r="C229" s="44" t="s">
        <v>5239</v>
      </c>
      <c r="D229" s="48"/>
      <c r="E229" s="60"/>
      <c r="F229" s="60"/>
      <c r="G229" s="70"/>
      <c r="H229" s="51"/>
      <c r="I229" s="60"/>
      <c r="J229" s="60"/>
      <c r="K229" s="60"/>
      <c r="L229" s="60"/>
    </row>
    <row r="230" spans="2:12" ht="30">
      <c r="B230" s="49" t="s">
        <v>5131</v>
      </c>
      <c r="C230" s="44" t="s">
        <v>5240</v>
      </c>
      <c r="D230" s="48"/>
      <c r="E230" s="60"/>
      <c r="F230" s="60"/>
      <c r="G230" s="70"/>
      <c r="H230" s="51"/>
      <c r="I230" s="60"/>
      <c r="J230" s="60"/>
      <c r="K230" s="60"/>
      <c r="L230" s="60"/>
    </row>
    <row r="231" spans="2:12">
      <c r="B231" s="49" t="s">
        <v>5132</v>
      </c>
      <c r="C231" s="44" t="s">
        <v>5241</v>
      </c>
      <c r="D231" s="48"/>
      <c r="E231" s="60"/>
      <c r="F231" s="60"/>
      <c r="G231" s="70"/>
      <c r="H231" s="51"/>
      <c r="I231" s="60"/>
      <c r="J231" s="60"/>
      <c r="K231" s="60"/>
      <c r="L231" s="60"/>
    </row>
    <row r="232" spans="2:12">
      <c r="B232" s="49" t="s">
        <v>5178</v>
      </c>
      <c r="C232" s="44" t="s">
        <v>5242</v>
      </c>
      <c r="D232" s="48"/>
      <c r="E232" s="60"/>
      <c r="F232" s="60"/>
      <c r="G232" s="70"/>
      <c r="H232" s="51"/>
      <c r="I232" s="60"/>
      <c r="J232" s="60"/>
      <c r="K232" s="60"/>
      <c r="L232" s="60"/>
    </row>
    <row r="233" spans="2:12">
      <c r="B233" s="49" t="s">
        <v>5136</v>
      </c>
      <c r="C233" s="44" t="s">
        <v>5243</v>
      </c>
      <c r="D233" s="48"/>
      <c r="E233" s="60"/>
      <c r="F233" s="60"/>
      <c r="G233" s="70"/>
      <c r="H233" s="51"/>
      <c r="I233" s="60"/>
      <c r="J233" s="60"/>
      <c r="K233" s="60"/>
      <c r="L233" s="60"/>
    </row>
    <row r="234" spans="2:12">
      <c r="B234" s="49" t="s">
        <v>5137</v>
      </c>
      <c r="C234" s="44" t="s">
        <v>3529</v>
      </c>
      <c r="D234" s="48"/>
      <c r="E234" s="60"/>
      <c r="F234" s="60"/>
      <c r="G234" s="70"/>
      <c r="H234" s="51"/>
      <c r="I234" s="60"/>
      <c r="J234" s="60"/>
      <c r="K234" s="60"/>
      <c r="L234" s="60"/>
    </row>
    <row r="235" spans="2:12">
      <c r="B235" s="49" t="s">
        <v>5129</v>
      </c>
      <c r="C235" s="44" t="s">
        <v>5244</v>
      </c>
      <c r="D235" s="48"/>
      <c r="E235" s="60"/>
      <c r="F235" s="60"/>
      <c r="G235" s="70"/>
      <c r="H235" s="51"/>
      <c r="I235" s="60"/>
      <c r="J235" s="60"/>
      <c r="K235" s="60"/>
      <c r="L235" s="60"/>
    </row>
    <row r="236" spans="2:12">
      <c r="B236" s="49" t="s">
        <v>5142</v>
      </c>
      <c r="C236" s="44" t="s">
        <v>3530</v>
      </c>
      <c r="D236" s="48"/>
      <c r="E236" s="60"/>
      <c r="F236" s="60"/>
      <c r="G236" s="70"/>
      <c r="H236" s="68"/>
      <c r="I236" s="60"/>
      <c r="J236" s="60"/>
      <c r="K236" s="60"/>
      <c r="L236" s="60"/>
    </row>
    <row r="237" spans="2:12">
      <c r="B237" s="49" t="s">
        <v>5245</v>
      </c>
      <c r="C237" s="44" t="s">
        <v>3531</v>
      </c>
      <c r="D237" s="46"/>
      <c r="E237" s="63"/>
      <c r="F237" s="63"/>
      <c r="G237" s="78"/>
      <c r="H237" s="48"/>
      <c r="I237" s="63"/>
      <c r="J237" s="63"/>
      <c r="K237" s="63"/>
      <c r="L237" s="63"/>
    </row>
    <row r="238" spans="2:12">
      <c r="B238" s="49" t="s">
        <v>5150</v>
      </c>
      <c r="C238" s="41" t="s">
        <v>5246</v>
      </c>
      <c r="D238" s="64"/>
      <c r="E238" s="58"/>
      <c r="F238" s="58"/>
      <c r="G238" s="58"/>
      <c r="H238" s="58"/>
      <c r="I238" s="58"/>
      <c r="J238" s="58"/>
      <c r="K238" s="58"/>
      <c r="L238" s="48"/>
    </row>
    <row r="239" spans="2:12">
      <c r="B239" s="49" t="s">
        <v>5151</v>
      </c>
      <c r="C239" s="41" t="s">
        <v>5247</v>
      </c>
      <c r="D239" s="64"/>
      <c r="E239" s="58"/>
      <c r="F239" s="58"/>
      <c r="G239" s="58"/>
      <c r="H239" s="58"/>
      <c r="I239" s="58"/>
      <c r="J239" s="58"/>
      <c r="K239" s="58"/>
      <c r="L239" s="48"/>
    </row>
    <row r="240" spans="2:12">
      <c r="B240" s="49" t="s">
        <v>5152</v>
      </c>
      <c r="C240" s="41" t="s">
        <v>5248</v>
      </c>
      <c r="D240" s="64"/>
      <c r="E240" s="58"/>
      <c r="F240" s="58"/>
      <c r="G240" s="58"/>
      <c r="H240" s="58"/>
      <c r="I240" s="58"/>
      <c r="J240" s="58"/>
      <c r="K240" s="58"/>
      <c r="L240" s="48"/>
    </row>
    <row r="241" spans="2:12">
      <c r="B241" s="49" t="s">
        <v>5153</v>
      </c>
      <c r="C241" s="41" t="s">
        <v>5249</v>
      </c>
      <c r="D241" s="64"/>
      <c r="E241" s="58"/>
      <c r="F241" s="58"/>
      <c r="G241" s="58"/>
      <c r="H241" s="58"/>
      <c r="I241" s="58"/>
      <c r="J241" s="58"/>
      <c r="K241" s="58"/>
      <c r="L241" s="48"/>
    </row>
    <row r="242" spans="2:12">
      <c r="B242" s="49" t="s">
        <v>5154</v>
      </c>
      <c r="C242" s="41" t="s">
        <v>5250</v>
      </c>
      <c r="D242" s="64"/>
      <c r="E242" s="58"/>
      <c r="F242" s="58"/>
      <c r="G242" s="58"/>
      <c r="H242" s="58"/>
      <c r="I242" s="58"/>
      <c r="J242" s="58"/>
      <c r="K242" s="58"/>
      <c r="L242" s="48"/>
    </row>
    <row r="243" spans="2:12">
      <c r="B243" s="49" t="s">
        <v>5155</v>
      </c>
      <c r="C243" s="41" t="s">
        <v>5251</v>
      </c>
      <c r="D243" s="64"/>
      <c r="E243" s="58"/>
      <c r="F243" s="58"/>
      <c r="G243" s="58"/>
      <c r="H243" s="58"/>
      <c r="I243" s="58"/>
      <c r="J243" s="58"/>
      <c r="K243" s="58"/>
      <c r="L243" s="48"/>
    </row>
    <row r="244" spans="2:12">
      <c r="B244" s="49" t="s">
        <v>5156</v>
      </c>
      <c r="C244" s="41" t="s">
        <v>5252</v>
      </c>
      <c r="D244" s="64"/>
      <c r="E244" s="58"/>
      <c r="F244" s="58"/>
      <c r="G244" s="58"/>
      <c r="H244" s="58"/>
      <c r="I244" s="58"/>
      <c r="J244" s="58"/>
      <c r="K244" s="58"/>
      <c r="L244" s="48"/>
    </row>
    <row r="245" spans="2:12">
      <c r="B245" s="49" t="s">
        <v>5157</v>
      </c>
      <c r="C245" s="41" t="s">
        <v>3532</v>
      </c>
      <c r="D245" s="64"/>
      <c r="E245" s="58"/>
      <c r="F245" s="58"/>
      <c r="G245" s="58"/>
      <c r="H245" s="58"/>
      <c r="I245" s="58"/>
      <c r="J245" s="58"/>
      <c r="K245" s="58"/>
      <c r="L245" s="48"/>
    </row>
    <row r="246" spans="2:12">
      <c r="B246" s="49" t="s">
        <v>5158</v>
      </c>
      <c r="C246" s="41" t="s">
        <v>5253</v>
      </c>
      <c r="D246" s="64"/>
      <c r="E246" s="58"/>
      <c r="F246" s="58"/>
      <c r="G246" s="58"/>
      <c r="H246" s="58"/>
      <c r="I246" s="58"/>
      <c r="J246" s="58"/>
      <c r="K246" s="58"/>
      <c r="L246" s="48"/>
    </row>
    <row r="247" spans="2:12">
      <c r="B247" s="49" t="s">
        <v>5159</v>
      </c>
      <c r="C247" s="41" t="s">
        <v>5254</v>
      </c>
      <c r="D247" s="64"/>
      <c r="E247" s="58"/>
      <c r="F247" s="58"/>
      <c r="G247" s="58"/>
      <c r="H247" s="58"/>
      <c r="I247" s="58"/>
      <c r="J247" s="58"/>
      <c r="K247" s="58"/>
      <c r="L247" s="48"/>
    </row>
    <row r="248" spans="2:12">
      <c r="B248" s="49" t="s">
        <v>5160</v>
      </c>
      <c r="C248" s="41" t="s">
        <v>5255</v>
      </c>
      <c r="D248" s="64"/>
      <c r="E248" s="58"/>
      <c r="F248" s="58"/>
      <c r="G248" s="58"/>
      <c r="H248" s="58"/>
      <c r="I248" s="58"/>
      <c r="J248" s="58"/>
      <c r="K248" s="58"/>
      <c r="L248" s="48"/>
    </row>
    <row r="249" spans="2:12">
      <c r="B249" s="49" t="s">
        <v>5161</v>
      </c>
      <c r="C249" s="41" t="s">
        <v>5256</v>
      </c>
      <c r="D249" s="64"/>
      <c r="E249" s="58"/>
      <c r="F249" s="58"/>
      <c r="G249" s="58"/>
      <c r="H249" s="58"/>
      <c r="I249" s="58"/>
      <c r="J249" s="58"/>
      <c r="K249" s="58"/>
      <c r="L249" s="48"/>
    </row>
    <row r="250" spans="2:12">
      <c r="B250" s="49" t="s">
        <v>5162</v>
      </c>
      <c r="C250" s="41" t="s">
        <v>5257</v>
      </c>
      <c r="D250" s="64"/>
      <c r="E250" s="58"/>
      <c r="F250" s="58"/>
      <c r="G250" s="58"/>
      <c r="H250" s="58"/>
      <c r="I250" s="58"/>
      <c r="J250" s="58"/>
      <c r="K250" s="58"/>
      <c r="L250" s="48"/>
    </row>
    <row r="251" spans="2:12">
      <c r="B251" s="49" t="s">
        <v>5163</v>
      </c>
      <c r="C251" s="41" t="s">
        <v>5258</v>
      </c>
      <c r="D251" s="64"/>
      <c r="E251" s="58"/>
      <c r="F251" s="58"/>
      <c r="G251" s="58"/>
      <c r="H251" s="58"/>
      <c r="I251" s="58"/>
      <c r="J251" s="58"/>
      <c r="K251" s="58"/>
      <c r="L251" s="48"/>
    </row>
    <row r="252" spans="2:12">
      <c r="B252" s="49" t="s">
        <v>5164</v>
      </c>
      <c r="C252" s="41" t="s">
        <v>5259</v>
      </c>
      <c r="D252" s="64"/>
      <c r="E252" s="58"/>
      <c r="F252" s="58"/>
      <c r="G252" s="58"/>
      <c r="H252" s="58"/>
      <c r="I252" s="58"/>
      <c r="J252" s="58"/>
      <c r="K252" s="58"/>
      <c r="L252" s="48"/>
    </row>
    <row r="253" spans="2:12">
      <c r="B253" s="49" t="s">
        <v>5165</v>
      </c>
      <c r="C253" s="41" t="s">
        <v>5260</v>
      </c>
      <c r="D253" s="64"/>
      <c r="E253" s="58"/>
      <c r="F253" s="58"/>
      <c r="G253" s="58"/>
      <c r="H253" s="58"/>
      <c r="I253" s="58"/>
      <c r="J253" s="58"/>
      <c r="K253" s="58"/>
      <c r="L253" s="48"/>
    </row>
    <row r="254" spans="2:12">
      <c r="B254" s="49" t="s">
        <v>5166</v>
      </c>
      <c r="C254" s="41" t="s">
        <v>5261</v>
      </c>
      <c r="D254" s="64"/>
      <c r="E254" s="58"/>
      <c r="F254" s="58"/>
      <c r="G254" s="58"/>
      <c r="H254" s="58"/>
      <c r="I254" s="58"/>
      <c r="J254" s="58"/>
      <c r="K254" s="58"/>
      <c r="L254" s="48"/>
    </row>
    <row r="255" spans="2:12">
      <c r="B255" s="49" t="s">
        <v>5167</v>
      </c>
      <c r="C255" s="41" t="s">
        <v>3533</v>
      </c>
      <c r="D255" s="64"/>
      <c r="E255" s="58"/>
      <c r="F255" s="58"/>
      <c r="G255" s="58"/>
      <c r="H255" s="58"/>
      <c r="I255" s="56"/>
      <c r="J255" s="56"/>
      <c r="K255" s="56"/>
      <c r="L255" s="46"/>
    </row>
    <row r="256" spans="2:12">
      <c r="B256" s="49" t="s">
        <v>5262</v>
      </c>
      <c r="C256" s="41" t="s">
        <v>3534</v>
      </c>
      <c r="D256" s="65"/>
      <c r="E256" s="58"/>
      <c r="F256" s="58"/>
      <c r="G256" s="58"/>
      <c r="H256" s="48"/>
      <c r="I256" s="60"/>
      <c r="J256" s="60"/>
      <c r="K256" s="60"/>
      <c r="L256" s="60"/>
    </row>
    <row r="257" spans="2:27">
      <c r="B257" s="49" t="s">
        <v>5263</v>
      </c>
      <c r="C257" s="44" t="s">
        <v>3535</v>
      </c>
      <c r="D257" s="58"/>
      <c r="E257" s="58"/>
      <c r="F257" s="58"/>
      <c r="G257" s="58"/>
      <c r="H257" s="48"/>
      <c r="I257" s="60"/>
      <c r="J257" s="63"/>
      <c r="K257" s="63"/>
      <c r="L257" s="60"/>
    </row>
    <row r="258" spans="2:27">
      <c r="B258" s="49" t="s">
        <v>5170</v>
      </c>
      <c r="C258" s="44" t="s">
        <v>5264</v>
      </c>
      <c r="D258" s="58"/>
      <c r="E258" s="58"/>
      <c r="F258" s="58"/>
      <c r="G258" s="58"/>
      <c r="H258" s="48"/>
      <c r="I258" s="64"/>
      <c r="J258" s="58"/>
      <c r="K258" s="48"/>
      <c r="L258" s="60"/>
    </row>
    <row r="259" spans="2:27">
      <c r="B259" s="49" t="s">
        <v>5265</v>
      </c>
      <c r="C259" s="44" t="s">
        <v>5266</v>
      </c>
      <c r="D259" s="56"/>
      <c r="E259" s="56"/>
      <c r="F259" s="56"/>
      <c r="G259" s="56"/>
      <c r="H259" s="46"/>
      <c r="I259" s="64"/>
      <c r="J259" s="56"/>
      <c r="K259" s="46"/>
      <c r="L259" s="60"/>
    </row>
    <row r="261" spans="2:27">
      <c r="Z261" s="13" t="str">
        <f>Show!$B$156&amp;Show!$B$156&amp;"S.27.01.01.05 Rows {"&amp;COLUMN($C$1)&amp;"}"</f>
        <v>!!S.27.01.01.05 Rows {3}</v>
      </c>
      <c r="AA261" s="13" t="str">
        <f>Show!$B$156&amp;Show!$B$156&amp;"S.27.01.01.05 Columns {"&amp;COLUMN($L$1)&amp;"}"</f>
        <v>!!S.27.01.01.05 Columns {12}</v>
      </c>
    </row>
    <row r="263" spans="2:27" ht="18.75">
      <c r="B263" s="97" t="s">
        <v>5267</v>
      </c>
      <c r="C263" s="96"/>
      <c r="D263" s="96"/>
      <c r="E263" s="96"/>
      <c r="F263" s="96"/>
      <c r="G263" s="96"/>
      <c r="H263" s="96"/>
      <c r="I263" s="96"/>
      <c r="J263" s="96"/>
      <c r="K263" s="96"/>
      <c r="L263" s="96"/>
    </row>
    <row r="267" spans="2:27">
      <c r="D267" s="101" t="s">
        <v>2877</v>
      </c>
      <c r="E267" s="102"/>
      <c r="F267" s="102"/>
      <c r="G267" s="102"/>
      <c r="H267" s="102"/>
      <c r="I267" s="102"/>
      <c r="J267" s="102"/>
      <c r="K267" s="103"/>
    </row>
    <row r="268" spans="2:27">
      <c r="D268" s="104"/>
      <c r="E268" s="105"/>
      <c r="F268" s="105"/>
      <c r="G268" s="105"/>
      <c r="H268" s="105"/>
      <c r="I268" s="105"/>
      <c r="J268" s="105"/>
      <c r="K268" s="106"/>
    </row>
    <row r="269" spans="2:27">
      <c r="D269" s="98" t="s">
        <v>5114</v>
      </c>
      <c r="E269" s="98" t="s">
        <v>5115</v>
      </c>
      <c r="F269" s="98" t="s">
        <v>5116</v>
      </c>
      <c r="G269" s="98" t="s">
        <v>5117</v>
      </c>
      <c r="H269" s="98" t="s">
        <v>5119</v>
      </c>
      <c r="I269" s="98" t="s">
        <v>5120</v>
      </c>
      <c r="J269" s="98" t="s">
        <v>5121</v>
      </c>
      <c r="K269" s="98" t="s">
        <v>5122</v>
      </c>
    </row>
    <row r="270" spans="2:27">
      <c r="D270" s="100"/>
      <c r="E270" s="100"/>
      <c r="F270" s="100"/>
      <c r="G270" s="100"/>
      <c r="H270" s="100"/>
      <c r="I270" s="100"/>
      <c r="J270" s="100"/>
      <c r="K270" s="100"/>
    </row>
    <row r="271" spans="2:27">
      <c r="D271" s="45" t="s">
        <v>3628</v>
      </c>
      <c r="E271" s="45" t="s">
        <v>3634</v>
      </c>
      <c r="F271" s="45" t="s">
        <v>3636</v>
      </c>
      <c r="G271" s="45" t="s">
        <v>3701</v>
      </c>
      <c r="H271" s="45" t="s">
        <v>3702</v>
      </c>
      <c r="I271" s="45" t="s">
        <v>3675</v>
      </c>
      <c r="J271" s="45" t="s">
        <v>3955</v>
      </c>
      <c r="K271" s="45" t="s">
        <v>3956</v>
      </c>
      <c r="Z271" s="13" t="str">
        <f>Show!$B$156&amp;"S.27.01.01.06 Rows {"&amp;COLUMN($C$1)&amp;"}"&amp;"@ForceFilingCode:true"</f>
        <v>!S.27.01.01.06 Rows {3}@ForceFilingCode:true</v>
      </c>
      <c r="AA271" s="13" t="str">
        <f>Show!$B$156&amp;"S.27.01.01.06 Columns {"&amp;COLUMN($D$1)&amp;"}"</f>
        <v>!S.27.01.01.06 Columns {4}</v>
      </c>
    </row>
    <row r="272" spans="2:27">
      <c r="B272" s="43" t="s">
        <v>2880</v>
      </c>
      <c r="C272" s="44" t="s">
        <v>2878</v>
      </c>
      <c r="D272" s="58"/>
      <c r="E272" s="67"/>
      <c r="F272" s="67"/>
      <c r="G272" s="67"/>
      <c r="H272" s="67"/>
      <c r="I272" s="67"/>
      <c r="J272" s="67"/>
      <c r="K272" s="59"/>
    </row>
    <row r="273" spans="2:27">
      <c r="B273" s="47" t="s">
        <v>5268</v>
      </c>
      <c r="C273" s="44" t="s">
        <v>2878</v>
      </c>
      <c r="D273" s="56"/>
      <c r="E273" s="66"/>
      <c r="F273" s="66"/>
      <c r="G273" s="66"/>
      <c r="H273" s="66"/>
      <c r="I273" s="66"/>
      <c r="J273" s="66"/>
      <c r="K273" s="57"/>
    </row>
    <row r="274" spans="2:27">
      <c r="B274" s="49" t="s">
        <v>5269</v>
      </c>
      <c r="C274" s="41" t="s">
        <v>5270</v>
      </c>
      <c r="D274" s="63"/>
      <c r="E274" s="63"/>
      <c r="F274" s="63"/>
      <c r="G274" s="76"/>
      <c r="H274" s="60"/>
      <c r="I274" s="63"/>
      <c r="J274" s="63"/>
      <c r="K274" s="60"/>
    </row>
    <row r="275" spans="2:27">
      <c r="B275" s="49" t="s">
        <v>5271</v>
      </c>
      <c r="C275" s="44" t="s">
        <v>5272</v>
      </c>
      <c r="D275" s="58"/>
      <c r="E275" s="58"/>
      <c r="F275" s="58"/>
      <c r="G275" s="48"/>
      <c r="H275" s="64"/>
      <c r="I275" s="58"/>
      <c r="J275" s="48"/>
      <c r="K275" s="60"/>
    </row>
    <row r="276" spans="2:27">
      <c r="B276" s="49" t="s">
        <v>5273</v>
      </c>
      <c r="C276" s="44" t="s">
        <v>5274</v>
      </c>
      <c r="D276" s="56"/>
      <c r="E276" s="56"/>
      <c r="F276" s="56"/>
      <c r="G276" s="46"/>
      <c r="H276" s="64"/>
      <c r="I276" s="56"/>
      <c r="J276" s="46"/>
      <c r="K276" s="60"/>
    </row>
    <row r="278" spans="2:27">
      <c r="Z278" s="13" t="str">
        <f>Show!$B$156&amp;Show!$B$156&amp;"S.27.01.01.06 Rows {"&amp;COLUMN($C$1)&amp;"}"</f>
        <v>!!S.27.01.01.06 Rows {3}</v>
      </c>
      <c r="AA278" s="13" t="str">
        <f>Show!$B$156&amp;Show!$B$156&amp;"S.27.01.01.06 Columns {"&amp;COLUMN($K$1)&amp;"}"</f>
        <v>!!S.27.01.01.06 Columns {11}</v>
      </c>
    </row>
    <row r="280" spans="2:27" ht="18.75">
      <c r="B280" s="97" t="s">
        <v>5275</v>
      </c>
      <c r="C280" s="96"/>
      <c r="D280" s="96"/>
      <c r="E280" s="96"/>
      <c r="F280" s="96"/>
      <c r="G280" s="96"/>
      <c r="H280" s="96"/>
      <c r="I280" s="96"/>
      <c r="J280" s="96"/>
      <c r="K280" s="96"/>
      <c r="L280" s="96"/>
    </row>
    <row r="284" spans="2:27">
      <c r="D284" s="101" t="s">
        <v>2877</v>
      </c>
      <c r="E284" s="102"/>
      <c r="F284" s="102"/>
      <c r="G284" s="102"/>
      <c r="H284" s="103"/>
    </row>
    <row r="285" spans="2:27">
      <c r="D285" s="104"/>
      <c r="E285" s="105"/>
      <c r="F285" s="105"/>
      <c r="G285" s="105"/>
      <c r="H285" s="106"/>
    </row>
    <row r="286" spans="2:27">
      <c r="D286" s="107" t="s">
        <v>5276</v>
      </c>
      <c r="E286" s="108"/>
      <c r="F286" s="108"/>
      <c r="G286" s="108"/>
      <c r="H286" s="109"/>
    </row>
    <row r="287" spans="2:27" ht="60">
      <c r="D287" s="55" t="s">
        <v>5277</v>
      </c>
      <c r="E287" s="55" t="s">
        <v>5119</v>
      </c>
      <c r="F287" s="55" t="s">
        <v>5120</v>
      </c>
      <c r="G287" s="55" t="s">
        <v>5121</v>
      </c>
      <c r="H287" s="55" t="s">
        <v>5122</v>
      </c>
    </row>
    <row r="288" spans="2:27">
      <c r="D288" s="45" t="s">
        <v>3957</v>
      </c>
      <c r="E288" s="45" t="s">
        <v>3958</v>
      </c>
      <c r="F288" s="45" t="s">
        <v>3959</v>
      </c>
      <c r="G288" s="45" t="s">
        <v>3960</v>
      </c>
      <c r="H288" s="45" t="s">
        <v>3961</v>
      </c>
      <c r="Z288" s="13" t="str">
        <f>Show!$B$156&amp;"S.27.01.01.07 Rows {"&amp;COLUMN($C$1)&amp;"}"&amp;"@ForceFilingCode:true"</f>
        <v>!S.27.01.01.07 Rows {3}@ForceFilingCode:true</v>
      </c>
      <c r="AA288" s="13" t="str">
        <f>Show!$B$156&amp;"S.27.01.01.07 Columns {"&amp;COLUMN($D$1)&amp;"}"</f>
        <v>!S.27.01.01.07 Columns {4}</v>
      </c>
    </row>
    <row r="289" spans="2:27">
      <c r="B289" s="43" t="s">
        <v>2880</v>
      </c>
      <c r="C289" s="44" t="s">
        <v>2878</v>
      </c>
      <c r="D289" s="56"/>
      <c r="E289" s="66"/>
      <c r="F289" s="66"/>
      <c r="G289" s="66"/>
      <c r="H289" s="57"/>
    </row>
    <row r="290" spans="2:27">
      <c r="B290" s="47" t="s">
        <v>3905</v>
      </c>
      <c r="C290" s="41" t="s">
        <v>3536</v>
      </c>
      <c r="D290" s="60"/>
      <c r="E290" s="60"/>
      <c r="F290" s="60"/>
      <c r="G290" s="60"/>
      <c r="H290" s="60"/>
    </row>
    <row r="292" spans="2:27">
      <c r="Z292" s="13" t="str">
        <f>Show!$B$156&amp;Show!$B$156&amp;"S.27.01.01.07 Rows {"&amp;COLUMN($C$1)&amp;"}"</f>
        <v>!!S.27.01.01.07 Rows {3}</v>
      </c>
      <c r="AA292" s="13" t="str">
        <f>Show!$B$156&amp;Show!$B$156&amp;"S.27.01.01.07 Columns {"&amp;COLUMN($H$1)&amp;"}"</f>
        <v>!!S.27.01.01.07 Columns {8}</v>
      </c>
    </row>
    <row r="294" spans="2:27" ht="18.75">
      <c r="B294" s="97" t="s">
        <v>5278</v>
      </c>
      <c r="C294" s="96"/>
      <c r="D294" s="96"/>
      <c r="E294" s="96"/>
      <c r="F294" s="96"/>
      <c r="G294" s="96"/>
      <c r="H294" s="96"/>
      <c r="I294" s="96"/>
      <c r="J294" s="96"/>
      <c r="K294" s="96"/>
      <c r="L294" s="96"/>
    </row>
    <row r="298" spans="2:27">
      <c r="D298" s="101" t="s">
        <v>2877</v>
      </c>
      <c r="E298" s="102"/>
      <c r="F298" s="102"/>
      <c r="G298" s="102"/>
      <c r="H298" s="102"/>
      <c r="I298" s="103"/>
    </row>
    <row r="299" spans="2:27">
      <c r="D299" s="104"/>
      <c r="E299" s="105"/>
      <c r="F299" s="105"/>
      <c r="G299" s="105"/>
      <c r="H299" s="105"/>
      <c r="I299" s="106"/>
    </row>
    <row r="300" spans="2:27">
      <c r="D300" s="107" t="s">
        <v>5279</v>
      </c>
      <c r="E300" s="108"/>
      <c r="F300" s="108"/>
      <c r="G300" s="108"/>
      <c r="H300" s="108"/>
      <c r="I300" s="109"/>
    </row>
    <row r="301" spans="2:27" ht="75">
      <c r="D301" s="55" t="s">
        <v>5280</v>
      </c>
      <c r="E301" s="55" t="s">
        <v>5281</v>
      </c>
      <c r="F301" s="55" t="s">
        <v>5282</v>
      </c>
      <c r="G301" s="55" t="s">
        <v>5120</v>
      </c>
      <c r="H301" s="55" t="s">
        <v>5121</v>
      </c>
      <c r="I301" s="55" t="s">
        <v>5283</v>
      </c>
    </row>
    <row r="302" spans="2:27">
      <c r="D302" s="45" t="s">
        <v>3962</v>
      </c>
      <c r="E302" s="45" t="s">
        <v>3963</v>
      </c>
      <c r="F302" s="45" t="s">
        <v>3964</v>
      </c>
      <c r="G302" s="45" t="s">
        <v>3965</v>
      </c>
      <c r="H302" s="45" t="s">
        <v>3967</v>
      </c>
      <c r="I302" s="45" t="s">
        <v>4546</v>
      </c>
      <c r="Z302" s="13" t="str">
        <f>Show!$B$156&amp;"S.27.01.01.08 Rows {"&amp;COLUMN($C$1)&amp;"}"&amp;"@ForceFilingCode:true"</f>
        <v>!S.27.01.01.08 Rows {3}@ForceFilingCode:true</v>
      </c>
      <c r="AA302" s="13" t="str">
        <f>Show!$B$156&amp;"S.27.01.01.08 Columns {"&amp;COLUMN($D$1)&amp;"}"</f>
        <v>!S.27.01.01.08 Columns {4}</v>
      </c>
    </row>
    <row r="303" spans="2:27">
      <c r="B303" s="43" t="s">
        <v>2880</v>
      </c>
      <c r="C303" s="44" t="s">
        <v>2878</v>
      </c>
      <c r="D303" s="56"/>
      <c r="E303" s="66"/>
      <c r="F303" s="66"/>
      <c r="G303" s="66"/>
      <c r="H303" s="66"/>
      <c r="I303" s="57"/>
    </row>
    <row r="304" spans="2:27">
      <c r="B304" s="47" t="s">
        <v>5284</v>
      </c>
      <c r="C304" s="41" t="s">
        <v>3539</v>
      </c>
      <c r="D304" s="50"/>
      <c r="E304" s="50"/>
      <c r="F304" s="60"/>
      <c r="G304" s="60"/>
      <c r="H304" s="60"/>
      <c r="I304" s="60"/>
    </row>
    <row r="306" spans="2:27">
      <c r="Z306" s="13" t="str">
        <f>Show!$B$156&amp;Show!$B$156&amp;"S.27.01.01.08 Rows {"&amp;COLUMN($C$1)&amp;"}"</f>
        <v>!!S.27.01.01.08 Rows {3}</v>
      </c>
      <c r="AA306" s="13" t="str">
        <f>Show!$B$156&amp;Show!$B$156&amp;"S.27.01.01.08 Columns {"&amp;COLUMN($I$1)&amp;"}"</f>
        <v>!!S.27.01.01.08 Columns {9}</v>
      </c>
    </row>
    <row r="308" spans="2:27" ht="18.75">
      <c r="B308" s="97" t="s">
        <v>5285</v>
      </c>
      <c r="C308" s="96"/>
      <c r="D308" s="96"/>
      <c r="E308" s="96"/>
      <c r="F308" s="96"/>
      <c r="G308" s="96"/>
      <c r="H308" s="96"/>
      <c r="I308" s="96"/>
      <c r="J308" s="96"/>
      <c r="K308" s="96"/>
      <c r="L308" s="96"/>
    </row>
    <row r="312" spans="2:27">
      <c r="D312" s="101" t="s">
        <v>2877</v>
      </c>
      <c r="E312" s="102"/>
      <c r="F312" s="102"/>
      <c r="G312" s="102"/>
      <c r="H312" s="102"/>
      <c r="I312" s="102"/>
      <c r="J312" s="102"/>
      <c r="K312" s="103"/>
    </row>
    <row r="313" spans="2:27">
      <c r="D313" s="104"/>
      <c r="E313" s="105"/>
      <c r="F313" s="105"/>
      <c r="G313" s="105"/>
      <c r="H313" s="105"/>
      <c r="I313" s="105"/>
      <c r="J313" s="105"/>
      <c r="K313" s="106"/>
    </row>
    <row r="314" spans="2:27" ht="105">
      <c r="D314" s="55" t="s">
        <v>5286</v>
      </c>
      <c r="E314" s="55" t="s">
        <v>5287</v>
      </c>
      <c r="F314" s="55" t="s">
        <v>5288</v>
      </c>
      <c r="G314" s="55" t="s">
        <v>5289</v>
      </c>
      <c r="H314" s="55" t="s">
        <v>5120</v>
      </c>
      <c r="I314" s="55" t="s">
        <v>5121</v>
      </c>
      <c r="J314" s="55" t="s">
        <v>5290</v>
      </c>
      <c r="K314" s="55" t="s">
        <v>5291</v>
      </c>
    </row>
    <row r="315" spans="2:27">
      <c r="D315" s="45" t="s">
        <v>4547</v>
      </c>
      <c r="E315" s="45" t="s">
        <v>4551</v>
      </c>
      <c r="F315" s="45" t="s">
        <v>3969</v>
      </c>
      <c r="G315" s="45" t="s">
        <v>3970</v>
      </c>
      <c r="H315" s="45" t="s">
        <v>3971</v>
      </c>
      <c r="I315" s="45" t="s">
        <v>3972</v>
      </c>
      <c r="J315" s="45" t="s">
        <v>3973</v>
      </c>
      <c r="K315" s="45" t="s">
        <v>3974</v>
      </c>
      <c r="Z315" s="13" t="str">
        <f>Show!$B$156&amp;"S.27.01.01.09 Rows {"&amp;COLUMN($C$1)&amp;"}"&amp;"@ForceFilingCode:true"</f>
        <v>!S.27.01.01.09 Rows {3}@ForceFilingCode:true</v>
      </c>
      <c r="AA315" s="13" t="str">
        <f>Show!$B$156&amp;"S.27.01.01.09 Columns {"&amp;COLUMN($D$1)&amp;"}"</f>
        <v>!S.27.01.01.09 Columns {4}</v>
      </c>
    </row>
    <row r="316" spans="2:27">
      <c r="B316" s="43" t="s">
        <v>2880</v>
      </c>
      <c r="C316" s="44" t="s">
        <v>2878</v>
      </c>
      <c r="D316" s="56"/>
      <c r="E316" s="66"/>
      <c r="F316" s="66"/>
      <c r="G316" s="66"/>
      <c r="H316" s="66"/>
      <c r="I316" s="66"/>
      <c r="J316" s="66"/>
      <c r="K316" s="57"/>
    </row>
    <row r="317" spans="2:27">
      <c r="B317" s="47" t="s">
        <v>5292</v>
      </c>
      <c r="C317" s="41" t="s">
        <v>3542</v>
      </c>
      <c r="D317" s="60"/>
      <c r="E317" s="60"/>
      <c r="F317" s="60"/>
      <c r="G317" s="60"/>
      <c r="H317" s="60"/>
      <c r="I317" s="60"/>
      <c r="J317" s="60"/>
      <c r="K317" s="51"/>
    </row>
    <row r="319" spans="2:27">
      <c r="Z319" s="13" t="str">
        <f>Show!$B$156&amp;Show!$B$156&amp;"S.27.01.01.09 Rows {"&amp;COLUMN($C$1)&amp;"}"</f>
        <v>!!S.27.01.01.09 Rows {3}</v>
      </c>
      <c r="AA319" s="13" t="str">
        <f>Show!$B$156&amp;Show!$B$156&amp;"S.27.01.01.09 Columns {"&amp;COLUMN($K$1)&amp;"}"</f>
        <v>!!S.27.01.01.09 Columns {11}</v>
      </c>
    </row>
    <row r="321" spans="2:27" ht="18.75">
      <c r="B321" s="97" t="s">
        <v>5293</v>
      </c>
      <c r="C321" s="96"/>
      <c r="D321" s="96"/>
      <c r="E321" s="96"/>
      <c r="F321" s="96"/>
      <c r="G321" s="96"/>
      <c r="H321" s="96"/>
      <c r="I321" s="96"/>
      <c r="J321" s="96"/>
      <c r="K321" s="96"/>
      <c r="L321" s="96"/>
    </row>
    <row r="325" spans="2:27">
      <c r="D325" s="101" t="s">
        <v>2877</v>
      </c>
      <c r="E325" s="102"/>
      <c r="F325" s="102"/>
      <c r="G325" s="102"/>
      <c r="H325" s="102"/>
      <c r="I325" s="102"/>
      <c r="J325" s="102"/>
      <c r="K325" s="102"/>
      <c r="L325" s="102"/>
      <c r="M325" s="103"/>
    </row>
    <row r="326" spans="2:27">
      <c r="D326" s="104"/>
      <c r="E326" s="105"/>
      <c r="F326" s="105"/>
      <c r="G326" s="105"/>
      <c r="H326" s="105"/>
      <c r="I326" s="105"/>
      <c r="J326" s="105"/>
      <c r="K326" s="105"/>
      <c r="L326" s="105"/>
      <c r="M326" s="106"/>
    </row>
    <row r="327" spans="2:27" ht="120">
      <c r="D327" s="55" t="s">
        <v>5294</v>
      </c>
      <c r="E327" s="55" t="s">
        <v>5295</v>
      </c>
      <c r="F327" s="55" t="s">
        <v>5296</v>
      </c>
      <c r="G327" s="55" t="s">
        <v>5297</v>
      </c>
      <c r="H327" s="55" t="s">
        <v>5298</v>
      </c>
      <c r="I327" s="55" t="s">
        <v>5299</v>
      </c>
      <c r="J327" s="55" t="s">
        <v>5120</v>
      </c>
      <c r="K327" s="55" t="s">
        <v>5121</v>
      </c>
      <c r="L327" s="55" t="s">
        <v>5300</v>
      </c>
      <c r="M327" s="55" t="s">
        <v>5301</v>
      </c>
    </row>
    <row r="328" spans="2:27">
      <c r="D328" s="45" t="s">
        <v>3975</v>
      </c>
      <c r="E328" s="45" t="s">
        <v>3976</v>
      </c>
      <c r="F328" s="45" t="s">
        <v>3977</v>
      </c>
      <c r="G328" s="45" t="s">
        <v>3978</v>
      </c>
      <c r="H328" s="45" t="s">
        <v>3979</v>
      </c>
      <c r="I328" s="45" t="s">
        <v>3980</v>
      </c>
      <c r="J328" s="45" t="s">
        <v>3981</v>
      </c>
      <c r="K328" s="45" t="s">
        <v>3982</v>
      </c>
      <c r="L328" s="45" t="s">
        <v>3983</v>
      </c>
      <c r="M328" s="45" t="s">
        <v>3984</v>
      </c>
      <c r="Z328" s="13" t="str">
        <f>Show!$B$156&amp;"S.27.01.01.10 Rows {"&amp;COLUMN($C$1)&amp;"}"&amp;"@ForceFilingCode:true"</f>
        <v>!S.27.01.01.10 Rows {3}@ForceFilingCode:true</v>
      </c>
      <c r="AA328" s="13" t="str">
        <f>Show!$B$156&amp;"S.27.01.01.10 Columns {"&amp;COLUMN($D$1)&amp;"}"</f>
        <v>!S.27.01.01.10 Columns {4}</v>
      </c>
    </row>
    <row r="329" spans="2:27">
      <c r="B329" s="43" t="s">
        <v>2880</v>
      </c>
      <c r="C329" s="44" t="s">
        <v>2878</v>
      </c>
      <c r="D329" s="56"/>
      <c r="E329" s="66"/>
      <c r="F329" s="66"/>
      <c r="G329" s="66"/>
      <c r="H329" s="66"/>
      <c r="I329" s="66"/>
      <c r="J329" s="66"/>
      <c r="K329" s="66"/>
      <c r="L329" s="66"/>
      <c r="M329" s="57"/>
    </row>
    <row r="330" spans="2:27">
      <c r="B330" s="47" t="s">
        <v>5302</v>
      </c>
      <c r="C330" s="41" t="s">
        <v>3545</v>
      </c>
      <c r="D330" s="60"/>
      <c r="E330" s="60"/>
      <c r="F330" s="60"/>
      <c r="G330" s="60"/>
      <c r="H330" s="60"/>
      <c r="I330" s="60"/>
      <c r="J330" s="60"/>
      <c r="K330" s="60"/>
      <c r="L330" s="60"/>
      <c r="M330" s="51"/>
    </row>
    <row r="332" spans="2:27">
      <c r="Z332" s="13" t="str">
        <f>Show!$B$156&amp;Show!$B$156&amp;"S.27.01.01.10 Rows {"&amp;COLUMN($C$1)&amp;"}"</f>
        <v>!!S.27.01.01.10 Rows {3}</v>
      </c>
      <c r="AA332" s="13" t="str">
        <f>Show!$B$156&amp;Show!$B$156&amp;"S.27.01.01.10 Columns {"&amp;COLUMN($M$1)&amp;"}"</f>
        <v>!!S.27.01.01.10 Columns {13}</v>
      </c>
    </row>
    <row r="334" spans="2:27" ht="18.75">
      <c r="B334" s="97" t="s">
        <v>5303</v>
      </c>
      <c r="C334" s="96"/>
      <c r="D334" s="96"/>
      <c r="E334" s="96"/>
      <c r="F334" s="96"/>
      <c r="G334" s="96"/>
      <c r="H334" s="96"/>
      <c r="I334" s="96"/>
      <c r="J334" s="96"/>
      <c r="K334" s="96"/>
      <c r="L334" s="96"/>
    </row>
    <row r="338" spans="2:27">
      <c r="D338" s="101" t="s">
        <v>2877</v>
      </c>
      <c r="E338" s="102"/>
      <c r="F338" s="103"/>
    </row>
    <row r="339" spans="2:27">
      <c r="D339" s="104"/>
      <c r="E339" s="105"/>
      <c r="F339" s="106"/>
    </row>
    <row r="340" spans="2:27">
      <c r="D340" s="107" t="s">
        <v>5304</v>
      </c>
      <c r="E340" s="108"/>
      <c r="F340" s="109"/>
    </row>
    <row r="341" spans="2:27" ht="60">
      <c r="D341" s="55" t="s">
        <v>5305</v>
      </c>
      <c r="E341" s="55" t="s">
        <v>5306</v>
      </c>
      <c r="F341" s="55" t="s">
        <v>5307</v>
      </c>
    </row>
    <row r="342" spans="2:27">
      <c r="D342" s="45" t="s">
        <v>3986</v>
      </c>
      <c r="E342" s="45" t="s">
        <v>3987</v>
      </c>
      <c r="F342" s="45" t="s">
        <v>4583</v>
      </c>
      <c r="Z342" s="13" t="str">
        <f>Show!$B$156&amp;"S.27.01.01.11 Rows {"&amp;COLUMN($C$1)&amp;"}"&amp;"@ForceFilingCode:true"</f>
        <v>!S.27.01.01.11 Rows {3}@ForceFilingCode:true</v>
      </c>
      <c r="AA342" s="13" t="str">
        <f>Show!$B$156&amp;"S.27.01.01.11 Columns {"&amp;COLUMN($D$1)&amp;"}"</f>
        <v>!S.27.01.01.11 Columns {4}</v>
      </c>
    </row>
    <row r="343" spans="2:27">
      <c r="B343" s="43" t="s">
        <v>2880</v>
      </c>
      <c r="C343" s="44" t="s">
        <v>2878</v>
      </c>
      <c r="D343" s="56"/>
      <c r="E343" s="66"/>
      <c r="F343" s="57"/>
    </row>
    <row r="344" spans="2:27">
      <c r="B344" s="47" t="s">
        <v>5308</v>
      </c>
      <c r="C344" s="41" t="s">
        <v>3548</v>
      </c>
      <c r="D344" s="60"/>
      <c r="E344" s="63"/>
      <c r="F344" s="60"/>
    </row>
    <row r="345" spans="2:27">
      <c r="B345" s="47" t="s">
        <v>5309</v>
      </c>
      <c r="C345" s="41" t="s">
        <v>5310</v>
      </c>
      <c r="D345" s="64"/>
      <c r="E345" s="46"/>
      <c r="F345" s="60"/>
    </row>
    <row r="346" spans="2:27">
      <c r="B346" s="47" t="s">
        <v>5311</v>
      </c>
      <c r="C346" s="41" t="s">
        <v>5312</v>
      </c>
      <c r="D346" s="60"/>
      <c r="E346" s="60"/>
      <c r="F346" s="60"/>
    </row>
    <row r="348" spans="2:27">
      <c r="Z348" s="13" t="str">
        <f>Show!$B$156&amp;Show!$B$156&amp;"S.27.01.01.11 Rows {"&amp;COLUMN($C$1)&amp;"}"</f>
        <v>!!S.27.01.01.11 Rows {3}</v>
      </c>
      <c r="AA348" s="13" t="str">
        <f>Show!$B$156&amp;Show!$B$156&amp;"S.27.01.01.11 Columns {"&amp;COLUMN($F$1)&amp;"}"</f>
        <v>!!S.27.01.01.11 Columns {6}</v>
      </c>
    </row>
    <row r="350" spans="2:27" ht="18.75">
      <c r="B350" s="97" t="s">
        <v>5313</v>
      </c>
      <c r="C350" s="96"/>
      <c r="D350" s="96"/>
      <c r="E350" s="96"/>
      <c r="F350" s="96"/>
      <c r="G350" s="96"/>
      <c r="H350" s="96"/>
      <c r="I350" s="96"/>
      <c r="J350" s="96"/>
      <c r="K350" s="96"/>
      <c r="L350" s="96"/>
    </row>
    <row r="354" spans="2:27">
      <c r="D354" s="101" t="s">
        <v>2877</v>
      </c>
      <c r="E354" s="102"/>
      <c r="F354" s="102"/>
      <c r="G354" s="102"/>
      <c r="H354" s="102"/>
      <c r="I354" s="103"/>
    </row>
    <row r="355" spans="2:27">
      <c r="D355" s="104"/>
      <c r="E355" s="105"/>
      <c r="F355" s="105"/>
      <c r="G355" s="105"/>
      <c r="H355" s="105"/>
      <c r="I355" s="106"/>
    </row>
    <row r="356" spans="2:27">
      <c r="D356" s="107" t="s">
        <v>5314</v>
      </c>
      <c r="E356" s="108"/>
      <c r="F356" s="108"/>
      <c r="G356" s="108"/>
      <c r="H356" s="108"/>
      <c r="I356" s="109"/>
    </row>
    <row r="357" spans="2:27" ht="60">
      <c r="D357" s="55" t="s">
        <v>5315</v>
      </c>
      <c r="E357" s="55" t="s">
        <v>5316</v>
      </c>
      <c r="F357" s="55" t="s">
        <v>5317</v>
      </c>
      <c r="G357" s="55" t="s">
        <v>5120</v>
      </c>
      <c r="H357" s="55" t="s">
        <v>5121</v>
      </c>
      <c r="I357" s="55" t="s">
        <v>5318</v>
      </c>
    </row>
    <row r="358" spans="2:27">
      <c r="D358" s="45" t="s">
        <v>4585</v>
      </c>
      <c r="E358" s="45" t="s">
        <v>3989</v>
      </c>
      <c r="F358" s="45" t="s">
        <v>3990</v>
      </c>
      <c r="G358" s="45" t="s">
        <v>3991</v>
      </c>
      <c r="H358" s="45" t="s">
        <v>3992</v>
      </c>
      <c r="I358" s="45" t="s">
        <v>3993</v>
      </c>
      <c r="Z358" s="13" t="str">
        <f>Show!$B$156&amp;"S.27.01.01.12 Rows {"&amp;COLUMN($C$1)&amp;"}"&amp;"@ForceFilingCode:true"</f>
        <v>!S.27.01.01.12 Rows {3}@ForceFilingCode:true</v>
      </c>
      <c r="AA358" s="13" t="str">
        <f>Show!$B$156&amp;"S.27.01.01.12 Columns {"&amp;COLUMN($D$1)&amp;"}"</f>
        <v>!S.27.01.01.12 Columns {4}</v>
      </c>
    </row>
    <row r="359" spans="2:27">
      <c r="B359" s="43" t="s">
        <v>2880</v>
      </c>
      <c r="C359" s="44" t="s">
        <v>2878</v>
      </c>
      <c r="D359" s="56"/>
      <c r="E359" s="66"/>
      <c r="F359" s="66"/>
      <c r="G359" s="66"/>
      <c r="H359" s="66"/>
      <c r="I359" s="57"/>
    </row>
    <row r="360" spans="2:27">
      <c r="B360" s="47" t="s">
        <v>5319</v>
      </c>
      <c r="C360" s="41" t="s">
        <v>3549</v>
      </c>
      <c r="D360" s="60"/>
      <c r="E360" s="60"/>
      <c r="F360" s="60"/>
      <c r="G360" s="60"/>
      <c r="H360" s="60"/>
      <c r="I360" s="60"/>
    </row>
    <row r="362" spans="2:27">
      <c r="Z362" s="13" t="str">
        <f>Show!$B$156&amp;Show!$B$156&amp;"S.27.01.01.12 Rows {"&amp;COLUMN($C$1)&amp;"}"</f>
        <v>!!S.27.01.01.12 Rows {3}</v>
      </c>
      <c r="AA362" s="13" t="str">
        <f>Show!$B$156&amp;Show!$B$156&amp;"S.27.01.01.12 Columns {"&amp;COLUMN($I$1)&amp;"}"</f>
        <v>!!S.27.01.01.12 Columns {9}</v>
      </c>
    </row>
    <row r="364" spans="2:27" ht="18.75">
      <c r="B364" s="97" t="s">
        <v>5320</v>
      </c>
      <c r="C364" s="96"/>
      <c r="D364" s="96"/>
      <c r="E364" s="96"/>
      <c r="F364" s="96"/>
      <c r="G364" s="96"/>
      <c r="H364" s="96"/>
      <c r="I364" s="96"/>
      <c r="J364" s="96"/>
      <c r="K364" s="96"/>
      <c r="L364" s="96"/>
    </row>
    <row r="368" spans="2:27">
      <c r="D368" s="101" t="s">
        <v>2877</v>
      </c>
      <c r="E368" s="102"/>
      <c r="F368" s="102"/>
      <c r="G368" s="103"/>
    </row>
    <row r="369" spans="2:27">
      <c r="D369" s="104"/>
      <c r="E369" s="105"/>
      <c r="F369" s="105"/>
      <c r="G369" s="106"/>
    </row>
    <row r="370" spans="2:27">
      <c r="D370" s="107" t="s">
        <v>5321</v>
      </c>
      <c r="E370" s="108"/>
      <c r="F370" s="108"/>
      <c r="G370" s="109"/>
    </row>
    <row r="371" spans="2:27" ht="60">
      <c r="D371" s="55" t="s">
        <v>5322</v>
      </c>
      <c r="E371" s="55" t="s">
        <v>5120</v>
      </c>
      <c r="F371" s="55" t="s">
        <v>5121</v>
      </c>
      <c r="G371" s="55" t="s">
        <v>5323</v>
      </c>
    </row>
    <row r="372" spans="2:27">
      <c r="D372" s="45" t="s">
        <v>3994</v>
      </c>
      <c r="E372" s="45" t="s">
        <v>3995</v>
      </c>
      <c r="F372" s="45" t="s">
        <v>3996</v>
      </c>
      <c r="G372" s="45" t="s">
        <v>3997</v>
      </c>
      <c r="Z372" s="13" t="str">
        <f>Show!$B$156&amp;"S.27.01.01.13 Rows {"&amp;COLUMN($C$1)&amp;"}"&amp;"@ForceFilingCode:true"</f>
        <v>!S.27.01.01.13 Rows {3}@ForceFilingCode:true</v>
      </c>
      <c r="AA372" s="13" t="str">
        <f>Show!$B$156&amp;"S.27.01.01.13 Columns {"&amp;COLUMN($D$1)&amp;"}"</f>
        <v>!S.27.01.01.13 Columns {4}</v>
      </c>
    </row>
    <row r="373" spans="2:27">
      <c r="B373" s="43" t="s">
        <v>2880</v>
      </c>
      <c r="C373" s="44" t="s">
        <v>2878</v>
      </c>
      <c r="D373" s="56"/>
      <c r="E373" s="66"/>
      <c r="F373" s="66"/>
      <c r="G373" s="57"/>
    </row>
    <row r="374" spans="2:27">
      <c r="B374" s="47" t="s">
        <v>5101</v>
      </c>
      <c r="C374" s="41" t="s">
        <v>3550</v>
      </c>
      <c r="D374" s="60"/>
      <c r="E374" s="60"/>
      <c r="F374" s="60"/>
      <c r="G374" s="60"/>
    </row>
    <row r="376" spans="2:27">
      <c r="Z376" s="13" t="str">
        <f>Show!$B$156&amp;Show!$B$156&amp;"S.27.01.01.13 Rows {"&amp;COLUMN($C$1)&amp;"}"</f>
        <v>!!S.27.01.01.13 Rows {3}</v>
      </c>
      <c r="AA376" s="13" t="str">
        <f>Show!$B$156&amp;Show!$B$156&amp;"S.27.01.01.13 Columns {"&amp;COLUMN($G$1)&amp;"}"</f>
        <v>!!S.27.01.01.13 Columns {7}</v>
      </c>
    </row>
    <row r="378" spans="2:27" ht="18.75">
      <c r="B378" s="97" t="s">
        <v>5324</v>
      </c>
      <c r="C378" s="96"/>
      <c r="D378" s="96"/>
      <c r="E378" s="96"/>
      <c r="F378" s="96"/>
      <c r="G378" s="96"/>
      <c r="H378" s="96"/>
      <c r="I378" s="96"/>
      <c r="J378" s="96"/>
      <c r="K378" s="96"/>
      <c r="L378" s="96"/>
    </row>
    <row r="382" spans="2:27">
      <c r="D382" s="101" t="s">
        <v>2877</v>
      </c>
      <c r="E382" s="102"/>
      <c r="F382" s="102"/>
      <c r="G382" s="102"/>
      <c r="H382" s="102"/>
      <c r="I382" s="102"/>
      <c r="J382" s="103"/>
    </row>
    <row r="383" spans="2:27">
      <c r="D383" s="104"/>
      <c r="E383" s="105"/>
      <c r="F383" s="105"/>
      <c r="G383" s="105"/>
      <c r="H383" s="105"/>
      <c r="I383" s="105"/>
      <c r="J383" s="106"/>
    </row>
    <row r="384" spans="2:27">
      <c r="D384" s="107" t="s">
        <v>5325</v>
      </c>
      <c r="E384" s="108"/>
      <c r="F384" s="108"/>
      <c r="G384" s="108"/>
      <c r="H384" s="108"/>
      <c r="I384" s="108"/>
      <c r="J384" s="109"/>
    </row>
    <row r="385" spans="2:27" ht="60">
      <c r="D385" s="55" t="s">
        <v>5326</v>
      </c>
      <c r="E385" s="55" t="s">
        <v>5327</v>
      </c>
      <c r="F385" s="55" t="s">
        <v>4151</v>
      </c>
      <c r="G385" s="55" t="s">
        <v>5328</v>
      </c>
      <c r="H385" s="55" t="s">
        <v>5120</v>
      </c>
      <c r="I385" s="55" t="s">
        <v>5121</v>
      </c>
      <c r="J385" s="55" t="s">
        <v>5329</v>
      </c>
    </row>
    <row r="386" spans="2:27">
      <c r="D386" s="45" t="s">
        <v>3998</v>
      </c>
      <c r="E386" s="45" t="s">
        <v>3999</v>
      </c>
      <c r="F386" s="45" t="s">
        <v>4000</v>
      </c>
      <c r="G386" s="45" t="s">
        <v>4001</v>
      </c>
      <c r="H386" s="45" t="s">
        <v>4002</v>
      </c>
      <c r="I386" s="45" t="s">
        <v>4003</v>
      </c>
      <c r="J386" s="45" t="s">
        <v>4004</v>
      </c>
      <c r="Z386" s="13" t="str">
        <f>Show!$B$156&amp;"S.27.01.01.14 Rows {"&amp;COLUMN($C$1)&amp;"}"&amp;"@ForceFilingCode:true"</f>
        <v>!S.27.01.01.14 Rows {3}@ForceFilingCode:true</v>
      </c>
      <c r="AA386" s="13" t="str">
        <f>Show!$B$156&amp;"S.27.01.01.14 Columns {"&amp;COLUMN($D$1)&amp;"}"</f>
        <v>!S.27.01.01.14 Columns {4}</v>
      </c>
    </row>
    <row r="387" spans="2:27">
      <c r="B387" s="43" t="s">
        <v>2880</v>
      </c>
      <c r="C387" s="44" t="s">
        <v>2878</v>
      </c>
      <c r="D387" s="56"/>
      <c r="E387" s="66"/>
      <c r="F387" s="66"/>
      <c r="G387" s="66"/>
      <c r="H387" s="66"/>
      <c r="I387" s="66"/>
      <c r="J387" s="57"/>
    </row>
    <row r="388" spans="2:27">
      <c r="B388" s="47" t="s">
        <v>5330</v>
      </c>
      <c r="C388" s="41" t="s">
        <v>3552</v>
      </c>
      <c r="D388" s="60"/>
      <c r="E388" s="60"/>
      <c r="F388" s="50"/>
      <c r="G388" s="60"/>
      <c r="H388" s="60"/>
      <c r="I388" s="60"/>
      <c r="J388" s="60"/>
    </row>
    <row r="389" spans="2:27">
      <c r="B389" s="47" t="s">
        <v>5331</v>
      </c>
      <c r="C389" s="41" t="s">
        <v>5332</v>
      </c>
      <c r="D389" s="60"/>
      <c r="E389" s="60"/>
      <c r="F389" s="50"/>
      <c r="G389" s="60"/>
      <c r="H389" s="60"/>
      <c r="I389" s="60"/>
      <c r="J389" s="60"/>
    </row>
    <row r="390" spans="2:27">
      <c r="B390" s="47" t="s">
        <v>5333</v>
      </c>
      <c r="C390" s="41" t="s">
        <v>5334</v>
      </c>
      <c r="D390" s="60"/>
      <c r="E390" s="60"/>
      <c r="F390" s="50"/>
      <c r="G390" s="60"/>
      <c r="H390" s="60"/>
      <c r="I390" s="60"/>
      <c r="J390" s="60"/>
    </row>
    <row r="391" spans="2:27">
      <c r="B391" s="47" t="s">
        <v>5335</v>
      </c>
      <c r="C391" s="41" t="s">
        <v>5336</v>
      </c>
      <c r="D391" s="60"/>
      <c r="E391" s="60"/>
      <c r="F391" s="50"/>
      <c r="G391" s="60"/>
      <c r="H391" s="60"/>
      <c r="I391" s="60"/>
      <c r="J391" s="60"/>
    </row>
    <row r="392" spans="2:27">
      <c r="B392" s="47" t="s">
        <v>5337</v>
      </c>
      <c r="C392" s="41" t="s">
        <v>5338</v>
      </c>
      <c r="D392" s="60"/>
      <c r="E392" s="63"/>
      <c r="F392" s="74"/>
      <c r="G392" s="60"/>
      <c r="H392" s="60"/>
      <c r="I392" s="60"/>
      <c r="J392" s="60"/>
    </row>
    <row r="393" spans="2:27">
      <c r="B393" s="47" t="s">
        <v>3480</v>
      </c>
      <c r="C393" s="41" t="s">
        <v>5339</v>
      </c>
      <c r="D393" s="64"/>
      <c r="E393" s="56"/>
      <c r="F393" s="46"/>
      <c r="G393" s="60"/>
      <c r="H393" s="60"/>
      <c r="I393" s="60"/>
      <c r="J393" s="60"/>
    </row>
    <row r="395" spans="2:27">
      <c r="Z395" s="13" t="str">
        <f>Show!$B$156&amp;Show!$B$156&amp;"S.27.01.01.14 Rows {"&amp;COLUMN($C$1)&amp;"}"</f>
        <v>!!S.27.01.01.14 Rows {3}</v>
      </c>
      <c r="AA395" s="13" t="str">
        <f>Show!$B$156&amp;Show!$B$156&amp;"S.27.01.01.14 Columns {"&amp;COLUMN($J$1)&amp;"}"</f>
        <v>!!S.27.01.01.14 Columns {10}</v>
      </c>
    </row>
    <row r="397" spans="2:27" ht="18.75">
      <c r="B397" s="97" t="s">
        <v>5340</v>
      </c>
      <c r="C397" s="96"/>
      <c r="D397" s="96"/>
      <c r="E397" s="96"/>
      <c r="F397" s="96"/>
      <c r="G397" s="96"/>
      <c r="H397" s="96"/>
      <c r="I397" s="96"/>
      <c r="J397" s="96"/>
      <c r="K397" s="96"/>
      <c r="L397" s="96"/>
    </row>
    <row r="401" spans="2:27">
      <c r="D401" s="101" t="s">
        <v>2877</v>
      </c>
      <c r="E401" s="102"/>
      <c r="F401" s="103"/>
    </row>
    <row r="402" spans="2:27">
      <c r="D402" s="104"/>
      <c r="E402" s="105"/>
      <c r="F402" s="106"/>
    </row>
    <row r="403" spans="2:27">
      <c r="D403" s="107" t="s">
        <v>5325</v>
      </c>
      <c r="E403" s="108"/>
      <c r="F403" s="109"/>
    </row>
    <row r="404" spans="2:27" ht="60">
      <c r="D404" s="55" t="s">
        <v>5328</v>
      </c>
      <c r="E404" s="55" t="s">
        <v>5306</v>
      </c>
      <c r="F404" s="55" t="s">
        <v>5329</v>
      </c>
    </row>
    <row r="405" spans="2:27">
      <c r="D405" s="45" t="s">
        <v>4006</v>
      </c>
      <c r="E405" s="45" t="s">
        <v>4560</v>
      </c>
      <c r="F405" s="45" t="s">
        <v>5341</v>
      </c>
      <c r="Z405" s="13" t="str">
        <f>Show!$B$156&amp;"S.27.01.01.15 Rows {"&amp;COLUMN($C$1)&amp;"}"&amp;"@ForceFilingCode:true"</f>
        <v>!S.27.01.01.15 Rows {3}@ForceFilingCode:true</v>
      </c>
      <c r="AA405" s="13" t="str">
        <f>Show!$B$156&amp;"S.27.01.01.15 Columns {"&amp;COLUMN($D$1)&amp;"}"</f>
        <v>!S.27.01.01.15 Columns {4}</v>
      </c>
    </row>
    <row r="406" spans="2:27">
      <c r="B406" s="43" t="s">
        <v>2880</v>
      </c>
      <c r="C406" s="44" t="s">
        <v>2878</v>
      </c>
      <c r="D406" s="56"/>
      <c r="E406" s="66"/>
      <c r="F406" s="57"/>
    </row>
    <row r="407" spans="2:27">
      <c r="B407" s="47" t="s">
        <v>5308</v>
      </c>
      <c r="C407" s="41" t="s">
        <v>5342</v>
      </c>
      <c r="D407" s="60"/>
      <c r="E407" s="63"/>
      <c r="F407" s="60"/>
    </row>
    <row r="408" spans="2:27">
      <c r="B408" s="47" t="s">
        <v>5343</v>
      </c>
      <c r="C408" s="41" t="s">
        <v>5344</v>
      </c>
      <c r="D408" s="64"/>
      <c r="E408" s="46"/>
      <c r="F408" s="60"/>
    </row>
    <row r="409" spans="2:27">
      <c r="B409" s="47" t="s">
        <v>5311</v>
      </c>
      <c r="C409" s="41" t="s">
        <v>5345</v>
      </c>
      <c r="D409" s="60"/>
      <c r="E409" s="60"/>
      <c r="F409" s="60"/>
    </row>
    <row r="411" spans="2:27">
      <c r="Z411" s="13" t="str">
        <f>Show!$B$156&amp;Show!$B$156&amp;"S.27.01.01.15 Rows {"&amp;COLUMN($C$1)&amp;"}"</f>
        <v>!!S.27.01.01.15 Rows {3}</v>
      </c>
      <c r="AA411" s="13" t="str">
        <f>Show!$B$156&amp;Show!$B$156&amp;"S.27.01.01.15 Columns {"&amp;COLUMN($F$1)&amp;"}"</f>
        <v>!!S.27.01.01.15 Columns {6}</v>
      </c>
    </row>
    <row r="413" spans="2:27" ht="18.75">
      <c r="B413" s="97" t="s">
        <v>5346</v>
      </c>
      <c r="C413" s="96"/>
      <c r="D413" s="96"/>
      <c r="E413" s="96"/>
      <c r="F413" s="96"/>
      <c r="G413" s="96"/>
      <c r="H413" s="96"/>
      <c r="I413" s="96"/>
      <c r="J413" s="96"/>
      <c r="K413" s="96"/>
      <c r="L413" s="96"/>
    </row>
    <row r="417" spans="2:27">
      <c r="D417" s="101" t="s">
        <v>2877</v>
      </c>
      <c r="E417" s="102"/>
      <c r="F417" s="102"/>
      <c r="G417" s="102"/>
      <c r="H417" s="102"/>
      <c r="I417" s="103"/>
    </row>
    <row r="418" spans="2:27">
      <c r="D418" s="104"/>
      <c r="E418" s="105"/>
      <c r="F418" s="105"/>
      <c r="G418" s="105"/>
      <c r="H418" s="105"/>
      <c r="I418" s="106"/>
    </row>
    <row r="419" spans="2:27">
      <c r="D419" s="107" t="s">
        <v>5347</v>
      </c>
      <c r="E419" s="108"/>
      <c r="F419" s="108"/>
      <c r="G419" s="108"/>
      <c r="H419" s="108"/>
      <c r="I419" s="109"/>
    </row>
    <row r="420" spans="2:27" ht="105">
      <c r="D420" s="55" t="s">
        <v>5348</v>
      </c>
      <c r="E420" s="55" t="s">
        <v>5350</v>
      </c>
      <c r="F420" s="55" t="s">
        <v>5351</v>
      </c>
      <c r="G420" s="55" t="s">
        <v>5120</v>
      </c>
      <c r="H420" s="55" t="s">
        <v>5121</v>
      </c>
      <c r="I420" s="55" t="s">
        <v>5352</v>
      </c>
    </row>
    <row r="421" spans="2:27">
      <c r="D421" s="45" t="s">
        <v>5349</v>
      </c>
      <c r="E421" s="45" t="s">
        <v>4008</v>
      </c>
      <c r="F421" s="45" t="s">
        <v>4009</v>
      </c>
      <c r="G421" s="45" t="s">
        <v>4010</v>
      </c>
      <c r="H421" s="45" t="s">
        <v>4011</v>
      </c>
      <c r="I421" s="45" t="s">
        <v>4012</v>
      </c>
      <c r="Z421" s="13" t="str">
        <f>Show!$B$156&amp;"S.27.01.01.16 Rows {"&amp;COLUMN($C$1)&amp;"}"&amp;"@ForceFilingCode:true"</f>
        <v>!S.27.01.01.16 Rows {3}@ForceFilingCode:true</v>
      </c>
      <c r="AA421" s="13" t="str">
        <f>Show!$B$156&amp;"S.27.01.01.16 Columns {"&amp;COLUMN($D$1)&amp;"}"</f>
        <v>!S.27.01.01.16 Columns {4}</v>
      </c>
    </row>
    <row r="422" spans="2:27">
      <c r="B422" s="43" t="s">
        <v>2880</v>
      </c>
      <c r="C422" s="44" t="s">
        <v>2878</v>
      </c>
      <c r="D422" s="56"/>
      <c r="E422" s="66"/>
      <c r="F422" s="66"/>
      <c r="G422" s="66"/>
      <c r="H422" s="66"/>
      <c r="I422" s="57"/>
    </row>
    <row r="423" spans="2:27">
      <c r="B423" s="47" t="s">
        <v>5353</v>
      </c>
      <c r="C423" s="41" t="s">
        <v>5354</v>
      </c>
      <c r="D423" s="60"/>
      <c r="E423" s="70"/>
      <c r="F423" s="60"/>
      <c r="G423" s="60"/>
      <c r="H423" s="60"/>
      <c r="I423" s="60"/>
    </row>
    <row r="424" spans="2:27">
      <c r="B424" s="47" t="s">
        <v>5355</v>
      </c>
      <c r="C424" s="41" t="s">
        <v>5356</v>
      </c>
      <c r="D424" s="60"/>
      <c r="E424" s="70"/>
      <c r="F424" s="60"/>
      <c r="G424" s="60"/>
      <c r="H424" s="60"/>
      <c r="I424" s="60"/>
    </row>
    <row r="425" spans="2:27">
      <c r="B425" s="47" t="s">
        <v>3480</v>
      </c>
      <c r="C425" s="41" t="s">
        <v>5357</v>
      </c>
      <c r="D425" s="60"/>
      <c r="E425" s="70"/>
      <c r="F425" s="60"/>
      <c r="G425" s="60"/>
      <c r="H425" s="60"/>
      <c r="I425" s="60"/>
    </row>
    <row r="427" spans="2:27">
      <c r="Z427" s="13" t="str">
        <f>Show!$B$156&amp;Show!$B$156&amp;"S.27.01.01.16 Rows {"&amp;COLUMN($C$1)&amp;"}"</f>
        <v>!!S.27.01.01.16 Rows {3}</v>
      </c>
      <c r="AA427" s="13" t="str">
        <f>Show!$B$156&amp;Show!$B$156&amp;"S.27.01.01.16 Columns {"&amp;COLUMN($I$1)&amp;"}"</f>
        <v>!!S.27.01.01.16 Columns {9}</v>
      </c>
    </row>
    <row r="429" spans="2:27" ht="18.75">
      <c r="B429" s="97" t="s">
        <v>5358</v>
      </c>
      <c r="C429" s="96"/>
      <c r="D429" s="96"/>
      <c r="E429" s="96"/>
      <c r="F429" s="96"/>
      <c r="G429" s="96"/>
      <c r="H429" s="96"/>
      <c r="I429" s="96"/>
      <c r="J429" s="96"/>
      <c r="K429" s="96"/>
      <c r="L429" s="96"/>
    </row>
    <row r="433" spans="2:27">
      <c r="D433" s="101" t="s">
        <v>2877</v>
      </c>
      <c r="E433" s="102"/>
      <c r="F433" s="102"/>
      <c r="G433" s="102"/>
      <c r="H433" s="103"/>
    </row>
    <row r="434" spans="2:27">
      <c r="D434" s="104"/>
      <c r="E434" s="105"/>
      <c r="F434" s="105"/>
      <c r="G434" s="105"/>
      <c r="H434" s="106"/>
    </row>
    <row r="435" spans="2:27">
      <c r="D435" s="107" t="s">
        <v>5359</v>
      </c>
      <c r="E435" s="108"/>
      <c r="F435" s="108"/>
      <c r="G435" s="108"/>
      <c r="H435" s="109"/>
    </row>
    <row r="436" spans="2:27" ht="105">
      <c r="D436" s="55" t="s">
        <v>5326</v>
      </c>
      <c r="E436" s="55" t="s">
        <v>5360</v>
      </c>
      <c r="F436" s="55" t="s">
        <v>5120</v>
      </c>
      <c r="G436" s="55" t="s">
        <v>5121</v>
      </c>
      <c r="H436" s="55" t="s">
        <v>5361</v>
      </c>
    </row>
    <row r="437" spans="2:27">
      <c r="D437" s="45" t="s">
        <v>4013</v>
      </c>
      <c r="E437" s="45" t="s">
        <v>4014</v>
      </c>
      <c r="F437" s="45" t="s">
        <v>4015</v>
      </c>
      <c r="G437" s="45" t="s">
        <v>4016</v>
      </c>
      <c r="H437" s="45" t="s">
        <v>4017</v>
      </c>
      <c r="Z437" s="13" t="str">
        <f>Show!$B$156&amp;"S.27.01.01.17 Rows {"&amp;COLUMN($C$1)&amp;"}"&amp;"@ForceFilingCode:true"</f>
        <v>!S.27.01.01.17 Rows {3}@ForceFilingCode:true</v>
      </c>
      <c r="AA437" s="13" t="str">
        <f>Show!$B$156&amp;"S.27.01.01.17 Columns {"&amp;COLUMN($D$1)&amp;"}"</f>
        <v>!S.27.01.01.17 Columns {4}</v>
      </c>
    </row>
    <row r="438" spans="2:27">
      <c r="B438" s="43" t="s">
        <v>2880</v>
      </c>
      <c r="C438" s="44" t="s">
        <v>2878</v>
      </c>
      <c r="D438" s="56"/>
      <c r="E438" s="66"/>
      <c r="F438" s="66"/>
      <c r="G438" s="66"/>
      <c r="H438" s="57"/>
    </row>
    <row r="439" spans="2:27">
      <c r="B439" s="47" t="s">
        <v>3480</v>
      </c>
      <c r="C439" s="41" t="s">
        <v>5362</v>
      </c>
      <c r="D439" s="60"/>
      <c r="E439" s="60"/>
      <c r="F439" s="60"/>
      <c r="G439" s="60"/>
      <c r="H439" s="60"/>
    </row>
    <row r="441" spans="2:27">
      <c r="Z441" s="13" t="str">
        <f>Show!$B$156&amp;Show!$B$156&amp;"S.27.01.01.17 Rows {"&amp;COLUMN($C$1)&amp;"}"</f>
        <v>!!S.27.01.01.17 Rows {3}</v>
      </c>
      <c r="AA441" s="13" t="str">
        <f>Show!$B$156&amp;Show!$B$156&amp;"S.27.01.01.17 Columns {"&amp;COLUMN($H$1)&amp;"}"</f>
        <v>!!S.27.01.01.17 Columns {8}</v>
      </c>
    </row>
    <row r="443" spans="2:27" ht="18.75">
      <c r="B443" s="97" t="s">
        <v>5363</v>
      </c>
      <c r="C443" s="96"/>
      <c r="D443" s="96"/>
      <c r="E443" s="96"/>
      <c r="F443" s="96"/>
      <c r="G443" s="96"/>
      <c r="H443" s="96"/>
      <c r="I443" s="96"/>
      <c r="J443" s="96"/>
      <c r="K443" s="96"/>
      <c r="L443" s="96"/>
    </row>
    <row r="447" spans="2:27">
      <c r="D447" s="101" t="s">
        <v>2877</v>
      </c>
      <c r="E447" s="102"/>
      <c r="F447" s="103"/>
    </row>
    <row r="448" spans="2:27">
      <c r="D448" s="104"/>
      <c r="E448" s="105"/>
      <c r="F448" s="106"/>
    </row>
    <row r="449" spans="2:27">
      <c r="D449" s="107" t="s">
        <v>5364</v>
      </c>
      <c r="E449" s="108"/>
      <c r="F449" s="109"/>
    </row>
    <row r="450" spans="2:27" ht="90">
      <c r="D450" s="55" t="s">
        <v>5365</v>
      </c>
      <c r="E450" s="55" t="s">
        <v>5306</v>
      </c>
      <c r="F450" s="55" t="s">
        <v>5366</v>
      </c>
    </row>
    <row r="451" spans="2:27">
      <c r="D451" s="45" t="s">
        <v>4018</v>
      </c>
      <c r="E451" s="45" t="s">
        <v>4019</v>
      </c>
      <c r="F451" s="45" t="s">
        <v>4020</v>
      </c>
      <c r="Z451" s="13" t="str">
        <f>Show!$B$156&amp;"S.27.01.01.18 Rows {"&amp;COLUMN($C$1)&amp;"}"&amp;"@ForceFilingCode:true"</f>
        <v>!S.27.01.01.18 Rows {3}@ForceFilingCode:true</v>
      </c>
      <c r="AA451" s="13" t="str">
        <f>Show!$B$156&amp;"S.27.01.01.18 Columns {"&amp;COLUMN($D$1)&amp;"}"</f>
        <v>!S.27.01.01.18 Columns {4}</v>
      </c>
    </row>
    <row r="452" spans="2:27">
      <c r="B452" s="43" t="s">
        <v>2880</v>
      </c>
      <c r="C452" s="44" t="s">
        <v>2878</v>
      </c>
      <c r="D452" s="56"/>
      <c r="E452" s="66"/>
      <c r="F452" s="57"/>
    </row>
    <row r="453" spans="2:27">
      <c r="B453" s="47" t="s">
        <v>5308</v>
      </c>
      <c r="C453" s="41" t="s">
        <v>5367</v>
      </c>
      <c r="D453" s="60"/>
      <c r="E453" s="63"/>
      <c r="F453" s="60"/>
    </row>
    <row r="454" spans="2:27">
      <c r="B454" s="47" t="s">
        <v>5309</v>
      </c>
      <c r="C454" s="41" t="s">
        <v>5368</v>
      </c>
      <c r="D454" s="64"/>
      <c r="E454" s="46"/>
      <c r="F454" s="60"/>
    </row>
    <row r="455" spans="2:27">
      <c r="B455" s="47" t="s">
        <v>5311</v>
      </c>
      <c r="C455" s="41" t="s">
        <v>5369</v>
      </c>
      <c r="D455" s="60"/>
      <c r="E455" s="60"/>
      <c r="F455" s="60"/>
    </row>
    <row r="457" spans="2:27">
      <c r="Z457" s="13" t="str">
        <f>Show!$B$156&amp;Show!$B$156&amp;"S.27.01.01.18 Rows {"&amp;COLUMN($C$1)&amp;"}"</f>
        <v>!!S.27.01.01.18 Rows {3}</v>
      </c>
      <c r="AA457" s="13" t="str">
        <f>Show!$B$156&amp;Show!$B$156&amp;"S.27.01.01.18 Columns {"&amp;COLUMN($F$1)&amp;"}"</f>
        <v>!!S.27.01.01.18 Columns {6}</v>
      </c>
    </row>
    <row r="459" spans="2:27" ht="18.75">
      <c r="B459" s="97" t="s">
        <v>5370</v>
      </c>
      <c r="C459" s="96"/>
      <c r="D459" s="96"/>
      <c r="E459" s="96"/>
      <c r="F459" s="96"/>
      <c r="G459" s="96"/>
      <c r="H459" s="96"/>
      <c r="I459" s="96"/>
      <c r="J459" s="96"/>
      <c r="K459" s="96"/>
      <c r="L459" s="96"/>
    </row>
    <row r="463" spans="2:27">
      <c r="D463" s="101" t="s">
        <v>2877</v>
      </c>
      <c r="E463" s="102"/>
      <c r="F463" s="102"/>
      <c r="G463" s="103"/>
    </row>
    <row r="464" spans="2:27">
      <c r="D464" s="104"/>
      <c r="E464" s="105"/>
      <c r="F464" s="105"/>
      <c r="G464" s="106"/>
    </row>
    <row r="465" spans="2:27">
      <c r="D465" s="107" t="s">
        <v>5371</v>
      </c>
      <c r="E465" s="108"/>
      <c r="F465" s="108"/>
      <c r="G465" s="109"/>
    </row>
    <row r="466" spans="2:27" ht="90">
      <c r="D466" s="55" t="s">
        <v>5114</v>
      </c>
      <c r="E466" s="55" t="s">
        <v>5372</v>
      </c>
      <c r="F466" s="55" t="s">
        <v>5306</v>
      </c>
      <c r="G466" s="55" t="s">
        <v>5373</v>
      </c>
    </row>
    <row r="467" spans="2:27">
      <c r="D467" s="45" t="s">
        <v>4021</v>
      </c>
      <c r="E467" s="45" t="s">
        <v>4022</v>
      </c>
      <c r="F467" s="45" t="s">
        <v>4023</v>
      </c>
      <c r="G467" s="45" t="s">
        <v>4025</v>
      </c>
      <c r="Z467" s="13" t="str">
        <f>Show!$B$156&amp;"S.27.01.01.19 Rows {"&amp;COLUMN($C$1)&amp;"}"&amp;"@ForceFilingCode:true"</f>
        <v>!S.27.01.01.19 Rows {3}@ForceFilingCode:true</v>
      </c>
      <c r="AA467" s="13" t="str">
        <f>Show!$B$156&amp;"S.27.01.01.19 Columns {"&amp;COLUMN($D$1)&amp;"}"</f>
        <v>!S.27.01.01.19 Columns {4}</v>
      </c>
    </row>
    <row r="468" spans="2:27">
      <c r="B468" s="43" t="s">
        <v>2880</v>
      </c>
      <c r="C468" s="44" t="s">
        <v>2878</v>
      </c>
      <c r="D468" s="56"/>
      <c r="E468" s="66"/>
      <c r="F468" s="67"/>
      <c r="G468" s="59"/>
    </row>
    <row r="469" spans="2:27">
      <c r="B469" s="47" t="s">
        <v>5374</v>
      </c>
      <c r="C469" s="41" t="s">
        <v>5375</v>
      </c>
      <c r="D469" s="60"/>
      <c r="E469" s="64"/>
      <c r="F469" s="58"/>
      <c r="G469" s="48"/>
    </row>
    <row r="470" spans="2:27">
      <c r="B470" s="47" t="s">
        <v>5376</v>
      </c>
      <c r="C470" s="41" t="s">
        <v>5377</v>
      </c>
      <c r="D470" s="60"/>
      <c r="E470" s="64"/>
      <c r="F470" s="58"/>
      <c r="G470" s="48"/>
    </row>
    <row r="471" spans="2:27">
      <c r="B471" s="47" t="s">
        <v>3471</v>
      </c>
      <c r="C471" s="41" t="s">
        <v>5378</v>
      </c>
      <c r="D471" s="60"/>
      <c r="E471" s="64"/>
      <c r="F471" s="58"/>
      <c r="G471" s="48"/>
    </row>
    <row r="472" spans="2:27">
      <c r="B472" s="47" t="s">
        <v>5379</v>
      </c>
      <c r="C472" s="41" t="s">
        <v>5380</v>
      </c>
      <c r="D472" s="60"/>
      <c r="E472" s="64"/>
      <c r="F472" s="58"/>
      <c r="G472" s="48"/>
    </row>
    <row r="473" spans="2:27">
      <c r="B473" s="47" t="s">
        <v>5381</v>
      </c>
      <c r="C473" s="41" t="s">
        <v>5382</v>
      </c>
      <c r="D473" s="63"/>
      <c r="E473" s="64"/>
      <c r="F473" s="56"/>
      <c r="G473" s="46"/>
    </row>
    <row r="474" spans="2:27">
      <c r="B474" s="47" t="s">
        <v>5308</v>
      </c>
      <c r="C474" s="44" t="s">
        <v>5383</v>
      </c>
      <c r="D474" s="48"/>
      <c r="E474" s="60"/>
      <c r="F474" s="60"/>
      <c r="G474" s="60"/>
    </row>
    <row r="475" spans="2:27">
      <c r="B475" s="47" t="s">
        <v>5384</v>
      </c>
      <c r="C475" s="44" t="s">
        <v>5385</v>
      </c>
      <c r="D475" s="48"/>
      <c r="E475" s="60"/>
      <c r="F475" s="60"/>
      <c r="G475" s="60"/>
    </row>
    <row r="476" spans="2:27">
      <c r="B476" s="47" t="s">
        <v>5311</v>
      </c>
      <c r="C476" s="44" t="s">
        <v>5386</v>
      </c>
      <c r="D476" s="46"/>
      <c r="E476" s="60"/>
      <c r="F476" s="60"/>
      <c r="G476" s="60"/>
    </row>
    <row r="478" spans="2:27">
      <c r="Z478" s="13" t="str">
        <f>Show!$B$156&amp;Show!$B$156&amp;"S.27.01.01.19 Rows {"&amp;COLUMN($C$1)&amp;"}"</f>
        <v>!!S.27.01.01.19 Rows {3}</v>
      </c>
      <c r="AA478" s="13" t="str">
        <f>Show!$B$156&amp;Show!$B$156&amp;"S.27.01.01.19 Columns {"&amp;COLUMN($G$1)&amp;"}"</f>
        <v>!!S.27.01.01.19 Columns {7}</v>
      </c>
    </row>
    <row r="480" spans="2:27" ht="18.75">
      <c r="B480" s="97" t="s">
        <v>5387</v>
      </c>
      <c r="C480" s="96"/>
      <c r="D480" s="96"/>
      <c r="E480" s="96"/>
      <c r="F480" s="96"/>
      <c r="G480" s="96"/>
      <c r="H480" s="96"/>
      <c r="I480" s="96"/>
      <c r="J480" s="96"/>
      <c r="K480" s="96"/>
      <c r="L480" s="96"/>
    </row>
    <row r="484" spans="2:27">
      <c r="D484" s="101" t="s">
        <v>2877</v>
      </c>
      <c r="E484" s="102"/>
      <c r="F484" s="102"/>
      <c r="G484" s="102"/>
      <c r="H484" s="102"/>
      <c r="I484" s="102"/>
      <c r="J484" s="102"/>
      <c r="K484" s="102"/>
      <c r="L484" s="102"/>
      <c r="M484" s="102"/>
      <c r="N484" s="102"/>
      <c r="O484" s="103"/>
    </row>
    <row r="485" spans="2:27">
      <c r="D485" s="104"/>
      <c r="E485" s="105"/>
      <c r="F485" s="105"/>
      <c r="G485" s="105"/>
      <c r="H485" s="105"/>
      <c r="I485" s="105"/>
      <c r="J485" s="105"/>
      <c r="K485" s="105"/>
      <c r="L485" s="105"/>
      <c r="M485" s="105"/>
      <c r="N485" s="105"/>
      <c r="O485" s="106"/>
    </row>
    <row r="486" spans="2:27">
      <c r="D486" s="107" t="s">
        <v>5388</v>
      </c>
      <c r="E486" s="109"/>
      <c r="F486" s="107" t="s">
        <v>5393</v>
      </c>
      <c r="G486" s="109"/>
      <c r="H486" s="107" t="s">
        <v>5395</v>
      </c>
      <c r="I486" s="109"/>
      <c r="J486" s="107" t="s">
        <v>5396</v>
      </c>
      <c r="K486" s="109"/>
      <c r="L486" s="98" t="s">
        <v>5119</v>
      </c>
      <c r="M486" s="98" t="s">
        <v>5120</v>
      </c>
      <c r="N486" s="98" t="s">
        <v>5121</v>
      </c>
      <c r="O486" s="98" t="s">
        <v>5122</v>
      </c>
    </row>
    <row r="487" spans="2:27" ht="45">
      <c r="D487" s="55" t="s">
        <v>5389</v>
      </c>
      <c r="E487" s="55" t="s">
        <v>5391</v>
      </c>
      <c r="F487" s="55" t="s">
        <v>5389</v>
      </c>
      <c r="G487" s="55" t="s">
        <v>5391</v>
      </c>
      <c r="H487" s="55" t="s">
        <v>5389</v>
      </c>
      <c r="I487" s="55" t="s">
        <v>5391</v>
      </c>
      <c r="J487" s="55" t="s">
        <v>5389</v>
      </c>
      <c r="K487" s="55" t="s">
        <v>5391</v>
      </c>
      <c r="L487" s="100"/>
      <c r="M487" s="100"/>
      <c r="N487" s="100"/>
      <c r="O487" s="100"/>
    </row>
    <row r="488" spans="2:27">
      <c r="D488" s="45" t="s">
        <v>5390</v>
      </c>
      <c r="E488" s="45" t="s">
        <v>5392</v>
      </c>
      <c r="F488" s="45" t="s">
        <v>5394</v>
      </c>
      <c r="G488" s="45" t="s">
        <v>4027</v>
      </c>
      <c r="H488" s="45" t="s">
        <v>4030</v>
      </c>
      <c r="I488" s="45" t="s">
        <v>4031</v>
      </c>
      <c r="J488" s="45" t="s">
        <v>4032</v>
      </c>
      <c r="K488" s="45" t="s">
        <v>4033</v>
      </c>
      <c r="L488" s="45" t="s">
        <v>4034</v>
      </c>
      <c r="M488" s="45" t="s">
        <v>4035</v>
      </c>
      <c r="N488" s="45" t="s">
        <v>4036</v>
      </c>
      <c r="O488" s="45" t="s">
        <v>4037</v>
      </c>
      <c r="Z488" s="13" t="str">
        <f>Show!$B$156&amp;"S.27.01.01.20 Rows {"&amp;COLUMN($C$1)&amp;"}"&amp;"@ForceFilingCode:true"</f>
        <v>!S.27.01.01.20 Rows {3}@ForceFilingCode:true</v>
      </c>
      <c r="AA488" s="13" t="str">
        <f>Show!$B$156&amp;"S.27.01.01.20 Columns {"&amp;COLUMN($D$1)&amp;"}"</f>
        <v>!S.27.01.01.20 Columns {4}</v>
      </c>
    </row>
    <row r="489" spans="2:27">
      <c r="B489" s="43" t="s">
        <v>2880</v>
      </c>
      <c r="C489" s="44" t="s">
        <v>2878</v>
      </c>
      <c r="D489" s="58"/>
      <c r="E489" s="67"/>
      <c r="F489" s="67"/>
      <c r="G489" s="67"/>
      <c r="H489" s="67"/>
      <c r="I489" s="67"/>
      <c r="J489" s="67"/>
      <c r="K489" s="67"/>
      <c r="L489" s="67"/>
      <c r="M489" s="67"/>
      <c r="N489" s="67"/>
      <c r="O489" s="59"/>
    </row>
    <row r="490" spans="2:27">
      <c r="B490" s="47" t="s">
        <v>5397</v>
      </c>
      <c r="C490" s="44" t="s">
        <v>2878</v>
      </c>
      <c r="D490" s="56"/>
      <c r="E490" s="66"/>
      <c r="F490" s="66"/>
      <c r="G490" s="66"/>
      <c r="H490" s="66"/>
      <c r="I490" s="66"/>
      <c r="J490" s="66"/>
      <c r="K490" s="66"/>
      <c r="L490" s="66"/>
      <c r="M490" s="66"/>
      <c r="N490" s="66"/>
      <c r="O490" s="57"/>
    </row>
    <row r="491" spans="2:27">
      <c r="B491" s="49" t="s">
        <v>5124</v>
      </c>
      <c r="C491" s="41" t="s">
        <v>5398</v>
      </c>
      <c r="D491" s="50"/>
      <c r="E491" s="60"/>
      <c r="F491" s="50"/>
      <c r="G491" s="60"/>
      <c r="H491" s="50"/>
      <c r="I491" s="60"/>
      <c r="J491" s="50"/>
      <c r="K491" s="60"/>
      <c r="L491" s="60"/>
      <c r="M491" s="60"/>
      <c r="N491" s="60"/>
      <c r="O491" s="60"/>
    </row>
    <row r="492" spans="2:27">
      <c r="B492" s="49" t="s">
        <v>5125</v>
      </c>
      <c r="C492" s="41" t="s">
        <v>5399</v>
      </c>
      <c r="D492" s="50"/>
      <c r="E492" s="60"/>
      <c r="F492" s="50"/>
      <c r="G492" s="60"/>
      <c r="H492" s="50"/>
      <c r="I492" s="60"/>
      <c r="J492" s="50"/>
      <c r="K492" s="60"/>
      <c r="L492" s="60"/>
      <c r="M492" s="60"/>
      <c r="N492" s="60"/>
      <c r="O492" s="60"/>
    </row>
    <row r="493" spans="2:27">
      <c r="B493" s="49" t="s">
        <v>5174</v>
      </c>
      <c r="C493" s="41" t="s">
        <v>5400</v>
      </c>
      <c r="D493" s="50"/>
      <c r="E493" s="60"/>
      <c r="F493" s="50"/>
      <c r="G493" s="60"/>
      <c r="H493" s="50"/>
      <c r="I493" s="60"/>
      <c r="J493" s="50"/>
      <c r="K493" s="60"/>
      <c r="L493" s="60"/>
      <c r="M493" s="60"/>
      <c r="N493" s="60"/>
      <c r="O493" s="60"/>
    </row>
    <row r="494" spans="2:27">
      <c r="B494" s="49" t="s">
        <v>5175</v>
      </c>
      <c r="C494" s="41" t="s">
        <v>5401</v>
      </c>
      <c r="D494" s="50"/>
      <c r="E494" s="60"/>
      <c r="F494" s="50"/>
      <c r="G494" s="60"/>
      <c r="H494" s="50"/>
      <c r="I494" s="60"/>
      <c r="J494" s="50"/>
      <c r="K494" s="60"/>
      <c r="L494" s="60"/>
      <c r="M494" s="60"/>
      <c r="N494" s="60"/>
      <c r="O494" s="60"/>
    </row>
    <row r="495" spans="2:27">
      <c r="B495" s="49" t="s">
        <v>5176</v>
      </c>
      <c r="C495" s="41" t="s">
        <v>5402</v>
      </c>
      <c r="D495" s="50"/>
      <c r="E495" s="60"/>
      <c r="F495" s="50"/>
      <c r="G495" s="60"/>
      <c r="H495" s="50"/>
      <c r="I495" s="60"/>
      <c r="J495" s="50"/>
      <c r="K495" s="60"/>
      <c r="L495" s="60"/>
      <c r="M495" s="60"/>
      <c r="N495" s="60"/>
      <c r="O495" s="60"/>
    </row>
    <row r="496" spans="2:27">
      <c r="B496" s="49" t="s">
        <v>5126</v>
      </c>
      <c r="C496" s="41" t="s">
        <v>5403</v>
      </c>
      <c r="D496" s="50"/>
      <c r="E496" s="60"/>
      <c r="F496" s="50"/>
      <c r="G496" s="60"/>
      <c r="H496" s="50"/>
      <c r="I496" s="60"/>
      <c r="J496" s="50"/>
      <c r="K496" s="60"/>
      <c r="L496" s="60"/>
      <c r="M496" s="60"/>
      <c r="N496" s="60"/>
      <c r="O496" s="60"/>
    </row>
    <row r="497" spans="2:15">
      <c r="B497" s="49" t="s">
        <v>5128</v>
      </c>
      <c r="C497" s="41" t="s">
        <v>5404</v>
      </c>
      <c r="D497" s="50"/>
      <c r="E497" s="60"/>
      <c r="F497" s="50"/>
      <c r="G497" s="60"/>
      <c r="H497" s="50"/>
      <c r="I497" s="60"/>
      <c r="J497" s="50"/>
      <c r="K497" s="60"/>
      <c r="L497" s="60"/>
      <c r="M497" s="60"/>
      <c r="N497" s="60"/>
      <c r="O497" s="60"/>
    </row>
    <row r="498" spans="2:15">
      <c r="B498" s="49" t="s">
        <v>5405</v>
      </c>
      <c r="C498" s="41" t="s">
        <v>5406</v>
      </c>
      <c r="D498" s="50"/>
      <c r="E498" s="60"/>
      <c r="F498" s="50"/>
      <c r="G498" s="60"/>
      <c r="H498" s="50"/>
      <c r="I498" s="60"/>
      <c r="J498" s="50"/>
      <c r="K498" s="60"/>
      <c r="L498" s="60"/>
      <c r="M498" s="60"/>
      <c r="N498" s="60"/>
      <c r="O498" s="60"/>
    </row>
    <row r="499" spans="2:15">
      <c r="B499" s="49" t="s">
        <v>5140</v>
      </c>
      <c r="C499" s="41" t="s">
        <v>5407</v>
      </c>
      <c r="D499" s="50"/>
      <c r="E499" s="60"/>
      <c r="F499" s="50"/>
      <c r="G499" s="60"/>
      <c r="H499" s="50"/>
      <c r="I499" s="60"/>
      <c r="J499" s="50"/>
      <c r="K499" s="60"/>
      <c r="L499" s="60"/>
      <c r="M499" s="60"/>
      <c r="N499" s="60"/>
      <c r="O499" s="60"/>
    </row>
    <row r="500" spans="2:15">
      <c r="B500" s="49" t="s">
        <v>5408</v>
      </c>
      <c r="C500" s="41" t="s">
        <v>5409</v>
      </c>
      <c r="D500" s="50"/>
      <c r="E500" s="60"/>
      <c r="F500" s="50"/>
      <c r="G500" s="60"/>
      <c r="H500" s="50"/>
      <c r="I500" s="60"/>
      <c r="J500" s="50"/>
      <c r="K500" s="60"/>
      <c r="L500" s="60"/>
      <c r="M500" s="60"/>
      <c r="N500" s="60"/>
      <c r="O500" s="60"/>
    </row>
    <row r="501" spans="2:15">
      <c r="B501" s="49" t="s">
        <v>5177</v>
      </c>
      <c r="C501" s="41" t="s">
        <v>5410</v>
      </c>
      <c r="D501" s="50"/>
      <c r="E501" s="60"/>
      <c r="F501" s="50"/>
      <c r="G501" s="60"/>
      <c r="H501" s="50"/>
      <c r="I501" s="60"/>
      <c r="J501" s="50"/>
      <c r="K501" s="60"/>
      <c r="L501" s="60"/>
      <c r="M501" s="60"/>
      <c r="N501" s="60"/>
      <c r="O501" s="60"/>
    </row>
    <row r="502" spans="2:15">
      <c r="B502" s="49" t="s">
        <v>5132</v>
      </c>
      <c r="C502" s="41" t="s">
        <v>5411</v>
      </c>
      <c r="D502" s="50"/>
      <c r="E502" s="60"/>
      <c r="F502" s="50"/>
      <c r="G502" s="60"/>
      <c r="H502" s="50"/>
      <c r="I502" s="60"/>
      <c r="J502" s="50"/>
      <c r="K502" s="60"/>
      <c r="L502" s="60"/>
      <c r="M502" s="60"/>
      <c r="N502" s="60"/>
      <c r="O502" s="60"/>
    </row>
    <row r="503" spans="2:15">
      <c r="B503" s="49" t="s">
        <v>5133</v>
      </c>
      <c r="C503" s="41" t="s">
        <v>5412</v>
      </c>
      <c r="D503" s="50"/>
      <c r="E503" s="60"/>
      <c r="F503" s="50"/>
      <c r="G503" s="60"/>
      <c r="H503" s="50"/>
      <c r="I503" s="60"/>
      <c r="J503" s="50"/>
      <c r="K503" s="60"/>
      <c r="L503" s="60"/>
      <c r="M503" s="60"/>
      <c r="N503" s="60"/>
      <c r="O503" s="60"/>
    </row>
    <row r="504" spans="2:15">
      <c r="B504" s="49" t="s">
        <v>5134</v>
      </c>
      <c r="C504" s="41" t="s">
        <v>5413</v>
      </c>
      <c r="D504" s="50"/>
      <c r="E504" s="60"/>
      <c r="F504" s="50"/>
      <c r="G504" s="60"/>
      <c r="H504" s="50"/>
      <c r="I504" s="60"/>
      <c r="J504" s="50"/>
      <c r="K504" s="60"/>
      <c r="L504" s="60"/>
      <c r="M504" s="60"/>
      <c r="N504" s="60"/>
      <c r="O504" s="60"/>
    </row>
    <row r="505" spans="2:15">
      <c r="B505" s="49" t="s">
        <v>5135</v>
      </c>
      <c r="C505" s="41" t="s">
        <v>5414</v>
      </c>
      <c r="D505" s="50"/>
      <c r="E505" s="60"/>
      <c r="F505" s="50"/>
      <c r="G505" s="60"/>
      <c r="H505" s="50"/>
      <c r="I505" s="60"/>
      <c r="J505" s="50"/>
      <c r="K505" s="60"/>
      <c r="L505" s="60"/>
      <c r="M505" s="60"/>
      <c r="N505" s="60"/>
      <c r="O505" s="60"/>
    </row>
    <row r="506" spans="2:15">
      <c r="B506" s="49" t="s">
        <v>5178</v>
      </c>
      <c r="C506" s="41" t="s">
        <v>5415</v>
      </c>
      <c r="D506" s="50"/>
      <c r="E506" s="60"/>
      <c r="F506" s="50"/>
      <c r="G506" s="60"/>
      <c r="H506" s="50"/>
      <c r="I506" s="60"/>
      <c r="J506" s="50"/>
      <c r="K506" s="60"/>
      <c r="L506" s="60"/>
      <c r="M506" s="60"/>
      <c r="N506" s="60"/>
      <c r="O506" s="60"/>
    </row>
    <row r="507" spans="2:15">
      <c r="B507" s="49" t="s">
        <v>5416</v>
      </c>
      <c r="C507" s="41" t="s">
        <v>5417</v>
      </c>
      <c r="D507" s="50"/>
      <c r="E507" s="60"/>
      <c r="F507" s="50"/>
      <c r="G507" s="60"/>
      <c r="H507" s="50"/>
      <c r="I507" s="60"/>
      <c r="J507" s="50"/>
      <c r="K507" s="60"/>
      <c r="L507" s="60"/>
      <c r="M507" s="60"/>
      <c r="N507" s="60"/>
      <c r="O507" s="60"/>
    </row>
    <row r="508" spans="2:15">
      <c r="B508" s="49" t="s">
        <v>5418</v>
      </c>
      <c r="C508" s="41" t="s">
        <v>5419</v>
      </c>
      <c r="D508" s="50"/>
      <c r="E508" s="60"/>
      <c r="F508" s="50"/>
      <c r="G508" s="60"/>
      <c r="H508" s="50"/>
      <c r="I508" s="60"/>
      <c r="J508" s="50"/>
      <c r="K508" s="60"/>
      <c r="L508" s="60"/>
      <c r="M508" s="60"/>
      <c r="N508" s="60"/>
      <c r="O508" s="60"/>
    </row>
    <row r="509" spans="2:15">
      <c r="B509" s="49" t="s">
        <v>5136</v>
      </c>
      <c r="C509" s="41" t="s">
        <v>5420</v>
      </c>
      <c r="D509" s="50"/>
      <c r="E509" s="60"/>
      <c r="F509" s="50"/>
      <c r="G509" s="60"/>
      <c r="H509" s="50"/>
      <c r="I509" s="60"/>
      <c r="J509" s="50"/>
      <c r="K509" s="60"/>
      <c r="L509" s="60"/>
      <c r="M509" s="60"/>
      <c r="N509" s="60"/>
      <c r="O509" s="60"/>
    </row>
    <row r="510" spans="2:15">
      <c r="B510" s="49" t="s">
        <v>5179</v>
      </c>
      <c r="C510" s="41" t="s">
        <v>5421</v>
      </c>
      <c r="D510" s="50"/>
      <c r="E510" s="60"/>
      <c r="F510" s="50"/>
      <c r="G510" s="60"/>
      <c r="H510" s="50"/>
      <c r="I510" s="60"/>
      <c r="J510" s="50"/>
      <c r="K510" s="60"/>
      <c r="L510" s="60"/>
      <c r="M510" s="60"/>
      <c r="N510" s="60"/>
      <c r="O510" s="60"/>
    </row>
    <row r="511" spans="2:15">
      <c r="B511" s="49" t="s">
        <v>5137</v>
      </c>
      <c r="C511" s="41" t="s">
        <v>5422</v>
      </c>
      <c r="D511" s="50"/>
      <c r="E511" s="60"/>
      <c r="F511" s="50"/>
      <c r="G511" s="60"/>
      <c r="H511" s="50"/>
      <c r="I511" s="60"/>
      <c r="J511" s="50"/>
      <c r="K511" s="60"/>
      <c r="L511" s="60"/>
      <c r="M511" s="60"/>
      <c r="N511" s="60"/>
      <c r="O511" s="60"/>
    </row>
    <row r="512" spans="2:15">
      <c r="B512" s="49" t="s">
        <v>5138</v>
      </c>
      <c r="C512" s="41" t="s">
        <v>5423</v>
      </c>
      <c r="D512" s="50"/>
      <c r="E512" s="60"/>
      <c r="F512" s="50"/>
      <c r="G512" s="60"/>
      <c r="H512" s="50"/>
      <c r="I512" s="60"/>
      <c r="J512" s="50"/>
      <c r="K512" s="60"/>
      <c r="L512" s="60"/>
      <c r="M512" s="60"/>
      <c r="N512" s="60"/>
      <c r="O512" s="60"/>
    </row>
    <row r="513" spans="2:27">
      <c r="B513" s="49" t="s">
        <v>5139</v>
      </c>
      <c r="C513" s="41" t="s">
        <v>5424</v>
      </c>
      <c r="D513" s="50"/>
      <c r="E513" s="60"/>
      <c r="F513" s="50"/>
      <c r="G513" s="60"/>
      <c r="H513" s="50"/>
      <c r="I513" s="60"/>
      <c r="J513" s="50"/>
      <c r="K513" s="60"/>
      <c r="L513" s="60"/>
      <c r="M513" s="60"/>
      <c r="N513" s="60"/>
      <c r="O513" s="60"/>
    </row>
    <row r="514" spans="2:27">
      <c r="B514" s="49" t="s">
        <v>5180</v>
      </c>
      <c r="C514" s="41" t="s">
        <v>5425</v>
      </c>
      <c r="D514" s="50"/>
      <c r="E514" s="60"/>
      <c r="F514" s="50"/>
      <c r="G514" s="60"/>
      <c r="H514" s="50"/>
      <c r="I514" s="60"/>
      <c r="J514" s="50"/>
      <c r="K514" s="60"/>
      <c r="L514" s="60"/>
      <c r="M514" s="60"/>
      <c r="N514" s="60"/>
      <c r="O514" s="60"/>
    </row>
    <row r="515" spans="2:27">
      <c r="B515" s="49" t="s">
        <v>5181</v>
      </c>
      <c r="C515" s="41" t="s">
        <v>5426</v>
      </c>
      <c r="D515" s="50"/>
      <c r="E515" s="60"/>
      <c r="F515" s="50"/>
      <c r="G515" s="60"/>
      <c r="H515" s="50"/>
      <c r="I515" s="60"/>
      <c r="J515" s="50"/>
      <c r="K515" s="60"/>
      <c r="L515" s="60"/>
      <c r="M515" s="60"/>
      <c r="N515" s="60"/>
      <c r="O515" s="60"/>
    </row>
    <row r="516" spans="2:27">
      <c r="B516" s="49" t="s">
        <v>5182</v>
      </c>
      <c r="C516" s="41" t="s">
        <v>5427</v>
      </c>
      <c r="D516" s="50"/>
      <c r="E516" s="60"/>
      <c r="F516" s="50"/>
      <c r="G516" s="60"/>
      <c r="H516" s="50"/>
      <c r="I516" s="60"/>
      <c r="J516" s="50"/>
      <c r="K516" s="60"/>
      <c r="L516" s="60"/>
      <c r="M516" s="60"/>
      <c r="N516" s="60"/>
      <c r="O516" s="60"/>
    </row>
    <row r="517" spans="2:27">
      <c r="B517" s="49" t="s">
        <v>5129</v>
      </c>
      <c r="C517" s="41" t="s">
        <v>5428</v>
      </c>
      <c r="D517" s="50"/>
      <c r="E517" s="60"/>
      <c r="F517" s="50"/>
      <c r="G517" s="60"/>
      <c r="H517" s="50"/>
      <c r="I517" s="60"/>
      <c r="J517" s="50"/>
      <c r="K517" s="60"/>
      <c r="L517" s="60"/>
      <c r="M517" s="60"/>
      <c r="N517" s="60"/>
      <c r="O517" s="60"/>
    </row>
    <row r="518" spans="2:27">
      <c r="B518" s="49" t="s">
        <v>5142</v>
      </c>
      <c r="C518" s="41" t="s">
        <v>5429</v>
      </c>
      <c r="D518" s="50"/>
      <c r="E518" s="60"/>
      <c r="F518" s="50"/>
      <c r="G518" s="60"/>
      <c r="H518" s="50"/>
      <c r="I518" s="60"/>
      <c r="J518" s="50"/>
      <c r="K518" s="60"/>
      <c r="L518" s="60"/>
      <c r="M518" s="60"/>
      <c r="N518" s="60"/>
      <c r="O518" s="60"/>
    </row>
    <row r="519" spans="2:27">
      <c r="B519" s="49" t="s">
        <v>5143</v>
      </c>
      <c r="C519" s="41" t="s">
        <v>5430</v>
      </c>
      <c r="D519" s="50"/>
      <c r="E519" s="60"/>
      <c r="F519" s="50"/>
      <c r="G519" s="60"/>
      <c r="H519" s="50"/>
      <c r="I519" s="60"/>
      <c r="J519" s="50"/>
      <c r="K519" s="60"/>
      <c r="L519" s="60"/>
      <c r="M519" s="60"/>
      <c r="N519" s="60"/>
      <c r="O519" s="60"/>
    </row>
    <row r="520" spans="2:27">
      <c r="B520" s="49" t="s">
        <v>5431</v>
      </c>
      <c r="C520" s="41" t="s">
        <v>5432</v>
      </c>
      <c r="D520" s="50"/>
      <c r="E520" s="60"/>
      <c r="F520" s="50"/>
      <c r="G520" s="60"/>
      <c r="H520" s="50"/>
      <c r="I520" s="60"/>
      <c r="J520" s="50"/>
      <c r="K520" s="60"/>
      <c r="L520" s="60"/>
      <c r="M520" s="60"/>
      <c r="N520" s="60"/>
      <c r="O520" s="60"/>
    </row>
    <row r="521" spans="2:27">
      <c r="B521" s="49" t="s">
        <v>5144</v>
      </c>
      <c r="C521" s="41" t="s">
        <v>5433</v>
      </c>
      <c r="D521" s="74"/>
      <c r="E521" s="63"/>
      <c r="F521" s="74"/>
      <c r="G521" s="63"/>
      <c r="H521" s="74"/>
      <c r="I521" s="63"/>
      <c r="J521" s="74"/>
      <c r="K521" s="63"/>
      <c r="L521" s="60"/>
      <c r="M521" s="60"/>
      <c r="N521" s="60"/>
      <c r="O521" s="60"/>
    </row>
    <row r="522" spans="2:27">
      <c r="B522" s="49" t="s">
        <v>5434</v>
      </c>
      <c r="C522" s="44" t="s">
        <v>5435</v>
      </c>
      <c r="D522" s="58"/>
      <c r="E522" s="58"/>
      <c r="F522" s="58"/>
      <c r="G522" s="58"/>
      <c r="H522" s="58"/>
      <c r="I522" s="58"/>
      <c r="J522" s="58"/>
      <c r="K522" s="48"/>
      <c r="L522" s="60"/>
      <c r="M522" s="63"/>
      <c r="N522" s="63"/>
      <c r="O522" s="60"/>
    </row>
    <row r="523" spans="2:27">
      <c r="B523" s="49" t="s">
        <v>5436</v>
      </c>
      <c r="C523" s="44" t="s">
        <v>5437</v>
      </c>
      <c r="D523" s="58"/>
      <c r="E523" s="58"/>
      <c r="F523" s="58"/>
      <c r="G523" s="58"/>
      <c r="H523" s="58"/>
      <c r="I523" s="58"/>
      <c r="J523" s="58"/>
      <c r="K523" s="48"/>
      <c r="L523" s="64"/>
      <c r="M523" s="58"/>
      <c r="N523" s="48"/>
      <c r="O523" s="60"/>
    </row>
    <row r="524" spans="2:27">
      <c r="B524" s="49" t="s">
        <v>5438</v>
      </c>
      <c r="C524" s="44" t="s">
        <v>5439</v>
      </c>
      <c r="D524" s="56"/>
      <c r="E524" s="56"/>
      <c r="F524" s="56"/>
      <c r="G524" s="56"/>
      <c r="H524" s="56"/>
      <c r="I524" s="56"/>
      <c r="J524" s="56"/>
      <c r="K524" s="46"/>
      <c r="L524" s="64"/>
      <c r="M524" s="56"/>
      <c r="N524" s="46"/>
      <c r="O524" s="60"/>
    </row>
    <row r="526" spans="2:27">
      <c r="Z526" s="13" t="str">
        <f>Show!$B$156&amp;Show!$B$156&amp;"S.27.01.01.20 Rows {"&amp;COLUMN($C$1)&amp;"}"</f>
        <v>!!S.27.01.01.20 Rows {3}</v>
      </c>
      <c r="AA526" s="13" t="str">
        <f>Show!$B$156&amp;Show!$B$156&amp;"S.27.01.01.20 Columns {"&amp;COLUMN($O$1)&amp;"}"</f>
        <v>!!S.27.01.01.20 Columns {15}</v>
      </c>
    </row>
    <row r="528" spans="2:27" ht="18.75">
      <c r="B528" s="97" t="s">
        <v>5440</v>
      </c>
      <c r="C528" s="96"/>
      <c r="D528" s="96"/>
      <c r="E528" s="96"/>
      <c r="F528" s="96"/>
      <c r="G528" s="96"/>
      <c r="H528" s="96"/>
      <c r="I528" s="96"/>
      <c r="J528" s="96"/>
      <c r="K528" s="96"/>
      <c r="L528" s="96"/>
    </row>
    <row r="532" spans="2:27">
      <c r="D532" s="101" t="s">
        <v>2877</v>
      </c>
      <c r="E532" s="102"/>
      <c r="F532" s="102"/>
      <c r="G532" s="102"/>
      <c r="H532" s="102"/>
      <c r="I532" s="102"/>
      <c r="J532" s="102"/>
      <c r="K532" s="102"/>
      <c r="L532" s="103"/>
    </row>
    <row r="533" spans="2:27">
      <c r="D533" s="104"/>
      <c r="E533" s="105"/>
      <c r="F533" s="105"/>
      <c r="G533" s="105"/>
      <c r="H533" s="105"/>
      <c r="I533" s="105"/>
      <c r="J533" s="105"/>
      <c r="K533" s="105"/>
      <c r="L533" s="106"/>
    </row>
    <row r="534" spans="2:27">
      <c r="D534" s="98" t="s">
        <v>5441</v>
      </c>
      <c r="E534" s="107" t="s">
        <v>5442</v>
      </c>
      <c r="F534" s="108"/>
      <c r="G534" s="108"/>
      <c r="H534" s="109"/>
      <c r="I534" s="98" t="s">
        <v>5119</v>
      </c>
      <c r="J534" s="98" t="s">
        <v>5120</v>
      </c>
      <c r="K534" s="98" t="s">
        <v>5121</v>
      </c>
      <c r="L534" s="98" t="s">
        <v>5122</v>
      </c>
    </row>
    <row r="535" spans="2:27" ht="30">
      <c r="D535" s="100"/>
      <c r="E535" s="55" t="s">
        <v>5388</v>
      </c>
      <c r="F535" s="55" t="s">
        <v>5393</v>
      </c>
      <c r="G535" s="55" t="s">
        <v>5395</v>
      </c>
      <c r="H535" s="55" t="s">
        <v>5396</v>
      </c>
      <c r="I535" s="100"/>
      <c r="J535" s="100"/>
      <c r="K535" s="100"/>
      <c r="L535" s="100"/>
    </row>
    <row r="536" spans="2:27">
      <c r="D536" s="45" t="s">
        <v>4038</v>
      </c>
      <c r="E536" s="45" t="s">
        <v>4039</v>
      </c>
      <c r="F536" s="45" t="s">
        <v>4040</v>
      </c>
      <c r="G536" s="45" t="s">
        <v>4042</v>
      </c>
      <c r="H536" s="45" t="s">
        <v>4044</v>
      </c>
      <c r="I536" s="45" t="s">
        <v>4045</v>
      </c>
      <c r="J536" s="45" t="s">
        <v>5443</v>
      </c>
      <c r="K536" s="45" t="s">
        <v>5444</v>
      </c>
      <c r="L536" s="45" t="s">
        <v>4047</v>
      </c>
      <c r="Z536" s="13" t="str">
        <f>Show!$B$156&amp;"S.27.01.01.21 Rows {"&amp;COLUMN($C$1)&amp;"}"&amp;"@ForceFilingCode:true"</f>
        <v>!S.27.01.01.21 Rows {3}@ForceFilingCode:true</v>
      </c>
      <c r="AA536" s="13" t="str">
        <f>Show!$B$156&amp;"S.27.01.01.21 Columns {"&amp;COLUMN($D$1)&amp;"}"</f>
        <v>!S.27.01.01.21 Columns {4}</v>
      </c>
    </row>
    <row r="537" spans="2:27">
      <c r="B537" s="43" t="s">
        <v>2880</v>
      </c>
      <c r="C537" s="44" t="s">
        <v>2878</v>
      </c>
      <c r="D537" s="58"/>
      <c r="E537" s="67"/>
      <c r="F537" s="67"/>
      <c r="G537" s="67"/>
      <c r="H537" s="67"/>
      <c r="I537" s="67"/>
      <c r="J537" s="67"/>
      <c r="K537" s="67"/>
      <c r="L537" s="59"/>
    </row>
    <row r="538" spans="2:27">
      <c r="B538" s="47" t="s">
        <v>5445</v>
      </c>
      <c r="C538" s="44" t="s">
        <v>2878</v>
      </c>
      <c r="D538" s="56"/>
      <c r="E538" s="66"/>
      <c r="F538" s="66"/>
      <c r="G538" s="66"/>
      <c r="H538" s="66"/>
      <c r="I538" s="66"/>
      <c r="J538" s="66"/>
      <c r="K538" s="66"/>
      <c r="L538" s="57"/>
    </row>
    <row r="539" spans="2:27">
      <c r="B539" s="49" t="s">
        <v>5124</v>
      </c>
      <c r="C539" s="41" t="s">
        <v>5446</v>
      </c>
      <c r="D539" s="50"/>
      <c r="E539" s="60"/>
      <c r="F539" s="60"/>
      <c r="G539" s="60"/>
      <c r="H539" s="60"/>
      <c r="I539" s="60"/>
      <c r="J539" s="60"/>
      <c r="K539" s="60"/>
      <c r="L539" s="60"/>
    </row>
    <row r="540" spans="2:27">
      <c r="B540" s="49" t="s">
        <v>5125</v>
      </c>
      <c r="C540" s="41" t="s">
        <v>5447</v>
      </c>
      <c r="D540" s="50"/>
      <c r="E540" s="60"/>
      <c r="F540" s="60"/>
      <c r="G540" s="60"/>
      <c r="H540" s="60"/>
      <c r="I540" s="60"/>
      <c r="J540" s="60"/>
      <c r="K540" s="60"/>
      <c r="L540" s="60"/>
    </row>
    <row r="541" spans="2:27">
      <c r="B541" s="49" t="s">
        <v>5174</v>
      </c>
      <c r="C541" s="41" t="s">
        <v>5448</v>
      </c>
      <c r="D541" s="50"/>
      <c r="E541" s="60"/>
      <c r="F541" s="60"/>
      <c r="G541" s="60"/>
      <c r="H541" s="60"/>
      <c r="I541" s="60"/>
      <c r="J541" s="60"/>
      <c r="K541" s="60"/>
      <c r="L541" s="60"/>
    </row>
    <row r="542" spans="2:27">
      <c r="B542" s="49" t="s">
        <v>5175</v>
      </c>
      <c r="C542" s="41" t="s">
        <v>5449</v>
      </c>
      <c r="D542" s="50"/>
      <c r="E542" s="60"/>
      <c r="F542" s="60"/>
      <c r="G542" s="60"/>
      <c r="H542" s="60"/>
      <c r="I542" s="60"/>
      <c r="J542" s="60"/>
      <c r="K542" s="60"/>
      <c r="L542" s="60"/>
    </row>
    <row r="543" spans="2:27">
      <c r="B543" s="49" t="s">
        <v>5176</v>
      </c>
      <c r="C543" s="41" t="s">
        <v>5450</v>
      </c>
      <c r="D543" s="50"/>
      <c r="E543" s="60"/>
      <c r="F543" s="60"/>
      <c r="G543" s="60"/>
      <c r="H543" s="60"/>
      <c r="I543" s="60"/>
      <c r="J543" s="60"/>
      <c r="K543" s="60"/>
      <c r="L543" s="60"/>
    </row>
    <row r="544" spans="2:27">
      <c r="B544" s="49" t="s">
        <v>5126</v>
      </c>
      <c r="C544" s="41" t="s">
        <v>5451</v>
      </c>
      <c r="D544" s="50"/>
      <c r="E544" s="60"/>
      <c r="F544" s="60"/>
      <c r="G544" s="60"/>
      <c r="H544" s="60"/>
      <c r="I544" s="60"/>
      <c r="J544" s="60"/>
      <c r="K544" s="60"/>
      <c r="L544" s="60"/>
    </row>
    <row r="545" spans="2:12">
      <c r="B545" s="49" t="s">
        <v>5128</v>
      </c>
      <c r="C545" s="41" t="s">
        <v>5452</v>
      </c>
      <c r="D545" s="50"/>
      <c r="E545" s="60"/>
      <c r="F545" s="60"/>
      <c r="G545" s="60"/>
      <c r="H545" s="60"/>
      <c r="I545" s="60"/>
      <c r="J545" s="60"/>
      <c r="K545" s="60"/>
      <c r="L545" s="60"/>
    </row>
    <row r="546" spans="2:12">
      <c r="B546" s="49" t="s">
        <v>5405</v>
      </c>
      <c r="C546" s="41" t="s">
        <v>5453</v>
      </c>
      <c r="D546" s="50"/>
      <c r="E546" s="60"/>
      <c r="F546" s="60"/>
      <c r="G546" s="60"/>
      <c r="H546" s="60"/>
      <c r="I546" s="60"/>
      <c r="J546" s="60"/>
      <c r="K546" s="60"/>
      <c r="L546" s="60"/>
    </row>
    <row r="547" spans="2:12">
      <c r="B547" s="49" t="s">
        <v>5140</v>
      </c>
      <c r="C547" s="41" t="s">
        <v>5454</v>
      </c>
      <c r="D547" s="50"/>
      <c r="E547" s="60"/>
      <c r="F547" s="60"/>
      <c r="G547" s="60"/>
      <c r="H547" s="60"/>
      <c r="I547" s="60"/>
      <c r="J547" s="60"/>
      <c r="K547" s="60"/>
      <c r="L547" s="60"/>
    </row>
    <row r="548" spans="2:12">
      <c r="B548" s="49" t="s">
        <v>5455</v>
      </c>
      <c r="C548" s="41" t="s">
        <v>5456</v>
      </c>
      <c r="D548" s="50"/>
      <c r="E548" s="60"/>
      <c r="F548" s="60"/>
      <c r="G548" s="60"/>
      <c r="H548" s="60"/>
      <c r="I548" s="60"/>
      <c r="J548" s="60"/>
      <c r="K548" s="60"/>
      <c r="L548" s="60"/>
    </row>
    <row r="549" spans="2:12">
      <c r="B549" s="49" t="s">
        <v>5177</v>
      </c>
      <c r="C549" s="41" t="s">
        <v>5457</v>
      </c>
      <c r="D549" s="50"/>
      <c r="E549" s="60"/>
      <c r="F549" s="60"/>
      <c r="G549" s="60"/>
      <c r="H549" s="60"/>
      <c r="I549" s="60"/>
      <c r="J549" s="60"/>
      <c r="K549" s="60"/>
      <c r="L549" s="60"/>
    </row>
    <row r="550" spans="2:12">
      <c r="B550" s="49" t="s">
        <v>5132</v>
      </c>
      <c r="C550" s="41" t="s">
        <v>5458</v>
      </c>
      <c r="D550" s="50"/>
      <c r="E550" s="60"/>
      <c r="F550" s="60"/>
      <c r="G550" s="60"/>
      <c r="H550" s="60"/>
      <c r="I550" s="60"/>
      <c r="J550" s="60"/>
      <c r="K550" s="60"/>
      <c r="L550" s="60"/>
    </row>
    <row r="551" spans="2:12">
      <c r="B551" s="49" t="s">
        <v>5133</v>
      </c>
      <c r="C551" s="41" t="s">
        <v>5459</v>
      </c>
      <c r="D551" s="50"/>
      <c r="E551" s="60"/>
      <c r="F551" s="60"/>
      <c r="G551" s="60"/>
      <c r="H551" s="60"/>
      <c r="I551" s="60"/>
      <c r="J551" s="60"/>
      <c r="K551" s="60"/>
      <c r="L551" s="60"/>
    </row>
    <row r="552" spans="2:12">
      <c r="B552" s="49" t="s">
        <v>5134</v>
      </c>
      <c r="C552" s="41" t="s">
        <v>5460</v>
      </c>
      <c r="D552" s="50"/>
      <c r="E552" s="60"/>
      <c r="F552" s="60"/>
      <c r="G552" s="60"/>
      <c r="H552" s="60"/>
      <c r="I552" s="60"/>
      <c r="J552" s="60"/>
      <c r="K552" s="60"/>
      <c r="L552" s="60"/>
    </row>
    <row r="553" spans="2:12">
      <c r="B553" s="49" t="s">
        <v>5135</v>
      </c>
      <c r="C553" s="41" t="s">
        <v>5461</v>
      </c>
      <c r="D553" s="50"/>
      <c r="E553" s="60"/>
      <c r="F553" s="60"/>
      <c r="G553" s="60"/>
      <c r="H553" s="60"/>
      <c r="I553" s="60"/>
      <c r="J553" s="60"/>
      <c r="K553" s="60"/>
      <c r="L553" s="60"/>
    </row>
    <row r="554" spans="2:12">
      <c r="B554" s="49" t="s">
        <v>5462</v>
      </c>
      <c r="C554" s="41" t="s">
        <v>5463</v>
      </c>
      <c r="D554" s="50"/>
      <c r="E554" s="60"/>
      <c r="F554" s="60"/>
      <c r="G554" s="60"/>
      <c r="H554" s="60"/>
      <c r="I554" s="60"/>
      <c r="J554" s="60"/>
      <c r="K554" s="60"/>
      <c r="L554" s="60"/>
    </row>
    <row r="555" spans="2:12">
      <c r="B555" s="49" t="s">
        <v>5416</v>
      </c>
      <c r="C555" s="41" t="s">
        <v>5464</v>
      </c>
      <c r="D555" s="50"/>
      <c r="E555" s="60"/>
      <c r="F555" s="60"/>
      <c r="G555" s="60"/>
      <c r="H555" s="60"/>
      <c r="I555" s="60"/>
      <c r="J555" s="60"/>
      <c r="K555" s="60"/>
      <c r="L555" s="60"/>
    </row>
    <row r="556" spans="2:12">
      <c r="B556" s="49" t="s">
        <v>5418</v>
      </c>
      <c r="C556" s="41" t="s">
        <v>5465</v>
      </c>
      <c r="D556" s="50"/>
      <c r="E556" s="60"/>
      <c r="F556" s="60"/>
      <c r="G556" s="60"/>
      <c r="H556" s="60"/>
      <c r="I556" s="60"/>
      <c r="J556" s="60"/>
      <c r="K556" s="60"/>
      <c r="L556" s="60"/>
    </row>
    <row r="557" spans="2:12">
      <c r="B557" s="49" t="s">
        <v>5136</v>
      </c>
      <c r="C557" s="41" t="s">
        <v>5466</v>
      </c>
      <c r="D557" s="50"/>
      <c r="E557" s="60"/>
      <c r="F557" s="60"/>
      <c r="G557" s="60"/>
      <c r="H557" s="60"/>
      <c r="I557" s="60"/>
      <c r="J557" s="60"/>
      <c r="K557" s="60"/>
      <c r="L557" s="60"/>
    </row>
    <row r="558" spans="2:12">
      <c r="B558" s="49" t="s">
        <v>5179</v>
      </c>
      <c r="C558" s="41" t="s">
        <v>5467</v>
      </c>
      <c r="D558" s="50"/>
      <c r="E558" s="60"/>
      <c r="F558" s="60"/>
      <c r="G558" s="60"/>
      <c r="H558" s="60"/>
      <c r="I558" s="60"/>
      <c r="J558" s="60"/>
      <c r="K558" s="60"/>
      <c r="L558" s="60"/>
    </row>
    <row r="559" spans="2:12">
      <c r="B559" s="49" t="s">
        <v>5137</v>
      </c>
      <c r="C559" s="41" t="s">
        <v>5468</v>
      </c>
      <c r="D559" s="50"/>
      <c r="E559" s="60"/>
      <c r="F559" s="60"/>
      <c r="G559" s="60"/>
      <c r="H559" s="60"/>
      <c r="I559" s="60"/>
      <c r="J559" s="60"/>
      <c r="K559" s="60"/>
      <c r="L559" s="60"/>
    </row>
    <row r="560" spans="2:12">
      <c r="B560" s="49" t="s">
        <v>5138</v>
      </c>
      <c r="C560" s="41" t="s">
        <v>5469</v>
      </c>
      <c r="D560" s="50"/>
      <c r="E560" s="60"/>
      <c r="F560" s="60"/>
      <c r="G560" s="60"/>
      <c r="H560" s="60"/>
      <c r="I560" s="60"/>
      <c r="J560" s="60"/>
      <c r="K560" s="60"/>
      <c r="L560" s="60"/>
    </row>
    <row r="561" spans="2:27">
      <c r="B561" s="49" t="s">
        <v>5139</v>
      </c>
      <c r="C561" s="41" t="s">
        <v>5470</v>
      </c>
      <c r="D561" s="50"/>
      <c r="E561" s="60"/>
      <c r="F561" s="60"/>
      <c r="G561" s="60"/>
      <c r="H561" s="60"/>
      <c r="I561" s="60"/>
      <c r="J561" s="60"/>
      <c r="K561" s="60"/>
      <c r="L561" s="60"/>
    </row>
    <row r="562" spans="2:27">
      <c r="B562" s="49" t="s">
        <v>5180</v>
      </c>
      <c r="C562" s="41" t="s">
        <v>5471</v>
      </c>
      <c r="D562" s="50"/>
      <c r="E562" s="60"/>
      <c r="F562" s="60"/>
      <c r="G562" s="60"/>
      <c r="H562" s="60"/>
      <c r="I562" s="60"/>
      <c r="J562" s="60"/>
      <c r="K562" s="60"/>
      <c r="L562" s="60"/>
    </row>
    <row r="563" spans="2:27">
      <c r="B563" s="49" t="s">
        <v>5181</v>
      </c>
      <c r="C563" s="41" t="s">
        <v>5472</v>
      </c>
      <c r="D563" s="50"/>
      <c r="E563" s="60"/>
      <c r="F563" s="60"/>
      <c r="G563" s="60"/>
      <c r="H563" s="60"/>
      <c r="I563" s="60"/>
      <c r="J563" s="60"/>
      <c r="K563" s="60"/>
      <c r="L563" s="60"/>
    </row>
    <row r="564" spans="2:27">
      <c r="B564" s="49" t="s">
        <v>5182</v>
      </c>
      <c r="C564" s="41" t="s">
        <v>5473</v>
      </c>
      <c r="D564" s="50"/>
      <c r="E564" s="60"/>
      <c r="F564" s="60"/>
      <c r="G564" s="60"/>
      <c r="H564" s="60"/>
      <c r="I564" s="60"/>
      <c r="J564" s="60"/>
      <c r="K564" s="60"/>
      <c r="L564" s="60"/>
    </row>
    <row r="565" spans="2:27">
      <c r="B565" s="49" t="s">
        <v>5129</v>
      </c>
      <c r="C565" s="41" t="s">
        <v>5474</v>
      </c>
      <c r="D565" s="50"/>
      <c r="E565" s="60"/>
      <c r="F565" s="60"/>
      <c r="G565" s="60"/>
      <c r="H565" s="60"/>
      <c r="I565" s="60"/>
      <c r="J565" s="60"/>
      <c r="K565" s="60"/>
      <c r="L565" s="60"/>
    </row>
    <row r="566" spans="2:27">
      <c r="B566" s="49" t="s">
        <v>5142</v>
      </c>
      <c r="C566" s="41" t="s">
        <v>5475</v>
      </c>
      <c r="D566" s="50"/>
      <c r="E566" s="60"/>
      <c r="F566" s="60"/>
      <c r="G566" s="60"/>
      <c r="H566" s="60"/>
      <c r="I566" s="60"/>
      <c r="J566" s="60"/>
      <c r="K566" s="60"/>
      <c r="L566" s="60"/>
    </row>
    <row r="567" spans="2:27">
      <c r="B567" s="49" t="s">
        <v>5143</v>
      </c>
      <c r="C567" s="41" t="s">
        <v>5476</v>
      </c>
      <c r="D567" s="50"/>
      <c r="E567" s="60"/>
      <c r="F567" s="60"/>
      <c r="G567" s="60"/>
      <c r="H567" s="60"/>
      <c r="I567" s="60"/>
      <c r="J567" s="60"/>
      <c r="K567" s="60"/>
      <c r="L567" s="60"/>
    </row>
    <row r="568" spans="2:27">
      <c r="B568" s="49" t="s">
        <v>5431</v>
      </c>
      <c r="C568" s="41" t="s">
        <v>5477</v>
      </c>
      <c r="D568" s="50"/>
      <c r="E568" s="60"/>
      <c r="F568" s="60"/>
      <c r="G568" s="60"/>
      <c r="H568" s="60"/>
      <c r="I568" s="60"/>
      <c r="J568" s="60"/>
      <c r="K568" s="60"/>
      <c r="L568" s="60"/>
    </row>
    <row r="569" spans="2:27">
      <c r="B569" s="49" t="s">
        <v>5144</v>
      </c>
      <c r="C569" s="41" t="s">
        <v>5478</v>
      </c>
      <c r="D569" s="50"/>
      <c r="E569" s="60"/>
      <c r="F569" s="60"/>
      <c r="G569" s="60"/>
      <c r="H569" s="60"/>
      <c r="I569" s="60"/>
      <c r="J569" s="60"/>
      <c r="K569" s="60"/>
      <c r="L569" s="60"/>
    </row>
    <row r="571" spans="2:27">
      <c r="Z571" s="13" t="str">
        <f>Show!$B$156&amp;Show!$B$156&amp;"S.27.01.01.21 Rows {"&amp;COLUMN($C$1)&amp;"}"</f>
        <v>!!S.27.01.01.21 Rows {3}</v>
      </c>
      <c r="AA571" s="13" t="str">
        <f>Show!$B$156&amp;Show!$B$156&amp;"S.27.01.01.21 Columns {"&amp;COLUMN($L$1)&amp;"}"</f>
        <v>!!S.27.01.01.21 Columns {12}</v>
      </c>
    </row>
    <row r="573" spans="2:27" ht="18.75">
      <c r="B573" s="97" t="s">
        <v>5479</v>
      </c>
      <c r="C573" s="96"/>
      <c r="D573" s="96"/>
      <c r="E573" s="96"/>
      <c r="F573" s="96"/>
      <c r="G573" s="96"/>
      <c r="H573" s="96"/>
      <c r="I573" s="96"/>
      <c r="J573" s="96"/>
      <c r="K573" s="96"/>
      <c r="L573" s="96"/>
    </row>
    <row r="577" spans="2:27">
      <c r="D577" s="101" t="s">
        <v>2877</v>
      </c>
      <c r="E577" s="102"/>
      <c r="F577" s="102"/>
      <c r="G577" s="102"/>
      <c r="H577" s="102"/>
      <c r="I577" s="102"/>
      <c r="J577" s="102"/>
      <c r="K577" s="102"/>
      <c r="L577" s="102"/>
      <c r="M577" s="102"/>
      <c r="N577" s="102"/>
      <c r="O577" s="102"/>
      <c r="P577" s="103"/>
    </row>
    <row r="578" spans="2:27">
      <c r="D578" s="104"/>
      <c r="E578" s="105"/>
      <c r="F578" s="105"/>
      <c r="G578" s="105"/>
      <c r="H578" s="105"/>
      <c r="I578" s="105"/>
      <c r="J578" s="105"/>
      <c r="K578" s="105"/>
      <c r="L578" s="105"/>
      <c r="M578" s="105"/>
      <c r="N578" s="105"/>
      <c r="O578" s="105"/>
      <c r="P578" s="106"/>
    </row>
    <row r="579" spans="2:27">
      <c r="D579" s="107" t="s">
        <v>4916</v>
      </c>
      <c r="E579" s="109"/>
      <c r="F579" s="107" t="s">
        <v>4913</v>
      </c>
      <c r="G579" s="108"/>
      <c r="H579" s="108"/>
      <c r="I579" s="108"/>
      <c r="J579" s="108"/>
      <c r="K579" s="108"/>
      <c r="L579" s="109"/>
      <c r="M579" s="98" t="s">
        <v>5119</v>
      </c>
      <c r="N579" s="98" t="s">
        <v>5120</v>
      </c>
      <c r="O579" s="98" t="s">
        <v>5121</v>
      </c>
      <c r="P579" s="98" t="s">
        <v>5122</v>
      </c>
    </row>
    <row r="580" spans="2:27" ht="60">
      <c r="D580" s="55" t="s">
        <v>5480</v>
      </c>
      <c r="E580" s="55" t="s">
        <v>5481</v>
      </c>
      <c r="F580" s="55" t="s">
        <v>5482</v>
      </c>
      <c r="G580" s="55" t="s">
        <v>5483</v>
      </c>
      <c r="H580" s="55" t="s">
        <v>5484</v>
      </c>
      <c r="I580" s="55" t="s">
        <v>5485</v>
      </c>
      <c r="J580" s="55" t="s">
        <v>5486</v>
      </c>
      <c r="K580" s="55" t="s">
        <v>5487</v>
      </c>
      <c r="L580" s="55" t="s">
        <v>5488</v>
      </c>
      <c r="M580" s="100"/>
      <c r="N580" s="100"/>
      <c r="O580" s="100"/>
      <c r="P580" s="100"/>
    </row>
    <row r="581" spans="2:27">
      <c r="D581" s="45" t="s">
        <v>4049</v>
      </c>
      <c r="E581" s="45" t="s">
        <v>4050</v>
      </c>
      <c r="F581" s="45" t="s">
        <v>4051</v>
      </c>
      <c r="G581" s="45" t="s">
        <v>4052</v>
      </c>
      <c r="H581" s="45" t="s">
        <v>4053</v>
      </c>
      <c r="I581" s="45" t="s">
        <v>4054</v>
      </c>
      <c r="J581" s="45" t="s">
        <v>4055</v>
      </c>
      <c r="K581" s="45" t="s">
        <v>4056</v>
      </c>
      <c r="L581" s="45" t="s">
        <v>4057</v>
      </c>
      <c r="M581" s="45" t="s">
        <v>4058</v>
      </c>
      <c r="N581" s="45" t="s">
        <v>4059</v>
      </c>
      <c r="O581" s="45" t="s">
        <v>4060</v>
      </c>
      <c r="P581" s="45" t="s">
        <v>4061</v>
      </c>
      <c r="Z581" s="13" t="str">
        <f>Show!$B$156&amp;"S.27.01.01.22 Rows {"&amp;COLUMN($C$1)&amp;"}"&amp;"@ForceFilingCode:true"</f>
        <v>!S.27.01.01.22 Rows {3}@ForceFilingCode:true</v>
      </c>
      <c r="AA581" s="13" t="str">
        <f>Show!$B$156&amp;"S.27.01.01.22 Columns {"&amp;COLUMN($D$1)&amp;"}"</f>
        <v>!S.27.01.01.22 Columns {4}</v>
      </c>
    </row>
    <row r="582" spans="2:27">
      <c r="B582" s="43" t="s">
        <v>2880</v>
      </c>
      <c r="C582" s="44" t="s">
        <v>2878</v>
      </c>
      <c r="D582" s="58"/>
      <c r="E582" s="67"/>
      <c r="F582" s="67"/>
      <c r="G582" s="67"/>
      <c r="H582" s="67"/>
      <c r="I582" s="67"/>
      <c r="J582" s="67"/>
      <c r="K582" s="67"/>
      <c r="L582" s="67"/>
      <c r="M582" s="67"/>
      <c r="N582" s="67"/>
      <c r="O582" s="67"/>
      <c r="P582" s="59"/>
    </row>
    <row r="583" spans="2:27">
      <c r="B583" s="47" t="s">
        <v>5489</v>
      </c>
      <c r="C583" s="44" t="s">
        <v>2878</v>
      </c>
      <c r="D583" s="58"/>
      <c r="E583" s="67"/>
      <c r="F583" s="66"/>
      <c r="G583" s="66"/>
      <c r="H583" s="66"/>
      <c r="I583" s="66"/>
      <c r="J583" s="66"/>
      <c r="K583" s="66"/>
      <c r="L583" s="66"/>
      <c r="M583" s="66"/>
      <c r="N583" s="67"/>
      <c r="O583" s="67"/>
      <c r="P583" s="59"/>
    </row>
    <row r="584" spans="2:27">
      <c r="B584" s="49" t="s">
        <v>5124</v>
      </c>
      <c r="C584" s="44" t="s">
        <v>5490</v>
      </c>
      <c r="D584" s="58"/>
      <c r="E584" s="48"/>
      <c r="F584" s="50"/>
      <c r="G584" s="60"/>
      <c r="H584" s="70"/>
      <c r="I584" s="60"/>
      <c r="J584" s="70"/>
      <c r="K584" s="60"/>
      <c r="L584" s="70"/>
      <c r="M584" s="64"/>
      <c r="N584" s="58"/>
      <c r="O584" s="58"/>
      <c r="P584" s="48"/>
    </row>
    <row r="585" spans="2:27">
      <c r="B585" s="49" t="s">
        <v>5125</v>
      </c>
      <c r="C585" s="44" t="s">
        <v>5491</v>
      </c>
      <c r="D585" s="58"/>
      <c r="E585" s="48"/>
      <c r="F585" s="50"/>
      <c r="G585" s="60"/>
      <c r="H585" s="70"/>
      <c r="I585" s="60"/>
      <c r="J585" s="70"/>
      <c r="K585" s="60"/>
      <c r="L585" s="70"/>
      <c r="M585" s="64"/>
      <c r="N585" s="58"/>
      <c r="O585" s="58"/>
      <c r="P585" s="48"/>
    </row>
    <row r="586" spans="2:27">
      <c r="B586" s="49" t="s">
        <v>5174</v>
      </c>
      <c r="C586" s="44" t="s">
        <v>5492</v>
      </c>
      <c r="D586" s="58"/>
      <c r="E586" s="48"/>
      <c r="F586" s="50"/>
      <c r="G586" s="60"/>
      <c r="H586" s="70"/>
      <c r="I586" s="60"/>
      <c r="J586" s="70"/>
      <c r="K586" s="60"/>
      <c r="L586" s="70"/>
      <c r="M586" s="64"/>
      <c r="N586" s="58"/>
      <c r="O586" s="58"/>
      <c r="P586" s="48"/>
    </row>
    <row r="587" spans="2:27">
      <c r="B587" s="49" t="s">
        <v>5175</v>
      </c>
      <c r="C587" s="44" t="s">
        <v>5493</v>
      </c>
      <c r="D587" s="58"/>
      <c r="E587" s="48"/>
      <c r="F587" s="50"/>
      <c r="G587" s="60"/>
      <c r="H587" s="70"/>
      <c r="I587" s="60"/>
      <c r="J587" s="70"/>
      <c r="K587" s="60"/>
      <c r="L587" s="70"/>
      <c r="M587" s="64"/>
      <c r="N587" s="58"/>
      <c r="O587" s="58"/>
      <c r="P587" s="48"/>
    </row>
    <row r="588" spans="2:27">
      <c r="B588" s="49" t="s">
        <v>5176</v>
      </c>
      <c r="C588" s="44" t="s">
        <v>5494</v>
      </c>
      <c r="D588" s="58"/>
      <c r="E588" s="48"/>
      <c r="F588" s="50"/>
      <c r="G588" s="60"/>
      <c r="H588" s="70"/>
      <c r="I588" s="60"/>
      <c r="J588" s="70"/>
      <c r="K588" s="60"/>
      <c r="L588" s="70"/>
      <c r="M588" s="64"/>
      <c r="N588" s="58"/>
      <c r="O588" s="58"/>
      <c r="P588" s="48"/>
    </row>
    <row r="589" spans="2:27">
      <c r="B589" s="49" t="s">
        <v>5126</v>
      </c>
      <c r="C589" s="44" t="s">
        <v>5495</v>
      </c>
      <c r="D589" s="58"/>
      <c r="E589" s="48"/>
      <c r="F589" s="50"/>
      <c r="G589" s="60"/>
      <c r="H589" s="70"/>
      <c r="I589" s="60"/>
      <c r="J589" s="70"/>
      <c r="K589" s="60"/>
      <c r="L589" s="70"/>
      <c r="M589" s="64"/>
      <c r="N589" s="58"/>
      <c r="O589" s="58"/>
      <c r="P589" s="48"/>
    </row>
    <row r="590" spans="2:27">
      <c r="B590" s="49" t="s">
        <v>5128</v>
      </c>
      <c r="C590" s="44" t="s">
        <v>5496</v>
      </c>
      <c r="D590" s="58"/>
      <c r="E590" s="48"/>
      <c r="F590" s="50"/>
      <c r="G590" s="60"/>
      <c r="H590" s="70"/>
      <c r="I590" s="60"/>
      <c r="J590" s="70"/>
      <c r="K590" s="60"/>
      <c r="L590" s="70"/>
      <c r="M590" s="64"/>
      <c r="N590" s="58"/>
      <c r="O590" s="58"/>
      <c r="P590" s="48"/>
    </row>
    <row r="591" spans="2:27">
      <c r="B591" s="49" t="s">
        <v>5405</v>
      </c>
      <c r="C591" s="44" t="s">
        <v>5497</v>
      </c>
      <c r="D591" s="58"/>
      <c r="E591" s="48"/>
      <c r="F591" s="50"/>
      <c r="G591" s="60"/>
      <c r="H591" s="70"/>
      <c r="I591" s="60"/>
      <c r="J591" s="70"/>
      <c r="K591" s="60"/>
      <c r="L591" s="70"/>
      <c r="M591" s="64"/>
      <c r="N591" s="58"/>
      <c r="O591" s="58"/>
      <c r="P591" s="48"/>
    </row>
    <row r="592" spans="2:27">
      <c r="B592" s="49" t="s">
        <v>5140</v>
      </c>
      <c r="C592" s="44" t="s">
        <v>5498</v>
      </c>
      <c r="D592" s="58"/>
      <c r="E592" s="48"/>
      <c r="F592" s="50"/>
      <c r="G592" s="60"/>
      <c r="H592" s="70"/>
      <c r="I592" s="60"/>
      <c r="J592" s="70"/>
      <c r="K592" s="60"/>
      <c r="L592" s="70"/>
      <c r="M592" s="64"/>
      <c r="N592" s="58"/>
      <c r="O592" s="58"/>
      <c r="P592" s="48"/>
    </row>
    <row r="593" spans="2:16">
      <c r="B593" s="49" t="s">
        <v>5455</v>
      </c>
      <c r="C593" s="44" t="s">
        <v>5499</v>
      </c>
      <c r="D593" s="58"/>
      <c r="E593" s="48"/>
      <c r="F593" s="50"/>
      <c r="G593" s="60"/>
      <c r="H593" s="70"/>
      <c r="I593" s="60"/>
      <c r="J593" s="70"/>
      <c r="K593" s="60"/>
      <c r="L593" s="70"/>
      <c r="M593" s="64"/>
      <c r="N593" s="58"/>
      <c r="O593" s="58"/>
      <c r="P593" s="48"/>
    </row>
    <row r="594" spans="2:16">
      <c r="B594" s="49" t="s">
        <v>5177</v>
      </c>
      <c r="C594" s="44" t="s">
        <v>5500</v>
      </c>
      <c r="D594" s="58"/>
      <c r="E594" s="48"/>
      <c r="F594" s="50"/>
      <c r="G594" s="60"/>
      <c r="H594" s="70"/>
      <c r="I594" s="60"/>
      <c r="J594" s="70"/>
      <c r="K594" s="60"/>
      <c r="L594" s="70"/>
      <c r="M594" s="64"/>
      <c r="N594" s="58"/>
      <c r="O594" s="58"/>
      <c r="P594" s="48"/>
    </row>
    <row r="595" spans="2:16">
      <c r="B595" s="49" t="s">
        <v>5132</v>
      </c>
      <c r="C595" s="44" t="s">
        <v>5501</v>
      </c>
      <c r="D595" s="58"/>
      <c r="E595" s="48"/>
      <c r="F595" s="50"/>
      <c r="G595" s="60"/>
      <c r="H595" s="70"/>
      <c r="I595" s="60"/>
      <c r="J595" s="70"/>
      <c r="K595" s="60"/>
      <c r="L595" s="70"/>
      <c r="M595" s="64"/>
      <c r="N595" s="58"/>
      <c r="O595" s="58"/>
      <c r="P595" s="48"/>
    </row>
    <row r="596" spans="2:16">
      <c r="B596" s="49" t="s">
        <v>5133</v>
      </c>
      <c r="C596" s="44" t="s">
        <v>5502</v>
      </c>
      <c r="D596" s="58"/>
      <c r="E596" s="48"/>
      <c r="F596" s="50"/>
      <c r="G596" s="60"/>
      <c r="H596" s="70"/>
      <c r="I596" s="60"/>
      <c r="J596" s="70"/>
      <c r="K596" s="60"/>
      <c r="L596" s="70"/>
      <c r="M596" s="64"/>
      <c r="N596" s="58"/>
      <c r="O596" s="58"/>
      <c r="P596" s="48"/>
    </row>
    <row r="597" spans="2:16">
      <c r="B597" s="49" t="s">
        <v>5134</v>
      </c>
      <c r="C597" s="44" t="s">
        <v>5503</v>
      </c>
      <c r="D597" s="58"/>
      <c r="E597" s="48"/>
      <c r="F597" s="50"/>
      <c r="G597" s="60"/>
      <c r="H597" s="70"/>
      <c r="I597" s="60"/>
      <c r="J597" s="70"/>
      <c r="K597" s="60"/>
      <c r="L597" s="70"/>
      <c r="M597" s="64"/>
      <c r="N597" s="58"/>
      <c r="O597" s="58"/>
      <c r="P597" s="48"/>
    </row>
    <row r="598" spans="2:16">
      <c r="B598" s="49" t="s">
        <v>5135</v>
      </c>
      <c r="C598" s="44" t="s">
        <v>5504</v>
      </c>
      <c r="D598" s="58"/>
      <c r="E598" s="48"/>
      <c r="F598" s="50"/>
      <c r="G598" s="60"/>
      <c r="H598" s="70"/>
      <c r="I598" s="60"/>
      <c r="J598" s="70"/>
      <c r="K598" s="60"/>
      <c r="L598" s="70"/>
      <c r="M598" s="64"/>
      <c r="N598" s="58"/>
      <c r="O598" s="58"/>
      <c r="P598" s="48"/>
    </row>
    <row r="599" spans="2:16">
      <c r="B599" s="49" t="s">
        <v>5462</v>
      </c>
      <c r="C599" s="44" t="s">
        <v>5505</v>
      </c>
      <c r="D599" s="58"/>
      <c r="E599" s="48"/>
      <c r="F599" s="50"/>
      <c r="G599" s="60"/>
      <c r="H599" s="70"/>
      <c r="I599" s="60"/>
      <c r="J599" s="70"/>
      <c r="K599" s="60"/>
      <c r="L599" s="70"/>
      <c r="M599" s="64"/>
      <c r="N599" s="58"/>
      <c r="O599" s="58"/>
      <c r="P599" s="48"/>
    </row>
    <row r="600" spans="2:16">
      <c r="B600" s="49" t="s">
        <v>5416</v>
      </c>
      <c r="C600" s="44" t="s">
        <v>5506</v>
      </c>
      <c r="D600" s="58"/>
      <c r="E600" s="48"/>
      <c r="F600" s="50"/>
      <c r="G600" s="60"/>
      <c r="H600" s="70"/>
      <c r="I600" s="60"/>
      <c r="J600" s="70"/>
      <c r="K600" s="60"/>
      <c r="L600" s="70"/>
      <c r="M600" s="64"/>
      <c r="N600" s="58"/>
      <c r="O600" s="58"/>
      <c r="P600" s="48"/>
    </row>
    <row r="601" spans="2:16">
      <c r="B601" s="49" t="s">
        <v>5418</v>
      </c>
      <c r="C601" s="44" t="s">
        <v>5507</v>
      </c>
      <c r="D601" s="58"/>
      <c r="E601" s="48"/>
      <c r="F601" s="50"/>
      <c r="G601" s="60"/>
      <c r="H601" s="70"/>
      <c r="I601" s="60"/>
      <c r="J601" s="70"/>
      <c r="K601" s="60"/>
      <c r="L601" s="70"/>
      <c r="M601" s="64"/>
      <c r="N601" s="58"/>
      <c r="O601" s="58"/>
      <c r="P601" s="48"/>
    </row>
    <row r="602" spans="2:16">
      <c r="B602" s="49" t="s">
        <v>5136</v>
      </c>
      <c r="C602" s="44" t="s">
        <v>5508</v>
      </c>
      <c r="D602" s="58"/>
      <c r="E602" s="48"/>
      <c r="F602" s="50"/>
      <c r="G602" s="60"/>
      <c r="H602" s="70"/>
      <c r="I602" s="60"/>
      <c r="J602" s="70"/>
      <c r="K602" s="60"/>
      <c r="L602" s="70"/>
      <c r="M602" s="64"/>
      <c r="N602" s="58"/>
      <c r="O602" s="58"/>
      <c r="P602" s="48"/>
    </row>
    <row r="603" spans="2:16">
      <c r="B603" s="49" t="s">
        <v>5179</v>
      </c>
      <c r="C603" s="44" t="s">
        <v>5509</v>
      </c>
      <c r="D603" s="58"/>
      <c r="E603" s="48"/>
      <c r="F603" s="50"/>
      <c r="G603" s="60"/>
      <c r="H603" s="70"/>
      <c r="I603" s="60"/>
      <c r="J603" s="70"/>
      <c r="K603" s="60"/>
      <c r="L603" s="70"/>
      <c r="M603" s="64"/>
      <c r="N603" s="58"/>
      <c r="O603" s="58"/>
      <c r="P603" s="48"/>
    </row>
    <row r="604" spans="2:16">
      <c r="B604" s="49" t="s">
        <v>5137</v>
      </c>
      <c r="C604" s="44" t="s">
        <v>5510</v>
      </c>
      <c r="D604" s="58"/>
      <c r="E604" s="48"/>
      <c r="F604" s="50"/>
      <c r="G604" s="60"/>
      <c r="H604" s="70"/>
      <c r="I604" s="60"/>
      <c r="J604" s="70"/>
      <c r="K604" s="60"/>
      <c r="L604" s="70"/>
      <c r="M604" s="64"/>
      <c r="N604" s="58"/>
      <c r="O604" s="58"/>
      <c r="P604" s="48"/>
    </row>
    <row r="605" spans="2:16">
      <c r="B605" s="49" t="s">
        <v>5138</v>
      </c>
      <c r="C605" s="44" t="s">
        <v>5511</v>
      </c>
      <c r="D605" s="58"/>
      <c r="E605" s="48"/>
      <c r="F605" s="50"/>
      <c r="G605" s="60"/>
      <c r="H605" s="70"/>
      <c r="I605" s="60"/>
      <c r="J605" s="70"/>
      <c r="K605" s="60"/>
      <c r="L605" s="70"/>
      <c r="M605" s="64"/>
      <c r="N605" s="58"/>
      <c r="O605" s="58"/>
      <c r="P605" s="48"/>
    </row>
    <row r="606" spans="2:16">
      <c r="B606" s="49" t="s">
        <v>5139</v>
      </c>
      <c r="C606" s="44" t="s">
        <v>5512</v>
      </c>
      <c r="D606" s="58"/>
      <c r="E606" s="48"/>
      <c r="F606" s="50"/>
      <c r="G606" s="60"/>
      <c r="H606" s="70"/>
      <c r="I606" s="60"/>
      <c r="J606" s="70"/>
      <c r="K606" s="60"/>
      <c r="L606" s="70"/>
      <c r="M606" s="64"/>
      <c r="N606" s="58"/>
      <c r="O606" s="58"/>
      <c r="P606" s="48"/>
    </row>
    <row r="607" spans="2:16">
      <c r="B607" s="49" t="s">
        <v>5180</v>
      </c>
      <c r="C607" s="44" t="s">
        <v>5513</v>
      </c>
      <c r="D607" s="58"/>
      <c r="E607" s="48"/>
      <c r="F607" s="50"/>
      <c r="G607" s="60"/>
      <c r="H607" s="70"/>
      <c r="I607" s="60"/>
      <c r="J607" s="70"/>
      <c r="K607" s="60"/>
      <c r="L607" s="70"/>
      <c r="M607" s="64"/>
      <c r="N607" s="58"/>
      <c r="O607" s="58"/>
      <c r="P607" s="48"/>
    </row>
    <row r="608" spans="2:16">
      <c r="B608" s="49" t="s">
        <v>5181</v>
      </c>
      <c r="C608" s="44" t="s">
        <v>5514</v>
      </c>
      <c r="D608" s="58"/>
      <c r="E608" s="48"/>
      <c r="F608" s="50"/>
      <c r="G608" s="60"/>
      <c r="H608" s="70"/>
      <c r="I608" s="60"/>
      <c r="J608" s="70"/>
      <c r="K608" s="60"/>
      <c r="L608" s="70"/>
      <c r="M608" s="64"/>
      <c r="N608" s="58"/>
      <c r="O608" s="58"/>
      <c r="P608" s="48"/>
    </row>
    <row r="609" spans="2:27">
      <c r="B609" s="49" t="s">
        <v>5182</v>
      </c>
      <c r="C609" s="44" t="s">
        <v>5515</v>
      </c>
      <c r="D609" s="58"/>
      <c r="E609" s="48"/>
      <c r="F609" s="50"/>
      <c r="G609" s="60"/>
      <c r="H609" s="70"/>
      <c r="I609" s="60"/>
      <c r="J609" s="70"/>
      <c r="K609" s="60"/>
      <c r="L609" s="70"/>
      <c r="M609" s="64"/>
      <c r="N609" s="58"/>
      <c r="O609" s="58"/>
      <c r="P609" s="48"/>
    </row>
    <row r="610" spans="2:27">
      <c r="B610" s="49" t="s">
        <v>5129</v>
      </c>
      <c r="C610" s="44" t="s">
        <v>5516</v>
      </c>
      <c r="D610" s="58"/>
      <c r="E610" s="48"/>
      <c r="F610" s="50"/>
      <c r="G610" s="60"/>
      <c r="H610" s="70"/>
      <c r="I610" s="60"/>
      <c r="J610" s="70"/>
      <c r="K610" s="60"/>
      <c r="L610" s="70"/>
      <c r="M610" s="64"/>
      <c r="N610" s="58"/>
      <c r="O610" s="58"/>
      <c r="P610" s="48"/>
    </row>
    <row r="611" spans="2:27">
      <c r="B611" s="49" t="s">
        <v>5142</v>
      </c>
      <c r="C611" s="44" t="s">
        <v>5517</v>
      </c>
      <c r="D611" s="58"/>
      <c r="E611" s="48"/>
      <c r="F611" s="50"/>
      <c r="G611" s="60"/>
      <c r="H611" s="70"/>
      <c r="I611" s="60"/>
      <c r="J611" s="70"/>
      <c r="K611" s="60"/>
      <c r="L611" s="70"/>
      <c r="M611" s="64"/>
      <c r="N611" s="58"/>
      <c r="O611" s="58"/>
      <c r="P611" s="48"/>
    </row>
    <row r="612" spans="2:27">
      <c r="B612" s="49" t="s">
        <v>5143</v>
      </c>
      <c r="C612" s="44" t="s">
        <v>5518</v>
      </c>
      <c r="D612" s="58"/>
      <c r="E612" s="48"/>
      <c r="F612" s="50"/>
      <c r="G612" s="60"/>
      <c r="H612" s="70"/>
      <c r="I612" s="60"/>
      <c r="J612" s="70"/>
      <c r="K612" s="60"/>
      <c r="L612" s="70"/>
      <c r="M612" s="64"/>
      <c r="N612" s="58"/>
      <c r="O612" s="58"/>
      <c r="P612" s="48"/>
    </row>
    <row r="613" spans="2:27">
      <c r="B613" s="49" t="s">
        <v>5431</v>
      </c>
      <c r="C613" s="44" t="s">
        <v>5519</v>
      </c>
      <c r="D613" s="58"/>
      <c r="E613" s="48"/>
      <c r="F613" s="50"/>
      <c r="G613" s="60"/>
      <c r="H613" s="70"/>
      <c r="I613" s="60"/>
      <c r="J613" s="70"/>
      <c r="K613" s="60"/>
      <c r="L613" s="70"/>
      <c r="M613" s="64"/>
      <c r="N613" s="58"/>
      <c r="O613" s="58"/>
      <c r="P613" s="48"/>
    </row>
    <row r="614" spans="2:27">
      <c r="B614" s="49" t="s">
        <v>5144</v>
      </c>
      <c r="C614" s="44" t="s">
        <v>5520</v>
      </c>
      <c r="D614" s="56"/>
      <c r="E614" s="46"/>
      <c r="F614" s="50"/>
      <c r="G614" s="60"/>
      <c r="H614" s="70"/>
      <c r="I614" s="60"/>
      <c r="J614" s="70"/>
      <c r="K614" s="60"/>
      <c r="L614" s="70"/>
      <c r="M614" s="64"/>
      <c r="N614" s="56"/>
      <c r="O614" s="56"/>
      <c r="P614" s="46"/>
    </row>
    <row r="616" spans="2:27">
      <c r="Z616" s="13" t="str">
        <f>Show!$B$156&amp;Show!$B$156&amp;"S.27.01.01.22 Rows {"&amp;COLUMN($C$1)&amp;"}"</f>
        <v>!!S.27.01.01.22 Rows {3}</v>
      </c>
      <c r="AA616" s="13" t="str">
        <f>Show!$B$156&amp;Show!$B$156&amp;"S.27.01.01.22 Columns {"&amp;COLUMN($P$1)&amp;"}"</f>
        <v>!!S.27.01.01.22 Columns {16}</v>
      </c>
    </row>
    <row r="618" spans="2:27" ht="18.75">
      <c r="B618" s="97" t="s">
        <v>5521</v>
      </c>
      <c r="C618" s="96"/>
      <c r="D618" s="96"/>
      <c r="E618" s="96"/>
      <c r="F618" s="96"/>
      <c r="G618" s="96"/>
      <c r="H618" s="96"/>
      <c r="I618" s="96"/>
      <c r="J618" s="96"/>
      <c r="K618" s="96"/>
      <c r="L618" s="96"/>
    </row>
    <row r="622" spans="2:27">
      <c r="D622" s="98" t="s">
        <v>5522</v>
      </c>
      <c r="E622" s="101" t="s">
        <v>2877</v>
      </c>
      <c r="F622" s="102"/>
      <c r="G622" s="102"/>
      <c r="H622" s="102"/>
      <c r="I622" s="102"/>
      <c r="J622" s="102"/>
      <c r="K622" s="102"/>
      <c r="L622" s="102"/>
      <c r="M622" s="103"/>
    </row>
    <row r="623" spans="2:27">
      <c r="D623" s="99"/>
      <c r="E623" s="104"/>
      <c r="F623" s="105"/>
      <c r="G623" s="105"/>
      <c r="H623" s="105"/>
      <c r="I623" s="105"/>
      <c r="J623" s="105"/>
      <c r="K623" s="105"/>
      <c r="L623" s="105"/>
      <c r="M623" s="106"/>
    </row>
    <row r="624" spans="2:27">
      <c r="D624" s="99"/>
      <c r="E624" s="98" t="s">
        <v>5441</v>
      </c>
      <c r="F624" s="107" t="s">
        <v>5442</v>
      </c>
      <c r="G624" s="108"/>
      <c r="H624" s="108"/>
      <c r="I624" s="109"/>
      <c r="J624" s="98" t="s">
        <v>5119</v>
      </c>
      <c r="K624" s="98" t="s">
        <v>5120</v>
      </c>
      <c r="L624" s="98" t="s">
        <v>5121</v>
      </c>
      <c r="M624" s="98" t="s">
        <v>5122</v>
      </c>
    </row>
    <row r="625" spans="2:27" ht="30">
      <c r="D625" s="100"/>
      <c r="E625" s="100"/>
      <c r="F625" s="55" t="s">
        <v>5388</v>
      </c>
      <c r="G625" s="55" t="s">
        <v>5393</v>
      </c>
      <c r="H625" s="55" t="s">
        <v>5395</v>
      </c>
      <c r="I625" s="55" t="s">
        <v>5396</v>
      </c>
      <c r="J625" s="100"/>
      <c r="K625" s="100"/>
      <c r="L625" s="100"/>
      <c r="M625" s="100"/>
    </row>
    <row r="626" spans="2:27">
      <c r="D626" s="45" t="s">
        <v>4048</v>
      </c>
      <c r="E626" s="45" t="s">
        <v>4038</v>
      </c>
      <c r="F626" s="45" t="s">
        <v>4039</v>
      </c>
      <c r="G626" s="45" t="s">
        <v>4040</v>
      </c>
      <c r="H626" s="45" t="s">
        <v>4042</v>
      </c>
      <c r="I626" s="45" t="s">
        <v>4044</v>
      </c>
      <c r="J626" s="45" t="s">
        <v>4045</v>
      </c>
      <c r="K626" s="45" t="s">
        <v>5443</v>
      </c>
      <c r="L626" s="45" t="s">
        <v>5444</v>
      </c>
      <c r="M626" s="45" t="s">
        <v>4047</v>
      </c>
      <c r="Z626" s="13" t="str">
        <f>Show!$B$156&amp;"S.27.01.01.23 Rows {"&amp;COLUMN($C$1)&amp;"}"&amp;"@ForceFilingCode:true"</f>
        <v>!S.27.01.01.23 Rows {3}@ForceFilingCode:true</v>
      </c>
      <c r="AA626" s="13" t="str">
        <f>Show!$B$156&amp;"S.27.01.01.23 Columns {"&amp;COLUMN($D$1)&amp;"}"</f>
        <v>!S.27.01.01.23 Columns {4}</v>
      </c>
    </row>
    <row r="627" spans="2:27">
      <c r="B627" s="43" t="s">
        <v>2880</v>
      </c>
      <c r="C627" s="44" t="s">
        <v>2878</v>
      </c>
      <c r="D627" s="58"/>
      <c r="E627" s="67"/>
      <c r="F627" s="67"/>
      <c r="G627" s="67"/>
      <c r="H627" s="67"/>
      <c r="I627" s="67"/>
      <c r="J627" s="67"/>
      <c r="K627" s="67"/>
      <c r="L627" s="67"/>
      <c r="M627" s="59"/>
    </row>
    <row r="628" spans="2:27">
      <c r="B628" s="47" t="s">
        <v>5445</v>
      </c>
      <c r="C628" s="44" t="s">
        <v>2878</v>
      </c>
      <c r="D628" s="56"/>
      <c r="E628" s="66"/>
      <c r="F628" s="66"/>
      <c r="G628" s="66"/>
      <c r="H628" s="66"/>
      <c r="I628" s="66"/>
      <c r="J628" s="66"/>
      <c r="K628" s="66"/>
      <c r="L628" s="66"/>
      <c r="M628" s="57"/>
    </row>
    <row r="629" spans="2:27">
      <c r="B629" s="49" t="s">
        <v>5523</v>
      </c>
      <c r="C629" s="41" t="s">
        <v>5524</v>
      </c>
      <c r="D629" s="51"/>
      <c r="E629" s="50"/>
      <c r="F629" s="60"/>
      <c r="G629" s="60"/>
      <c r="H629" s="60"/>
      <c r="I629" s="60"/>
      <c r="J629" s="60"/>
      <c r="K629" s="60"/>
      <c r="L629" s="60"/>
      <c r="M629" s="60"/>
    </row>
    <row r="631" spans="2:27">
      <c r="Z631" s="13" t="str">
        <f>Show!$B$156&amp;Show!$B$156&amp;"S.27.01.01.23 Rows {"&amp;COLUMN($C$1)&amp;"}"</f>
        <v>!!S.27.01.01.23 Rows {3}</v>
      </c>
      <c r="AA631" s="13" t="str">
        <f>Show!$B$156&amp;Show!$B$156&amp;"S.27.01.01.23 Columns {"&amp;COLUMN($M$1)&amp;"}"</f>
        <v>!!S.27.01.01.23 Columns {13}</v>
      </c>
    </row>
    <row r="633" spans="2:27" ht="18.75">
      <c r="B633" s="97" t="s">
        <v>5525</v>
      </c>
      <c r="C633" s="96"/>
      <c r="D633" s="96"/>
      <c r="E633" s="96"/>
      <c r="F633" s="96"/>
      <c r="G633" s="96"/>
      <c r="H633" s="96"/>
      <c r="I633" s="96"/>
      <c r="J633" s="96"/>
      <c r="K633" s="96"/>
      <c r="L633" s="96"/>
    </row>
    <row r="637" spans="2:27">
      <c r="D637" s="98" t="s">
        <v>5522</v>
      </c>
      <c r="E637" s="101" t="s">
        <v>2877</v>
      </c>
      <c r="F637" s="102"/>
      <c r="G637" s="102"/>
      <c r="H637" s="102"/>
      <c r="I637" s="102"/>
      <c r="J637" s="102"/>
      <c r="K637" s="102"/>
      <c r="L637" s="102"/>
      <c r="M637" s="102"/>
      <c r="N637" s="102"/>
      <c r="O637" s="102"/>
      <c r="P637" s="102"/>
      <c r="Q637" s="103"/>
    </row>
    <row r="638" spans="2:27">
      <c r="D638" s="99"/>
      <c r="E638" s="104"/>
      <c r="F638" s="105"/>
      <c r="G638" s="105"/>
      <c r="H638" s="105"/>
      <c r="I638" s="105"/>
      <c r="J638" s="105"/>
      <c r="K638" s="105"/>
      <c r="L638" s="105"/>
      <c r="M638" s="105"/>
      <c r="N638" s="105"/>
      <c r="O638" s="105"/>
      <c r="P638" s="105"/>
      <c r="Q638" s="106"/>
    </row>
    <row r="639" spans="2:27">
      <c r="D639" s="99"/>
      <c r="E639" s="107" t="s">
        <v>4916</v>
      </c>
      <c r="F639" s="109"/>
      <c r="G639" s="107" t="s">
        <v>4913</v>
      </c>
      <c r="H639" s="108"/>
      <c r="I639" s="108"/>
      <c r="J639" s="108"/>
      <c r="K639" s="108"/>
      <c r="L639" s="108"/>
      <c r="M639" s="109"/>
      <c r="N639" s="98" t="s">
        <v>5119</v>
      </c>
      <c r="O639" s="98" t="s">
        <v>5120</v>
      </c>
      <c r="P639" s="98" t="s">
        <v>5121</v>
      </c>
      <c r="Q639" s="98" t="s">
        <v>5122</v>
      </c>
    </row>
    <row r="640" spans="2:27" ht="60">
      <c r="D640" s="100"/>
      <c r="E640" s="55" t="s">
        <v>5480</v>
      </c>
      <c r="F640" s="55" t="s">
        <v>5481</v>
      </c>
      <c r="G640" s="55" t="s">
        <v>5482</v>
      </c>
      <c r="H640" s="55" t="s">
        <v>5483</v>
      </c>
      <c r="I640" s="55" t="s">
        <v>5484</v>
      </c>
      <c r="J640" s="55" t="s">
        <v>5485</v>
      </c>
      <c r="K640" s="55" t="s">
        <v>5486</v>
      </c>
      <c r="L640" s="55" t="s">
        <v>5487</v>
      </c>
      <c r="M640" s="55" t="s">
        <v>5488</v>
      </c>
      <c r="N640" s="100"/>
      <c r="O640" s="100"/>
      <c r="P640" s="100"/>
      <c r="Q640" s="100"/>
    </row>
    <row r="641" spans="2:27">
      <c r="D641" s="45" t="s">
        <v>4062</v>
      </c>
      <c r="E641" s="45" t="s">
        <v>4049</v>
      </c>
      <c r="F641" s="45" t="s">
        <v>4050</v>
      </c>
      <c r="G641" s="45" t="s">
        <v>4051</v>
      </c>
      <c r="H641" s="45" t="s">
        <v>4052</v>
      </c>
      <c r="I641" s="45" t="s">
        <v>4053</v>
      </c>
      <c r="J641" s="45" t="s">
        <v>4054</v>
      </c>
      <c r="K641" s="45" t="s">
        <v>4055</v>
      </c>
      <c r="L641" s="45" t="s">
        <v>4056</v>
      </c>
      <c r="M641" s="45" t="s">
        <v>4057</v>
      </c>
      <c r="N641" s="45" t="s">
        <v>4058</v>
      </c>
      <c r="O641" s="45" t="s">
        <v>4059</v>
      </c>
      <c r="P641" s="45" t="s">
        <v>4060</v>
      </c>
      <c r="Q641" s="45" t="s">
        <v>4061</v>
      </c>
      <c r="Z641" s="13" t="str">
        <f>Show!$B$156&amp;"S.27.01.01.24 Rows {"&amp;COLUMN($C$1)&amp;"}"&amp;"@ForceFilingCode:true"</f>
        <v>!S.27.01.01.24 Rows {3}@ForceFilingCode:true</v>
      </c>
      <c r="AA641" s="13" t="str">
        <f>Show!$B$156&amp;"S.27.01.01.24 Columns {"&amp;COLUMN($D$1)&amp;"}"</f>
        <v>!S.27.01.01.24 Columns {4}</v>
      </c>
    </row>
    <row r="642" spans="2:27">
      <c r="B642" s="43" t="s">
        <v>2880</v>
      </c>
      <c r="C642" s="44" t="s">
        <v>2878</v>
      </c>
      <c r="D642" s="58"/>
      <c r="E642" s="67"/>
      <c r="F642" s="67"/>
      <c r="G642" s="67"/>
      <c r="H642" s="67"/>
      <c r="I642" s="67"/>
      <c r="J642" s="67"/>
      <c r="K642" s="67"/>
      <c r="L642" s="67"/>
      <c r="M642" s="67"/>
      <c r="N642" s="67"/>
      <c r="O642" s="67"/>
      <c r="P642" s="67"/>
      <c r="Q642" s="59"/>
    </row>
    <row r="643" spans="2:27">
      <c r="B643" s="47" t="s">
        <v>5489</v>
      </c>
      <c r="C643" s="44" t="s">
        <v>2878</v>
      </c>
      <c r="D643" s="56"/>
      <c r="E643" s="67"/>
      <c r="F643" s="67"/>
      <c r="G643" s="66"/>
      <c r="H643" s="66"/>
      <c r="I643" s="66"/>
      <c r="J643" s="66"/>
      <c r="K643" s="66"/>
      <c r="L643" s="66"/>
      <c r="M643" s="66"/>
      <c r="N643" s="66"/>
      <c r="O643" s="67"/>
      <c r="P643" s="67"/>
      <c r="Q643" s="59"/>
    </row>
    <row r="644" spans="2:27">
      <c r="B644" s="49" t="s">
        <v>5526</v>
      </c>
      <c r="C644" s="41" t="s">
        <v>5527</v>
      </c>
      <c r="D644" s="51"/>
      <c r="E644" s="56"/>
      <c r="F644" s="46"/>
      <c r="G644" s="50"/>
      <c r="H644" s="60"/>
      <c r="I644" s="70"/>
      <c r="J644" s="60"/>
      <c r="K644" s="70"/>
      <c r="L644" s="60"/>
      <c r="M644" s="70"/>
      <c r="N644" s="64"/>
      <c r="O644" s="56"/>
      <c r="P644" s="56"/>
      <c r="Q644" s="46"/>
    </row>
    <row r="646" spans="2:27">
      <c r="Z646" s="13" t="str">
        <f>Show!$B$156&amp;Show!$B$156&amp;"S.27.01.01.24 Rows {"&amp;COLUMN($C$1)&amp;"}"</f>
        <v>!!S.27.01.01.24 Rows {3}</v>
      </c>
      <c r="AA646" s="13" t="str">
        <f>Show!$B$156&amp;Show!$B$156&amp;"S.27.01.01.24 Columns {"&amp;COLUMN($Q$1)&amp;"}"</f>
        <v>!!S.27.01.01.24 Columns {17}</v>
      </c>
    </row>
    <row r="648" spans="2:27" ht="18.75">
      <c r="B648" s="97" t="s">
        <v>5528</v>
      </c>
      <c r="C648" s="96"/>
      <c r="D648" s="96"/>
      <c r="E648" s="96"/>
      <c r="F648" s="96"/>
      <c r="G648" s="96"/>
      <c r="H648" s="96"/>
      <c r="I648" s="96"/>
      <c r="J648" s="96"/>
      <c r="K648" s="96"/>
      <c r="L648" s="96"/>
    </row>
    <row r="652" spans="2:27">
      <c r="D652" s="101" t="s">
        <v>2877</v>
      </c>
      <c r="E652" s="102"/>
      <c r="F652" s="102"/>
      <c r="G652" s="102"/>
      <c r="H652" s="102"/>
      <c r="I652" s="102"/>
      <c r="J652" s="102"/>
      <c r="K652" s="102"/>
      <c r="L652" s="102"/>
      <c r="M652" s="102"/>
      <c r="N652" s="102"/>
      <c r="O652" s="102"/>
      <c r="P652" s="103"/>
    </row>
    <row r="653" spans="2:27">
      <c r="D653" s="104"/>
      <c r="E653" s="105"/>
      <c r="F653" s="105"/>
      <c r="G653" s="105"/>
      <c r="H653" s="105"/>
      <c r="I653" s="105"/>
      <c r="J653" s="105"/>
      <c r="K653" s="105"/>
      <c r="L653" s="105"/>
      <c r="M653" s="105"/>
      <c r="N653" s="105"/>
      <c r="O653" s="105"/>
      <c r="P653" s="106"/>
    </row>
    <row r="654" spans="2:27">
      <c r="D654" s="107" t="s">
        <v>4916</v>
      </c>
      <c r="E654" s="109"/>
      <c r="F654" s="107" t="s">
        <v>4913</v>
      </c>
      <c r="G654" s="108"/>
      <c r="H654" s="108"/>
      <c r="I654" s="108"/>
      <c r="J654" s="108"/>
      <c r="K654" s="108"/>
      <c r="L654" s="109"/>
      <c r="M654" s="98" t="s">
        <v>5119</v>
      </c>
      <c r="N654" s="98" t="s">
        <v>5120</v>
      </c>
      <c r="O654" s="98" t="s">
        <v>5121</v>
      </c>
      <c r="P654" s="98" t="s">
        <v>5122</v>
      </c>
    </row>
    <row r="655" spans="2:27" ht="60">
      <c r="D655" s="55" t="s">
        <v>5480</v>
      </c>
      <c r="E655" s="55" t="s">
        <v>5481</v>
      </c>
      <c r="F655" s="55" t="s">
        <v>5482</v>
      </c>
      <c r="G655" s="55" t="s">
        <v>5483</v>
      </c>
      <c r="H655" s="55" t="s">
        <v>5484</v>
      </c>
      <c r="I655" s="55" t="s">
        <v>5485</v>
      </c>
      <c r="J655" s="55" t="s">
        <v>5486</v>
      </c>
      <c r="K655" s="55" t="s">
        <v>5487</v>
      </c>
      <c r="L655" s="55" t="s">
        <v>5488</v>
      </c>
      <c r="M655" s="100"/>
      <c r="N655" s="100"/>
      <c r="O655" s="100"/>
      <c r="P655" s="100"/>
    </row>
    <row r="656" spans="2:27">
      <c r="D656" s="45" t="s">
        <v>4049</v>
      </c>
      <c r="E656" s="45" t="s">
        <v>4050</v>
      </c>
      <c r="F656" s="45" t="s">
        <v>4051</v>
      </c>
      <c r="G656" s="45" t="s">
        <v>4052</v>
      </c>
      <c r="H656" s="45" t="s">
        <v>4053</v>
      </c>
      <c r="I656" s="45" t="s">
        <v>4054</v>
      </c>
      <c r="J656" s="45" t="s">
        <v>4055</v>
      </c>
      <c r="K656" s="45" t="s">
        <v>4056</v>
      </c>
      <c r="L656" s="45" t="s">
        <v>4057</v>
      </c>
      <c r="M656" s="45" t="s">
        <v>4058</v>
      </c>
      <c r="N656" s="45" t="s">
        <v>4059</v>
      </c>
      <c r="O656" s="45" t="s">
        <v>4060</v>
      </c>
      <c r="P656" s="45" t="s">
        <v>4061</v>
      </c>
      <c r="Z656" s="13" t="str">
        <f>Show!$B$156&amp;"S.27.01.01.25 Rows {"&amp;COLUMN($C$1)&amp;"}"&amp;"@ForceFilingCode:true"</f>
        <v>!S.27.01.01.25 Rows {3}@ForceFilingCode:true</v>
      </c>
      <c r="AA656" s="13" t="str">
        <f>Show!$B$156&amp;"S.27.01.01.25 Columns {"&amp;COLUMN($D$1)&amp;"}"</f>
        <v>!S.27.01.01.25 Columns {4}</v>
      </c>
    </row>
    <row r="657" spans="2:27">
      <c r="B657" s="43" t="s">
        <v>2880</v>
      </c>
      <c r="C657" s="44" t="s">
        <v>2878</v>
      </c>
      <c r="D657" s="58"/>
      <c r="E657" s="67"/>
      <c r="F657" s="67"/>
      <c r="G657" s="67"/>
      <c r="H657" s="67"/>
      <c r="I657" s="67"/>
      <c r="J657" s="67"/>
      <c r="K657" s="67"/>
      <c r="L657" s="67"/>
      <c r="M657" s="67"/>
      <c r="N657" s="67"/>
      <c r="O657" s="67"/>
      <c r="P657" s="59"/>
    </row>
    <row r="658" spans="2:27">
      <c r="B658" s="47" t="s">
        <v>5489</v>
      </c>
      <c r="C658" s="44" t="s">
        <v>2878</v>
      </c>
      <c r="D658" s="56"/>
      <c r="E658" s="66"/>
      <c r="F658" s="67"/>
      <c r="G658" s="67"/>
      <c r="H658" s="67"/>
      <c r="I658" s="67"/>
      <c r="J658" s="67"/>
      <c r="K658" s="67"/>
      <c r="L658" s="67"/>
      <c r="M658" s="66"/>
      <c r="N658" s="66"/>
      <c r="O658" s="66"/>
      <c r="P658" s="57"/>
    </row>
    <row r="659" spans="2:27">
      <c r="B659" s="49" t="s">
        <v>5529</v>
      </c>
      <c r="C659" s="41" t="s">
        <v>5530</v>
      </c>
      <c r="D659" s="50"/>
      <c r="E659" s="64"/>
      <c r="F659" s="56"/>
      <c r="G659" s="56"/>
      <c r="H659" s="56"/>
      <c r="I659" s="56"/>
      <c r="J659" s="56"/>
      <c r="K659" s="56"/>
      <c r="L659" s="46"/>
      <c r="M659" s="60"/>
      <c r="N659" s="60"/>
      <c r="O659" s="60"/>
      <c r="P659" s="60"/>
    </row>
    <row r="661" spans="2:27">
      <c r="Z661" s="13" t="str">
        <f>Show!$B$156&amp;Show!$B$156&amp;"S.27.01.01.25 Rows {"&amp;COLUMN($C$1)&amp;"}"</f>
        <v>!!S.27.01.01.25 Rows {3}</v>
      </c>
      <c r="AA661" s="13" t="str">
        <f>Show!$B$156&amp;Show!$B$156&amp;"S.27.01.01.25 Columns {"&amp;COLUMN($P$1)&amp;"}"</f>
        <v>!!S.27.01.01.25 Columns {16}</v>
      </c>
    </row>
    <row r="663" spans="2:27" ht="18.75">
      <c r="B663" s="97" t="s">
        <v>5531</v>
      </c>
      <c r="C663" s="96"/>
      <c r="D663" s="96"/>
      <c r="E663" s="96"/>
      <c r="F663" s="96"/>
      <c r="G663" s="96"/>
      <c r="H663" s="96"/>
      <c r="I663" s="96"/>
      <c r="J663" s="96"/>
      <c r="K663" s="96"/>
      <c r="L663" s="96"/>
    </row>
    <row r="667" spans="2:27">
      <c r="D667" s="101" t="s">
        <v>2877</v>
      </c>
      <c r="E667" s="102"/>
      <c r="F667" s="102"/>
      <c r="G667" s="102"/>
      <c r="H667" s="102"/>
      <c r="I667" s="102"/>
      <c r="J667" s="102"/>
      <c r="K667" s="102"/>
      <c r="L667" s="103"/>
    </row>
    <row r="668" spans="2:27">
      <c r="D668" s="104"/>
      <c r="E668" s="105"/>
      <c r="F668" s="105"/>
      <c r="G668" s="105"/>
      <c r="H668" s="105"/>
      <c r="I668" s="105"/>
      <c r="J668" s="105"/>
      <c r="K668" s="105"/>
      <c r="L668" s="106"/>
    </row>
    <row r="669" spans="2:27">
      <c r="D669" s="98" t="s">
        <v>5441</v>
      </c>
      <c r="E669" s="107" t="s">
        <v>5442</v>
      </c>
      <c r="F669" s="108"/>
      <c r="G669" s="108"/>
      <c r="H669" s="109"/>
      <c r="I669" s="98" t="s">
        <v>5119</v>
      </c>
      <c r="J669" s="98" t="s">
        <v>5120</v>
      </c>
      <c r="K669" s="98" t="s">
        <v>5121</v>
      </c>
      <c r="L669" s="98" t="s">
        <v>5122</v>
      </c>
    </row>
    <row r="670" spans="2:27" ht="30">
      <c r="D670" s="100"/>
      <c r="E670" s="55" t="s">
        <v>5388</v>
      </c>
      <c r="F670" s="55" t="s">
        <v>5393</v>
      </c>
      <c r="G670" s="55" t="s">
        <v>5395</v>
      </c>
      <c r="H670" s="55" t="s">
        <v>5396</v>
      </c>
      <c r="I670" s="100"/>
      <c r="J670" s="100"/>
      <c r="K670" s="100"/>
      <c r="L670" s="100"/>
    </row>
    <row r="671" spans="2:27">
      <c r="D671" s="45" t="s">
        <v>4038</v>
      </c>
      <c r="E671" s="45" t="s">
        <v>4039</v>
      </c>
      <c r="F671" s="45" t="s">
        <v>4040</v>
      </c>
      <c r="G671" s="45" t="s">
        <v>4042</v>
      </c>
      <c r="H671" s="45" t="s">
        <v>4044</v>
      </c>
      <c r="I671" s="45" t="s">
        <v>4045</v>
      </c>
      <c r="J671" s="45" t="s">
        <v>5443</v>
      </c>
      <c r="K671" s="45" t="s">
        <v>5444</v>
      </c>
      <c r="L671" s="45" t="s">
        <v>4047</v>
      </c>
      <c r="Z671" s="13" t="str">
        <f>Show!$B$156&amp;"S.27.01.01.26 Rows {"&amp;COLUMN($C$1)&amp;"}"&amp;"@ForceFilingCode:true"</f>
        <v>!S.27.01.01.26 Rows {3}@ForceFilingCode:true</v>
      </c>
      <c r="AA671" s="13" t="str">
        <f>Show!$B$156&amp;"S.27.01.01.26 Columns {"&amp;COLUMN($D$1)&amp;"}"</f>
        <v>!S.27.01.01.26 Columns {4}</v>
      </c>
    </row>
    <row r="672" spans="2:27">
      <c r="B672" s="43" t="s">
        <v>2880</v>
      </c>
      <c r="C672" s="44" t="s">
        <v>2878</v>
      </c>
      <c r="D672" s="58"/>
      <c r="E672" s="67"/>
      <c r="F672" s="67"/>
      <c r="G672" s="67"/>
      <c r="H672" s="67"/>
      <c r="I672" s="67"/>
      <c r="J672" s="67"/>
      <c r="K672" s="67"/>
      <c r="L672" s="59"/>
    </row>
    <row r="673" spans="2:27">
      <c r="B673" s="47" t="s">
        <v>5445</v>
      </c>
      <c r="C673" s="44" t="s">
        <v>2878</v>
      </c>
      <c r="D673" s="58"/>
      <c r="E673" s="67"/>
      <c r="F673" s="67"/>
      <c r="G673" s="67"/>
      <c r="H673" s="67"/>
      <c r="I673" s="66"/>
      <c r="J673" s="66"/>
      <c r="K673" s="66"/>
      <c r="L673" s="57"/>
    </row>
    <row r="674" spans="2:27">
      <c r="B674" s="49" t="s">
        <v>5532</v>
      </c>
      <c r="C674" s="44" t="s">
        <v>5533</v>
      </c>
      <c r="D674" s="58"/>
      <c r="E674" s="58"/>
      <c r="F674" s="58"/>
      <c r="G674" s="58"/>
      <c r="H674" s="48"/>
      <c r="I674" s="60"/>
      <c r="J674" s="63"/>
      <c r="K674" s="63"/>
      <c r="L674" s="60"/>
    </row>
    <row r="675" spans="2:27">
      <c r="B675" s="49" t="s">
        <v>5436</v>
      </c>
      <c r="C675" s="44" t="s">
        <v>5534</v>
      </c>
      <c r="D675" s="58"/>
      <c r="E675" s="58"/>
      <c r="F675" s="58"/>
      <c r="G675" s="58"/>
      <c r="H675" s="48"/>
      <c r="I675" s="64"/>
      <c r="J675" s="58"/>
      <c r="K675" s="48"/>
      <c r="L675" s="60"/>
    </row>
    <row r="676" spans="2:27">
      <c r="B676" s="49" t="s">
        <v>5535</v>
      </c>
      <c r="C676" s="44" t="s">
        <v>5536</v>
      </c>
      <c r="D676" s="56"/>
      <c r="E676" s="56"/>
      <c r="F676" s="56"/>
      <c r="G676" s="56"/>
      <c r="H676" s="46"/>
      <c r="I676" s="64"/>
      <c r="J676" s="56"/>
      <c r="K676" s="46"/>
      <c r="L676" s="60"/>
    </row>
    <row r="678" spans="2:27">
      <c r="Z678" s="13" t="str">
        <f>Show!$B$156&amp;Show!$B$156&amp;"S.27.01.01.26 Rows {"&amp;COLUMN($C$1)&amp;"}"</f>
        <v>!!S.27.01.01.26 Rows {3}</v>
      </c>
      <c r="AA678" s="13" t="str">
        <f>Show!$B$156&amp;Show!$B$156&amp;"S.27.01.01.26 Columns {"&amp;COLUMN($L$1)&amp;"}"</f>
        <v>!!S.27.01.01.26 Columns {12}</v>
      </c>
    </row>
    <row r="680" spans="2:27" ht="18.75">
      <c r="B680" s="97" t="s">
        <v>5537</v>
      </c>
      <c r="C680" s="96"/>
      <c r="D680" s="96"/>
      <c r="E680" s="96"/>
      <c r="F680" s="96"/>
      <c r="G680" s="96"/>
      <c r="H680" s="96"/>
      <c r="I680" s="96"/>
      <c r="J680" s="96"/>
      <c r="K680" s="96"/>
      <c r="L680" s="96"/>
    </row>
    <row r="684" spans="2:27">
      <c r="D684" s="98" t="s">
        <v>2877</v>
      </c>
    </row>
    <row r="685" spans="2:27">
      <c r="D685" s="100"/>
    </row>
    <row r="686" spans="2:27" ht="30">
      <c r="D686" s="55" t="s">
        <v>2574</v>
      </c>
    </row>
    <row r="687" spans="2:27">
      <c r="D687" s="45" t="s">
        <v>3581</v>
      </c>
      <c r="Z687" s="13" t="str">
        <f>Show!$B$156&amp;"S.27.01.01.27 Rows {"&amp;COLUMN($C$1)&amp;"}"&amp;"@ForceFilingCode:true"</f>
        <v>!S.27.01.01.27 Rows {3}@ForceFilingCode:true</v>
      </c>
      <c r="AA687" s="13" t="str">
        <f>Show!$B$156&amp;"S.27.01.01.27 Columns {"&amp;COLUMN($D$1)&amp;"}"</f>
        <v>!S.27.01.01.27 Columns {4}</v>
      </c>
    </row>
    <row r="688" spans="2:27">
      <c r="B688" s="43" t="s">
        <v>2880</v>
      </c>
      <c r="C688" s="44" t="s">
        <v>2878</v>
      </c>
      <c r="D688" s="46"/>
    </row>
    <row r="689" spans="2:27">
      <c r="B689" s="47" t="s">
        <v>5538</v>
      </c>
      <c r="C689" s="41" t="s">
        <v>4601</v>
      </c>
      <c r="D689" s="51"/>
    </row>
    <row r="690" spans="2:27">
      <c r="B690" s="47" t="s">
        <v>5539</v>
      </c>
      <c r="C690" s="41" t="s">
        <v>5540</v>
      </c>
      <c r="D690" s="51"/>
    </row>
    <row r="692" spans="2:27">
      <c r="Z692" s="13" t="str">
        <f>Show!$B$156&amp;Show!$B$156&amp;"S.27.01.01.27 Rows {"&amp;COLUMN($C$1)&amp;"}"</f>
        <v>!!S.27.01.01.27 Rows {3}</v>
      </c>
      <c r="AA692" s="13" t="str">
        <f>Show!$B$156&amp;Show!$B$156&amp;"S.27.01.01.27 Columns {"&amp;COLUMN($D$1)&amp;"}"</f>
        <v>!!S.27.01.01.27 Columns {4}</v>
      </c>
    </row>
    <row r="694" spans="2:27" ht="18.75">
      <c r="B694" s="97" t="s">
        <v>5541</v>
      </c>
      <c r="C694" s="96"/>
      <c r="D694" s="96"/>
      <c r="E694" s="96"/>
      <c r="F694" s="96"/>
      <c r="G694" s="96"/>
      <c r="H694" s="96"/>
      <c r="I694" s="96"/>
      <c r="J694" s="96"/>
      <c r="K694" s="96"/>
      <c r="L694" s="96"/>
    </row>
    <row r="698" spans="2:27">
      <c r="D698" s="98" t="s">
        <v>2877</v>
      </c>
    </row>
    <row r="699" spans="2:27">
      <c r="D699" s="100"/>
    </row>
    <row r="700" spans="2:27">
      <c r="D700" s="55" t="s">
        <v>5542</v>
      </c>
    </row>
    <row r="701" spans="2:27">
      <c r="D701" s="45" t="s">
        <v>5543</v>
      </c>
      <c r="Z701" s="13" t="str">
        <f>Show!$B$156&amp;"S.27.01.01.28 Rows {"&amp;COLUMN($C$1)&amp;"}"&amp;"@ForceFilingCode:true"</f>
        <v>!S.27.01.01.28 Rows {3}@ForceFilingCode:true</v>
      </c>
      <c r="AA701" s="13" t="str">
        <f>Show!$B$156&amp;"S.27.01.01.28 Columns {"&amp;COLUMN($D$1)&amp;"}"</f>
        <v>!S.27.01.01.28 Columns {4}</v>
      </c>
    </row>
    <row r="702" spans="2:27">
      <c r="B702" s="43" t="s">
        <v>2880</v>
      </c>
      <c r="C702" s="44" t="s">
        <v>2878</v>
      </c>
      <c r="D702" s="46"/>
    </row>
    <row r="703" spans="2:27">
      <c r="B703" s="47" t="s">
        <v>5544</v>
      </c>
      <c r="C703" s="41" t="s">
        <v>5545</v>
      </c>
      <c r="D703" s="50"/>
    </row>
    <row r="705" spans="26:27">
      <c r="Z705" s="13" t="str">
        <f>Show!$B$156&amp;Show!$B$156&amp;"S.27.01.01.28 Rows {"&amp;COLUMN($C$1)&amp;"}"</f>
        <v>!!S.27.01.01.28 Rows {3}</v>
      </c>
      <c r="AA705" s="13" t="str">
        <f>Show!$B$156&amp;Show!$B$156&amp;"S.27.01.01.28 Columns {"&amp;COLUMN($D$1)&amp;"}"</f>
        <v>!!S.27.01.01.28 Columns {4}</v>
      </c>
    </row>
  </sheetData>
  <sheetProtection sheet="1" objects="1" scenarios="1"/>
  <mergeCells count="160">
    <mergeCell ref="B680:L680"/>
    <mergeCell ref="D684:D685"/>
    <mergeCell ref="B694:L694"/>
    <mergeCell ref="D698:D699"/>
    <mergeCell ref="B663:L663"/>
    <mergeCell ref="D667:L668"/>
    <mergeCell ref="D669:D670"/>
    <mergeCell ref="E669:H669"/>
    <mergeCell ref="I669:I670"/>
    <mergeCell ref="J669:J670"/>
    <mergeCell ref="K669:K670"/>
    <mergeCell ref="L669:L670"/>
    <mergeCell ref="B648:L648"/>
    <mergeCell ref="D652:P653"/>
    <mergeCell ref="D654:E654"/>
    <mergeCell ref="F654:L654"/>
    <mergeCell ref="M654:M655"/>
    <mergeCell ref="N654:N655"/>
    <mergeCell ref="O654:O655"/>
    <mergeCell ref="P654:P655"/>
    <mergeCell ref="B633:L633"/>
    <mergeCell ref="D637:D640"/>
    <mergeCell ref="E637:Q638"/>
    <mergeCell ref="E639:F639"/>
    <mergeCell ref="G639:M639"/>
    <mergeCell ref="N639:N640"/>
    <mergeCell ref="O639:O640"/>
    <mergeCell ref="P639:P640"/>
    <mergeCell ref="Q639:Q640"/>
    <mergeCell ref="B618:L618"/>
    <mergeCell ref="D622:D625"/>
    <mergeCell ref="E622:M623"/>
    <mergeCell ref="E624:E625"/>
    <mergeCell ref="F624:I624"/>
    <mergeCell ref="J624:J625"/>
    <mergeCell ref="K624:K625"/>
    <mergeCell ref="L624:L625"/>
    <mergeCell ref="M624:M625"/>
    <mergeCell ref="B573:L573"/>
    <mergeCell ref="D577:P578"/>
    <mergeCell ref="D579:E579"/>
    <mergeCell ref="F579:L579"/>
    <mergeCell ref="M579:M580"/>
    <mergeCell ref="N579:N580"/>
    <mergeCell ref="O579:O580"/>
    <mergeCell ref="P579:P580"/>
    <mergeCell ref="N486:N487"/>
    <mergeCell ref="O486:O487"/>
    <mergeCell ref="B528:L528"/>
    <mergeCell ref="D532:L533"/>
    <mergeCell ref="D534:D535"/>
    <mergeCell ref="E534:H534"/>
    <mergeCell ref="I534:I535"/>
    <mergeCell ref="J534:J535"/>
    <mergeCell ref="K534:K535"/>
    <mergeCell ref="L534:L535"/>
    <mergeCell ref="D486:E486"/>
    <mergeCell ref="F486:G486"/>
    <mergeCell ref="H486:I486"/>
    <mergeCell ref="J486:K486"/>
    <mergeCell ref="L486:L487"/>
    <mergeCell ref="M486:M487"/>
    <mergeCell ref="D449:F449"/>
    <mergeCell ref="B459:L459"/>
    <mergeCell ref="D463:G464"/>
    <mergeCell ref="D465:G465"/>
    <mergeCell ref="B480:L480"/>
    <mergeCell ref="D484:O485"/>
    <mergeCell ref="D419:I419"/>
    <mergeCell ref="B429:L429"/>
    <mergeCell ref="D433:H434"/>
    <mergeCell ref="D435:H435"/>
    <mergeCell ref="B443:L443"/>
    <mergeCell ref="D447:F448"/>
    <mergeCell ref="D384:J384"/>
    <mergeCell ref="B397:L397"/>
    <mergeCell ref="D401:F402"/>
    <mergeCell ref="D403:F403"/>
    <mergeCell ref="B413:L413"/>
    <mergeCell ref="D417:I418"/>
    <mergeCell ref="D356:I356"/>
    <mergeCell ref="B364:L364"/>
    <mergeCell ref="D368:G369"/>
    <mergeCell ref="D370:G370"/>
    <mergeCell ref="B378:L378"/>
    <mergeCell ref="D382:J383"/>
    <mergeCell ref="D325:M326"/>
    <mergeCell ref="B334:L334"/>
    <mergeCell ref="D338:F339"/>
    <mergeCell ref="D340:F340"/>
    <mergeCell ref="B350:L350"/>
    <mergeCell ref="D354:I355"/>
    <mergeCell ref="B294:L294"/>
    <mergeCell ref="D298:I299"/>
    <mergeCell ref="D300:I300"/>
    <mergeCell ref="B308:L308"/>
    <mergeCell ref="D312:K313"/>
    <mergeCell ref="B321:L321"/>
    <mergeCell ref="B280:L280"/>
    <mergeCell ref="D284:H285"/>
    <mergeCell ref="D286:H286"/>
    <mergeCell ref="J221:J222"/>
    <mergeCell ref="K221:K222"/>
    <mergeCell ref="L221:L222"/>
    <mergeCell ref="B263:L263"/>
    <mergeCell ref="D267:K268"/>
    <mergeCell ref="D269:D270"/>
    <mergeCell ref="E269:E270"/>
    <mergeCell ref="F269:F270"/>
    <mergeCell ref="G269:G270"/>
    <mergeCell ref="H269:H270"/>
    <mergeCell ref="B215:L215"/>
    <mergeCell ref="D219:L220"/>
    <mergeCell ref="D221:D222"/>
    <mergeCell ref="E221:E222"/>
    <mergeCell ref="F221:F222"/>
    <mergeCell ref="G221:G222"/>
    <mergeCell ref="H221:H222"/>
    <mergeCell ref="I221:I222"/>
    <mergeCell ref="I269:I270"/>
    <mergeCell ref="J269:J270"/>
    <mergeCell ref="K269:K270"/>
    <mergeCell ref="B164:L164"/>
    <mergeCell ref="D168:L169"/>
    <mergeCell ref="D170:D171"/>
    <mergeCell ref="E170:E171"/>
    <mergeCell ref="F170:F171"/>
    <mergeCell ref="G170:G171"/>
    <mergeCell ref="H170:H171"/>
    <mergeCell ref="I170:I171"/>
    <mergeCell ref="J170:J171"/>
    <mergeCell ref="K170:K171"/>
    <mergeCell ref="L170:L171"/>
    <mergeCell ref="B107:L107"/>
    <mergeCell ref="D111:K112"/>
    <mergeCell ref="D113:D114"/>
    <mergeCell ref="E113:E114"/>
    <mergeCell ref="F113:F114"/>
    <mergeCell ref="G113:G114"/>
    <mergeCell ref="H113:H114"/>
    <mergeCell ref="I113:I114"/>
    <mergeCell ref="J113:J114"/>
    <mergeCell ref="K113:K114"/>
    <mergeCell ref="B2:O2"/>
    <mergeCell ref="B5:L5"/>
    <mergeCell ref="D9:F10"/>
    <mergeCell ref="D11:D13"/>
    <mergeCell ref="E11:E13"/>
    <mergeCell ref="F11:F13"/>
    <mergeCell ref="B47:L47"/>
    <mergeCell ref="D51:L52"/>
    <mergeCell ref="D53:D54"/>
    <mergeCell ref="E53:E54"/>
    <mergeCell ref="F53:F54"/>
    <mergeCell ref="G53:G54"/>
    <mergeCell ref="H53:H54"/>
    <mergeCell ref="I53:I54"/>
    <mergeCell ref="J53:J54"/>
    <mergeCell ref="K53:K54"/>
    <mergeCell ref="L53:L54"/>
  </mergeCells>
  <dataValidations count="3">
    <dataValidation type="list" errorStyle="warning" allowBlank="1" showInputMessage="1" showErrorMessage="1" sqref="H58 H59 H60 H61 H62 H63 H64 H65 H66 H67 H68 H69 H70 H71 H72 H73 H74 H75 H76 H77 H78 H79 H80 H175 H176 H177 H178 H179 H180 H181 H182 H183 H184 H185 H186 H187 H188 H226 H227 H228 H229 H230 H231 H232 H233 H234 H235 H236" xr:uid="{AD8FC460-0BF9-491C-BD6C-5A9EE4CDA711}">
      <formula1>hier_RT_10</formula1>
    </dataValidation>
    <dataValidation type="list" errorStyle="warning" allowBlank="1" showInputMessage="1" showErrorMessage="1" sqref="D629 D644" xr:uid="{B0D0E49F-1115-4D06-B8C8-C76025488712}">
      <formula1>hier_GA_36</formula1>
    </dataValidation>
    <dataValidation type="list" errorStyle="warning" allowBlank="1" showInputMessage="1" showErrorMessage="1" sqref="D689" xr:uid="{C0E28A68-C4BC-4C63-8005-7618A5520ED9}">
      <formula1>hier_AP_28</formula1>
    </dataValidation>
  </dataValidation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61160-8B6B-4FFD-99F9-0500F0BE5613}">
  <sheetPr codeName="Blad161"/>
  <dimension ref="B2:AA705"/>
  <sheetViews>
    <sheetView showGridLines="0" workbookViewId="0"/>
  </sheetViews>
  <sheetFormatPr defaultRowHeight="15"/>
  <cols>
    <col min="2" max="2" width="82.28515625" bestFit="1" customWidth="1"/>
    <col min="4" max="17" width="15.7109375" customWidth="1"/>
  </cols>
  <sheetData>
    <row r="2" spans="2:27" ht="23.25">
      <c r="B2" s="95" t="s">
        <v>742</v>
      </c>
      <c r="C2" s="96"/>
      <c r="D2" s="96"/>
      <c r="E2" s="96"/>
      <c r="F2" s="96"/>
      <c r="G2" s="96"/>
      <c r="H2" s="96"/>
      <c r="I2" s="96"/>
      <c r="J2" s="96"/>
      <c r="K2" s="96"/>
      <c r="L2" s="96"/>
      <c r="M2" s="96"/>
      <c r="N2" s="96"/>
      <c r="O2" s="96"/>
    </row>
    <row r="5" spans="2:27" ht="18.75">
      <c r="B5" s="97" t="s">
        <v>5546</v>
      </c>
      <c r="C5" s="96"/>
      <c r="D5" s="96"/>
      <c r="E5" s="96"/>
      <c r="F5" s="96"/>
      <c r="G5" s="96"/>
      <c r="H5" s="96"/>
      <c r="I5" s="96"/>
      <c r="J5" s="96"/>
      <c r="K5" s="96"/>
      <c r="L5" s="96"/>
    </row>
    <row r="9" spans="2:27">
      <c r="D9" s="101" t="s">
        <v>2877</v>
      </c>
      <c r="E9" s="102"/>
      <c r="F9" s="103"/>
    </row>
    <row r="10" spans="2:27">
      <c r="D10" s="104"/>
      <c r="E10" s="105"/>
      <c r="F10" s="106"/>
    </row>
    <row r="11" spans="2:27">
      <c r="D11" s="98" t="s">
        <v>5091</v>
      </c>
      <c r="E11" s="98" t="s">
        <v>5092</v>
      </c>
      <c r="F11" s="98" t="s">
        <v>5093</v>
      </c>
    </row>
    <row r="12" spans="2:27">
      <c r="D12" s="99"/>
      <c r="E12" s="99"/>
      <c r="F12" s="99"/>
    </row>
    <row r="13" spans="2:27">
      <c r="D13" s="100"/>
      <c r="E13" s="100"/>
      <c r="F13" s="100"/>
    </row>
    <row r="14" spans="2:27">
      <c r="D14" s="45" t="s">
        <v>2879</v>
      </c>
      <c r="E14" s="45" t="s">
        <v>3219</v>
      </c>
      <c r="F14" s="45" t="s">
        <v>3225</v>
      </c>
      <c r="Z14" s="13" t="str">
        <f>Show!$B$157&amp;"S.27.01.04.01 Rows {"&amp;COLUMN($C$1)&amp;"}"&amp;"@ForceFilingCode:true"</f>
        <v>!S.27.01.04.01 Rows {3}@ForceFilingCode:true</v>
      </c>
      <c r="AA14" s="13" t="str">
        <f>Show!$B$157&amp;"S.27.01.04.01 Columns {"&amp;COLUMN($D$1)&amp;"}"</f>
        <v>!S.27.01.04.01 Columns {4}</v>
      </c>
    </row>
    <row r="15" spans="2:27">
      <c r="B15" s="43" t="s">
        <v>2880</v>
      </c>
      <c r="C15" s="44" t="s">
        <v>2878</v>
      </c>
      <c r="D15" s="58"/>
      <c r="E15" s="67"/>
      <c r="F15" s="59"/>
    </row>
    <row r="16" spans="2:27">
      <c r="B16" s="47" t="s">
        <v>5094</v>
      </c>
      <c r="C16" s="44" t="s">
        <v>2878</v>
      </c>
      <c r="D16" s="56"/>
      <c r="E16" s="66"/>
      <c r="F16" s="57"/>
    </row>
    <row r="17" spans="2:6">
      <c r="B17" s="49" t="s">
        <v>5095</v>
      </c>
      <c r="C17" s="41" t="s">
        <v>2883</v>
      </c>
      <c r="D17" s="60"/>
      <c r="E17" s="60"/>
      <c r="F17" s="60"/>
    </row>
    <row r="18" spans="2:6">
      <c r="B18" s="61" t="s">
        <v>5073</v>
      </c>
      <c r="C18" s="41" t="s">
        <v>2885</v>
      </c>
      <c r="D18" s="60"/>
      <c r="E18" s="60"/>
      <c r="F18" s="60"/>
    </row>
    <row r="19" spans="2:6">
      <c r="B19" s="61" t="s">
        <v>5075</v>
      </c>
      <c r="C19" s="41" t="s">
        <v>2887</v>
      </c>
      <c r="D19" s="60"/>
      <c r="E19" s="60"/>
      <c r="F19" s="60"/>
    </row>
    <row r="20" spans="2:6">
      <c r="B20" s="61" t="s">
        <v>5076</v>
      </c>
      <c r="C20" s="41" t="s">
        <v>2889</v>
      </c>
      <c r="D20" s="60"/>
      <c r="E20" s="60"/>
      <c r="F20" s="60"/>
    </row>
    <row r="21" spans="2:6">
      <c r="B21" s="61" t="s">
        <v>5074</v>
      </c>
      <c r="C21" s="41" t="s">
        <v>3078</v>
      </c>
      <c r="D21" s="60"/>
      <c r="E21" s="60"/>
      <c r="F21" s="60"/>
    </row>
    <row r="22" spans="2:6">
      <c r="B22" s="61" t="s">
        <v>5077</v>
      </c>
      <c r="C22" s="41" t="s">
        <v>2891</v>
      </c>
      <c r="D22" s="60"/>
      <c r="E22" s="60"/>
      <c r="F22" s="60"/>
    </row>
    <row r="23" spans="2:6">
      <c r="B23" s="61" t="s">
        <v>5096</v>
      </c>
      <c r="C23" s="41" t="s">
        <v>2893</v>
      </c>
      <c r="D23" s="60"/>
      <c r="E23" s="60"/>
      <c r="F23" s="60"/>
    </row>
    <row r="24" spans="2:6">
      <c r="B24" s="49" t="s">
        <v>5097</v>
      </c>
      <c r="C24" s="41" t="s">
        <v>2895</v>
      </c>
      <c r="D24" s="60"/>
      <c r="E24" s="60"/>
      <c r="F24" s="60"/>
    </row>
    <row r="25" spans="2:6">
      <c r="B25" s="49" t="s">
        <v>5098</v>
      </c>
      <c r="C25" s="41" t="s">
        <v>2897</v>
      </c>
      <c r="D25" s="60"/>
      <c r="E25" s="60"/>
      <c r="F25" s="60"/>
    </row>
    <row r="26" spans="2:6">
      <c r="B26" s="61" t="s">
        <v>4988</v>
      </c>
      <c r="C26" s="41" t="s">
        <v>2899</v>
      </c>
      <c r="D26" s="60"/>
      <c r="E26" s="60"/>
      <c r="F26" s="60"/>
    </row>
    <row r="27" spans="2:6">
      <c r="B27" s="61" t="s">
        <v>5099</v>
      </c>
      <c r="C27" s="41" t="s">
        <v>2901</v>
      </c>
      <c r="D27" s="60"/>
      <c r="E27" s="60"/>
      <c r="F27" s="60"/>
    </row>
    <row r="28" spans="2:6">
      <c r="B28" s="61" t="s">
        <v>5100</v>
      </c>
      <c r="C28" s="41" t="s">
        <v>2903</v>
      </c>
      <c r="D28" s="60"/>
      <c r="E28" s="60"/>
      <c r="F28" s="60"/>
    </row>
    <row r="29" spans="2:6">
      <c r="B29" s="61" t="s">
        <v>5101</v>
      </c>
      <c r="C29" s="41" t="s">
        <v>2905</v>
      </c>
      <c r="D29" s="60"/>
      <c r="E29" s="60"/>
      <c r="F29" s="60"/>
    </row>
    <row r="30" spans="2:6">
      <c r="B30" s="61" t="s">
        <v>5102</v>
      </c>
      <c r="C30" s="41" t="s">
        <v>2907</v>
      </c>
      <c r="D30" s="60"/>
      <c r="E30" s="60"/>
      <c r="F30" s="60"/>
    </row>
    <row r="31" spans="2:6">
      <c r="B31" s="61" t="s">
        <v>5103</v>
      </c>
      <c r="C31" s="41" t="s">
        <v>2909</v>
      </c>
      <c r="D31" s="60"/>
      <c r="E31" s="60"/>
      <c r="F31" s="60"/>
    </row>
    <row r="32" spans="2:6">
      <c r="B32" s="61" t="s">
        <v>5096</v>
      </c>
      <c r="C32" s="41" t="s">
        <v>2911</v>
      </c>
      <c r="D32" s="60"/>
      <c r="E32" s="60"/>
      <c r="F32" s="60"/>
    </row>
    <row r="33" spans="2:27">
      <c r="B33" s="49" t="s">
        <v>5104</v>
      </c>
      <c r="C33" s="41" t="s">
        <v>2913</v>
      </c>
      <c r="D33" s="60"/>
      <c r="E33" s="60"/>
      <c r="F33" s="60"/>
    </row>
    <row r="34" spans="2:27">
      <c r="B34" s="61" t="s">
        <v>5096</v>
      </c>
      <c r="C34" s="41" t="s">
        <v>2915</v>
      </c>
      <c r="D34" s="60"/>
      <c r="E34" s="60"/>
      <c r="F34" s="60"/>
    </row>
    <row r="35" spans="2:27">
      <c r="B35" s="49" t="s">
        <v>5105</v>
      </c>
      <c r="C35" s="41" t="s">
        <v>2917</v>
      </c>
      <c r="D35" s="60"/>
      <c r="E35" s="60"/>
      <c r="F35" s="60"/>
    </row>
    <row r="36" spans="2:27">
      <c r="B36" s="61" t="s">
        <v>5106</v>
      </c>
      <c r="C36" s="41" t="s">
        <v>2919</v>
      </c>
      <c r="D36" s="60"/>
      <c r="E36" s="60"/>
      <c r="F36" s="60"/>
    </row>
    <row r="37" spans="2:27">
      <c r="B37" s="49" t="s">
        <v>5107</v>
      </c>
      <c r="C37" s="41" t="s">
        <v>2921</v>
      </c>
      <c r="D37" s="63"/>
      <c r="E37" s="63"/>
      <c r="F37" s="63"/>
    </row>
    <row r="38" spans="2:27">
      <c r="B38" s="47" t="s">
        <v>5108</v>
      </c>
      <c r="C38" s="44" t="s">
        <v>2878</v>
      </c>
      <c r="D38" s="56"/>
      <c r="E38" s="66"/>
      <c r="F38" s="57"/>
    </row>
    <row r="39" spans="2:27">
      <c r="B39" s="49" t="s">
        <v>5109</v>
      </c>
      <c r="C39" s="41" t="s">
        <v>2939</v>
      </c>
      <c r="D39" s="60"/>
      <c r="E39" s="60"/>
      <c r="F39" s="60"/>
    </row>
    <row r="40" spans="2:27">
      <c r="B40" s="61" t="s">
        <v>5110</v>
      </c>
      <c r="C40" s="41" t="s">
        <v>2941</v>
      </c>
      <c r="D40" s="60"/>
      <c r="E40" s="60"/>
      <c r="F40" s="60"/>
    </row>
    <row r="41" spans="2:27">
      <c r="B41" s="61" t="s">
        <v>5111</v>
      </c>
      <c r="C41" s="41" t="s">
        <v>2943</v>
      </c>
      <c r="D41" s="60"/>
      <c r="E41" s="60"/>
      <c r="F41" s="60"/>
    </row>
    <row r="42" spans="2:27">
      <c r="B42" s="61" t="s">
        <v>5112</v>
      </c>
      <c r="C42" s="41" t="s">
        <v>2945</v>
      </c>
      <c r="D42" s="60"/>
      <c r="E42" s="60"/>
      <c r="F42" s="60"/>
    </row>
    <row r="43" spans="2:27">
      <c r="B43" s="61" t="s">
        <v>5106</v>
      </c>
      <c r="C43" s="41" t="s">
        <v>2947</v>
      </c>
      <c r="D43" s="60"/>
      <c r="E43" s="60"/>
      <c r="F43" s="60"/>
    </row>
    <row r="45" spans="2:27">
      <c r="Z45" s="13" t="str">
        <f>Show!$B$157&amp;Show!$B$157&amp;"S.27.01.04.01 Rows {"&amp;COLUMN($C$1)&amp;"}"</f>
        <v>!!S.27.01.04.01 Rows {3}</v>
      </c>
      <c r="AA45" s="13" t="str">
        <f>Show!$B$157&amp;Show!$B$157&amp;"S.27.01.04.01 Columns {"&amp;COLUMN($F$1)&amp;"}"</f>
        <v>!!S.27.01.04.01 Columns {6}</v>
      </c>
    </row>
    <row r="47" spans="2:27" ht="18.75">
      <c r="B47" s="97" t="s">
        <v>5547</v>
      </c>
      <c r="C47" s="96"/>
      <c r="D47" s="96"/>
      <c r="E47" s="96"/>
      <c r="F47" s="96"/>
      <c r="G47" s="96"/>
      <c r="H47" s="96"/>
      <c r="I47" s="96"/>
      <c r="J47" s="96"/>
      <c r="K47" s="96"/>
      <c r="L47" s="96"/>
    </row>
    <row r="51" spans="2:27">
      <c r="D51" s="101" t="s">
        <v>2877</v>
      </c>
      <c r="E51" s="102"/>
      <c r="F51" s="102"/>
      <c r="G51" s="102"/>
      <c r="H51" s="102"/>
      <c r="I51" s="102"/>
      <c r="J51" s="102"/>
      <c r="K51" s="102"/>
      <c r="L51" s="103"/>
    </row>
    <row r="52" spans="2:27">
      <c r="D52" s="104"/>
      <c r="E52" s="105"/>
      <c r="F52" s="105"/>
      <c r="G52" s="105"/>
      <c r="H52" s="105"/>
      <c r="I52" s="105"/>
      <c r="J52" s="105"/>
      <c r="K52" s="105"/>
      <c r="L52" s="106"/>
    </row>
    <row r="53" spans="2:27">
      <c r="D53" s="98" t="s">
        <v>5114</v>
      </c>
      <c r="E53" s="98" t="s">
        <v>5115</v>
      </c>
      <c r="F53" s="98" t="s">
        <v>5116</v>
      </c>
      <c r="G53" s="98" t="s">
        <v>5117</v>
      </c>
      <c r="H53" s="98" t="s">
        <v>5118</v>
      </c>
      <c r="I53" s="98" t="s">
        <v>5119</v>
      </c>
      <c r="J53" s="98" t="s">
        <v>5120</v>
      </c>
      <c r="K53" s="98" t="s">
        <v>5121</v>
      </c>
      <c r="L53" s="98" t="s">
        <v>5122</v>
      </c>
    </row>
    <row r="54" spans="2:27">
      <c r="D54" s="100"/>
      <c r="E54" s="100"/>
      <c r="F54" s="100"/>
      <c r="G54" s="100"/>
      <c r="H54" s="100"/>
      <c r="I54" s="100"/>
      <c r="J54" s="100"/>
      <c r="K54" s="100"/>
      <c r="L54" s="100"/>
    </row>
    <row r="55" spans="2:27">
      <c r="D55" s="45" t="s">
        <v>3223</v>
      </c>
      <c r="E55" s="45" t="s">
        <v>3229</v>
      </c>
      <c r="F55" s="45" t="s">
        <v>3231</v>
      </c>
      <c r="G55" s="45" t="s">
        <v>3233</v>
      </c>
      <c r="H55" s="45" t="s">
        <v>3234</v>
      </c>
      <c r="I55" s="45" t="s">
        <v>3236</v>
      </c>
      <c r="J55" s="45" t="s">
        <v>3239</v>
      </c>
      <c r="K55" s="45" t="s">
        <v>3241</v>
      </c>
      <c r="L55" s="45" t="s">
        <v>3243</v>
      </c>
      <c r="Z55" s="13" t="str">
        <f>Show!$B$157&amp;"S.27.01.04.02 Rows {"&amp;COLUMN($C$1)&amp;"}"&amp;"@ForceFilingCode:true"</f>
        <v>!S.27.01.04.02 Rows {3}@ForceFilingCode:true</v>
      </c>
      <c r="AA55" s="13" t="str">
        <f>Show!$B$157&amp;"S.27.01.04.02 Columns {"&amp;COLUMN($D$1)&amp;"}"</f>
        <v>!S.27.01.04.02 Columns {4}</v>
      </c>
    </row>
    <row r="56" spans="2:27">
      <c r="B56" s="43" t="s">
        <v>2880</v>
      </c>
      <c r="C56" s="44" t="s">
        <v>2878</v>
      </c>
      <c r="D56" s="58"/>
      <c r="E56" s="67"/>
      <c r="F56" s="67"/>
      <c r="G56" s="67"/>
      <c r="H56" s="67"/>
      <c r="I56" s="67"/>
      <c r="J56" s="67"/>
      <c r="K56" s="67"/>
      <c r="L56" s="59"/>
    </row>
    <row r="57" spans="2:27">
      <c r="B57" s="47" t="s">
        <v>5123</v>
      </c>
      <c r="C57" s="44" t="s">
        <v>2878</v>
      </c>
      <c r="D57" s="58"/>
      <c r="E57" s="66"/>
      <c r="F57" s="66"/>
      <c r="G57" s="66"/>
      <c r="H57" s="66"/>
      <c r="I57" s="66"/>
      <c r="J57" s="66"/>
      <c r="K57" s="66"/>
      <c r="L57" s="57"/>
    </row>
    <row r="58" spans="2:27">
      <c r="B58" s="49" t="s">
        <v>5124</v>
      </c>
      <c r="C58" s="44" t="s">
        <v>2959</v>
      </c>
      <c r="D58" s="48"/>
      <c r="E58" s="60"/>
      <c r="F58" s="60"/>
      <c r="G58" s="70"/>
      <c r="H58" s="51"/>
      <c r="I58" s="60"/>
      <c r="J58" s="60"/>
      <c r="K58" s="60"/>
      <c r="L58" s="60"/>
    </row>
    <row r="59" spans="2:27">
      <c r="B59" s="49" t="s">
        <v>5125</v>
      </c>
      <c r="C59" s="44" t="s">
        <v>2961</v>
      </c>
      <c r="D59" s="48"/>
      <c r="E59" s="60"/>
      <c r="F59" s="60"/>
      <c r="G59" s="70"/>
      <c r="H59" s="51"/>
      <c r="I59" s="60"/>
      <c r="J59" s="60"/>
      <c r="K59" s="60"/>
      <c r="L59" s="60"/>
    </row>
    <row r="60" spans="2:27">
      <c r="B60" s="49" t="s">
        <v>5126</v>
      </c>
      <c r="C60" s="44" t="s">
        <v>2963</v>
      </c>
      <c r="D60" s="48"/>
      <c r="E60" s="60"/>
      <c r="F60" s="60"/>
      <c r="G60" s="70"/>
      <c r="H60" s="51"/>
      <c r="I60" s="60"/>
      <c r="J60" s="60"/>
      <c r="K60" s="60"/>
      <c r="L60" s="60"/>
    </row>
    <row r="61" spans="2:27">
      <c r="B61" s="49" t="s">
        <v>5127</v>
      </c>
      <c r="C61" s="44" t="s">
        <v>2965</v>
      </c>
      <c r="D61" s="48"/>
      <c r="E61" s="60"/>
      <c r="F61" s="60"/>
      <c r="G61" s="70"/>
      <c r="H61" s="51"/>
      <c r="I61" s="60"/>
      <c r="J61" s="60"/>
      <c r="K61" s="60"/>
      <c r="L61" s="60"/>
    </row>
    <row r="62" spans="2:27">
      <c r="B62" s="49" t="s">
        <v>5128</v>
      </c>
      <c r="C62" s="44" t="s">
        <v>2967</v>
      </c>
      <c r="D62" s="48"/>
      <c r="E62" s="60"/>
      <c r="F62" s="60"/>
      <c r="G62" s="70"/>
      <c r="H62" s="51"/>
      <c r="I62" s="60"/>
      <c r="J62" s="60"/>
      <c r="K62" s="60"/>
      <c r="L62" s="60"/>
    </row>
    <row r="63" spans="2:27">
      <c r="B63" s="49" t="s">
        <v>5129</v>
      </c>
      <c r="C63" s="44" t="s">
        <v>5130</v>
      </c>
      <c r="D63" s="48"/>
      <c r="E63" s="60"/>
      <c r="F63" s="60"/>
      <c r="G63" s="70"/>
      <c r="H63" s="51"/>
      <c r="I63" s="60"/>
      <c r="J63" s="60"/>
      <c r="K63" s="60"/>
      <c r="L63" s="60"/>
    </row>
    <row r="64" spans="2:27" ht="30">
      <c r="B64" s="49" t="s">
        <v>5131</v>
      </c>
      <c r="C64" s="44" t="s">
        <v>2969</v>
      </c>
      <c r="D64" s="48"/>
      <c r="E64" s="60"/>
      <c r="F64" s="60"/>
      <c r="G64" s="70"/>
      <c r="H64" s="51"/>
      <c r="I64" s="60"/>
      <c r="J64" s="60"/>
      <c r="K64" s="60"/>
      <c r="L64" s="60"/>
    </row>
    <row r="65" spans="2:12">
      <c r="B65" s="49" t="s">
        <v>5132</v>
      </c>
      <c r="C65" s="44" t="s">
        <v>2971</v>
      </c>
      <c r="D65" s="48"/>
      <c r="E65" s="60"/>
      <c r="F65" s="60"/>
      <c r="G65" s="70"/>
      <c r="H65" s="51"/>
      <c r="I65" s="60"/>
      <c r="J65" s="60"/>
      <c r="K65" s="60"/>
      <c r="L65" s="60"/>
    </row>
    <row r="66" spans="2:12">
      <c r="B66" s="49" t="s">
        <v>5133</v>
      </c>
      <c r="C66" s="44" t="s">
        <v>4815</v>
      </c>
      <c r="D66" s="48"/>
      <c r="E66" s="60"/>
      <c r="F66" s="60"/>
      <c r="G66" s="70"/>
      <c r="H66" s="51"/>
      <c r="I66" s="60"/>
      <c r="J66" s="60"/>
      <c r="K66" s="60"/>
      <c r="L66" s="60"/>
    </row>
    <row r="67" spans="2:12">
      <c r="B67" s="49" t="s">
        <v>5134</v>
      </c>
      <c r="C67" s="44" t="s">
        <v>2973</v>
      </c>
      <c r="D67" s="48"/>
      <c r="E67" s="60"/>
      <c r="F67" s="60"/>
      <c r="G67" s="70"/>
      <c r="H67" s="51"/>
      <c r="I67" s="60"/>
      <c r="J67" s="60"/>
      <c r="K67" s="60"/>
      <c r="L67" s="60"/>
    </row>
    <row r="68" spans="2:12">
      <c r="B68" s="49" t="s">
        <v>5135</v>
      </c>
      <c r="C68" s="44" t="s">
        <v>2975</v>
      </c>
      <c r="D68" s="48"/>
      <c r="E68" s="60"/>
      <c r="F68" s="60"/>
      <c r="G68" s="70"/>
      <c r="H68" s="51"/>
      <c r="I68" s="60"/>
      <c r="J68" s="60"/>
      <c r="K68" s="60"/>
      <c r="L68" s="60"/>
    </row>
    <row r="69" spans="2:12">
      <c r="B69" s="49" t="s">
        <v>5136</v>
      </c>
      <c r="C69" s="44" t="s">
        <v>3096</v>
      </c>
      <c r="D69" s="48"/>
      <c r="E69" s="60"/>
      <c r="F69" s="60"/>
      <c r="G69" s="70"/>
      <c r="H69" s="51"/>
      <c r="I69" s="60"/>
      <c r="J69" s="60"/>
      <c r="K69" s="60"/>
      <c r="L69" s="60"/>
    </row>
    <row r="70" spans="2:12">
      <c r="B70" s="49" t="s">
        <v>5137</v>
      </c>
      <c r="C70" s="44" t="s">
        <v>2977</v>
      </c>
      <c r="D70" s="48"/>
      <c r="E70" s="60"/>
      <c r="F70" s="60"/>
      <c r="G70" s="70"/>
      <c r="H70" s="51"/>
      <c r="I70" s="60"/>
      <c r="J70" s="60"/>
      <c r="K70" s="60"/>
      <c r="L70" s="60"/>
    </row>
    <row r="71" spans="2:12">
      <c r="B71" s="49" t="s">
        <v>5138</v>
      </c>
      <c r="C71" s="44" t="s">
        <v>2979</v>
      </c>
      <c r="D71" s="48"/>
      <c r="E71" s="60"/>
      <c r="F71" s="60"/>
      <c r="G71" s="70"/>
      <c r="H71" s="51"/>
      <c r="I71" s="60"/>
      <c r="J71" s="60"/>
      <c r="K71" s="60"/>
      <c r="L71" s="60"/>
    </row>
    <row r="72" spans="2:12">
      <c r="B72" s="49" t="s">
        <v>5139</v>
      </c>
      <c r="C72" s="44" t="s">
        <v>2981</v>
      </c>
      <c r="D72" s="48"/>
      <c r="E72" s="60"/>
      <c r="F72" s="60"/>
      <c r="G72" s="70"/>
      <c r="H72" s="51"/>
      <c r="I72" s="60"/>
      <c r="J72" s="60"/>
      <c r="K72" s="60"/>
      <c r="L72" s="60"/>
    </row>
    <row r="73" spans="2:12">
      <c r="B73" s="49" t="s">
        <v>5140</v>
      </c>
      <c r="C73" s="44" t="s">
        <v>5141</v>
      </c>
      <c r="D73" s="48"/>
      <c r="E73" s="60"/>
      <c r="F73" s="60"/>
      <c r="G73" s="70"/>
      <c r="H73" s="51"/>
      <c r="I73" s="60"/>
      <c r="J73" s="60"/>
      <c r="K73" s="60"/>
      <c r="L73" s="60"/>
    </row>
    <row r="74" spans="2:12">
      <c r="B74" s="49" t="s">
        <v>5142</v>
      </c>
      <c r="C74" s="44" t="s">
        <v>2983</v>
      </c>
      <c r="D74" s="48"/>
      <c r="E74" s="60"/>
      <c r="F74" s="60"/>
      <c r="G74" s="70"/>
      <c r="H74" s="51"/>
      <c r="I74" s="60"/>
      <c r="J74" s="60"/>
      <c r="K74" s="60"/>
      <c r="L74" s="60"/>
    </row>
    <row r="75" spans="2:12">
      <c r="B75" s="49" t="s">
        <v>5143</v>
      </c>
      <c r="C75" s="44" t="s">
        <v>2985</v>
      </c>
      <c r="D75" s="48"/>
      <c r="E75" s="60"/>
      <c r="F75" s="60"/>
      <c r="G75" s="70"/>
      <c r="H75" s="51"/>
      <c r="I75" s="60"/>
      <c r="J75" s="60"/>
      <c r="K75" s="60"/>
      <c r="L75" s="60"/>
    </row>
    <row r="76" spans="2:12">
      <c r="B76" s="49" t="s">
        <v>5144</v>
      </c>
      <c r="C76" s="44" t="s">
        <v>2987</v>
      </c>
      <c r="D76" s="48"/>
      <c r="E76" s="60"/>
      <c r="F76" s="60"/>
      <c r="G76" s="70"/>
      <c r="H76" s="51"/>
      <c r="I76" s="60"/>
      <c r="J76" s="60"/>
      <c r="K76" s="60"/>
      <c r="L76" s="60"/>
    </row>
    <row r="77" spans="2:12">
      <c r="B77" s="49" t="s">
        <v>5145</v>
      </c>
      <c r="C77" s="44" t="s">
        <v>2989</v>
      </c>
      <c r="D77" s="48"/>
      <c r="E77" s="60"/>
      <c r="F77" s="60"/>
      <c r="G77" s="70"/>
      <c r="H77" s="51"/>
      <c r="I77" s="60"/>
      <c r="J77" s="60"/>
      <c r="K77" s="60"/>
      <c r="L77" s="60"/>
    </row>
    <row r="78" spans="2:12">
      <c r="B78" s="49" t="s">
        <v>5146</v>
      </c>
      <c r="C78" s="44" t="s">
        <v>2991</v>
      </c>
      <c r="D78" s="48"/>
      <c r="E78" s="60"/>
      <c r="F78" s="60"/>
      <c r="G78" s="70"/>
      <c r="H78" s="51"/>
      <c r="I78" s="60"/>
      <c r="J78" s="60"/>
      <c r="K78" s="60"/>
      <c r="L78" s="60"/>
    </row>
    <row r="79" spans="2:12">
      <c r="B79" s="49" t="s">
        <v>5147</v>
      </c>
      <c r="C79" s="44" t="s">
        <v>2993</v>
      </c>
      <c r="D79" s="48"/>
      <c r="E79" s="60"/>
      <c r="F79" s="60"/>
      <c r="G79" s="70"/>
      <c r="H79" s="51"/>
      <c r="I79" s="60"/>
      <c r="J79" s="60"/>
      <c r="K79" s="60"/>
      <c r="L79" s="60"/>
    </row>
    <row r="80" spans="2:12">
      <c r="B80" s="49" t="s">
        <v>5148</v>
      </c>
      <c r="C80" s="44" t="s">
        <v>2995</v>
      </c>
      <c r="D80" s="48"/>
      <c r="E80" s="60"/>
      <c r="F80" s="60"/>
      <c r="G80" s="70"/>
      <c r="H80" s="68"/>
      <c r="I80" s="60"/>
      <c r="J80" s="60"/>
      <c r="K80" s="60"/>
      <c r="L80" s="60"/>
    </row>
    <row r="81" spans="2:12">
      <c r="B81" s="49" t="s">
        <v>5149</v>
      </c>
      <c r="C81" s="44" t="s">
        <v>2997</v>
      </c>
      <c r="D81" s="46"/>
      <c r="E81" s="63"/>
      <c r="F81" s="63"/>
      <c r="G81" s="78"/>
      <c r="H81" s="48"/>
      <c r="I81" s="63"/>
      <c r="J81" s="63"/>
      <c r="K81" s="63"/>
      <c r="L81" s="63"/>
    </row>
    <row r="82" spans="2:12">
      <c r="B82" s="49" t="s">
        <v>5150</v>
      </c>
      <c r="C82" s="41" t="s">
        <v>2999</v>
      </c>
      <c r="D82" s="64"/>
      <c r="E82" s="58"/>
      <c r="F82" s="58"/>
      <c r="G82" s="58"/>
      <c r="H82" s="58"/>
      <c r="I82" s="58"/>
      <c r="J82" s="58"/>
      <c r="K82" s="58"/>
      <c r="L82" s="48"/>
    </row>
    <row r="83" spans="2:12">
      <c r="B83" s="49" t="s">
        <v>5151</v>
      </c>
      <c r="C83" s="41" t="s">
        <v>3001</v>
      </c>
      <c r="D83" s="64"/>
      <c r="E83" s="58"/>
      <c r="F83" s="58"/>
      <c r="G83" s="58"/>
      <c r="H83" s="58"/>
      <c r="I83" s="58"/>
      <c r="J83" s="58"/>
      <c r="K83" s="58"/>
      <c r="L83" s="48"/>
    </row>
    <row r="84" spans="2:12">
      <c r="B84" s="49" t="s">
        <v>5152</v>
      </c>
      <c r="C84" s="41" t="s">
        <v>3003</v>
      </c>
      <c r="D84" s="64"/>
      <c r="E84" s="58"/>
      <c r="F84" s="58"/>
      <c r="G84" s="58"/>
      <c r="H84" s="58"/>
      <c r="I84" s="58"/>
      <c r="J84" s="58"/>
      <c r="K84" s="58"/>
      <c r="L84" s="48"/>
    </row>
    <row r="85" spans="2:12">
      <c r="B85" s="49" t="s">
        <v>5153</v>
      </c>
      <c r="C85" s="41" t="s">
        <v>3005</v>
      </c>
      <c r="D85" s="64"/>
      <c r="E85" s="58"/>
      <c r="F85" s="58"/>
      <c r="G85" s="58"/>
      <c r="H85" s="58"/>
      <c r="I85" s="58"/>
      <c r="J85" s="58"/>
      <c r="K85" s="58"/>
      <c r="L85" s="48"/>
    </row>
    <row r="86" spans="2:12">
      <c r="B86" s="49" t="s">
        <v>5154</v>
      </c>
      <c r="C86" s="41" t="s">
        <v>3007</v>
      </c>
      <c r="D86" s="64"/>
      <c r="E86" s="58"/>
      <c r="F86" s="58"/>
      <c r="G86" s="58"/>
      <c r="H86" s="58"/>
      <c r="I86" s="58"/>
      <c r="J86" s="58"/>
      <c r="K86" s="58"/>
      <c r="L86" s="48"/>
    </row>
    <row r="87" spans="2:12">
      <c r="B87" s="49" t="s">
        <v>5155</v>
      </c>
      <c r="C87" s="41" t="s">
        <v>3009</v>
      </c>
      <c r="D87" s="64"/>
      <c r="E87" s="58"/>
      <c r="F87" s="58"/>
      <c r="G87" s="58"/>
      <c r="H87" s="58"/>
      <c r="I87" s="58"/>
      <c r="J87" s="58"/>
      <c r="K87" s="58"/>
      <c r="L87" s="48"/>
    </row>
    <row r="88" spans="2:12">
      <c r="B88" s="49" t="s">
        <v>5156</v>
      </c>
      <c r="C88" s="41" t="s">
        <v>3011</v>
      </c>
      <c r="D88" s="64"/>
      <c r="E88" s="58"/>
      <c r="F88" s="58"/>
      <c r="G88" s="58"/>
      <c r="H88" s="58"/>
      <c r="I88" s="58"/>
      <c r="J88" s="58"/>
      <c r="K88" s="58"/>
      <c r="L88" s="48"/>
    </row>
    <row r="89" spans="2:12">
      <c r="B89" s="49" t="s">
        <v>5157</v>
      </c>
      <c r="C89" s="41" t="s">
        <v>3013</v>
      </c>
      <c r="D89" s="64"/>
      <c r="E89" s="58"/>
      <c r="F89" s="58"/>
      <c r="G89" s="58"/>
      <c r="H89" s="58"/>
      <c r="I89" s="58"/>
      <c r="J89" s="58"/>
      <c r="K89" s="58"/>
      <c r="L89" s="48"/>
    </row>
    <row r="90" spans="2:12">
      <c r="B90" s="49" t="s">
        <v>5158</v>
      </c>
      <c r="C90" s="41" t="s">
        <v>3015</v>
      </c>
      <c r="D90" s="64"/>
      <c r="E90" s="58"/>
      <c r="F90" s="58"/>
      <c r="G90" s="58"/>
      <c r="H90" s="58"/>
      <c r="I90" s="58"/>
      <c r="J90" s="58"/>
      <c r="K90" s="58"/>
      <c r="L90" s="48"/>
    </row>
    <row r="91" spans="2:12">
      <c r="B91" s="49" t="s">
        <v>5159</v>
      </c>
      <c r="C91" s="41" t="s">
        <v>3064</v>
      </c>
      <c r="D91" s="64"/>
      <c r="E91" s="58"/>
      <c r="F91" s="58"/>
      <c r="G91" s="58"/>
      <c r="H91" s="58"/>
      <c r="I91" s="58"/>
      <c r="J91" s="58"/>
      <c r="K91" s="58"/>
      <c r="L91" s="48"/>
    </row>
    <row r="92" spans="2:12">
      <c r="B92" s="49" t="s">
        <v>5160</v>
      </c>
      <c r="C92" s="41" t="s">
        <v>3066</v>
      </c>
      <c r="D92" s="64"/>
      <c r="E92" s="58"/>
      <c r="F92" s="58"/>
      <c r="G92" s="58"/>
      <c r="H92" s="58"/>
      <c r="I92" s="58"/>
      <c r="J92" s="58"/>
      <c r="K92" s="58"/>
      <c r="L92" s="48"/>
    </row>
    <row r="93" spans="2:12">
      <c r="B93" s="49" t="s">
        <v>5161</v>
      </c>
      <c r="C93" s="41" t="s">
        <v>3068</v>
      </c>
      <c r="D93" s="64"/>
      <c r="E93" s="58"/>
      <c r="F93" s="58"/>
      <c r="G93" s="58"/>
      <c r="H93" s="58"/>
      <c r="I93" s="58"/>
      <c r="J93" s="58"/>
      <c r="K93" s="58"/>
      <c r="L93" s="48"/>
    </row>
    <row r="94" spans="2:12">
      <c r="B94" s="49" t="s">
        <v>5162</v>
      </c>
      <c r="C94" s="41" t="s">
        <v>3070</v>
      </c>
      <c r="D94" s="64"/>
      <c r="E94" s="58"/>
      <c r="F94" s="58"/>
      <c r="G94" s="58"/>
      <c r="H94" s="58"/>
      <c r="I94" s="58"/>
      <c r="J94" s="58"/>
      <c r="K94" s="58"/>
      <c r="L94" s="48"/>
    </row>
    <row r="95" spans="2:12">
      <c r="B95" s="49" t="s">
        <v>5163</v>
      </c>
      <c r="C95" s="41" t="s">
        <v>3017</v>
      </c>
      <c r="D95" s="64"/>
      <c r="E95" s="58"/>
      <c r="F95" s="58"/>
      <c r="G95" s="58"/>
      <c r="H95" s="58"/>
      <c r="I95" s="58"/>
      <c r="J95" s="58"/>
      <c r="K95" s="58"/>
      <c r="L95" s="48"/>
    </row>
    <row r="96" spans="2:12">
      <c r="B96" s="49" t="s">
        <v>5164</v>
      </c>
      <c r="C96" s="41" t="s">
        <v>3019</v>
      </c>
      <c r="D96" s="64"/>
      <c r="E96" s="58"/>
      <c r="F96" s="58"/>
      <c r="G96" s="58"/>
      <c r="H96" s="58"/>
      <c r="I96" s="58"/>
      <c r="J96" s="58"/>
      <c r="K96" s="58"/>
      <c r="L96" s="48"/>
    </row>
    <row r="97" spans="2:27">
      <c r="B97" s="49" t="s">
        <v>5165</v>
      </c>
      <c r="C97" s="41" t="s">
        <v>3021</v>
      </c>
      <c r="D97" s="64"/>
      <c r="E97" s="58"/>
      <c r="F97" s="58"/>
      <c r="G97" s="58"/>
      <c r="H97" s="58"/>
      <c r="I97" s="58"/>
      <c r="J97" s="58"/>
      <c r="K97" s="58"/>
      <c r="L97" s="48"/>
    </row>
    <row r="98" spans="2:27">
      <c r="B98" s="49" t="s">
        <v>5166</v>
      </c>
      <c r="C98" s="41" t="s">
        <v>3023</v>
      </c>
      <c r="D98" s="64"/>
      <c r="E98" s="58"/>
      <c r="F98" s="58"/>
      <c r="G98" s="58"/>
      <c r="H98" s="58"/>
      <c r="I98" s="58"/>
      <c r="J98" s="58"/>
      <c r="K98" s="58"/>
      <c r="L98" s="48"/>
    </row>
    <row r="99" spans="2:27">
      <c r="B99" s="49" t="s">
        <v>5167</v>
      </c>
      <c r="C99" s="41" t="s">
        <v>3072</v>
      </c>
      <c r="D99" s="64"/>
      <c r="E99" s="58"/>
      <c r="F99" s="58"/>
      <c r="G99" s="58"/>
      <c r="H99" s="58"/>
      <c r="I99" s="56"/>
      <c r="J99" s="56"/>
      <c r="K99" s="56"/>
      <c r="L99" s="46"/>
    </row>
    <row r="100" spans="2:27">
      <c r="B100" s="49" t="s">
        <v>5168</v>
      </c>
      <c r="C100" s="41" t="s">
        <v>3118</v>
      </c>
      <c r="D100" s="65"/>
      <c r="E100" s="58"/>
      <c r="F100" s="58"/>
      <c r="G100" s="58"/>
      <c r="H100" s="48"/>
      <c r="I100" s="60"/>
      <c r="J100" s="60"/>
      <c r="K100" s="60"/>
      <c r="L100" s="60"/>
    </row>
    <row r="101" spans="2:27">
      <c r="B101" s="49" t="s">
        <v>5169</v>
      </c>
      <c r="C101" s="44" t="s">
        <v>3120</v>
      </c>
      <c r="D101" s="58"/>
      <c r="E101" s="58"/>
      <c r="F101" s="58"/>
      <c r="G101" s="58"/>
      <c r="H101" s="48"/>
      <c r="I101" s="60"/>
      <c r="J101" s="63"/>
      <c r="K101" s="63"/>
      <c r="L101" s="60"/>
    </row>
    <row r="102" spans="2:27">
      <c r="B102" s="49" t="s">
        <v>5170</v>
      </c>
      <c r="C102" s="44" t="s">
        <v>3122</v>
      </c>
      <c r="D102" s="58"/>
      <c r="E102" s="58"/>
      <c r="F102" s="58"/>
      <c r="G102" s="58"/>
      <c r="H102" s="48"/>
      <c r="I102" s="64"/>
      <c r="J102" s="58"/>
      <c r="K102" s="48"/>
      <c r="L102" s="60"/>
    </row>
    <row r="103" spans="2:27">
      <c r="B103" s="49" t="s">
        <v>5171</v>
      </c>
      <c r="C103" s="44" t="s">
        <v>3124</v>
      </c>
      <c r="D103" s="56"/>
      <c r="E103" s="56"/>
      <c r="F103" s="56"/>
      <c r="G103" s="56"/>
      <c r="H103" s="46"/>
      <c r="I103" s="64"/>
      <c r="J103" s="56"/>
      <c r="K103" s="46"/>
      <c r="L103" s="60"/>
    </row>
    <row r="105" spans="2:27">
      <c r="Z105" s="13" t="str">
        <f>Show!$B$157&amp;Show!$B$157&amp;"S.27.01.04.02 Rows {"&amp;COLUMN($C$1)&amp;"}"</f>
        <v>!!S.27.01.04.02 Rows {3}</v>
      </c>
      <c r="AA105" s="13" t="str">
        <f>Show!$B$157&amp;Show!$B$157&amp;"S.27.01.04.02 Columns {"&amp;COLUMN($L$1)&amp;"}"</f>
        <v>!!S.27.01.04.02 Columns {12}</v>
      </c>
    </row>
    <row r="107" spans="2:27" ht="18.75">
      <c r="B107" s="97" t="s">
        <v>5548</v>
      </c>
      <c r="C107" s="96"/>
      <c r="D107" s="96"/>
      <c r="E107" s="96"/>
      <c r="F107" s="96"/>
      <c r="G107" s="96"/>
      <c r="H107" s="96"/>
      <c r="I107" s="96"/>
      <c r="J107" s="96"/>
      <c r="K107" s="96"/>
      <c r="L107" s="96"/>
    </row>
    <row r="111" spans="2:27">
      <c r="D111" s="101" t="s">
        <v>2877</v>
      </c>
      <c r="E111" s="102"/>
      <c r="F111" s="102"/>
      <c r="G111" s="102"/>
      <c r="H111" s="102"/>
      <c r="I111" s="102"/>
      <c r="J111" s="102"/>
      <c r="K111" s="103"/>
    </row>
    <row r="112" spans="2:27">
      <c r="D112" s="104"/>
      <c r="E112" s="105"/>
      <c r="F112" s="105"/>
      <c r="G112" s="105"/>
      <c r="H112" s="105"/>
      <c r="I112" s="105"/>
      <c r="J112" s="105"/>
      <c r="K112" s="106"/>
    </row>
    <row r="113" spans="2:27">
      <c r="D113" s="98" t="s">
        <v>5114</v>
      </c>
      <c r="E113" s="98" t="s">
        <v>5115</v>
      </c>
      <c r="F113" s="98" t="s">
        <v>5116</v>
      </c>
      <c r="G113" s="98" t="s">
        <v>5117</v>
      </c>
      <c r="H113" s="98" t="s">
        <v>5119</v>
      </c>
      <c r="I113" s="98" t="s">
        <v>5120</v>
      </c>
      <c r="J113" s="98" t="s">
        <v>5121</v>
      </c>
      <c r="K113" s="98" t="s">
        <v>5122</v>
      </c>
    </row>
    <row r="114" spans="2:27">
      <c r="D114" s="100"/>
      <c r="E114" s="100"/>
      <c r="F114" s="100"/>
      <c r="G114" s="100"/>
      <c r="H114" s="100"/>
      <c r="I114" s="100"/>
      <c r="J114" s="100"/>
      <c r="K114" s="100"/>
    </row>
    <row r="115" spans="2:27">
      <c r="D115" s="45" t="s">
        <v>3375</v>
      </c>
      <c r="E115" s="45" t="s">
        <v>3475</v>
      </c>
      <c r="F115" s="45" t="s">
        <v>3477</v>
      </c>
      <c r="G115" s="45" t="s">
        <v>3479</v>
      </c>
      <c r="H115" s="45" t="s">
        <v>3594</v>
      </c>
      <c r="I115" s="45" t="s">
        <v>3596</v>
      </c>
      <c r="J115" s="45" t="s">
        <v>3599</v>
      </c>
      <c r="K115" s="45" t="s">
        <v>3481</v>
      </c>
      <c r="Z115" s="13" t="str">
        <f>Show!$B$157&amp;"S.27.01.04.03 Rows {"&amp;COLUMN($C$1)&amp;"}"&amp;"@ForceFilingCode:true"</f>
        <v>!S.27.01.04.03 Rows {3}@ForceFilingCode:true</v>
      </c>
      <c r="AA115" s="13" t="str">
        <f>Show!$B$157&amp;"S.27.01.04.03 Columns {"&amp;COLUMN($D$1)&amp;"}"</f>
        <v>!S.27.01.04.03 Columns {4}</v>
      </c>
    </row>
    <row r="116" spans="2:27">
      <c r="B116" s="43" t="s">
        <v>2880</v>
      </c>
      <c r="C116" s="44" t="s">
        <v>2878</v>
      </c>
      <c r="D116" s="58"/>
      <c r="E116" s="67"/>
      <c r="F116" s="67"/>
      <c r="G116" s="67"/>
      <c r="H116" s="67"/>
      <c r="I116" s="67"/>
      <c r="J116" s="67"/>
      <c r="K116" s="59"/>
    </row>
    <row r="117" spans="2:27">
      <c r="B117" s="47" t="s">
        <v>5173</v>
      </c>
      <c r="C117" s="44" t="s">
        <v>2878</v>
      </c>
      <c r="D117" s="58"/>
      <c r="E117" s="66"/>
      <c r="F117" s="66"/>
      <c r="G117" s="66"/>
      <c r="H117" s="66"/>
      <c r="I117" s="66"/>
      <c r="J117" s="66"/>
      <c r="K117" s="57"/>
    </row>
    <row r="118" spans="2:27">
      <c r="B118" s="49" t="s">
        <v>5124</v>
      </c>
      <c r="C118" s="44" t="s">
        <v>3126</v>
      </c>
      <c r="D118" s="48"/>
      <c r="E118" s="60"/>
      <c r="F118" s="60"/>
      <c r="G118" s="70"/>
      <c r="H118" s="60"/>
      <c r="I118" s="60"/>
      <c r="J118" s="60"/>
      <c r="K118" s="60"/>
    </row>
    <row r="119" spans="2:27">
      <c r="B119" s="49" t="s">
        <v>5125</v>
      </c>
      <c r="C119" s="44" t="s">
        <v>3128</v>
      </c>
      <c r="D119" s="48"/>
      <c r="E119" s="60"/>
      <c r="F119" s="60"/>
      <c r="G119" s="70"/>
      <c r="H119" s="60"/>
      <c r="I119" s="60"/>
      <c r="J119" s="60"/>
      <c r="K119" s="60"/>
    </row>
    <row r="120" spans="2:27">
      <c r="B120" s="49" t="s">
        <v>5174</v>
      </c>
      <c r="C120" s="44" t="s">
        <v>3130</v>
      </c>
      <c r="D120" s="48"/>
      <c r="E120" s="60"/>
      <c r="F120" s="60"/>
      <c r="G120" s="70"/>
      <c r="H120" s="60"/>
      <c r="I120" s="60"/>
      <c r="J120" s="60"/>
      <c r="K120" s="60"/>
    </row>
    <row r="121" spans="2:27">
      <c r="B121" s="49" t="s">
        <v>5175</v>
      </c>
      <c r="C121" s="44" t="s">
        <v>3132</v>
      </c>
      <c r="D121" s="48"/>
      <c r="E121" s="60"/>
      <c r="F121" s="60"/>
      <c r="G121" s="70"/>
      <c r="H121" s="60"/>
      <c r="I121" s="60"/>
      <c r="J121" s="60"/>
      <c r="K121" s="60"/>
    </row>
    <row r="122" spans="2:27">
      <c r="B122" s="49" t="s">
        <v>5176</v>
      </c>
      <c r="C122" s="44" t="s">
        <v>3134</v>
      </c>
      <c r="D122" s="48"/>
      <c r="E122" s="60"/>
      <c r="F122" s="60"/>
      <c r="G122" s="70"/>
      <c r="H122" s="60"/>
      <c r="I122" s="60"/>
      <c r="J122" s="60"/>
      <c r="K122" s="60"/>
    </row>
    <row r="123" spans="2:27">
      <c r="B123" s="49" t="s">
        <v>5126</v>
      </c>
      <c r="C123" s="44" t="s">
        <v>3136</v>
      </c>
      <c r="D123" s="48"/>
      <c r="E123" s="60"/>
      <c r="F123" s="60"/>
      <c r="G123" s="70"/>
      <c r="H123" s="60"/>
      <c r="I123" s="60"/>
      <c r="J123" s="60"/>
      <c r="K123" s="60"/>
    </row>
    <row r="124" spans="2:27">
      <c r="B124" s="49" t="s">
        <v>5127</v>
      </c>
      <c r="C124" s="44" t="s">
        <v>3138</v>
      </c>
      <c r="D124" s="48"/>
      <c r="E124" s="60"/>
      <c r="F124" s="60"/>
      <c r="G124" s="70"/>
      <c r="H124" s="60"/>
      <c r="I124" s="60"/>
      <c r="J124" s="60"/>
      <c r="K124" s="60"/>
    </row>
    <row r="125" spans="2:27" ht="30">
      <c r="B125" s="49" t="s">
        <v>5131</v>
      </c>
      <c r="C125" s="44" t="s">
        <v>3140</v>
      </c>
      <c r="D125" s="48"/>
      <c r="E125" s="60"/>
      <c r="F125" s="60"/>
      <c r="G125" s="70"/>
      <c r="H125" s="60"/>
      <c r="I125" s="60"/>
      <c r="J125" s="60"/>
      <c r="K125" s="60"/>
    </row>
    <row r="126" spans="2:27">
      <c r="B126" s="49" t="s">
        <v>5132</v>
      </c>
      <c r="C126" s="44" t="s">
        <v>3142</v>
      </c>
      <c r="D126" s="48"/>
      <c r="E126" s="60"/>
      <c r="F126" s="60"/>
      <c r="G126" s="70"/>
      <c r="H126" s="60"/>
      <c r="I126" s="60"/>
      <c r="J126" s="60"/>
      <c r="K126" s="60"/>
    </row>
    <row r="127" spans="2:27">
      <c r="B127" s="49" t="s">
        <v>5177</v>
      </c>
      <c r="C127" s="44" t="s">
        <v>3144</v>
      </c>
      <c r="D127" s="48"/>
      <c r="E127" s="60"/>
      <c r="F127" s="60"/>
      <c r="G127" s="70"/>
      <c r="H127" s="60"/>
      <c r="I127" s="60"/>
      <c r="J127" s="60"/>
      <c r="K127" s="60"/>
    </row>
    <row r="128" spans="2:27">
      <c r="B128" s="49" t="s">
        <v>5133</v>
      </c>
      <c r="C128" s="44" t="s">
        <v>3146</v>
      </c>
      <c r="D128" s="48"/>
      <c r="E128" s="60"/>
      <c r="F128" s="60"/>
      <c r="G128" s="70"/>
      <c r="H128" s="60"/>
      <c r="I128" s="60"/>
      <c r="J128" s="60"/>
      <c r="K128" s="60"/>
    </row>
    <row r="129" spans="2:11">
      <c r="B129" s="49" t="s">
        <v>5178</v>
      </c>
      <c r="C129" s="44" t="s">
        <v>3148</v>
      </c>
      <c r="D129" s="48"/>
      <c r="E129" s="60"/>
      <c r="F129" s="60"/>
      <c r="G129" s="70"/>
      <c r="H129" s="60"/>
      <c r="I129" s="60"/>
      <c r="J129" s="60"/>
      <c r="K129" s="60"/>
    </row>
    <row r="130" spans="2:11">
      <c r="B130" s="49" t="s">
        <v>5179</v>
      </c>
      <c r="C130" s="44" t="s">
        <v>3091</v>
      </c>
      <c r="D130" s="48"/>
      <c r="E130" s="60"/>
      <c r="F130" s="60"/>
      <c r="G130" s="70"/>
      <c r="H130" s="60"/>
      <c r="I130" s="60"/>
      <c r="J130" s="60"/>
      <c r="K130" s="60"/>
    </row>
    <row r="131" spans="2:11">
      <c r="B131" s="49" t="s">
        <v>5180</v>
      </c>
      <c r="C131" s="44" t="s">
        <v>3098</v>
      </c>
      <c r="D131" s="48"/>
      <c r="E131" s="60"/>
      <c r="F131" s="60"/>
      <c r="G131" s="70"/>
      <c r="H131" s="60"/>
      <c r="I131" s="60"/>
      <c r="J131" s="60"/>
      <c r="K131" s="60"/>
    </row>
    <row r="132" spans="2:11">
      <c r="B132" s="49" t="s">
        <v>5181</v>
      </c>
      <c r="C132" s="44" t="s">
        <v>3093</v>
      </c>
      <c r="D132" s="48"/>
      <c r="E132" s="60"/>
      <c r="F132" s="60"/>
      <c r="G132" s="70"/>
      <c r="H132" s="60"/>
      <c r="I132" s="60"/>
      <c r="J132" s="60"/>
      <c r="K132" s="60"/>
    </row>
    <row r="133" spans="2:11">
      <c r="B133" s="49" t="s">
        <v>5182</v>
      </c>
      <c r="C133" s="44" t="s">
        <v>3100</v>
      </c>
      <c r="D133" s="48"/>
      <c r="E133" s="60"/>
      <c r="F133" s="60"/>
      <c r="G133" s="70"/>
      <c r="H133" s="60"/>
      <c r="I133" s="60"/>
      <c r="J133" s="60"/>
      <c r="K133" s="60"/>
    </row>
    <row r="134" spans="2:11">
      <c r="B134" s="49" t="s">
        <v>5129</v>
      </c>
      <c r="C134" s="44" t="s">
        <v>3200</v>
      </c>
      <c r="D134" s="48"/>
      <c r="E134" s="60"/>
      <c r="F134" s="60"/>
      <c r="G134" s="70"/>
      <c r="H134" s="60"/>
      <c r="I134" s="60"/>
      <c r="J134" s="60"/>
      <c r="K134" s="60"/>
    </row>
    <row r="135" spans="2:11">
      <c r="B135" s="49" t="s">
        <v>5145</v>
      </c>
      <c r="C135" s="44" t="s">
        <v>3315</v>
      </c>
      <c r="D135" s="48"/>
      <c r="E135" s="60"/>
      <c r="F135" s="60"/>
      <c r="G135" s="70"/>
      <c r="H135" s="60"/>
      <c r="I135" s="60"/>
      <c r="J135" s="60"/>
      <c r="K135" s="60"/>
    </row>
    <row r="136" spans="2:11">
      <c r="B136" s="49" t="s">
        <v>5146</v>
      </c>
      <c r="C136" s="44" t="s">
        <v>3496</v>
      </c>
      <c r="D136" s="48"/>
      <c r="E136" s="60"/>
      <c r="F136" s="60"/>
      <c r="G136" s="70"/>
      <c r="H136" s="60"/>
      <c r="I136" s="60"/>
      <c r="J136" s="60"/>
      <c r="K136" s="60"/>
    </row>
    <row r="137" spans="2:11">
      <c r="B137" s="49" t="s">
        <v>5147</v>
      </c>
      <c r="C137" s="44" t="s">
        <v>3497</v>
      </c>
      <c r="D137" s="48"/>
      <c r="E137" s="60"/>
      <c r="F137" s="60"/>
      <c r="G137" s="70"/>
      <c r="H137" s="60"/>
      <c r="I137" s="60"/>
      <c r="J137" s="60"/>
      <c r="K137" s="60"/>
    </row>
    <row r="138" spans="2:11">
      <c r="B138" s="49" t="s">
        <v>5183</v>
      </c>
      <c r="C138" s="44" t="s">
        <v>3498</v>
      </c>
      <c r="D138" s="46"/>
      <c r="E138" s="63"/>
      <c r="F138" s="63"/>
      <c r="G138" s="76"/>
      <c r="H138" s="63"/>
      <c r="I138" s="63"/>
      <c r="J138" s="63"/>
      <c r="K138" s="63"/>
    </row>
    <row r="139" spans="2:11">
      <c r="B139" s="49" t="s">
        <v>5150</v>
      </c>
      <c r="C139" s="41" t="s">
        <v>3499</v>
      </c>
      <c r="D139" s="64"/>
      <c r="E139" s="58"/>
      <c r="F139" s="58"/>
      <c r="G139" s="58"/>
      <c r="H139" s="58"/>
      <c r="I139" s="58"/>
      <c r="J139" s="58"/>
      <c r="K139" s="48"/>
    </row>
    <row r="140" spans="2:11">
      <c r="B140" s="49" t="s">
        <v>5151</v>
      </c>
      <c r="C140" s="41" t="s">
        <v>4939</v>
      </c>
      <c r="D140" s="64"/>
      <c r="E140" s="58"/>
      <c r="F140" s="58"/>
      <c r="G140" s="58"/>
      <c r="H140" s="58"/>
      <c r="I140" s="58"/>
      <c r="J140" s="58"/>
      <c r="K140" s="48"/>
    </row>
    <row r="141" spans="2:11">
      <c r="B141" s="49" t="s">
        <v>5152</v>
      </c>
      <c r="C141" s="41" t="s">
        <v>5184</v>
      </c>
      <c r="D141" s="64"/>
      <c r="E141" s="58"/>
      <c r="F141" s="58"/>
      <c r="G141" s="58"/>
      <c r="H141" s="58"/>
      <c r="I141" s="58"/>
      <c r="J141" s="58"/>
      <c r="K141" s="48"/>
    </row>
    <row r="142" spans="2:11">
      <c r="B142" s="49" t="s">
        <v>5153</v>
      </c>
      <c r="C142" s="41" t="s">
        <v>5185</v>
      </c>
      <c r="D142" s="64"/>
      <c r="E142" s="58"/>
      <c r="F142" s="58"/>
      <c r="G142" s="58"/>
      <c r="H142" s="58"/>
      <c r="I142" s="58"/>
      <c r="J142" s="58"/>
      <c r="K142" s="48"/>
    </row>
    <row r="143" spans="2:11">
      <c r="B143" s="49" t="s">
        <v>5154</v>
      </c>
      <c r="C143" s="41" t="s">
        <v>5186</v>
      </c>
      <c r="D143" s="64"/>
      <c r="E143" s="58"/>
      <c r="F143" s="58"/>
      <c r="G143" s="58"/>
      <c r="H143" s="58"/>
      <c r="I143" s="58"/>
      <c r="J143" s="58"/>
      <c r="K143" s="48"/>
    </row>
    <row r="144" spans="2:11">
      <c r="B144" s="49" t="s">
        <v>5155</v>
      </c>
      <c r="C144" s="41" t="s">
        <v>5187</v>
      </c>
      <c r="D144" s="64"/>
      <c r="E144" s="58"/>
      <c r="F144" s="58"/>
      <c r="G144" s="58"/>
      <c r="H144" s="58"/>
      <c r="I144" s="58"/>
      <c r="J144" s="58"/>
      <c r="K144" s="48"/>
    </row>
    <row r="145" spans="2:11">
      <c r="B145" s="49" t="s">
        <v>5156</v>
      </c>
      <c r="C145" s="41" t="s">
        <v>3500</v>
      </c>
      <c r="D145" s="64"/>
      <c r="E145" s="58"/>
      <c r="F145" s="58"/>
      <c r="G145" s="58"/>
      <c r="H145" s="58"/>
      <c r="I145" s="58"/>
      <c r="J145" s="58"/>
      <c r="K145" s="48"/>
    </row>
    <row r="146" spans="2:11">
      <c r="B146" s="49" t="s">
        <v>5157</v>
      </c>
      <c r="C146" s="41" t="s">
        <v>4507</v>
      </c>
      <c r="D146" s="64"/>
      <c r="E146" s="58"/>
      <c r="F146" s="58"/>
      <c r="G146" s="58"/>
      <c r="H146" s="58"/>
      <c r="I146" s="58"/>
      <c r="J146" s="58"/>
      <c r="K146" s="48"/>
    </row>
    <row r="147" spans="2:11">
      <c r="B147" s="49" t="s">
        <v>5158</v>
      </c>
      <c r="C147" s="41" t="s">
        <v>4508</v>
      </c>
      <c r="D147" s="64"/>
      <c r="E147" s="58"/>
      <c r="F147" s="58"/>
      <c r="G147" s="58"/>
      <c r="H147" s="58"/>
      <c r="I147" s="58"/>
      <c r="J147" s="58"/>
      <c r="K147" s="48"/>
    </row>
    <row r="148" spans="2:11">
      <c r="B148" s="49" t="s">
        <v>5159</v>
      </c>
      <c r="C148" s="41" t="s">
        <v>5188</v>
      </c>
      <c r="D148" s="64"/>
      <c r="E148" s="58"/>
      <c r="F148" s="58"/>
      <c r="G148" s="58"/>
      <c r="H148" s="58"/>
      <c r="I148" s="58"/>
      <c r="J148" s="58"/>
      <c r="K148" s="48"/>
    </row>
    <row r="149" spans="2:11">
      <c r="B149" s="49" t="s">
        <v>5160</v>
      </c>
      <c r="C149" s="41" t="s">
        <v>5189</v>
      </c>
      <c r="D149" s="64"/>
      <c r="E149" s="58"/>
      <c r="F149" s="58"/>
      <c r="G149" s="58"/>
      <c r="H149" s="58"/>
      <c r="I149" s="58"/>
      <c r="J149" s="58"/>
      <c r="K149" s="48"/>
    </row>
    <row r="150" spans="2:11">
      <c r="B150" s="49" t="s">
        <v>5161</v>
      </c>
      <c r="C150" s="41" t="s">
        <v>5190</v>
      </c>
      <c r="D150" s="64"/>
      <c r="E150" s="58"/>
      <c r="F150" s="58"/>
      <c r="G150" s="58"/>
      <c r="H150" s="58"/>
      <c r="I150" s="58"/>
      <c r="J150" s="58"/>
      <c r="K150" s="48"/>
    </row>
    <row r="151" spans="2:11">
      <c r="B151" s="49" t="s">
        <v>5162</v>
      </c>
      <c r="C151" s="41" t="s">
        <v>5191</v>
      </c>
      <c r="D151" s="64"/>
      <c r="E151" s="58"/>
      <c r="F151" s="58"/>
      <c r="G151" s="58"/>
      <c r="H151" s="58"/>
      <c r="I151" s="58"/>
      <c r="J151" s="58"/>
      <c r="K151" s="48"/>
    </row>
    <row r="152" spans="2:11">
      <c r="B152" s="49" t="s">
        <v>5163</v>
      </c>
      <c r="C152" s="41" t="s">
        <v>5192</v>
      </c>
      <c r="D152" s="64"/>
      <c r="E152" s="58"/>
      <c r="F152" s="58"/>
      <c r="G152" s="58"/>
      <c r="H152" s="58"/>
      <c r="I152" s="58"/>
      <c r="J152" s="58"/>
      <c r="K152" s="48"/>
    </row>
    <row r="153" spans="2:11">
      <c r="B153" s="49" t="s">
        <v>5164</v>
      </c>
      <c r="C153" s="41" t="s">
        <v>5193</v>
      </c>
      <c r="D153" s="64"/>
      <c r="E153" s="58"/>
      <c r="F153" s="58"/>
      <c r="G153" s="58"/>
      <c r="H153" s="58"/>
      <c r="I153" s="58"/>
      <c r="J153" s="58"/>
      <c r="K153" s="48"/>
    </row>
    <row r="154" spans="2:11">
      <c r="B154" s="49" t="s">
        <v>5165</v>
      </c>
      <c r="C154" s="41" t="s">
        <v>5194</v>
      </c>
      <c r="D154" s="64"/>
      <c r="E154" s="58"/>
      <c r="F154" s="58"/>
      <c r="G154" s="58"/>
      <c r="H154" s="58"/>
      <c r="I154" s="58"/>
      <c r="J154" s="58"/>
      <c r="K154" s="48"/>
    </row>
    <row r="155" spans="2:11">
      <c r="B155" s="49" t="s">
        <v>5166</v>
      </c>
      <c r="C155" s="41" t="s">
        <v>3502</v>
      </c>
      <c r="D155" s="64"/>
      <c r="E155" s="58"/>
      <c r="F155" s="58"/>
      <c r="G155" s="58"/>
      <c r="H155" s="58"/>
      <c r="I155" s="58"/>
      <c r="J155" s="58"/>
      <c r="K155" s="48"/>
    </row>
    <row r="156" spans="2:11">
      <c r="B156" s="49" t="s">
        <v>5167</v>
      </c>
      <c r="C156" s="41" t="s">
        <v>5195</v>
      </c>
      <c r="D156" s="64"/>
      <c r="E156" s="58"/>
      <c r="F156" s="58"/>
      <c r="G156" s="58"/>
      <c r="H156" s="56"/>
      <c r="I156" s="56"/>
      <c r="J156" s="56"/>
      <c r="K156" s="46"/>
    </row>
    <row r="157" spans="2:11">
      <c r="B157" s="49" t="s">
        <v>5196</v>
      </c>
      <c r="C157" s="41" t="s">
        <v>5197</v>
      </c>
      <c r="D157" s="65"/>
      <c r="E157" s="58"/>
      <c r="F157" s="58"/>
      <c r="G157" s="48"/>
      <c r="H157" s="60"/>
      <c r="I157" s="60"/>
      <c r="J157" s="60"/>
      <c r="K157" s="60"/>
    </row>
    <row r="158" spans="2:11">
      <c r="B158" s="49" t="s">
        <v>5198</v>
      </c>
      <c r="C158" s="44" t="s">
        <v>5199</v>
      </c>
      <c r="D158" s="58"/>
      <c r="E158" s="58"/>
      <c r="F158" s="58"/>
      <c r="G158" s="48"/>
      <c r="H158" s="60"/>
      <c r="I158" s="63"/>
      <c r="J158" s="63"/>
      <c r="K158" s="60"/>
    </row>
    <row r="159" spans="2:11">
      <c r="B159" s="49" t="s">
        <v>5170</v>
      </c>
      <c r="C159" s="44" t="s">
        <v>5200</v>
      </c>
      <c r="D159" s="58"/>
      <c r="E159" s="58"/>
      <c r="F159" s="58"/>
      <c r="G159" s="48"/>
      <c r="H159" s="64"/>
      <c r="I159" s="58"/>
      <c r="J159" s="48"/>
      <c r="K159" s="60"/>
    </row>
    <row r="160" spans="2:11">
      <c r="B160" s="49" t="s">
        <v>5201</v>
      </c>
      <c r="C160" s="44" t="s">
        <v>5202</v>
      </c>
      <c r="D160" s="56"/>
      <c r="E160" s="56"/>
      <c r="F160" s="56"/>
      <c r="G160" s="46"/>
      <c r="H160" s="64"/>
      <c r="I160" s="56"/>
      <c r="J160" s="46"/>
      <c r="K160" s="60"/>
    </row>
    <row r="162" spans="2:27">
      <c r="Z162" s="13" t="str">
        <f>Show!$B$157&amp;Show!$B$157&amp;"S.27.01.04.03 Rows {"&amp;COLUMN($C$1)&amp;"}"</f>
        <v>!!S.27.01.04.03 Rows {3}</v>
      </c>
      <c r="AA162" s="13" t="str">
        <f>Show!$B$157&amp;Show!$B$157&amp;"S.27.01.04.03 Columns {"&amp;COLUMN($K$1)&amp;"}"</f>
        <v>!!S.27.01.04.03 Columns {11}</v>
      </c>
    </row>
    <row r="164" spans="2:27" ht="18.75">
      <c r="B164" s="97" t="s">
        <v>5549</v>
      </c>
      <c r="C164" s="96"/>
      <c r="D164" s="96"/>
      <c r="E164" s="96"/>
      <c r="F164" s="96"/>
      <c r="G164" s="96"/>
      <c r="H164" s="96"/>
      <c r="I164" s="96"/>
      <c r="J164" s="96"/>
      <c r="K164" s="96"/>
      <c r="L164" s="96"/>
    </row>
    <row r="168" spans="2:27">
      <c r="D168" s="101" t="s">
        <v>2877</v>
      </c>
      <c r="E168" s="102"/>
      <c r="F168" s="102"/>
      <c r="G168" s="102"/>
      <c r="H168" s="102"/>
      <c r="I168" s="102"/>
      <c r="J168" s="102"/>
      <c r="K168" s="102"/>
      <c r="L168" s="103"/>
    </row>
    <row r="169" spans="2:27">
      <c r="D169" s="104"/>
      <c r="E169" s="105"/>
      <c r="F169" s="105"/>
      <c r="G169" s="105"/>
      <c r="H169" s="105"/>
      <c r="I169" s="105"/>
      <c r="J169" s="105"/>
      <c r="K169" s="105"/>
      <c r="L169" s="106"/>
    </row>
    <row r="170" spans="2:27">
      <c r="D170" s="98" t="s">
        <v>5114</v>
      </c>
      <c r="E170" s="98" t="s">
        <v>5115</v>
      </c>
      <c r="F170" s="98" t="s">
        <v>5116</v>
      </c>
      <c r="G170" s="98" t="s">
        <v>5117</v>
      </c>
      <c r="H170" s="98" t="s">
        <v>5118</v>
      </c>
      <c r="I170" s="98" t="s">
        <v>5119</v>
      </c>
      <c r="J170" s="98" t="s">
        <v>5120</v>
      </c>
      <c r="K170" s="98" t="s">
        <v>5121</v>
      </c>
      <c r="L170" s="98" t="s">
        <v>5122</v>
      </c>
    </row>
    <row r="171" spans="2:27">
      <c r="D171" s="100"/>
      <c r="E171" s="100"/>
      <c r="F171" s="100"/>
      <c r="G171" s="100"/>
      <c r="H171" s="100"/>
      <c r="I171" s="100"/>
      <c r="J171" s="100"/>
      <c r="K171" s="100"/>
      <c r="L171" s="100"/>
    </row>
    <row r="172" spans="2:27">
      <c r="D172" s="45" t="s">
        <v>3508</v>
      </c>
      <c r="E172" s="45" t="s">
        <v>3509</v>
      </c>
      <c r="F172" s="45" t="s">
        <v>3511</v>
      </c>
      <c r="G172" s="45" t="s">
        <v>3513</v>
      </c>
      <c r="H172" s="45" t="s">
        <v>3514</v>
      </c>
      <c r="I172" s="45" t="s">
        <v>3515</v>
      </c>
      <c r="J172" s="45" t="s">
        <v>3517</v>
      </c>
      <c r="K172" s="45" t="s">
        <v>3518</v>
      </c>
      <c r="L172" s="45" t="s">
        <v>3608</v>
      </c>
      <c r="Z172" s="13" t="str">
        <f>Show!$B$157&amp;"S.27.01.04.04 Rows {"&amp;COLUMN($C$1)&amp;"}"&amp;"@ForceFilingCode:true"</f>
        <v>!S.27.01.04.04 Rows {3}@ForceFilingCode:true</v>
      </c>
      <c r="AA172" s="13" t="str">
        <f>Show!$B$157&amp;"S.27.01.04.04 Columns {"&amp;COLUMN($D$1)&amp;"}"</f>
        <v>!S.27.01.04.04 Columns {4}</v>
      </c>
    </row>
    <row r="173" spans="2:27">
      <c r="B173" s="43" t="s">
        <v>2880</v>
      </c>
      <c r="C173" s="44" t="s">
        <v>2878</v>
      </c>
      <c r="D173" s="58"/>
      <c r="E173" s="67"/>
      <c r="F173" s="67"/>
      <c r="G173" s="67"/>
      <c r="H173" s="67"/>
      <c r="I173" s="67"/>
      <c r="J173" s="67"/>
      <c r="K173" s="67"/>
      <c r="L173" s="59"/>
    </row>
    <row r="174" spans="2:27">
      <c r="B174" s="47" t="s">
        <v>5204</v>
      </c>
      <c r="C174" s="44" t="s">
        <v>2878</v>
      </c>
      <c r="D174" s="58"/>
      <c r="E174" s="66"/>
      <c r="F174" s="66"/>
      <c r="G174" s="66"/>
      <c r="H174" s="66"/>
      <c r="I174" s="66"/>
      <c r="J174" s="66"/>
      <c r="K174" s="66"/>
      <c r="L174" s="57"/>
    </row>
    <row r="175" spans="2:27">
      <c r="B175" s="49" t="s">
        <v>5124</v>
      </c>
      <c r="C175" s="44" t="s">
        <v>5205</v>
      </c>
      <c r="D175" s="48"/>
      <c r="E175" s="60"/>
      <c r="F175" s="60"/>
      <c r="G175" s="70"/>
      <c r="H175" s="51"/>
      <c r="I175" s="60"/>
      <c r="J175" s="60"/>
      <c r="K175" s="60"/>
      <c r="L175" s="60"/>
    </row>
    <row r="176" spans="2:27">
      <c r="B176" s="49" t="s">
        <v>5125</v>
      </c>
      <c r="C176" s="44" t="s">
        <v>5206</v>
      </c>
      <c r="D176" s="48"/>
      <c r="E176" s="60"/>
      <c r="F176" s="60"/>
      <c r="G176" s="70"/>
      <c r="H176" s="51"/>
      <c r="I176" s="60"/>
      <c r="J176" s="60"/>
      <c r="K176" s="60"/>
      <c r="L176" s="60"/>
    </row>
    <row r="177" spans="2:12">
      <c r="B177" s="49" t="s">
        <v>5174</v>
      </c>
      <c r="C177" s="44" t="s">
        <v>5207</v>
      </c>
      <c r="D177" s="48"/>
      <c r="E177" s="60"/>
      <c r="F177" s="60"/>
      <c r="G177" s="70"/>
      <c r="H177" s="51"/>
      <c r="I177" s="60"/>
      <c r="J177" s="60"/>
      <c r="K177" s="60"/>
      <c r="L177" s="60"/>
    </row>
    <row r="178" spans="2:12">
      <c r="B178" s="49" t="s">
        <v>5126</v>
      </c>
      <c r="C178" s="44" t="s">
        <v>5208</v>
      </c>
      <c r="D178" s="48"/>
      <c r="E178" s="60"/>
      <c r="F178" s="60"/>
      <c r="G178" s="70"/>
      <c r="H178" s="51"/>
      <c r="I178" s="60"/>
      <c r="J178" s="60"/>
      <c r="K178" s="60"/>
      <c r="L178" s="60"/>
    </row>
    <row r="179" spans="2:12">
      <c r="B179" s="49" t="s">
        <v>5127</v>
      </c>
      <c r="C179" s="44" t="s">
        <v>3504</v>
      </c>
      <c r="D179" s="48"/>
      <c r="E179" s="60"/>
      <c r="F179" s="60"/>
      <c r="G179" s="70"/>
      <c r="H179" s="51"/>
      <c r="I179" s="60"/>
      <c r="J179" s="60"/>
      <c r="K179" s="60"/>
      <c r="L179" s="60"/>
    </row>
    <row r="180" spans="2:12" ht="30">
      <c r="B180" s="49" t="s">
        <v>5131</v>
      </c>
      <c r="C180" s="44" t="s">
        <v>5209</v>
      </c>
      <c r="D180" s="48"/>
      <c r="E180" s="60"/>
      <c r="F180" s="60"/>
      <c r="G180" s="70"/>
      <c r="H180" s="51"/>
      <c r="I180" s="60"/>
      <c r="J180" s="60"/>
      <c r="K180" s="60"/>
      <c r="L180" s="60"/>
    </row>
    <row r="181" spans="2:12">
      <c r="B181" s="49" t="s">
        <v>5132</v>
      </c>
      <c r="C181" s="44" t="s">
        <v>5210</v>
      </c>
      <c r="D181" s="48"/>
      <c r="E181" s="60"/>
      <c r="F181" s="60"/>
      <c r="G181" s="70"/>
      <c r="H181" s="51"/>
      <c r="I181" s="60"/>
      <c r="J181" s="60"/>
      <c r="K181" s="60"/>
      <c r="L181" s="60"/>
    </row>
    <row r="182" spans="2:12">
      <c r="B182" s="49" t="s">
        <v>5133</v>
      </c>
      <c r="C182" s="44" t="s">
        <v>5211</v>
      </c>
      <c r="D182" s="48"/>
      <c r="E182" s="60"/>
      <c r="F182" s="60"/>
      <c r="G182" s="70"/>
      <c r="H182" s="51"/>
      <c r="I182" s="60"/>
      <c r="J182" s="60"/>
      <c r="K182" s="60"/>
      <c r="L182" s="60"/>
    </row>
    <row r="183" spans="2:12">
      <c r="B183" s="49" t="s">
        <v>5178</v>
      </c>
      <c r="C183" s="44" t="s">
        <v>5212</v>
      </c>
      <c r="D183" s="48"/>
      <c r="E183" s="60"/>
      <c r="F183" s="60"/>
      <c r="G183" s="70"/>
      <c r="H183" s="51"/>
      <c r="I183" s="60"/>
      <c r="J183" s="60"/>
      <c r="K183" s="60"/>
      <c r="L183" s="60"/>
    </row>
    <row r="184" spans="2:12">
      <c r="B184" s="49" t="s">
        <v>5139</v>
      </c>
      <c r="C184" s="44" t="s">
        <v>5213</v>
      </c>
      <c r="D184" s="48"/>
      <c r="E184" s="60"/>
      <c r="F184" s="60"/>
      <c r="G184" s="70"/>
      <c r="H184" s="51"/>
      <c r="I184" s="60"/>
      <c r="J184" s="60"/>
      <c r="K184" s="60"/>
      <c r="L184" s="60"/>
    </row>
    <row r="185" spans="2:12">
      <c r="B185" s="49" t="s">
        <v>5181</v>
      </c>
      <c r="C185" s="44" t="s">
        <v>5214</v>
      </c>
      <c r="D185" s="48"/>
      <c r="E185" s="60"/>
      <c r="F185" s="60"/>
      <c r="G185" s="70"/>
      <c r="H185" s="51"/>
      <c r="I185" s="60"/>
      <c r="J185" s="60"/>
      <c r="K185" s="60"/>
      <c r="L185" s="60"/>
    </row>
    <row r="186" spans="2:12">
      <c r="B186" s="49" t="s">
        <v>5182</v>
      </c>
      <c r="C186" s="44" t="s">
        <v>5215</v>
      </c>
      <c r="D186" s="48"/>
      <c r="E186" s="60"/>
      <c r="F186" s="60"/>
      <c r="G186" s="70"/>
      <c r="H186" s="51"/>
      <c r="I186" s="60"/>
      <c r="J186" s="60"/>
      <c r="K186" s="60"/>
      <c r="L186" s="60"/>
    </row>
    <row r="187" spans="2:12">
      <c r="B187" s="49" t="s">
        <v>5129</v>
      </c>
      <c r="C187" s="44" t="s">
        <v>5216</v>
      </c>
      <c r="D187" s="48"/>
      <c r="E187" s="60"/>
      <c r="F187" s="60"/>
      <c r="G187" s="70"/>
      <c r="H187" s="51"/>
      <c r="I187" s="60"/>
      <c r="J187" s="60"/>
      <c r="K187" s="60"/>
      <c r="L187" s="60"/>
    </row>
    <row r="188" spans="2:12">
      <c r="B188" s="49" t="s">
        <v>5144</v>
      </c>
      <c r="C188" s="44" t="s">
        <v>5217</v>
      </c>
      <c r="D188" s="48"/>
      <c r="E188" s="60"/>
      <c r="F188" s="60"/>
      <c r="G188" s="70"/>
      <c r="H188" s="68"/>
      <c r="I188" s="60"/>
      <c r="J188" s="60"/>
      <c r="K188" s="60"/>
      <c r="L188" s="60"/>
    </row>
    <row r="189" spans="2:12">
      <c r="B189" s="49" t="s">
        <v>5218</v>
      </c>
      <c r="C189" s="44" t="s">
        <v>4947</v>
      </c>
      <c r="D189" s="46"/>
      <c r="E189" s="63"/>
      <c r="F189" s="63"/>
      <c r="G189" s="78"/>
      <c r="H189" s="48"/>
      <c r="I189" s="63"/>
      <c r="J189" s="63"/>
      <c r="K189" s="63"/>
      <c r="L189" s="63"/>
    </row>
    <row r="190" spans="2:12">
      <c r="B190" s="49" t="s">
        <v>5150</v>
      </c>
      <c r="C190" s="41" t="s">
        <v>3521</v>
      </c>
      <c r="D190" s="64"/>
      <c r="E190" s="58"/>
      <c r="F190" s="58"/>
      <c r="G190" s="58"/>
      <c r="H190" s="58"/>
      <c r="I190" s="58"/>
      <c r="J190" s="58"/>
      <c r="K190" s="58"/>
      <c r="L190" s="48"/>
    </row>
    <row r="191" spans="2:12">
      <c r="B191" s="49" t="s">
        <v>5151</v>
      </c>
      <c r="C191" s="41" t="s">
        <v>3522</v>
      </c>
      <c r="D191" s="64"/>
      <c r="E191" s="58"/>
      <c r="F191" s="58"/>
      <c r="G191" s="58"/>
      <c r="H191" s="58"/>
      <c r="I191" s="58"/>
      <c r="J191" s="58"/>
      <c r="K191" s="58"/>
      <c r="L191" s="48"/>
    </row>
    <row r="192" spans="2:12">
      <c r="B192" s="49" t="s">
        <v>5152</v>
      </c>
      <c r="C192" s="41" t="s">
        <v>5219</v>
      </c>
      <c r="D192" s="64"/>
      <c r="E192" s="58"/>
      <c r="F192" s="58"/>
      <c r="G192" s="58"/>
      <c r="H192" s="58"/>
      <c r="I192" s="58"/>
      <c r="J192" s="58"/>
      <c r="K192" s="58"/>
      <c r="L192" s="48"/>
    </row>
    <row r="193" spans="2:12">
      <c r="B193" s="49" t="s">
        <v>5153</v>
      </c>
      <c r="C193" s="41" t="s">
        <v>5220</v>
      </c>
      <c r="D193" s="64"/>
      <c r="E193" s="58"/>
      <c r="F193" s="58"/>
      <c r="G193" s="58"/>
      <c r="H193" s="58"/>
      <c r="I193" s="58"/>
      <c r="J193" s="58"/>
      <c r="K193" s="58"/>
      <c r="L193" s="48"/>
    </row>
    <row r="194" spans="2:12">
      <c r="B194" s="49" t="s">
        <v>5154</v>
      </c>
      <c r="C194" s="41" t="s">
        <v>5221</v>
      </c>
      <c r="D194" s="64"/>
      <c r="E194" s="58"/>
      <c r="F194" s="58"/>
      <c r="G194" s="58"/>
      <c r="H194" s="58"/>
      <c r="I194" s="58"/>
      <c r="J194" s="58"/>
      <c r="K194" s="58"/>
      <c r="L194" s="48"/>
    </row>
    <row r="195" spans="2:12">
      <c r="B195" s="49" t="s">
        <v>5155</v>
      </c>
      <c r="C195" s="41" t="s">
        <v>5222</v>
      </c>
      <c r="D195" s="64"/>
      <c r="E195" s="58"/>
      <c r="F195" s="58"/>
      <c r="G195" s="58"/>
      <c r="H195" s="58"/>
      <c r="I195" s="58"/>
      <c r="J195" s="58"/>
      <c r="K195" s="58"/>
      <c r="L195" s="48"/>
    </row>
    <row r="196" spans="2:12">
      <c r="B196" s="49" t="s">
        <v>5156</v>
      </c>
      <c r="C196" s="41" t="s">
        <v>5223</v>
      </c>
      <c r="D196" s="64"/>
      <c r="E196" s="58"/>
      <c r="F196" s="58"/>
      <c r="G196" s="58"/>
      <c r="H196" s="58"/>
      <c r="I196" s="58"/>
      <c r="J196" s="58"/>
      <c r="K196" s="58"/>
      <c r="L196" s="48"/>
    </row>
    <row r="197" spans="2:12">
      <c r="B197" s="49" t="s">
        <v>5157</v>
      </c>
      <c r="C197" s="41" t="s">
        <v>5224</v>
      </c>
      <c r="D197" s="64"/>
      <c r="E197" s="58"/>
      <c r="F197" s="58"/>
      <c r="G197" s="58"/>
      <c r="H197" s="58"/>
      <c r="I197" s="58"/>
      <c r="J197" s="58"/>
      <c r="K197" s="58"/>
      <c r="L197" s="48"/>
    </row>
    <row r="198" spans="2:12">
      <c r="B198" s="49" t="s">
        <v>5158</v>
      </c>
      <c r="C198" s="41" t="s">
        <v>5225</v>
      </c>
      <c r="D198" s="64"/>
      <c r="E198" s="58"/>
      <c r="F198" s="58"/>
      <c r="G198" s="58"/>
      <c r="H198" s="58"/>
      <c r="I198" s="58"/>
      <c r="J198" s="58"/>
      <c r="K198" s="58"/>
      <c r="L198" s="48"/>
    </row>
    <row r="199" spans="2:12">
      <c r="B199" s="49" t="s">
        <v>5159</v>
      </c>
      <c r="C199" s="41" t="s">
        <v>3523</v>
      </c>
      <c r="D199" s="64"/>
      <c r="E199" s="58"/>
      <c r="F199" s="58"/>
      <c r="G199" s="58"/>
      <c r="H199" s="58"/>
      <c r="I199" s="58"/>
      <c r="J199" s="58"/>
      <c r="K199" s="58"/>
      <c r="L199" s="48"/>
    </row>
    <row r="200" spans="2:12">
      <c r="B200" s="49" t="s">
        <v>5160</v>
      </c>
      <c r="C200" s="41" t="s">
        <v>3524</v>
      </c>
      <c r="D200" s="64"/>
      <c r="E200" s="58"/>
      <c r="F200" s="58"/>
      <c r="G200" s="58"/>
      <c r="H200" s="58"/>
      <c r="I200" s="58"/>
      <c r="J200" s="58"/>
      <c r="K200" s="58"/>
      <c r="L200" s="48"/>
    </row>
    <row r="201" spans="2:12">
      <c r="B201" s="49" t="s">
        <v>5161</v>
      </c>
      <c r="C201" s="41" t="s">
        <v>3525</v>
      </c>
      <c r="D201" s="64"/>
      <c r="E201" s="58"/>
      <c r="F201" s="58"/>
      <c r="G201" s="58"/>
      <c r="H201" s="58"/>
      <c r="I201" s="58"/>
      <c r="J201" s="58"/>
      <c r="K201" s="58"/>
      <c r="L201" s="48"/>
    </row>
    <row r="202" spans="2:12">
      <c r="B202" s="49" t="s">
        <v>5162</v>
      </c>
      <c r="C202" s="41" t="s">
        <v>4953</v>
      </c>
      <c r="D202" s="64"/>
      <c r="E202" s="58"/>
      <c r="F202" s="58"/>
      <c r="G202" s="58"/>
      <c r="H202" s="58"/>
      <c r="I202" s="58"/>
      <c r="J202" s="58"/>
      <c r="K202" s="58"/>
      <c r="L202" s="48"/>
    </row>
    <row r="203" spans="2:12">
      <c r="B203" s="49" t="s">
        <v>5163</v>
      </c>
      <c r="C203" s="41" t="s">
        <v>4955</v>
      </c>
      <c r="D203" s="64"/>
      <c r="E203" s="58"/>
      <c r="F203" s="58"/>
      <c r="G203" s="58"/>
      <c r="H203" s="58"/>
      <c r="I203" s="58"/>
      <c r="J203" s="58"/>
      <c r="K203" s="58"/>
      <c r="L203" s="48"/>
    </row>
    <row r="204" spans="2:12">
      <c r="B204" s="49" t="s">
        <v>5164</v>
      </c>
      <c r="C204" s="41" t="s">
        <v>5226</v>
      </c>
      <c r="D204" s="64"/>
      <c r="E204" s="58"/>
      <c r="F204" s="58"/>
      <c r="G204" s="58"/>
      <c r="H204" s="58"/>
      <c r="I204" s="58"/>
      <c r="J204" s="58"/>
      <c r="K204" s="58"/>
      <c r="L204" s="48"/>
    </row>
    <row r="205" spans="2:12">
      <c r="B205" s="49" t="s">
        <v>5165</v>
      </c>
      <c r="C205" s="41" t="s">
        <v>5227</v>
      </c>
      <c r="D205" s="64"/>
      <c r="E205" s="58"/>
      <c r="F205" s="58"/>
      <c r="G205" s="58"/>
      <c r="H205" s="58"/>
      <c r="I205" s="58"/>
      <c r="J205" s="58"/>
      <c r="K205" s="58"/>
      <c r="L205" s="48"/>
    </row>
    <row r="206" spans="2:12">
      <c r="B206" s="49" t="s">
        <v>5166</v>
      </c>
      <c r="C206" s="41" t="s">
        <v>5228</v>
      </c>
      <c r="D206" s="64"/>
      <c r="E206" s="58"/>
      <c r="F206" s="58"/>
      <c r="G206" s="58"/>
      <c r="H206" s="58"/>
      <c r="I206" s="58"/>
      <c r="J206" s="58"/>
      <c r="K206" s="58"/>
      <c r="L206" s="48"/>
    </row>
    <row r="207" spans="2:12">
      <c r="B207" s="49" t="s">
        <v>5167</v>
      </c>
      <c r="C207" s="41" t="s">
        <v>5229</v>
      </c>
      <c r="D207" s="64"/>
      <c r="E207" s="58"/>
      <c r="F207" s="58"/>
      <c r="G207" s="58"/>
      <c r="H207" s="58"/>
      <c r="I207" s="56"/>
      <c r="J207" s="56"/>
      <c r="K207" s="56"/>
      <c r="L207" s="46"/>
    </row>
    <row r="208" spans="2:12">
      <c r="B208" s="49" t="s">
        <v>5230</v>
      </c>
      <c r="C208" s="41" t="s">
        <v>5231</v>
      </c>
      <c r="D208" s="65"/>
      <c r="E208" s="58"/>
      <c r="F208" s="58"/>
      <c r="G208" s="58"/>
      <c r="H208" s="48"/>
      <c r="I208" s="60"/>
      <c r="J208" s="60"/>
      <c r="K208" s="60"/>
      <c r="L208" s="60"/>
    </row>
    <row r="209" spans="2:27">
      <c r="B209" s="49" t="s">
        <v>5232</v>
      </c>
      <c r="C209" s="44" t="s">
        <v>3526</v>
      </c>
      <c r="D209" s="58"/>
      <c r="E209" s="58"/>
      <c r="F209" s="58"/>
      <c r="G209" s="58"/>
      <c r="H209" s="48"/>
      <c r="I209" s="60"/>
      <c r="J209" s="63"/>
      <c r="K209" s="63"/>
      <c r="L209" s="60"/>
    </row>
    <row r="210" spans="2:27">
      <c r="B210" s="49" t="s">
        <v>5170</v>
      </c>
      <c r="C210" s="44" t="s">
        <v>3527</v>
      </c>
      <c r="D210" s="58"/>
      <c r="E210" s="58"/>
      <c r="F210" s="58"/>
      <c r="G210" s="58"/>
      <c r="H210" s="48"/>
      <c r="I210" s="64"/>
      <c r="J210" s="58"/>
      <c r="K210" s="48"/>
      <c r="L210" s="60"/>
    </row>
    <row r="211" spans="2:27">
      <c r="B211" s="49" t="s">
        <v>5233</v>
      </c>
      <c r="C211" s="44" t="s">
        <v>3528</v>
      </c>
      <c r="D211" s="56"/>
      <c r="E211" s="56"/>
      <c r="F211" s="56"/>
      <c r="G211" s="56"/>
      <c r="H211" s="46"/>
      <c r="I211" s="64"/>
      <c r="J211" s="56"/>
      <c r="K211" s="46"/>
      <c r="L211" s="60"/>
    </row>
    <row r="213" spans="2:27">
      <c r="Z213" s="13" t="str">
        <f>Show!$B$157&amp;Show!$B$157&amp;"S.27.01.04.04 Rows {"&amp;COLUMN($C$1)&amp;"}"</f>
        <v>!!S.27.01.04.04 Rows {3}</v>
      </c>
      <c r="AA213" s="13" t="str">
        <f>Show!$B$157&amp;Show!$B$157&amp;"S.27.01.04.04 Columns {"&amp;COLUMN($L$1)&amp;"}"</f>
        <v>!!S.27.01.04.04 Columns {12}</v>
      </c>
    </row>
    <row r="215" spans="2:27" ht="18.75">
      <c r="B215" s="97" t="s">
        <v>5550</v>
      </c>
      <c r="C215" s="96"/>
      <c r="D215" s="96"/>
      <c r="E215" s="96"/>
      <c r="F215" s="96"/>
      <c r="G215" s="96"/>
      <c r="H215" s="96"/>
      <c r="I215" s="96"/>
      <c r="J215" s="96"/>
      <c r="K215" s="96"/>
      <c r="L215" s="96"/>
    </row>
    <row r="219" spans="2:27">
      <c r="D219" s="101" t="s">
        <v>2877</v>
      </c>
      <c r="E219" s="102"/>
      <c r="F219" s="102"/>
      <c r="G219" s="102"/>
      <c r="H219" s="102"/>
      <c r="I219" s="102"/>
      <c r="J219" s="102"/>
      <c r="K219" s="102"/>
      <c r="L219" s="103"/>
    </row>
    <row r="220" spans="2:27">
      <c r="D220" s="104"/>
      <c r="E220" s="105"/>
      <c r="F220" s="105"/>
      <c r="G220" s="105"/>
      <c r="H220" s="105"/>
      <c r="I220" s="105"/>
      <c r="J220" s="105"/>
      <c r="K220" s="105"/>
      <c r="L220" s="106"/>
    </row>
    <row r="221" spans="2:27">
      <c r="D221" s="98" t="s">
        <v>5114</v>
      </c>
      <c r="E221" s="98" t="s">
        <v>5115</v>
      </c>
      <c r="F221" s="98" t="s">
        <v>5116</v>
      </c>
      <c r="G221" s="98" t="s">
        <v>5117</v>
      </c>
      <c r="H221" s="98" t="s">
        <v>5118</v>
      </c>
      <c r="I221" s="98" t="s">
        <v>5119</v>
      </c>
      <c r="J221" s="98" t="s">
        <v>5120</v>
      </c>
      <c r="K221" s="98" t="s">
        <v>5121</v>
      </c>
      <c r="L221" s="98" t="s">
        <v>5122</v>
      </c>
    </row>
    <row r="222" spans="2:27">
      <c r="D222" s="100"/>
      <c r="E222" s="100"/>
      <c r="F222" s="100"/>
      <c r="G222" s="100"/>
      <c r="H222" s="100"/>
      <c r="I222" s="100"/>
      <c r="J222" s="100"/>
      <c r="K222" s="100"/>
      <c r="L222" s="100"/>
    </row>
    <row r="223" spans="2:27">
      <c r="D223" s="45" t="s">
        <v>3519</v>
      </c>
      <c r="E223" s="45" t="s">
        <v>3612</v>
      </c>
      <c r="F223" s="45" t="s">
        <v>3614</v>
      </c>
      <c r="G223" s="45" t="s">
        <v>3616</v>
      </c>
      <c r="H223" s="45" t="s">
        <v>3618</v>
      </c>
      <c r="I223" s="45" t="s">
        <v>3620</v>
      </c>
      <c r="J223" s="45" t="s">
        <v>3622</v>
      </c>
      <c r="K223" s="45" t="s">
        <v>3624</v>
      </c>
      <c r="L223" s="45" t="s">
        <v>3626</v>
      </c>
      <c r="Z223" s="13" t="str">
        <f>Show!$B$157&amp;"S.27.01.04.05 Rows {"&amp;COLUMN($C$1)&amp;"}"&amp;"@ForceFilingCode:true"</f>
        <v>!S.27.01.04.05 Rows {3}@ForceFilingCode:true</v>
      </c>
      <c r="AA223" s="13" t="str">
        <f>Show!$B$157&amp;"S.27.01.04.05 Columns {"&amp;COLUMN($D$1)&amp;"}"</f>
        <v>!S.27.01.04.05 Columns {4}</v>
      </c>
    </row>
    <row r="224" spans="2:27">
      <c r="B224" s="43" t="s">
        <v>2880</v>
      </c>
      <c r="C224" s="44" t="s">
        <v>2878</v>
      </c>
      <c r="D224" s="58"/>
      <c r="E224" s="67"/>
      <c r="F224" s="67"/>
      <c r="G224" s="67"/>
      <c r="H224" s="67"/>
      <c r="I224" s="67"/>
      <c r="J224" s="67"/>
      <c r="K224" s="67"/>
      <c r="L224" s="59"/>
    </row>
    <row r="225" spans="2:12">
      <c r="B225" s="47" t="s">
        <v>5235</v>
      </c>
      <c r="C225" s="44" t="s">
        <v>2878</v>
      </c>
      <c r="D225" s="58"/>
      <c r="E225" s="66"/>
      <c r="F225" s="66"/>
      <c r="G225" s="66"/>
      <c r="H225" s="66"/>
      <c r="I225" s="66"/>
      <c r="J225" s="66"/>
      <c r="K225" s="66"/>
      <c r="L225" s="57"/>
    </row>
    <row r="226" spans="2:12">
      <c r="B226" s="49" t="s">
        <v>5124</v>
      </c>
      <c r="C226" s="44" t="s">
        <v>5236</v>
      </c>
      <c r="D226" s="48"/>
      <c r="E226" s="60"/>
      <c r="F226" s="60"/>
      <c r="G226" s="70"/>
      <c r="H226" s="51"/>
      <c r="I226" s="60"/>
      <c r="J226" s="60"/>
      <c r="K226" s="60"/>
      <c r="L226" s="60"/>
    </row>
    <row r="227" spans="2:12">
      <c r="B227" s="49" t="s">
        <v>5125</v>
      </c>
      <c r="C227" s="44" t="s">
        <v>5237</v>
      </c>
      <c r="D227" s="48"/>
      <c r="E227" s="60"/>
      <c r="F227" s="60"/>
      <c r="G227" s="70"/>
      <c r="H227" s="51"/>
      <c r="I227" s="60"/>
      <c r="J227" s="60"/>
      <c r="K227" s="60"/>
      <c r="L227" s="60"/>
    </row>
    <row r="228" spans="2:12">
      <c r="B228" s="49" t="s">
        <v>5126</v>
      </c>
      <c r="C228" s="44" t="s">
        <v>5238</v>
      </c>
      <c r="D228" s="48"/>
      <c r="E228" s="60"/>
      <c r="F228" s="60"/>
      <c r="G228" s="70"/>
      <c r="H228" s="51"/>
      <c r="I228" s="60"/>
      <c r="J228" s="60"/>
      <c r="K228" s="60"/>
      <c r="L228" s="60"/>
    </row>
    <row r="229" spans="2:12">
      <c r="B229" s="49" t="s">
        <v>5127</v>
      </c>
      <c r="C229" s="44" t="s">
        <v>5239</v>
      </c>
      <c r="D229" s="48"/>
      <c r="E229" s="60"/>
      <c r="F229" s="60"/>
      <c r="G229" s="70"/>
      <c r="H229" s="51"/>
      <c r="I229" s="60"/>
      <c r="J229" s="60"/>
      <c r="K229" s="60"/>
      <c r="L229" s="60"/>
    </row>
    <row r="230" spans="2:12" ht="30">
      <c r="B230" s="49" t="s">
        <v>5131</v>
      </c>
      <c r="C230" s="44" t="s">
        <v>5240</v>
      </c>
      <c r="D230" s="48"/>
      <c r="E230" s="60"/>
      <c r="F230" s="60"/>
      <c r="G230" s="70"/>
      <c r="H230" s="51"/>
      <c r="I230" s="60"/>
      <c r="J230" s="60"/>
      <c r="K230" s="60"/>
      <c r="L230" s="60"/>
    </row>
    <row r="231" spans="2:12">
      <c r="B231" s="49" t="s">
        <v>5132</v>
      </c>
      <c r="C231" s="44" t="s">
        <v>5241</v>
      </c>
      <c r="D231" s="48"/>
      <c r="E231" s="60"/>
      <c r="F231" s="60"/>
      <c r="G231" s="70"/>
      <c r="H231" s="51"/>
      <c r="I231" s="60"/>
      <c r="J231" s="60"/>
      <c r="K231" s="60"/>
      <c r="L231" s="60"/>
    </row>
    <row r="232" spans="2:12">
      <c r="B232" s="49" t="s">
        <v>5178</v>
      </c>
      <c r="C232" s="44" t="s">
        <v>5242</v>
      </c>
      <c r="D232" s="48"/>
      <c r="E232" s="60"/>
      <c r="F232" s="60"/>
      <c r="G232" s="70"/>
      <c r="H232" s="51"/>
      <c r="I232" s="60"/>
      <c r="J232" s="60"/>
      <c r="K232" s="60"/>
      <c r="L232" s="60"/>
    </row>
    <row r="233" spans="2:12">
      <c r="B233" s="49" t="s">
        <v>5136</v>
      </c>
      <c r="C233" s="44" t="s">
        <v>5243</v>
      </c>
      <c r="D233" s="48"/>
      <c r="E233" s="60"/>
      <c r="F233" s="60"/>
      <c r="G233" s="70"/>
      <c r="H233" s="51"/>
      <c r="I233" s="60"/>
      <c r="J233" s="60"/>
      <c r="K233" s="60"/>
      <c r="L233" s="60"/>
    </row>
    <row r="234" spans="2:12">
      <c r="B234" s="49" t="s">
        <v>5137</v>
      </c>
      <c r="C234" s="44" t="s">
        <v>3529</v>
      </c>
      <c r="D234" s="48"/>
      <c r="E234" s="60"/>
      <c r="F234" s="60"/>
      <c r="G234" s="70"/>
      <c r="H234" s="51"/>
      <c r="I234" s="60"/>
      <c r="J234" s="60"/>
      <c r="K234" s="60"/>
      <c r="L234" s="60"/>
    </row>
    <row r="235" spans="2:12">
      <c r="B235" s="49" t="s">
        <v>5129</v>
      </c>
      <c r="C235" s="44" t="s">
        <v>5244</v>
      </c>
      <c r="D235" s="48"/>
      <c r="E235" s="60"/>
      <c r="F235" s="60"/>
      <c r="G235" s="70"/>
      <c r="H235" s="51"/>
      <c r="I235" s="60"/>
      <c r="J235" s="60"/>
      <c r="K235" s="60"/>
      <c r="L235" s="60"/>
    </row>
    <row r="236" spans="2:12">
      <c r="B236" s="49" t="s">
        <v>5142</v>
      </c>
      <c r="C236" s="44" t="s">
        <v>3530</v>
      </c>
      <c r="D236" s="48"/>
      <c r="E236" s="60"/>
      <c r="F236" s="60"/>
      <c r="G236" s="70"/>
      <c r="H236" s="68"/>
      <c r="I236" s="60"/>
      <c r="J236" s="60"/>
      <c r="K236" s="60"/>
      <c r="L236" s="60"/>
    </row>
    <row r="237" spans="2:12">
      <c r="B237" s="49" t="s">
        <v>5245</v>
      </c>
      <c r="C237" s="44" t="s">
        <v>3531</v>
      </c>
      <c r="D237" s="46"/>
      <c r="E237" s="63"/>
      <c r="F237" s="63"/>
      <c r="G237" s="78"/>
      <c r="H237" s="48"/>
      <c r="I237" s="63"/>
      <c r="J237" s="63"/>
      <c r="K237" s="63"/>
      <c r="L237" s="63"/>
    </row>
    <row r="238" spans="2:12">
      <c r="B238" s="49" t="s">
        <v>5150</v>
      </c>
      <c r="C238" s="41" t="s">
        <v>5246</v>
      </c>
      <c r="D238" s="64"/>
      <c r="E238" s="58"/>
      <c r="F238" s="58"/>
      <c r="G238" s="58"/>
      <c r="H238" s="58"/>
      <c r="I238" s="58"/>
      <c r="J238" s="58"/>
      <c r="K238" s="58"/>
      <c r="L238" s="48"/>
    </row>
    <row r="239" spans="2:12">
      <c r="B239" s="49" t="s">
        <v>5151</v>
      </c>
      <c r="C239" s="41" t="s">
        <v>5247</v>
      </c>
      <c r="D239" s="64"/>
      <c r="E239" s="58"/>
      <c r="F239" s="58"/>
      <c r="G239" s="58"/>
      <c r="H239" s="58"/>
      <c r="I239" s="58"/>
      <c r="J239" s="58"/>
      <c r="K239" s="58"/>
      <c r="L239" s="48"/>
    </row>
    <row r="240" spans="2:12">
      <c r="B240" s="49" t="s">
        <v>5152</v>
      </c>
      <c r="C240" s="41" t="s">
        <v>5248</v>
      </c>
      <c r="D240" s="64"/>
      <c r="E240" s="58"/>
      <c r="F240" s="58"/>
      <c r="G240" s="58"/>
      <c r="H240" s="58"/>
      <c r="I240" s="58"/>
      <c r="J240" s="58"/>
      <c r="K240" s="58"/>
      <c r="L240" s="48"/>
    </row>
    <row r="241" spans="2:12">
      <c r="B241" s="49" t="s">
        <v>5153</v>
      </c>
      <c r="C241" s="41" t="s">
        <v>5249</v>
      </c>
      <c r="D241" s="64"/>
      <c r="E241" s="58"/>
      <c r="F241" s="58"/>
      <c r="G241" s="58"/>
      <c r="H241" s="58"/>
      <c r="I241" s="58"/>
      <c r="J241" s="58"/>
      <c r="K241" s="58"/>
      <c r="L241" s="48"/>
    </row>
    <row r="242" spans="2:12">
      <c r="B242" s="49" t="s">
        <v>5154</v>
      </c>
      <c r="C242" s="41" t="s">
        <v>5250</v>
      </c>
      <c r="D242" s="64"/>
      <c r="E242" s="58"/>
      <c r="F242" s="58"/>
      <c r="G242" s="58"/>
      <c r="H242" s="58"/>
      <c r="I242" s="58"/>
      <c r="J242" s="58"/>
      <c r="K242" s="58"/>
      <c r="L242" s="48"/>
    </row>
    <row r="243" spans="2:12">
      <c r="B243" s="49" t="s">
        <v>5155</v>
      </c>
      <c r="C243" s="41" t="s">
        <v>5251</v>
      </c>
      <c r="D243" s="64"/>
      <c r="E243" s="58"/>
      <c r="F243" s="58"/>
      <c r="G243" s="58"/>
      <c r="H243" s="58"/>
      <c r="I243" s="58"/>
      <c r="J243" s="58"/>
      <c r="K243" s="58"/>
      <c r="L243" s="48"/>
    </row>
    <row r="244" spans="2:12">
      <c r="B244" s="49" t="s">
        <v>5156</v>
      </c>
      <c r="C244" s="41" t="s">
        <v>5252</v>
      </c>
      <c r="D244" s="64"/>
      <c r="E244" s="58"/>
      <c r="F244" s="58"/>
      <c r="G244" s="58"/>
      <c r="H244" s="58"/>
      <c r="I244" s="58"/>
      <c r="J244" s="58"/>
      <c r="K244" s="58"/>
      <c r="L244" s="48"/>
    </row>
    <row r="245" spans="2:12">
      <c r="B245" s="49" t="s">
        <v>5157</v>
      </c>
      <c r="C245" s="41" t="s">
        <v>3532</v>
      </c>
      <c r="D245" s="64"/>
      <c r="E245" s="58"/>
      <c r="F245" s="58"/>
      <c r="G245" s="58"/>
      <c r="H245" s="58"/>
      <c r="I245" s="58"/>
      <c r="J245" s="58"/>
      <c r="K245" s="58"/>
      <c r="L245" s="48"/>
    </row>
    <row r="246" spans="2:12">
      <c r="B246" s="49" t="s">
        <v>5158</v>
      </c>
      <c r="C246" s="41" t="s">
        <v>5253</v>
      </c>
      <c r="D246" s="64"/>
      <c r="E246" s="58"/>
      <c r="F246" s="58"/>
      <c r="G246" s="58"/>
      <c r="H246" s="58"/>
      <c r="I246" s="58"/>
      <c r="J246" s="58"/>
      <c r="K246" s="58"/>
      <c r="L246" s="48"/>
    </row>
    <row r="247" spans="2:12">
      <c r="B247" s="49" t="s">
        <v>5159</v>
      </c>
      <c r="C247" s="41" t="s">
        <v>5254</v>
      </c>
      <c r="D247" s="64"/>
      <c r="E247" s="58"/>
      <c r="F247" s="58"/>
      <c r="G247" s="58"/>
      <c r="H247" s="58"/>
      <c r="I247" s="58"/>
      <c r="J247" s="58"/>
      <c r="K247" s="58"/>
      <c r="L247" s="48"/>
    </row>
    <row r="248" spans="2:12">
      <c r="B248" s="49" t="s">
        <v>5160</v>
      </c>
      <c r="C248" s="41" t="s">
        <v>5255</v>
      </c>
      <c r="D248" s="64"/>
      <c r="E248" s="58"/>
      <c r="F248" s="58"/>
      <c r="G248" s="58"/>
      <c r="H248" s="58"/>
      <c r="I248" s="58"/>
      <c r="J248" s="58"/>
      <c r="K248" s="58"/>
      <c r="L248" s="48"/>
    </row>
    <row r="249" spans="2:12">
      <c r="B249" s="49" t="s">
        <v>5161</v>
      </c>
      <c r="C249" s="41" t="s">
        <v>5256</v>
      </c>
      <c r="D249" s="64"/>
      <c r="E249" s="58"/>
      <c r="F249" s="58"/>
      <c r="G249" s="58"/>
      <c r="H249" s="58"/>
      <c r="I249" s="58"/>
      <c r="J249" s="58"/>
      <c r="K249" s="58"/>
      <c r="L249" s="48"/>
    </row>
    <row r="250" spans="2:12">
      <c r="B250" s="49" t="s">
        <v>5162</v>
      </c>
      <c r="C250" s="41" t="s">
        <v>5257</v>
      </c>
      <c r="D250" s="64"/>
      <c r="E250" s="58"/>
      <c r="F250" s="58"/>
      <c r="G250" s="58"/>
      <c r="H250" s="58"/>
      <c r="I250" s="58"/>
      <c r="J250" s="58"/>
      <c r="K250" s="58"/>
      <c r="L250" s="48"/>
    </row>
    <row r="251" spans="2:12">
      <c r="B251" s="49" t="s">
        <v>5163</v>
      </c>
      <c r="C251" s="41" t="s">
        <v>5258</v>
      </c>
      <c r="D251" s="64"/>
      <c r="E251" s="58"/>
      <c r="F251" s="58"/>
      <c r="G251" s="58"/>
      <c r="H251" s="58"/>
      <c r="I251" s="58"/>
      <c r="J251" s="58"/>
      <c r="K251" s="58"/>
      <c r="L251" s="48"/>
    </row>
    <row r="252" spans="2:12">
      <c r="B252" s="49" t="s">
        <v>5164</v>
      </c>
      <c r="C252" s="41" t="s">
        <v>5259</v>
      </c>
      <c r="D252" s="64"/>
      <c r="E252" s="58"/>
      <c r="F252" s="58"/>
      <c r="G252" s="58"/>
      <c r="H252" s="58"/>
      <c r="I252" s="58"/>
      <c r="J252" s="58"/>
      <c r="K252" s="58"/>
      <c r="L252" s="48"/>
    </row>
    <row r="253" spans="2:12">
      <c r="B253" s="49" t="s">
        <v>5165</v>
      </c>
      <c r="C253" s="41" t="s">
        <v>5260</v>
      </c>
      <c r="D253" s="64"/>
      <c r="E253" s="58"/>
      <c r="F253" s="58"/>
      <c r="G253" s="58"/>
      <c r="H253" s="58"/>
      <c r="I253" s="58"/>
      <c r="J253" s="58"/>
      <c r="K253" s="58"/>
      <c r="L253" s="48"/>
    </row>
    <row r="254" spans="2:12">
      <c r="B254" s="49" t="s">
        <v>5166</v>
      </c>
      <c r="C254" s="41" t="s">
        <v>5261</v>
      </c>
      <c r="D254" s="64"/>
      <c r="E254" s="58"/>
      <c r="F254" s="58"/>
      <c r="G254" s="58"/>
      <c r="H254" s="58"/>
      <c r="I254" s="58"/>
      <c r="J254" s="58"/>
      <c r="K254" s="58"/>
      <c r="L254" s="48"/>
    </row>
    <row r="255" spans="2:12">
      <c r="B255" s="49" t="s">
        <v>5167</v>
      </c>
      <c r="C255" s="41" t="s">
        <v>3533</v>
      </c>
      <c r="D255" s="64"/>
      <c r="E255" s="58"/>
      <c r="F255" s="58"/>
      <c r="G255" s="58"/>
      <c r="H255" s="58"/>
      <c r="I255" s="56"/>
      <c r="J255" s="56"/>
      <c r="K255" s="56"/>
      <c r="L255" s="46"/>
    </row>
    <row r="256" spans="2:12">
      <c r="B256" s="49" t="s">
        <v>5262</v>
      </c>
      <c r="C256" s="41" t="s">
        <v>3534</v>
      </c>
      <c r="D256" s="65"/>
      <c r="E256" s="58"/>
      <c r="F256" s="58"/>
      <c r="G256" s="58"/>
      <c r="H256" s="48"/>
      <c r="I256" s="60"/>
      <c r="J256" s="60"/>
      <c r="K256" s="60"/>
      <c r="L256" s="60"/>
    </row>
    <row r="257" spans="2:27">
      <c r="B257" s="49" t="s">
        <v>5263</v>
      </c>
      <c r="C257" s="44" t="s">
        <v>3535</v>
      </c>
      <c r="D257" s="58"/>
      <c r="E257" s="58"/>
      <c r="F257" s="58"/>
      <c r="G257" s="58"/>
      <c r="H257" s="48"/>
      <c r="I257" s="60"/>
      <c r="J257" s="63"/>
      <c r="K257" s="63"/>
      <c r="L257" s="60"/>
    </row>
    <row r="258" spans="2:27">
      <c r="B258" s="49" t="s">
        <v>5170</v>
      </c>
      <c r="C258" s="44" t="s">
        <v>5264</v>
      </c>
      <c r="D258" s="58"/>
      <c r="E258" s="58"/>
      <c r="F258" s="58"/>
      <c r="G258" s="58"/>
      <c r="H258" s="48"/>
      <c r="I258" s="64"/>
      <c r="J258" s="58"/>
      <c r="K258" s="48"/>
      <c r="L258" s="60"/>
    </row>
    <row r="259" spans="2:27">
      <c r="B259" s="49" t="s">
        <v>5265</v>
      </c>
      <c r="C259" s="44" t="s">
        <v>5266</v>
      </c>
      <c r="D259" s="56"/>
      <c r="E259" s="56"/>
      <c r="F259" s="56"/>
      <c r="G259" s="56"/>
      <c r="H259" s="46"/>
      <c r="I259" s="64"/>
      <c r="J259" s="56"/>
      <c r="K259" s="46"/>
      <c r="L259" s="60"/>
    </row>
    <row r="261" spans="2:27">
      <c r="Z261" s="13" t="str">
        <f>Show!$B$157&amp;Show!$B$157&amp;"S.27.01.04.05 Rows {"&amp;COLUMN($C$1)&amp;"}"</f>
        <v>!!S.27.01.04.05 Rows {3}</v>
      </c>
      <c r="AA261" s="13" t="str">
        <f>Show!$B$157&amp;Show!$B$157&amp;"S.27.01.04.05 Columns {"&amp;COLUMN($L$1)&amp;"}"</f>
        <v>!!S.27.01.04.05 Columns {12}</v>
      </c>
    </row>
    <row r="263" spans="2:27" ht="18.75">
      <c r="B263" s="97" t="s">
        <v>5551</v>
      </c>
      <c r="C263" s="96"/>
      <c r="D263" s="96"/>
      <c r="E263" s="96"/>
      <c r="F263" s="96"/>
      <c r="G263" s="96"/>
      <c r="H263" s="96"/>
      <c r="I263" s="96"/>
      <c r="J263" s="96"/>
      <c r="K263" s="96"/>
      <c r="L263" s="96"/>
    </row>
    <row r="267" spans="2:27">
      <c r="D267" s="101" t="s">
        <v>2877</v>
      </c>
      <c r="E267" s="102"/>
      <c r="F267" s="102"/>
      <c r="G267" s="102"/>
      <c r="H267" s="102"/>
      <c r="I267" s="102"/>
      <c r="J267" s="102"/>
      <c r="K267" s="103"/>
    </row>
    <row r="268" spans="2:27">
      <c r="D268" s="104"/>
      <c r="E268" s="105"/>
      <c r="F268" s="105"/>
      <c r="G268" s="105"/>
      <c r="H268" s="105"/>
      <c r="I268" s="105"/>
      <c r="J268" s="105"/>
      <c r="K268" s="106"/>
    </row>
    <row r="269" spans="2:27">
      <c r="D269" s="98" t="s">
        <v>5114</v>
      </c>
      <c r="E269" s="98" t="s">
        <v>5115</v>
      </c>
      <c r="F269" s="98" t="s">
        <v>5116</v>
      </c>
      <c r="G269" s="98" t="s">
        <v>5117</v>
      </c>
      <c r="H269" s="98" t="s">
        <v>5119</v>
      </c>
      <c r="I269" s="98" t="s">
        <v>5120</v>
      </c>
      <c r="J269" s="98" t="s">
        <v>5121</v>
      </c>
      <c r="K269" s="98" t="s">
        <v>5122</v>
      </c>
    </row>
    <row r="270" spans="2:27">
      <c r="D270" s="100"/>
      <c r="E270" s="100"/>
      <c r="F270" s="100"/>
      <c r="G270" s="100"/>
      <c r="H270" s="100"/>
      <c r="I270" s="100"/>
      <c r="J270" s="100"/>
      <c r="K270" s="100"/>
    </row>
    <row r="271" spans="2:27">
      <c r="D271" s="45" t="s">
        <v>3628</v>
      </c>
      <c r="E271" s="45" t="s">
        <v>3634</v>
      </c>
      <c r="F271" s="45" t="s">
        <v>3636</v>
      </c>
      <c r="G271" s="45" t="s">
        <v>3701</v>
      </c>
      <c r="H271" s="45" t="s">
        <v>3702</v>
      </c>
      <c r="I271" s="45" t="s">
        <v>3675</v>
      </c>
      <c r="J271" s="45" t="s">
        <v>3955</v>
      </c>
      <c r="K271" s="45" t="s">
        <v>3956</v>
      </c>
      <c r="Z271" s="13" t="str">
        <f>Show!$B$157&amp;"S.27.01.04.06 Rows {"&amp;COLUMN($C$1)&amp;"}"&amp;"@ForceFilingCode:true"</f>
        <v>!S.27.01.04.06 Rows {3}@ForceFilingCode:true</v>
      </c>
      <c r="AA271" s="13" t="str">
        <f>Show!$B$157&amp;"S.27.01.04.06 Columns {"&amp;COLUMN($D$1)&amp;"}"</f>
        <v>!S.27.01.04.06 Columns {4}</v>
      </c>
    </row>
    <row r="272" spans="2:27">
      <c r="B272" s="43" t="s">
        <v>2880</v>
      </c>
      <c r="C272" s="44" t="s">
        <v>2878</v>
      </c>
      <c r="D272" s="58"/>
      <c r="E272" s="67"/>
      <c r="F272" s="67"/>
      <c r="G272" s="67"/>
      <c r="H272" s="67"/>
      <c r="I272" s="67"/>
      <c r="J272" s="67"/>
      <c r="K272" s="59"/>
    </row>
    <row r="273" spans="2:27">
      <c r="B273" s="47" t="s">
        <v>5268</v>
      </c>
      <c r="C273" s="44" t="s">
        <v>2878</v>
      </c>
      <c r="D273" s="56"/>
      <c r="E273" s="66"/>
      <c r="F273" s="66"/>
      <c r="G273" s="66"/>
      <c r="H273" s="66"/>
      <c r="I273" s="66"/>
      <c r="J273" s="66"/>
      <c r="K273" s="57"/>
    </row>
    <row r="274" spans="2:27">
      <c r="B274" s="49" t="s">
        <v>5269</v>
      </c>
      <c r="C274" s="41" t="s">
        <v>5270</v>
      </c>
      <c r="D274" s="63"/>
      <c r="E274" s="63"/>
      <c r="F274" s="63"/>
      <c r="G274" s="76"/>
      <c r="H274" s="60"/>
      <c r="I274" s="63"/>
      <c r="J274" s="63"/>
      <c r="K274" s="60"/>
    </row>
    <row r="275" spans="2:27">
      <c r="B275" s="49" t="s">
        <v>5271</v>
      </c>
      <c r="C275" s="44" t="s">
        <v>5272</v>
      </c>
      <c r="D275" s="58"/>
      <c r="E275" s="58"/>
      <c r="F275" s="58"/>
      <c r="G275" s="48"/>
      <c r="H275" s="64"/>
      <c r="I275" s="58"/>
      <c r="J275" s="48"/>
      <c r="K275" s="60"/>
    </row>
    <row r="276" spans="2:27">
      <c r="B276" s="49" t="s">
        <v>5273</v>
      </c>
      <c r="C276" s="44" t="s">
        <v>5274</v>
      </c>
      <c r="D276" s="56"/>
      <c r="E276" s="56"/>
      <c r="F276" s="56"/>
      <c r="G276" s="46"/>
      <c r="H276" s="64"/>
      <c r="I276" s="56"/>
      <c r="J276" s="46"/>
      <c r="K276" s="60"/>
    </row>
    <row r="278" spans="2:27">
      <c r="Z278" s="13" t="str">
        <f>Show!$B$157&amp;Show!$B$157&amp;"S.27.01.04.06 Rows {"&amp;COLUMN($C$1)&amp;"}"</f>
        <v>!!S.27.01.04.06 Rows {3}</v>
      </c>
      <c r="AA278" s="13" t="str">
        <f>Show!$B$157&amp;Show!$B$157&amp;"S.27.01.04.06 Columns {"&amp;COLUMN($K$1)&amp;"}"</f>
        <v>!!S.27.01.04.06 Columns {11}</v>
      </c>
    </row>
    <row r="280" spans="2:27" ht="18.75">
      <c r="B280" s="97" t="s">
        <v>5552</v>
      </c>
      <c r="C280" s="96"/>
      <c r="D280" s="96"/>
      <c r="E280" s="96"/>
      <c r="F280" s="96"/>
      <c r="G280" s="96"/>
      <c r="H280" s="96"/>
      <c r="I280" s="96"/>
      <c r="J280" s="96"/>
      <c r="K280" s="96"/>
      <c r="L280" s="96"/>
    </row>
    <row r="284" spans="2:27">
      <c r="D284" s="101" t="s">
        <v>2877</v>
      </c>
      <c r="E284" s="102"/>
      <c r="F284" s="102"/>
      <c r="G284" s="102"/>
      <c r="H284" s="103"/>
    </row>
    <row r="285" spans="2:27">
      <c r="D285" s="104"/>
      <c r="E285" s="105"/>
      <c r="F285" s="105"/>
      <c r="G285" s="105"/>
      <c r="H285" s="106"/>
    </row>
    <row r="286" spans="2:27">
      <c r="D286" s="107" t="s">
        <v>5276</v>
      </c>
      <c r="E286" s="108"/>
      <c r="F286" s="108"/>
      <c r="G286" s="108"/>
      <c r="H286" s="109"/>
    </row>
    <row r="287" spans="2:27" ht="60">
      <c r="D287" s="55" t="s">
        <v>5277</v>
      </c>
      <c r="E287" s="55" t="s">
        <v>5119</v>
      </c>
      <c r="F287" s="55" t="s">
        <v>5120</v>
      </c>
      <c r="G287" s="55" t="s">
        <v>5121</v>
      </c>
      <c r="H287" s="55" t="s">
        <v>5122</v>
      </c>
    </row>
    <row r="288" spans="2:27">
      <c r="D288" s="45" t="s">
        <v>3957</v>
      </c>
      <c r="E288" s="45" t="s">
        <v>3958</v>
      </c>
      <c r="F288" s="45" t="s">
        <v>3959</v>
      </c>
      <c r="G288" s="45" t="s">
        <v>3960</v>
      </c>
      <c r="H288" s="45" t="s">
        <v>3961</v>
      </c>
      <c r="Z288" s="13" t="str">
        <f>Show!$B$157&amp;"S.27.01.04.07 Rows {"&amp;COLUMN($C$1)&amp;"}"&amp;"@ForceFilingCode:true"</f>
        <v>!S.27.01.04.07 Rows {3}@ForceFilingCode:true</v>
      </c>
      <c r="AA288" s="13" t="str">
        <f>Show!$B$157&amp;"S.27.01.04.07 Columns {"&amp;COLUMN($D$1)&amp;"}"</f>
        <v>!S.27.01.04.07 Columns {4}</v>
      </c>
    </row>
    <row r="289" spans="2:27">
      <c r="B289" s="43" t="s">
        <v>2880</v>
      </c>
      <c r="C289" s="44" t="s">
        <v>2878</v>
      </c>
      <c r="D289" s="56"/>
      <c r="E289" s="66"/>
      <c r="F289" s="66"/>
      <c r="G289" s="66"/>
      <c r="H289" s="57"/>
    </row>
    <row r="290" spans="2:27">
      <c r="B290" s="47" t="s">
        <v>3905</v>
      </c>
      <c r="C290" s="41" t="s">
        <v>3536</v>
      </c>
      <c r="D290" s="60"/>
      <c r="E290" s="60"/>
      <c r="F290" s="60"/>
      <c r="G290" s="60"/>
      <c r="H290" s="60"/>
    </row>
    <row r="292" spans="2:27">
      <c r="Z292" s="13" t="str">
        <f>Show!$B$157&amp;Show!$B$157&amp;"S.27.01.04.07 Rows {"&amp;COLUMN($C$1)&amp;"}"</f>
        <v>!!S.27.01.04.07 Rows {3}</v>
      </c>
      <c r="AA292" s="13" t="str">
        <f>Show!$B$157&amp;Show!$B$157&amp;"S.27.01.04.07 Columns {"&amp;COLUMN($H$1)&amp;"}"</f>
        <v>!!S.27.01.04.07 Columns {8}</v>
      </c>
    </row>
    <row r="294" spans="2:27" ht="18.75">
      <c r="B294" s="97" t="s">
        <v>5553</v>
      </c>
      <c r="C294" s="96"/>
      <c r="D294" s="96"/>
      <c r="E294" s="96"/>
      <c r="F294" s="96"/>
      <c r="G294" s="96"/>
      <c r="H294" s="96"/>
      <c r="I294" s="96"/>
      <c r="J294" s="96"/>
      <c r="K294" s="96"/>
      <c r="L294" s="96"/>
    </row>
    <row r="298" spans="2:27">
      <c r="D298" s="101" t="s">
        <v>2877</v>
      </c>
      <c r="E298" s="102"/>
      <c r="F298" s="102"/>
      <c r="G298" s="102"/>
      <c r="H298" s="102"/>
      <c r="I298" s="103"/>
    </row>
    <row r="299" spans="2:27">
      <c r="D299" s="104"/>
      <c r="E299" s="105"/>
      <c r="F299" s="105"/>
      <c r="G299" s="105"/>
      <c r="H299" s="105"/>
      <c r="I299" s="106"/>
    </row>
    <row r="300" spans="2:27">
      <c r="D300" s="107" t="s">
        <v>5279</v>
      </c>
      <c r="E300" s="108"/>
      <c r="F300" s="108"/>
      <c r="G300" s="108"/>
      <c r="H300" s="108"/>
      <c r="I300" s="109"/>
    </row>
    <row r="301" spans="2:27" ht="75">
      <c r="D301" s="55" t="s">
        <v>5280</v>
      </c>
      <c r="E301" s="55" t="s">
        <v>5281</v>
      </c>
      <c r="F301" s="55" t="s">
        <v>5282</v>
      </c>
      <c r="G301" s="55" t="s">
        <v>5120</v>
      </c>
      <c r="H301" s="55" t="s">
        <v>5121</v>
      </c>
      <c r="I301" s="55" t="s">
        <v>5283</v>
      </c>
    </row>
    <row r="302" spans="2:27">
      <c r="D302" s="45" t="s">
        <v>3962</v>
      </c>
      <c r="E302" s="45" t="s">
        <v>3963</v>
      </c>
      <c r="F302" s="45" t="s">
        <v>3964</v>
      </c>
      <c r="G302" s="45" t="s">
        <v>3965</v>
      </c>
      <c r="H302" s="45" t="s">
        <v>3967</v>
      </c>
      <c r="I302" s="45" t="s">
        <v>4546</v>
      </c>
      <c r="Z302" s="13" t="str">
        <f>Show!$B$157&amp;"S.27.01.04.08 Rows {"&amp;COLUMN($C$1)&amp;"}"&amp;"@ForceFilingCode:true"</f>
        <v>!S.27.01.04.08 Rows {3}@ForceFilingCode:true</v>
      </c>
      <c r="AA302" s="13" t="str">
        <f>Show!$B$157&amp;"S.27.01.04.08 Columns {"&amp;COLUMN($D$1)&amp;"}"</f>
        <v>!S.27.01.04.08 Columns {4}</v>
      </c>
    </row>
    <row r="303" spans="2:27">
      <c r="B303" s="43" t="s">
        <v>2880</v>
      </c>
      <c r="C303" s="44" t="s">
        <v>2878</v>
      </c>
      <c r="D303" s="56"/>
      <c r="E303" s="66"/>
      <c r="F303" s="66"/>
      <c r="G303" s="66"/>
      <c r="H303" s="66"/>
      <c r="I303" s="57"/>
    </row>
    <row r="304" spans="2:27">
      <c r="B304" s="47" t="s">
        <v>5284</v>
      </c>
      <c r="C304" s="41" t="s">
        <v>3539</v>
      </c>
      <c r="D304" s="50"/>
      <c r="E304" s="50"/>
      <c r="F304" s="60"/>
      <c r="G304" s="60"/>
      <c r="H304" s="60"/>
      <c r="I304" s="60"/>
    </row>
    <row r="306" spans="2:27">
      <c r="Z306" s="13" t="str">
        <f>Show!$B$157&amp;Show!$B$157&amp;"S.27.01.04.08 Rows {"&amp;COLUMN($C$1)&amp;"}"</f>
        <v>!!S.27.01.04.08 Rows {3}</v>
      </c>
      <c r="AA306" s="13" t="str">
        <f>Show!$B$157&amp;Show!$B$157&amp;"S.27.01.04.08 Columns {"&amp;COLUMN($I$1)&amp;"}"</f>
        <v>!!S.27.01.04.08 Columns {9}</v>
      </c>
    </row>
    <row r="308" spans="2:27" ht="18.75">
      <c r="B308" s="97" t="s">
        <v>5554</v>
      </c>
      <c r="C308" s="96"/>
      <c r="D308" s="96"/>
      <c r="E308" s="96"/>
      <c r="F308" s="96"/>
      <c r="G308" s="96"/>
      <c r="H308" s="96"/>
      <c r="I308" s="96"/>
      <c r="J308" s="96"/>
      <c r="K308" s="96"/>
      <c r="L308" s="96"/>
    </row>
    <row r="312" spans="2:27">
      <c r="D312" s="101" t="s">
        <v>2877</v>
      </c>
      <c r="E312" s="102"/>
      <c r="F312" s="102"/>
      <c r="G312" s="102"/>
      <c r="H312" s="102"/>
      <c r="I312" s="102"/>
      <c r="J312" s="102"/>
      <c r="K312" s="103"/>
    </row>
    <row r="313" spans="2:27">
      <c r="D313" s="104"/>
      <c r="E313" s="105"/>
      <c r="F313" s="105"/>
      <c r="G313" s="105"/>
      <c r="H313" s="105"/>
      <c r="I313" s="105"/>
      <c r="J313" s="105"/>
      <c r="K313" s="106"/>
    </row>
    <row r="314" spans="2:27" ht="105">
      <c r="D314" s="55" t="s">
        <v>5286</v>
      </c>
      <c r="E314" s="55" t="s">
        <v>5287</v>
      </c>
      <c r="F314" s="55" t="s">
        <v>5288</v>
      </c>
      <c r="G314" s="55" t="s">
        <v>5289</v>
      </c>
      <c r="H314" s="55" t="s">
        <v>5120</v>
      </c>
      <c r="I314" s="55" t="s">
        <v>5121</v>
      </c>
      <c r="J314" s="55" t="s">
        <v>5290</v>
      </c>
      <c r="K314" s="55" t="s">
        <v>5291</v>
      </c>
    </row>
    <row r="315" spans="2:27">
      <c r="D315" s="45" t="s">
        <v>4547</v>
      </c>
      <c r="E315" s="45" t="s">
        <v>4551</v>
      </c>
      <c r="F315" s="45" t="s">
        <v>3969</v>
      </c>
      <c r="G315" s="45" t="s">
        <v>3970</v>
      </c>
      <c r="H315" s="45" t="s">
        <v>3971</v>
      </c>
      <c r="I315" s="45" t="s">
        <v>3972</v>
      </c>
      <c r="J315" s="45" t="s">
        <v>3973</v>
      </c>
      <c r="K315" s="45" t="s">
        <v>3974</v>
      </c>
      <c r="Z315" s="13" t="str">
        <f>Show!$B$157&amp;"S.27.01.04.09 Rows {"&amp;COLUMN($C$1)&amp;"}"&amp;"@ForceFilingCode:true"</f>
        <v>!S.27.01.04.09 Rows {3}@ForceFilingCode:true</v>
      </c>
      <c r="AA315" s="13" t="str">
        <f>Show!$B$157&amp;"S.27.01.04.09 Columns {"&amp;COLUMN($D$1)&amp;"}"</f>
        <v>!S.27.01.04.09 Columns {4}</v>
      </c>
    </row>
    <row r="316" spans="2:27">
      <c r="B316" s="43" t="s">
        <v>2880</v>
      </c>
      <c r="C316" s="44" t="s">
        <v>2878</v>
      </c>
      <c r="D316" s="56"/>
      <c r="E316" s="66"/>
      <c r="F316" s="66"/>
      <c r="G316" s="66"/>
      <c r="H316" s="66"/>
      <c r="I316" s="66"/>
      <c r="J316" s="66"/>
      <c r="K316" s="57"/>
    </row>
    <row r="317" spans="2:27">
      <c r="B317" s="47" t="s">
        <v>5292</v>
      </c>
      <c r="C317" s="41" t="s">
        <v>3542</v>
      </c>
      <c r="D317" s="60"/>
      <c r="E317" s="60"/>
      <c r="F317" s="60"/>
      <c r="G317" s="60"/>
      <c r="H317" s="60"/>
      <c r="I317" s="60"/>
      <c r="J317" s="60"/>
      <c r="K317" s="51"/>
    </row>
    <row r="319" spans="2:27">
      <c r="Z319" s="13" t="str">
        <f>Show!$B$157&amp;Show!$B$157&amp;"S.27.01.04.09 Rows {"&amp;COLUMN($C$1)&amp;"}"</f>
        <v>!!S.27.01.04.09 Rows {3}</v>
      </c>
      <c r="AA319" s="13" t="str">
        <f>Show!$B$157&amp;Show!$B$157&amp;"S.27.01.04.09 Columns {"&amp;COLUMN($K$1)&amp;"}"</f>
        <v>!!S.27.01.04.09 Columns {11}</v>
      </c>
    </row>
    <row r="321" spans="2:27" ht="18.75">
      <c r="B321" s="97" t="s">
        <v>5555</v>
      </c>
      <c r="C321" s="96"/>
      <c r="D321" s="96"/>
      <c r="E321" s="96"/>
      <c r="F321" s="96"/>
      <c r="G321" s="96"/>
      <c r="H321" s="96"/>
      <c r="I321" s="96"/>
      <c r="J321" s="96"/>
      <c r="K321" s="96"/>
      <c r="L321" s="96"/>
    </row>
    <row r="325" spans="2:27">
      <c r="D325" s="101" t="s">
        <v>2877</v>
      </c>
      <c r="E325" s="102"/>
      <c r="F325" s="102"/>
      <c r="G325" s="102"/>
      <c r="H325" s="102"/>
      <c r="I325" s="102"/>
      <c r="J325" s="102"/>
      <c r="K325" s="102"/>
      <c r="L325" s="102"/>
      <c r="M325" s="103"/>
    </row>
    <row r="326" spans="2:27">
      <c r="D326" s="104"/>
      <c r="E326" s="105"/>
      <c r="F326" s="105"/>
      <c r="G326" s="105"/>
      <c r="H326" s="105"/>
      <c r="I326" s="105"/>
      <c r="J326" s="105"/>
      <c r="K326" s="105"/>
      <c r="L326" s="105"/>
      <c r="M326" s="106"/>
    </row>
    <row r="327" spans="2:27" ht="120">
      <c r="D327" s="55" t="s">
        <v>5294</v>
      </c>
      <c r="E327" s="55" t="s">
        <v>5295</v>
      </c>
      <c r="F327" s="55" t="s">
        <v>5296</v>
      </c>
      <c r="G327" s="55" t="s">
        <v>5297</v>
      </c>
      <c r="H327" s="55" t="s">
        <v>5298</v>
      </c>
      <c r="I327" s="55" t="s">
        <v>5299</v>
      </c>
      <c r="J327" s="55" t="s">
        <v>5120</v>
      </c>
      <c r="K327" s="55" t="s">
        <v>5121</v>
      </c>
      <c r="L327" s="55" t="s">
        <v>5300</v>
      </c>
      <c r="M327" s="55" t="s">
        <v>5301</v>
      </c>
    </row>
    <row r="328" spans="2:27">
      <c r="D328" s="45" t="s">
        <v>3975</v>
      </c>
      <c r="E328" s="45" t="s">
        <v>3976</v>
      </c>
      <c r="F328" s="45" t="s">
        <v>3977</v>
      </c>
      <c r="G328" s="45" t="s">
        <v>3978</v>
      </c>
      <c r="H328" s="45" t="s">
        <v>3979</v>
      </c>
      <c r="I328" s="45" t="s">
        <v>3980</v>
      </c>
      <c r="J328" s="45" t="s">
        <v>3981</v>
      </c>
      <c r="K328" s="45" t="s">
        <v>3982</v>
      </c>
      <c r="L328" s="45" t="s">
        <v>3983</v>
      </c>
      <c r="M328" s="45" t="s">
        <v>3984</v>
      </c>
      <c r="Z328" s="13" t="str">
        <f>Show!$B$157&amp;"S.27.01.04.10 Rows {"&amp;COLUMN($C$1)&amp;"}"&amp;"@ForceFilingCode:true"</f>
        <v>!S.27.01.04.10 Rows {3}@ForceFilingCode:true</v>
      </c>
      <c r="AA328" s="13" t="str">
        <f>Show!$B$157&amp;"S.27.01.04.10 Columns {"&amp;COLUMN($D$1)&amp;"}"</f>
        <v>!S.27.01.04.10 Columns {4}</v>
      </c>
    </row>
    <row r="329" spans="2:27">
      <c r="B329" s="43" t="s">
        <v>2880</v>
      </c>
      <c r="C329" s="44" t="s">
        <v>2878</v>
      </c>
      <c r="D329" s="56"/>
      <c r="E329" s="66"/>
      <c r="F329" s="66"/>
      <c r="G329" s="66"/>
      <c r="H329" s="66"/>
      <c r="I329" s="66"/>
      <c r="J329" s="66"/>
      <c r="K329" s="66"/>
      <c r="L329" s="66"/>
      <c r="M329" s="57"/>
    </row>
    <row r="330" spans="2:27">
      <c r="B330" s="47" t="s">
        <v>5302</v>
      </c>
      <c r="C330" s="41" t="s">
        <v>3545</v>
      </c>
      <c r="D330" s="60"/>
      <c r="E330" s="60"/>
      <c r="F330" s="60"/>
      <c r="G330" s="60"/>
      <c r="H330" s="60"/>
      <c r="I330" s="60"/>
      <c r="J330" s="60"/>
      <c r="K330" s="60"/>
      <c r="L330" s="60"/>
      <c r="M330" s="51"/>
    </row>
    <row r="332" spans="2:27">
      <c r="Z332" s="13" t="str">
        <f>Show!$B$157&amp;Show!$B$157&amp;"S.27.01.04.10 Rows {"&amp;COLUMN($C$1)&amp;"}"</f>
        <v>!!S.27.01.04.10 Rows {3}</v>
      </c>
      <c r="AA332" s="13" t="str">
        <f>Show!$B$157&amp;Show!$B$157&amp;"S.27.01.04.10 Columns {"&amp;COLUMN($M$1)&amp;"}"</f>
        <v>!!S.27.01.04.10 Columns {13}</v>
      </c>
    </row>
    <row r="334" spans="2:27" ht="18.75">
      <c r="B334" s="97" t="s">
        <v>5556</v>
      </c>
      <c r="C334" s="96"/>
      <c r="D334" s="96"/>
      <c r="E334" s="96"/>
      <c r="F334" s="96"/>
      <c r="G334" s="96"/>
      <c r="H334" s="96"/>
      <c r="I334" s="96"/>
      <c r="J334" s="96"/>
      <c r="K334" s="96"/>
      <c r="L334" s="96"/>
    </row>
    <row r="338" spans="2:27">
      <c r="D338" s="101" t="s">
        <v>2877</v>
      </c>
      <c r="E338" s="102"/>
      <c r="F338" s="103"/>
    </row>
    <row r="339" spans="2:27">
      <c r="D339" s="104"/>
      <c r="E339" s="105"/>
      <c r="F339" s="106"/>
    </row>
    <row r="340" spans="2:27">
      <c r="D340" s="107" t="s">
        <v>5304</v>
      </c>
      <c r="E340" s="108"/>
      <c r="F340" s="109"/>
    </row>
    <row r="341" spans="2:27" ht="60">
      <c r="D341" s="55" t="s">
        <v>5305</v>
      </c>
      <c r="E341" s="55" t="s">
        <v>5306</v>
      </c>
      <c r="F341" s="55" t="s">
        <v>5307</v>
      </c>
    </row>
    <row r="342" spans="2:27">
      <c r="D342" s="45" t="s">
        <v>3986</v>
      </c>
      <c r="E342" s="45" t="s">
        <v>3987</v>
      </c>
      <c r="F342" s="45" t="s">
        <v>4583</v>
      </c>
      <c r="Z342" s="13" t="str">
        <f>Show!$B$157&amp;"S.27.01.04.11 Rows {"&amp;COLUMN($C$1)&amp;"}"&amp;"@ForceFilingCode:true"</f>
        <v>!S.27.01.04.11 Rows {3}@ForceFilingCode:true</v>
      </c>
      <c r="AA342" s="13" t="str">
        <f>Show!$B$157&amp;"S.27.01.04.11 Columns {"&amp;COLUMN($D$1)&amp;"}"</f>
        <v>!S.27.01.04.11 Columns {4}</v>
      </c>
    </row>
    <row r="343" spans="2:27">
      <c r="B343" s="43" t="s">
        <v>2880</v>
      </c>
      <c r="C343" s="44" t="s">
        <v>2878</v>
      </c>
      <c r="D343" s="56"/>
      <c r="E343" s="66"/>
      <c r="F343" s="57"/>
    </row>
    <row r="344" spans="2:27">
      <c r="B344" s="47" t="s">
        <v>5308</v>
      </c>
      <c r="C344" s="41" t="s">
        <v>3548</v>
      </c>
      <c r="D344" s="60"/>
      <c r="E344" s="63"/>
      <c r="F344" s="60"/>
    </row>
    <row r="345" spans="2:27">
      <c r="B345" s="47" t="s">
        <v>5309</v>
      </c>
      <c r="C345" s="41" t="s">
        <v>5310</v>
      </c>
      <c r="D345" s="64"/>
      <c r="E345" s="46"/>
      <c r="F345" s="60"/>
    </row>
    <row r="346" spans="2:27">
      <c r="B346" s="47" t="s">
        <v>5311</v>
      </c>
      <c r="C346" s="41" t="s">
        <v>5312</v>
      </c>
      <c r="D346" s="60"/>
      <c r="E346" s="60"/>
      <c r="F346" s="60"/>
    </row>
    <row r="348" spans="2:27">
      <c r="Z348" s="13" t="str">
        <f>Show!$B$157&amp;Show!$B$157&amp;"S.27.01.04.11 Rows {"&amp;COLUMN($C$1)&amp;"}"</f>
        <v>!!S.27.01.04.11 Rows {3}</v>
      </c>
      <c r="AA348" s="13" t="str">
        <f>Show!$B$157&amp;Show!$B$157&amp;"S.27.01.04.11 Columns {"&amp;COLUMN($F$1)&amp;"}"</f>
        <v>!!S.27.01.04.11 Columns {6}</v>
      </c>
    </row>
    <row r="350" spans="2:27" ht="18.75">
      <c r="B350" s="97" t="s">
        <v>5557</v>
      </c>
      <c r="C350" s="96"/>
      <c r="D350" s="96"/>
      <c r="E350" s="96"/>
      <c r="F350" s="96"/>
      <c r="G350" s="96"/>
      <c r="H350" s="96"/>
      <c r="I350" s="96"/>
      <c r="J350" s="96"/>
      <c r="K350" s="96"/>
      <c r="L350" s="96"/>
    </row>
    <row r="354" spans="2:27">
      <c r="D354" s="101" t="s">
        <v>2877</v>
      </c>
      <c r="E354" s="102"/>
      <c r="F354" s="102"/>
      <c r="G354" s="102"/>
      <c r="H354" s="102"/>
      <c r="I354" s="103"/>
    </row>
    <row r="355" spans="2:27">
      <c r="D355" s="104"/>
      <c r="E355" s="105"/>
      <c r="F355" s="105"/>
      <c r="G355" s="105"/>
      <c r="H355" s="105"/>
      <c r="I355" s="106"/>
    </row>
    <row r="356" spans="2:27">
      <c r="D356" s="107" t="s">
        <v>5314</v>
      </c>
      <c r="E356" s="108"/>
      <c r="F356" s="108"/>
      <c r="G356" s="108"/>
      <c r="H356" s="108"/>
      <c r="I356" s="109"/>
    </row>
    <row r="357" spans="2:27" ht="60">
      <c r="D357" s="55" t="s">
        <v>5315</v>
      </c>
      <c r="E357" s="55" t="s">
        <v>5316</v>
      </c>
      <c r="F357" s="55" t="s">
        <v>5317</v>
      </c>
      <c r="G357" s="55" t="s">
        <v>5120</v>
      </c>
      <c r="H357" s="55" t="s">
        <v>5121</v>
      </c>
      <c r="I357" s="55" t="s">
        <v>5318</v>
      </c>
    </row>
    <row r="358" spans="2:27">
      <c r="D358" s="45" t="s">
        <v>4585</v>
      </c>
      <c r="E358" s="45" t="s">
        <v>3989</v>
      </c>
      <c r="F358" s="45" t="s">
        <v>3990</v>
      </c>
      <c r="G358" s="45" t="s">
        <v>3991</v>
      </c>
      <c r="H358" s="45" t="s">
        <v>3992</v>
      </c>
      <c r="I358" s="45" t="s">
        <v>3993</v>
      </c>
      <c r="Z358" s="13" t="str">
        <f>Show!$B$157&amp;"S.27.01.04.12 Rows {"&amp;COLUMN($C$1)&amp;"}"&amp;"@ForceFilingCode:true"</f>
        <v>!S.27.01.04.12 Rows {3}@ForceFilingCode:true</v>
      </c>
      <c r="AA358" s="13" t="str">
        <f>Show!$B$157&amp;"S.27.01.04.12 Columns {"&amp;COLUMN($D$1)&amp;"}"</f>
        <v>!S.27.01.04.12 Columns {4}</v>
      </c>
    </row>
    <row r="359" spans="2:27">
      <c r="B359" s="43" t="s">
        <v>2880</v>
      </c>
      <c r="C359" s="44" t="s">
        <v>2878</v>
      </c>
      <c r="D359" s="56"/>
      <c r="E359" s="66"/>
      <c r="F359" s="66"/>
      <c r="G359" s="66"/>
      <c r="H359" s="66"/>
      <c r="I359" s="57"/>
    </row>
    <row r="360" spans="2:27">
      <c r="B360" s="47" t="s">
        <v>5319</v>
      </c>
      <c r="C360" s="41" t="s">
        <v>3549</v>
      </c>
      <c r="D360" s="60"/>
      <c r="E360" s="60"/>
      <c r="F360" s="60"/>
      <c r="G360" s="60"/>
      <c r="H360" s="60"/>
      <c r="I360" s="60"/>
    </row>
    <row r="362" spans="2:27">
      <c r="Z362" s="13" t="str">
        <f>Show!$B$157&amp;Show!$B$157&amp;"S.27.01.04.12 Rows {"&amp;COLUMN($C$1)&amp;"}"</f>
        <v>!!S.27.01.04.12 Rows {3}</v>
      </c>
      <c r="AA362" s="13" t="str">
        <f>Show!$B$157&amp;Show!$B$157&amp;"S.27.01.04.12 Columns {"&amp;COLUMN($I$1)&amp;"}"</f>
        <v>!!S.27.01.04.12 Columns {9}</v>
      </c>
    </row>
    <row r="364" spans="2:27" ht="18.75">
      <c r="B364" s="97" t="s">
        <v>5558</v>
      </c>
      <c r="C364" s="96"/>
      <c r="D364" s="96"/>
      <c r="E364" s="96"/>
      <c r="F364" s="96"/>
      <c r="G364" s="96"/>
      <c r="H364" s="96"/>
      <c r="I364" s="96"/>
      <c r="J364" s="96"/>
      <c r="K364" s="96"/>
      <c r="L364" s="96"/>
    </row>
    <row r="368" spans="2:27">
      <c r="D368" s="101" t="s">
        <v>2877</v>
      </c>
      <c r="E368" s="102"/>
      <c r="F368" s="102"/>
      <c r="G368" s="103"/>
    </row>
    <row r="369" spans="2:27">
      <c r="D369" s="104"/>
      <c r="E369" s="105"/>
      <c r="F369" s="105"/>
      <c r="G369" s="106"/>
    </row>
    <row r="370" spans="2:27">
      <c r="D370" s="107" t="s">
        <v>5321</v>
      </c>
      <c r="E370" s="108"/>
      <c r="F370" s="108"/>
      <c r="G370" s="109"/>
    </row>
    <row r="371" spans="2:27" ht="60">
      <c r="D371" s="55" t="s">
        <v>5322</v>
      </c>
      <c r="E371" s="55" t="s">
        <v>5120</v>
      </c>
      <c r="F371" s="55" t="s">
        <v>5121</v>
      </c>
      <c r="G371" s="55" t="s">
        <v>5323</v>
      </c>
    </row>
    <row r="372" spans="2:27">
      <c r="D372" s="45" t="s">
        <v>3994</v>
      </c>
      <c r="E372" s="45" t="s">
        <v>3995</v>
      </c>
      <c r="F372" s="45" t="s">
        <v>3996</v>
      </c>
      <c r="G372" s="45" t="s">
        <v>3997</v>
      </c>
      <c r="Z372" s="13" t="str">
        <f>Show!$B$157&amp;"S.27.01.04.13 Rows {"&amp;COLUMN($C$1)&amp;"}"&amp;"@ForceFilingCode:true"</f>
        <v>!S.27.01.04.13 Rows {3}@ForceFilingCode:true</v>
      </c>
      <c r="AA372" s="13" t="str">
        <f>Show!$B$157&amp;"S.27.01.04.13 Columns {"&amp;COLUMN($D$1)&amp;"}"</f>
        <v>!S.27.01.04.13 Columns {4}</v>
      </c>
    </row>
    <row r="373" spans="2:27">
      <c r="B373" s="43" t="s">
        <v>2880</v>
      </c>
      <c r="C373" s="44" t="s">
        <v>2878</v>
      </c>
      <c r="D373" s="56"/>
      <c r="E373" s="66"/>
      <c r="F373" s="66"/>
      <c r="G373" s="57"/>
    </row>
    <row r="374" spans="2:27">
      <c r="B374" s="47" t="s">
        <v>5101</v>
      </c>
      <c r="C374" s="41" t="s">
        <v>3550</v>
      </c>
      <c r="D374" s="60"/>
      <c r="E374" s="60"/>
      <c r="F374" s="60"/>
      <c r="G374" s="60"/>
    </row>
    <row r="376" spans="2:27">
      <c r="Z376" s="13" t="str">
        <f>Show!$B$157&amp;Show!$B$157&amp;"S.27.01.04.13 Rows {"&amp;COLUMN($C$1)&amp;"}"</f>
        <v>!!S.27.01.04.13 Rows {3}</v>
      </c>
      <c r="AA376" s="13" t="str">
        <f>Show!$B$157&amp;Show!$B$157&amp;"S.27.01.04.13 Columns {"&amp;COLUMN($G$1)&amp;"}"</f>
        <v>!!S.27.01.04.13 Columns {7}</v>
      </c>
    </row>
    <row r="378" spans="2:27" ht="18.75">
      <c r="B378" s="97" t="s">
        <v>5559</v>
      </c>
      <c r="C378" s="96"/>
      <c r="D378" s="96"/>
      <c r="E378" s="96"/>
      <c r="F378" s="96"/>
      <c r="G378" s="96"/>
      <c r="H378" s="96"/>
      <c r="I378" s="96"/>
      <c r="J378" s="96"/>
      <c r="K378" s="96"/>
      <c r="L378" s="96"/>
    </row>
    <row r="382" spans="2:27">
      <c r="D382" s="101" t="s">
        <v>2877</v>
      </c>
      <c r="E382" s="102"/>
      <c r="F382" s="102"/>
      <c r="G382" s="102"/>
      <c r="H382" s="102"/>
      <c r="I382" s="102"/>
      <c r="J382" s="103"/>
    </row>
    <row r="383" spans="2:27">
      <c r="D383" s="104"/>
      <c r="E383" s="105"/>
      <c r="F383" s="105"/>
      <c r="G383" s="105"/>
      <c r="H383" s="105"/>
      <c r="I383" s="105"/>
      <c r="J383" s="106"/>
    </row>
    <row r="384" spans="2:27">
      <c r="D384" s="107" t="s">
        <v>5325</v>
      </c>
      <c r="E384" s="108"/>
      <c r="F384" s="108"/>
      <c r="G384" s="108"/>
      <c r="H384" s="108"/>
      <c r="I384" s="108"/>
      <c r="J384" s="109"/>
    </row>
    <row r="385" spans="2:27" ht="60">
      <c r="D385" s="55" t="s">
        <v>5326</v>
      </c>
      <c r="E385" s="55" t="s">
        <v>5327</v>
      </c>
      <c r="F385" s="55" t="s">
        <v>4151</v>
      </c>
      <c r="G385" s="55" t="s">
        <v>5328</v>
      </c>
      <c r="H385" s="55" t="s">
        <v>5120</v>
      </c>
      <c r="I385" s="55" t="s">
        <v>5121</v>
      </c>
      <c r="J385" s="55" t="s">
        <v>5329</v>
      </c>
    </row>
    <row r="386" spans="2:27">
      <c r="D386" s="45" t="s">
        <v>3998</v>
      </c>
      <c r="E386" s="45" t="s">
        <v>3999</v>
      </c>
      <c r="F386" s="45" t="s">
        <v>4000</v>
      </c>
      <c r="G386" s="45" t="s">
        <v>4001</v>
      </c>
      <c r="H386" s="45" t="s">
        <v>4002</v>
      </c>
      <c r="I386" s="45" t="s">
        <v>4003</v>
      </c>
      <c r="J386" s="45" t="s">
        <v>4004</v>
      </c>
      <c r="Z386" s="13" t="str">
        <f>Show!$B$157&amp;"S.27.01.04.14 Rows {"&amp;COLUMN($C$1)&amp;"}"&amp;"@ForceFilingCode:true"</f>
        <v>!S.27.01.04.14 Rows {3}@ForceFilingCode:true</v>
      </c>
      <c r="AA386" s="13" t="str">
        <f>Show!$B$157&amp;"S.27.01.04.14 Columns {"&amp;COLUMN($D$1)&amp;"}"</f>
        <v>!S.27.01.04.14 Columns {4}</v>
      </c>
    </row>
    <row r="387" spans="2:27">
      <c r="B387" s="43" t="s">
        <v>2880</v>
      </c>
      <c r="C387" s="44" t="s">
        <v>2878</v>
      </c>
      <c r="D387" s="56"/>
      <c r="E387" s="66"/>
      <c r="F387" s="66"/>
      <c r="G387" s="66"/>
      <c r="H387" s="66"/>
      <c r="I387" s="66"/>
      <c r="J387" s="57"/>
    </row>
    <row r="388" spans="2:27">
      <c r="B388" s="47" t="s">
        <v>5330</v>
      </c>
      <c r="C388" s="41" t="s">
        <v>3552</v>
      </c>
      <c r="D388" s="60"/>
      <c r="E388" s="60"/>
      <c r="F388" s="50"/>
      <c r="G388" s="60"/>
      <c r="H388" s="60"/>
      <c r="I388" s="60"/>
      <c r="J388" s="60"/>
    </row>
    <row r="389" spans="2:27">
      <c r="B389" s="47" t="s">
        <v>5331</v>
      </c>
      <c r="C389" s="41" t="s">
        <v>5332</v>
      </c>
      <c r="D389" s="60"/>
      <c r="E389" s="60"/>
      <c r="F389" s="50"/>
      <c r="G389" s="60"/>
      <c r="H389" s="60"/>
      <c r="I389" s="60"/>
      <c r="J389" s="60"/>
    </row>
    <row r="390" spans="2:27">
      <c r="B390" s="47" t="s">
        <v>5333</v>
      </c>
      <c r="C390" s="41" t="s">
        <v>5334</v>
      </c>
      <c r="D390" s="60"/>
      <c r="E390" s="60"/>
      <c r="F390" s="50"/>
      <c r="G390" s="60"/>
      <c r="H390" s="60"/>
      <c r="I390" s="60"/>
      <c r="J390" s="60"/>
    </row>
    <row r="391" spans="2:27">
      <c r="B391" s="47" t="s">
        <v>5335</v>
      </c>
      <c r="C391" s="41" t="s">
        <v>5336</v>
      </c>
      <c r="D391" s="60"/>
      <c r="E391" s="60"/>
      <c r="F391" s="50"/>
      <c r="G391" s="60"/>
      <c r="H391" s="60"/>
      <c r="I391" s="60"/>
      <c r="J391" s="60"/>
    </row>
    <row r="392" spans="2:27">
      <c r="B392" s="47" t="s">
        <v>5337</v>
      </c>
      <c r="C392" s="41" t="s">
        <v>5338</v>
      </c>
      <c r="D392" s="60"/>
      <c r="E392" s="63"/>
      <c r="F392" s="74"/>
      <c r="G392" s="60"/>
      <c r="H392" s="60"/>
      <c r="I392" s="60"/>
      <c r="J392" s="60"/>
    </row>
    <row r="393" spans="2:27">
      <c r="B393" s="47" t="s">
        <v>3480</v>
      </c>
      <c r="C393" s="41" t="s">
        <v>5339</v>
      </c>
      <c r="D393" s="64"/>
      <c r="E393" s="56"/>
      <c r="F393" s="46"/>
      <c r="G393" s="60"/>
      <c r="H393" s="60"/>
      <c r="I393" s="60"/>
      <c r="J393" s="60"/>
    </row>
    <row r="395" spans="2:27">
      <c r="Z395" s="13" t="str">
        <f>Show!$B$157&amp;Show!$B$157&amp;"S.27.01.04.14 Rows {"&amp;COLUMN($C$1)&amp;"}"</f>
        <v>!!S.27.01.04.14 Rows {3}</v>
      </c>
      <c r="AA395" s="13" t="str">
        <f>Show!$B$157&amp;Show!$B$157&amp;"S.27.01.04.14 Columns {"&amp;COLUMN($J$1)&amp;"}"</f>
        <v>!!S.27.01.04.14 Columns {10}</v>
      </c>
    </row>
    <row r="397" spans="2:27" ht="18.75">
      <c r="B397" s="97" t="s">
        <v>5560</v>
      </c>
      <c r="C397" s="96"/>
      <c r="D397" s="96"/>
      <c r="E397" s="96"/>
      <c r="F397" s="96"/>
      <c r="G397" s="96"/>
      <c r="H397" s="96"/>
      <c r="I397" s="96"/>
      <c r="J397" s="96"/>
      <c r="K397" s="96"/>
      <c r="L397" s="96"/>
    </row>
    <row r="401" spans="2:27">
      <c r="D401" s="101" t="s">
        <v>2877</v>
      </c>
      <c r="E401" s="102"/>
      <c r="F401" s="103"/>
    </row>
    <row r="402" spans="2:27">
      <c r="D402" s="104"/>
      <c r="E402" s="105"/>
      <c r="F402" s="106"/>
    </row>
    <row r="403" spans="2:27">
      <c r="D403" s="107" t="s">
        <v>5325</v>
      </c>
      <c r="E403" s="108"/>
      <c r="F403" s="109"/>
    </row>
    <row r="404" spans="2:27" ht="60">
      <c r="D404" s="55" t="s">
        <v>5328</v>
      </c>
      <c r="E404" s="55" t="s">
        <v>5306</v>
      </c>
      <c r="F404" s="55" t="s">
        <v>5329</v>
      </c>
    </row>
    <row r="405" spans="2:27">
      <c r="D405" s="45" t="s">
        <v>4006</v>
      </c>
      <c r="E405" s="45" t="s">
        <v>4560</v>
      </c>
      <c r="F405" s="45" t="s">
        <v>5341</v>
      </c>
      <c r="Z405" s="13" t="str">
        <f>Show!$B$157&amp;"S.27.01.04.15 Rows {"&amp;COLUMN($C$1)&amp;"}"&amp;"@ForceFilingCode:true"</f>
        <v>!S.27.01.04.15 Rows {3}@ForceFilingCode:true</v>
      </c>
      <c r="AA405" s="13" t="str">
        <f>Show!$B$157&amp;"S.27.01.04.15 Columns {"&amp;COLUMN($D$1)&amp;"}"</f>
        <v>!S.27.01.04.15 Columns {4}</v>
      </c>
    </row>
    <row r="406" spans="2:27">
      <c r="B406" s="43" t="s">
        <v>2880</v>
      </c>
      <c r="C406" s="44" t="s">
        <v>2878</v>
      </c>
      <c r="D406" s="56"/>
      <c r="E406" s="66"/>
      <c r="F406" s="57"/>
    </row>
    <row r="407" spans="2:27">
      <c r="B407" s="47" t="s">
        <v>5308</v>
      </c>
      <c r="C407" s="41" t="s">
        <v>5342</v>
      </c>
      <c r="D407" s="60"/>
      <c r="E407" s="63"/>
      <c r="F407" s="60"/>
    </row>
    <row r="408" spans="2:27">
      <c r="B408" s="47" t="s">
        <v>5343</v>
      </c>
      <c r="C408" s="41" t="s">
        <v>5344</v>
      </c>
      <c r="D408" s="64"/>
      <c r="E408" s="46"/>
      <c r="F408" s="60"/>
    </row>
    <row r="409" spans="2:27">
      <c r="B409" s="47" t="s">
        <v>5311</v>
      </c>
      <c r="C409" s="41" t="s">
        <v>5345</v>
      </c>
      <c r="D409" s="60"/>
      <c r="E409" s="60"/>
      <c r="F409" s="60"/>
    </row>
    <row r="411" spans="2:27">
      <c r="Z411" s="13" t="str">
        <f>Show!$B$157&amp;Show!$B$157&amp;"S.27.01.04.15 Rows {"&amp;COLUMN($C$1)&amp;"}"</f>
        <v>!!S.27.01.04.15 Rows {3}</v>
      </c>
      <c r="AA411" s="13" t="str">
        <f>Show!$B$157&amp;Show!$B$157&amp;"S.27.01.04.15 Columns {"&amp;COLUMN($F$1)&amp;"}"</f>
        <v>!!S.27.01.04.15 Columns {6}</v>
      </c>
    </row>
    <row r="413" spans="2:27" ht="18.75">
      <c r="B413" s="97" t="s">
        <v>5561</v>
      </c>
      <c r="C413" s="96"/>
      <c r="D413" s="96"/>
      <c r="E413" s="96"/>
      <c r="F413" s="96"/>
      <c r="G413" s="96"/>
      <c r="H413" s="96"/>
      <c r="I413" s="96"/>
      <c r="J413" s="96"/>
      <c r="K413" s="96"/>
      <c r="L413" s="96"/>
    </row>
    <row r="417" spans="2:27">
      <c r="D417" s="101" t="s">
        <v>2877</v>
      </c>
      <c r="E417" s="102"/>
      <c r="F417" s="102"/>
      <c r="G417" s="102"/>
      <c r="H417" s="102"/>
      <c r="I417" s="103"/>
    </row>
    <row r="418" spans="2:27">
      <c r="D418" s="104"/>
      <c r="E418" s="105"/>
      <c r="F418" s="105"/>
      <c r="G418" s="105"/>
      <c r="H418" s="105"/>
      <c r="I418" s="106"/>
    </row>
    <row r="419" spans="2:27">
      <c r="D419" s="107" t="s">
        <v>5347</v>
      </c>
      <c r="E419" s="108"/>
      <c r="F419" s="108"/>
      <c r="G419" s="108"/>
      <c r="H419" s="108"/>
      <c r="I419" s="109"/>
    </row>
    <row r="420" spans="2:27" ht="105">
      <c r="D420" s="55" t="s">
        <v>5348</v>
      </c>
      <c r="E420" s="55" t="s">
        <v>5350</v>
      </c>
      <c r="F420" s="55" t="s">
        <v>5351</v>
      </c>
      <c r="G420" s="55" t="s">
        <v>5120</v>
      </c>
      <c r="H420" s="55" t="s">
        <v>5121</v>
      </c>
      <c r="I420" s="55" t="s">
        <v>5352</v>
      </c>
    </row>
    <row r="421" spans="2:27">
      <c r="D421" s="45" t="s">
        <v>5349</v>
      </c>
      <c r="E421" s="45" t="s">
        <v>4008</v>
      </c>
      <c r="F421" s="45" t="s">
        <v>4009</v>
      </c>
      <c r="G421" s="45" t="s">
        <v>4010</v>
      </c>
      <c r="H421" s="45" t="s">
        <v>4011</v>
      </c>
      <c r="I421" s="45" t="s">
        <v>4012</v>
      </c>
      <c r="Z421" s="13" t="str">
        <f>Show!$B$157&amp;"S.27.01.04.16 Rows {"&amp;COLUMN($C$1)&amp;"}"&amp;"@ForceFilingCode:true"</f>
        <v>!S.27.01.04.16 Rows {3}@ForceFilingCode:true</v>
      </c>
      <c r="AA421" s="13" t="str">
        <f>Show!$B$157&amp;"S.27.01.04.16 Columns {"&amp;COLUMN($D$1)&amp;"}"</f>
        <v>!S.27.01.04.16 Columns {4}</v>
      </c>
    </row>
    <row r="422" spans="2:27">
      <c r="B422" s="43" t="s">
        <v>2880</v>
      </c>
      <c r="C422" s="44" t="s">
        <v>2878</v>
      </c>
      <c r="D422" s="56"/>
      <c r="E422" s="66"/>
      <c r="F422" s="66"/>
      <c r="G422" s="66"/>
      <c r="H422" s="66"/>
      <c r="I422" s="57"/>
    </row>
    <row r="423" spans="2:27">
      <c r="B423" s="47" t="s">
        <v>5353</v>
      </c>
      <c r="C423" s="41" t="s">
        <v>5354</v>
      </c>
      <c r="D423" s="60"/>
      <c r="E423" s="70"/>
      <c r="F423" s="60"/>
      <c r="G423" s="60"/>
      <c r="H423" s="60"/>
      <c r="I423" s="60"/>
    </row>
    <row r="424" spans="2:27">
      <c r="B424" s="47" t="s">
        <v>5355</v>
      </c>
      <c r="C424" s="41" t="s">
        <v>5356</v>
      </c>
      <c r="D424" s="60"/>
      <c r="E424" s="70"/>
      <c r="F424" s="60"/>
      <c r="G424" s="60"/>
      <c r="H424" s="60"/>
      <c r="I424" s="60"/>
    </row>
    <row r="425" spans="2:27">
      <c r="B425" s="47" t="s">
        <v>3480</v>
      </c>
      <c r="C425" s="41" t="s">
        <v>5357</v>
      </c>
      <c r="D425" s="60"/>
      <c r="E425" s="70"/>
      <c r="F425" s="60"/>
      <c r="G425" s="60"/>
      <c r="H425" s="60"/>
      <c r="I425" s="60"/>
    </row>
    <row r="427" spans="2:27">
      <c r="Z427" s="13" t="str">
        <f>Show!$B$157&amp;Show!$B$157&amp;"S.27.01.04.16 Rows {"&amp;COLUMN($C$1)&amp;"}"</f>
        <v>!!S.27.01.04.16 Rows {3}</v>
      </c>
      <c r="AA427" s="13" t="str">
        <f>Show!$B$157&amp;Show!$B$157&amp;"S.27.01.04.16 Columns {"&amp;COLUMN($I$1)&amp;"}"</f>
        <v>!!S.27.01.04.16 Columns {9}</v>
      </c>
    </row>
    <row r="429" spans="2:27" ht="18.75">
      <c r="B429" s="97" t="s">
        <v>5562</v>
      </c>
      <c r="C429" s="96"/>
      <c r="D429" s="96"/>
      <c r="E429" s="96"/>
      <c r="F429" s="96"/>
      <c r="G429" s="96"/>
      <c r="H429" s="96"/>
      <c r="I429" s="96"/>
      <c r="J429" s="96"/>
      <c r="K429" s="96"/>
      <c r="L429" s="96"/>
    </row>
    <row r="433" spans="2:27">
      <c r="D433" s="101" t="s">
        <v>2877</v>
      </c>
      <c r="E433" s="102"/>
      <c r="F433" s="102"/>
      <c r="G433" s="102"/>
      <c r="H433" s="103"/>
    </row>
    <row r="434" spans="2:27">
      <c r="D434" s="104"/>
      <c r="E434" s="105"/>
      <c r="F434" s="105"/>
      <c r="G434" s="105"/>
      <c r="H434" s="106"/>
    </row>
    <row r="435" spans="2:27">
      <c r="D435" s="107" t="s">
        <v>5359</v>
      </c>
      <c r="E435" s="108"/>
      <c r="F435" s="108"/>
      <c r="G435" s="108"/>
      <c r="H435" s="109"/>
    </row>
    <row r="436" spans="2:27" ht="105">
      <c r="D436" s="55" t="s">
        <v>5326</v>
      </c>
      <c r="E436" s="55" t="s">
        <v>5360</v>
      </c>
      <c r="F436" s="55" t="s">
        <v>5120</v>
      </c>
      <c r="G436" s="55" t="s">
        <v>5121</v>
      </c>
      <c r="H436" s="55" t="s">
        <v>5361</v>
      </c>
    </row>
    <row r="437" spans="2:27">
      <c r="D437" s="45" t="s">
        <v>4013</v>
      </c>
      <c r="E437" s="45" t="s">
        <v>4014</v>
      </c>
      <c r="F437" s="45" t="s">
        <v>4015</v>
      </c>
      <c r="G437" s="45" t="s">
        <v>4016</v>
      </c>
      <c r="H437" s="45" t="s">
        <v>4017</v>
      </c>
      <c r="Z437" s="13" t="str">
        <f>Show!$B$157&amp;"S.27.01.04.17 Rows {"&amp;COLUMN($C$1)&amp;"}"&amp;"@ForceFilingCode:true"</f>
        <v>!S.27.01.04.17 Rows {3}@ForceFilingCode:true</v>
      </c>
      <c r="AA437" s="13" t="str">
        <f>Show!$B$157&amp;"S.27.01.04.17 Columns {"&amp;COLUMN($D$1)&amp;"}"</f>
        <v>!S.27.01.04.17 Columns {4}</v>
      </c>
    </row>
    <row r="438" spans="2:27">
      <c r="B438" s="43" t="s">
        <v>2880</v>
      </c>
      <c r="C438" s="44" t="s">
        <v>2878</v>
      </c>
      <c r="D438" s="56"/>
      <c r="E438" s="66"/>
      <c r="F438" s="66"/>
      <c r="G438" s="66"/>
      <c r="H438" s="57"/>
    </row>
    <row r="439" spans="2:27">
      <c r="B439" s="47" t="s">
        <v>3480</v>
      </c>
      <c r="C439" s="41" t="s">
        <v>5362</v>
      </c>
      <c r="D439" s="60"/>
      <c r="E439" s="60"/>
      <c r="F439" s="60"/>
      <c r="G439" s="60"/>
      <c r="H439" s="60"/>
    </row>
    <row r="441" spans="2:27">
      <c r="Z441" s="13" t="str">
        <f>Show!$B$157&amp;Show!$B$157&amp;"S.27.01.04.17 Rows {"&amp;COLUMN($C$1)&amp;"}"</f>
        <v>!!S.27.01.04.17 Rows {3}</v>
      </c>
      <c r="AA441" s="13" t="str">
        <f>Show!$B$157&amp;Show!$B$157&amp;"S.27.01.04.17 Columns {"&amp;COLUMN($H$1)&amp;"}"</f>
        <v>!!S.27.01.04.17 Columns {8}</v>
      </c>
    </row>
    <row r="443" spans="2:27" ht="18.75">
      <c r="B443" s="97" t="s">
        <v>5563</v>
      </c>
      <c r="C443" s="96"/>
      <c r="D443" s="96"/>
      <c r="E443" s="96"/>
      <c r="F443" s="96"/>
      <c r="G443" s="96"/>
      <c r="H443" s="96"/>
      <c r="I443" s="96"/>
      <c r="J443" s="96"/>
      <c r="K443" s="96"/>
      <c r="L443" s="96"/>
    </row>
    <row r="447" spans="2:27">
      <c r="D447" s="101" t="s">
        <v>2877</v>
      </c>
      <c r="E447" s="102"/>
      <c r="F447" s="103"/>
    </row>
    <row r="448" spans="2:27">
      <c r="D448" s="104"/>
      <c r="E448" s="105"/>
      <c r="F448" s="106"/>
    </row>
    <row r="449" spans="2:27">
      <c r="D449" s="107" t="s">
        <v>5364</v>
      </c>
      <c r="E449" s="108"/>
      <c r="F449" s="109"/>
    </row>
    <row r="450" spans="2:27" ht="90">
      <c r="D450" s="55" t="s">
        <v>5365</v>
      </c>
      <c r="E450" s="55" t="s">
        <v>5306</v>
      </c>
      <c r="F450" s="55" t="s">
        <v>5366</v>
      </c>
    </row>
    <row r="451" spans="2:27">
      <c r="D451" s="45" t="s">
        <v>4018</v>
      </c>
      <c r="E451" s="45" t="s">
        <v>4019</v>
      </c>
      <c r="F451" s="45" t="s">
        <v>4020</v>
      </c>
      <c r="Z451" s="13" t="str">
        <f>Show!$B$157&amp;"S.27.01.04.18 Rows {"&amp;COLUMN($C$1)&amp;"}"&amp;"@ForceFilingCode:true"</f>
        <v>!S.27.01.04.18 Rows {3}@ForceFilingCode:true</v>
      </c>
      <c r="AA451" s="13" t="str">
        <f>Show!$B$157&amp;"S.27.01.04.18 Columns {"&amp;COLUMN($D$1)&amp;"}"</f>
        <v>!S.27.01.04.18 Columns {4}</v>
      </c>
    </row>
    <row r="452" spans="2:27">
      <c r="B452" s="43" t="s">
        <v>2880</v>
      </c>
      <c r="C452" s="44" t="s">
        <v>2878</v>
      </c>
      <c r="D452" s="56"/>
      <c r="E452" s="66"/>
      <c r="F452" s="57"/>
    </row>
    <row r="453" spans="2:27">
      <c r="B453" s="47" t="s">
        <v>5308</v>
      </c>
      <c r="C453" s="41" t="s">
        <v>5367</v>
      </c>
      <c r="D453" s="60"/>
      <c r="E453" s="63"/>
      <c r="F453" s="60"/>
    </row>
    <row r="454" spans="2:27">
      <c r="B454" s="47" t="s">
        <v>5309</v>
      </c>
      <c r="C454" s="41" t="s">
        <v>5368</v>
      </c>
      <c r="D454" s="64"/>
      <c r="E454" s="46"/>
      <c r="F454" s="60"/>
    </row>
    <row r="455" spans="2:27">
      <c r="B455" s="47" t="s">
        <v>5311</v>
      </c>
      <c r="C455" s="41" t="s">
        <v>5369</v>
      </c>
      <c r="D455" s="60"/>
      <c r="E455" s="60"/>
      <c r="F455" s="60"/>
    </row>
    <row r="457" spans="2:27">
      <c r="Z457" s="13" t="str">
        <f>Show!$B$157&amp;Show!$B$157&amp;"S.27.01.04.18 Rows {"&amp;COLUMN($C$1)&amp;"}"</f>
        <v>!!S.27.01.04.18 Rows {3}</v>
      </c>
      <c r="AA457" s="13" t="str">
        <f>Show!$B$157&amp;Show!$B$157&amp;"S.27.01.04.18 Columns {"&amp;COLUMN($F$1)&amp;"}"</f>
        <v>!!S.27.01.04.18 Columns {6}</v>
      </c>
    </row>
    <row r="459" spans="2:27" ht="18.75">
      <c r="B459" s="97" t="s">
        <v>5564</v>
      </c>
      <c r="C459" s="96"/>
      <c r="D459" s="96"/>
      <c r="E459" s="96"/>
      <c r="F459" s="96"/>
      <c r="G459" s="96"/>
      <c r="H459" s="96"/>
      <c r="I459" s="96"/>
      <c r="J459" s="96"/>
      <c r="K459" s="96"/>
      <c r="L459" s="96"/>
    </row>
    <row r="463" spans="2:27">
      <c r="D463" s="101" t="s">
        <v>2877</v>
      </c>
      <c r="E463" s="102"/>
      <c r="F463" s="102"/>
      <c r="G463" s="103"/>
    </row>
    <row r="464" spans="2:27">
      <c r="D464" s="104"/>
      <c r="E464" s="105"/>
      <c r="F464" s="105"/>
      <c r="G464" s="106"/>
    </row>
    <row r="465" spans="2:27">
      <c r="D465" s="107" t="s">
        <v>5371</v>
      </c>
      <c r="E465" s="108"/>
      <c r="F465" s="108"/>
      <c r="G465" s="109"/>
    </row>
    <row r="466" spans="2:27" ht="90">
      <c r="D466" s="55" t="s">
        <v>5114</v>
      </c>
      <c r="E466" s="55" t="s">
        <v>5372</v>
      </c>
      <c r="F466" s="55" t="s">
        <v>5306</v>
      </c>
      <c r="G466" s="55" t="s">
        <v>5373</v>
      </c>
    </row>
    <row r="467" spans="2:27">
      <c r="D467" s="45" t="s">
        <v>4021</v>
      </c>
      <c r="E467" s="45" t="s">
        <v>4022</v>
      </c>
      <c r="F467" s="45" t="s">
        <v>4023</v>
      </c>
      <c r="G467" s="45" t="s">
        <v>4025</v>
      </c>
      <c r="Z467" s="13" t="str">
        <f>Show!$B$157&amp;"S.27.01.04.19 Rows {"&amp;COLUMN($C$1)&amp;"}"&amp;"@ForceFilingCode:true"</f>
        <v>!S.27.01.04.19 Rows {3}@ForceFilingCode:true</v>
      </c>
      <c r="AA467" s="13" t="str">
        <f>Show!$B$157&amp;"S.27.01.04.19 Columns {"&amp;COLUMN($D$1)&amp;"}"</f>
        <v>!S.27.01.04.19 Columns {4}</v>
      </c>
    </row>
    <row r="468" spans="2:27">
      <c r="B468" s="43" t="s">
        <v>2880</v>
      </c>
      <c r="C468" s="44" t="s">
        <v>2878</v>
      </c>
      <c r="D468" s="56"/>
      <c r="E468" s="66"/>
      <c r="F468" s="67"/>
      <c r="G468" s="59"/>
    </row>
    <row r="469" spans="2:27">
      <c r="B469" s="47" t="s">
        <v>5374</v>
      </c>
      <c r="C469" s="41" t="s">
        <v>5375</v>
      </c>
      <c r="D469" s="60"/>
      <c r="E469" s="64"/>
      <c r="F469" s="58"/>
      <c r="G469" s="48"/>
    </row>
    <row r="470" spans="2:27">
      <c r="B470" s="47" t="s">
        <v>5376</v>
      </c>
      <c r="C470" s="41" t="s">
        <v>5377</v>
      </c>
      <c r="D470" s="60"/>
      <c r="E470" s="64"/>
      <c r="F470" s="58"/>
      <c r="G470" s="48"/>
    </row>
    <row r="471" spans="2:27">
      <c r="B471" s="47" t="s">
        <v>3471</v>
      </c>
      <c r="C471" s="41" t="s">
        <v>5378</v>
      </c>
      <c r="D471" s="60"/>
      <c r="E471" s="64"/>
      <c r="F471" s="58"/>
      <c r="G471" s="48"/>
    </row>
    <row r="472" spans="2:27">
      <c r="B472" s="47" t="s">
        <v>5379</v>
      </c>
      <c r="C472" s="41" t="s">
        <v>5380</v>
      </c>
      <c r="D472" s="60"/>
      <c r="E472" s="64"/>
      <c r="F472" s="58"/>
      <c r="G472" s="48"/>
    </row>
    <row r="473" spans="2:27">
      <c r="B473" s="47" t="s">
        <v>5381</v>
      </c>
      <c r="C473" s="41" t="s">
        <v>5382</v>
      </c>
      <c r="D473" s="63"/>
      <c r="E473" s="64"/>
      <c r="F473" s="56"/>
      <c r="G473" s="46"/>
    </row>
    <row r="474" spans="2:27">
      <c r="B474" s="47" t="s">
        <v>5308</v>
      </c>
      <c r="C474" s="44" t="s">
        <v>5383</v>
      </c>
      <c r="D474" s="48"/>
      <c r="E474" s="60"/>
      <c r="F474" s="60"/>
      <c r="G474" s="60"/>
    </row>
    <row r="475" spans="2:27">
      <c r="B475" s="47" t="s">
        <v>5384</v>
      </c>
      <c r="C475" s="44" t="s">
        <v>5385</v>
      </c>
      <c r="D475" s="48"/>
      <c r="E475" s="60"/>
      <c r="F475" s="60"/>
      <c r="G475" s="60"/>
    </row>
    <row r="476" spans="2:27">
      <c r="B476" s="47" t="s">
        <v>5311</v>
      </c>
      <c r="C476" s="44" t="s">
        <v>5386</v>
      </c>
      <c r="D476" s="46"/>
      <c r="E476" s="60"/>
      <c r="F476" s="60"/>
      <c r="G476" s="60"/>
    </row>
    <row r="478" spans="2:27">
      <c r="Z478" s="13" t="str">
        <f>Show!$B$157&amp;Show!$B$157&amp;"S.27.01.04.19 Rows {"&amp;COLUMN($C$1)&amp;"}"</f>
        <v>!!S.27.01.04.19 Rows {3}</v>
      </c>
      <c r="AA478" s="13" t="str">
        <f>Show!$B$157&amp;Show!$B$157&amp;"S.27.01.04.19 Columns {"&amp;COLUMN($G$1)&amp;"}"</f>
        <v>!!S.27.01.04.19 Columns {7}</v>
      </c>
    </row>
    <row r="480" spans="2:27" ht="18.75">
      <c r="B480" s="97" t="s">
        <v>5565</v>
      </c>
      <c r="C480" s="96"/>
      <c r="D480" s="96"/>
      <c r="E480" s="96"/>
      <c r="F480" s="96"/>
      <c r="G480" s="96"/>
      <c r="H480" s="96"/>
      <c r="I480" s="96"/>
      <c r="J480" s="96"/>
      <c r="K480" s="96"/>
      <c r="L480" s="96"/>
    </row>
    <row r="484" spans="2:27">
      <c r="D484" s="101" t="s">
        <v>2877</v>
      </c>
      <c r="E484" s="102"/>
      <c r="F484" s="102"/>
      <c r="G484" s="102"/>
      <c r="H484" s="102"/>
      <c r="I484" s="102"/>
      <c r="J484" s="102"/>
      <c r="K484" s="102"/>
      <c r="L484" s="102"/>
      <c r="M484" s="102"/>
      <c r="N484" s="102"/>
      <c r="O484" s="103"/>
    </row>
    <row r="485" spans="2:27">
      <c r="D485" s="104"/>
      <c r="E485" s="105"/>
      <c r="F485" s="105"/>
      <c r="G485" s="105"/>
      <c r="H485" s="105"/>
      <c r="I485" s="105"/>
      <c r="J485" s="105"/>
      <c r="K485" s="105"/>
      <c r="L485" s="105"/>
      <c r="M485" s="105"/>
      <c r="N485" s="105"/>
      <c r="O485" s="106"/>
    </row>
    <row r="486" spans="2:27">
      <c r="D486" s="107" t="s">
        <v>5388</v>
      </c>
      <c r="E486" s="109"/>
      <c r="F486" s="107" t="s">
        <v>5393</v>
      </c>
      <c r="G486" s="109"/>
      <c r="H486" s="107" t="s">
        <v>5395</v>
      </c>
      <c r="I486" s="109"/>
      <c r="J486" s="107" t="s">
        <v>5396</v>
      </c>
      <c r="K486" s="109"/>
      <c r="L486" s="98" t="s">
        <v>5119</v>
      </c>
      <c r="M486" s="98" t="s">
        <v>5120</v>
      </c>
      <c r="N486" s="98" t="s">
        <v>5121</v>
      </c>
      <c r="O486" s="98" t="s">
        <v>5122</v>
      </c>
    </row>
    <row r="487" spans="2:27" ht="45">
      <c r="D487" s="55" t="s">
        <v>5389</v>
      </c>
      <c r="E487" s="55" t="s">
        <v>5391</v>
      </c>
      <c r="F487" s="55" t="s">
        <v>5389</v>
      </c>
      <c r="G487" s="55" t="s">
        <v>5391</v>
      </c>
      <c r="H487" s="55" t="s">
        <v>5389</v>
      </c>
      <c r="I487" s="55" t="s">
        <v>5391</v>
      </c>
      <c r="J487" s="55" t="s">
        <v>5389</v>
      </c>
      <c r="K487" s="55" t="s">
        <v>5391</v>
      </c>
      <c r="L487" s="100"/>
      <c r="M487" s="100"/>
      <c r="N487" s="100"/>
      <c r="O487" s="100"/>
    </row>
    <row r="488" spans="2:27">
      <c r="D488" s="45" t="s">
        <v>5390</v>
      </c>
      <c r="E488" s="45" t="s">
        <v>5392</v>
      </c>
      <c r="F488" s="45" t="s">
        <v>5394</v>
      </c>
      <c r="G488" s="45" t="s">
        <v>4027</v>
      </c>
      <c r="H488" s="45" t="s">
        <v>4030</v>
      </c>
      <c r="I488" s="45" t="s">
        <v>4031</v>
      </c>
      <c r="J488" s="45" t="s">
        <v>4032</v>
      </c>
      <c r="K488" s="45" t="s">
        <v>4033</v>
      </c>
      <c r="L488" s="45" t="s">
        <v>4034</v>
      </c>
      <c r="M488" s="45" t="s">
        <v>4035</v>
      </c>
      <c r="N488" s="45" t="s">
        <v>4036</v>
      </c>
      <c r="O488" s="45" t="s">
        <v>4037</v>
      </c>
      <c r="Z488" s="13" t="str">
        <f>Show!$B$157&amp;"S.27.01.04.20 Rows {"&amp;COLUMN($C$1)&amp;"}"&amp;"@ForceFilingCode:true"</f>
        <v>!S.27.01.04.20 Rows {3}@ForceFilingCode:true</v>
      </c>
      <c r="AA488" s="13" t="str">
        <f>Show!$B$157&amp;"S.27.01.04.20 Columns {"&amp;COLUMN($D$1)&amp;"}"</f>
        <v>!S.27.01.04.20 Columns {4}</v>
      </c>
    </row>
    <row r="489" spans="2:27">
      <c r="B489" s="43" t="s">
        <v>2880</v>
      </c>
      <c r="C489" s="44" t="s">
        <v>2878</v>
      </c>
      <c r="D489" s="58"/>
      <c r="E489" s="67"/>
      <c r="F489" s="67"/>
      <c r="G489" s="67"/>
      <c r="H489" s="67"/>
      <c r="I489" s="67"/>
      <c r="J489" s="67"/>
      <c r="K489" s="67"/>
      <c r="L489" s="67"/>
      <c r="M489" s="67"/>
      <c r="N489" s="67"/>
      <c r="O489" s="59"/>
    </row>
    <row r="490" spans="2:27">
      <c r="B490" s="47" t="s">
        <v>5397</v>
      </c>
      <c r="C490" s="44" t="s">
        <v>2878</v>
      </c>
      <c r="D490" s="56"/>
      <c r="E490" s="66"/>
      <c r="F490" s="66"/>
      <c r="G490" s="66"/>
      <c r="H490" s="66"/>
      <c r="I490" s="66"/>
      <c r="J490" s="66"/>
      <c r="K490" s="66"/>
      <c r="L490" s="66"/>
      <c r="M490" s="66"/>
      <c r="N490" s="66"/>
      <c r="O490" s="57"/>
    </row>
    <row r="491" spans="2:27">
      <c r="B491" s="49" t="s">
        <v>5124</v>
      </c>
      <c r="C491" s="41" t="s">
        <v>5398</v>
      </c>
      <c r="D491" s="50"/>
      <c r="E491" s="60"/>
      <c r="F491" s="50"/>
      <c r="G491" s="60"/>
      <c r="H491" s="50"/>
      <c r="I491" s="60"/>
      <c r="J491" s="50"/>
      <c r="K491" s="60"/>
      <c r="L491" s="60"/>
      <c r="M491" s="60"/>
      <c r="N491" s="60"/>
      <c r="O491" s="60"/>
    </row>
    <row r="492" spans="2:27">
      <c r="B492" s="49" t="s">
        <v>5125</v>
      </c>
      <c r="C492" s="41" t="s">
        <v>5399</v>
      </c>
      <c r="D492" s="50"/>
      <c r="E492" s="60"/>
      <c r="F492" s="50"/>
      <c r="G492" s="60"/>
      <c r="H492" s="50"/>
      <c r="I492" s="60"/>
      <c r="J492" s="50"/>
      <c r="K492" s="60"/>
      <c r="L492" s="60"/>
      <c r="M492" s="60"/>
      <c r="N492" s="60"/>
      <c r="O492" s="60"/>
    </row>
    <row r="493" spans="2:27">
      <c r="B493" s="49" t="s">
        <v>5174</v>
      </c>
      <c r="C493" s="41" t="s">
        <v>5400</v>
      </c>
      <c r="D493" s="50"/>
      <c r="E493" s="60"/>
      <c r="F493" s="50"/>
      <c r="G493" s="60"/>
      <c r="H493" s="50"/>
      <c r="I493" s="60"/>
      <c r="J493" s="50"/>
      <c r="K493" s="60"/>
      <c r="L493" s="60"/>
      <c r="M493" s="60"/>
      <c r="N493" s="60"/>
      <c r="O493" s="60"/>
    </row>
    <row r="494" spans="2:27">
      <c r="B494" s="49" t="s">
        <v>5175</v>
      </c>
      <c r="C494" s="41" t="s">
        <v>5401</v>
      </c>
      <c r="D494" s="50"/>
      <c r="E494" s="60"/>
      <c r="F494" s="50"/>
      <c r="G494" s="60"/>
      <c r="H494" s="50"/>
      <c r="I494" s="60"/>
      <c r="J494" s="50"/>
      <c r="K494" s="60"/>
      <c r="L494" s="60"/>
      <c r="M494" s="60"/>
      <c r="N494" s="60"/>
      <c r="O494" s="60"/>
    </row>
    <row r="495" spans="2:27">
      <c r="B495" s="49" t="s">
        <v>5176</v>
      </c>
      <c r="C495" s="41" t="s">
        <v>5402</v>
      </c>
      <c r="D495" s="50"/>
      <c r="E495" s="60"/>
      <c r="F495" s="50"/>
      <c r="G495" s="60"/>
      <c r="H495" s="50"/>
      <c r="I495" s="60"/>
      <c r="J495" s="50"/>
      <c r="K495" s="60"/>
      <c r="L495" s="60"/>
      <c r="M495" s="60"/>
      <c r="N495" s="60"/>
      <c r="O495" s="60"/>
    </row>
    <row r="496" spans="2:27">
      <c r="B496" s="49" t="s">
        <v>5126</v>
      </c>
      <c r="C496" s="41" t="s">
        <v>5403</v>
      </c>
      <c r="D496" s="50"/>
      <c r="E496" s="60"/>
      <c r="F496" s="50"/>
      <c r="G496" s="60"/>
      <c r="H496" s="50"/>
      <c r="I496" s="60"/>
      <c r="J496" s="50"/>
      <c r="K496" s="60"/>
      <c r="L496" s="60"/>
      <c r="M496" s="60"/>
      <c r="N496" s="60"/>
      <c r="O496" s="60"/>
    </row>
    <row r="497" spans="2:15">
      <c r="B497" s="49" t="s">
        <v>5128</v>
      </c>
      <c r="C497" s="41" t="s">
        <v>5404</v>
      </c>
      <c r="D497" s="50"/>
      <c r="E497" s="60"/>
      <c r="F497" s="50"/>
      <c r="G497" s="60"/>
      <c r="H497" s="50"/>
      <c r="I497" s="60"/>
      <c r="J497" s="50"/>
      <c r="K497" s="60"/>
      <c r="L497" s="60"/>
      <c r="M497" s="60"/>
      <c r="N497" s="60"/>
      <c r="O497" s="60"/>
    </row>
    <row r="498" spans="2:15">
      <c r="B498" s="49" t="s">
        <v>5405</v>
      </c>
      <c r="C498" s="41" t="s">
        <v>5406</v>
      </c>
      <c r="D498" s="50"/>
      <c r="E498" s="60"/>
      <c r="F498" s="50"/>
      <c r="G498" s="60"/>
      <c r="H498" s="50"/>
      <c r="I498" s="60"/>
      <c r="J498" s="50"/>
      <c r="K498" s="60"/>
      <c r="L498" s="60"/>
      <c r="M498" s="60"/>
      <c r="N498" s="60"/>
      <c r="O498" s="60"/>
    </row>
    <row r="499" spans="2:15">
      <c r="B499" s="49" t="s">
        <v>5140</v>
      </c>
      <c r="C499" s="41" t="s">
        <v>5407</v>
      </c>
      <c r="D499" s="50"/>
      <c r="E499" s="60"/>
      <c r="F499" s="50"/>
      <c r="G499" s="60"/>
      <c r="H499" s="50"/>
      <c r="I499" s="60"/>
      <c r="J499" s="50"/>
      <c r="K499" s="60"/>
      <c r="L499" s="60"/>
      <c r="M499" s="60"/>
      <c r="N499" s="60"/>
      <c r="O499" s="60"/>
    </row>
    <row r="500" spans="2:15">
      <c r="B500" s="49" t="s">
        <v>5408</v>
      </c>
      <c r="C500" s="41" t="s">
        <v>5409</v>
      </c>
      <c r="D500" s="50"/>
      <c r="E500" s="60"/>
      <c r="F500" s="50"/>
      <c r="G500" s="60"/>
      <c r="H500" s="50"/>
      <c r="I500" s="60"/>
      <c r="J500" s="50"/>
      <c r="K500" s="60"/>
      <c r="L500" s="60"/>
      <c r="M500" s="60"/>
      <c r="N500" s="60"/>
      <c r="O500" s="60"/>
    </row>
    <row r="501" spans="2:15">
      <c r="B501" s="49" t="s">
        <v>5177</v>
      </c>
      <c r="C501" s="41" t="s">
        <v>5410</v>
      </c>
      <c r="D501" s="50"/>
      <c r="E501" s="60"/>
      <c r="F501" s="50"/>
      <c r="G501" s="60"/>
      <c r="H501" s="50"/>
      <c r="I501" s="60"/>
      <c r="J501" s="50"/>
      <c r="K501" s="60"/>
      <c r="L501" s="60"/>
      <c r="M501" s="60"/>
      <c r="N501" s="60"/>
      <c r="O501" s="60"/>
    </row>
    <row r="502" spans="2:15">
      <c r="B502" s="49" t="s">
        <v>5132</v>
      </c>
      <c r="C502" s="41" t="s">
        <v>5411</v>
      </c>
      <c r="D502" s="50"/>
      <c r="E502" s="60"/>
      <c r="F502" s="50"/>
      <c r="G502" s="60"/>
      <c r="H502" s="50"/>
      <c r="I502" s="60"/>
      <c r="J502" s="50"/>
      <c r="K502" s="60"/>
      <c r="L502" s="60"/>
      <c r="M502" s="60"/>
      <c r="N502" s="60"/>
      <c r="O502" s="60"/>
    </row>
    <row r="503" spans="2:15">
      <c r="B503" s="49" t="s">
        <v>5133</v>
      </c>
      <c r="C503" s="41" t="s">
        <v>5412</v>
      </c>
      <c r="D503" s="50"/>
      <c r="E503" s="60"/>
      <c r="F503" s="50"/>
      <c r="G503" s="60"/>
      <c r="H503" s="50"/>
      <c r="I503" s="60"/>
      <c r="J503" s="50"/>
      <c r="K503" s="60"/>
      <c r="L503" s="60"/>
      <c r="M503" s="60"/>
      <c r="N503" s="60"/>
      <c r="O503" s="60"/>
    </row>
    <row r="504" spans="2:15">
      <c r="B504" s="49" t="s">
        <v>5134</v>
      </c>
      <c r="C504" s="41" t="s">
        <v>5413</v>
      </c>
      <c r="D504" s="50"/>
      <c r="E504" s="60"/>
      <c r="F504" s="50"/>
      <c r="G504" s="60"/>
      <c r="H504" s="50"/>
      <c r="I504" s="60"/>
      <c r="J504" s="50"/>
      <c r="K504" s="60"/>
      <c r="L504" s="60"/>
      <c r="M504" s="60"/>
      <c r="N504" s="60"/>
      <c r="O504" s="60"/>
    </row>
    <row r="505" spans="2:15">
      <c r="B505" s="49" t="s">
        <v>5135</v>
      </c>
      <c r="C505" s="41" t="s">
        <v>5414</v>
      </c>
      <c r="D505" s="50"/>
      <c r="E505" s="60"/>
      <c r="F505" s="50"/>
      <c r="G505" s="60"/>
      <c r="H505" s="50"/>
      <c r="I505" s="60"/>
      <c r="J505" s="50"/>
      <c r="K505" s="60"/>
      <c r="L505" s="60"/>
      <c r="M505" s="60"/>
      <c r="N505" s="60"/>
      <c r="O505" s="60"/>
    </row>
    <row r="506" spans="2:15">
      <c r="B506" s="49" t="s">
        <v>5178</v>
      </c>
      <c r="C506" s="41" t="s">
        <v>5415</v>
      </c>
      <c r="D506" s="50"/>
      <c r="E506" s="60"/>
      <c r="F506" s="50"/>
      <c r="G506" s="60"/>
      <c r="H506" s="50"/>
      <c r="I506" s="60"/>
      <c r="J506" s="50"/>
      <c r="K506" s="60"/>
      <c r="L506" s="60"/>
      <c r="M506" s="60"/>
      <c r="N506" s="60"/>
      <c r="O506" s="60"/>
    </row>
    <row r="507" spans="2:15">
      <c r="B507" s="49" t="s">
        <v>5416</v>
      </c>
      <c r="C507" s="41" t="s">
        <v>5417</v>
      </c>
      <c r="D507" s="50"/>
      <c r="E507" s="60"/>
      <c r="F507" s="50"/>
      <c r="G507" s="60"/>
      <c r="H507" s="50"/>
      <c r="I507" s="60"/>
      <c r="J507" s="50"/>
      <c r="K507" s="60"/>
      <c r="L507" s="60"/>
      <c r="M507" s="60"/>
      <c r="N507" s="60"/>
      <c r="O507" s="60"/>
    </row>
    <row r="508" spans="2:15">
      <c r="B508" s="49" t="s">
        <v>5418</v>
      </c>
      <c r="C508" s="41" t="s">
        <v>5419</v>
      </c>
      <c r="D508" s="50"/>
      <c r="E508" s="60"/>
      <c r="F508" s="50"/>
      <c r="G508" s="60"/>
      <c r="H508" s="50"/>
      <c r="I508" s="60"/>
      <c r="J508" s="50"/>
      <c r="K508" s="60"/>
      <c r="L508" s="60"/>
      <c r="M508" s="60"/>
      <c r="N508" s="60"/>
      <c r="O508" s="60"/>
    </row>
    <row r="509" spans="2:15">
      <c r="B509" s="49" t="s">
        <v>5136</v>
      </c>
      <c r="C509" s="41" t="s">
        <v>5420</v>
      </c>
      <c r="D509" s="50"/>
      <c r="E509" s="60"/>
      <c r="F509" s="50"/>
      <c r="G509" s="60"/>
      <c r="H509" s="50"/>
      <c r="I509" s="60"/>
      <c r="J509" s="50"/>
      <c r="K509" s="60"/>
      <c r="L509" s="60"/>
      <c r="M509" s="60"/>
      <c r="N509" s="60"/>
      <c r="O509" s="60"/>
    </row>
    <row r="510" spans="2:15">
      <c r="B510" s="49" t="s">
        <v>5179</v>
      </c>
      <c r="C510" s="41" t="s">
        <v>5421</v>
      </c>
      <c r="D510" s="50"/>
      <c r="E510" s="60"/>
      <c r="F510" s="50"/>
      <c r="G510" s="60"/>
      <c r="H510" s="50"/>
      <c r="I510" s="60"/>
      <c r="J510" s="50"/>
      <c r="K510" s="60"/>
      <c r="L510" s="60"/>
      <c r="M510" s="60"/>
      <c r="N510" s="60"/>
      <c r="O510" s="60"/>
    </row>
    <row r="511" spans="2:15">
      <c r="B511" s="49" t="s">
        <v>5137</v>
      </c>
      <c r="C511" s="41" t="s">
        <v>5422</v>
      </c>
      <c r="D511" s="50"/>
      <c r="E511" s="60"/>
      <c r="F511" s="50"/>
      <c r="G511" s="60"/>
      <c r="H511" s="50"/>
      <c r="I511" s="60"/>
      <c r="J511" s="50"/>
      <c r="K511" s="60"/>
      <c r="L511" s="60"/>
      <c r="M511" s="60"/>
      <c r="N511" s="60"/>
      <c r="O511" s="60"/>
    </row>
    <row r="512" spans="2:15">
      <c r="B512" s="49" t="s">
        <v>5138</v>
      </c>
      <c r="C512" s="41" t="s">
        <v>5423</v>
      </c>
      <c r="D512" s="50"/>
      <c r="E512" s="60"/>
      <c r="F512" s="50"/>
      <c r="G512" s="60"/>
      <c r="H512" s="50"/>
      <c r="I512" s="60"/>
      <c r="J512" s="50"/>
      <c r="K512" s="60"/>
      <c r="L512" s="60"/>
      <c r="M512" s="60"/>
      <c r="N512" s="60"/>
      <c r="O512" s="60"/>
    </row>
    <row r="513" spans="2:27">
      <c r="B513" s="49" t="s">
        <v>5139</v>
      </c>
      <c r="C513" s="41" t="s">
        <v>5424</v>
      </c>
      <c r="D513" s="50"/>
      <c r="E513" s="60"/>
      <c r="F513" s="50"/>
      <c r="G513" s="60"/>
      <c r="H513" s="50"/>
      <c r="I513" s="60"/>
      <c r="J513" s="50"/>
      <c r="K513" s="60"/>
      <c r="L513" s="60"/>
      <c r="M513" s="60"/>
      <c r="N513" s="60"/>
      <c r="O513" s="60"/>
    </row>
    <row r="514" spans="2:27">
      <c r="B514" s="49" t="s">
        <v>5180</v>
      </c>
      <c r="C514" s="41" t="s">
        <v>5425</v>
      </c>
      <c r="D514" s="50"/>
      <c r="E514" s="60"/>
      <c r="F514" s="50"/>
      <c r="G514" s="60"/>
      <c r="H514" s="50"/>
      <c r="I514" s="60"/>
      <c r="J514" s="50"/>
      <c r="K514" s="60"/>
      <c r="L514" s="60"/>
      <c r="M514" s="60"/>
      <c r="N514" s="60"/>
      <c r="O514" s="60"/>
    </row>
    <row r="515" spans="2:27">
      <c r="B515" s="49" t="s">
        <v>5181</v>
      </c>
      <c r="C515" s="41" t="s">
        <v>5426</v>
      </c>
      <c r="D515" s="50"/>
      <c r="E515" s="60"/>
      <c r="F515" s="50"/>
      <c r="G515" s="60"/>
      <c r="H515" s="50"/>
      <c r="I515" s="60"/>
      <c r="J515" s="50"/>
      <c r="K515" s="60"/>
      <c r="L515" s="60"/>
      <c r="M515" s="60"/>
      <c r="N515" s="60"/>
      <c r="O515" s="60"/>
    </row>
    <row r="516" spans="2:27">
      <c r="B516" s="49" t="s">
        <v>5182</v>
      </c>
      <c r="C516" s="41" t="s">
        <v>5427</v>
      </c>
      <c r="D516" s="50"/>
      <c r="E516" s="60"/>
      <c r="F516" s="50"/>
      <c r="G516" s="60"/>
      <c r="H516" s="50"/>
      <c r="I516" s="60"/>
      <c r="J516" s="50"/>
      <c r="K516" s="60"/>
      <c r="L516" s="60"/>
      <c r="M516" s="60"/>
      <c r="N516" s="60"/>
      <c r="O516" s="60"/>
    </row>
    <row r="517" spans="2:27">
      <c r="B517" s="49" t="s">
        <v>5129</v>
      </c>
      <c r="C517" s="41" t="s">
        <v>5428</v>
      </c>
      <c r="D517" s="50"/>
      <c r="E517" s="60"/>
      <c r="F517" s="50"/>
      <c r="G517" s="60"/>
      <c r="H517" s="50"/>
      <c r="I517" s="60"/>
      <c r="J517" s="50"/>
      <c r="K517" s="60"/>
      <c r="L517" s="60"/>
      <c r="M517" s="60"/>
      <c r="N517" s="60"/>
      <c r="O517" s="60"/>
    </row>
    <row r="518" spans="2:27">
      <c r="B518" s="49" t="s">
        <v>5142</v>
      </c>
      <c r="C518" s="41" t="s">
        <v>5429</v>
      </c>
      <c r="D518" s="50"/>
      <c r="E518" s="60"/>
      <c r="F518" s="50"/>
      <c r="G518" s="60"/>
      <c r="H518" s="50"/>
      <c r="I518" s="60"/>
      <c r="J518" s="50"/>
      <c r="K518" s="60"/>
      <c r="L518" s="60"/>
      <c r="M518" s="60"/>
      <c r="N518" s="60"/>
      <c r="O518" s="60"/>
    </row>
    <row r="519" spans="2:27">
      <c r="B519" s="49" t="s">
        <v>5143</v>
      </c>
      <c r="C519" s="41" t="s">
        <v>5430</v>
      </c>
      <c r="D519" s="50"/>
      <c r="E519" s="60"/>
      <c r="F519" s="50"/>
      <c r="G519" s="60"/>
      <c r="H519" s="50"/>
      <c r="I519" s="60"/>
      <c r="J519" s="50"/>
      <c r="K519" s="60"/>
      <c r="L519" s="60"/>
      <c r="M519" s="60"/>
      <c r="N519" s="60"/>
      <c r="O519" s="60"/>
    </row>
    <row r="520" spans="2:27">
      <c r="B520" s="49" t="s">
        <v>5431</v>
      </c>
      <c r="C520" s="41" t="s">
        <v>5432</v>
      </c>
      <c r="D520" s="50"/>
      <c r="E520" s="60"/>
      <c r="F520" s="50"/>
      <c r="G520" s="60"/>
      <c r="H520" s="50"/>
      <c r="I520" s="60"/>
      <c r="J520" s="50"/>
      <c r="K520" s="60"/>
      <c r="L520" s="60"/>
      <c r="M520" s="60"/>
      <c r="N520" s="60"/>
      <c r="O520" s="60"/>
    </row>
    <row r="521" spans="2:27">
      <c r="B521" s="49" t="s">
        <v>5144</v>
      </c>
      <c r="C521" s="41" t="s">
        <v>5433</v>
      </c>
      <c r="D521" s="74"/>
      <c r="E521" s="63"/>
      <c r="F521" s="74"/>
      <c r="G521" s="63"/>
      <c r="H521" s="74"/>
      <c r="I521" s="63"/>
      <c r="J521" s="74"/>
      <c r="K521" s="63"/>
      <c r="L521" s="60"/>
      <c r="M521" s="60"/>
      <c r="N521" s="60"/>
      <c r="O521" s="60"/>
    </row>
    <row r="522" spans="2:27">
      <c r="B522" s="49" t="s">
        <v>5434</v>
      </c>
      <c r="C522" s="44" t="s">
        <v>5435</v>
      </c>
      <c r="D522" s="58"/>
      <c r="E522" s="58"/>
      <c r="F522" s="58"/>
      <c r="G522" s="58"/>
      <c r="H522" s="58"/>
      <c r="I522" s="58"/>
      <c r="J522" s="58"/>
      <c r="K522" s="48"/>
      <c r="L522" s="60"/>
      <c r="M522" s="63"/>
      <c r="N522" s="63"/>
      <c r="O522" s="60"/>
    </row>
    <row r="523" spans="2:27">
      <c r="B523" s="49" t="s">
        <v>5436</v>
      </c>
      <c r="C523" s="44" t="s">
        <v>5437</v>
      </c>
      <c r="D523" s="58"/>
      <c r="E523" s="58"/>
      <c r="F523" s="58"/>
      <c r="G523" s="58"/>
      <c r="H523" s="58"/>
      <c r="I523" s="58"/>
      <c r="J523" s="58"/>
      <c r="K523" s="48"/>
      <c r="L523" s="64"/>
      <c r="M523" s="58"/>
      <c r="N523" s="48"/>
      <c r="O523" s="60"/>
    </row>
    <row r="524" spans="2:27">
      <c r="B524" s="49" t="s">
        <v>5438</v>
      </c>
      <c r="C524" s="44" t="s">
        <v>5439</v>
      </c>
      <c r="D524" s="56"/>
      <c r="E524" s="56"/>
      <c r="F524" s="56"/>
      <c r="G524" s="56"/>
      <c r="H524" s="56"/>
      <c r="I524" s="56"/>
      <c r="J524" s="56"/>
      <c r="K524" s="46"/>
      <c r="L524" s="64"/>
      <c r="M524" s="56"/>
      <c r="N524" s="46"/>
      <c r="O524" s="60"/>
    </row>
    <row r="526" spans="2:27">
      <c r="Z526" s="13" t="str">
        <f>Show!$B$157&amp;Show!$B$157&amp;"S.27.01.04.20 Rows {"&amp;COLUMN($C$1)&amp;"}"</f>
        <v>!!S.27.01.04.20 Rows {3}</v>
      </c>
      <c r="AA526" s="13" t="str">
        <f>Show!$B$157&amp;Show!$B$157&amp;"S.27.01.04.20 Columns {"&amp;COLUMN($O$1)&amp;"}"</f>
        <v>!!S.27.01.04.20 Columns {15}</v>
      </c>
    </row>
    <row r="528" spans="2:27" ht="18.75">
      <c r="B528" s="97" t="s">
        <v>5566</v>
      </c>
      <c r="C528" s="96"/>
      <c r="D528" s="96"/>
      <c r="E528" s="96"/>
      <c r="F528" s="96"/>
      <c r="G528" s="96"/>
      <c r="H528" s="96"/>
      <c r="I528" s="96"/>
      <c r="J528" s="96"/>
      <c r="K528" s="96"/>
      <c r="L528" s="96"/>
    </row>
    <row r="532" spans="2:27">
      <c r="D532" s="101" t="s">
        <v>2877</v>
      </c>
      <c r="E532" s="102"/>
      <c r="F532" s="102"/>
      <c r="G532" s="102"/>
      <c r="H532" s="102"/>
      <c r="I532" s="102"/>
      <c r="J532" s="102"/>
      <c r="K532" s="102"/>
      <c r="L532" s="103"/>
    </row>
    <row r="533" spans="2:27">
      <c r="D533" s="104"/>
      <c r="E533" s="105"/>
      <c r="F533" s="105"/>
      <c r="G533" s="105"/>
      <c r="H533" s="105"/>
      <c r="I533" s="105"/>
      <c r="J533" s="105"/>
      <c r="K533" s="105"/>
      <c r="L533" s="106"/>
    </row>
    <row r="534" spans="2:27">
      <c r="D534" s="98" t="s">
        <v>5441</v>
      </c>
      <c r="E534" s="107" t="s">
        <v>5442</v>
      </c>
      <c r="F534" s="108"/>
      <c r="G534" s="108"/>
      <c r="H534" s="109"/>
      <c r="I534" s="98" t="s">
        <v>5119</v>
      </c>
      <c r="J534" s="98" t="s">
        <v>5120</v>
      </c>
      <c r="K534" s="98" t="s">
        <v>5121</v>
      </c>
      <c r="L534" s="98" t="s">
        <v>5122</v>
      </c>
    </row>
    <row r="535" spans="2:27" ht="30">
      <c r="D535" s="100"/>
      <c r="E535" s="55" t="s">
        <v>5388</v>
      </c>
      <c r="F535" s="55" t="s">
        <v>5393</v>
      </c>
      <c r="G535" s="55" t="s">
        <v>5395</v>
      </c>
      <c r="H535" s="55" t="s">
        <v>5396</v>
      </c>
      <c r="I535" s="100"/>
      <c r="J535" s="100"/>
      <c r="K535" s="100"/>
      <c r="L535" s="100"/>
    </row>
    <row r="536" spans="2:27">
      <c r="D536" s="45" t="s">
        <v>4038</v>
      </c>
      <c r="E536" s="45" t="s">
        <v>4039</v>
      </c>
      <c r="F536" s="45" t="s">
        <v>4040</v>
      </c>
      <c r="G536" s="45" t="s">
        <v>4042</v>
      </c>
      <c r="H536" s="45" t="s">
        <v>4044</v>
      </c>
      <c r="I536" s="45" t="s">
        <v>4045</v>
      </c>
      <c r="J536" s="45" t="s">
        <v>5443</v>
      </c>
      <c r="K536" s="45" t="s">
        <v>5444</v>
      </c>
      <c r="L536" s="45" t="s">
        <v>4047</v>
      </c>
      <c r="Z536" s="13" t="str">
        <f>Show!$B$157&amp;"S.27.01.04.21 Rows {"&amp;COLUMN($C$1)&amp;"}"&amp;"@ForceFilingCode:true"</f>
        <v>!S.27.01.04.21 Rows {3}@ForceFilingCode:true</v>
      </c>
      <c r="AA536" s="13" t="str">
        <f>Show!$B$157&amp;"S.27.01.04.21 Columns {"&amp;COLUMN($D$1)&amp;"}"</f>
        <v>!S.27.01.04.21 Columns {4}</v>
      </c>
    </row>
    <row r="537" spans="2:27">
      <c r="B537" s="43" t="s">
        <v>2880</v>
      </c>
      <c r="C537" s="44" t="s">
        <v>2878</v>
      </c>
      <c r="D537" s="58"/>
      <c r="E537" s="67"/>
      <c r="F537" s="67"/>
      <c r="G537" s="67"/>
      <c r="H537" s="67"/>
      <c r="I537" s="67"/>
      <c r="J537" s="67"/>
      <c r="K537" s="67"/>
      <c r="L537" s="59"/>
    </row>
    <row r="538" spans="2:27">
      <c r="B538" s="47" t="s">
        <v>5445</v>
      </c>
      <c r="C538" s="44" t="s">
        <v>2878</v>
      </c>
      <c r="D538" s="56"/>
      <c r="E538" s="66"/>
      <c r="F538" s="66"/>
      <c r="G538" s="66"/>
      <c r="H538" s="66"/>
      <c r="I538" s="66"/>
      <c r="J538" s="66"/>
      <c r="K538" s="66"/>
      <c r="L538" s="57"/>
    </row>
    <row r="539" spans="2:27">
      <c r="B539" s="49" t="s">
        <v>5124</v>
      </c>
      <c r="C539" s="41" t="s">
        <v>5446</v>
      </c>
      <c r="D539" s="50"/>
      <c r="E539" s="60"/>
      <c r="F539" s="60"/>
      <c r="G539" s="60"/>
      <c r="H539" s="60"/>
      <c r="I539" s="60"/>
      <c r="J539" s="60"/>
      <c r="K539" s="60"/>
      <c r="L539" s="60"/>
    </row>
    <row r="540" spans="2:27">
      <c r="B540" s="49" t="s">
        <v>5125</v>
      </c>
      <c r="C540" s="41" t="s">
        <v>5447</v>
      </c>
      <c r="D540" s="50"/>
      <c r="E540" s="60"/>
      <c r="F540" s="60"/>
      <c r="G540" s="60"/>
      <c r="H540" s="60"/>
      <c r="I540" s="60"/>
      <c r="J540" s="60"/>
      <c r="K540" s="60"/>
      <c r="L540" s="60"/>
    </row>
    <row r="541" spans="2:27">
      <c r="B541" s="49" t="s">
        <v>5174</v>
      </c>
      <c r="C541" s="41" t="s">
        <v>5448</v>
      </c>
      <c r="D541" s="50"/>
      <c r="E541" s="60"/>
      <c r="F541" s="60"/>
      <c r="G541" s="60"/>
      <c r="H541" s="60"/>
      <c r="I541" s="60"/>
      <c r="J541" s="60"/>
      <c r="K541" s="60"/>
      <c r="L541" s="60"/>
    </row>
    <row r="542" spans="2:27">
      <c r="B542" s="49" t="s">
        <v>5175</v>
      </c>
      <c r="C542" s="41" t="s">
        <v>5449</v>
      </c>
      <c r="D542" s="50"/>
      <c r="E542" s="60"/>
      <c r="F542" s="60"/>
      <c r="G542" s="60"/>
      <c r="H542" s="60"/>
      <c r="I542" s="60"/>
      <c r="J542" s="60"/>
      <c r="K542" s="60"/>
      <c r="L542" s="60"/>
    </row>
    <row r="543" spans="2:27">
      <c r="B543" s="49" t="s">
        <v>5176</v>
      </c>
      <c r="C543" s="41" t="s">
        <v>5450</v>
      </c>
      <c r="D543" s="50"/>
      <c r="E543" s="60"/>
      <c r="F543" s="60"/>
      <c r="G543" s="60"/>
      <c r="H543" s="60"/>
      <c r="I543" s="60"/>
      <c r="J543" s="60"/>
      <c r="K543" s="60"/>
      <c r="L543" s="60"/>
    </row>
    <row r="544" spans="2:27">
      <c r="B544" s="49" t="s">
        <v>5126</v>
      </c>
      <c r="C544" s="41" t="s">
        <v>5451</v>
      </c>
      <c r="D544" s="50"/>
      <c r="E544" s="60"/>
      <c r="F544" s="60"/>
      <c r="G544" s="60"/>
      <c r="H544" s="60"/>
      <c r="I544" s="60"/>
      <c r="J544" s="60"/>
      <c r="K544" s="60"/>
      <c r="L544" s="60"/>
    </row>
    <row r="545" spans="2:12">
      <c r="B545" s="49" t="s">
        <v>5128</v>
      </c>
      <c r="C545" s="41" t="s">
        <v>5452</v>
      </c>
      <c r="D545" s="50"/>
      <c r="E545" s="60"/>
      <c r="F545" s="60"/>
      <c r="G545" s="60"/>
      <c r="H545" s="60"/>
      <c r="I545" s="60"/>
      <c r="J545" s="60"/>
      <c r="K545" s="60"/>
      <c r="L545" s="60"/>
    </row>
    <row r="546" spans="2:12">
      <c r="B546" s="49" t="s">
        <v>5405</v>
      </c>
      <c r="C546" s="41" t="s">
        <v>5453</v>
      </c>
      <c r="D546" s="50"/>
      <c r="E546" s="60"/>
      <c r="F546" s="60"/>
      <c r="G546" s="60"/>
      <c r="H546" s="60"/>
      <c r="I546" s="60"/>
      <c r="J546" s="60"/>
      <c r="K546" s="60"/>
      <c r="L546" s="60"/>
    </row>
    <row r="547" spans="2:12">
      <c r="B547" s="49" t="s">
        <v>5140</v>
      </c>
      <c r="C547" s="41" t="s">
        <v>5454</v>
      </c>
      <c r="D547" s="50"/>
      <c r="E547" s="60"/>
      <c r="F547" s="60"/>
      <c r="G547" s="60"/>
      <c r="H547" s="60"/>
      <c r="I547" s="60"/>
      <c r="J547" s="60"/>
      <c r="K547" s="60"/>
      <c r="L547" s="60"/>
    </row>
    <row r="548" spans="2:12">
      <c r="B548" s="49" t="s">
        <v>5455</v>
      </c>
      <c r="C548" s="41" t="s">
        <v>5456</v>
      </c>
      <c r="D548" s="50"/>
      <c r="E548" s="60"/>
      <c r="F548" s="60"/>
      <c r="G548" s="60"/>
      <c r="H548" s="60"/>
      <c r="I548" s="60"/>
      <c r="J548" s="60"/>
      <c r="K548" s="60"/>
      <c r="L548" s="60"/>
    </row>
    <row r="549" spans="2:12">
      <c r="B549" s="49" t="s">
        <v>5177</v>
      </c>
      <c r="C549" s="41" t="s">
        <v>5457</v>
      </c>
      <c r="D549" s="50"/>
      <c r="E549" s="60"/>
      <c r="F549" s="60"/>
      <c r="G549" s="60"/>
      <c r="H549" s="60"/>
      <c r="I549" s="60"/>
      <c r="J549" s="60"/>
      <c r="K549" s="60"/>
      <c r="L549" s="60"/>
    </row>
    <row r="550" spans="2:12">
      <c r="B550" s="49" t="s">
        <v>5132</v>
      </c>
      <c r="C550" s="41" t="s">
        <v>5458</v>
      </c>
      <c r="D550" s="50"/>
      <c r="E550" s="60"/>
      <c r="F550" s="60"/>
      <c r="G550" s="60"/>
      <c r="H550" s="60"/>
      <c r="I550" s="60"/>
      <c r="J550" s="60"/>
      <c r="K550" s="60"/>
      <c r="L550" s="60"/>
    </row>
    <row r="551" spans="2:12">
      <c r="B551" s="49" t="s">
        <v>5133</v>
      </c>
      <c r="C551" s="41" t="s">
        <v>5459</v>
      </c>
      <c r="D551" s="50"/>
      <c r="E551" s="60"/>
      <c r="F551" s="60"/>
      <c r="G551" s="60"/>
      <c r="H551" s="60"/>
      <c r="I551" s="60"/>
      <c r="J551" s="60"/>
      <c r="K551" s="60"/>
      <c r="L551" s="60"/>
    </row>
    <row r="552" spans="2:12">
      <c r="B552" s="49" t="s">
        <v>5134</v>
      </c>
      <c r="C552" s="41" t="s">
        <v>5460</v>
      </c>
      <c r="D552" s="50"/>
      <c r="E552" s="60"/>
      <c r="F552" s="60"/>
      <c r="G552" s="60"/>
      <c r="H552" s="60"/>
      <c r="I552" s="60"/>
      <c r="J552" s="60"/>
      <c r="K552" s="60"/>
      <c r="L552" s="60"/>
    </row>
    <row r="553" spans="2:12">
      <c r="B553" s="49" t="s">
        <v>5135</v>
      </c>
      <c r="C553" s="41" t="s">
        <v>5461</v>
      </c>
      <c r="D553" s="50"/>
      <c r="E553" s="60"/>
      <c r="F553" s="60"/>
      <c r="G553" s="60"/>
      <c r="H553" s="60"/>
      <c r="I553" s="60"/>
      <c r="J553" s="60"/>
      <c r="K553" s="60"/>
      <c r="L553" s="60"/>
    </row>
    <row r="554" spans="2:12">
      <c r="B554" s="49" t="s">
        <v>5462</v>
      </c>
      <c r="C554" s="41" t="s">
        <v>5463</v>
      </c>
      <c r="D554" s="50"/>
      <c r="E554" s="60"/>
      <c r="F554" s="60"/>
      <c r="G554" s="60"/>
      <c r="H554" s="60"/>
      <c r="I554" s="60"/>
      <c r="J554" s="60"/>
      <c r="K554" s="60"/>
      <c r="L554" s="60"/>
    </row>
    <row r="555" spans="2:12">
      <c r="B555" s="49" t="s">
        <v>5416</v>
      </c>
      <c r="C555" s="41" t="s">
        <v>5464</v>
      </c>
      <c r="D555" s="50"/>
      <c r="E555" s="60"/>
      <c r="F555" s="60"/>
      <c r="G555" s="60"/>
      <c r="H555" s="60"/>
      <c r="I555" s="60"/>
      <c r="J555" s="60"/>
      <c r="K555" s="60"/>
      <c r="L555" s="60"/>
    </row>
    <row r="556" spans="2:12">
      <c r="B556" s="49" t="s">
        <v>5418</v>
      </c>
      <c r="C556" s="41" t="s">
        <v>5465</v>
      </c>
      <c r="D556" s="50"/>
      <c r="E556" s="60"/>
      <c r="F556" s="60"/>
      <c r="G556" s="60"/>
      <c r="H556" s="60"/>
      <c r="I556" s="60"/>
      <c r="J556" s="60"/>
      <c r="K556" s="60"/>
      <c r="L556" s="60"/>
    </row>
    <row r="557" spans="2:12">
      <c r="B557" s="49" t="s">
        <v>5136</v>
      </c>
      <c r="C557" s="41" t="s">
        <v>5466</v>
      </c>
      <c r="D557" s="50"/>
      <c r="E557" s="60"/>
      <c r="F557" s="60"/>
      <c r="G557" s="60"/>
      <c r="H557" s="60"/>
      <c r="I557" s="60"/>
      <c r="J557" s="60"/>
      <c r="K557" s="60"/>
      <c r="L557" s="60"/>
    </row>
    <row r="558" spans="2:12">
      <c r="B558" s="49" t="s">
        <v>5179</v>
      </c>
      <c r="C558" s="41" t="s">
        <v>5467</v>
      </c>
      <c r="D558" s="50"/>
      <c r="E558" s="60"/>
      <c r="F558" s="60"/>
      <c r="G558" s="60"/>
      <c r="H558" s="60"/>
      <c r="I558" s="60"/>
      <c r="J558" s="60"/>
      <c r="K558" s="60"/>
      <c r="L558" s="60"/>
    </row>
    <row r="559" spans="2:12">
      <c r="B559" s="49" t="s">
        <v>5137</v>
      </c>
      <c r="C559" s="41" t="s">
        <v>5468</v>
      </c>
      <c r="D559" s="50"/>
      <c r="E559" s="60"/>
      <c r="F559" s="60"/>
      <c r="G559" s="60"/>
      <c r="H559" s="60"/>
      <c r="I559" s="60"/>
      <c r="J559" s="60"/>
      <c r="K559" s="60"/>
      <c r="L559" s="60"/>
    </row>
    <row r="560" spans="2:12">
      <c r="B560" s="49" t="s">
        <v>5138</v>
      </c>
      <c r="C560" s="41" t="s">
        <v>5469</v>
      </c>
      <c r="D560" s="50"/>
      <c r="E560" s="60"/>
      <c r="F560" s="60"/>
      <c r="G560" s="60"/>
      <c r="H560" s="60"/>
      <c r="I560" s="60"/>
      <c r="J560" s="60"/>
      <c r="K560" s="60"/>
      <c r="L560" s="60"/>
    </row>
    <row r="561" spans="2:27">
      <c r="B561" s="49" t="s">
        <v>5139</v>
      </c>
      <c r="C561" s="41" t="s">
        <v>5470</v>
      </c>
      <c r="D561" s="50"/>
      <c r="E561" s="60"/>
      <c r="F561" s="60"/>
      <c r="G561" s="60"/>
      <c r="H561" s="60"/>
      <c r="I561" s="60"/>
      <c r="J561" s="60"/>
      <c r="K561" s="60"/>
      <c r="L561" s="60"/>
    </row>
    <row r="562" spans="2:27">
      <c r="B562" s="49" t="s">
        <v>5180</v>
      </c>
      <c r="C562" s="41" t="s">
        <v>5471</v>
      </c>
      <c r="D562" s="50"/>
      <c r="E562" s="60"/>
      <c r="F562" s="60"/>
      <c r="G562" s="60"/>
      <c r="H562" s="60"/>
      <c r="I562" s="60"/>
      <c r="J562" s="60"/>
      <c r="K562" s="60"/>
      <c r="L562" s="60"/>
    </row>
    <row r="563" spans="2:27">
      <c r="B563" s="49" t="s">
        <v>5181</v>
      </c>
      <c r="C563" s="41" t="s">
        <v>5472</v>
      </c>
      <c r="D563" s="50"/>
      <c r="E563" s="60"/>
      <c r="F563" s="60"/>
      <c r="G563" s="60"/>
      <c r="H563" s="60"/>
      <c r="I563" s="60"/>
      <c r="J563" s="60"/>
      <c r="K563" s="60"/>
      <c r="L563" s="60"/>
    </row>
    <row r="564" spans="2:27">
      <c r="B564" s="49" t="s">
        <v>5182</v>
      </c>
      <c r="C564" s="41" t="s">
        <v>5473</v>
      </c>
      <c r="D564" s="50"/>
      <c r="E564" s="60"/>
      <c r="F564" s="60"/>
      <c r="G564" s="60"/>
      <c r="H564" s="60"/>
      <c r="I564" s="60"/>
      <c r="J564" s="60"/>
      <c r="K564" s="60"/>
      <c r="L564" s="60"/>
    </row>
    <row r="565" spans="2:27">
      <c r="B565" s="49" t="s">
        <v>5129</v>
      </c>
      <c r="C565" s="41" t="s">
        <v>5474</v>
      </c>
      <c r="D565" s="50"/>
      <c r="E565" s="60"/>
      <c r="F565" s="60"/>
      <c r="G565" s="60"/>
      <c r="H565" s="60"/>
      <c r="I565" s="60"/>
      <c r="J565" s="60"/>
      <c r="K565" s="60"/>
      <c r="L565" s="60"/>
    </row>
    <row r="566" spans="2:27">
      <c r="B566" s="49" t="s">
        <v>5142</v>
      </c>
      <c r="C566" s="41" t="s">
        <v>5475</v>
      </c>
      <c r="D566" s="50"/>
      <c r="E566" s="60"/>
      <c r="F566" s="60"/>
      <c r="G566" s="60"/>
      <c r="H566" s="60"/>
      <c r="I566" s="60"/>
      <c r="J566" s="60"/>
      <c r="K566" s="60"/>
      <c r="L566" s="60"/>
    </row>
    <row r="567" spans="2:27">
      <c r="B567" s="49" t="s">
        <v>5143</v>
      </c>
      <c r="C567" s="41" t="s">
        <v>5476</v>
      </c>
      <c r="D567" s="50"/>
      <c r="E567" s="60"/>
      <c r="F567" s="60"/>
      <c r="G567" s="60"/>
      <c r="H567" s="60"/>
      <c r="I567" s="60"/>
      <c r="J567" s="60"/>
      <c r="K567" s="60"/>
      <c r="L567" s="60"/>
    </row>
    <row r="568" spans="2:27">
      <c r="B568" s="49" t="s">
        <v>5431</v>
      </c>
      <c r="C568" s="41" t="s">
        <v>5477</v>
      </c>
      <c r="D568" s="50"/>
      <c r="E568" s="60"/>
      <c r="F568" s="60"/>
      <c r="G568" s="60"/>
      <c r="H568" s="60"/>
      <c r="I568" s="60"/>
      <c r="J568" s="60"/>
      <c r="K568" s="60"/>
      <c r="L568" s="60"/>
    </row>
    <row r="569" spans="2:27">
      <c r="B569" s="49" t="s">
        <v>5144</v>
      </c>
      <c r="C569" s="41" t="s">
        <v>5478</v>
      </c>
      <c r="D569" s="50"/>
      <c r="E569" s="60"/>
      <c r="F569" s="60"/>
      <c r="G569" s="60"/>
      <c r="H569" s="60"/>
      <c r="I569" s="60"/>
      <c r="J569" s="60"/>
      <c r="K569" s="60"/>
      <c r="L569" s="60"/>
    </row>
    <row r="571" spans="2:27">
      <c r="Z571" s="13" t="str">
        <f>Show!$B$157&amp;Show!$B$157&amp;"S.27.01.04.21 Rows {"&amp;COLUMN($C$1)&amp;"}"</f>
        <v>!!S.27.01.04.21 Rows {3}</v>
      </c>
      <c r="AA571" s="13" t="str">
        <f>Show!$B$157&amp;Show!$B$157&amp;"S.27.01.04.21 Columns {"&amp;COLUMN($L$1)&amp;"}"</f>
        <v>!!S.27.01.04.21 Columns {12}</v>
      </c>
    </row>
    <row r="573" spans="2:27" ht="18.75">
      <c r="B573" s="97" t="s">
        <v>5567</v>
      </c>
      <c r="C573" s="96"/>
      <c r="D573" s="96"/>
      <c r="E573" s="96"/>
      <c r="F573" s="96"/>
      <c r="G573" s="96"/>
      <c r="H573" s="96"/>
      <c r="I573" s="96"/>
      <c r="J573" s="96"/>
      <c r="K573" s="96"/>
      <c r="L573" s="96"/>
    </row>
    <row r="577" spans="2:27">
      <c r="D577" s="101" t="s">
        <v>2877</v>
      </c>
      <c r="E577" s="102"/>
      <c r="F577" s="102"/>
      <c r="G577" s="102"/>
      <c r="H577" s="102"/>
      <c r="I577" s="102"/>
      <c r="J577" s="102"/>
      <c r="K577" s="102"/>
      <c r="L577" s="102"/>
      <c r="M577" s="102"/>
      <c r="N577" s="102"/>
      <c r="O577" s="102"/>
      <c r="P577" s="103"/>
    </row>
    <row r="578" spans="2:27">
      <c r="D578" s="104"/>
      <c r="E578" s="105"/>
      <c r="F578" s="105"/>
      <c r="G578" s="105"/>
      <c r="H578" s="105"/>
      <c r="I578" s="105"/>
      <c r="J578" s="105"/>
      <c r="K578" s="105"/>
      <c r="L578" s="105"/>
      <c r="M578" s="105"/>
      <c r="N578" s="105"/>
      <c r="O578" s="105"/>
      <c r="P578" s="106"/>
    </row>
    <row r="579" spans="2:27">
      <c r="D579" s="107" t="s">
        <v>4916</v>
      </c>
      <c r="E579" s="109"/>
      <c r="F579" s="107" t="s">
        <v>4913</v>
      </c>
      <c r="G579" s="108"/>
      <c r="H579" s="108"/>
      <c r="I579" s="108"/>
      <c r="J579" s="108"/>
      <c r="K579" s="108"/>
      <c r="L579" s="109"/>
      <c r="M579" s="98" t="s">
        <v>5119</v>
      </c>
      <c r="N579" s="98" t="s">
        <v>5120</v>
      </c>
      <c r="O579" s="98" t="s">
        <v>5121</v>
      </c>
      <c r="P579" s="98" t="s">
        <v>5122</v>
      </c>
    </row>
    <row r="580" spans="2:27" ht="60">
      <c r="D580" s="55" t="s">
        <v>5480</v>
      </c>
      <c r="E580" s="55" t="s">
        <v>5481</v>
      </c>
      <c r="F580" s="55" t="s">
        <v>5482</v>
      </c>
      <c r="G580" s="55" t="s">
        <v>5483</v>
      </c>
      <c r="H580" s="55" t="s">
        <v>5484</v>
      </c>
      <c r="I580" s="55" t="s">
        <v>5485</v>
      </c>
      <c r="J580" s="55" t="s">
        <v>5486</v>
      </c>
      <c r="K580" s="55" t="s">
        <v>5487</v>
      </c>
      <c r="L580" s="55" t="s">
        <v>5488</v>
      </c>
      <c r="M580" s="100"/>
      <c r="N580" s="100"/>
      <c r="O580" s="100"/>
      <c r="P580" s="100"/>
    </row>
    <row r="581" spans="2:27">
      <c r="D581" s="45" t="s">
        <v>4049</v>
      </c>
      <c r="E581" s="45" t="s">
        <v>4050</v>
      </c>
      <c r="F581" s="45" t="s">
        <v>4051</v>
      </c>
      <c r="G581" s="45" t="s">
        <v>4052</v>
      </c>
      <c r="H581" s="45" t="s">
        <v>4053</v>
      </c>
      <c r="I581" s="45" t="s">
        <v>4054</v>
      </c>
      <c r="J581" s="45" t="s">
        <v>4055</v>
      </c>
      <c r="K581" s="45" t="s">
        <v>4056</v>
      </c>
      <c r="L581" s="45" t="s">
        <v>4057</v>
      </c>
      <c r="M581" s="45" t="s">
        <v>4058</v>
      </c>
      <c r="N581" s="45" t="s">
        <v>4059</v>
      </c>
      <c r="O581" s="45" t="s">
        <v>4060</v>
      </c>
      <c r="P581" s="45" t="s">
        <v>4061</v>
      </c>
      <c r="Z581" s="13" t="str">
        <f>Show!$B$157&amp;"S.27.01.04.22 Rows {"&amp;COLUMN($C$1)&amp;"}"&amp;"@ForceFilingCode:true"</f>
        <v>!S.27.01.04.22 Rows {3}@ForceFilingCode:true</v>
      </c>
      <c r="AA581" s="13" t="str">
        <f>Show!$B$157&amp;"S.27.01.04.22 Columns {"&amp;COLUMN($D$1)&amp;"}"</f>
        <v>!S.27.01.04.22 Columns {4}</v>
      </c>
    </row>
    <row r="582" spans="2:27">
      <c r="B582" s="43" t="s">
        <v>2880</v>
      </c>
      <c r="C582" s="44" t="s">
        <v>2878</v>
      </c>
      <c r="D582" s="58"/>
      <c r="E582" s="67"/>
      <c r="F582" s="67"/>
      <c r="G582" s="67"/>
      <c r="H582" s="67"/>
      <c r="I582" s="67"/>
      <c r="J582" s="67"/>
      <c r="K582" s="67"/>
      <c r="L582" s="67"/>
      <c r="M582" s="67"/>
      <c r="N582" s="67"/>
      <c r="O582" s="67"/>
      <c r="P582" s="59"/>
    </row>
    <row r="583" spans="2:27">
      <c r="B583" s="47" t="s">
        <v>5489</v>
      </c>
      <c r="C583" s="44" t="s">
        <v>2878</v>
      </c>
      <c r="D583" s="58"/>
      <c r="E583" s="67"/>
      <c r="F583" s="66"/>
      <c r="G583" s="66"/>
      <c r="H583" s="66"/>
      <c r="I583" s="66"/>
      <c r="J583" s="66"/>
      <c r="K583" s="66"/>
      <c r="L583" s="66"/>
      <c r="M583" s="66"/>
      <c r="N583" s="67"/>
      <c r="O583" s="67"/>
      <c r="P583" s="59"/>
    </row>
    <row r="584" spans="2:27">
      <c r="B584" s="49" t="s">
        <v>5124</v>
      </c>
      <c r="C584" s="44" t="s">
        <v>5490</v>
      </c>
      <c r="D584" s="58"/>
      <c r="E584" s="48"/>
      <c r="F584" s="50"/>
      <c r="G584" s="60"/>
      <c r="H584" s="70"/>
      <c r="I584" s="60"/>
      <c r="J584" s="70"/>
      <c r="K584" s="60"/>
      <c r="L584" s="70"/>
      <c r="M584" s="64"/>
      <c r="N584" s="58"/>
      <c r="O584" s="58"/>
      <c r="P584" s="48"/>
    </row>
    <row r="585" spans="2:27">
      <c r="B585" s="49" t="s">
        <v>5125</v>
      </c>
      <c r="C585" s="44" t="s">
        <v>5491</v>
      </c>
      <c r="D585" s="58"/>
      <c r="E585" s="48"/>
      <c r="F585" s="50"/>
      <c r="G585" s="60"/>
      <c r="H585" s="70"/>
      <c r="I585" s="60"/>
      <c r="J585" s="70"/>
      <c r="K585" s="60"/>
      <c r="L585" s="70"/>
      <c r="M585" s="64"/>
      <c r="N585" s="58"/>
      <c r="O585" s="58"/>
      <c r="P585" s="48"/>
    </row>
    <row r="586" spans="2:27">
      <c r="B586" s="49" t="s">
        <v>5174</v>
      </c>
      <c r="C586" s="44" t="s">
        <v>5492</v>
      </c>
      <c r="D586" s="58"/>
      <c r="E586" s="48"/>
      <c r="F586" s="50"/>
      <c r="G586" s="60"/>
      <c r="H586" s="70"/>
      <c r="I586" s="60"/>
      <c r="J586" s="70"/>
      <c r="K586" s="60"/>
      <c r="L586" s="70"/>
      <c r="M586" s="64"/>
      <c r="N586" s="58"/>
      <c r="O586" s="58"/>
      <c r="P586" s="48"/>
    </row>
    <row r="587" spans="2:27">
      <c r="B587" s="49" t="s">
        <v>5175</v>
      </c>
      <c r="C587" s="44" t="s">
        <v>5493</v>
      </c>
      <c r="D587" s="58"/>
      <c r="E587" s="48"/>
      <c r="F587" s="50"/>
      <c r="G587" s="60"/>
      <c r="H587" s="70"/>
      <c r="I587" s="60"/>
      <c r="J587" s="70"/>
      <c r="K587" s="60"/>
      <c r="L587" s="70"/>
      <c r="M587" s="64"/>
      <c r="N587" s="58"/>
      <c r="O587" s="58"/>
      <c r="P587" s="48"/>
    </row>
    <row r="588" spans="2:27">
      <c r="B588" s="49" t="s">
        <v>5176</v>
      </c>
      <c r="C588" s="44" t="s">
        <v>5494</v>
      </c>
      <c r="D588" s="58"/>
      <c r="E588" s="48"/>
      <c r="F588" s="50"/>
      <c r="G588" s="60"/>
      <c r="H588" s="70"/>
      <c r="I588" s="60"/>
      <c r="J588" s="70"/>
      <c r="K588" s="60"/>
      <c r="L588" s="70"/>
      <c r="M588" s="64"/>
      <c r="N588" s="58"/>
      <c r="O588" s="58"/>
      <c r="P588" s="48"/>
    </row>
    <row r="589" spans="2:27">
      <c r="B589" s="49" t="s">
        <v>5126</v>
      </c>
      <c r="C589" s="44" t="s">
        <v>5495</v>
      </c>
      <c r="D589" s="58"/>
      <c r="E589" s="48"/>
      <c r="F589" s="50"/>
      <c r="G589" s="60"/>
      <c r="H589" s="70"/>
      <c r="I589" s="60"/>
      <c r="J589" s="70"/>
      <c r="K589" s="60"/>
      <c r="L589" s="70"/>
      <c r="M589" s="64"/>
      <c r="N589" s="58"/>
      <c r="O589" s="58"/>
      <c r="P589" s="48"/>
    </row>
    <row r="590" spans="2:27">
      <c r="B590" s="49" t="s">
        <v>5128</v>
      </c>
      <c r="C590" s="44" t="s">
        <v>5496</v>
      </c>
      <c r="D590" s="58"/>
      <c r="E590" s="48"/>
      <c r="F590" s="50"/>
      <c r="G590" s="60"/>
      <c r="H590" s="70"/>
      <c r="I590" s="60"/>
      <c r="J590" s="70"/>
      <c r="K590" s="60"/>
      <c r="L590" s="70"/>
      <c r="M590" s="64"/>
      <c r="N590" s="58"/>
      <c r="O590" s="58"/>
      <c r="P590" s="48"/>
    </row>
    <row r="591" spans="2:27">
      <c r="B591" s="49" t="s">
        <v>5405</v>
      </c>
      <c r="C591" s="44" t="s">
        <v>5497</v>
      </c>
      <c r="D591" s="58"/>
      <c r="E591" s="48"/>
      <c r="F591" s="50"/>
      <c r="G591" s="60"/>
      <c r="H591" s="70"/>
      <c r="I591" s="60"/>
      <c r="J591" s="70"/>
      <c r="K591" s="60"/>
      <c r="L591" s="70"/>
      <c r="M591" s="64"/>
      <c r="N591" s="58"/>
      <c r="O591" s="58"/>
      <c r="P591" s="48"/>
    </row>
    <row r="592" spans="2:27">
      <c r="B592" s="49" t="s">
        <v>5140</v>
      </c>
      <c r="C592" s="44" t="s">
        <v>5498</v>
      </c>
      <c r="D592" s="58"/>
      <c r="E592" s="48"/>
      <c r="F592" s="50"/>
      <c r="G592" s="60"/>
      <c r="H592" s="70"/>
      <c r="I592" s="60"/>
      <c r="J592" s="70"/>
      <c r="K592" s="60"/>
      <c r="L592" s="70"/>
      <c r="M592" s="64"/>
      <c r="N592" s="58"/>
      <c r="O592" s="58"/>
      <c r="P592" s="48"/>
    </row>
    <row r="593" spans="2:16">
      <c r="B593" s="49" t="s">
        <v>5455</v>
      </c>
      <c r="C593" s="44" t="s">
        <v>5499</v>
      </c>
      <c r="D593" s="58"/>
      <c r="E593" s="48"/>
      <c r="F593" s="50"/>
      <c r="G593" s="60"/>
      <c r="H593" s="70"/>
      <c r="I593" s="60"/>
      <c r="J593" s="70"/>
      <c r="K593" s="60"/>
      <c r="L593" s="70"/>
      <c r="M593" s="64"/>
      <c r="N593" s="58"/>
      <c r="O593" s="58"/>
      <c r="P593" s="48"/>
    </row>
    <row r="594" spans="2:16">
      <c r="B594" s="49" t="s">
        <v>5177</v>
      </c>
      <c r="C594" s="44" t="s">
        <v>5500</v>
      </c>
      <c r="D594" s="58"/>
      <c r="E594" s="48"/>
      <c r="F594" s="50"/>
      <c r="G594" s="60"/>
      <c r="H594" s="70"/>
      <c r="I594" s="60"/>
      <c r="J594" s="70"/>
      <c r="K594" s="60"/>
      <c r="L594" s="70"/>
      <c r="M594" s="64"/>
      <c r="N594" s="58"/>
      <c r="O594" s="58"/>
      <c r="P594" s="48"/>
    </row>
    <row r="595" spans="2:16">
      <c r="B595" s="49" t="s">
        <v>5132</v>
      </c>
      <c r="C595" s="44" t="s">
        <v>5501</v>
      </c>
      <c r="D595" s="58"/>
      <c r="E595" s="48"/>
      <c r="F595" s="50"/>
      <c r="G595" s="60"/>
      <c r="H595" s="70"/>
      <c r="I595" s="60"/>
      <c r="J595" s="70"/>
      <c r="K595" s="60"/>
      <c r="L595" s="70"/>
      <c r="M595" s="64"/>
      <c r="N595" s="58"/>
      <c r="O595" s="58"/>
      <c r="P595" s="48"/>
    </row>
    <row r="596" spans="2:16">
      <c r="B596" s="49" t="s">
        <v>5133</v>
      </c>
      <c r="C596" s="44" t="s">
        <v>5502</v>
      </c>
      <c r="D596" s="58"/>
      <c r="E596" s="48"/>
      <c r="F596" s="50"/>
      <c r="G596" s="60"/>
      <c r="H596" s="70"/>
      <c r="I596" s="60"/>
      <c r="J596" s="70"/>
      <c r="K596" s="60"/>
      <c r="L596" s="70"/>
      <c r="M596" s="64"/>
      <c r="N596" s="58"/>
      <c r="O596" s="58"/>
      <c r="P596" s="48"/>
    </row>
    <row r="597" spans="2:16">
      <c r="B597" s="49" t="s">
        <v>5134</v>
      </c>
      <c r="C597" s="44" t="s">
        <v>5503</v>
      </c>
      <c r="D597" s="58"/>
      <c r="E597" s="48"/>
      <c r="F597" s="50"/>
      <c r="G597" s="60"/>
      <c r="H597" s="70"/>
      <c r="I597" s="60"/>
      <c r="J597" s="70"/>
      <c r="K597" s="60"/>
      <c r="L597" s="70"/>
      <c r="M597" s="64"/>
      <c r="N597" s="58"/>
      <c r="O597" s="58"/>
      <c r="P597" s="48"/>
    </row>
    <row r="598" spans="2:16">
      <c r="B598" s="49" t="s">
        <v>5135</v>
      </c>
      <c r="C598" s="44" t="s">
        <v>5504</v>
      </c>
      <c r="D598" s="58"/>
      <c r="E598" s="48"/>
      <c r="F598" s="50"/>
      <c r="G598" s="60"/>
      <c r="H598" s="70"/>
      <c r="I598" s="60"/>
      <c r="J598" s="70"/>
      <c r="K598" s="60"/>
      <c r="L598" s="70"/>
      <c r="M598" s="64"/>
      <c r="N598" s="58"/>
      <c r="O598" s="58"/>
      <c r="P598" s="48"/>
    </row>
    <row r="599" spans="2:16">
      <c r="B599" s="49" t="s">
        <v>5462</v>
      </c>
      <c r="C599" s="44" t="s">
        <v>5505</v>
      </c>
      <c r="D599" s="58"/>
      <c r="E599" s="48"/>
      <c r="F599" s="50"/>
      <c r="G599" s="60"/>
      <c r="H599" s="70"/>
      <c r="I599" s="60"/>
      <c r="J599" s="70"/>
      <c r="K599" s="60"/>
      <c r="L599" s="70"/>
      <c r="M599" s="64"/>
      <c r="N599" s="58"/>
      <c r="O599" s="58"/>
      <c r="P599" s="48"/>
    </row>
    <row r="600" spans="2:16">
      <c r="B600" s="49" t="s">
        <v>5416</v>
      </c>
      <c r="C600" s="44" t="s">
        <v>5506</v>
      </c>
      <c r="D600" s="58"/>
      <c r="E600" s="48"/>
      <c r="F600" s="50"/>
      <c r="G600" s="60"/>
      <c r="H600" s="70"/>
      <c r="I600" s="60"/>
      <c r="J600" s="70"/>
      <c r="K600" s="60"/>
      <c r="L600" s="70"/>
      <c r="M600" s="64"/>
      <c r="N600" s="58"/>
      <c r="O600" s="58"/>
      <c r="P600" s="48"/>
    </row>
    <row r="601" spans="2:16">
      <c r="B601" s="49" t="s">
        <v>5418</v>
      </c>
      <c r="C601" s="44" t="s">
        <v>5507</v>
      </c>
      <c r="D601" s="58"/>
      <c r="E601" s="48"/>
      <c r="F601" s="50"/>
      <c r="G601" s="60"/>
      <c r="H601" s="70"/>
      <c r="I601" s="60"/>
      <c r="J601" s="70"/>
      <c r="K601" s="60"/>
      <c r="L601" s="70"/>
      <c r="M601" s="64"/>
      <c r="N601" s="58"/>
      <c r="O601" s="58"/>
      <c r="P601" s="48"/>
    </row>
    <row r="602" spans="2:16">
      <c r="B602" s="49" t="s">
        <v>5136</v>
      </c>
      <c r="C602" s="44" t="s">
        <v>5508</v>
      </c>
      <c r="D602" s="58"/>
      <c r="E602" s="48"/>
      <c r="F602" s="50"/>
      <c r="G602" s="60"/>
      <c r="H602" s="70"/>
      <c r="I602" s="60"/>
      <c r="J602" s="70"/>
      <c r="K602" s="60"/>
      <c r="L602" s="70"/>
      <c r="M602" s="64"/>
      <c r="N602" s="58"/>
      <c r="O602" s="58"/>
      <c r="P602" s="48"/>
    </row>
    <row r="603" spans="2:16">
      <c r="B603" s="49" t="s">
        <v>5179</v>
      </c>
      <c r="C603" s="44" t="s">
        <v>5509</v>
      </c>
      <c r="D603" s="58"/>
      <c r="E603" s="48"/>
      <c r="F603" s="50"/>
      <c r="G603" s="60"/>
      <c r="H603" s="70"/>
      <c r="I603" s="60"/>
      <c r="J603" s="70"/>
      <c r="K603" s="60"/>
      <c r="L603" s="70"/>
      <c r="M603" s="64"/>
      <c r="N603" s="58"/>
      <c r="O603" s="58"/>
      <c r="P603" s="48"/>
    </row>
    <row r="604" spans="2:16">
      <c r="B604" s="49" t="s">
        <v>5137</v>
      </c>
      <c r="C604" s="44" t="s">
        <v>5510</v>
      </c>
      <c r="D604" s="58"/>
      <c r="E604" s="48"/>
      <c r="F604" s="50"/>
      <c r="G604" s="60"/>
      <c r="H604" s="70"/>
      <c r="I604" s="60"/>
      <c r="J604" s="70"/>
      <c r="K604" s="60"/>
      <c r="L604" s="70"/>
      <c r="M604" s="64"/>
      <c r="N604" s="58"/>
      <c r="O604" s="58"/>
      <c r="P604" s="48"/>
    </row>
    <row r="605" spans="2:16">
      <c r="B605" s="49" t="s">
        <v>5138</v>
      </c>
      <c r="C605" s="44" t="s">
        <v>5511</v>
      </c>
      <c r="D605" s="58"/>
      <c r="E605" s="48"/>
      <c r="F605" s="50"/>
      <c r="G605" s="60"/>
      <c r="H605" s="70"/>
      <c r="I605" s="60"/>
      <c r="J605" s="70"/>
      <c r="K605" s="60"/>
      <c r="L605" s="70"/>
      <c r="M605" s="64"/>
      <c r="N605" s="58"/>
      <c r="O605" s="58"/>
      <c r="P605" s="48"/>
    </row>
    <row r="606" spans="2:16">
      <c r="B606" s="49" t="s">
        <v>5139</v>
      </c>
      <c r="C606" s="44" t="s">
        <v>5512</v>
      </c>
      <c r="D606" s="58"/>
      <c r="E606" s="48"/>
      <c r="F606" s="50"/>
      <c r="G606" s="60"/>
      <c r="H606" s="70"/>
      <c r="I606" s="60"/>
      <c r="J606" s="70"/>
      <c r="K606" s="60"/>
      <c r="L606" s="70"/>
      <c r="M606" s="64"/>
      <c r="N606" s="58"/>
      <c r="O606" s="58"/>
      <c r="P606" s="48"/>
    </row>
    <row r="607" spans="2:16">
      <c r="B607" s="49" t="s">
        <v>5180</v>
      </c>
      <c r="C607" s="44" t="s">
        <v>5513</v>
      </c>
      <c r="D607" s="58"/>
      <c r="E607" s="48"/>
      <c r="F607" s="50"/>
      <c r="G607" s="60"/>
      <c r="H607" s="70"/>
      <c r="I607" s="60"/>
      <c r="J607" s="70"/>
      <c r="K607" s="60"/>
      <c r="L607" s="70"/>
      <c r="M607" s="64"/>
      <c r="N607" s="58"/>
      <c r="O607" s="58"/>
      <c r="P607" s="48"/>
    </row>
    <row r="608" spans="2:16">
      <c r="B608" s="49" t="s">
        <v>5181</v>
      </c>
      <c r="C608" s="44" t="s">
        <v>5514</v>
      </c>
      <c r="D608" s="58"/>
      <c r="E608" s="48"/>
      <c r="F608" s="50"/>
      <c r="G608" s="60"/>
      <c r="H608" s="70"/>
      <c r="I608" s="60"/>
      <c r="J608" s="70"/>
      <c r="K608" s="60"/>
      <c r="L608" s="70"/>
      <c r="M608" s="64"/>
      <c r="N608" s="58"/>
      <c r="O608" s="58"/>
      <c r="P608" s="48"/>
    </row>
    <row r="609" spans="2:27">
      <c r="B609" s="49" t="s">
        <v>5182</v>
      </c>
      <c r="C609" s="44" t="s">
        <v>5515</v>
      </c>
      <c r="D609" s="58"/>
      <c r="E609" s="48"/>
      <c r="F609" s="50"/>
      <c r="G609" s="60"/>
      <c r="H609" s="70"/>
      <c r="I609" s="60"/>
      <c r="J609" s="70"/>
      <c r="K609" s="60"/>
      <c r="L609" s="70"/>
      <c r="M609" s="64"/>
      <c r="N609" s="58"/>
      <c r="O609" s="58"/>
      <c r="P609" s="48"/>
    </row>
    <row r="610" spans="2:27">
      <c r="B610" s="49" t="s">
        <v>5129</v>
      </c>
      <c r="C610" s="44" t="s">
        <v>5516</v>
      </c>
      <c r="D610" s="58"/>
      <c r="E610" s="48"/>
      <c r="F610" s="50"/>
      <c r="G610" s="60"/>
      <c r="H610" s="70"/>
      <c r="I610" s="60"/>
      <c r="J610" s="70"/>
      <c r="K610" s="60"/>
      <c r="L610" s="70"/>
      <c r="M610" s="64"/>
      <c r="N610" s="58"/>
      <c r="O610" s="58"/>
      <c r="P610" s="48"/>
    </row>
    <row r="611" spans="2:27">
      <c r="B611" s="49" t="s">
        <v>5142</v>
      </c>
      <c r="C611" s="44" t="s">
        <v>5517</v>
      </c>
      <c r="D611" s="58"/>
      <c r="E611" s="48"/>
      <c r="F611" s="50"/>
      <c r="G611" s="60"/>
      <c r="H611" s="70"/>
      <c r="I611" s="60"/>
      <c r="J611" s="70"/>
      <c r="K611" s="60"/>
      <c r="L611" s="70"/>
      <c r="M611" s="64"/>
      <c r="N611" s="58"/>
      <c r="O611" s="58"/>
      <c r="P611" s="48"/>
    </row>
    <row r="612" spans="2:27">
      <c r="B612" s="49" t="s">
        <v>5143</v>
      </c>
      <c r="C612" s="44" t="s">
        <v>5518</v>
      </c>
      <c r="D612" s="58"/>
      <c r="E612" s="48"/>
      <c r="F612" s="50"/>
      <c r="G612" s="60"/>
      <c r="H612" s="70"/>
      <c r="I612" s="60"/>
      <c r="J612" s="70"/>
      <c r="K612" s="60"/>
      <c r="L612" s="70"/>
      <c r="M612" s="64"/>
      <c r="N612" s="58"/>
      <c r="O612" s="58"/>
      <c r="P612" s="48"/>
    </row>
    <row r="613" spans="2:27">
      <c r="B613" s="49" t="s">
        <v>5431</v>
      </c>
      <c r="C613" s="44" t="s">
        <v>5519</v>
      </c>
      <c r="D613" s="58"/>
      <c r="E613" s="48"/>
      <c r="F613" s="50"/>
      <c r="G613" s="60"/>
      <c r="H613" s="70"/>
      <c r="I613" s="60"/>
      <c r="J613" s="70"/>
      <c r="K613" s="60"/>
      <c r="L613" s="70"/>
      <c r="M613" s="64"/>
      <c r="N613" s="58"/>
      <c r="O613" s="58"/>
      <c r="P613" s="48"/>
    </row>
    <row r="614" spans="2:27">
      <c r="B614" s="49" t="s">
        <v>5144</v>
      </c>
      <c r="C614" s="44" t="s">
        <v>5520</v>
      </c>
      <c r="D614" s="56"/>
      <c r="E614" s="46"/>
      <c r="F614" s="50"/>
      <c r="G614" s="60"/>
      <c r="H614" s="70"/>
      <c r="I614" s="60"/>
      <c r="J614" s="70"/>
      <c r="K614" s="60"/>
      <c r="L614" s="70"/>
      <c r="M614" s="64"/>
      <c r="N614" s="56"/>
      <c r="O614" s="56"/>
      <c r="P614" s="46"/>
    </row>
    <row r="616" spans="2:27">
      <c r="Z616" s="13" t="str">
        <f>Show!$B$157&amp;Show!$B$157&amp;"S.27.01.04.22 Rows {"&amp;COLUMN($C$1)&amp;"}"</f>
        <v>!!S.27.01.04.22 Rows {3}</v>
      </c>
      <c r="AA616" s="13" t="str">
        <f>Show!$B$157&amp;Show!$B$157&amp;"S.27.01.04.22 Columns {"&amp;COLUMN($P$1)&amp;"}"</f>
        <v>!!S.27.01.04.22 Columns {16}</v>
      </c>
    </row>
    <row r="618" spans="2:27" ht="18.75">
      <c r="B618" s="97" t="s">
        <v>5568</v>
      </c>
      <c r="C618" s="96"/>
      <c r="D618" s="96"/>
      <c r="E618" s="96"/>
      <c r="F618" s="96"/>
      <c r="G618" s="96"/>
      <c r="H618" s="96"/>
      <c r="I618" s="96"/>
      <c r="J618" s="96"/>
      <c r="K618" s="96"/>
      <c r="L618" s="96"/>
    </row>
    <row r="622" spans="2:27">
      <c r="D622" s="98" t="s">
        <v>5522</v>
      </c>
      <c r="E622" s="101" t="s">
        <v>2877</v>
      </c>
      <c r="F622" s="102"/>
      <c r="G622" s="102"/>
      <c r="H622" s="102"/>
      <c r="I622" s="102"/>
      <c r="J622" s="102"/>
      <c r="K622" s="102"/>
      <c r="L622" s="102"/>
      <c r="M622" s="103"/>
    </row>
    <row r="623" spans="2:27">
      <c r="D623" s="99"/>
      <c r="E623" s="104"/>
      <c r="F623" s="105"/>
      <c r="G623" s="105"/>
      <c r="H623" s="105"/>
      <c r="I623" s="105"/>
      <c r="J623" s="105"/>
      <c r="K623" s="105"/>
      <c r="L623" s="105"/>
      <c r="M623" s="106"/>
    </row>
    <row r="624" spans="2:27">
      <c r="D624" s="99"/>
      <c r="E624" s="98" t="s">
        <v>5441</v>
      </c>
      <c r="F624" s="107" t="s">
        <v>5442</v>
      </c>
      <c r="G624" s="108"/>
      <c r="H624" s="108"/>
      <c r="I624" s="109"/>
      <c r="J624" s="98" t="s">
        <v>5119</v>
      </c>
      <c r="K624" s="98" t="s">
        <v>5120</v>
      </c>
      <c r="L624" s="98" t="s">
        <v>5121</v>
      </c>
      <c r="M624" s="98" t="s">
        <v>5122</v>
      </c>
    </row>
    <row r="625" spans="2:27" ht="30">
      <c r="D625" s="100"/>
      <c r="E625" s="100"/>
      <c r="F625" s="55" t="s">
        <v>5388</v>
      </c>
      <c r="G625" s="55" t="s">
        <v>5393</v>
      </c>
      <c r="H625" s="55" t="s">
        <v>5395</v>
      </c>
      <c r="I625" s="55" t="s">
        <v>5396</v>
      </c>
      <c r="J625" s="100"/>
      <c r="K625" s="100"/>
      <c r="L625" s="100"/>
      <c r="M625" s="100"/>
    </row>
    <row r="626" spans="2:27">
      <c r="D626" s="45" t="s">
        <v>4048</v>
      </c>
      <c r="E626" s="45" t="s">
        <v>4038</v>
      </c>
      <c r="F626" s="45" t="s">
        <v>4039</v>
      </c>
      <c r="G626" s="45" t="s">
        <v>4040</v>
      </c>
      <c r="H626" s="45" t="s">
        <v>4042</v>
      </c>
      <c r="I626" s="45" t="s">
        <v>4044</v>
      </c>
      <c r="J626" s="45" t="s">
        <v>4045</v>
      </c>
      <c r="K626" s="45" t="s">
        <v>5443</v>
      </c>
      <c r="L626" s="45" t="s">
        <v>5444</v>
      </c>
      <c r="M626" s="45" t="s">
        <v>4047</v>
      </c>
      <c r="Z626" s="13" t="str">
        <f>Show!$B$157&amp;"S.27.01.04.23 Rows {"&amp;COLUMN($C$1)&amp;"}"&amp;"@ForceFilingCode:true"</f>
        <v>!S.27.01.04.23 Rows {3}@ForceFilingCode:true</v>
      </c>
      <c r="AA626" s="13" t="str">
        <f>Show!$B$157&amp;"S.27.01.04.23 Columns {"&amp;COLUMN($D$1)&amp;"}"</f>
        <v>!S.27.01.04.23 Columns {4}</v>
      </c>
    </row>
    <row r="627" spans="2:27">
      <c r="B627" s="43" t="s">
        <v>2880</v>
      </c>
      <c r="C627" s="44" t="s">
        <v>2878</v>
      </c>
      <c r="D627" s="58"/>
      <c r="E627" s="67"/>
      <c r="F627" s="67"/>
      <c r="G627" s="67"/>
      <c r="H627" s="67"/>
      <c r="I627" s="67"/>
      <c r="J627" s="67"/>
      <c r="K627" s="67"/>
      <c r="L627" s="67"/>
      <c r="M627" s="59"/>
    </row>
    <row r="628" spans="2:27">
      <c r="B628" s="47" t="s">
        <v>5445</v>
      </c>
      <c r="C628" s="44" t="s">
        <v>2878</v>
      </c>
      <c r="D628" s="56"/>
      <c r="E628" s="66"/>
      <c r="F628" s="66"/>
      <c r="G628" s="66"/>
      <c r="H628" s="66"/>
      <c r="I628" s="66"/>
      <c r="J628" s="66"/>
      <c r="K628" s="66"/>
      <c r="L628" s="66"/>
      <c r="M628" s="57"/>
    </row>
    <row r="629" spans="2:27">
      <c r="B629" s="49" t="s">
        <v>5523</v>
      </c>
      <c r="C629" s="41" t="s">
        <v>5524</v>
      </c>
      <c r="D629" s="51"/>
      <c r="E629" s="50"/>
      <c r="F629" s="60"/>
      <c r="G629" s="60"/>
      <c r="H629" s="60"/>
      <c r="I629" s="60"/>
      <c r="J629" s="60"/>
      <c r="K629" s="60"/>
      <c r="L629" s="60"/>
      <c r="M629" s="60"/>
    </row>
    <row r="631" spans="2:27">
      <c r="Z631" s="13" t="str">
        <f>Show!$B$157&amp;Show!$B$157&amp;"S.27.01.04.23 Rows {"&amp;COLUMN($C$1)&amp;"}"</f>
        <v>!!S.27.01.04.23 Rows {3}</v>
      </c>
      <c r="AA631" s="13" t="str">
        <f>Show!$B$157&amp;Show!$B$157&amp;"S.27.01.04.23 Columns {"&amp;COLUMN($M$1)&amp;"}"</f>
        <v>!!S.27.01.04.23 Columns {13}</v>
      </c>
    </row>
    <row r="633" spans="2:27" ht="18.75">
      <c r="B633" s="97" t="s">
        <v>5569</v>
      </c>
      <c r="C633" s="96"/>
      <c r="D633" s="96"/>
      <c r="E633" s="96"/>
      <c r="F633" s="96"/>
      <c r="G633" s="96"/>
      <c r="H633" s="96"/>
      <c r="I633" s="96"/>
      <c r="J633" s="96"/>
      <c r="K633" s="96"/>
      <c r="L633" s="96"/>
    </row>
    <row r="637" spans="2:27">
      <c r="D637" s="98" t="s">
        <v>5522</v>
      </c>
      <c r="E637" s="101" t="s">
        <v>2877</v>
      </c>
      <c r="F637" s="102"/>
      <c r="G637" s="102"/>
      <c r="H637" s="102"/>
      <c r="I637" s="102"/>
      <c r="J637" s="102"/>
      <c r="K637" s="102"/>
      <c r="L637" s="102"/>
      <c r="M637" s="102"/>
      <c r="N637" s="102"/>
      <c r="O637" s="102"/>
      <c r="P637" s="102"/>
      <c r="Q637" s="103"/>
    </row>
    <row r="638" spans="2:27">
      <c r="D638" s="99"/>
      <c r="E638" s="104"/>
      <c r="F638" s="105"/>
      <c r="G638" s="105"/>
      <c r="H638" s="105"/>
      <c r="I638" s="105"/>
      <c r="J638" s="105"/>
      <c r="K638" s="105"/>
      <c r="L638" s="105"/>
      <c r="M638" s="105"/>
      <c r="N638" s="105"/>
      <c r="O638" s="105"/>
      <c r="P638" s="105"/>
      <c r="Q638" s="106"/>
    </row>
    <row r="639" spans="2:27">
      <c r="D639" s="99"/>
      <c r="E639" s="107" t="s">
        <v>4916</v>
      </c>
      <c r="F639" s="109"/>
      <c r="G639" s="107" t="s">
        <v>4913</v>
      </c>
      <c r="H639" s="108"/>
      <c r="I639" s="108"/>
      <c r="J639" s="108"/>
      <c r="K639" s="108"/>
      <c r="L639" s="108"/>
      <c r="M639" s="109"/>
      <c r="N639" s="98" t="s">
        <v>5119</v>
      </c>
      <c r="O639" s="98" t="s">
        <v>5120</v>
      </c>
      <c r="P639" s="98" t="s">
        <v>5121</v>
      </c>
      <c r="Q639" s="98" t="s">
        <v>5122</v>
      </c>
    </row>
    <row r="640" spans="2:27" ht="60">
      <c r="D640" s="100"/>
      <c r="E640" s="55" t="s">
        <v>5480</v>
      </c>
      <c r="F640" s="55" t="s">
        <v>5481</v>
      </c>
      <c r="G640" s="55" t="s">
        <v>5482</v>
      </c>
      <c r="H640" s="55" t="s">
        <v>5483</v>
      </c>
      <c r="I640" s="55" t="s">
        <v>5484</v>
      </c>
      <c r="J640" s="55" t="s">
        <v>5485</v>
      </c>
      <c r="K640" s="55" t="s">
        <v>5486</v>
      </c>
      <c r="L640" s="55" t="s">
        <v>5487</v>
      </c>
      <c r="M640" s="55" t="s">
        <v>5488</v>
      </c>
      <c r="N640" s="100"/>
      <c r="O640" s="100"/>
      <c r="P640" s="100"/>
      <c r="Q640" s="100"/>
    </row>
    <row r="641" spans="2:27">
      <c r="D641" s="45" t="s">
        <v>4062</v>
      </c>
      <c r="E641" s="45" t="s">
        <v>4049</v>
      </c>
      <c r="F641" s="45" t="s">
        <v>4050</v>
      </c>
      <c r="G641" s="45" t="s">
        <v>4051</v>
      </c>
      <c r="H641" s="45" t="s">
        <v>4052</v>
      </c>
      <c r="I641" s="45" t="s">
        <v>4053</v>
      </c>
      <c r="J641" s="45" t="s">
        <v>4054</v>
      </c>
      <c r="K641" s="45" t="s">
        <v>4055</v>
      </c>
      <c r="L641" s="45" t="s">
        <v>4056</v>
      </c>
      <c r="M641" s="45" t="s">
        <v>4057</v>
      </c>
      <c r="N641" s="45" t="s">
        <v>4058</v>
      </c>
      <c r="O641" s="45" t="s">
        <v>4059</v>
      </c>
      <c r="P641" s="45" t="s">
        <v>4060</v>
      </c>
      <c r="Q641" s="45" t="s">
        <v>4061</v>
      </c>
      <c r="Z641" s="13" t="str">
        <f>Show!$B$157&amp;"S.27.01.04.24 Rows {"&amp;COLUMN($C$1)&amp;"}"&amp;"@ForceFilingCode:true"</f>
        <v>!S.27.01.04.24 Rows {3}@ForceFilingCode:true</v>
      </c>
      <c r="AA641" s="13" t="str">
        <f>Show!$B$157&amp;"S.27.01.04.24 Columns {"&amp;COLUMN($D$1)&amp;"}"</f>
        <v>!S.27.01.04.24 Columns {4}</v>
      </c>
    </row>
    <row r="642" spans="2:27">
      <c r="B642" s="43" t="s">
        <v>2880</v>
      </c>
      <c r="C642" s="44" t="s">
        <v>2878</v>
      </c>
      <c r="D642" s="58"/>
      <c r="E642" s="67"/>
      <c r="F642" s="67"/>
      <c r="G642" s="67"/>
      <c r="H642" s="67"/>
      <c r="I642" s="67"/>
      <c r="J642" s="67"/>
      <c r="K642" s="67"/>
      <c r="L642" s="67"/>
      <c r="M642" s="67"/>
      <c r="N642" s="67"/>
      <c r="O642" s="67"/>
      <c r="P642" s="67"/>
      <c r="Q642" s="59"/>
    </row>
    <row r="643" spans="2:27">
      <c r="B643" s="47" t="s">
        <v>5489</v>
      </c>
      <c r="C643" s="44" t="s">
        <v>2878</v>
      </c>
      <c r="D643" s="56"/>
      <c r="E643" s="67"/>
      <c r="F643" s="67"/>
      <c r="G643" s="66"/>
      <c r="H643" s="66"/>
      <c r="I643" s="66"/>
      <c r="J643" s="66"/>
      <c r="K643" s="66"/>
      <c r="L643" s="66"/>
      <c r="M643" s="66"/>
      <c r="N643" s="66"/>
      <c r="O643" s="67"/>
      <c r="P643" s="67"/>
      <c r="Q643" s="59"/>
    </row>
    <row r="644" spans="2:27">
      <c r="B644" s="49" t="s">
        <v>5526</v>
      </c>
      <c r="C644" s="41" t="s">
        <v>5527</v>
      </c>
      <c r="D644" s="51"/>
      <c r="E644" s="56"/>
      <c r="F644" s="46"/>
      <c r="G644" s="50"/>
      <c r="H644" s="60"/>
      <c r="I644" s="70"/>
      <c r="J644" s="60"/>
      <c r="K644" s="70"/>
      <c r="L644" s="60"/>
      <c r="M644" s="70"/>
      <c r="N644" s="64"/>
      <c r="O644" s="56"/>
      <c r="P644" s="56"/>
      <c r="Q644" s="46"/>
    </row>
    <row r="646" spans="2:27">
      <c r="Z646" s="13" t="str">
        <f>Show!$B$157&amp;Show!$B$157&amp;"S.27.01.04.24 Rows {"&amp;COLUMN($C$1)&amp;"}"</f>
        <v>!!S.27.01.04.24 Rows {3}</v>
      </c>
      <c r="AA646" s="13" t="str">
        <f>Show!$B$157&amp;Show!$B$157&amp;"S.27.01.04.24 Columns {"&amp;COLUMN($Q$1)&amp;"}"</f>
        <v>!!S.27.01.04.24 Columns {17}</v>
      </c>
    </row>
    <row r="648" spans="2:27" ht="18.75">
      <c r="B648" s="97" t="s">
        <v>5570</v>
      </c>
      <c r="C648" s="96"/>
      <c r="D648" s="96"/>
      <c r="E648" s="96"/>
      <c r="F648" s="96"/>
      <c r="G648" s="96"/>
      <c r="H648" s="96"/>
      <c r="I648" s="96"/>
      <c r="J648" s="96"/>
      <c r="K648" s="96"/>
      <c r="L648" s="96"/>
    </row>
    <row r="652" spans="2:27">
      <c r="D652" s="101" t="s">
        <v>2877</v>
      </c>
      <c r="E652" s="102"/>
      <c r="F652" s="102"/>
      <c r="G652" s="102"/>
      <c r="H652" s="102"/>
      <c r="I652" s="102"/>
      <c r="J652" s="102"/>
      <c r="K652" s="102"/>
      <c r="L652" s="102"/>
      <c r="M652" s="102"/>
      <c r="N652" s="102"/>
      <c r="O652" s="102"/>
      <c r="P652" s="103"/>
    </row>
    <row r="653" spans="2:27">
      <c r="D653" s="104"/>
      <c r="E653" s="105"/>
      <c r="F653" s="105"/>
      <c r="G653" s="105"/>
      <c r="H653" s="105"/>
      <c r="I653" s="105"/>
      <c r="J653" s="105"/>
      <c r="K653" s="105"/>
      <c r="L653" s="105"/>
      <c r="M653" s="105"/>
      <c r="N653" s="105"/>
      <c r="O653" s="105"/>
      <c r="P653" s="106"/>
    </row>
    <row r="654" spans="2:27">
      <c r="D654" s="107" t="s">
        <v>4916</v>
      </c>
      <c r="E654" s="109"/>
      <c r="F654" s="107" t="s">
        <v>4913</v>
      </c>
      <c r="G654" s="108"/>
      <c r="H654" s="108"/>
      <c r="I654" s="108"/>
      <c r="J654" s="108"/>
      <c r="K654" s="108"/>
      <c r="L654" s="109"/>
      <c r="M654" s="98" t="s">
        <v>5119</v>
      </c>
      <c r="N654" s="98" t="s">
        <v>5120</v>
      </c>
      <c r="O654" s="98" t="s">
        <v>5121</v>
      </c>
      <c r="P654" s="98" t="s">
        <v>5122</v>
      </c>
    </row>
    <row r="655" spans="2:27" ht="60">
      <c r="D655" s="55" t="s">
        <v>5480</v>
      </c>
      <c r="E655" s="55" t="s">
        <v>5481</v>
      </c>
      <c r="F655" s="55" t="s">
        <v>5482</v>
      </c>
      <c r="G655" s="55" t="s">
        <v>5483</v>
      </c>
      <c r="H655" s="55" t="s">
        <v>5484</v>
      </c>
      <c r="I655" s="55" t="s">
        <v>5485</v>
      </c>
      <c r="J655" s="55" t="s">
        <v>5486</v>
      </c>
      <c r="K655" s="55" t="s">
        <v>5487</v>
      </c>
      <c r="L655" s="55" t="s">
        <v>5488</v>
      </c>
      <c r="M655" s="100"/>
      <c r="N655" s="100"/>
      <c r="O655" s="100"/>
      <c r="P655" s="100"/>
    </row>
    <row r="656" spans="2:27">
      <c r="D656" s="45" t="s">
        <v>4049</v>
      </c>
      <c r="E656" s="45" t="s">
        <v>4050</v>
      </c>
      <c r="F656" s="45" t="s">
        <v>4051</v>
      </c>
      <c r="G656" s="45" t="s">
        <v>4052</v>
      </c>
      <c r="H656" s="45" t="s">
        <v>4053</v>
      </c>
      <c r="I656" s="45" t="s">
        <v>4054</v>
      </c>
      <c r="J656" s="45" t="s">
        <v>4055</v>
      </c>
      <c r="K656" s="45" t="s">
        <v>4056</v>
      </c>
      <c r="L656" s="45" t="s">
        <v>4057</v>
      </c>
      <c r="M656" s="45" t="s">
        <v>4058</v>
      </c>
      <c r="N656" s="45" t="s">
        <v>4059</v>
      </c>
      <c r="O656" s="45" t="s">
        <v>4060</v>
      </c>
      <c r="P656" s="45" t="s">
        <v>4061</v>
      </c>
      <c r="Z656" s="13" t="str">
        <f>Show!$B$157&amp;"S.27.01.04.25 Rows {"&amp;COLUMN($C$1)&amp;"}"&amp;"@ForceFilingCode:true"</f>
        <v>!S.27.01.04.25 Rows {3}@ForceFilingCode:true</v>
      </c>
      <c r="AA656" s="13" t="str">
        <f>Show!$B$157&amp;"S.27.01.04.25 Columns {"&amp;COLUMN($D$1)&amp;"}"</f>
        <v>!S.27.01.04.25 Columns {4}</v>
      </c>
    </row>
    <row r="657" spans="2:27">
      <c r="B657" s="43" t="s">
        <v>2880</v>
      </c>
      <c r="C657" s="44" t="s">
        <v>2878</v>
      </c>
      <c r="D657" s="58"/>
      <c r="E657" s="67"/>
      <c r="F657" s="67"/>
      <c r="G657" s="67"/>
      <c r="H657" s="67"/>
      <c r="I657" s="67"/>
      <c r="J657" s="67"/>
      <c r="K657" s="67"/>
      <c r="L657" s="67"/>
      <c r="M657" s="67"/>
      <c r="N657" s="67"/>
      <c r="O657" s="67"/>
      <c r="P657" s="59"/>
    </row>
    <row r="658" spans="2:27">
      <c r="B658" s="47" t="s">
        <v>5489</v>
      </c>
      <c r="C658" s="44" t="s">
        <v>2878</v>
      </c>
      <c r="D658" s="56"/>
      <c r="E658" s="66"/>
      <c r="F658" s="67"/>
      <c r="G658" s="67"/>
      <c r="H658" s="67"/>
      <c r="I658" s="67"/>
      <c r="J658" s="67"/>
      <c r="K658" s="67"/>
      <c r="L658" s="67"/>
      <c r="M658" s="66"/>
      <c r="N658" s="66"/>
      <c r="O658" s="66"/>
      <c r="P658" s="57"/>
    </row>
    <row r="659" spans="2:27">
      <c r="B659" s="49" t="s">
        <v>5529</v>
      </c>
      <c r="C659" s="41" t="s">
        <v>5530</v>
      </c>
      <c r="D659" s="50"/>
      <c r="E659" s="64"/>
      <c r="F659" s="56"/>
      <c r="G659" s="56"/>
      <c r="H659" s="56"/>
      <c r="I659" s="56"/>
      <c r="J659" s="56"/>
      <c r="K659" s="56"/>
      <c r="L659" s="46"/>
      <c r="M659" s="60"/>
      <c r="N659" s="60"/>
      <c r="O659" s="60"/>
      <c r="P659" s="60"/>
    </row>
    <row r="661" spans="2:27">
      <c r="Z661" s="13" t="str">
        <f>Show!$B$157&amp;Show!$B$157&amp;"S.27.01.04.25 Rows {"&amp;COLUMN($C$1)&amp;"}"</f>
        <v>!!S.27.01.04.25 Rows {3}</v>
      </c>
      <c r="AA661" s="13" t="str">
        <f>Show!$B$157&amp;Show!$B$157&amp;"S.27.01.04.25 Columns {"&amp;COLUMN($P$1)&amp;"}"</f>
        <v>!!S.27.01.04.25 Columns {16}</v>
      </c>
    </row>
    <row r="663" spans="2:27" ht="18.75">
      <c r="B663" s="97" t="s">
        <v>5571</v>
      </c>
      <c r="C663" s="96"/>
      <c r="D663" s="96"/>
      <c r="E663" s="96"/>
      <c r="F663" s="96"/>
      <c r="G663" s="96"/>
      <c r="H663" s="96"/>
      <c r="I663" s="96"/>
      <c r="J663" s="96"/>
      <c r="K663" s="96"/>
      <c r="L663" s="96"/>
    </row>
    <row r="667" spans="2:27">
      <c r="D667" s="101" t="s">
        <v>2877</v>
      </c>
      <c r="E667" s="102"/>
      <c r="F667" s="102"/>
      <c r="G667" s="102"/>
      <c r="H667" s="102"/>
      <c r="I667" s="102"/>
      <c r="J667" s="102"/>
      <c r="K667" s="102"/>
      <c r="L667" s="103"/>
    </row>
    <row r="668" spans="2:27">
      <c r="D668" s="104"/>
      <c r="E668" s="105"/>
      <c r="F668" s="105"/>
      <c r="G668" s="105"/>
      <c r="H668" s="105"/>
      <c r="I668" s="105"/>
      <c r="J668" s="105"/>
      <c r="K668" s="105"/>
      <c r="L668" s="106"/>
    </row>
    <row r="669" spans="2:27">
      <c r="D669" s="98" t="s">
        <v>5441</v>
      </c>
      <c r="E669" s="107" t="s">
        <v>5442</v>
      </c>
      <c r="F669" s="108"/>
      <c r="G669" s="108"/>
      <c r="H669" s="109"/>
      <c r="I669" s="98" t="s">
        <v>5119</v>
      </c>
      <c r="J669" s="98" t="s">
        <v>5120</v>
      </c>
      <c r="K669" s="98" t="s">
        <v>5121</v>
      </c>
      <c r="L669" s="98" t="s">
        <v>5122</v>
      </c>
    </row>
    <row r="670" spans="2:27" ht="30">
      <c r="D670" s="100"/>
      <c r="E670" s="55" t="s">
        <v>5388</v>
      </c>
      <c r="F670" s="55" t="s">
        <v>5393</v>
      </c>
      <c r="G670" s="55" t="s">
        <v>5395</v>
      </c>
      <c r="H670" s="55" t="s">
        <v>5396</v>
      </c>
      <c r="I670" s="100"/>
      <c r="J670" s="100"/>
      <c r="K670" s="100"/>
      <c r="L670" s="100"/>
    </row>
    <row r="671" spans="2:27">
      <c r="D671" s="45" t="s">
        <v>4038</v>
      </c>
      <c r="E671" s="45" t="s">
        <v>4039</v>
      </c>
      <c r="F671" s="45" t="s">
        <v>4040</v>
      </c>
      <c r="G671" s="45" t="s">
        <v>4042</v>
      </c>
      <c r="H671" s="45" t="s">
        <v>4044</v>
      </c>
      <c r="I671" s="45" t="s">
        <v>4045</v>
      </c>
      <c r="J671" s="45" t="s">
        <v>5443</v>
      </c>
      <c r="K671" s="45" t="s">
        <v>5444</v>
      </c>
      <c r="L671" s="45" t="s">
        <v>4047</v>
      </c>
      <c r="Z671" s="13" t="str">
        <f>Show!$B$157&amp;"S.27.01.04.26 Rows {"&amp;COLUMN($C$1)&amp;"}"&amp;"@ForceFilingCode:true"</f>
        <v>!S.27.01.04.26 Rows {3}@ForceFilingCode:true</v>
      </c>
      <c r="AA671" s="13" t="str">
        <f>Show!$B$157&amp;"S.27.01.04.26 Columns {"&amp;COLUMN($D$1)&amp;"}"</f>
        <v>!S.27.01.04.26 Columns {4}</v>
      </c>
    </row>
    <row r="672" spans="2:27">
      <c r="B672" s="43" t="s">
        <v>2880</v>
      </c>
      <c r="C672" s="44" t="s">
        <v>2878</v>
      </c>
      <c r="D672" s="58"/>
      <c r="E672" s="67"/>
      <c r="F672" s="67"/>
      <c r="G672" s="67"/>
      <c r="H672" s="67"/>
      <c r="I672" s="67"/>
      <c r="J672" s="67"/>
      <c r="K672" s="67"/>
      <c r="L672" s="59"/>
    </row>
    <row r="673" spans="2:27">
      <c r="B673" s="47" t="s">
        <v>5445</v>
      </c>
      <c r="C673" s="44" t="s">
        <v>2878</v>
      </c>
      <c r="D673" s="58"/>
      <c r="E673" s="67"/>
      <c r="F673" s="67"/>
      <c r="G673" s="67"/>
      <c r="H673" s="67"/>
      <c r="I673" s="66"/>
      <c r="J673" s="66"/>
      <c r="K673" s="66"/>
      <c r="L673" s="57"/>
    </row>
    <row r="674" spans="2:27">
      <c r="B674" s="49" t="s">
        <v>5532</v>
      </c>
      <c r="C674" s="44" t="s">
        <v>5533</v>
      </c>
      <c r="D674" s="58"/>
      <c r="E674" s="58"/>
      <c r="F674" s="58"/>
      <c r="G674" s="58"/>
      <c r="H674" s="48"/>
      <c r="I674" s="60"/>
      <c r="J674" s="63"/>
      <c r="K674" s="63"/>
      <c r="L674" s="60"/>
    </row>
    <row r="675" spans="2:27">
      <c r="B675" s="49" t="s">
        <v>5436</v>
      </c>
      <c r="C675" s="44" t="s">
        <v>5534</v>
      </c>
      <c r="D675" s="58"/>
      <c r="E675" s="58"/>
      <c r="F675" s="58"/>
      <c r="G675" s="58"/>
      <c r="H675" s="48"/>
      <c r="I675" s="64"/>
      <c r="J675" s="58"/>
      <c r="K675" s="48"/>
      <c r="L675" s="60"/>
    </row>
    <row r="676" spans="2:27">
      <c r="B676" s="49" t="s">
        <v>5535</v>
      </c>
      <c r="C676" s="44" t="s">
        <v>5536</v>
      </c>
      <c r="D676" s="56"/>
      <c r="E676" s="56"/>
      <c r="F676" s="56"/>
      <c r="G676" s="56"/>
      <c r="H676" s="46"/>
      <c r="I676" s="64"/>
      <c r="J676" s="56"/>
      <c r="K676" s="46"/>
      <c r="L676" s="60"/>
    </row>
    <row r="678" spans="2:27">
      <c r="Z678" s="13" t="str">
        <f>Show!$B$157&amp;Show!$B$157&amp;"S.27.01.04.26 Rows {"&amp;COLUMN($C$1)&amp;"}"</f>
        <v>!!S.27.01.04.26 Rows {3}</v>
      </c>
      <c r="AA678" s="13" t="str">
        <f>Show!$B$157&amp;Show!$B$157&amp;"S.27.01.04.26 Columns {"&amp;COLUMN($L$1)&amp;"}"</f>
        <v>!!S.27.01.04.26 Columns {12}</v>
      </c>
    </row>
    <row r="680" spans="2:27" ht="18.75">
      <c r="B680" s="97" t="s">
        <v>5572</v>
      </c>
      <c r="C680" s="96"/>
      <c r="D680" s="96"/>
      <c r="E680" s="96"/>
      <c r="F680" s="96"/>
      <c r="G680" s="96"/>
      <c r="H680" s="96"/>
      <c r="I680" s="96"/>
      <c r="J680" s="96"/>
      <c r="K680" s="96"/>
      <c r="L680" s="96"/>
    </row>
    <row r="684" spans="2:27">
      <c r="D684" s="98" t="s">
        <v>2877</v>
      </c>
    </row>
    <row r="685" spans="2:27">
      <c r="D685" s="100"/>
    </row>
    <row r="686" spans="2:27" ht="30">
      <c r="D686" s="55" t="s">
        <v>2574</v>
      </c>
    </row>
    <row r="687" spans="2:27">
      <c r="D687" s="45" t="s">
        <v>3581</v>
      </c>
      <c r="Z687" s="13" t="str">
        <f>Show!$B$157&amp;"S.27.01.04.27 Rows {"&amp;COLUMN($C$1)&amp;"}"&amp;"@ForceFilingCode:true"</f>
        <v>!S.27.01.04.27 Rows {3}@ForceFilingCode:true</v>
      </c>
      <c r="AA687" s="13" t="str">
        <f>Show!$B$157&amp;"S.27.01.04.27 Columns {"&amp;COLUMN($D$1)&amp;"}"</f>
        <v>!S.27.01.04.27 Columns {4}</v>
      </c>
    </row>
    <row r="688" spans="2:27">
      <c r="B688" s="43" t="s">
        <v>2880</v>
      </c>
      <c r="C688" s="44" t="s">
        <v>2878</v>
      </c>
      <c r="D688" s="46"/>
    </row>
    <row r="689" spans="2:27">
      <c r="B689" s="47" t="s">
        <v>5538</v>
      </c>
      <c r="C689" s="41" t="s">
        <v>4601</v>
      </c>
      <c r="D689" s="51"/>
    </row>
    <row r="690" spans="2:27">
      <c r="B690" s="47" t="s">
        <v>5539</v>
      </c>
      <c r="C690" s="41" t="s">
        <v>5540</v>
      </c>
      <c r="D690" s="51"/>
    </row>
    <row r="692" spans="2:27">
      <c r="Z692" s="13" t="str">
        <f>Show!$B$157&amp;Show!$B$157&amp;"S.27.01.04.27 Rows {"&amp;COLUMN($C$1)&amp;"}"</f>
        <v>!!S.27.01.04.27 Rows {3}</v>
      </c>
      <c r="AA692" s="13" t="str">
        <f>Show!$B$157&amp;Show!$B$157&amp;"S.27.01.04.27 Columns {"&amp;COLUMN($D$1)&amp;"}"</f>
        <v>!!S.27.01.04.27 Columns {4}</v>
      </c>
    </row>
    <row r="694" spans="2:27" ht="18.75">
      <c r="B694" s="97" t="s">
        <v>5573</v>
      </c>
      <c r="C694" s="96"/>
      <c r="D694" s="96"/>
      <c r="E694" s="96"/>
      <c r="F694" s="96"/>
      <c r="G694" s="96"/>
      <c r="H694" s="96"/>
      <c r="I694" s="96"/>
      <c r="J694" s="96"/>
      <c r="K694" s="96"/>
      <c r="L694" s="96"/>
    </row>
    <row r="698" spans="2:27">
      <c r="D698" s="98" t="s">
        <v>2877</v>
      </c>
    </row>
    <row r="699" spans="2:27">
      <c r="D699" s="100"/>
    </row>
    <row r="700" spans="2:27">
      <c r="D700" s="55" t="s">
        <v>5542</v>
      </c>
    </row>
    <row r="701" spans="2:27">
      <c r="D701" s="45" t="s">
        <v>5543</v>
      </c>
      <c r="Z701" s="13" t="str">
        <f>Show!$B$157&amp;"S.27.01.04.28 Rows {"&amp;COLUMN($C$1)&amp;"}"&amp;"@ForceFilingCode:true"</f>
        <v>!S.27.01.04.28 Rows {3}@ForceFilingCode:true</v>
      </c>
      <c r="AA701" s="13" t="str">
        <f>Show!$B$157&amp;"S.27.01.04.28 Columns {"&amp;COLUMN($D$1)&amp;"}"</f>
        <v>!S.27.01.04.28 Columns {4}</v>
      </c>
    </row>
    <row r="702" spans="2:27">
      <c r="B702" s="43" t="s">
        <v>2880</v>
      </c>
      <c r="C702" s="44" t="s">
        <v>2878</v>
      </c>
      <c r="D702" s="46"/>
    </row>
    <row r="703" spans="2:27">
      <c r="B703" s="47" t="s">
        <v>5544</v>
      </c>
      <c r="C703" s="41" t="s">
        <v>5545</v>
      </c>
      <c r="D703" s="50"/>
    </row>
    <row r="705" spans="26:27">
      <c r="Z705" s="13" t="str">
        <f>Show!$B$157&amp;Show!$B$157&amp;"S.27.01.04.28 Rows {"&amp;COLUMN($C$1)&amp;"}"</f>
        <v>!!S.27.01.04.28 Rows {3}</v>
      </c>
      <c r="AA705" s="13" t="str">
        <f>Show!$B$157&amp;Show!$B$157&amp;"S.27.01.04.28 Columns {"&amp;COLUMN($D$1)&amp;"}"</f>
        <v>!!S.27.01.04.28 Columns {4}</v>
      </c>
    </row>
  </sheetData>
  <sheetProtection sheet="1" objects="1" scenarios="1"/>
  <mergeCells count="160">
    <mergeCell ref="B680:L680"/>
    <mergeCell ref="D684:D685"/>
    <mergeCell ref="B694:L694"/>
    <mergeCell ref="D698:D699"/>
    <mergeCell ref="B663:L663"/>
    <mergeCell ref="D667:L668"/>
    <mergeCell ref="D669:D670"/>
    <mergeCell ref="E669:H669"/>
    <mergeCell ref="I669:I670"/>
    <mergeCell ref="J669:J670"/>
    <mergeCell ref="K669:K670"/>
    <mergeCell ref="L669:L670"/>
    <mergeCell ref="B648:L648"/>
    <mergeCell ref="D652:P653"/>
    <mergeCell ref="D654:E654"/>
    <mergeCell ref="F654:L654"/>
    <mergeCell ref="M654:M655"/>
    <mergeCell ref="N654:N655"/>
    <mergeCell ref="O654:O655"/>
    <mergeCell ref="P654:P655"/>
    <mergeCell ref="B633:L633"/>
    <mergeCell ref="D637:D640"/>
    <mergeCell ref="E637:Q638"/>
    <mergeCell ref="E639:F639"/>
    <mergeCell ref="G639:M639"/>
    <mergeCell ref="N639:N640"/>
    <mergeCell ref="O639:O640"/>
    <mergeCell ref="P639:P640"/>
    <mergeCell ref="Q639:Q640"/>
    <mergeCell ref="B618:L618"/>
    <mergeCell ref="D622:D625"/>
    <mergeCell ref="E622:M623"/>
    <mergeCell ref="E624:E625"/>
    <mergeCell ref="F624:I624"/>
    <mergeCell ref="J624:J625"/>
    <mergeCell ref="K624:K625"/>
    <mergeCell ref="L624:L625"/>
    <mergeCell ref="M624:M625"/>
    <mergeCell ref="B573:L573"/>
    <mergeCell ref="D577:P578"/>
    <mergeCell ref="D579:E579"/>
    <mergeCell ref="F579:L579"/>
    <mergeCell ref="M579:M580"/>
    <mergeCell ref="N579:N580"/>
    <mergeCell ref="O579:O580"/>
    <mergeCell ref="P579:P580"/>
    <mergeCell ref="N486:N487"/>
    <mergeCell ref="O486:O487"/>
    <mergeCell ref="B528:L528"/>
    <mergeCell ref="D532:L533"/>
    <mergeCell ref="D534:D535"/>
    <mergeCell ref="E534:H534"/>
    <mergeCell ref="I534:I535"/>
    <mergeCell ref="J534:J535"/>
    <mergeCell ref="K534:K535"/>
    <mergeCell ref="L534:L535"/>
    <mergeCell ref="D486:E486"/>
    <mergeCell ref="F486:G486"/>
    <mergeCell ref="H486:I486"/>
    <mergeCell ref="J486:K486"/>
    <mergeCell ref="L486:L487"/>
    <mergeCell ref="M486:M487"/>
    <mergeCell ref="D449:F449"/>
    <mergeCell ref="B459:L459"/>
    <mergeCell ref="D463:G464"/>
    <mergeCell ref="D465:G465"/>
    <mergeCell ref="B480:L480"/>
    <mergeCell ref="D484:O485"/>
    <mergeCell ref="D419:I419"/>
    <mergeCell ref="B429:L429"/>
    <mergeCell ref="D433:H434"/>
    <mergeCell ref="D435:H435"/>
    <mergeCell ref="B443:L443"/>
    <mergeCell ref="D447:F448"/>
    <mergeCell ref="D384:J384"/>
    <mergeCell ref="B397:L397"/>
    <mergeCell ref="D401:F402"/>
    <mergeCell ref="D403:F403"/>
    <mergeCell ref="B413:L413"/>
    <mergeCell ref="D417:I418"/>
    <mergeCell ref="D356:I356"/>
    <mergeCell ref="B364:L364"/>
    <mergeCell ref="D368:G369"/>
    <mergeCell ref="D370:G370"/>
    <mergeCell ref="B378:L378"/>
    <mergeCell ref="D382:J383"/>
    <mergeCell ref="D325:M326"/>
    <mergeCell ref="B334:L334"/>
    <mergeCell ref="D338:F339"/>
    <mergeCell ref="D340:F340"/>
    <mergeCell ref="B350:L350"/>
    <mergeCell ref="D354:I355"/>
    <mergeCell ref="B294:L294"/>
    <mergeCell ref="D298:I299"/>
    <mergeCell ref="D300:I300"/>
    <mergeCell ref="B308:L308"/>
    <mergeCell ref="D312:K313"/>
    <mergeCell ref="B321:L321"/>
    <mergeCell ref="B280:L280"/>
    <mergeCell ref="D284:H285"/>
    <mergeCell ref="D286:H286"/>
    <mergeCell ref="J221:J222"/>
    <mergeCell ref="K221:K222"/>
    <mergeCell ref="L221:L222"/>
    <mergeCell ref="B263:L263"/>
    <mergeCell ref="D267:K268"/>
    <mergeCell ref="D269:D270"/>
    <mergeCell ref="E269:E270"/>
    <mergeCell ref="F269:F270"/>
    <mergeCell ref="G269:G270"/>
    <mergeCell ref="H269:H270"/>
    <mergeCell ref="B215:L215"/>
    <mergeCell ref="D219:L220"/>
    <mergeCell ref="D221:D222"/>
    <mergeCell ref="E221:E222"/>
    <mergeCell ref="F221:F222"/>
    <mergeCell ref="G221:G222"/>
    <mergeCell ref="H221:H222"/>
    <mergeCell ref="I221:I222"/>
    <mergeCell ref="I269:I270"/>
    <mergeCell ref="J269:J270"/>
    <mergeCell ref="K269:K270"/>
    <mergeCell ref="B164:L164"/>
    <mergeCell ref="D168:L169"/>
    <mergeCell ref="D170:D171"/>
    <mergeCell ref="E170:E171"/>
    <mergeCell ref="F170:F171"/>
    <mergeCell ref="G170:G171"/>
    <mergeCell ref="H170:H171"/>
    <mergeCell ref="I170:I171"/>
    <mergeCell ref="J170:J171"/>
    <mergeCell ref="K170:K171"/>
    <mergeCell ref="L170:L171"/>
    <mergeCell ref="B107:L107"/>
    <mergeCell ref="D111:K112"/>
    <mergeCell ref="D113:D114"/>
    <mergeCell ref="E113:E114"/>
    <mergeCell ref="F113:F114"/>
    <mergeCell ref="G113:G114"/>
    <mergeCell ref="H113:H114"/>
    <mergeCell ref="I113:I114"/>
    <mergeCell ref="J113:J114"/>
    <mergeCell ref="K113:K114"/>
    <mergeCell ref="B2:O2"/>
    <mergeCell ref="B5:L5"/>
    <mergeCell ref="D9:F10"/>
    <mergeCell ref="D11:D13"/>
    <mergeCell ref="E11:E13"/>
    <mergeCell ref="F11:F13"/>
    <mergeCell ref="B47:L47"/>
    <mergeCell ref="D51:L52"/>
    <mergeCell ref="D53:D54"/>
    <mergeCell ref="E53:E54"/>
    <mergeCell ref="F53:F54"/>
    <mergeCell ref="G53:G54"/>
    <mergeCell ref="H53:H54"/>
    <mergeCell ref="I53:I54"/>
    <mergeCell ref="J53:J54"/>
    <mergeCell ref="K53:K54"/>
    <mergeCell ref="L53:L54"/>
  </mergeCells>
  <dataValidations count="3">
    <dataValidation type="list" errorStyle="warning" allowBlank="1" showInputMessage="1" showErrorMessage="1" sqref="H58 H59 H60 H61 H62 H63 H64 H65 H66 H67 H68 H69 H70 H71 H72 H73 H74 H75 H76 H77 H78 H79 H80 H175 H176 H177 H178 H179 H180 H181 H182 H183 H184 H185 H186 H187 H188 H226 H227 H228 H229 H230 H231 H232 H233 H234 H235 H236" xr:uid="{B8310D89-A8D1-477C-AADE-A9F1679B5F67}">
      <formula1>hier_RT_10</formula1>
    </dataValidation>
    <dataValidation type="list" errorStyle="warning" allowBlank="1" showInputMessage="1" showErrorMessage="1" sqref="D629 D644" xr:uid="{22DFA8CF-680B-47C6-94E7-77C1F12E205F}">
      <formula1>hier_GA_36</formula1>
    </dataValidation>
    <dataValidation type="list" errorStyle="warning" allowBlank="1" showInputMessage="1" showErrorMessage="1" sqref="D689" xr:uid="{0FC69ED2-18F2-4017-A327-4BC4F852BD6F}">
      <formula1>hier_AP_28</formula1>
    </dataValidation>
  </dataValidation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0756E-C141-4F15-A143-8EF99D73D2C5}">
  <sheetPr codeName="Blad162"/>
  <dimension ref="B2:AA817"/>
  <sheetViews>
    <sheetView showGridLines="0" workbookViewId="0"/>
  </sheetViews>
  <sheetFormatPr defaultRowHeight="15"/>
  <cols>
    <col min="2" max="2" width="82.28515625" bestFit="1" customWidth="1"/>
    <col min="4" max="17" width="15.7109375" customWidth="1"/>
  </cols>
  <sheetData>
    <row r="2" spans="2:27" ht="23.25">
      <c r="B2" s="95" t="s">
        <v>742</v>
      </c>
      <c r="C2" s="96"/>
      <c r="D2" s="96"/>
      <c r="E2" s="96"/>
      <c r="F2" s="96"/>
      <c r="G2" s="96"/>
      <c r="H2" s="96"/>
      <c r="I2" s="96"/>
      <c r="J2" s="96"/>
      <c r="K2" s="96"/>
      <c r="L2" s="96"/>
      <c r="M2" s="96"/>
      <c r="N2" s="96"/>
      <c r="O2" s="96"/>
    </row>
    <row r="5" spans="2:27" ht="18.75">
      <c r="B5" s="97" t="s">
        <v>5574</v>
      </c>
      <c r="C5" s="96"/>
      <c r="D5" s="96"/>
      <c r="E5" s="96"/>
      <c r="F5" s="96"/>
      <c r="G5" s="96"/>
      <c r="H5" s="96"/>
      <c r="I5" s="96"/>
      <c r="J5" s="96"/>
      <c r="K5" s="96"/>
      <c r="L5" s="96"/>
    </row>
    <row r="7" spans="2:27">
      <c r="B7" t="s">
        <v>3110</v>
      </c>
      <c r="Z7" s="13" t="str">
        <f>Show!$B$158&amp;"SR.27.01.01.01 Table label {"&amp;COLUMN($C$1)&amp;"}"</f>
        <v>!SR.27.01.01.01 Table label {3}</v>
      </c>
      <c r="AA7" s="13" t="str">
        <f>Show!$B$158&amp;"SR.27.01.01.01 Table value {"&amp;COLUMN($D$1)&amp;"}"</f>
        <v>!SR.27.01.01.01 Table value {4}</v>
      </c>
    </row>
    <row r="8" spans="2:27">
      <c r="B8" t="s">
        <v>3111</v>
      </c>
    </row>
    <row r="9" spans="2:27">
      <c r="B9" s="40" t="s">
        <v>3788</v>
      </c>
      <c r="C9" s="53" t="s">
        <v>3115</v>
      </c>
      <c r="D9" s="51"/>
    </row>
    <row r="10" spans="2:27">
      <c r="B10" s="40" t="s">
        <v>3114</v>
      </c>
      <c r="C10" s="53" t="s">
        <v>3323</v>
      </c>
      <c r="D10" s="50"/>
    </row>
    <row r="11" spans="2:27">
      <c r="Z11" s="13" t="str">
        <f>Show!$B$158&amp;Show!$B$158&amp;"SR.27.01.01.01 Table label {"&amp;COLUMN($C$1)&amp;"}"</f>
        <v>!!SR.27.01.01.01 Table label {3}</v>
      </c>
      <c r="AA11" s="13" t="str">
        <f>Show!$B$158&amp;Show!$B$158&amp;"SR.27.01.01.01 Table value {"&amp;COLUMN($D$1)&amp;"}"</f>
        <v>!!SR.27.01.01.01 Table value {4}</v>
      </c>
    </row>
    <row r="13" spans="2:27">
      <c r="D13" s="101" t="s">
        <v>2877</v>
      </c>
      <c r="E13" s="102"/>
      <c r="F13" s="103"/>
    </row>
    <row r="14" spans="2:27">
      <c r="D14" s="104"/>
      <c r="E14" s="105"/>
      <c r="F14" s="106"/>
    </row>
    <row r="15" spans="2:27">
      <c r="D15" s="98" t="s">
        <v>5091</v>
      </c>
      <c r="E15" s="98" t="s">
        <v>5092</v>
      </c>
      <c r="F15" s="98" t="s">
        <v>5093</v>
      </c>
    </row>
    <row r="16" spans="2:27">
      <c r="D16" s="99"/>
      <c r="E16" s="99"/>
      <c r="F16" s="99"/>
    </row>
    <row r="17" spans="2:27">
      <c r="D17" s="100"/>
      <c r="E17" s="100"/>
      <c r="F17" s="100"/>
    </row>
    <row r="18" spans="2:27">
      <c r="D18" s="45" t="s">
        <v>2879</v>
      </c>
      <c r="E18" s="45" t="s">
        <v>3219</v>
      </c>
      <c r="F18" s="45" t="s">
        <v>3225</v>
      </c>
      <c r="Z18" s="13" t="str">
        <f>Show!$B$158&amp;"SR.27.01.01.01 Rows {"&amp;COLUMN($C$1)&amp;"}"&amp;"@ForceFilingCode:true"</f>
        <v>!SR.27.01.01.01 Rows {3}@ForceFilingCode:true</v>
      </c>
      <c r="AA18" s="13" t="str">
        <f>Show!$B$158&amp;"SR.27.01.01.01 Columns {"&amp;COLUMN($D$1)&amp;"}"</f>
        <v>!SR.27.01.01.01 Columns {4}</v>
      </c>
    </row>
    <row r="19" spans="2:27">
      <c r="B19" s="43" t="s">
        <v>2880</v>
      </c>
      <c r="C19" s="44" t="s">
        <v>2878</v>
      </c>
      <c r="D19" s="58"/>
      <c r="E19" s="67"/>
      <c r="F19" s="59"/>
    </row>
    <row r="20" spans="2:27">
      <c r="B20" s="47" t="s">
        <v>5094</v>
      </c>
      <c r="C20" s="44" t="s">
        <v>2878</v>
      </c>
      <c r="D20" s="56"/>
      <c r="E20" s="66"/>
      <c r="F20" s="57"/>
    </row>
    <row r="21" spans="2:27">
      <c r="B21" s="49" t="s">
        <v>5095</v>
      </c>
      <c r="C21" s="41" t="s">
        <v>2883</v>
      </c>
      <c r="D21" s="60"/>
      <c r="E21" s="60"/>
      <c r="F21" s="60"/>
    </row>
    <row r="22" spans="2:27">
      <c r="B22" s="61" t="s">
        <v>5073</v>
      </c>
      <c r="C22" s="41" t="s">
        <v>2885</v>
      </c>
      <c r="D22" s="60"/>
      <c r="E22" s="60"/>
      <c r="F22" s="60"/>
    </row>
    <row r="23" spans="2:27">
      <c r="B23" s="61" t="s">
        <v>5075</v>
      </c>
      <c r="C23" s="41" t="s">
        <v>2887</v>
      </c>
      <c r="D23" s="60"/>
      <c r="E23" s="60"/>
      <c r="F23" s="60"/>
    </row>
    <row r="24" spans="2:27">
      <c r="B24" s="61" t="s">
        <v>5076</v>
      </c>
      <c r="C24" s="41" t="s">
        <v>2889</v>
      </c>
      <c r="D24" s="60"/>
      <c r="E24" s="60"/>
      <c r="F24" s="60"/>
    </row>
    <row r="25" spans="2:27">
      <c r="B25" s="61" t="s">
        <v>5074</v>
      </c>
      <c r="C25" s="41" t="s">
        <v>3078</v>
      </c>
      <c r="D25" s="60"/>
      <c r="E25" s="60"/>
      <c r="F25" s="60"/>
    </row>
    <row r="26" spans="2:27">
      <c r="B26" s="61" t="s">
        <v>5077</v>
      </c>
      <c r="C26" s="41" t="s">
        <v>2891</v>
      </c>
      <c r="D26" s="60"/>
      <c r="E26" s="60"/>
      <c r="F26" s="60"/>
    </row>
    <row r="27" spans="2:27">
      <c r="B27" s="61" t="s">
        <v>5096</v>
      </c>
      <c r="C27" s="41" t="s">
        <v>2893</v>
      </c>
      <c r="D27" s="60"/>
      <c r="E27" s="60"/>
      <c r="F27" s="60"/>
    </row>
    <row r="28" spans="2:27">
      <c r="B28" s="49" t="s">
        <v>5097</v>
      </c>
      <c r="C28" s="41" t="s">
        <v>2895</v>
      </c>
      <c r="D28" s="60"/>
      <c r="E28" s="60"/>
      <c r="F28" s="60"/>
    </row>
    <row r="29" spans="2:27">
      <c r="B29" s="49" t="s">
        <v>5098</v>
      </c>
      <c r="C29" s="41" t="s">
        <v>2897</v>
      </c>
      <c r="D29" s="60"/>
      <c r="E29" s="60"/>
      <c r="F29" s="60"/>
    </row>
    <row r="30" spans="2:27">
      <c r="B30" s="61" t="s">
        <v>4988</v>
      </c>
      <c r="C30" s="41" t="s">
        <v>2899</v>
      </c>
      <c r="D30" s="60"/>
      <c r="E30" s="60"/>
      <c r="F30" s="60"/>
    </row>
    <row r="31" spans="2:27">
      <c r="B31" s="61" t="s">
        <v>5099</v>
      </c>
      <c r="C31" s="41" t="s">
        <v>2901</v>
      </c>
      <c r="D31" s="60"/>
      <c r="E31" s="60"/>
      <c r="F31" s="60"/>
    </row>
    <row r="32" spans="2:27">
      <c r="B32" s="61" t="s">
        <v>5100</v>
      </c>
      <c r="C32" s="41" t="s">
        <v>2903</v>
      </c>
      <c r="D32" s="60"/>
      <c r="E32" s="60"/>
      <c r="F32" s="60"/>
    </row>
    <row r="33" spans="2:6">
      <c r="B33" s="61" t="s">
        <v>5101</v>
      </c>
      <c r="C33" s="41" t="s">
        <v>2905</v>
      </c>
      <c r="D33" s="60"/>
      <c r="E33" s="60"/>
      <c r="F33" s="60"/>
    </row>
    <row r="34" spans="2:6">
      <c r="B34" s="61" t="s">
        <v>5102</v>
      </c>
      <c r="C34" s="41" t="s">
        <v>2907</v>
      </c>
      <c r="D34" s="60"/>
      <c r="E34" s="60"/>
      <c r="F34" s="60"/>
    </row>
    <row r="35" spans="2:6">
      <c r="B35" s="61" t="s">
        <v>5103</v>
      </c>
      <c r="C35" s="41" t="s">
        <v>2909</v>
      </c>
      <c r="D35" s="60"/>
      <c r="E35" s="60"/>
      <c r="F35" s="60"/>
    </row>
    <row r="36" spans="2:6">
      <c r="B36" s="61" t="s">
        <v>5096</v>
      </c>
      <c r="C36" s="41" t="s">
        <v>2911</v>
      </c>
      <c r="D36" s="60"/>
      <c r="E36" s="60"/>
      <c r="F36" s="60"/>
    </row>
    <row r="37" spans="2:6">
      <c r="B37" s="49" t="s">
        <v>5104</v>
      </c>
      <c r="C37" s="41" t="s">
        <v>2913</v>
      </c>
      <c r="D37" s="60"/>
      <c r="E37" s="60"/>
      <c r="F37" s="60"/>
    </row>
    <row r="38" spans="2:6">
      <c r="B38" s="61" t="s">
        <v>5096</v>
      </c>
      <c r="C38" s="41" t="s">
        <v>2915</v>
      </c>
      <c r="D38" s="60"/>
      <c r="E38" s="60"/>
      <c r="F38" s="60"/>
    </row>
    <row r="39" spans="2:6">
      <c r="B39" s="49" t="s">
        <v>5105</v>
      </c>
      <c r="C39" s="41" t="s">
        <v>2917</v>
      </c>
      <c r="D39" s="60"/>
      <c r="E39" s="60"/>
      <c r="F39" s="60"/>
    </row>
    <row r="40" spans="2:6">
      <c r="B40" s="61" t="s">
        <v>5106</v>
      </c>
      <c r="C40" s="41" t="s">
        <v>2919</v>
      </c>
      <c r="D40" s="60"/>
      <c r="E40" s="60"/>
      <c r="F40" s="60"/>
    </row>
    <row r="41" spans="2:6">
      <c r="B41" s="49" t="s">
        <v>5107</v>
      </c>
      <c r="C41" s="41" t="s">
        <v>2921</v>
      </c>
      <c r="D41" s="63"/>
      <c r="E41" s="63"/>
      <c r="F41" s="63"/>
    </row>
    <row r="42" spans="2:6">
      <c r="B42" s="47" t="s">
        <v>5108</v>
      </c>
      <c r="C42" s="44" t="s">
        <v>2878</v>
      </c>
      <c r="D42" s="56"/>
      <c r="E42" s="66"/>
      <c r="F42" s="57"/>
    </row>
    <row r="43" spans="2:6">
      <c r="B43" s="49" t="s">
        <v>5109</v>
      </c>
      <c r="C43" s="41" t="s">
        <v>2939</v>
      </c>
      <c r="D43" s="60"/>
      <c r="E43" s="60"/>
      <c r="F43" s="60"/>
    </row>
    <row r="44" spans="2:6">
      <c r="B44" s="61" t="s">
        <v>5110</v>
      </c>
      <c r="C44" s="41" t="s">
        <v>2941</v>
      </c>
      <c r="D44" s="60"/>
      <c r="E44" s="60"/>
      <c r="F44" s="60"/>
    </row>
    <row r="45" spans="2:6">
      <c r="B45" s="61" t="s">
        <v>5111</v>
      </c>
      <c r="C45" s="41" t="s">
        <v>2943</v>
      </c>
      <c r="D45" s="60"/>
      <c r="E45" s="60"/>
      <c r="F45" s="60"/>
    </row>
    <row r="46" spans="2:6">
      <c r="B46" s="61" t="s">
        <v>5112</v>
      </c>
      <c r="C46" s="41" t="s">
        <v>2945</v>
      </c>
      <c r="D46" s="60"/>
      <c r="E46" s="60"/>
      <c r="F46" s="60"/>
    </row>
    <row r="47" spans="2:6">
      <c r="B47" s="61" t="s">
        <v>5106</v>
      </c>
      <c r="C47" s="41" t="s">
        <v>2947</v>
      </c>
      <c r="D47" s="60"/>
      <c r="E47" s="60"/>
      <c r="F47" s="60"/>
    </row>
    <row r="49" spans="2:27">
      <c r="Z49" s="13" t="str">
        <f>Show!$B$158&amp;Show!$B$158&amp;"SR.27.01.01.01 Rows {"&amp;COLUMN($C$1)&amp;"}"</f>
        <v>!!SR.27.01.01.01 Rows {3}</v>
      </c>
      <c r="AA49" s="13" t="str">
        <f>Show!$B$158&amp;Show!$B$158&amp;"SR.27.01.01.01 Columns {"&amp;COLUMN($F$1)&amp;"}"</f>
        <v>!!SR.27.01.01.01 Columns {6}</v>
      </c>
    </row>
    <row r="51" spans="2:27" ht="18.75">
      <c r="B51" s="97" t="s">
        <v>5575</v>
      </c>
      <c r="C51" s="96"/>
      <c r="D51" s="96"/>
      <c r="E51" s="96"/>
      <c r="F51" s="96"/>
      <c r="G51" s="96"/>
      <c r="H51" s="96"/>
      <c r="I51" s="96"/>
      <c r="J51" s="96"/>
      <c r="K51" s="96"/>
      <c r="L51" s="96"/>
    </row>
    <row r="53" spans="2:27">
      <c r="B53" t="s">
        <v>3110</v>
      </c>
      <c r="Z53" s="13" t="str">
        <f>Show!$B$158&amp;"SR.27.01.01.02 Table label {"&amp;COLUMN($C$1)&amp;"}"</f>
        <v>!SR.27.01.01.02 Table label {3}</v>
      </c>
      <c r="AA53" s="13" t="str">
        <f>Show!$B$158&amp;"SR.27.01.01.02 Table value {"&amp;COLUMN($D$1)&amp;"}"</f>
        <v>!SR.27.01.01.02 Table value {4}</v>
      </c>
    </row>
    <row r="54" spans="2:27">
      <c r="B54" t="s">
        <v>3111</v>
      </c>
    </row>
    <row r="55" spans="2:27">
      <c r="B55" s="40" t="s">
        <v>3788</v>
      </c>
      <c r="C55" s="53" t="s">
        <v>3115</v>
      </c>
      <c r="D55" s="51"/>
    </row>
    <row r="56" spans="2:27">
      <c r="B56" s="40" t="s">
        <v>3114</v>
      </c>
      <c r="C56" s="53" t="s">
        <v>3323</v>
      </c>
      <c r="D56" s="50"/>
    </row>
    <row r="57" spans="2:27">
      <c r="Z57" s="13" t="str">
        <f>Show!$B$158&amp;Show!$B$158&amp;"SR.27.01.01.02 Table label {"&amp;COLUMN($C$1)&amp;"}"</f>
        <v>!!SR.27.01.01.02 Table label {3}</v>
      </c>
      <c r="AA57" s="13" t="str">
        <f>Show!$B$158&amp;Show!$B$158&amp;"SR.27.01.01.02 Table value {"&amp;COLUMN($D$1)&amp;"}"</f>
        <v>!!SR.27.01.01.02 Table value {4}</v>
      </c>
    </row>
    <row r="59" spans="2:27">
      <c r="D59" s="101" t="s">
        <v>2877</v>
      </c>
      <c r="E59" s="102"/>
      <c r="F59" s="102"/>
      <c r="G59" s="102"/>
      <c r="H59" s="102"/>
      <c r="I59" s="102"/>
      <c r="J59" s="102"/>
      <c r="K59" s="102"/>
      <c r="L59" s="103"/>
    </row>
    <row r="60" spans="2:27">
      <c r="D60" s="104"/>
      <c r="E60" s="105"/>
      <c r="F60" s="105"/>
      <c r="G60" s="105"/>
      <c r="H60" s="105"/>
      <c r="I60" s="105"/>
      <c r="J60" s="105"/>
      <c r="K60" s="105"/>
      <c r="L60" s="106"/>
    </row>
    <row r="61" spans="2:27">
      <c r="D61" s="98" t="s">
        <v>5114</v>
      </c>
      <c r="E61" s="98" t="s">
        <v>5115</v>
      </c>
      <c r="F61" s="98" t="s">
        <v>5116</v>
      </c>
      <c r="G61" s="98" t="s">
        <v>5117</v>
      </c>
      <c r="H61" s="98" t="s">
        <v>5118</v>
      </c>
      <c r="I61" s="98" t="s">
        <v>5119</v>
      </c>
      <c r="J61" s="98" t="s">
        <v>5120</v>
      </c>
      <c r="K61" s="98" t="s">
        <v>5121</v>
      </c>
      <c r="L61" s="98" t="s">
        <v>5122</v>
      </c>
    </row>
    <row r="62" spans="2:27">
      <c r="D62" s="100"/>
      <c r="E62" s="100"/>
      <c r="F62" s="100"/>
      <c r="G62" s="100"/>
      <c r="H62" s="100"/>
      <c r="I62" s="100"/>
      <c r="J62" s="100"/>
      <c r="K62" s="100"/>
      <c r="L62" s="100"/>
    </row>
    <row r="63" spans="2:27">
      <c r="D63" s="45" t="s">
        <v>3223</v>
      </c>
      <c r="E63" s="45" t="s">
        <v>3229</v>
      </c>
      <c r="F63" s="45" t="s">
        <v>3231</v>
      </c>
      <c r="G63" s="45" t="s">
        <v>3233</v>
      </c>
      <c r="H63" s="45" t="s">
        <v>3234</v>
      </c>
      <c r="I63" s="45" t="s">
        <v>3236</v>
      </c>
      <c r="J63" s="45" t="s">
        <v>3239</v>
      </c>
      <c r="K63" s="45" t="s">
        <v>3241</v>
      </c>
      <c r="L63" s="45" t="s">
        <v>3243</v>
      </c>
      <c r="Z63" s="13" t="str">
        <f>Show!$B$158&amp;"SR.27.01.01.02 Rows {"&amp;COLUMN($C$1)&amp;"}"&amp;"@ForceFilingCode:true"</f>
        <v>!SR.27.01.01.02 Rows {3}@ForceFilingCode:true</v>
      </c>
      <c r="AA63" s="13" t="str">
        <f>Show!$B$158&amp;"SR.27.01.01.02 Columns {"&amp;COLUMN($D$1)&amp;"}"</f>
        <v>!SR.27.01.01.02 Columns {4}</v>
      </c>
    </row>
    <row r="64" spans="2:27">
      <c r="B64" s="43" t="s">
        <v>2880</v>
      </c>
      <c r="C64" s="44" t="s">
        <v>2878</v>
      </c>
      <c r="D64" s="58"/>
      <c r="E64" s="67"/>
      <c r="F64" s="67"/>
      <c r="G64" s="67"/>
      <c r="H64" s="67"/>
      <c r="I64" s="67"/>
      <c r="J64" s="67"/>
      <c r="K64" s="67"/>
      <c r="L64" s="59"/>
    </row>
    <row r="65" spans="2:12">
      <c r="B65" s="47" t="s">
        <v>5123</v>
      </c>
      <c r="C65" s="44" t="s">
        <v>2878</v>
      </c>
      <c r="D65" s="58"/>
      <c r="E65" s="66"/>
      <c r="F65" s="66"/>
      <c r="G65" s="66"/>
      <c r="H65" s="66"/>
      <c r="I65" s="66"/>
      <c r="J65" s="66"/>
      <c r="K65" s="66"/>
      <c r="L65" s="57"/>
    </row>
    <row r="66" spans="2:12">
      <c r="B66" s="49" t="s">
        <v>5124</v>
      </c>
      <c r="C66" s="44" t="s">
        <v>2959</v>
      </c>
      <c r="D66" s="48"/>
      <c r="E66" s="60"/>
      <c r="F66" s="60"/>
      <c r="G66" s="70"/>
      <c r="H66" s="51"/>
      <c r="I66" s="60"/>
      <c r="J66" s="60"/>
      <c r="K66" s="60"/>
      <c r="L66" s="60"/>
    </row>
    <row r="67" spans="2:12">
      <c r="B67" s="49" t="s">
        <v>5125</v>
      </c>
      <c r="C67" s="44" t="s">
        <v>2961</v>
      </c>
      <c r="D67" s="48"/>
      <c r="E67" s="60"/>
      <c r="F67" s="60"/>
      <c r="G67" s="70"/>
      <c r="H67" s="51"/>
      <c r="I67" s="60"/>
      <c r="J67" s="60"/>
      <c r="K67" s="60"/>
      <c r="L67" s="60"/>
    </row>
    <row r="68" spans="2:12">
      <c r="B68" s="49" t="s">
        <v>5126</v>
      </c>
      <c r="C68" s="44" t="s">
        <v>2963</v>
      </c>
      <c r="D68" s="48"/>
      <c r="E68" s="60"/>
      <c r="F68" s="60"/>
      <c r="G68" s="70"/>
      <c r="H68" s="51"/>
      <c r="I68" s="60"/>
      <c r="J68" s="60"/>
      <c r="K68" s="60"/>
      <c r="L68" s="60"/>
    </row>
    <row r="69" spans="2:12">
      <c r="B69" s="49" t="s">
        <v>5127</v>
      </c>
      <c r="C69" s="44" t="s">
        <v>2965</v>
      </c>
      <c r="D69" s="48"/>
      <c r="E69" s="60"/>
      <c r="F69" s="60"/>
      <c r="G69" s="70"/>
      <c r="H69" s="51"/>
      <c r="I69" s="60"/>
      <c r="J69" s="60"/>
      <c r="K69" s="60"/>
      <c r="L69" s="60"/>
    </row>
    <row r="70" spans="2:12">
      <c r="B70" s="49" t="s">
        <v>5128</v>
      </c>
      <c r="C70" s="44" t="s">
        <v>2967</v>
      </c>
      <c r="D70" s="48"/>
      <c r="E70" s="60"/>
      <c r="F70" s="60"/>
      <c r="G70" s="70"/>
      <c r="H70" s="51"/>
      <c r="I70" s="60"/>
      <c r="J70" s="60"/>
      <c r="K70" s="60"/>
      <c r="L70" s="60"/>
    </row>
    <row r="71" spans="2:12">
      <c r="B71" s="49" t="s">
        <v>5129</v>
      </c>
      <c r="C71" s="44" t="s">
        <v>5130</v>
      </c>
      <c r="D71" s="48"/>
      <c r="E71" s="60"/>
      <c r="F71" s="60"/>
      <c r="G71" s="70"/>
      <c r="H71" s="51"/>
      <c r="I71" s="60"/>
      <c r="J71" s="60"/>
      <c r="K71" s="60"/>
      <c r="L71" s="60"/>
    </row>
    <row r="72" spans="2:12" ht="30">
      <c r="B72" s="49" t="s">
        <v>5131</v>
      </c>
      <c r="C72" s="44" t="s">
        <v>2969</v>
      </c>
      <c r="D72" s="48"/>
      <c r="E72" s="60"/>
      <c r="F72" s="60"/>
      <c r="G72" s="70"/>
      <c r="H72" s="51"/>
      <c r="I72" s="60"/>
      <c r="J72" s="60"/>
      <c r="K72" s="60"/>
      <c r="L72" s="60"/>
    </row>
    <row r="73" spans="2:12">
      <c r="B73" s="49" t="s">
        <v>5132</v>
      </c>
      <c r="C73" s="44" t="s">
        <v>2971</v>
      </c>
      <c r="D73" s="48"/>
      <c r="E73" s="60"/>
      <c r="F73" s="60"/>
      <c r="G73" s="70"/>
      <c r="H73" s="51"/>
      <c r="I73" s="60"/>
      <c r="J73" s="60"/>
      <c r="K73" s="60"/>
      <c r="L73" s="60"/>
    </row>
    <row r="74" spans="2:12">
      <c r="B74" s="49" t="s">
        <v>5133</v>
      </c>
      <c r="C74" s="44" t="s">
        <v>4815</v>
      </c>
      <c r="D74" s="48"/>
      <c r="E74" s="60"/>
      <c r="F74" s="60"/>
      <c r="G74" s="70"/>
      <c r="H74" s="51"/>
      <c r="I74" s="60"/>
      <c r="J74" s="60"/>
      <c r="K74" s="60"/>
      <c r="L74" s="60"/>
    </row>
    <row r="75" spans="2:12">
      <c r="B75" s="49" t="s">
        <v>5134</v>
      </c>
      <c r="C75" s="44" t="s">
        <v>2973</v>
      </c>
      <c r="D75" s="48"/>
      <c r="E75" s="60"/>
      <c r="F75" s="60"/>
      <c r="G75" s="70"/>
      <c r="H75" s="51"/>
      <c r="I75" s="60"/>
      <c r="J75" s="60"/>
      <c r="K75" s="60"/>
      <c r="L75" s="60"/>
    </row>
    <row r="76" spans="2:12">
      <c r="B76" s="49" t="s">
        <v>5135</v>
      </c>
      <c r="C76" s="44" t="s">
        <v>2975</v>
      </c>
      <c r="D76" s="48"/>
      <c r="E76" s="60"/>
      <c r="F76" s="60"/>
      <c r="G76" s="70"/>
      <c r="H76" s="51"/>
      <c r="I76" s="60"/>
      <c r="J76" s="60"/>
      <c r="K76" s="60"/>
      <c r="L76" s="60"/>
    </row>
    <row r="77" spans="2:12">
      <c r="B77" s="49" t="s">
        <v>5136</v>
      </c>
      <c r="C77" s="44" t="s">
        <v>3096</v>
      </c>
      <c r="D77" s="48"/>
      <c r="E77" s="60"/>
      <c r="F77" s="60"/>
      <c r="G77" s="70"/>
      <c r="H77" s="51"/>
      <c r="I77" s="60"/>
      <c r="J77" s="60"/>
      <c r="K77" s="60"/>
      <c r="L77" s="60"/>
    </row>
    <row r="78" spans="2:12">
      <c r="B78" s="49" t="s">
        <v>5137</v>
      </c>
      <c r="C78" s="44" t="s">
        <v>2977</v>
      </c>
      <c r="D78" s="48"/>
      <c r="E78" s="60"/>
      <c r="F78" s="60"/>
      <c r="G78" s="70"/>
      <c r="H78" s="51"/>
      <c r="I78" s="60"/>
      <c r="J78" s="60"/>
      <c r="K78" s="60"/>
      <c r="L78" s="60"/>
    </row>
    <row r="79" spans="2:12">
      <c r="B79" s="49" t="s">
        <v>5138</v>
      </c>
      <c r="C79" s="44" t="s">
        <v>2979</v>
      </c>
      <c r="D79" s="48"/>
      <c r="E79" s="60"/>
      <c r="F79" s="60"/>
      <c r="G79" s="70"/>
      <c r="H79" s="51"/>
      <c r="I79" s="60"/>
      <c r="J79" s="60"/>
      <c r="K79" s="60"/>
      <c r="L79" s="60"/>
    </row>
    <row r="80" spans="2:12">
      <c r="B80" s="49" t="s">
        <v>5139</v>
      </c>
      <c r="C80" s="44" t="s">
        <v>2981</v>
      </c>
      <c r="D80" s="48"/>
      <c r="E80" s="60"/>
      <c r="F80" s="60"/>
      <c r="G80" s="70"/>
      <c r="H80" s="51"/>
      <c r="I80" s="60"/>
      <c r="J80" s="60"/>
      <c r="K80" s="60"/>
      <c r="L80" s="60"/>
    </row>
    <row r="81" spans="2:12">
      <c r="B81" s="49" t="s">
        <v>5140</v>
      </c>
      <c r="C81" s="44" t="s">
        <v>5141</v>
      </c>
      <c r="D81" s="48"/>
      <c r="E81" s="60"/>
      <c r="F81" s="60"/>
      <c r="G81" s="70"/>
      <c r="H81" s="51"/>
      <c r="I81" s="60"/>
      <c r="J81" s="60"/>
      <c r="K81" s="60"/>
      <c r="L81" s="60"/>
    </row>
    <row r="82" spans="2:12">
      <c r="B82" s="49" t="s">
        <v>5142</v>
      </c>
      <c r="C82" s="44" t="s">
        <v>2983</v>
      </c>
      <c r="D82" s="48"/>
      <c r="E82" s="60"/>
      <c r="F82" s="60"/>
      <c r="G82" s="70"/>
      <c r="H82" s="51"/>
      <c r="I82" s="60"/>
      <c r="J82" s="60"/>
      <c r="K82" s="60"/>
      <c r="L82" s="60"/>
    </row>
    <row r="83" spans="2:12">
      <c r="B83" s="49" t="s">
        <v>5143</v>
      </c>
      <c r="C83" s="44" t="s">
        <v>2985</v>
      </c>
      <c r="D83" s="48"/>
      <c r="E83" s="60"/>
      <c r="F83" s="60"/>
      <c r="G83" s="70"/>
      <c r="H83" s="51"/>
      <c r="I83" s="60"/>
      <c r="J83" s="60"/>
      <c r="K83" s="60"/>
      <c r="L83" s="60"/>
    </row>
    <row r="84" spans="2:12">
      <c r="B84" s="49" t="s">
        <v>5144</v>
      </c>
      <c r="C84" s="44" t="s">
        <v>2987</v>
      </c>
      <c r="D84" s="48"/>
      <c r="E84" s="60"/>
      <c r="F84" s="60"/>
      <c r="G84" s="70"/>
      <c r="H84" s="51"/>
      <c r="I84" s="60"/>
      <c r="J84" s="60"/>
      <c r="K84" s="60"/>
      <c r="L84" s="60"/>
    </row>
    <row r="85" spans="2:12">
      <c r="B85" s="49" t="s">
        <v>5145</v>
      </c>
      <c r="C85" s="44" t="s">
        <v>2989</v>
      </c>
      <c r="D85" s="48"/>
      <c r="E85" s="60"/>
      <c r="F85" s="60"/>
      <c r="G85" s="70"/>
      <c r="H85" s="51"/>
      <c r="I85" s="60"/>
      <c r="J85" s="60"/>
      <c r="K85" s="60"/>
      <c r="L85" s="60"/>
    </row>
    <row r="86" spans="2:12">
      <c r="B86" s="49" t="s">
        <v>5146</v>
      </c>
      <c r="C86" s="44" t="s">
        <v>2991</v>
      </c>
      <c r="D86" s="48"/>
      <c r="E86" s="60"/>
      <c r="F86" s="60"/>
      <c r="G86" s="70"/>
      <c r="H86" s="51"/>
      <c r="I86" s="60"/>
      <c r="J86" s="60"/>
      <c r="K86" s="60"/>
      <c r="L86" s="60"/>
    </row>
    <row r="87" spans="2:12">
      <c r="B87" s="49" t="s">
        <v>5147</v>
      </c>
      <c r="C87" s="44" t="s">
        <v>2993</v>
      </c>
      <c r="D87" s="48"/>
      <c r="E87" s="60"/>
      <c r="F87" s="60"/>
      <c r="G87" s="70"/>
      <c r="H87" s="51"/>
      <c r="I87" s="60"/>
      <c r="J87" s="60"/>
      <c r="K87" s="60"/>
      <c r="L87" s="60"/>
    </row>
    <row r="88" spans="2:12">
      <c r="B88" s="49" t="s">
        <v>5148</v>
      </c>
      <c r="C88" s="44" t="s">
        <v>2995</v>
      </c>
      <c r="D88" s="48"/>
      <c r="E88" s="60"/>
      <c r="F88" s="60"/>
      <c r="G88" s="70"/>
      <c r="H88" s="68"/>
      <c r="I88" s="60"/>
      <c r="J88" s="60"/>
      <c r="K88" s="60"/>
      <c r="L88" s="60"/>
    </row>
    <row r="89" spans="2:12">
      <c r="B89" s="49" t="s">
        <v>5149</v>
      </c>
      <c r="C89" s="44" t="s">
        <v>2997</v>
      </c>
      <c r="D89" s="46"/>
      <c r="E89" s="63"/>
      <c r="F89" s="63"/>
      <c r="G89" s="78"/>
      <c r="H89" s="48"/>
      <c r="I89" s="63"/>
      <c r="J89" s="63"/>
      <c r="K89" s="63"/>
      <c r="L89" s="63"/>
    </row>
    <row r="90" spans="2:12">
      <c r="B90" s="49" t="s">
        <v>5150</v>
      </c>
      <c r="C90" s="41" t="s">
        <v>2999</v>
      </c>
      <c r="D90" s="64"/>
      <c r="E90" s="58"/>
      <c r="F90" s="58"/>
      <c r="G90" s="58"/>
      <c r="H90" s="58"/>
      <c r="I90" s="58"/>
      <c r="J90" s="58"/>
      <c r="K90" s="58"/>
      <c r="L90" s="48"/>
    </row>
    <row r="91" spans="2:12">
      <c r="B91" s="49" t="s">
        <v>5151</v>
      </c>
      <c r="C91" s="41" t="s">
        <v>3001</v>
      </c>
      <c r="D91" s="64"/>
      <c r="E91" s="58"/>
      <c r="F91" s="58"/>
      <c r="G91" s="58"/>
      <c r="H91" s="58"/>
      <c r="I91" s="58"/>
      <c r="J91" s="58"/>
      <c r="K91" s="58"/>
      <c r="L91" s="48"/>
    </row>
    <row r="92" spans="2:12">
      <c r="B92" s="49" t="s">
        <v>5152</v>
      </c>
      <c r="C92" s="41" t="s">
        <v>3003</v>
      </c>
      <c r="D92" s="64"/>
      <c r="E92" s="58"/>
      <c r="F92" s="58"/>
      <c r="G92" s="58"/>
      <c r="H92" s="58"/>
      <c r="I92" s="58"/>
      <c r="J92" s="58"/>
      <c r="K92" s="58"/>
      <c r="L92" s="48"/>
    </row>
    <row r="93" spans="2:12">
      <c r="B93" s="49" t="s">
        <v>5153</v>
      </c>
      <c r="C93" s="41" t="s">
        <v>3005</v>
      </c>
      <c r="D93" s="64"/>
      <c r="E93" s="58"/>
      <c r="F93" s="58"/>
      <c r="G93" s="58"/>
      <c r="H93" s="58"/>
      <c r="I93" s="58"/>
      <c r="J93" s="58"/>
      <c r="K93" s="58"/>
      <c r="L93" s="48"/>
    </row>
    <row r="94" spans="2:12">
      <c r="B94" s="49" t="s">
        <v>5154</v>
      </c>
      <c r="C94" s="41" t="s">
        <v>3007</v>
      </c>
      <c r="D94" s="64"/>
      <c r="E94" s="58"/>
      <c r="F94" s="58"/>
      <c r="G94" s="58"/>
      <c r="H94" s="58"/>
      <c r="I94" s="58"/>
      <c r="J94" s="58"/>
      <c r="K94" s="58"/>
      <c r="L94" s="48"/>
    </row>
    <row r="95" spans="2:12">
      <c r="B95" s="49" t="s">
        <v>5155</v>
      </c>
      <c r="C95" s="41" t="s">
        <v>3009</v>
      </c>
      <c r="D95" s="64"/>
      <c r="E95" s="58"/>
      <c r="F95" s="58"/>
      <c r="G95" s="58"/>
      <c r="H95" s="58"/>
      <c r="I95" s="58"/>
      <c r="J95" s="58"/>
      <c r="K95" s="58"/>
      <c r="L95" s="48"/>
    </row>
    <row r="96" spans="2:12">
      <c r="B96" s="49" t="s">
        <v>5156</v>
      </c>
      <c r="C96" s="41" t="s">
        <v>3011</v>
      </c>
      <c r="D96" s="64"/>
      <c r="E96" s="58"/>
      <c r="F96" s="58"/>
      <c r="G96" s="58"/>
      <c r="H96" s="58"/>
      <c r="I96" s="58"/>
      <c r="J96" s="58"/>
      <c r="K96" s="58"/>
      <c r="L96" s="48"/>
    </row>
    <row r="97" spans="2:12">
      <c r="B97" s="49" t="s">
        <v>5157</v>
      </c>
      <c r="C97" s="41" t="s">
        <v>3013</v>
      </c>
      <c r="D97" s="64"/>
      <c r="E97" s="58"/>
      <c r="F97" s="58"/>
      <c r="G97" s="58"/>
      <c r="H97" s="58"/>
      <c r="I97" s="58"/>
      <c r="J97" s="58"/>
      <c r="K97" s="58"/>
      <c r="L97" s="48"/>
    </row>
    <row r="98" spans="2:12">
      <c r="B98" s="49" t="s">
        <v>5158</v>
      </c>
      <c r="C98" s="41" t="s">
        <v>3015</v>
      </c>
      <c r="D98" s="64"/>
      <c r="E98" s="58"/>
      <c r="F98" s="58"/>
      <c r="G98" s="58"/>
      <c r="H98" s="58"/>
      <c r="I98" s="58"/>
      <c r="J98" s="58"/>
      <c r="K98" s="58"/>
      <c r="L98" s="48"/>
    </row>
    <row r="99" spans="2:12">
      <c r="B99" s="49" t="s">
        <v>5159</v>
      </c>
      <c r="C99" s="41" t="s">
        <v>3064</v>
      </c>
      <c r="D99" s="64"/>
      <c r="E99" s="58"/>
      <c r="F99" s="58"/>
      <c r="G99" s="58"/>
      <c r="H99" s="58"/>
      <c r="I99" s="58"/>
      <c r="J99" s="58"/>
      <c r="K99" s="58"/>
      <c r="L99" s="48"/>
    </row>
    <row r="100" spans="2:12">
      <c r="B100" s="49" t="s">
        <v>5160</v>
      </c>
      <c r="C100" s="41" t="s">
        <v>3066</v>
      </c>
      <c r="D100" s="64"/>
      <c r="E100" s="58"/>
      <c r="F100" s="58"/>
      <c r="G100" s="58"/>
      <c r="H100" s="58"/>
      <c r="I100" s="58"/>
      <c r="J100" s="58"/>
      <c r="K100" s="58"/>
      <c r="L100" s="48"/>
    </row>
    <row r="101" spans="2:12">
      <c r="B101" s="49" t="s">
        <v>5161</v>
      </c>
      <c r="C101" s="41" t="s">
        <v>3068</v>
      </c>
      <c r="D101" s="64"/>
      <c r="E101" s="58"/>
      <c r="F101" s="58"/>
      <c r="G101" s="58"/>
      <c r="H101" s="58"/>
      <c r="I101" s="58"/>
      <c r="J101" s="58"/>
      <c r="K101" s="58"/>
      <c r="L101" s="48"/>
    </row>
    <row r="102" spans="2:12">
      <c r="B102" s="49" t="s">
        <v>5162</v>
      </c>
      <c r="C102" s="41" t="s">
        <v>3070</v>
      </c>
      <c r="D102" s="64"/>
      <c r="E102" s="58"/>
      <c r="F102" s="58"/>
      <c r="G102" s="58"/>
      <c r="H102" s="58"/>
      <c r="I102" s="58"/>
      <c r="J102" s="58"/>
      <c r="K102" s="58"/>
      <c r="L102" s="48"/>
    </row>
    <row r="103" spans="2:12">
      <c r="B103" s="49" t="s">
        <v>5163</v>
      </c>
      <c r="C103" s="41" t="s">
        <v>3017</v>
      </c>
      <c r="D103" s="64"/>
      <c r="E103" s="58"/>
      <c r="F103" s="58"/>
      <c r="G103" s="58"/>
      <c r="H103" s="58"/>
      <c r="I103" s="58"/>
      <c r="J103" s="58"/>
      <c r="K103" s="58"/>
      <c r="L103" s="48"/>
    </row>
    <row r="104" spans="2:12">
      <c r="B104" s="49" t="s">
        <v>5164</v>
      </c>
      <c r="C104" s="41" t="s">
        <v>3019</v>
      </c>
      <c r="D104" s="64"/>
      <c r="E104" s="58"/>
      <c r="F104" s="58"/>
      <c r="G104" s="58"/>
      <c r="H104" s="58"/>
      <c r="I104" s="58"/>
      <c r="J104" s="58"/>
      <c r="K104" s="58"/>
      <c r="L104" s="48"/>
    </row>
    <row r="105" spans="2:12">
      <c r="B105" s="49" t="s">
        <v>5165</v>
      </c>
      <c r="C105" s="41" t="s">
        <v>3021</v>
      </c>
      <c r="D105" s="64"/>
      <c r="E105" s="58"/>
      <c r="F105" s="58"/>
      <c r="G105" s="58"/>
      <c r="H105" s="58"/>
      <c r="I105" s="58"/>
      <c r="J105" s="58"/>
      <c r="K105" s="58"/>
      <c r="L105" s="48"/>
    </row>
    <row r="106" spans="2:12">
      <c r="B106" s="49" t="s">
        <v>5166</v>
      </c>
      <c r="C106" s="41" t="s">
        <v>3023</v>
      </c>
      <c r="D106" s="64"/>
      <c r="E106" s="58"/>
      <c r="F106" s="58"/>
      <c r="G106" s="58"/>
      <c r="H106" s="58"/>
      <c r="I106" s="58"/>
      <c r="J106" s="58"/>
      <c r="K106" s="58"/>
      <c r="L106" s="48"/>
    </row>
    <row r="107" spans="2:12">
      <c r="B107" s="49" t="s">
        <v>5167</v>
      </c>
      <c r="C107" s="41" t="s">
        <v>3072</v>
      </c>
      <c r="D107" s="64"/>
      <c r="E107" s="58"/>
      <c r="F107" s="58"/>
      <c r="G107" s="58"/>
      <c r="H107" s="58"/>
      <c r="I107" s="56"/>
      <c r="J107" s="56"/>
      <c r="K107" s="56"/>
      <c r="L107" s="46"/>
    </row>
    <row r="108" spans="2:12">
      <c r="B108" s="49" t="s">
        <v>5168</v>
      </c>
      <c r="C108" s="41" t="s">
        <v>3118</v>
      </c>
      <c r="D108" s="65"/>
      <c r="E108" s="58"/>
      <c r="F108" s="58"/>
      <c r="G108" s="58"/>
      <c r="H108" s="48"/>
      <c r="I108" s="60"/>
      <c r="J108" s="60"/>
      <c r="K108" s="60"/>
      <c r="L108" s="60"/>
    </row>
    <row r="109" spans="2:12">
      <c r="B109" s="49" t="s">
        <v>5169</v>
      </c>
      <c r="C109" s="44" t="s">
        <v>3120</v>
      </c>
      <c r="D109" s="58"/>
      <c r="E109" s="58"/>
      <c r="F109" s="58"/>
      <c r="G109" s="58"/>
      <c r="H109" s="48"/>
      <c r="I109" s="60"/>
      <c r="J109" s="63"/>
      <c r="K109" s="63"/>
      <c r="L109" s="60"/>
    </row>
    <row r="110" spans="2:12">
      <c r="B110" s="49" t="s">
        <v>5170</v>
      </c>
      <c r="C110" s="44" t="s">
        <v>3122</v>
      </c>
      <c r="D110" s="58"/>
      <c r="E110" s="58"/>
      <c r="F110" s="58"/>
      <c r="G110" s="58"/>
      <c r="H110" s="48"/>
      <c r="I110" s="64"/>
      <c r="J110" s="58"/>
      <c r="K110" s="48"/>
      <c r="L110" s="60"/>
    </row>
    <row r="111" spans="2:12">
      <c r="B111" s="49" t="s">
        <v>5171</v>
      </c>
      <c r="C111" s="44" t="s">
        <v>3124</v>
      </c>
      <c r="D111" s="56"/>
      <c r="E111" s="56"/>
      <c r="F111" s="56"/>
      <c r="G111" s="56"/>
      <c r="H111" s="46"/>
      <c r="I111" s="64"/>
      <c r="J111" s="56"/>
      <c r="K111" s="46"/>
      <c r="L111" s="60"/>
    </row>
    <row r="113" spans="2:27">
      <c r="Z113" s="13" t="str">
        <f>Show!$B$158&amp;Show!$B$158&amp;"SR.27.01.01.02 Rows {"&amp;COLUMN($C$1)&amp;"}"</f>
        <v>!!SR.27.01.01.02 Rows {3}</v>
      </c>
      <c r="AA113" s="13" t="str">
        <f>Show!$B$158&amp;Show!$B$158&amp;"SR.27.01.01.02 Columns {"&amp;COLUMN($L$1)&amp;"}"</f>
        <v>!!SR.27.01.01.02 Columns {12}</v>
      </c>
    </row>
    <row r="115" spans="2:27" ht="18.75">
      <c r="B115" s="97" t="s">
        <v>5576</v>
      </c>
      <c r="C115" s="96"/>
      <c r="D115" s="96"/>
      <c r="E115" s="96"/>
      <c r="F115" s="96"/>
      <c r="G115" s="96"/>
      <c r="H115" s="96"/>
      <c r="I115" s="96"/>
      <c r="J115" s="96"/>
      <c r="K115" s="96"/>
      <c r="L115" s="96"/>
    </row>
    <row r="117" spans="2:27">
      <c r="B117" t="s">
        <v>3110</v>
      </c>
      <c r="Z117" s="13" t="str">
        <f>Show!$B$158&amp;"SR.27.01.01.03 Table label {"&amp;COLUMN($C$1)&amp;"}"</f>
        <v>!SR.27.01.01.03 Table label {3}</v>
      </c>
      <c r="AA117" s="13" t="str">
        <f>Show!$B$158&amp;"SR.27.01.01.03 Table value {"&amp;COLUMN($D$1)&amp;"}"</f>
        <v>!SR.27.01.01.03 Table value {4}</v>
      </c>
    </row>
    <row r="118" spans="2:27">
      <c r="B118" t="s">
        <v>3111</v>
      </c>
    </row>
    <row r="119" spans="2:27">
      <c r="B119" s="40" t="s">
        <v>3788</v>
      </c>
      <c r="C119" s="53" t="s">
        <v>3115</v>
      </c>
      <c r="D119" s="51"/>
    </row>
    <row r="120" spans="2:27">
      <c r="B120" s="40" t="s">
        <v>3114</v>
      </c>
      <c r="C120" s="53" t="s">
        <v>3323</v>
      </c>
      <c r="D120" s="50"/>
    </row>
    <row r="121" spans="2:27">
      <c r="Z121" s="13" t="str">
        <f>Show!$B$158&amp;Show!$B$158&amp;"SR.27.01.01.03 Table label {"&amp;COLUMN($C$1)&amp;"}"</f>
        <v>!!SR.27.01.01.03 Table label {3}</v>
      </c>
      <c r="AA121" s="13" t="str">
        <f>Show!$B$158&amp;Show!$B$158&amp;"SR.27.01.01.03 Table value {"&amp;COLUMN($D$1)&amp;"}"</f>
        <v>!!SR.27.01.01.03 Table value {4}</v>
      </c>
    </row>
    <row r="123" spans="2:27">
      <c r="D123" s="101" t="s">
        <v>2877</v>
      </c>
      <c r="E123" s="102"/>
      <c r="F123" s="102"/>
      <c r="G123" s="102"/>
      <c r="H123" s="102"/>
      <c r="I123" s="102"/>
      <c r="J123" s="102"/>
      <c r="K123" s="103"/>
    </row>
    <row r="124" spans="2:27">
      <c r="D124" s="104"/>
      <c r="E124" s="105"/>
      <c r="F124" s="105"/>
      <c r="G124" s="105"/>
      <c r="H124" s="105"/>
      <c r="I124" s="105"/>
      <c r="J124" s="105"/>
      <c r="K124" s="106"/>
    </row>
    <row r="125" spans="2:27">
      <c r="D125" s="98" t="s">
        <v>5114</v>
      </c>
      <c r="E125" s="98" t="s">
        <v>5115</v>
      </c>
      <c r="F125" s="98" t="s">
        <v>5116</v>
      </c>
      <c r="G125" s="98" t="s">
        <v>5117</v>
      </c>
      <c r="H125" s="98" t="s">
        <v>5119</v>
      </c>
      <c r="I125" s="98" t="s">
        <v>5120</v>
      </c>
      <c r="J125" s="98" t="s">
        <v>5121</v>
      </c>
      <c r="K125" s="98" t="s">
        <v>5122</v>
      </c>
    </row>
    <row r="126" spans="2:27">
      <c r="D126" s="100"/>
      <c r="E126" s="100"/>
      <c r="F126" s="100"/>
      <c r="G126" s="100"/>
      <c r="H126" s="100"/>
      <c r="I126" s="100"/>
      <c r="J126" s="100"/>
      <c r="K126" s="100"/>
    </row>
    <row r="127" spans="2:27">
      <c r="D127" s="45" t="s">
        <v>3375</v>
      </c>
      <c r="E127" s="45" t="s">
        <v>3475</v>
      </c>
      <c r="F127" s="45" t="s">
        <v>3477</v>
      </c>
      <c r="G127" s="45" t="s">
        <v>3479</v>
      </c>
      <c r="H127" s="45" t="s">
        <v>3594</v>
      </c>
      <c r="I127" s="45" t="s">
        <v>3596</v>
      </c>
      <c r="J127" s="45" t="s">
        <v>3599</v>
      </c>
      <c r="K127" s="45" t="s">
        <v>3481</v>
      </c>
      <c r="Z127" s="13" t="str">
        <f>Show!$B$158&amp;"SR.27.01.01.03 Rows {"&amp;COLUMN($C$1)&amp;"}"&amp;"@ForceFilingCode:true"</f>
        <v>!SR.27.01.01.03 Rows {3}@ForceFilingCode:true</v>
      </c>
      <c r="AA127" s="13" t="str">
        <f>Show!$B$158&amp;"SR.27.01.01.03 Columns {"&amp;COLUMN($D$1)&amp;"}"</f>
        <v>!SR.27.01.01.03 Columns {4}</v>
      </c>
    </row>
    <row r="128" spans="2:27">
      <c r="B128" s="43" t="s">
        <v>2880</v>
      </c>
      <c r="C128" s="44" t="s">
        <v>2878</v>
      </c>
      <c r="D128" s="58"/>
      <c r="E128" s="67"/>
      <c r="F128" s="67"/>
      <c r="G128" s="67"/>
      <c r="H128" s="67"/>
      <c r="I128" s="67"/>
      <c r="J128" s="67"/>
      <c r="K128" s="59"/>
    </row>
    <row r="129" spans="2:11">
      <c r="B129" s="47" t="s">
        <v>5173</v>
      </c>
      <c r="C129" s="44" t="s">
        <v>2878</v>
      </c>
      <c r="D129" s="58"/>
      <c r="E129" s="66"/>
      <c r="F129" s="66"/>
      <c r="G129" s="66"/>
      <c r="H129" s="66"/>
      <c r="I129" s="66"/>
      <c r="J129" s="66"/>
      <c r="K129" s="57"/>
    </row>
    <row r="130" spans="2:11">
      <c r="B130" s="49" t="s">
        <v>5124</v>
      </c>
      <c r="C130" s="44" t="s">
        <v>3126</v>
      </c>
      <c r="D130" s="48"/>
      <c r="E130" s="60"/>
      <c r="F130" s="60"/>
      <c r="G130" s="70"/>
      <c r="H130" s="60"/>
      <c r="I130" s="60"/>
      <c r="J130" s="60"/>
      <c r="K130" s="60"/>
    </row>
    <row r="131" spans="2:11">
      <c r="B131" s="49" t="s">
        <v>5125</v>
      </c>
      <c r="C131" s="44" t="s">
        <v>3128</v>
      </c>
      <c r="D131" s="48"/>
      <c r="E131" s="60"/>
      <c r="F131" s="60"/>
      <c r="G131" s="70"/>
      <c r="H131" s="60"/>
      <c r="I131" s="60"/>
      <c r="J131" s="60"/>
      <c r="K131" s="60"/>
    </row>
    <row r="132" spans="2:11">
      <c r="B132" s="49" t="s">
        <v>5174</v>
      </c>
      <c r="C132" s="44" t="s">
        <v>3130</v>
      </c>
      <c r="D132" s="48"/>
      <c r="E132" s="60"/>
      <c r="F132" s="60"/>
      <c r="G132" s="70"/>
      <c r="H132" s="60"/>
      <c r="I132" s="60"/>
      <c r="J132" s="60"/>
      <c r="K132" s="60"/>
    </row>
    <row r="133" spans="2:11">
      <c r="B133" s="49" t="s">
        <v>5175</v>
      </c>
      <c r="C133" s="44" t="s">
        <v>3132</v>
      </c>
      <c r="D133" s="48"/>
      <c r="E133" s="60"/>
      <c r="F133" s="60"/>
      <c r="G133" s="70"/>
      <c r="H133" s="60"/>
      <c r="I133" s="60"/>
      <c r="J133" s="60"/>
      <c r="K133" s="60"/>
    </row>
    <row r="134" spans="2:11">
      <c r="B134" s="49" t="s">
        <v>5176</v>
      </c>
      <c r="C134" s="44" t="s">
        <v>3134</v>
      </c>
      <c r="D134" s="48"/>
      <c r="E134" s="60"/>
      <c r="F134" s="60"/>
      <c r="G134" s="70"/>
      <c r="H134" s="60"/>
      <c r="I134" s="60"/>
      <c r="J134" s="60"/>
      <c r="K134" s="60"/>
    </row>
    <row r="135" spans="2:11">
      <c r="B135" s="49" t="s">
        <v>5126</v>
      </c>
      <c r="C135" s="44" t="s">
        <v>3136</v>
      </c>
      <c r="D135" s="48"/>
      <c r="E135" s="60"/>
      <c r="F135" s="60"/>
      <c r="G135" s="70"/>
      <c r="H135" s="60"/>
      <c r="I135" s="60"/>
      <c r="J135" s="60"/>
      <c r="K135" s="60"/>
    </row>
    <row r="136" spans="2:11">
      <c r="B136" s="49" t="s">
        <v>5127</v>
      </c>
      <c r="C136" s="44" t="s">
        <v>3138</v>
      </c>
      <c r="D136" s="48"/>
      <c r="E136" s="60"/>
      <c r="F136" s="60"/>
      <c r="G136" s="70"/>
      <c r="H136" s="60"/>
      <c r="I136" s="60"/>
      <c r="J136" s="60"/>
      <c r="K136" s="60"/>
    </row>
    <row r="137" spans="2:11" ht="30">
      <c r="B137" s="49" t="s">
        <v>5131</v>
      </c>
      <c r="C137" s="44" t="s">
        <v>3140</v>
      </c>
      <c r="D137" s="48"/>
      <c r="E137" s="60"/>
      <c r="F137" s="60"/>
      <c r="G137" s="70"/>
      <c r="H137" s="60"/>
      <c r="I137" s="60"/>
      <c r="J137" s="60"/>
      <c r="K137" s="60"/>
    </row>
    <row r="138" spans="2:11">
      <c r="B138" s="49" t="s">
        <v>5132</v>
      </c>
      <c r="C138" s="44" t="s">
        <v>3142</v>
      </c>
      <c r="D138" s="48"/>
      <c r="E138" s="60"/>
      <c r="F138" s="60"/>
      <c r="G138" s="70"/>
      <c r="H138" s="60"/>
      <c r="I138" s="60"/>
      <c r="J138" s="60"/>
      <c r="K138" s="60"/>
    </row>
    <row r="139" spans="2:11">
      <c r="B139" s="49" t="s">
        <v>5177</v>
      </c>
      <c r="C139" s="44" t="s">
        <v>3144</v>
      </c>
      <c r="D139" s="48"/>
      <c r="E139" s="60"/>
      <c r="F139" s="60"/>
      <c r="G139" s="70"/>
      <c r="H139" s="60"/>
      <c r="I139" s="60"/>
      <c r="J139" s="60"/>
      <c r="K139" s="60"/>
    </row>
    <row r="140" spans="2:11">
      <c r="B140" s="49" t="s">
        <v>5133</v>
      </c>
      <c r="C140" s="44" t="s">
        <v>3146</v>
      </c>
      <c r="D140" s="48"/>
      <c r="E140" s="60"/>
      <c r="F140" s="60"/>
      <c r="G140" s="70"/>
      <c r="H140" s="60"/>
      <c r="I140" s="60"/>
      <c r="J140" s="60"/>
      <c r="K140" s="60"/>
    </row>
    <row r="141" spans="2:11">
      <c r="B141" s="49" t="s">
        <v>5178</v>
      </c>
      <c r="C141" s="44" t="s">
        <v>3148</v>
      </c>
      <c r="D141" s="48"/>
      <c r="E141" s="60"/>
      <c r="F141" s="60"/>
      <c r="G141" s="70"/>
      <c r="H141" s="60"/>
      <c r="I141" s="60"/>
      <c r="J141" s="60"/>
      <c r="K141" s="60"/>
    </row>
    <row r="142" spans="2:11">
      <c r="B142" s="49" t="s">
        <v>5179</v>
      </c>
      <c r="C142" s="44" t="s">
        <v>3091</v>
      </c>
      <c r="D142" s="48"/>
      <c r="E142" s="60"/>
      <c r="F142" s="60"/>
      <c r="G142" s="70"/>
      <c r="H142" s="60"/>
      <c r="I142" s="60"/>
      <c r="J142" s="60"/>
      <c r="K142" s="60"/>
    </row>
    <row r="143" spans="2:11">
      <c r="B143" s="49" t="s">
        <v>5180</v>
      </c>
      <c r="C143" s="44" t="s">
        <v>3098</v>
      </c>
      <c r="D143" s="48"/>
      <c r="E143" s="60"/>
      <c r="F143" s="60"/>
      <c r="G143" s="70"/>
      <c r="H143" s="60"/>
      <c r="I143" s="60"/>
      <c r="J143" s="60"/>
      <c r="K143" s="60"/>
    </row>
    <row r="144" spans="2:11">
      <c r="B144" s="49" t="s">
        <v>5181</v>
      </c>
      <c r="C144" s="44" t="s">
        <v>3093</v>
      </c>
      <c r="D144" s="48"/>
      <c r="E144" s="60"/>
      <c r="F144" s="60"/>
      <c r="G144" s="70"/>
      <c r="H144" s="60"/>
      <c r="I144" s="60"/>
      <c r="J144" s="60"/>
      <c r="K144" s="60"/>
    </row>
    <row r="145" spans="2:11">
      <c r="B145" s="49" t="s">
        <v>5182</v>
      </c>
      <c r="C145" s="44" t="s">
        <v>3100</v>
      </c>
      <c r="D145" s="48"/>
      <c r="E145" s="60"/>
      <c r="F145" s="60"/>
      <c r="G145" s="70"/>
      <c r="H145" s="60"/>
      <c r="I145" s="60"/>
      <c r="J145" s="60"/>
      <c r="K145" s="60"/>
    </row>
    <row r="146" spans="2:11">
      <c r="B146" s="49" t="s">
        <v>5129</v>
      </c>
      <c r="C146" s="44" t="s">
        <v>3200</v>
      </c>
      <c r="D146" s="48"/>
      <c r="E146" s="60"/>
      <c r="F146" s="60"/>
      <c r="G146" s="70"/>
      <c r="H146" s="60"/>
      <c r="I146" s="60"/>
      <c r="J146" s="60"/>
      <c r="K146" s="60"/>
    </row>
    <row r="147" spans="2:11">
      <c r="B147" s="49" t="s">
        <v>5145</v>
      </c>
      <c r="C147" s="44" t="s">
        <v>3315</v>
      </c>
      <c r="D147" s="48"/>
      <c r="E147" s="60"/>
      <c r="F147" s="60"/>
      <c r="G147" s="70"/>
      <c r="H147" s="60"/>
      <c r="I147" s="60"/>
      <c r="J147" s="60"/>
      <c r="K147" s="60"/>
    </row>
    <row r="148" spans="2:11">
      <c r="B148" s="49" t="s">
        <v>5146</v>
      </c>
      <c r="C148" s="44" t="s">
        <v>3496</v>
      </c>
      <c r="D148" s="48"/>
      <c r="E148" s="60"/>
      <c r="F148" s="60"/>
      <c r="G148" s="70"/>
      <c r="H148" s="60"/>
      <c r="I148" s="60"/>
      <c r="J148" s="60"/>
      <c r="K148" s="60"/>
    </row>
    <row r="149" spans="2:11">
      <c r="B149" s="49" t="s">
        <v>5147</v>
      </c>
      <c r="C149" s="44" t="s">
        <v>3497</v>
      </c>
      <c r="D149" s="48"/>
      <c r="E149" s="60"/>
      <c r="F149" s="60"/>
      <c r="G149" s="70"/>
      <c r="H149" s="60"/>
      <c r="I149" s="60"/>
      <c r="J149" s="60"/>
      <c r="K149" s="60"/>
    </row>
    <row r="150" spans="2:11">
      <c r="B150" s="49" t="s">
        <v>5183</v>
      </c>
      <c r="C150" s="44" t="s">
        <v>3498</v>
      </c>
      <c r="D150" s="46"/>
      <c r="E150" s="63"/>
      <c r="F150" s="63"/>
      <c r="G150" s="76"/>
      <c r="H150" s="63"/>
      <c r="I150" s="63"/>
      <c r="J150" s="63"/>
      <c r="K150" s="63"/>
    </row>
    <row r="151" spans="2:11">
      <c r="B151" s="49" t="s">
        <v>5150</v>
      </c>
      <c r="C151" s="41" t="s">
        <v>3499</v>
      </c>
      <c r="D151" s="64"/>
      <c r="E151" s="58"/>
      <c r="F151" s="58"/>
      <c r="G151" s="58"/>
      <c r="H151" s="58"/>
      <c r="I151" s="58"/>
      <c r="J151" s="58"/>
      <c r="K151" s="48"/>
    </row>
    <row r="152" spans="2:11">
      <c r="B152" s="49" t="s">
        <v>5151</v>
      </c>
      <c r="C152" s="41" t="s">
        <v>4939</v>
      </c>
      <c r="D152" s="64"/>
      <c r="E152" s="58"/>
      <c r="F152" s="58"/>
      <c r="G152" s="58"/>
      <c r="H152" s="58"/>
      <c r="I152" s="58"/>
      <c r="J152" s="58"/>
      <c r="K152" s="48"/>
    </row>
    <row r="153" spans="2:11">
      <c r="B153" s="49" t="s">
        <v>5152</v>
      </c>
      <c r="C153" s="41" t="s">
        <v>5184</v>
      </c>
      <c r="D153" s="64"/>
      <c r="E153" s="58"/>
      <c r="F153" s="58"/>
      <c r="G153" s="58"/>
      <c r="H153" s="58"/>
      <c r="I153" s="58"/>
      <c r="J153" s="58"/>
      <c r="K153" s="48"/>
    </row>
    <row r="154" spans="2:11">
      <c r="B154" s="49" t="s">
        <v>5153</v>
      </c>
      <c r="C154" s="41" t="s">
        <v>5185</v>
      </c>
      <c r="D154" s="64"/>
      <c r="E154" s="58"/>
      <c r="F154" s="58"/>
      <c r="G154" s="58"/>
      <c r="H154" s="58"/>
      <c r="I154" s="58"/>
      <c r="J154" s="58"/>
      <c r="K154" s="48"/>
    </row>
    <row r="155" spans="2:11">
      <c r="B155" s="49" t="s">
        <v>5154</v>
      </c>
      <c r="C155" s="41" t="s">
        <v>5186</v>
      </c>
      <c r="D155" s="64"/>
      <c r="E155" s="58"/>
      <c r="F155" s="58"/>
      <c r="G155" s="58"/>
      <c r="H155" s="58"/>
      <c r="I155" s="58"/>
      <c r="J155" s="58"/>
      <c r="K155" s="48"/>
    </row>
    <row r="156" spans="2:11">
      <c r="B156" s="49" t="s">
        <v>5155</v>
      </c>
      <c r="C156" s="41" t="s">
        <v>5187</v>
      </c>
      <c r="D156" s="64"/>
      <c r="E156" s="58"/>
      <c r="F156" s="58"/>
      <c r="G156" s="58"/>
      <c r="H156" s="58"/>
      <c r="I156" s="58"/>
      <c r="J156" s="58"/>
      <c r="K156" s="48"/>
    </row>
    <row r="157" spans="2:11">
      <c r="B157" s="49" t="s">
        <v>5156</v>
      </c>
      <c r="C157" s="41" t="s">
        <v>3500</v>
      </c>
      <c r="D157" s="64"/>
      <c r="E157" s="58"/>
      <c r="F157" s="58"/>
      <c r="G157" s="58"/>
      <c r="H157" s="58"/>
      <c r="I157" s="58"/>
      <c r="J157" s="58"/>
      <c r="K157" s="48"/>
    </row>
    <row r="158" spans="2:11">
      <c r="B158" s="49" t="s">
        <v>5157</v>
      </c>
      <c r="C158" s="41" t="s">
        <v>4507</v>
      </c>
      <c r="D158" s="64"/>
      <c r="E158" s="58"/>
      <c r="F158" s="58"/>
      <c r="G158" s="58"/>
      <c r="H158" s="58"/>
      <c r="I158" s="58"/>
      <c r="J158" s="58"/>
      <c r="K158" s="48"/>
    </row>
    <row r="159" spans="2:11">
      <c r="B159" s="49" t="s">
        <v>5158</v>
      </c>
      <c r="C159" s="41" t="s">
        <v>4508</v>
      </c>
      <c r="D159" s="64"/>
      <c r="E159" s="58"/>
      <c r="F159" s="58"/>
      <c r="G159" s="58"/>
      <c r="H159" s="58"/>
      <c r="I159" s="58"/>
      <c r="J159" s="58"/>
      <c r="K159" s="48"/>
    </row>
    <row r="160" spans="2:11">
      <c r="B160" s="49" t="s">
        <v>5159</v>
      </c>
      <c r="C160" s="41" t="s">
        <v>5188</v>
      </c>
      <c r="D160" s="64"/>
      <c r="E160" s="58"/>
      <c r="F160" s="58"/>
      <c r="G160" s="58"/>
      <c r="H160" s="58"/>
      <c r="I160" s="58"/>
      <c r="J160" s="58"/>
      <c r="K160" s="48"/>
    </row>
    <row r="161" spans="2:27">
      <c r="B161" s="49" t="s">
        <v>5160</v>
      </c>
      <c r="C161" s="41" t="s">
        <v>5189</v>
      </c>
      <c r="D161" s="64"/>
      <c r="E161" s="58"/>
      <c r="F161" s="58"/>
      <c r="G161" s="58"/>
      <c r="H161" s="58"/>
      <c r="I161" s="58"/>
      <c r="J161" s="58"/>
      <c r="K161" s="48"/>
    </row>
    <row r="162" spans="2:27">
      <c r="B162" s="49" t="s">
        <v>5161</v>
      </c>
      <c r="C162" s="41" t="s">
        <v>5190</v>
      </c>
      <c r="D162" s="64"/>
      <c r="E162" s="58"/>
      <c r="F162" s="58"/>
      <c r="G162" s="58"/>
      <c r="H162" s="58"/>
      <c r="I162" s="58"/>
      <c r="J162" s="58"/>
      <c r="K162" s="48"/>
    </row>
    <row r="163" spans="2:27">
      <c r="B163" s="49" t="s">
        <v>5162</v>
      </c>
      <c r="C163" s="41" t="s">
        <v>5191</v>
      </c>
      <c r="D163" s="64"/>
      <c r="E163" s="58"/>
      <c r="F163" s="58"/>
      <c r="G163" s="58"/>
      <c r="H163" s="58"/>
      <c r="I163" s="58"/>
      <c r="J163" s="58"/>
      <c r="K163" s="48"/>
    </row>
    <row r="164" spans="2:27">
      <c r="B164" s="49" t="s">
        <v>5163</v>
      </c>
      <c r="C164" s="41" t="s">
        <v>5192</v>
      </c>
      <c r="D164" s="64"/>
      <c r="E164" s="58"/>
      <c r="F164" s="58"/>
      <c r="G164" s="58"/>
      <c r="H164" s="58"/>
      <c r="I164" s="58"/>
      <c r="J164" s="58"/>
      <c r="K164" s="48"/>
    </row>
    <row r="165" spans="2:27">
      <c r="B165" s="49" t="s">
        <v>5164</v>
      </c>
      <c r="C165" s="41" t="s">
        <v>5193</v>
      </c>
      <c r="D165" s="64"/>
      <c r="E165" s="58"/>
      <c r="F165" s="58"/>
      <c r="G165" s="58"/>
      <c r="H165" s="58"/>
      <c r="I165" s="58"/>
      <c r="J165" s="58"/>
      <c r="K165" s="48"/>
    </row>
    <row r="166" spans="2:27">
      <c r="B166" s="49" t="s">
        <v>5165</v>
      </c>
      <c r="C166" s="41" t="s">
        <v>5194</v>
      </c>
      <c r="D166" s="64"/>
      <c r="E166" s="58"/>
      <c r="F166" s="58"/>
      <c r="G166" s="58"/>
      <c r="H166" s="58"/>
      <c r="I166" s="58"/>
      <c r="J166" s="58"/>
      <c r="K166" s="48"/>
    </row>
    <row r="167" spans="2:27">
      <c r="B167" s="49" t="s">
        <v>5166</v>
      </c>
      <c r="C167" s="41" t="s">
        <v>3502</v>
      </c>
      <c r="D167" s="64"/>
      <c r="E167" s="58"/>
      <c r="F167" s="58"/>
      <c r="G167" s="58"/>
      <c r="H167" s="58"/>
      <c r="I167" s="58"/>
      <c r="J167" s="58"/>
      <c r="K167" s="48"/>
    </row>
    <row r="168" spans="2:27">
      <c r="B168" s="49" t="s">
        <v>5167</v>
      </c>
      <c r="C168" s="41" t="s">
        <v>5195</v>
      </c>
      <c r="D168" s="64"/>
      <c r="E168" s="58"/>
      <c r="F168" s="58"/>
      <c r="G168" s="58"/>
      <c r="H168" s="56"/>
      <c r="I168" s="56"/>
      <c r="J168" s="56"/>
      <c r="K168" s="46"/>
    </row>
    <row r="169" spans="2:27">
      <c r="B169" s="49" t="s">
        <v>5196</v>
      </c>
      <c r="C169" s="41" t="s">
        <v>5197</v>
      </c>
      <c r="D169" s="65"/>
      <c r="E169" s="58"/>
      <c r="F169" s="58"/>
      <c r="G169" s="48"/>
      <c r="H169" s="60"/>
      <c r="I169" s="60"/>
      <c r="J169" s="60"/>
      <c r="K169" s="60"/>
    </row>
    <row r="170" spans="2:27">
      <c r="B170" s="49" t="s">
        <v>5198</v>
      </c>
      <c r="C170" s="44" t="s">
        <v>5199</v>
      </c>
      <c r="D170" s="58"/>
      <c r="E170" s="58"/>
      <c r="F170" s="58"/>
      <c r="G170" s="48"/>
      <c r="H170" s="60"/>
      <c r="I170" s="63"/>
      <c r="J170" s="63"/>
      <c r="K170" s="60"/>
    </row>
    <row r="171" spans="2:27">
      <c r="B171" s="49" t="s">
        <v>5170</v>
      </c>
      <c r="C171" s="44" t="s">
        <v>5200</v>
      </c>
      <c r="D171" s="58"/>
      <c r="E171" s="58"/>
      <c r="F171" s="58"/>
      <c r="G171" s="48"/>
      <c r="H171" s="64"/>
      <c r="I171" s="58"/>
      <c r="J171" s="48"/>
      <c r="K171" s="60"/>
    </row>
    <row r="172" spans="2:27">
      <c r="B172" s="49" t="s">
        <v>5201</v>
      </c>
      <c r="C172" s="44" t="s">
        <v>5202</v>
      </c>
      <c r="D172" s="56"/>
      <c r="E172" s="56"/>
      <c r="F172" s="56"/>
      <c r="G172" s="46"/>
      <c r="H172" s="64"/>
      <c r="I172" s="56"/>
      <c r="J172" s="46"/>
      <c r="K172" s="60"/>
    </row>
    <row r="174" spans="2:27">
      <c r="Z174" s="13" t="str">
        <f>Show!$B$158&amp;Show!$B$158&amp;"SR.27.01.01.03 Rows {"&amp;COLUMN($C$1)&amp;"}"</f>
        <v>!!SR.27.01.01.03 Rows {3}</v>
      </c>
      <c r="AA174" s="13" t="str">
        <f>Show!$B$158&amp;Show!$B$158&amp;"SR.27.01.01.03 Columns {"&amp;COLUMN($K$1)&amp;"}"</f>
        <v>!!SR.27.01.01.03 Columns {11}</v>
      </c>
    </row>
    <row r="176" spans="2:27" ht="18.75">
      <c r="B176" s="97" t="s">
        <v>5577</v>
      </c>
      <c r="C176" s="96"/>
      <c r="D176" s="96"/>
      <c r="E176" s="96"/>
      <c r="F176" s="96"/>
      <c r="G176" s="96"/>
      <c r="H176" s="96"/>
      <c r="I176" s="96"/>
      <c r="J176" s="96"/>
      <c r="K176" s="96"/>
      <c r="L176" s="96"/>
    </row>
    <row r="178" spans="2:27">
      <c r="B178" t="s">
        <v>3110</v>
      </c>
      <c r="Z178" s="13" t="str">
        <f>Show!$B$158&amp;"SR.27.01.01.04 Table label {"&amp;COLUMN($C$1)&amp;"}"</f>
        <v>!SR.27.01.01.04 Table label {3}</v>
      </c>
      <c r="AA178" s="13" t="str">
        <f>Show!$B$158&amp;"SR.27.01.01.04 Table value {"&amp;COLUMN($D$1)&amp;"}"</f>
        <v>!SR.27.01.01.04 Table value {4}</v>
      </c>
    </row>
    <row r="179" spans="2:27">
      <c r="B179" t="s">
        <v>3111</v>
      </c>
    </row>
    <row r="180" spans="2:27">
      <c r="B180" s="40" t="s">
        <v>3788</v>
      </c>
      <c r="C180" s="53" t="s">
        <v>3115</v>
      </c>
      <c r="D180" s="51"/>
    </row>
    <row r="181" spans="2:27">
      <c r="B181" s="40" t="s">
        <v>3114</v>
      </c>
      <c r="C181" s="53" t="s">
        <v>3323</v>
      </c>
      <c r="D181" s="50"/>
    </row>
    <row r="182" spans="2:27">
      <c r="Z182" s="13" t="str">
        <f>Show!$B$158&amp;Show!$B$158&amp;"SR.27.01.01.04 Table label {"&amp;COLUMN($C$1)&amp;"}"</f>
        <v>!!SR.27.01.01.04 Table label {3}</v>
      </c>
      <c r="AA182" s="13" t="str">
        <f>Show!$B$158&amp;Show!$B$158&amp;"SR.27.01.01.04 Table value {"&amp;COLUMN($D$1)&amp;"}"</f>
        <v>!!SR.27.01.01.04 Table value {4}</v>
      </c>
    </row>
    <row r="184" spans="2:27">
      <c r="D184" s="101" t="s">
        <v>2877</v>
      </c>
      <c r="E184" s="102"/>
      <c r="F184" s="102"/>
      <c r="G184" s="102"/>
      <c r="H184" s="102"/>
      <c r="I184" s="102"/>
      <c r="J184" s="102"/>
      <c r="K184" s="102"/>
      <c r="L184" s="103"/>
    </row>
    <row r="185" spans="2:27">
      <c r="D185" s="104"/>
      <c r="E185" s="105"/>
      <c r="F185" s="105"/>
      <c r="G185" s="105"/>
      <c r="H185" s="105"/>
      <c r="I185" s="105"/>
      <c r="J185" s="105"/>
      <c r="K185" s="105"/>
      <c r="L185" s="106"/>
    </row>
    <row r="186" spans="2:27">
      <c r="D186" s="98" t="s">
        <v>5114</v>
      </c>
      <c r="E186" s="98" t="s">
        <v>5115</v>
      </c>
      <c r="F186" s="98" t="s">
        <v>5116</v>
      </c>
      <c r="G186" s="98" t="s">
        <v>5117</v>
      </c>
      <c r="H186" s="98" t="s">
        <v>5118</v>
      </c>
      <c r="I186" s="98" t="s">
        <v>5119</v>
      </c>
      <c r="J186" s="98" t="s">
        <v>5120</v>
      </c>
      <c r="K186" s="98" t="s">
        <v>5121</v>
      </c>
      <c r="L186" s="98" t="s">
        <v>5122</v>
      </c>
    </row>
    <row r="187" spans="2:27">
      <c r="D187" s="100"/>
      <c r="E187" s="100"/>
      <c r="F187" s="100"/>
      <c r="G187" s="100"/>
      <c r="H187" s="100"/>
      <c r="I187" s="100"/>
      <c r="J187" s="100"/>
      <c r="K187" s="100"/>
      <c r="L187" s="100"/>
    </row>
    <row r="188" spans="2:27">
      <c r="D188" s="45" t="s">
        <v>3508</v>
      </c>
      <c r="E188" s="45" t="s">
        <v>3509</v>
      </c>
      <c r="F188" s="45" t="s">
        <v>3511</v>
      </c>
      <c r="G188" s="45" t="s">
        <v>3513</v>
      </c>
      <c r="H188" s="45" t="s">
        <v>3514</v>
      </c>
      <c r="I188" s="45" t="s">
        <v>3515</v>
      </c>
      <c r="J188" s="45" t="s">
        <v>3517</v>
      </c>
      <c r="K188" s="45" t="s">
        <v>3518</v>
      </c>
      <c r="L188" s="45" t="s">
        <v>3608</v>
      </c>
      <c r="Z188" s="13" t="str">
        <f>Show!$B$158&amp;"SR.27.01.01.04 Rows {"&amp;COLUMN($C$1)&amp;"}"&amp;"@ForceFilingCode:true"</f>
        <v>!SR.27.01.01.04 Rows {3}@ForceFilingCode:true</v>
      </c>
      <c r="AA188" s="13" t="str">
        <f>Show!$B$158&amp;"SR.27.01.01.04 Columns {"&amp;COLUMN($D$1)&amp;"}"</f>
        <v>!SR.27.01.01.04 Columns {4}</v>
      </c>
    </row>
    <row r="189" spans="2:27">
      <c r="B189" s="43" t="s">
        <v>2880</v>
      </c>
      <c r="C189" s="44" t="s">
        <v>2878</v>
      </c>
      <c r="D189" s="58"/>
      <c r="E189" s="67"/>
      <c r="F189" s="67"/>
      <c r="G189" s="67"/>
      <c r="H189" s="67"/>
      <c r="I189" s="67"/>
      <c r="J189" s="67"/>
      <c r="K189" s="67"/>
      <c r="L189" s="59"/>
    </row>
    <row r="190" spans="2:27">
      <c r="B190" s="47" t="s">
        <v>5204</v>
      </c>
      <c r="C190" s="44" t="s">
        <v>2878</v>
      </c>
      <c r="D190" s="58"/>
      <c r="E190" s="66"/>
      <c r="F190" s="66"/>
      <c r="G190" s="66"/>
      <c r="H190" s="66"/>
      <c r="I190" s="66"/>
      <c r="J190" s="66"/>
      <c r="K190" s="66"/>
      <c r="L190" s="57"/>
    </row>
    <row r="191" spans="2:27">
      <c r="B191" s="49" t="s">
        <v>5124</v>
      </c>
      <c r="C191" s="44" t="s">
        <v>5205</v>
      </c>
      <c r="D191" s="48"/>
      <c r="E191" s="60"/>
      <c r="F191" s="60"/>
      <c r="G191" s="70"/>
      <c r="H191" s="51"/>
      <c r="I191" s="60"/>
      <c r="J191" s="60"/>
      <c r="K191" s="60"/>
      <c r="L191" s="60"/>
    </row>
    <row r="192" spans="2:27">
      <c r="B192" s="49" t="s">
        <v>5125</v>
      </c>
      <c r="C192" s="44" t="s">
        <v>5206</v>
      </c>
      <c r="D192" s="48"/>
      <c r="E192" s="60"/>
      <c r="F192" s="60"/>
      <c r="G192" s="70"/>
      <c r="H192" s="51"/>
      <c r="I192" s="60"/>
      <c r="J192" s="60"/>
      <c r="K192" s="60"/>
      <c r="L192" s="60"/>
    </row>
    <row r="193" spans="2:12">
      <c r="B193" s="49" t="s">
        <v>5174</v>
      </c>
      <c r="C193" s="44" t="s">
        <v>5207</v>
      </c>
      <c r="D193" s="48"/>
      <c r="E193" s="60"/>
      <c r="F193" s="60"/>
      <c r="G193" s="70"/>
      <c r="H193" s="51"/>
      <c r="I193" s="60"/>
      <c r="J193" s="60"/>
      <c r="K193" s="60"/>
      <c r="L193" s="60"/>
    </row>
    <row r="194" spans="2:12">
      <c r="B194" s="49" t="s">
        <v>5126</v>
      </c>
      <c r="C194" s="44" t="s">
        <v>5208</v>
      </c>
      <c r="D194" s="48"/>
      <c r="E194" s="60"/>
      <c r="F194" s="60"/>
      <c r="G194" s="70"/>
      <c r="H194" s="51"/>
      <c r="I194" s="60"/>
      <c r="J194" s="60"/>
      <c r="K194" s="60"/>
      <c r="L194" s="60"/>
    </row>
    <row r="195" spans="2:12">
      <c r="B195" s="49" t="s">
        <v>5127</v>
      </c>
      <c r="C195" s="44" t="s">
        <v>3504</v>
      </c>
      <c r="D195" s="48"/>
      <c r="E195" s="60"/>
      <c r="F195" s="60"/>
      <c r="G195" s="70"/>
      <c r="H195" s="51"/>
      <c r="I195" s="60"/>
      <c r="J195" s="60"/>
      <c r="K195" s="60"/>
      <c r="L195" s="60"/>
    </row>
    <row r="196" spans="2:12" ht="30">
      <c r="B196" s="49" t="s">
        <v>5131</v>
      </c>
      <c r="C196" s="44" t="s">
        <v>5209</v>
      </c>
      <c r="D196" s="48"/>
      <c r="E196" s="60"/>
      <c r="F196" s="60"/>
      <c r="G196" s="70"/>
      <c r="H196" s="51"/>
      <c r="I196" s="60"/>
      <c r="J196" s="60"/>
      <c r="K196" s="60"/>
      <c r="L196" s="60"/>
    </row>
    <row r="197" spans="2:12">
      <c r="B197" s="49" t="s">
        <v>5132</v>
      </c>
      <c r="C197" s="44" t="s">
        <v>5210</v>
      </c>
      <c r="D197" s="48"/>
      <c r="E197" s="60"/>
      <c r="F197" s="60"/>
      <c r="G197" s="70"/>
      <c r="H197" s="51"/>
      <c r="I197" s="60"/>
      <c r="J197" s="60"/>
      <c r="K197" s="60"/>
      <c r="L197" s="60"/>
    </row>
    <row r="198" spans="2:12">
      <c r="B198" s="49" t="s">
        <v>5133</v>
      </c>
      <c r="C198" s="44" t="s">
        <v>5211</v>
      </c>
      <c r="D198" s="48"/>
      <c r="E198" s="60"/>
      <c r="F198" s="60"/>
      <c r="G198" s="70"/>
      <c r="H198" s="51"/>
      <c r="I198" s="60"/>
      <c r="J198" s="60"/>
      <c r="K198" s="60"/>
      <c r="L198" s="60"/>
    </row>
    <row r="199" spans="2:12">
      <c r="B199" s="49" t="s">
        <v>5178</v>
      </c>
      <c r="C199" s="44" t="s">
        <v>5212</v>
      </c>
      <c r="D199" s="48"/>
      <c r="E199" s="60"/>
      <c r="F199" s="60"/>
      <c r="G199" s="70"/>
      <c r="H199" s="51"/>
      <c r="I199" s="60"/>
      <c r="J199" s="60"/>
      <c r="K199" s="60"/>
      <c r="L199" s="60"/>
    </row>
    <row r="200" spans="2:12">
      <c r="B200" s="49" t="s">
        <v>5139</v>
      </c>
      <c r="C200" s="44" t="s">
        <v>5213</v>
      </c>
      <c r="D200" s="48"/>
      <c r="E200" s="60"/>
      <c r="F200" s="60"/>
      <c r="G200" s="70"/>
      <c r="H200" s="51"/>
      <c r="I200" s="60"/>
      <c r="J200" s="60"/>
      <c r="K200" s="60"/>
      <c r="L200" s="60"/>
    </row>
    <row r="201" spans="2:12">
      <c r="B201" s="49" t="s">
        <v>5181</v>
      </c>
      <c r="C201" s="44" t="s">
        <v>5214</v>
      </c>
      <c r="D201" s="48"/>
      <c r="E201" s="60"/>
      <c r="F201" s="60"/>
      <c r="G201" s="70"/>
      <c r="H201" s="51"/>
      <c r="I201" s="60"/>
      <c r="J201" s="60"/>
      <c r="K201" s="60"/>
      <c r="L201" s="60"/>
    </row>
    <row r="202" spans="2:12">
      <c r="B202" s="49" t="s">
        <v>5182</v>
      </c>
      <c r="C202" s="44" t="s">
        <v>5215</v>
      </c>
      <c r="D202" s="48"/>
      <c r="E202" s="60"/>
      <c r="F202" s="60"/>
      <c r="G202" s="70"/>
      <c r="H202" s="51"/>
      <c r="I202" s="60"/>
      <c r="J202" s="60"/>
      <c r="K202" s="60"/>
      <c r="L202" s="60"/>
    </row>
    <row r="203" spans="2:12">
      <c r="B203" s="49" t="s">
        <v>5129</v>
      </c>
      <c r="C203" s="44" t="s">
        <v>5216</v>
      </c>
      <c r="D203" s="48"/>
      <c r="E203" s="60"/>
      <c r="F203" s="60"/>
      <c r="G203" s="70"/>
      <c r="H203" s="51"/>
      <c r="I203" s="60"/>
      <c r="J203" s="60"/>
      <c r="K203" s="60"/>
      <c r="L203" s="60"/>
    </row>
    <row r="204" spans="2:12">
      <c r="B204" s="49" t="s">
        <v>5144</v>
      </c>
      <c r="C204" s="44" t="s">
        <v>5217</v>
      </c>
      <c r="D204" s="48"/>
      <c r="E204" s="60"/>
      <c r="F204" s="60"/>
      <c r="G204" s="70"/>
      <c r="H204" s="68"/>
      <c r="I204" s="60"/>
      <c r="J204" s="60"/>
      <c r="K204" s="60"/>
      <c r="L204" s="60"/>
    </row>
    <row r="205" spans="2:12">
      <c r="B205" s="49" t="s">
        <v>5218</v>
      </c>
      <c r="C205" s="44" t="s">
        <v>4947</v>
      </c>
      <c r="D205" s="46"/>
      <c r="E205" s="63"/>
      <c r="F205" s="63"/>
      <c r="G205" s="78"/>
      <c r="H205" s="48"/>
      <c r="I205" s="63"/>
      <c r="J205" s="63"/>
      <c r="K205" s="63"/>
      <c r="L205" s="63"/>
    </row>
    <row r="206" spans="2:12">
      <c r="B206" s="49" t="s">
        <v>5150</v>
      </c>
      <c r="C206" s="41" t="s">
        <v>3521</v>
      </c>
      <c r="D206" s="64"/>
      <c r="E206" s="58"/>
      <c r="F206" s="58"/>
      <c r="G206" s="58"/>
      <c r="H206" s="58"/>
      <c r="I206" s="58"/>
      <c r="J206" s="58"/>
      <c r="K206" s="58"/>
      <c r="L206" s="48"/>
    </row>
    <row r="207" spans="2:12">
      <c r="B207" s="49" t="s">
        <v>5151</v>
      </c>
      <c r="C207" s="41" t="s">
        <v>3522</v>
      </c>
      <c r="D207" s="64"/>
      <c r="E207" s="58"/>
      <c r="F207" s="58"/>
      <c r="G207" s="58"/>
      <c r="H207" s="58"/>
      <c r="I207" s="58"/>
      <c r="J207" s="58"/>
      <c r="K207" s="58"/>
      <c r="L207" s="48"/>
    </row>
    <row r="208" spans="2:12">
      <c r="B208" s="49" t="s">
        <v>5152</v>
      </c>
      <c r="C208" s="41" t="s">
        <v>5219</v>
      </c>
      <c r="D208" s="64"/>
      <c r="E208" s="58"/>
      <c r="F208" s="58"/>
      <c r="G208" s="58"/>
      <c r="H208" s="58"/>
      <c r="I208" s="58"/>
      <c r="J208" s="58"/>
      <c r="K208" s="58"/>
      <c r="L208" s="48"/>
    </row>
    <row r="209" spans="2:12">
      <c r="B209" s="49" t="s">
        <v>5153</v>
      </c>
      <c r="C209" s="41" t="s">
        <v>5220</v>
      </c>
      <c r="D209" s="64"/>
      <c r="E209" s="58"/>
      <c r="F209" s="58"/>
      <c r="G209" s="58"/>
      <c r="H209" s="58"/>
      <c r="I209" s="58"/>
      <c r="J209" s="58"/>
      <c r="K209" s="58"/>
      <c r="L209" s="48"/>
    </row>
    <row r="210" spans="2:12">
      <c r="B210" s="49" t="s">
        <v>5154</v>
      </c>
      <c r="C210" s="41" t="s">
        <v>5221</v>
      </c>
      <c r="D210" s="64"/>
      <c r="E210" s="58"/>
      <c r="F210" s="58"/>
      <c r="G210" s="58"/>
      <c r="H210" s="58"/>
      <c r="I210" s="58"/>
      <c r="J210" s="58"/>
      <c r="K210" s="58"/>
      <c r="L210" s="48"/>
    </row>
    <row r="211" spans="2:12">
      <c r="B211" s="49" t="s">
        <v>5155</v>
      </c>
      <c r="C211" s="41" t="s">
        <v>5222</v>
      </c>
      <c r="D211" s="64"/>
      <c r="E211" s="58"/>
      <c r="F211" s="58"/>
      <c r="G211" s="58"/>
      <c r="H211" s="58"/>
      <c r="I211" s="58"/>
      <c r="J211" s="58"/>
      <c r="K211" s="58"/>
      <c r="L211" s="48"/>
    </row>
    <row r="212" spans="2:12">
      <c r="B212" s="49" t="s">
        <v>5156</v>
      </c>
      <c r="C212" s="41" t="s">
        <v>5223</v>
      </c>
      <c r="D212" s="64"/>
      <c r="E212" s="58"/>
      <c r="F212" s="58"/>
      <c r="G212" s="58"/>
      <c r="H212" s="58"/>
      <c r="I212" s="58"/>
      <c r="J212" s="58"/>
      <c r="K212" s="58"/>
      <c r="L212" s="48"/>
    </row>
    <row r="213" spans="2:12">
      <c r="B213" s="49" t="s">
        <v>5157</v>
      </c>
      <c r="C213" s="41" t="s">
        <v>5224</v>
      </c>
      <c r="D213" s="64"/>
      <c r="E213" s="58"/>
      <c r="F213" s="58"/>
      <c r="G213" s="58"/>
      <c r="H213" s="58"/>
      <c r="I213" s="58"/>
      <c r="J213" s="58"/>
      <c r="K213" s="58"/>
      <c r="L213" s="48"/>
    </row>
    <row r="214" spans="2:12">
      <c r="B214" s="49" t="s">
        <v>5158</v>
      </c>
      <c r="C214" s="41" t="s">
        <v>5225</v>
      </c>
      <c r="D214" s="64"/>
      <c r="E214" s="58"/>
      <c r="F214" s="58"/>
      <c r="G214" s="58"/>
      <c r="H214" s="58"/>
      <c r="I214" s="58"/>
      <c r="J214" s="58"/>
      <c r="K214" s="58"/>
      <c r="L214" s="48"/>
    </row>
    <row r="215" spans="2:12">
      <c r="B215" s="49" t="s">
        <v>5159</v>
      </c>
      <c r="C215" s="41" t="s">
        <v>3523</v>
      </c>
      <c r="D215" s="64"/>
      <c r="E215" s="58"/>
      <c r="F215" s="58"/>
      <c r="G215" s="58"/>
      <c r="H215" s="58"/>
      <c r="I215" s="58"/>
      <c r="J215" s="58"/>
      <c r="K215" s="58"/>
      <c r="L215" s="48"/>
    </row>
    <row r="216" spans="2:12">
      <c r="B216" s="49" t="s">
        <v>5160</v>
      </c>
      <c r="C216" s="41" t="s">
        <v>3524</v>
      </c>
      <c r="D216" s="64"/>
      <c r="E216" s="58"/>
      <c r="F216" s="58"/>
      <c r="G216" s="58"/>
      <c r="H216" s="58"/>
      <c r="I216" s="58"/>
      <c r="J216" s="58"/>
      <c r="K216" s="58"/>
      <c r="L216" s="48"/>
    </row>
    <row r="217" spans="2:12">
      <c r="B217" s="49" t="s">
        <v>5161</v>
      </c>
      <c r="C217" s="41" t="s">
        <v>3525</v>
      </c>
      <c r="D217" s="64"/>
      <c r="E217" s="58"/>
      <c r="F217" s="58"/>
      <c r="G217" s="58"/>
      <c r="H217" s="58"/>
      <c r="I217" s="58"/>
      <c r="J217" s="58"/>
      <c r="K217" s="58"/>
      <c r="L217" s="48"/>
    </row>
    <row r="218" spans="2:12">
      <c r="B218" s="49" t="s">
        <v>5162</v>
      </c>
      <c r="C218" s="41" t="s">
        <v>4953</v>
      </c>
      <c r="D218" s="64"/>
      <c r="E218" s="58"/>
      <c r="F218" s="58"/>
      <c r="G218" s="58"/>
      <c r="H218" s="58"/>
      <c r="I218" s="58"/>
      <c r="J218" s="58"/>
      <c r="K218" s="58"/>
      <c r="L218" s="48"/>
    </row>
    <row r="219" spans="2:12">
      <c r="B219" s="49" t="s">
        <v>5163</v>
      </c>
      <c r="C219" s="41" t="s">
        <v>4955</v>
      </c>
      <c r="D219" s="64"/>
      <c r="E219" s="58"/>
      <c r="F219" s="58"/>
      <c r="G219" s="58"/>
      <c r="H219" s="58"/>
      <c r="I219" s="58"/>
      <c r="J219" s="58"/>
      <c r="K219" s="58"/>
      <c r="L219" s="48"/>
    </row>
    <row r="220" spans="2:12">
      <c r="B220" s="49" t="s">
        <v>5164</v>
      </c>
      <c r="C220" s="41" t="s">
        <v>5226</v>
      </c>
      <c r="D220" s="64"/>
      <c r="E220" s="58"/>
      <c r="F220" s="58"/>
      <c r="G220" s="58"/>
      <c r="H220" s="58"/>
      <c r="I220" s="58"/>
      <c r="J220" s="58"/>
      <c r="K220" s="58"/>
      <c r="L220" s="48"/>
    </row>
    <row r="221" spans="2:12">
      <c r="B221" s="49" t="s">
        <v>5165</v>
      </c>
      <c r="C221" s="41" t="s">
        <v>5227</v>
      </c>
      <c r="D221" s="64"/>
      <c r="E221" s="58"/>
      <c r="F221" s="58"/>
      <c r="G221" s="58"/>
      <c r="H221" s="58"/>
      <c r="I221" s="58"/>
      <c r="J221" s="58"/>
      <c r="K221" s="58"/>
      <c r="L221" s="48"/>
    </row>
    <row r="222" spans="2:12">
      <c r="B222" s="49" t="s">
        <v>5166</v>
      </c>
      <c r="C222" s="41" t="s">
        <v>5228</v>
      </c>
      <c r="D222" s="64"/>
      <c r="E222" s="58"/>
      <c r="F222" s="58"/>
      <c r="G222" s="58"/>
      <c r="H222" s="58"/>
      <c r="I222" s="58"/>
      <c r="J222" s="58"/>
      <c r="K222" s="58"/>
      <c r="L222" s="48"/>
    </row>
    <row r="223" spans="2:12">
      <c r="B223" s="49" t="s">
        <v>5167</v>
      </c>
      <c r="C223" s="41" t="s">
        <v>5229</v>
      </c>
      <c r="D223" s="64"/>
      <c r="E223" s="58"/>
      <c r="F223" s="58"/>
      <c r="G223" s="58"/>
      <c r="H223" s="58"/>
      <c r="I223" s="56"/>
      <c r="J223" s="56"/>
      <c r="K223" s="56"/>
      <c r="L223" s="46"/>
    </row>
    <row r="224" spans="2:12">
      <c r="B224" s="49" t="s">
        <v>5230</v>
      </c>
      <c r="C224" s="41" t="s">
        <v>5231</v>
      </c>
      <c r="D224" s="65"/>
      <c r="E224" s="58"/>
      <c r="F224" s="58"/>
      <c r="G224" s="58"/>
      <c r="H224" s="48"/>
      <c r="I224" s="60"/>
      <c r="J224" s="60"/>
      <c r="K224" s="60"/>
      <c r="L224" s="60"/>
    </row>
    <row r="225" spans="2:27">
      <c r="B225" s="49" t="s">
        <v>5232</v>
      </c>
      <c r="C225" s="44" t="s">
        <v>3526</v>
      </c>
      <c r="D225" s="58"/>
      <c r="E225" s="58"/>
      <c r="F225" s="58"/>
      <c r="G225" s="58"/>
      <c r="H225" s="48"/>
      <c r="I225" s="60"/>
      <c r="J225" s="63"/>
      <c r="K225" s="63"/>
      <c r="L225" s="60"/>
    </row>
    <row r="226" spans="2:27">
      <c r="B226" s="49" t="s">
        <v>5170</v>
      </c>
      <c r="C226" s="44" t="s">
        <v>3527</v>
      </c>
      <c r="D226" s="58"/>
      <c r="E226" s="58"/>
      <c r="F226" s="58"/>
      <c r="G226" s="58"/>
      <c r="H226" s="48"/>
      <c r="I226" s="64"/>
      <c r="J226" s="58"/>
      <c r="K226" s="48"/>
      <c r="L226" s="60"/>
    </row>
    <row r="227" spans="2:27">
      <c r="B227" s="49" t="s">
        <v>5233</v>
      </c>
      <c r="C227" s="44" t="s">
        <v>3528</v>
      </c>
      <c r="D227" s="56"/>
      <c r="E227" s="56"/>
      <c r="F227" s="56"/>
      <c r="G227" s="56"/>
      <c r="H227" s="46"/>
      <c r="I227" s="64"/>
      <c r="J227" s="56"/>
      <c r="K227" s="46"/>
      <c r="L227" s="60"/>
    </row>
    <row r="229" spans="2:27">
      <c r="Z229" s="13" t="str">
        <f>Show!$B$158&amp;Show!$B$158&amp;"SR.27.01.01.04 Rows {"&amp;COLUMN($C$1)&amp;"}"</f>
        <v>!!SR.27.01.01.04 Rows {3}</v>
      </c>
      <c r="AA229" s="13" t="str">
        <f>Show!$B$158&amp;Show!$B$158&amp;"SR.27.01.01.04 Columns {"&amp;COLUMN($L$1)&amp;"}"</f>
        <v>!!SR.27.01.01.04 Columns {12}</v>
      </c>
    </row>
    <row r="231" spans="2:27" ht="18.75">
      <c r="B231" s="97" t="s">
        <v>5578</v>
      </c>
      <c r="C231" s="96"/>
      <c r="D231" s="96"/>
      <c r="E231" s="96"/>
      <c r="F231" s="96"/>
      <c r="G231" s="96"/>
      <c r="H231" s="96"/>
      <c r="I231" s="96"/>
      <c r="J231" s="96"/>
      <c r="K231" s="96"/>
      <c r="L231" s="96"/>
    </row>
    <row r="233" spans="2:27">
      <c r="B233" t="s">
        <v>3110</v>
      </c>
      <c r="Z233" s="13" t="str">
        <f>Show!$B$158&amp;"SR.27.01.01.05 Table label {"&amp;COLUMN($C$1)&amp;"}"</f>
        <v>!SR.27.01.01.05 Table label {3}</v>
      </c>
      <c r="AA233" s="13" t="str">
        <f>Show!$B$158&amp;"SR.27.01.01.05 Table value {"&amp;COLUMN($D$1)&amp;"}"</f>
        <v>!SR.27.01.01.05 Table value {4}</v>
      </c>
    </row>
    <row r="234" spans="2:27">
      <c r="B234" t="s">
        <v>3111</v>
      </c>
    </row>
    <row r="235" spans="2:27">
      <c r="B235" s="40" t="s">
        <v>3788</v>
      </c>
      <c r="C235" s="53" t="s">
        <v>3115</v>
      </c>
      <c r="D235" s="51"/>
    </row>
    <row r="236" spans="2:27">
      <c r="B236" s="40" t="s">
        <v>3114</v>
      </c>
      <c r="C236" s="53" t="s">
        <v>3323</v>
      </c>
      <c r="D236" s="50"/>
    </row>
    <row r="237" spans="2:27">
      <c r="Z237" s="13" t="str">
        <f>Show!$B$158&amp;Show!$B$158&amp;"SR.27.01.01.05 Table label {"&amp;COLUMN($C$1)&amp;"}"</f>
        <v>!!SR.27.01.01.05 Table label {3}</v>
      </c>
      <c r="AA237" s="13" t="str">
        <f>Show!$B$158&amp;Show!$B$158&amp;"SR.27.01.01.05 Table value {"&amp;COLUMN($D$1)&amp;"}"</f>
        <v>!!SR.27.01.01.05 Table value {4}</v>
      </c>
    </row>
    <row r="239" spans="2:27">
      <c r="D239" s="101" t="s">
        <v>2877</v>
      </c>
      <c r="E239" s="102"/>
      <c r="F239" s="102"/>
      <c r="G239" s="102"/>
      <c r="H239" s="102"/>
      <c r="I239" s="102"/>
      <c r="J239" s="102"/>
      <c r="K239" s="102"/>
      <c r="L239" s="103"/>
    </row>
    <row r="240" spans="2:27">
      <c r="D240" s="104"/>
      <c r="E240" s="105"/>
      <c r="F240" s="105"/>
      <c r="G240" s="105"/>
      <c r="H240" s="105"/>
      <c r="I240" s="105"/>
      <c r="J240" s="105"/>
      <c r="K240" s="105"/>
      <c r="L240" s="106"/>
    </row>
    <row r="241" spans="2:27">
      <c r="D241" s="98" t="s">
        <v>5114</v>
      </c>
      <c r="E241" s="98" t="s">
        <v>5115</v>
      </c>
      <c r="F241" s="98" t="s">
        <v>5116</v>
      </c>
      <c r="G241" s="98" t="s">
        <v>5117</v>
      </c>
      <c r="H241" s="98" t="s">
        <v>5118</v>
      </c>
      <c r="I241" s="98" t="s">
        <v>5119</v>
      </c>
      <c r="J241" s="98" t="s">
        <v>5120</v>
      </c>
      <c r="K241" s="98" t="s">
        <v>5121</v>
      </c>
      <c r="L241" s="98" t="s">
        <v>5122</v>
      </c>
    </row>
    <row r="242" spans="2:27">
      <c r="D242" s="100"/>
      <c r="E242" s="100"/>
      <c r="F242" s="100"/>
      <c r="G242" s="100"/>
      <c r="H242" s="100"/>
      <c r="I242" s="100"/>
      <c r="J242" s="100"/>
      <c r="K242" s="100"/>
      <c r="L242" s="100"/>
    </row>
    <row r="243" spans="2:27">
      <c r="D243" s="45" t="s">
        <v>3519</v>
      </c>
      <c r="E243" s="45" t="s">
        <v>3612</v>
      </c>
      <c r="F243" s="45" t="s">
        <v>3614</v>
      </c>
      <c r="G243" s="45" t="s">
        <v>3616</v>
      </c>
      <c r="H243" s="45" t="s">
        <v>3618</v>
      </c>
      <c r="I243" s="45" t="s">
        <v>3620</v>
      </c>
      <c r="J243" s="45" t="s">
        <v>3622</v>
      </c>
      <c r="K243" s="45" t="s">
        <v>3624</v>
      </c>
      <c r="L243" s="45" t="s">
        <v>3626</v>
      </c>
      <c r="Z243" s="13" t="str">
        <f>Show!$B$158&amp;"SR.27.01.01.05 Rows {"&amp;COLUMN($C$1)&amp;"}"&amp;"@ForceFilingCode:true"</f>
        <v>!SR.27.01.01.05 Rows {3}@ForceFilingCode:true</v>
      </c>
      <c r="AA243" s="13" t="str">
        <f>Show!$B$158&amp;"SR.27.01.01.05 Columns {"&amp;COLUMN($D$1)&amp;"}"</f>
        <v>!SR.27.01.01.05 Columns {4}</v>
      </c>
    </row>
    <row r="244" spans="2:27">
      <c r="B244" s="43" t="s">
        <v>2880</v>
      </c>
      <c r="C244" s="44" t="s">
        <v>2878</v>
      </c>
      <c r="D244" s="58"/>
      <c r="E244" s="67"/>
      <c r="F244" s="67"/>
      <c r="G244" s="67"/>
      <c r="H244" s="67"/>
      <c r="I244" s="67"/>
      <c r="J244" s="67"/>
      <c r="K244" s="67"/>
      <c r="L244" s="59"/>
    </row>
    <row r="245" spans="2:27">
      <c r="B245" s="47" t="s">
        <v>5235</v>
      </c>
      <c r="C245" s="44" t="s">
        <v>2878</v>
      </c>
      <c r="D245" s="58"/>
      <c r="E245" s="66"/>
      <c r="F245" s="66"/>
      <c r="G245" s="66"/>
      <c r="H245" s="66"/>
      <c r="I245" s="66"/>
      <c r="J245" s="66"/>
      <c r="K245" s="66"/>
      <c r="L245" s="57"/>
    </row>
    <row r="246" spans="2:27">
      <c r="B246" s="49" t="s">
        <v>5124</v>
      </c>
      <c r="C246" s="44" t="s">
        <v>5236</v>
      </c>
      <c r="D246" s="48"/>
      <c r="E246" s="60"/>
      <c r="F246" s="60"/>
      <c r="G246" s="70"/>
      <c r="H246" s="51"/>
      <c r="I246" s="60"/>
      <c r="J246" s="60"/>
      <c r="K246" s="60"/>
      <c r="L246" s="60"/>
    </row>
    <row r="247" spans="2:27">
      <c r="B247" s="49" t="s">
        <v>5125</v>
      </c>
      <c r="C247" s="44" t="s">
        <v>5237</v>
      </c>
      <c r="D247" s="48"/>
      <c r="E247" s="60"/>
      <c r="F247" s="60"/>
      <c r="G247" s="70"/>
      <c r="H247" s="51"/>
      <c r="I247" s="60"/>
      <c r="J247" s="60"/>
      <c r="K247" s="60"/>
      <c r="L247" s="60"/>
    </row>
    <row r="248" spans="2:27">
      <c r="B248" s="49" t="s">
        <v>5126</v>
      </c>
      <c r="C248" s="44" t="s">
        <v>5238</v>
      </c>
      <c r="D248" s="48"/>
      <c r="E248" s="60"/>
      <c r="F248" s="60"/>
      <c r="G248" s="70"/>
      <c r="H248" s="51"/>
      <c r="I248" s="60"/>
      <c r="J248" s="60"/>
      <c r="K248" s="60"/>
      <c r="L248" s="60"/>
    </row>
    <row r="249" spans="2:27">
      <c r="B249" s="49" t="s">
        <v>5127</v>
      </c>
      <c r="C249" s="44" t="s">
        <v>5239</v>
      </c>
      <c r="D249" s="48"/>
      <c r="E249" s="60"/>
      <c r="F249" s="60"/>
      <c r="G249" s="70"/>
      <c r="H249" s="51"/>
      <c r="I249" s="60"/>
      <c r="J249" s="60"/>
      <c r="K249" s="60"/>
      <c r="L249" s="60"/>
    </row>
    <row r="250" spans="2:27" ht="30">
      <c r="B250" s="49" t="s">
        <v>5131</v>
      </c>
      <c r="C250" s="44" t="s">
        <v>5240</v>
      </c>
      <c r="D250" s="48"/>
      <c r="E250" s="60"/>
      <c r="F250" s="60"/>
      <c r="G250" s="70"/>
      <c r="H250" s="51"/>
      <c r="I250" s="60"/>
      <c r="J250" s="60"/>
      <c r="K250" s="60"/>
      <c r="L250" s="60"/>
    </row>
    <row r="251" spans="2:27">
      <c r="B251" s="49" t="s">
        <v>5132</v>
      </c>
      <c r="C251" s="44" t="s">
        <v>5241</v>
      </c>
      <c r="D251" s="48"/>
      <c r="E251" s="60"/>
      <c r="F251" s="60"/>
      <c r="G251" s="70"/>
      <c r="H251" s="51"/>
      <c r="I251" s="60"/>
      <c r="J251" s="60"/>
      <c r="K251" s="60"/>
      <c r="L251" s="60"/>
    </row>
    <row r="252" spans="2:27">
      <c r="B252" s="49" t="s">
        <v>5178</v>
      </c>
      <c r="C252" s="44" t="s">
        <v>5242</v>
      </c>
      <c r="D252" s="48"/>
      <c r="E252" s="60"/>
      <c r="F252" s="60"/>
      <c r="G252" s="70"/>
      <c r="H252" s="51"/>
      <c r="I252" s="60"/>
      <c r="J252" s="60"/>
      <c r="K252" s="60"/>
      <c r="L252" s="60"/>
    </row>
    <row r="253" spans="2:27">
      <c r="B253" s="49" t="s">
        <v>5136</v>
      </c>
      <c r="C253" s="44" t="s">
        <v>5243</v>
      </c>
      <c r="D253" s="48"/>
      <c r="E253" s="60"/>
      <c r="F253" s="60"/>
      <c r="G253" s="70"/>
      <c r="H253" s="51"/>
      <c r="I253" s="60"/>
      <c r="J253" s="60"/>
      <c r="K253" s="60"/>
      <c r="L253" s="60"/>
    </row>
    <row r="254" spans="2:27">
      <c r="B254" s="49" t="s">
        <v>5137</v>
      </c>
      <c r="C254" s="44" t="s">
        <v>3529</v>
      </c>
      <c r="D254" s="48"/>
      <c r="E254" s="60"/>
      <c r="F254" s="60"/>
      <c r="G254" s="70"/>
      <c r="H254" s="51"/>
      <c r="I254" s="60"/>
      <c r="J254" s="60"/>
      <c r="K254" s="60"/>
      <c r="L254" s="60"/>
    </row>
    <row r="255" spans="2:27">
      <c r="B255" s="49" t="s">
        <v>5129</v>
      </c>
      <c r="C255" s="44" t="s">
        <v>5244</v>
      </c>
      <c r="D255" s="48"/>
      <c r="E255" s="60"/>
      <c r="F255" s="60"/>
      <c r="G255" s="70"/>
      <c r="H255" s="51"/>
      <c r="I255" s="60"/>
      <c r="J255" s="60"/>
      <c r="K255" s="60"/>
      <c r="L255" s="60"/>
    </row>
    <row r="256" spans="2:27">
      <c r="B256" s="49" t="s">
        <v>5142</v>
      </c>
      <c r="C256" s="44" t="s">
        <v>3530</v>
      </c>
      <c r="D256" s="48"/>
      <c r="E256" s="60"/>
      <c r="F256" s="60"/>
      <c r="G256" s="70"/>
      <c r="H256" s="68"/>
      <c r="I256" s="60"/>
      <c r="J256" s="60"/>
      <c r="K256" s="60"/>
      <c r="L256" s="60"/>
    </row>
    <row r="257" spans="2:12">
      <c r="B257" s="49" t="s">
        <v>5245</v>
      </c>
      <c r="C257" s="44" t="s">
        <v>3531</v>
      </c>
      <c r="D257" s="46"/>
      <c r="E257" s="63"/>
      <c r="F257" s="63"/>
      <c r="G257" s="78"/>
      <c r="H257" s="48"/>
      <c r="I257" s="63"/>
      <c r="J257" s="63"/>
      <c r="K257" s="63"/>
      <c r="L257" s="63"/>
    </row>
    <row r="258" spans="2:12">
      <c r="B258" s="49" t="s">
        <v>5150</v>
      </c>
      <c r="C258" s="41" t="s">
        <v>5246</v>
      </c>
      <c r="D258" s="64"/>
      <c r="E258" s="58"/>
      <c r="F258" s="58"/>
      <c r="G258" s="58"/>
      <c r="H258" s="58"/>
      <c r="I258" s="58"/>
      <c r="J258" s="58"/>
      <c r="K258" s="58"/>
      <c r="L258" s="48"/>
    </row>
    <row r="259" spans="2:12">
      <c r="B259" s="49" t="s">
        <v>5151</v>
      </c>
      <c r="C259" s="41" t="s">
        <v>5247</v>
      </c>
      <c r="D259" s="64"/>
      <c r="E259" s="58"/>
      <c r="F259" s="58"/>
      <c r="G259" s="58"/>
      <c r="H259" s="58"/>
      <c r="I259" s="58"/>
      <c r="J259" s="58"/>
      <c r="K259" s="58"/>
      <c r="L259" s="48"/>
    </row>
    <row r="260" spans="2:12">
      <c r="B260" s="49" t="s">
        <v>5152</v>
      </c>
      <c r="C260" s="41" t="s">
        <v>5248</v>
      </c>
      <c r="D260" s="64"/>
      <c r="E260" s="58"/>
      <c r="F260" s="58"/>
      <c r="G260" s="58"/>
      <c r="H260" s="58"/>
      <c r="I260" s="58"/>
      <c r="J260" s="58"/>
      <c r="K260" s="58"/>
      <c r="L260" s="48"/>
    </row>
    <row r="261" spans="2:12">
      <c r="B261" s="49" t="s">
        <v>5153</v>
      </c>
      <c r="C261" s="41" t="s">
        <v>5249</v>
      </c>
      <c r="D261" s="64"/>
      <c r="E261" s="58"/>
      <c r="F261" s="58"/>
      <c r="G261" s="58"/>
      <c r="H261" s="58"/>
      <c r="I261" s="58"/>
      <c r="J261" s="58"/>
      <c r="K261" s="58"/>
      <c r="L261" s="48"/>
    </row>
    <row r="262" spans="2:12">
      <c r="B262" s="49" t="s">
        <v>5154</v>
      </c>
      <c r="C262" s="41" t="s">
        <v>5250</v>
      </c>
      <c r="D262" s="64"/>
      <c r="E262" s="58"/>
      <c r="F262" s="58"/>
      <c r="G262" s="58"/>
      <c r="H262" s="58"/>
      <c r="I262" s="58"/>
      <c r="J262" s="58"/>
      <c r="K262" s="58"/>
      <c r="L262" s="48"/>
    </row>
    <row r="263" spans="2:12">
      <c r="B263" s="49" t="s">
        <v>5155</v>
      </c>
      <c r="C263" s="41" t="s">
        <v>5251</v>
      </c>
      <c r="D263" s="64"/>
      <c r="E263" s="58"/>
      <c r="F263" s="58"/>
      <c r="G263" s="58"/>
      <c r="H263" s="58"/>
      <c r="I263" s="58"/>
      <c r="J263" s="58"/>
      <c r="K263" s="58"/>
      <c r="L263" s="48"/>
    </row>
    <row r="264" spans="2:12">
      <c r="B264" s="49" t="s">
        <v>5156</v>
      </c>
      <c r="C264" s="41" t="s">
        <v>5252</v>
      </c>
      <c r="D264" s="64"/>
      <c r="E264" s="58"/>
      <c r="F264" s="58"/>
      <c r="G264" s="58"/>
      <c r="H264" s="58"/>
      <c r="I264" s="58"/>
      <c r="J264" s="58"/>
      <c r="K264" s="58"/>
      <c r="L264" s="48"/>
    </row>
    <row r="265" spans="2:12">
      <c r="B265" s="49" t="s">
        <v>5157</v>
      </c>
      <c r="C265" s="41" t="s">
        <v>3532</v>
      </c>
      <c r="D265" s="64"/>
      <c r="E265" s="58"/>
      <c r="F265" s="58"/>
      <c r="G265" s="58"/>
      <c r="H265" s="58"/>
      <c r="I265" s="58"/>
      <c r="J265" s="58"/>
      <c r="K265" s="58"/>
      <c r="L265" s="48"/>
    </row>
    <row r="266" spans="2:12">
      <c r="B266" s="49" t="s">
        <v>5158</v>
      </c>
      <c r="C266" s="41" t="s">
        <v>5253</v>
      </c>
      <c r="D266" s="64"/>
      <c r="E266" s="58"/>
      <c r="F266" s="58"/>
      <c r="G266" s="58"/>
      <c r="H266" s="58"/>
      <c r="I266" s="58"/>
      <c r="J266" s="58"/>
      <c r="K266" s="58"/>
      <c r="L266" s="48"/>
    </row>
    <row r="267" spans="2:12">
      <c r="B267" s="49" t="s">
        <v>5159</v>
      </c>
      <c r="C267" s="41" t="s">
        <v>5254</v>
      </c>
      <c r="D267" s="64"/>
      <c r="E267" s="58"/>
      <c r="F267" s="58"/>
      <c r="G267" s="58"/>
      <c r="H267" s="58"/>
      <c r="I267" s="58"/>
      <c r="J267" s="58"/>
      <c r="K267" s="58"/>
      <c r="L267" s="48"/>
    </row>
    <row r="268" spans="2:12">
      <c r="B268" s="49" t="s">
        <v>5160</v>
      </c>
      <c r="C268" s="41" t="s">
        <v>5255</v>
      </c>
      <c r="D268" s="64"/>
      <c r="E268" s="58"/>
      <c r="F268" s="58"/>
      <c r="G268" s="58"/>
      <c r="H268" s="58"/>
      <c r="I268" s="58"/>
      <c r="J268" s="58"/>
      <c r="K268" s="58"/>
      <c r="L268" s="48"/>
    </row>
    <row r="269" spans="2:12">
      <c r="B269" s="49" t="s">
        <v>5161</v>
      </c>
      <c r="C269" s="41" t="s">
        <v>5256</v>
      </c>
      <c r="D269" s="64"/>
      <c r="E269" s="58"/>
      <c r="F269" s="58"/>
      <c r="G269" s="58"/>
      <c r="H269" s="58"/>
      <c r="I269" s="58"/>
      <c r="J269" s="58"/>
      <c r="K269" s="58"/>
      <c r="L269" s="48"/>
    </row>
    <row r="270" spans="2:12">
      <c r="B270" s="49" t="s">
        <v>5162</v>
      </c>
      <c r="C270" s="41" t="s">
        <v>5257</v>
      </c>
      <c r="D270" s="64"/>
      <c r="E270" s="58"/>
      <c r="F270" s="58"/>
      <c r="G270" s="58"/>
      <c r="H270" s="58"/>
      <c r="I270" s="58"/>
      <c r="J270" s="58"/>
      <c r="K270" s="58"/>
      <c r="L270" s="48"/>
    </row>
    <row r="271" spans="2:12">
      <c r="B271" s="49" t="s">
        <v>5163</v>
      </c>
      <c r="C271" s="41" t="s">
        <v>5258</v>
      </c>
      <c r="D271" s="64"/>
      <c r="E271" s="58"/>
      <c r="F271" s="58"/>
      <c r="G271" s="58"/>
      <c r="H271" s="58"/>
      <c r="I271" s="58"/>
      <c r="J271" s="58"/>
      <c r="K271" s="58"/>
      <c r="L271" s="48"/>
    </row>
    <row r="272" spans="2:12">
      <c r="B272" s="49" t="s">
        <v>5164</v>
      </c>
      <c r="C272" s="41" t="s">
        <v>5259</v>
      </c>
      <c r="D272" s="64"/>
      <c r="E272" s="58"/>
      <c r="F272" s="58"/>
      <c r="G272" s="58"/>
      <c r="H272" s="58"/>
      <c r="I272" s="58"/>
      <c r="J272" s="58"/>
      <c r="K272" s="58"/>
      <c r="L272" s="48"/>
    </row>
    <row r="273" spans="2:27">
      <c r="B273" s="49" t="s">
        <v>5165</v>
      </c>
      <c r="C273" s="41" t="s">
        <v>5260</v>
      </c>
      <c r="D273" s="64"/>
      <c r="E273" s="58"/>
      <c r="F273" s="58"/>
      <c r="G273" s="58"/>
      <c r="H273" s="58"/>
      <c r="I273" s="58"/>
      <c r="J273" s="58"/>
      <c r="K273" s="58"/>
      <c r="L273" s="48"/>
    </row>
    <row r="274" spans="2:27">
      <c r="B274" s="49" t="s">
        <v>5166</v>
      </c>
      <c r="C274" s="41" t="s">
        <v>5261</v>
      </c>
      <c r="D274" s="64"/>
      <c r="E274" s="58"/>
      <c r="F274" s="58"/>
      <c r="G274" s="58"/>
      <c r="H274" s="58"/>
      <c r="I274" s="58"/>
      <c r="J274" s="58"/>
      <c r="K274" s="58"/>
      <c r="L274" s="48"/>
    </row>
    <row r="275" spans="2:27">
      <c r="B275" s="49" t="s">
        <v>5167</v>
      </c>
      <c r="C275" s="41" t="s">
        <v>3533</v>
      </c>
      <c r="D275" s="64"/>
      <c r="E275" s="58"/>
      <c r="F275" s="58"/>
      <c r="G275" s="58"/>
      <c r="H275" s="58"/>
      <c r="I275" s="56"/>
      <c r="J275" s="56"/>
      <c r="K275" s="56"/>
      <c r="L275" s="46"/>
    </row>
    <row r="276" spans="2:27">
      <c r="B276" s="49" t="s">
        <v>5262</v>
      </c>
      <c r="C276" s="41" t="s">
        <v>3534</v>
      </c>
      <c r="D276" s="65"/>
      <c r="E276" s="58"/>
      <c r="F276" s="58"/>
      <c r="G276" s="58"/>
      <c r="H276" s="48"/>
      <c r="I276" s="60"/>
      <c r="J276" s="60"/>
      <c r="K276" s="60"/>
      <c r="L276" s="60"/>
    </row>
    <row r="277" spans="2:27">
      <c r="B277" s="49" t="s">
        <v>5263</v>
      </c>
      <c r="C277" s="44" t="s">
        <v>3535</v>
      </c>
      <c r="D277" s="58"/>
      <c r="E277" s="58"/>
      <c r="F277" s="58"/>
      <c r="G277" s="58"/>
      <c r="H277" s="48"/>
      <c r="I277" s="60"/>
      <c r="J277" s="63"/>
      <c r="K277" s="63"/>
      <c r="L277" s="60"/>
    </row>
    <row r="278" spans="2:27">
      <c r="B278" s="49" t="s">
        <v>5170</v>
      </c>
      <c r="C278" s="44" t="s">
        <v>5264</v>
      </c>
      <c r="D278" s="58"/>
      <c r="E278" s="58"/>
      <c r="F278" s="58"/>
      <c r="G278" s="58"/>
      <c r="H278" s="48"/>
      <c r="I278" s="64"/>
      <c r="J278" s="58"/>
      <c r="K278" s="48"/>
      <c r="L278" s="60"/>
    </row>
    <row r="279" spans="2:27">
      <c r="B279" s="49" t="s">
        <v>5265</v>
      </c>
      <c r="C279" s="44" t="s">
        <v>5266</v>
      </c>
      <c r="D279" s="56"/>
      <c r="E279" s="56"/>
      <c r="F279" s="56"/>
      <c r="G279" s="56"/>
      <c r="H279" s="46"/>
      <c r="I279" s="64"/>
      <c r="J279" s="56"/>
      <c r="K279" s="46"/>
      <c r="L279" s="60"/>
    </row>
    <row r="281" spans="2:27">
      <c r="Z281" s="13" t="str">
        <f>Show!$B$158&amp;Show!$B$158&amp;"SR.27.01.01.05 Rows {"&amp;COLUMN($C$1)&amp;"}"</f>
        <v>!!SR.27.01.01.05 Rows {3}</v>
      </c>
      <c r="AA281" s="13" t="str">
        <f>Show!$B$158&amp;Show!$B$158&amp;"SR.27.01.01.05 Columns {"&amp;COLUMN($L$1)&amp;"}"</f>
        <v>!!SR.27.01.01.05 Columns {12}</v>
      </c>
    </row>
    <row r="283" spans="2:27" ht="18.75">
      <c r="B283" s="97" t="s">
        <v>5579</v>
      </c>
      <c r="C283" s="96"/>
      <c r="D283" s="96"/>
      <c r="E283" s="96"/>
      <c r="F283" s="96"/>
      <c r="G283" s="96"/>
      <c r="H283" s="96"/>
      <c r="I283" s="96"/>
      <c r="J283" s="96"/>
      <c r="K283" s="96"/>
      <c r="L283" s="96"/>
    </row>
    <row r="285" spans="2:27">
      <c r="B285" t="s">
        <v>3110</v>
      </c>
      <c r="Z285" s="13" t="str">
        <f>Show!$B$158&amp;"SR.27.01.01.06 Table label {"&amp;COLUMN($C$1)&amp;"}"</f>
        <v>!SR.27.01.01.06 Table label {3}</v>
      </c>
      <c r="AA285" s="13" t="str">
        <f>Show!$B$158&amp;"SR.27.01.01.06 Table value {"&amp;COLUMN($D$1)&amp;"}"</f>
        <v>!SR.27.01.01.06 Table value {4}</v>
      </c>
    </row>
    <row r="286" spans="2:27">
      <c r="B286" t="s">
        <v>3111</v>
      </c>
    </row>
    <row r="287" spans="2:27">
      <c r="B287" s="40" t="s">
        <v>3788</v>
      </c>
      <c r="C287" s="53" t="s">
        <v>3115</v>
      </c>
      <c r="D287" s="51"/>
    </row>
    <row r="288" spans="2:27">
      <c r="B288" s="40" t="s">
        <v>3114</v>
      </c>
      <c r="C288" s="53" t="s">
        <v>3323</v>
      </c>
      <c r="D288" s="50"/>
    </row>
    <row r="289" spans="2:27">
      <c r="Z289" s="13" t="str">
        <f>Show!$B$158&amp;Show!$B$158&amp;"SR.27.01.01.06 Table label {"&amp;COLUMN($C$1)&amp;"}"</f>
        <v>!!SR.27.01.01.06 Table label {3}</v>
      </c>
      <c r="AA289" s="13" t="str">
        <f>Show!$B$158&amp;Show!$B$158&amp;"SR.27.01.01.06 Table value {"&amp;COLUMN($D$1)&amp;"}"</f>
        <v>!!SR.27.01.01.06 Table value {4}</v>
      </c>
    </row>
    <row r="291" spans="2:27">
      <c r="D291" s="101" t="s">
        <v>2877</v>
      </c>
      <c r="E291" s="102"/>
      <c r="F291" s="102"/>
      <c r="G291" s="102"/>
      <c r="H291" s="102"/>
      <c r="I291" s="102"/>
      <c r="J291" s="102"/>
      <c r="K291" s="103"/>
    </row>
    <row r="292" spans="2:27">
      <c r="D292" s="104"/>
      <c r="E292" s="105"/>
      <c r="F292" s="105"/>
      <c r="G292" s="105"/>
      <c r="H292" s="105"/>
      <c r="I292" s="105"/>
      <c r="J292" s="105"/>
      <c r="K292" s="106"/>
    </row>
    <row r="293" spans="2:27">
      <c r="D293" s="98" t="s">
        <v>5114</v>
      </c>
      <c r="E293" s="98" t="s">
        <v>5115</v>
      </c>
      <c r="F293" s="98" t="s">
        <v>5116</v>
      </c>
      <c r="G293" s="98" t="s">
        <v>5117</v>
      </c>
      <c r="H293" s="98" t="s">
        <v>5119</v>
      </c>
      <c r="I293" s="98" t="s">
        <v>5120</v>
      </c>
      <c r="J293" s="98" t="s">
        <v>5121</v>
      </c>
      <c r="K293" s="98" t="s">
        <v>5122</v>
      </c>
    </row>
    <row r="294" spans="2:27">
      <c r="D294" s="100"/>
      <c r="E294" s="100"/>
      <c r="F294" s="100"/>
      <c r="G294" s="100"/>
      <c r="H294" s="100"/>
      <c r="I294" s="100"/>
      <c r="J294" s="100"/>
      <c r="K294" s="100"/>
    </row>
    <row r="295" spans="2:27">
      <c r="D295" s="45" t="s">
        <v>3628</v>
      </c>
      <c r="E295" s="45" t="s">
        <v>3634</v>
      </c>
      <c r="F295" s="45" t="s">
        <v>3636</v>
      </c>
      <c r="G295" s="45" t="s">
        <v>3701</v>
      </c>
      <c r="H295" s="45" t="s">
        <v>3702</v>
      </c>
      <c r="I295" s="45" t="s">
        <v>3675</v>
      </c>
      <c r="J295" s="45" t="s">
        <v>3955</v>
      </c>
      <c r="K295" s="45" t="s">
        <v>3956</v>
      </c>
      <c r="Z295" s="13" t="str">
        <f>Show!$B$158&amp;"SR.27.01.01.06 Rows {"&amp;COLUMN($C$1)&amp;"}"&amp;"@ForceFilingCode:true"</f>
        <v>!SR.27.01.01.06 Rows {3}@ForceFilingCode:true</v>
      </c>
      <c r="AA295" s="13" t="str">
        <f>Show!$B$158&amp;"SR.27.01.01.06 Columns {"&amp;COLUMN($D$1)&amp;"}"</f>
        <v>!SR.27.01.01.06 Columns {4}</v>
      </c>
    </row>
    <row r="296" spans="2:27">
      <c r="B296" s="43" t="s">
        <v>2880</v>
      </c>
      <c r="C296" s="44" t="s">
        <v>2878</v>
      </c>
      <c r="D296" s="58"/>
      <c r="E296" s="67"/>
      <c r="F296" s="67"/>
      <c r="G296" s="67"/>
      <c r="H296" s="67"/>
      <c r="I296" s="67"/>
      <c r="J296" s="67"/>
      <c r="K296" s="59"/>
    </row>
    <row r="297" spans="2:27">
      <c r="B297" s="47" t="s">
        <v>5268</v>
      </c>
      <c r="C297" s="44" t="s">
        <v>2878</v>
      </c>
      <c r="D297" s="56"/>
      <c r="E297" s="66"/>
      <c r="F297" s="66"/>
      <c r="G297" s="66"/>
      <c r="H297" s="66"/>
      <c r="I297" s="66"/>
      <c r="J297" s="66"/>
      <c r="K297" s="57"/>
    </row>
    <row r="298" spans="2:27">
      <c r="B298" s="49" t="s">
        <v>5269</v>
      </c>
      <c r="C298" s="41" t="s">
        <v>5270</v>
      </c>
      <c r="D298" s="63"/>
      <c r="E298" s="63"/>
      <c r="F298" s="63"/>
      <c r="G298" s="76"/>
      <c r="H298" s="60"/>
      <c r="I298" s="63"/>
      <c r="J298" s="63"/>
      <c r="K298" s="60"/>
    </row>
    <row r="299" spans="2:27">
      <c r="B299" s="49" t="s">
        <v>5271</v>
      </c>
      <c r="C299" s="44" t="s">
        <v>5272</v>
      </c>
      <c r="D299" s="58"/>
      <c r="E299" s="58"/>
      <c r="F299" s="58"/>
      <c r="G299" s="48"/>
      <c r="H299" s="64"/>
      <c r="I299" s="58"/>
      <c r="J299" s="48"/>
      <c r="K299" s="60"/>
    </row>
    <row r="300" spans="2:27">
      <c r="B300" s="49" t="s">
        <v>5273</v>
      </c>
      <c r="C300" s="44" t="s">
        <v>5274</v>
      </c>
      <c r="D300" s="56"/>
      <c r="E300" s="56"/>
      <c r="F300" s="56"/>
      <c r="G300" s="46"/>
      <c r="H300" s="64"/>
      <c r="I300" s="56"/>
      <c r="J300" s="46"/>
      <c r="K300" s="60"/>
    </row>
    <row r="302" spans="2:27">
      <c r="Z302" s="13" t="str">
        <f>Show!$B$158&amp;Show!$B$158&amp;"SR.27.01.01.06 Rows {"&amp;COLUMN($C$1)&amp;"}"</f>
        <v>!!SR.27.01.01.06 Rows {3}</v>
      </c>
      <c r="AA302" s="13" t="str">
        <f>Show!$B$158&amp;Show!$B$158&amp;"SR.27.01.01.06 Columns {"&amp;COLUMN($K$1)&amp;"}"</f>
        <v>!!SR.27.01.01.06 Columns {11}</v>
      </c>
    </row>
    <row r="304" spans="2:27" ht="18.75">
      <c r="B304" s="97" t="s">
        <v>5580</v>
      </c>
      <c r="C304" s="96"/>
      <c r="D304" s="96"/>
      <c r="E304" s="96"/>
      <c r="F304" s="96"/>
      <c r="G304" s="96"/>
      <c r="H304" s="96"/>
      <c r="I304" s="96"/>
      <c r="J304" s="96"/>
      <c r="K304" s="96"/>
      <c r="L304" s="96"/>
    </row>
    <row r="306" spans="2:27">
      <c r="B306" t="s">
        <v>3110</v>
      </c>
      <c r="Z306" s="13" t="str">
        <f>Show!$B$158&amp;"SR.27.01.01.07 Table label {"&amp;COLUMN($C$1)&amp;"}"</f>
        <v>!SR.27.01.01.07 Table label {3}</v>
      </c>
      <c r="AA306" s="13" t="str">
        <f>Show!$B$158&amp;"SR.27.01.01.07 Table value {"&amp;COLUMN($D$1)&amp;"}"</f>
        <v>!SR.27.01.01.07 Table value {4}</v>
      </c>
    </row>
    <row r="307" spans="2:27">
      <c r="B307" t="s">
        <v>3111</v>
      </c>
    </row>
    <row r="308" spans="2:27">
      <c r="B308" s="40" t="s">
        <v>3788</v>
      </c>
      <c r="C308" s="53" t="s">
        <v>3115</v>
      </c>
      <c r="D308" s="51"/>
    </row>
    <row r="309" spans="2:27">
      <c r="B309" s="40" t="s">
        <v>3114</v>
      </c>
      <c r="C309" s="53" t="s">
        <v>3323</v>
      </c>
      <c r="D309" s="50"/>
    </row>
    <row r="310" spans="2:27">
      <c r="Z310" s="13" t="str">
        <f>Show!$B$158&amp;Show!$B$158&amp;"SR.27.01.01.07 Table label {"&amp;COLUMN($C$1)&amp;"}"</f>
        <v>!!SR.27.01.01.07 Table label {3}</v>
      </c>
      <c r="AA310" s="13" t="str">
        <f>Show!$B$158&amp;Show!$B$158&amp;"SR.27.01.01.07 Table value {"&amp;COLUMN($D$1)&amp;"}"</f>
        <v>!!SR.27.01.01.07 Table value {4}</v>
      </c>
    </row>
    <row r="312" spans="2:27">
      <c r="D312" s="101" t="s">
        <v>2877</v>
      </c>
      <c r="E312" s="102"/>
      <c r="F312" s="102"/>
      <c r="G312" s="102"/>
      <c r="H312" s="103"/>
    </row>
    <row r="313" spans="2:27">
      <c r="D313" s="104"/>
      <c r="E313" s="105"/>
      <c r="F313" s="105"/>
      <c r="G313" s="105"/>
      <c r="H313" s="106"/>
    </row>
    <row r="314" spans="2:27">
      <c r="D314" s="107" t="s">
        <v>5276</v>
      </c>
      <c r="E314" s="108"/>
      <c r="F314" s="108"/>
      <c r="G314" s="108"/>
      <c r="H314" s="109"/>
    </row>
    <row r="315" spans="2:27" ht="60">
      <c r="D315" s="55" t="s">
        <v>5277</v>
      </c>
      <c r="E315" s="55" t="s">
        <v>5119</v>
      </c>
      <c r="F315" s="55" t="s">
        <v>5120</v>
      </c>
      <c r="G315" s="55" t="s">
        <v>5121</v>
      </c>
      <c r="H315" s="55" t="s">
        <v>5122</v>
      </c>
    </row>
    <row r="316" spans="2:27">
      <c r="D316" s="45" t="s">
        <v>3957</v>
      </c>
      <c r="E316" s="45" t="s">
        <v>3958</v>
      </c>
      <c r="F316" s="45" t="s">
        <v>3959</v>
      </c>
      <c r="G316" s="45" t="s">
        <v>3960</v>
      </c>
      <c r="H316" s="45" t="s">
        <v>3961</v>
      </c>
      <c r="Z316" s="13" t="str">
        <f>Show!$B$158&amp;"SR.27.01.01.07 Rows {"&amp;COLUMN($C$1)&amp;"}"&amp;"@ForceFilingCode:true"</f>
        <v>!SR.27.01.01.07 Rows {3}@ForceFilingCode:true</v>
      </c>
      <c r="AA316" s="13" t="str">
        <f>Show!$B$158&amp;"SR.27.01.01.07 Columns {"&amp;COLUMN($D$1)&amp;"}"</f>
        <v>!SR.27.01.01.07 Columns {4}</v>
      </c>
    </row>
    <row r="317" spans="2:27">
      <c r="B317" s="43" t="s">
        <v>2880</v>
      </c>
      <c r="C317" s="44" t="s">
        <v>2878</v>
      </c>
      <c r="D317" s="56"/>
      <c r="E317" s="66"/>
      <c r="F317" s="66"/>
      <c r="G317" s="66"/>
      <c r="H317" s="57"/>
    </row>
    <row r="318" spans="2:27">
      <c r="B318" s="47" t="s">
        <v>3905</v>
      </c>
      <c r="C318" s="41" t="s">
        <v>3536</v>
      </c>
      <c r="D318" s="60"/>
      <c r="E318" s="60"/>
      <c r="F318" s="60"/>
      <c r="G318" s="60"/>
      <c r="H318" s="60"/>
    </row>
    <row r="320" spans="2:27">
      <c r="Z320" s="13" t="str">
        <f>Show!$B$158&amp;Show!$B$158&amp;"SR.27.01.01.07 Rows {"&amp;COLUMN($C$1)&amp;"}"</f>
        <v>!!SR.27.01.01.07 Rows {3}</v>
      </c>
      <c r="AA320" s="13" t="str">
        <f>Show!$B$158&amp;Show!$B$158&amp;"SR.27.01.01.07 Columns {"&amp;COLUMN($H$1)&amp;"}"</f>
        <v>!!SR.27.01.01.07 Columns {8}</v>
      </c>
    </row>
    <row r="322" spans="2:27" ht="18.75">
      <c r="B322" s="97" t="s">
        <v>5581</v>
      </c>
      <c r="C322" s="96"/>
      <c r="D322" s="96"/>
      <c r="E322" s="96"/>
      <c r="F322" s="96"/>
      <c r="G322" s="96"/>
      <c r="H322" s="96"/>
      <c r="I322" s="96"/>
      <c r="J322" s="96"/>
      <c r="K322" s="96"/>
      <c r="L322" s="96"/>
    </row>
    <row r="324" spans="2:27">
      <c r="B324" t="s">
        <v>3110</v>
      </c>
      <c r="Z324" s="13" t="str">
        <f>Show!$B$158&amp;"SR.27.01.01.08 Table label {"&amp;COLUMN($C$1)&amp;"}"</f>
        <v>!SR.27.01.01.08 Table label {3}</v>
      </c>
      <c r="AA324" s="13" t="str">
        <f>Show!$B$158&amp;"SR.27.01.01.08 Table value {"&amp;COLUMN($D$1)&amp;"}"</f>
        <v>!SR.27.01.01.08 Table value {4}</v>
      </c>
    </row>
    <row r="325" spans="2:27">
      <c r="B325" t="s">
        <v>3111</v>
      </c>
    </row>
    <row r="326" spans="2:27">
      <c r="B326" s="40" t="s">
        <v>3788</v>
      </c>
      <c r="C326" s="53" t="s">
        <v>3115</v>
      </c>
      <c r="D326" s="51"/>
    </row>
    <row r="327" spans="2:27">
      <c r="B327" s="40" t="s">
        <v>3114</v>
      </c>
      <c r="C327" s="53" t="s">
        <v>3323</v>
      </c>
      <c r="D327" s="50"/>
    </row>
    <row r="328" spans="2:27">
      <c r="Z328" s="13" t="str">
        <f>Show!$B$158&amp;Show!$B$158&amp;"SR.27.01.01.08 Table label {"&amp;COLUMN($C$1)&amp;"}"</f>
        <v>!!SR.27.01.01.08 Table label {3}</v>
      </c>
      <c r="AA328" s="13" t="str">
        <f>Show!$B$158&amp;Show!$B$158&amp;"SR.27.01.01.08 Table value {"&amp;COLUMN($D$1)&amp;"}"</f>
        <v>!!SR.27.01.01.08 Table value {4}</v>
      </c>
    </row>
    <row r="330" spans="2:27">
      <c r="D330" s="101" t="s">
        <v>2877</v>
      </c>
      <c r="E330" s="102"/>
      <c r="F330" s="102"/>
      <c r="G330" s="102"/>
      <c r="H330" s="102"/>
      <c r="I330" s="103"/>
    </row>
    <row r="331" spans="2:27">
      <c r="D331" s="104"/>
      <c r="E331" s="105"/>
      <c r="F331" s="105"/>
      <c r="G331" s="105"/>
      <c r="H331" s="105"/>
      <c r="I331" s="106"/>
    </row>
    <row r="332" spans="2:27">
      <c r="D332" s="107" t="s">
        <v>5279</v>
      </c>
      <c r="E332" s="108"/>
      <c r="F332" s="108"/>
      <c r="G332" s="108"/>
      <c r="H332" s="108"/>
      <c r="I332" s="109"/>
    </row>
    <row r="333" spans="2:27" ht="75">
      <c r="D333" s="55" t="s">
        <v>5280</v>
      </c>
      <c r="E333" s="55" t="s">
        <v>5281</v>
      </c>
      <c r="F333" s="55" t="s">
        <v>5282</v>
      </c>
      <c r="G333" s="55" t="s">
        <v>5120</v>
      </c>
      <c r="H333" s="55" t="s">
        <v>5121</v>
      </c>
      <c r="I333" s="55" t="s">
        <v>5283</v>
      </c>
    </row>
    <row r="334" spans="2:27">
      <c r="D334" s="45" t="s">
        <v>3962</v>
      </c>
      <c r="E334" s="45" t="s">
        <v>3963</v>
      </c>
      <c r="F334" s="45" t="s">
        <v>3964</v>
      </c>
      <c r="G334" s="45" t="s">
        <v>3965</v>
      </c>
      <c r="H334" s="45" t="s">
        <v>3967</v>
      </c>
      <c r="I334" s="45" t="s">
        <v>4546</v>
      </c>
      <c r="Z334" s="13" t="str">
        <f>Show!$B$158&amp;"SR.27.01.01.08 Rows {"&amp;COLUMN($C$1)&amp;"}"&amp;"@ForceFilingCode:true"</f>
        <v>!SR.27.01.01.08 Rows {3}@ForceFilingCode:true</v>
      </c>
      <c r="AA334" s="13" t="str">
        <f>Show!$B$158&amp;"SR.27.01.01.08 Columns {"&amp;COLUMN($D$1)&amp;"}"</f>
        <v>!SR.27.01.01.08 Columns {4}</v>
      </c>
    </row>
    <row r="335" spans="2:27">
      <c r="B335" s="43" t="s">
        <v>2880</v>
      </c>
      <c r="C335" s="44" t="s">
        <v>2878</v>
      </c>
      <c r="D335" s="56"/>
      <c r="E335" s="66"/>
      <c r="F335" s="66"/>
      <c r="G335" s="66"/>
      <c r="H335" s="66"/>
      <c r="I335" s="57"/>
    </row>
    <row r="336" spans="2:27">
      <c r="B336" s="47" t="s">
        <v>5284</v>
      </c>
      <c r="C336" s="41" t="s">
        <v>3539</v>
      </c>
      <c r="D336" s="50"/>
      <c r="E336" s="50"/>
      <c r="F336" s="60"/>
      <c r="G336" s="60"/>
      <c r="H336" s="60"/>
      <c r="I336" s="60"/>
    </row>
    <row r="338" spans="2:27">
      <c r="Z338" s="13" t="str">
        <f>Show!$B$158&amp;Show!$B$158&amp;"SR.27.01.01.08 Rows {"&amp;COLUMN($C$1)&amp;"}"</f>
        <v>!!SR.27.01.01.08 Rows {3}</v>
      </c>
      <c r="AA338" s="13" t="str">
        <f>Show!$B$158&amp;Show!$B$158&amp;"SR.27.01.01.08 Columns {"&amp;COLUMN($I$1)&amp;"}"</f>
        <v>!!SR.27.01.01.08 Columns {9}</v>
      </c>
    </row>
    <row r="340" spans="2:27" ht="18.75">
      <c r="B340" s="97" t="s">
        <v>5582</v>
      </c>
      <c r="C340" s="96"/>
      <c r="D340" s="96"/>
      <c r="E340" s="96"/>
      <c r="F340" s="96"/>
      <c r="G340" s="96"/>
      <c r="H340" s="96"/>
      <c r="I340" s="96"/>
      <c r="J340" s="96"/>
      <c r="K340" s="96"/>
      <c r="L340" s="96"/>
    </row>
    <row r="342" spans="2:27">
      <c r="B342" t="s">
        <v>3110</v>
      </c>
      <c r="Z342" s="13" t="str">
        <f>Show!$B$158&amp;"SR.27.01.01.09 Table label {"&amp;COLUMN($C$1)&amp;"}"</f>
        <v>!SR.27.01.01.09 Table label {3}</v>
      </c>
      <c r="AA342" s="13" t="str">
        <f>Show!$B$158&amp;"SR.27.01.01.09 Table value {"&amp;COLUMN($D$1)&amp;"}"</f>
        <v>!SR.27.01.01.09 Table value {4}</v>
      </c>
    </row>
    <row r="343" spans="2:27">
      <c r="B343" t="s">
        <v>3111</v>
      </c>
    </row>
    <row r="344" spans="2:27">
      <c r="B344" s="40" t="s">
        <v>3788</v>
      </c>
      <c r="C344" s="53" t="s">
        <v>3115</v>
      </c>
      <c r="D344" s="51"/>
    </row>
    <row r="345" spans="2:27">
      <c r="B345" s="40" t="s">
        <v>3114</v>
      </c>
      <c r="C345" s="53" t="s">
        <v>3323</v>
      </c>
      <c r="D345" s="50"/>
    </row>
    <row r="346" spans="2:27">
      <c r="Z346" s="13" t="str">
        <f>Show!$B$158&amp;Show!$B$158&amp;"SR.27.01.01.09 Table label {"&amp;COLUMN($C$1)&amp;"}"</f>
        <v>!!SR.27.01.01.09 Table label {3}</v>
      </c>
      <c r="AA346" s="13" t="str">
        <f>Show!$B$158&amp;Show!$B$158&amp;"SR.27.01.01.09 Table value {"&amp;COLUMN($D$1)&amp;"}"</f>
        <v>!!SR.27.01.01.09 Table value {4}</v>
      </c>
    </row>
    <row r="348" spans="2:27">
      <c r="D348" s="101" t="s">
        <v>2877</v>
      </c>
      <c r="E348" s="102"/>
      <c r="F348" s="102"/>
      <c r="G348" s="102"/>
      <c r="H348" s="102"/>
      <c r="I348" s="102"/>
      <c r="J348" s="102"/>
      <c r="K348" s="103"/>
    </row>
    <row r="349" spans="2:27">
      <c r="D349" s="104"/>
      <c r="E349" s="105"/>
      <c r="F349" s="105"/>
      <c r="G349" s="105"/>
      <c r="H349" s="105"/>
      <c r="I349" s="105"/>
      <c r="J349" s="105"/>
      <c r="K349" s="106"/>
    </row>
    <row r="350" spans="2:27" ht="105">
      <c r="D350" s="55" t="s">
        <v>5286</v>
      </c>
      <c r="E350" s="55" t="s">
        <v>5287</v>
      </c>
      <c r="F350" s="55" t="s">
        <v>5288</v>
      </c>
      <c r="G350" s="55" t="s">
        <v>5289</v>
      </c>
      <c r="H350" s="55" t="s">
        <v>5120</v>
      </c>
      <c r="I350" s="55" t="s">
        <v>5121</v>
      </c>
      <c r="J350" s="55" t="s">
        <v>5290</v>
      </c>
      <c r="K350" s="55" t="s">
        <v>5291</v>
      </c>
    </row>
    <row r="351" spans="2:27">
      <c r="D351" s="45" t="s">
        <v>4547</v>
      </c>
      <c r="E351" s="45" t="s">
        <v>4551</v>
      </c>
      <c r="F351" s="45" t="s">
        <v>3969</v>
      </c>
      <c r="G351" s="45" t="s">
        <v>3970</v>
      </c>
      <c r="H351" s="45" t="s">
        <v>3971</v>
      </c>
      <c r="I351" s="45" t="s">
        <v>3972</v>
      </c>
      <c r="J351" s="45" t="s">
        <v>3973</v>
      </c>
      <c r="K351" s="45" t="s">
        <v>3974</v>
      </c>
      <c r="Z351" s="13" t="str">
        <f>Show!$B$158&amp;"SR.27.01.01.09 Rows {"&amp;COLUMN($C$1)&amp;"}"&amp;"@ForceFilingCode:true"</f>
        <v>!SR.27.01.01.09 Rows {3}@ForceFilingCode:true</v>
      </c>
      <c r="AA351" s="13" t="str">
        <f>Show!$B$158&amp;"SR.27.01.01.09 Columns {"&amp;COLUMN($D$1)&amp;"}"</f>
        <v>!SR.27.01.01.09 Columns {4}</v>
      </c>
    </row>
    <row r="352" spans="2:27">
      <c r="B352" s="43" t="s">
        <v>2880</v>
      </c>
      <c r="C352" s="44" t="s">
        <v>2878</v>
      </c>
      <c r="D352" s="56"/>
      <c r="E352" s="66"/>
      <c r="F352" s="66"/>
      <c r="G352" s="66"/>
      <c r="H352" s="66"/>
      <c r="I352" s="66"/>
      <c r="J352" s="66"/>
      <c r="K352" s="57"/>
    </row>
    <row r="353" spans="2:27">
      <c r="B353" s="47" t="s">
        <v>5292</v>
      </c>
      <c r="C353" s="41" t="s">
        <v>3542</v>
      </c>
      <c r="D353" s="60"/>
      <c r="E353" s="60"/>
      <c r="F353" s="60"/>
      <c r="G353" s="60"/>
      <c r="H353" s="60"/>
      <c r="I353" s="60"/>
      <c r="J353" s="60"/>
      <c r="K353" s="51"/>
    </row>
    <row r="355" spans="2:27">
      <c r="Z355" s="13" t="str">
        <f>Show!$B$158&amp;Show!$B$158&amp;"SR.27.01.01.09 Rows {"&amp;COLUMN($C$1)&amp;"}"</f>
        <v>!!SR.27.01.01.09 Rows {3}</v>
      </c>
      <c r="AA355" s="13" t="str">
        <f>Show!$B$158&amp;Show!$B$158&amp;"SR.27.01.01.09 Columns {"&amp;COLUMN($K$1)&amp;"}"</f>
        <v>!!SR.27.01.01.09 Columns {11}</v>
      </c>
    </row>
    <row r="357" spans="2:27" ht="18.75">
      <c r="B357" s="97" t="s">
        <v>5583</v>
      </c>
      <c r="C357" s="96"/>
      <c r="D357" s="96"/>
      <c r="E357" s="96"/>
      <c r="F357" s="96"/>
      <c r="G357" s="96"/>
      <c r="H357" s="96"/>
      <c r="I357" s="96"/>
      <c r="J357" s="96"/>
      <c r="K357" s="96"/>
      <c r="L357" s="96"/>
    </row>
    <row r="359" spans="2:27">
      <c r="B359" t="s">
        <v>3110</v>
      </c>
      <c r="Z359" s="13" t="str">
        <f>Show!$B$158&amp;"SR.27.01.01.10 Table label {"&amp;COLUMN($C$1)&amp;"}"</f>
        <v>!SR.27.01.01.10 Table label {3}</v>
      </c>
      <c r="AA359" s="13" t="str">
        <f>Show!$B$158&amp;"SR.27.01.01.10 Table value {"&amp;COLUMN($D$1)&amp;"}"</f>
        <v>!SR.27.01.01.10 Table value {4}</v>
      </c>
    </row>
    <row r="360" spans="2:27">
      <c r="B360" t="s">
        <v>3111</v>
      </c>
    </row>
    <row r="361" spans="2:27">
      <c r="B361" s="40" t="s">
        <v>3788</v>
      </c>
      <c r="C361" s="53" t="s">
        <v>3115</v>
      </c>
      <c r="D361" s="51"/>
    </row>
    <row r="362" spans="2:27">
      <c r="B362" s="40" t="s">
        <v>3114</v>
      </c>
      <c r="C362" s="53" t="s">
        <v>3323</v>
      </c>
      <c r="D362" s="50"/>
    </row>
    <row r="363" spans="2:27">
      <c r="Z363" s="13" t="str">
        <f>Show!$B$158&amp;Show!$B$158&amp;"SR.27.01.01.10 Table label {"&amp;COLUMN($C$1)&amp;"}"</f>
        <v>!!SR.27.01.01.10 Table label {3}</v>
      </c>
      <c r="AA363" s="13" t="str">
        <f>Show!$B$158&amp;Show!$B$158&amp;"SR.27.01.01.10 Table value {"&amp;COLUMN($D$1)&amp;"}"</f>
        <v>!!SR.27.01.01.10 Table value {4}</v>
      </c>
    </row>
    <row r="365" spans="2:27">
      <c r="D365" s="101" t="s">
        <v>2877</v>
      </c>
      <c r="E365" s="102"/>
      <c r="F365" s="102"/>
      <c r="G365" s="102"/>
      <c r="H365" s="102"/>
      <c r="I365" s="102"/>
      <c r="J365" s="102"/>
      <c r="K365" s="102"/>
      <c r="L365" s="102"/>
      <c r="M365" s="103"/>
    </row>
    <row r="366" spans="2:27">
      <c r="D366" s="104"/>
      <c r="E366" s="105"/>
      <c r="F366" s="105"/>
      <c r="G366" s="105"/>
      <c r="H366" s="105"/>
      <c r="I366" s="105"/>
      <c r="J366" s="105"/>
      <c r="K366" s="105"/>
      <c r="L366" s="105"/>
      <c r="M366" s="106"/>
    </row>
    <row r="367" spans="2:27" ht="120">
      <c r="D367" s="55" t="s">
        <v>5294</v>
      </c>
      <c r="E367" s="55" t="s">
        <v>5295</v>
      </c>
      <c r="F367" s="55" t="s">
        <v>5296</v>
      </c>
      <c r="G367" s="55" t="s">
        <v>5297</v>
      </c>
      <c r="H367" s="55" t="s">
        <v>5298</v>
      </c>
      <c r="I367" s="55" t="s">
        <v>5299</v>
      </c>
      <c r="J367" s="55" t="s">
        <v>5120</v>
      </c>
      <c r="K367" s="55" t="s">
        <v>5121</v>
      </c>
      <c r="L367" s="55" t="s">
        <v>5300</v>
      </c>
      <c r="M367" s="55" t="s">
        <v>5301</v>
      </c>
    </row>
    <row r="368" spans="2:27">
      <c r="D368" s="45" t="s">
        <v>3975</v>
      </c>
      <c r="E368" s="45" t="s">
        <v>3976</v>
      </c>
      <c r="F368" s="45" t="s">
        <v>3977</v>
      </c>
      <c r="G368" s="45" t="s">
        <v>3978</v>
      </c>
      <c r="H368" s="45" t="s">
        <v>3979</v>
      </c>
      <c r="I368" s="45" t="s">
        <v>3980</v>
      </c>
      <c r="J368" s="45" t="s">
        <v>3981</v>
      </c>
      <c r="K368" s="45" t="s">
        <v>3982</v>
      </c>
      <c r="L368" s="45" t="s">
        <v>3983</v>
      </c>
      <c r="M368" s="45" t="s">
        <v>3984</v>
      </c>
      <c r="Z368" s="13" t="str">
        <f>Show!$B$158&amp;"SR.27.01.01.10 Rows {"&amp;COLUMN($C$1)&amp;"}"&amp;"@ForceFilingCode:true"</f>
        <v>!SR.27.01.01.10 Rows {3}@ForceFilingCode:true</v>
      </c>
      <c r="AA368" s="13" t="str">
        <f>Show!$B$158&amp;"SR.27.01.01.10 Columns {"&amp;COLUMN($D$1)&amp;"}"</f>
        <v>!SR.27.01.01.10 Columns {4}</v>
      </c>
    </row>
    <row r="369" spans="2:27">
      <c r="B369" s="43" t="s">
        <v>2880</v>
      </c>
      <c r="C369" s="44" t="s">
        <v>2878</v>
      </c>
      <c r="D369" s="56"/>
      <c r="E369" s="66"/>
      <c r="F369" s="66"/>
      <c r="G369" s="66"/>
      <c r="H369" s="66"/>
      <c r="I369" s="66"/>
      <c r="J369" s="66"/>
      <c r="K369" s="66"/>
      <c r="L369" s="66"/>
      <c r="M369" s="57"/>
    </row>
    <row r="370" spans="2:27">
      <c r="B370" s="47" t="s">
        <v>5302</v>
      </c>
      <c r="C370" s="41" t="s">
        <v>3545</v>
      </c>
      <c r="D370" s="60"/>
      <c r="E370" s="60"/>
      <c r="F370" s="60"/>
      <c r="G370" s="60"/>
      <c r="H370" s="60"/>
      <c r="I370" s="60"/>
      <c r="J370" s="60"/>
      <c r="K370" s="60"/>
      <c r="L370" s="60"/>
      <c r="M370" s="51"/>
    </row>
    <row r="372" spans="2:27">
      <c r="Z372" s="13" t="str">
        <f>Show!$B$158&amp;Show!$B$158&amp;"SR.27.01.01.10 Rows {"&amp;COLUMN($C$1)&amp;"}"</f>
        <v>!!SR.27.01.01.10 Rows {3}</v>
      </c>
      <c r="AA372" s="13" t="str">
        <f>Show!$B$158&amp;Show!$B$158&amp;"SR.27.01.01.10 Columns {"&amp;COLUMN($M$1)&amp;"}"</f>
        <v>!!SR.27.01.01.10 Columns {13}</v>
      </c>
    </row>
    <row r="374" spans="2:27" ht="18.75">
      <c r="B374" s="97" t="s">
        <v>5584</v>
      </c>
      <c r="C374" s="96"/>
      <c r="D374" s="96"/>
      <c r="E374" s="96"/>
      <c r="F374" s="96"/>
      <c r="G374" s="96"/>
      <c r="H374" s="96"/>
      <c r="I374" s="96"/>
      <c r="J374" s="96"/>
      <c r="K374" s="96"/>
      <c r="L374" s="96"/>
    </row>
    <row r="376" spans="2:27">
      <c r="B376" t="s">
        <v>3110</v>
      </c>
      <c r="Z376" s="13" t="str">
        <f>Show!$B$158&amp;"SR.27.01.01.11 Table label {"&amp;COLUMN($C$1)&amp;"}"</f>
        <v>!SR.27.01.01.11 Table label {3}</v>
      </c>
      <c r="AA376" s="13" t="str">
        <f>Show!$B$158&amp;"SR.27.01.01.11 Table value {"&amp;COLUMN($D$1)&amp;"}"</f>
        <v>!SR.27.01.01.11 Table value {4}</v>
      </c>
    </row>
    <row r="377" spans="2:27">
      <c r="B377" t="s">
        <v>3111</v>
      </c>
    </row>
    <row r="378" spans="2:27">
      <c r="B378" s="40" t="s">
        <v>3788</v>
      </c>
      <c r="C378" s="53" t="s">
        <v>3115</v>
      </c>
      <c r="D378" s="51"/>
    </row>
    <row r="379" spans="2:27">
      <c r="B379" s="40" t="s">
        <v>3114</v>
      </c>
      <c r="C379" s="53" t="s">
        <v>3323</v>
      </c>
      <c r="D379" s="50"/>
    </row>
    <row r="380" spans="2:27">
      <c r="Z380" s="13" t="str">
        <f>Show!$B$158&amp;Show!$B$158&amp;"SR.27.01.01.11 Table label {"&amp;COLUMN($C$1)&amp;"}"</f>
        <v>!!SR.27.01.01.11 Table label {3}</v>
      </c>
      <c r="AA380" s="13" t="str">
        <f>Show!$B$158&amp;Show!$B$158&amp;"SR.27.01.01.11 Table value {"&amp;COLUMN($D$1)&amp;"}"</f>
        <v>!!SR.27.01.01.11 Table value {4}</v>
      </c>
    </row>
    <row r="382" spans="2:27">
      <c r="D382" s="101" t="s">
        <v>2877</v>
      </c>
      <c r="E382" s="102"/>
      <c r="F382" s="103"/>
    </row>
    <row r="383" spans="2:27">
      <c r="D383" s="104"/>
      <c r="E383" s="105"/>
      <c r="F383" s="106"/>
    </row>
    <row r="384" spans="2:27">
      <c r="D384" s="107" t="s">
        <v>5304</v>
      </c>
      <c r="E384" s="108"/>
      <c r="F384" s="109"/>
    </row>
    <row r="385" spans="2:27" ht="60">
      <c r="D385" s="55" t="s">
        <v>5305</v>
      </c>
      <c r="E385" s="55" t="s">
        <v>5306</v>
      </c>
      <c r="F385" s="55" t="s">
        <v>5307</v>
      </c>
    </row>
    <row r="386" spans="2:27">
      <c r="D386" s="45" t="s">
        <v>3986</v>
      </c>
      <c r="E386" s="45" t="s">
        <v>3987</v>
      </c>
      <c r="F386" s="45" t="s">
        <v>4583</v>
      </c>
      <c r="Z386" s="13" t="str">
        <f>Show!$B$158&amp;"SR.27.01.01.11 Rows {"&amp;COLUMN($C$1)&amp;"}"&amp;"@ForceFilingCode:true"</f>
        <v>!SR.27.01.01.11 Rows {3}@ForceFilingCode:true</v>
      </c>
      <c r="AA386" s="13" t="str">
        <f>Show!$B$158&amp;"SR.27.01.01.11 Columns {"&amp;COLUMN($D$1)&amp;"}"</f>
        <v>!SR.27.01.01.11 Columns {4}</v>
      </c>
    </row>
    <row r="387" spans="2:27">
      <c r="B387" s="43" t="s">
        <v>2880</v>
      </c>
      <c r="C387" s="44" t="s">
        <v>2878</v>
      </c>
      <c r="D387" s="56"/>
      <c r="E387" s="66"/>
      <c r="F387" s="57"/>
    </row>
    <row r="388" spans="2:27">
      <c r="B388" s="47" t="s">
        <v>5308</v>
      </c>
      <c r="C388" s="41" t="s">
        <v>3548</v>
      </c>
      <c r="D388" s="60"/>
      <c r="E388" s="63"/>
      <c r="F388" s="60"/>
    </row>
    <row r="389" spans="2:27">
      <c r="B389" s="47" t="s">
        <v>5309</v>
      </c>
      <c r="C389" s="41" t="s">
        <v>5310</v>
      </c>
      <c r="D389" s="64"/>
      <c r="E389" s="46"/>
      <c r="F389" s="60"/>
    </row>
    <row r="390" spans="2:27">
      <c r="B390" s="47" t="s">
        <v>5311</v>
      </c>
      <c r="C390" s="41" t="s">
        <v>5312</v>
      </c>
      <c r="D390" s="60"/>
      <c r="E390" s="60"/>
      <c r="F390" s="60"/>
    </row>
    <row r="392" spans="2:27">
      <c r="Z392" s="13" t="str">
        <f>Show!$B$158&amp;Show!$B$158&amp;"SR.27.01.01.11 Rows {"&amp;COLUMN($C$1)&amp;"}"</f>
        <v>!!SR.27.01.01.11 Rows {3}</v>
      </c>
      <c r="AA392" s="13" t="str">
        <f>Show!$B$158&amp;Show!$B$158&amp;"SR.27.01.01.11 Columns {"&amp;COLUMN($F$1)&amp;"}"</f>
        <v>!!SR.27.01.01.11 Columns {6}</v>
      </c>
    </row>
    <row r="394" spans="2:27" ht="18.75">
      <c r="B394" s="97" t="s">
        <v>5585</v>
      </c>
      <c r="C394" s="96"/>
      <c r="D394" s="96"/>
      <c r="E394" s="96"/>
      <c r="F394" s="96"/>
      <c r="G394" s="96"/>
      <c r="H394" s="96"/>
      <c r="I394" s="96"/>
      <c r="J394" s="96"/>
      <c r="K394" s="96"/>
      <c r="L394" s="96"/>
    </row>
    <row r="396" spans="2:27">
      <c r="B396" t="s">
        <v>3110</v>
      </c>
      <c r="Z396" s="13" t="str">
        <f>Show!$B$158&amp;"SR.27.01.01.12 Table label {"&amp;COLUMN($C$1)&amp;"}"</f>
        <v>!SR.27.01.01.12 Table label {3}</v>
      </c>
      <c r="AA396" s="13" t="str">
        <f>Show!$B$158&amp;"SR.27.01.01.12 Table value {"&amp;COLUMN($D$1)&amp;"}"</f>
        <v>!SR.27.01.01.12 Table value {4}</v>
      </c>
    </row>
    <row r="397" spans="2:27">
      <c r="B397" t="s">
        <v>3111</v>
      </c>
    </row>
    <row r="398" spans="2:27">
      <c r="B398" s="40" t="s">
        <v>3788</v>
      </c>
      <c r="C398" s="53" t="s">
        <v>3115</v>
      </c>
      <c r="D398" s="51"/>
    </row>
    <row r="399" spans="2:27">
      <c r="B399" s="40" t="s">
        <v>3114</v>
      </c>
      <c r="C399" s="53" t="s">
        <v>3323</v>
      </c>
      <c r="D399" s="50"/>
    </row>
    <row r="400" spans="2:27">
      <c r="Z400" s="13" t="str">
        <f>Show!$B$158&amp;Show!$B$158&amp;"SR.27.01.01.12 Table label {"&amp;COLUMN($C$1)&amp;"}"</f>
        <v>!!SR.27.01.01.12 Table label {3}</v>
      </c>
      <c r="AA400" s="13" t="str">
        <f>Show!$B$158&amp;Show!$B$158&amp;"SR.27.01.01.12 Table value {"&amp;COLUMN($D$1)&amp;"}"</f>
        <v>!!SR.27.01.01.12 Table value {4}</v>
      </c>
    </row>
    <row r="402" spans="2:27">
      <c r="D402" s="101" t="s">
        <v>2877</v>
      </c>
      <c r="E402" s="102"/>
      <c r="F402" s="102"/>
      <c r="G402" s="102"/>
      <c r="H402" s="102"/>
      <c r="I402" s="103"/>
    </row>
    <row r="403" spans="2:27">
      <c r="D403" s="104"/>
      <c r="E403" s="105"/>
      <c r="F403" s="105"/>
      <c r="G403" s="105"/>
      <c r="H403" s="105"/>
      <c r="I403" s="106"/>
    </row>
    <row r="404" spans="2:27">
      <c r="D404" s="107" t="s">
        <v>5314</v>
      </c>
      <c r="E404" s="108"/>
      <c r="F404" s="108"/>
      <c r="G404" s="108"/>
      <c r="H404" s="108"/>
      <c r="I404" s="109"/>
    </row>
    <row r="405" spans="2:27" ht="60">
      <c r="D405" s="55" t="s">
        <v>5315</v>
      </c>
      <c r="E405" s="55" t="s">
        <v>5316</v>
      </c>
      <c r="F405" s="55" t="s">
        <v>5317</v>
      </c>
      <c r="G405" s="55" t="s">
        <v>5120</v>
      </c>
      <c r="H405" s="55" t="s">
        <v>5121</v>
      </c>
      <c r="I405" s="55" t="s">
        <v>5318</v>
      </c>
    </row>
    <row r="406" spans="2:27">
      <c r="D406" s="45" t="s">
        <v>4585</v>
      </c>
      <c r="E406" s="45" t="s">
        <v>3989</v>
      </c>
      <c r="F406" s="45" t="s">
        <v>3990</v>
      </c>
      <c r="G406" s="45" t="s">
        <v>3991</v>
      </c>
      <c r="H406" s="45" t="s">
        <v>3992</v>
      </c>
      <c r="I406" s="45" t="s">
        <v>3993</v>
      </c>
      <c r="Z406" s="13" t="str">
        <f>Show!$B$158&amp;"SR.27.01.01.12 Rows {"&amp;COLUMN($C$1)&amp;"}"&amp;"@ForceFilingCode:true"</f>
        <v>!SR.27.01.01.12 Rows {3}@ForceFilingCode:true</v>
      </c>
      <c r="AA406" s="13" t="str">
        <f>Show!$B$158&amp;"SR.27.01.01.12 Columns {"&amp;COLUMN($D$1)&amp;"}"</f>
        <v>!SR.27.01.01.12 Columns {4}</v>
      </c>
    </row>
    <row r="407" spans="2:27">
      <c r="B407" s="43" t="s">
        <v>2880</v>
      </c>
      <c r="C407" s="44" t="s">
        <v>2878</v>
      </c>
      <c r="D407" s="56"/>
      <c r="E407" s="66"/>
      <c r="F407" s="66"/>
      <c r="G407" s="66"/>
      <c r="H407" s="66"/>
      <c r="I407" s="57"/>
    </row>
    <row r="408" spans="2:27">
      <c r="B408" s="47" t="s">
        <v>5319</v>
      </c>
      <c r="C408" s="41" t="s">
        <v>3549</v>
      </c>
      <c r="D408" s="60"/>
      <c r="E408" s="60"/>
      <c r="F408" s="60"/>
      <c r="G408" s="60"/>
      <c r="H408" s="60"/>
      <c r="I408" s="60"/>
    </row>
    <row r="410" spans="2:27">
      <c r="Z410" s="13" t="str">
        <f>Show!$B$158&amp;Show!$B$158&amp;"SR.27.01.01.12 Rows {"&amp;COLUMN($C$1)&amp;"}"</f>
        <v>!!SR.27.01.01.12 Rows {3}</v>
      </c>
      <c r="AA410" s="13" t="str">
        <f>Show!$B$158&amp;Show!$B$158&amp;"SR.27.01.01.12 Columns {"&amp;COLUMN($I$1)&amp;"}"</f>
        <v>!!SR.27.01.01.12 Columns {9}</v>
      </c>
    </row>
    <row r="412" spans="2:27" ht="18.75">
      <c r="B412" s="97" t="s">
        <v>5586</v>
      </c>
      <c r="C412" s="96"/>
      <c r="D412" s="96"/>
      <c r="E412" s="96"/>
      <c r="F412" s="96"/>
      <c r="G412" s="96"/>
      <c r="H412" s="96"/>
      <c r="I412" s="96"/>
      <c r="J412" s="96"/>
      <c r="K412" s="96"/>
      <c r="L412" s="96"/>
    </row>
    <row r="414" spans="2:27">
      <c r="B414" t="s">
        <v>3110</v>
      </c>
      <c r="Z414" s="13" t="str">
        <f>Show!$B$158&amp;"SR.27.01.01.13 Table label {"&amp;COLUMN($C$1)&amp;"}"</f>
        <v>!SR.27.01.01.13 Table label {3}</v>
      </c>
      <c r="AA414" s="13" t="str">
        <f>Show!$B$158&amp;"SR.27.01.01.13 Table value {"&amp;COLUMN($D$1)&amp;"}"</f>
        <v>!SR.27.01.01.13 Table value {4}</v>
      </c>
    </row>
    <row r="415" spans="2:27">
      <c r="B415" t="s">
        <v>3111</v>
      </c>
    </row>
    <row r="416" spans="2:27">
      <c r="B416" s="40" t="s">
        <v>3788</v>
      </c>
      <c r="C416" s="53" t="s">
        <v>3115</v>
      </c>
      <c r="D416" s="51"/>
    </row>
    <row r="417" spans="2:27">
      <c r="B417" s="40" t="s">
        <v>3114</v>
      </c>
      <c r="C417" s="53" t="s">
        <v>3323</v>
      </c>
      <c r="D417" s="50"/>
    </row>
    <row r="418" spans="2:27">
      <c r="Z418" s="13" t="str">
        <f>Show!$B$158&amp;Show!$B$158&amp;"SR.27.01.01.13 Table label {"&amp;COLUMN($C$1)&amp;"}"</f>
        <v>!!SR.27.01.01.13 Table label {3}</v>
      </c>
      <c r="AA418" s="13" t="str">
        <f>Show!$B$158&amp;Show!$B$158&amp;"SR.27.01.01.13 Table value {"&amp;COLUMN($D$1)&amp;"}"</f>
        <v>!!SR.27.01.01.13 Table value {4}</v>
      </c>
    </row>
    <row r="420" spans="2:27">
      <c r="D420" s="101" t="s">
        <v>2877</v>
      </c>
      <c r="E420" s="102"/>
      <c r="F420" s="102"/>
      <c r="G420" s="103"/>
    </row>
    <row r="421" spans="2:27">
      <c r="D421" s="104"/>
      <c r="E421" s="105"/>
      <c r="F421" s="105"/>
      <c r="G421" s="106"/>
    </row>
    <row r="422" spans="2:27">
      <c r="D422" s="107" t="s">
        <v>5321</v>
      </c>
      <c r="E422" s="108"/>
      <c r="F422" s="108"/>
      <c r="G422" s="109"/>
    </row>
    <row r="423" spans="2:27" ht="60">
      <c r="D423" s="55" t="s">
        <v>5322</v>
      </c>
      <c r="E423" s="55" t="s">
        <v>5120</v>
      </c>
      <c r="F423" s="55" t="s">
        <v>5121</v>
      </c>
      <c r="G423" s="55" t="s">
        <v>5323</v>
      </c>
    </row>
    <row r="424" spans="2:27">
      <c r="D424" s="45" t="s">
        <v>3994</v>
      </c>
      <c r="E424" s="45" t="s">
        <v>3995</v>
      </c>
      <c r="F424" s="45" t="s">
        <v>3996</v>
      </c>
      <c r="G424" s="45" t="s">
        <v>3997</v>
      </c>
      <c r="Z424" s="13" t="str">
        <f>Show!$B$158&amp;"SR.27.01.01.13 Rows {"&amp;COLUMN($C$1)&amp;"}"&amp;"@ForceFilingCode:true"</f>
        <v>!SR.27.01.01.13 Rows {3}@ForceFilingCode:true</v>
      </c>
      <c r="AA424" s="13" t="str">
        <f>Show!$B$158&amp;"SR.27.01.01.13 Columns {"&amp;COLUMN($D$1)&amp;"}"</f>
        <v>!SR.27.01.01.13 Columns {4}</v>
      </c>
    </row>
    <row r="425" spans="2:27">
      <c r="B425" s="43" t="s">
        <v>2880</v>
      </c>
      <c r="C425" s="44" t="s">
        <v>2878</v>
      </c>
      <c r="D425" s="56"/>
      <c r="E425" s="66"/>
      <c r="F425" s="66"/>
      <c r="G425" s="57"/>
    </row>
    <row r="426" spans="2:27">
      <c r="B426" s="47" t="s">
        <v>5101</v>
      </c>
      <c r="C426" s="41" t="s">
        <v>3550</v>
      </c>
      <c r="D426" s="60"/>
      <c r="E426" s="60"/>
      <c r="F426" s="60"/>
      <c r="G426" s="60"/>
    </row>
    <row r="428" spans="2:27">
      <c r="Z428" s="13" t="str">
        <f>Show!$B$158&amp;Show!$B$158&amp;"SR.27.01.01.13 Rows {"&amp;COLUMN($C$1)&amp;"}"</f>
        <v>!!SR.27.01.01.13 Rows {3}</v>
      </c>
      <c r="AA428" s="13" t="str">
        <f>Show!$B$158&amp;Show!$B$158&amp;"SR.27.01.01.13 Columns {"&amp;COLUMN($G$1)&amp;"}"</f>
        <v>!!SR.27.01.01.13 Columns {7}</v>
      </c>
    </row>
    <row r="430" spans="2:27" ht="18.75">
      <c r="B430" s="97" t="s">
        <v>5587</v>
      </c>
      <c r="C430" s="96"/>
      <c r="D430" s="96"/>
      <c r="E430" s="96"/>
      <c r="F430" s="96"/>
      <c r="G430" s="96"/>
      <c r="H430" s="96"/>
      <c r="I430" s="96"/>
      <c r="J430" s="96"/>
      <c r="K430" s="96"/>
      <c r="L430" s="96"/>
    </row>
    <row r="432" spans="2:27">
      <c r="B432" t="s">
        <v>3110</v>
      </c>
      <c r="Z432" s="13" t="str">
        <f>Show!$B$158&amp;"SR.27.01.01.14 Table label {"&amp;COLUMN($C$1)&amp;"}"</f>
        <v>!SR.27.01.01.14 Table label {3}</v>
      </c>
      <c r="AA432" s="13" t="str">
        <f>Show!$B$158&amp;"SR.27.01.01.14 Table value {"&amp;COLUMN($D$1)&amp;"}"</f>
        <v>!SR.27.01.01.14 Table value {4}</v>
      </c>
    </row>
    <row r="433" spans="2:27">
      <c r="B433" t="s">
        <v>3111</v>
      </c>
    </row>
    <row r="434" spans="2:27">
      <c r="B434" s="40" t="s">
        <v>3788</v>
      </c>
      <c r="C434" s="53" t="s">
        <v>3115</v>
      </c>
      <c r="D434" s="51"/>
    </row>
    <row r="435" spans="2:27">
      <c r="B435" s="40" t="s">
        <v>3114</v>
      </c>
      <c r="C435" s="53" t="s">
        <v>3323</v>
      </c>
      <c r="D435" s="50"/>
    </row>
    <row r="436" spans="2:27">
      <c r="Z436" s="13" t="str">
        <f>Show!$B$158&amp;Show!$B$158&amp;"SR.27.01.01.14 Table label {"&amp;COLUMN($C$1)&amp;"}"</f>
        <v>!!SR.27.01.01.14 Table label {3}</v>
      </c>
      <c r="AA436" s="13" t="str">
        <f>Show!$B$158&amp;Show!$B$158&amp;"SR.27.01.01.14 Table value {"&amp;COLUMN($D$1)&amp;"}"</f>
        <v>!!SR.27.01.01.14 Table value {4}</v>
      </c>
    </row>
    <row r="438" spans="2:27">
      <c r="D438" s="101" t="s">
        <v>2877</v>
      </c>
      <c r="E438" s="102"/>
      <c r="F438" s="102"/>
      <c r="G438" s="102"/>
      <c r="H438" s="102"/>
      <c r="I438" s="102"/>
      <c r="J438" s="103"/>
    </row>
    <row r="439" spans="2:27">
      <c r="D439" s="104"/>
      <c r="E439" s="105"/>
      <c r="F439" s="105"/>
      <c r="G439" s="105"/>
      <c r="H439" s="105"/>
      <c r="I439" s="105"/>
      <c r="J439" s="106"/>
    </row>
    <row r="440" spans="2:27">
      <c r="D440" s="107" t="s">
        <v>5325</v>
      </c>
      <c r="E440" s="108"/>
      <c r="F440" s="108"/>
      <c r="G440" s="108"/>
      <c r="H440" s="108"/>
      <c r="I440" s="108"/>
      <c r="J440" s="109"/>
    </row>
    <row r="441" spans="2:27" ht="60">
      <c r="D441" s="55" t="s">
        <v>5588</v>
      </c>
      <c r="E441" s="55" t="s">
        <v>5327</v>
      </c>
      <c r="F441" s="55" t="s">
        <v>4151</v>
      </c>
      <c r="G441" s="55" t="s">
        <v>5328</v>
      </c>
      <c r="H441" s="55" t="s">
        <v>5120</v>
      </c>
      <c r="I441" s="55" t="s">
        <v>5121</v>
      </c>
      <c r="J441" s="55" t="s">
        <v>5329</v>
      </c>
    </row>
    <row r="442" spans="2:27">
      <c r="D442" s="45" t="s">
        <v>3998</v>
      </c>
      <c r="E442" s="45" t="s">
        <v>3999</v>
      </c>
      <c r="F442" s="45" t="s">
        <v>4000</v>
      </c>
      <c r="G442" s="45" t="s">
        <v>4001</v>
      </c>
      <c r="H442" s="45" t="s">
        <v>4002</v>
      </c>
      <c r="I442" s="45" t="s">
        <v>4003</v>
      </c>
      <c r="J442" s="45" t="s">
        <v>4004</v>
      </c>
      <c r="Z442" s="13" t="str">
        <f>Show!$B$158&amp;"SR.27.01.01.14 Rows {"&amp;COLUMN($C$1)&amp;"}"&amp;"@ForceFilingCode:true"</f>
        <v>!SR.27.01.01.14 Rows {3}@ForceFilingCode:true</v>
      </c>
      <c r="AA442" s="13" t="str">
        <f>Show!$B$158&amp;"SR.27.01.01.14 Columns {"&amp;COLUMN($D$1)&amp;"}"</f>
        <v>!SR.27.01.01.14 Columns {4}</v>
      </c>
    </row>
    <row r="443" spans="2:27">
      <c r="B443" s="43" t="s">
        <v>2880</v>
      </c>
      <c r="C443" s="44" t="s">
        <v>2878</v>
      </c>
      <c r="D443" s="56"/>
      <c r="E443" s="66"/>
      <c r="F443" s="66"/>
      <c r="G443" s="66"/>
      <c r="H443" s="66"/>
      <c r="I443" s="66"/>
      <c r="J443" s="57"/>
    </row>
    <row r="444" spans="2:27">
      <c r="B444" s="47" t="s">
        <v>5330</v>
      </c>
      <c r="C444" s="41" t="s">
        <v>3552</v>
      </c>
      <c r="D444" s="60"/>
      <c r="E444" s="60"/>
      <c r="F444" s="50"/>
      <c r="G444" s="60"/>
      <c r="H444" s="60"/>
      <c r="I444" s="60"/>
      <c r="J444" s="60"/>
    </row>
    <row r="445" spans="2:27">
      <c r="B445" s="47" t="s">
        <v>5331</v>
      </c>
      <c r="C445" s="41" t="s">
        <v>5332</v>
      </c>
      <c r="D445" s="60"/>
      <c r="E445" s="60"/>
      <c r="F445" s="50"/>
      <c r="G445" s="60"/>
      <c r="H445" s="60"/>
      <c r="I445" s="60"/>
      <c r="J445" s="60"/>
    </row>
    <row r="446" spans="2:27">
      <c r="B446" s="47" t="s">
        <v>5333</v>
      </c>
      <c r="C446" s="41" t="s">
        <v>5334</v>
      </c>
      <c r="D446" s="60"/>
      <c r="E446" s="60"/>
      <c r="F446" s="50"/>
      <c r="G446" s="60"/>
      <c r="H446" s="60"/>
      <c r="I446" s="60"/>
      <c r="J446" s="60"/>
    </row>
    <row r="447" spans="2:27">
      <c r="B447" s="47" t="s">
        <v>5335</v>
      </c>
      <c r="C447" s="41" t="s">
        <v>5336</v>
      </c>
      <c r="D447" s="60"/>
      <c r="E447" s="60"/>
      <c r="F447" s="50"/>
      <c r="G447" s="60"/>
      <c r="H447" s="60"/>
      <c r="I447" s="60"/>
      <c r="J447" s="60"/>
    </row>
    <row r="448" spans="2:27">
      <c r="B448" s="47" t="s">
        <v>5337</v>
      </c>
      <c r="C448" s="41" t="s">
        <v>5338</v>
      </c>
      <c r="D448" s="60"/>
      <c r="E448" s="63"/>
      <c r="F448" s="74"/>
      <c r="G448" s="60"/>
      <c r="H448" s="60"/>
      <c r="I448" s="60"/>
      <c r="J448" s="60"/>
    </row>
    <row r="449" spans="2:27">
      <c r="B449" s="47" t="s">
        <v>3480</v>
      </c>
      <c r="C449" s="41" t="s">
        <v>5339</v>
      </c>
      <c r="D449" s="64"/>
      <c r="E449" s="56"/>
      <c r="F449" s="46"/>
      <c r="G449" s="60"/>
      <c r="H449" s="60"/>
      <c r="I449" s="60"/>
      <c r="J449" s="60"/>
    </row>
    <row r="451" spans="2:27">
      <c r="Z451" s="13" t="str">
        <f>Show!$B$158&amp;Show!$B$158&amp;"SR.27.01.01.14 Rows {"&amp;COLUMN($C$1)&amp;"}"</f>
        <v>!!SR.27.01.01.14 Rows {3}</v>
      </c>
      <c r="AA451" s="13" t="str">
        <f>Show!$B$158&amp;Show!$B$158&amp;"SR.27.01.01.14 Columns {"&amp;COLUMN($J$1)&amp;"}"</f>
        <v>!!SR.27.01.01.14 Columns {10}</v>
      </c>
    </row>
    <row r="453" spans="2:27" ht="18.75">
      <c r="B453" s="97" t="s">
        <v>5589</v>
      </c>
      <c r="C453" s="96"/>
      <c r="D453" s="96"/>
      <c r="E453" s="96"/>
      <c r="F453" s="96"/>
      <c r="G453" s="96"/>
      <c r="H453" s="96"/>
      <c r="I453" s="96"/>
      <c r="J453" s="96"/>
      <c r="K453" s="96"/>
      <c r="L453" s="96"/>
    </row>
    <row r="455" spans="2:27">
      <c r="B455" t="s">
        <v>3110</v>
      </c>
      <c r="Z455" s="13" t="str">
        <f>Show!$B$158&amp;"SR.27.01.01.15 Table label {"&amp;COLUMN($C$1)&amp;"}"</f>
        <v>!SR.27.01.01.15 Table label {3}</v>
      </c>
      <c r="AA455" s="13" t="str">
        <f>Show!$B$158&amp;"SR.27.01.01.15 Table value {"&amp;COLUMN($D$1)&amp;"}"</f>
        <v>!SR.27.01.01.15 Table value {4}</v>
      </c>
    </row>
    <row r="456" spans="2:27">
      <c r="B456" t="s">
        <v>3111</v>
      </c>
    </row>
    <row r="457" spans="2:27">
      <c r="B457" s="40" t="s">
        <v>3788</v>
      </c>
      <c r="C457" s="53" t="s">
        <v>3115</v>
      </c>
      <c r="D457" s="51"/>
    </row>
    <row r="458" spans="2:27">
      <c r="B458" s="40" t="s">
        <v>3114</v>
      </c>
      <c r="C458" s="53" t="s">
        <v>3323</v>
      </c>
      <c r="D458" s="50"/>
    </row>
    <row r="459" spans="2:27">
      <c r="Z459" s="13" t="str">
        <f>Show!$B$158&amp;Show!$B$158&amp;"SR.27.01.01.15 Table label {"&amp;COLUMN($C$1)&amp;"}"</f>
        <v>!!SR.27.01.01.15 Table label {3}</v>
      </c>
      <c r="AA459" s="13" t="str">
        <f>Show!$B$158&amp;Show!$B$158&amp;"SR.27.01.01.15 Table value {"&amp;COLUMN($D$1)&amp;"}"</f>
        <v>!!SR.27.01.01.15 Table value {4}</v>
      </c>
    </row>
    <row r="461" spans="2:27">
      <c r="D461" s="101" t="s">
        <v>2877</v>
      </c>
      <c r="E461" s="102"/>
      <c r="F461" s="103"/>
    </row>
    <row r="462" spans="2:27">
      <c r="D462" s="104"/>
      <c r="E462" s="105"/>
      <c r="F462" s="106"/>
    </row>
    <row r="463" spans="2:27">
      <c r="D463" s="107" t="s">
        <v>5325</v>
      </c>
      <c r="E463" s="108"/>
      <c r="F463" s="109"/>
    </row>
    <row r="464" spans="2:27" ht="60">
      <c r="D464" s="55" t="s">
        <v>5328</v>
      </c>
      <c r="E464" s="55" t="s">
        <v>5306</v>
      </c>
      <c r="F464" s="55" t="s">
        <v>5329</v>
      </c>
    </row>
    <row r="465" spans="2:27">
      <c r="D465" s="45" t="s">
        <v>4006</v>
      </c>
      <c r="E465" s="45" t="s">
        <v>4560</v>
      </c>
      <c r="F465" s="45" t="s">
        <v>5341</v>
      </c>
      <c r="Z465" s="13" t="str">
        <f>Show!$B$158&amp;"SR.27.01.01.15 Rows {"&amp;COLUMN($C$1)&amp;"}"&amp;"@ForceFilingCode:true"</f>
        <v>!SR.27.01.01.15 Rows {3}@ForceFilingCode:true</v>
      </c>
      <c r="AA465" s="13" t="str">
        <f>Show!$B$158&amp;"SR.27.01.01.15 Columns {"&amp;COLUMN($D$1)&amp;"}"</f>
        <v>!SR.27.01.01.15 Columns {4}</v>
      </c>
    </row>
    <row r="466" spans="2:27">
      <c r="B466" s="43" t="s">
        <v>2880</v>
      </c>
      <c r="C466" s="44" t="s">
        <v>2878</v>
      </c>
      <c r="D466" s="56"/>
      <c r="E466" s="66"/>
      <c r="F466" s="57"/>
    </row>
    <row r="467" spans="2:27">
      <c r="B467" s="47" t="s">
        <v>5308</v>
      </c>
      <c r="C467" s="41" t="s">
        <v>5342</v>
      </c>
      <c r="D467" s="60"/>
      <c r="E467" s="63"/>
      <c r="F467" s="60"/>
    </row>
    <row r="468" spans="2:27">
      <c r="B468" s="47" t="s">
        <v>5343</v>
      </c>
      <c r="C468" s="41" t="s">
        <v>5344</v>
      </c>
      <c r="D468" s="64"/>
      <c r="E468" s="46"/>
      <c r="F468" s="60"/>
    </row>
    <row r="469" spans="2:27">
      <c r="B469" s="47" t="s">
        <v>5311</v>
      </c>
      <c r="C469" s="41" t="s">
        <v>5345</v>
      </c>
      <c r="D469" s="60"/>
      <c r="E469" s="60"/>
      <c r="F469" s="60"/>
    </row>
    <row r="471" spans="2:27">
      <c r="Z471" s="13" t="str">
        <f>Show!$B$158&amp;Show!$B$158&amp;"SR.27.01.01.15 Rows {"&amp;COLUMN($C$1)&amp;"}"</f>
        <v>!!SR.27.01.01.15 Rows {3}</v>
      </c>
      <c r="AA471" s="13" t="str">
        <f>Show!$B$158&amp;Show!$B$158&amp;"SR.27.01.01.15 Columns {"&amp;COLUMN($F$1)&amp;"}"</f>
        <v>!!SR.27.01.01.15 Columns {6}</v>
      </c>
    </row>
    <row r="473" spans="2:27" ht="18.75">
      <c r="B473" s="97" t="s">
        <v>5590</v>
      </c>
      <c r="C473" s="96"/>
      <c r="D473" s="96"/>
      <c r="E473" s="96"/>
      <c r="F473" s="96"/>
      <c r="G473" s="96"/>
      <c r="H473" s="96"/>
      <c r="I473" s="96"/>
      <c r="J473" s="96"/>
      <c r="K473" s="96"/>
      <c r="L473" s="96"/>
    </row>
    <row r="475" spans="2:27">
      <c r="B475" t="s">
        <v>3110</v>
      </c>
      <c r="Z475" s="13" t="str">
        <f>Show!$B$158&amp;"SR.27.01.01.16 Table label {"&amp;COLUMN($C$1)&amp;"}"</f>
        <v>!SR.27.01.01.16 Table label {3}</v>
      </c>
      <c r="AA475" s="13" t="str">
        <f>Show!$B$158&amp;"SR.27.01.01.16 Table value {"&amp;COLUMN($D$1)&amp;"}"</f>
        <v>!SR.27.01.01.16 Table value {4}</v>
      </c>
    </row>
    <row r="476" spans="2:27">
      <c r="B476" t="s">
        <v>3111</v>
      </c>
    </row>
    <row r="477" spans="2:27">
      <c r="B477" s="40" t="s">
        <v>3788</v>
      </c>
      <c r="C477" s="53" t="s">
        <v>3115</v>
      </c>
      <c r="D477" s="51"/>
    </row>
    <row r="478" spans="2:27">
      <c r="B478" s="40" t="s">
        <v>3114</v>
      </c>
      <c r="C478" s="53" t="s">
        <v>3323</v>
      </c>
      <c r="D478" s="50"/>
    </row>
    <row r="479" spans="2:27">
      <c r="Z479" s="13" t="str">
        <f>Show!$B$158&amp;Show!$B$158&amp;"SR.27.01.01.16 Table label {"&amp;COLUMN($C$1)&amp;"}"</f>
        <v>!!SR.27.01.01.16 Table label {3}</v>
      </c>
      <c r="AA479" s="13" t="str">
        <f>Show!$B$158&amp;Show!$B$158&amp;"SR.27.01.01.16 Table value {"&amp;COLUMN($D$1)&amp;"}"</f>
        <v>!!SR.27.01.01.16 Table value {4}</v>
      </c>
    </row>
    <row r="481" spans="2:27">
      <c r="D481" s="101" t="s">
        <v>2877</v>
      </c>
      <c r="E481" s="102"/>
      <c r="F481" s="102"/>
      <c r="G481" s="102"/>
      <c r="H481" s="102"/>
      <c r="I481" s="103"/>
    </row>
    <row r="482" spans="2:27">
      <c r="D482" s="104"/>
      <c r="E482" s="105"/>
      <c r="F482" s="105"/>
      <c r="G482" s="105"/>
      <c r="H482" s="105"/>
      <c r="I482" s="106"/>
    </row>
    <row r="483" spans="2:27">
      <c r="D483" s="107" t="s">
        <v>5347</v>
      </c>
      <c r="E483" s="108"/>
      <c r="F483" s="108"/>
      <c r="G483" s="108"/>
      <c r="H483" s="108"/>
      <c r="I483" s="109"/>
    </row>
    <row r="484" spans="2:27" ht="105">
      <c r="D484" s="55" t="s">
        <v>5348</v>
      </c>
      <c r="E484" s="55" t="s">
        <v>5350</v>
      </c>
      <c r="F484" s="55" t="s">
        <v>5351</v>
      </c>
      <c r="G484" s="55" t="s">
        <v>5120</v>
      </c>
      <c r="H484" s="55" t="s">
        <v>5121</v>
      </c>
      <c r="I484" s="55" t="s">
        <v>5352</v>
      </c>
    </row>
    <row r="485" spans="2:27">
      <c r="D485" s="45" t="s">
        <v>5349</v>
      </c>
      <c r="E485" s="45" t="s">
        <v>4008</v>
      </c>
      <c r="F485" s="45" t="s">
        <v>4009</v>
      </c>
      <c r="G485" s="45" t="s">
        <v>4010</v>
      </c>
      <c r="H485" s="45" t="s">
        <v>4011</v>
      </c>
      <c r="I485" s="45" t="s">
        <v>4012</v>
      </c>
      <c r="Z485" s="13" t="str">
        <f>Show!$B$158&amp;"SR.27.01.01.16 Rows {"&amp;COLUMN($C$1)&amp;"}"&amp;"@ForceFilingCode:true"</f>
        <v>!SR.27.01.01.16 Rows {3}@ForceFilingCode:true</v>
      </c>
      <c r="AA485" s="13" t="str">
        <f>Show!$B$158&amp;"SR.27.01.01.16 Columns {"&amp;COLUMN($D$1)&amp;"}"</f>
        <v>!SR.27.01.01.16 Columns {4}</v>
      </c>
    </row>
    <row r="486" spans="2:27">
      <c r="B486" s="43" t="s">
        <v>2880</v>
      </c>
      <c r="C486" s="44" t="s">
        <v>2878</v>
      </c>
      <c r="D486" s="56"/>
      <c r="E486" s="66"/>
      <c r="F486" s="66"/>
      <c r="G486" s="66"/>
      <c r="H486" s="66"/>
      <c r="I486" s="57"/>
    </row>
    <row r="487" spans="2:27">
      <c r="B487" s="47" t="s">
        <v>5353</v>
      </c>
      <c r="C487" s="41" t="s">
        <v>5354</v>
      </c>
      <c r="D487" s="60"/>
      <c r="E487" s="70"/>
      <c r="F487" s="60"/>
      <c r="G487" s="60"/>
      <c r="H487" s="60"/>
      <c r="I487" s="60"/>
    </row>
    <row r="488" spans="2:27">
      <c r="B488" s="47" t="s">
        <v>5355</v>
      </c>
      <c r="C488" s="41" t="s">
        <v>5356</v>
      </c>
      <c r="D488" s="60"/>
      <c r="E488" s="70"/>
      <c r="F488" s="60"/>
      <c r="G488" s="60"/>
      <c r="H488" s="60"/>
      <c r="I488" s="60"/>
    </row>
    <row r="489" spans="2:27">
      <c r="B489" s="47" t="s">
        <v>3480</v>
      </c>
      <c r="C489" s="41" t="s">
        <v>5357</v>
      </c>
      <c r="D489" s="60"/>
      <c r="E489" s="70"/>
      <c r="F489" s="60"/>
      <c r="G489" s="60"/>
      <c r="H489" s="60"/>
      <c r="I489" s="60"/>
    </row>
    <row r="491" spans="2:27">
      <c r="Z491" s="13" t="str">
        <f>Show!$B$158&amp;Show!$B$158&amp;"SR.27.01.01.16 Rows {"&amp;COLUMN($C$1)&amp;"}"</f>
        <v>!!SR.27.01.01.16 Rows {3}</v>
      </c>
      <c r="AA491" s="13" t="str">
        <f>Show!$B$158&amp;Show!$B$158&amp;"SR.27.01.01.16 Columns {"&amp;COLUMN($I$1)&amp;"}"</f>
        <v>!!SR.27.01.01.16 Columns {9}</v>
      </c>
    </row>
    <row r="493" spans="2:27" ht="18.75">
      <c r="B493" s="97" t="s">
        <v>5591</v>
      </c>
      <c r="C493" s="96"/>
      <c r="D493" s="96"/>
      <c r="E493" s="96"/>
      <c r="F493" s="96"/>
      <c r="G493" s="96"/>
      <c r="H493" s="96"/>
      <c r="I493" s="96"/>
      <c r="J493" s="96"/>
      <c r="K493" s="96"/>
      <c r="L493" s="96"/>
    </row>
    <row r="495" spans="2:27">
      <c r="B495" t="s">
        <v>3110</v>
      </c>
      <c r="Z495" s="13" t="str">
        <f>Show!$B$158&amp;"SR.27.01.01.17 Table label {"&amp;COLUMN($C$1)&amp;"}"</f>
        <v>!SR.27.01.01.17 Table label {3}</v>
      </c>
      <c r="AA495" s="13" t="str">
        <f>Show!$B$158&amp;"SR.27.01.01.17 Table value {"&amp;COLUMN($D$1)&amp;"}"</f>
        <v>!SR.27.01.01.17 Table value {4}</v>
      </c>
    </row>
    <row r="496" spans="2:27">
      <c r="B496" t="s">
        <v>3111</v>
      </c>
    </row>
    <row r="497" spans="2:27">
      <c r="B497" s="40" t="s">
        <v>3788</v>
      </c>
      <c r="C497" s="53" t="s">
        <v>3115</v>
      </c>
      <c r="D497" s="51"/>
    </row>
    <row r="498" spans="2:27">
      <c r="B498" s="40" t="s">
        <v>3114</v>
      </c>
      <c r="C498" s="53" t="s">
        <v>3323</v>
      </c>
      <c r="D498" s="50"/>
    </row>
    <row r="499" spans="2:27">
      <c r="Z499" s="13" t="str">
        <f>Show!$B$158&amp;Show!$B$158&amp;"SR.27.01.01.17 Table label {"&amp;COLUMN($C$1)&amp;"}"</f>
        <v>!!SR.27.01.01.17 Table label {3}</v>
      </c>
      <c r="AA499" s="13" t="str">
        <f>Show!$B$158&amp;Show!$B$158&amp;"SR.27.01.01.17 Table value {"&amp;COLUMN($D$1)&amp;"}"</f>
        <v>!!SR.27.01.01.17 Table value {4}</v>
      </c>
    </row>
    <row r="501" spans="2:27">
      <c r="D501" s="101" t="s">
        <v>2877</v>
      </c>
      <c r="E501" s="102"/>
      <c r="F501" s="102"/>
      <c r="G501" s="102"/>
      <c r="H501" s="103"/>
    </row>
    <row r="502" spans="2:27">
      <c r="D502" s="104"/>
      <c r="E502" s="105"/>
      <c r="F502" s="105"/>
      <c r="G502" s="105"/>
      <c r="H502" s="106"/>
    </row>
    <row r="503" spans="2:27">
      <c r="D503" s="107" t="s">
        <v>5359</v>
      </c>
      <c r="E503" s="108"/>
      <c r="F503" s="108"/>
      <c r="G503" s="108"/>
      <c r="H503" s="109"/>
    </row>
    <row r="504" spans="2:27" ht="105">
      <c r="D504" s="55" t="s">
        <v>5326</v>
      </c>
      <c r="E504" s="55" t="s">
        <v>5360</v>
      </c>
      <c r="F504" s="55" t="s">
        <v>5120</v>
      </c>
      <c r="G504" s="55" t="s">
        <v>5121</v>
      </c>
      <c r="H504" s="55" t="s">
        <v>5361</v>
      </c>
    </row>
    <row r="505" spans="2:27">
      <c r="D505" s="45" t="s">
        <v>4013</v>
      </c>
      <c r="E505" s="45" t="s">
        <v>4014</v>
      </c>
      <c r="F505" s="45" t="s">
        <v>4015</v>
      </c>
      <c r="G505" s="45" t="s">
        <v>4016</v>
      </c>
      <c r="H505" s="45" t="s">
        <v>4017</v>
      </c>
      <c r="Z505" s="13" t="str">
        <f>Show!$B$158&amp;"SR.27.01.01.17 Rows {"&amp;COLUMN($C$1)&amp;"}"&amp;"@ForceFilingCode:true"</f>
        <v>!SR.27.01.01.17 Rows {3}@ForceFilingCode:true</v>
      </c>
      <c r="AA505" s="13" t="str">
        <f>Show!$B$158&amp;"SR.27.01.01.17 Columns {"&amp;COLUMN($D$1)&amp;"}"</f>
        <v>!SR.27.01.01.17 Columns {4}</v>
      </c>
    </row>
    <row r="506" spans="2:27">
      <c r="B506" s="43" t="s">
        <v>2880</v>
      </c>
      <c r="C506" s="44" t="s">
        <v>2878</v>
      </c>
      <c r="D506" s="56"/>
      <c r="E506" s="66"/>
      <c r="F506" s="66"/>
      <c r="G506" s="66"/>
      <c r="H506" s="57"/>
    </row>
    <row r="507" spans="2:27">
      <c r="B507" s="47" t="s">
        <v>3480</v>
      </c>
      <c r="C507" s="41" t="s">
        <v>5362</v>
      </c>
      <c r="D507" s="60"/>
      <c r="E507" s="60"/>
      <c r="F507" s="60"/>
      <c r="G507" s="60"/>
      <c r="H507" s="60"/>
    </row>
    <row r="509" spans="2:27">
      <c r="Z509" s="13" t="str">
        <f>Show!$B$158&amp;Show!$B$158&amp;"SR.27.01.01.17 Rows {"&amp;COLUMN($C$1)&amp;"}"</f>
        <v>!!SR.27.01.01.17 Rows {3}</v>
      </c>
      <c r="AA509" s="13" t="str">
        <f>Show!$B$158&amp;Show!$B$158&amp;"SR.27.01.01.17 Columns {"&amp;COLUMN($H$1)&amp;"}"</f>
        <v>!!SR.27.01.01.17 Columns {8}</v>
      </c>
    </row>
    <row r="511" spans="2:27" ht="18.75">
      <c r="B511" s="97" t="s">
        <v>5592</v>
      </c>
      <c r="C511" s="96"/>
      <c r="D511" s="96"/>
      <c r="E511" s="96"/>
      <c r="F511" s="96"/>
      <c r="G511" s="96"/>
      <c r="H511" s="96"/>
      <c r="I511" s="96"/>
      <c r="J511" s="96"/>
      <c r="K511" s="96"/>
      <c r="L511" s="96"/>
    </row>
    <row r="513" spans="2:27">
      <c r="B513" t="s">
        <v>3110</v>
      </c>
      <c r="Z513" s="13" t="str">
        <f>Show!$B$158&amp;"SR.27.01.01.18 Table label {"&amp;COLUMN($C$1)&amp;"}"</f>
        <v>!SR.27.01.01.18 Table label {3}</v>
      </c>
      <c r="AA513" s="13" t="str">
        <f>Show!$B$158&amp;"SR.27.01.01.18 Table value {"&amp;COLUMN($D$1)&amp;"}"</f>
        <v>!SR.27.01.01.18 Table value {4}</v>
      </c>
    </row>
    <row r="514" spans="2:27">
      <c r="B514" t="s">
        <v>3111</v>
      </c>
    </row>
    <row r="515" spans="2:27">
      <c r="B515" s="40" t="s">
        <v>3788</v>
      </c>
      <c r="C515" s="53" t="s">
        <v>3115</v>
      </c>
      <c r="D515" s="51"/>
    </row>
    <row r="516" spans="2:27">
      <c r="B516" s="40" t="s">
        <v>3114</v>
      </c>
      <c r="C516" s="53" t="s">
        <v>3323</v>
      </c>
      <c r="D516" s="50"/>
    </row>
    <row r="517" spans="2:27">
      <c r="Z517" s="13" t="str">
        <f>Show!$B$158&amp;Show!$B$158&amp;"SR.27.01.01.18 Table label {"&amp;COLUMN($C$1)&amp;"}"</f>
        <v>!!SR.27.01.01.18 Table label {3}</v>
      </c>
      <c r="AA517" s="13" t="str">
        <f>Show!$B$158&amp;Show!$B$158&amp;"SR.27.01.01.18 Table value {"&amp;COLUMN($D$1)&amp;"}"</f>
        <v>!!SR.27.01.01.18 Table value {4}</v>
      </c>
    </row>
    <row r="519" spans="2:27">
      <c r="D519" s="101" t="s">
        <v>2877</v>
      </c>
      <c r="E519" s="102"/>
      <c r="F519" s="103"/>
    </row>
    <row r="520" spans="2:27">
      <c r="D520" s="104"/>
      <c r="E520" s="105"/>
      <c r="F520" s="106"/>
    </row>
    <row r="521" spans="2:27">
      <c r="D521" s="107" t="s">
        <v>5364</v>
      </c>
      <c r="E521" s="108"/>
      <c r="F521" s="109"/>
    </row>
    <row r="522" spans="2:27" ht="90">
      <c r="D522" s="55" t="s">
        <v>5365</v>
      </c>
      <c r="E522" s="55" t="s">
        <v>5306</v>
      </c>
      <c r="F522" s="55" t="s">
        <v>5366</v>
      </c>
    </row>
    <row r="523" spans="2:27">
      <c r="D523" s="45" t="s">
        <v>4018</v>
      </c>
      <c r="E523" s="45" t="s">
        <v>4019</v>
      </c>
      <c r="F523" s="45" t="s">
        <v>4020</v>
      </c>
      <c r="Z523" s="13" t="str">
        <f>Show!$B$158&amp;"SR.27.01.01.18 Rows {"&amp;COLUMN($C$1)&amp;"}"&amp;"@ForceFilingCode:true"</f>
        <v>!SR.27.01.01.18 Rows {3}@ForceFilingCode:true</v>
      </c>
      <c r="AA523" s="13" t="str">
        <f>Show!$B$158&amp;"SR.27.01.01.18 Columns {"&amp;COLUMN($D$1)&amp;"}"</f>
        <v>!SR.27.01.01.18 Columns {4}</v>
      </c>
    </row>
    <row r="524" spans="2:27">
      <c r="B524" s="43" t="s">
        <v>2880</v>
      </c>
      <c r="C524" s="44" t="s">
        <v>2878</v>
      </c>
      <c r="D524" s="56"/>
      <c r="E524" s="66"/>
      <c r="F524" s="57"/>
    </row>
    <row r="525" spans="2:27">
      <c r="B525" s="47" t="s">
        <v>5308</v>
      </c>
      <c r="C525" s="41" t="s">
        <v>5367</v>
      </c>
      <c r="D525" s="60"/>
      <c r="E525" s="63"/>
      <c r="F525" s="60"/>
    </row>
    <row r="526" spans="2:27">
      <c r="B526" s="47" t="s">
        <v>5309</v>
      </c>
      <c r="C526" s="41" t="s">
        <v>5368</v>
      </c>
      <c r="D526" s="64"/>
      <c r="E526" s="46"/>
      <c r="F526" s="60"/>
    </row>
    <row r="527" spans="2:27">
      <c r="B527" s="47" t="s">
        <v>5311</v>
      </c>
      <c r="C527" s="41" t="s">
        <v>5369</v>
      </c>
      <c r="D527" s="60"/>
      <c r="E527" s="60"/>
      <c r="F527" s="60"/>
    </row>
    <row r="529" spans="2:27">
      <c r="Z529" s="13" t="str">
        <f>Show!$B$158&amp;Show!$B$158&amp;"SR.27.01.01.18 Rows {"&amp;COLUMN($C$1)&amp;"}"</f>
        <v>!!SR.27.01.01.18 Rows {3}</v>
      </c>
      <c r="AA529" s="13" t="str">
        <f>Show!$B$158&amp;Show!$B$158&amp;"SR.27.01.01.18 Columns {"&amp;COLUMN($F$1)&amp;"}"</f>
        <v>!!SR.27.01.01.18 Columns {6}</v>
      </c>
    </row>
    <row r="531" spans="2:27" ht="18.75">
      <c r="B531" s="97" t="s">
        <v>5593</v>
      </c>
      <c r="C531" s="96"/>
      <c r="D531" s="96"/>
      <c r="E531" s="96"/>
      <c r="F531" s="96"/>
      <c r="G531" s="96"/>
      <c r="H531" s="96"/>
      <c r="I531" s="96"/>
      <c r="J531" s="96"/>
      <c r="K531" s="96"/>
      <c r="L531" s="96"/>
    </row>
    <row r="533" spans="2:27">
      <c r="B533" t="s">
        <v>3110</v>
      </c>
      <c r="Z533" s="13" t="str">
        <f>Show!$B$158&amp;"SR.27.01.01.19 Table label {"&amp;COLUMN($C$1)&amp;"}"</f>
        <v>!SR.27.01.01.19 Table label {3}</v>
      </c>
      <c r="AA533" s="13" t="str">
        <f>Show!$B$158&amp;"SR.27.01.01.19 Table value {"&amp;COLUMN($D$1)&amp;"}"</f>
        <v>!SR.27.01.01.19 Table value {4}</v>
      </c>
    </row>
    <row r="534" spans="2:27">
      <c r="B534" t="s">
        <v>3111</v>
      </c>
    </row>
    <row r="535" spans="2:27">
      <c r="B535" s="40" t="s">
        <v>3788</v>
      </c>
      <c r="C535" s="53" t="s">
        <v>3115</v>
      </c>
      <c r="D535" s="51"/>
    </row>
    <row r="536" spans="2:27">
      <c r="B536" s="40" t="s">
        <v>3114</v>
      </c>
      <c r="C536" s="53" t="s">
        <v>3323</v>
      </c>
      <c r="D536" s="50"/>
    </row>
    <row r="537" spans="2:27">
      <c r="Z537" s="13" t="str">
        <f>Show!$B$158&amp;Show!$B$158&amp;"SR.27.01.01.19 Table label {"&amp;COLUMN($C$1)&amp;"}"</f>
        <v>!!SR.27.01.01.19 Table label {3}</v>
      </c>
      <c r="AA537" s="13" t="str">
        <f>Show!$B$158&amp;Show!$B$158&amp;"SR.27.01.01.19 Table value {"&amp;COLUMN($D$1)&amp;"}"</f>
        <v>!!SR.27.01.01.19 Table value {4}</v>
      </c>
    </row>
    <row r="539" spans="2:27">
      <c r="D539" s="101" t="s">
        <v>2877</v>
      </c>
      <c r="E539" s="102"/>
      <c r="F539" s="102"/>
      <c r="G539" s="103"/>
    </row>
    <row r="540" spans="2:27">
      <c r="D540" s="104"/>
      <c r="E540" s="105"/>
      <c r="F540" s="105"/>
      <c r="G540" s="106"/>
    </row>
    <row r="541" spans="2:27">
      <c r="D541" s="107" t="s">
        <v>5371</v>
      </c>
      <c r="E541" s="108"/>
      <c r="F541" s="108"/>
      <c r="G541" s="109"/>
    </row>
    <row r="542" spans="2:27" ht="90">
      <c r="D542" s="55" t="s">
        <v>5114</v>
      </c>
      <c r="E542" s="55" t="s">
        <v>5372</v>
      </c>
      <c r="F542" s="55" t="s">
        <v>5306</v>
      </c>
      <c r="G542" s="55" t="s">
        <v>5373</v>
      </c>
    </row>
    <row r="543" spans="2:27">
      <c r="D543" s="45" t="s">
        <v>4021</v>
      </c>
      <c r="E543" s="45" t="s">
        <v>4022</v>
      </c>
      <c r="F543" s="45" t="s">
        <v>4023</v>
      </c>
      <c r="G543" s="45" t="s">
        <v>4025</v>
      </c>
      <c r="Z543" s="13" t="str">
        <f>Show!$B$158&amp;"SR.27.01.01.19 Rows {"&amp;COLUMN($C$1)&amp;"}"&amp;"@ForceFilingCode:true"</f>
        <v>!SR.27.01.01.19 Rows {3}@ForceFilingCode:true</v>
      </c>
      <c r="AA543" s="13" t="str">
        <f>Show!$B$158&amp;"SR.27.01.01.19 Columns {"&amp;COLUMN($D$1)&amp;"}"</f>
        <v>!SR.27.01.01.19 Columns {4}</v>
      </c>
    </row>
    <row r="544" spans="2:27">
      <c r="B544" s="43" t="s">
        <v>2880</v>
      </c>
      <c r="C544" s="44" t="s">
        <v>2878</v>
      </c>
      <c r="D544" s="56"/>
      <c r="E544" s="66"/>
      <c r="F544" s="67"/>
      <c r="G544" s="59"/>
    </row>
    <row r="545" spans="2:27">
      <c r="B545" s="47" t="s">
        <v>5374</v>
      </c>
      <c r="C545" s="41" t="s">
        <v>5375</v>
      </c>
      <c r="D545" s="60"/>
      <c r="E545" s="64"/>
      <c r="F545" s="58"/>
      <c r="G545" s="48"/>
    </row>
    <row r="546" spans="2:27">
      <c r="B546" s="47" t="s">
        <v>5376</v>
      </c>
      <c r="C546" s="41" t="s">
        <v>5377</v>
      </c>
      <c r="D546" s="60"/>
      <c r="E546" s="64"/>
      <c r="F546" s="58"/>
      <c r="G546" s="48"/>
    </row>
    <row r="547" spans="2:27">
      <c r="B547" s="47" t="s">
        <v>3471</v>
      </c>
      <c r="C547" s="41" t="s">
        <v>5378</v>
      </c>
      <c r="D547" s="60"/>
      <c r="E547" s="64"/>
      <c r="F547" s="58"/>
      <c r="G547" s="48"/>
    </row>
    <row r="548" spans="2:27">
      <c r="B548" s="47" t="s">
        <v>5379</v>
      </c>
      <c r="C548" s="41" t="s">
        <v>5380</v>
      </c>
      <c r="D548" s="60"/>
      <c r="E548" s="64"/>
      <c r="F548" s="58"/>
      <c r="G548" s="48"/>
    </row>
    <row r="549" spans="2:27">
      <c r="B549" s="47" t="s">
        <v>5381</v>
      </c>
      <c r="C549" s="41" t="s">
        <v>5382</v>
      </c>
      <c r="D549" s="63"/>
      <c r="E549" s="64"/>
      <c r="F549" s="56"/>
      <c r="G549" s="46"/>
    </row>
    <row r="550" spans="2:27">
      <c r="B550" s="47" t="s">
        <v>5308</v>
      </c>
      <c r="C550" s="44" t="s">
        <v>5383</v>
      </c>
      <c r="D550" s="48"/>
      <c r="E550" s="60"/>
      <c r="F550" s="60"/>
      <c r="G550" s="60"/>
    </row>
    <row r="551" spans="2:27">
      <c r="B551" s="47" t="s">
        <v>5384</v>
      </c>
      <c r="C551" s="44" t="s">
        <v>5385</v>
      </c>
      <c r="D551" s="48"/>
      <c r="E551" s="60"/>
      <c r="F551" s="60"/>
      <c r="G551" s="60"/>
    </row>
    <row r="552" spans="2:27">
      <c r="B552" s="47" t="s">
        <v>5311</v>
      </c>
      <c r="C552" s="44" t="s">
        <v>5386</v>
      </c>
      <c r="D552" s="46"/>
      <c r="E552" s="60"/>
      <c r="F552" s="60"/>
      <c r="G552" s="60"/>
    </row>
    <row r="554" spans="2:27">
      <c r="Z554" s="13" t="str">
        <f>Show!$B$158&amp;Show!$B$158&amp;"SR.27.01.01.19 Rows {"&amp;COLUMN($C$1)&amp;"}"</f>
        <v>!!SR.27.01.01.19 Rows {3}</v>
      </c>
      <c r="AA554" s="13" t="str">
        <f>Show!$B$158&amp;Show!$B$158&amp;"SR.27.01.01.19 Columns {"&amp;COLUMN($G$1)&amp;"}"</f>
        <v>!!SR.27.01.01.19 Columns {7}</v>
      </c>
    </row>
    <row r="556" spans="2:27" ht="18.75">
      <c r="B556" s="97" t="s">
        <v>5594</v>
      </c>
      <c r="C556" s="96"/>
      <c r="D556" s="96"/>
      <c r="E556" s="96"/>
      <c r="F556" s="96"/>
      <c r="G556" s="96"/>
      <c r="H556" s="96"/>
      <c r="I556" s="96"/>
      <c r="J556" s="96"/>
      <c r="K556" s="96"/>
      <c r="L556" s="96"/>
    </row>
    <row r="558" spans="2:27">
      <c r="B558" t="s">
        <v>3110</v>
      </c>
      <c r="Z558" s="13" t="str">
        <f>Show!$B$158&amp;"SR.27.01.01.20 Table label {"&amp;COLUMN($C$1)&amp;"}"</f>
        <v>!SR.27.01.01.20 Table label {3}</v>
      </c>
      <c r="AA558" s="13" t="str">
        <f>Show!$B$158&amp;"SR.27.01.01.20 Table value {"&amp;COLUMN($D$1)&amp;"}"</f>
        <v>!SR.27.01.01.20 Table value {4}</v>
      </c>
    </row>
    <row r="559" spans="2:27">
      <c r="B559" t="s">
        <v>3111</v>
      </c>
    </row>
    <row r="560" spans="2:27">
      <c r="B560" s="40" t="s">
        <v>3788</v>
      </c>
      <c r="C560" s="53" t="s">
        <v>3115</v>
      </c>
      <c r="D560" s="51"/>
    </row>
    <row r="561" spans="2:27">
      <c r="B561" s="40" t="s">
        <v>3114</v>
      </c>
      <c r="C561" s="53" t="s">
        <v>3323</v>
      </c>
      <c r="D561" s="50"/>
    </row>
    <row r="562" spans="2:27">
      <c r="Z562" s="13" t="str">
        <f>Show!$B$158&amp;Show!$B$158&amp;"SR.27.01.01.20 Table label {"&amp;COLUMN($C$1)&amp;"}"</f>
        <v>!!SR.27.01.01.20 Table label {3}</v>
      </c>
      <c r="AA562" s="13" t="str">
        <f>Show!$B$158&amp;Show!$B$158&amp;"SR.27.01.01.20 Table value {"&amp;COLUMN($D$1)&amp;"}"</f>
        <v>!!SR.27.01.01.20 Table value {4}</v>
      </c>
    </row>
    <row r="564" spans="2:27">
      <c r="D564" s="101" t="s">
        <v>2877</v>
      </c>
      <c r="E564" s="102"/>
      <c r="F564" s="102"/>
      <c r="G564" s="102"/>
      <c r="H564" s="102"/>
      <c r="I564" s="102"/>
      <c r="J564" s="102"/>
      <c r="K564" s="102"/>
      <c r="L564" s="102"/>
      <c r="M564" s="102"/>
      <c r="N564" s="102"/>
      <c r="O564" s="103"/>
    </row>
    <row r="565" spans="2:27">
      <c r="D565" s="104"/>
      <c r="E565" s="105"/>
      <c r="F565" s="105"/>
      <c r="G565" s="105"/>
      <c r="H565" s="105"/>
      <c r="I565" s="105"/>
      <c r="J565" s="105"/>
      <c r="K565" s="105"/>
      <c r="L565" s="105"/>
      <c r="M565" s="105"/>
      <c r="N565" s="105"/>
      <c r="O565" s="106"/>
    </row>
    <row r="566" spans="2:27">
      <c r="D566" s="107" t="s">
        <v>5388</v>
      </c>
      <c r="E566" s="109"/>
      <c r="F566" s="107" t="s">
        <v>5393</v>
      </c>
      <c r="G566" s="109"/>
      <c r="H566" s="107" t="s">
        <v>5395</v>
      </c>
      <c r="I566" s="109"/>
      <c r="J566" s="107" t="s">
        <v>5396</v>
      </c>
      <c r="K566" s="109"/>
      <c r="L566" s="98" t="s">
        <v>5119</v>
      </c>
      <c r="M566" s="98" t="s">
        <v>5120</v>
      </c>
      <c r="N566" s="98" t="s">
        <v>5121</v>
      </c>
      <c r="O566" s="98" t="s">
        <v>5122</v>
      </c>
    </row>
    <row r="567" spans="2:27" ht="45">
      <c r="D567" s="55" t="s">
        <v>5389</v>
      </c>
      <c r="E567" s="55" t="s">
        <v>5391</v>
      </c>
      <c r="F567" s="55" t="s">
        <v>5389</v>
      </c>
      <c r="G567" s="55" t="s">
        <v>5391</v>
      </c>
      <c r="H567" s="55" t="s">
        <v>5389</v>
      </c>
      <c r="I567" s="55" t="s">
        <v>5391</v>
      </c>
      <c r="J567" s="55" t="s">
        <v>5389</v>
      </c>
      <c r="K567" s="55" t="s">
        <v>5391</v>
      </c>
      <c r="L567" s="100"/>
      <c r="M567" s="100"/>
      <c r="N567" s="100"/>
      <c r="O567" s="100"/>
    </row>
    <row r="568" spans="2:27">
      <c r="D568" s="45" t="s">
        <v>5390</v>
      </c>
      <c r="E568" s="45" t="s">
        <v>5392</v>
      </c>
      <c r="F568" s="45" t="s">
        <v>5394</v>
      </c>
      <c r="G568" s="45" t="s">
        <v>4027</v>
      </c>
      <c r="H568" s="45" t="s">
        <v>4030</v>
      </c>
      <c r="I568" s="45" t="s">
        <v>4031</v>
      </c>
      <c r="J568" s="45" t="s">
        <v>4032</v>
      </c>
      <c r="K568" s="45" t="s">
        <v>4033</v>
      </c>
      <c r="L568" s="45" t="s">
        <v>4034</v>
      </c>
      <c r="M568" s="45" t="s">
        <v>4035</v>
      </c>
      <c r="N568" s="45" t="s">
        <v>4036</v>
      </c>
      <c r="O568" s="45" t="s">
        <v>4037</v>
      </c>
      <c r="Z568" s="13" t="str">
        <f>Show!$B$158&amp;"SR.27.01.01.20 Rows {"&amp;COLUMN($C$1)&amp;"}"&amp;"@ForceFilingCode:true"</f>
        <v>!SR.27.01.01.20 Rows {3}@ForceFilingCode:true</v>
      </c>
      <c r="AA568" s="13" t="str">
        <f>Show!$B$158&amp;"SR.27.01.01.20 Columns {"&amp;COLUMN($D$1)&amp;"}"</f>
        <v>!SR.27.01.01.20 Columns {4}</v>
      </c>
    </row>
    <row r="569" spans="2:27">
      <c r="B569" s="43" t="s">
        <v>2880</v>
      </c>
      <c r="C569" s="44" t="s">
        <v>2878</v>
      </c>
      <c r="D569" s="58"/>
      <c r="E569" s="67"/>
      <c r="F569" s="67"/>
      <c r="G569" s="67"/>
      <c r="H569" s="67"/>
      <c r="I569" s="67"/>
      <c r="J569" s="67"/>
      <c r="K569" s="67"/>
      <c r="L569" s="67"/>
      <c r="M569" s="67"/>
      <c r="N569" s="67"/>
      <c r="O569" s="59"/>
    </row>
    <row r="570" spans="2:27">
      <c r="B570" s="47" t="s">
        <v>5397</v>
      </c>
      <c r="C570" s="44" t="s">
        <v>2878</v>
      </c>
      <c r="D570" s="56"/>
      <c r="E570" s="66"/>
      <c r="F570" s="66"/>
      <c r="G570" s="66"/>
      <c r="H570" s="66"/>
      <c r="I570" s="66"/>
      <c r="J570" s="66"/>
      <c r="K570" s="66"/>
      <c r="L570" s="66"/>
      <c r="M570" s="66"/>
      <c r="N570" s="66"/>
      <c r="O570" s="57"/>
    </row>
    <row r="571" spans="2:27">
      <c r="B571" s="49" t="s">
        <v>5124</v>
      </c>
      <c r="C571" s="41" t="s">
        <v>5398</v>
      </c>
      <c r="D571" s="50"/>
      <c r="E571" s="60"/>
      <c r="F571" s="50"/>
      <c r="G571" s="60"/>
      <c r="H571" s="50"/>
      <c r="I571" s="60"/>
      <c r="J571" s="50"/>
      <c r="K571" s="60"/>
      <c r="L571" s="60"/>
      <c r="M571" s="60"/>
      <c r="N571" s="60"/>
      <c r="O571" s="60"/>
    </row>
    <row r="572" spans="2:27">
      <c r="B572" s="49" t="s">
        <v>5125</v>
      </c>
      <c r="C572" s="41" t="s">
        <v>5399</v>
      </c>
      <c r="D572" s="50"/>
      <c r="E572" s="60"/>
      <c r="F572" s="50"/>
      <c r="G572" s="60"/>
      <c r="H572" s="50"/>
      <c r="I572" s="60"/>
      <c r="J572" s="50"/>
      <c r="K572" s="60"/>
      <c r="L572" s="60"/>
      <c r="M572" s="60"/>
      <c r="N572" s="60"/>
      <c r="O572" s="60"/>
    </row>
    <row r="573" spans="2:27">
      <c r="B573" s="49" t="s">
        <v>5174</v>
      </c>
      <c r="C573" s="41" t="s">
        <v>5400</v>
      </c>
      <c r="D573" s="50"/>
      <c r="E573" s="60"/>
      <c r="F573" s="50"/>
      <c r="G573" s="60"/>
      <c r="H573" s="50"/>
      <c r="I573" s="60"/>
      <c r="J573" s="50"/>
      <c r="K573" s="60"/>
      <c r="L573" s="60"/>
      <c r="M573" s="60"/>
      <c r="N573" s="60"/>
      <c r="O573" s="60"/>
    </row>
    <row r="574" spans="2:27">
      <c r="B574" s="49" t="s">
        <v>5175</v>
      </c>
      <c r="C574" s="41" t="s">
        <v>5401</v>
      </c>
      <c r="D574" s="50"/>
      <c r="E574" s="60"/>
      <c r="F574" s="50"/>
      <c r="G574" s="60"/>
      <c r="H574" s="50"/>
      <c r="I574" s="60"/>
      <c r="J574" s="50"/>
      <c r="K574" s="60"/>
      <c r="L574" s="60"/>
      <c r="M574" s="60"/>
      <c r="N574" s="60"/>
      <c r="O574" s="60"/>
    </row>
    <row r="575" spans="2:27">
      <c r="B575" s="49" t="s">
        <v>5176</v>
      </c>
      <c r="C575" s="41" t="s">
        <v>5402</v>
      </c>
      <c r="D575" s="50"/>
      <c r="E575" s="60"/>
      <c r="F575" s="50"/>
      <c r="G575" s="60"/>
      <c r="H575" s="50"/>
      <c r="I575" s="60"/>
      <c r="J575" s="50"/>
      <c r="K575" s="60"/>
      <c r="L575" s="60"/>
      <c r="M575" s="60"/>
      <c r="N575" s="60"/>
      <c r="O575" s="60"/>
    </row>
    <row r="576" spans="2:27">
      <c r="B576" s="49" t="s">
        <v>5126</v>
      </c>
      <c r="C576" s="41" t="s">
        <v>5403</v>
      </c>
      <c r="D576" s="50"/>
      <c r="E576" s="60"/>
      <c r="F576" s="50"/>
      <c r="G576" s="60"/>
      <c r="H576" s="50"/>
      <c r="I576" s="60"/>
      <c r="J576" s="50"/>
      <c r="K576" s="60"/>
      <c r="L576" s="60"/>
      <c r="M576" s="60"/>
      <c r="N576" s="60"/>
      <c r="O576" s="60"/>
    </row>
    <row r="577" spans="2:15">
      <c r="B577" s="49" t="s">
        <v>5128</v>
      </c>
      <c r="C577" s="41" t="s">
        <v>5404</v>
      </c>
      <c r="D577" s="50"/>
      <c r="E577" s="60"/>
      <c r="F577" s="50"/>
      <c r="G577" s="60"/>
      <c r="H577" s="50"/>
      <c r="I577" s="60"/>
      <c r="J577" s="50"/>
      <c r="K577" s="60"/>
      <c r="L577" s="60"/>
      <c r="M577" s="60"/>
      <c r="N577" s="60"/>
      <c r="O577" s="60"/>
    </row>
    <row r="578" spans="2:15">
      <c r="B578" s="49" t="s">
        <v>5405</v>
      </c>
      <c r="C578" s="41" t="s">
        <v>5406</v>
      </c>
      <c r="D578" s="50"/>
      <c r="E578" s="60"/>
      <c r="F578" s="50"/>
      <c r="G578" s="60"/>
      <c r="H578" s="50"/>
      <c r="I578" s="60"/>
      <c r="J578" s="50"/>
      <c r="K578" s="60"/>
      <c r="L578" s="60"/>
      <c r="M578" s="60"/>
      <c r="N578" s="60"/>
      <c r="O578" s="60"/>
    </row>
    <row r="579" spans="2:15">
      <c r="B579" s="49" t="s">
        <v>5140</v>
      </c>
      <c r="C579" s="41" t="s">
        <v>5407</v>
      </c>
      <c r="D579" s="50"/>
      <c r="E579" s="60"/>
      <c r="F579" s="50"/>
      <c r="G579" s="60"/>
      <c r="H579" s="50"/>
      <c r="I579" s="60"/>
      <c r="J579" s="50"/>
      <c r="K579" s="60"/>
      <c r="L579" s="60"/>
      <c r="M579" s="60"/>
      <c r="N579" s="60"/>
      <c r="O579" s="60"/>
    </row>
    <row r="580" spans="2:15">
      <c r="B580" s="49" t="s">
        <v>5408</v>
      </c>
      <c r="C580" s="41" t="s">
        <v>5409</v>
      </c>
      <c r="D580" s="50"/>
      <c r="E580" s="60"/>
      <c r="F580" s="50"/>
      <c r="G580" s="60"/>
      <c r="H580" s="50"/>
      <c r="I580" s="60"/>
      <c r="J580" s="50"/>
      <c r="K580" s="60"/>
      <c r="L580" s="60"/>
      <c r="M580" s="60"/>
      <c r="N580" s="60"/>
      <c r="O580" s="60"/>
    </row>
    <row r="581" spans="2:15">
      <c r="B581" s="49" t="s">
        <v>5177</v>
      </c>
      <c r="C581" s="41" t="s">
        <v>5410</v>
      </c>
      <c r="D581" s="50"/>
      <c r="E581" s="60"/>
      <c r="F581" s="50"/>
      <c r="G581" s="60"/>
      <c r="H581" s="50"/>
      <c r="I581" s="60"/>
      <c r="J581" s="50"/>
      <c r="K581" s="60"/>
      <c r="L581" s="60"/>
      <c r="M581" s="60"/>
      <c r="N581" s="60"/>
      <c r="O581" s="60"/>
    </row>
    <row r="582" spans="2:15">
      <c r="B582" s="49" t="s">
        <v>5132</v>
      </c>
      <c r="C582" s="41" t="s">
        <v>5411</v>
      </c>
      <c r="D582" s="50"/>
      <c r="E582" s="60"/>
      <c r="F582" s="50"/>
      <c r="G582" s="60"/>
      <c r="H582" s="50"/>
      <c r="I582" s="60"/>
      <c r="J582" s="50"/>
      <c r="K582" s="60"/>
      <c r="L582" s="60"/>
      <c r="M582" s="60"/>
      <c r="N582" s="60"/>
      <c r="O582" s="60"/>
    </row>
    <row r="583" spans="2:15">
      <c r="B583" s="49" t="s">
        <v>5133</v>
      </c>
      <c r="C583" s="41" t="s">
        <v>5412</v>
      </c>
      <c r="D583" s="50"/>
      <c r="E583" s="60"/>
      <c r="F583" s="50"/>
      <c r="G583" s="60"/>
      <c r="H583" s="50"/>
      <c r="I583" s="60"/>
      <c r="J583" s="50"/>
      <c r="K583" s="60"/>
      <c r="L583" s="60"/>
      <c r="M583" s="60"/>
      <c r="N583" s="60"/>
      <c r="O583" s="60"/>
    </row>
    <row r="584" spans="2:15">
      <c r="B584" s="49" t="s">
        <v>5134</v>
      </c>
      <c r="C584" s="41" t="s">
        <v>5413</v>
      </c>
      <c r="D584" s="50"/>
      <c r="E584" s="60"/>
      <c r="F584" s="50"/>
      <c r="G584" s="60"/>
      <c r="H584" s="50"/>
      <c r="I584" s="60"/>
      <c r="J584" s="50"/>
      <c r="K584" s="60"/>
      <c r="L584" s="60"/>
      <c r="M584" s="60"/>
      <c r="N584" s="60"/>
      <c r="O584" s="60"/>
    </row>
    <row r="585" spans="2:15">
      <c r="B585" s="49" t="s">
        <v>5135</v>
      </c>
      <c r="C585" s="41" t="s">
        <v>5414</v>
      </c>
      <c r="D585" s="50"/>
      <c r="E585" s="60"/>
      <c r="F585" s="50"/>
      <c r="G585" s="60"/>
      <c r="H585" s="50"/>
      <c r="I585" s="60"/>
      <c r="J585" s="50"/>
      <c r="K585" s="60"/>
      <c r="L585" s="60"/>
      <c r="M585" s="60"/>
      <c r="N585" s="60"/>
      <c r="O585" s="60"/>
    </row>
    <row r="586" spans="2:15">
      <c r="B586" s="49" t="s">
        <v>5178</v>
      </c>
      <c r="C586" s="41" t="s">
        <v>5415</v>
      </c>
      <c r="D586" s="50"/>
      <c r="E586" s="60"/>
      <c r="F586" s="50"/>
      <c r="G586" s="60"/>
      <c r="H586" s="50"/>
      <c r="I586" s="60"/>
      <c r="J586" s="50"/>
      <c r="K586" s="60"/>
      <c r="L586" s="60"/>
      <c r="M586" s="60"/>
      <c r="N586" s="60"/>
      <c r="O586" s="60"/>
    </row>
    <row r="587" spans="2:15">
      <c r="B587" s="49" t="s">
        <v>5416</v>
      </c>
      <c r="C587" s="41" t="s">
        <v>5417</v>
      </c>
      <c r="D587" s="50"/>
      <c r="E587" s="60"/>
      <c r="F587" s="50"/>
      <c r="G587" s="60"/>
      <c r="H587" s="50"/>
      <c r="I587" s="60"/>
      <c r="J587" s="50"/>
      <c r="K587" s="60"/>
      <c r="L587" s="60"/>
      <c r="M587" s="60"/>
      <c r="N587" s="60"/>
      <c r="O587" s="60"/>
    </row>
    <row r="588" spans="2:15">
      <c r="B588" s="49" t="s">
        <v>5418</v>
      </c>
      <c r="C588" s="41" t="s">
        <v>5419</v>
      </c>
      <c r="D588" s="50"/>
      <c r="E588" s="60"/>
      <c r="F588" s="50"/>
      <c r="G588" s="60"/>
      <c r="H588" s="50"/>
      <c r="I588" s="60"/>
      <c r="J588" s="50"/>
      <c r="K588" s="60"/>
      <c r="L588" s="60"/>
      <c r="M588" s="60"/>
      <c r="N588" s="60"/>
      <c r="O588" s="60"/>
    </row>
    <row r="589" spans="2:15">
      <c r="B589" s="49" t="s">
        <v>5136</v>
      </c>
      <c r="C589" s="41" t="s">
        <v>5420</v>
      </c>
      <c r="D589" s="50"/>
      <c r="E589" s="60"/>
      <c r="F589" s="50"/>
      <c r="G589" s="60"/>
      <c r="H589" s="50"/>
      <c r="I589" s="60"/>
      <c r="J589" s="50"/>
      <c r="K589" s="60"/>
      <c r="L589" s="60"/>
      <c r="M589" s="60"/>
      <c r="N589" s="60"/>
      <c r="O589" s="60"/>
    </row>
    <row r="590" spans="2:15">
      <c r="B590" s="49" t="s">
        <v>5179</v>
      </c>
      <c r="C590" s="41" t="s">
        <v>5421</v>
      </c>
      <c r="D590" s="50"/>
      <c r="E590" s="60"/>
      <c r="F590" s="50"/>
      <c r="G590" s="60"/>
      <c r="H590" s="50"/>
      <c r="I590" s="60"/>
      <c r="J590" s="50"/>
      <c r="K590" s="60"/>
      <c r="L590" s="60"/>
      <c r="M590" s="60"/>
      <c r="N590" s="60"/>
      <c r="O590" s="60"/>
    </row>
    <row r="591" spans="2:15">
      <c r="B591" s="49" t="s">
        <v>5137</v>
      </c>
      <c r="C591" s="41" t="s">
        <v>5422</v>
      </c>
      <c r="D591" s="50"/>
      <c r="E591" s="60"/>
      <c r="F591" s="50"/>
      <c r="G591" s="60"/>
      <c r="H591" s="50"/>
      <c r="I591" s="60"/>
      <c r="J591" s="50"/>
      <c r="K591" s="60"/>
      <c r="L591" s="60"/>
      <c r="M591" s="60"/>
      <c r="N591" s="60"/>
      <c r="O591" s="60"/>
    </row>
    <row r="592" spans="2:15">
      <c r="B592" s="49" t="s">
        <v>5138</v>
      </c>
      <c r="C592" s="41" t="s">
        <v>5423</v>
      </c>
      <c r="D592" s="50"/>
      <c r="E592" s="60"/>
      <c r="F592" s="50"/>
      <c r="G592" s="60"/>
      <c r="H592" s="50"/>
      <c r="I592" s="60"/>
      <c r="J592" s="50"/>
      <c r="K592" s="60"/>
      <c r="L592" s="60"/>
      <c r="M592" s="60"/>
      <c r="N592" s="60"/>
      <c r="O592" s="60"/>
    </row>
    <row r="593" spans="2:27">
      <c r="B593" s="49" t="s">
        <v>5139</v>
      </c>
      <c r="C593" s="41" t="s">
        <v>5424</v>
      </c>
      <c r="D593" s="50"/>
      <c r="E593" s="60"/>
      <c r="F593" s="50"/>
      <c r="G593" s="60"/>
      <c r="H593" s="50"/>
      <c r="I593" s="60"/>
      <c r="J593" s="50"/>
      <c r="K593" s="60"/>
      <c r="L593" s="60"/>
      <c r="M593" s="60"/>
      <c r="N593" s="60"/>
      <c r="O593" s="60"/>
    </row>
    <row r="594" spans="2:27">
      <c r="B594" s="49" t="s">
        <v>5180</v>
      </c>
      <c r="C594" s="41" t="s">
        <v>5425</v>
      </c>
      <c r="D594" s="50"/>
      <c r="E594" s="60"/>
      <c r="F594" s="50"/>
      <c r="G594" s="60"/>
      <c r="H594" s="50"/>
      <c r="I594" s="60"/>
      <c r="J594" s="50"/>
      <c r="K594" s="60"/>
      <c r="L594" s="60"/>
      <c r="M594" s="60"/>
      <c r="N594" s="60"/>
      <c r="O594" s="60"/>
    </row>
    <row r="595" spans="2:27">
      <c r="B595" s="49" t="s">
        <v>5181</v>
      </c>
      <c r="C595" s="41" t="s">
        <v>5426</v>
      </c>
      <c r="D595" s="50"/>
      <c r="E595" s="60"/>
      <c r="F595" s="50"/>
      <c r="G595" s="60"/>
      <c r="H595" s="50"/>
      <c r="I595" s="60"/>
      <c r="J595" s="50"/>
      <c r="K595" s="60"/>
      <c r="L595" s="60"/>
      <c r="M595" s="60"/>
      <c r="N595" s="60"/>
      <c r="O595" s="60"/>
    </row>
    <row r="596" spans="2:27">
      <c r="B596" s="49" t="s">
        <v>5182</v>
      </c>
      <c r="C596" s="41" t="s">
        <v>5427</v>
      </c>
      <c r="D596" s="50"/>
      <c r="E596" s="60"/>
      <c r="F596" s="50"/>
      <c r="G596" s="60"/>
      <c r="H596" s="50"/>
      <c r="I596" s="60"/>
      <c r="J596" s="50"/>
      <c r="K596" s="60"/>
      <c r="L596" s="60"/>
      <c r="M596" s="60"/>
      <c r="N596" s="60"/>
      <c r="O596" s="60"/>
    </row>
    <row r="597" spans="2:27">
      <c r="B597" s="49" t="s">
        <v>5129</v>
      </c>
      <c r="C597" s="41" t="s">
        <v>5428</v>
      </c>
      <c r="D597" s="50"/>
      <c r="E597" s="60"/>
      <c r="F597" s="50"/>
      <c r="G597" s="60"/>
      <c r="H597" s="50"/>
      <c r="I597" s="60"/>
      <c r="J597" s="50"/>
      <c r="K597" s="60"/>
      <c r="L597" s="60"/>
      <c r="M597" s="60"/>
      <c r="N597" s="60"/>
      <c r="O597" s="60"/>
    </row>
    <row r="598" spans="2:27">
      <c r="B598" s="49" t="s">
        <v>5142</v>
      </c>
      <c r="C598" s="41" t="s">
        <v>5429</v>
      </c>
      <c r="D598" s="50"/>
      <c r="E598" s="60"/>
      <c r="F598" s="50"/>
      <c r="G598" s="60"/>
      <c r="H598" s="50"/>
      <c r="I598" s="60"/>
      <c r="J598" s="50"/>
      <c r="K598" s="60"/>
      <c r="L598" s="60"/>
      <c r="M598" s="60"/>
      <c r="N598" s="60"/>
      <c r="O598" s="60"/>
    </row>
    <row r="599" spans="2:27">
      <c r="B599" s="49" t="s">
        <v>5143</v>
      </c>
      <c r="C599" s="41" t="s">
        <v>5430</v>
      </c>
      <c r="D599" s="50"/>
      <c r="E599" s="60"/>
      <c r="F599" s="50"/>
      <c r="G599" s="60"/>
      <c r="H599" s="50"/>
      <c r="I599" s="60"/>
      <c r="J599" s="50"/>
      <c r="K599" s="60"/>
      <c r="L599" s="60"/>
      <c r="M599" s="60"/>
      <c r="N599" s="60"/>
      <c r="O599" s="60"/>
    </row>
    <row r="600" spans="2:27">
      <c r="B600" s="49" t="s">
        <v>5431</v>
      </c>
      <c r="C600" s="41" t="s">
        <v>5432</v>
      </c>
      <c r="D600" s="50"/>
      <c r="E600" s="60"/>
      <c r="F600" s="50"/>
      <c r="G600" s="60"/>
      <c r="H600" s="50"/>
      <c r="I600" s="60"/>
      <c r="J600" s="50"/>
      <c r="K600" s="60"/>
      <c r="L600" s="60"/>
      <c r="M600" s="60"/>
      <c r="N600" s="60"/>
      <c r="O600" s="60"/>
    </row>
    <row r="601" spans="2:27">
      <c r="B601" s="49" t="s">
        <v>5144</v>
      </c>
      <c r="C601" s="41" t="s">
        <v>5433</v>
      </c>
      <c r="D601" s="74"/>
      <c r="E601" s="63"/>
      <c r="F601" s="74"/>
      <c r="G601" s="63"/>
      <c r="H601" s="74"/>
      <c r="I601" s="63"/>
      <c r="J601" s="74"/>
      <c r="K601" s="63"/>
      <c r="L601" s="60"/>
      <c r="M601" s="60"/>
      <c r="N601" s="60"/>
      <c r="O601" s="60"/>
    </row>
    <row r="602" spans="2:27">
      <c r="B602" s="49" t="s">
        <v>5434</v>
      </c>
      <c r="C602" s="44" t="s">
        <v>5435</v>
      </c>
      <c r="D602" s="58"/>
      <c r="E602" s="58"/>
      <c r="F602" s="58"/>
      <c r="G602" s="58"/>
      <c r="H602" s="58"/>
      <c r="I602" s="58"/>
      <c r="J602" s="58"/>
      <c r="K602" s="48"/>
      <c r="L602" s="60"/>
      <c r="M602" s="63"/>
      <c r="N602" s="63"/>
      <c r="O602" s="60"/>
    </row>
    <row r="603" spans="2:27">
      <c r="B603" s="49" t="s">
        <v>5436</v>
      </c>
      <c r="C603" s="44" t="s">
        <v>5437</v>
      </c>
      <c r="D603" s="58"/>
      <c r="E603" s="58"/>
      <c r="F603" s="58"/>
      <c r="G603" s="58"/>
      <c r="H603" s="58"/>
      <c r="I603" s="58"/>
      <c r="J603" s="58"/>
      <c r="K603" s="48"/>
      <c r="L603" s="64"/>
      <c r="M603" s="58"/>
      <c r="N603" s="48"/>
      <c r="O603" s="60"/>
    </row>
    <row r="604" spans="2:27">
      <c r="B604" s="49" t="s">
        <v>5438</v>
      </c>
      <c r="C604" s="44" t="s">
        <v>5439</v>
      </c>
      <c r="D604" s="56"/>
      <c r="E604" s="56"/>
      <c r="F604" s="56"/>
      <c r="G604" s="56"/>
      <c r="H604" s="56"/>
      <c r="I604" s="56"/>
      <c r="J604" s="56"/>
      <c r="K604" s="46"/>
      <c r="L604" s="64"/>
      <c r="M604" s="56"/>
      <c r="N604" s="46"/>
      <c r="O604" s="60"/>
    </row>
    <row r="606" spans="2:27">
      <c r="Z606" s="13" t="str">
        <f>Show!$B$158&amp;Show!$B$158&amp;"SR.27.01.01.20 Rows {"&amp;COLUMN($C$1)&amp;"}"</f>
        <v>!!SR.27.01.01.20 Rows {3}</v>
      </c>
      <c r="AA606" s="13" t="str">
        <f>Show!$B$158&amp;Show!$B$158&amp;"SR.27.01.01.20 Columns {"&amp;COLUMN($O$1)&amp;"}"</f>
        <v>!!SR.27.01.01.20 Columns {15}</v>
      </c>
    </row>
    <row r="608" spans="2:27" ht="18.75">
      <c r="B608" s="97" t="s">
        <v>5595</v>
      </c>
      <c r="C608" s="96"/>
      <c r="D608" s="96"/>
      <c r="E608" s="96"/>
      <c r="F608" s="96"/>
      <c r="G608" s="96"/>
      <c r="H608" s="96"/>
      <c r="I608" s="96"/>
      <c r="J608" s="96"/>
      <c r="K608" s="96"/>
      <c r="L608" s="96"/>
    </row>
    <row r="610" spans="2:27">
      <c r="B610" t="s">
        <v>3110</v>
      </c>
      <c r="Z610" s="13" t="str">
        <f>Show!$B$158&amp;"SR.27.01.01.21 Table label {"&amp;COLUMN($C$1)&amp;"}"</f>
        <v>!SR.27.01.01.21 Table label {3}</v>
      </c>
      <c r="AA610" s="13" t="str">
        <f>Show!$B$158&amp;"SR.27.01.01.21 Table value {"&amp;COLUMN($D$1)&amp;"}"</f>
        <v>!SR.27.01.01.21 Table value {4}</v>
      </c>
    </row>
    <row r="611" spans="2:27">
      <c r="B611" t="s">
        <v>3111</v>
      </c>
    </row>
    <row r="612" spans="2:27">
      <c r="B612" s="40" t="s">
        <v>3788</v>
      </c>
      <c r="C612" s="53" t="s">
        <v>3115</v>
      </c>
      <c r="D612" s="51"/>
    </row>
    <row r="613" spans="2:27">
      <c r="B613" s="40" t="s">
        <v>3114</v>
      </c>
      <c r="C613" s="53" t="s">
        <v>3323</v>
      </c>
      <c r="D613" s="50"/>
    </row>
    <row r="614" spans="2:27">
      <c r="Z614" s="13" t="str">
        <f>Show!$B$158&amp;Show!$B$158&amp;"SR.27.01.01.21 Table label {"&amp;COLUMN($C$1)&amp;"}"</f>
        <v>!!SR.27.01.01.21 Table label {3}</v>
      </c>
      <c r="AA614" s="13" t="str">
        <f>Show!$B$158&amp;Show!$B$158&amp;"SR.27.01.01.21 Table value {"&amp;COLUMN($D$1)&amp;"}"</f>
        <v>!!SR.27.01.01.21 Table value {4}</v>
      </c>
    </row>
    <row r="616" spans="2:27">
      <c r="D616" s="101" t="s">
        <v>2877</v>
      </c>
      <c r="E616" s="102"/>
      <c r="F616" s="102"/>
      <c r="G616" s="102"/>
      <c r="H616" s="102"/>
      <c r="I616" s="102"/>
      <c r="J616" s="102"/>
      <c r="K616" s="102"/>
      <c r="L616" s="103"/>
    </row>
    <row r="617" spans="2:27">
      <c r="D617" s="104"/>
      <c r="E617" s="105"/>
      <c r="F617" s="105"/>
      <c r="G617" s="105"/>
      <c r="H617" s="105"/>
      <c r="I617" s="105"/>
      <c r="J617" s="105"/>
      <c r="K617" s="105"/>
      <c r="L617" s="106"/>
    </row>
    <row r="618" spans="2:27">
      <c r="D618" s="98" t="s">
        <v>5441</v>
      </c>
      <c r="E618" s="107" t="s">
        <v>5442</v>
      </c>
      <c r="F618" s="108"/>
      <c r="G618" s="108"/>
      <c r="H618" s="109"/>
      <c r="I618" s="98" t="s">
        <v>5119</v>
      </c>
      <c r="J618" s="98" t="s">
        <v>5120</v>
      </c>
      <c r="K618" s="98" t="s">
        <v>5121</v>
      </c>
      <c r="L618" s="98" t="s">
        <v>5122</v>
      </c>
    </row>
    <row r="619" spans="2:27" ht="30">
      <c r="D619" s="100"/>
      <c r="E619" s="55" t="s">
        <v>5388</v>
      </c>
      <c r="F619" s="55" t="s">
        <v>5393</v>
      </c>
      <c r="G619" s="55" t="s">
        <v>5395</v>
      </c>
      <c r="H619" s="55" t="s">
        <v>5396</v>
      </c>
      <c r="I619" s="100"/>
      <c r="J619" s="100"/>
      <c r="K619" s="100"/>
      <c r="L619" s="100"/>
    </row>
    <row r="620" spans="2:27">
      <c r="D620" s="45" t="s">
        <v>4038</v>
      </c>
      <c r="E620" s="45" t="s">
        <v>4039</v>
      </c>
      <c r="F620" s="45" t="s">
        <v>4040</v>
      </c>
      <c r="G620" s="45" t="s">
        <v>4042</v>
      </c>
      <c r="H620" s="45" t="s">
        <v>4044</v>
      </c>
      <c r="I620" s="45" t="s">
        <v>4045</v>
      </c>
      <c r="J620" s="45" t="s">
        <v>5443</v>
      </c>
      <c r="K620" s="45" t="s">
        <v>5444</v>
      </c>
      <c r="L620" s="45" t="s">
        <v>4047</v>
      </c>
      <c r="Z620" s="13" t="str">
        <f>Show!$B$158&amp;"SR.27.01.01.21 Rows {"&amp;COLUMN($C$1)&amp;"}"&amp;"@ForceFilingCode:true"</f>
        <v>!SR.27.01.01.21 Rows {3}@ForceFilingCode:true</v>
      </c>
      <c r="AA620" s="13" t="str">
        <f>Show!$B$158&amp;"SR.27.01.01.21 Columns {"&amp;COLUMN($D$1)&amp;"}"</f>
        <v>!SR.27.01.01.21 Columns {4}</v>
      </c>
    </row>
    <row r="621" spans="2:27">
      <c r="B621" s="43" t="s">
        <v>2880</v>
      </c>
      <c r="C621" s="44" t="s">
        <v>2878</v>
      </c>
      <c r="D621" s="58"/>
      <c r="E621" s="67"/>
      <c r="F621" s="67"/>
      <c r="G621" s="67"/>
      <c r="H621" s="67"/>
      <c r="I621" s="67"/>
      <c r="J621" s="67"/>
      <c r="K621" s="67"/>
      <c r="L621" s="59"/>
    </row>
    <row r="622" spans="2:27">
      <c r="B622" s="47" t="s">
        <v>5445</v>
      </c>
      <c r="C622" s="44" t="s">
        <v>2878</v>
      </c>
      <c r="D622" s="56"/>
      <c r="E622" s="66"/>
      <c r="F622" s="66"/>
      <c r="G622" s="66"/>
      <c r="H622" s="66"/>
      <c r="I622" s="66"/>
      <c r="J622" s="66"/>
      <c r="K622" s="66"/>
      <c r="L622" s="57"/>
    </row>
    <row r="623" spans="2:27">
      <c r="B623" s="49" t="s">
        <v>5124</v>
      </c>
      <c r="C623" s="41" t="s">
        <v>5446</v>
      </c>
      <c r="D623" s="50"/>
      <c r="E623" s="60"/>
      <c r="F623" s="60"/>
      <c r="G623" s="60"/>
      <c r="H623" s="60"/>
      <c r="I623" s="60"/>
      <c r="J623" s="60"/>
      <c r="K623" s="60"/>
      <c r="L623" s="60"/>
    </row>
    <row r="624" spans="2:27">
      <c r="B624" s="49" t="s">
        <v>5125</v>
      </c>
      <c r="C624" s="41" t="s">
        <v>5447</v>
      </c>
      <c r="D624" s="50"/>
      <c r="E624" s="60"/>
      <c r="F624" s="60"/>
      <c r="G624" s="60"/>
      <c r="H624" s="60"/>
      <c r="I624" s="60"/>
      <c r="J624" s="60"/>
      <c r="K624" s="60"/>
      <c r="L624" s="60"/>
    </row>
    <row r="625" spans="2:12">
      <c r="B625" s="49" t="s">
        <v>5174</v>
      </c>
      <c r="C625" s="41" t="s">
        <v>5448</v>
      </c>
      <c r="D625" s="50"/>
      <c r="E625" s="60"/>
      <c r="F625" s="60"/>
      <c r="G625" s="60"/>
      <c r="H625" s="60"/>
      <c r="I625" s="60"/>
      <c r="J625" s="60"/>
      <c r="K625" s="60"/>
      <c r="L625" s="60"/>
    </row>
    <row r="626" spans="2:12">
      <c r="B626" s="49" t="s">
        <v>5175</v>
      </c>
      <c r="C626" s="41" t="s">
        <v>5449</v>
      </c>
      <c r="D626" s="50"/>
      <c r="E626" s="60"/>
      <c r="F626" s="60"/>
      <c r="G626" s="60"/>
      <c r="H626" s="60"/>
      <c r="I626" s="60"/>
      <c r="J626" s="60"/>
      <c r="K626" s="60"/>
      <c r="L626" s="60"/>
    </row>
    <row r="627" spans="2:12">
      <c r="B627" s="49" t="s">
        <v>5176</v>
      </c>
      <c r="C627" s="41" t="s">
        <v>5450</v>
      </c>
      <c r="D627" s="50"/>
      <c r="E627" s="60"/>
      <c r="F627" s="60"/>
      <c r="G627" s="60"/>
      <c r="H627" s="60"/>
      <c r="I627" s="60"/>
      <c r="J627" s="60"/>
      <c r="K627" s="60"/>
      <c r="L627" s="60"/>
    </row>
    <row r="628" spans="2:12">
      <c r="B628" s="49" t="s">
        <v>5126</v>
      </c>
      <c r="C628" s="41" t="s">
        <v>5451</v>
      </c>
      <c r="D628" s="50"/>
      <c r="E628" s="60"/>
      <c r="F628" s="60"/>
      <c r="G628" s="60"/>
      <c r="H628" s="60"/>
      <c r="I628" s="60"/>
      <c r="J628" s="60"/>
      <c r="K628" s="60"/>
      <c r="L628" s="60"/>
    </row>
    <row r="629" spans="2:12">
      <c r="B629" s="49" t="s">
        <v>5128</v>
      </c>
      <c r="C629" s="41" t="s">
        <v>5452</v>
      </c>
      <c r="D629" s="50"/>
      <c r="E629" s="60"/>
      <c r="F629" s="60"/>
      <c r="G629" s="60"/>
      <c r="H629" s="60"/>
      <c r="I629" s="60"/>
      <c r="J629" s="60"/>
      <c r="K629" s="60"/>
      <c r="L629" s="60"/>
    </row>
    <row r="630" spans="2:12">
      <c r="B630" s="49" t="s">
        <v>5405</v>
      </c>
      <c r="C630" s="41" t="s">
        <v>5453</v>
      </c>
      <c r="D630" s="50"/>
      <c r="E630" s="60"/>
      <c r="F630" s="60"/>
      <c r="G630" s="60"/>
      <c r="H630" s="60"/>
      <c r="I630" s="60"/>
      <c r="J630" s="60"/>
      <c r="K630" s="60"/>
      <c r="L630" s="60"/>
    </row>
    <row r="631" spans="2:12">
      <c r="B631" s="49" t="s">
        <v>5140</v>
      </c>
      <c r="C631" s="41" t="s">
        <v>5454</v>
      </c>
      <c r="D631" s="50"/>
      <c r="E631" s="60"/>
      <c r="F631" s="60"/>
      <c r="G631" s="60"/>
      <c r="H631" s="60"/>
      <c r="I631" s="60"/>
      <c r="J631" s="60"/>
      <c r="K631" s="60"/>
      <c r="L631" s="60"/>
    </row>
    <row r="632" spans="2:12">
      <c r="B632" s="49" t="s">
        <v>5455</v>
      </c>
      <c r="C632" s="41" t="s">
        <v>5456</v>
      </c>
      <c r="D632" s="50"/>
      <c r="E632" s="60"/>
      <c r="F632" s="60"/>
      <c r="G632" s="60"/>
      <c r="H632" s="60"/>
      <c r="I632" s="60"/>
      <c r="J632" s="60"/>
      <c r="K632" s="60"/>
      <c r="L632" s="60"/>
    </row>
    <row r="633" spans="2:12">
      <c r="B633" s="49" t="s">
        <v>5177</v>
      </c>
      <c r="C633" s="41" t="s">
        <v>5457</v>
      </c>
      <c r="D633" s="50"/>
      <c r="E633" s="60"/>
      <c r="F633" s="60"/>
      <c r="G633" s="60"/>
      <c r="H633" s="60"/>
      <c r="I633" s="60"/>
      <c r="J633" s="60"/>
      <c r="K633" s="60"/>
      <c r="L633" s="60"/>
    </row>
    <row r="634" spans="2:12">
      <c r="B634" s="49" t="s">
        <v>5132</v>
      </c>
      <c r="C634" s="41" t="s">
        <v>5458</v>
      </c>
      <c r="D634" s="50"/>
      <c r="E634" s="60"/>
      <c r="F634" s="60"/>
      <c r="G634" s="60"/>
      <c r="H634" s="60"/>
      <c r="I634" s="60"/>
      <c r="J634" s="60"/>
      <c r="K634" s="60"/>
      <c r="L634" s="60"/>
    </row>
    <row r="635" spans="2:12">
      <c r="B635" s="49" t="s">
        <v>5133</v>
      </c>
      <c r="C635" s="41" t="s">
        <v>5459</v>
      </c>
      <c r="D635" s="50"/>
      <c r="E635" s="60"/>
      <c r="F635" s="60"/>
      <c r="G635" s="60"/>
      <c r="H635" s="60"/>
      <c r="I635" s="60"/>
      <c r="J635" s="60"/>
      <c r="K635" s="60"/>
      <c r="L635" s="60"/>
    </row>
    <row r="636" spans="2:12">
      <c r="B636" s="49" t="s">
        <v>5134</v>
      </c>
      <c r="C636" s="41" t="s">
        <v>5460</v>
      </c>
      <c r="D636" s="50"/>
      <c r="E636" s="60"/>
      <c r="F636" s="60"/>
      <c r="G636" s="60"/>
      <c r="H636" s="60"/>
      <c r="I636" s="60"/>
      <c r="J636" s="60"/>
      <c r="K636" s="60"/>
      <c r="L636" s="60"/>
    </row>
    <row r="637" spans="2:12">
      <c r="B637" s="49" t="s">
        <v>5135</v>
      </c>
      <c r="C637" s="41" t="s">
        <v>5461</v>
      </c>
      <c r="D637" s="50"/>
      <c r="E637" s="60"/>
      <c r="F637" s="60"/>
      <c r="G637" s="60"/>
      <c r="H637" s="60"/>
      <c r="I637" s="60"/>
      <c r="J637" s="60"/>
      <c r="K637" s="60"/>
      <c r="L637" s="60"/>
    </row>
    <row r="638" spans="2:12">
      <c r="B638" s="49" t="s">
        <v>5462</v>
      </c>
      <c r="C638" s="41" t="s">
        <v>5463</v>
      </c>
      <c r="D638" s="50"/>
      <c r="E638" s="60"/>
      <c r="F638" s="60"/>
      <c r="G638" s="60"/>
      <c r="H638" s="60"/>
      <c r="I638" s="60"/>
      <c r="J638" s="60"/>
      <c r="K638" s="60"/>
      <c r="L638" s="60"/>
    </row>
    <row r="639" spans="2:12">
      <c r="B639" s="49" t="s">
        <v>5416</v>
      </c>
      <c r="C639" s="41" t="s">
        <v>5464</v>
      </c>
      <c r="D639" s="50"/>
      <c r="E639" s="60"/>
      <c r="F639" s="60"/>
      <c r="G639" s="60"/>
      <c r="H639" s="60"/>
      <c r="I639" s="60"/>
      <c r="J639" s="60"/>
      <c r="K639" s="60"/>
      <c r="L639" s="60"/>
    </row>
    <row r="640" spans="2:12">
      <c r="B640" s="49" t="s">
        <v>5418</v>
      </c>
      <c r="C640" s="41" t="s">
        <v>5465</v>
      </c>
      <c r="D640" s="50"/>
      <c r="E640" s="60"/>
      <c r="F640" s="60"/>
      <c r="G640" s="60"/>
      <c r="H640" s="60"/>
      <c r="I640" s="60"/>
      <c r="J640" s="60"/>
      <c r="K640" s="60"/>
      <c r="L640" s="60"/>
    </row>
    <row r="641" spans="2:27">
      <c r="B641" s="49" t="s">
        <v>5136</v>
      </c>
      <c r="C641" s="41" t="s">
        <v>5466</v>
      </c>
      <c r="D641" s="50"/>
      <c r="E641" s="60"/>
      <c r="F641" s="60"/>
      <c r="G641" s="60"/>
      <c r="H641" s="60"/>
      <c r="I641" s="60"/>
      <c r="J641" s="60"/>
      <c r="K641" s="60"/>
      <c r="L641" s="60"/>
    </row>
    <row r="642" spans="2:27">
      <c r="B642" s="49" t="s">
        <v>5179</v>
      </c>
      <c r="C642" s="41" t="s">
        <v>5467</v>
      </c>
      <c r="D642" s="50"/>
      <c r="E642" s="60"/>
      <c r="F642" s="60"/>
      <c r="G642" s="60"/>
      <c r="H642" s="60"/>
      <c r="I642" s="60"/>
      <c r="J642" s="60"/>
      <c r="K642" s="60"/>
      <c r="L642" s="60"/>
    </row>
    <row r="643" spans="2:27">
      <c r="B643" s="49" t="s">
        <v>5137</v>
      </c>
      <c r="C643" s="41" t="s">
        <v>5468</v>
      </c>
      <c r="D643" s="50"/>
      <c r="E643" s="60"/>
      <c r="F643" s="60"/>
      <c r="G643" s="60"/>
      <c r="H643" s="60"/>
      <c r="I643" s="60"/>
      <c r="J643" s="60"/>
      <c r="K643" s="60"/>
      <c r="L643" s="60"/>
    </row>
    <row r="644" spans="2:27">
      <c r="B644" s="49" t="s">
        <v>5138</v>
      </c>
      <c r="C644" s="41" t="s">
        <v>5469</v>
      </c>
      <c r="D644" s="50"/>
      <c r="E644" s="60"/>
      <c r="F644" s="60"/>
      <c r="G644" s="60"/>
      <c r="H644" s="60"/>
      <c r="I644" s="60"/>
      <c r="J644" s="60"/>
      <c r="K644" s="60"/>
      <c r="L644" s="60"/>
    </row>
    <row r="645" spans="2:27">
      <c r="B645" s="49" t="s">
        <v>5139</v>
      </c>
      <c r="C645" s="41" t="s">
        <v>5470</v>
      </c>
      <c r="D645" s="50"/>
      <c r="E645" s="60"/>
      <c r="F645" s="60"/>
      <c r="G645" s="60"/>
      <c r="H645" s="60"/>
      <c r="I645" s="60"/>
      <c r="J645" s="60"/>
      <c r="K645" s="60"/>
      <c r="L645" s="60"/>
    </row>
    <row r="646" spans="2:27">
      <c r="B646" s="49" t="s">
        <v>5180</v>
      </c>
      <c r="C646" s="41" t="s">
        <v>5471</v>
      </c>
      <c r="D646" s="50"/>
      <c r="E646" s="60"/>
      <c r="F646" s="60"/>
      <c r="G646" s="60"/>
      <c r="H646" s="60"/>
      <c r="I646" s="60"/>
      <c r="J646" s="60"/>
      <c r="K646" s="60"/>
      <c r="L646" s="60"/>
    </row>
    <row r="647" spans="2:27">
      <c r="B647" s="49" t="s">
        <v>5181</v>
      </c>
      <c r="C647" s="41" t="s">
        <v>5472</v>
      </c>
      <c r="D647" s="50"/>
      <c r="E647" s="60"/>
      <c r="F647" s="60"/>
      <c r="G647" s="60"/>
      <c r="H647" s="60"/>
      <c r="I647" s="60"/>
      <c r="J647" s="60"/>
      <c r="K647" s="60"/>
      <c r="L647" s="60"/>
    </row>
    <row r="648" spans="2:27">
      <c r="B648" s="49" t="s">
        <v>5182</v>
      </c>
      <c r="C648" s="41" t="s">
        <v>5473</v>
      </c>
      <c r="D648" s="50"/>
      <c r="E648" s="60"/>
      <c r="F648" s="60"/>
      <c r="G648" s="60"/>
      <c r="H648" s="60"/>
      <c r="I648" s="60"/>
      <c r="J648" s="60"/>
      <c r="K648" s="60"/>
      <c r="L648" s="60"/>
    </row>
    <row r="649" spans="2:27">
      <c r="B649" s="49" t="s">
        <v>5129</v>
      </c>
      <c r="C649" s="41" t="s">
        <v>5474</v>
      </c>
      <c r="D649" s="50"/>
      <c r="E649" s="60"/>
      <c r="F649" s="60"/>
      <c r="G649" s="60"/>
      <c r="H649" s="60"/>
      <c r="I649" s="60"/>
      <c r="J649" s="60"/>
      <c r="K649" s="60"/>
      <c r="L649" s="60"/>
    </row>
    <row r="650" spans="2:27">
      <c r="B650" s="49" t="s">
        <v>5142</v>
      </c>
      <c r="C650" s="41" t="s">
        <v>5475</v>
      </c>
      <c r="D650" s="50"/>
      <c r="E650" s="60"/>
      <c r="F650" s="60"/>
      <c r="G650" s="60"/>
      <c r="H650" s="60"/>
      <c r="I650" s="60"/>
      <c r="J650" s="60"/>
      <c r="K650" s="60"/>
      <c r="L650" s="60"/>
    </row>
    <row r="651" spans="2:27">
      <c r="B651" s="49" t="s">
        <v>5143</v>
      </c>
      <c r="C651" s="41" t="s">
        <v>5476</v>
      </c>
      <c r="D651" s="50"/>
      <c r="E651" s="60"/>
      <c r="F651" s="60"/>
      <c r="G651" s="60"/>
      <c r="H651" s="60"/>
      <c r="I651" s="60"/>
      <c r="J651" s="60"/>
      <c r="K651" s="60"/>
      <c r="L651" s="60"/>
    </row>
    <row r="652" spans="2:27">
      <c r="B652" s="49" t="s">
        <v>5431</v>
      </c>
      <c r="C652" s="41" t="s">
        <v>5477</v>
      </c>
      <c r="D652" s="50"/>
      <c r="E652" s="60"/>
      <c r="F652" s="60"/>
      <c r="G652" s="60"/>
      <c r="H652" s="60"/>
      <c r="I652" s="60"/>
      <c r="J652" s="60"/>
      <c r="K652" s="60"/>
      <c r="L652" s="60"/>
    </row>
    <row r="653" spans="2:27">
      <c r="B653" s="49" t="s">
        <v>5144</v>
      </c>
      <c r="C653" s="41" t="s">
        <v>5478</v>
      </c>
      <c r="D653" s="50"/>
      <c r="E653" s="60"/>
      <c r="F653" s="60"/>
      <c r="G653" s="60"/>
      <c r="H653" s="60"/>
      <c r="I653" s="60"/>
      <c r="J653" s="60"/>
      <c r="K653" s="60"/>
      <c r="L653" s="60"/>
    </row>
    <row r="655" spans="2:27">
      <c r="Z655" s="13" t="str">
        <f>Show!$B$158&amp;Show!$B$158&amp;"SR.27.01.01.21 Rows {"&amp;COLUMN($C$1)&amp;"}"</f>
        <v>!!SR.27.01.01.21 Rows {3}</v>
      </c>
      <c r="AA655" s="13" t="str">
        <f>Show!$B$158&amp;Show!$B$158&amp;"SR.27.01.01.21 Columns {"&amp;COLUMN($L$1)&amp;"}"</f>
        <v>!!SR.27.01.01.21 Columns {12}</v>
      </c>
    </row>
    <row r="657" spans="2:27" ht="18.75">
      <c r="B657" s="97" t="s">
        <v>5596</v>
      </c>
      <c r="C657" s="96"/>
      <c r="D657" s="96"/>
      <c r="E657" s="96"/>
      <c r="F657" s="96"/>
      <c r="G657" s="96"/>
      <c r="H657" s="96"/>
      <c r="I657" s="96"/>
      <c r="J657" s="96"/>
      <c r="K657" s="96"/>
      <c r="L657" s="96"/>
    </row>
    <row r="659" spans="2:27">
      <c r="B659" t="s">
        <v>3110</v>
      </c>
      <c r="Z659" s="13" t="str">
        <f>Show!$B$158&amp;"SR.27.01.01.22 Table label {"&amp;COLUMN($C$1)&amp;"}"</f>
        <v>!SR.27.01.01.22 Table label {3}</v>
      </c>
      <c r="AA659" s="13" t="str">
        <f>Show!$B$158&amp;"SR.27.01.01.22 Table value {"&amp;COLUMN($D$1)&amp;"}"</f>
        <v>!SR.27.01.01.22 Table value {4}</v>
      </c>
    </row>
    <row r="660" spans="2:27">
      <c r="B660" t="s">
        <v>3111</v>
      </c>
    </row>
    <row r="661" spans="2:27">
      <c r="B661" s="40" t="s">
        <v>3788</v>
      </c>
      <c r="C661" s="53" t="s">
        <v>3115</v>
      </c>
      <c r="D661" s="51"/>
    </row>
    <row r="662" spans="2:27">
      <c r="B662" s="40" t="s">
        <v>3114</v>
      </c>
      <c r="C662" s="53" t="s">
        <v>3323</v>
      </c>
      <c r="D662" s="50"/>
    </row>
    <row r="663" spans="2:27">
      <c r="Z663" s="13" t="str">
        <f>Show!$B$158&amp;Show!$B$158&amp;"SR.27.01.01.22 Table label {"&amp;COLUMN($C$1)&amp;"}"</f>
        <v>!!SR.27.01.01.22 Table label {3}</v>
      </c>
      <c r="AA663" s="13" t="str">
        <f>Show!$B$158&amp;Show!$B$158&amp;"SR.27.01.01.22 Table value {"&amp;COLUMN($D$1)&amp;"}"</f>
        <v>!!SR.27.01.01.22 Table value {4}</v>
      </c>
    </row>
    <row r="665" spans="2:27">
      <c r="D665" s="101" t="s">
        <v>2877</v>
      </c>
      <c r="E665" s="102"/>
      <c r="F665" s="102"/>
      <c r="G665" s="102"/>
      <c r="H665" s="102"/>
      <c r="I665" s="102"/>
      <c r="J665" s="102"/>
      <c r="K665" s="102"/>
      <c r="L665" s="102"/>
      <c r="M665" s="102"/>
      <c r="N665" s="102"/>
      <c r="O665" s="102"/>
      <c r="P665" s="103"/>
    </row>
    <row r="666" spans="2:27">
      <c r="D666" s="104"/>
      <c r="E666" s="105"/>
      <c r="F666" s="105"/>
      <c r="G666" s="105"/>
      <c r="H666" s="105"/>
      <c r="I666" s="105"/>
      <c r="J666" s="105"/>
      <c r="K666" s="105"/>
      <c r="L666" s="105"/>
      <c r="M666" s="105"/>
      <c r="N666" s="105"/>
      <c r="O666" s="105"/>
      <c r="P666" s="106"/>
    </row>
    <row r="667" spans="2:27">
      <c r="D667" s="107" t="s">
        <v>4916</v>
      </c>
      <c r="E667" s="109"/>
      <c r="F667" s="107" t="s">
        <v>4913</v>
      </c>
      <c r="G667" s="108"/>
      <c r="H667" s="108"/>
      <c r="I667" s="108"/>
      <c r="J667" s="108"/>
      <c r="K667" s="108"/>
      <c r="L667" s="109"/>
      <c r="M667" s="98" t="s">
        <v>5119</v>
      </c>
      <c r="N667" s="98" t="s">
        <v>5120</v>
      </c>
      <c r="O667" s="98" t="s">
        <v>5121</v>
      </c>
      <c r="P667" s="98" t="s">
        <v>5122</v>
      </c>
    </row>
    <row r="668" spans="2:27" ht="60">
      <c r="D668" s="55" t="s">
        <v>5480</v>
      </c>
      <c r="E668" s="55" t="s">
        <v>5481</v>
      </c>
      <c r="F668" s="55" t="s">
        <v>5482</v>
      </c>
      <c r="G668" s="55" t="s">
        <v>5483</v>
      </c>
      <c r="H668" s="55" t="s">
        <v>5484</v>
      </c>
      <c r="I668" s="55" t="s">
        <v>5485</v>
      </c>
      <c r="J668" s="55" t="s">
        <v>5486</v>
      </c>
      <c r="K668" s="55" t="s">
        <v>5487</v>
      </c>
      <c r="L668" s="55" t="s">
        <v>5488</v>
      </c>
      <c r="M668" s="100"/>
      <c r="N668" s="100"/>
      <c r="O668" s="100"/>
      <c r="P668" s="100"/>
    </row>
    <row r="669" spans="2:27">
      <c r="D669" s="45" t="s">
        <v>4049</v>
      </c>
      <c r="E669" s="45" t="s">
        <v>4050</v>
      </c>
      <c r="F669" s="45" t="s">
        <v>4051</v>
      </c>
      <c r="G669" s="45" t="s">
        <v>4052</v>
      </c>
      <c r="H669" s="45" t="s">
        <v>4053</v>
      </c>
      <c r="I669" s="45" t="s">
        <v>4054</v>
      </c>
      <c r="J669" s="45" t="s">
        <v>4055</v>
      </c>
      <c r="K669" s="45" t="s">
        <v>4056</v>
      </c>
      <c r="L669" s="45" t="s">
        <v>4057</v>
      </c>
      <c r="M669" s="45" t="s">
        <v>4058</v>
      </c>
      <c r="N669" s="45" t="s">
        <v>4059</v>
      </c>
      <c r="O669" s="45" t="s">
        <v>4060</v>
      </c>
      <c r="P669" s="45" t="s">
        <v>4061</v>
      </c>
      <c r="Z669" s="13" t="str">
        <f>Show!$B$158&amp;"SR.27.01.01.22 Rows {"&amp;COLUMN($C$1)&amp;"}"&amp;"@ForceFilingCode:true"</f>
        <v>!SR.27.01.01.22 Rows {3}@ForceFilingCode:true</v>
      </c>
      <c r="AA669" s="13" t="str">
        <f>Show!$B$158&amp;"SR.27.01.01.22 Columns {"&amp;COLUMN($D$1)&amp;"}"</f>
        <v>!SR.27.01.01.22 Columns {4}</v>
      </c>
    </row>
    <row r="670" spans="2:27">
      <c r="B670" s="43" t="s">
        <v>2880</v>
      </c>
      <c r="C670" s="44" t="s">
        <v>2878</v>
      </c>
      <c r="D670" s="58"/>
      <c r="E670" s="67"/>
      <c r="F670" s="67"/>
      <c r="G670" s="67"/>
      <c r="H670" s="67"/>
      <c r="I670" s="67"/>
      <c r="J670" s="67"/>
      <c r="K670" s="67"/>
      <c r="L670" s="67"/>
      <c r="M670" s="67"/>
      <c r="N670" s="67"/>
      <c r="O670" s="67"/>
      <c r="P670" s="59"/>
    </row>
    <row r="671" spans="2:27">
      <c r="B671" s="47" t="s">
        <v>5489</v>
      </c>
      <c r="C671" s="44" t="s">
        <v>2878</v>
      </c>
      <c r="D671" s="58"/>
      <c r="E671" s="67"/>
      <c r="F671" s="66"/>
      <c r="G671" s="66"/>
      <c r="H671" s="66"/>
      <c r="I671" s="66"/>
      <c r="J671" s="66"/>
      <c r="K671" s="66"/>
      <c r="L671" s="66"/>
      <c r="M671" s="66"/>
      <c r="N671" s="67"/>
      <c r="O671" s="67"/>
      <c r="P671" s="59"/>
    </row>
    <row r="672" spans="2:27">
      <c r="B672" s="49" t="s">
        <v>5124</v>
      </c>
      <c r="C672" s="44" t="s">
        <v>5490</v>
      </c>
      <c r="D672" s="58"/>
      <c r="E672" s="48"/>
      <c r="F672" s="50"/>
      <c r="G672" s="60"/>
      <c r="H672" s="70"/>
      <c r="I672" s="60"/>
      <c r="J672" s="70"/>
      <c r="K672" s="60"/>
      <c r="L672" s="70"/>
      <c r="M672" s="64"/>
      <c r="N672" s="58"/>
      <c r="O672" s="58"/>
      <c r="P672" s="48"/>
    </row>
    <row r="673" spans="2:16">
      <c r="B673" s="49" t="s">
        <v>5125</v>
      </c>
      <c r="C673" s="44" t="s">
        <v>5491</v>
      </c>
      <c r="D673" s="58"/>
      <c r="E673" s="48"/>
      <c r="F673" s="50"/>
      <c r="G673" s="60"/>
      <c r="H673" s="70"/>
      <c r="I673" s="60"/>
      <c r="J673" s="70"/>
      <c r="K673" s="60"/>
      <c r="L673" s="70"/>
      <c r="M673" s="64"/>
      <c r="N673" s="58"/>
      <c r="O673" s="58"/>
      <c r="P673" s="48"/>
    </row>
    <row r="674" spans="2:16">
      <c r="B674" s="49" t="s">
        <v>5174</v>
      </c>
      <c r="C674" s="44" t="s">
        <v>5492</v>
      </c>
      <c r="D674" s="58"/>
      <c r="E674" s="48"/>
      <c r="F674" s="50"/>
      <c r="G674" s="60"/>
      <c r="H674" s="70"/>
      <c r="I674" s="60"/>
      <c r="J674" s="70"/>
      <c r="K674" s="60"/>
      <c r="L674" s="70"/>
      <c r="M674" s="64"/>
      <c r="N674" s="58"/>
      <c r="O674" s="58"/>
      <c r="P674" s="48"/>
    </row>
    <row r="675" spans="2:16">
      <c r="B675" s="49" t="s">
        <v>5175</v>
      </c>
      <c r="C675" s="44" t="s">
        <v>5493</v>
      </c>
      <c r="D675" s="58"/>
      <c r="E675" s="48"/>
      <c r="F675" s="50"/>
      <c r="G675" s="60"/>
      <c r="H675" s="70"/>
      <c r="I675" s="60"/>
      <c r="J675" s="70"/>
      <c r="K675" s="60"/>
      <c r="L675" s="70"/>
      <c r="M675" s="64"/>
      <c r="N675" s="58"/>
      <c r="O675" s="58"/>
      <c r="P675" s="48"/>
    </row>
    <row r="676" spans="2:16">
      <c r="B676" s="49" t="s">
        <v>5176</v>
      </c>
      <c r="C676" s="44" t="s">
        <v>5494</v>
      </c>
      <c r="D676" s="58"/>
      <c r="E676" s="48"/>
      <c r="F676" s="50"/>
      <c r="G676" s="60"/>
      <c r="H676" s="70"/>
      <c r="I676" s="60"/>
      <c r="J676" s="70"/>
      <c r="K676" s="60"/>
      <c r="L676" s="70"/>
      <c r="M676" s="64"/>
      <c r="N676" s="58"/>
      <c r="O676" s="58"/>
      <c r="P676" s="48"/>
    </row>
    <row r="677" spans="2:16">
      <c r="B677" s="49" t="s">
        <v>5126</v>
      </c>
      <c r="C677" s="44" t="s">
        <v>5495</v>
      </c>
      <c r="D677" s="58"/>
      <c r="E677" s="48"/>
      <c r="F677" s="50"/>
      <c r="G677" s="60"/>
      <c r="H677" s="70"/>
      <c r="I677" s="60"/>
      <c r="J677" s="70"/>
      <c r="K677" s="60"/>
      <c r="L677" s="70"/>
      <c r="M677" s="64"/>
      <c r="N677" s="58"/>
      <c r="O677" s="58"/>
      <c r="P677" s="48"/>
    </row>
    <row r="678" spans="2:16">
      <c r="B678" s="49" t="s">
        <v>5128</v>
      </c>
      <c r="C678" s="44" t="s">
        <v>5496</v>
      </c>
      <c r="D678" s="58"/>
      <c r="E678" s="48"/>
      <c r="F678" s="50"/>
      <c r="G678" s="60"/>
      <c r="H678" s="70"/>
      <c r="I678" s="60"/>
      <c r="J678" s="70"/>
      <c r="K678" s="60"/>
      <c r="L678" s="70"/>
      <c r="M678" s="64"/>
      <c r="N678" s="58"/>
      <c r="O678" s="58"/>
      <c r="P678" s="48"/>
    </row>
    <row r="679" spans="2:16">
      <c r="B679" s="49" t="s">
        <v>5405</v>
      </c>
      <c r="C679" s="44" t="s">
        <v>5497</v>
      </c>
      <c r="D679" s="58"/>
      <c r="E679" s="48"/>
      <c r="F679" s="50"/>
      <c r="G679" s="60"/>
      <c r="H679" s="70"/>
      <c r="I679" s="60"/>
      <c r="J679" s="70"/>
      <c r="K679" s="60"/>
      <c r="L679" s="70"/>
      <c r="M679" s="64"/>
      <c r="N679" s="58"/>
      <c r="O679" s="58"/>
      <c r="P679" s="48"/>
    </row>
    <row r="680" spans="2:16">
      <c r="B680" s="49" t="s">
        <v>5140</v>
      </c>
      <c r="C680" s="44" t="s">
        <v>5498</v>
      </c>
      <c r="D680" s="58"/>
      <c r="E680" s="48"/>
      <c r="F680" s="50"/>
      <c r="G680" s="60"/>
      <c r="H680" s="70"/>
      <c r="I680" s="60"/>
      <c r="J680" s="70"/>
      <c r="K680" s="60"/>
      <c r="L680" s="70"/>
      <c r="M680" s="64"/>
      <c r="N680" s="58"/>
      <c r="O680" s="58"/>
      <c r="P680" s="48"/>
    </row>
    <row r="681" spans="2:16">
      <c r="B681" s="49" t="s">
        <v>5455</v>
      </c>
      <c r="C681" s="44" t="s">
        <v>5499</v>
      </c>
      <c r="D681" s="58"/>
      <c r="E681" s="48"/>
      <c r="F681" s="50"/>
      <c r="G681" s="60"/>
      <c r="H681" s="70"/>
      <c r="I681" s="60"/>
      <c r="J681" s="70"/>
      <c r="K681" s="60"/>
      <c r="L681" s="70"/>
      <c r="M681" s="64"/>
      <c r="N681" s="58"/>
      <c r="O681" s="58"/>
      <c r="P681" s="48"/>
    </row>
    <row r="682" spans="2:16">
      <c r="B682" s="49" t="s">
        <v>5177</v>
      </c>
      <c r="C682" s="44" t="s">
        <v>5500</v>
      </c>
      <c r="D682" s="58"/>
      <c r="E682" s="48"/>
      <c r="F682" s="50"/>
      <c r="G682" s="60"/>
      <c r="H682" s="70"/>
      <c r="I682" s="60"/>
      <c r="J682" s="70"/>
      <c r="K682" s="60"/>
      <c r="L682" s="70"/>
      <c r="M682" s="64"/>
      <c r="N682" s="58"/>
      <c r="O682" s="58"/>
      <c r="P682" s="48"/>
    </row>
    <row r="683" spans="2:16">
      <c r="B683" s="49" t="s">
        <v>5132</v>
      </c>
      <c r="C683" s="44" t="s">
        <v>5501</v>
      </c>
      <c r="D683" s="58"/>
      <c r="E683" s="48"/>
      <c r="F683" s="50"/>
      <c r="G683" s="60"/>
      <c r="H683" s="70"/>
      <c r="I683" s="60"/>
      <c r="J683" s="70"/>
      <c r="K683" s="60"/>
      <c r="L683" s="70"/>
      <c r="M683" s="64"/>
      <c r="N683" s="58"/>
      <c r="O683" s="58"/>
      <c r="P683" s="48"/>
    </row>
    <row r="684" spans="2:16">
      <c r="B684" s="49" t="s">
        <v>5133</v>
      </c>
      <c r="C684" s="44" t="s">
        <v>5502</v>
      </c>
      <c r="D684" s="58"/>
      <c r="E684" s="48"/>
      <c r="F684" s="50"/>
      <c r="G684" s="60"/>
      <c r="H684" s="70"/>
      <c r="I684" s="60"/>
      <c r="J684" s="70"/>
      <c r="K684" s="60"/>
      <c r="L684" s="70"/>
      <c r="M684" s="64"/>
      <c r="N684" s="58"/>
      <c r="O684" s="58"/>
      <c r="P684" s="48"/>
    </row>
    <row r="685" spans="2:16">
      <c r="B685" s="49" t="s">
        <v>5134</v>
      </c>
      <c r="C685" s="44" t="s">
        <v>5503</v>
      </c>
      <c r="D685" s="58"/>
      <c r="E685" s="48"/>
      <c r="F685" s="50"/>
      <c r="G685" s="60"/>
      <c r="H685" s="70"/>
      <c r="I685" s="60"/>
      <c r="J685" s="70"/>
      <c r="K685" s="60"/>
      <c r="L685" s="70"/>
      <c r="M685" s="64"/>
      <c r="N685" s="58"/>
      <c r="O685" s="58"/>
      <c r="P685" s="48"/>
    </row>
    <row r="686" spans="2:16">
      <c r="B686" s="49" t="s">
        <v>5135</v>
      </c>
      <c r="C686" s="44" t="s">
        <v>5504</v>
      </c>
      <c r="D686" s="58"/>
      <c r="E686" s="48"/>
      <c r="F686" s="50"/>
      <c r="G686" s="60"/>
      <c r="H686" s="70"/>
      <c r="I686" s="60"/>
      <c r="J686" s="70"/>
      <c r="K686" s="60"/>
      <c r="L686" s="70"/>
      <c r="M686" s="64"/>
      <c r="N686" s="58"/>
      <c r="O686" s="58"/>
      <c r="P686" s="48"/>
    </row>
    <row r="687" spans="2:16">
      <c r="B687" s="49" t="s">
        <v>5462</v>
      </c>
      <c r="C687" s="44" t="s">
        <v>5505</v>
      </c>
      <c r="D687" s="58"/>
      <c r="E687" s="48"/>
      <c r="F687" s="50"/>
      <c r="G687" s="60"/>
      <c r="H687" s="70"/>
      <c r="I687" s="60"/>
      <c r="J687" s="70"/>
      <c r="K687" s="60"/>
      <c r="L687" s="70"/>
      <c r="M687" s="64"/>
      <c r="N687" s="58"/>
      <c r="O687" s="58"/>
      <c r="P687" s="48"/>
    </row>
    <row r="688" spans="2:16">
      <c r="B688" s="49" t="s">
        <v>5416</v>
      </c>
      <c r="C688" s="44" t="s">
        <v>5506</v>
      </c>
      <c r="D688" s="58"/>
      <c r="E688" s="48"/>
      <c r="F688" s="50"/>
      <c r="G688" s="60"/>
      <c r="H688" s="70"/>
      <c r="I688" s="60"/>
      <c r="J688" s="70"/>
      <c r="K688" s="60"/>
      <c r="L688" s="70"/>
      <c r="M688" s="64"/>
      <c r="N688" s="58"/>
      <c r="O688" s="58"/>
      <c r="P688" s="48"/>
    </row>
    <row r="689" spans="2:27">
      <c r="B689" s="49" t="s">
        <v>5418</v>
      </c>
      <c r="C689" s="44" t="s">
        <v>5507</v>
      </c>
      <c r="D689" s="58"/>
      <c r="E689" s="48"/>
      <c r="F689" s="50"/>
      <c r="G689" s="60"/>
      <c r="H689" s="70"/>
      <c r="I689" s="60"/>
      <c r="J689" s="70"/>
      <c r="K689" s="60"/>
      <c r="L689" s="70"/>
      <c r="M689" s="64"/>
      <c r="N689" s="58"/>
      <c r="O689" s="58"/>
      <c r="P689" s="48"/>
    </row>
    <row r="690" spans="2:27">
      <c r="B690" s="49" t="s">
        <v>5136</v>
      </c>
      <c r="C690" s="44" t="s">
        <v>5508</v>
      </c>
      <c r="D690" s="58"/>
      <c r="E690" s="48"/>
      <c r="F690" s="50"/>
      <c r="G690" s="60"/>
      <c r="H690" s="70"/>
      <c r="I690" s="60"/>
      <c r="J690" s="70"/>
      <c r="K690" s="60"/>
      <c r="L690" s="70"/>
      <c r="M690" s="64"/>
      <c r="N690" s="58"/>
      <c r="O690" s="58"/>
      <c r="P690" s="48"/>
    </row>
    <row r="691" spans="2:27">
      <c r="B691" s="49" t="s">
        <v>5179</v>
      </c>
      <c r="C691" s="44" t="s">
        <v>5509</v>
      </c>
      <c r="D691" s="58"/>
      <c r="E691" s="48"/>
      <c r="F691" s="50"/>
      <c r="G691" s="60"/>
      <c r="H691" s="70"/>
      <c r="I691" s="60"/>
      <c r="J691" s="70"/>
      <c r="K691" s="60"/>
      <c r="L691" s="70"/>
      <c r="M691" s="64"/>
      <c r="N691" s="58"/>
      <c r="O691" s="58"/>
      <c r="P691" s="48"/>
    </row>
    <row r="692" spans="2:27">
      <c r="B692" s="49" t="s">
        <v>5137</v>
      </c>
      <c r="C692" s="44" t="s">
        <v>5510</v>
      </c>
      <c r="D692" s="58"/>
      <c r="E692" s="48"/>
      <c r="F692" s="50"/>
      <c r="G692" s="60"/>
      <c r="H692" s="70"/>
      <c r="I692" s="60"/>
      <c r="J692" s="70"/>
      <c r="K692" s="60"/>
      <c r="L692" s="70"/>
      <c r="M692" s="64"/>
      <c r="N692" s="58"/>
      <c r="O692" s="58"/>
      <c r="P692" s="48"/>
    </row>
    <row r="693" spans="2:27">
      <c r="B693" s="49" t="s">
        <v>5138</v>
      </c>
      <c r="C693" s="44" t="s">
        <v>5511</v>
      </c>
      <c r="D693" s="58"/>
      <c r="E693" s="48"/>
      <c r="F693" s="50"/>
      <c r="G693" s="60"/>
      <c r="H693" s="70"/>
      <c r="I693" s="60"/>
      <c r="J693" s="70"/>
      <c r="K693" s="60"/>
      <c r="L693" s="70"/>
      <c r="M693" s="64"/>
      <c r="N693" s="58"/>
      <c r="O693" s="58"/>
      <c r="P693" s="48"/>
    </row>
    <row r="694" spans="2:27">
      <c r="B694" s="49" t="s">
        <v>5139</v>
      </c>
      <c r="C694" s="44" t="s">
        <v>5512</v>
      </c>
      <c r="D694" s="58"/>
      <c r="E694" s="48"/>
      <c r="F694" s="50"/>
      <c r="G694" s="60"/>
      <c r="H694" s="70"/>
      <c r="I694" s="60"/>
      <c r="J694" s="70"/>
      <c r="K694" s="60"/>
      <c r="L694" s="70"/>
      <c r="M694" s="64"/>
      <c r="N694" s="58"/>
      <c r="O694" s="58"/>
      <c r="P694" s="48"/>
    </row>
    <row r="695" spans="2:27">
      <c r="B695" s="49" t="s">
        <v>5180</v>
      </c>
      <c r="C695" s="44" t="s">
        <v>5513</v>
      </c>
      <c r="D695" s="58"/>
      <c r="E695" s="48"/>
      <c r="F695" s="50"/>
      <c r="G695" s="60"/>
      <c r="H695" s="70"/>
      <c r="I695" s="60"/>
      <c r="J695" s="70"/>
      <c r="K695" s="60"/>
      <c r="L695" s="70"/>
      <c r="M695" s="64"/>
      <c r="N695" s="58"/>
      <c r="O695" s="58"/>
      <c r="P695" s="48"/>
    </row>
    <row r="696" spans="2:27">
      <c r="B696" s="49" t="s">
        <v>5181</v>
      </c>
      <c r="C696" s="44" t="s">
        <v>5514</v>
      </c>
      <c r="D696" s="58"/>
      <c r="E696" s="48"/>
      <c r="F696" s="50"/>
      <c r="G696" s="60"/>
      <c r="H696" s="70"/>
      <c r="I696" s="60"/>
      <c r="J696" s="70"/>
      <c r="K696" s="60"/>
      <c r="L696" s="70"/>
      <c r="M696" s="64"/>
      <c r="N696" s="58"/>
      <c r="O696" s="58"/>
      <c r="P696" s="48"/>
    </row>
    <row r="697" spans="2:27">
      <c r="B697" s="49" t="s">
        <v>5182</v>
      </c>
      <c r="C697" s="44" t="s">
        <v>5515</v>
      </c>
      <c r="D697" s="58"/>
      <c r="E697" s="48"/>
      <c r="F697" s="50"/>
      <c r="G697" s="60"/>
      <c r="H697" s="70"/>
      <c r="I697" s="60"/>
      <c r="J697" s="70"/>
      <c r="K697" s="60"/>
      <c r="L697" s="70"/>
      <c r="M697" s="64"/>
      <c r="N697" s="58"/>
      <c r="O697" s="58"/>
      <c r="P697" s="48"/>
    </row>
    <row r="698" spans="2:27">
      <c r="B698" s="49" t="s">
        <v>5129</v>
      </c>
      <c r="C698" s="44" t="s">
        <v>5516</v>
      </c>
      <c r="D698" s="58"/>
      <c r="E698" s="48"/>
      <c r="F698" s="50"/>
      <c r="G698" s="60"/>
      <c r="H698" s="70"/>
      <c r="I698" s="60"/>
      <c r="J698" s="70"/>
      <c r="K698" s="60"/>
      <c r="L698" s="70"/>
      <c r="M698" s="64"/>
      <c r="N698" s="58"/>
      <c r="O698" s="58"/>
      <c r="P698" s="48"/>
    </row>
    <row r="699" spans="2:27">
      <c r="B699" s="49" t="s">
        <v>5142</v>
      </c>
      <c r="C699" s="44" t="s">
        <v>5517</v>
      </c>
      <c r="D699" s="58"/>
      <c r="E699" s="48"/>
      <c r="F699" s="50"/>
      <c r="G699" s="60"/>
      <c r="H699" s="70"/>
      <c r="I699" s="60"/>
      <c r="J699" s="70"/>
      <c r="K699" s="60"/>
      <c r="L699" s="70"/>
      <c r="M699" s="64"/>
      <c r="N699" s="58"/>
      <c r="O699" s="58"/>
      <c r="P699" s="48"/>
    </row>
    <row r="700" spans="2:27">
      <c r="B700" s="49" t="s">
        <v>5143</v>
      </c>
      <c r="C700" s="44" t="s">
        <v>5518</v>
      </c>
      <c r="D700" s="58"/>
      <c r="E700" s="48"/>
      <c r="F700" s="50"/>
      <c r="G700" s="60"/>
      <c r="H700" s="70"/>
      <c r="I700" s="60"/>
      <c r="J700" s="70"/>
      <c r="K700" s="60"/>
      <c r="L700" s="70"/>
      <c r="M700" s="64"/>
      <c r="N700" s="58"/>
      <c r="O700" s="58"/>
      <c r="P700" s="48"/>
    </row>
    <row r="701" spans="2:27">
      <c r="B701" s="49" t="s">
        <v>5431</v>
      </c>
      <c r="C701" s="44" t="s">
        <v>5519</v>
      </c>
      <c r="D701" s="58"/>
      <c r="E701" s="48"/>
      <c r="F701" s="50"/>
      <c r="G701" s="60"/>
      <c r="H701" s="70"/>
      <c r="I701" s="60"/>
      <c r="J701" s="70"/>
      <c r="K701" s="60"/>
      <c r="L701" s="70"/>
      <c r="M701" s="64"/>
      <c r="N701" s="58"/>
      <c r="O701" s="58"/>
      <c r="P701" s="48"/>
    </row>
    <row r="702" spans="2:27">
      <c r="B702" s="49" t="s">
        <v>5144</v>
      </c>
      <c r="C702" s="44" t="s">
        <v>5520</v>
      </c>
      <c r="D702" s="56"/>
      <c r="E702" s="46"/>
      <c r="F702" s="50"/>
      <c r="G702" s="60"/>
      <c r="H702" s="70"/>
      <c r="I702" s="60"/>
      <c r="J702" s="70"/>
      <c r="K702" s="60"/>
      <c r="L702" s="70"/>
      <c r="M702" s="64"/>
      <c r="N702" s="56"/>
      <c r="O702" s="56"/>
      <c r="P702" s="46"/>
    </row>
    <row r="704" spans="2:27">
      <c r="Z704" s="13" t="str">
        <f>Show!$B$158&amp;Show!$B$158&amp;"SR.27.01.01.22 Rows {"&amp;COLUMN($C$1)&amp;"}"</f>
        <v>!!SR.27.01.01.22 Rows {3}</v>
      </c>
      <c r="AA704" s="13" t="str">
        <f>Show!$B$158&amp;Show!$B$158&amp;"SR.27.01.01.22 Columns {"&amp;COLUMN($P$1)&amp;"}"</f>
        <v>!!SR.27.01.01.22 Columns {16}</v>
      </c>
    </row>
    <row r="706" spans="2:27" ht="18.75">
      <c r="B706" s="97" t="s">
        <v>5597</v>
      </c>
      <c r="C706" s="96"/>
      <c r="D706" s="96"/>
      <c r="E706" s="96"/>
      <c r="F706" s="96"/>
      <c r="G706" s="96"/>
      <c r="H706" s="96"/>
      <c r="I706" s="96"/>
      <c r="J706" s="96"/>
      <c r="K706" s="96"/>
      <c r="L706" s="96"/>
    </row>
    <row r="708" spans="2:27">
      <c r="B708" t="s">
        <v>3110</v>
      </c>
      <c r="Z708" s="13" t="str">
        <f>Show!$B$158&amp;"SR.27.01.01.23 Table label {"&amp;COLUMN($C$1)&amp;"}"</f>
        <v>!SR.27.01.01.23 Table label {3}</v>
      </c>
      <c r="AA708" s="13" t="str">
        <f>Show!$B$158&amp;"SR.27.01.01.23 Table value {"&amp;COLUMN($D$1)&amp;"}"</f>
        <v>!SR.27.01.01.23 Table value {4}</v>
      </c>
    </row>
    <row r="709" spans="2:27">
      <c r="B709" t="s">
        <v>3111</v>
      </c>
    </row>
    <row r="710" spans="2:27">
      <c r="B710" s="40" t="s">
        <v>3788</v>
      </c>
      <c r="C710" s="53" t="s">
        <v>3115</v>
      </c>
      <c r="D710" s="51"/>
    </row>
    <row r="711" spans="2:27">
      <c r="B711" s="40" t="s">
        <v>3114</v>
      </c>
      <c r="C711" s="53" t="s">
        <v>3323</v>
      </c>
      <c r="D711" s="50"/>
    </row>
    <row r="712" spans="2:27">
      <c r="Z712" s="13" t="str">
        <f>Show!$B$158&amp;Show!$B$158&amp;"SR.27.01.01.23 Table label {"&amp;COLUMN($C$1)&amp;"}"</f>
        <v>!!SR.27.01.01.23 Table label {3}</v>
      </c>
      <c r="AA712" s="13" t="str">
        <f>Show!$B$158&amp;Show!$B$158&amp;"SR.27.01.01.23 Table value {"&amp;COLUMN($D$1)&amp;"}"</f>
        <v>!!SR.27.01.01.23 Table value {4}</v>
      </c>
    </row>
    <row r="714" spans="2:27">
      <c r="D714" s="98" t="s">
        <v>5522</v>
      </c>
      <c r="E714" s="101" t="s">
        <v>2877</v>
      </c>
      <c r="F714" s="102"/>
      <c r="G714" s="102"/>
      <c r="H714" s="102"/>
      <c r="I714" s="102"/>
      <c r="J714" s="102"/>
      <c r="K714" s="102"/>
      <c r="L714" s="102"/>
      <c r="M714" s="103"/>
    </row>
    <row r="715" spans="2:27">
      <c r="D715" s="99"/>
      <c r="E715" s="104"/>
      <c r="F715" s="105"/>
      <c r="G715" s="105"/>
      <c r="H715" s="105"/>
      <c r="I715" s="105"/>
      <c r="J715" s="105"/>
      <c r="K715" s="105"/>
      <c r="L715" s="105"/>
      <c r="M715" s="106"/>
    </row>
    <row r="716" spans="2:27">
      <c r="D716" s="99"/>
      <c r="E716" s="98" t="s">
        <v>5441</v>
      </c>
      <c r="F716" s="107" t="s">
        <v>5442</v>
      </c>
      <c r="G716" s="108"/>
      <c r="H716" s="108"/>
      <c r="I716" s="109"/>
      <c r="J716" s="98" t="s">
        <v>5119</v>
      </c>
      <c r="K716" s="98" t="s">
        <v>5120</v>
      </c>
      <c r="L716" s="98" t="s">
        <v>5121</v>
      </c>
      <c r="M716" s="98" t="s">
        <v>5122</v>
      </c>
    </row>
    <row r="717" spans="2:27" ht="30">
      <c r="D717" s="100"/>
      <c r="E717" s="100"/>
      <c r="F717" s="55" t="s">
        <v>5388</v>
      </c>
      <c r="G717" s="55" t="s">
        <v>5393</v>
      </c>
      <c r="H717" s="55" t="s">
        <v>5395</v>
      </c>
      <c r="I717" s="55" t="s">
        <v>5396</v>
      </c>
      <c r="J717" s="100"/>
      <c r="K717" s="100"/>
      <c r="L717" s="100"/>
      <c r="M717" s="100"/>
    </row>
    <row r="718" spans="2:27">
      <c r="D718" s="45" t="s">
        <v>4048</v>
      </c>
      <c r="E718" s="45" t="s">
        <v>4038</v>
      </c>
      <c r="F718" s="45" t="s">
        <v>4039</v>
      </c>
      <c r="G718" s="45" t="s">
        <v>4040</v>
      </c>
      <c r="H718" s="45" t="s">
        <v>4042</v>
      </c>
      <c r="I718" s="45" t="s">
        <v>4044</v>
      </c>
      <c r="J718" s="45" t="s">
        <v>4045</v>
      </c>
      <c r="K718" s="45" t="s">
        <v>5443</v>
      </c>
      <c r="L718" s="45" t="s">
        <v>5444</v>
      </c>
      <c r="M718" s="45" t="s">
        <v>4047</v>
      </c>
      <c r="Z718" s="13" t="str">
        <f>Show!$B$158&amp;"SR.27.01.01.23 Rows {"&amp;COLUMN($C$1)&amp;"}"&amp;"@ForceFilingCode:true"</f>
        <v>!SR.27.01.01.23 Rows {3}@ForceFilingCode:true</v>
      </c>
      <c r="AA718" s="13" t="str">
        <f>Show!$B$158&amp;"SR.27.01.01.23 Columns {"&amp;COLUMN($D$1)&amp;"}"</f>
        <v>!SR.27.01.01.23 Columns {4}</v>
      </c>
    </row>
    <row r="719" spans="2:27">
      <c r="B719" s="43" t="s">
        <v>2880</v>
      </c>
      <c r="C719" s="44" t="s">
        <v>2878</v>
      </c>
      <c r="D719" s="58"/>
      <c r="E719" s="67"/>
      <c r="F719" s="67"/>
      <c r="G719" s="67"/>
      <c r="H719" s="67"/>
      <c r="I719" s="67"/>
      <c r="J719" s="67"/>
      <c r="K719" s="67"/>
      <c r="L719" s="67"/>
      <c r="M719" s="59"/>
    </row>
    <row r="720" spans="2:27">
      <c r="B720" s="47" t="s">
        <v>5445</v>
      </c>
      <c r="C720" s="44" t="s">
        <v>2878</v>
      </c>
      <c r="D720" s="56"/>
      <c r="E720" s="66"/>
      <c r="F720" s="66"/>
      <c r="G720" s="66"/>
      <c r="H720" s="66"/>
      <c r="I720" s="66"/>
      <c r="J720" s="66"/>
      <c r="K720" s="66"/>
      <c r="L720" s="66"/>
      <c r="M720" s="57"/>
    </row>
    <row r="721" spans="2:27">
      <c r="B721" s="49" t="s">
        <v>5523</v>
      </c>
      <c r="C721" s="41" t="s">
        <v>5524</v>
      </c>
      <c r="D721" s="51"/>
      <c r="E721" s="50"/>
      <c r="F721" s="60"/>
      <c r="G721" s="60"/>
      <c r="H721" s="60"/>
      <c r="I721" s="60"/>
      <c r="J721" s="60"/>
      <c r="K721" s="60"/>
      <c r="L721" s="60"/>
      <c r="M721" s="60"/>
    </row>
    <row r="723" spans="2:27">
      <c r="Z723" s="13" t="str">
        <f>Show!$B$158&amp;Show!$B$158&amp;"SR.27.01.01.23 Rows {"&amp;COLUMN($C$1)&amp;"}"</f>
        <v>!!SR.27.01.01.23 Rows {3}</v>
      </c>
      <c r="AA723" s="13" t="str">
        <f>Show!$B$158&amp;Show!$B$158&amp;"SR.27.01.01.23 Columns {"&amp;COLUMN($M$1)&amp;"}"</f>
        <v>!!SR.27.01.01.23 Columns {13}</v>
      </c>
    </row>
    <row r="725" spans="2:27" ht="18.75">
      <c r="B725" s="97" t="s">
        <v>5598</v>
      </c>
      <c r="C725" s="96"/>
      <c r="D725" s="96"/>
      <c r="E725" s="96"/>
      <c r="F725" s="96"/>
      <c r="G725" s="96"/>
      <c r="H725" s="96"/>
      <c r="I725" s="96"/>
      <c r="J725" s="96"/>
      <c r="K725" s="96"/>
      <c r="L725" s="96"/>
    </row>
    <row r="727" spans="2:27">
      <c r="B727" t="s">
        <v>3110</v>
      </c>
      <c r="Z727" s="13" t="str">
        <f>Show!$B$158&amp;"SR.27.01.01.24 Table label {"&amp;COLUMN($C$1)&amp;"}"</f>
        <v>!SR.27.01.01.24 Table label {3}</v>
      </c>
      <c r="AA727" s="13" t="str">
        <f>Show!$B$158&amp;"SR.27.01.01.24 Table value {"&amp;COLUMN($D$1)&amp;"}"</f>
        <v>!SR.27.01.01.24 Table value {4}</v>
      </c>
    </row>
    <row r="728" spans="2:27">
      <c r="B728" t="s">
        <v>3111</v>
      </c>
    </row>
    <row r="729" spans="2:27">
      <c r="B729" s="40" t="s">
        <v>3788</v>
      </c>
      <c r="C729" s="53" t="s">
        <v>3115</v>
      </c>
      <c r="D729" s="51"/>
    </row>
    <row r="730" spans="2:27">
      <c r="B730" s="40" t="s">
        <v>3114</v>
      </c>
      <c r="C730" s="53" t="s">
        <v>3323</v>
      </c>
      <c r="D730" s="50"/>
    </row>
    <row r="731" spans="2:27">
      <c r="Z731" s="13" t="str">
        <f>Show!$B$158&amp;Show!$B$158&amp;"SR.27.01.01.24 Table label {"&amp;COLUMN($C$1)&amp;"}"</f>
        <v>!!SR.27.01.01.24 Table label {3}</v>
      </c>
      <c r="AA731" s="13" t="str">
        <f>Show!$B$158&amp;Show!$B$158&amp;"SR.27.01.01.24 Table value {"&amp;COLUMN($D$1)&amp;"}"</f>
        <v>!!SR.27.01.01.24 Table value {4}</v>
      </c>
    </row>
    <row r="733" spans="2:27">
      <c r="D733" s="98" t="s">
        <v>5522</v>
      </c>
      <c r="E733" s="101" t="s">
        <v>2877</v>
      </c>
      <c r="F733" s="102"/>
      <c r="G733" s="102"/>
      <c r="H733" s="102"/>
      <c r="I733" s="102"/>
      <c r="J733" s="102"/>
      <c r="K733" s="102"/>
      <c r="L733" s="102"/>
      <c r="M733" s="102"/>
      <c r="N733" s="102"/>
      <c r="O733" s="102"/>
      <c r="P733" s="102"/>
      <c r="Q733" s="103"/>
    </row>
    <row r="734" spans="2:27">
      <c r="D734" s="99"/>
      <c r="E734" s="104"/>
      <c r="F734" s="105"/>
      <c r="G734" s="105"/>
      <c r="H734" s="105"/>
      <c r="I734" s="105"/>
      <c r="J734" s="105"/>
      <c r="K734" s="105"/>
      <c r="L734" s="105"/>
      <c r="M734" s="105"/>
      <c r="N734" s="105"/>
      <c r="O734" s="105"/>
      <c r="P734" s="105"/>
      <c r="Q734" s="106"/>
    </row>
    <row r="735" spans="2:27">
      <c r="D735" s="99"/>
      <c r="E735" s="107" t="s">
        <v>4916</v>
      </c>
      <c r="F735" s="109"/>
      <c r="G735" s="107" t="s">
        <v>4913</v>
      </c>
      <c r="H735" s="108"/>
      <c r="I735" s="108"/>
      <c r="J735" s="108"/>
      <c r="K735" s="108"/>
      <c r="L735" s="108"/>
      <c r="M735" s="109"/>
      <c r="N735" s="98" t="s">
        <v>5119</v>
      </c>
      <c r="O735" s="98" t="s">
        <v>5120</v>
      </c>
      <c r="P735" s="98" t="s">
        <v>5121</v>
      </c>
      <c r="Q735" s="98" t="s">
        <v>5122</v>
      </c>
    </row>
    <row r="736" spans="2:27" ht="60">
      <c r="D736" s="100"/>
      <c r="E736" s="55" t="s">
        <v>5480</v>
      </c>
      <c r="F736" s="55" t="s">
        <v>5481</v>
      </c>
      <c r="G736" s="55" t="s">
        <v>5482</v>
      </c>
      <c r="H736" s="55" t="s">
        <v>5483</v>
      </c>
      <c r="I736" s="55" t="s">
        <v>5484</v>
      </c>
      <c r="J736" s="55" t="s">
        <v>5485</v>
      </c>
      <c r="K736" s="55" t="s">
        <v>5486</v>
      </c>
      <c r="L736" s="55" t="s">
        <v>5487</v>
      </c>
      <c r="M736" s="55" t="s">
        <v>5488</v>
      </c>
      <c r="N736" s="100"/>
      <c r="O736" s="100"/>
      <c r="P736" s="100"/>
      <c r="Q736" s="100"/>
    </row>
    <row r="737" spans="2:27">
      <c r="D737" s="45" t="s">
        <v>4062</v>
      </c>
      <c r="E737" s="45" t="s">
        <v>4049</v>
      </c>
      <c r="F737" s="45" t="s">
        <v>4050</v>
      </c>
      <c r="G737" s="45" t="s">
        <v>4051</v>
      </c>
      <c r="H737" s="45" t="s">
        <v>4052</v>
      </c>
      <c r="I737" s="45" t="s">
        <v>4053</v>
      </c>
      <c r="J737" s="45" t="s">
        <v>4054</v>
      </c>
      <c r="K737" s="45" t="s">
        <v>4055</v>
      </c>
      <c r="L737" s="45" t="s">
        <v>4056</v>
      </c>
      <c r="M737" s="45" t="s">
        <v>4057</v>
      </c>
      <c r="N737" s="45" t="s">
        <v>4058</v>
      </c>
      <c r="O737" s="45" t="s">
        <v>4059</v>
      </c>
      <c r="P737" s="45" t="s">
        <v>4060</v>
      </c>
      <c r="Q737" s="45" t="s">
        <v>4061</v>
      </c>
      <c r="Z737" s="13" t="str">
        <f>Show!$B$158&amp;"SR.27.01.01.24 Rows {"&amp;COLUMN($C$1)&amp;"}"&amp;"@ForceFilingCode:true"</f>
        <v>!SR.27.01.01.24 Rows {3}@ForceFilingCode:true</v>
      </c>
      <c r="AA737" s="13" t="str">
        <f>Show!$B$158&amp;"SR.27.01.01.24 Columns {"&amp;COLUMN($D$1)&amp;"}"</f>
        <v>!SR.27.01.01.24 Columns {4}</v>
      </c>
    </row>
    <row r="738" spans="2:27">
      <c r="B738" s="43" t="s">
        <v>2880</v>
      </c>
      <c r="C738" s="44" t="s">
        <v>2878</v>
      </c>
      <c r="D738" s="58"/>
      <c r="E738" s="67"/>
      <c r="F738" s="67"/>
      <c r="G738" s="67"/>
      <c r="H738" s="67"/>
      <c r="I738" s="67"/>
      <c r="J738" s="67"/>
      <c r="K738" s="67"/>
      <c r="L738" s="67"/>
      <c r="M738" s="67"/>
      <c r="N738" s="67"/>
      <c r="O738" s="67"/>
      <c r="P738" s="67"/>
      <c r="Q738" s="59"/>
    </row>
    <row r="739" spans="2:27">
      <c r="B739" s="47" t="s">
        <v>5489</v>
      </c>
      <c r="C739" s="44" t="s">
        <v>2878</v>
      </c>
      <c r="D739" s="56"/>
      <c r="E739" s="67"/>
      <c r="F739" s="67"/>
      <c r="G739" s="66"/>
      <c r="H739" s="66"/>
      <c r="I739" s="66"/>
      <c r="J739" s="66"/>
      <c r="K739" s="66"/>
      <c r="L739" s="66"/>
      <c r="M739" s="66"/>
      <c r="N739" s="66"/>
      <c r="O739" s="67"/>
      <c r="P739" s="67"/>
      <c r="Q739" s="59"/>
    </row>
    <row r="740" spans="2:27">
      <c r="B740" s="49" t="s">
        <v>5526</v>
      </c>
      <c r="C740" s="41" t="s">
        <v>5527</v>
      </c>
      <c r="D740" s="51"/>
      <c r="E740" s="56"/>
      <c r="F740" s="46"/>
      <c r="G740" s="50"/>
      <c r="H740" s="60"/>
      <c r="I740" s="70"/>
      <c r="J740" s="60"/>
      <c r="K740" s="70"/>
      <c r="L740" s="60"/>
      <c r="M740" s="70"/>
      <c r="N740" s="64"/>
      <c r="O740" s="56"/>
      <c r="P740" s="56"/>
      <c r="Q740" s="46"/>
    </row>
    <row r="742" spans="2:27">
      <c r="Z742" s="13" t="str">
        <f>Show!$B$158&amp;Show!$B$158&amp;"SR.27.01.01.24 Rows {"&amp;COLUMN($C$1)&amp;"}"</f>
        <v>!!SR.27.01.01.24 Rows {3}</v>
      </c>
      <c r="AA742" s="13" t="str">
        <f>Show!$B$158&amp;Show!$B$158&amp;"SR.27.01.01.24 Columns {"&amp;COLUMN($Q$1)&amp;"}"</f>
        <v>!!SR.27.01.01.24 Columns {17}</v>
      </c>
    </row>
    <row r="744" spans="2:27" ht="18.75">
      <c r="B744" s="97" t="s">
        <v>5599</v>
      </c>
      <c r="C744" s="96"/>
      <c r="D744" s="96"/>
      <c r="E744" s="96"/>
      <c r="F744" s="96"/>
      <c r="G744" s="96"/>
      <c r="H744" s="96"/>
      <c r="I744" s="96"/>
      <c r="J744" s="96"/>
      <c r="K744" s="96"/>
      <c r="L744" s="96"/>
    </row>
    <row r="746" spans="2:27">
      <c r="B746" t="s">
        <v>3110</v>
      </c>
      <c r="Z746" s="13" t="str">
        <f>Show!$B$158&amp;"SR.27.01.01.25 Table label {"&amp;COLUMN($C$1)&amp;"}"</f>
        <v>!SR.27.01.01.25 Table label {3}</v>
      </c>
      <c r="AA746" s="13" t="str">
        <f>Show!$B$158&amp;"SR.27.01.01.25 Table value {"&amp;COLUMN($D$1)&amp;"}"</f>
        <v>!SR.27.01.01.25 Table value {4}</v>
      </c>
    </row>
    <row r="747" spans="2:27">
      <c r="B747" t="s">
        <v>3111</v>
      </c>
    </row>
    <row r="748" spans="2:27">
      <c r="B748" s="40" t="s">
        <v>3788</v>
      </c>
      <c r="C748" s="53" t="s">
        <v>3115</v>
      </c>
      <c r="D748" s="51"/>
    </row>
    <row r="749" spans="2:27">
      <c r="B749" s="40" t="s">
        <v>3114</v>
      </c>
      <c r="C749" s="53" t="s">
        <v>3323</v>
      </c>
      <c r="D749" s="50"/>
    </row>
    <row r="750" spans="2:27">
      <c r="Z750" s="13" t="str">
        <f>Show!$B$158&amp;Show!$B$158&amp;"SR.27.01.01.25 Table label {"&amp;COLUMN($C$1)&amp;"}"</f>
        <v>!!SR.27.01.01.25 Table label {3}</v>
      </c>
      <c r="AA750" s="13" t="str">
        <f>Show!$B$158&amp;Show!$B$158&amp;"SR.27.01.01.25 Table value {"&amp;COLUMN($D$1)&amp;"}"</f>
        <v>!!SR.27.01.01.25 Table value {4}</v>
      </c>
    </row>
    <row r="752" spans="2:27">
      <c r="D752" s="101" t="s">
        <v>2877</v>
      </c>
      <c r="E752" s="102"/>
      <c r="F752" s="102"/>
      <c r="G752" s="102"/>
      <c r="H752" s="102"/>
      <c r="I752" s="102"/>
      <c r="J752" s="102"/>
      <c r="K752" s="102"/>
      <c r="L752" s="102"/>
      <c r="M752" s="102"/>
      <c r="N752" s="102"/>
      <c r="O752" s="102"/>
      <c r="P752" s="103"/>
    </row>
    <row r="753" spans="2:27">
      <c r="D753" s="104"/>
      <c r="E753" s="105"/>
      <c r="F753" s="105"/>
      <c r="G753" s="105"/>
      <c r="H753" s="105"/>
      <c r="I753" s="105"/>
      <c r="J753" s="105"/>
      <c r="K753" s="105"/>
      <c r="L753" s="105"/>
      <c r="M753" s="105"/>
      <c r="N753" s="105"/>
      <c r="O753" s="105"/>
      <c r="P753" s="106"/>
    </row>
    <row r="754" spans="2:27">
      <c r="D754" s="107" t="s">
        <v>4916</v>
      </c>
      <c r="E754" s="109"/>
      <c r="F754" s="107" t="s">
        <v>4913</v>
      </c>
      <c r="G754" s="108"/>
      <c r="H754" s="108"/>
      <c r="I754" s="108"/>
      <c r="J754" s="108"/>
      <c r="K754" s="108"/>
      <c r="L754" s="109"/>
      <c r="M754" s="98" t="s">
        <v>5119</v>
      </c>
      <c r="N754" s="98" t="s">
        <v>5120</v>
      </c>
      <c r="O754" s="98" t="s">
        <v>5121</v>
      </c>
      <c r="P754" s="98" t="s">
        <v>5122</v>
      </c>
    </row>
    <row r="755" spans="2:27" ht="60">
      <c r="D755" s="55" t="s">
        <v>5480</v>
      </c>
      <c r="E755" s="55" t="s">
        <v>5481</v>
      </c>
      <c r="F755" s="55" t="s">
        <v>5482</v>
      </c>
      <c r="G755" s="55" t="s">
        <v>5483</v>
      </c>
      <c r="H755" s="55" t="s">
        <v>5484</v>
      </c>
      <c r="I755" s="55" t="s">
        <v>5485</v>
      </c>
      <c r="J755" s="55" t="s">
        <v>5486</v>
      </c>
      <c r="K755" s="55" t="s">
        <v>5487</v>
      </c>
      <c r="L755" s="55" t="s">
        <v>5488</v>
      </c>
      <c r="M755" s="100"/>
      <c r="N755" s="100"/>
      <c r="O755" s="100"/>
      <c r="P755" s="100"/>
    </row>
    <row r="756" spans="2:27">
      <c r="D756" s="45" t="s">
        <v>4049</v>
      </c>
      <c r="E756" s="45" t="s">
        <v>4050</v>
      </c>
      <c r="F756" s="45" t="s">
        <v>4051</v>
      </c>
      <c r="G756" s="45" t="s">
        <v>4052</v>
      </c>
      <c r="H756" s="45" t="s">
        <v>4053</v>
      </c>
      <c r="I756" s="45" t="s">
        <v>4054</v>
      </c>
      <c r="J756" s="45" t="s">
        <v>4055</v>
      </c>
      <c r="K756" s="45" t="s">
        <v>4056</v>
      </c>
      <c r="L756" s="45" t="s">
        <v>4057</v>
      </c>
      <c r="M756" s="45" t="s">
        <v>4058</v>
      </c>
      <c r="N756" s="45" t="s">
        <v>4059</v>
      </c>
      <c r="O756" s="45" t="s">
        <v>4060</v>
      </c>
      <c r="P756" s="45" t="s">
        <v>4061</v>
      </c>
      <c r="Z756" s="13" t="str">
        <f>Show!$B$158&amp;"SR.27.01.01.25 Rows {"&amp;COLUMN($C$1)&amp;"}"&amp;"@ForceFilingCode:true"</f>
        <v>!SR.27.01.01.25 Rows {3}@ForceFilingCode:true</v>
      </c>
      <c r="AA756" s="13" t="str">
        <f>Show!$B$158&amp;"SR.27.01.01.25 Columns {"&amp;COLUMN($D$1)&amp;"}"</f>
        <v>!SR.27.01.01.25 Columns {4}</v>
      </c>
    </row>
    <row r="757" spans="2:27">
      <c r="B757" s="43" t="s">
        <v>2880</v>
      </c>
      <c r="C757" s="44" t="s">
        <v>2878</v>
      </c>
      <c r="D757" s="58"/>
      <c r="E757" s="67"/>
      <c r="F757" s="67"/>
      <c r="G757" s="67"/>
      <c r="H757" s="67"/>
      <c r="I757" s="67"/>
      <c r="J757" s="67"/>
      <c r="K757" s="67"/>
      <c r="L757" s="67"/>
      <c r="M757" s="67"/>
      <c r="N757" s="67"/>
      <c r="O757" s="67"/>
      <c r="P757" s="59"/>
    </row>
    <row r="758" spans="2:27">
      <c r="B758" s="47" t="s">
        <v>5489</v>
      </c>
      <c r="C758" s="44" t="s">
        <v>2878</v>
      </c>
      <c r="D758" s="56"/>
      <c r="E758" s="66"/>
      <c r="F758" s="67"/>
      <c r="G758" s="67"/>
      <c r="H758" s="67"/>
      <c r="I758" s="67"/>
      <c r="J758" s="67"/>
      <c r="K758" s="67"/>
      <c r="L758" s="67"/>
      <c r="M758" s="66"/>
      <c r="N758" s="66"/>
      <c r="O758" s="66"/>
      <c r="P758" s="57"/>
    </row>
    <row r="759" spans="2:27">
      <c r="B759" s="49" t="s">
        <v>5529</v>
      </c>
      <c r="C759" s="41" t="s">
        <v>5530</v>
      </c>
      <c r="D759" s="50"/>
      <c r="E759" s="64"/>
      <c r="F759" s="56"/>
      <c r="G759" s="56"/>
      <c r="H759" s="56"/>
      <c r="I759" s="56"/>
      <c r="J759" s="56"/>
      <c r="K759" s="56"/>
      <c r="L759" s="46"/>
      <c r="M759" s="60"/>
      <c r="N759" s="60"/>
      <c r="O759" s="60"/>
      <c r="P759" s="60"/>
    </row>
    <row r="761" spans="2:27">
      <c r="Z761" s="13" t="str">
        <f>Show!$B$158&amp;Show!$B$158&amp;"SR.27.01.01.25 Rows {"&amp;COLUMN($C$1)&amp;"}"</f>
        <v>!!SR.27.01.01.25 Rows {3}</v>
      </c>
      <c r="AA761" s="13" t="str">
        <f>Show!$B$158&amp;Show!$B$158&amp;"SR.27.01.01.25 Columns {"&amp;COLUMN($P$1)&amp;"}"</f>
        <v>!!SR.27.01.01.25 Columns {16}</v>
      </c>
    </row>
    <row r="763" spans="2:27" ht="18.75">
      <c r="B763" s="97" t="s">
        <v>5600</v>
      </c>
      <c r="C763" s="96"/>
      <c r="D763" s="96"/>
      <c r="E763" s="96"/>
      <c r="F763" s="96"/>
      <c r="G763" s="96"/>
      <c r="H763" s="96"/>
      <c r="I763" s="96"/>
      <c r="J763" s="96"/>
      <c r="K763" s="96"/>
      <c r="L763" s="96"/>
    </row>
    <row r="765" spans="2:27">
      <c r="B765" t="s">
        <v>3110</v>
      </c>
      <c r="Z765" s="13" t="str">
        <f>Show!$B$158&amp;"SR.27.01.01.26 Table label {"&amp;COLUMN($C$1)&amp;"}"</f>
        <v>!SR.27.01.01.26 Table label {3}</v>
      </c>
      <c r="AA765" s="13" t="str">
        <f>Show!$B$158&amp;"SR.27.01.01.26 Table value {"&amp;COLUMN($D$1)&amp;"}"</f>
        <v>!SR.27.01.01.26 Table value {4}</v>
      </c>
    </row>
    <row r="766" spans="2:27">
      <c r="B766" t="s">
        <v>3111</v>
      </c>
    </row>
    <row r="767" spans="2:27">
      <c r="B767" s="40" t="s">
        <v>3788</v>
      </c>
      <c r="C767" s="53" t="s">
        <v>3115</v>
      </c>
      <c r="D767" s="51"/>
    </row>
    <row r="768" spans="2:27">
      <c r="B768" s="40" t="s">
        <v>3114</v>
      </c>
      <c r="C768" s="53" t="s">
        <v>3323</v>
      </c>
      <c r="D768" s="50"/>
    </row>
    <row r="769" spans="2:27">
      <c r="Z769" s="13" t="str">
        <f>Show!$B$158&amp;Show!$B$158&amp;"SR.27.01.01.26 Table label {"&amp;COLUMN($C$1)&amp;"}"</f>
        <v>!!SR.27.01.01.26 Table label {3}</v>
      </c>
      <c r="AA769" s="13" t="str">
        <f>Show!$B$158&amp;Show!$B$158&amp;"SR.27.01.01.26 Table value {"&amp;COLUMN($D$1)&amp;"}"</f>
        <v>!!SR.27.01.01.26 Table value {4}</v>
      </c>
    </row>
    <row r="771" spans="2:27">
      <c r="D771" s="101" t="s">
        <v>2877</v>
      </c>
      <c r="E771" s="102"/>
      <c r="F771" s="102"/>
      <c r="G771" s="102"/>
      <c r="H771" s="102"/>
      <c r="I771" s="102"/>
      <c r="J771" s="102"/>
      <c r="K771" s="102"/>
      <c r="L771" s="103"/>
    </row>
    <row r="772" spans="2:27">
      <c r="D772" s="104"/>
      <c r="E772" s="105"/>
      <c r="F772" s="105"/>
      <c r="G772" s="105"/>
      <c r="H772" s="105"/>
      <c r="I772" s="105"/>
      <c r="J772" s="105"/>
      <c r="K772" s="105"/>
      <c r="L772" s="106"/>
    </row>
    <row r="773" spans="2:27">
      <c r="D773" s="98" t="s">
        <v>5441</v>
      </c>
      <c r="E773" s="107" t="s">
        <v>5442</v>
      </c>
      <c r="F773" s="108"/>
      <c r="G773" s="108"/>
      <c r="H773" s="109"/>
      <c r="I773" s="98" t="s">
        <v>5119</v>
      </c>
      <c r="J773" s="98" t="s">
        <v>5120</v>
      </c>
      <c r="K773" s="98" t="s">
        <v>5121</v>
      </c>
      <c r="L773" s="98" t="s">
        <v>5122</v>
      </c>
    </row>
    <row r="774" spans="2:27" ht="30">
      <c r="D774" s="100"/>
      <c r="E774" s="55" t="s">
        <v>5388</v>
      </c>
      <c r="F774" s="55" t="s">
        <v>5393</v>
      </c>
      <c r="G774" s="55" t="s">
        <v>5395</v>
      </c>
      <c r="H774" s="55" t="s">
        <v>5396</v>
      </c>
      <c r="I774" s="100"/>
      <c r="J774" s="100"/>
      <c r="K774" s="100"/>
      <c r="L774" s="100"/>
    </row>
    <row r="775" spans="2:27">
      <c r="D775" s="45" t="s">
        <v>4038</v>
      </c>
      <c r="E775" s="45" t="s">
        <v>4039</v>
      </c>
      <c r="F775" s="45" t="s">
        <v>4040</v>
      </c>
      <c r="G775" s="45" t="s">
        <v>4042</v>
      </c>
      <c r="H775" s="45" t="s">
        <v>4044</v>
      </c>
      <c r="I775" s="45" t="s">
        <v>4045</v>
      </c>
      <c r="J775" s="45" t="s">
        <v>5443</v>
      </c>
      <c r="K775" s="45" t="s">
        <v>5444</v>
      </c>
      <c r="L775" s="45" t="s">
        <v>4047</v>
      </c>
      <c r="Z775" s="13" t="str">
        <f>Show!$B$158&amp;"SR.27.01.01.26 Rows {"&amp;COLUMN($C$1)&amp;"}"&amp;"@ForceFilingCode:true"</f>
        <v>!SR.27.01.01.26 Rows {3}@ForceFilingCode:true</v>
      </c>
      <c r="AA775" s="13" t="str">
        <f>Show!$B$158&amp;"SR.27.01.01.26 Columns {"&amp;COLUMN($D$1)&amp;"}"</f>
        <v>!SR.27.01.01.26 Columns {4}</v>
      </c>
    </row>
    <row r="776" spans="2:27">
      <c r="B776" s="43" t="s">
        <v>2880</v>
      </c>
      <c r="C776" s="44" t="s">
        <v>2878</v>
      </c>
      <c r="D776" s="58"/>
      <c r="E776" s="67"/>
      <c r="F776" s="67"/>
      <c r="G776" s="67"/>
      <c r="H776" s="67"/>
      <c r="I776" s="67"/>
      <c r="J776" s="67"/>
      <c r="K776" s="67"/>
      <c r="L776" s="59"/>
    </row>
    <row r="777" spans="2:27">
      <c r="B777" s="47" t="s">
        <v>5445</v>
      </c>
      <c r="C777" s="44" t="s">
        <v>2878</v>
      </c>
      <c r="D777" s="58"/>
      <c r="E777" s="67"/>
      <c r="F777" s="67"/>
      <c r="G777" s="67"/>
      <c r="H777" s="67"/>
      <c r="I777" s="66"/>
      <c r="J777" s="66"/>
      <c r="K777" s="66"/>
      <c r="L777" s="57"/>
    </row>
    <row r="778" spans="2:27">
      <c r="B778" s="49" t="s">
        <v>5532</v>
      </c>
      <c r="C778" s="44" t="s">
        <v>5533</v>
      </c>
      <c r="D778" s="58"/>
      <c r="E778" s="58"/>
      <c r="F778" s="58"/>
      <c r="G778" s="58"/>
      <c r="H778" s="48"/>
      <c r="I778" s="60"/>
      <c r="J778" s="63"/>
      <c r="K778" s="63"/>
      <c r="L778" s="60"/>
    </row>
    <row r="779" spans="2:27">
      <c r="B779" s="49" t="s">
        <v>5436</v>
      </c>
      <c r="C779" s="44" t="s">
        <v>5534</v>
      </c>
      <c r="D779" s="58"/>
      <c r="E779" s="58"/>
      <c r="F779" s="58"/>
      <c r="G779" s="58"/>
      <c r="H779" s="48"/>
      <c r="I779" s="64"/>
      <c r="J779" s="58"/>
      <c r="K779" s="48"/>
      <c r="L779" s="60"/>
    </row>
    <row r="780" spans="2:27">
      <c r="B780" s="49" t="s">
        <v>5535</v>
      </c>
      <c r="C780" s="44" t="s">
        <v>5536</v>
      </c>
      <c r="D780" s="56"/>
      <c r="E780" s="56"/>
      <c r="F780" s="56"/>
      <c r="G780" s="56"/>
      <c r="H780" s="46"/>
      <c r="I780" s="64"/>
      <c r="J780" s="56"/>
      <c r="K780" s="46"/>
      <c r="L780" s="60"/>
    </row>
    <row r="782" spans="2:27">
      <c r="Z782" s="13" t="str">
        <f>Show!$B$158&amp;Show!$B$158&amp;"SR.27.01.01.26 Rows {"&amp;COLUMN($C$1)&amp;"}"</f>
        <v>!!SR.27.01.01.26 Rows {3}</v>
      </c>
      <c r="AA782" s="13" t="str">
        <f>Show!$B$158&amp;Show!$B$158&amp;"SR.27.01.01.26 Columns {"&amp;COLUMN($L$1)&amp;"}"</f>
        <v>!!SR.27.01.01.26 Columns {12}</v>
      </c>
    </row>
    <row r="784" spans="2:27" ht="18.75">
      <c r="B784" s="97" t="s">
        <v>5601</v>
      </c>
      <c r="C784" s="96"/>
      <c r="D784" s="96"/>
      <c r="E784" s="96"/>
      <c r="F784" s="96"/>
      <c r="G784" s="96"/>
      <c r="H784" s="96"/>
      <c r="I784" s="96"/>
      <c r="J784" s="96"/>
      <c r="K784" s="96"/>
      <c r="L784" s="96"/>
    </row>
    <row r="786" spans="2:27">
      <c r="B786" t="s">
        <v>3110</v>
      </c>
      <c r="Z786" s="13" t="str">
        <f>Show!$B$158&amp;"SR.27.01.01.27 Table label {"&amp;COLUMN($C$1)&amp;"}"</f>
        <v>!SR.27.01.01.27 Table label {3}</v>
      </c>
      <c r="AA786" s="13" t="str">
        <f>Show!$B$158&amp;"SR.27.01.01.27 Table value {"&amp;COLUMN($D$1)&amp;"}"</f>
        <v>!SR.27.01.01.27 Table value {4}</v>
      </c>
    </row>
    <row r="787" spans="2:27">
      <c r="B787" t="s">
        <v>3111</v>
      </c>
    </row>
    <row r="788" spans="2:27">
      <c r="B788" s="40" t="s">
        <v>3788</v>
      </c>
      <c r="C788" s="53" t="s">
        <v>3115</v>
      </c>
      <c r="D788" s="51"/>
    </row>
    <row r="789" spans="2:27">
      <c r="B789" s="40" t="s">
        <v>3114</v>
      </c>
      <c r="C789" s="53" t="s">
        <v>3323</v>
      </c>
      <c r="D789" s="50"/>
    </row>
    <row r="790" spans="2:27">
      <c r="Z790" s="13" t="str">
        <f>Show!$B$158&amp;Show!$B$158&amp;"SR.27.01.01.27 Table label {"&amp;COLUMN($C$1)&amp;"}"</f>
        <v>!!SR.27.01.01.27 Table label {3}</v>
      </c>
      <c r="AA790" s="13" t="str">
        <f>Show!$B$158&amp;Show!$B$158&amp;"SR.27.01.01.27 Table value {"&amp;COLUMN($D$1)&amp;"}"</f>
        <v>!!SR.27.01.01.27 Table value {4}</v>
      </c>
    </row>
    <row r="792" spans="2:27">
      <c r="D792" s="98" t="s">
        <v>2877</v>
      </c>
    </row>
    <row r="793" spans="2:27">
      <c r="D793" s="100"/>
    </row>
    <row r="794" spans="2:27" ht="30">
      <c r="D794" s="55" t="s">
        <v>2574</v>
      </c>
    </row>
    <row r="795" spans="2:27">
      <c r="D795" s="45" t="s">
        <v>3581</v>
      </c>
      <c r="Z795" s="13" t="str">
        <f>Show!$B$158&amp;"SR.27.01.01.27 Rows {"&amp;COLUMN($C$1)&amp;"}"&amp;"@ForceFilingCode:true"</f>
        <v>!SR.27.01.01.27 Rows {3}@ForceFilingCode:true</v>
      </c>
      <c r="AA795" s="13" t="str">
        <f>Show!$B$158&amp;"SR.27.01.01.27 Columns {"&amp;COLUMN($D$1)&amp;"}"</f>
        <v>!SR.27.01.01.27 Columns {4}</v>
      </c>
    </row>
    <row r="796" spans="2:27">
      <c r="B796" s="43" t="s">
        <v>2880</v>
      </c>
      <c r="C796" s="44" t="s">
        <v>2878</v>
      </c>
      <c r="D796" s="46"/>
    </row>
    <row r="797" spans="2:27">
      <c r="B797" s="47" t="s">
        <v>5538</v>
      </c>
      <c r="C797" s="41" t="s">
        <v>4601</v>
      </c>
      <c r="D797" s="51"/>
    </row>
    <row r="798" spans="2:27">
      <c r="B798" s="47" t="s">
        <v>5539</v>
      </c>
      <c r="C798" s="41" t="s">
        <v>5540</v>
      </c>
      <c r="D798" s="51"/>
    </row>
    <row r="800" spans="2:27">
      <c r="Z800" s="13" t="str">
        <f>Show!$B$158&amp;Show!$B$158&amp;"SR.27.01.01.27 Rows {"&amp;COLUMN($C$1)&amp;"}"</f>
        <v>!!SR.27.01.01.27 Rows {3}</v>
      </c>
      <c r="AA800" s="13" t="str">
        <f>Show!$B$158&amp;Show!$B$158&amp;"SR.27.01.01.27 Columns {"&amp;COLUMN($D$1)&amp;"}"</f>
        <v>!!SR.27.01.01.27 Columns {4}</v>
      </c>
    </row>
    <row r="802" spans="2:27" ht="18.75">
      <c r="B802" s="97" t="s">
        <v>5602</v>
      </c>
      <c r="C802" s="96"/>
      <c r="D802" s="96"/>
      <c r="E802" s="96"/>
      <c r="F802" s="96"/>
      <c r="G802" s="96"/>
      <c r="H802" s="96"/>
      <c r="I802" s="96"/>
      <c r="J802" s="96"/>
      <c r="K802" s="96"/>
      <c r="L802" s="96"/>
    </row>
    <row r="804" spans="2:27">
      <c r="B804" t="s">
        <v>3110</v>
      </c>
      <c r="Z804" s="13" t="str">
        <f>Show!$B$158&amp;"SR.27.01.01.28 Table label {"&amp;COLUMN($C$1)&amp;"}"</f>
        <v>!SR.27.01.01.28 Table label {3}</v>
      </c>
      <c r="AA804" s="13" t="str">
        <f>Show!$B$158&amp;"SR.27.01.01.28 Table value {"&amp;COLUMN($D$1)&amp;"}"</f>
        <v>!SR.27.01.01.28 Table value {4}</v>
      </c>
    </row>
    <row r="805" spans="2:27">
      <c r="B805" t="s">
        <v>3111</v>
      </c>
    </row>
    <row r="806" spans="2:27">
      <c r="B806" s="40" t="s">
        <v>3788</v>
      </c>
      <c r="C806" s="53" t="s">
        <v>3115</v>
      </c>
      <c r="D806" s="51"/>
    </row>
    <row r="807" spans="2:27">
      <c r="B807" s="40" t="s">
        <v>3114</v>
      </c>
      <c r="C807" s="53" t="s">
        <v>3323</v>
      </c>
      <c r="D807" s="50"/>
    </row>
    <row r="808" spans="2:27">
      <c r="Z808" s="13" t="str">
        <f>Show!$B$158&amp;Show!$B$158&amp;"SR.27.01.01.28 Table label {"&amp;COLUMN($C$1)&amp;"}"</f>
        <v>!!SR.27.01.01.28 Table label {3}</v>
      </c>
      <c r="AA808" s="13" t="str">
        <f>Show!$B$158&amp;Show!$B$158&amp;"SR.27.01.01.28 Table value {"&amp;COLUMN($D$1)&amp;"}"</f>
        <v>!!SR.27.01.01.28 Table value {4}</v>
      </c>
    </row>
    <row r="810" spans="2:27">
      <c r="D810" s="98" t="s">
        <v>2877</v>
      </c>
    </row>
    <row r="811" spans="2:27">
      <c r="D811" s="100"/>
    </row>
    <row r="812" spans="2:27">
      <c r="D812" s="55" t="s">
        <v>5542</v>
      </c>
    </row>
    <row r="813" spans="2:27">
      <c r="D813" s="45" t="s">
        <v>5543</v>
      </c>
      <c r="Z813" s="13" t="str">
        <f>Show!$B$158&amp;"SR.27.01.01.28 Rows {"&amp;COLUMN($C$1)&amp;"}"&amp;"@ForceFilingCode:true"</f>
        <v>!SR.27.01.01.28 Rows {3}@ForceFilingCode:true</v>
      </c>
      <c r="AA813" s="13" t="str">
        <f>Show!$B$158&amp;"SR.27.01.01.28 Columns {"&amp;COLUMN($D$1)&amp;"}"</f>
        <v>!SR.27.01.01.28 Columns {4}</v>
      </c>
    </row>
    <row r="814" spans="2:27">
      <c r="B814" s="43" t="s">
        <v>2880</v>
      </c>
      <c r="C814" s="44" t="s">
        <v>2878</v>
      </c>
      <c r="D814" s="46"/>
    </row>
    <row r="815" spans="2:27">
      <c r="B815" s="47" t="s">
        <v>5544</v>
      </c>
      <c r="C815" s="41" t="s">
        <v>5545</v>
      </c>
      <c r="D815" s="50"/>
    </row>
    <row r="817" spans="26:27">
      <c r="Z817" s="13" t="str">
        <f>Show!$B$158&amp;Show!$B$158&amp;"SR.27.01.01.28 Rows {"&amp;COLUMN($C$1)&amp;"}"</f>
        <v>!!SR.27.01.01.28 Rows {3}</v>
      </c>
      <c r="AA817" s="13" t="str">
        <f>Show!$B$158&amp;Show!$B$158&amp;"SR.27.01.01.28 Columns {"&amp;COLUMN($D$1)&amp;"}"</f>
        <v>!!SR.27.01.01.28 Columns {4}</v>
      </c>
    </row>
  </sheetData>
  <sheetProtection sheet="1" objects="1" scenarios="1"/>
  <mergeCells count="160">
    <mergeCell ref="B784:L784"/>
    <mergeCell ref="D792:D793"/>
    <mergeCell ref="B802:L802"/>
    <mergeCell ref="D810:D811"/>
    <mergeCell ref="B763:L763"/>
    <mergeCell ref="D771:L772"/>
    <mergeCell ref="D773:D774"/>
    <mergeCell ref="E773:H773"/>
    <mergeCell ref="I773:I774"/>
    <mergeCell ref="J773:J774"/>
    <mergeCell ref="K773:K774"/>
    <mergeCell ref="L773:L774"/>
    <mergeCell ref="B744:L744"/>
    <mergeCell ref="D752:P753"/>
    <mergeCell ref="D754:E754"/>
    <mergeCell ref="F754:L754"/>
    <mergeCell ref="M754:M755"/>
    <mergeCell ref="N754:N755"/>
    <mergeCell ref="O754:O755"/>
    <mergeCell ref="P754:P755"/>
    <mergeCell ref="B725:L725"/>
    <mergeCell ref="D733:D736"/>
    <mergeCell ref="E733:Q734"/>
    <mergeCell ref="E735:F735"/>
    <mergeCell ref="G735:M735"/>
    <mergeCell ref="N735:N736"/>
    <mergeCell ref="O735:O736"/>
    <mergeCell ref="P735:P736"/>
    <mergeCell ref="Q735:Q736"/>
    <mergeCell ref="B706:L706"/>
    <mergeCell ref="D714:D717"/>
    <mergeCell ref="E714:M715"/>
    <mergeCell ref="E716:E717"/>
    <mergeCell ref="F716:I716"/>
    <mergeCell ref="J716:J717"/>
    <mergeCell ref="K716:K717"/>
    <mergeCell ref="L716:L717"/>
    <mergeCell ref="M716:M717"/>
    <mergeCell ref="B657:L657"/>
    <mergeCell ref="D665:P666"/>
    <mergeCell ref="D667:E667"/>
    <mergeCell ref="F667:L667"/>
    <mergeCell ref="M667:M668"/>
    <mergeCell ref="N667:N668"/>
    <mergeCell ref="O667:O668"/>
    <mergeCell ref="P667:P668"/>
    <mergeCell ref="N566:N567"/>
    <mergeCell ref="O566:O567"/>
    <mergeCell ref="B608:L608"/>
    <mergeCell ref="D616:L617"/>
    <mergeCell ref="D618:D619"/>
    <mergeCell ref="E618:H618"/>
    <mergeCell ref="I618:I619"/>
    <mergeCell ref="J618:J619"/>
    <mergeCell ref="K618:K619"/>
    <mergeCell ref="L618:L619"/>
    <mergeCell ref="D566:E566"/>
    <mergeCell ref="F566:G566"/>
    <mergeCell ref="H566:I566"/>
    <mergeCell ref="J566:K566"/>
    <mergeCell ref="L566:L567"/>
    <mergeCell ref="M566:M567"/>
    <mergeCell ref="D521:F521"/>
    <mergeCell ref="B531:L531"/>
    <mergeCell ref="D539:G540"/>
    <mergeCell ref="D541:G541"/>
    <mergeCell ref="B556:L556"/>
    <mergeCell ref="D564:O565"/>
    <mergeCell ref="D483:I483"/>
    <mergeCell ref="B493:L493"/>
    <mergeCell ref="D501:H502"/>
    <mergeCell ref="D503:H503"/>
    <mergeCell ref="B511:L511"/>
    <mergeCell ref="D519:F520"/>
    <mergeCell ref="D440:J440"/>
    <mergeCell ref="B453:L453"/>
    <mergeCell ref="D461:F462"/>
    <mergeCell ref="D463:F463"/>
    <mergeCell ref="B473:L473"/>
    <mergeCell ref="D481:I482"/>
    <mergeCell ref="D404:I404"/>
    <mergeCell ref="B412:L412"/>
    <mergeCell ref="D420:G421"/>
    <mergeCell ref="D422:G422"/>
    <mergeCell ref="B430:L430"/>
    <mergeCell ref="D438:J439"/>
    <mergeCell ref="D365:M366"/>
    <mergeCell ref="B374:L374"/>
    <mergeCell ref="D382:F383"/>
    <mergeCell ref="D384:F384"/>
    <mergeCell ref="B394:L394"/>
    <mergeCell ref="D402:I403"/>
    <mergeCell ref="B322:L322"/>
    <mergeCell ref="D330:I331"/>
    <mergeCell ref="D332:I332"/>
    <mergeCell ref="B340:L340"/>
    <mergeCell ref="D348:K349"/>
    <mergeCell ref="B357:L357"/>
    <mergeCell ref="B304:L304"/>
    <mergeCell ref="D312:H313"/>
    <mergeCell ref="D314:H314"/>
    <mergeCell ref="J241:J242"/>
    <mergeCell ref="K241:K242"/>
    <mergeCell ref="L241:L242"/>
    <mergeCell ref="B283:L283"/>
    <mergeCell ref="D291:K292"/>
    <mergeCell ref="D293:D294"/>
    <mergeCell ref="E293:E294"/>
    <mergeCell ref="F293:F294"/>
    <mergeCell ref="G293:G294"/>
    <mergeCell ref="H293:H294"/>
    <mergeCell ref="B231:L231"/>
    <mergeCell ref="D239:L240"/>
    <mergeCell ref="D241:D242"/>
    <mergeCell ref="E241:E242"/>
    <mergeCell ref="F241:F242"/>
    <mergeCell ref="G241:G242"/>
    <mergeCell ref="H241:H242"/>
    <mergeCell ref="I241:I242"/>
    <mergeCell ref="I293:I294"/>
    <mergeCell ref="J293:J294"/>
    <mergeCell ref="K293:K294"/>
    <mergeCell ref="B176:L176"/>
    <mergeCell ref="D184:L185"/>
    <mergeCell ref="D186:D187"/>
    <mergeCell ref="E186:E187"/>
    <mergeCell ref="F186:F187"/>
    <mergeCell ref="G186:G187"/>
    <mergeCell ref="H186:H187"/>
    <mergeCell ref="I186:I187"/>
    <mergeCell ref="J186:J187"/>
    <mergeCell ref="K186:K187"/>
    <mergeCell ref="L186:L187"/>
    <mergeCell ref="B115:L115"/>
    <mergeCell ref="D123:K124"/>
    <mergeCell ref="D125:D126"/>
    <mergeCell ref="E125:E126"/>
    <mergeCell ref="F125:F126"/>
    <mergeCell ref="G125:G126"/>
    <mergeCell ref="H125:H126"/>
    <mergeCell ref="I125:I126"/>
    <mergeCell ref="J125:J126"/>
    <mergeCell ref="K125:K126"/>
    <mergeCell ref="B2:O2"/>
    <mergeCell ref="B5:L5"/>
    <mergeCell ref="D13:F14"/>
    <mergeCell ref="D15:D17"/>
    <mergeCell ref="E15:E17"/>
    <mergeCell ref="F15:F17"/>
    <mergeCell ref="B51:L51"/>
    <mergeCell ref="D59:L60"/>
    <mergeCell ref="D61:D62"/>
    <mergeCell ref="E61:E62"/>
    <mergeCell ref="F61:F62"/>
    <mergeCell ref="G61:G62"/>
    <mergeCell ref="H61:H62"/>
    <mergeCell ref="I61:I62"/>
    <mergeCell ref="J61:J62"/>
    <mergeCell ref="K61:K62"/>
    <mergeCell ref="L61:L62"/>
  </mergeCells>
  <dataValidations count="4">
    <dataValidation type="list" errorStyle="warning" allowBlank="1" showInputMessage="1" showErrorMessage="1" sqref="D9 D55 D119 D180 D235 D287 D308 D326 D344 D361 D378 D398 D416 D434 D457 D477 D497 D515 D535 D560 D612 D661 D710 D729 D748 D767 D788 D806" xr:uid="{E4BCFC47-26D3-4949-BEAE-31D9F70215A9}">
      <formula1>hier_PU_20</formula1>
    </dataValidation>
    <dataValidation type="list" errorStyle="warning" allowBlank="1" showInputMessage="1" showErrorMessage="1" sqref="H66 H67 H68 H69 H70 H71 H72 H73 H74 H75 H76 H77 H78 H79 H80 H81 H82 H83 H84 H85 H86 H87 H88 H191 H192 H193 H194 H195 H196 H197 H198 H199 H200 H201 H202 H203 H204 H246 H247 H248 H249 H250 H251 H252 H253 H254 H255 H256" xr:uid="{819D5290-68CC-406C-9ACB-5E8EB8A2BB86}">
      <formula1>hier_RT_10</formula1>
    </dataValidation>
    <dataValidation type="list" errorStyle="warning" allowBlank="1" showInputMessage="1" showErrorMessage="1" sqref="D721 D740" xr:uid="{BA2C82A8-0881-4143-BAA2-84ED46F2C4F8}">
      <formula1>hier_GA_36</formula1>
    </dataValidation>
    <dataValidation type="list" errorStyle="warning" allowBlank="1" showInputMessage="1" showErrorMessage="1" sqref="D797" xr:uid="{A87E86EE-719D-4744-AD1D-752751A768C7}">
      <formula1>hier_AP_28</formula1>
    </dataValidation>
  </dataValidation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9AE5-8409-4552-B079-6E4DE6E61263}">
  <sheetPr codeName="Blad163"/>
  <dimension ref="B2:O94"/>
  <sheetViews>
    <sheetView showGridLines="0" workbookViewId="0">
      <selection activeCell="E33" sqref="E33"/>
    </sheetView>
  </sheetViews>
  <sheetFormatPr defaultRowHeight="15"/>
  <cols>
    <col min="2" max="2" width="71.140625" bestFit="1" customWidth="1"/>
    <col min="4" max="5" width="15.7109375" customWidth="1"/>
  </cols>
  <sheetData>
    <row r="2" spans="2:15" ht="23.25">
      <c r="B2" s="95" t="s">
        <v>746</v>
      </c>
      <c r="C2" s="96"/>
      <c r="D2" s="96"/>
      <c r="E2" s="96"/>
      <c r="F2" s="96"/>
      <c r="G2" s="96"/>
      <c r="H2" s="96"/>
      <c r="I2" s="96"/>
      <c r="J2" s="96"/>
      <c r="K2" s="96"/>
      <c r="L2" s="96"/>
      <c r="M2" s="96"/>
      <c r="N2" s="96"/>
      <c r="O2" s="96"/>
    </row>
    <row r="5" spans="2:15" ht="18.75">
      <c r="B5" s="97" t="s">
        <v>5603</v>
      </c>
      <c r="C5" s="96"/>
      <c r="D5" s="96"/>
      <c r="E5" s="96"/>
      <c r="F5" s="96"/>
      <c r="G5" s="96"/>
      <c r="H5" s="96"/>
      <c r="I5" s="96"/>
      <c r="J5" s="96"/>
      <c r="K5" s="96"/>
      <c r="L5" s="96"/>
    </row>
    <row r="9" spans="2:15">
      <c r="D9" s="98" t="s">
        <v>2877</v>
      </c>
    </row>
    <row r="10" spans="2:15">
      <c r="D10" s="100"/>
    </row>
    <row r="11" spans="2:15" ht="30">
      <c r="D11" s="55" t="s">
        <v>5604</v>
      </c>
    </row>
    <row r="12" spans="2:15">
      <c r="D12" s="45" t="s">
        <v>2879</v>
      </c>
      <c r="K12" s="13"/>
      <c r="L12" s="13"/>
    </row>
    <row r="13" spans="2:15">
      <c r="B13" s="43" t="s">
        <v>2880</v>
      </c>
      <c r="C13" s="44" t="s">
        <v>2878</v>
      </c>
      <c r="D13" s="46"/>
    </row>
    <row r="14" spans="2:15">
      <c r="B14" s="47" t="s">
        <v>5605</v>
      </c>
      <c r="C14" s="41" t="s">
        <v>2883</v>
      </c>
      <c r="D14" s="60">
        <f>'[5]S.28.01.01'!$D$8</f>
        <v>416601595.29143411</v>
      </c>
    </row>
    <row r="16" spans="2:15">
      <c r="K16" s="13"/>
      <c r="L16" s="13"/>
    </row>
    <row r="18" spans="2:12" ht="18.75">
      <c r="B18" s="97" t="s">
        <v>5606</v>
      </c>
      <c r="C18" s="96"/>
      <c r="D18" s="96"/>
      <c r="E18" s="96"/>
      <c r="F18" s="96"/>
      <c r="G18" s="96"/>
      <c r="H18" s="96"/>
      <c r="I18" s="96"/>
      <c r="J18" s="96"/>
      <c r="K18" s="96"/>
      <c r="L18" s="96"/>
    </row>
    <row r="22" spans="2:12">
      <c r="D22" s="101" t="s">
        <v>2877</v>
      </c>
      <c r="E22" s="103"/>
    </row>
    <row r="23" spans="2:12">
      <c r="D23" s="104"/>
      <c r="E23" s="106"/>
    </row>
    <row r="24" spans="2:12">
      <c r="D24" s="107" t="s">
        <v>5607</v>
      </c>
      <c r="E24" s="109"/>
    </row>
    <row r="25" spans="2:12" ht="90">
      <c r="D25" s="55" t="s">
        <v>5608</v>
      </c>
      <c r="E25" s="55" t="s">
        <v>5609</v>
      </c>
    </row>
    <row r="26" spans="2:12">
      <c r="D26" s="45" t="s">
        <v>3219</v>
      </c>
      <c r="E26" s="45" t="s">
        <v>3225</v>
      </c>
      <c r="K26" s="13"/>
      <c r="L26" s="13"/>
    </row>
    <row r="27" spans="2:12">
      <c r="B27" s="43" t="s">
        <v>2880</v>
      </c>
      <c r="C27" s="44" t="s">
        <v>2878</v>
      </c>
      <c r="D27" s="56"/>
      <c r="E27" s="57"/>
    </row>
    <row r="28" spans="2:12">
      <c r="B28" s="47" t="s">
        <v>5610</v>
      </c>
      <c r="C28" s="41" t="s">
        <v>2885</v>
      </c>
      <c r="D28" s="60">
        <f>'[5]S.28.01.01'!D18</f>
        <v>38953102.086899281</v>
      </c>
      <c r="E28" s="60">
        <f>'[5]S.28.01.01'!E18</f>
        <v>205356856.12</v>
      </c>
    </row>
    <row r="29" spans="2:12">
      <c r="B29" s="47" t="s">
        <v>4935</v>
      </c>
      <c r="C29" s="41" t="s">
        <v>2887</v>
      </c>
      <c r="D29" s="60">
        <f>'[5]S.28.01.01'!D19</f>
        <v>13444594.044591473</v>
      </c>
      <c r="E29" s="60">
        <f>'[5]S.28.01.01'!E19</f>
        <v>25642091.747407947</v>
      </c>
    </row>
    <row r="30" spans="2:12">
      <c r="B30" s="47" t="s">
        <v>5611</v>
      </c>
      <c r="C30" s="41" t="s">
        <v>2889</v>
      </c>
      <c r="D30" s="60">
        <f>'[5]S.28.01.01'!D20</f>
        <v>33588901.128322043</v>
      </c>
      <c r="E30" s="60">
        <f>'[5]S.28.01.01'!E20</f>
        <v>128160029.965</v>
      </c>
    </row>
    <row r="31" spans="2:12">
      <c r="B31" s="47" t="s">
        <v>5612</v>
      </c>
      <c r="C31" s="41" t="s">
        <v>3078</v>
      </c>
      <c r="D31" s="60">
        <f>'[5]S.28.01.01'!D21</f>
        <v>1185243022.928719</v>
      </c>
      <c r="E31" s="60">
        <f>'[5]S.28.01.01'!E21</f>
        <v>1174691962.5644832</v>
      </c>
    </row>
    <row r="32" spans="2:12">
      <c r="B32" s="47" t="s">
        <v>5613</v>
      </c>
      <c r="C32" s="41" t="s">
        <v>2891</v>
      </c>
      <c r="D32" s="60">
        <f>'[5]S.28.01.01'!D22</f>
        <v>90056778.091388434</v>
      </c>
      <c r="E32" s="60">
        <f>'[5]S.28.01.01'!E22</f>
        <v>268126458.68353063</v>
      </c>
    </row>
    <row r="33" spans="2:12">
      <c r="B33" s="47" t="s">
        <v>5614</v>
      </c>
      <c r="C33" s="41" t="s">
        <v>2893</v>
      </c>
      <c r="D33" s="60">
        <f>'[5]S.28.01.01'!D23</f>
        <v>2597323.7148879026</v>
      </c>
      <c r="E33" s="60">
        <f>'[5]S.28.01.01'!E23</f>
        <v>2166390.4525000001</v>
      </c>
    </row>
    <row r="34" spans="2:12">
      <c r="B34" s="47" t="s">
        <v>5615</v>
      </c>
      <c r="C34" s="41" t="s">
        <v>2895</v>
      </c>
      <c r="D34" s="60">
        <f>'[5]S.28.01.01'!D24</f>
        <v>289726273.89936221</v>
      </c>
      <c r="E34" s="60">
        <f>'[5]S.28.01.01'!E24</f>
        <v>565285452.86264324</v>
      </c>
    </row>
    <row r="35" spans="2:12">
      <c r="B35" s="47" t="s">
        <v>5616</v>
      </c>
      <c r="C35" s="41" t="s">
        <v>2897</v>
      </c>
      <c r="D35" s="60">
        <f>'[5]S.28.01.01'!D25</f>
        <v>71189642.752793729</v>
      </c>
      <c r="E35" s="60">
        <f>'[5]S.28.01.01'!E25</f>
        <v>62821640.599645577</v>
      </c>
    </row>
    <row r="36" spans="2:12">
      <c r="B36" s="47" t="s">
        <v>5617</v>
      </c>
      <c r="C36" s="41" t="s">
        <v>2899</v>
      </c>
      <c r="D36" s="60">
        <f>'[5]S.28.01.01'!D26</f>
        <v>0</v>
      </c>
      <c r="E36" s="60">
        <f>'[5]S.28.01.01'!E26</f>
        <v>12625090.300000001</v>
      </c>
    </row>
    <row r="37" spans="2:12">
      <c r="B37" s="47" t="s">
        <v>5618</v>
      </c>
      <c r="C37" s="41" t="s">
        <v>2901</v>
      </c>
      <c r="D37" s="60">
        <f>'[5]S.28.01.01'!D27</f>
        <v>39114753.066724464</v>
      </c>
      <c r="E37" s="60">
        <f>'[5]S.28.01.01'!E27</f>
        <v>34840641.652499996</v>
      </c>
    </row>
    <row r="38" spans="2:12">
      <c r="B38" s="47" t="s">
        <v>5619</v>
      </c>
      <c r="C38" s="41" t="s">
        <v>2903</v>
      </c>
      <c r="D38" s="60">
        <f>'[5]S.28.01.01'!D28</f>
        <v>13802495.868271956</v>
      </c>
      <c r="E38" s="60">
        <f>'[5]S.28.01.01'!E28</f>
        <v>31860066.564999998</v>
      </c>
    </row>
    <row r="39" spans="2:12">
      <c r="B39" s="47" t="s">
        <v>5620</v>
      </c>
      <c r="C39" s="41" t="s">
        <v>2905</v>
      </c>
      <c r="D39" s="60">
        <f>'[5]S.28.01.01'!D29</f>
        <v>2867962.7114197253</v>
      </c>
      <c r="E39" s="60">
        <f>'[5]S.28.01.01'!E29</f>
        <v>8161281.2417995799</v>
      </c>
    </row>
    <row r="40" spans="2:12">
      <c r="B40" s="47" t="s">
        <v>3902</v>
      </c>
      <c r="C40" s="41" t="s">
        <v>2907</v>
      </c>
      <c r="D40" s="60">
        <f>'[5]S.28.01.01'!D30</f>
        <v>839202.08745212632</v>
      </c>
      <c r="E40" s="60">
        <f>'[5]S.28.01.01'!E30</f>
        <v>635935.59999999986</v>
      </c>
    </row>
    <row r="41" spans="2:12">
      <c r="B41" s="47" t="s">
        <v>3903</v>
      </c>
      <c r="C41" s="41" t="s">
        <v>2909</v>
      </c>
      <c r="D41" s="60">
        <f>'[5]S.28.01.01'!D31</f>
        <v>66703001.186787255</v>
      </c>
      <c r="E41" s="60">
        <f>'[5]S.28.01.01'!E31</f>
        <v>73821034.289999977</v>
      </c>
    </row>
    <row r="42" spans="2:12">
      <c r="B42" s="47" t="s">
        <v>3904</v>
      </c>
      <c r="C42" s="41" t="s">
        <v>2911</v>
      </c>
      <c r="D42" s="60">
        <f>'[5]S.28.01.01'!D32</f>
        <v>23608.524430287987</v>
      </c>
      <c r="E42" s="60">
        <f>'[5]S.28.01.01'!E32</f>
        <v>26475.199999999993</v>
      </c>
    </row>
    <row r="43" spans="2:12">
      <c r="B43" s="47" t="s">
        <v>3905</v>
      </c>
      <c r="C43" s="41" t="s">
        <v>2913</v>
      </c>
      <c r="D43" s="60">
        <f>'[5]S.28.01.01'!D33</f>
        <v>73388781.096258521</v>
      </c>
      <c r="E43" s="60">
        <f>'[5]S.28.01.01'!E33</f>
        <v>70233264.020000011</v>
      </c>
    </row>
    <row r="45" spans="2:12">
      <c r="K45" s="13"/>
      <c r="L45" s="13"/>
    </row>
    <row r="47" spans="2:12" ht="18.75">
      <c r="B47" s="97" t="s">
        <v>5621</v>
      </c>
      <c r="C47" s="96"/>
      <c r="D47" s="96"/>
      <c r="E47" s="96"/>
      <c r="F47" s="96"/>
      <c r="G47" s="96"/>
      <c r="H47" s="96"/>
      <c r="I47" s="96"/>
      <c r="J47" s="96"/>
      <c r="K47" s="96"/>
      <c r="L47" s="96"/>
    </row>
    <row r="51" spans="2:12">
      <c r="D51" s="98" t="s">
        <v>2877</v>
      </c>
    </row>
    <row r="52" spans="2:12">
      <c r="D52" s="99"/>
    </row>
    <row r="53" spans="2:12">
      <c r="D53" s="100"/>
    </row>
    <row r="54" spans="2:12">
      <c r="D54" s="45" t="s">
        <v>3223</v>
      </c>
      <c r="K54" s="13"/>
      <c r="L54" s="13"/>
    </row>
    <row r="55" spans="2:12">
      <c r="B55" s="43" t="s">
        <v>2880</v>
      </c>
      <c r="C55" s="44" t="s">
        <v>2878</v>
      </c>
      <c r="D55" s="46"/>
    </row>
    <row r="56" spans="2:12">
      <c r="B56" s="47" t="s">
        <v>5622</v>
      </c>
      <c r="C56" s="41" t="s">
        <v>2919</v>
      </c>
      <c r="D56" s="60">
        <f>'[5]S.28.01.01'!$D$46</f>
        <v>3259531.8916355791</v>
      </c>
    </row>
    <row r="58" spans="2:12">
      <c r="K58" s="13"/>
      <c r="L58" s="13"/>
    </row>
    <row r="60" spans="2:12" ht="18.75">
      <c r="B60" s="97" t="s">
        <v>5623</v>
      </c>
      <c r="C60" s="96"/>
      <c r="D60" s="96"/>
      <c r="E60" s="96"/>
      <c r="F60" s="96"/>
      <c r="G60" s="96"/>
      <c r="H60" s="96"/>
      <c r="I60" s="96"/>
      <c r="J60" s="96"/>
      <c r="K60" s="96"/>
      <c r="L60" s="96"/>
    </row>
    <row r="64" spans="2:12">
      <c r="D64" s="101" t="s">
        <v>2877</v>
      </c>
      <c r="E64" s="103"/>
    </row>
    <row r="65" spans="2:12">
      <c r="D65" s="104"/>
      <c r="E65" s="106"/>
    </row>
    <row r="66" spans="2:12" ht="90">
      <c r="D66" s="55" t="s">
        <v>5608</v>
      </c>
      <c r="E66" s="55" t="s">
        <v>5624</v>
      </c>
    </row>
    <row r="67" spans="2:12">
      <c r="D67" s="45" t="s">
        <v>3229</v>
      </c>
      <c r="E67" s="45" t="s">
        <v>3231</v>
      </c>
      <c r="K67" s="13"/>
      <c r="L67" s="13"/>
    </row>
    <row r="68" spans="2:12">
      <c r="B68" s="43" t="s">
        <v>2880</v>
      </c>
      <c r="C68" s="44" t="s">
        <v>2878</v>
      </c>
      <c r="D68" s="56"/>
      <c r="E68" s="59"/>
    </row>
    <row r="69" spans="2:12">
      <c r="B69" s="47" t="s">
        <v>5625</v>
      </c>
      <c r="C69" s="41" t="s">
        <v>2921</v>
      </c>
      <c r="D69" s="60">
        <f>'[5]S.28.01.01'!D55</f>
        <v>0</v>
      </c>
      <c r="E69" s="48"/>
    </row>
    <row r="70" spans="2:12">
      <c r="B70" s="47" t="s">
        <v>5626</v>
      </c>
      <c r="C70" s="41" t="s">
        <v>2923</v>
      </c>
      <c r="D70" s="60">
        <f>'[5]S.28.01.01'!D56</f>
        <v>0</v>
      </c>
      <c r="E70" s="48"/>
    </row>
    <row r="71" spans="2:12">
      <c r="B71" s="47" t="s">
        <v>5627</v>
      </c>
      <c r="C71" s="41" t="s">
        <v>2925</v>
      </c>
      <c r="D71" s="60">
        <f>'[5]S.28.01.01'!D57</f>
        <v>0</v>
      </c>
      <c r="E71" s="48"/>
    </row>
    <row r="72" spans="2:12">
      <c r="B72" s="47" t="s">
        <v>5628</v>
      </c>
      <c r="C72" s="41" t="s">
        <v>2927</v>
      </c>
      <c r="D72" s="60">
        <f>'[5]S.28.01.01'!D58</f>
        <v>155215804.363599</v>
      </c>
      <c r="E72" s="46"/>
    </row>
    <row r="73" spans="2:12">
      <c r="B73" s="47" t="s">
        <v>5629</v>
      </c>
      <c r="C73" s="44" t="s">
        <v>2929</v>
      </c>
      <c r="D73" s="46"/>
      <c r="E73" s="60">
        <f>'[5]S.28.01.01'!E59</f>
        <v>0</v>
      </c>
    </row>
    <row r="75" spans="2:12">
      <c r="K75" s="13"/>
      <c r="L75" s="13"/>
    </row>
    <row r="77" spans="2:12" ht="18.75">
      <c r="B77" s="97" t="s">
        <v>5630</v>
      </c>
      <c r="C77" s="96"/>
      <c r="D77" s="96"/>
      <c r="E77" s="96"/>
      <c r="F77" s="96"/>
      <c r="G77" s="96"/>
      <c r="H77" s="96"/>
      <c r="I77" s="96"/>
      <c r="J77" s="96"/>
      <c r="K77" s="96"/>
      <c r="L77" s="96"/>
    </row>
    <row r="81" spans="2:12">
      <c r="D81" s="98" t="s">
        <v>2877</v>
      </c>
    </row>
    <row r="82" spans="2:12">
      <c r="D82" s="99"/>
    </row>
    <row r="83" spans="2:12">
      <c r="D83" s="100"/>
    </row>
    <row r="84" spans="2:12">
      <c r="D84" s="45" t="s">
        <v>3233</v>
      </c>
      <c r="K84" s="13"/>
      <c r="L84" s="13"/>
    </row>
    <row r="85" spans="2:12">
      <c r="B85" s="43" t="s">
        <v>2880</v>
      </c>
      <c r="C85" s="44" t="s">
        <v>2878</v>
      </c>
      <c r="D85" s="46"/>
    </row>
    <row r="86" spans="2:12">
      <c r="B86" s="47" t="s">
        <v>5631</v>
      </c>
      <c r="C86" s="41" t="s">
        <v>2939</v>
      </c>
      <c r="D86" s="60">
        <f>'[5]Overall MCR'!D7</f>
        <v>419861127.18306971</v>
      </c>
    </row>
    <row r="87" spans="2:12">
      <c r="B87" s="47" t="s">
        <v>292</v>
      </c>
      <c r="C87" s="41" t="s">
        <v>2941</v>
      </c>
      <c r="D87" s="60">
        <f>'[5]Overall MCR'!D8</f>
        <v>1923875735.9689999</v>
      </c>
    </row>
    <row r="88" spans="2:12">
      <c r="B88" s="47" t="s">
        <v>5632</v>
      </c>
      <c r="C88" s="41" t="s">
        <v>2943</v>
      </c>
      <c r="D88" s="60">
        <f>'[5]Overall MCR'!D9</f>
        <v>865744081.18604994</v>
      </c>
    </row>
    <row r="89" spans="2:12">
      <c r="B89" s="47" t="s">
        <v>5633</v>
      </c>
      <c r="C89" s="41" t="s">
        <v>2945</v>
      </c>
      <c r="D89" s="60">
        <f>'[5]Overall MCR'!D10</f>
        <v>480968933.99224997</v>
      </c>
    </row>
    <row r="90" spans="2:12">
      <c r="B90" s="47" t="s">
        <v>5634</v>
      </c>
      <c r="C90" s="41" t="s">
        <v>2947</v>
      </c>
      <c r="D90" s="60">
        <f>'[5]Overall MCR'!D11</f>
        <v>480968933.99224997</v>
      </c>
    </row>
    <row r="91" spans="2:12">
      <c r="B91" s="47" t="s">
        <v>5635</v>
      </c>
      <c r="C91" s="41" t="s">
        <v>2949</v>
      </c>
      <c r="D91" s="60">
        <f>'[5]Overall MCR'!D12</f>
        <v>3900000</v>
      </c>
    </row>
    <row r="92" spans="2:12">
      <c r="B92" s="47" t="s">
        <v>4255</v>
      </c>
      <c r="C92" s="41" t="s">
        <v>2959</v>
      </c>
      <c r="D92" s="60">
        <f>'[5]Overall MCR'!D13</f>
        <v>480968933.99224997</v>
      </c>
    </row>
    <row r="94" spans="2:12">
      <c r="K94" s="13"/>
      <c r="L94" s="13"/>
    </row>
  </sheetData>
  <mergeCells count="12">
    <mergeCell ref="D81:D83"/>
    <mergeCell ref="B2:O2"/>
    <mergeCell ref="B5:L5"/>
    <mergeCell ref="D9:D10"/>
    <mergeCell ref="B18:L18"/>
    <mergeCell ref="D22:E23"/>
    <mergeCell ref="D24:E24"/>
    <mergeCell ref="B47:L47"/>
    <mergeCell ref="D51:D53"/>
    <mergeCell ref="B60:L60"/>
    <mergeCell ref="D64:E65"/>
    <mergeCell ref="B77:L77"/>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488A6-C34D-49E1-80EA-759F57403D72}">
  <sheetPr codeName="Blad164"/>
  <dimension ref="B2:P118"/>
  <sheetViews>
    <sheetView showGridLines="0" workbookViewId="0"/>
  </sheetViews>
  <sheetFormatPr defaultRowHeight="15"/>
  <cols>
    <col min="2" max="2" width="73.5703125" bestFit="1" customWidth="1"/>
    <col min="4" max="7" width="15.7109375" customWidth="1"/>
  </cols>
  <sheetData>
    <row r="2" spans="2:16" ht="23.25">
      <c r="B2" s="95" t="s">
        <v>748</v>
      </c>
      <c r="C2" s="96"/>
      <c r="D2" s="96"/>
      <c r="E2" s="96"/>
      <c r="F2" s="96"/>
      <c r="G2" s="96"/>
      <c r="H2" s="96"/>
      <c r="I2" s="96"/>
      <c r="J2" s="96"/>
      <c r="K2" s="96"/>
      <c r="L2" s="96"/>
      <c r="M2" s="96"/>
      <c r="N2" s="96"/>
      <c r="O2" s="96"/>
    </row>
    <row r="5" spans="2:16" ht="18.75">
      <c r="B5" s="97" t="s">
        <v>5636</v>
      </c>
      <c r="C5" s="96"/>
      <c r="D5" s="96"/>
      <c r="E5" s="96"/>
      <c r="F5" s="96"/>
      <c r="G5" s="96"/>
      <c r="H5" s="96"/>
      <c r="I5" s="96"/>
      <c r="J5" s="96"/>
      <c r="K5" s="96"/>
      <c r="L5" s="96"/>
    </row>
    <row r="9" spans="2:16">
      <c r="D9" s="101" t="s">
        <v>2877</v>
      </c>
      <c r="E9" s="103"/>
    </row>
    <row r="10" spans="2:16">
      <c r="D10" s="104"/>
      <c r="E10" s="106"/>
    </row>
    <row r="11" spans="2:16">
      <c r="D11" s="107" t="s">
        <v>5604</v>
      </c>
      <c r="E11" s="109"/>
    </row>
    <row r="12" spans="2:16" ht="30">
      <c r="D12" s="55" t="s">
        <v>5637</v>
      </c>
      <c r="E12" s="55" t="s">
        <v>5639</v>
      </c>
    </row>
    <row r="13" spans="2:16" ht="30">
      <c r="D13" s="55" t="s">
        <v>5638</v>
      </c>
      <c r="E13" s="55" t="s">
        <v>5640</v>
      </c>
    </row>
    <row r="14" spans="2:16">
      <c r="D14" s="45" t="s">
        <v>2879</v>
      </c>
      <c r="E14" s="45" t="s">
        <v>3219</v>
      </c>
      <c r="O14" s="13" t="str">
        <f>Show!$B$160&amp;"S.28.02.01.01 Rows {"&amp;COLUMN($C$1)&amp;"}"&amp;"@ForceFilingCode:true"</f>
        <v>!S.28.02.01.01 Rows {3}@ForceFilingCode:true</v>
      </c>
      <c r="P14" s="13" t="str">
        <f>Show!$B$160&amp;"S.28.02.01.01 Columns {"&amp;COLUMN($D$1)&amp;"}"</f>
        <v>!S.28.02.01.01 Columns {4}</v>
      </c>
    </row>
    <row r="15" spans="2:16">
      <c r="B15" s="43" t="s">
        <v>2880</v>
      </c>
      <c r="C15" s="44" t="s">
        <v>2878</v>
      </c>
      <c r="D15" s="56"/>
      <c r="E15" s="57"/>
    </row>
    <row r="16" spans="2:16">
      <c r="B16" s="47" t="s">
        <v>5641</v>
      </c>
      <c r="C16" s="41" t="s">
        <v>2883</v>
      </c>
      <c r="D16" s="60"/>
      <c r="E16" s="60"/>
    </row>
    <row r="18" spans="2:16">
      <c r="O18" s="13" t="str">
        <f>Show!$B$160&amp;Show!$B$160&amp;"S.28.02.01.01 Rows {"&amp;COLUMN($C$1)&amp;"}"</f>
        <v>!!S.28.02.01.01 Rows {3}</v>
      </c>
      <c r="P18" s="13" t="str">
        <f>Show!$B$160&amp;Show!$B$160&amp;"S.28.02.01.01 Columns {"&amp;COLUMN($E$1)&amp;"}"</f>
        <v>!!S.28.02.01.01 Columns {5}</v>
      </c>
    </row>
    <row r="20" spans="2:16" ht="18.75">
      <c r="B20" s="97" t="s">
        <v>5642</v>
      </c>
      <c r="C20" s="96"/>
      <c r="D20" s="96"/>
      <c r="E20" s="96"/>
      <c r="F20" s="96"/>
      <c r="G20" s="96"/>
      <c r="H20" s="96"/>
      <c r="I20" s="96"/>
      <c r="J20" s="96"/>
      <c r="K20" s="96"/>
      <c r="L20" s="96"/>
    </row>
    <row r="24" spans="2:16">
      <c r="D24" s="101" t="s">
        <v>2877</v>
      </c>
      <c r="E24" s="102"/>
      <c r="F24" s="102"/>
      <c r="G24" s="103"/>
    </row>
    <row r="25" spans="2:16">
      <c r="D25" s="104"/>
      <c r="E25" s="105"/>
      <c r="F25" s="105"/>
      <c r="G25" s="106"/>
    </row>
    <row r="26" spans="2:16">
      <c r="D26" s="107" t="s">
        <v>5607</v>
      </c>
      <c r="E26" s="108"/>
      <c r="F26" s="108"/>
      <c r="G26" s="109"/>
    </row>
    <row r="27" spans="2:16">
      <c r="D27" s="107" t="s">
        <v>5637</v>
      </c>
      <c r="E27" s="109"/>
      <c r="F27" s="107" t="s">
        <v>5639</v>
      </c>
      <c r="G27" s="109"/>
    </row>
    <row r="28" spans="2:16" ht="90">
      <c r="D28" s="55" t="s">
        <v>5643</v>
      </c>
      <c r="E28" s="55" t="s">
        <v>5609</v>
      </c>
      <c r="F28" s="55" t="s">
        <v>5608</v>
      </c>
      <c r="G28" s="55" t="s">
        <v>5609</v>
      </c>
    </row>
    <row r="29" spans="2:16">
      <c r="D29" s="45" t="s">
        <v>3225</v>
      </c>
      <c r="E29" s="45" t="s">
        <v>3223</v>
      </c>
      <c r="F29" s="45" t="s">
        <v>3229</v>
      </c>
      <c r="G29" s="45" t="s">
        <v>3231</v>
      </c>
      <c r="O29" s="13" t="str">
        <f>Show!$B$160&amp;"S.28.02.01.02 Rows {"&amp;COLUMN($C$1)&amp;"}"&amp;"@ForceFilingCode:true"</f>
        <v>!S.28.02.01.02 Rows {3}@ForceFilingCode:true</v>
      </c>
      <c r="P29" s="13" t="str">
        <f>Show!$B$160&amp;"S.28.02.01.02 Columns {"&amp;COLUMN($D$1)&amp;"}"</f>
        <v>!S.28.02.01.02 Columns {4}</v>
      </c>
    </row>
    <row r="30" spans="2:16">
      <c r="B30" s="43" t="s">
        <v>2880</v>
      </c>
      <c r="C30" s="44" t="s">
        <v>2878</v>
      </c>
      <c r="D30" s="56"/>
      <c r="E30" s="66"/>
      <c r="F30" s="66"/>
      <c r="G30" s="57"/>
    </row>
    <row r="31" spans="2:16">
      <c r="B31" s="47" t="s">
        <v>5610</v>
      </c>
      <c r="C31" s="41" t="s">
        <v>2885</v>
      </c>
      <c r="D31" s="60"/>
      <c r="E31" s="60"/>
      <c r="F31" s="60"/>
      <c r="G31" s="60"/>
    </row>
    <row r="32" spans="2:16">
      <c r="B32" s="47" t="s">
        <v>4935</v>
      </c>
      <c r="C32" s="41" t="s">
        <v>2887</v>
      </c>
      <c r="D32" s="60"/>
      <c r="E32" s="60"/>
      <c r="F32" s="60"/>
      <c r="G32" s="60"/>
    </row>
    <row r="33" spans="2:16">
      <c r="B33" s="47" t="s">
        <v>5611</v>
      </c>
      <c r="C33" s="41" t="s">
        <v>2889</v>
      </c>
      <c r="D33" s="60"/>
      <c r="E33" s="60"/>
      <c r="F33" s="60"/>
      <c r="G33" s="60"/>
    </row>
    <row r="34" spans="2:16">
      <c r="B34" s="47" t="s">
        <v>5612</v>
      </c>
      <c r="C34" s="41" t="s">
        <v>3078</v>
      </c>
      <c r="D34" s="60"/>
      <c r="E34" s="60"/>
      <c r="F34" s="60"/>
      <c r="G34" s="60"/>
    </row>
    <row r="35" spans="2:16">
      <c r="B35" s="47" t="s">
        <v>5613</v>
      </c>
      <c r="C35" s="41" t="s">
        <v>2891</v>
      </c>
      <c r="D35" s="60"/>
      <c r="E35" s="60"/>
      <c r="F35" s="60"/>
      <c r="G35" s="60"/>
    </row>
    <row r="36" spans="2:16">
      <c r="B36" s="47" t="s">
        <v>5614</v>
      </c>
      <c r="C36" s="41" t="s">
        <v>2893</v>
      </c>
      <c r="D36" s="60"/>
      <c r="E36" s="60"/>
      <c r="F36" s="60"/>
      <c r="G36" s="60"/>
    </row>
    <row r="37" spans="2:16">
      <c r="B37" s="47" t="s">
        <v>5615</v>
      </c>
      <c r="C37" s="41" t="s">
        <v>2895</v>
      </c>
      <c r="D37" s="60"/>
      <c r="E37" s="60"/>
      <c r="F37" s="60"/>
      <c r="G37" s="60"/>
    </row>
    <row r="38" spans="2:16">
      <c r="B38" s="47" t="s">
        <v>5616</v>
      </c>
      <c r="C38" s="41" t="s">
        <v>2897</v>
      </c>
      <c r="D38" s="60"/>
      <c r="E38" s="60"/>
      <c r="F38" s="60"/>
      <c r="G38" s="60"/>
    </row>
    <row r="39" spans="2:16">
      <c r="B39" s="47" t="s">
        <v>5617</v>
      </c>
      <c r="C39" s="41" t="s">
        <v>2899</v>
      </c>
      <c r="D39" s="60"/>
      <c r="E39" s="60"/>
      <c r="F39" s="60"/>
      <c r="G39" s="60"/>
    </row>
    <row r="40" spans="2:16">
      <c r="B40" s="47" t="s">
        <v>5618</v>
      </c>
      <c r="C40" s="41" t="s">
        <v>2901</v>
      </c>
      <c r="D40" s="60"/>
      <c r="E40" s="60"/>
      <c r="F40" s="60"/>
      <c r="G40" s="60"/>
    </row>
    <row r="41" spans="2:16">
      <c r="B41" s="47" t="s">
        <v>5619</v>
      </c>
      <c r="C41" s="41" t="s">
        <v>2903</v>
      </c>
      <c r="D41" s="60"/>
      <c r="E41" s="60"/>
      <c r="F41" s="60"/>
      <c r="G41" s="60"/>
    </row>
    <row r="42" spans="2:16">
      <c r="B42" s="47" t="s">
        <v>5620</v>
      </c>
      <c r="C42" s="41" t="s">
        <v>2905</v>
      </c>
      <c r="D42" s="60"/>
      <c r="E42" s="60"/>
      <c r="F42" s="60"/>
      <c r="G42" s="60"/>
    </row>
    <row r="43" spans="2:16">
      <c r="B43" s="47" t="s">
        <v>3902</v>
      </c>
      <c r="C43" s="41" t="s">
        <v>2907</v>
      </c>
      <c r="D43" s="60"/>
      <c r="E43" s="60"/>
      <c r="F43" s="60"/>
      <c r="G43" s="60"/>
    </row>
    <row r="44" spans="2:16">
      <c r="B44" s="47" t="s">
        <v>3903</v>
      </c>
      <c r="C44" s="41" t="s">
        <v>2909</v>
      </c>
      <c r="D44" s="60"/>
      <c r="E44" s="60"/>
      <c r="F44" s="60"/>
      <c r="G44" s="60"/>
    </row>
    <row r="45" spans="2:16">
      <c r="B45" s="47" t="s">
        <v>3904</v>
      </c>
      <c r="C45" s="41" t="s">
        <v>2911</v>
      </c>
      <c r="D45" s="60"/>
      <c r="E45" s="60"/>
      <c r="F45" s="60"/>
      <c r="G45" s="60"/>
    </row>
    <row r="46" spans="2:16">
      <c r="B46" s="47" t="s">
        <v>3905</v>
      </c>
      <c r="C46" s="41" t="s">
        <v>2913</v>
      </c>
      <c r="D46" s="60"/>
      <c r="E46" s="60"/>
      <c r="F46" s="60"/>
      <c r="G46" s="60"/>
    </row>
    <row r="48" spans="2:16">
      <c r="O48" s="13" t="str">
        <f>Show!$B$160&amp;Show!$B$160&amp;"S.28.02.01.02 Rows {"&amp;COLUMN($C$1)&amp;"}"</f>
        <v>!!S.28.02.01.02 Rows {3}</v>
      </c>
      <c r="P48" s="13" t="str">
        <f>Show!$B$160&amp;Show!$B$160&amp;"S.28.02.01.02 Columns {"&amp;COLUMN($G$1)&amp;"}"</f>
        <v>!!S.28.02.01.02 Columns {7}</v>
      </c>
    </row>
    <row r="50" spans="2:16" ht="18.75">
      <c r="B50" s="97" t="s">
        <v>5644</v>
      </c>
      <c r="C50" s="96"/>
      <c r="D50" s="96"/>
      <c r="E50" s="96"/>
      <c r="F50" s="96"/>
      <c r="G50" s="96"/>
      <c r="H50" s="96"/>
      <c r="I50" s="96"/>
      <c r="J50" s="96"/>
      <c r="K50" s="96"/>
      <c r="L50" s="96"/>
    </row>
    <row r="54" spans="2:16">
      <c r="D54" s="101" t="s">
        <v>2877</v>
      </c>
      <c r="E54" s="103"/>
    </row>
    <row r="55" spans="2:16">
      <c r="D55" s="104"/>
      <c r="E55" s="106"/>
    </row>
    <row r="56" spans="2:16" ht="30">
      <c r="D56" s="55" t="s">
        <v>5637</v>
      </c>
      <c r="E56" s="55" t="s">
        <v>5639</v>
      </c>
    </row>
    <row r="57" spans="2:16" ht="30">
      <c r="D57" s="55" t="s">
        <v>5645</v>
      </c>
      <c r="E57" s="55" t="s">
        <v>5646</v>
      </c>
    </row>
    <row r="58" spans="2:16">
      <c r="D58" s="45" t="s">
        <v>3233</v>
      </c>
      <c r="E58" s="45" t="s">
        <v>3234</v>
      </c>
      <c r="O58" s="13" t="str">
        <f>Show!$B$160&amp;"S.28.02.01.03 Rows {"&amp;COLUMN($C$1)&amp;"}"&amp;"@ForceFilingCode:true"</f>
        <v>!S.28.02.01.03 Rows {3}@ForceFilingCode:true</v>
      </c>
      <c r="P58" s="13" t="str">
        <f>Show!$B$160&amp;"S.28.02.01.03 Columns {"&amp;COLUMN($D$1)&amp;"}"</f>
        <v>!S.28.02.01.03 Columns {4}</v>
      </c>
    </row>
    <row r="59" spans="2:16">
      <c r="B59" s="43" t="s">
        <v>2880</v>
      </c>
      <c r="C59" s="44" t="s">
        <v>2878</v>
      </c>
      <c r="D59" s="56"/>
      <c r="E59" s="57"/>
    </row>
    <row r="60" spans="2:16">
      <c r="B60" s="47" t="s">
        <v>5647</v>
      </c>
      <c r="C60" s="41" t="s">
        <v>2919</v>
      </c>
      <c r="D60" s="60"/>
      <c r="E60" s="60"/>
    </row>
    <row r="62" spans="2:16">
      <c r="O62" s="13" t="str">
        <f>Show!$B$160&amp;Show!$B$160&amp;"S.28.02.01.03 Rows {"&amp;COLUMN($C$1)&amp;"}"</f>
        <v>!!S.28.02.01.03 Rows {3}</v>
      </c>
      <c r="P62" s="13" t="str">
        <f>Show!$B$160&amp;Show!$B$160&amp;"S.28.02.01.03 Columns {"&amp;COLUMN($E$1)&amp;"}"</f>
        <v>!!S.28.02.01.03 Columns {5}</v>
      </c>
    </row>
    <row r="64" spans="2:16" ht="18.75">
      <c r="B64" s="97" t="s">
        <v>5648</v>
      </c>
      <c r="C64" s="96"/>
      <c r="D64" s="96"/>
      <c r="E64" s="96"/>
      <c r="F64" s="96"/>
      <c r="G64" s="96"/>
      <c r="H64" s="96"/>
      <c r="I64" s="96"/>
      <c r="J64" s="96"/>
      <c r="K64" s="96"/>
      <c r="L64" s="96"/>
    </row>
    <row r="68" spans="2:16">
      <c r="D68" s="101" t="s">
        <v>2877</v>
      </c>
      <c r="E68" s="102"/>
      <c r="F68" s="102"/>
      <c r="G68" s="103"/>
    </row>
    <row r="69" spans="2:16">
      <c r="D69" s="104"/>
      <c r="E69" s="105"/>
      <c r="F69" s="105"/>
      <c r="G69" s="106"/>
    </row>
    <row r="70" spans="2:16">
      <c r="D70" s="107" t="s">
        <v>5637</v>
      </c>
      <c r="E70" s="109"/>
      <c r="F70" s="107" t="s">
        <v>5639</v>
      </c>
      <c r="G70" s="109"/>
    </row>
    <row r="71" spans="2:16" ht="90">
      <c r="D71" s="55" t="s">
        <v>5608</v>
      </c>
      <c r="E71" s="55" t="s">
        <v>5624</v>
      </c>
      <c r="F71" s="55" t="s">
        <v>5608</v>
      </c>
      <c r="G71" s="55" t="s">
        <v>5624</v>
      </c>
    </row>
    <row r="72" spans="2:16">
      <c r="D72" s="45" t="s">
        <v>3236</v>
      </c>
      <c r="E72" s="45" t="s">
        <v>3239</v>
      </c>
      <c r="F72" s="45" t="s">
        <v>3241</v>
      </c>
      <c r="G72" s="45" t="s">
        <v>3243</v>
      </c>
      <c r="O72" s="13" t="str">
        <f>Show!$B$160&amp;"S.28.02.01.04 Rows {"&amp;COLUMN($C$1)&amp;"}"&amp;"@ForceFilingCode:true"</f>
        <v>!S.28.02.01.04 Rows {3}@ForceFilingCode:true</v>
      </c>
      <c r="P72" s="13" t="str">
        <f>Show!$B$160&amp;"S.28.02.01.04 Columns {"&amp;COLUMN($D$1)&amp;"}"</f>
        <v>!S.28.02.01.04 Columns {4}</v>
      </c>
    </row>
    <row r="73" spans="2:16">
      <c r="B73" s="43" t="s">
        <v>2880</v>
      </c>
      <c r="C73" s="44" t="s">
        <v>2878</v>
      </c>
      <c r="D73" s="56"/>
      <c r="E73" s="67"/>
      <c r="F73" s="66"/>
      <c r="G73" s="59"/>
    </row>
    <row r="74" spans="2:16">
      <c r="B74" s="47" t="s">
        <v>5625</v>
      </c>
      <c r="C74" s="41" t="s">
        <v>2921</v>
      </c>
      <c r="D74" s="64"/>
      <c r="E74" s="48"/>
      <c r="F74" s="64"/>
      <c r="G74" s="48"/>
    </row>
    <row r="75" spans="2:16">
      <c r="B75" s="47" t="s">
        <v>5626</v>
      </c>
      <c r="C75" s="41" t="s">
        <v>2923</v>
      </c>
      <c r="D75" s="64"/>
      <c r="E75" s="48"/>
      <c r="F75" s="64"/>
      <c r="G75" s="48"/>
    </row>
    <row r="76" spans="2:16">
      <c r="B76" s="47" t="s">
        <v>5627</v>
      </c>
      <c r="C76" s="41" t="s">
        <v>2925</v>
      </c>
      <c r="D76" s="64"/>
      <c r="E76" s="48"/>
      <c r="F76" s="64"/>
      <c r="G76" s="48"/>
    </row>
    <row r="77" spans="2:16">
      <c r="B77" s="47" t="s">
        <v>5628</v>
      </c>
      <c r="C77" s="41" t="s">
        <v>2927</v>
      </c>
      <c r="D77" s="65"/>
      <c r="E77" s="46"/>
      <c r="F77" s="65"/>
      <c r="G77" s="46"/>
    </row>
    <row r="78" spans="2:16">
      <c r="B78" s="47" t="s">
        <v>5629</v>
      </c>
      <c r="C78" s="44" t="s">
        <v>2929</v>
      </c>
      <c r="D78" s="46"/>
      <c r="E78" s="64"/>
      <c r="F78" s="46"/>
      <c r="G78" s="60"/>
    </row>
    <row r="80" spans="2:16">
      <c r="O80" s="13" t="str">
        <f>Show!$B$160&amp;Show!$B$160&amp;"S.28.02.01.04 Rows {"&amp;COLUMN($C$1)&amp;"}"</f>
        <v>!!S.28.02.01.04 Rows {3}</v>
      </c>
      <c r="P80" s="13" t="str">
        <f>Show!$B$160&amp;Show!$B$160&amp;"S.28.02.01.04 Columns {"&amp;COLUMN($G$1)&amp;"}"</f>
        <v>!!S.28.02.01.04 Columns {7}</v>
      </c>
    </row>
    <row r="82" spans="2:16" ht="18.75">
      <c r="B82" s="97" t="s">
        <v>5649</v>
      </c>
      <c r="C82" s="96"/>
      <c r="D82" s="96"/>
      <c r="E82" s="96"/>
      <c r="F82" s="96"/>
      <c r="G82" s="96"/>
      <c r="H82" s="96"/>
      <c r="I82" s="96"/>
      <c r="J82" s="96"/>
      <c r="K82" s="96"/>
      <c r="L82" s="96"/>
    </row>
    <row r="86" spans="2:16">
      <c r="D86" s="98" t="s">
        <v>2877</v>
      </c>
    </row>
    <row r="87" spans="2:16">
      <c r="D87" s="99"/>
    </row>
    <row r="88" spans="2:16">
      <c r="D88" s="100"/>
    </row>
    <row r="89" spans="2:16">
      <c r="D89" s="45" t="s">
        <v>3375</v>
      </c>
      <c r="O89" s="13" t="str">
        <f>Show!$B$160&amp;"S.28.02.01.05 Rows {"&amp;COLUMN($C$1)&amp;"}"&amp;"@ForceFilingCode:true"</f>
        <v>!S.28.02.01.05 Rows {3}@ForceFilingCode:true</v>
      </c>
      <c r="P89" s="13" t="str">
        <f>Show!$B$160&amp;"S.28.02.01.05 Columns {"&amp;COLUMN($D$1)&amp;"}"</f>
        <v>!S.28.02.01.05 Columns {4}</v>
      </c>
    </row>
    <row r="90" spans="2:16">
      <c r="B90" s="43" t="s">
        <v>2880</v>
      </c>
      <c r="C90" s="44" t="s">
        <v>2878</v>
      </c>
      <c r="D90" s="46"/>
    </row>
    <row r="91" spans="2:16">
      <c r="B91" s="47" t="s">
        <v>5631</v>
      </c>
      <c r="C91" s="41" t="s">
        <v>2939</v>
      </c>
      <c r="D91" s="60"/>
    </row>
    <row r="92" spans="2:16">
      <c r="B92" s="47" t="s">
        <v>292</v>
      </c>
      <c r="C92" s="41" t="s">
        <v>2941</v>
      </c>
      <c r="D92" s="60"/>
    </row>
    <row r="93" spans="2:16">
      <c r="B93" s="47" t="s">
        <v>5632</v>
      </c>
      <c r="C93" s="41" t="s">
        <v>2943</v>
      </c>
      <c r="D93" s="60"/>
    </row>
    <row r="94" spans="2:16">
      <c r="B94" s="47" t="s">
        <v>5633</v>
      </c>
      <c r="C94" s="41" t="s">
        <v>2945</v>
      </c>
      <c r="D94" s="60"/>
    </row>
    <row r="95" spans="2:16">
      <c r="B95" s="47" t="s">
        <v>5634</v>
      </c>
      <c r="C95" s="41" t="s">
        <v>2947</v>
      </c>
      <c r="D95" s="60"/>
    </row>
    <row r="96" spans="2:16">
      <c r="B96" s="47" t="s">
        <v>5635</v>
      </c>
      <c r="C96" s="41" t="s">
        <v>2949</v>
      </c>
      <c r="D96" s="60"/>
    </row>
    <row r="97" spans="2:16">
      <c r="B97" s="47" t="s">
        <v>4255</v>
      </c>
      <c r="C97" s="41" t="s">
        <v>2959</v>
      </c>
      <c r="D97" s="60"/>
    </row>
    <row r="99" spans="2:16">
      <c r="O99" s="13" t="str">
        <f>Show!$B$160&amp;Show!$B$160&amp;"S.28.02.01.05 Rows {"&amp;COLUMN($C$1)&amp;"}"</f>
        <v>!!S.28.02.01.05 Rows {3}</v>
      </c>
      <c r="P99" s="13" t="str">
        <f>Show!$B$160&amp;Show!$B$160&amp;"S.28.02.01.05 Columns {"&amp;COLUMN($D$1)&amp;"}"</f>
        <v>!!S.28.02.01.05 Columns {4}</v>
      </c>
    </row>
    <row r="101" spans="2:16" ht="18.75">
      <c r="B101" s="97" t="s">
        <v>5650</v>
      </c>
      <c r="C101" s="96"/>
      <c r="D101" s="96"/>
      <c r="E101" s="96"/>
      <c r="F101" s="96"/>
      <c r="G101" s="96"/>
      <c r="H101" s="96"/>
      <c r="I101" s="96"/>
      <c r="J101" s="96"/>
      <c r="K101" s="96"/>
      <c r="L101" s="96"/>
    </row>
    <row r="105" spans="2:16">
      <c r="D105" s="101" t="s">
        <v>2877</v>
      </c>
      <c r="E105" s="103"/>
    </row>
    <row r="106" spans="2:16">
      <c r="D106" s="104"/>
      <c r="E106" s="106"/>
    </row>
    <row r="107" spans="2:16" ht="30">
      <c r="D107" s="55" t="s">
        <v>5637</v>
      </c>
      <c r="E107" s="55" t="s">
        <v>5639</v>
      </c>
    </row>
    <row r="108" spans="2:16">
      <c r="D108" s="45" t="s">
        <v>3475</v>
      </c>
      <c r="E108" s="45" t="s">
        <v>3477</v>
      </c>
      <c r="O108" s="13" t="str">
        <f>Show!$B$160&amp;"S.28.02.01.06 Rows {"&amp;COLUMN($C$1)&amp;"}"&amp;"@ForceFilingCode:true"</f>
        <v>!S.28.02.01.06 Rows {3}@ForceFilingCode:true</v>
      </c>
      <c r="P108" s="13" t="str">
        <f>Show!$B$160&amp;"S.28.02.01.06 Columns {"&amp;COLUMN($D$1)&amp;"}"</f>
        <v>!S.28.02.01.06 Columns {4}</v>
      </c>
    </row>
    <row r="109" spans="2:16">
      <c r="B109" s="43" t="s">
        <v>2880</v>
      </c>
      <c r="C109" s="44" t="s">
        <v>2878</v>
      </c>
      <c r="D109" s="56"/>
      <c r="E109" s="57"/>
    </row>
    <row r="110" spans="2:16">
      <c r="B110" s="47" t="s">
        <v>5651</v>
      </c>
      <c r="C110" s="41" t="s">
        <v>2977</v>
      </c>
      <c r="D110" s="60"/>
      <c r="E110" s="60"/>
    </row>
    <row r="111" spans="2:16">
      <c r="B111" s="47" t="s">
        <v>5652</v>
      </c>
      <c r="C111" s="41" t="s">
        <v>2979</v>
      </c>
      <c r="D111" s="60"/>
      <c r="E111" s="60"/>
    </row>
    <row r="112" spans="2:16">
      <c r="B112" s="47" t="s">
        <v>5653</v>
      </c>
      <c r="C112" s="41" t="s">
        <v>2981</v>
      </c>
      <c r="D112" s="60"/>
      <c r="E112" s="60"/>
    </row>
    <row r="113" spans="2:16">
      <c r="B113" s="47" t="s">
        <v>5654</v>
      </c>
      <c r="C113" s="41" t="s">
        <v>2983</v>
      </c>
      <c r="D113" s="60"/>
      <c r="E113" s="60"/>
    </row>
    <row r="114" spans="2:16">
      <c r="B114" s="47" t="s">
        <v>5655</v>
      </c>
      <c r="C114" s="41" t="s">
        <v>2985</v>
      </c>
      <c r="D114" s="60"/>
      <c r="E114" s="60"/>
    </row>
    <row r="115" spans="2:16">
      <c r="B115" s="47" t="s">
        <v>5656</v>
      </c>
      <c r="C115" s="41" t="s">
        <v>2987</v>
      </c>
      <c r="D115" s="60"/>
      <c r="E115" s="60"/>
    </row>
    <row r="116" spans="2:16">
      <c r="B116" s="47" t="s">
        <v>5657</v>
      </c>
      <c r="C116" s="41" t="s">
        <v>2989</v>
      </c>
      <c r="D116" s="60"/>
      <c r="E116" s="60"/>
    </row>
    <row r="118" spans="2:16">
      <c r="O118" s="13" t="str">
        <f>Show!$B$160&amp;Show!$B$160&amp;"S.28.02.01.06 Rows {"&amp;COLUMN($C$1)&amp;"}"</f>
        <v>!!S.28.02.01.06 Rows {3}</v>
      </c>
      <c r="P118" s="13" t="str">
        <f>Show!$B$160&amp;Show!$B$160&amp;"S.28.02.01.06 Columns {"&amp;COLUMN($E$1)&amp;"}"</f>
        <v>!!S.28.02.01.06 Columns {5}</v>
      </c>
    </row>
  </sheetData>
  <sheetProtection sheet="1" objects="1" scenarios="1"/>
  <mergeCells count="19">
    <mergeCell ref="D105:E106"/>
    <mergeCell ref="D68:G69"/>
    <mergeCell ref="D70:E70"/>
    <mergeCell ref="F70:G70"/>
    <mergeCell ref="B82:L82"/>
    <mergeCell ref="D86:D88"/>
    <mergeCell ref="B101:L101"/>
    <mergeCell ref="B64:L64"/>
    <mergeCell ref="B2:O2"/>
    <mergeCell ref="B5:L5"/>
    <mergeCell ref="D9:E10"/>
    <mergeCell ref="D11:E11"/>
    <mergeCell ref="B20:L20"/>
    <mergeCell ref="D24:G25"/>
    <mergeCell ref="D26:G26"/>
    <mergeCell ref="D27:E27"/>
    <mergeCell ref="F27:G27"/>
    <mergeCell ref="B50:L50"/>
    <mergeCell ref="D54:E55"/>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20C7-43E0-4837-9091-FF5875FA4707}">
  <sheetPr codeName="Blad165"/>
  <dimension ref="B2:O57"/>
  <sheetViews>
    <sheetView showGridLines="0" workbookViewId="0"/>
  </sheetViews>
  <sheetFormatPr defaultRowHeight="15"/>
  <cols>
    <col min="2" max="2" width="85.85546875" bestFit="1" customWidth="1"/>
    <col min="4" max="6" width="15.7109375" customWidth="1"/>
  </cols>
  <sheetData>
    <row r="2" spans="2:15" ht="23.25">
      <c r="B2" s="95" t="s">
        <v>750</v>
      </c>
      <c r="C2" s="96"/>
      <c r="D2" s="96"/>
      <c r="E2" s="96"/>
      <c r="F2" s="96"/>
      <c r="G2" s="96"/>
      <c r="H2" s="96"/>
      <c r="I2" s="96"/>
      <c r="J2" s="96"/>
      <c r="K2" s="96"/>
      <c r="L2" s="96"/>
      <c r="M2" s="96"/>
      <c r="N2" s="96"/>
      <c r="O2" s="96"/>
    </row>
    <row r="5" spans="2:15" ht="18.75">
      <c r="B5" s="97" t="s">
        <v>5658</v>
      </c>
      <c r="C5" s="96"/>
      <c r="D5" s="96"/>
      <c r="E5" s="96"/>
      <c r="F5" s="96"/>
      <c r="G5" s="96"/>
      <c r="H5" s="96"/>
      <c r="I5" s="96"/>
      <c r="J5" s="96"/>
      <c r="K5" s="96"/>
      <c r="L5" s="96"/>
    </row>
    <row r="9" spans="2:15">
      <c r="D9" s="101" t="s">
        <v>2877</v>
      </c>
      <c r="E9" s="102"/>
      <c r="F9" s="103"/>
    </row>
    <row r="10" spans="2:15">
      <c r="D10" s="104"/>
      <c r="E10" s="105"/>
      <c r="F10" s="106"/>
    </row>
    <row r="11" spans="2:15">
      <c r="D11" s="98" t="s">
        <v>5659</v>
      </c>
      <c r="E11" s="98" t="s">
        <v>5660</v>
      </c>
      <c r="F11" s="98" t="s">
        <v>5661</v>
      </c>
    </row>
    <row r="12" spans="2:15">
      <c r="D12" s="100"/>
      <c r="E12" s="100"/>
      <c r="F12" s="100"/>
    </row>
    <row r="13" spans="2:15">
      <c r="D13" s="45" t="s">
        <v>2879</v>
      </c>
      <c r="E13" s="45" t="s">
        <v>3219</v>
      </c>
      <c r="F13" s="45" t="s">
        <v>3225</v>
      </c>
      <c r="K13" s="13" t="str">
        <f>Show!$B$161&amp;"S.29.01.01.01 Rows {"&amp;COLUMN($C$1)&amp;"}"&amp;"@ForceFilingCode:true"</f>
        <v>!S.29.01.01.01 Rows {3}@ForceFilingCode:true</v>
      </c>
      <c r="L13" s="13" t="str">
        <f>Show!$B$161&amp;"S.29.01.01.01 Columns {"&amp;COLUMN($D$1)&amp;"}"</f>
        <v>!S.29.01.01.01 Columns {4}</v>
      </c>
    </row>
    <row r="14" spans="2:15">
      <c r="B14" s="43" t="s">
        <v>2880</v>
      </c>
      <c r="C14" s="44" t="s">
        <v>2878</v>
      </c>
      <c r="D14" s="58"/>
      <c r="E14" s="67"/>
      <c r="F14" s="59"/>
    </row>
    <row r="15" spans="2:15" ht="30">
      <c r="B15" s="47" t="s">
        <v>4344</v>
      </c>
      <c r="C15" s="44" t="s">
        <v>2878</v>
      </c>
      <c r="D15" s="56"/>
      <c r="E15" s="66"/>
      <c r="F15" s="57"/>
    </row>
    <row r="16" spans="2:15">
      <c r="B16" s="49" t="s">
        <v>4345</v>
      </c>
      <c r="C16" s="41" t="s">
        <v>2883</v>
      </c>
      <c r="D16" s="60"/>
      <c r="E16" s="60"/>
      <c r="F16" s="60"/>
    </row>
    <row r="17" spans="2:12">
      <c r="B17" s="49" t="s">
        <v>4346</v>
      </c>
      <c r="C17" s="41" t="s">
        <v>2885</v>
      </c>
      <c r="D17" s="60"/>
      <c r="E17" s="60"/>
      <c r="F17" s="60"/>
    </row>
    <row r="18" spans="2:12" ht="30">
      <c r="B18" s="49" t="s">
        <v>4347</v>
      </c>
      <c r="C18" s="41" t="s">
        <v>2887</v>
      </c>
      <c r="D18" s="60"/>
      <c r="E18" s="60"/>
      <c r="F18" s="60"/>
    </row>
    <row r="19" spans="2:12">
      <c r="B19" s="49" t="s">
        <v>4348</v>
      </c>
      <c r="C19" s="41" t="s">
        <v>2889</v>
      </c>
      <c r="D19" s="60"/>
      <c r="E19" s="60"/>
      <c r="F19" s="60"/>
    </row>
    <row r="20" spans="2:12">
      <c r="B20" s="49" t="s">
        <v>4349</v>
      </c>
      <c r="C20" s="41" t="s">
        <v>3078</v>
      </c>
      <c r="D20" s="60"/>
      <c r="E20" s="60"/>
      <c r="F20" s="60"/>
    </row>
    <row r="21" spans="2:12">
      <c r="B21" s="49" t="s">
        <v>4350</v>
      </c>
      <c r="C21" s="41" t="s">
        <v>2891</v>
      </c>
      <c r="D21" s="60"/>
      <c r="E21" s="60"/>
      <c r="F21" s="60"/>
    </row>
    <row r="22" spans="2:12">
      <c r="B22" s="49" t="s">
        <v>4351</v>
      </c>
      <c r="C22" s="41" t="s">
        <v>2893</v>
      </c>
      <c r="D22" s="60"/>
      <c r="E22" s="60"/>
      <c r="F22" s="60"/>
    </row>
    <row r="23" spans="2:12">
      <c r="B23" s="49" t="s">
        <v>5662</v>
      </c>
      <c r="C23" s="41" t="s">
        <v>2895</v>
      </c>
      <c r="D23" s="60"/>
      <c r="E23" s="60"/>
      <c r="F23" s="60"/>
    </row>
    <row r="24" spans="2:12">
      <c r="B24" s="49" t="s">
        <v>3309</v>
      </c>
      <c r="C24" s="41" t="s">
        <v>2897</v>
      </c>
      <c r="D24" s="60"/>
      <c r="E24" s="60"/>
      <c r="F24" s="60"/>
    </row>
    <row r="25" spans="2:12">
      <c r="B25" s="49" t="s">
        <v>4353</v>
      </c>
      <c r="C25" s="41" t="s">
        <v>2899</v>
      </c>
      <c r="D25" s="60"/>
      <c r="E25" s="60"/>
      <c r="F25" s="60"/>
    </row>
    <row r="26" spans="2:12" ht="30">
      <c r="B26" s="49" t="s">
        <v>4354</v>
      </c>
      <c r="C26" s="41" t="s">
        <v>2901</v>
      </c>
      <c r="D26" s="60"/>
      <c r="E26" s="60"/>
      <c r="F26" s="60"/>
    </row>
    <row r="27" spans="2:12">
      <c r="B27" s="49" t="s">
        <v>5663</v>
      </c>
      <c r="C27" s="41" t="s">
        <v>2903</v>
      </c>
      <c r="D27" s="60"/>
      <c r="E27" s="60"/>
      <c r="F27" s="60"/>
    </row>
    <row r="29" spans="2:12">
      <c r="K29" s="13" t="str">
        <f>Show!$B$161&amp;Show!$B$161&amp;"S.29.01.01.01 Rows {"&amp;COLUMN($C$1)&amp;"}"</f>
        <v>!!S.29.01.01.01 Rows {3}</v>
      </c>
      <c r="L29" s="13" t="str">
        <f>Show!$B$161&amp;Show!$B$161&amp;"S.29.01.01.01 Columns {"&amp;COLUMN($F$1)&amp;"}"</f>
        <v>!!S.29.01.01.01 Columns {6}</v>
      </c>
    </row>
    <row r="31" spans="2:12" ht="18.75">
      <c r="B31" s="97" t="s">
        <v>5664</v>
      </c>
      <c r="C31" s="96"/>
      <c r="D31" s="96"/>
      <c r="E31" s="96"/>
      <c r="F31" s="96"/>
      <c r="G31" s="96"/>
      <c r="H31" s="96"/>
      <c r="I31" s="96"/>
      <c r="J31" s="96"/>
      <c r="K31" s="96"/>
      <c r="L31" s="96"/>
    </row>
    <row r="35" spans="2:12">
      <c r="D35" s="98" t="s">
        <v>2877</v>
      </c>
    </row>
    <row r="36" spans="2:12">
      <c r="D36" s="100"/>
    </row>
    <row r="37" spans="2:12">
      <c r="D37" s="98" t="s">
        <v>5661</v>
      </c>
    </row>
    <row r="38" spans="2:12">
      <c r="D38" s="100"/>
    </row>
    <row r="39" spans="2:12">
      <c r="D39" s="45" t="s">
        <v>3225</v>
      </c>
      <c r="K39" s="13" t="str">
        <f>Show!$B$161&amp;"S.29.01.01.02 Rows {"&amp;COLUMN($C$1)&amp;"}"&amp;"@ForceFilingCode:true"</f>
        <v>!S.29.01.01.02 Rows {3}@ForceFilingCode:true</v>
      </c>
      <c r="L39" s="13" t="str">
        <f>Show!$B$161&amp;"S.29.01.01.02 Columns {"&amp;COLUMN($D$1)&amp;"}"</f>
        <v>!S.29.01.01.02 Columns {4}</v>
      </c>
    </row>
    <row r="40" spans="2:12">
      <c r="B40" s="43" t="s">
        <v>2880</v>
      </c>
      <c r="C40" s="44" t="s">
        <v>2878</v>
      </c>
      <c r="D40" s="48"/>
    </row>
    <row r="41" spans="2:12">
      <c r="B41" s="47" t="s">
        <v>5665</v>
      </c>
      <c r="C41" s="44" t="s">
        <v>2878</v>
      </c>
      <c r="D41" s="46"/>
    </row>
    <row r="42" spans="2:12" ht="30">
      <c r="B42" s="49" t="s">
        <v>5666</v>
      </c>
      <c r="C42" s="41" t="s">
        <v>2905</v>
      </c>
      <c r="D42" s="60"/>
    </row>
    <row r="43" spans="2:12">
      <c r="B43" s="49" t="s">
        <v>5667</v>
      </c>
      <c r="C43" s="41" t="s">
        <v>2907</v>
      </c>
      <c r="D43" s="60"/>
    </row>
    <row r="44" spans="2:12">
      <c r="B44" s="49" t="s">
        <v>4379</v>
      </c>
      <c r="C44" s="41" t="s">
        <v>2909</v>
      </c>
      <c r="D44" s="60"/>
    </row>
    <row r="45" spans="2:12">
      <c r="B45" s="49" t="s">
        <v>4380</v>
      </c>
      <c r="C45" s="41" t="s">
        <v>2911</v>
      </c>
      <c r="D45" s="60"/>
    </row>
    <row r="46" spans="2:12">
      <c r="B46" s="49" t="s">
        <v>5668</v>
      </c>
      <c r="C46" s="41" t="s">
        <v>2913</v>
      </c>
      <c r="D46" s="60"/>
    </row>
    <row r="47" spans="2:12">
      <c r="B47" s="49" t="s">
        <v>5669</v>
      </c>
      <c r="C47" s="41" t="s">
        <v>2915</v>
      </c>
      <c r="D47" s="63"/>
    </row>
    <row r="48" spans="2:12">
      <c r="B48" s="47" t="s">
        <v>5670</v>
      </c>
      <c r="C48" s="44" t="s">
        <v>2878</v>
      </c>
      <c r="D48" s="46"/>
    </row>
    <row r="49" spans="2:12">
      <c r="B49" s="49" t="s">
        <v>5671</v>
      </c>
      <c r="C49" s="41" t="s">
        <v>2917</v>
      </c>
      <c r="D49" s="60"/>
    </row>
    <row r="50" spans="2:12">
      <c r="B50" s="49" t="s">
        <v>5672</v>
      </c>
      <c r="C50" s="41" t="s">
        <v>2919</v>
      </c>
      <c r="D50" s="60"/>
    </row>
    <row r="51" spans="2:12">
      <c r="B51" s="49" t="s">
        <v>5673</v>
      </c>
      <c r="C51" s="41" t="s">
        <v>2921</v>
      </c>
      <c r="D51" s="60"/>
    </row>
    <row r="52" spans="2:12">
      <c r="B52" s="49" t="s">
        <v>5674</v>
      </c>
      <c r="C52" s="41" t="s">
        <v>2923</v>
      </c>
      <c r="D52" s="60"/>
    </row>
    <row r="53" spans="2:12">
      <c r="B53" s="49" t="s">
        <v>5675</v>
      </c>
      <c r="C53" s="41" t="s">
        <v>2925</v>
      </c>
      <c r="D53" s="60"/>
    </row>
    <row r="54" spans="2:12">
      <c r="B54" s="49" t="s">
        <v>5676</v>
      </c>
      <c r="C54" s="41" t="s">
        <v>2927</v>
      </c>
      <c r="D54" s="60"/>
    </row>
    <row r="55" spans="2:12">
      <c r="B55" s="49" t="s">
        <v>5677</v>
      </c>
      <c r="C55" s="41" t="s">
        <v>2929</v>
      </c>
      <c r="D55" s="60"/>
    </row>
    <row r="57" spans="2:12">
      <c r="K57" s="13" t="str">
        <f>Show!$B$161&amp;Show!$B$161&amp;"S.29.01.01.02 Rows {"&amp;COLUMN($C$1)&amp;"}"</f>
        <v>!!S.29.01.01.02 Rows {3}</v>
      </c>
      <c r="L57" s="13" t="str">
        <f>Show!$B$161&amp;Show!$B$161&amp;"S.29.01.01.02 Columns {"&amp;COLUMN($D$1)&amp;"}"</f>
        <v>!!S.29.01.01.02 Columns {4}</v>
      </c>
    </row>
  </sheetData>
  <sheetProtection sheet="1" objects="1" scenarios="1"/>
  <mergeCells count="9">
    <mergeCell ref="B31:L31"/>
    <mergeCell ref="D35:D36"/>
    <mergeCell ref="D37:D38"/>
    <mergeCell ref="B2:O2"/>
    <mergeCell ref="B5:L5"/>
    <mergeCell ref="D9:F10"/>
    <mergeCell ref="D11:D12"/>
    <mergeCell ref="E11:E12"/>
    <mergeCell ref="F11:F12"/>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CCCCA-1049-48A7-B964-1891A2B7FD9A}">
  <sheetPr codeName="Blad166"/>
  <dimension ref="B2:O31"/>
  <sheetViews>
    <sheetView showGridLines="0" workbookViewId="0"/>
  </sheetViews>
  <sheetFormatPr defaultRowHeight="15"/>
  <cols>
    <col min="2" max="2" width="78.7109375" bestFit="1" customWidth="1"/>
    <col min="4" max="4" width="15.7109375" customWidth="1"/>
  </cols>
  <sheetData>
    <row r="2" spans="2:15" ht="23.25">
      <c r="B2" s="95" t="s">
        <v>752</v>
      </c>
      <c r="C2" s="96"/>
      <c r="D2" s="96"/>
      <c r="E2" s="96"/>
      <c r="F2" s="96"/>
      <c r="G2" s="96"/>
      <c r="H2" s="96"/>
      <c r="I2" s="96"/>
      <c r="J2" s="96"/>
      <c r="K2" s="96"/>
      <c r="L2" s="96"/>
      <c r="M2" s="96"/>
      <c r="N2" s="96"/>
      <c r="O2" s="96"/>
    </row>
    <row r="5" spans="2:15" ht="18.75">
      <c r="B5" s="97" t="s">
        <v>5678</v>
      </c>
      <c r="C5" s="96"/>
      <c r="D5" s="96"/>
      <c r="E5" s="96"/>
      <c r="F5" s="96"/>
      <c r="G5" s="96"/>
      <c r="H5" s="96"/>
      <c r="I5" s="96"/>
      <c r="J5" s="96"/>
      <c r="K5" s="96"/>
      <c r="L5" s="96"/>
    </row>
    <row r="9" spans="2:15">
      <c r="D9" s="98" t="s">
        <v>2877</v>
      </c>
    </row>
    <row r="10" spans="2:15">
      <c r="D10" s="100"/>
    </row>
    <row r="11" spans="2:15">
      <c r="D11" s="98" t="s">
        <v>5661</v>
      </c>
    </row>
    <row r="12" spans="2:15">
      <c r="D12" s="100"/>
    </row>
    <row r="13" spans="2:15">
      <c r="D13" s="45" t="s">
        <v>3225</v>
      </c>
      <c r="I13" s="13" t="str">
        <f>Show!$B$162&amp;"S.29.01.07.01 Rows {"&amp;COLUMN($C$1)&amp;"}"&amp;"@ForceFilingCode:true"</f>
        <v>!S.29.01.07.01 Rows {3}@ForceFilingCode:true</v>
      </c>
      <c r="J13" s="13" t="str">
        <f>Show!$B$162&amp;"S.29.01.07.01 Columns {"&amp;COLUMN($D$1)&amp;"}"</f>
        <v>!S.29.01.07.01 Columns {4}</v>
      </c>
    </row>
    <row r="14" spans="2:15">
      <c r="B14" s="43" t="s">
        <v>2880</v>
      </c>
      <c r="C14" s="44" t="s">
        <v>2878</v>
      </c>
      <c r="D14" s="48"/>
    </row>
    <row r="15" spans="2:15">
      <c r="B15" s="47" t="s">
        <v>5665</v>
      </c>
      <c r="C15" s="44" t="s">
        <v>2878</v>
      </c>
      <c r="D15" s="46"/>
    </row>
    <row r="16" spans="2:15" ht="30">
      <c r="B16" s="49" t="s">
        <v>5666</v>
      </c>
      <c r="C16" s="41" t="s">
        <v>2905</v>
      </c>
      <c r="D16" s="60"/>
    </row>
    <row r="17" spans="2:10">
      <c r="B17" s="49" t="s">
        <v>5667</v>
      </c>
      <c r="C17" s="41" t="s">
        <v>2907</v>
      </c>
      <c r="D17" s="60"/>
    </row>
    <row r="18" spans="2:10">
      <c r="B18" s="49" t="s">
        <v>4379</v>
      </c>
      <c r="C18" s="41" t="s">
        <v>2909</v>
      </c>
      <c r="D18" s="60"/>
    </row>
    <row r="19" spans="2:10">
      <c r="B19" s="49" t="s">
        <v>4380</v>
      </c>
      <c r="C19" s="41" t="s">
        <v>2911</v>
      </c>
      <c r="D19" s="60"/>
    </row>
    <row r="20" spans="2:10">
      <c r="B20" s="49" t="s">
        <v>5668</v>
      </c>
      <c r="C20" s="41" t="s">
        <v>2913</v>
      </c>
      <c r="D20" s="60"/>
    </row>
    <row r="21" spans="2:10">
      <c r="B21" s="49" t="s">
        <v>5669</v>
      </c>
      <c r="C21" s="41" t="s">
        <v>2915</v>
      </c>
      <c r="D21" s="63"/>
    </row>
    <row r="22" spans="2:10">
      <c r="B22" s="47" t="s">
        <v>5670</v>
      </c>
      <c r="C22" s="44" t="s">
        <v>2878</v>
      </c>
      <c r="D22" s="46"/>
    </row>
    <row r="23" spans="2:10">
      <c r="B23" s="49" t="s">
        <v>5671</v>
      </c>
      <c r="C23" s="41" t="s">
        <v>2917</v>
      </c>
      <c r="D23" s="60"/>
    </row>
    <row r="24" spans="2:10">
      <c r="B24" s="49" t="s">
        <v>5672</v>
      </c>
      <c r="C24" s="41" t="s">
        <v>2919</v>
      </c>
      <c r="D24" s="60"/>
    </row>
    <row r="25" spans="2:10">
      <c r="B25" s="49" t="s">
        <v>5673</v>
      </c>
      <c r="C25" s="41" t="s">
        <v>2921</v>
      </c>
      <c r="D25" s="60"/>
    </row>
    <row r="26" spans="2:10">
      <c r="B26" s="49" t="s">
        <v>5674</v>
      </c>
      <c r="C26" s="41" t="s">
        <v>2923</v>
      </c>
      <c r="D26" s="60"/>
    </row>
    <row r="27" spans="2:10">
      <c r="B27" s="49" t="s">
        <v>5675</v>
      </c>
      <c r="C27" s="41" t="s">
        <v>2925</v>
      </c>
      <c r="D27" s="60"/>
    </row>
    <row r="28" spans="2:10">
      <c r="B28" s="49" t="s">
        <v>5676</v>
      </c>
      <c r="C28" s="41" t="s">
        <v>2927</v>
      </c>
      <c r="D28" s="60"/>
    </row>
    <row r="29" spans="2:10">
      <c r="B29" s="49" t="s">
        <v>5677</v>
      </c>
      <c r="C29" s="41" t="s">
        <v>2929</v>
      </c>
      <c r="D29" s="60"/>
    </row>
    <row r="31" spans="2:10">
      <c r="I31" s="13" t="str">
        <f>Show!$B$162&amp;Show!$B$162&amp;"S.29.01.07.01 Rows {"&amp;COLUMN($C$1)&amp;"}"</f>
        <v>!!S.29.01.07.01 Rows {3}</v>
      </c>
      <c r="J31" s="13" t="str">
        <f>Show!$B$162&amp;Show!$B$162&amp;"S.29.01.07.01 Columns {"&amp;COLUMN($D$1)&amp;"}"</f>
        <v>!!S.29.01.07.01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ABD12-39F2-420E-893E-F622265FEAD2}">
  <sheetPr codeName="Blad167"/>
  <dimension ref="B2:O29"/>
  <sheetViews>
    <sheetView showGridLines="0" workbookViewId="0"/>
  </sheetViews>
  <sheetFormatPr defaultRowHeight="15"/>
  <cols>
    <col min="2" max="2" width="81.7109375" bestFit="1" customWidth="1"/>
    <col min="4" max="4" width="15.7109375" customWidth="1"/>
  </cols>
  <sheetData>
    <row r="2" spans="2:15" ht="23.25">
      <c r="B2" s="95" t="s">
        <v>754</v>
      </c>
      <c r="C2" s="96"/>
      <c r="D2" s="96"/>
      <c r="E2" s="96"/>
      <c r="F2" s="96"/>
      <c r="G2" s="96"/>
      <c r="H2" s="96"/>
      <c r="I2" s="96"/>
      <c r="J2" s="96"/>
      <c r="K2" s="96"/>
      <c r="L2" s="96"/>
      <c r="M2" s="96"/>
      <c r="N2" s="96"/>
      <c r="O2" s="96"/>
    </row>
    <row r="5" spans="2:15" ht="18.75">
      <c r="B5" s="97" t="s">
        <v>5679</v>
      </c>
      <c r="C5" s="96"/>
      <c r="D5" s="96"/>
      <c r="E5" s="96"/>
      <c r="F5" s="96"/>
      <c r="G5" s="96"/>
      <c r="H5" s="96"/>
      <c r="I5" s="96"/>
      <c r="J5" s="96"/>
      <c r="K5" s="96"/>
      <c r="L5" s="96"/>
    </row>
    <row r="9" spans="2:15">
      <c r="D9" s="98" t="s">
        <v>2877</v>
      </c>
    </row>
    <row r="10" spans="2:15">
      <c r="D10" s="100"/>
    </row>
    <row r="11" spans="2:15">
      <c r="D11" s="98" t="s">
        <v>4635</v>
      </c>
    </row>
    <row r="12" spans="2:15">
      <c r="D12" s="100"/>
    </row>
    <row r="13" spans="2:15">
      <c r="D13" s="45" t="s">
        <v>2879</v>
      </c>
      <c r="I13" s="13" t="str">
        <f>Show!$B$163&amp;"S.29.02.01.01 Rows {"&amp;COLUMN($C$1)&amp;"}"&amp;"@ForceFilingCode:true"</f>
        <v>!S.29.02.01.01 Rows {3}@ForceFilingCode:true</v>
      </c>
      <c r="J13" s="13" t="str">
        <f>Show!$B$163&amp;"S.29.02.01.01 Columns {"&amp;COLUMN($D$1)&amp;"}"</f>
        <v>!S.29.02.01.01 Columns {4}</v>
      </c>
    </row>
    <row r="14" spans="2:15">
      <c r="B14" s="43" t="s">
        <v>2880</v>
      </c>
      <c r="C14" s="44" t="s">
        <v>2878</v>
      </c>
      <c r="D14" s="48"/>
    </row>
    <row r="15" spans="2:15">
      <c r="B15" s="47" t="s">
        <v>5680</v>
      </c>
      <c r="C15" s="44" t="s">
        <v>2878</v>
      </c>
      <c r="D15" s="46"/>
    </row>
    <row r="16" spans="2:15">
      <c r="B16" s="49" t="s">
        <v>5681</v>
      </c>
      <c r="C16" s="41" t="s">
        <v>2883</v>
      </c>
      <c r="D16" s="60"/>
    </row>
    <row r="17" spans="2:10">
      <c r="B17" s="49" t="s">
        <v>5682</v>
      </c>
      <c r="C17" s="41" t="s">
        <v>2885</v>
      </c>
      <c r="D17" s="60"/>
    </row>
    <row r="18" spans="2:10">
      <c r="B18" s="49" t="s">
        <v>5683</v>
      </c>
      <c r="C18" s="41" t="s">
        <v>2887</v>
      </c>
      <c r="D18" s="63"/>
    </row>
    <row r="19" spans="2:10" ht="30">
      <c r="B19" s="47" t="s">
        <v>5684</v>
      </c>
      <c r="C19" s="44" t="s">
        <v>2878</v>
      </c>
      <c r="D19" s="46"/>
    </row>
    <row r="20" spans="2:10">
      <c r="B20" s="49" t="s">
        <v>5685</v>
      </c>
      <c r="C20" s="41" t="s">
        <v>2889</v>
      </c>
      <c r="D20" s="60"/>
    </row>
    <row r="21" spans="2:10">
      <c r="B21" s="49" t="s">
        <v>5686</v>
      </c>
      <c r="C21" s="41" t="s">
        <v>3078</v>
      </c>
      <c r="D21" s="60"/>
    </row>
    <row r="22" spans="2:10" ht="30">
      <c r="B22" s="47" t="s">
        <v>5687</v>
      </c>
      <c r="C22" s="41" t="s">
        <v>2891</v>
      </c>
      <c r="D22" s="63"/>
    </row>
    <row r="23" spans="2:10">
      <c r="B23" s="47" t="s">
        <v>5688</v>
      </c>
      <c r="C23" s="44" t="s">
        <v>2878</v>
      </c>
      <c r="D23" s="46"/>
    </row>
    <row r="24" spans="2:10">
      <c r="B24" s="49" t="s">
        <v>3715</v>
      </c>
      <c r="C24" s="41" t="s">
        <v>2893</v>
      </c>
      <c r="D24" s="60"/>
    </row>
    <row r="25" spans="2:10">
      <c r="B25" s="49" t="s">
        <v>5689</v>
      </c>
      <c r="C25" s="41" t="s">
        <v>2895</v>
      </c>
      <c r="D25" s="60"/>
    </row>
    <row r="26" spans="2:10">
      <c r="B26" s="49" t="s">
        <v>5690</v>
      </c>
      <c r="C26" s="41" t="s">
        <v>2897</v>
      </c>
      <c r="D26" s="60"/>
    </row>
    <row r="27" spans="2:10">
      <c r="B27" s="49" t="s">
        <v>2488</v>
      </c>
      <c r="C27" s="41" t="s">
        <v>2899</v>
      </c>
      <c r="D27" s="60"/>
    </row>
    <row r="29" spans="2:10">
      <c r="I29" s="13" t="str">
        <f>Show!$B$163&amp;Show!$B$163&amp;"S.29.02.01.01 Rows {"&amp;COLUMN($C$1)&amp;"}"</f>
        <v>!!S.29.02.01.01 Rows {3}</v>
      </c>
      <c r="J29" s="13" t="str">
        <f>Show!$B$163&amp;Show!$B$163&amp;"S.29.02.01.01 Columns {"&amp;COLUMN($D$1)&amp;"}"</f>
        <v>!!S.29.02.01.01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85585-294E-4A3C-892B-C2DBAEF46B41}">
  <sheetPr codeName="Blad168"/>
  <dimension ref="B2:O124"/>
  <sheetViews>
    <sheetView showGridLines="0" workbookViewId="0"/>
  </sheetViews>
  <sheetFormatPr defaultRowHeight="15"/>
  <cols>
    <col min="2" max="2" width="85.85546875" bestFit="1" customWidth="1"/>
    <col min="4" max="5" width="15.7109375" customWidth="1"/>
  </cols>
  <sheetData>
    <row r="2" spans="2:15" ht="23.25">
      <c r="B2" s="95" t="s">
        <v>756</v>
      </c>
      <c r="C2" s="96"/>
      <c r="D2" s="96"/>
      <c r="E2" s="96"/>
      <c r="F2" s="96"/>
      <c r="G2" s="96"/>
      <c r="H2" s="96"/>
      <c r="I2" s="96"/>
      <c r="J2" s="96"/>
      <c r="K2" s="96"/>
      <c r="L2" s="96"/>
      <c r="M2" s="96"/>
      <c r="N2" s="96"/>
      <c r="O2" s="96"/>
    </row>
    <row r="5" spans="2:15" ht="18.75">
      <c r="B5" s="97" t="s">
        <v>5691</v>
      </c>
      <c r="C5" s="96"/>
      <c r="D5" s="96"/>
      <c r="E5" s="96"/>
      <c r="F5" s="96"/>
      <c r="G5" s="96"/>
      <c r="H5" s="96"/>
      <c r="I5" s="96"/>
      <c r="J5" s="96"/>
      <c r="K5" s="96"/>
      <c r="L5" s="96"/>
    </row>
    <row r="9" spans="2:15">
      <c r="D9" s="101" t="s">
        <v>2877</v>
      </c>
      <c r="E9" s="103"/>
    </row>
    <row r="10" spans="2:15">
      <c r="D10" s="104"/>
      <c r="E10" s="106"/>
    </row>
    <row r="11" spans="2:15" ht="30">
      <c r="D11" s="55" t="s">
        <v>5692</v>
      </c>
      <c r="E11" s="55" t="s">
        <v>5693</v>
      </c>
    </row>
    <row r="12" spans="2:15">
      <c r="D12" s="45" t="s">
        <v>2879</v>
      </c>
      <c r="E12" s="45" t="s">
        <v>3219</v>
      </c>
      <c r="J12" s="13" t="str">
        <f>Show!$B$164&amp;"S.29.03.01.01 Rows {"&amp;COLUMN($C$1)&amp;"}"&amp;"@ForceFilingCode:true"</f>
        <v>!S.29.03.01.01 Rows {3}@ForceFilingCode:true</v>
      </c>
      <c r="K12" s="13" t="str">
        <f>Show!$B$164&amp;"S.29.03.01.01 Columns {"&amp;COLUMN($D$1)&amp;"}"</f>
        <v>!S.29.03.01.01 Columns {4}</v>
      </c>
    </row>
    <row r="13" spans="2:15">
      <c r="B13" s="43" t="s">
        <v>2880</v>
      </c>
      <c r="C13" s="44" t="s">
        <v>2878</v>
      </c>
      <c r="D13" s="56"/>
      <c r="E13" s="57"/>
    </row>
    <row r="14" spans="2:15">
      <c r="B14" s="47" t="s">
        <v>5694</v>
      </c>
      <c r="C14" s="41" t="s">
        <v>2883</v>
      </c>
      <c r="D14" s="60"/>
      <c r="E14" s="60"/>
    </row>
    <row r="15" spans="2:15">
      <c r="B15" s="47" t="s">
        <v>5695</v>
      </c>
      <c r="C15" s="41" t="s">
        <v>2885</v>
      </c>
      <c r="D15" s="60"/>
      <c r="E15" s="60"/>
    </row>
    <row r="16" spans="2:15">
      <c r="B16" s="47" t="s">
        <v>5696</v>
      </c>
      <c r="C16" s="41" t="s">
        <v>2887</v>
      </c>
      <c r="D16" s="60"/>
      <c r="E16" s="60"/>
    </row>
    <row r="17" spans="2:12">
      <c r="B17" s="47" t="s">
        <v>5697</v>
      </c>
      <c r="C17" s="41" t="s">
        <v>2889</v>
      </c>
      <c r="D17" s="60"/>
      <c r="E17" s="60"/>
    </row>
    <row r="18" spans="2:12">
      <c r="B18" s="47" t="s">
        <v>5698</v>
      </c>
      <c r="C18" s="41" t="s">
        <v>3078</v>
      </c>
      <c r="D18" s="60"/>
      <c r="E18" s="60"/>
    </row>
    <row r="19" spans="2:12" ht="30">
      <c r="B19" s="47" t="s">
        <v>5699</v>
      </c>
      <c r="C19" s="41" t="s">
        <v>2891</v>
      </c>
      <c r="D19" s="60"/>
      <c r="E19" s="60"/>
    </row>
    <row r="20" spans="2:12" ht="30">
      <c r="B20" s="47" t="s">
        <v>5700</v>
      </c>
      <c r="C20" s="41" t="s">
        <v>2893</v>
      </c>
      <c r="D20" s="60"/>
      <c r="E20" s="60"/>
    </row>
    <row r="21" spans="2:12">
      <c r="B21" s="47" t="s">
        <v>5701</v>
      </c>
      <c r="C21" s="41" t="s">
        <v>2895</v>
      </c>
      <c r="D21" s="60"/>
      <c r="E21" s="60"/>
    </row>
    <row r="22" spans="2:12" ht="30">
      <c r="B22" s="47" t="s">
        <v>5702</v>
      </c>
      <c r="C22" s="41" t="s">
        <v>2897</v>
      </c>
      <c r="D22" s="60"/>
      <c r="E22" s="60"/>
    </row>
    <row r="23" spans="2:12" ht="30">
      <c r="B23" s="47" t="s">
        <v>5703</v>
      </c>
      <c r="C23" s="41" t="s">
        <v>2899</v>
      </c>
      <c r="D23" s="60"/>
      <c r="E23" s="60"/>
    </row>
    <row r="24" spans="2:12">
      <c r="B24" s="47" t="s">
        <v>5704</v>
      </c>
      <c r="C24" s="41" t="s">
        <v>2901</v>
      </c>
      <c r="D24" s="60"/>
      <c r="E24" s="60"/>
    </row>
    <row r="25" spans="2:12">
      <c r="B25" s="47" t="s">
        <v>5705</v>
      </c>
      <c r="C25" s="41" t="s">
        <v>2903</v>
      </c>
      <c r="D25" s="60"/>
      <c r="E25" s="60"/>
    </row>
    <row r="27" spans="2:12">
      <c r="J27" s="13" t="str">
        <f>Show!$B$164&amp;Show!$B$164&amp;"S.29.03.01.01 Rows {"&amp;COLUMN($C$1)&amp;"}"</f>
        <v>!!S.29.03.01.01 Rows {3}</v>
      </c>
      <c r="K27" s="13" t="str">
        <f>Show!$B$164&amp;Show!$B$164&amp;"S.29.03.01.01 Columns {"&amp;COLUMN($E$1)&amp;"}"</f>
        <v>!!S.29.03.01.01 Columns {5}</v>
      </c>
    </row>
    <row r="29" spans="2:12" ht="18.75">
      <c r="B29" s="97" t="s">
        <v>5706</v>
      </c>
      <c r="C29" s="96"/>
      <c r="D29" s="96"/>
      <c r="E29" s="96"/>
      <c r="F29" s="96"/>
      <c r="G29" s="96"/>
      <c r="H29" s="96"/>
      <c r="I29" s="96"/>
      <c r="J29" s="96"/>
      <c r="K29" s="96"/>
      <c r="L29" s="96"/>
    </row>
    <row r="33" spans="2:12">
      <c r="D33" s="101" t="s">
        <v>2877</v>
      </c>
      <c r="E33" s="103"/>
    </row>
    <row r="34" spans="2:12">
      <c r="D34" s="104"/>
      <c r="E34" s="106"/>
    </row>
    <row r="35" spans="2:12" ht="45">
      <c r="D35" s="55" t="s">
        <v>5707</v>
      </c>
      <c r="E35" s="55" t="s">
        <v>5708</v>
      </c>
    </row>
    <row r="36" spans="2:12">
      <c r="D36" s="45" t="s">
        <v>3225</v>
      </c>
      <c r="E36" s="45" t="s">
        <v>3223</v>
      </c>
      <c r="J36" s="13" t="str">
        <f>Show!$B$164&amp;"S.29.03.01.02 Rows {"&amp;COLUMN($C$1)&amp;"}"&amp;"@ForceFilingCode:true"</f>
        <v>!S.29.03.01.02 Rows {3}@ForceFilingCode:true</v>
      </c>
      <c r="K36" s="13" t="str">
        <f>Show!$B$164&amp;"S.29.03.01.02 Columns {"&amp;COLUMN($D$1)&amp;"}"</f>
        <v>!S.29.03.01.02 Columns {4}</v>
      </c>
    </row>
    <row r="37" spans="2:12">
      <c r="B37" s="43" t="s">
        <v>2880</v>
      </c>
      <c r="C37" s="44" t="s">
        <v>2878</v>
      </c>
      <c r="D37" s="56"/>
      <c r="E37" s="57"/>
    </row>
    <row r="38" spans="2:12">
      <c r="B38" s="47" t="s">
        <v>5694</v>
      </c>
      <c r="C38" s="41" t="s">
        <v>2905</v>
      </c>
      <c r="D38" s="60"/>
      <c r="E38" s="60"/>
    </row>
    <row r="39" spans="2:12">
      <c r="B39" s="47" t="s">
        <v>5705</v>
      </c>
      <c r="C39" s="41" t="s">
        <v>2907</v>
      </c>
      <c r="D39" s="60"/>
      <c r="E39" s="60"/>
    </row>
    <row r="41" spans="2:12">
      <c r="J41" s="13" t="str">
        <f>Show!$B$164&amp;Show!$B$164&amp;"S.29.03.01.02 Rows {"&amp;COLUMN($C$1)&amp;"}"</f>
        <v>!!S.29.03.01.02 Rows {3}</v>
      </c>
      <c r="K41" s="13" t="str">
        <f>Show!$B$164&amp;Show!$B$164&amp;"S.29.03.01.02 Columns {"&amp;COLUMN($E$1)&amp;"}"</f>
        <v>!!S.29.03.01.02 Columns {5}</v>
      </c>
    </row>
    <row r="43" spans="2:12" ht="18.75">
      <c r="B43" s="97" t="s">
        <v>5709</v>
      </c>
      <c r="C43" s="96"/>
      <c r="D43" s="96"/>
      <c r="E43" s="96"/>
      <c r="F43" s="96"/>
      <c r="G43" s="96"/>
      <c r="H43" s="96"/>
      <c r="I43" s="96"/>
      <c r="J43" s="96"/>
      <c r="K43" s="96"/>
      <c r="L43" s="96"/>
    </row>
    <row r="47" spans="2:12">
      <c r="D47" s="101" t="s">
        <v>2877</v>
      </c>
      <c r="E47" s="103"/>
    </row>
    <row r="48" spans="2:12">
      <c r="D48" s="104"/>
      <c r="E48" s="106"/>
    </row>
    <row r="49" spans="2:11" ht="30">
      <c r="D49" s="55" t="s">
        <v>5692</v>
      </c>
      <c r="E49" s="55" t="s">
        <v>5693</v>
      </c>
    </row>
    <row r="50" spans="2:11">
      <c r="D50" s="45" t="s">
        <v>3229</v>
      </c>
      <c r="E50" s="45" t="s">
        <v>3231</v>
      </c>
      <c r="J50" s="13" t="str">
        <f>Show!$B$164&amp;"S.29.03.01.03 Rows {"&amp;COLUMN($C$1)&amp;"}"&amp;"@ForceFilingCode:true"</f>
        <v>!S.29.03.01.03 Rows {3}@ForceFilingCode:true</v>
      </c>
      <c r="K50" s="13" t="str">
        <f>Show!$B$164&amp;"S.29.03.01.03 Columns {"&amp;COLUMN($D$1)&amp;"}"</f>
        <v>!S.29.03.01.03 Columns {4}</v>
      </c>
    </row>
    <row r="51" spans="2:11">
      <c r="B51" s="43" t="s">
        <v>2880</v>
      </c>
      <c r="C51" s="44" t="s">
        <v>2878</v>
      </c>
      <c r="D51" s="56"/>
      <c r="E51" s="57"/>
    </row>
    <row r="52" spans="2:11">
      <c r="B52" s="47" t="s">
        <v>5694</v>
      </c>
      <c r="C52" s="41" t="s">
        <v>2909</v>
      </c>
      <c r="D52" s="60"/>
      <c r="E52" s="60"/>
    </row>
    <row r="53" spans="2:11">
      <c r="B53" s="47" t="s">
        <v>5695</v>
      </c>
      <c r="C53" s="41" t="s">
        <v>2911</v>
      </c>
      <c r="D53" s="60"/>
      <c r="E53" s="60"/>
    </row>
    <row r="54" spans="2:11">
      <c r="B54" s="47" t="s">
        <v>5696</v>
      </c>
      <c r="C54" s="41" t="s">
        <v>2913</v>
      </c>
      <c r="D54" s="60"/>
      <c r="E54" s="60"/>
    </row>
    <row r="55" spans="2:11">
      <c r="B55" s="47" t="s">
        <v>5697</v>
      </c>
      <c r="C55" s="41" t="s">
        <v>2915</v>
      </c>
      <c r="D55" s="60"/>
      <c r="E55" s="60"/>
    </row>
    <row r="56" spans="2:11">
      <c r="B56" s="47" t="s">
        <v>5710</v>
      </c>
      <c r="C56" s="41" t="s">
        <v>2917</v>
      </c>
      <c r="D56" s="60"/>
      <c r="E56" s="60"/>
    </row>
    <row r="57" spans="2:11">
      <c r="B57" s="47" t="s">
        <v>5711</v>
      </c>
      <c r="C57" s="41" t="s">
        <v>2919</v>
      </c>
      <c r="D57" s="60"/>
      <c r="E57" s="60"/>
    </row>
    <row r="58" spans="2:11">
      <c r="B58" s="47" t="s">
        <v>5712</v>
      </c>
      <c r="C58" s="41" t="s">
        <v>2921</v>
      </c>
      <c r="D58" s="60"/>
      <c r="E58" s="60"/>
    </row>
    <row r="59" spans="2:11" ht="30">
      <c r="B59" s="47" t="s">
        <v>5713</v>
      </c>
      <c r="C59" s="41" t="s">
        <v>2923</v>
      </c>
      <c r="D59" s="60"/>
      <c r="E59" s="60"/>
    </row>
    <row r="60" spans="2:11" ht="30">
      <c r="B60" s="47" t="s">
        <v>5714</v>
      </c>
      <c r="C60" s="41" t="s">
        <v>2925</v>
      </c>
      <c r="D60" s="60"/>
      <c r="E60" s="60"/>
    </row>
    <row r="61" spans="2:11" ht="30">
      <c r="B61" s="47" t="s">
        <v>5715</v>
      </c>
      <c r="C61" s="41" t="s">
        <v>2927</v>
      </c>
      <c r="D61" s="60"/>
      <c r="E61" s="60"/>
    </row>
    <row r="62" spans="2:11" ht="30">
      <c r="B62" s="47" t="s">
        <v>5716</v>
      </c>
      <c r="C62" s="41" t="s">
        <v>2929</v>
      </c>
      <c r="D62" s="60"/>
      <c r="E62" s="60"/>
    </row>
    <row r="63" spans="2:11">
      <c r="B63" s="47" t="s">
        <v>5704</v>
      </c>
      <c r="C63" s="41" t="s">
        <v>2931</v>
      </c>
      <c r="D63" s="60"/>
      <c r="E63" s="60"/>
    </row>
    <row r="64" spans="2:11">
      <c r="B64" s="47" t="s">
        <v>5705</v>
      </c>
      <c r="C64" s="41" t="s">
        <v>2933</v>
      </c>
      <c r="D64" s="60"/>
      <c r="E64" s="60"/>
    </row>
    <row r="66" spans="2:12">
      <c r="J66" s="13" t="str">
        <f>Show!$B$164&amp;Show!$B$164&amp;"S.29.03.01.03 Rows {"&amp;COLUMN($C$1)&amp;"}"</f>
        <v>!!S.29.03.01.03 Rows {3}</v>
      </c>
      <c r="K66" s="13" t="str">
        <f>Show!$B$164&amp;Show!$B$164&amp;"S.29.03.01.03 Columns {"&amp;COLUMN($E$1)&amp;"}"</f>
        <v>!!S.29.03.01.03 Columns {5}</v>
      </c>
    </row>
    <row r="68" spans="2:12" ht="18.75">
      <c r="B68" s="97" t="s">
        <v>5717</v>
      </c>
      <c r="C68" s="96"/>
      <c r="D68" s="96"/>
      <c r="E68" s="96"/>
      <c r="F68" s="96"/>
      <c r="G68" s="96"/>
      <c r="H68" s="96"/>
      <c r="I68" s="96"/>
      <c r="J68" s="96"/>
      <c r="K68" s="96"/>
      <c r="L68" s="96"/>
    </row>
    <row r="72" spans="2:12">
      <c r="D72" s="101" t="s">
        <v>2877</v>
      </c>
      <c r="E72" s="103"/>
    </row>
    <row r="73" spans="2:12">
      <c r="D73" s="104"/>
      <c r="E73" s="106"/>
    </row>
    <row r="74" spans="2:12" ht="45">
      <c r="D74" s="55" t="s">
        <v>5707</v>
      </c>
      <c r="E74" s="55" t="s">
        <v>5708</v>
      </c>
    </row>
    <row r="75" spans="2:12">
      <c r="D75" s="45" t="s">
        <v>3233</v>
      </c>
      <c r="E75" s="45" t="s">
        <v>3234</v>
      </c>
      <c r="J75" s="13" t="str">
        <f>Show!$B$164&amp;"S.29.03.01.04 Rows {"&amp;COLUMN($C$1)&amp;"}"&amp;"@ForceFilingCode:true"</f>
        <v>!S.29.03.01.04 Rows {3}@ForceFilingCode:true</v>
      </c>
      <c r="K75" s="13" t="str">
        <f>Show!$B$164&amp;"S.29.03.01.04 Columns {"&amp;COLUMN($D$1)&amp;"}"</f>
        <v>!S.29.03.01.04 Columns {4}</v>
      </c>
    </row>
    <row r="76" spans="2:12">
      <c r="B76" s="43" t="s">
        <v>2880</v>
      </c>
      <c r="C76" s="44" t="s">
        <v>2878</v>
      </c>
      <c r="D76" s="56"/>
      <c r="E76" s="57"/>
    </row>
    <row r="77" spans="2:12">
      <c r="B77" s="47" t="s">
        <v>5694</v>
      </c>
      <c r="C77" s="41" t="s">
        <v>2935</v>
      </c>
      <c r="D77" s="60"/>
      <c r="E77" s="60"/>
    </row>
    <row r="78" spans="2:12">
      <c r="B78" s="47" t="s">
        <v>5705</v>
      </c>
      <c r="C78" s="41" t="s">
        <v>2937</v>
      </c>
      <c r="D78" s="60"/>
      <c r="E78" s="60"/>
    </row>
    <row r="80" spans="2:12">
      <c r="J80" s="13" t="str">
        <f>Show!$B$164&amp;Show!$B$164&amp;"S.29.03.01.04 Rows {"&amp;COLUMN($C$1)&amp;"}"</f>
        <v>!!S.29.03.01.04 Rows {3}</v>
      </c>
      <c r="K80" s="13" t="str">
        <f>Show!$B$164&amp;Show!$B$164&amp;"S.29.03.01.04 Columns {"&amp;COLUMN($E$1)&amp;"}"</f>
        <v>!!S.29.03.01.04 Columns {5}</v>
      </c>
    </row>
    <row r="82" spans="2:12" ht="18.75">
      <c r="B82" s="97" t="s">
        <v>5718</v>
      </c>
      <c r="C82" s="96"/>
      <c r="D82" s="96"/>
      <c r="E82" s="96"/>
      <c r="F82" s="96"/>
      <c r="G82" s="96"/>
      <c r="H82" s="96"/>
      <c r="I82" s="96"/>
      <c r="J82" s="96"/>
      <c r="K82" s="96"/>
      <c r="L82" s="96"/>
    </row>
    <row r="86" spans="2:12">
      <c r="D86" s="98" t="s">
        <v>2877</v>
      </c>
    </row>
    <row r="87" spans="2:12">
      <c r="D87" s="100"/>
    </row>
    <row r="88" spans="2:12">
      <c r="D88" s="55" t="s">
        <v>5719</v>
      </c>
    </row>
    <row r="89" spans="2:12">
      <c r="D89" s="45" t="s">
        <v>3236</v>
      </c>
      <c r="J89" s="13" t="str">
        <f>Show!$B$164&amp;"S.29.03.01.05 Rows {"&amp;COLUMN($C$1)&amp;"}"&amp;"@ForceFilingCode:true"</f>
        <v>!S.29.03.01.05 Rows {3}@ForceFilingCode:true</v>
      </c>
      <c r="K89" s="13" t="str">
        <f>Show!$B$164&amp;"S.29.03.01.05 Columns {"&amp;COLUMN($D$1)&amp;"}"</f>
        <v>!S.29.03.01.05 Columns {4}</v>
      </c>
    </row>
    <row r="90" spans="2:12">
      <c r="B90" s="43" t="s">
        <v>2880</v>
      </c>
      <c r="C90" s="44" t="s">
        <v>2878</v>
      </c>
      <c r="D90" s="46"/>
    </row>
    <row r="91" spans="2:12">
      <c r="B91" s="47" t="s">
        <v>5720</v>
      </c>
      <c r="C91" s="41" t="s">
        <v>2939</v>
      </c>
      <c r="D91" s="60"/>
    </row>
    <row r="93" spans="2:12">
      <c r="J93" s="13" t="str">
        <f>Show!$B$164&amp;Show!$B$164&amp;"S.29.03.01.05 Rows {"&amp;COLUMN($C$1)&amp;"}"</f>
        <v>!!S.29.03.01.05 Rows {3}</v>
      </c>
      <c r="K93" s="13" t="str">
        <f>Show!$B$164&amp;Show!$B$164&amp;"S.29.03.01.05 Columns {"&amp;COLUMN($D$1)&amp;"}"</f>
        <v>!!S.29.03.01.05 Columns {4}</v>
      </c>
    </row>
    <row r="95" spans="2:12" ht="18.75">
      <c r="B95" s="97" t="s">
        <v>5721</v>
      </c>
      <c r="C95" s="96"/>
      <c r="D95" s="96"/>
      <c r="E95" s="96"/>
      <c r="F95" s="96"/>
      <c r="G95" s="96"/>
      <c r="H95" s="96"/>
      <c r="I95" s="96"/>
      <c r="J95" s="96"/>
      <c r="K95" s="96"/>
      <c r="L95" s="96"/>
    </row>
    <row r="99" spans="2:12">
      <c r="D99" s="101" t="s">
        <v>2877</v>
      </c>
      <c r="E99" s="103"/>
    </row>
    <row r="100" spans="2:12">
      <c r="D100" s="104"/>
      <c r="E100" s="106"/>
    </row>
    <row r="101" spans="2:12">
      <c r="D101" s="55" t="s">
        <v>5719</v>
      </c>
      <c r="E101" s="55" t="s">
        <v>5722</v>
      </c>
    </row>
    <row r="102" spans="2:12">
      <c r="D102" s="45" t="s">
        <v>3239</v>
      </c>
      <c r="E102" s="45" t="s">
        <v>3241</v>
      </c>
      <c r="J102" s="13" t="str">
        <f>Show!$B$164&amp;"S.29.03.01.06 Rows {"&amp;COLUMN($C$1)&amp;"}"&amp;"@ForceFilingCode:true"</f>
        <v>!S.29.03.01.06 Rows {3}@ForceFilingCode:true</v>
      </c>
      <c r="K102" s="13" t="str">
        <f>Show!$B$164&amp;"S.29.03.01.06 Columns {"&amp;COLUMN($D$1)&amp;"}"</f>
        <v>!S.29.03.01.06 Columns {4}</v>
      </c>
    </row>
    <row r="103" spans="2:12">
      <c r="B103" s="43" t="s">
        <v>2880</v>
      </c>
      <c r="C103" s="44" t="s">
        <v>2878</v>
      </c>
      <c r="D103" s="56"/>
      <c r="E103" s="57"/>
    </row>
    <row r="104" spans="2:12">
      <c r="B104" s="47" t="s">
        <v>5723</v>
      </c>
      <c r="C104" s="41" t="s">
        <v>2941</v>
      </c>
      <c r="D104" s="60"/>
      <c r="E104" s="60"/>
    </row>
    <row r="105" spans="2:12">
      <c r="B105" s="47" t="s">
        <v>5724</v>
      </c>
      <c r="C105" s="41" t="s">
        <v>2943</v>
      </c>
      <c r="D105" s="60"/>
      <c r="E105" s="60"/>
    </row>
    <row r="106" spans="2:12">
      <c r="B106" s="47" t="s">
        <v>5725</v>
      </c>
      <c r="C106" s="41" t="s">
        <v>2945</v>
      </c>
      <c r="D106" s="60"/>
      <c r="E106" s="60"/>
    </row>
    <row r="107" spans="2:12">
      <c r="B107" s="47" t="s">
        <v>5726</v>
      </c>
      <c r="C107" s="41" t="s">
        <v>2947</v>
      </c>
      <c r="D107" s="60"/>
      <c r="E107" s="60"/>
    </row>
    <row r="108" spans="2:12" ht="30">
      <c r="B108" s="47" t="s">
        <v>5727</v>
      </c>
      <c r="C108" s="41" t="s">
        <v>2949</v>
      </c>
      <c r="D108" s="60"/>
      <c r="E108" s="60"/>
    </row>
    <row r="110" spans="2:12">
      <c r="J110" s="13" t="str">
        <f>Show!$B$164&amp;Show!$B$164&amp;"S.29.03.01.06 Rows {"&amp;COLUMN($C$1)&amp;"}"</f>
        <v>!!S.29.03.01.06 Rows {3}</v>
      </c>
      <c r="K110" s="13" t="str">
        <f>Show!$B$164&amp;Show!$B$164&amp;"S.29.03.01.06 Columns {"&amp;COLUMN($E$1)&amp;"}"</f>
        <v>!!S.29.03.01.06 Columns {5}</v>
      </c>
    </row>
    <row r="112" spans="2:12" ht="18.75">
      <c r="B112" s="97" t="s">
        <v>5728</v>
      </c>
      <c r="C112" s="96"/>
      <c r="D112" s="96"/>
      <c r="E112" s="96"/>
      <c r="F112" s="96"/>
      <c r="G112" s="96"/>
      <c r="H112" s="96"/>
      <c r="I112" s="96"/>
      <c r="J112" s="96"/>
      <c r="K112" s="96"/>
      <c r="L112" s="96"/>
    </row>
    <row r="116" spans="2:11">
      <c r="D116" s="101" t="s">
        <v>2877</v>
      </c>
      <c r="E116" s="103"/>
    </row>
    <row r="117" spans="2:11">
      <c r="D117" s="104"/>
      <c r="E117" s="106"/>
    </row>
    <row r="118" spans="2:11">
      <c r="D118" s="55" t="s">
        <v>5719</v>
      </c>
      <c r="E118" s="55" t="s">
        <v>5722</v>
      </c>
    </row>
    <row r="119" spans="2:11">
      <c r="D119" s="45" t="s">
        <v>3243</v>
      </c>
      <c r="E119" s="45" t="s">
        <v>3375</v>
      </c>
      <c r="J119" s="13" t="str">
        <f>Show!$B$164&amp;"S.29.03.01.07 Rows {"&amp;COLUMN($C$1)&amp;"}"&amp;"@ForceFilingCode:true"</f>
        <v>!S.29.03.01.07 Rows {3}@ForceFilingCode:true</v>
      </c>
      <c r="K119" s="13" t="str">
        <f>Show!$B$164&amp;"S.29.03.01.07 Columns {"&amp;COLUMN($D$1)&amp;"}"</f>
        <v>!S.29.03.01.07 Columns {4}</v>
      </c>
    </row>
    <row r="120" spans="2:11">
      <c r="B120" s="43" t="s">
        <v>2880</v>
      </c>
      <c r="C120" s="44" t="s">
        <v>2878</v>
      </c>
      <c r="D120" s="56"/>
      <c r="E120" s="57"/>
    </row>
    <row r="121" spans="2:11">
      <c r="B121" s="47" t="s">
        <v>5729</v>
      </c>
      <c r="C121" s="41" t="s">
        <v>2951</v>
      </c>
      <c r="D121" s="60"/>
      <c r="E121" s="60"/>
    </row>
    <row r="122" spans="2:11">
      <c r="B122" s="47" t="s">
        <v>3353</v>
      </c>
      <c r="C122" s="41" t="s">
        <v>2953</v>
      </c>
      <c r="D122" s="60"/>
      <c r="E122" s="60"/>
    </row>
    <row r="124" spans="2:11">
      <c r="J124" s="13" t="str">
        <f>Show!$B$164&amp;Show!$B$164&amp;"S.29.03.01.07 Rows {"&amp;COLUMN($C$1)&amp;"}"</f>
        <v>!!S.29.03.01.07 Rows {3}</v>
      </c>
      <c r="K124" s="13" t="str">
        <f>Show!$B$164&amp;Show!$B$164&amp;"S.29.03.01.07 Columns {"&amp;COLUMN($E$1)&amp;"}"</f>
        <v>!!S.29.03.01.07 Columns {5}</v>
      </c>
    </row>
  </sheetData>
  <sheetProtection sheet="1" objects="1" scenarios="1"/>
  <mergeCells count="15">
    <mergeCell ref="D99:E100"/>
    <mergeCell ref="B112:L112"/>
    <mergeCell ref="D116:E117"/>
    <mergeCell ref="D47:E48"/>
    <mergeCell ref="B68:L68"/>
    <mergeCell ref="D72:E73"/>
    <mergeCell ref="B82:L82"/>
    <mergeCell ref="D86:D87"/>
    <mergeCell ref="B95:L95"/>
    <mergeCell ref="B43:L43"/>
    <mergeCell ref="B2:O2"/>
    <mergeCell ref="B5:L5"/>
    <mergeCell ref="D9:E10"/>
    <mergeCell ref="B29:L29"/>
    <mergeCell ref="D33:E3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355-5BB7-448D-A8DF-563AD4703C5C}">
  <sheetPr codeName="Blad17"/>
  <dimension ref="B2:O20"/>
  <sheetViews>
    <sheetView showGridLines="0" workbookViewId="0"/>
  </sheetViews>
  <sheetFormatPr defaultRowHeight="15"/>
  <cols>
    <col min="2" max="2" width="42.8554687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3108</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IF(COUNTIF(D:D,"Reported")&gt;0,Show!$B$13,"!")&amp;"S.01.01.15.01 Rows {"&amp;COLUMN($C$1)&amp;"}"&amp;"@ForceFilingCode:true"</f>
        <v>!S.01.01.15.01 Rows {3}@ForceFilingCode:true</v>
      </c>
      <c r="J13" s="13" t="str">
        <f>IF(COUNTIF(D:D,"Reported")&gt;0,Show!$B$13,"!")&amp;"S.01.01.15.01 Columns {"&amp;COLUMN($D$1)&amp;"}"</f>
        <v>!S.01.01.15.01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3095</v>
      </c>
      <c r="C17" s="41" t="s">
        <v>3096</v>
      </c>
      <c r="D17" s="51"/>
    </row>
    <row r="18" spans="2:10">
      <c r="B18" s="52" t="s">
        <v>3097</v>
      </c>
      <c r="C18" s="41" t="s">
        <v>3098</v>
      </c>
      <c r="D18" s="51"/>
    </row>
    <row r="19" spans="2:10">
      <c r="B19" s="52" t="s">
        <v>3099</v>
      </c>
      <c r="C19" s="41" t="s">
        <v>3100</v>
      </c>
      <c r="D19" s="51"/>
    </row>
    <row r="20" spans="2:10">
      <c r="I20" s="13" t="str">
        <f>IF(COUNTIF(D:D,"Reported")&gt;0,Show!$B$13&amp;Show!$B$13,"!!")&amp;"S.01.01.15.01 Rows {"&amp;COLUMN($C$1)&amp;"}"</f>
        <v>!!S.01.01.15.01 Rows {3}</v>
      </c>
      <c r="J20" s="13" t="str">
        <f>IF(COUNTIF(D:D,"Reported")&gt;0,Show!$B$13&amp;Show!$B$13,"!!")&amp;"S.01.01.15.01 Columns {"&amp;COLUMN($D$1)&amp;"}"</f>
        <v>!!S.01.01.15.01 Columns {4}</v>
      </c>
    </row>
  </sheetData>
  <sheetProtection sheet="1" objects="1" scenarios="1"/>
  <mergeCells count="3">
    <mergeCell ref="B2:O2"/>
    <mergeCell ref="B5:L5"/>
    <mergeCell ref="D9:D12"/>
  </mergeCells>
  <dataValidations count="4">
    <dataValidation type="list" errorStyle="warning" allowBlank="1" showInputMessage="1" showErrorMessage="1" sqref="D16" xr:uid="{BC99342E-5483-46AE-9FD2-1DF260456B8F}">
      <formula1>hier_CN_2</formula1>
    </dataValidation>
    <dataValidation type="list" errorStyle="warning" allowBlank="1" showInputMessage="1" showErrorMessage="1" sqref="D17" xr:uid="{D7158DCC-D47C-4F76-8D40-E0A70AF5376B}">
      <formula1>hier_CN_15</formula1>
    </dataValidation>
    <dataValidation type="list" errorStyle="warning" allowBlank="1" showInputMessage="1" showErrorMessage="1" sqref="D18" xr:uid="{5D5F96DB-1F3D-4808-B7D3-10C4BC916697}">
      <formula1>hier_CN_75</formula1>
    </dataValidation>
    <dataValidation type="list" errorStyle="warning" allowBlank="1" showInputMessage="1" showErrorMessage="1" sqref="D19" xr:uid="{4A7444DE-776F-4374-9062-7C38781042F9}">
      <formula1>hier_CN_96</formula1>
    </dataValidation>
  </dataValidations>
  <hyperlinks>
    <hyperlink ref="B16" location="'S.01.02.07'!A1" display="S.01.02.07 - Basic Information - General" xr:uid="{CC406699-81C1-48F2-9BE3-25A04AE408B2}"/>
    <hyperlink ref="B17" location="'S.25.04.11'!A1" display="S.25.04.11 - Solvency Capital Requirement" xr:uid="{E9338338-1140-4B71-B00B-3CD6867A8927}"/>
    <hyperlink ref="B18" location="'S.39.01.11'!A1" display="S.39.01.11 - Profit and Loss" xr:uid="{E070C87C-12A1-49E4-9720-A7CC2ECE013B}"/>
    <hyperlink ref="B19" location="'S.41.01.11'!A1" display="S.41.01.11 - Lapses" xr:uid="{626FF037-B7E9-4C4E-A082-53EBFEE4F89D}"/>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0E93-375B-42AF-9ECF-5DC509D719C7}">
  <sheetPr codeName="Blad169"/>
  <dimension ref="B2:O47"/>
  <sheetViews>
    <sheetView showGridLines="0" workbookViewId="0"/>
  </sheetViews>
  <sheetFormatPr defaultRowHeight="15"/>
  <cols>
    <col min="2" max="2" width="62.42578125" bestFit="1" customWidth="1"/>
    <col min="4" max="6" width="15.7109375" customWidth="1"/>
  </cols>
  <sheetData>
    <row r="2" spans="2:15" ht="23.25">
      <c r="B2" s="95" t="s">
        <v>758</v>
      </c>
      <c r="C2" s="96"/>
      <c r="D2" s="96"/>
      <c r="E2" s="96"/>
      <c r="F2" s="96"/>
      <c r="G2" s="96"/>
      <c r="H2" s="96"/>
      <c r="I2" s="96"/>
      <c r="J2" s="96"/>
      <c r="K2" s="96"/>
      <c r="L2" s="96"/>
      <c r="M2" s="96"/>
      <c r="N2" s="96"/>
      <c r="O2" s="96"/>
    </row>
    <row r="5" spans="2:15" ht="18.75">
      <c r="B5" s="97" t="s">
        <v>5730</v>
      </c>
      <c r="C5" s="96"/>
      <c r="D5" s="96"/>
      <c r="E5" s="96"/>
      <c r="F5" s="96"/>
      <c r="G5" s="96"/>
      <c r="H5" s="96"/>
      <c r="I5" s="96"/>
      <c r="J5" s="96"/>
      <c r="K5" s="96"/>
      <c r="L5" s="96"/>
    </row>
    <row r="7" spans="2:15">
      <c r="B7" t="s">
        <v>3110</v>
      </c>
      <c r="K7" s="13" t="str">
        <f>Show!$B$165&amp;"S.29.04.01.01 Table label {"&amp;COLUMN($C$1)&amp;"}"</f>
        <v>!S.29.04.01.01 Table label {3}</v>
      </c>
      <c r="L7" s="13" t="str">
        <f>Show!$B$165&amp;"S.29.04.01.01 Table value {"&amp;COLUMN($D$1)&amp;"}"</f>
        <v>!S.29.04.01.01 Table value {4}</v>
      </c>
    </row>
    <row r="8" spans="2:15">
      <c r="B8" t="s">
        <v>3111</v>
      </c>
    </row>
    <row r="9" spans="2:15">
      <c r="B9" s="40" t="s">
        <v>3427</v>
      </c>
      <c r="C9" s="53" t="s">
        <v>3113</v>
      </c>
      <c r="D9" s="51"/>
    </row>
    <row r="10" spans="2:15">
      <c r="K10" s="13" t="str">
        <f>Show!$B$165&amp;Show!$B$165&amp;"S.29.04.01.01 Table label {"&amp;COLUMN($C$1)&amp;"}"</f>
        <v>!!S.29.04.01.01 Table label {3}</v>
      </c>
      <c r="L10" s="13" t="str">
        <f>Show!$B$165&amp;Show!$B$165&amp;"S.29.04.01.01 Table value {"&amp;COLUMN($D$1)&amp;"}"</f>
        <v>!!S.29.04.01.01 Table value {4}</v>
      </c>
    </row>
    <row r="12" spans="2:15">
      <c r="D12" s="101" t="s">
        <v>2877</v>
      </c>
      <c r="E12" s="103"/>
    </row>
    <row r="13" spans="2:15">
      <c r="D13" s="104"/>
      <c r="E13" s="106"/>
    </row>
    <row r="14" spans="2:15" ht="30">
      <c r="D14" s="55" t="s">
        <v>5731</v>
      </c>
      <c r="E14" s="55" t="s">
        <v>5732</v>
      </c>
    </row>
    <row r="15" spans="2:15">
      <c r="D15" s="45" t="s">
        <v>2879</v>
      </c>
      <c r="E15" s="45" t="s">
        <v>3219</v>
      </c>
      <c r="K15" s="13" t="str">
        <f>Show!$B$165&amp;"S.29.04.01.01 Rows {"&amp;COLUMN($C$1)&amp;"}"&amp;"@ForceFilingCode:true"</f>
        <v>!S.29.04.01.01 Rows {3}@ForceFilingCode:true</v>
      </c>
      <c r="L15" s="13" t="str">
        <f>Show!$B$165&amp;"S.29.04.01.01 Columns {"&amp;COLUMN($D$1)&amp;"}"</f>
        <v>!S.29.04.01.01 Columns {4}</v>
      </c>
    </row>
    <row r="16" spans="2:15">
      <c r="B16" s="43" t="s">
        <v>2880</v>
      </c>
      <c r="C16" s="44" t="s">
        <v>2878</v>
      </c>
      <c r="D16" s="56"/>
      <c r="E16" s="57"/>
    </row>
    <row r="17" spans="2:12">
      <c r="B17" s="47" t="s">
        <v>5733</v>
      </c>
      <c r="C17" s="41" t="s">
        <v>2883</v>
      </c>
      <c r="D17" s="60"/>
      <c r="E17" s="60"/>
    </row>
    <row r="18" spans="2:12">
      <c r="B18" s="47" t="s">
        <v>5734</v>
      </c>
      <c r="C18" s="41" t="s">
        <v>2885</v>
      </c>
      <c r="D18" s="60"/>
      <c r="E18" s="60"/>
    </row>
    <row r="19" spans="2:12">
      <c r="B19" s="47" t="s">
        <v>5735</v>
      </c>
      <c r="C19" s="41" t="s">
        <v>2887</v>
      </c>
      <c r="D19" s="60"/>
      <c r="E19" s="60"/>
    </row>
    <row r="20" spans="2:12">
      <c r="B20" s="47" t="s">
        <v>5736</v>
      </c>
      <c r="C20" s="41" t="s">
        <v>2889</v>
      </c>
      <c r="D20" s="60"/>
      <c r="E20" s="60"/>
    </row>
    <row r="21" spans="2:12">
      <c r="B21" s="47" t="s">
        <v>5737</v>
      </c>
      <c r="C21" s="41" t="s">
        <v>3078</v>
      </c>
      <c r="D21" s="60"/>
      <c r="E21" s="60"/>
    </row>
    <row r="22" spans="2:12">
      <c r="B22" s="47" t="s">
        <v>5720</v>
      </c>
      <c r="C22" s="41" t="s">
        <v>2891</v>
      </c>
      <c r="D22" s="60"/>
      <c r="E22" s="60"/>
    </row>
    <row r="23" spans="2:12">
      <c r="B23" s="47" t="s">
        <v>3480</v>
      </c>
      <c r="C23" s="41" t="s">
        <v>2893</v>
      </c>
      <c r="D23" s="60"/>
      <c r="E23" s="60"/>
    </row>
    <row r="25" spans="2:12">
      <c r="K25" s="13" t="str">
        <f>Show!$B$165&amp;Show!$B$165&amp;"S.29.04.01.01 Rows {"&amp;COLUMN($C$1)&amp;"}"</f>
        <v>!!S.29.04.01.01 Rows {3}</v>
      </c>
      <c r="L25" s="13" t="str">
        <f>Show!$B$165&amp;Show!$B$165&amp;"S.29.04.01.01 Columns {"&amp;COLUMN($E$1)&amp;"}"</f>
        <v>!!S.29.04.01.01 Columns {5}</v>
      </c>
    </row>
    <row r="27" spans="2:12" ht="18.75">
      <c r="B27" s="97" t="s">
        <v>5738</v>
      </c>
      <c r="C27" s="96"/>
      <c r="D27" s="96"/>
      <c r="E27" s="96"/>
      <c r="F27" s="96"/>
      <c r="G27" s="96"/>
      <c r="H27" s="96"/>
      <c r="I27" s="96"/>
      <c r="J27" s="96"/>
      <c r="K27" s="96"/>
      <c r="L27" s="96"/>
    </row>
    <row r="29" spans="2:12">
      <c r="B29" t="s">
        <v>3110</v>
      </c>
      <c r="K29" s="13" t="str">
        <f>Show!$B$165&amp;"S.29.04.01.02 Table label {"&amp;COLUMN($C$1)&amp;"}"</f>
        <v>!S.29.04.01.02 Table label {3}</v>
      </c>
      <c r="L29" s="13" t="str">
        <f>Show!$B$165&amp;"S.29.04.01.02 Table value {"&amp;COLUMN($D$1)&amp;"}"</f>
        <v>!S.29.04.01.02 Table value {4}</v>
      </c>
    </row>
    <row r="30" spans="2:12">
      <c r="B30" t="s">
        <v>3111</v>
      </c>
    </row>
    <row r="31" spans="2:12">
      <c r="B31" s="40" t="s">
        <v>3427</v>
      </c>
      <c r="C31" s="53" t="s">
        <v>3113</v>
      </c>
      <c r="D31" s="51"/>
    </row>
    <row r="32" spans="2:12">
      <c r="K32" s="13" t="str">
        <f>Show!$B$165&amp;Show!$B$165&amp;"S.29.04.01.02 Table label {"&amp;COLUMN($C$1)&amp;"}"</f>
        <v>!!S.29.04.01.02 Table label {3}</v>
      </c>
      <c r="L32" s="13" t="str">
        <f>Show!$B$165&amp;Show!$B$165&amp;"S.29.04.01.02 Table value {"&amp;COLUMN($D$1)&amp;"}"</f>
        <v>!!S.29.04.01.02 Table value {4}</v>
      </c>
    </row>
    <row r="34" spans="2:12">
      <c r="D34" s="101" t="s">
        <v>2877</v>
      </c>
      <c r="E34" s="102"/>
      <c r="F34" s="103"/>
    </row>
    <row r="35" spans="2:12">
      <c r="D35" s="104"/>
      <c r="E35" s="105"/>
      <c r="F35" s="106"/>
    </row>
    <row r="36" spans="2:12" ht="45">
      <c r="D36" s="55" t="s">
        <v>5739</v>
      </c>
      <c r="E36" s="55" t="s">
        <v>5740</v>
      </c>
      <c r="F36" s="55" t="s">
        <v>5741</v>
      </c>
    </row>
    <row r="37" spans="2:12">
      <c r="D37" s="45" t="s">
        <v>3225</v>
      </c>
      <c r="E37" s="45" t="s">
        <v>3223</v>
      </c>
      <c r="F37" s="45" t="s">
        <v>3229</v>
      </c>
      <c r="K37" s="13" t="str">
        <f>Show!$B$165&amp;"S.29.04.01.02 Rows {"&amp;COLUMN($C$1)&amp;"}"&amp;"@ForceFilingCode:true"</f>
        <v>!S.29.04.01.02 Rows {3}@ForceFilingCode:true</v>
      </c>
      <c r="L37" s="13" t="str">
        <f>Show!$B$165&amp;"S.29.04.01.02 Columns {"&amp;COLUMN($D$1)&amp;"}"</f>
        <v>!S.29.04.01.02 Columns {4}</v>
      </c>
    </row>
    <row r="38" spans="2:12">
      <c r="B38" s="43" t="s">
        <v>2880</v>
      </c>
      <c r="C38" s="44" t="s">
        <v>2878</v>
      </c>
      <c r="D38" s="56"/>
      <c r="E38" s="66"/>
      <c r="F38" s="57"/>
    </row>
    <row r="39" spans="2:12">
      <c r="B39" s="47" t="s">
        <v>3437</v>
      </c>
      <c r="C39" s="41" t="s">
        <v>2895</v>
      </c>
      <c r="D39" s="60"/>
      <c r="E39" s="60"/>
      <c r="F39" s="60"/>
    </row>
    <row r="40" spans="2:12">
      <c r="B40" s="47" t="s">
        <v>5734</v>
      </c>
      <c r="C40" s="41" t="s">
        <v>2897</v>
      </c>
      <c r="D40" s="60"/>
      <c r="E40" s="60"/>
      <c r="F40" s="60"/>
    </row>
    <row r="41" spans="2:12">
      <c r="B41" s="47" t="s">
        <v>5735</v>
      </c>
      <c r="C41" s="41" t="s">
        <v>2899</v>
      </c>
      <c r="D41" s="60"/>
      <c r="E41" s="60"/>
      <c r="F41" s="60"/>
    </row>
    <row r="42" spans="2:12">
      <c r="B42" s="47" t="s">
        <v>5742</v>
      </c>
      <c r="C42" s="41" t="s">
        <v>2901</v>
      </c>
      <c r="D42" s="60"/>
      <c r="E42" s="60"/>
      <c r="F42" s="60"/>
    </row>
    <row r="43" spans="2:12">
      <c r="B43" s="47" t="s">
        <v>5737</v>
      </c>
      <c r="C43" s="41" t="s">
        <v>2903</v>
      </c>
      <c r="D43" s="60"/>
      <c r="E43" s="60"/>
      <c r="F43" s="60"/>
    </row>
    <row r="44" spans="2:12">
      <c r="B44" s="47" t="s">
        <v>5720</v>
      </c>
      <c r="C44" s="41" t="s">
        <v>2905</v>
      </c>
      <c r="D44" s="60"/>
      <c r="E44" s="60"/>
      <c r="F44" s="60"/>
    </row>
    <row r="45" spans="2:12">
      <c r="B45" s="47" t="s">
        <v>3480</v>
      </c>
      <c r="C45" s="41" t="s">
        <v>2907</v>
      </c>
      <c r="D45" s="60"/>
      <c r="E45" s="60"/>
      <c r="F45" s="60"/>
    </row>
    <row r="47" spans="2:12">
      <c r="K47" s="13" t="str">
        <f>Show!$B$165&amp;Show!$B$165&amp;"S.29.04.01.02 Rows {"&amp;COLUMN($C$1)&amp;"}"</f>
        <v>!!S.29.04.01.02 Rows {3}</v>
      </c>
      <c r="L47" s="13" t="str">
        <f>Show!$B$165&amp;Show!$B$165&amp;"S.29.04.01.02 Columns {"&amp;COLUMN($F$1)&amp;"}"</f>
        <v>!!S.29.04.01.02 Columns {6}</v>
      </c>
    </row>
  </sheetData>
  <sheetProtection sheet="1" objects="1" scenarios="1"/>
  <mergeCells count="5">
    <mergeCell ref="B2:O2"/>
    <mergeCell ref="B5:L5"/>
    <mergeCell ref="D12:E13"/>
    <mergeCell ref="B27:L27"/>
    <mergeCell ref="D34:F35"/>
  </mergeCells>
  <dataValidations count="1">
    <dataValidation type="list" errorStyle="warning" allowBlank="1" showInputMessage="1" showErrorMessage="1" sqref="D9 D31" xr:uid="{35062AB3-C1C0-43A7-B0EB-8DC9879DFFE4}">
      <formula1>hier_LB_32</formula1>
    </dataValidation>
  </dataValidation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B640-7793-4143-B824-0E1EFD716D3A}">
  <sheetPr codeName="Blad170"/>
  <dimension ref="B2:AC33"/>
  <sheetViews>
    <sheetView showGridLines="0" workbookViewId="0"/>
  </sheetViews>
  <sheetFormatPr defaultRowHeight="15"/>
  <cols>
    <col min="2" max="2" width="24.85546875" bestFit="1" customWidth="1"/>
    <col min="3" max="4" width="15.7109375" customWidth="1"/>
    <col min="5" max="8" width="40.7109375" customWidth="1"/>
    <col min="9" max="10" width="15.7109375" customWidth="1"/>
    <col min="11" max="11" width="40.7109375" customWidth="1"/>
    <col min="12" max="18" width="15.7109375" customWidth="1"/>
  </cols>
  <sheetData>
    <row r="2" spans="2:29" ht="23.25">
      <c r="B2" s="95" t="s">
        <v>760</v>
      </c>
      <c r="C2" s="96"/>
      <c r="D2" s="96"/>
      <c r="E2" s="96"/>
      <c r="F2" s="96"/>
      <c r="G2" s="96"/>
      <c r="H2" s="96"/>
      <c r="I2" s="96"/>
      <c r="J2" s="96"/>
      <c r="K2" s="96"/>
      <c r="L2" s="96"/>
      <c r="M2" s="96"/>
      <c r="N2" s="96"/>
      <c r="O2" s="96"/>
    </row>
    <row r="5" spans="2:29" ht="18.75">
      <c r="B5" s="97" t="s">
        <v>5743</v>
      </c>
      <c r="C5" s="96"/>
      <c r="D5" s="96"/>
      <c r="E5" s="96"/>
      <c r="F5" s="96"/>
      <c r="G5" s="96"/>
      <c r="H5" s="96"/>
      <c r="I5" s="96"/>
      <c r="J5" s="96"/>
      <c r="K5" s="96"/>
      <c r="L5" s="96"/>
    </row>
    <row r="7" spans="2:29">
      <c r="B7" t="s">
        <v>3110</v>
      </c>
      <c r="AB7" s="13" t="str">
        <f>Show!$B$166&amp;"S.30.01.01.01 Table label {"&amp;COLUMN($C$1)&amp;"}"</f>
        <v>!S.30.01.01.01 Table label {3}</v>
      </c>
      <c r="AC7" s="13" t="str">
        <f>Show!$B$166&amp;"S.30.01.01.01 Table value {"&amp;COLUMN($D$1)&amp;"}"</f>
        <v>!S.30.01.01.01 Table value {4}</v>
      </c>
    </row>
    <row r="8" spans="2:29">
      <c r="B8" t="s">
        <v>3111</v>
      </c>
    </row>
    <row r="9" spans="2:29">
      <c r="B9" s="40" t="s">
        <v>3427</v>
      </c>
      <c r="C9" s="53" t="s">
        <v>3113</v>
      </c>
      <c r="D9" s="51"/>
    </row>
    <row r="10" spans="2:29">
      <c r="AB10" s="13" t="str">
        <f>Show!$B$166&amp;Show!$B$166&amp;"S.30.01.01.01 Table label {"&amp;COLUMN($C$1)&amp;"}"</f>
        <v>!!S.30.01.01.01 Table label {3}</v>
      </c>
      <c r="AC10" s="13" t="str">
        <f>Show!$B$166&amp;Show!$B$166&amp;"S.30.01.01.01 Table value {"&amp;COLUMN($D$1)&amp;"}"</f>
        <v>!!S.30.01.01.01 Table value {4}</v>
      </c>
    </row>
    <row r="12" spans="2:29">
      <c r="B12" s="98" t="s">
        <v>5744</v>
      </c>
      <c r="C12" s="98" t="s">
        <v>4219</v>
      </c>
      <c r="D12" s="98" t="s">
        <v>5745</v>
      </c>
      <c r="E12" s="101" t="s">
        <v>2877</v>
      </c>
      <c r="F12" s="102"/>
      <c r="G12" s="102"/>
      <c r="H12" s="102"/>
      <c r="I12" s="102"/>
      <c r="J12" s="102"/>
      <c r="K12" s="102"/>
      <c r="L12" s="102"/>
      <c r="M12" s="102"/>
      <c r="N12" s="102"/>
      <c r="O12" s="102"/>
      <c r="P12" s="102"/>
      <c r="Q12" s="102"/>
      <c r="R12" s="103"/>
    </row>
    <row r="13" spans="2:29">
      <c r="B13" s="99"/>
      <c r="C13" s="99"/>
      <c r="D13" s="99"/>
      <c r="E13" s="104"/>
      <c r="F13" s="105"/>
      <c r="G13" s="105"/>
      <c r="H13" s="105"/>
      <c r="I13" s="105"/>
      <c r="J13" s="105"/>
      <c r="K13" s="105"/>
      <c r="L13" s="105"/>
      <c r="M13" s="105"/>
      <c r="N13" s="105"/>
      <c r="O13" s="105"/>
      <c r="P13" s="105"/>
      <c r="Q13" s="105"/>
      <c r="R13" s="106"/>
    </row>
    <row r="14" spans="2:29" ht="105">
      <c r="B14" s="100"/>
      <c r="C14" s="100"/>
      <c r="D14" s="100"/>
      <c r="E14" s="55" t="s">
        <v>5746</v>
      </c>
      <c r="F14" s="55" t="s">
        <v>2595</v>
      </c>
      <c r="G14" s="55" t="s">
        <v>5747</v>
      </c>
      <c r="H14" s="55" t="s">
        <v>4221</v>
      </c>
      <c r="I14" s="55" t="s">
        <v>4222</v>
      </c>
      <c r="J14" s="55" t="s">
        <v>4223</v>
      </c>
      <c r="K14" s="55" t="s">
        <v>4224</v>
      </c>
      <c r="L14" s="55" t="s">
        <v>3606</v>
      </c>
      <c r="M14" s="55" t="s">
        <v>4225</v>
      </c>
      <c r="N14" s="55" t="s">
        <v>4227</v>
      </c>
      <c r="O14" s="55" t="s">
        <v>4228</v>
      </c>
      <c r="P14" s="55" t="s">
        <v>4229</v>
      </c>
      <c r="Q14" s="55" t="s">
        <v>5748</v>
      </c>
      <c r="R14" s="55" t="s">
        <v>5749</v>
      </c>
    </row>
    <row r="15" spans="2:29">
      <c r="B15" s="42" t="s">
        <v>3219</v>
      </c>
      <c r="C15" s="42" t="s">
        <v>3225</v>
      </c>
      <c r="D15" s="42" t="s">
        <v>3223</v>
      </c>
      <c r="E15" s="42" t="s">
        <v>3229</v>
      </c>
      <c r="F15" s="42" t="s">
        <v>3231</v>
      </c>
      <c r="G15" s="42" t="s">
        <v>3233</v>
      </c>
      <c r="H15" s="42" t="s">
        <v>3234</v>
      </c>
      <c r="I15" s="42" t="s">
        <v>3236</v>
      </c>
      <c r="J15" s="42" t="s">
        <v>3239</v>
      </c>
      <c r="K15" s="42" t="s">
        <v>3241</v>
      </c>
      <c r="L15" s="42" t="s">
        <v>3243</v>
      </c>
      <c r="M15" s="42" t="s">
        <v>3375</v>
      </c>
      <c r="N15" s="42" t="s">
        <v>3475</v>
      </c>
      <c r="O15" s="42" t="s">
        <v>3477</v>
      </c>
      <c r="P15" s="42" t="s">
        <v>3479</v>
      </c>
      <c r="Q15" s="42" t="s">
        <v>3594</v>
      </c>
      <c r="R15" s="42" t="s">
        <v>3596</v>
      </c>
      <c r="AB15" s="13" t="str">
        <f>Show!$B$166&amp;"S.30.01.01.01 Rows {"&amp;COLUMN($B$1)&amp;"}"&amp;"@ForceFilingCode:true"</f>
        <v>!S.30.01.01.01 Rows {2}@ForceFilingCode:true</v>
      </c>
      <c r="AC15" s="13" t="str">
        <f>Show!$B$166&amp;"S.30.01.01.01 Columns {"&amp;COLUMN($B$1)&amp;"}"</f>
        <v>!S.30.01.01.01 Columns {2}</v>
      </c>
    </row>
    <row r="16" spans="2:29">
      <c r="B16" s="50"/>
      <c r="C16" s="50"/>
      <c r="D16" s="50"/>
      <c r="E16" s="51"/>
      <c r="F16" s="51"/>
      <c r="G16" s="51"/>
      <c r="H16" s="51"/>
      <c r="I16" s="51"/>
      <c r="J16" s="54"/>
      <c r="K16" s="54"/>
      <c r="L16" s="51"/>
      <c r="M16" s="60"/>
      <c r="N16" s="51"/>
      <c r="O16" s="60"/>
      <c r="P16" s="60"/>
      <c r="Q16" s="60"/>
      <c r="R16" s="60"/>
    </row>
    <row r="18" spans="2:29">
      <c r="AB18" s="13" t="str">
        <f>Show!$B$166&amp;Show!$B$166&amp;"S.30.01.01.01 Rows {"&amp;COLUMN($B$1)&amp;"}"</f>
        <v>!!S.30.01.01.01 Rows {2}</v>
      </c>
      <c r="AC18" s="13" t="str">
        <f>Show!$B$166&amp;Show!$B$166&amp;"S.30.01.01.01 Columns {"&amp;COLUMN($R$1)&amp;"}"</f>
        <v>!!S.30.01.01.01 Columns {18}</v>
      </c>
    </row>
    <row r="20" spans="2:29" ht="18.75">
      <c r="B20" s="97" t="s">
        <v>5750</v>
      </c>
      <c r="C20" s="96"/>
      <c r="D20" s="96"/>
      <c r="E20" s="96"/>
      <c r="F20" s="96"/>
      <c r="G20" s="96"/>
      <c r="H20" s="96"/>
      <c r="I20" s="96"/>
      <c r="J20" s="96"/>
      <c r="K20" s="96"/>
      <c r="L20" s="96"/>
    </row>
    <row r="22" spans="2:29">
      <c r="B22" t="s">
        <v>3110</v>
      </c>
      <c r="AB22" s="13" t="str">
        <f>Show!$B$166&amp;"S.30.01.01.02 Table label {"&amp;COLUMN($C$1)&amp;"}"</f>
        <v>!S.30.01.01.02 Table label {3}</v>
      </c>
      <c r="AC22" s="13" t="str">
        <f>Show!$B$166&amp;"S.30.01.01.02 Table value {"&amp;COLUMN($D$1)&amp;"}"</f>
        <v>!S.30.01.01.02 Table value {4}</v>
      </c>
    </row>
    <row r="23" spans="2:29">
      <c r="B23" t="s">
        <v>3111</v>
      </c>
    </row>
    <row r="24" spans="2:29">
      <c r="B24" s="40" t="s">
        <v>3427</v>
      </c>
      <c r="C24" s="53" t="s">
        <v>3115</v>
      </c>
      <c r="D24" s="51"/>
    </row>
    <row r="25" spans="2:29">
      <c r="AB25" s="13" t="str">
        <f>Show!$B$166&amp;Show!$B$166&amp;"S.30.01.01.02 Table label {"&amp;COLUMN($C$1)&amp;"}"</f>
        <v>!!S.30.01.01.02 Table label {3}</v>
      </c>
      <c r="AC25" s="13" t="str">
        <f>Show!$B$166&amp;Show!$B$166&amp;"S.30.01.01.02 Table value {"&amp;COLUMN($D$1)&amp;"}"</f>
        <v>!!S.30.01.01.02 Table value {4}</v>
      </c>
    </row>
    <row r="27" spans="2:29">
      <c r="B27" s="98" t="s">
        <v>5744</v>
      </c>
      <c r="C27" s="98" t="s">
        <v>4219</v>
      </c>
      <c r="D27" s="98" t="s">
        <v>5745</v>
      </c>
      <c r="E27" s="101" t="s">
        <v>2877</v>
      </c>
      <c r="F27" s="102"/>
      <c r="G27" s="102"/>
      <c r="H27" s="102"/>
      <c r="I27" s="102"/>
      <c r="J27" s="102"/>
      <c r="K27" s="102"/>
      <c r="L27" s="102"/>
      <c r="M27" s="102"/>
      <c r="N27" s="102"/>
      <c r="O27" s="102"/>
      <c r="P27" s="103"/>
    </row>
    <row r="28" spans="2:29">
      <c r="B28" s="99"/>
      <c r="C28" s="99"/>
      <c r="D28" s="99"/>
      <c r="E28" s="104"/>
      <c r="F28" s="105"/>
      <c r="G28" s="105"/>
      <c r="H28" s="105"/>
      <c r="I28" s="105"/>
      <c r="J28" s="105"/>
      <c r="K28" s="105"/>
      <c r="L28" s="105"/>
      <c r="M28" s="105"/>
      <c r="N28" s="105"/>
      <c r="O28" s="105"/>
      <c r="P28" s="106"/>
    </row>
    <row r="29" spans="2:29" ht="105">
      <c r="B29" s="100"/>
      <c r="C29" s="100"/>
      <c r="D29" s="100"/>
      <c r="E29" s="55" t="s">
        <v>5746</v>
      </c>
      <c r="F29" s="55" t="s">
        <v>2595</v>
      </c>
      <c r="G29" s="55" t="s">
        <v>5747</v>
      </c>
      <c r="H29" s="55" t="s">
        <v>4222</v>
      </c>
      <c r="I29" s="55" t="s">
        <v>4223</v>
      </c>
      <c r="J29" s="55" t="s">
        <v>4224</v>
      </c>
      <c r="K29" s="55" t="s">
        <v>3606</v>
      </c>
      <c r="L29" s="55" t="s">
        <v>5751</v>
      </c>
      <c r="M29" s="55" t="s">
        <v>5054</v>
      </c>
      <c r="N29" s="55" t="s">
        <v>4229</v>
      </c>
      <c r="O29" s="55" t="s">
        <v>5748</v>
      </c>
      <c r="P29" s="55" t="s">
        <v>5749</v>
      </c>
    </row>
    <row r="30" spans="2:29">
      <c r="B30" s="42" t="s">
        <v>3599</v>
      </c>
      <c r="C30" s="42" t="s">
        <v>3481</v>
      </c>
      <c r="D30" s="42" t="s">
        <v>3508</v>
      </c>
      <c r="E30" s="42" t="s">
        <v>3509</v>
      </c>
      <c r="F30" s="42" t="s">
        <v>3511</v>
      </c>
      <c r="G30" s="42" t="s">
        <v>3513</v>
      </c>
      <c r="H30" s="42" t="s">
        <v>3514</v>
      </c>
      <c r="I30" s="42" t="s">
        <v>3515</v>
      </c>
      <c r="J30" s="42" t="s">
        <v>3517</v>
      </c>
      <c r="K30" s="42" t="s">
        <v>3518</v>
      </c>
      <c r="L30" s="42" t="s">
        <v>3608</v>
      </c>
      <c r="M30" s="42" t="s">
        <v>3519</v>
      </c>
      <c r="N30" s="42" t="s">
        <v>3612</v>
      </c>
      <c r="O30" s="42" t="s">
        <v>3614</v>
      </c>
      <c r="P30" s="42" t="s">
        <v>3616</v>
      </c>
      <c r="AB30" s="13" t="str">
        <f>Show!$B$166&amp;"S.30.01.01.02 Rows {"&amp;COLUMN($B$1)&amp;"}"&amp;"@ForceFilingCode:true"</f>
        <v>!S.30.01.01.02 Rows {2}@ForceFilingCode:true</v>
      </c>
      <c r="AC30" s="13" t="str">
        <f>Show!$B$166&amp;"S.30.01.01.02 Columns {"&amp;COLUMN($B$1)&amp;"}"</f>
        <v>!S.30.01.01.02 Columns {2}</v>
      </c>
    </row>
    <row r="31" spans="2:29">
      <c r="B31" s="50"/>
      <c r="C31" s="50"/>
      <c r="D31" s="50"/>
      <c r="E31" s="51"/>
      <c r="F31" s="51"/>
      <c r="G31" s="51"/>
      <c r="H31" s="51"/>
      <c r="I31" s="54"/>
      <c r="J31" s="54"/>
      <c r="K31" s="51"/>
      <c r="L31" s="60"/>
      <c r="M31" s="60"/>
      <c r="N31" s="60"/>
      <c r="O31" s="60"/>
      <c r="P31" s="60"/>
    </row>
    <row r="33" spans="28:29">
      <c r="AB33" s="13" t="str">
        <f>Show!$B$166&amp;Show!$B$166&amp;"S.30.01.01.02 Rows {"&amp;COLUMN($B$1)&amp;"}"</f>
        <v>!!S.30.01.01.02 Rows {2}</v>
      </c>
      <c r="AC33" s="13" t="str">
        <f>Show!$B$166&amp;Show!$B$166&amp;"S.30.01.01.02 Columns {"&amp;COLUMN($P$1)&amp;"}"</f>
        <v>!!S.30.01.01.02 Columns {16}</v>
      </c>
    </row>
  </sheetData>
  <sheetProtection sheet="1" objects="1" scenarios="1"/>
  <mergeCells count="11">
    <mergeCell ref="B20:L20"/>
    <mergeCell ref="B27:B29"/>
    <mergeCell ref="C27:C29"/>
    <mergeCell ref="D27:D29"/>
    <mergeCell ref="E27:P28"/>
    <mergeCell ref="B2:O2"/>
    <mergeCell ref="B5:L5"/>
    <mergeCell ref="B12:B14"/>
    <mergeCell ref="C12:C14"/>
    <mergeCell ref="D12:D14"/>
    <mergeCell ref="E12:R13"/>
  </mergeCells>
  <dataValidations count="7">
    <dataValidation type="list" errorStyle="warning" allowBlank="1" showInputMessage="1" showErrorMessage="1" sqref="D9" xr:uid="{DEA70690-D996-45FA-B995-B3ADD8FB703B}">
      <formula1>hier_LB_33</formula1>
    </dataValidation>
    <dataValidation type="list" errorStyle="warning" allowBlank="1" showInputMessage="1" showErrorMessage="1" sqref="E16 E31" xr:uid="{0A6E65E8-8BFF-48E9-8FC6-8AEC29421619}">
      <formula1>hier_TB_4</formula1>
    </dataValidation>
    <dataValidation type="list" errorStyle="warning" allowBlank="1" showInputMessage="1" showErrorMessage="1" sqref="F16 F31" xr:uid="{6DF22D73-CD70-45DE-8D63-5AD36566027B}">
      <formula1>hier_TB_9</formula1>
    </dataValidation>
    <dataValidation type="date" operator="greaterThan" allowBlank="1" showInputMessage="1" showErrorMessage="1" errorTitle="Date value" error="This cell can only contain dates" sqref="I31:J31 J16:K16" xr:uid="{DA0C4C9C-9066-4D57-BFA0-5637EF59CDDF}">
      <formula1>1</formula1>
    </dataValidation>
    <dataValidation type="list" errorStyle="warning" allowBlank="1" showInputMessage="1" showErrorMessage="1" sqref="L16 K31" xr:uid="{BA4A81D1-9BDB-4020-9FC6-7267F5820E19}">
      <formula1>hier_CU_1</formula1>
    </dataValidation>
    <dataValidation type="list" errorStyle="warning" allowBlank="1" showInputMessage="1" showErrorMessage="1" sqref="N16" xr:uid="{DAFA21D1-479F-470C-B005-07F206DE02A8}">
      <formula1>hier_TB_3</formula1>
    </dataValidation>
    <dataValidation type="list" errorStyle="warning" allowBlank="1" showInputMessage="1" showErrorMessage="1" sqref="D24" xr:uid="{8C702369-BAB1-49CD-A40F-6E8565034C93}">
      <formula1>hier_LB_50</formula1>
    </dataValidation>
  </dataValidation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22D11-BFC3-48ED-A732-635655959E8C}">
  <sheetPr codeName="Blad171"/>
  <dimension ref="B2:Y57"/>
  <sheetViews>
    <sheetView showGridLines="0" workbookViewId="0"/>
  </sheetViews>
  <sheetFormatPr defaultRowHeight="15"/>
  <cols>
    <col min="2" max="2" width="35.85546875" bestFit="1" customWidth="1"/>
    <col min="3" max="9" width="40.7109375" customWidth="1"/>
    <col min="10" max="11" width="15.7109375" customWidth="1"/>
    <col min="12" max="12" width="40.7109375" customWidth="1"/>
  </cols>
  <sheetData>
    <row r="2" spans="2:25" ht="23.25">
      <c r="B2" s="95" t="s">
        <v>762</v>
      </c>
      <c r="C2" s="96"/>
      <c r="D2" s="96"/>
      <c r="E2" s="96"/>
      <c r="F2" s="96"/>
      <c r="G2" s="96"/>
      <c r="H2" s="96"/>
      <c r="I2" s="96"/>
      <c r="J2" s="96"/>
      <c r="K2" s="96"/>
      <c r="L2" s="96"/>
      <c r="M2" s="96"/>
      <c r="N2" s="96"/>
      <c r="O2" s="96"/>
    </row>
    <row r="5" spans="2:25" ht="18.75">
      <c r="B5" s="97" t="s">
        <v>5752</v>
      </c>
      <c r="C5" s="96"/>
      <c r="D5" s="96"/>
      <c r="E5" s="96"/>
      <c r="F5" s="96"/>
      <c r="G5" s="96"/>
      <c r="H5" s="96"/>
      <c r="I5" s="96"/>
      <c r="J5" s="96"/>
      <c r="K5" s="96"/>
      <c r="L5" s="96"/>
    </row>
    <row r="7" spans="2:25">
      <c r="B7" t="s">
        <v>3110</v>
      </c>
      <c r="X7" s="13" t="str">
        <f>Show!$B$167&amp;"S.30.02.01.01 Table label {"&amp;COLUMN($C$1)&amp;"}"</f>
        <v>!S.30.02.01.01 Table label {3}</v>
      </c>
      <c r="Y7" s="13" t="str">
        <f>Show!$B$167&amp;"S.30.02.01.01 Table value {"&amp;COLUMN($D$1)&amp;"}"</f>
        <v>!S.30.02.01.01 Table value {4}</v>
      </c>
    </row>
    <row r="8" spans="2:25">
      <c r="B8" t="s">
        <v>3111</v>
      </c>
    </row>
    <row r="9" spans="2:25">
      <c r="B9" s="40" t="s">
        <v>3427</v>
      </c>
      <c r="C9" s="53" t="s">
        <v>3113</v>
      </c>
      <c r="D9" s="51"/>
    </row>
    <row r="10" spans="2:25">
      <c r="X10" s="13" t="str">
        <f>Show!$B$167&amp;Show!$B$167&amp;"S.30.02.01.01 Table label {"&amp;COLUMN($C$1)&amp;"}"</f>
        <v>!!S.30.02.01.01 Table label {3}</v>
      </c>
      <c r="Y10" s="13" t="str">
        <f>Show!$B$167&amp;Show!$B$167&amp;"S.30.02.01.01 Table value {"&amp;COLUMN($D$1)&amp;"}"</f>
        <v>!!S.30.02.01.01 Table value {4}</v>
      </c>
    </row>
    <row r="12" spans="2:25">
      <c r="B12" s="98" t="s">
        <v>5744</v>
      </c>
      <c r="C12" s="98" t="s">
        <v>4219</v>
      </c>
      <c r="D12" s="98" t="s">
        <v>5745</v>
      </c>
      <c r="E12" s="98" t="s">
        <v>5753</v>
      </c>
      <c r="F12" s="98" t="s">
        <v>5754</v>
      </c>
      <c r="G12" s="101" t="s">
        <v>2877</v>
      </c>
      <c r="H12" s="102"/>
      <c r="I12" s="102"/>
      <c r="J12" s="102"/>
      <c r="K12" s="102"/>
      <c r="L12" s="103"/>
    </row>
    <row r="13" spans="2:25">
      <c r="B13" s="99"/>
      <c r="C13" s="99"/>
      <c r="D13" s="99"/>
      <c r="E13" s="99"/>
      <c r="F13" s="99"/>
      <c r="G13" s="104"/>
      <c r="H13" s="105"/>
      <c r="I13" s="105"/>
      <c r="J13" s="105"/>
      <c r="K13" s="105"/>
      <c r="L13" s="106"/>
    </row>
    <row r="14" spans="2:25" ht="60">
      <c r="B14" s="100"/>
      <c r="C14" s="100"/>
      <c r="D14" s="100"/>
      <c r="E14" s="100"/>
      <c r="F14" s="100"/>
      <c r="G14" s="55" t="s">
        <v>5755</v>
      </c>
      <c r="H14" s="55" t="s">
        <v>5756</v>
      </c>
      <c r="I14" s="55" t="s">
        <v>3606</v>
      </c>
      <c r="J14" s="55" t="s">
        <v>5757</v>
      </c>
      <c r="K14" s="55" t="s">
        <v>5758</v>
      </c>
      <c r="L14" s="55" t="s">
        <v>5759</v>
      </c>
    </row>
    <row r="15" spans="2:25">
      <c r="B15" s="42" t="s">
        <v>3219</v>
      </c>
      <c r="C15" s="42" t="s">
        <v>3225</v>
      </c>
      <c r="D15" s="42" t="s">
        <v>3223</v>
      </c>
      <c r="E15" s="42" t="s">
        <v>3229</v>
      </c>
      <c r="F15" s="42" t="s">
        <v>3233</v>
      </c>
      <c r="G15" s="42" t="s">
        <v>3236</v>
      </c>
      <c r="H15" s="42" t="s">
        <v>3239</v>
      </c>
      <c r="I15" s="42" t="s">
        <v>3241</v>
      </c>
      <c r="J15" s="42" t="s">
        <v>3243</v>
      </c>
      <c r="K15" s="42" t="s">
        <v>3375</v>
      </c>
      <c r="L15" s="42" t="s">
        <v>3475</v>
      </c>
      <c r="X15" s="13" t="str">
        <f>Show!$B$167&amp;"S.30.02.01.01 Rows {"&amp;COLUMN($B$1)&amp;"}"&amp;"@ForceFilingCode:true"</f>
        <v>!S.30.02.01.01 Rows {2}@ForceFilingCode:true</v>
      </c>
      <c r="Y15" s="13" t="str">
        <f>Show!$B$167&amp;"S.30.02.01.01 Columns {"&amp;COLUMN($B$1)&amp;"}"</f>
        <v>!S.30.02.01.01 Columns {2}</v>
      </c>
    </row>
    <row r="16" spans="2:25">
      <c r="B16" s="50"/>
      <c r="C16" s="50"/>
      <c r="D16" s="50"/>
      <c r="E16" s="50"/>
      <c r="F16" s="50"/>
      <c r="G16" s="51"/>
      <c r="H16" s="70"/>
      <c r="I16" s="51"/>
      <c r="J16" s="60"/>
      <c r="K16" s="60"/>
      <c r="L16" s="51"/>
    </row>
    <row r="18" spans="2:25">
      <c r="X18" s="13" t="str">
        <f>Show!$B$167&amp;Show!$B$167&amp;"S.30.02.01.01 Rows {"&amp;COLUMN($B$1)&amp;"}"</f>
        <v>!!S.30.02.01.01 Rows {2}</v>
      </c>
      <c r="Y18" s="13" t="str">
        <f>Show!$B$167&amp;Show!$B$167&amp;"S.30.02.01.01 Columns {"&amp;COLUMN($L$1)&amp;"}"</f>
        <v>!!S.30.02.01.01 Columns {12}</v>
      </c>
    </row>
    <row r="20" spans="2:25" ht="18.75">
      <c r="B20" s="97" t="s">
        <v>5760</v>
      </c>
      <c r="C20" s="96"/>
      <c r="D20" s="96"/>
      <c r="E20" s="96"/>
      <c r="F20" s="96"/>
      <c r="G20" s="96"/>
      <c r="H20" s="96"/>
      <c r="I20" s="96"/>
      <c r="J20" s="96"/>
      <c r="K20" s="96"/>
      <c r="L20" s="96"/>
    </row>
    <row r="22" spans="2:25">
      <c r="B22" t="s">
        <v>3110</v>
      </c>
      <c r="X22" s="13" t="str">
        <f>Show!$B$167&amp;"S.30.02.01.02 Table label {"&amp;COLUMN($C$1)&amp;"}"</f>
        <v>!S.30.02.01.02 Table label {3}</v>
      </c>
      <c r="Y22" s="13" t="str">
        <f>Show!$B$167&amp;"S.30.02.01.02 Table value {"&amp;COLUMN($D$1)&amp;"}"</f>
        <v>!S.30.02.01.02 Table value {4}</v>
      </c>
    </row>
    <row r="23" spans="2:25">
      <c r="B23" t="s">
        <v>3111</v>
      </c>
    </row>
    <row r="24" spans="2:25">
      <c r="B24" s="40" t="s">
        <v>3427</v>
      </c>
      <c r="C24" s="53" t="s">
        <v>3115</v>
      </c>
      <c r="D24" s="51"/>
    </row>
    <row r="25" spans="2:25">
      <c r="X25" s="13" t="str">
        <f>Show!$B$167&amp;Show!$B$167&amp;"S.30.02.01.02 Table label {"&amp;COLUMN($C$1)&amp;"}"</f>
        <v>!!S.30.02.01.02 Table label {3}</v>
      </c>
      <c r="Y25" s="13" t="str">
        <f>Show!$B$167&amp;Show!$B$167&amp;"S.30.02.01.02 Table value {"&amp;COLUMN($D$1)&amp;"}"</f>
        <v>!!S.30.02.01.02 Table value {4}</v>
      </c>
    </row>
    <row r="27" spans="2:25">
      <c r="B27" s="98" t="s">
        <v>5744</v>
      </c>
      <c r="C27" s="98" t="s">
        <v>4219</v>
      </c>
      <c r="D27" s="98" t="s">
        <v>5745</v>
      </c>
      <c r="E27" s="98" t="s">
        <v>5753</v>
      </c>
      <c r="F27" s="98" t="s">
        <v>5754</v>
      </c>
      <c r="G27" s="101" t="s">
        <v>2877</v>
      </c>
      <c r="H27" s="102"/>
      <c r="I27" s="102"/>
      <c r="J27" s="102"/>
      <c r="K27" s="102"/>
      <c r="L27" s="103"/>
    </row>
    <row r="28" spans="2:25">
      <c r="B28" s="99"/>
      <c r="C28" s="99"/>
      <c r="D28" s="99"/>
      <c r="E28" s="99"/>
      <c r="F28" s="99"/>
      <c r="G28" s="104"/>
      <c r="H28" s="105"/>
      <c r="I28" s="105"/>
      <c r="J28" s="105"/>
      <c r="K28" s="105"/>
      <c r="L28" s="106"/>
    </row>
    <row r="29" spans="2:25" ht="60">
      <c r="B29" s="100"/>
      <c r="C29" s="100"/>
      <c r="D29" s="100"/>
      <c r="E29" s="100"/>
      <c r="F29" s="100"/>
      <c r="G29" s="55" t="s">
        <v>5755</v>
      </c>
      <c r="H29" s="55" t="s">
        <v>5756</v>
      </c>
      <c r="I29" s="55" t="s">
        <v>3606</v>
      </c>
      <c r="J29" s="55" t="s">
        <v>5757</v>
      </c>
      <c r="K29" s="55" t="s">
        <v>5758</v>
      </c>
      <c r="L29" s="55" t="s">
        <v>5759</v>
      </c>
    </row>
    <row r="30" spans="2:25">
      <c r="B30" s="42" t="s">
        <v>3477</v>
      </c>
      <c r="C30" s="42" t="s">
        <v>3479</v>
      </c>
      <c r="D30" s="42" t="s">
        <v>3594</v>
      </c>
      <c r="E30" s="42" t="s">
        <v>3596</v>
      </c>
      <c r="F30" s="42" t="s">
        <v>3481</v>
      </c>
      <c r="G30" s="42" t="s">
        <v>3509</v>
      </c>
      <c r="H30" s="42" t="s">
        <v>3511</v>
      </c>
      <c r="I30" s="42" t="s">
        <v>3513</v>
      </c>
      <c r="J30" s="42" t="s">
        <v>3514</v>
      </c>
      <c r="K30" s="42" t="s">
        <v>3515</v>
      </c>
      <c r="L30" s="42" t="s">
        <v>3517</v>
      </c>
      <c r="X30" s="13" t="str">
        <f>Show!$B$167&amp;"S.30.02.01.02 Rows {"&amp;COLUMN($B$1)&amp;"}"&amp;"@ForceFilingCode:true"</f>
        <v>!S.30.02.01.02 Rows {2}@ForceFilingCode:true</v>
      </c>
      <c r="Y30" s="13" t="str">
        <f>Show!$B$167&amp;"S.30.02.01.02 Columns {"&amp;COLUMN($B$1)&amp;"}"</f>
        <v>!S.30.02.01.02 Columns {2}</v>
      </c>
    </row>
    <row r="31" spans="2:25">
      <c r="B31" s="50"/>
      <c r="C31" s="50"/>
      <c r="D31" s="50"/>
      <c r="E31" s="50"/>
      <c r="F31" s="50"/>
      <c r="G31" s="51"/>
      <c r="H31" s="70"/>
      <c r="I31" s="51"/>
      <c r="J31" s="60"/>
      <c r="K31" s="60"/>
      <c r="L31" s="51"/>
    </row>
    <row r="33" spans="2:25">
      <c r="X33" s="13" t="str">
        <f>Show!$B$167&amp;Show!$B$167&amp;"S.30.02.01.02 Rows {"&amp;COLUMN($B$1)&amp;"}"</f>
        <v>!!S.30.02.01.02 Rows {2}</v>
      </c>
      <c r="Y33" s="13" t="str">
        <f>Show!$B$167&amp;Show!$B$167&amp;"S.30.02.01.02 Columns {"&amp;COLUMN($L$1)&amp;"}"</f>
        <v>!!S.30.02.01.02 Columns {12}</v>
      </c>
    </row>
    <row r="35" spans="2:25" ht="18.75">
      <c r="B35" s="97" t="s">
        <v>5761</v>
      </c>
      <c r="C35" s="96"/>
      <c r="D35" s="96"/>
      <c r="E35" s="96"/>
      <c r="F35" s="96"/>
      <c r="G35" s="96"/>
      <c r="H35" s="96"/>
      <c r="I35" s="96"/>
      <c r="J35" s="96"/>
      <c r="K35" s="96"/>
      <c r="L35" s="96"/>
    </row>
    <row r="39" spans="2:25">
      <c r="B39" s="98" t="s">
        <v>5753</v>
      </c>
      <c r="C39" s="101" t="s">
        <v>2877</v>
      </c>
      <c r="D39" s="102"/>
      <c r="E39" s="102"/>
      <c r="F39" s="102"/>
      <c r="G39" s="102"/>
      <c r="H39" s="102"/>
      <c r="I39" s="103"/>
    </row>
    <row r="40" spans="2:25">
      <c r="B40" s="99"/>
      <c r="C40" s="104"/>
      <c r="D40" s="105"/>
      <c r="E40" s="105"/>
      <c r="F40" s="105"/>
      <c r="G40" s="105"/>
      <c r="H40" s="105"/>
      <c r="I40" s="106"/>
    </row>
    <row r="41" spans="2:25" ht="30">
      <c r="B41" s="100"/>
      <c r="C41" s="55" t="s">
        <v>5762</v>
      </c>
      <c r="D41" s="55" t="s">
        <v>5763</v>
      </c>
      <c r="E41" s="55" t="s">
        <v>5764</v>
      </c>
      <c r="F41" s="55" t="s">
        <v>5765</v>
      </c>
      <c r="G41" s="55" t="s">
        <v>3615</v>
      </c>
      <c r="H41" s="55" t="s">
        <v>3617</v>
      </c>
      <c r="I41" s="55" t="s">
        <v>3619</v>
      </c>
    </row>
    <row r="42" spans="2:25">
      <c r="B42" s="42" t="s">
        <v>3518</v>
      </c>
      <c r="C42" s="42" t="s">
        <v>3519</v>
      </c>
      <c r="D42" s="42" t="s">
        <v>3612</v>
      </c>
      <c r="E42" s="42" t="s">
        <v>3614</v>
      </c>
      <c r="F42" s="42" t="s">
        <v>3616</v>
      </c>
      <c r="G42" s="42" t="s">
        <v>3618</v>
      </c>
      <c r="H42" s="42" t="s">
        <v>3620</v>
      </c>
      <c r="I42" s="42" t="s">
        <v>3622</v>
      </c>
      <c r="X42" s="13" t="str">
        <f>Show!$B$167&amp;"S.30.02.01.03 Rows {"&amp;COLUMN($B$1)&amp;"}"&amp;"@ForceFilingCode:true"</f>
        <v>!S.30.02.01.03 Rows {2}@ForceFilingCode:true</v>
      </c>
      <c r="Y42" s="13" t="str">
        <f>Show!$B$167&amp;"S.30.02.01.03 Columns {"&amp;COLUMN($B$1)&amp;"}"</f>
        <v>!S.30.02.01.03 Columns {2}</v>
      </c>
    </row>
    <row r="43" spans="2:25">
      <c r="B43" s="50"/>
      <c r="C43" s="51"/>
      <c r="D43" s="51"/>
      <c r="E43" s="51"/>
      <c r="F43" s="51"/>
      <c r="G43" s="51"/>
      <c r="H43" s="51"/>
      <c r="I43" s="51"/>
    </row>
    <row r="45" spans="2:25">
      <c r="X45" s="13" t="str">
        <f>Show!$B$167&amp;Show!$B$167&amp;"S.30.02.01.03 Rows {"&amp;COLUMN($B$1)&amp;"}"</f>
        <v>!!S.30.02.01.03 Rows {2}</v>
      </c>
      <c r="Y45" s="13" t="str">
        <f>Show!$B$167&amp;Show!$B$167&amp;"S.30.02.01.03 Columns {"&amp;COLUMN($I$1)&amp;"}"</f>
        <v>!!S.30.02.01.03 Columns {9}</v>
      </c>
    </row>
    <row r="47" spans="2:25" ht="18.75">
      <c r="B47" s="97" t="s">
        <v>5766</v>
      </c>
      <c r="C47" s="96"/>
      <c r="D47" s="96"/>
      <c r="E47" s="96"/>
      <c r="F47" s="96"/>
      <c r="G47" s="96"/>
      <c r="H47" s="96"/>
      <c r="I47" s="96"/>
      <c r="J47" s="96"/>
      <c r="K47" s="96"/>
      <c r="L47" s="96"/>
    </row>
    <row r="51" spans="2:25">
      <c r="B51" s="98" t="s">
        <v>5754</v>
      </c>
      <c r="C51" s="98" t="s">
        <v>2877</v>
      </c>
    </row>
    <row r="52" spans="2:25">
      <c r="B52" s="99"/>
      <c r="C52" s="100"/>
    </row>
    <row r="53" spans="2:25">
      <c r="B53" s="100"/>
      <c r="C53" s="55" t="s">
        <v>5767</v>
      </c>
    </row>
    <row r="54" spans="2:25">
      <c r="B54" s="42" t="s">
        <v>3624</v>
      </c>
      <c r="C54" s="42" t="s">
        <v>3628</v>
      </c>
      <c r="X54" s="13" t="str">
        <f>Show!$B$167&amp;"S.30.02.01.04 Rows {"&amp;COLUMN($B$1)&amp;"}"&amp;"@ForceFilingCode:true"</f>
        <v>!S.30.02.01.04 Rows {2}@ForceFilingCode:true</v>
      </c>
      <c r="Y54" s="13" t="str">
        <f>Show!$B$167&amp;"S.30.02.01.04 Columns {"&amp;COLUMN($B$1)&amp;"}"</f>
        <v>!S.30.02.01.04 Columns {2}</v>
      </c>
    </row>
    <row r="55" spans="2:25">
      <c r="B55" s="50"/>
      <c r="C55" s="51"/>
    </row>
    <row r="57" spans="2:25">
      <c r="X57" s="13" t="str">
        <f>Show!$B$167&amp;Show!$B$167&amp;"S.30.02.01.04 Rows {"&amp;COLUMN($B$1)&amp;"}"</f>
        <v>!!S.30.02.01.04 Rows {2}</v>
      </c>
      <c r="Y57" s="13" t="str">
        <f>Show!$B$167&amp;Show!$B$167&amp;"S.30.02.01.04 Columns {"&amp;COLUMN($C$1)&amp;"}"</f>
        <v>!!S.30.02.01.04 Columns {3}</v>
      </c>
    </row>
  </sheetData>
  <sheetProtection sheet="1" objects="1" scenarios="1"/>
  <mergeCells count="21">
    <mergeCell ref="B35:L35"/>
    <mergeCell ref="B39:B41"/>
    <mergeCell ref="C39:I40"/>
    <mergeCell ref="B47:L47"/>
    <mergeCell ref="B51:B53"/>
    <mergeCell ref="C51:C52"/>
    <mergeCell ref="B20:L20"/>
    <mergeCell ref="B27:B29"/>
    <mergeCell ref="C27:C29"/>
    <mergeCell ref="D27:D29"/>
    <mergeCell ref="E27:E29"/>
    <mergeCell ref="F27:F29"/>
    <mergeCell ref="G27:L28"/>
    <mergeCell ref="B2:O2"/>
    <mergeCell ref="B5:L5"/>
    <mergeCell ref="B12:B14"/>
    <mergeCell ref="C12:C14"/>
    <mergeCell ref="D12:D14"/>
    <mergeCell ref="E12:E14"/>
    <mergeCell ref="F12:F14"/>
    <mergeCell ref="G12:L13"/>
  </mergeCells>
  <dataValidations count="7">
    <dataValidation type="list" errorStyle="warning" allowBlank="1" showInputMessage="1" showErrorMessage="1" sqref="D9" xr:uid="{3D8149D7-5821-43C3-B169-F032593D3502}">
      <formula1>hier_LB_33</formula1>
    </dataValidation>
    <dataValidation type="list" errorStyle="warning" allowBlank="1" showInputMessage="1" showErrorMessage="1" sqref="I16 I31" xr:uid="{DC21FAE0-4D9E-4FB6-80FD-7AC3AFB956E5}">
      <formula1>hier_CU_1</formula1>
    </dataValidation>
    <dataValidation type="list" errorStyle="warning" allowBlank="1" showInputMessage="1" showErrorMessage="1" sqref="D24" xr:uid="{21FD7B4F-3740-4BB3-A1DD-18D73EC2AE6C}">
      <formula1>hier_LB_50</formula1>
    </dataValidation>
    <dataValidation type="list" errorStyle="warning" allowBlank="1" showInputMessage="1" showErrorMessage="1" sqref="D43" xr:uid="{85CDFA9D-33FF-4FA9-AA2F-50075B86D8C3}">
      <formula1>hier_SE_14</formula1>
    </dataValidation>
    <dataValidation type="list" errorStyle="warning" allowBlank="1" showInputMessage="1" showErrorMessage="1" sqref="E43" xr:uid="{DD76DC15-6C76-4F64-8EAF-2B5F2A7447D5}">
      <formula1>hier_GA_18</formula1>
    </dataValidation>
    <dataValidation type="list" errorStyle="warning" allowBlank="1" showInputMessage="1" showErrorMessage="1" sqref="G43" xr:uid="{4768E21E-0F41-4512-9656-2EF1A93BB0C4}">
      <formula1>hier_SE_27</formula1>
    </dataValidation>
    <dataValidation type="list" errorStyle="warning" allowBlank="1" showInputMessage="1" showErrorMessage="1" sqref="H43" xr:uid="{0BB98FC7-959E-4D56-A0C6-2706568F60E1}">
      <formula1>hier_BR_3</formula1>
    </dataValidation>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FCAA-FF58-4B6F-8DA4-2CD3D80129E9}">
  <sheetPr codeName="Blad172"/>
  <dimension ref="B2:BA15"/>
  <sheetViews>
    <sheetView showGridLines="0" workbookViewId="0"/>
  </sheetViews>
  <sheetFormatPr defaultRowHeight="15"/>
  <cols>
    <col min="2" max="2" width="24.85546875" bestFit="1" customWidth="1"/>
    <col min="3" max="5" width="15.7109375" customWidth="1"/>
    <col min="6" max="6" width="40.7109375" customWidth="1"/>
    <col min="7" max="7" width="15.7109375" customWidth="1"/>
    <col min="8" max="11" width="40.7109375" customWidth="1"/>
    <col min="12" max="13" width="15.7109375" customWidth="1"/>
    <col min="14" max="15" width="40.7109375" customWidth="1"/>
    <col min="16" max="26" width="15.7109375" customWidth="1"/>
    <col min="27" max="27" width="40.7109375" customWidth="1"/>
    <col min="28" max="38" width="15.7109375" customWidth="1"/>
    <col min="39" max="39" width="40.7109375" customWidth="1"/>
  </cols>
  <sheetData>
    <row r="2" spans="2:53" ht="23.25">
      <c r="B2" s="95" t="s">
        <v>764</v>
      </c>
      <c r="C2" s="96"/>
      <c r="D2" s="96"/>
      <c r="E2" s="96"/>
      <c r="F2" s="96"/>
      <c r="G2" s="96"/>
      <c r="H2" s="96"/>
      <c r="I2" s="96"/>
      <c r="J2" s="96"/>
      <c r="K2" s="96"/>
      <c r="L2" s="96"/>
      <c r="M2" s="96"/>
      <c r="N2" s="96"/>
      <c r="O2" s="96"/>
    </row>
    <row r="5" spans="2:53" ht="18.75">
      <c r="B5" s="97" t="s">
        <v>5768</v>
      </c>
      <c r="C5" s="96"/>
      <c r="D5" s="96"/>
      <c r="E5" s="96"/>
      <c r="F5" s="96"/>
      <c r="G5" s="96"/>
      <c r="H5" s="96"/>
      <c r="I5" s="96"/>
      <c r="J5" s="96"/>
      <c r="K5" s="96"/>
      <c r="L5" s="96"/>
    </row>
    <row r="9" spans="2:53">
      <c r="B9" s="98" t="s">
        <v>5744</v>
      </c>
      <c r="C9" s="98" t="s">
        <v>5769</v>
      </c>
      <c r="D9" s="98" t="s">
        <v>5770</v>
      </c>
      <c r="E9" s="98" t="s">
        <v>5771</v>
      </c>
      <c r="F9" s="98" t="s">
        <v>3427</v>
      </c>
      <c r="G9" s="101" t="s">
        <v>2877</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3"/>
    </row>
    <row r="10" spans="2:53">
      <c r="B10" s="99"/>
      <c r="C10" s="99"/>
      <c r="D10" s="99"/>
      <c r="E10" s="99"/>
      <c r="F10" s="99"/>
      <c r="G10" s="104"/>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6"/>
    </row>
    <row r="11" spans="2:53" ht="90">
      <c r="B11" s="100"/>
      <c r="C11" s="100"/>
      <c r="D11" s="100"/>
      <c r="E11" s="100"/>
      <c r="F11" s="100"/>
      <c r="G11" s="55" t="s">
        <v>5772</v>
      </c>
      <c r="H11" s="55" t="s">
        <v>5746</v>
      </c>
      <c r="I11" s="55" t="s">
        <v>4222</v>
      </c>
      <c r="J11" s="55" t="s">
        <v>5773</v>
      </c>
      <c r="K11" s="55" t="s">
        <v>5774</v>
      </c>
      <c r="L11" s="55" t="s">
        <v>4223</v>
      </c>
      <c r="M11" s="55" t="s">
        <v>4224</v>
      </c>
      <c r="N11" s="55" t="s">
        <v>3606</v>
      </c>
      <c r="O11" s="55" t="s">
        <v>4227</v>
      </c>
      <c r="P11" s="55" t="s">
        <v>5775</v>
      </c>
      <c r="Q11" s="55" t="s">
        <v>5776</v>
      </c>
      <c r="R11" s="55" t="s">
        <v>5777</v>
      </c>
      <c r="S11" s="55" t="s">
        <v>5778</v>
      </c>
      <c r="T11" s="55" t="s">
        <v>5779</v>
      </c>
      <c r="U11" s="55" t="s">
        <v>5780</v>
      </c>
      <c r="V11" s="55" t="s">
        <v>5781</v>
      </c>
      <c r="W11" s="55" t="s">
        <v>5782</v>
      </c>
      <c r="X11" s="55" t="s">
        <v>5783</v>
      </c>
      <c r="Y11" s="55" t="s">
        <v>5784</v>
      </c>
      <c r="Z11" s="55" t="s">
        <v>5785</v>
      </c>
      <c r="AA11" s="55" t="s">
        <v>5786</v>
      </c>
      <c r="AB11" s="55" t="s">
        <v>5787</v>
      </c>
      <c r="AC11" s="55" t="s">
        <v>5788</v>
      </c>
      <c r="AD11" s="55" t="s">
        <v>5789</v>
      </c>
      <c r="AE11" s="55" t="s">
        <v>5790</v>
      </c>
      <c r="AF11" s="55" t="s">
        <v>5791</v>
      </c>
      <c r="AG11" s="55" t="s">
        <v>5792</v>
      </c>
      <c r="AH11" s="55" t="s">
        <v>5793</v>
      </c>
      <c r="AI11" s="55" t="s">
        <v>5794</v>
      </c>
      <c r="AJ11" s="55" t="s">
        <v>5795</v>
      </c>
      <c r="AK11" s="55" t="s">
        <v>5796</v>
      </c>
      <c r="AL11" s="55" t="s">
        <v>5797</v>
      </c>
      <c r="AM11" s="55" t="s">
        <v>5798</v>
      </c>
    </row>
    <row r="12" spans="2:53">
      <c r="B12" s="42" t="s">
        <v>2879</v>
      </c>
      <c r="C12" s="42" t="s">
        <v>3219</v>
      </c>
      <c r="D12" s="42" t="s">
        <v>3225</v>
      </c>
      <c r="E12" s="42" t="s">
        <v>3223</v>
      </c>
      <c r="F12" s="42" t="s">
        <v>3233</v>
      </c>
      <c r="G12" s="42" t="s">
        <v>3229</v>
      </c>
      <c r="H12" s="42" t="s">
        <v>3231</v>
      </c>
      <c r="I12" s="42" t="s">
        <v>3234</v>
      </c>
      <c r="J12" s="42" t="s">
        <v>3236</v>
      </c>
      <c r="K12" s="42" t="s">
        <v>3239</v>
      </c>
      <c r="L12" s="42" t="s">
        <v>3241</v>
      </c>
      <c r="M12" s="42" t="s">
        <v>3243</v>
      </c>
      <c r="N12" s="42" t="s">
        <v>3375</v>
      </c>
      <c r="O12" s="42" t="s">
        <v>3475</v>
      </c>
      <c r="P12" s="42" t="s">
        <v>3477</v>
      </c>
      <c r="Q12" s="42" t="s">
        <v>3479</v>
      </c>
      <c r="R12" s="42" t="s">
        <v>3594</v>
      </c>
      <c r="S12" s="42" t="s">
        <v>3596</v>
      </c>
      <c r="T12" s="42" t="s">
        <v>3599</v>
      </c>
      <c r="U12" s="42" t="s">
        <v>3481</v>
      </c>
      <c r="V12" s="42" t="s">
        <v>3508</v>
      </c>
      <c r="W12" s="42" t="s">
        <v>3509</v>
      </c>
      <c r="X12" s="42" t="s">
        <v>3511</v>
      </c>
      <c r="Y12" s="42" t="s">
        <v>3513</v>
      </c>
      <c r="Z12" s="42" t="s">
        <v>3514</v>
      </c>
      <c r="AA12" s="42" t="s">
        <v>3515</v>
      </c>
      <c r="AB12" s="42" t="s">
        <v>3517</v>
      </c>
      <c r="AC12" s="42" t="s">
        <v>3518</v>
      </c>
      <c r="AD12" s="42" t="s">
        <v>3608</v>
      </c>
      <c r="AE12" s="42" t="s">
        <v>3519</v>
      </c>
      <c r="AF12" s="42" t="s">
        <v>3612</v>
      </c>
      <c r="AG12" s="42" t="s">
        <v>3614</v>
      </c>
      <c r="AH12" s="42" t="s">
        <v>3616</v>
      </c>
      <c r="AI12" s="42" t="s">
        <v>3618</v>
      </c>
      <c r="AJ12" s="42" t="s">
        <v>3620</v>
      </c>
      <c r="AK12" s="42" t="s">
        <v>3622</v>
      </c>
      <c r="AL12" s="42" t="s">
        <v>3624</v>
      </c>
      <c r="AM12" s="42" t="s">
        <v>3626</v>
      </c>
      <c r="AZ12" s="13" t="str">
        <f>Show!$B$168&amp;"S.30.03.01.01 Rows {"&amp;COLUMN($B$1)&amp;"}"&amp;"@ForceFilingCode:true"</f>
        <v>!S.30.03.01.01 Rows {2}@ForceFilingCode:true</v>
      </c>
      <c r="BA12" s="13" t="str">
        <f>Show!$B$168&amp;"S.30.03.01.01 Columns {"&amp;COLUMN($B$1)&amp;"}"</f>
        <v>!S.30.03.01.01 Columns {2}</v>
      </c>
    </row>
    <row r="13" spans="2:53">
      <c r="B13" s="50"/>
      <c r="C13" s="50"/>
      <c r="D13" s="50"/>
      <c r="E13" s="50"/>
      <c r="F13" s="51"/>
      <c r="G13" s="50"/>
      <c r="H13" s="51"/>
      <c r="I13" s="51"/>
      <c r="J13" s="51"/>
      <c r="K13" s="51"/>
      <c r="L13" s="54"/>
      <c r="M13" s="54"/>
      <c r="N13" s="51"/>
      <c r="O13" s="51"/>
      <c r="P13" s="60"/>
      <c r="Q13" s="60"/>
      <c r="R13" s="60"/>
      <c r="S13" s="70"/>
      <c r="T13" s="60"/>
      <c r="U13" s="70"/>
      <c r="V13" s="60"/>
      <c r="W13" s="70"/>
      <c r="X13" s="60"/>
      <c r="Y13" s="60"/>
      <c r="Z13" s="50"/>
      <c r="AA13" s="51"/>
      <c r="AB13" s="70"/>
      <c r="AC13" s="70"/>
      <c r="AD13" s="70"/>
      <c r="AE13" s="70"/>
      <c r="AF13" s="70"/>
      <c r="AG13" s="70"/>
      <c r="AH13" s="70"/>
      <c r="AI13" s="70"/>
      <c r="AJ13" s="70"/>
      <c r="AK13" s="70"/>
      <c r="AL13" s="70"/>
      <c r="AM13" s="51"/>
    </row>
    <row r="15" spans="2:53">
      <c r="AZ15" s="13" t="str">
        <f>Show!$B$168&amp;Show!$B$168&amp;"S.30.03.01.01 Rows {"&amp;COLUMN($B$1)&amp;"}"</f>
        <v>!!S.30.03.01.01 Rows {2}</v>
      </c>
      <c r="BA15" s="13" t="str">
        <f>Show!$B$168&amp;Show!$B$168&amp;"S.30.03.01.01 Columns {"&amp;COLUMN($AM$1)&amp;"}"</f>
        <v>!!S.30.03.01.01 Columns {39}</v>
      </c>
    </row>
  </sheetData>
  <sheetProtection sheet="1" objects="1" scenarios="1"/>
  <mergeCells count="8">
    <mergeCell ref="B2:O2"/>
    <mergeCell ref="B5:L5"/>
    <mergeCell ref="B9:B11"/>
    <mergeCell ref="C9:C11"/>
    <mergeCell ref="D9:D11"/>
    <mergeCell ref="E9:E11"/>
    <mergeCell ref="F9:F11"/>
    <mergeCell ref="G9:AM10"/>
  </mergeCells>
  <dataValidations count="7">
    <dataValidation type="list" errorStyle="warning" allowBlank="1" showInputMessage="1" showErrorMessage="1" sqref="F13" xr:uid="{34005886-0395-4B20-B2CE-285EFED9A0A8}">
      <formula1>hier_LB_49</formula1>
    </dataValidation>
    <dataValidation type="list" errorStyle="warning" allowBlank="1" showInputMessage="1" showErrorMessage="1" sqref="H13" xr:uid="{15800111-4D07-4A58-9957-964C8497502B}">
      <formula1>hier_TB_4</formula1>
    </dataValidation>
    <dataValidation type="list" errorStyle="warning" allowBlank="1" showInputMessage="1" showErrorMessage="1" sqref="J13" xr:uid="{206CF8FD-5365-451E-8F62-B184B7B96294}">
      <formula1>hier_TB_11</formula1>
    </dataValidation>
    <dataValidation type="date" operator="greaterThan" allowBlank="1" showInputMessage="1" showErrorMessage="1" errorTitle="Date value" error="This cell can only contain dates" sqref="L13:M13" xr:uid="{EBF47F84-5535-4080-A64D-BA8349F7D197}">
      <formula1>1</formula1>
    </dataValidation>
    <dataValidation type="list" errorStyle="warning" allowBlank="1" showInputMessage="1" showErrorMessage="1" sqref="N13" xr:uid="{FCFFF52D-DDF8-4BF5-82E2-99D2B858D9CF}">
      <formula1>hier_CU_1</formula1>
    </dataValidation>
    <dataValidation type="list" errorStyle="warning" allowBlank="1" showInputMessage="1" showErrorMessage="1" sqref="O13" xr:uid="{6993F8C8-D7A7-462F-8CF1-DF341EC77FF8}">
      <formula1>hier_TB_3</formula1>
    </dataValidation>
    <dataValidation type="list" errorStyle="warning" allowBlank="1" showInputMessage="1" showErrorMessage="1" sqref="AM13" xr:uid="{3E96A23E-25C5-4497-AB2B-310619910E13}">
      <formula1>hier_AM_7</formula1>
    </dataValidation>
  </dataValidation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B7AD6-FF25-4A9F-99A6-CDBD27A6D6C7}">
  <sheetPr codeName="Blad173"/>
  <dimension ref="B2:AG39"/>
  <sheetViews>
    <sheetView showGridLines="0" workbookViewId="0"/>
  </sheetViews>
  <sheetFormatPr defaultRowHeight="15"/>
  <cols>
    <col min="2" max="2" width="35.85546875" bestFit="1" customWidth="1"/>
    <col min="3" max="10" width="40.7109375" customWidth="1"/>
    <col min="11" max="12" width="15.7109375" customWidth="1"/>
    <col min="13" max="14" width="40.7109375" customWidth="1"/>
    <col min="15" max="15" width="15.7109375" customWidth="1"/>
    <col min="16" max="17" width="40.7109375" customWidth="1"/>
  </cols>
  <sheetData>
    <row r="2" spans="2:33" ht="23.25">
      <c r="B2" s="95" t="s">
        <v>766</v>
      </c>
      <c r="C2" s="96"/>
      <c r="D2" s="96"/>
      <c r="E2" s="96"/>
      <c r="F2" s="96"/>
      <c r="G2" s="96"/>
      <c r="H2" s="96"/>
      <c r="I2" s="96"/>
      <c r="J2" s="96"/>
      <c r="K2" s="96"/>
      <c r="L2" s="96"/>
      <c r="M2" s="96"/>
      <c r="N2" s="96"/>
      <c r="O2" s="96"/>
    </row>
    <row r="5" spans="2:33" ht="18.75">
      <c r="B5" s="97" t="s">
        <v>5799</v>
      </c>
      <c r="C5" s="96"/>
      <c r="D5" s="96"/>
      <c r="E5" s="96"/>
      <c r="F5" s="96"/>
      <c r="G5" s="96"/>
      <c r="H5" s="96"/>
      <c r="I5" s="96"/>
      <c r="J5" s="96"/>
      <c r="K5" s="96"/>
      <c r="L5" s="96"/>
    </row>
    <row r="9" spans="2:33">
      <c r="B9" s="98" t="s">
        <v>3374</v>
      </c>
      <c r="C9" s="98" t="s">
        <v>5744</v>
      </c>
      <c r="D9" s="98" t="s">
        <v>5769</v>
      </c>
      <c r="E9" s="98" t="s">
        <v>5770</v>
      </c>
      <c r="F9" s="98" t="s">
        <v>5771</v>
      </c>
      <c r="G9" s="98" t="s">
        <v>5753</v>
      </c>
      <c r="H9" s="98" t="s">
        <v>5800</v>
      </c>
      <c r="I9" s="98" t="s">
        <v>5754</v>
      </c>
      <c r="J9" s="101" t="s">
        <v>2877</v>
      </c>
      <c r="K9" s="102"/>
      <c r="L9" s="102"/>
      <c r="M9" s="102"/>
      <c r="N9" s="102"/>
      <c r="O9" s="102"/>
      <c r="P9" s="102"/>
      <c r="Q9" s="103"/>
    </row>
    <row r="10" spans="2:33">
      <c r="B10" s="99"/>
      <c r="C10" s="99"/>
      <c r="D10" s="99"/>
      <c r="E10" s="99"/>
      <c r="F10" s="99"/>
      <c r="G10" s="99"/>
      <c r="H10" s="99"/>
      <c r="I10" s="99"/>
      <c r="J10" s="104"/>
      <c r="K10" s="105"/>
      <c r="L10" s="105"/>
      <c r="M10" s="105"/>
      <c r="N10" s="105"/>
      <c r="O10" s="105"/>
      <c r="P10" s="105"/>
      <c r="Q10" s="106"/>
    </row>
    <row r="11" spans="2:33" ht="90">
      <c r="B11" s="100"/>
      <c r="C11" s="100"/>
      <c r="D11" s="100"/>
      <c r="E11" s="100"/>
      <c r="F11" s="100"/>
      <c r="G11" s="100"/>
      <c r="H11" s="100"/>
      <c r="I11" s="100"/>
      <c r="J11" s="55" t="s">
        <v>5755</v>
      </c>
      <c r="K11" s="55" t="s">
        <v>5756</v>
      </c>
      <c r="L11" s="55" t="s">
        <v>5801</v>
      </c>
      <c r="M11" s="55" t="s">
        <v>5802</v>
      </c>
      <c r="N11" s="55" t="s">
        <v>5803</v>
      </c>
      <c r="O11" s="55" t="s">
        <v>5804</v>
      </c>
      <c r="P11" s="55" t="s">
        <v>5759</v>
      </c>
      <c r="Q11" s="55" t="s">
        <v>5805</v>
      </c>
    </row>
    <row r="12" spans="2:33">
      <c r="B12" s="42" t="s">
        <v>3581</v>
      </c>
      <c r="C12" s="42" t="s">
        <v>2879</v>
      </c>
      <c r="D12" s="42" t="s">
        <v>3219</v>
      </c>
      <c r="E12" s="42" t="s">
        <v>3225</v>
      </c>
      <c r="F12" s="42" t="s">
        <v>3223</v>
      </c>
      <c r="G12" s="42" t="s">
        <v>3229</v>
      </c>
      <c r="H12" s="42" t="s">
        <v>3475</v>
      </c>
      <c r="I12" s="42" t="s">
        <v>3233</v>
      </c>
      <c r="J12" s="42" t="s">
        <v>3236</v>
      </c>
      <c r="K12" s="42" t="s">
        <v>3239</v>
      </c>
      <c r="L12" s="42" t="s">
        <v>3241</v>
      </c>
      <c r="M12" s="42" t="s">
        <v>3243</v>
      </c>
      <c r="N12" s="42" t="s">
        <v>3375</v>
      </c>
      <c r="O12" s="42" t="s">
        <v>3479</v>
      </c>
      <c r="P12" s="42" t="s">
        <v>3594</v>
      </c>
      <c r="Q12" s="42" t="s">
        <v>3614</v>
      </c>
      <c r="AF12" s="13" t="str">
        <f>Show!$B$169&amp;"S.30.04.01.01 Rows {"&amp;COLUMN($B$1)&amp;"}"&amp;"@ForceFilingCode:true"</f>
        <v>!S.30.04.01.01 Rows {2}@ForceFilingCode:true</v>
      </c>
      <c r="AG12" s="13" t="str">
        <f>Show!$B$169&amp;"S.30.04.01.01 Columns {"&amp;COLUMN($B$1)&amp;"}"</f>
        <v>!S.30.04.01.01 Columns {2}</v>
      </c>
    </row>
    <row r="13" spans="2:33">
      <c r="B13" s="50"/>
      <c r="C13" s="50"/>
      <c r="D13" s="50"/>
      <c r="E13" s="50"/>
      <c r="F13" s="50"/>
      <c r="G13" s="50"/>
      <c r="H13" s="50"/>
      <c r="I13" s="50"/>
      <c r="J13" s="51"/>
      <c r="K13" s="70"/>
      <c r="L13" s="60"/>
      <c r="M13" s="51"/>
      <c r="N13" s="51"/>
      <c r="O13" s="60"/>
      <c r="P13" s="51"/>
      <c r="Q13" s="51"/>
    </row>
    <row r="15" spans="2:33">
      <c r="AF15" s="13" t="str">
        <f>Show!$B$169&amp;Show!$B$169&amp;"S.30.04.01.01 Rows {"&amp;COLUMN($B$1)&amp;"}"</f>
        <v>!!S.30.04.01.01 Rows {2}</v>
      </c>
      <c r="AG15" s="13" t="str">
        <f>Show!$B$169&amp;Show!$B$169&amp;"S.30.04.01.01 Columns {"&amp;COLUMN($Q$1)&amp;"}"</f>
        <v>!!S.30.04.01.01 Columns {17}</v>
      </c>
    </row>
    <row r="17" spans="2:33" ht="18.75">
      <c r="B17" s="97" t="s">
        <v>5806</v>
      </c>
      <c r="C17" s="96"/>
      <c r="D17" s="96"/>
      <c r="E17" s="96"/>
      <c r="F17" s="96"/>
      <c r="G17" s="96"/>
      <c r="H17" s="96"/>
      <c r="I17" s="96"/>
      <c r="J17" s="96"/>
      <c r="K17" s="96"/>
      <c r="L17" s="96"/>
    </row>
    <row r="21" spans="2:33">
      <c r="B21" s="98" t="s">
        <v>5753</v>
      </c>
      <c r="C21" s="101" t="s">
        <v>2877</v>
      </c>
      <c r="D21" s="102"/>
      <c r="E21" s="102"/>
      <c r="F21" s="102"/>
      <c r="G21" s="102"/>
      <c r="H21" s="102"/>
      <c r="I21" s="103"/>
    </row>
    <row r="22" spans="2:33">
      <c r="B22" s="99"/>
      <c r="C22" s="104"/>
      <c r="D22" s="105"/>
      <c r="E22" s="105"/>
      <c r="F22" s="105"/>
      <c r="G22" s="105"/>
      <c r="H22" s="105"/>
      <c r="I22" s="106"/>
    </row>
    <row r="23" spans="2:33" ht="30">
      <c r="B23" s="100"/>
      <c r="C23" s="55" t="s">
        <v>5762</v>
      </c>
      <c r="D23" s="55" t="s">
        <v>5763</v>
      </c>
      <c r="E23" s="55" t="s">
        <v>5764</v>
      </c>
      <c r="F23" s="55" t="s">
        <v>5765</v>
      </c>
      <c r="G23" s="55" t="s">
        <v>3615</v>
      </c>
      <c r="H23" s="55" t="s">
        <v>3617</v>
      </c>
      <c r="I23" s="55" t="s">
        <v>3619</v>
      </c>
    </row>
    <row r="24" spans="2:33">
      <c r="B24" s="42" t="s">
        <v>3596</v>
      </c>
      <c r="C24" s="42" t="s">
        <v>3481</v>
      </c>
      <c r="D24" s="42" t="s">
        <v>3508</v>
      </c>
      <c r="E24" s="42" t="s">
        <v>3509</v>
      </c>
      <c r="F24" s="42" t="s">
        <v>3511</v>
      </c>
      <c r="G24" s="42" t="s">
        <v>3513</v>
      </c>
      <c r="H24" s="42" t="s">
        <v>3514</v>
      </c>
      <c r="I24" s="42" t="s">
        <v>3515</v>
      </c>
      <c r="AF24" s="13" t="str">
        <f>Show!$B$169&amp;"S.30.04.01.02 Rows {"&amp;COLUMN($B$1)&amp;"}"&amp;"@ForceFilingCode:true"</f>
        <v>!S.30.04.01.02 Rows {2}@ForceFilingCode:true</v>
      </c>
      <c r="AG24" s="13" t="str">
        <f>Show!$B$169&amp;"S.30.04.01.02 Columns {"&amp;COLUMN($B$1)&amp;"}"</f>
        <v>!S.30.04.01.02 Columns {2}</v>
      </c>
    </row>
    <row r="25" spans="2:33">
      <c r="B25" s="50"/>
      <c r="C25" s="51"/>
      <c r="D25" s="51"/>
      <c r="E25" s="51"/>
      <c r="F25" s="51"/>
      <c r="G25" s="51"/>
      <c r="H25" s="51"/>
      <c r="I25" s="51"/>
    </row>
    <row r="27" spans="2:33">
      <c r="AF27" s="13" t="str">
        <f>Show!$B$169&amp;Show!$B$169&amp;"S.30.04.01.02 Rows {"&amp;COLUMN($B$1)&amp;"}"</f>
        <v>!!S.30.04.01.02 Rows {2}</v>
      </c>
      <c r="AG27" s="13" t="str">
        <f>Show!$B$169&amp;Show!$B$169&amp;"S.30.04.01.02 Columns {"&amp;COLUMN($I$1)&amp;"}"</f>
        <v>!!S.30.04.01.02 Columns {9}</v>
      </c>
    </row>
    <row r="29" spans="2:33" ht="18.75">
      <c r="B29" s="97" t="s">
        <v>5807</v>
      </c>
      <c r="C29" s="96"/>
      <c r="D29" s="96"/>
      <c r="E29" s="96"/>
      <c r="F29" s="96"/>
      <c r="G29" s="96"/>
      <c r="H29" s="96"/>
      <c r="I29" s="96"/>
      <c r="J29" s="96"/>
      <c r="K29" s="96"/>
      <c r="L29" s="96"/>
    </row>
    <row r="33" spans="2:33">
      <c r="B33" s="98" t="s">
        <v>5754</v>
      </c>
      <c r="C33" s="98" t="s">
        <v>2877</v>
      </c>
    </row>
    <row r="34" spans="2:33">
      <c r="B34" s="99"/>
      <c r="C34" s="100"/>
    </row>
    <row r="35" spans="2:33">
      <c r="B35" s="100"/>
      <c r="C35" s="55" t="s">
        <v>5767</v>
      </c>
    </row>
    <row r="36" spans="2:33">
      <c r="B36" s="42" t="s">
        <v>3517</v>
      </c>
      <c r="C36" s="42" t="s">
        <v>3608</v>
      </c>
      <c r="AF36" s="13" t="str">
        <f>Show!$B$169&amp;"S.30.04.01.03 Rows {"&amp;COLUMN($B$1)&amp;"}"&amp;"@ForceFilingCode:true"</f>
        <v>!S.30.04.01.03 Rows {2}@ForceFilingCode:true</v>
      </c>
      <c r="AG36" s="13" t="str">
        <f>Show!$B$169&amp;"S.30.04.01.03 Columns {"&amp;COLUMN($B$1)&amp;"}"</f>
        <v>!S.30.04.01.03 Columns {2}</v>
      </c>
    </row>
    <row r="37" spans="2:33">
      <c r="B37" s="50"/>
      <c r="C37" s="51"/>
    </row>
    <row r="39" spans="2:33">
      <c r="AF39" s="13" t="str">
        <f>Show!$B$169&amp;Show!$B$169&amp;"S.30.04.01.03 Rows {"&amp;COLUMN($B$1)&amp;"}"</f>
        <v>!!S.30.04.01.03 Rows {2}</v>
      </c>
      <c r="AG39" s="13" t="str">
        <f>Show!$B$169&amp;Show!$B$169&amp;"S.30.04.01.03 Columns {"&amp;COLUMN($C$1)&amp;"}"</f>
        <v>!!S.30.04.01.03 Columns {3}</v>
      </c>
    </row>
  </sheetData>
  <sheetProtection sheet="1" objects="1" scenarios="1"/>
  <mergeCells count="17">
    <mergeCell ref="B21:B23"/>
    <mergeCell ref="C21:I22"/>
    <mergeCell ref="B29:L29"/>
    <mergeCell ref="B33:B35"/>
    <mergeCell ref="C33:C34"/>
    <mergeCell ref="B17:L17"/>
    <mergeCell ref="B2:O2"/>
    <mergeCell ref="B5:L5"/>
    <mergeCell ref="B9:B11"/>
    <mergeCell ref="C9:C11"/>
    <mergeCell ref="D9:D11"/>
    <mergeCell ref="E9:E11"/>
    <mergeCell ref="F9:F11"/>
    <mergeCell ref="G9:G11"/>
    <mergeCell ref="H9:H11"/>
    <mergeCell ref="I9:I11"/>
    <mergeCell ref="J9:Q10"/>
  </mergeCells>
  <dataValidations count="5">
    <dataValidation type="list" errorStyle="warning" allowBlank="1" showInputMessage="1" showErrorMessage="1" sqref="M13" xr:uid="{BBF99DEF-055C-4661-AB4E-D04FA906EDAE}">
      <formula1>hier_MC_18</formula1>
    </dataValidation>
    <dataValidation type="list" errorStyle="warning" allowBlank="1" showInputMessage="1" showErrorMessage="1" sqref="D25" xr:uid="{A9A3CC3B-3443-44F0-8638-AA109D1B19F6}">
      <formula1>hier_SE_14</formula1>
    </dataValidation>
    <dataValidation type="list" errorStyle="warning" allowBlank="1" showInputMessage="1" showErrorMessage="1" sqref="E25" xr:uid="{8D78D790-6ACC-4E56-9A14-5B177BC342E1}">
      <formula1>hier_GA_18</formula1>
    </dataValidation>
    <dataValidation type="list" errorStyle="warning" allowBlank="1" showInputMessage="1" showErrorMessage="1" sqref="G25" xr:uid="{89C0B80B-53C7-4509-82C9-286760E6164F}">
      <formula1>hier_SE_27</formula1>
    </dataValidation>
    <dataValidation type="list" errorStyle="warning" allowBlank="1" showInputMessage="1" showErrorMessage="1" sqref="H25" xr:uid="{3F9E3A2E-488E-43F5-BD77-3A860E0BEDBE}">
      <formula1>hier_BR_3</formula1>
    </dataValidation>
  </dataValidation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52F24-EBF1-4CD0-8850-C2A869813AD3}">
  <sheetPr codeName="Blad174"/>
  <dimension ref="B2:U27"/>
  <sheetViews>
    <sheetView showGridLines="0" workbookViewId="0"/>
  </sheetViews>
  <sheetFormatPr defaultRowHeight="15"/>
  <cols>
    <col min="2" max="2" width="35.85546875" bestFit="1" customWidth="1"/>
    <col min="3" max="9" width="40.7109375" customWidth="1"/>
    <col min="10" max="12" width="15.7109375" customWidth="1"/>
  </cols>
  <sheetData>
    <row r="2" spans="2:21" ht="23.25">
      <c r="B2" s="95" t="s">
        <v>768</v>
      </c>
      <c r="C2" s="96"/>
      <c r="D2" s="96"/>
      <c r="E2" s="96"/>
      <c r="F2" s="96"/>
      <c r="G2" s="96"/>
      <c r="H2" s="96"/>
      <c r="I2" s="96"/>
      <c r="J2" s="96"/>
      <c r="K2" s="96"/>
      <c r="L2" s="96"/>
      <c r="M2" s="96"/>
      <c r="N2" s="96"/>
      <c r="O2" s="96"/>
    </row>
    <row r="5" spans="2:21" ht="18.75">
      <c r="B5" s="97" t="s">
        <v>5808</v>
      </c>
      <c r="C5" s="96"/>
      <c r="D5" s="96"/>
      <c r="E5" s="96"/>
      <c r="F5" s="96"/>
      <c r="G5" s="96"/>
      <c r="H5" s="96"/>
      <c r="I5" s="96"/>
      <c r="J5" s="96"/>
      <c r="K5" s="96"/>
      <c r="L5" s="96"/>
    </row>
    <row r="9" spans="2:21">
      <c r="B9" s="98" t="s">
        <v>5753</v>
      </c>
      <c r="C9" s="101" t="s">
        <v>2877</v>
      </c>
      <c r="D9" s="102"/>
      <c r="E9" s="102"/>
      <c r="F9" s="102"/>
      <c r="G9" s="102"/>
      <c r="H9" s="102"/>
      <c r="I9" s="102"/>
      <c r="J9" s="102"/>
      <c r="K9" s="102"/>
      <c r="L9" s="103"/>
    </row>
    <row r="10" spans="2:21">
      <c r="B10" s="99"/>
      <c r="C10" s="104"/>
      <c r="D10" s="105"/>
      <c r="E10" s="105"/>
      <c r="F10" s="105"/>
      <c r="G10" s="105"/>
      <c r="H10" s="105"/>
      <c r="I10" s="105"/>
      <c r="J10" s="105"/>
      <c r="K10" s="105"/>
      <c r="L10" s="106"/>
    </row>
    <row r="11" spans="2:21" ht="45">
      <c r="B11" s="100"/>
      <c r="C11" s="55" t="s">
        <v>5809</v>
      </c>
      <c r="D11" s="55" t="s">
        <v>5810</v>
      </c>
      <c r="E11" s="55" t="s">
        <v>5811</v>
      </c>
      <c r="F11" s="55" t="s">
        <v>5812</v>
      </c>
      <c r="G11" s="55" t="s">
        <v>5813</v>
      </c>
      <c r="H11" s="55" t="s">
        <v>5814</v>
      </c>
      <c r="I11" s="55" t="s">
        <v>5815</v>
      </c>
      <c r="J11" s="55" t="s">
        <v>5816</v>
      </c>
      <c r="K11" s="55" t="s">
        <v>5817</v>
      </c>
      <c r="L11" s="55" t="s">
        <v>5818</v>
      </c>
    </row>
    <row r="12" spans="2:21">
      <c r="B12" s="42" t="s">
        <v>3223</v>
      </c>
      <c r="C12" s="42" t="s">
        <v>3231</v>
      </c>
      <c r="D12" s="42" t="s">
        <v>3233</v>
      </c>
      <c r="E12" s="42" t="s">
        <v>3234</v>
      </c>
      <c r="F12" s="42" t="s">
        <v>3236</v>
      </c>
      <c r="G12" s="42" t="s">
        <v>3239</v>
      </c>
      <c r="H12" s="42" t="s">
        <v>3241</v>
      </c>
      <c r="I12" s="42" t="s">
        <v>3243</v>
      </c>
      <c r="J12" s="42" t="s">
        <v>3375</v>
      </c>
      <c r="K12" s="42" t="s">
        <v>3475</v>
      </c>
      <c r="L12" s="42" t="s">
        <v>3477</v>
      </c>
      <c r="T12" s="13" t="str">
        <f>Show!$B$170&amp;"S.31.01.01.01 Rows {"&amp;COLUMN($B$1)&amp;"}"&amp;"@ForceFilingCode:true"</f>
        <v>!S.31.01.01.01 Rows {2}@ForceFilingCode:true</v>
      </c>
      <c r="U12" s="13" t="str">
        <f>Show!$B$170&amp;"S.31.01.01.01 Columns {"&amp;COLUMN($B$1)&amp;"}"</f>
        <v>!S.31.01.01.01 Columns {2}</v>
      </c>
    </row>
    <row r="13" spans="2:21">
      <c r="B13" s="50"/>
      <c r="C13" s="60"/>
      <c r="D13" s="60"/>
      <c r="E13" s="60"/>
      <c r="F13" s="60"/>
      <c r="G13" s="60"/>
      <c r="H13" s="60"/>
      <c r="I13" s="60"/>
      <c r="J13" s="60"/>
      <c r="K13" s="60"/>
      <c r="L13" s="60"/>
    </row>
    <row r="15" spans="2:21">
      <c r="T15" s="13" t="str">
        <f>Show!$B$170&amp;Show!$B$170&amp;"S.31.01.01.01 Rows {"&amp;COLUMN($B$1)&amp;"}"</f>
        <v>!!S.31.01.01.01 Rows {2}</v>
      </c>
      <c r="U15" s="13" t="str">
        <f>Show!$B$170&amp;Show!$B$170&amp;"S.31.01.01.01 Columns {"&amp;COLUMN($L$1)&amp;"}"</f>
        <v>!!S.31.01.01.01 Columns {12}</v>
      </c>
    </row>
    <row r="17" spans="2:21" ht="18.75">
      <c r="B17" s="97" t="s">
        <v>5819</v>
      </c>
      <c r="C17" s="96"/>
      <c r="D17" s="96"/>
      <c r="E17" s="96"/>
      <c r="F17" s="96"/>
      <c r="G17" s="96"/>
      <c r="H17" s="96"/>
      <c r="I17" s="96"/>
      <c r="J17" s="96"/>
      <c r="K17" s="96"/>
      <c r="L17" s="96"/>
    </row>
    <row r="21" spans="2:21">
      <c r="B21" s="98" t="s">
        <v>5753</v>
      </c>
      <c r="C21" s="101" t="s">
        <v>2877</v>
      </c>
      <c r="D21" s="102"/>
      <c r="E21" s="102"/>
      <c r="F21" s="102"/>
      <c r="G21" s="102"/>
      <c r="H21" s="102"/>
      <c r="I21" s="103"/>
    </row>
    <row r="22" spans="2:21">
      <c r="B22" s="99"/>
      <c r="C22" s="104"/>
      <c r="D22" s="105"/>
      <c r="E22" s="105"/>
      <c r="F22" s="105"/>
      <c r="G22" s="105"/>
      <c r="H22" s="105"/>
      <c r="I22" s="106"/>
    </row>
    <row r="23" spans="2:21" ht="30">
      <c r="B23" s="100"/>
      <c r="C23" s="55" t="s">
        <v>5762</v>
      </c>
      <c r="D23" s="55" t="s">
        <v>5763</v>
      </c>
      <c r="E23" s="55" t="s">
        <v>5764</v>
      </c>
      <c r="F23" s="55" t="s">
        <v>5765</v>
      </c>
      <c r="G23" s="55" t="s">
        <v>3615</v>
      </c>
      <c r="H23" s="55" t="s">
        <v>3617</v>
      </c>
      <c r="I23" s="55" t="s">
        <v>3619</v>
      </c>
    </row>
    <row r="24" spans="2:21">
      <c r="B24" s="42" t="s">
        <v>3479</v>
      </c>
      <c r="C24" s="42" t="s">
        <v>3596</v>
      </c>
      <c r="D24" s="42" t="s">
        <v>3599</v>
      </c>
      <c r="E24" s="42" t="s">
        <v>3481</v>
      </c>
      <c r="F24" s="42" t="s">
        <v>3508</v>
      </c>
      <c r="G24" s="42" t="s">
        <v>3509</v>
      </c>
      <c r="H24" s="42" t="s">
        <v>3511</v>
      </c>
      <c r="I24" s="42" t="s">
        <v>3513</v>
      </c>
      <c r="T24" s="13" t="str">
        <f>Show!$B$170&amp;"S.31.01.01.02 Rows {"&amp;COLUMN($B$1)&amp;"}"&amp;"@ForceFilingCode:true"</f>
        <v>!S.31.01.01.02 Rows {2}@ForceFilingCode:true</v>
      </c>
      <c r="U24" s="13" t="str">
        <f>Show!$B$170&amp;"S.31.01.01.02 Columns {"&amp;COLUMN($B$1)&amp;"}"</f>
        <v>!S.31.01.01.02 Columns {2}</v>
      </c>
    </row>
    <row r="25" spans="2:21">
      <c r="B25" s="50"/>
      <c r="C25" s="51"/>
      <c r="D25" s="51"/>
      <c r="E25" s="51"/>
      <c r="F25" s="51"/>
      <c r="G25" s="51"/>
      <c r="H25" s="51"/>
      <c r="I25" s="51"/>
    </row>
    <row r="27" spans="2:21">
      <c r="T27" s="13" t="str">
        <f>Show!$B$170&amp;Show!$B$170&amp;"S.31.01.01.02 Rows {"&amp;COLUMN($B$1)&amp;"}"</f>
        <v>!!S.31.01.01.02 Rows {2}</v>
      </c>
      <c r="U27" s="13" t="str">
        <f>Show!$B$170&amp;Show!$B$170&amp;"S.31.01.01.02 Columns {"&amp;COLUMN($I$1)&amp;"}"</f>
        <v>!!S.31.01.01.02 Columns {9}</v>
      </c>
    </row>
  </sheetData>
  <sheetProtection sheet="1" objects="1" scenarios="1"/>
  <mergeCells count="7">
    <mergeCell ref="B21:B23"/>
    <mergeCell ref="C21:I22"/>
    <mergeCell ref="B2:O2"/>
    <mergeCell ref="B5:L5"/>
    <mergeCell ref="B9:B11"/>
    <mergeCell ref="C9:L10"/>
    <mergeCell ref="B17:L17"/>
  </mergeCells>
  <dataValidations count="4">
    <dataValidation type="list" errorStyle="warning" allowBlank="1" showInputMessage="1" showErrorMessage="1" sqref="D25" xr:uid="{86B23596-7DA4-4133-A27F-348524B10C61}">
      <formula1>hier_SE_14</formula1>
    </dataValidation>
    <dataValidation type="list" errorStyle="warning" allowBlank="1" showInputMessage="1" showErrorMessage="1" sqref="E25" xr:uid="{88B9B056-B013-4002-9C91-17B5E21FB363}">
      <formula1>hier_GA_18</formula1>
    </dataValidation>
    <dataValidation type="list" errorStyle="warning" allowBlank="1" showInputMessage="1" showErrorMessage="1" sqref="G25" xr:uid="{4D5AE192-80BF-4AAA-8F3D-771C989C210A}">
      <formula1>hier_SE_27</formula1>
    </dataValidation>
    <dataValidation type="list" errorStyle="warning" allowBlank="1" showInputMessage="1" showErrorMessage="1" sqref="H25" xr:uid="{A430C745-A1E3-40B9-9C3C-534B51EA3C94}">
      <formula1>hier_BR_3</formula1>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3496-4B6B-4203-962A-FC199A2E29FD}">
  <sheetPr codeName="Blad175"/>
  <dimension ref="B2:X27"/>
  <sheetViews>
    <sheetView showGridLines="0" workbookViewId="0"/>
  </sheetViews>
  <sheetFormatPr defaultRowHeight="15"/>
  <cols>
    <col min="2" max="2" width="51.140625" bestFit="1" customWidth="1"/>
    <col min="3" max="9" width="40.7109375" customWidth="1"/>
    <col min="10" max="14" width="15.7109375" customWidth="1"/>
  </cols>
  <sheetData>
    <row r="2" spans="2:24" ht="23.25">
      <c r="B2" s="95" t="s">
        <v>768</v>
      </c>
      <c r="C2" s="96"/>
      <c r="D2" s="96"/>
      <c r="E2" s="96"/>
      <c r="F2" s="96"/>
      <c r="G2" s="96"/>
      <c r="H2" s="96"/>
      <c r="I2" s="96"/>
      <c r="J2" s="96"/>
      <c r="K2" s="96"/>
      <c r="L2" s="96"/>
      <c r="M2" s="96"/>
      <c r="N2" s="96"/>
      <c r="O2" s="96"/>
    </row>
    <row r="5" spans="2:24" ht="18.75">
      <c r="B5" s="97" t="s">
        <v>5820</v>
      </c>
      <c r="C5" s="96"/>
      <c r="D5" s="96"/>
      <c r="E5" s="96"/>
      <c r="F5" s="96"/>
      <c r="G5" s="96"/>
      <c r="H5" s="96"/>
      <c r="I5" s="96"/>
      <c r="J5" s="96"/>
      <c r="K5" s="96"/>
      <c r="L5" s="96"/>
    </row>
    <row r="9" spans="2:24">
      <c r="B9" s="98" t="s">
        <v>3245</v>
      </c>
      <c r="C9" s="98" t="s">
        <v>5753</v>
      </c>
      <c r="D9" s="101" t="s">
        <v>2877</v>
      </c>
      <c r="E9" s="102"/>
      <c r="F9" s="102"/>
      <c r="G9" s="102"/>
      <c r="H9" s="102"/>
      <c r="I9" s="102"/>
      <c r="J9" s="102"/>
      <c r="K9" s="102"/>
      <c r="L9" s="102"/>
      <c r="M9" s="102"/>
      <c r="N9" s="103"/>
    </row>
    <row r="10" spans="2:24">
      <c r="B10" s="99"/>
      <c r="C10" s="99"/>
      <c r="D10" s="104"/>
      <c r="E10" s="105"/>
      <c r="F10" s="105"/>
      <c r="G10" s="105"/>
      <c r="H10" s="105"/>
      <c r="I10" s="105"/>
      <c r="J10" s="105"/>
      <c r="K10" s="105"/>
      <c r="L10" s="105"/>
      <c r="M10" s="105"/>
      <c r="N10" s="106"/>
    </row>
    <row r="11" spans="2:24" ht="45">
      <c r="B11" s="100"/>
      <c r="C11" s="100"/>
      <c r="D11" s="55" t="s">
        <v>5821</v>
      </c>
      <c r="E11" s="55" t="s">
        <v>5809</v>
      </c>
      <c r="F11" s="55" t="s">
        <v>5810</v>
      </c>
      <c r="G11" s="55" t="s">
        <v>5811</v>
      </c>
      <c r="H11" s="55" t="s">
        <v>5812</v>
      </c>
      <c r="I11" s="55" t="s">
        <v>5813</v>
      </c>
      <c r="J11" s="55" t="s">
        <v>5814</v>
      </c>
      <c r="K11" s="55" t="s">
        <v>5815</v>
      </c>
      <c r="L11" s="55" t="s">
        <v>5816</v>
      </c>
      <c r="M11" s="55" t="s">
        <v>5817</v>
      </c>
      <c r="N11" s="55" t="s">
        <v>5818</v>
      </c>
    </row>
    <row r="12" spans="2:24">
      <c r="B12" s="42" t="s">
        <v>3219</v>
      </c>
      <c r="C12" s="42" t="s">
        <v>3223</v>
      </c>
      <c r="D12" s="42" t="s">
        <v>2879</v>
      </c>
      <c r="E12" s="42" t="s">
        <v>3231</v>
      </c>
      <c r="F12" s="42" t="s">
        <v>3233</v>
      </c>
      <c r="G12" s="42" t="s">
        <v>3234</v>
      </c>
      <c r="H12" s="42" t="s">
        <v>3236</v>
      </c>
      <c r="I12" s="42" t="s">
        <v>3239</v>
      </c>
      <c r="J12" s="42" t="s">
        <v>3241</v>
      </c>
      <c r="K12" s="42" t="s">
        <v>3243</v>
      </c>
      <c r="L12" s="42" t="s">
        <v>3375</v>
      </c>
      <c r="M12" s="42" t="s">
        <v>3475</v>
      </c>
      <c r="N12" s="42" t="s">
        <v>3477</v>
      </c>
      <c r="W12" s="13" t="str">
        <f>Show!$B$171&amp;"S.31.01.04.01 Rows {"&amp;COLUMN($B$1)&amp;"}"&amp;"@ForceFilingCode:true"</f>
        <v>!S.31.01.04.01 Rows {2}@ForceFilingCode:true</v>
      </c>
      <c r="X12" s="13" t="str">
        <f>Show!$B$171&amp;"S.31.01.04.01 Columns {"&amp;COLUMN($B$1)&amp;"}"</f>
        <v>!S.31.01.04.01 Columns {2}</v>
      </c>
    </row>
    <row r="13" spans="2:24">
      <c r="B13" s="50"/>
      <c r="C13" s="50"/>
      <c r="D13" s="51"/>
      <c r="E13" s="60"/>
      <c r="F13" s="60"/>
      <c r="G13" s="60"/>
      <c r="H13" s="60"/>
      <c r="I13" s="60"/>
      <c r="J13" s="60"/>
      <c r="K13" s="60"/>
      <c r="L13" s="60"/>
      <c r="M13" s="60"/>
      <c r="N13" s="60"/>
    </row>
    <row r="15" spans="2:24">
      <c r="W15" s="13" t="str">
        <f>Show!$B$171&amp;Show!$B$171&amp;"S.31.01.04.01 Rows {"&amp;COLUMN($B$1)&amp;"}"</f>
        <v>!!S.31.01.04.01 Rows {2}</v>
      </c>
      <c r="X15" s="13" t="str">
        <f>Show!$B$171&amp;Show!$B$171&amp;"S.31.01.04.01 Columns {"&amp;COLUMN($N$1)&amp;"}"</f>
        <v>!!S.31.01.04.01 Columns {14}</v>
      </c>
    </row>
    <row r="17" spans="2:24" ht="18.75">
      <c r="B17" s="97" t="s">
        <v>5822</v>
      </c>
      <c r="C17" s="96"/>
      <c r="D17" s="96"/>
      <c r="E17" s="96"/>
      <c r="F17" s="96"/>
      <c r="G17" s="96"/>
      <c r="H17" s="96"/>
      <c r="I17" s="96"/>
      <c r="J17" s="96"/>
      <c r="K17" s="96"/>
      <c r="L17" s="96"/>
    </row>
    <row r="21" spans="2:24">
      <c r="B21" s="98" t="s">
        <v>5753</v>
      </c>
      <c r="C21" s="101" t="s">
        <v>2877</v>
      </c>
      <c r="D21" s="102"/>
      <c r="E21" s="102"/>
      <c r="F21" s="102"/>
      <c r="G21" s="102"/>
      <c r="H21" s="102"/>
      <c r="I21" s="103"/>
    </row>
    <row r="22" spans="2:24">
      <c r="B22" s="99"/>
      <c r="C22" s="104"/>
      <c r="D22" s="105"/>
      <c r="E22" s="105"/>
      <c r="F22" s="105"/>
      <c r="G22" s="105"/>
      <c r="H22" s="105"/>
      <c r="I22" s="106"/>
    </row>
    <row r="23" spans="2:24" ht="30">
      <c r="B23" s="100"/>
      <c r="C23" s="55" t="s">
        <v>5762</v>
      </c>
      <c r="D23" s="55" t="s">
        <v>5763</v>
      </c>
      <c r="E23" s="55" t="s">
        <v>5764</v>
      </c>
      <c r="F23" s="55" t="s">
        <v>5765</v>
      </c>
      <c r="G23" s="55" t="s">
        <v>3615</v>
      </c>
      <c r="H23" s="55" t="s">
        <v>3617</v>
      </c>
      <c r="I23" s="55" t="s">
        <v>3619</v>
      </c>
    </row>
    <row r="24" spans="2:24">
      <c r="B24" s="42" t="s">
        <v>3479</v>
      </c>
      <c r="C24" s="42" t="s">
        <v>3596</v>
      </c>
      <c r="D24" s="42" t="s">
        <v>3599</v>
      </c>
      <c r="E24" s="42" t="s">
        <v>3481</v>
      </c>
      <c r="F24" s="42" t="s">
        <v>3508</v>
      </c>
      <c r="G24" s="42" t="s">
        <v>3509</v>
      </c>
      <c r="H24" s="42" t="s">
        <v>3511</v>
      </c>
      <c r="I24" s="42" t="s">
        <v>3513</v>
      </c>
      <c r="W24" s="13" t="str">
        <f>Show!$B$171&amp;"S.31.01.04.02 Rows {"&amp;COLUMN($B$1)&amp;"}"&amp;"@ForceFilingCode:true"</f>
        <v>!S.31.01.04.02 Rows {2}@ForceFilingCode:true</v>
      </c>
      <c r="X24" s="13" t="str">
        <f>Show!$B$171&amp;"S.31.01.04.02 Columns {"&amp;COLUMN($B$1)&amp;"}"</f>
        <v>!S.31.01.04.02 Columns {2}</v>
      </c>
    </row>
    <row r="25" spans="2:24">
      <c r="B25" s="50"/>
      <c r="C25" s="51"/>
      <c r="D25" s="51"/>
      <c r="E25" s="51"/>
      <c r="F25" s="51"/>
      <c r="G25" s="51"/>
      <c r="H25" s="51"/>
      <c r="I25" s="51"/>
    </row>
    <row r="27" spans="2:24">
      <c r="W27" s="13" t="str">
        <f>Show!$B$171&amp;Show!$B$171&amp;"S.31.01.04.02 Rows {"&amp;COLUMN($B$1)&amp;"}"</f>
        <v>!!S.31.01.04.02 Rows {2}</v>
      </c>
      <c r="X27" s="13" t="str">
        <f>Show!$B$171&amp;Show!$B$171&amp;"S.31.01.04.02 Columns {"&amp;COLUMN($I$1)&amp;"}"</f>
        <v>!!S.31.01.04.02 Columns {9}</v>
      </c>
    </row>
  </sheetData>
  <sheetProtection sheet="1" objects="1" scenarios="1"/>
  <mergeCells count="8">
    <mergeCell ref="B21:B23"/>
    <mergeCell ref="C21:I22"/>
    <mergeCell ref="B2:O2"/>
    <mergeCell ref="B5:L5"/>
    <mergeCell ref="B9:B11"/>
    <mergeCell ref="C9:C11"/>
    <mergeCell ref="D9:N10"/>
    <mergeCell ref="B17:L17"/>
  </mergeCells>
  <dataValidations count="4">
    <dataValidation type="list" errorStyle="warning" allowBlank="1" showInputMessage="1" showErrorMessage="1" sqref="D25" xr:uid="{FD4E6D2F-D79D-4483-AB41-B970BD0B05A4}">
      <formula1>hier_SE_14</formula1>
    </dataValidation>
    <dataValidation type="list" errorStyle="warning" allowBlank="1" showInputMessage="1" showErrorMessage="1" sqref="E25" xr:uid="{CF210E5D-B29D-4D45-8100-A619B940DFCC}">
      <formula1>hier_GA_18</formula1>
    </dataValidation>
    <dataValidation type="list" errorStyle="warning" allowBlank="1" showInputMessage="1" showErrorMessage="1" sqref="G25" xr:uid="{7F256316-CBE6-49A9-A35A-15DC0EFFF186}">
      <formula1>hier_SE_28</formula1>
    </dataValidation>
    <dataValidation type="list" errorStyle="warning" allowBlank="1" showInputMessage="1" showErrorMessage="1" sqref="H25" xr:uid="{03793873-2596-48FF-8BB3-39D701BFB0CB}">
      <formula1>hier_BR_3</formula1>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8A5B-7A45-464A-984C-8460B92DC345}">
  <sheetPr codeName="Blad176"/>
  <dimension ref="B2:AE27"/>
  <sheetViews>
    <sheetView showGridLines="0" workbookViewId="0"/>
  </sheetViews>
  <sheetFormatPr defaultRowHeight="15"/>
  <cols>
    <col min="2" max="2" width="38.42578125" bestFit="1" customWidth="1"/>
    <col min="3" max="11" width="40.7109375" customWidth="1"/>
    <col min="12" max="14" width="15.7109375" customWidth="1"/>
    <col min="15" max="15" width="40.7109375" customWidth="1"/>
    <col min="16" max="16" width="15.7109375" customWidth="1"/>
    <col min="17" max="18" width="40.7109375" customWidth="1"/>
  </cols>
  <sheetData>
    <row r="2" spans="2:31" ht="23.25">
      <c r="B2" s="95" t="s">
        <v>771</v>
      </c>
      <c r="C2" s="96"/>
      <c r="D2" s="96"/>
      <c r="E2" s="96"/>
      <c r="F2" s="96"/>
      <c r="G2" s="96"/>
      <c r="H2" s="96"/>
      <c r="I2" s="96"/>
      <c r="J2" s="96"/>
      <c r="K2" s="96"/>
      <c r="L2" s="96"/>
      <c r="M2" s="96"/>
      <c r="N2" s="96"/>
      <c r="O2" s="96"/>
    </row>
    <row r="5" spans="2:31" ht="18.75">
      <c r="B5" s="97" t="s">
        <v>5823</v>
      </c>
      <c r="C5" s="96"/>
      <c r="D5" s="96"/>
      <c r="E5" s="96"/>
      <c r="F5" s="96"/>
      <c r="G5" s="96"/>
      <c r="H5" s="96"/>
      <c r="I5" s="96"/>
      <c r="J5" s="96"/>
      <c r="K5" s="96"/>
      <c r="L5" s="96"/>
    </row>
    <row r="9" spans="2:31">
      <c r="B9" s="98" t="s">
        <v>3374</v>
      </c>
      <c r="C9" s="98" t="s">
        <v>5824</v>
      </c>
      <c r="D9" s="98" t="s">
        <v>5825</v>
      </c>
      <c r="E9" s="98" t="s">
        <v>5826</v>
      </c>
      <c r="F9" s="101" t="s">
        <v>2877</v>
      </c>
      <c r="G9" s="102"/>
      <c r="H9" s="102"/>
      <c r="I9" s="102"/>
      <c r="J9" s="102"/>
      <c r="K9" s="102"/>
      <c r="L9" s="102"/>
      <c r="M9" s="102"/>
      <c r="N9" s="102"/>
      <c r="O9" s="102"/>
      <c r="P9" s="102"/>
      <c r="Q9" s="102"/>
      <c r="R9" s="103"/>
    </row>
    <row r="10" spans="2:31">
      <c r="B10" s="99"/>
      <c r="C10" s="99"/>
      <c r="D10" s="99"/>
      <c r="E10" s="99"/>
      <c r="F10" s="104"/>
      <c r="G10" s="105"/>
      <c r="H10" s="105"/>
      <c r="I10" s="105"/>
      <c r="J10" s="105"/>
      <c r="K10" s="105"/>
      <c r="L10" s="105"/>
      <c r="M10" s="105"/>
      <c r="N10" s="105"/>
      <c r="O10" s="105"/>
      <c r="P10" s="105"/>
      <c r="Q10" s="105"/>
      <c r="R10" s="106"/>
    </row>
    <row r="11" spans="2:31" ht="90">
      <c r="B11" s="100"/>
      <c r="C11" s="100"/>
      <c r="D11" s="100"/>
      <c r="E11" s="100"/>
      <c r="F11" s="55" t="s">
        <v>5827</v>
      </c>
      <c r="G11" s="55" t="s">
        <v>5828</v>
      </c>
      <c r="H11" s="55" t="s">
        <v>5829</v>
      </c>
      <c r="I11" s="55" t="s">
        <v>5830</v>
      </c>
      <c r="J11" s="55" t="s">
        <v>5831</v>
      </c>
      <c r="K11" s="55" t="s">
        <v>5832</v>
      </c>
      <c r="L11" s="55" t="s">
        <v>5833</v>
      </c>
      <c r="M11" s="55" t="s">
        <v>5834</v>
      </c>
      <c r="N11" s="55" t="s">
        <v>5835</v>
      </c>
      <c r="O11" s="55" t="s">
        <v>5836</v>
      </c>
      <c r="P11" s="55" t="s">
        <v>5837</v>
      </c>
      <c r="Q11" s="55" t="s">
        <v>5838</v>
      </c>
      <c r="R11" s="55" t="s">
        <v>5839</v>
      </c>
    </row>
    <row r="12" spans="2:31">
      <c r="B12" s="42" t="s">
        <v>3581</v>
      </c>
      <c r="C12" s="42" t="s">
        <v>3225</v>
      </c>
      <c r="D12" s="42" t="s">
        <v>3223</v>
      </c>
      <c r="E12" s="42" t="s">
        <v>3231</v>
      </c>
      <c r="F12" s="42" t="s">
        <v>3233</v>
      </c>
      <c r="G12" s="42" t="s">
        <v>3234</v>
      </c>
      <c r="H12" s="42" t="s">
        <v>3236</v>
      </c>
      <c r="I12" s="42" t="s">
        <v>3239</v>
      </c>
      <c r="J12" s="42" t="s">
        <v>3241</v>
      </c>
      <c r="K12" s="42" t="s">
        <v>3243</v>
      </c>
      <c r="L12" s="42" t="s">
        <v>3375</v>
      </c>
      <c r="M12" s="42" t="s">
        <v>3475</v>
      </c>
      <c r="N12" s="42" t="s">
        <v>3477</v>
      </c>
      <c r="O12" s="42" t="s">
        <v>3479</v>
      </c>
      <c r="P12" s="42" t="s">
        <v>3594</v>
      </c>
      <c r="Q12" s="42" t="s">
        <v>3596</v>
      </c>
      <c r="R12" s="42" t="s">
        <v>3599</v>
      </c>
      <c r="AD12" s="13" t="str">
        <f>Show!$B$172&amp;"S.31.02.01.01 Rows {"&amp;COLUMN($B$1)&amp;"}"&amp;"@ForceFilingCode:true"</f>
        <v>!S.31.02.01.01 Rows {2}@ForceFilingCode:true</v>
      </c>
      <c r="AE12" s="13" t="str">
        <f>Show!$B$172&amp;"S.31.02.01.01 Columns {"&amp;COLUMN($B$1)&amp;"}"</f>
        <v>!S.31.02.01.01 Columns {2}</v>
      </c>
    </row>
    <row r="13" spans="2:31">
      <c r="B13" s="50"/>
      <c r="C13" s="50"/>
      <c r="D13" s="50"/>
      <c r="E13" s="51"/>
      <c r="F13" s="51"/>
      <c r="G13" s="51"/>
      <c r="H13" s="51"/>
      <c r="I13" s="51"/>
      <c r="J13" s="51"/>
      <c r="K13" s="60"/>
      <c r="L13" s="60"/>
      <c r="M13" s="60"/>
      <c r="N13" s="60"/>
      <c r="O13" s="51"/>
      <c r="P13" s="60"/>
      <c r="Q13" s="51"/>
      <c r="R13" s="51"/>
    </row>
    <row r="15" spans="2:31">
      <c r="AD15" s="13" t="str">
        <f>Show!$B$172&amp;Show!$B$172&amp;"S.31.02.01.01 Rows {"&amp;COLUMN($B$1)&amp;"}"</f>
        <v>!!S.31.02.01.01 Rows {2}</v>
      </c>
      <c r="AE15" s="13" t="str">
        <f>Show!$B$172&amp;Show!$B$172&amp;"S.31.02.01.01 Columns {"&amp;COLUMN($R$1)&amp;"}"</f>
        <v>!!S.31.02.01.01 Columns {18}</v>
      </c>
    </row>
    <row r="17" spans="2:31" ht="18.75">
      <c r="B17" s="97" t="s">
        <v>5840</v>
      </c>
      <c r="C17" s="96"/>
      <c r="D17" s="96"/>
      <c r="E17" s="96"/>
      <c r="F17" s="96"/>
      <c r="G17" s="96"/>
      <c r="H17" s="96"/>
      <c r="I17" s="96"/>
      <c r="J17" s="96"/>
      <c r="K17" s="96"/>
      <c r="L17" s="96"/>
    </row>
    <row r="21" spans="2:31">
      <c r="B21" s="98" t="s">
        <v>5824</v>
      </c>
      <c r="C21" s="101" t="s">
        <v>2877</v>
      </c>
      <c r="D21" s="102"/>
      <c r="E21" s="102"/>
      <c r="F21" s="102"/>
      <c r="G21" s="102"/>
      <c r="H21" s="102"/>
      <c r="I21" s="102"/>
      <c r="J21" s="102"/>
      <c r="K21" s="103"/>
    </row>
    <row r="22" spans="2:31">
      <c r="B22" s="99"/>
      <c r="C22" s="104"/>
      <c r="D22" s="105"/>
      <c r="E22" s="105"/>
      <c r="F22" s="105"/>
      <c r="G22" s="105"/>
      <c r="H22" s="105"/>
      <c r="I22" s="105"/>
      <c r="J22" s="105"/>
      <c r="K22" s="106"/>
    </row>
    <row r="23" spans="2:31" ht="30">
      <c r="B23" s="100"/>
      <c r="C23" s="55" t="s">
        <v>5841</v>
      </c>
      <c r="D23" s="55" t="s">
        <v>5842</v>
      </c>
      <c r="E23" s="55" t="s">
        <v>5843</v>
      </c>
      <c r="F23" s="55" t="s">
        <v>5844</v>
      </c>
      <c r="G23" s="55" t="s">
        <v>5845</v>
      </c>
      <c r="H23" s="55" t="s">
        <v>5765</v>
      </c>
      <c r="I23" s="55" t="s">
        <v>3615</v>
      </c>
      <c r="J23" s="55" t="s">
        <v>3617</v>
      </c>
      <c r="K23" s="55" t="s">
        <v>3619</v>
      </c>
    </row>
    <row r="24" spans="2:31">
      <c r="B24" s="42" t="s">
        <v>3481</v>
      </c>
      <c r="C24" s="42" t="s">
        <v>3509</v>
      </c>
      <c r="D24" s="42" t="s">
        <v>3511</v>
      </c>
      <c r="E24" s="42" t="s">
        <v>3513</v>
      </c>
      <c r="F24" s="42" t="s">
        <v>3514</v>
      </c>
      <c r="G24" s="42" t="s">
        <v>3515</v>
      </c>
      <c r="H24" s="42" t="s">
        <v>3517</v>
      </c>
      <c r="I24" s="42" t="s">
        <v>3518</v>
      </c>
      <c r="J24" s="42" t="s">
        <v>3608</v>
      </c>
      <c r="K24" s="42" t="s">
        <v>3519</v>
      </c>
      <c r="AD24" s="13" t="str">
        <f>Show!$B$172&amp;"S.31.02.01.02 Rows {"&amp;COLUMN($B$1)&amp;"}"&amp;"@ForceFilingCode:true"</f>
        <v>!S.31.02.01.02 Rows {2}@ForceFilingCode:true</v>
      </c>
      <c r="AE24" s="13" t="str">
        <f>Show!$B$172&amp;"S.31.02.01.02 Columns {"&amp;COLUMN($B$1)&amp;"}"</f>
        <v>!S.31.02.01.02 Columns {2}</v>
      </c>
    </row>
    <row r="25" spans="2:31">
      <c r="B25" s="50"/>
      <c r="C25" s="51"/>
      <c r="D25" s="51"/>
      <c r="E25" s="51"/>
      <c r="F25" s="51"/>
      <c r="G25" s="51"/>
      <c r="H25" s="51"/>
      <c r="I25" s="51"/>
      <c r="J25" s="51"/>
      <c r="K25" s="51"/>
    </row>
    <row r="27" spans="2:31">
      <c r="AD27" s="13" t="str">
        <f>Show!$B$172&amp;Show!$B$172&amp;"S.31.02.01.02 Rows {"&amp;COLUMN($B$1)&amp;"}"</f>
        <v>!!S.31.02.01.02 Rows {2}</v>
      </c>
      <c r="AE27" s="13" t="str">
        <f>Show!$B$172&amp;Show!$B$172&amp;"S.31.02.01.02 Columns {"&amp;COLUMN($K$1)&amp;"}"</f>
        <v>!!S.31.02.01.02 Columns {11}</v>
      </c>
    </row>
  </sheetData>
  <sheetProtection sheet="1" objects="1" scenarios="1"/>
  <mergeCells count="10">
    <mergeCell ref="B17:L17"/>
    <mergeCell ref="B21:B23"/>
    <mergeCell ref="C21:K22"/>
    <mergeCell ref="B2:O2"/>
    <mergeCell ref="B5:L5"/>
    <mergeCell ref="B9:B11"/>
    <mergeCell ref="C9:C11"/>
    <mergeCell ref="D9:D11"/>
    <mergeCell ref="E9:E11"/>
    <mergeCell ref="F9:R10"/>
  </mergeCells>
  <dataValidations count="13">
    <dataValidation type="list" errorStyle="warning" allowBlank="1" showInputMessage="1" showErrorMessage="1" sqref="E13" xr:uid="{64DDD4CE-DC66-436A-B99A-11BC08DF9E5F}">
      <formula1>hier_LB_49</formula1>
    </dataValidation>
    <dataValidation type="list" errorStyle="warning" allowBlank="1" showInputMessage="1" showErrorMessage="1" sqref="F13" xr:uid="{ED5E42B9-0DC5-4206-BB37-F6D31892758D}">
      <formula1>hier_LT_3</formula1>
    </dataValidation>
    <dataValidation type="list" errorStyle="warning" allowBlank="1" showInputMessage="1" showErrorMessage="1" sqref="H13" xr:uid="{E2972C55-2DD0-4D85-BC70-FAAA63A9666B}">
      <formula1>hier_LT_4</formula1>
    </dataValidation>
    <dataValidation type="list" errorStyle="warning" allowBlank="1" showInputMessage="1" showErrorMessage="1" sqref="I13" xr:uid="{903995A8-506C-45E5-A361-EDFA6C2B5352}">
      <formula1>hier_RT_13</formula1>
    </dataValidation>
    <dataValidation type="list" errorStyle="warning" allowBlank="1" showInputMessage="1" showErrorMessage="1" sqref="J13" xr:uid="{C5FEBA4B-61E1-44A7-BB65-22A26CAFF879}">
      <formula1>hier_RT_14</formula1>
    </dataValidation>
    <dataValidation type="list" errorStyle="warning" allowBlank="1" showInputMessage="1" showErrorMessage="1" sqref="O13" xr:uid="{607352BC-D028-46E2-9278-0097C684F5E2}">
      <formula1>hier_SE_16</formula1>
    </dataValidation>
    <dataValidation type="list" errorStyle="warning" allowBlank="1" showInputMessage="1" showErrorMessage="1" sqref="Q13" xr:uid="{39E9ABB6-2AC3-4A2B-AD66-6A67642ABB7F}">
      <formula1>hier_TB_12</formula1>
    </dataValidation>
    <dataValidation type="list" errorStyle="warning" allowBlank="1" showInputMessage="1" showErrorMessage="1" sqref="R13" xr:uid="{F3506B85-96A1-49A6-BD74-0A5AD30DE2AA}">
      <formula1>hier_TB_13</formula1>
    </dataValidation>
    <dataValidation type="list" errorStyle="warning" allowBlank="1" showInputMessage="1" showErrorMessage="1" sqref="C25" xr:uid="{58B96C81-C917-4CAB-A7C0-3C575D7CE956}">
      <formula1>hier_SE_17</formula1>
    </dataValidation>
    <dataValidation type="list" errorStyle="warning" allowBlank="1" showInputMessage="1" showErrorMessage="1" sqref="F25" xr:uid="{06CE4467-786A-443F-B46F-E138507B86C7}">
      <formula1>hier_GA_5</formula1>
    </dataValidation>
    <dataValidation type="list" errorStyle="warning" allowBlank="1" showInputMessage="1" showErrorMessage="1" sqref="G25" xr:uid="{ABCA00D8-520A-4FCF-82C1-27FCCD93A19E}">
      <formula1>hier_TB_7</formula1>
    </dataValidation>
    <dataValidation type="list" errorStyle="warning" allowBlank="1" showInputMessage="1" showErrorMessage="1" sqref="I25" xr:uid="{B516838E-9FE5-42F8-9047-00CD1A8A6519}">
      <formula1>hier_SE_27</formula1>
    </dataValidation>
    <dataValidation type="list" errorStyle="warning" allowBlank="1" showInputMessage="1" showErrorMessage="1" sqref="J25" xr:uid="{6DE6D9C0-1D61-4F4E-9815-BE06A9CAFC77}">
      <formula1>hier_BR_3</formula1>
    </dataValidation>
  </dataValidation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F8BCA-C0A0-48CC-AB18-4BFBA8D27BBF}">
  <sheetPr codeName="Blad177"/>
  <dimension ref="B2:AH27"/>
  <sheetViews>
    <sheetView showGridLines="0" workbookViewId="0"/>
  </sheetViews>
  <sheetFormatPr defaultRowHeight="15"/>
  <cols>
    <col min="2" max="2" width="38.42578125" bestFit="1" customWidth="1"/>
    <col min="3" max="12" width="40.7109375" customWidth="1"/>
    <col min="13" max="16" width="15.7109375" customWidth="1"/>
    <col min="17" max="17" width="40.7109375" customWidth="1"/>
    <col min="18" max="18" width="15.7109375" customWidth="1"/>
    <col min="19" max="20" width="40.7109375" customWidth="1"/>
  </cols>
  <sheetData>
    <row r="2" spans="2:34" ht="23.25">
      <c r="B2" s="95" t="s">
        <v>771</v>
      </c>
      <c r="C2" s="96"/>
      <c r="D2" s="96"/>
      <c r="E2" s="96"/>
      <c r="F2" s="96"/>
      <c r="G2" s="96"/>
      <c r="H2" s="96"/>
      <c r="I2" s="96"/>
      <c r="J2" s="96"/>
      <c r="K2" s="96"/>
      <c r="L2" s="96"/>
      <c r="M2" s="96"/>
      <c r="N2" s="96"/>
      <c r="O2" s="96"/>
    </row>
    <row r="5" spans="2:34" ht="18.75">
      <c r="B5" s="97" t="s">
        <v>5846</v>
      </c>
      <c r="C5" s="96"/>
      <c r="D5" s="96"/>
      <c r="E5" s="96"/>
      <c r="F5" s="96"/>
      <c r="G5" s="96"/>
      <c r="H5" s="96"/>
      <c r="I5" s="96"/>
      <c r="J5" s="96"/>
      <c r="K5" s="96"/>
      <c r="L5" s="96"/>
    </row>
    <row r="9" spans="2:34">
      <c r="B9" s="98" t="s">
        <v>3374</v>
      </c>
      <c r="C9" s="98" t="s">
        <v>3245</v>
      </c>
      <c r="D9" s="98" t="s">
        <v>5824</v>
      </c>
      <c r="E9" s="98" t="s">
        <v>5825</v>
      </c>
      <c r="F9" s="98" t="s">
        <v>5826</v>
      </c>
      <c r="G9" s="101" t="s">
        <v>2877</v>
      </c>
      <c r="H9" s="102"/>
      <c r="I9" s="102"/>
      <c r="J9" s="102"/>
      <c r="K9" s="102"/>
      <c r="L9" s="102"/>
      <c r="M9" s="102"/>
      <c r="N9" s="102"/>
      <c r="O9" s="102"/>
      <c r="P9" s="102"/>
      <c r="Q9" s="102"/>
      <c r="R9" s="102"/>
      <c r="S9" s="102"/>
      <c r="T9" s="103"/>
    </row>
    <row r="10" spans="2:34">
      <c r="B10" s="99"/>
      <c r="C10" s="99"/>
      <c r="D10" s="99"/>
      <c r="E10" s="99"/>
      <c r="F10" s="99"/>
      <c r="G10" s="104"/>
      <c r="H10" s="105"/>
      <c r="I10" s="105"/>
      <c r="J10" s="105"/>
      <c r="K10" s="105"/>
      <c r="L10" s="105"/>
      <c r="M10" s="105"/>
      <c r="N10" s="105"/>
      <c r="O10" s="105"/>
      <c r="P10" s="105"/>
      <c r="Q10" s="105"/>
      <c r="R10" s="105"/>
      <c r="S10" s="105"/>
      <c r="T10" s="106"/>
    </row>
    <row r="11" spans="2:34" ht="90">
      <c r="B11" s="100"/>
      <c r="C11" s="100"/>
      <c r="D11" s="100"/>
      <c r="E11" s="100"/>
      <c r="F11" s="100"/>
      <c r="G11" s="55" t="s">
        <v>5821</v>
      </c>
      <c r="H11" s="55" t="s">
        <v>5827</v>
      </c>
      <c r="I11" s="55" t="s">
        <v>5828</v>
      </c>
      <c r="J11" s="55" t="s">
        <v>5829</v>
      </c>
      <c r="K11" s="55" t="s">
        <v>5830</v>
      </c>
      <c r="L11" s="55" t="s">
        <v>5831</v>
      </c>
      <c r="M11" s="55" t="s">
        <v>5832</v>
      </c>
      <c r="N11" s="55" t="s">
        <v>5833</v>
      </c>
      <c r="O11" s="55" t="s">
        <v>5834</v>
      </c>
      <c r="P11" s="55" t="s">
        <v>5835</v>
      </c>
      <c r="Q11" s="55" t="s">
        <v>5836</v>
      </c>
      <c r="R11" s="55" t="s">
        <v>5837</v>
      </c>
      <c r="S11" s="55" t="s">
        <v>5838</v>
      </c>
      <c r="T11" s="55" t="s">
        <v>5839</v>
      </c>
    </row>
    <row r="12" spans="2:34">
      <c r="B12" s="42" t="s">
        <v>3581</v>
      </c>
      <c r="C12" s="42" t="s">
        <v>3219</v>
      </c>
      <c r="D12" s="42" t="s">
        <v>3225</v>
      </c>
      <c r="E12" s="42" t="s">
        <v>3223</v>
      </c>
      <c r="F12" s="42" t="s">
        <v>3231</v>
      </c>
      <c r="G12" s="42" t="s">
        <v>2879</v>
      </c>
      <c r="H12" s="42" t="s">
        <v>3233</v>
      </c>
      <c r="I12" s="42" t="s">
        <v>3234</v>
      </c>
      <c r="J12" s="42" t="s">
        <v>3236</v>
      </c>
      <c r="K12" s="42" t="s">
        <v>3239</v>
      </c>
      <c r="L12" s="42" t="s">
        <v>3241</v>
      </c>
      <c r="M12" s="42" t="s">
        <v>3243</v>
      </c>
      <c r="N12" s="42" t="s">
        <v>3375</v>
      </c>
      <c r="O12" s="42" t="s">
        <v>3475</v>
      </c>
      <c r="P12" s="42" t="s">
        <v>3477</v>
      </c>
      <c r="Q12" s="42" t="s">
        <v>3479</v>
      </c>
      <c r="R12" s="42" t="s">
        <v>3594</v>
      </c>
      <c r="S12" s="42" t="s">
        <v>3596</v>
      </c>
      <c r="T12" s="42" t="s">
        <v>3599</v>
      </c>
      <c r="AG12" s="13" t="str">
        <f>Show!$B$173&amp;"S.31.02.04.01 Rows {"&amp;COLUMN($B$1)&amp;"}"&amp;"@ForceFilingCode:true"</f>
        <v>!S.31.02.04.01 Rows {2}@ForceFilingCode:true</v>
      </c>
      <c r="AH12" s="13" t="str">
        <f>Show!$B$173&amp;"S.31.02.04.01 Columns {"&amp;COLUMN($B$1)&amp;"}"</f>
        <v>!S.31.02.04.01 Columns {2}</v>
      </c>
    </row>
    <row r="13" spans="2:34">
      <c r="B13" s="50"/>
      <c r="C13" s="50"/>
      <c r="D13" s="50"/>
      <c r="E13" s="50"/>
      <c r="F13" s="51"/>
      <c r="G13" s="51"/>
      <c r="H13" s="51"/>
      <c r="I13" s="51"/>
      <c r="J13" s="51"/>
      <c r="K13" s="51"/>
      <c r="L13" s="51"/>
      <c r="M13" s="60"/>
      <c r="N13" s="60"/>
      <c r="O13" s="60"/>
      <c r="P13" s="60"/>
      <c r="Q13" s="51"/>
      <c r="R13" s="60"/>
      <c r="S13" s="51"/>
      <c r="T13" s="51"/>
    </row>
    <row r="15" spans="2:34">
      <c r="AG15" s="13" t="str">
        <f>Show!$B$173&amp;Show!$B$173&amp;"S.31.02.04.01 Rows {"&amp;COLUMN($B$1)&amp;"}"</f>
        <v>!!S.31.02.04.01 Rows {2}</v>
      </c>
      <c r="AH15" s="13" t="str">
        <f>Show!$B$173&amp;Show!$B$173&amp;"S.31.02.04.01 Columns {"&amp;COLUMN($T$1)&amp;"}"</f>
        <v>!!S.31.02.04.01 Columns {20}</v>
      </c>
    </row>
    <row r="17" spans="2:34" ht="18.75">
      <c r="B17" s="97" t="s">
        <v>5847</v>
      </c>
      <c r="C17" s="96"/>
      <c r="D17" s="96"/>
      <c r="E17" s="96"/>
      <c r="F17" s="96"/>
      <c r="G17" s="96"/>
      <c r="H17" s="96"/>
      <c r="I17" s="96"/>
      <c r="J17" s="96"/>
      <c r="K17" s="96"/>
      <c r="L17" s="96"/>
    </row>
    <row r="21" spans="2:34">
      <c r="B21" s="98" t="s">
        <v>5824</v>
      </c>
      <c r="C21" s="101" t="s">
        <v>2877</v>
      </c>
      <c r="D21" s="102"/>
      <c r="E21" s="102"/>
      <c r="F21" s="102"/>
      <c r="G21" s="102"/>
      <c r="H21" s="102"/>
      <c r="I21" s="102"/>
      <c r="J21" s="102"/>
      <c r="K21" s="103"/>
    </row>
    <row r="22" spans="2:34">
      <c r="B22" s="99"/>
      <c r="C22" s="104"/>
      <c r="D22" s="105"/>
      <c r="E22" s="105"/>
      <c r="F22" s="105"/>
      <c r="G22" s="105"/>
      <c r="H22" s="105"/>
      <c r="I22" s="105"/>
      <c r="J22" s="105"/>
      <c r="K22" s="106"/>
    </row>
    <row r="23" spans="2:34" ht="30">
      <c r="B23" s="100"/>
      <c r="C23" s="55" t="s">
        <v>5841</v>
      </c>
      <c r="D23" s="55" t="s">
        <v>5842</v>
      </c>
      <c r="E23" s="55" t="s">
        <v>5843</v>
      </c>
      <c r="F23" s="55" t="s">
        <v>5844</v>
      </c>
      <c r="G23" s="55" t="s">
        <v>5845</v>
      </c>
      <c r="H23" s="55" t="s">
        <v>5765</v>
      </c>
      <c r="I23" s="55" t="s">
        <v>3615</v>
      </c>
      <c r="J23" s="55" t="s">
        <v>3617</v>
      </c>
      <c r="K23" s="55" t="s">
        <v>3619</v>
      </c>
    </row>
    <row r="24" spans="2:34">
      <c r="B24" s="42" t="s">
        <v>3481</v>
      </c>
      <c r="C24" s="42" t="s">
        <v>3509</v>
      </c>
      <c r="D24" s="42" t="s">
        <v>3511</v>
      </c>
      <c r="E24" s="42" t="s">
        <v>3513</v>
      </c>
      <c r="F24" s="42" t="s">
        <v>3514</v>
      </c>
      <c r="G24" s="42" t="s">
        <v>3515</v>
      </c>
      <c r="H24" s="42" t="s">
        <v>3517</v>
      </c>
      <c r="I24" s="42" t="s">
        <v>3518</v>
      </c>
      <c r="J24" s="42" t="s">
        <v>3608</v>
      </c>
      <c r="K24" s="42" t="s">
        <v>3519</v>
      </c>
      <c r="AG24" s="13" t="str">
        <f>Show!$B$173&amp;"S.31.02.04.02 Rows {"&amp;COLUMN($B$1)&amp;"}"&amp;"@ForceFilingCode:true"</f>
        <v>!S.31.02.04.02 Rows {2}@ForceFilingCode:true</v>
      </c>
      <c r="AH24" s="13" t="str">
        <f>Show!$B$173&amp;"S.31.02.04.02 Columns {"&amp;COLUMN($B$1)&amp;"}"</f>
        <v>!S.31.02.04.02 Columns {2}</v>
      </c>
    </row>
    <row r="25" spans="2:34">
      <c r="B25" s="50"/>
      <c r="C25" s="51"/>
      <c r="D25" s="51"/>
      <c r="E25" s="51"/>
      <c r="F25" s="51"/>
      <c r="G25" s="51"/>
      <c r="H25" s="51"/>
      <c r="I25" s="51"/>
      <c r="J25" s="51"/>
      <c r="K25" s="51"/>
    </row>
    <row r="27" spans="2:34">
      <c r="AG27" s="13" t="str">
        <f>Show!$B$173&amp;Show!$B$173&amp;"S.31.02.04.02 Rows {"&amp;COLUMN($B$1)&amp;"}"</f>
        <v>!!S.31.02.04.02 Rows {2}</v>
      </c>
      <c r="AH27" s="13" t="str">
        <f>Show!$B$173&amp;Show!$B$173&amp;"S.31.02.04.02 Columns {"&amp;COLUMN($K$1)&amp;"}"</f>
        <v>!!S.31.02.04.02 Columns {11}</v>
      </c>
    </row>
  </sheetData>
  <sheetProtection sheet="1" objects="1" scenarios="1"/>
  <mergeCells count="11">
    <mergeCell ref="B17:L17"/>
    <mergeCell ref="B21:B23"/>
    <mergeCell ref="C21:K22"/>
    <mergeCell ref="B2:O2"/>
    <mergeCell ref="B5:L5"/>
    <mergeCell ref="B9:B11"/>
    <mergeCell ref="C9:C11"/>
    <mergeCell ref="D9:D11"/>
    <mergeCell ref="E9:E11"/>
    <mergeCell ref="F9:F11"/>
    <mergeCell ref="G9:T10"/>
  </mergeCells>
  <dataValidations count="13">
    <dataValidation type="list" errorStyle="warning" allowBlank="1" showInputMessage="1" showErrorMessage="1" sqref="F13" xr:uid="{4DDDE125-9F7C-4FF9-88B0-BCBAC56D8FFC}">
      <formula1>hier_LB_49</formula1>
    </dataValidation>
    <dataValidation type="list" errorStyle="warning" allowBlank="1" showInputMessage="1" showErrorMessage="1" sqref="H13" xr:uid="{35346DBC-BBBE-48EB-B58B-66F598089948}">
      <formula1>hier_LT_3</formula1>
    </dataValidation>
    <dataValidation type="list" errorStyle="warning" allowBlank="1" showInputMessage="1" showErrorMessage="1" sqref="J13" xr:uid="{6D40034B-F60F-4452-A007-DB6F0A34F6AF}">
      <formula1>hier_LT_4</formula1>
    </dataValidation>
    <dataValidation type="list" errorStyle="warning" allowBlank="1" showInputMessage="1" showErrorMessage="1" sqref="K13" xr:uid="{8A74B703-971B-4C62-8E01-4992B422C0C7}">
      <formula1>hier_RT_13</formula1>
    </dataValidation>
    <dataValidation type="list" errorStyle="warning" allowBlank="1" showInputMessage="1" showErrorMessage="1" sqref="L13" xr:uid="{4C7EB1A5-833F-4CB7-8AB3-260E5A8818E0}">
      <formula1>hier_RT_14</formula1>
    </dataValidation>
    <dataValidation type="list" errorStyle="warning" allowBlank="1" showInputMessage="1" showErrorMessage="1" sqref="Q13" xr:uid="{B2B28E3A-E133-4198-BF1B-F81D6A850362}">
      <formula1>hier_SE_16</formula1>
    </dataValidation>
    <dataValidation type="list" errorStyle="warning" allowBlank="1" showInputMessage="1" showErrorMessage="1" sqref="S13" xr:uid="{7EEDCD28-9074-4810-B71E-E5A3CBE70C00}">
      <formula1>hier_TB_12</formula1>
    </dataValidation>
    <dataValidation type="list" errorStyle="warning" allowBlank="1" showInputMessage="1" showErrorMessage="1" sqref="T13" xr:uid="{BA93C16A-2F86-4B0C-AFDB-53DEB530281C}">
      <formula1>hier_TB_13</formula1>
    </dataValidation>
    <dataValidation type="list" errorStyle="warning" allowBlank="1" showInputMessage="1" showErrorMessage="1" sqref="C25" xr:uid="{AF7F524B-22DA-4DBE-A909-365874F79DF1}">
      <formula1>hier_SE_17</formula1>
    </dataValidation>
    <dataValidation type="list" errorStyle="warning" allowBlank="1" showInputMessage="1" showErrorMessage="1" sqref="F25" xr:uid="{E1A549BE-D948-43CA-AF42-E7815CF80342}">
      <formula1>hier_GA_5</formula1>
    </dataValidation>
    <dataValidation type="list" errorStyle="warning" allowBlank="1" showInputMessage="1" showErrorMessage="1" sqref="G25" xr:uid="{54EC91E0-980B-4891-BEF2-F2D7F128491E}">
      <formula1>hier_TB_7</formula1>
    </dataValidation>
    <dataValidation type="list" errorStyle="warning" allowBlank="1" showInputMessage="1" showErrorMessage="1" sqref="I25" xr:uid="{2A4DBBAF-8DBD-4898-89D4-604D3C6B960C}">
      <formula1>hier_SE_28</formula1>
    </dataValidation>
    <dataValidation type="list" errorStyle="warning" allowBlank="1" showInputMessage="1" showErrorMessage="1" sqref="J25" xr:uid="{7AE5243C-726E-4380-9EBA-FC5F2801AFE0}">
      <formula1>hier_BR_3</formula1>
    </dataValidation>
  </dataValidation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59AC-ACA6-4CA9-ABCB-9961EECBCD3A}">
  <sheetPr codeName="Blad178"/>
  <dimension ref="B2:AN16"/>
  <sheetViews>
    <sheetView showGridLines="0" workbookViewId="0"/>
  </sheetViews>
  <sheetFormatPr defaultRowHeight="15"/>
  <cols>
    <col min="2" max="2" width="51.140625" bestFit="1" customWidth="1"/>
    <col min="3" max="8" width="40.7109375" customWidth="1"/>
    <col min="9" max="16" width="15.7109375" customWidth="1"/>
    <col min="17" max="17" width="40.7109375" customWidth="1"/>
    <col min="18" max="20" width="15.7109375" customWidth="1"/>
    <col min="21" max="22" width="40.7109375" customWidth="1"/>
    <col min="23" max="23" width="15.7109375" customWidth="1"/>
    <col min="24" max="24" width="40.7109375" customWidth="1"/>
    <col min="25" max="25" width="15.7109375" customWidth="1"/>
    <col min="26" max="26" width="40.7109375" customWidth="1"/>
  </cols>
  <sheetData>
    <row r="2" spans="2:40" ht="23.25">
      <c r="B2" s="95" t="s">
        <v>774</v>
      </c>
      <c r="C2" s="96"/>
      <c r="D2" s="96"/>
      <c r="E2" s="96"/>
      <c r="F2" s="96"/>
      <c r="G2" s="96"/>
      <c r="H2" s="96"/>
      <c r="I2" s="96"/>
      <c r="J2" s="96"/>
      <c r="K2" s="96"/>
      <c r="L2" s="96"/>
      <c r="M2" s="96"/>
      <c r="N2" s="96"/>
      <c r="O2" s="96"/>
    </row>
    <row r="5" spans="2:40" ht="18.75">
      <c r="B5" s="97" t="s">
        <v>5848</v>
      </c>
      <c r="C5" s="96"/>
      <c r="D5" s="96"/>
      <c r="E5" s="96"/>
      <c r="F5" s="96"/>
      <c r="G5" s="96"/>
      <c r="H5" s="96"/>
      <c r="I5" s="96"/>
      <c r="J5" s="96"/>
      <c r="K5" s="96"/>
      <c r="L5" s="96"/>
    </row>
    <row r="9" spans="2:40">
      <c r="B9" s="98" t="s">
        <v>3245</v>
      </c>
      <c r="C9" s="101" t="s">
        <v>2877</v>
      </c>
      <c r="D9" s="102"/>
      <c r="E9" s="102"/>
      <c r="F9" s="102"/>
      <c r="G9" s="102"/>
      <c r="H9" s="102"/>
      <c r="I9" s="102"/>
      <c r="J9" s="102"/>
      <c r="K9" s="102"/>
      <c r="L9" s="102"/>
      <c r="M9" s="102"/>
      <c r="N9" s="102"/>
      <c r="O9" s="102"/>
      <c r="P9" s="102"/>
      <c r="Q9" s="102"/>
      <c r="R9" s="102"/>
      <c r="S9" s="102"/>
      <c r="T9" s="102"/>
      <c r="U9" s="102"/>
      <c r="V9" s="102"/>
      <c r="W9" s="102"/>
      <c r="X9" s="102"/>
      <c r="Y9" s="102"/>
      <c r="Z9" s="103"/>
    </row>
    <row r="10" spans="2:40">
      <c r="B10" s="99"/>
      <c r="C10" s="104"/>
      <c r="D10" s="105"/>
      <c r="E10" s="105"/>
      <c r="F10" s="105"/>
      <c r="G10" s="105"/>
      <c r="H10" s="105"/>
      <c r="I10" s="105"/>
      <c r="J10" s="105"/>
      <c r="K10" s="105"/>
      <c r="L10" s="105"/>
      <c r="M10" s="105"/>
      <c r="N10" s="105"/>
      <c r="O10" s="105"/>
      <c r="P10" s="105"/>
      <c r="Q10" s="105"/>
      <c r="R10" s="105"/>
      <c r="S10" s="105"/>
      <c r="T10" s="105"/>
      <c r="U10" s="105"/>
      <c r="V10" s="105"/>
      <c r="W10" s="105"/>
      <c r="X10" s="105"/>
      <c r="Y10" s="105"/>
      <c r="Z10" s="106"/>
    </row>
    <row r="11" spans="2:40">
      <c r="B11" s="99"/>
      <c r="C11" s="98" t="s">
        <v>56</v>
      </c>
      <c r="D11" s="98" t="s">
        <v>5849</v>
      </c>
      <c r="E11" s="98" t="s">
        <v>3178</v>
      </c>
      <c r="F11" s="98" t="s">
        <v>5850</v>
      </c>
      <c r="G11" s="98" t="s">
        <v>5851</v>
      </c>
      <c r="H11" s="98" t="s">
        <v>5852</v>
      </c>
      <c r="I11" s="107" t="s">
        <v>5853</v>
      </c>
      <c r="J11" s="108"/>
      <c r="K11" s="108"/>
      <c r="L11" s="108"/>
      <c r="M11" s="108"/>
      <c r="N11" s="108"/>
      <c r="O11" s="108"/>
      <c r="P11" s="108"/>
      <c r="Q11" s="109"/>
      <c r="R11" s="107" t="s">
        <v>5863</v>
      </c>
      <c r="S11" s="108"/>
      <c r="T11" s="108"/>
      <c r="U11" s="108"/>
      <c r="V11" s="108"/>
      <c r="W11" s="109"/>
      <c r="X11" s="107" t="s">
        <v>5870</v>
      </c>
      <c r="Y11" s="109"/>
      <c r="Z11" s="55" t="s">
        <v>5872</v>
      </c>
    </row>
    <row r="12" spans="2:40" ht="150">
      <c r="B12" s="100"/>
      <c r="C12" s="100"/>
      <c r="D12" s="100"/>
      <c r="E12" s="100"/>
      <c r="F12" s="100"/>
      <c r="G12" s="100"/>
      <c r="H12" s="100"/>
      <c r="I12" s="55" t="s">
        <v>5854</v>
      </c>
      <c r="J12" s="55" t="s">
        <v>5855</v>
      </c>
      <c r="K12" s="55" t="s">
        <v>5856</v>
      </c>
      <c r="L12" s="55" t="s">
        <v>5857</v>
      </c>
      <c r="M12" s="55" t="s">
        <v>5858</v>
      </c>
      <c r="N12" s="55" t="s">
        <v>5859</v>
      </c>
      <c r="O12" s="55" t="s">
        <v>5860</v>
      </c>
      <c r="P12" s="55" t="s">
        <v>5861</v>
      </c>
      <c r="Q12" s="55" t="s">
        <v>5862</v>
      </c>
      <c r="R12" s="55" t="s">
        <v>5864</v>
      </c>
      <c r="S12" s="55" t="s">
        <v>5865</v>
      </c>
      <c r="T12" s="55" t="s">
        <v>5866</v>
      </c>
      <c r="U12" s="55" t="s">
        <v>5867</v>
      </c>
      <c r="V12" s="55" t="s">
        <v>5868</v>
      </c>
      <c r="W12" s="55" t="s">
        <v>5869</v>
      </c>
      <c r="X12" s="55" t="s">
        <v>4653</v>
      </c>
      <c r="Y12" s="55" t="s">
        <v>5871</v>
      </c>
      <c r="Z12" s="55" t="s">
        <v>5873</v>
      </c>
    </row>
    <row r="13" spans="2:40">
      <c r="B13" s="42" t="s">
        <v>3219</v>
      </c>
      <c r="C13" s="42" t="s">
        <v>2879</v>
      </c>
      <c r="D13" s="42" t="s">
        <v>3223</v>
      </c>
      <c r="E13" s="42" t="s">
        <v>3229</v>
      </c>
      <c r="F13" s="42" t="s">
        <v>3231</v>
      </c>
      <c r="G13" s="42" t="s">
        <v>3233</v>
      </c>
      <c r="H13" s="42" t="s">
        <v>3234</v>
      </c>
      <c r="I13" s="42" t="s">
        <v>3236</v>
      </c>
      <c r="J13" s="42" t="s">
        <v>3239</v>
      </c>
      <c r="K13" s="42" t="s">
        <v>3241</v>
      </c>
      <c r="L13" s="42" t="s">
        <v>3243</v>
      </c>
      <c r="M13" s="42" t="s">
        <v>3375</v>
      </c>
      <c r="N13" s="42" t="s">
        <v>3475</v>
      </c>
      <c r="O13" s="42" t="s">
        <v>3477</v>
      </c>
      <c r="P13" s="42" t="s">
        <v>3479</v>
      </c>
      <c r="Q13" s="42" t="s">
        <v>3594</v>
      </c>
      <c r="R13" s="42" t="s">
        <v>3596</v>
      </c>
      <c r="S13" s="42" t="s">
        <v>3599</v>
      </c>
      <c r="T13" s="42" t="s">
        <v>3481</v>
      </c>
      <c r="U13" s="42" t="s">
        <v>3508</v>
      </c>
      <c r="V13" s="42" t="s">
        <v>3509</v>
      </c>
      <c r="W13" s="42" t="s">
        <v>3511</v>
      </c>
      <c r="X13" s="42" t="s">
        <v>3513</v>
      </c>
      <c r="Y13" s="42" t="s">
        <v>3514</v>
      </c>
      <c r="Z13" s="42" t="s">
        <v>3515</v>
      </c>
      <c r="AM13" s="13" t="str">
        <f>Show!$B$174&amp;"S.32.01.04.01 Rows {"&amp;COLUMN($B$1)&amp;"}"&amp;"@ForceFilingCode:true"</f>
        <v>!S.32.01.04.01 Rows {2}@ForceFilingCode:true</v>
      </c>
      <c r="AN13" s="13" t="str">
        <f>Show!$B$174&amp;"S.32.01.04.01 Columns {"&amp;COLUMN($B$1)&amp;"}"</f>
        <v>!S.32.01.04.01 Columns {2}</v>
      </c>
    </row>
    <row r="14" spans="2:40">
      <c r="B14" s="50"/>
      <c r="C14" s="51"/>
      <c r="D14" s="51"/>
      <c r="E14" s="51"/>
      <c r="F14" s="51"/>
      <c r="G14" s="51"/>
      <c r="H14" s="51"/>
      <c r="I14" s="60"/>
      <c r="J14" s="60"/>
      <c r="K14" s="60"/>
      <c r="L14" s="60"/>
      <c r="M14" s="60"/>
      <c r="N14" s="60"/>
      <c r="O14" s="60"/>
      <c r="P14" s="60"/>
      <c r="Q14" s="51"/>
      <c r="R14" s="70"/>
      <c r="S14" s="70"/>
      <c r="T14" s="70"/>
      <c r="U14" s="51"/>
      <c r="V14" s="51"/>
      <c r="W14" s="70"/>
      <c r="X14" s="51"/>
      <c r="Y14" s="54"/>
      <c r="Z14" s="51"/>
    </row>
    <row r="16" spans="2:40">
      <c r="AM16" s="13" t="str">
        <f>Show!$B$174&amp;Show!$B$174&amp;"S.32.01.04.01 Rows {"&amp;COLUMN($B$1)&amp;"}"</f>
        <v>!!S.32.01.04.01 Rows {2}</v>
      </c>
      <c r="AN16" s="13" t="str">
        <f>Show!$B$174&amp;Show!$B$174&amp;"S.32.01.04.01 Columns {"&amp;COLUMN($Z$1)&amp;"}"</f>
        <v>!!S.32.01.04.01 Columns {26}</v>
      </c>
    </row>
  </sheetData>
  <sheetProtection sheet="1" objects="1" scenarios="1"/>
  <mergeCells count="13">
    <mergeCell ref="I11:Q11"/>
    <mergeCell ref="R11:W11"/>
    <mergeCell ref="X11:Y11"/>
    <mergeCell ref="B2:O2"/>
    <mergeCell ref="B5:L5"/>
    <mergeCell ref="B9:B12"/>
    <mergeCell ref="C9:Z10"/>
    <mergeCell ref="C11:C12"/>
    <mergeCell ref="D11:D12"/>
    <mergeCell ref="E11:E12"/>
    <mergeCell ref="F11:F12"/>
    <mergeCell ref="G11:G12"/>
    <mergeCell ref="H11:H12"/>
  </mergeCells>
  <dataValidations count="8">
    <dataValidation type="list" errorStyle="warning" allowBlank="1" showInputMessage="1" showErrorMessage="1" sqref="C14" xr:uid="{4B2EB700-03C2-4421-B7BE-18D6DDEBA986}">
      <formula1>hier_GA_18</formula1>
    </dataValidation>
    <dataValidation type="list" errorStyle="warning" allowBlank="1" showInputMessage="1" showErrorMessage="1" sqref="E14" xr:uid="{E72008E2-1694-4342-8D33-660D99F54D36}">
      <formula1>hier_SE_23</formula1>
    </dataValidation>
    <dataValidation type="list" errorStyle="warning" allowBlank="1" showInputMessage="1" showErrorMessage="1" sqref="G14" xr:uid="{BEBDA1A8-E6E5-440E-A042-B807BD358821}">
      <formula1>hier_SE_8</formula1>
    </dataValidation>
    <dataValidation type="list" errorStyle="warning" allowBlank="1" showInputMessage="1" showErrorMessage="1" sqref="Q14" xr:uid="{E082DB4E-4C66-4B47-A868-F4F156B6AFA9}">
      <formula1>hier_AM_11</formula1>
    </dataValidation>
    <dataValidation type="list" errorStyle="warning" allowBlank="1" showInputMessage="1" showErrorMessage="1" sqref="V14" xr:uid="{CC20ACA8-7907-4E74-9263-47D792B07C78}">
      <formula1>hier_CS_3</formula1>
    </dataValidation>
    <dataValidation type="list" errorStyle="warning" allowBlank="1" showInputMessage="1" showErrorMessage="1" sqref="X14" xr:uid="{8C807F28-3DFD-44A6-A73F-6D6D92AA6CD6}">
      <formula1>hier_CS_20</formula1>
    </dataValidation>
    <dataValidation type="date" operator="greaterThan" allowBlank="1" showInputMessage="1" showErrorMessage="1" errorTitle="Date value" error="This cell can only contain dates" sqref="Y14" xr:uid="{DA355CA5-5968-476B-B5B4-29251BC5D81C}">
      <formula1>1</formula1>
    </dataValidation>
    <dataValidation type="list" errorStyle="warning" allowBlank="1" showInputMessage="1" showErrorMessage="1" sqref="Z14" xr:uid="{BDEAA94F-1700-4A0B-B797-91C930562ADE}">
      <formula1>hier_CS_16</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D3710-32D4-40AB-80E3-2EADE11FE3FA}">
  <sheetPr codeName="Blad18"/>
  <dimension ref="B2:O36"/>
  <sheetViews>
    <sheetView showGridLines="0" workbookViewId="0"/>
  </sheetViews>
  <sheetFormatPr defaultRowHeight="15"/>
  <cols>
    <col min="2" max="2" width="85.7109375"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3109</v>
      </c>
      <c r="C5" s="96"/>
      <c r="D5" s="96"/>
      <c r="E5" s="96"/>
      <c r="F5" s="96"/>
      <c r="G5" s="96"/>
      <c r="H5" s="96"/>
      <c r="I5" s="96"/>
      <c r="J5" s="96"/>
      <c r="K5" s="96"/>
      <c r="L5" s="96"/>
    </row>
    <row r="7" spans="2:15">
      <c r="B7" t="s">
        <v>3110</v>
      </c>
      <c r="I7" s="13" t="str">
        <f>IF(COUNTIF(D:D,"Reported")&gt;0,Show!$B$14,"!")&amp;"SR.01.01.01.01 Table label {"&amp;COLUMN($C$1)&amp;"}"</f>
        <v>!SR.01.01.01.01 Table label {3}</v>
      </c>
      <c r="J7" s="13" t="str">
        <f>IF(COUNTIF(D:D,"Reported")&gt;0,Show!$B$14,"!")&amp;"SR.01.01.01.01 Table value {"&amp;COLUMN($D$1)&amp;"}"</f>
        <v>!SR.01.01.01.01 Table value {4}</v>
      </c>
    </row>
    <row r="8" spans="2:15">
      <c r="B8" t="s">
        <v>3111</v>
      </c>
    </row>
    <row r="9" spans="2:15">
      <c r="B9" s="40" t="s">
        <v>3112</v>
      </c>
      <c r="C9" s="53" t="s">
        <v>3113</v>
      </c>
      <c r="D9" s="51"/>
    </row>
    <row r="10" spans="2:15">
      <c r="B10" s="40" t="s">
        <v>3114</v>
      </c>
      <c r="C10" s="53" t="s">
        <v>3115</v>
      </c>
      <c r="D10" s="50"/>
    </row>
    <row r="11" spans="2:15">
      <c r="I11" s="13" t="str">
        <f>IF(COUNTIF(D:D,"Reported")&gt;0,Show!$B$14&amp;Show!$B$14,"!!")&amp;"SR.01.01.01.01 Table label {"&amp;COLUMN($C$1)&amp;"}"</f>
        <v>!!SR.01.01.01.01 Table label {3}</v>
      </c>
      <c r="J11" s="13" t="str">
        <f>IF(COUNTIF(D:D,"Reported")&gt;0,Show!$B$14&amp;Show!$B$14,"!!")&amp;"SR.01.01.01.01 Table value {"&amp;COLUMN($D$1)&amp;"}"</f>
        <v>!!SR.01.01.01.01 Table value {4}</v>
      </c>
    </row>
    <row r="13" spans="2:15">
      <c r="D13" s="98" t="s">
        <v>2877</v>
      </c>
    </row>
    <row r="14" spans="2:15">
      <c r="D14" s="99"/>
    </row>
    <row r="15" spans="2:15">
      <c r="D15" s="99"/>
    </row>
    <row r="16" spans="2:15">
      <c r="D16" s="100"/>
    </row>
    <row r="17" spans="2:10">
      <c r="D17" s="45" t="s">
        <v>2879</v>
      </c>
      <c r="I17" s="13" t="str">
        <f>IF(COUNTIF(D:D,"Reported")&gt;0,Show!$B$14,"!")&amp;"SR.01.01.01.01 Rows {"&amp;COLUMN($C$1)&amp;"}"&amp;"@ForceFilingCode:true"</f>
        <v>!SR.01.01.01.01 Rows {3}@ForceFilingCode:true</v>
      </c>
      <c r="J17" s="13" t="str">
        <f>IF(COUNTIF(D:D,"Reported")&gt;0,Show!$B$14,"!")&amp;"SR.01.01.01.01 Columns {"&amp;COLUMN($D$1)&amp;"}"</f>
        <v>!SR.01.01.01.01 Columns {4}</v>
      </c>
    </row>
    <row r="18" spans="2:10">
      <c r="B18" s="43" t="s">
        <v>2880</v>
      </c>
      <c r="C18" s="44" t="s">
        <v>2878</v>
      </c>
      <c r="D18" s="48"/>
    </row>
    <row r="19" spans="2:10">
      <c r="B19" s="47" t="s">
        <v>2881</v>
      </c>
      <c r="C19" s="44" t="s">
        <v>2878</v>
      </c>
      <c r="D19" s="46"/>
    </row>
    <row r="20" spans="2:10">
      <c r="B20" s="52" t="s">
        <v>3117</v>
      </c>
      <c r="C20" s="41" t="s">
        <v>3118</v>
      </c>
      <c r="D20" s="51"/>
    </row>
    <row r="21" spans="2:10">
      <c r="B21" s="52" t="s">
        <v>3119</v>
      </c>
      <c r="C21" s="41" t="s">
        <v>3120</v>
      </c>
      <c r="D21" s="51"/>
    </row>
    <row r="22" spans="2:10">
      <c r="B22" s="52" t="s">
        <v>3121</v>
      </c>
      <c r="C22" s="41" t="s">
        <v>3122</v>
      </c>
      <c r="D22" s="51"/>
    </row>
    <row r="23" spans="2:10">
      <c r="B23" s="52" t="s">
        <v>3123</v>
      </c>
      <c r="C23" s="41" t="s">
        <v>3124</v>
      </c>
      <c r="D23" s="51"/>
    </row>
    <row r="24" spans="2:10">
      <c r="B24" s="52" t="s">
        <v>3125</v>
      </c>
      <c r="C24" s="41" t="s">
        <v>3126</v>
      </c>
      <c r="D24" s="51"/>
    </row>
    <row r="25" spans="2:10">
      <c r="B25" s="52" t="s">
        <v>3127</v>
      </c>
      <c r="C25" s="41" t="s">
        <v>3128</v>
      </c>
      <c r="D25" s="51"/>
    </row>
    <row r="26" spans="2:10" ht="30">
      <c r="B26" s="52" t="s">
        <v>3129</v>
      </c>
      <c r="C26" s="41" t="s">
        <v>3130</v>
      </c>
      <c r="D26" s="51"/>
    </row>
    <row r="27" spans="2:10">
      <c r="B27" s="52" t="s">
        <v>3131</v>
      </c>
      <c r="C27" s="41" t="s">
        <v>3132</v>
      </c>
      <c r="D27" s="51"/>
    </row>
    <row r="28" spans="2:10">
      <c r="B28" s="52" t="s">
        <v>3133</v>
      </c>
      <c r="C28" s="41" t="s">
        <v>3134</v>
      </c>
      <c r="D28" s="51"/>
    </row>
    <row r="29" spans="2:10">
      <c r="B29" s="52" t="s">
        <v>3135</v>
      </c>
      <c r="C29" s="41" t="s">
        <v>3136</v>
      </c>
      <c r="D29" s="51"/>
    </row>
    <row r="30" spans="2:10">
      <c r="B30" s="52" t="s">
        <v>3137</v>
      </c>
      <c r="C30" s="41" t="s">
        <v>3138</v>
      </c>
      <c r="D30" s="51"/>
    </row>
    <row r="31" spans="2:10">
      <c r="B31" s="52" t="s">
        <v>3139</v>
      </c>
      <c r="C31" s="41" t="s">
        <v>3140</v>
      </c>
      <c r="D31" s="51"/>
    </row>
    <row r="32" spans="2:10">
      <c r="B32" s="52" t="s">
        <v>3141</v>
      </c>
      <c r="C32" s="41" t="s">
        <v>3142</v>
      </c>
      <c r="D32" s="51"/>
    </row>
    <row r="33" spans="2:10">
      <c r="B33" s="52" t="s">
        <v>3143</v>
      </c>
      <c r="C33" s="41" t="s">
        <v>3144</v>
      </c>
      <c r="D33" s="51"/>
    </row>
    <row r="34" spans="2:10">
      <c r="B34" s="52" t="s">
        <v>3145</v>
      </c>
      <c r="C34" s="41" t="s">
        <v>3146</v>
      </c>
      <c r="D34" s="51"/>
    </row>
    <row r="35" spans="2:10">
      <c r="B35" s="52" t="s">
        <v>3147</v>
      </c>
      <c r="C35" s="41" t="s">
        <v>3148</v>
      </c>
      <c r="D35" s="51"/>
    </row>
    <row r="36" spans="2:10">
      <c r="I36" s="13" t="str">
        <f>IF(COUNTIF(D:D,"Reported")&gt;0,Show!$B$14&amp;Show!$B$14,"!!")&amp;"SR.01.01.01.01 Rows {"&amp;COLUMN($C$1)&amp;"}"</f>
        <v>!!SR.01.01.01.01 Rows {3}</v>
      </c>
      <c r="J36" s="13" t="str">
        <f>IF(COUNTIF(D:D,"Reported")&gt;0,Show!$B$14&amp;Show!$B$14,"!!")&amp;"SR.01.01.01.01 Columns {"&amp;COLUMN($D$1)&amp;"}"</f>
        <v>!!SR.01.01.01.01 Columns {4}</v>
      </c>
    </row>
  </sheetData>
  <sheetProtection sheet="1" objects="1" scenarios="1"/>
  <mergeCells count="3">
    <mergeCell ref="B2:O2"/>
    <mergeCell ref="B5:L5"/>
    <mergeCell ref="D13:D16"/>
  </mergeCells>
  <dataValidations count="12">
    <dataValidation type="list" errorStyle="warning" allowBlank="1" showInputMessage="1" showErrorMessage="1" sqref="D9" xr:uid="{62637B95-1F3B-4911-87CF-14DD322AC9F8}">
      <formula1>hier_PU_20</formula1>
    </dataValidation>
    <dataValidation type="list" errorStyle="warning" allowBlank="1" showInputMessage="1" showErrorMessage="1" sqref="D20" xr:uid="{BDEEB7EB-9F80-469A-936C-BC9395CA5ACA}">
      <formula1>hier_CN_77</formula1>
    </dataValidation>
    <dataValidation type="list" errorStyle="warning" allowBlank="1" showInputMessage="1" showErrorMessage="1" sqref="D21" xr:uid="{0BA5728B-E51F-466E-A298-FA20B6E3C512}">
      <formula1>hier_CN_92</formula1>
    </dataValidation>
    <dataValidation type="list" errorStyle="warning" allowBlank="1" showInputMessage="1" showErrorMessage="1" sqref="D22" xr:uid="{8CEDE2FB-DE6E-4846-B60E-49919BB2F23E}">
      <formula1>hier_CN_93</formula1>
    </dataValidation>
    <dataValidation type="list" errorStyle="warning" allowBlank="1" showInputMessage="1" showErrorMessage="1" sqref="D23 D24" xr:uid="{C44B0C28-6BD7-4278-8F8C-10C6BE383CDF}">
      <formula1>hier_CN_79</formula1>
    </dataValidation>
    <dataValidation type="list" errorStyle="warning" allowBlank="1" showInputMessage="1" showErrorMessage="1" sqref="D25" xr:uid="{0CF9EB20-CC4F-4DCE-A02C-1830A4C88994}">
      <formula1>hier_CN_108</formula1>
    </dataValidation>
    <dataValidation type="list" errorStyle="warning" allowBlank="1" showInputMessage="1" showErrorMessage="1" sqref="D26" xr:uid="{983ADE32-14F6-4C8B-8463-0C0D542C30F7}">
      <formula1>hier_CN_8</formula1>
    </dataValidation>
    <dataValidation type="list" errorStyle="warning" allowBlank="1" showInputMessage="1" showErrorMessage="1" sqref="D27" xr:uid="{F5D2E61A-6A78-4F05-B622-200D3D58AF51}">
      <formula1>hier_CN_9</formula1>
    </dataValidation>
    <dataValidation type="list" errorStyle="warning" allowBlank="1" showInputMessage="1" showErrorMessage="1" sqref="D28 D29 D30 D31 D32" xr:uid="{A20DC00A-5C1C-4DB9-B7AA-18535476145C}">
      <formula1>hier_CN_124</formula1>
    </dataValidation>
    <dataValidation type="list" errorStyle="warning" allowBlank="1" showInputMessage="1" showErrorMessage="1" sqref="D33" xr:uid="{975298A8-8253-4719-A276-63DA24462B63}">
      <formula1>hier_CN_53</formula1>
    </dataValidation>
    <dataValidation type="list" errorStyle="warning" allowBlank="1" showInputMessage="1" showErrorMessage="1" sqref="D34" xr:uid="{865849C8-A804-42AA-8BD1-ACE270B16FFC}">
      <formula1>hier_CN_55</formula1>
    </dataValidation>
    <dataValidation type="list" errorStyle="warning" allowBlank="1" showInputMessage="1" showErrorMessage="1" sqref="D35" xr:uid="{87EBB898-A26B-45C1-ABCE-819932147138}">
      <formula1>hier_CN_51</formula1>
    </dataValidation>
  </dataValidations>
  <hyperlinks>
    <hyperlink ref="B20" location="'SR.02.01.01'!A1" display="SR.02.01.01 - Balance sheet" xr:uid="{9BC60BC0-264C-4596-941A-28FD517BCB92}"/>
    <hyperlink ref="B21" location="'SR.12.01.01'!A1" display="SR.12.01.01 - Life and Health SLT Technical Provisions" xr:uid="{A7D928FF-1228-418C-82E0-93B73A923B74}"/>
    <hyperlink ref="B22" location="'SR.17.01.01'!A1" display="SR.17.01.01 - Non-Life Technical Provisions" xr:uid="{80C56BA7-7927-40AB-AF5F-86EBAE1D8850}"/>
    <hyperlink ref="B23" location="'SR.22.02.01'!A1" display="SR.22.02.01 - Projection of future cash flows (Best Estimate - Matching portfolios)" xr:uid="{D010AC17-52E2-4CB9-A249-A94E1348D4E9}"/>
    <hyperlink ref="B24" location="'SR.22.03.01'!A1" display="SR.22.03.01 - Information on the matching adjustment calculation" xr:uid="{ACE23CB2-8237-42D6-B840-7DB72E110C04}"/>
    <hyperlink ref="B25" location="'SR.25.01.01'!A1" display="SR.25.01.01 - Solvency Capital Requirement - for undertakings on Standard Formula" xr:uid="{F71ABABE-B9EC-4725-9293-3769BAC10525}"/>
    <hyperlink ref="B26" location="'SR.25.02.01'!A1" display="SR.25.02.01 - Solvency Capital Requirement - for undertakings using the standard formula and partial internal model" xr:uid="{5158C145-FDB6-4EB8-9650-614F2623C0DA}"/>
    <hyperlink ref="B27" location="'SR.25.03.01'!A1" display="SR.25.03.01 - Solvency Capital Requirement - for undertakings on Full Internal Models" xr:uid="{690D8D50-7F58-4FBC-9CE0-048C548FE6DF}"/>
    <hyperlink ref="B28" location="'SR.26.01.01'!A1" display="SR.26.01.01 - Solvency Capital Requirement - Market risk" xr:uid="{66AB775E-AA19-4D97-B76E-9823C2FEB846}"/>
    <hyperlink ref="B29" location="'SR.26.02.01'!A1" display="SR.26.02.01 - Solvency Capital Requirement - Counterparty default risk" xr:uid="{6386B098-99FF-4C3E-836A-71366FEAF64F}"/>
    <hyperlink ref="B30" location="'SR.26.03.01'!A1" display="SR.26.03.01 - Solvency Capital Requirement - Life underwriting risk" xr:uid="{56077F5B-5B94-47FD-B890-A8E3FA04027B}"/>
    <hyperlink ref="B31" location="'SR.26.04.01'!A1" display="SR.26.04.01 - Solvency Capital Requirement - Health underwriting risk" xr:uid="{8221D6FD-0D5E-43AB-955E-124315FB8261}"/>
    <hyperlink ref="B32" location="'SR.26.05.01'!A1" display="SR.26.05.01 - Solvency Capital Requirement - Non-Life underwriting risk" xr:uid="{9C376212-47B0-4EE7-AC5F-06B4CD1475BD}"/>
    <hyperlink ref="B33" location="'SR.26.06.01'!A1" display="SR.26.06.01 - Solvency Capital Requirement - Operational risk" xr:uid="{717B47AD-529C-4C13-B4AE-FF9C984F1C9B}"/>
    <hyperlink ref="B34" location="'SR.26.07.01'!A1" display="SR.26.07.01 - Solvency Capital Requirement - Simplifications" xr:uid="{F84F0FFF-E935-4F05-A714-6A67F7FD8C76}"/>
    <hyperlink ref="B35" location="'SR.27.01.01'!A1" display="SR.27.01.01 - Solvency Capital Requirement - Non-life and Health catastrophe risk" xr:uid="{724F3CB7-8499-4B72-BA98-765FA8749C1E}"/>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5F1D-61CC-46E9-854D-F50B52C0EA80}">
  <sheetPr codeName="Blad179"/>
  <dimension ref="B2:AC16"/>
  <sheetViews>
    <sheetView showGridLines="0" workbookViewId="0"/>
  </sheetViews>
  <sheetFormatPr defaultRowHeight="15"/>
  <cols>
    <col min="2" max="2" width="51.140625" bestFit="1" customWidth="1"/>
    <col min="3" max="8" width="40.7109375" customWidth="1"/>
    <col min="9" max="11" width="15.7109375" customWidth="1"/>
    <col min="12" max="13" width="40.7109375" customWidth="1"/>
    <col min="14" max="14" width="15.7109375" customWidth="1"/>
    <col min="15" max="15" width="40.7109375" customWidth="1"/>
    <col min="16" max="16" width="15.7109375" customWidth="1"/>
    <col min="17" max="17" width="40.7109375" customWidth="1"/>
  </cols>
  <sheetData>
    <row r="2" spans="2:29" ht="23.25">
      <c r="B2" s="95" t="s">
        <v>774</v>
      </c>
      <c r="C2" s="96"/>
      <c r="D2" s="96"/>
      <c r="E2" s="96"/>
      <c r="F2" s="96"/>
      <c r="G2" s="96"/>
      <c r="H2" s="96"/>
      <c r="I2" s="96"/>
      <c r="J2" s="96"/>
      <c r="K2" s="96"/>
      <c r="L2" s="96"/>
      <c r="M2" s="96"/>
      <c r="N2" s="96"/>
      <c r="O2" s="96"/>
    </row>
    <row r="5" spans="2:29" ht="18.75">
      <c r="B5" s="97" t="s">
        <v>5874</v>
      </c>
      <c r="C5" s="96"/>
      <c r="D5" s="96"/>
      <c r="E5" s="96"/>
      <c r="F5" s="96"/>
      <c r="G5" s="96"/>
      <c r="H5" s="96"/>
      <c r="I5" s="96"/>
      <c r="J5" s="96"/>
      <c r="K5" s="96"/>
      <c r="L5" s="96"/>
    </row>
    <row r="9" spans="2:29">
      <c r="B9" s="98" t="s">
        <v>3245</v>
      </c>
      <c r="C9" s="101" t="s">
        <v>2877</v>
      </c>
      <c r="D9" s="102"/>
      <c r="E9" s="102"/>
      <c r="F9" s="102"/>
      <c r="G9" s="102"/>
      <c r="H9" s="102"/>
      <c r="I9" s="102"/>
      <c r="J9" s="102"/>
      <c r="K9" s="102"/>
      <c r="L9" s="102"/>
      <c r="M9" s="102"/>
      <c r="N9" s="102"/>
      <c r="O9" s="102"/>
      <c r="P9" s="102"/>
      <c r="Q9" s="103"/>
    </row>
    <row r="10" spans="2:29">
      <c r="B10" s="99"/>
      <c r="C10" s="104"/>
      <c r="D10" s="105"/>
      <c r="E10" s="105"/>
      <c r="F10" s="105"/>
      <c r="G10" s="105"/>
      <c r="H10" s="105"/>
      <c r="I10" s="105"/>
      <c r="J10" s="105"/>
      <c r="K10" s="105"/>
      <c r="L10" s="105"/>
      <c r="M10" s="105"/>
      <c r="N10" s="105"/>
      <c r="O10" s="105"/>
      <c r="P10" s="105"/>
      <c r="Q10" s="106"/>
    </row>
    <row r="11" spans="2:29">
      <c r="B11" s="99"/>
      <c r="C11" s="98" t="s">
        <v>56</v>
      </c>
      <c r="D11" s="98" t="s">
        <v>5849</v>
      </c>
      <c r="E11" s="98" t="s">
        <v>3178</v>
      </c>
      <c r="F11" s="98" t="s">
        <v>5850</v>
      </c>
      <c r="G11" s="98" t="s">
        <v>5851</v>
      </c>
      <c r="H11" s="98" t="s">
        <v>5852</v>
      </c>
      <c r="I11" s="107" t="s">
        <v>5863</v>
      </c>
      <c r="J11" s="108"/>
      <c r="K11" s="108"/>
      <c r="L11" s="108"/>
      <c r="M11" s="108"/>
      <c r="N11" s="109"/>
      <c r="O11" s="107" t="s">
        <v>5870</v>
      </c>
      <c r="P11" s="109"/>
      <c r="Q11" s="55" t="s">
        <v>5872</v>
      </c>
    </row>
    <row r="12" spans="2:29" ht="60">
      <c r="B12" s="100"/>
      <c r="C12" s="100"/>
      <c r="D12" s="100"/>
      <c r="E12" s="100"/>
      <c r="F12" s="100"/>
      <c r="G12" s="100"/>
      <c r="H12" s="100"/>
      <c r="I12" s="55" t="s">
        <v>5864</v>
      </c>
      <c r="J12" s="55" t="s">
        <v>5865</v>
      </c>
      <c r="K12" s="55" t="s">
        <v>5866</v>
      </c>
      <c r="L12" s="55" t="s">
        <v>5867</v>
      </c>
      <c r="M12" s="55" t="s">
        <v>5868</v>
      </c>
      <c r="N12" s="55" t="s">
        <v>5869</v>
      </c>
      <c r="O12" s="55" t="s">
        <v>4653</v>
      </c>
      <c r="P12" s="55" t="s">
        <v>5871</v>
      </c>
      <c r="Q12" s="55" t="s">
        <v>5873</v>
      </c>
    </row>
    <row r="13" spans="2:29">
      <c r="B13" s="42" t="s">
        <v>3219</v>
      </c>
      <c r="C13" s="42" t="s">
        <v>2879</v>
      </c>
      <c r="D13" s="42" t="s">
        <v>3223</v>
      </c>
      <c r="E13" s="42" t="s">
        <v>3229</v>
      </c>
      <c r="F13" s="42" t="s">
        <v>3231</v>
      </c>
      <c r="G13" s="42" t="s">
        <v>3233</v>
      </c>
      <c r="H13" s="42" t="s">
        <v>3234</v>
      </c>
      <c r="I13" s="42" t="s">
        <v>3596</v>
      </c>
      <c r="J13" s="42" t="s">
        <v>3599</v>
      </c>
      <c r="K13" s="42" t="s">
        <v>3481</v>
      </c>
      <c r="L13" s="42" t="s">
        <v>3508</v>
      </c>
      <c r="M13" s="42" t="s">
        <v>3509</v>
      </c>
      <c r="N13" s="42" t="s">
        <v>3511</v>
      </c>
      <c r="O13" s="42" t="s">
        <v>3513</v>
      </c>
      <c r="P13" s="42" t="s">
        <v>3514</v>
      </c>
      <c r="Q13" s="42" t="s">
        <v>3515</v>
      </c>
      <c r="AB13" s="13" t="str">
        <f>Show!$B$175&amp;"S.32.01.22.01 Rows {"&amp;COLUMN($B$1)&amp;"}"&amp;"@ForceFilingCode:true"</f>
        <v>!S.32.01.22.01 Rows {2}@ForceFilingCode:true</v>
      </c>
      <c r="AC13" s="13" t="str">
        <f>Show!$B$175&amp;"S.32.01.22.01 Columns {"&amp;COLUMN($B$1)&amp;"}"</f>
        <v>!S.32.01.22.01 Columns {2}</v>
      </c>
    </row>
    <row r="14" spans="2:29">
      <c r="B14" s="50"/>
      <c r="C14" s="51"/>
      <c r="D14" s="51"/>
      <c r="E14" s="51"/>
      <c r="F14" s="51"/>
      <c r="G14" s="51"/>
      <c r="H14" s="51"/>
      <c r="I14" s="70"/>
      <c r="J14" s="70"/>
      <c r="K14" s="70"/>
      <c r="L14" s="51"/>
      <c r="M14" s="51"/>
      <c r="N14" s="70"/>
      <c r="O14" s="51"/>
      <c r="P14" s="54"/>
      <c r="Q14" s="51"/>
    </row>
    <row r="16" spans="2:29">
      <c r="AB16" s="13" t="str">
        <f>Show!$B$175&amp;Show!$B$175&amp;"S.32.01.22.01 Rows {"&amp;COLUMN($B$1)&amp;"}"</f>
        <v>!!S.32.01.22.01 Rows {2}</v>
      </c>
      <c r="AC16" s="13" t="str">
        <f>Show!$B$175&amp;Show!$B$175&amp;"S.32.01.22.01 Columns {"&amp;COLUMN($Q$1)&amp;"}"</f>
        <v>!!S.32.01.22.01 Columns {17}</v>
      </c>
    </row>
  </sheetData>
  <sheetProtection sheet="1" objects="1" scenarios="1"/>
  <mergeCells count="12">
    <mergeCell ref="I11:N11"/>
    <mergeCell ref="O11:P11"/>
    <mergeCell ref="B2:O2"/>
    <mergeCell ref="B5:L5"/>
    <mergeCell ref="B9:B12"/>
    <mergeCell ref="C9:Q10"/>
    <mergeCell ref="C11:C12"/>
    <mergeCell ref="D11:D12"/>
    <mergeCell ref="E11:E12"/>
    <mergeCell ref="F11:F12"/>
    <mergeCell ref="G11:G12"/>
    <mergeCell ref="H11:H12"/>
  </mergeCells>
  <dataValidations count="7">
    <dataValidation type="list" errorStyle="warning" allowBlank="1" showInputMessage="1" showErrorMessage="1" sqref="C14" xr:uid="{C001192D-3A98-48B2-BBA7-AFE566472A90}">
      <formula1>hier_GA_18</formula1>
    </dataValidation>
    <dataValidation type="list" errorStyle="warning" allowBlank="1" showInputMessage="1" showErrorMessage="1" sqref="E14" xr:uid="{30C87043-D9BC-462C-9147-4039C92B01EA}">
      <formula1>hier_SE_23</formula1>
    </dataValidation>
    <dataValidation type="list" errorStyle="warning" allowBlank="1" showInputMessage="1" showErrorMessage="1" sqref="G14" xr:uid="{14E8F232-EFB0-46C5-B797-F3E4129432B1}">
      <formula1>hier_SE_8</formula1>
    </dataValidation>
    <dataValidation type="list" errorStyle="warning" allowBlank="1" showInputMessage="1" showErrorMessage="1" sqref="M14" xr:uid="{4FA1DF5D-CB0A-424E-9AC4-3460F671C2C0}">
      <formula1>hier_CS_3</formula1>
    </dataValidation>
    <dataValidation type="list" errorStyle="warning" allowBlank="1" showInputMessage="1" showErrorMessage="1" sqref="O14" xr:uid="{32CD673B-7399-42CE-9879-93D499E314A2}">
      <formula1>hier_CS_20</formula1>
    </dataValidation>
    <dataValidation type="date" operator="greaterThan" allowBlank="1" showInputMessage="1" showErrorMessage="1" errorTitle="Date value" error="This cell can only contain dates" sqref="P14" xr:uid="{62BB5A44-70C9-4973-8C57-3525698D4E42}">
      <formula1>1</formula1>
    </dataValidation>
    <dataValidation type="list" errorStyle="warning" allowBlank="1" showInputMessage="1" showErrorMessage="1" sqref="Q14" xr:uid="{D21439E2-FE55-4D77-89C1-2118A1F793D2}">
      <formula1>hier_CS_16</formula1>
    </dataValidation>
  </dataValidation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D9298-7EFB-4345-9CFC-FA1084B24EEA}">
  <sheetPr codeName="Blad180"/>
  <dimension ref="B2:AQ17"/>
  <sheetViews>
    <sheetView showGridLines="0" workbookViewId="0"/>
  </sheetViews>
  <sheetFormatPr defaultRowHeight="15"/>
  <cols>
    <col min="2" max="2" width="51.140625" bestFit="1" customWidth="1"/>
    <col min="3" max="3" width="40.7109375" customWidth="1"/>
    <col min="4" max="4" width="15.7109375" customWidth="1"/>
    <col min="5" max="5" width="40.7109375" customWidth="1"/>
    <col min="6" max="14" width="15.7109375" customWidth="1"/>
    <col min="15" max="18" width="40.7109375" customWidth="1"/>
    <col min="19" max="22" width="15.7109375" customWidth="1"/>
    <col min="23" max="23" width="40.7109375" customWidth="1"/>
    <col min="24" max="26" width="15.7109375" customWidth="1"/>
  </cols>
  <sheetData>
    <row r="2" spans="2:43" ht="23.25">
      <c r="B2" s="95" t="s">
        <v>777</v>
      </c>
      <c r="C2" s="96"/>
      <c r="D2" s="96"/>
      <c r="E2" s="96"/>
      <c r="F2" s="96"/>
      <c r="G2" s="96"/>
      <c r="H2" s="96"/>
      <c r="I2" s="96"/>
      <c r="J2" s="96"/>
      <c r="K2" s="96"/>
      <c r="L2" s="96"/>
      <c r="M2" s="96"/>
      <c r="N2" s="96"/>
      <c r="O2" s="96"/>
    </row>
    <row r="5" spans="2:43" ht="18.75">
      <c r="B5" s="97" t="s">
        <v>5875</v>
      </c>
      <c r="C5" s="96"/>
      <c r="D5" s="96"/>
      <c r="E5" s="96"/>
      <c r="F5" s="96"/>
      <c r="G5" s="96"/>
      <c r="H5" s="96"/>
      <c r="I5" s="96"/>
      <c r="J5" s="96"/>
      <c r="K5" s="96"/>
      <c r="L5" s="96"/>
    </row>
    <row r="9" spans="2:43">
      <c r="B9" s="98" t="s">
        <v>3245</v>
      </c>
      <c r="C9" s="98" t="s">
        <v>5876</v>
      </c>
      <c r="D9" s="98" t="s">
        <v>5877</v>
      </c>
      <c r="E9" s="101" t="s">
        <v>2877</v>
      </c>
      <c r="F9" s="102"/>
      <c r="G9" s="102"/>
      <c r="H9" s="102"/>
      <c r="I9" s="102"/>
      <c r="J9" s="102"/>
      <c r="K9" s="102"/>
      <c r="L9" s="102"/>
      <c r="M9" s="102"/>
      <c r="N9" s="102"/>
      <c r="O9" s="102"/>
      <c r="P9" s="102"/>
      <c r="Q9" s="102"/>
      <c r="R9" s="102"/>
      <c r="S9" s="102"/>
      <c r="T9" s="102"/>
      <c r="U9" s="102"/>
      <c r="V9" s="102"/>
      <c r="W9" s="102"/>
      <c r="X9" s="102"/>
      <c r="Y9" s="102"/>
      <c r="Z9" s="103"/>
    </row>
    <row r="10" spans="2:43">
      <c r="B10" s="99"/>
      <c r="C10" s="99"/>
      <c r="D10" s="99"/>
      <c r="E10" s="104"/>
      <c r="F10" s="105"/>
      <c r="G10" s="105"/>
      <c r="H10" s="105"/>
      <c r="I10" s="105"/>
      <c r="J10" s="105"/>
      <c r="K10" s="105"/>
      <c r="L10" s="105"/>
      <c r="M10" s="105"/>
      <c r="N10" s="105"/>
      <c r="O10" s="105"/>
      <c r="P10" s="105"/>
      <c r="Q10" s="105"/>
      <c r="R10" s="105"/>
      <c r="S10" s="105"/>
      <c r="T10" s="105"/>
      <c r="U10" s="105"/>
      <c r="V10" s="105"/>
      <c r="W10" s="105"/>
      <c r="X10" s="105"/>
      <c r="Y10" s="105"/>
      <c r="Z10" s="106"/>
    </row>
    <row r="11" spans="2:43">
      <c r="B11" s="99"/>
      <c r="C11" s="99"/>
      <c r="D11" s="99"/>
      <c r="E11" s="98" t="s">
        <v>3246</v>
      </c>
      <c r="F11" s="107" t="s">
        <v>5878</v>
      </c>
      <c r="G11" s="108"/>
      <c r="H11" s="108"/>
      <c r="I11" s="108"/>
      <c r="J11" s="108"/>
      <c r="K11" s="108"/>
      <c r="L11" s="108"/>
      <c r="M11" s="108"/>
      <c r="N11" s="108"/>
      <c r="O11" s="108"/>
      <c r="P11" s="108"/>
      <c r="Q11" s="108"/>
      <c r="R11" s="108"/>
      <c r="S11" s="108"/>
      <c r="T11" s="108"/>
      <c r="U11" s="108"/>
      <c r="V11" s="108"/>
      <c r="W11" s="109"/>
      <c r="X11" s="107" t="s">
        <v>5899</v>
      </c>
      <c r="Y11" s="108"/>
      <c r="Z11" s="109"/>
    </row>
    <row r="12" spans="2:43">
      <c r="B12" s="99"/>
      <c r="C12" s="99"/>
      <c r="D12" s="99"/>
      <c r="E12" s="99"/>
      <c r="F12" s="98" t="s">
        <v>5879</v>
      </c>
      <c r="G12" s="98" t="s">
        <v>5880</v>
      </c>
      <c r="H12" s="98" t="s">
        <v>5881</v>
      </c>
      <c r="I12" s="98" t="s">
        <v>5882</v>
      </c>
      <c r="J12" s="98" t="s">
        <v>5883</v>
      </c>
      <c r="K12" s="98" t="s">
        <v>5884</v>
      </c>
      <c r="L12" s="98" t="s">
        <v>5885</v>
      </c>
      <c r="M12" s="98" t="s">
        <v>5886</v>
      </c>
      <c r="N12" s="98" t="s">
        <v>5887</v>
      </c>
      <c r="O12" s="107" t="s">
        <v>5888</v>
      </c>
      <c r="P12" s="108"/>
      <c r="Q12" s="109"/>
      <c r="R12" s="107" t="s">
        <v>5891</v>
      </c>
      <c r="S12" s="108"/>
      <c r="T12" s="109"/>
      <c r="U12" s="107" t="s">
        <v>5895</v>
      </c>
      <c r="V12" s="108"/>
      <c r="W12" s="109"/>
      <c r="X12" s="98" t="s">
        <v>5900</v>
      </c>
      <c r="Y12" s="98" t="s">
        <v>5901</v>
      </c>
      <c r="Z12" s="98" t="s">
        <v>5902</v>
      </c>
    </row>
    <row r="13" spans="2:43" ht="45">
      <c r="B13" s="100"/>
      <c r="C13" s="100"/>
      <c r="D13" s="100"/>
      <c r="E13" s="100"/>
      <c r="F13" s="100"/>
      <c r="G13" s="100"/>
      <c r="H13" s="100"/>
      <c r="I13" s="100"/>
      <c r="J13" s="100"/>
      <c r="K13" s="100"/>
      <c r="L13" s="100"/>
      <c r="M13" s="100"/>
      <c r="N13" s="100"/>
      <c r="O13" s="55" t="s">
        <v>1172</v>
      </c>
      <c r="P13" s="55" t="s">
        <v>5889</v>
      </c>
      <c r="Q13" s="55" t="s">
        <v>5890</v>
      </c>
      <c r="R13" s="55" t="s">
        <v>5892</v>
      </c>
      <c r="S13" s="55" t="s">
        <v>5893</v>
      </c>
      <c r="T13" s="55" t="s">
        <v>5894</v>
      </c>
      <c r="U13" s="55" t="s">
        <v>5896</v>
      </c>
      <c r="V13" s="55" t="s">
        <v>5897</v>
      </c>
      <c r="W13" s="55" t="s">
        <v>5898</v>
      </c>
      <c r="X13" s="100"/>
      <c r="Y13" s="100"/>
      <c r="Z13" s="100"/>
    </row>
    <row r="14" spans="2:43">
      <c r="B14" s="42" t="s">
        <v>3219</v>
      </c>
      <c r="C14" s="42" t="s">
        <v>3223</v>
      </c>
      <c r="D14" s="42" t="s">
        <v>3229</v>
      </c>
      <c r="E14" s="42" t="s">
        <v>2879</v>
      </c>
      <c r="F14" s="42" t="s">
        <v>3231</v>
      </c>
      <c r="G14" s="42" t="s">
        <v>3233</v>
      </c>
      <c r="H14" s="42" t="s">
        <v>3234</v>
      </c>
      <c r="I14" s="42" t="s">
        <v>3236</v>
      </c>
      <c r="J14" s="42" t="s">
        <v>3239</v>
      </c>
      <c r="K14" s="42" t="s">
        <v>3241</v>
      </c>
      <c r="L14" s="42" t="s">
        <v>3243</v>
      </c>
      <c r="M14" s="42" t="s">
        <v>3375</v>
      </c>
      <c r="N14" s="42" t="s">
        <v>3475</v>
      </c>
      <c r="O14" s="42" t="s">
        <v>3477</v>
      </c>
      <c r="P14" s="42" t="s">
        <v>3479</v>
      </c>
      <c r="Q14" s="42" t="s">
        <v>3594</v>
      </c>
      <c r="R14" s="42" t="s">
        <v>3596</v>
      </c>
      <c r="S14" s="42" t="s">
        <v>3599</v>
      </c>
      <c r="T14" s="42" t="s">
        <v>3481</v>
      </c>
      <c r="U14" s="42" t="s">
        <v>3508</v>
      </c>
      <c r="V14" s="42" t="s">
        <v>3509</v>
      </c>
      <c r="W14" s="42" t="s">
        <v>3511</v>
      </c>
      <c r="X14" s="42" t="s">
        <v>3513</v>
      </c>
      <c r="Y14" s="42" t="s">
        <v>3514</v>
      </c>
      <c r="Z14" s="42" t="s">
        <v>3515</v>
      </c>
      <c r="AP14" s="13" t="str">
        <f>Show!$B$176&amp;"S.33.01.04.01 Rows {"&amp;COLUMN($B$1)&amp;"}"&amp;"@ForceFilingCode:true"</f>
        <v>!S.33.01.04.01 Rows {2}@ForceFilingCode:true</v>
      </c>
      <c r="AQ14" s="13" t="str">
        <f>Show!$B$176&amp;"S.33.01.04.01 Columns {"&amp;COLUMN($B$1)&amp;"}"</f>
        <v>!S.33.01.04.01 Columns {2}</v>
      </c>
    </row>
    <row r="15" spans="2:43">
      <c r="B15" s="50"/>
      <c r="C15" s="51"/>
      <c r="D15" s="50"/>
      <c r="E15" s="51"/>
      <c r="F15" s="60"/>
      <c r="G15" s="60"/>
      <c r="H15" s="60"/>
      <c r="I15" s="60"/>
      <c r="J15" s="60"/>
      <c r="K15" s="60"/>
      <c r="L15" s="60"/>
      <c r="M15" s="60"/>
      <c r="N15" s="60"/>
      <c r="O15" s="51"/>
      <c r="P15" s="51"/>
      <c r="Q15" s="51"/>
      <c r="R15" s="51"/>
      <c r="S15" s="54"/>
      <c r="T15" s="54"/>
      <c r="U15" s="54"/>
      <c r="V15" s="60"/>
      <c r="W15" s="51"/>
      <c r="X15" s="60"/>
      <c r="Y15" s="60"/>
      <c r="Z15" s="60"/>
    </row>
    <row r="17" spans="42:43">
      <c r="AP17" s="13" t="str">
        <f>Show!$B$176&amp;Show!$B$176&amp;"S.33.01.04.01 Rows {"&amp;COLUMN($B$1)&amp;"}"</f>
        <v>!!S.33.01.04.01 Rows {2}</v>
      </c>
      <c r="AQ17" s="13" t="str">
        <f>Show!$B$176&amp;Show!$B$176&amp;"S.33.01.04.01 Columns {"&amp;COLUMN($Z$1)&amp;"}"</f>
        <v>!!S.33.01.04.01 Columns {26}</v>
      </c>
    </row>
  </sheetData>
  <sheetProtection sheet="1" objects="1" scenarios="1"/>
  <mergeCells count="24">
    <mergeCell ref="Y12:Y13"/>
    <mergeCell ref="Z12:Z13"/>
    <mergeCell ref="M12:M13"/>
    <mergeCell ref="N12:N13"/>
    <mergeCell ref="O12:Q12"/>
    <mergeCell ref="R12:T12"/>
    <mergeCell ref="U12:W12"/>
    <mergeCell ref="X12:X13"/>
    <mergeCell ref="L12:L13"/>
    <mergeCell ref="B2:O2"/>
    <mergeCell ref="B5:L5"/>
    <mergeCell ref="B9:B13"/>
    <mergeCell ref="C9:C13"/>
    <mergeCell ref="D9:D13"/>
    <mergeCell ref="E9:Z10"/>
    <mergeCell ref="E11:E13"/>
    <mergeCell ref="F11:W11"/>
    <mergeCell ref="X11:Z11"/>
    <mergeCell ref="F12:F13"/>
    <mergeCell ref="G12:G13"/>
    <mergeCell ref="H12:H13"/>
    <mergeCell ref="I12:I13"/>
    <mergeCell ref="J12:J13"/>
    <mergeCell ref="K12:K13"/>
  </mergeCells>
  <dataValidations count="3">
    <dataValidation type="list" errorStyle="warning" allowBlank="1" showInputMessage="1" showErrorMessage="1" sqref="C15" xr:uid="{6BCC476C-A0CA-43E9-97D3-3659365C41C5}">
      <formula1>hier_PU_35</formula1>
    </dataValidation>
    <dataValidation type="list" errorStyle="warning" allowBlank="1" showInputMessage="1" showErrorMessage="1" sqref="R15" xr:uid="{BAA21989-9EAC-4016-8CF5-D77FCE2CCEB8}">
      <formula1>hier_AP_13</formula1>
    </dataValidation>
    <dataValidation type="date" operator="greaterThan" allowBlank="1" showInputMessage="1" showErrorMessage="1" errorTitle="Date value" error="This cell can only contain dates" sqref="S15:U15" xr:uid="{13793607-0750-4550-9FF4-31C3B0D6D3B0}">
      <formula1>1</formula1>
    </dataValidation>
  </dataValidation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C8ED-2BF8-4C36-AC75-2A5A95192E34}">
  <sheetPr codeName="Blad181"/>
  <dimension ref="B2:Q15"/>
  <sheetViews>
    <sheetView showGridLines="0" workbookViewId="0"/>
  </sheetViews>
  <sheetFormatPr defaultRowHeight="15"/>
  <cols>
    <col min="2" max="2" width="51.140625" bestFit="1" customWidth="1"/>
    <col min="3" max="5" width="40.7109375" customWidth="1"/>
    <col min="6" max="8" width="15.7109375" customWidth="1"/>
  </cols>
  <sheetData>
    <row r="2" spans="2:17" ht="23.25">
      <c r="B2" s="95" t="s">
        <v>779</v>
      </c>
      <c r="C2" s="96"/>
      <c r="D2" s="96"/>
      <c r="E2" s="96"/>
      <c r="F2" s="96"/>
      <c r="G2" s="96"/>
      <c r="H2" s="96"/>
      <c r="I2" s="96"/>
      <c r="J2" s="96"/>
      <c r="K2" s="96"/>
      <c r="L2" s="96"/>
      <c r="M2" s="96"/>
      <c r="N2" s="96"/>
      <c r="O2" s="96"/>
    </row>
    <row r="5" spans="2:17" ht="18.75">
      <c r="B5" s="97" t="s">
        <v>5903</v>
      </c>
      <c r="C5" s="96"/>
      <c r="D5" s="96"/>
      <c r="E5" s="96"/>
      <c r="F5" s="96"/>
      <c r="G5" s="96"/>
      <c r="H5" s="96"/>
      <c r="I5" s="96"/>
      <c r="J5" s="96"/>
      <c r="K5" s="96"/>
      <c r="L5" s="96"/>
    </row>
    <row r="9" spans="2:17">
      <c r="B9" s="98" t="s">
        <v>3245</v>
      </c>
      <c r="C9" s="101" t="s">
        <v>2877</v>
      </c>
      <c r="D9" s="102"/>
      <c r="E9" s="102"/>
      <c r="F9" s="102"/>
      <c r="G9" s="102"/>
      <c r="H9" s="103"/>
    </row>
    <row r="10" spans="2:17">
      <c r="B10" s="99"/>
      <c r="C10" s="104"/>
      <c r="D10" s="105"/>
      <c r="E10" s="105"/>
      <c r="F10" s="105"/>
      <c r="G10" s="105"/>
      <c r="H10" s="106"/>
    </row>
    <row r="11" spans="2:17" ht="75">
      <c r="B11" s="100"/>
      <c r="C11" s="55" t="s">
        <v>3246</v>
      </c>
      <c r="D11" s="55" t="s">
        <v>5904</v>
      </c>
      <c r="E11" s="55" t="s">
        <v>5905</v>
      </c>
      <c r="F11" s="55" t="s">
        <v>5906</v>
      </c>
      <c r="G11" s="55" t="s">
        <v>5907</v>
      </c>
      <c r="H11" s="55" t="s">
        <v>5908</v>
      </c>
    </row>
    <row r="12" spans="2:17">
      <c r="B12" s="42" t="s">
        <v>3219</v>
      </c>
      <c r="C12" s="42" t="s">
        <v>2879</v>
      </c>
      <c r="D12" s="42" t="s">
        <v>3223</v>
      </c>
      <c r="E12" s="42" t="s">
        <v>3229</v>
      </c>
      <c r="F12" s="42" t="s">
        <v>3231</v>
      </c>
      <c r="G12" s="42" t="s">
        <v>3233</v>
      </c>
      <c r="H12" s="42" t="s">
        <v>3234</v>
      </c>
      <c r="P12" s="13" t="str">
        <f>Show!$B$177&amp;"S.34.01.04.01 Rows {"&amp;COLUMN($B$1)&amp;"}"&amp;"@ForceFilingCode:true"</f>
        <v>!S.34.01.04.01 Rows {2}@ForceFilingCode:true</v>
      </c>
      <c r="Q12" s="13" t="str">
        <f>Show!$B$177&amp;"S.34.01.04.01 Columns {"&amp;COLUMN($B$1)&amp;"}"</f>
        <v>!S.34.01.04.01 Columns {2}</v>
      </c>
    </row>
    <row r="13" spans="2:17">
      <c r="B13" s="50"/>
      <c r="C13" s="51"/>
      <c r="D13" s="51"/>
      <c r="E13" s="51"/>
      <c r="F13" s="60"/>
      <c r="G13" s="60"/>
      <c r="H13" s="60"/>
    </row>
    <row r="15" spans="2:17">
      <c r="P15" s="13" t="str">
        <f>Show!$B$177&amp;Show!$B$177&amp;"S.34.01.04.01 Rows {"&amp;COLUMN($B$1)&amp;"}"</f>
        <v>!!S.34.01.04.01 Rows {2}</v>
      </c>
      <c r="Q15" s="13" t="str">
        <f>Show!$B$177&amp;Show!$B$177&amp;"S.34.01.04.01 Columns {"&amp;COLUMN($H$1)&amp;"}"</f>
        <v>!!S.34.01.04.01 Columns {8}</v>
      </c>
    </row>
  </sheetData>
  <sheetProtection sheet="1" objects="1" scenarios="1"/>
  <mergeCells count="4">
    <mergeCell ref="B2:O2"/>
    <mergeCell ref="B5:L5"/>
    <mergeCell ref="B9:B11"/>
    <mergeCell ref="C9:H10"/>
  </mergeCells>
  <dataValidations count="2">
    <dataValidation type="list" errorStyle="warning" allowBlank="1" showInputMessage="1" showErrorMessage="1" sqref="D13" xr:uid="{9BDE4383-8CDA-4D46-ACBD-1B689E03DDF7}">
      <formula1>hier_CS_4</formula1>
    </dataValidation>
    <dataValidation type="list" errorStyle="warning" allowBlank="1" showInputMessage="1" showErrorMessage="1" sqref="E13" xr:uid="{E3520C00-23DA-4F4E-82C5-363E79D724BE}">
      <formula1>hier_AM_6</formula1>
    </dataValidation>
  </dataValidation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9FFBA-2FAB-4F99-920A-10A6F5ACB267}">
  <sheetPr codeName="Blad182"/>
  <dimension ref="B2:AR16"/>
  <sheetViews>
    <sheetView showGridLines="0" workbookViewId="0"/>
  </sheetViews>
  <sheetFormatPr defaultRowHeight="15"/>
  <cols>
    <col min="2" max="2" width="51.140625" bestFit="1" customWidth="1"/>
    <col min="3" max="3" width="40.7109375" customWidth="1"/>
    <col min="4" max="25" width="15.7109375" customWidth="1"/>
  </cols>
  <sheetData>
    <row r="2" spans="2:44" ht="23.25">
      <c r="B2" s="95" t="s">
        <v>781</v>
      </c>
      <c r="C2" s="96"/>
      <c r="D2" s="96"/>
      <c r="E2" s="96"/>
      <c r="F2" s="96"/>
      <c r="G2" s="96"/>
      <c r="H2" s="96"/>
      <c r="I2" s="96"/>
      <c r="J2" s="96"/>
      <c r="K2" s="96"/>
      <c r="L2" s="96"/>
      <c r="M2" s="96"/>
      <c r="N2" s="96"/>
      <c r="O2" s="96"/>
    </row>
    <row r="5" spans="2:44" ht="18.75">
      <c r="B5" s="97" t="s">
        <v>5909</v>
      </c>
      <c r="C5" s="96"/>
      <c r="D5" s="96"/>
      <c r="E5" s="96"/>
      <c r="F5" s="96"/>
      <c r="G5" s="96"/>
      <c r="H5" s="96"/>
      <c r="I5" s="96"/>
      <c r="J5" s="96"/>
      <c r="K5" s="96"/>
      <c r="L5" s="96"/>
    </row>
    <row r="9" spans="2:44">
      <c r="B9" s="98" t="s">
        <v>3245</v>
      </c>
      <c r="C9" s="101" t="s">
        <v>2877</v>
      </c>
      <c r="D9" s="102"/>
      <c r="E9" s="102"/>
      <c r="F9" s="102"/>
      <c r="G9" s="102"/>
      <c r="H9" s="102"/>
      <c r="I9" s="102"/>
      <c r="J9" s="102"/>
      <c r="K9" s="102"/>
      <c r="L9" s="102"/>
      <c r="M9" s="102"/>
      <c r="N9" s="102"/>
      <c r="O9" s="102"/>
      <c r="P9" s="102"/>
      <c r="Q9" s="102"/>
      <c r="R9" s="102"/>
      <c r="S9" s="102"/>
      <c r="T9" s="102"/>
      <c r="U9" s="102"/>
      <c r="V9" s="102"/>
      <c r="W9" s="102"/>
      <c r="X9" s="102"/>
      <c r="Y9" s="103"/>
    </row>
    <row r="10" spans="2:44">
      <c r="B10" s="99"/>
      <c r="C10" s="104"/>
      <c r="D10" s="105"/>
      <c r="E10" s="105"/>
      <c r="F10" s="105"/>
      <c r="G10" s="105"/>
      <c r="H10" s="105"/>
      <c r="I10" s="105"/>
      <c r="J10" s="105"/>
      <c r="K10" s="105"/>
      <c r="L10" s="105"/>
      <c r="M10" s="105"/>
      <c r="N10" s="105"/>
      <c r="O10" s="105"/>
      <c r="P10" s="105"/>
      <c r="Q10" s="105"/>
      <c r="R10" s="105"/>
      <c r="S10" s="105"/>
      <c r="T10" s="105"/>
      <c r="U10" s="105"/>
      <c r="V10" s="105"/>
      <c r="W10" s="105"/>
      <c r="X10" s="105"/>
      <c r="Y10" s="106"/>
    </row>
    <row r="11" spans="2:44" ht="120">
      <c r="B11" s="99"/>
      <c r="C11" s="98" t="s">
        <v>5910</v>
      </c>
      <c r="D11" s="107" t="s">
        <v>5911</v>
      </c>
      <c r="E11" s="109"/>
      <c r="F11" s="107" t="s">
        <v>5914</v>
      </c>
      <c r="G11" s="108"/>
      <c r="H11" s="109"/>
      <c r="I11" s="107" t="s">
        <v>5916</v>
      </c>
      <c r="J11" s="108"/>
      <c r="K11" s="109"/>
      <c r="L11" s="107" t="s">
        <v>5917</v>
      </c>
      <c r="M11" s="108"/>
      <c r="N11" s="109"/>
      <c r="O11" s="107" t="s">
        <v>5918</v>
      </c>
      <c r="P11" s="108"/>
      <c r="Q11" s="109"/>
      <c r="R11" s="107" t="s">
        <v>5919</v>
      </c>
      <c r="S11" s="108"/>
      <c r="T11" s="109"/>
      <c r="U11" s="107" t="s">
        <v>5920</v>
      </c>
      <c r="V11" s="109"/>
      <c r="W11" s="55" t="s">
        <v>5921</v>
      </c>
      <c r="X11" s="55" t="s">
        <v>5922</v>
      </c>
      <c r="Y11" s="55" t="s">
        <v>5923</v>
      </c>
    </row>
    <row r="12" spans="2:44" ht="45">
      <c r="B12" s="100"/>
      <c r="C12" s="100"/>
      <c r="D12" s="55" t="s">
        <v>5912</v>
      </c>
      <c r="E12" s="55" t="s">
        <v>5913</v>
      </c>
      <c r="F12" s="55" t="s">
        <v>5912</v>
      </c>
      <c r="G12" s="55" t="s">
        <v>5913</v>
      </c>
      <c r="H12" s="55" t="s">
        <v>5915</v>
      </c>
      <c r="I12" s="55" t="s">
        <v>5912</v>
      </c>
      <c r="J12" s="55" t="s">
        <v>5913</v>
      </c>
      <c r="K12" s="55" t="s">
        <v>5915</v>
      </c>
      <c r="L12" s="55" t="s">
        <v>5912</v>
      </c>
      <c r="M12" s="55" t="s">
        <v>5913</v>
      </c>
      <c r="N12" s="55" t="s">
        <v>5915</v>
      </c>
      <c r="O12" s="55" t="s">
        <v>5912</v>
      </c>
      <c r="P12" s="55" t="s">
        <v>5913</v>
      </c>
      <c r="Q12" s="55" t="s">
        <v>5915</v>
      </c>
      <c r="R12" s="55" t="s">
        <v>5912</v>
      </c>
      <c r="S12" s="55" t="s">
        <v>5913</v>
      </c>
      <c r="T12" s="55" t="s">
        <v>5915</v>
      </c>
      <c r="U12" s="55" t="s">
        <v>5912</v>
      </c>
      <c r="V12" s="55" t="s">
        <v>5913</v>
      </c>
      <c r="W12" s="55" t="s">
        <v>5912</v>
      </c>
      <c r="X12" s="55" t="s">
        <v>5912</v>
      </c>
      <c r="Y12" s="55" t="s">
        <v>5912</v>
      </c>
    </row>
    <row r="13" spans="2:44">
      <c r="B13" s="42" t="s">
        <v>3219</v>
      </c>
      <c r="C13" s="42" t="s">
        <v>3223</v>
      </c>
      <c r="D13" s="42" t="s">
        <v>3229</v>
      </c>
      <c r="E13" s="42" t="s">
        <v>3231</v>
      </c>
      <c r="F13" s="42" t="s">
        <v>3233</v>
      </c>
      <c r="G13" s="42" t="s">
        <v>3234</v>
      </c>
      <c r="H13" s="42" t="s">
        <v>3236</v>
      </c>
      <c r="I13" s="42" t="s">
        <v>3239</v>
      </c>
      <c r="J13" s="42" t="s">
        <v>3241</v>
      </c>
      <c r="K13" s="42" t="s">
        <v>3243</v>
      </c>
      <c r="L13" s="42" t="s">
        <v>3375</v>
      </c>
      <c r="M13" s="42" t="s">
        <v>3475</v>
      </c>
      <c r="N13" s="42" t="s">
        <v>3477</v>
      </c>
      <c r="O13" s="42" t="s">
        <v>3479</v>
      </c>
      <c r="P13" s="42" t="s">
        <v>3594</v>
      </c>
      <c r="Q13" s="42" t="s">
        <v>3596</v>
      </c>
      <c r="R13" s="42" t="s">
        <v>3599</v>
      </c>
      <c r="S13" s="42" t="s">
        <v>3481</v>
      </c>
      <c r="T13" s="42" t="s">
        <v>3508</v>
      </c>
      <c r="U13" s="42" t="s">
        <v>3509</v>
      </c>
      <c r="V13" s="42" t="s">
        <v>3511</v>
      </c>
      <c r="W13" s="42" t="s">
        <v>3513</v>
      </c>
      <c r="X13" s="42" t="s">
        <v>3514</v>
      </c>
      <c r="Y13" s="42" t="s">
        <v>3515</v>
      </c>
      <c r="AQ13" s="13" t="str">
        <f>Show!$B$178&amp;"S.35.01.04.01 Rows {"&amp;COLUMN($B$1)&amp;"}"&amp;"@ForceFilingCode:true"</f>
        <v>!S.35.01.04.01 Rows {2}@ForceFilingCode:true</v>
      </c>
      <c r="AR13" s="13" t="str">
        <f>Show!$B$178&amp;"S.35.01.04.01 Columns {"&amp;COLUMN($B$1)&amp;"}"</f>
        <v>!S.35.01.04.01 Columns {2}</v>
      </c>
    </row>
    <row r="14" spans="2:44">
      <c r="B14" s="50"/>
      <c r="C14" s="51"/>
      <c r="D14" s="60"/>
      <c r="E14" s="60"/>
      <c r="F14" s="60"/>
      <c r="G14" s="60"/>
      <c r="H14" s="70"/>
      <c r="I14" s="60"/>
      <c r="J14" s="60"/>
      <c r="K14" s="70"/>
      <c r="L14" s="60"/>
      <c r="M14" s="60"/>
      <c r="N14" s="70"/>
      <c r="O14" s="60"/>
      <c r="P14" s="60"/>
      <c r="Q14" s="70"/>
      <c r="R14" s="60"/>
      <c r="S14" s="60"/>
      <c r="T14" s="70"/>
      <c r="U14" s="60"/>
      <c r="V14" s="60"/>
      <c r="W14" s="60"/>
      <c r="X14" s="60"/>
      <c r="Y14" s="60"/>
    </row>
    <row r="16" spans="2:44">
      <c r="AQ16" s="13" t="str">
        <f>Show!$B$178&amp;Show!$B$178&amp;"S.35.01.04.01 Rows {"&amp;COLUMN($B$1)&amp;"}"</f>
        <v>!!S.35.01.04.01 Rows {2}</v>
      </c>
      <c r="AR16" s="13" t="str">
        <f>Show!$B$178&amp;Show!$B$178&amp;"S.35.01.04.01 Columns {"&amp;COLUMN($Y$1)&amp;"}"</f>
        <v>!!S.35.01.04.01 Columns {25}</v>
      </c>
    </row>
  </sheetData>
  <sheetProtection sheet="1" objects="1" scenarios="1"/>
  <mergeCells count="12">
    <mergeCell ref="R11:T11"/>
    <mergeCell ref="U11:V11"/>
    <mergeCell ref="B2:O2"/>
    <mergeCell ref="B5:L5"/>
    <mergeCell ref="B9:B12"/>
    <mergeCell ref="C9:Y10"/>
    <mergeCell ref="C11:C12"/>
    <mergeCell ref="D11:E11"/>
    <mergeCell ref="F11:H11"/>
    <mergeCell ref="I11:K11"/>
    <mergeCell ref="L11:N11"/>
    <mergeCell ref="O11:Q11"/>
  </mergeCells>
  <dataValidations count="1">
    <dataValidation type="list" errorStyle="warning" allowBlank="1" showInputMessage="1" showErrorMessage="1" sqref="C14" xr:uid="{0B4578C9-4364-4281-B796-3CEB3E87776A}">
      <formula1>hier_CS_10</formula1>
    </dataValidation>
  </dataValidation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28B82-DCFF-48B5-89C6-B9B3095040D2}">
  <sheetPr codeName="Blad183"/>
  <dimension ref="B2:AE15"/>
  <sheetViews>
    <sheetView showGridLines="0" workbookViewId="0"/>
  </sheetViews>
  <sheetFormatPr defaultRowHeight="15"/>
  <cols>
    <col min="2" max="2" width="17.42578125" bestFit="1" customWidth="1"/>
    <col min="3" max="6" width="15.7109375" customWidth="1"/>
    <col min="7" max="9" width="40.7109375" customWidth="1"/>
    <col min="10" max="11" width="15.7109375" customWidth="1"/>
    <col min="12" max="12" width="40.7109375" customWidth="1"/>
    <col min="13" max="17" width="15.7109375" customWidth="1"/>
    <col min="18" max="18" width="40.7109375" customWidth="1"/>
  </cols>
  <sheetData>
    <row r="2" spans="2:31" ht="23.25">
      <c r="B2" s="95" t="s">
        <v>783</v>
      </c>
      <c r="C2" s="96"/>
      <c r="D2" s="96"/>
      <c r="E2" s="96"/>
      <c r="F2" s="96"/>
      <c r="G2" s="96"/>
      <c r="H2" s="96"/>
      <c r="I2" s="96"/>
      <c r="J2" s="96"/>
      <c r="K2" s="96"/>
      <c r="L2" s="96"/>
      <c r="M2" s="96"/>
      <c r="N2" s="96"/>
      <c r="O2" s="96"/>
    </row>
    <row r="5" spans="2:31" ht="18.75">
      <c r="B5" s="97" t="s">
        <v>5924</v>
      </c>
      <c r="C5" s="96"/>
      <c r="D5" s="96"/>
      <c r="E5" s="96"/>
      <c r="F5" s="96"/>
      <c r="G5" s="96"/>
      <c r="H5" s="96"/>
      <c r="I5" s="96"/>
      <c r="J5" s="96"/>
      <c r="K5" s="96"/>
      <c r="L5" s="96"/>
    </row>
    <row r="9" spans="2:31">
      <c r="B9" s="98" t="s">
        <v>3374</v>
      </c>
      <c r="C9" s="98" t="s">
        <v>5925</v>
      </c>
      <c r="D9" s="98" t="s">
        <v>5926</v>
      </c>
      <c r="E9" s="98" t="s">
        <v>5927</v>
      </c>
      <c r="F9" s="98" t="s">
        <v>5928</v>
      </c>
      <c r="G9" s="101" t="s">
        <v>2877</v>
      </c>
      <c r="H9" s="102"/>
      <c r="I9" s="102"/>
      <c r="J9" s="102"/>
      <c r="K9" s="102"/>
      <c r="L9" s="102"/>
      <c r="M9" s="102"/>
      <c r="N9" s="102"/>
      <c r="O9" s="102"/>
      <c r="P9" s="102"/>
      <c r="Q9" s="102"/>
      <c r="R9" s="103"/>
    </row>
    <row r="10" spans="2:31">
      <c r="B10" s="99"/>
      <c r="C10" s="99"/>
      <c r="D10" s="99"/>
      <c r="E10" s="99"/>
      <c r="F10" s="99"/>
      <c r="G10" s="104"/>
      <c r="H10" s="105"/>
      <c r="I10" s="105"/>
      <c r="J10" s="105"/>
      <c r="K10" s="105"/>
      <c r="L10" s="105"/>
      <c r="M10" s="105"/>
      <c r="N10" s="105"/>
      <c r="O10" s="105"/>
      <c r="P10" s="105"/>
      <c r="Q10" s="105"/>
      <c r="R10" s="106"/>
    </row>
    <row r="11" spans="2:31" ht="105">
      <c r="B11" s="100"/>
      <c r="C11" s="100"/>
      <c r="D11" s="100"/>
      <c r="E11" s="100"/>
      <c r="F11" s="100"/>
      <c r="G11" s="55" t="s">
        <v>5929</v>
      </c>
      <c r="H11" s="55" t="s">
        <v>5930</v>
      </c>
      <c r="I11" s="55" t="s">
        <v>5931</v>
      </c>
      <c r="J11" s="55" t="s">
        <v>5932</v>
      </c>
      <c r="K11" s="55" t="s">
        <v>5933</v>
      </c>
      <c r="L11" s="55" t="s">
        <v>5934</v>
      </c>
      <c r="M11" s="55" t="s">
        <v>5935</v>
      </c>
      <c r="N11" s="55" t="s">
        <v>5936</v>
      </c>
      <c r="O11" s="55" t="s">
        <v>5937</v>
      </c>
      <c r="P11" s="55" t="s">
        <v>5938</v>
      </c>
      <c r="Q11" s="55" t="s">
        <v>5939</v>
      </c>
      <c r="R11" s="55" t="s">
        <v>5940</v>
      </c>
    </row>
    <row r="12" spans="2:31">
      <c r="B12" s="42" t="s">
        <v>3581</v>
      </c>
      <c r="C12" s="42" t="s">
        <v>2879</v>
      </c>
      <c r="D12" s="42" t="s">
        <v>3234</v>
      </c>
      <c r="E12" s="42" t="s">
        <v>3225</v>
      </c>
      <c r="F12" s="42" t="s">
        <v>3231</v>
      </c>
      <c r="G12" s="42" t="s">
        <v>3219</v>
      </c>
      <c r="H12" s="42" t="s">
        <v>3229</v>
      </c>
      <c r="I12" s="42" t="s">
        <v>3239</v>
      </c>
      <c r="J12" s="42" t="s">
        <v>3241</v>
      </c>
      <c r="K12" s="42" t="s">
        <v>3243</v>
      </c>
      <c r="L12" s="42" t="s">
        <v>3375</v>
      </c>
      <c r="M12" s="42" t="s">
        <v>3475</v>
      </c>
      <c r="N12" s="42" t="s">
        <v>3477</v>
      </c>
      <c r="O12" s="42" t="s">
        <v>3479</v>
      </c>
      <c r="P12" s="42" t="s">
        <v>3594</v>
      </c>
      <c r="Q12" s="42" t="s">
        <v>3596</v>
      </c>
      <c r="R12" s="42" t="s">
        <v>3599</v>
      </c>
      <c r="AD12" s="13" t="str">
        <f>Show!$B$179&amp;"S.36.01.01.01 Rows {"&amp;COLUMN($B$1)&amp;"}"&amp;"@ForceFilingCode:true"</f>
        <v>!S.36.01.01.01 Rows {2}@ForceFilingCode:true</v>
      </c>
      <c r="AE12" s="13" t="str">
        <f>Show!$B$179&amp;"S.36.01.01.01 Columns {"&amp;COLUMN($B$1)&amp;"}"</f>
        <v>!S.36.01.01.01 Columns {2}</v>
      </c>
    </row>
    <row r="13" spans="2:31">
      <c r="B13" s="50"/>
      <c r="C13" s="50"/>
      <c r="D13" s="50"/>
      <c r="E13" s="50"/>
      <c r="F13" s="50"/>
      <c r="G13" s="51"/>
      <c r="H13" s="51"/>
      <c r="I13" s="51"/>
      <c r="J13" s="54"/>
      <c r="K13" s="54"/>
      <c r="L13" s="51"/>
      <c r="M13" s="60"/>
      <c r="N13" s="60"/>
      <c r="O13" s="60"/>
      <c r="P13" s="60"/>
      <c r="Q13" s="60"/>
      <c r="R13" s="51"/>
    </row>
    <row r="15" spans="2:31">
      <c r="AD15" s="13" t="str">
        <f>Show!$B$179&amp;Show!$B$179&amp;"S.36.01.01.01 Rows {"&amp;COLUMN($B$1)&amp;"}"</f>
        <v>!!S.36.01.01.01 Rows {2}</v>
      </c>
      <c r="AE15" s="13" t="str">
        <f>Show!$B$179&amp;Show!$B$179&amp;"S.36.01.01.01 Columns {"&amp;COLUMN($R$1)&amp;"}"</f>
        <v>!!S.36.01.01.01 Columns {18}</v>
      </c>
    </row>
  </sheetData>
  <sheetProtection sheet="1" objects="1" scenarios="1"/>
  <mergeCells count="8">
    <mergeCell ref="B2:O2"/>
    <mergeCell ref="B5:L5"/>
    <mergeCell ref="B9:B11"/>
    <mergeCell ref="C9:C11"/>
    <mergeCell ref="D9:D11"/>
    <mergeCell ref="E9:E11"/>
    <mergeCell ref="F9:F11"/>
    <mergeCell ref="G9:R10"/>
  </mergeCells>
  <dataValidations count="3">
    <dataValidation type="list" errorStyle="warning" allowBlank="1" showInputMessage="1" showErrorMessage="1" sqref="I13" xr:uid="{76549195-1FAC-4105-823F-CFA31C1B1F59}">
      <formula1>hier_MC_35</formula1>
    </dataValidation>
    <dataValidation type="date" operator="greaterThan" allowBlank="1" showInputMessage="1" showErrorMessage="1" errorTitle="Date value" error="This cell can only contain dates" sqref="J13:K13" xr:uid="{371CD95A-530E-4BA7-9072-929C3947F353}">
      <formula1>1</formula1>
    </dataValidation>
    <dataValidation type="list" errorStyle="warning" allowBlank="1" showInputMessage="1" showErrorMessage="1" sqref="L13" xr:uid="{79E63E38-0B10-4E34-8321-04441CDE7F53}">
      <formula1>hier_CU_1</formula1>
    </dataValidation>
  </dataValidation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B73F-5FF1-4630-B2E8-4C9302EF44AB}">
  <sheetPr codeName="Blad184"/>
  <dimension ref="B2:AL16"/>
  <sheetViews>
    <sheetView showGridLines="0" workbookViewId="0"/>
  </sheetViews>
  <sheetFormatPr defaultRowHeight="15"/>
  <cols>
    <col min="2" max="2" width="17.42578125" bestFit="1" customWidth="1"/>
    <col min="3" max="6" width="15.7109375" customWidth="1"/>
    <col min="7" max="9" width="40.7109375" customWidth="1"/>
    <col min="10" max="11" width="15.7109375" customWidth="1"/>
    <col min="12" max="12" width="40.7109375" customWidth="1"/>
    <col min="13" max="15" width="15.7109375" customWidth="1"/>
    <col min="16" max="22" width="40.7109375" customWidth="1"/>
  </cols>
  <sheetData>
    <row r="2" spans="2:38" ht="23.25">
      <c r="B2" s="95" t="s">
        <v>785</v>
      </c>
      <c r="C2" s="96"/>
      <c r="D2" s="96"/>
      <c r="E2" s="96"/>
      <c r="F2" s="96"/>
      <c r="G2" s="96"/>
      <c r="H2" s="96"/>
      <c r="I2" s="96"/>
      <c r="J2" s="96"/>
      <c r="K2" s="96"/>
      <c r="L2" s="96"/>
      <c r="M2" s="96"/>
      <c r="N2" s="96"/>
      <c r="O2" s="96"/>
    </row>
    <row r="5" spans="2:38" ht="18.75">
      <c r="B5" s="97" t="s">
        <v>5941</v>
      </c>
      <c r="C5" s="96"/>
      <c r="D5" s="96"/>
      <c r="E5" s="96"/>
      <c r="F5" s="96"/>
      <c r="G5" s="96"/>
      <c r="H5" s="96"/>
      <c r="I5" s="96"/>
      <c r="J5" s="96"/>
      <c r="K5" s="96"/>
      <c r="L5" s="96"/>
    </row>
    <row r="9" spans="2:38">
      <c r="B9" s="98" t="s">
        <v>3374</v>
      </c>
      <c r="C9" s="98" t="s">
        <v>5925</v>
      </c>
      <c r="D9" s="98" t="s">
        <v>5926</v>
      </c>
      <c r="E9" s="98" t="s">
        <v>5942</v>
      </c>
      <c r="F9" s="98" t="s">
        <v>5943</v>
      </c>
      <c r="G9" s="101" t="s">
        <v>2877</v>
      </c>
      <c r="H9" s="102"/>
      <c r="I9" s="102"/>
      <c r="J9" s="102"/>
      <c r="K9" s="102"/>
      <c r="L9" s="102"/>
      <c r="M9" s="102"/>
      <c r="N9" s="102"/>
      <c r="O9" s="102"/>
      <c r="P9" s="102"/>
      <c r="Q9" s="102"/>
      <c r="R9" s="102"/>
      <c r="S9" s="102"/>
      <c r="T9" s="102"/>
      <c r="U9" s="102"/>
      <c r="V9" s="103"/>
    </row>
    <row r="10" spans="2:38">
      <c r="B10" s="99"/>
      <c r="C10" s="99"/>
      <c r="D10" s="99"/>
      <c r="E10" s="99"/>
      <c r="F10" s="99"/>
      <c r="G10" s="104"/>
      <c r="H10" s="105"/>
      <c r="I10" s="105"/>
      <c r="J10" s="105"/>
      <c r="K10" s="105"/>
      <c r="L10" s="105"/>
      <c r="M10" s="105"/>
      <c r="N10" s="105"/>
      <c r="O10" s="105"/>
      <c r="P10" s="105"/>
      <c r="Q10" s="105"/>
      <c r="R10" s="105"/>
      <c r="S10" s="105"/>
      <c r="T10" s="105"/>
      <c r="U10" s="105"/>
      <c r="V10" s="106"/>
    </row>
    <row r="11" spans="2:38">
      <c r="B11" s="99"/>
      <c r="C11" s="99"/>
      <c r="D11" s="99"/>
      <c r="E11" s="99"/>
      <c r="F11" s="99"/>
      <c r="G11" s="98" t="s">
        <v>5944</v>
      </c>
      <c r="H11" s="98" t="s">
        <v>5945</v>
      </c>
      <c r="I11" s="98" t="s">
        <v>5931</v>
      </c>
      <c r="J11" s="98" t="s">
        <v>5946</v>
      </c>
      <c r="K11" s="98" t="s">
        <v>3627</v>
      </c>
      <c r="L11" s="98" t="s">
        <v>3606</v>
      </c>
      <c r="M11" s="98" t="s">
        <v>5947</v>
      </c>
      <c r="N11" s="98" t="s">
        <v>5948</v>
      </c>
      <c r="O11" s="98" t="s">
        <v>5949</v>
      </c>
      <c r="P11" s="107" t="s">
        <v>5950</v>
      </c>
      <c r="Q11" s="109"/>
      <c r="R11" s="55" t="s">
        <v>5953</v>
      </c>
      <c r="S11" s="107" t="s">
        <v>2386</v>
      </c>
      <c r="T11" s="108"/>
      <c r="U11" s="108"/>
      <c r="V11" s="109"/>
    </row>
    <row r="12" spans="2:38" ht="30">
      <c r="B12" s="100"/>
      <c r="C12" s="100"/>
      <c r="D12" s="100"/>
      <c r="E12" s="100"/>
      <c r="F12" s="100"/>
      <c r="G12" s="100"/>
      <c r="H12" s="100"/>
      <c r="I12" s="100"/>
      <c r="J12" s="100"/>
      <c r="K12" s="100"/>
      <c r="L12" s="100"/>
      <c r="M12" s="100"/>
      <c r="N12" s="100"/>
      <c r="O12" s="100"/>
      <c r="P12" s="55" t="s">
        <v>5951</v>
      </c>
      <c r="Q12" s="55" t="s">
        <v>5952</v>
      </c>
      <c r="R12" s="55" t="s">
        <v>5954</v>
      </c>
      <c r="S12" s="55" t="s">
        <v>5955</v>
      </c>
      <c r="T12" s="55" t="s">
        <v>5956</v>
      </c>
      <c r="U12" s="55" t="s">
        <v>5957</v>
      </c>
      <c r="V12" s="55" t="s">
        <v>5958</v>
      </c>
    </row>
    <row r="13" spans="2:38">
      <c r="B13" s="42" t="s">
        <v>3581</v>
      </c>
      <c r="C13" s="42" t="s">
        <v>2879</v>
      </c>
      <c r="D13" s="42" t="s">
        <v>3234</v>
      </c>
      <c r="E13" s="42" t="s">
        <v>3225</v>
      </c>
      <c r="F13" s="42" t="s">
        <v>3231</v>
      </c>
      <c r="G13" s="42" t="s">
        <v>3219</v>
      </c>
      <c r="H13" s="42" t="s">
        <v>3229</v>
      </c>
      <c r="I13" s="42" t="s">
        <v>3239</v>
      </c>
      <c r="J13" s="42" t="s">
        <v>3241</v>
      </c>
      <c r="K13" s="42" t="s">
        <v>3243</v>
      </c>
      <c r="L13" s="42" t="s">
        <v>3375</v>
      </c>
      <c r="M13" s="42" t="s">
        <v>3475</v>
      </c>
      <c r="N13" s="42" t="s">
        <v>3477</v>
      </c>
      <c r="O13" s="42" t="s">
        <v>3479</v>
      </c>
      <c r="P13" s="42" t="s">
        <v>3594</v>
      </c>
      <c r="Q13" s="42" t="s">
        <v>3596</v>
      </c>
      <c r="R13" s="42" t="s">
        <v>3481</v>
      </c>
      <c r="S13" s="42" t="s">
        <v>3508</v>
      </c>
      <c r="T13" s="42" t="s">
        <v>3509</v>
      </c>
      <c r="U13" s="42" t="s">
        <v>3511</v>
      </c>
      <c r="V13" s="42" t="s">
        <v>3513</v>
      </c>
      <c r="AK13" s="13" t="str">
        <f>Show!$B$180&amp;"S.36.02.01.01 Rows {"&amp;COLUMN($B$1)&amp;"}"&amp;"@ForceFilingCode:true"</f>
        <v>!S.36.02.01.01 Rows {2}@ForceFilingCode:true</v>
      </c>
      <c r="AL13" s="13" t="str">
        <f>Show!$B$180&amp;"S.36.02.01.01 Columns {"&amp;COLUMN($B$1)&amp;"}"</f>
        <v>!S.36.02.01.01 Columns {2}</v>
      </c>
    </row>
    <row r="14" spans="2:38">
      <c r="B14" s="50"/>
      <c r="C14" s="50"/>
      <c r="D14" s="50"/>
      <c r="E14" s="50"/>
      <c r="F14" s="50"/>
      <c r="G14" s="51"/>
      <c r="H14" s="51"/>
      <c r="I14" s="51"/>
      <c r="J14" s="54"/>
      <c r="K14" s="54"/>
      <c r="L14" s="51"/>
      <c r="M14" s="60"/>
      <c r="N14" s="60"/>
      <c r="O14" s="60"/>
      <c r="P14" s="51"/>
      <c r="Q14" s="51"/>
      <c r="R14" s="51"/>
      <c r="S14" s="51"/>
      <c r="T14" s="51"/>
      <c r="U14" s="51"/>
      <c r="V14" s="51"/>
    </row>
    <row r="16" spans="2:38">
      <c r="AK16" s="13" t="str">
        <f>Show!$B$180&amp;Show!$B$180&amp;"S.36.02.01.01 Rows {"&amp;COLUMN($B$1)&amp;"}"</f>
        <v>!!S.36.02.01.01 Rows {2}</v>
      </c>
      <c r="AL16" s="13" t="str">
        <f>Show!$B$180&amp;Show!$B$180&amp;"S.36.02.01.01 Columns {"&amp;COLUMN($V$1)&amp;"}"</f>
        <v>!!S.36.02.01.01 Columns {22}</v>
      </c>
    </row>
  </sheetData>
  <sheetProtection sheet="1" objects="1" scenarios="1"/>
  <mergeCells count="19">
    <mergeCell ref="L11:L12"/>
    <mergeCell ref="M11:M12"/>
    <mergeCell ref="N11:N12"/>
    <mergeCell ref="B2:O2"/>
    <mergeCell ref="B5:L5"/>
    <mergeCell ref="B9:B12"/>
    <mergeCell ref="C9:C12"/>
    <mergeCell ref="D9:D12"/>
    <mergeCell ref="E9:E12"/>
    <mergeCell ref="F9:F12"/>
    <mergeCell ref="G9:V10"/>
    <mergeCell ref="G11:G12"/>
    <mergeCell ref="H11:H12"/>
    <mergeCell ref="O11:O12"/>
    <mergeCell ref="P11:Q11"/>
    <mergeCell ref="S11:V11"/>
    <mergeCell ref="I11:I12"/>
    <mergeCell ref="J11:J12"/>
    <mergeCell ref="K11:K12"/>
  </mergeCells>
  <dataValidations count="5">
    <dataValidation type="list" errorStyle="warning" allowBlank="1" showInputMessage="1" showErrorMessage="1" sqref="I14" xr:uid="{8AC870B4-2262-45E6-8627-CCFB91DF3F7E}">
      <formula1>hier_MC_36</formula1>
    </dataValidation>
    <dataValidation type="date" operator="greaterThan" allowBlank="1" showInputMessage="1" showErrorMessage="1" errorTitle="Date value" error="This cell can only contain dates" sqref="J14:K14" xr:uid="{D8AE5EB9-F3A1-4316-9EC3-94165C3CE177}">
      <formula1>1</formula1>
    </dataValidation>
    <dataValidation type="list" errorStyle="warning" allowBlank="1" showInputMessage="1" showErrorMessage="1" sqref="L14" xr:uid="{1390C2C5-6C61-43CA-B7EE-460C5C1EF253}">
      <formula1>hier_CU_1</formula1>
    </dataValidation>
    <dataValidation type="list" errorStyle="warning" allowBlank="1" showInputMessage="1" showErrorMessage="1" sqref="P14" xr:uid="{022FF3E4-CCDD-4E4D-9E38-C4158E63CBFC}">
      <formula1>hier_PU_19</formula1>
    </dataValidation>
    <dataValidation type="list" errorStyle="warning" allowBlank="1" showInputMessage="1" showErrorMessage="1" sqref="U14 V14" xr:uid="{60DBD8CD-87F3-4440-9EC9-16F5F6F5FD7B}">
      <formula1>hier_CU_5</formula1>
    </dataValidation>
  </dataValidation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35887-027E-4919-B61E-07E4BBBA64A9}">
  <sheetPr codeName="Blad185"/>
  <dimension ref="B2:AD15"/>
  <sheetViews>
    <sheetView showGridLines="0" workbookViewId="0"/>
  </sheetViews>
  <sheetFormatPr defaultRowHeight="15"/>
  <cols>
    <col min="2" max="2" width="17.42578125" bestFit="1" customWidth="1"/>
    <col min="3" max="3" width="15.7109375" customWidth="1"/>
    <col min="4" max="4" width="40.7109375" customWidth="1"/>
    <col min="5" max="6" width="15.7109375" customWidth="1"/>
    <col min="7" max="8" width="40.7109375" customWidth="1"/>
    <col min="9" max="10" width="15.7109375" customWidth="1"/>
    <col min="11" max="12" width="40.7109375" customWidth="1"/>
    <col min="13" max="16" width="15.7109375" customWidth="1"/>
  </cols>
  <sheetData>
    <row r="2" spans="2:30" ht="23.25">
      <c r="B2" s="95" t="s">
        <v>787</v>
      </c>
      <c r="C2" s="96"/>
      <c r="D2" s="96"/>
      <c r="E2" s="96"/>
      <c r="F2" s="96"/>
      <c r="G2" s="96"/>
      <c r="H2" s="96"/>
      <c r="I2" s="96"/>
      <c r="J2" s="96"/>
      <c r="K2" s="96"/>
      <c r="L2" s="96"/>
      <c r="M2" s="96"/>
      <c r="N2" s="96"/>
      <c r="O2" s="96"/>
    </row>
    <row r="5" spans="2:30" ht="18.75">
      <c r="B5" s="97" t="s">
        <v>5959</v>
      </c>
      <c r="C5" s="96"/>
      <c r="D5" s="96"/>
      <c r="E5" s="96"/>
      <c r="F5" s="96"/>
      <c r="G5" s="96"/>
      <c r="H5" s="96"/>
      <c r="I5" s="96"/>
      <c r="J5" s="96"/>
      <c r="K5" s="96"/>
      <c r="L5" s="96"/>
    </row>
    <row r="9" spans="2:30">
      <c r="B9" s="98" t="s">
        <v>3374</v>
      </c>
      <c r="C9" s="98" t="s">
        <v>5925</v>
      </c>
      <c r="D9" s="98" t="s">
        <v>3427</v>
      </c>
      <c r="E9" s="98" t="s">
        <v>5960</v>
      </c>
      <c r="F9" s="98" t="s">
        <v>5961</v>
      </c>
      <c r="G9" s="101" t="s">
        <v>2877</v>
      </c>
      <c r="H9" s="102"/>
      <c r="I9" s="102"/>
      <c r="J9" s="102"/>
      <c r="K9" s="102"/>
      <c r="L9" s="102"/>
      <c r="M9" s="102"/>
      <c r="N9" s="102"/>
      <c r="O9" s="102"/>
      <c r="P9" s="103"/>
    </row>
    <row r="10" spans="2:30">
      <c r="B10" s="99"/>
      <c r="C10" s="99"/>
      <c r="D10" s="99"/>
      <c r="E10" s="99"/>
      <c r="F10" s="99"/>
      <c r="G10" s="104"/>
      <c r="H10" s="105"/>
      <c r="I10" s="105"/>
      <c r="J10" s="105"/>
      <c r="K10" s="105"/>
      <c r="L10" s="105"/>
      <c r="M10" s="105"/>
      <c r="N10" s="105"/>
      <c r="O10" s="105"/>
      <c r="P10" s="106"/>
    </row>
    <row r="11" spans="2:30" ht="60">
      <c r="B11" s="100"/>
      <c r="C11" s="100"/>
      <c r="D11" s="100"/>
      <c r="E11" s="100"/>
      <c r="F11" s="100"/>
      <c r="G11" s="55" t="s">
        <v>5962</v>
      </c>
      <c r="H11" s="55" t="s">
        <v>5963</v>
      </c>
      <c r="I11" s="55" t="s">
        <v>4223</v>
      </c>
      <c r="J11" s="55" t="s">
        <v>4224</v>
      </c>
      <c r="K11" s="55" t="s">
        <v>5964</v>
      </c>
      <c r="L11" s="55" t="s">
        <v>5965</v>
      </c>
      <c r="M11" s="55" t="s">
        <v>5966</v>
      </c>
      <c r="N11" s="55" t="s">
        <v>5967</v>
      </c>
      <c r="O11" s="55" t="s">
        <v>5968</v>
      </c>
      <c r="P11" s="55" t="s">
        <v>5969</v>
      </c>
    </row>
    <row r="12" spans="2:30">
      <c r="B12" s="42" t="s">
        <v>3581</v>
      </c>
      <c r="C12" s="42" t="s">
        <v>2879</v>
      </c>
      <c r="D12" s="42" t="s">
        <v>3479</v>
      </c>
      <c r="E12" s="42" t="s">
        <v>3225</v>
      </c>
      <c r="F12" s="42" t="s">
        <v>3231</v>
      </c>
      <c r="G12" s="42" t="s">
        <v>3219</v>
      </c>
      <c r="H12" s="42" t="s">
        <v>3229</v>
      </c>
      <c r="I12" s="42" t="s">
        <v>3234</v>
      </c>
      <c r="J12" s="42" t="s">
        <v>3236</v>
      </c>
      <c r="K12" s="42" t="s">
        <v>3239</v>
      </c>
      <c r="L12" s="42" t="s">
        <v>3241</v>
      </c>
      <c r="M12" s="42" t="s">
        <v>3243</v>
      </c>
      <c r="N12" s="42" t="s">
        <v>3375</v>
      </c>
      <c r="O12" s="42" t="s">
        <v>3475</v>
      </c>
      <c r="P12" s="42" t="s">
        <v>3477</v>
      </c>
      <c r="AC12" s="13" t="str">
        <f>Show!$B$181&amp;"S.36.03.01.01 Rows {"&amp;COLUMN($B$1)&amp;"}"&amp;"@ForceFilingCode:true"</f>
        <v>!S.36.03.01.01 Rows {2}@ForceFilingCode:true</v>
      </c>
      <c r="AD12" s="13" t="str">
        <f>Show!$B$181&amp;"S.36.03.01.01 Columns {"&amp;COLUMN($B$1)&amp;"}"</f>
        <v>!S.36.03.01.01 Columns {2}</v>
      </c>
    </row>
    <row r="13" spans="2:30">
      <c r="B13" s="50"/>
      <c r="C13" s="50"/>
      <c r="D13" s="51"/>
      <c r="E13" s="50"/>
      <c r="F13" s="50"/>
      <c r="G13" s="51"/>
      <c r="H13" s="51"/>
      <c r="I13" s="54"/>
      <c r="J13" s="54"/>
      <c r="K13" s="51"/>
      <c r="L13" s="51"/>
      <c r="M13" s="60"/>
      <c r="N13" s="60"/>
      <c r="O13" s="60"/>
      <c r="P13" s="60"/>
    </row>
    <row r="15" spans="2:30">
      <c r="AC15" s="13" t="str">
        <f>Show!$B$181&amp;Show!$B$181&amp;"S.36.03.01.01 Rows {"&amp;COLUMN($B$1)&amp;"}"</f>
        <v>!!S.36.03.01.01 Rows {2}</v>
      </c>
      <c r="AD15" s="13" t="str">
        <f>Show!$B$181&amp;Show!$B$181&amp;"S.36.03.01.01 Columns {"&amp;COLUMN($P$1)&amp;"}"</f>
        <v>!!S.36.03.01.01 Columns {16}</v>
      </c>
    </row>
  </sheetData>
  <sheetProtection sheet="1" objects="1" scenarios="1"/>
  <mergeCells count="8">
    <mergeCell ref="B2:O2"/>
    <mergeCell ref="B5:L5"/>
    <mergeCell ref="B9:B11"/>
    <mergeCell ref="C9:C11"/>
    <mergeCell ref="D9:D11"/>
    <mergeCell ref="E9:E11"/>
    <mergeCell ref="F9:F11"/>
    <mergeCell ref="G9:P10"/>
  </mergeCells>
  <dataValidations count="4">
    <dataValidation type="list" errorStyle="warning" allowBlank="1" showInputMessage="1" showErrorMessage="1" sqref="D13" xr:uid="{DB5791F8-D2B7-4A89-8394-C6DFB9A176CC}">
      <formula1>hier_LB_43</formula1>
    </dataValidation>
    <dataValidation type="date" operator="greaterThan" allowBlank="1" showInputMessage="1" showErrorMessage="1" errorTitle="Date value" error="This cell can only contain dates" sqref="I13:J13" xr:uid="{61F28066-A842-4642-8399-39149357B7E7}">
      <formula1>1</formula1>
    </dataValidation>
    <dataValidation type="list" errorStyle="warning" allowBlank="1" showInputMessage="1" showErrorMessage="1" sqref="K13" xr:uid="{A0C8F376-19AE-4304-B9A9-855A99390FB3}">
      <formula1>hier_CU_1</formula1>
    </dataValidation>
    <dataValidation type="list" errorStyle="warning" allowBlank="1" showInputMessage="1" showErrorMessage="1" sqref="L13" xr:uid="{08FDD934-8F43-447B-A00A-28B99C442A4C}">
      <formula1>hier_TB_14</formula1>
    </dataValidation>
  </dataValidation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60AA-CBB7-41DF-A8B7-37C4753094F4}">
  <sheetPr codeName="Blad186"/>
  <dimension ref="B2:AD15"/>
  <sheetViews>
    <sheetView showGridLines="0" workbookViewId="0"/>
  </sheetViews>
  <sheetFormatPr defaultRowHeight="15"/>
  <cols>
    <col min="2" max="2" width="17.42578125" bestFit="1" customWidth="1"/>
    <col min="3" max="5" width="15.7109375" customWidth="1"/>
    <col min="6" max="8" width="40.7109375" customWidth="1"/>
    <col min="9" max="11" width="15.7109375" customWidth="1"/>
    <col min="12" max="13" width="40.7109375" customWidth="1"/>
    <col min="14" max="18" width="15.7109375" customWidth="1"/>
  </cols>
  <sheetData>
    <row r="2" spans="2:30" ht="23.25">
      <c r="B2" s="95" t="s">
        <v>789</v>
      </c>
      <c r="C2" s="96"/>
      <c r="D2" s="96"/>
      <c r="E2" s="96"/>
      <c r="F2" s="96"/>
      <c r="G2" s="96"/>
      <c r="H2" s="96"/>
      <c r="I2" s="96"/>
      <c r="J2" s="96"/>
      <c r="K2" s="96"/>
      <c r="L2" s="96"/>
      <c r="M2" s="96"/>
      <c r="N2" s="96"/>
      <c r="O2" s="96"/>
    </row>
    <row r="5" spans="2:30" ht="18.75">
      <c r="B5" s="97" t="s">
        <v>5970</v>
      </c>
      <c r="C5" s="96"/>
      <c r="D5" s="96"/>
      <c r="E5" s="96"/>
      <c r="F5" s="96"/>
      <c r="G5" s="96"/>
      <c r="H5" s="96"/>
      <c r="I5" s="96"/>
      <c r="J5" s="96"/>
      <c r="K5" s="96"/>
      <c r="L5" s="96"/>
    </row>
    <row r="9" spans="2:30">
      <c r="B9" s="98" t="s">
        <v>3374</v>
      </c>
      <c r="C9" s="98" t="s">
        <v>5925</v>
      </c>
      <c r="D9" s="98" t="s">
        <v>5971</v>
      </c>
      <c r="E9" s="98" t="s">
        <v>5972</v>
      </c>
      <c r="F9" s="101" t="s">
        <v>2877</v>
      </c>
      <c r="G9" s="102"/>
      <c r="H9" s="102"/>
      <c r="I9" s="102"/>
      <c r="J9" s="102"/>
      <c r="K9" s="102"/>
      <c r="L9" s="102"/>
      <c r="M9" s="102"/>
      <c r="N9" s="102"/>
      <c r="O9" s="102"/>
      <c r="P9" s="102"/>
      <c r="Q9" s="102"/>
      <c r="R9" s="103"/>
    </row>
    <row r="10" spans="2:30">
      <c r="B10" s="99"/>
      <c r="C10" s="99"/>
      <c r="D10" s="99"/>
      <c r="E10" s="99"/>
      <c r="F10" s="104"/>
      <c r="G10" s="105"/>
      <c r="H10" s="105"/>
      <c r="I10" s="105"/>
      <c r="J10" s="105"/>
      <c r="K10" s="105"/>
      <c r="L10" s="105"/>
      <c r="M10" s="105"/>
      <c r="N10" s="105"/>
      <c r="O10" s="105"/>
      <c r="P10" s="105"/>
      <c r="Q10" s="105"/>
      <c r="R10" s="106"/>
    </row>
    <row r="11" spans="2:30" ht="105">
      <c r="B11" s="100"/>
      <c r="C11" s="100"/>
      <c r="D11" s="100"/>
      <c r="E11" s="100"/>
      <c r="F11" s="55" t="s">
        <v>5973</v>
      </c>
      <c r="G11" s="55" t="s">
        <v>5974</v>
      </c>
      <c r="H11" s="55" t="s">
        <v>5931</v>
      </c>
      <c r="I11" s="55" t="s">
        <v>5932</v>
      </c>
      <c r="J11" s="55" t="s">
        <v>5975</v>
      </c>
      <c r="K11" s="55" t="s">
        <v>5976</v>
      </c>
      <c r="L11" s="55" t="s">
        <v>5934</v>
      </c>
      <c r="M11" s="55" t="s">
        <v>5977</v>
      </c>
      <c r="N11" s="55" t="s">
        <v>5978</v>
      </c>
      <c r="O11" s="55" t="s">
        <v>5979</v>
      </c>
      <c r="P11" s="55" t="s">
        <v>5980</v>
      </c>
      <c r="Q11" s="55" t="s">
        <v>5981</v>
      </c>
      <c r="R11" s="55" t="s">
        <v>5982</v>
      </c>
    </row>
    <row r="12" spans="2:30">
      <c r="B12" s="42" t="s">
        <v>3581</v>
      </c>
      <c r="C12" s="42" t="s">
        <v>2879</v>
      </c>
      <c r="D12" s="42" t="s">
        <v>3225</v>
      </c>
      <c r="E12" s="42" t="s">
        <v>3231</v>
      </c>
      <c r="F12" s="42" t="s">
        <v>3219</v>
      </c>
      <c r="G12" s="42" t="s">
        <v>3229</v>
      </c>
      <c r="H12" s="42" t="s">
        <v>3234</v>
      </c>
      <c r="I12" s="42" t="s">
        <v>3236</v>
      </c>
      <c r="J12" s="42" t="s">
        <v>3239</v>
      </c>
      <c r="K12" s="42" t="s">
        <v>3241</v>
      </c>
      <c r="L12" s="42" t="s">
        <v>3243</v>
      </c>
      <c r="M12" s="42" t="s">
        <v>3375</v>
      </c>
      <c r="N12" s="42" t="s">
        <v>3475</v>
      </c>
      <c r="O12" s="42" t="s">
        <v>3477</v>
      </c>
      <c r="P12" s="42" t="s">
        <v>3479</v>
      </c>
      <c r="Q12" s="42" t="s">
        <v>3594</v>
      </c>
      <c r="R12" s="42" t="s">
        <v>3596</v>
      </c>
      <c r="AC12" s="13" t="str">
        <f>Show!$B$182&amp;"S.36.04.01.01 Rows {"&amp;COLUMN($B$1)&amp;"}"&amp;"@ForceFilingCode:true"</f>
        <v>!S.36.04.01.01 Rows {2}@ForceFilingCode:true</v>
      </c>
      <c r="AD12" s="13" t="str">
        <f>Show!$B$182&amp;"S.36.04.01.01 Columns {"&amp;COLUMN($B$1)&amp;"}"</f>
        <v>!S.36.04.01.01 Columns {2}</v>
      </c>
    </row>
    <row r="13" spans="2:30">
      <c r="B13" s="50"/>
      <c r="C13" s="50"/>
      <c r="D13" s="50"/>
      <c r="E13" s="50"/>
      <c r="F13" s="51"/>
      <c r="G13" s="51"/>
      <c r="H13" s="51"/>
      <c r="I13" s="54"/>
      <c r="J13" s="54"/>
      <c r="K13" s="54"/>
      <c r="L13" s="51"/>
      <c r="M13" s="51"/>
      <c r="N13" s="60"/>
      <c r="O13" s="60"/>
      <c r="P13" s="60"/>
      <c r="Q13" s="60"/>
      <c r="R13" s="60"/>
    </row>
    <row r="15" spans="2:30">
      <c r="AC15" s="13" t="str">
        <f>Show!$B$182&amp;Show!$B$182&amp;"S.36.04.01.01 Rows {"&amp;COLUMN($B$1)&amp;"}"</f>
        <v>!!S.36.04.01.01 Rows {2}</v>
      </c>
      <c r="AD15" s="13" t="str">
        <f>Show!$B$182&amp;Show!$B$182&amp;"S.36.04.01.01 Columns {"&amp;COLUMN($R$1)&amp;"}"</f>
        <v>!!S.36.04.01.01 Columns {18}</v>
      </c>
    </row>
  </sheetData>
  <sheetProtection sheet="1" objects="1" scenarios="1"/>
  <mergeCells count="7">
    <mergeCell ref="B2:O2"/>
    <mergeCell ref="B5:L5"/>
    <mergeCell ref="B9:B11"/>
    <mergeCell ref="C9:C11"/>
    <mergeCell ref="D9:D11"/>
    <mergeCell ref="E9:E11"/>
    <mergeCell ref="F9:R10"/>
  </mergeCells>
  <dataValidations count="3">
    <dataValidation type="list" errorStyle="warning" allowBlank="1" showInputMessage="1" showErrorMessage="1" sqref="H13" xr:uid="{D4AE2842-901A-4F9C-861D-71A44884B641}">
      <formula1>hier_MC_37</formula1>
    </dataValidation>
    <dataValidation type="date" operator="greaterThan" allowBlank="1" showInputMessage="1" showErrorMessage="1" errorTitle="Date value" error="This cell can only contain dates" sqref="I13:K13" xr:uid="{0F66B50E-A49B-472D-80B1-762F5978EB8F}">
      <formula1>1</formula1>
    </dataValidation>
    <dataValidation type="list" errorStyle="warning" allowBlank="1" showInputMessage="1" showErrorMessage="1" sqref="L13" xr:uid="{60986C7F-3374-42FC-AEAE-5DAEB5044508}">
      <formula1>hier_CU_1</formula1>
    </dataValidation>
  </dataValidation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40312-8C7C-443A-969F-9C7C77A9DDED}">
  <sheetPr codeName="Blad187"/>
  <dimension ref="B2:AC15"/>
  <sheetViews>
    <sheetView showGridLines="0" workbookViewId="0"/>
  </sheetViews>
  <sheetFormatPr defaultRowHeight="15"/>
  <cols>
    <col min="2" max="2" width="17.42578125" bestFit="1" customWidth="1"/>
    <col min="3" max="5" width="15.7109375" customWidth="1"/>
    <col min="6" max="13" width="40.7109375" customWidth="1"/>
    <col min="14" max="15" width="15.7109375" customWidth="1"/>
    <col min="16" max="16" width="40.7109375" customWidth="1"/>
    <col min="17" max="17" width="15.7109375" customWidth="1"/>
  </cols>
  <sheetData>
    <row r="2" spans="2:29" ht="23.25">
      <c r="B2" s="95" t="s">
        <v>791</v>
      </c>
      <c r="C2" s="96"/>
      <c r="D2" s="96"/>
      <c r="E2" s="96"/>
      <c r="F2" s="96"/>
      <c r="G2" s="96"/>
      <c r="H2" s="96"/>
      <c r="I2" s="96"/>
      <c r="J2" s="96"/>
      <c r="K2" s="96"/>
      <c r="L2" s="96"/>
      <c r="M2" s="96"/>
      <c r="N2" s="96"/>
      <c r="O2" s="96"/>
    </row>
    <row r="5" spans="2:29" ht="18.75">
      <c r="B5" s="97" t="s">
        <v>5983</v>
      </c>
      <c r="C5" s="96"/>
      <c r="D5" s="96"/>
      <c r="E5" s="96"/>
      <c r="F5" s="96"/>
      <c r="G5" s="96"/>
      <c r="H5" s="96"/>
      <c r="I5" s="96"/>
      <c r="J5" s="96"/>
      <c r="K5" s="96"/>
      <c r="L5" s="96"/>
    </row>
    <row r="9" spans="2:29">
      <c r="B9" s="98" t="s">
        <v>3374</v>
      </c>
      <c r="C9" s="98" t="s">
        <v>5984</v>
      </c>
      <c r="D9" s="98" t="s">
        <v>5985</v>
      </c>
      <c r="E9" s="98" t="s">
        <v>5986</v>
      </c>
      <c r="F9" s="101" t="s">
        <v>2877</v>
      </c>
      <c r="G9" s="102"/>
      <c r="H9" s="102"/>
      <c r="I9" s="102"/>
      <c r="J9" s="102"/>
      <c r="K9" s="102"/>
      <c r="L9" s="102"/>
      <c r="M9" s="102"/>
      <c r="N9" s="102"/>
      <c r="O9" s="102"/>
      <c r="P9" s="102"/>
      <c r="Q9" s="103"/>
    </row>
    <row r="10" spans="2:29">
      <c r="B10" s="99"/>
      <c r="C10" s="99"/>
      <c r="D10" s="99"/>
      <c r="E10" s="99"/>
      <c r="F10" s="104"/>
      <c r="G10" s="105"/>
      <c r="H10" s="105"/>
      <c r="I10" s="105"/>
      <c r="J10" s="105"/>
      <c r="K10" s="105"/>
      <c r="L10" s="105"/>
      <c r="M10" s="105"/>
      <c r="N10" s="105"/>
      <c r="O10" s="105"/>
      <c r="P10" s="105"/>
      <c r="Q10" s="106"/>
    </row>
    <row r="11" spans="2:29" ht="60">
      <c r="B11" s="100"/>
      <c r="C11" s="100"/>
      <c r="D11" s="100"/>
      <c r="E11" s="100"/>
      <c r="F11" s="55" t="s">
        <v>5987</v>
      </c>
      <c r="G11" s="55" t="s">
        <v>5988</v>
      </c>
      <c r="H11" s="55" t="s">
        <v>5989</v>
      </c>
      <c r="I11" s="55" t="s">
        <v>5990</v>
      </c>
      <c r="J11" s="55" t="s">
        <v>3615</v>
      </c>
      <c r="K11" s="55" t="s">
        <v>3619</v>
      </c>
      <c r="L11" s="55" t="s">
        <v>5992</v>
      </c>
      <c r="M11" s="55" t="s">
        <v>5993</v>
      </c>
      <c r="N11" s="55" t="s">
        <v>5994</v>
      </c>
      <c r="O11" s="55" t="s">
        <v>5995</v>
      </c>
      <c r="P11" s="55" t="s">
        <v>3606</v>
      </c>
      <c r="Q11" s="55" t="s">
        <v>5996</v>
      </c>
    </row>
    <row r="12" spans="2:29">
      <c r="B12" s="42" t="s">
        <v>3581</v>
      </c>
      <c r="C12" s="42" t="s">
        <v>3219</v>
      </c>
      <c r="D12" s="42" t="s">
        <v>3243</v>
      </c>
      <c r="E12" s="42" t="s">
        <v>3231</v>
      </c>
      <c r="F12" s="42" t="s">
        <v>2879</v>
      </c>
      <c r="G12" s="42" t="s">
        <v>3223</v>
      </c>
      <c r="H12" s="42" t="s">
        <v>3229</v>
      </c>
      <c r="I12" s="42" t="s">
        <v>3234</v>
      </c>
      <c r="J12" s="42" t="s">
        <v>3236</v>
      </c>
      <c r="K12" s="42" t="s">
        <v>5991</v>
      </c>
      <c r="L12" s="42" t="s">
        <v>3239</v>
      </c>
      <c r="M12" s="42" t="s">
        <v>3241</v>
      </c>
      <c r="N12" s="42" t="s">
        <v>3475</v>
      </c>
      <c r="O12" s="42" t="s">
        <v>3477</v>
      </c>
      <c r="P12" s="42" t="s">
        <v>3479</v>
      </c>
      <c r="Q12" s="42" t="s">
        <v>3594</v>
      </c>
      <c r="AB12" s="13" t="str">
        <f>Show!$B$183&amp;"S.37.01.04.01 Rows {"&amp;COLUMN($B$1)&amp;"}"&amp;"@ForceFilingCode:true"</f>
        <v>!S.37.01.04.01 Rows {2}@ForceFilingCode:true</v>
      </c>
      <c r="AC12" s="13" t="str">
        <f>Show!$B$183&amp;"S.37.01.04.01 Columns {"&amp;COLUMN($B$1)&amp;"}"</f>
        <v>!S.37.01.04.01 Columns {2}</v>
      </c>
    </row>
    <row r="13" spans="2:29">
      <c r="B13" s="50"/>
      <c r="C13" s="50"/>
      <c r="D13" s="50"/>
      <c r="E13" s="50"/>
      <c r="F13" s="51"/>
      <c r="G13" s="51"/>
      <c r="H13" s="51"/>
      <c r="I13" s="51"/>
      <c r="J13" s="51"/>
      <c r="K13" s="51"/>
      <c r="L13" s="51"/>
      <c r="M13" s="51"/>
      <c r="N13" s="54"/>
      <c r="O13" s="60"/>
      <c r="P13" s="51"/>
      <c r="Q13" s="60"/>
    </row>
    <row r="15" spans="2:29">
      <c r="AB15" s="13" t="str">
        <f>Show!$B$183&amp;Show!$B$183&amp;"S.37.01.04.01 Rows {"&amp;COLUMN($B$1)&amp;"}"</f>
        <v>!!S.37.01.04.01 Rows {2}</v>
      </c>
      <c r="AC15" s="13" t="str">
        <f>Show!$B$183&amp;Show!$B$183&amp;"S.37.01.04.01 Columns {"&amp;COLUMN($Q$1)&amp;"}"</f>
        <v>!!S.37.01.04.01 Columns {17}</v>
      </c>
    </row>
  </sheetData>
  <sheetProtection sheet="1" objects="1" scenarios="1"/>
  <mergeCells count="7">
    <mergeCell ref="B2:O2"/>
    <mergeCell ref="B5:L5"/>
    <mergeCell ref="B9:B11"/>
    <mergeCell ref="C9:C11"/>
    <mergeCell ref="D9:D11"/>
    <mergeCell ref="E9:E11"/>
    <mergeCell ref="F9:Q10"/>
  </mergeCells>
  <dataValidations count="6">
    <dataValidation type="list" errorStyle="warning" allowBlank="1" showInputMessage="1" showErrorMessage="1" sqref="G13" xr:uid="{CFCB87BE-99A9-4647-8F1A-4EBDD10679AF}">
      <formula1>hier_GA_18</formula1>
    </dataValidation>
    <dataValidation type="list" errorStyle="warning" allowBlank="1" showInputMessage="1" showErrorMessage="1" sqref="H13" xr:uid="{419AEDB3-AB10-408A-B9A8-8BE2ACF71838}">
      <formula1>hier_EX_5</formula1>
    </dataValidation>
    <dataValidation type="list" errorStyle="warning" allowBlank="1" showInputMessage="1" showErrorMessage="1" sqref="J13" xr:uid="{7C8E5932-AA13-4A2C-A06C-FD3A85E4ADD6}">
      <formula1>hier_SE_27</formula1>
    </dataValidation>
    <dataValidation type="list" errorStyle="warning" allowBlank="1" showInputMessage="1" showErrorMessage="1" sqref="L13" xr:uid="{EE6E24FE-F8D3-4840-B831-04AC4F51F66F}">
      <formula1>hier_NC_1</formula1>
    </dataValidation>
    <dataValidation type="date" operator="greaterThan" allowBlank="1" showInputMessage="1" showErrorMessage="1" errorTitle="Date value" error="This cell can only contain dates" sqref="N13" xr:uid="{DD47DA41-CE8D-44C9-9A8C-B950E7E74A28}">
      <formula1>1</formula1>
    </dataValidation>
    <dataValidation type="list" errorStyle="warning" allowBlank="1" showInputMessage="1" showErrorMessage="1" sqref="P13" xr:uid="{6AB5F2F4-778C-43E7-9928-698E7D04ABCB}">
      <formula1>hier_CU_1</formula1>
    </dataValidation>
  </dataValidation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C2A2-538E-408B-84A6-F50D03CCA51F}">
  <sheetPr codeName="Blad188"/>
  <dimension ref="B2:O17"/>
  <sheetViews>
    <sheetView showGridLines="0" workbookViewId="0"/>
  </sheetViews>
  <sheetFormatPr defaultRowHeight="15"/>
  <cols>
    <col min="2" max="2" width="56.7109375" bestFit="1" customWidth="1"/>
    <col min="4" max="4" width="15.7109375" customWidth="1"/>
  </cols>
  <sheetData>
    <row r="2" spans="2:15" ht="23.25">
      <c r="B2" s="95" t="s">
        <v>793</v>
      </c>
      <c r="C2" s="96"/>
      <c r="D2" s="96"/>
      <c r="E2" s="96"/>
      <c r="F2" s="96"/>
      <c r="G2" s="96"/>
      <c r="H2" s="96"/>
      <c r="I2" s="96"/>
      <c r="J2" s="96"/>
      <c r="K2" s="96"/>
      <c r="L2" s="96"/>
      <c r="M2" s="96"/>
      <c r="N2" s="96"/>
      <c r="O2" s="96"/>
    </row>
    <row r="5" spans="2:15" ht="18.75">
      <c r="B5" s="97" t="s">
        <v>5997</v>
      </c>
      <c r="C5" s="96"/>
      <c r="D5" s="96"/>
      <c r="E5" s="96"/>
      <c r="F5" s="96"/>
      <c r="G5" s="96"/>
      <c r="H5" s="96"/>
      <c r="I5" s="96"/>
      <c r="J5" s="96"/>
      <c r="K5" s="96"/>
      <c r="L5" s="96"/>
    </row>
    <row r="9" spans="2:15">
      <c r="D9" s="98" t="s">
        <v>2877</v>
      </c>
    </row>
    <row r="10" spans="2:15">
      <c r="D10" s="99"/>
    </row>
    <row r="11" spans="2:15">
      <c r="D11" s="100"/>
    </row>
    <row r="12" spans="2:15">
      <c r="D12" s="45" t="s">
        <v>2879</v>
      </c>
      <c r="I12" s="13" t="str">
        <f>Show!$B$184&amp;"S.38.01.10.01 Rows {"&amp;COLUMN($C$1)&amp;"}"&amp;"@ForceFilingCode:true"</f>
        <v>!S.38.01.10.01 Rows {3}@ForceFilingCode:true</v>
      </c>
      <c r="J12" s="13" t="str">
        <f>Show!$B$184&amp;"S.38.01.10.01 Columns {"&amp;COLUMN($D$1)&amp;"}"</f>
        <v>!S.38.01.10.01 Columns {4}</v>
      </c>
    </row>
    <row r="13" spans="2:15">
      <c r="B13" s="43" t="s">
        <v>2880</v>
      </c>
      <c r="C13" s="44" t="s">
        <v>2878</v>
      </c>
      <c r="D13" s="46"/>
    </row>
    <row r="14" spans="2:15">
      <c r="B14" s="47" t="s">
        <v>5998</v>
      </c>
      <c r="C14" s="41" t="s">
        <v>2883</v>
      </c>
      <c r="D14" s="69"/>
    </row>
    <row r="15" spans="2:15">
      <c r="B15" s="47" t="s">
        <v>5999</v>
      </c>
      <c r="C15" s="41" t="s">
        <v>2885</v>
      </c>
      <c r="D15" s="69"/>
    </row>
    <row r="17" spans="9:10">
      <c r="I17" s="13" t="str">
        <f>Show!$B$184&amp;Show!$B$184&amp;"S.38.01.10.01 Rows {"&amp;COLUMN($C$1)&amp;"}"</f>
        <v>!!S.38.01.10.01 Rows {3}</v>
      </c>
      <c r="J17" s="13" t="str">
        <f>Show!$B$184&amp;Show!$B$184&amp;"S.38.01.10.01 Columns {"&amp;COLUMN($D$1)&amp;"}"</f>
        <v>!!S.38.01.10.01 Columns {4}</v>
      </c>
    </row>
  </sheetData>
  <sheetProtection sheet="1" objects="1" scenarios="1"/>
  <mergeCells count="3">
    <mergeCell ref="B2:O2"/>
    <mergeCell ref="B5:L5"/>
    <mergeCell ref="D9:D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6F18-A542-48F8-856E-49DF616940DF}">
  <sheetPr codeName="Blad19"/>
  <dimension ref="B2:O32"/>
  <sheetViews>
    <sheetView showGridLines="0" workbookViewId="0"/>
  </sheetViews>
  <sheetFormatPr defaultRowHeight="15"/>
  <cols>
    <col min="2" max="2" width="83.8554687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3149</v>
      </c>
      <c r="C5" s="96"/>
      <c r="D5" s="96"/>
      <c r="E5" s="96"/>
      <c r="F5" s="96"/>
      <c r="G5" s="96"/>
      <c r="H5" s="96"/>
      <c r="I5" s="96"/>
      <c r="J5" s="96"/>
      <c r="K5" s="96"/>
      <c r="L5" s="96"/>
    </row>
    <row r="7" spans="2:15">
      <c r="B7" t="s">
        <v>3110</v>
      </c>
      <c r="I7" s="13" t="str">
        <f>IF(COUNTIF(D:D,"Reported")&gt;0,Show!$B$15,"!")&amp;"SR.01.01.04.01 Table label {"&amp;COLUMN($C$1)&amp;"}"</f>
        <v>!SR.01.01.04.01 Table label {3}</v>
      </c>
      <c r="J7" s="13" t="str">
        <f>IF(COUNTIF(D:D,"Reported")&gt;0,Show!$B$15,"!")&amp;"SR.01.01.04.01 Table value {"&amp;COLUMN($D$1)&amp;"}"</f>
        <v>!SR.01.01.04.01 Table value {4}</v>
      </c>
    </row>
    <row r="8" spans="2:15">
      <c r="B8" t="s">
        <v>3111</v>
      </c>
    </row>
    <row r="9" spans="2:15">
      <c r="B9" s="40" t="s">
        <v>3112</v>
      </c>
      <c r="C9" s="53" t="s">
        <v>3113</v>
      </c>
      <c r="D9" s="51"/>
    </row>
    <row r="10" spans="2:15">
      <c r="B10" s="40" t="s">
        <v>3114</v>
      </c>
      <c r="C10" s="53" t="s">
        <v>3115</v>
      </c>
      <c r="D10" s="50"/>
    </row>
    <row r="11" spans="2:15">
      <c r="I11" s="13" t="str">
        <f>IF(COUNTIF(D:D,"Reported")&gt;0,Show!$B$15&amp;Show!$B$15,"!!")&amp;"SR.01.01.04.01 Table label {"&amp;COLUMN($C$1)&amp;"}"</f>
        <v>!!SR.01.01.04.01 Table label {3}</v>
      </c>
      <c r="J11" s="13" t="str">
        <f>IF(COUNTIF(D:D,"Reported")&gt;0,Show!$B$15&amp;Show!$B$15,"!!")&amp;"SR.01.01.04.01 Table value {"&amp;COLUMN($D$1)&amp;"}"</f>
        <v>!!SR.01.01.04.01 Table value {4}</v>
      </c>
    </row>
    <row r="13" spans="2:15">
      <c r="D13" s="98" t="s">
        <v>2877</v>
      </c>
    </row>
    <row r="14" spans="2:15">
      <c r="D14" s="99"/>
    </row>
    <row r="15" spans="2:15">
      <c r="D15" s="99"/>
    </row>
    <row r="16" spans="2:15">
      <c r="D16" s="100"/>
    </row>
    <row r="17" spans="2:10">
      <c r="D17" s="45" t="s">
        <v>2879</v>
      </c>
      <c r="I17" s="13" t="str">
        <f>IF(COUNTIF(D:D,"Reported")&gt;0,Show!$B$15,"!")&amp;"SR.01.01.04.01 Rows {"&amp;COLUMN($C$1)&amp;"}"&amp;"@ForceFilingCode:true"</f>
        <v>!SR.01.01.04.01 Rows {3}@ForceFilingCode:true</v>
      </c>
      <c r="J17" s="13" t="str">
        <f>IF(COUNTIF(D:D,"Reported")&gt;0,Show!$B$15,"!")&amp;"SR.01.01.04.01 Columns {"&amp;COLUMN($D$1)&amp;"}"</f>
        <v>!SR.01.01.04.01 Columns {4}</v>
      </c>
    </row>
    <row r="18" spans="2:10">
      <c r="B18" s="43" t="s">
        <v>2880</v>
      </c>
      <c r="C18" s="44" t="s">
        <v>2878</v>
      </c>
      <c r="D18" s="48"/>
    </row>
    <row r="19" spans="2:10">
      <c r="B19" s="47" t="s">
        <v>2881</v>
      </c>
      <c r="C19" s="44" t="s">
        <v>2878</v>
      </c>
      <c r="D19" s="46"/>
    </row>
    <row r="20" spans="2:10">
      <c r="B20" s="52" t="s">
        <v>3117</v>
      </c>
      <c r="C20" s="41" t="s">
        <v>3118</v>
      </c>
      <c r="D20" s="51"/>
    </row>
    <row r="21" spans="2:10">
      <c r="B21" s="52" t="s">
        <v>3150</v>
      </c>
      <c r="C21" s="41" t="s">
        <v>3128</v>
      </c>
      <c r="D21" s="51"/>
    </row>
    <row r="22" spans="2:10" ht="30">
      <c r="B22" s="52" t="s">
        <v>3151</v>
      </c>
      <c r="C22" s="41" t="s">
        <v>3130</v>
      </c>
      <c r="D22" s="51"/>
    </row>
    <row r="23" spans="2:10">
      <c r="B23" s="52" t="s">
        <v>3152</v>
      </c>
      <c r="C23" s="41" t="s">
        <v>3132</v>
      </c>
      <c r="D23" s="51"/>
    </row>
    <row r="24" spans="2:10">
      <c r="B24" s="52" t="s">
        <v>3133</v>
      </c>
      <c r="C24" s="41" t="s">
        <v>3134</v>
      </c>
      <c r="D24" s="51"/>
    </row>
    <row r="25" spans="2:10">
      <c r="B25" s="52" t="s">
        <v>3135</v>
      </c>
      <c r="C25" s="41" t="s">
        <v>3136</v>
      </c>
      <c r="D25" s="51"/>
    </row>
    <row r="26" spans="2:10">
      <c r="B26" s="52" t="s">
        <v>3137</v>
      </c>
      <c r="C26" s="41" t="s">
        <v>3138</v>
      </c>
      <c r="D26" s="51"/>
    </row>
    <row r="27" spans="2:10">
      <c r="B27" s="52" t="s">
        <v>3139</v>
      </c>
      <c r="C27" s="41" t="s">
        <v>3140</v>
      </c>
      <c r="D27" s="51"/>
    </row>
    <row r="28" spans="2:10">
      <c r="B28" s="52" t="s">
        <v>3141</v>
      </c>
      <c r="C28" s="41" t="s">
        <v>3142</v>
      </c>
      <c r="D28" s="51"/>
    </row>
    <row r="29" spans="2:10">
      <c r="B29" s="52" t="s">
        <v>3143</v>
      </c>
      <c r="C29" s="41" t="s">
        <v>3144</v>
      </c>
      <c r="D29" s="51"/>
    </row>
    <row r="30" spans="2:10">
      <c r="B30" s="52" t="s">
        <v>3145</v>
      </c>
      <c r="C30" s="41" t="s">
        <v>3146</v>
      </c>
      <c r="D30" s="51"/>
    </row>
    <row r="31" spans="2:10">
      <c r="B31" s="52" t="s">
        <v>3147</v>
      </c>
      <c r="C31" s="41" t="s">
        <v>3148</v>
      </c>
      <c r="D31" s="51"/>
    </row>
    <row r="32" spans="2:10">
      <c r="I32" s="13" t="str">
        <f>IF(COUNTIF(D:D,"Reported")&gt;0,Show!$B$15&amp;Show!$B$15,"!!")&amp;"SR.01.01.04.01 Rows {"&amp;COLUMN($C$1)&amp;"}"</f>
        <v>!!SR.01.01.04.01 Rows {3}</v>
      </c>
      <c r="J32" s="13" t="str">
        <f>IF(COUNTIF(D:D,"Reported")&gt;0,Show!$B$15&amp;Show!$B$15,"!!")&amp;"SR.01.01.04.01 Columns {"&amp;COLUMN($D$1)&amp;"}"</f>
        <v>!!SR.01.01.04.01 Columns {4}</v>
      </c>
    </row>
  </sheetData>
  <sheetProtection sheet="1" objects="1" scenarios="1"/>
  <mergeCells count="3">
    <mergeCell ref="B2:O2"/>
    <mergeCell ref="B5:L5"/>
    <mergeCell ref="D13:D16"/>
  </mergeCells>
  <dataValidations count="9">
    <dataValidation type="list" errorStyle="warning" allowBlank="1" showInputMessage="1" showErrorMessage="1" sqref="D9" xr:uid="{4C21685D-13CA-4840-948F-A040AFDD5FA4}">
      <formula1>hier_PU_20</formula1>
    </dataValidation>
    <dataValidation type="list" errorStyle="warning" allowBlank="1" showInputMessage="1" showErrorMessage="1" sqref="D20" xr:uid="{922E6B7D-B215-4FE5-B3FE-D36D1D9E149C}">
      <formula1>hier_CN_78</formula1>
    </dataValidation>
    <dataValidation type="list" errorStyle="warning" allowBlank="1" showInputMessage="1" showErrorMessage="1" sqref="D21" xr:uid="{67EBE276-F705-4F39-B67E-6F7B6F80CDC0}">
      <formula1>hier_CN_109</formula1>
    </dataValidation>
    <dataValidation type="list" errorStyle="warning" allowBlank="1" showInputMessage="1" showErrorMessage="1" sqref="D22" xr:uid="{2208F06B-57D9-4190-9D78-971D2B88AE63}">
      <formula1>hier_CN_49</formula1>
    </dataValidation>
    <dataValidation type="list" errorStyle="warning" allowBlank="1" showInputMessage="1" showErrorMessage="1" sqref="D23" xr:uid="{BAC493ED-7025-424F-9D21-C4A03CE5CEE7}">
      <formula1>hier_CN_50</formula1>
    </dataValidation>
    <dataValidation type="list" errorStyle="warning" allowBlank="1" showInputMessage="1" showErrorMessage="1" sqref="D24 D25 D26 D27 D28" xr:uid="{89F6864B-BB2E-440C-BA91-57AB11AE1108}">
      <formula1>hier_CN_125</formula1>
    </dataValidation>
    <dataValidation type="list" errorStyle="warning" allowBlank="1" showInputMessage="1" showErrorMessage="1" sqref="D29" xr:uid="{24EA9CC6-93A7-46ED-A150-09A9C34B3E6F}">
      <formula1>hier_CN_54</formula1>
    </dataValidation>
    <dataValidation type="list" errorStyle="warning" allowBlank="1" showInputMessage="1" showErrorMessage="1" sqref="D30" xr:uid="{FF784336-C6B2-45F3-B139-159869B95607}">
      <formula1>hier_CN_56</formula1>
    </dataValidation>
    <dataValidation type="list" errorStyle="warning" allowBlank="1" showInputMessage="1" showErrorMessage="1" sqref="D31" xr:uid="{AC38EEEC-3663-47B8-86CF-75EF030DCFD6}">
      <formula1>hier_CN_52</formula1>
    </dataValidation>
  </dataValidations>
  <hyperlinks>
    <hyperlink ref="B20" location="'SR.02.01.01'!A1" display="SR.02.01.01 - Balance sheet" xr:uid="{154C21C6-FF85-4E1D-B7A7-37DF2D72B31C}"/>
    <hyperlink ref="B21" location="'SR.25.01.04'!A1" display="SR.25.01.04 - Solvency Capital Requirement - for groups on Standard Formula" xr:uid="{38742825-E211-494D-A0D8-07C6ACACDB3D}"/>
    <hyperlink ref="B22" location="'SR.25.02.04'!A1" display="SR.25.02.04 - Solvency Capital Requirement - for groups using the standard formula and partial internal model" xr:uid="{52E3F9D2-B079-4F65-A600-0F5338EEB143}"/>
    <hyperlink ref="B23" location="'SR.25.03.04'!A1" display="SR.25.03.04 - Solvency Capital Requirement - for groups on Full Internal Models" xr:uid="{6A265D1E-2F61-4E07-B68D-283BDF775664}"/>
    <hyperlink ref="B24" location="'SR.26.01.01'!A1" display="SR.26.01.01 - Solvency Capital Requirement - Market risk" xr:uid="{E429BDE5-12CE-446B-996A-B78D36A24542}"/>
    <hyperlink ref="B25" location="'SR.26.02.01'!A1" display="SR.26.02.01 - Solvency Capital Requirement - Counterparty default risk" xr:uid="{21A9B788-C217-484D-9034-558D5523C9D0}"/>
    <hyperlink ref="B26" location="'SR.26.03.01'!A1" display="SR.26.03.01 - Solvency Capital Requirement - Life underwriting risk" xr:uid="{DCE7D160-371F-4B60-8C32-0A73C0E8D169}"/>
    <hyperlink ref="B27" location="'SR.26.04.01'!A1" display="SR.26.04.01 - Solvency Capital Requirement - Health underwriting risk" xr:uid="{BAD151F7-33CD-4118-BBE2-613A809EEFB6}"/>
    <hyperlink ref="B28" location="'SR.26.05.01'!A1" display="SR.26.05.01 - Solvency Capital Requirement - Non-Life underwriting risk" xr:uid="{2A2B8989-3F36-4E00-8E41-984FC0D3456B}"/>
    <hyperlink ref="B29" location="'SR.26.06.01'!A1" display="SR.26.06.01 - Solvency Capital Requirement - Operational risk" xr:uid="{660BDDCD-546A-4DBB-81A7-FA9A2160880B}"/>
    <hyperlink ref="B30" location="'SR.26.07.01'!A1" display="SR.26.07.01 - Solvency Capital Requirement - Simplifications" xr:uid="{644A9540-0BA0-4CEA-98A4-0A0640E2FFFF}"/>
    <hyperlink ref="B31" location="'SR.27.01.01'!A1" display="SR.27.01.01 - Solvency Capital Requirement - Non-life and Health catastrophe risk" xr:uid="{3472B00B-2ED8-4CBD-B0AA-EBCDBFD800A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FFDDB-6440-4897-9EF2-376278C6CF04}">
  <sheetPr codeName="Blad189"/>
  <dimension ref="B2:O16"/>
  <sheetViews>
    <sheetView showGridLines="0" workbookViewId="0">
      <selection activeCell="D14" sqref="D14"/>
    </sheetView>
  </sheetViews>
  <sheetFormatPr defaultRowHeight="15"/>
  <cols>
    <col min="2" max="2" width="34.85546875" bestFit="1" customWidth="1"/>
    <col min="4" max="4" width="15.7109375" customWidth="1"/>
  </cols>
  <sheetData>
    <row r="2" spans="2:15" ht="23.25">
      <c r="B2" s="95" t="s">
        <v>795</v>
      </c>
      <c r="C2" s="96"/>
      <c r="D2" s="96"/>
      <c r="E2" s="96"/>
      <c r="F2" s="96"/>
      <c r="G2" s="96"/>
      <c r="H2" s="96"/>
      <c r="I2" s="96"/>
      <c r="J2" s="96"/>
      <c r="K2" s="96"/>
      <c r="L2" s="96"/>
      <c r="M2" s="96"/>
      <c r="N2" s="96"/>
      <c r="O2" s="96"/>
    </row>
    <row r="5" spans="2:15" ht="18.75">
      <c r="B5" s="97" t="s">
        <v>6000</v>
      </c>
      <c r="C5" s="96"/>
      <c r="D5" s="96"/>
      <c r="E5" s="96"/>
      <c r="F5" s="96"/>
      <c r="G5" s="96"/>
      <c r="H5" s="96"/>
      <c r="I5" s="96"/>
      <c r="J5" s="96"/>
      <c r="K5" s="96"/>
      <c r="L5" s="96"/>
    </row>
    <row r="9" spans="2:15">
      <c r="D9" s="98" t="s">
        <v>2877</v>
      </c>
    </row>
    <row r="10" spans="2:15">
      <c r="D10" s="99"/>
    </row>
    <row r="11" spans="2:15">
      <c r="D11" s="100"/>
    </row>
    <row r="12" spans="2:15">
      <c r="D12" s="45" t="s">
        <v>2879</v>
      </c>
      <c r="I12" s="13" t="str">
        <f>Show!$B$185&amp;"S.39.01.11.01 Rows {"&amp;COLUMN($C$1)&amp;"}"&amp;"@ForceFilingCode:true"</f>
        <v>!S.39.01.11.01 Rows {3}@ForceFilingCode:true</v>
      </c>
      <c r="J12" s="13" t="str">
        <f>Show!$B$185&amp;"S.39.01.11.01 Columns {"&amp;COLUMN($D$1)&amp;"}"</f>
        <v>!S.39.01.11.01 Columns {4}</v>
      </c>
    </row>
    <row r="13" spans="2:15">
      <c r="B13" s="43" t="s">
        <v>2880</v>
      </c>
      <c r="C13" s="44" t="s">
        <v>2878</v>
      </c>
      <c r="D13" s="46"/>
    </row>
    <row r="14" spans="2:15">
      <c r="B14" s="47" t="s">
        <v>6001</v>
      </c>
      <c r="C14" s="41" t="s">
        <v>2883</v>
      </c>
      <c r="D14" s="60"/>
    </row>
    <row r="16" spans="2:15">
      <c r="I16" s="13" t="str">
        <f>Show!$B$185&amp;Show!$B$185&amp;"S.39.01.11.01 Rows {"&amp;COLUMN($C$1)&amp;"}"</f>
        <v>!!S.39.01.11.01 Rows {3}</v>
      </c>
      <c r="J16" s="13" t="str">
        <f>Show!$B$185&amp;Show!$B$185&amp;"S.39.01.11.01 Columns {"&amp;COLUMN($D$1)&amp;"}"</f>
        <v>!!S.39.01.11.01 Columns {4}</v>
      </c>
    </row>
  </sheetData>
  <sheetProtection sheet="1" objects="1" scenarios="1"/>
  <mergeCells count="3">
    <mergeCell ref="B2:O2"/>
    <mergeCell ref="B5:L5"/>
    <mergeCell ref="D9:D11"/>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68775-6D2C-483D-B5B2-BC3231827508}">
  <sheetPr codeName="Blad190"/>
  <dimension ref="B2:O16"/>
  <sheetViews>
    <sheetView showGridLines="0" workbookViewId="0"/>
  </sheetViews>
  <sheetFormatPr defaultRowHeight="15"/>
  <cols>
    <col min="2" max="2" width="68.28515625" bestFit="1" customWidth="1"/>
    <col min="4" max="4" width="15.7109375" customWidth="1"/>
  </cols>
  <sheetData>
    <row r="2" spans="2:15" ht="23.25">
      <c r="B2" s="95" t="s">
        <v>797</v>
      </c>
      <c r="C2" s="96"/>
      <c r="D2" s="96"/>
      <c r="E2" s="96"/>
      <c r="F2" s="96"/>
      <c r="G2" s="96"/>
      <c r="H2" s="96"/>
      <c r="I2" s="96"/>
      <c r="J2" s="96"/>
      <c r="K2" s="96"/>
      <c r="L2" s="96"/>
      <c r="M2" s="96"/>
      <c r="N2" s="96"/>
      <c r="O2" s="96"/>
    </row>
    <row r="5" spans="2:15" ht="18.75">
      <c r="B5" s="97" t="s">
        <v>6002</v>
      </c>
      <c r="C5" s="96"/>
      <c r="D5" s="96"/>
      <c r="E5" s="96"/>
      <c r="F5" s="96"/>
      <c r="G5" s="96"/>
      <c r="H5" s="96"/>
      <c r="I5" s="96"/>
      <c r="J5" s="96"/>
      <c r="K5" s="96"/>
      <c r="L5" s="96"/>
    </row>
    <row r="9" spans="2:15">
      <c r="D9" s="98" t="s">
        <v>2877</v>
      </c>
    </row>
    <row r="10" spans="2:15">
      <c r="D10" s="99"/>
    </row>
    <row r="11" spans="2:15">
      <c r="D11" s="100"/>
    </row>
    <row r="12" spans="2:15">
      <c r="D12" s="45" t="s">
        <v>2879</v>
      </c>
      <c r="I12" s="13" t="str">
        <f>Show!$B$186&amp;"S.40.01.10.01 Rows {"&amp;COLUMN($C$1)&amp;"}"&amp;"@ForceFilingCode:true"</f>
        <v>!S.40.01.10.01 Rows {3}@ForceFilingCode:true</v>
      </c>
      <c r="J12" s="13" t="str">
        <f>Show!$B$186&amp;"S.40.01.10.01 Columns {"&amp;COLUMN($D$1)&amp;"}"</f>
        <v>!S.40.01.10.01 Columns {4}</v>
      </c>
    </row>
    <row r="13" spans="2:15">
      <c r="B13" s="43" t="s">
        <v>2880</v>
      </c>
      <c r="C13" s="44" t="s">
        <v>2878</v>
      </c>
      <c r="D13" s="46"/>
    </row>
    <row r="14" spans="2:15">
      <c r="B14" s="47" t="s">
        <v>6003</v>
      </c>
      <c r="C14" s="41" t="s">
        <v>2883</v>
      </c>
      <c r="D14" s="70"/>
    </row>
    <row r="16" spans="2:15">
      <c r="I16" s="13" t="str">
        <f>Show!$B$186&amp;Show!$B$186&amp;"S.40.01.10.01 Rows {"&amp;COLUMN($C$1)&amp;"}"</f>
        <v>!!S.40.01.10.01 Rows {3}</v>
      </c>
      <c r="J16" s="13" t="str">
        <f>Show!$B$186&amp;Show!$B$186&amp;"S.40.01.10.01 Columns {"&amp;COLUMN($D$1)&amp;"}"</f>
        <v>!!S.40.01.10.01 Columns {4}</v>
      </c>
    </row>
  </sheetData>
  <sheetProtection sheet="1" objects="1" scenarios="1"/>
  <mergeCells count="3">
    <mergeCell ref="B2:O2"/>
    <mergeCell ref="B5:L5"/>
    <mergeCell ref="D9:D11"/>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D991-2A87-47C9-A100-39E3F48125DB}">
  <sheetPr codeName="Blad191"/>
  <dimension ref="B2:O17"/>
  <sheetViews>
    <sheetView showGridLines="0" workbookViewId="0"/>
  </sheetViews>
  <sheetFormatPr defaultRowHeight="15"/>
  <cols>
    <col min="2" max="2" width="31.28515625" bestFit="1" customWidth="1"/>
    <col min="4" max="4" width="15.7109375" customWidth="1"/>
  </cols>
  <sheetData>
    <row r="2" spans="2:15" ht="23.25">
      <c r="B2" s="95" t="s">
        <v>799</v>
      </c>
      <c r="C2" s="96"/>
      <c r="D2" s="96"/>
      <c r="E2" s="96"/>
      <c r="F2" s="96"/>
      <c r="G2" s="96"/>
      <c r="H2" s="96"/>
      <c r="I2" s="96"/>
      <c r="J2" s="96"/>
      <c r="K2" s="96"/>
      <c r="L2" s="96"/>
      <c r="M2" s="96"/>
      <c r="N2" s="96"/>
      <c r="O2" s="96"/>
    </row>
    <row r="5" spans="2:15" ht="18.75">
      <c r="B5" s="97" t="s">
        <v>6004</v>
      </c>
      <c r="C5" s="96"/>
      <c r="D5" s="96"/>
      <c r="E5" s="96"/>
      <c r="F5" s="96"/>
      <c r="G5" s="96"/>
      <c r="H5" s="96"/>
      <c r="I5" s="96"/>
      <c r="J5" s="96"/>
      <c r="K5" s="96"/>
      <c r="L5" s="96"/>
    </row>
    <row r="9" spans="2:15">
      <c r="D9" s="98" t="s">
        <v>2877</v>
      </c>
    </row>
    <row r="10" spans="2:15">
      <c r="D10" s="99"/>
    </row>
    <row r="11" spans="2:15">
      <c r="D11" s="100"/>
    </row>
    <row r="12" spans="2:15">
      <c r="D12" s="45" t="s">
        <v>2879</v>
      </c>
      <c r="I12" s="13" t="str">
        <f>Show!$B$187&amp;"S.41.01.11.01 Rows {"&amp;COLUMN($C$1)&amp;"}"&amp;"@ForceFilingCode:true"</f>
        <v>!S.41.01.11.01 Rows {3}@ForceFilingCode:true</v>
      </c>
      <c r="J12" s="13" t="str">
        <f>Show!$B$187&amp;"S.41.01.11.01 Columns {"&amp;COLUMN($D$1)&amp;"}"</f>
        <v>!S.41.01.11.01 Columns {4}</v>
      </c>
    </row>
    <row r="13" spans="2:15">
      <c r="B13" s="43" t="s">
        <v>2880</v>
      </c>
      <c r="C13" s="44" t="s">
        <v>2878</v>
      </c>
      <c r="D13" s="46"/>
    </row>
    <row r="14" spans="2:15">
      <c r="B14" s="47" t="s">
        <v>6005</v>
      </c>
      <c r="C14" s="41" t="s">
        <v>2883</v>
      </c>
      <c r="D14" s="70"/>
    </row>
    <row r="15" spans="2:15">
      <c r="B15" s="47" t="s">
        <v>6006</v>
      </c>
      <c r="C15" s="41" t="s">
        <v>2885</v>
      </c>
      <c r="D15" s="70"/>
    </row>
    <row r="17" spans="9:10">
      <c r="I17" s="13" t="str">
        <f>Show!$B$187&amp;Show!$B$187&amp;"S.41.01.11.01 Rows {"&amp;COLUMN($C$1)&amp;"}"</f>
        <v>!!S.41.01.11.01 Rows {3}</v>
      </c>
      <c r="J17" s="13" t="str">
        <f>Show!$B$187&amp;Show!$B$187&amp;"S.41.01.11.01 Columns {"&amp;COLUMN($D$1)&amp;"}"</f>
        <v>!!S.41.01.11.01 Columns {4}</v>
      </c>
    </row>
  </sheetData>
  <sheetProtection sheet="1" objects="1" scenarios="1"/>
  <mergeCells count="3">
    <mergeCell ref="B2:O2"/>
    <mergeCell ref="B5:L5"/>
    <mergeCell ref="D9:D11"/>
  </mergeCell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8C2A7-7C70-4820-B247-6E522FEA5075}">
  <sheetPr codeName="Blad192"/>
  <dimension ref="B2:P15"/>
  <sheetViews>
    <sheetView showGridLines="0" workbookViewId="0"/>
  </sheetViews>
  <sheetFormatPr defaultRowHeight="15"/>
  <cols>
    <col min="2" max="2" width="22.28515625" bestFit="1" customWidth="1"/>
    <col min="3" max="4" width="40.7109375" customWidth="1"/>
    <col min="5" max="7" width="15.7109375" customWidth="1"/>
  </cols>
  <sheetData>
    <row r="2" spans="2:16" ht="23.25">
      <c r="B2" s="95" t="s">
        <v>801</v>
      </c>
      <c r="C2" s="96"/>
      <c r="D2" s="96"/>
      <c r="E2" s="96"/>
      <c r="F2" s="96"/>
      <c r="G2" s="96"/>
      <c r="H2" s="96"/>
      <c r="I2" s="96"/>
      <c r="J2" s="96"/>
      <c r="K2" s="96"/>
      <c r="L2" s="96"/>
      <c r="M2" s="96"/>
      <c r="N2" s="96"/>
      <c r="O2" s="96"/>
    </row>
    <row r="5" spans="2:16" ht="18.75">
      <c r="B5" s="97" t="s">
        <v>6007</v>
      </c>
      <c r="C5" s="96"/>
      <c r="D5" s="96"/>
      <c r="E5" s="96"/>
      <c r="F5" s="96"/>
      <c r="G5" s="96"/>
      <c r="H5" s="96"/>
      <c r="I5" s="96"/>
      <c r="J5" s="96"/>
      <c r="K5" s="96"/>
      <c r="L5" s="96"/>
    </row>
    <row r="9" spans="2:16">
      <c r="B9" s="98" t="s">
        <v>6008</v>
      </c>
      <c r="C9" s="101" t="s">
        <v>2877</v>
      </c>
      <c r="D9" s="102"/>
      <c r="E9" s="102"/>
      <c r="F9" s="102"/>
      <c r="G9" s="103"/>
    </row>
    <row r="10" spans="2:16">
      <c r="B10" s="99"/>
      <c r="C10" s="104"/>
      <c r="D10" s="105"/>
      <c r="E10" s="105"/>
      <c r="F10" s="105"/>
      <c r="G10" s="106"/>
    </row>
    <row r="11" spans="2:16" ht="30">
      <c r="B11" s="100"/>
      <c r="C11" s="55" t="s">
        <v>6010</v>
      </c>
      <c r="D11" s="55" t="s">
        <v>3606</v>
      </c>
      <c r="E11" s="55" t="s">
        <v>3593</v>
      </c>
      <c r="F11" s="55" t="s">
        <v>3595</v>
      </c>
      <c r="G11" s="55" t="s">
        <v>3590</v>
      </c>
    </row>
    <row r="12" spans="2:16">
      <c r="B12" s="42" t="s">
        <v>6009</v>
      </c>
      <c r="C12" s="42" t="s">
        <v>6011</v>
      </c>
      <c r="D12" s="42" t="s">
        <v>6012</v>
      </c>
      <c r="E12" s="42" t="s">
        <v>6013</v>
      </c>
      <c r="F12" s="42" t="s">
        <v>6014</v>
      </c>
      <c r="G12" s="42" t="s">
        <v>6015</v>
      </c>
      <c r="O12" s="13" t="str">
        <f>Show!$B$188&amp;"E.01.01.16.01 Rows {"&amp;COLUMN($B$1)&amp;"}"&amp;"@ForceFilingCode:true"</f>
        <v>!E.01.01.16.01 Rows {2}@ForceFilingCode:true</v>
      </c>
      <c r="P12" s="13" t="str">
        <f>Show!$B$188&amp;"E.01.01.16.01 Columns {"&amp;COLUMN($B$1)&amp;"}"</f>
        <v>!E.01.01.16.01 Columns {2}</v>
      </c>
    </row>
    <row r="13" spans="2:16">
      <c r="B13" s="50"/>
      <c r="C13" s="51"/>
      <c r="D13" s="51"/>
      <c r="E13" s="60"/>
      <c r="F13" s="60"/>
      <c r="G13" s="60"/>
    </row>
    <row r="15" spans="2:16">
      <c r="O15" s="13" t="str">
        <f>Show!$B$188&amp;Show!$B$188&amp;"E.01.01.16.01 Rows {"&amp;COLUMN($B$1)&amp;"}"</f>
        <v>!!E.01.01.16.01 Rows {2}</v>
      </c>
      <c r="P15" s="13" t="str">
        <f>Show!$B$188&amp;Show!$B$188&amp;"E.01.01.16.01 Columns {"&amp;COLUMN($G$1)&amp;"}"</f>
        <v>!!E.01.01.16.01 Columns {7}</v>
      </c>
    </row>
  </sheetData>
  <sheetProtection sheet="1" objects="1" scenarios="1"/>
  <mergeCells count="4">
    <mergeCell ref="B2:O2"/>
    <mergeCell ref="B5:L5"/>
    <mergeCell ref="B9:B11"/>
    <mergeCell ref="C9:G10"/>
  </mergeCells>
  <dataValidations count="2">
    <dataValidation type="list" errorStyle="warning" allowBlank="1" showInputMessage="1" showErrorMessage="1" sqref="C13" xr:uid="{5550B7FC-3575-477E-98E4-5BFED661520C}">
      <formula1>hier_GA_4</formula1>
    </dataValidation>
    <dataValidation type="list" errorStyle="warning" allowBlank="1" showInputMessage="1" showErrorMessage="1" sqref="D13" xr:uid="{0F1D940A-2ACF-42A0-ADE8-ABDB9EA0A239}">
      <formula1>hier_CU_1</formula1>
    </dataValidation>
  </dataValidation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84DA6-C687-4C8E-8F8B-C2CA56F06386}">
  <sheetPr codeName="Blad193"/>
  <dimension ref="B2:O21"/>
  <sheetViews>
    <sheetView showGridLines="0" workbookViewId="0"/>
  </sheetViews>
  <sheetFormatPr defaultRowHeight="15"/>
  <cols>
    <col min="2" max="2" width="50.85546875" bestFit="1" customWidth="1"/>
    <col min="4" max="4" width="15.7109375" customWidth="1"/>
  </cols>
  <sheetData>
    <row r="2" spans="2:15" ht="23.25">
      <c r="B2" s="95" t="s">
        <v>803</v>
      </c>
      <c r="C2" s="96"/>
      <c r="D2" s="96"/>
      <c r="E2" s="96"/>
      <c r="F2" s="96"/>
      <c r="G2" s="96"/>
      <c r="H2" s="96"/>
      <c r="I2" s="96"/>
      <c r="J2" s="96"/>
      <c r="K2" s="96"/>
      <c r="L2" s="96"/>
      <c r="M2" s="96"/>
      <c r="N2" s="96"/>
      <c r="O2" s="96"/>
    </row>
    <row r="5" spans="2:15" ht="18.75">
      <c r="B5" s="97" t="s">
        <v>6016</v>
      </c>
      <c r="C5" s="96"/>
      <c r="D5" s="96"/>
      <c r="E5" s="96"/>
      <c r="F5" s="96"/>
      <c r="G5" s="96"/>
      <c r="H5" s="96"/>
      <c r="I5" s="96"/>
      <c r="J5" s="96"/>
      <c r="K5" s="96"/>
      <c r="L5" s="96"/>
    </row>
    <row r="9" spans="2:15">
      <c r="D9" s="98" t="s">
        <v>2877</v>
      </c>
    </row>
    <row r="10" spans="2:15">
      <c r="D10" s="100"/>
    </row>
    <row r="11" spans="2:15">
      <c r="D11" s="98" t="s">
        <v>6017</v>
      </c>
    </row>
    <row r="12" spans="2:15">
      <c r="D12" s="100"/>
    </row>
    <row r="13" spans="2:15">
      <c r="D13" s="45" t="s">
        <v>6009</v>
      </c>
      <c r="I13" s="13" t="str">
        <f>Show!$B$189&amp;"E.02.01.16.01 Rows {"&amp;COLUMN($C$1)&amp;"}"&amp;"@ForceFilingCode:true"</f>
        <v>!E.02.01.16.01 Rows {3}@ForceFilingCode:true</v>
      </c>
      <c r="J13" s="13" t="str">
        <f>Show!$B$189&amp;"E.02.01.16.01 Columns {"&amp;COLUMN($D$1)&amp;"}"</f>
        <v>!E.02.01.16.01 Columns {4}</v>
      </c>
    </row>
    <row r="14" spans="2:15">
      <c r="B14" s="43" t="s">
        <v>2880</v>
      </c>
      <c r="C14" s="44" t="s">
        <v>2878</v>
      </c>
      <c r="D14" s="46"/>
    </row>
    <row r="15" spans="2:15">
      <c r="B15" s="47" t="s">
        <v>2487</v>
      </c>
      <c r="C15" s="41" t="s">
        <v>6018</v>
      </c>
      <c r="D15" s="60"/>
    </row>
    <row r="16" spans="2:15">
      <c r="B16" s="49" t="s">
        <v>6019</v>
      </c>
      <c r="C16" s="41" t="s">
        <v>6020</v>
      </c>
      <c r="D16" s="60"/>
    </row>
    <row r="17" spans="2:10">
      <c r="B17" s="49" t="s">
        <v>6021</v>
      </c>
      <c r="C17" s="41" t="s">
        <v>3158</v>
      </c>
      <c r="D17" s="60"/>
    </row>
    <row r="18" spans="2:10">
      <c r="B18" s="49" t="s">
        <v>6022</v>
      </c>
      <c r="C18" s="41" t="s">
        <v>6023</v>
      </c>
      <c r="D18" s="60"/>
    </row>
    <row r="19" spans="2:10">
      <c r="B19" s="49" t="s">
        <v>6024</v>
      </c>
      <c r="C19" s="41" t="s">
        <v>6025</v>
      </c>
      <c r="D19" s="60"/>
    </row>
    <row r="21" spans="2:10">
      <c r="I21" s="13" t="str">
        <f>Show!$B$189&amp;Show!$B$189&amp;"E.02.01.16.01 Rows {"&amp;COLUMN($C$1)&amp;"}"</f>
        <v>!!E.02.01.16.01 Rows {3}</v>
      </c>
      <c r="J21" s="13" t="str">
        <f>Show!$B$189&amp;Show!$B$189&amp;"E.02.01.16.01 Columns {"&amp;COLUMN($D$1)&amp;"}"</f>
        <v>!!E.02.01.16.01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71E-8658-433F-BD52-F6645D76F9B4}">
  <sheetPr codeName="Blad194"/>
  <dimension ref="B2:O31"/>
  <sheetViews>
    <sheetView showGridLines="0" workbookViewId="0"/>
  </sheetViews>
  <sheetFormatPr defaultRowHeight="15"/>
  <cols>
    <col min="2" max="2" width="74.42578125" bestFit="1" customWidth="1"/>
    <col min="4" max="4" width="40.7109375" customWidth="1"/>
    <col min="5" max="5" width="15.7109375" customWidth="1"/>
  </cols>
  <sheetData>
    <row r="2" spans="2:15" ht="23.25">
      <c r="B2" s="95" t="s">
        <v>803</v>
      </c>
      <c r="C2" s="96"/>
      <c r="D2" s="96"/>
      <c r="E2" s="96"/>
      <c r="F2" s="96"/>
      <c r="G2" s="96"/>
      <c r="H2" s="96"/>
      <c r="I2" s="96"/>
      <c r="J2" s="96"/>
      <c r="K2" s="96"/>
      <c r="L2" s="96"/>
      <c r="M2" s="96"/>
      <c r="N2" s="96"/>
      <c r="O2" s="96"/>
    </row>
    <row r="5" spans="2:15" ht="18.75">
      <c r="B5" s="97" t="s">
        <v>6026</v>
      </c>
      <c r="C5" s="96"/>
      <c r="D5" s="96"/>
      <c r="E5" s="96"/>
      <c r="F5" s="96"/>
      <c r="G5" s="96"/>
      <c r="H5" s="96"/>
      <c r="I5" s="96"/>
      <c r="J5" s="96"/>
      <c r="K5" s="96"/>
      <c r="L5" s="96"/>
    </row>
    <row r="9" spans="2:15">
      <c r="D9" s="98" t="s">
        <v>2877</v>
      </c>
    </row>
    <row r="10" spans="2:15">
      <c r="D10" s="100"/>
    </row>
    <row r="11" spans="2:15">
      <c r="D11" s="55" t="s">
        <v>3746</v>
      </c>
    </row>
    <row r="12" spans="2:15">
      <c r="D12" s="45" t="s">
        <v>6011</v>
      </c>
      <c r="L12" s="13" t="str">
        <f>Show!$B$190&amp;"E.03.01.16.01 Rows {"&amp;COLUMN($C$1)&amp;"}"&amp;"@ForceFilingCode:true"</f>
        <v>!E.03.01.16.01 Rows {3}@ForceFilingCode:true</v>
      </c>
      <c r="M12" s="13" t="str">
        <f>Show!$B$190&amp;"E.03.01.16.01 Columns {"&amp;COLUMN($D$1)&amp;"}"</f>
        <v>!E.03.01.16.01 Columns {4}</v>
      </c>
    </row>
    <row r="13" spans="2:15">
      <c r="B13" s="43" t="s">
        <v>2880</v>
      </c>
      <c r="C13" s="44" t="s">
        <v>2878</v>
      </c>
      <c r="D13" s="46"/>
    </row>
    <row r="14" spans="2:15">
      <c r="B14" s="47" t="s">
        <v>3559</v>
      </c>
      <c r="C14" s="41" t="s">
        <v>6018</v>
      </c>
      <c r="D14" s="60"/>
    </row>
    <row r="15" spans="2:15">
      <c r="B15" s="47" t="s">
        <v>3791</v>
      </c>
      <c r="C15" s="41" t="s">
        <v>6020</v>
      </c>
      <c r="D15" s="60"/>
    </row>
    <row r="16" spans="2:15">
      <c r="B16" s="47" t="s">
        <v>3792</v>
      </c>
      <c r="C16" s="41" t="s">
        <v>3158</v>
      </c>
      <c r="D16" s="60"/>
    </row>
    <row r="18" spans="2:13">
      <c r="L18" s="13" t="str">
        <f>Show!$B$190&amp;Show!$B$190&amp;"E.03.01.16.01 Rows {"&amp;COLUMN($C$1)&amp;"}"</f>
        <v>!!E.03.01.16.01 Rows {3}</v>
      </c>
      <c r="M18" s="13" t="str">
        <f>Show!$B$190&amp;Show!$B$190&amp;"E.03.01.16.01 Columns {"&amp;COLUMN($D$1)&amp;"}"</f>
        <v>!!E.03.01.16.01 Columns {4}</v>
      </c>
    </row>
    <row r="20" spans="2:13" ht="18.75">
      <c r="B20" s="97" t="s">
        <v>6027</v>
      </c>
      <c r="C20" s="96"/>
      <c r="D20" s="96"/>
      <c r="E20" s="96"/>
      <c r="F20" s="96"/>
      <c r="G20" s="96"/>
      <c r="H20" s="96"/>
      <c r="I20" s="96"/>
      <c r="J20" s="96"/>
      <c r="K20" s="96"/>
      <c r="L20" s="96"/>
    </row>
    <row r="24" spans="2:13">
      <c r="D24" s="98" t="s">
        <v>56</v>
      </c>
      <c r="E24" s="98" t="s">
        <v>2877</v>
      </c>
    </row>
    <row r="25" spans="2:13">
      <c r="D25" s="99"/>
      <c r="E25" s="100"/>
    </row>
    <row r="26" spans="2:13" ht="30">
      <c r="D26" s="100"/>
      <c r="E26" s="55" t="s">
        <v>3746</v>
      </c>
    </row>
    <row r="27" spans="2:13">
      <c r="D27" s="45" t="s">
        <v>6009</v>
      </c>
      <c r="E27" s="45" t="s">
        <v>6011</v>
      </c>
      <c r="L27" s="13" t="str">
        <f>Show!$B$190&amp;"E.03.01.16.02 Rows {"&amp;COLUMN($C$1)&amp;"}"&amp;"@ForceFilingCode:true"</f>
        <v>!E.03.01.16.02 Rows {3}@ForceFilingCode:true</v>
      </c>
      <c r="M27" s="13" t="str">
        <f>Show!$B$190&amp;"E.03.01.16.02 Columns {"&amp;COLUMN($D$1)&amp;"}"</f>
        <v>!E.03.01.16.02 Columns {4}</v>
      </c>
    </row>
    <row r="28" spans="2:13">
      <c r="B28" s="43" t="s">
        <v>2880</v>
      </c>
      <c r="C28" s="44" t="s">
        <v>2878</v>
      </c>
      <c r="D28" s="56"/>
      <c r="E28" s="57"/>
    </row>
    <row r="29" spans="2:13">
      <c r="B29" s="47" t="s">
        <v>3794</v>
      </c>
      <c r="C29" s="41" t="s">
        <v>6023</v>
      </c>
      <c r="D29" s="51"/>
      <c r="E29" s="60"/>
    </row>
    <row r="31" spans="2:13">
      <c r="L31" s="13" t="str">
        <f>Show!$B$190&amp;Show!$B$190&amp;"E.03.01.16.02 Rows {"&amp;COLUMN($C$1)&amp;"}"</f>
        <v>!!E.03.01.16.02 Rows {3}</v>
      </c>
      <c r="M31" s="13" t="str">
        <f>Show!$B$190&amp;Show!$B$190&amp;"E.03.01.16.02 Columns {"&amp;COLUMN($E$1)&amp;"}"</f>
        <v>!!E.03.01.16.02 Columns {5}</v>
      </c>
    </row>
  </sheetData>
  <sheetProtection sheet="1" objects="1" scenarios="1"/>
  <mergeCells count="6">
    <mergeCell ref="B2:O2"/>
    <mergeCell ref="B5:L5"/>
    <mergeCell ref="D9:D10"/>
    <mergeCell ref="B20:L20"/>
    <mergeCell ref="D24:D26"/>
    <mergeCell ref="E24:E25"/>
  </mergeCells>
  <dataValidations count="1">
    <dataValidation type="list" errorStyle="warning" allowBlank="1" showInputMessage="1" showErrorMessage="1" sqref="D29" xr:uid="{5353AE02-27B9-4C18-9057-94D38793AB24}">
      <formula1>hier_GA_18</formula1>
    </dataValidation>
  </dataValidation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5ECD-37F6-407B-B26E-9F8EB4D6E92B}">
  <sheetPr codeName="Blad195"/>
  <dimension ref="B2:O22"/>
  <sheetViews>
    <sheetView showGridLines="0" workbookViewId="0"/>
  </sheetViews>
  <sheetFormatPr defaultRowHeight="15"/>
  <cols>
    <col min="2" max="2" width="49.8554687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6028</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IF(COUNTIF(D:D,"Reported")&gt;0,Show!$B$191,"!")&amp;"SPV.01.01.20.01 Rows {"&amp;COLUMN($C$1)&amp;"}"&amp;"@ForceFilingCode:true"</f>
        <v>!SPV.01.01.20.01 Rows {3}@ForceFilingCode:true</v>
      </c>
      <c r="J13" s="13" t="str">
        <f>IF(COUNTIF(D:D,"Reported")&gt;0,Show!$B$191,"!")&amp;"SPV.01.01.20.01 Columns {"&amp;COLUMN($D$1)&amp;"}"</f>
        <v>!SPV.01.01.20.01 Columns {4}</v>
      </c>
    </row>
    <row r="14" spans="2:15">
      <c r="B14" s="43" t="s">
        <v>2880</v>
      </c>
      <c r="C14" s="44" t="s">
        <v>2878</v>
      </c>
      <c r="D14" s="48"/>
    </row>
    <row r="15" spans="2:15">
      <c r="B15" s="47" t="s">
        <v>2881</v>
      </c>
      <c r="C15" s="44" t="s">
        <v>2878</v>
      </c>
      <c r="D15" s="46"/>
    </row>
    <row r="16" spans="2:15">
      <c r="B16" s="52" t="s">
        <v>6029</v>
      </c>
      <c r="C16" s="41" t="s">
        <v>2883</v>
      </c>
      <c r="D16" s="51"/>
    </row>
    <row r="17" spans="2:10">
      <c r="B17" s="52" t="s">
        <v>6030</v>
      </c>
      <c r="C17" s="41" t="s">
        <v>2885</v>
      </c>
      <c r="D17" s="51"/>
    </row>
    <row r="18" spans="2:10">
      <c r="B18" s="52" t="s">
        <v>6031</v>
      </c>
      <c r="C18" s="41" t="s">
        <v>2887</v>
      </c>
      <c r="D18" s="51"/>
    </row>
    <row r="19" spans="2:10">
      <c r="B19" s="52" t="s">
        <v>6032</v>
      </c>
      <c r="C19" s="41" t="s">
        <v>2889</v>
      </c>
      <c r="D19" s="51"/>
    </row>
    <row r="20" spans="2:10">
      <c r="B20" s="52" t="s">
        <v>6033</v>
      </c>
      <c r="C20" s="41" t="s">
        <v>3078</v>
      </c>
      <c r="D20" s="51"/>
    </row>
    <row r="22" spans="2:10">
      <c r="I22" s="13" t="str">
        <f>IF(COUNTIF(D:D,"Reported")&gt;0,Show!$B$191&amp;Show!$B$191,"!!")&amp;"SPV.01.01.20.01 Rows {"&amp;COLUMN($C$1)&amp;"}"</f>
        <v>!!SPV.01.01.20.01 Rows {3}</v>
      </c>
      <c r="J22" s="13" t="str">
        <f>IF(COUNTIF(D:D,"Reported")&gt;0,Show!$B$191&amp;Show!$B$191,"!!")&amp;"SPV.01.01.20.01 Columns {"&amp;COLUMN($D$1)&amp;"}"</f>
        <v>!!SPV.01.01.20.01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716A5758-6E16-4273-9F57-BE348D878E91}">
      <formula1>hier_CN_2</formula1>
    </dataValidation>
    <dataValidation type="list" errorStyle="warning" allowBlank="1" showInputMessage="1" showErrorMessage="1" sqref="D17 D19 D20" xr:uid="{31531990-FB57-4C53-A6F2-36D607738573}">
      <formula1>hier_CN_1</formula1>
    </dataValidation>
    <dataValidation type="list" errorStyle="warning" allowBlank="1" showInputMessage="1" showErrorMessage="1" sqref="D18" xr:uid="{EBBD1BBD-E0C0-44D9-9B5B-77685932D37A}">
      <formula1>hier_CN_20</formula1>
    </dataValidation>
  </dataValidations>
  <hyperlinks>
    <hyperlink ref="B16" location="'SPV.01.02.20'!A1" display="SPV.01.02.20 - Basic Information" xr:uid="{B0727C5C-F2D6-4D5B-9FE2-C87CF3AC7489}"/>
    <hyperlink ref="B17" location="'SPV.02.01.20'!A1" display="SPV.02.01.20 - Balance sheet" xr:uid="{3B38E8CF-0A17-4E96-BF0C-2CBDEE25AFC5}"/>
    <hyperlink ref="B18" location="'SPV.02.02.20'!A1" display="SPV.02.02.20 - Off-balance sheet" xr:uid="{84E7BCF8-3A2C-458F-BCBE-76837BE6C2D7}"/>
    <hyperlink ref="B19" location="'SPV.03.01.20'!A1" display="SPV.03.01.20 - Risks assumed" xr:uid="{71CDCD25-57BA-4F87-A143-05C97A73248E}"/>
    <hyperlink ref="B20" location="'SPV.03.02.20'!A1" display="SPV.03.02.20 - Debt or other financing mechanism" xr:uid="{00741A8C-FB4C-4DF7-B037-771DF19B94B7}"/>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17E12-86CF-4AEC-BE1B-7B2EAFD84EAE}">
  <sheetPr codeName="Blad196"/>
  <dimension ref="B2:O26"/>
  <sheetViews>
    <sheetView showGridLines="0" workbookViewId="0"/>
  </sheetViews>
  <sheetFormatPr defaultRowHeight="15"/>
  <cols>
    <col min="2" max="2" width="72.42578125" bestFit="1" customWidth="1"/>
    <col min="4" max="4" width="40.7109375" customWidth="1"/>
  </cols>
  <sheetData>
    <row r="2" spans="2:15" ht="23.25">
      <c r="B2" s="95" t="s">
        <v>807</v>
      </c>
      <c r="C2" s="96"/>
      <c r="D2" s="96"/>
      <c r="E2" s="96"/>
      <c r="F2" s="96"/>
      <c r="G2" s="96"/>
      <c r="H2" s="96"/>
      <c r="I2" s="96"/>
      <c r="J2" s="96"/>
      <c r="K2" s="96"/>
      <c r="L2" s="96"/>
      <c r="M2" s="96"/>
      <c r="N2" s="96"/>
      <c r="O2" s="96"/>
    </row>
    <row r="5" spans="2:15" ht="18.75">
      <c r="B5" s="97" t="s">
        <v>6034</v>
      </c>
      <c r="C5" s="96"/>
      <c r="D5" s="96"/>
      <c r="E5" s="96"/>
      <c r="F5" s="96"/>
      <c r="G5" s="96"/>
      <c r="H5" s="96"/>
      <c r="I5" s="96"/>
      <c r="J5" s="96"/>
      <c r="K5" s="96"/>
      <c r="L5" s="96"/>
    </row>
    <row r="9" spans="2:15">
      <c r="D9" s="98" t="s">
        <v>2877</v>
      </c>
    </row>
    <row r="10" spans="2:15">
      <c r="D10" s="99"/>
    </row>
    <row r="11" spans="2:15">
      <c r="D11" s="100"/>
    </row>
    <row r="12" spans="2:15">
      <c r="D12" s="45" t="s">
        <v>2879</v>
      </c>
      <c r="I12" s="13" t="str">
        <f>Show!$B$192&amp;"SPV.01.02.20.01 Rows {"&amp;COLUMN($C$1)&amp;"}"&amp;"@ForceFilingCode:true"</f>
        <v>!SPV.01.02.20.01 Rows {3}@ForceFilingCode:true</v>
      </c>
      <c r="J12" s="13" t="str">
        <f>Show!$B$192&amp;"SPV.01.02.20.01 Columns {"&amp;COLUMN($D$1)&amp;"}"</f>
        <v>!SPV.01.02.20.01 Columns {4}</v>
      </c>
    </row>
    <row r="13" spans="2:15">
      <c r="B13" s="43" t="s">
        <v>2880</v>
      </c>
      <c r="C13" s="44" t="s">
        <v>2878</v>
      </c>
      <c r="D13" s="46"/>
    </row>
    <row r="14" spans="2:15">
      <c r="B14" s="47" t="s">
        <v>6035</v>
      </c>
      <c r="C14" s="41" t="s">
        <v>2883</v>
      </c>
      <c r="D14" s="51"/>
    </row>
    <row r="15" spans="2:15">
      <c r="B15" s="47" t="s">
        <v>6036</v>
      </c>
      <c r="C15" s="41" t="s">
        <v>2885</v>
      </c>
      <c r="D15" s="51"/>
    </row>
    <row r="16" spans="2:15">
      <c r="B16" s="47" t="s">
        <v>6037</v>
      </c>
      <c r="C16" s="41" t="s">
        <v>2889</v>
      </c>
      <c r="D16" s="51"/>
    </row>
    <row r="17" spans="2:10">
      <c r="B17" s="47" t="s">
        <v>6038</v>
      </c>
      <c r="C17" s="41" t="s">
        <v>3078</v>
      </c>
      <c r="D17" s="54"/>
    </row>
    <row r="18" spans="2:10">
      <c r="B18" s="47" t="s">
        <v>6039</v>
      </c>
      <c r="C18" s="41" t="s">
        <v>2891</v>
      </c>
      <c r="D18" s="54"/>
    </row>
    <row r="19" spans="2:10">
      <c r="B19" s="47" t="s">
        <v>3186</v>
      </c>
      <c r="C19" s="41" t="s">
        <v>2893</v>
      </c>
      <c r="D19" s="51"/>
    </row>
    <row r="20" spans="2:10">
      <c r="B20" s="47" t="s">
        <v>6040</v>
      </c>
      <c r="C20" s="41" t="s">
        <v>2895</v>
      </c>
      <c r="D20" s="50"/>
    </row>
    <row r="21" spans="2:10">
      <c r="B21" s="47" t="s">
        <v>6041</v>
      </c>
      <c r="C21" s="41" t="s">
        <v>2897</v>
      </c>
      <c r="D21" s="51"/>
    </row>
    <row r="22" spans="2:10">
      <c r="B22" s="47" t="s">
        <v>3199</v>
      </c>
      <c r="C22" s="41" t="s">
        <v>3200</v>
      </c>
      <c r="D22" s="51"/>
    </row>
    <row r="23" spans="2:10">
      <c r="B23" s="47" t="s">
        <v>3201</v>
      </c>
      <c r="C23" s="41" t="s">
        <v>3202</v>
      </c>
      <c r="D23" s="51"/>
    </row>
    <row r="24" spans="2:10">
      <c r="B24" s="47" t="s">
        <v>3203</v>
      </c>
      <c r="C24" s="41" t="s">
        <v>3204</v>
      </c>
      <c r="D24" s="51"/>
    </row>
    <row r="26" spans="2:10">
      <c r="I26" s="13" t="str">
        <f>Show!$B$192&amp;Show!$B$192&amp;"SPV.01.02.20.01 Rows {"&amp;COLUMN($C$1)&amp;"}"</f>
        <v>!!SPV.01.02.20.01 Rows {3}</v>
      </c>
      <c r="J26" s="13" t="str">
        <f>Show!$B$192&amp;Show!$B$192&amp;"SPV.01.02.20.01 Columns {"&amp;COLUMN($D$1)&amp;"}"</f>
        <v>!!SPV.01.02.20.01 Columns {4}</v>
      </c>
    </row>
  </sheetData>
  <sheetProtection sheet="1" objects="1" scenarios="1"/>
  <mergeCells count="3">
    <mergeCell ref="B2:O2"/>
    <mergeCell ref="B5:L5"/>
    <mergeCell ref="D9:D11"/>
  </mergeCells>
  <dataValidations count="4">
    <dataValidation type="list" errorStyle="warning" allowBlank="1" showInputMessage="1" showErrorMessage="1" sqref="D16" xr:uid="{E453B11F-0391-49D6-A806-09F5F7A92E81}">
      <formula1>hier_GA_5</formula1>
    </dataValidation>
    <dataValidation type="date" operator="greaterThan" allowBlank="1" showInputMessage="1" showErrorMessage="1" errorTitle="Date value" error="This cell can only contain dates" sqref="D17:D18" xr:uid="{F7216392-AAE8-43CD-94CB-FAAE1E878FFB}">
      <formula1>1</formula1>
    </dataValidation>
    <dataValidation type="list" errorStyle="warning" allowBlank="1" showInputMessage="1" showErrorMessage="1" sqref="D19" xr:uid="{24D78D29-952C-4883-9B69-E6FEDCE10F3A}">
      <formula1>hier_CU_5</formula1>
    </dataValidation>
    <dataValidation type="list" errorStyle="warning" allowBlank="1" showInputMessage="1" showErrorMessage="1" sqref="D21" xr:uid="{AECD7EB7-6B8A-44D9-95FE-576805EE6AB2}">
      <formula1>hier_AP_15</formula1>
    </dataValidation>
  </dataValidation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21D6-1E4F-48EC-8A48-4C4ED9C8BB5B}">
  <sheetPr codeName="Blad197"/>
  <dimension ref="B2:O72"/>
  <sheetViews>
    <sheetView showGridLines="0" workbookViewId="0"/>
  </sheetViews>
  <sheetFormatPr defaultRowHeight="15"/>
  <cols>
    <col min="2" max="2" width="44.7109375" bestFit="1" customWidth="1"/>
    <col min="3" max="4" width="15.7109375" customWidth="1"/>
  </cols>
  <sheetData>
    <row r="2" spans="2:15" ht="23.25">
      <c r="B2" s="95" t="s">
        <v>544</v>
      </c>
      <c r="C2" s="96"/>
      <c r="D2" s="96"/>
      <c r="E2" s="96"/>
      <c r="F2" s="96"/>
      <c r="G2" s="96"/>
      <c r="H2" s="96"/>
      <c r="I2" s="96"/>
      <c r="J2" s="96"/>
      <c r="K2" s="96"/>
      <c r="L2" s="96"/>
      <c r="M2" s="96"/>
      <c r="N2" s="96"/>
      <c r="O2" s="96"/>
    </row>
    <row r="5" spans="2:15" ht="18.75">
      <c r="B5" s="97" t="s">
        <v>6042</v>
      </c>
      <c r="C5" s="96"/>
      <c r="D5" s="96"/>
      <c r="E5" s="96"/>
      <c r="F5" s="96"/>
      <c r="G5" s="96"/>
      <c r="H5" s="96"/>
      <c r="I5" s="96"/>
      <c r="J5" s="96"/>
      <c r="K5" s="96"/>
      <c r="L5" s="96"/>
    </row>
    <row r="9" spans="2:15">
      <c r="D9" s="98" t="s">
        <v>2877</v>
      </c>
    </row>
    <row r="10" spans="2:15">
      <c r="D10" s="100"/>
    </row>
    <row r="11" spans="2:15">
      <c r="D11" s="98" t="s">
        <v>3250</v>
      </c>
    </row>
    <row r="12" spans="2:15">
      <c r="D12" s="100"/>
    </row>
    <row r="13" spans="2:15">
      <c r="D13" s="45" t="s">
        <v>2879</v>
      </c>
      <c r="K13" s="13" t="str">
        <f>Show!$B$193&amp;"SPV.02.01.20.01 Rows {"&amp;COLUMN($C$1)&amp;"}"&amp;"@ForceFilingCode:true"</f>
        <v>!SPV.02.01.20.01 Rows {3}@ForceFilingCode:true</v>
      </c>
      <c r="L13" s="13" t="str">
        <f>Show!$B$193&amp;"SPV.02.01.20.01 Columns {"&amp;COLUMN($D$1)&amp;"}"</f>
        <v>!SPV.02.01.20.01 Columns {4}</v>
      </c>
    </row>
    <row r="14" spans="2:15">
      <c r="B14" s="43" t="s">
        <v>2880</v>
      </c>
      <c r="C14" s="44" t="s">
        <v>2878</v>
      </c>
      <c r="D14" s="48"/>
    </row>
    <row r="15" spans="2:15">
      <c r="B15" s="47" t="s">
        <v>3252</v>
      </c>
      <c r="C15" s="44" t="s">
        <v>2878</v>
      </c>
      <c r="D15" s="46"/>
    </row>
    <row r="16" spans="2:15">
      <c r="B16" s="49" t="s">
        <v>6043</v>
      </c>
      <c r="C16" s="41" t="s">
        <v>2883</v>
      </c>
      <c r="D16" s="60"/>
    </row>
    <row r="17" spans="2:4">
      <c r="B17" s="49" t="s">
        <v>6044</v>
      </c>
      <c r="C17" s="41" t="s">
        <v>2885</v>
      </c>
      <c r="D17" s="60"/>
    </row>
    <row r="18" spans="2:4">
      <c r="B18" s="49" t="s">
        <v>6045</v>
      </c>
      <c r="C18" s="41" t="s">
        <v>2887</v>
      </c>
      <c r="D18" s="60"/>
    </row>
    <row r="19" spans="2:4">
      <c r="B19" s="49" t="s">
        <v>6046</v>
      </c>
      <c r="C19" s="41" t="s">
        <v>2889</v>
      </c>
      <c r="D19" s="60"/>
    </row>
    <row r="20" spans="2:4">
      <c r="B20" s="49" t="s">
        <v>6047</v>
      </c>
      <c r="C20" s="41" t="s">
        <v>3078</v>
      </c>
      <c r="D20" s="60"/>
    </row>
    <row r="21" spans="2:4">
      <c r="B21" s="49" t="s">
        <v>6048</v>
      </c>
      <c r="C21" s="41" t="s">
        <v>2891</v>
      </c>
      <c r="D21" s="60"/>
    </row>
    <row r="22" spans="2:4">
      <c r="B22" s="49" t="s">
        <v>6049</v>
      </c>
      <c r="C22" s="41" t="s">
        <v>2893</v>
      </c>
      <c r="D22" s="60"/>
    </row>
    <row r="23" spans="2:4">
      <c r="B23" s="49" t="s">
        <v>6050</v>
      </c>
      <c r="C23" s="41" t="s">
        <v>2895</v>
      </c>
      <c r="D23" s="60"/>
    </row>
    <row r="24" spans="2:4">
      <c r="B24" s="49" t="s">
        <v>6051</v>
      </c>
      <c r="C24" s="41" t="s">
        <v>2897</v>
      </c>
      <c r="D24" s="60"/>
    </row>
    <row r="25" spans="2:4">
      <c r="B25" s="49" t="s">
        <v>3288</v>
      </c>
      <c r="C25" s="41" t="s">
        <v>2899</v>
      </c>
      <c r="D25" s="63"/>
    </row>
    <row r="26" spans="2:4">
      <c r="B26" s="47" t="s">
        <v>2389</v>
      </c>
      <c r="C26" s="44" t="s">
        <v>2878</v>
      </c>
      <c r="D26" s="46"/>
    </row>
    <row r="27" spans="2:4">
      <c r="B27" s="49" t="s">
        <v>6052</v>
      </c>
      <c r="C27" s="41" t="s">
        <v>2901</v>
      </c>
      <c r="D27" s="60"/>
    </row>
    <row r="28" spans="2:4">
      <c r="B28" s="49" t="s">
        <v>6053</v>
      </c>
      <c r="C28" s="41" t="s">
        <v>2903</v>
      </c>
      <c r="D28" s="60"/>
    </row>
    <row r="29" spans="2:4">
      <c r="B29" s="49" t="s">
        <v>6048</v>
      </c>
      <c r="C29" s="41" t="s">
        <v>2905</v>
      </c>
      <c r="D29" s="60"/>
    </row>
    <row r="30" spans="2:4">
      <c r="B30" s="49" t="s">
        <v>6054</v>
      </c>
      <c r="C30" s="41" t="s">
        <v>2907</v>
      </c>
      <c r="D30" s="60"/>
    </row>
    <row r="31" spans="2:4">
      <c r="B31" s="49" t="s">
        <v>6055</v>
      </c>
      <c r="C31" s="41" t="s">
        <v>2909</v>
      </c>
      <c r="D31" s="60"/>
    </row>
    <row r="32" spans="2:4">
      <c r="B32" s="49" t="s">
        <v>6056</v>
      </c>
      <c r="C32" s="41" t="s">
        <v>2911</v>
      </c>
      <c r="D32" s="63"/>
    </row>
    <row r="33" spans="2:12">
      <c r="B33" s="47" t="s">
        <v>3578</v>
      </c>
      <c r="C33" s="44" t="s">
        <v>2878</v>
      </c>
      <c r="D33" s="46"/>
    </row>
    <row r="34" spans="2:12">
      <c r="B34" s="49" t="s">
        <v>6057</v>
      </c>
      <c r="C34" s="41" t="s">
        <v>2915</v>
      </c>
      <c r="D34" s="60"/>
    </row>
    <row r="36" spans="2:12">
      <c r="K36" s="13" t="str">
        <f>Show!$B$193&amp;Show!$B$193&amp;"SPV.02.01.20.01 Rows {"&amp;COLUMN($C$1)&amp;"}"</f>
        <v>!!SPV.02.01.20.01 Rows {3}</v>
      </c>
      <c r="L36" s="13" t="str">
        <f>Show!$B$193&amp;Show!$B$193&amp;"SPV.02.01.20.01 Columns {"&amp;COLUMN($D$1)&amp;"}"</f>
        <v>!!SPV.02.01.20.01 Columns {4}</v>
      </c>
    </row>
    <row r="38" spans="2:12" ht="18.75">
      <c r="B38" s="97" t="s">
        <v>6058</v>
      </c>
      <c r="C38" s="96"/>
      <c r="D38" s="96"/>
      <c r="E38" s="96"/>
      <c r="F38" s="96"/>
      <c r="G38" s="96"/>
      <c r="H38" s="96"/>
      <c r="I38" s="96"/>
      <c r="J38" s="96"/>
      <c r="K38" s="96"/>
      <c r="L38" s="96"/>
    </row>
    <row r="42" spans="2:12">
      <c r="B42" s="98" t="s">
        <v>6059</v>
      </c>
      <c r="C42" s="98" t="s">
        <v>2877</v>
      </c>
    </row>
    <row r="43" spans="2:12">
      <c r="B43" s="99"/>
      <c r="C43" s="100"/>
    </row>
    <row r="44" spans="2:12">
      <c r="B44" s="100"/>
      <c r="C44" s="55" t="s">
        <v>4635</v>
      </c>
    </row>
    <row r="45" spans="2:12">
      <c r="B45" s="42" t="s">
        <v>3219</v>
      </c>
      <c r="C45" s="42" t="s">
        <v>2879</v>
      </c>
      <c r="K45" s="13" t="str">
        <f>Show!$B$193&amp;"SPV.02.01.20.02 Rows {"&amp;COLUMN($B$1)&amp;"}"&amp;"@ForceFilingCode:true"</f>
        <v>!SPV.02.01.20.02 Rows {2}@ForceFilingCode:true</v>
      </c>
      <c r="L45" s="13" t="str">
        <f>Show!$B$193&amp;"SPV.02.01.20.02 Columns {"&amp;COLUMN($B$1)&amp;"}"</f>
        <v>!SPV.02.01.20.02 Columns {2}</v>
      </c>
    </row>
    <row r="46" spans="2:12">
      <c r="B46" s="50"/>
      <c r="C46" s="60"/>
    </row>
    <row r="48" spans="2:12">
      <c r="K48" s="13" t="str">
        <f>Show!$B$193&amp;Show!$B$193&amp;"SPV.02.01.20.02 Rows {"&amp;COLUMN($B$1)&amp;"}"</f>
        <v>!!SPV.02.01.20.02 Rows {2}</v>
      </c>
      <c r="L48" s="13" t="str">
        <f>Show!$B$193&amp;Show!$B$193&amp;"SPV.02.01.20.02 Columns {"&amp;COLUMN($C$1)&amp;"}"</f>
        <v>!!SPV.02.01.20.02 Columns {3}</v>
      </c>
    </row>
    <row r="50" spans="2:12" ht="18.75">
      <c r="B50" s="97" t="s">
        <v>6060</v>
      </c>
      <c r="C50" s="96"/>
      <c r="D50" s="96"/>
      <c r="E50" s="96"/>
      <c r="F50" s="96"/>
      <c r="G50" s="96"/>
      <c r="H50" s="96"/>
      <c r="I50" s="96"/>
      <c r="J50" s="96"/>
      <c r="K50" s="96"/>
      <c r="L50" s="96"/>
    </row>
    <row r="54" spans="2:12">
      <c r="B54" s="98" t="s">
        <v>6061</v>
      </c>
      <c r="C54" s="98" t="s">
        <v>2877</v>
      </c>
    </row>
    <row r="55" spans="2:12">
      <c r="B55" s="99"/>
      <c r="C55" s="100"/>
    </row>
    <row r="56" spans="2:12">
      <c r="B56" s="100"/>
      <c r="C56" s="55" t="s">
        <v>4635</v>
      </c>
    </row>
    <row r="57" spans="2:12">
      <c r="B57" s="42" t="s">
        <v>3219</v>
      </c>
      <c r="C57" s="42" t="s">
        <v>2879</v>
      </c>
      <c r="K57" s="13" t="str">
        <f>Show!$B$193&amp;"SPV.02.01.20.03 Rows {"&amp;COLUMN($B$1)&amp;"}"&amp;"@ForceFilingCode:true"</f>
        <v>!SPV.02.01.20.03 Rows {2}@ForceFilingCode:true</v>
      </c>
      <c r="L57" s="13" t="str">
        <f>Show!$B$193&amp;"SPV.02.01.20.03 Columns {"&amp;COLUMN($B$1)&amp;"}"</f>
        <v>!SPV.02.01.20.03 Columns {2}</v>
      </c>
    </row>
    <row r="58" spans="2:12">
      <c r="B58" s="50"/>
      <c r="C58" s="60"/>
    </row>
    <row r="60" spans="2:12">
      <c r="K60" s="13" t="str">
        <f>Show!$B$193&amp;Show!$B$193&amp;"SPV.02.01.20.03 Rows {"&amp;COLUMN($B$1)&amp;"}"</f>
        <v>!!SPV.02.01.20.03 Rows {2}</v>
      </c>
      <c r="L60" s="13" t="str">
        <f>Show!$B$193&amp;Show!$B$193&amp;"SPV.02.01.20.03 Columns {"&amp;COLUMN($C$1)&amp;"}"</f>
        <v>!!SPV.02.01.20.03 Columns {3}</v>
      </c>
    </row>
    <row r="62" spans="2:12" ht="18.75">
      <c r="B62" s="97" t="s">
        <v>6062</v>
      </c>
      <c r="C62" s="96"/>
      <c r="D62" s="96"/>
      <c r="E62" s="96"/>
      <c r="F62" s="96"/>
      <c r="G62" s="96"/>
      <c r="H62" s="96"/>
      <c r="I62" s="96"/>
      <c r="J62" s="96"/>
      <c r="K62" s="96"/>
      <c r="L62" s="96"/>
    </row>
    <row r="66" spans="2:12">
      <c r="B66" s="98" t="s">
        <v>6063</v>
      </c>
      <c r="C66" s="98" t="s">
        <v>2877</v>
      </c>
    </row>
    <row r="67" spans="2:12">
      <c r="B67" s="99"/>
      <c r="C67" s="100"/>
    </row>
    <row r="68" spans="2:12">
      <c r="B68" s="100"/>
      <c r="C68" s="55" t="s">
        <v>4635</v>
      </c>
    </row>
    <row r="69" spans="2:12">
      <c r="B69" s="42" t="s">
        <v>3219</v>
      </c>
      <c r="C69" s="42" t="s">
        <v>2879</v>
      </c>
      <c r="K69" s="13" t="str">
        <f>Show!$B$193&amp;"SPV.02.01.20.04 Rows {"&amp;COLUMN($B$1)&amp;"}"&amp;"@ForceFilingCode:true"</f>
        <v>!SPV.02.01.20.04 Rows {2}@ForceFilingCode:true</v>
      </c>
      <c r="L69" s="13" t="str">
        <f>Show!$B$193&amp;"SPV.02.01.20.04 Columns {"&amp;COLUMN($B$1)&amp;"}"</f>
        <v>!SPV.02.01.20.04 Columns {2}</v>
      </c>
    </row>
    <row r="70" spans="2:12">
      <c r="B70" s="50"/>
      <c r="C70" s="60"/>
    </row>
    <row r="72" spans="2:12">
      <c r="K72" s="13" t="str">
        <f>Show!$B$193&amp;Show!$B$193&amp;"SPV.02.01.20.04 Rows {"&amp;COLUMN($B$1)&amp;"}"</f>
        <v>!!SPV.02.01.20.04 Rows {2}</v>
      </c>
      <c r="L72" s="13" t="str">
        <f>Show!$B$193&amp;Show!$B$193&amp;"SPV.02.01.20.04 Columns {"&amp;COLUMN($C$1)&amp;"}"</f>
        <v>!!SPV.02.01.20.04 Columns {3}</v>
      </c>
    </row>
  </sheetData>
  <sheetProtection sheet="1" objects="1" scenarios="1"/>
  <mergeCells count="13">
    <mergeCell ref="B50:L50"/>
    <mergeCell ref="B54:B56"/>
    <mergeCell ref="C54:C55"/>
    <mergeCell ref="B62:L62"/>
    <mergeCell ref="B66:B68"/>
    <mergeCell ref="C66:C67"/>
    <mergeCell ref="B42:B44"/>
    <mergeCell ref="C42:C43"/>
    <mergeCell ref="B2:O2"/>
    <mergeCell ref="B5:L5"/>
    <mergeCell ref="D9:D10"/>
    <mergeCell ref="D11:D12"/>
    <mergeCell ref="B38:L38"/>
  </mergeCell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5DEA-3276-4C18-B161-CE3205527946}">
  <sheetPr codeName="Blad198"/>
  <dimension ref="B2:O47"/>
  <sheetViews>
    <sheetView showGridLines="0" workbookViewId="0"/>
  </sheetViews>
  <sheetFormatPr defaultRowHeight="15"/>
  <cols>
    <col min="2" max="2" width="59.140625" bestFit="1" customWidth="1"/>
    <col min="3" max="4" width="15.7109375" customWidth="1"/>
  </cols>
  <sheetData>
    <row r="2" spans="2:15" ht="23.25">
      <c r="B2" s="95" t="s">
        <v>810</v>
      </c>
      <c r="C2" s="96"/>
      <c r="D2" s="96"/>
      <c r="E2" s="96"/>
      <c r="F2" s="96"/>
      <c r="G2" s="96"/>
      <c r="H2" s="96"/>
      <c r="I2" s="96"/>
      <c r="J2" s="96"/>
      <c r="K2" s="96"/>
      <c r="L2" s="96"/>
      <c r="M2" s="96"/>
      <c r="N2" s="96"/>
      <c r="O2" s="96"/>
    </row>
    <row r="5" spans="2:15" ht="18.75">
      <c r="B5" s="97" t="s">
        <v>6064</v>
      </c>
      <c r="C5" s="96"/>
      <c r="D5" s="96"/>
      <c r="E5" s="96"/>
      <c r="F5" s="96"/>
      <c r="G5" s="96"/>
      <c r="H5" s="96"/>
      <c r="I5" s="96"/>
      <c r="J5" s="96"/>
      <c r="K5" s="96"/>
      <c r="L5" s="96"/>
    </row>
    <row r="9" spans="2:15">
      <c r="D9" s="98" t="s">
        <v>2877</v>
      </c>
    </row>
    <row r="10" spans="2:15">
      <c r="D10" s="100"/>
    </row>
    <row r="11" spans="2:15">
      <c r="D11" s="98" t="s">
        <v>6065</v>
      </c>
    </row>
    <row r="12" spans="2:15">
      <c r="D12" s="100"/>
    </row>
    <row r="13" spans="2:15">
      <c r="D13" s="45" t="s">
        <v>2879</v>
      </c>
      <c r="K13" s="13" t="str">
        <f>Show!$B$194&amp;"SPV.02.02.20.01 Rows {"&amp;COLUMN($C$1)&amp;"}"&amp;"@ForceFilingCode:true"</f>
        <v>!SPV.02.02.20.01 Rows {3}@ForceFilingCode:true</v>
      </c>
      <c r="L13" s="13" t="str">
        <f>Show!$B$194&amp;"SPV.02.02.20.01 Columns {"&amp;COLUMN($D$1)&amp;"}"</f>
        <v>!SPV.02.02.20.01 Columns {4}</v>
      </c>
    </row>
    <row r="14" spans="2:15">
      <c r="B14" s="43" t="s">
        <v>2880</v>
      </c>
      <c r="C14" s="44" t="s">
        <v>2878</v>
      </c>
      <c r="D14" s="48"/>
    </row>
    <row r="15" spans="2:15">
      <c r="B15" s="47" t="s">
        <v>6066</v>
      </c>
      <c r="C15" s="44" t="s">
        <v>2878</v>
      </c>
      <c r="D15" s="46"/>
    </row>
    <row r="16" spans="2:15">
      <c r="B16" s="49" t="s">
        <v>6067</v>
      </c>
      <c r="C16" s="41" t="s">
        <v>2883</v>
      </c>
      <c r="D16" s="60"/>
    </row>
    <row r="17" spans="2:12">
      <c r="B17" s="49" t="s">
        <v>3387</v>
      </c>
      <c r="C17" s="41" t="s">
        <v>2885</v>
      </c>
      <c r="D17" s="60"/>
    </row>
    <row r="18" spans="2:12">
      <c r="B18" s="49" t="s">
        <v>6068</v>
      </c>
      <c r="C18" s="41" t="s">
        <v>2887</v>
      </c>
      <c r="D18" s="63"/>
    </row>
    <row r="19" spans="2:12">
      <c r="B19" s="47" t="s">
        <v>6069</v>
      </c>
      <c r="C19" s="44" t="s">
        <v>2878</v>
      </c>
      <c r="D19" s="46"/>
    </row>
    <row r="20" spans="2:12">
      <c r="B20" s="49" t="s">
        <v>3393</v>
      </c>
      <c r="C20" s="41" t="s">
        <v>2889</v>
      </c>
      <c r="D20" s="60"/>
    </row>
    <row r="21" spans="2:12">
      <c r="B21" s="49" t="s">
        <v>6070</v>
      </c>
      <c r="C21" s="41" t="s">
        <v>3078</v>
      </c>
      <c r="D21" s="60"/>
    </row>
    <row r="23" spans="2:12">
      <c r="K23" s="13" t="str">
        <f>Show!$B$194&amp;Show!$B$194&amp;"SPV.02.02.20.01 Rows {"&amp;COLUMN($C$1)&amp;"}"</f>
        <v>!!SPV.02.02.20.01 Rows {3}</v>
      </c>
      <c r="L23" s="13" t="str">
        <f>Show!$B$194&amp;Show!$B$194&amp;"SPV.02.02.20.01 Columns {"&amp;COLUMN($D$1)&amp;"}"</f>
        <v>!!SPV.02.02.20.01 Columns {4}</v>
      </c>
    </row>
    <row r="25" spans="2:12" ht="18.75">
      <c r="B25" s="97" t="s">
        <v>6071</v>
      </c>
      <c r="C25" s="96"/>
      <c r="D25" s="96"/>
      <c r="E25" s="96"/>
      <c r="F25" s="96"/>
      <c r="G25" s="96"/>
      <c r="H25" s="96"/>
      <c r="I25" s="96"/>
      <c r="J25" s="96"/>
      <c r="K25" s="96"/>
      <c r="L25" s="96"/>
    </row>
    <row r="29" spans="2:12">
      <c r="B29" s="98" t="s">
        <v>6072</v>
      </c>
      <c r="C29" s="98" t="s">
        <v>2877</v>
      </c>
    </row>
    <row r="30" spans="2:12">
      <c r="B30" s="99"/>
      <c r="C30" s="100"/>
    </row>
    <row r="31" spans="2:12" ht="30">
      <c r="B31" s="100"/>
      <c r="C31" s="55" t="s">
        <v>6065</v>
      </c>
    </row>
    <row r="32" spans="2:12">
      <c r="B32" s="42" t="s">
        <v>3219</v>
      </c>
      <c r="C32" s="42" t="s">
        <v>2879</v>
      </c>
      <c r="K32" s="13" t="str">
        <f>Show!$B$194&amp;"SPV.02.02.20.02 Rows {"&amp;COLUMN($B$1)&amp;"}"&amp;"@ForceFilingCode:true"</f>
        <v>!SPV.02.02.20.02 Rows {2}@ForceFilingCode:true</v>
      </c>
      <c r="L32" s="13" t="str">
        <f>Show!$B$194&amp;"SPV.02.02.20.02 Columns {"&amp;COLUMN($B$1)&amp;"}"</f>
        <v>!SPV.02.02.20.02 Columns {2}</v>
      </c>
    </row>
    <row r="33" spans="2:12">
      <c r="B33" s="50"/>
      <c r="C33" s="60"/>
    </row>
    <row r="35" spans="2:12">
      <c r="K35" s="13" t="str">
        <f>Show!$B$194&amp;Show!$B$194&amp;"SPV.02.02.20.02 Rows {"&amp;COLUMN($B$1)&amp;"}"</f>
        <v>!!SPV.02.02.20.02 Rows {2}</v>
      </c>
      <c r="L35" s="13" t="str">
        <f>Show!$B$194&amp;Show!$B$194&amp;"SPV.02.02.20.02 Columns {"&amp;COLUMN($C$1)&amp;"}"</f>
        <v>!!SPV.02.02.20.02 Columns {3}</v>
      </c>
    </row>
    <row r="37" spans="2:12" ht="18.75">
      <c r="B37" s="97" t="s">
        <v>6073</v>
      </c>
      <c r="C37" s="96"/>
      <c r="D37" s="96"/>
      <c r="E37" s="96"/>
      <c r="F37" s="96"/>
      <c r="G37" s="96"/>
      <c r="H37" s="96"/>
      <c r="I37" s="96"/>
      <c r="J37" s="96"/>
      <c r="K37" s="96"/>
      <c r="L37" s="96"/>
    </row>
    <row r="41" spans="2:12">
      <c r="B41" s="98" t="s">
        <v>6074</v>
      </c>
      <c r="C41" s="98" t="s">
        <v>2877</v>
      </c>
    </row>
    <row r="42" spans="2:12">
      <c r="B42" s="99"/>
      <c r="C42" s="100"/>
    </row>
    <row r="43" spans="2:12" ht="30">
      <c r="B43" s="100"/>
      <c r="C43" s="55" t="s">
        <v>6065</v>
      </c>
    </row>
    <row r="44" spans="2:12">
      <c r="B44" s="42" t="s">
        <v>3225</v>
      </c>
      <c r="C44" s="42" t="s">
        <v>2879</v>
      </c>
      <c r="K44" s="13" t="str">
        <f>Show!$B$194&amp;"SPV.02.02.20.03 Rows {"&amp;COLUMN($B$1)&amp;"}"&amp;"@ForceFilingCode:true"</f>
        <v>!SPV.02.02.20.03 Rows {2}@ForceFilingCode:true</v>
      </c>
      <c r="L44" s="13" t="str">
        <f>Show!$B$194&amp;"SPV.02.02.20.03 Columns {"&amp;COLUMN($B$1)&amp;"}"</f>
        <v>!SPV.02.02.20.03 Columns {2}</v>
      </c>
    </row>
    <row r="45" spans="2:12">
      <c r="B45" s="50"/>
      <c r="C45" s="60"/>
    </row>
    <row r="47" spans="2:12">
      <c r="K47" s="13" t="str">
        <f>Show!$B$194&amp;Show!$B$194&amp;"SPV.02.02.20.03 Rows {"&amp;COLUMN($B$1)&amp;"}"</f>
        <v>!!SPV.02.02.20.03 Rows {2}</v>
      </c>
      <c r="L47" s="13" t="str">
        <f>Show!$B$194&amp;Show!$B$194&amp;"SPV.02.02.20.03 Columns {"&amp;COLUMN($C$1)&amp;"}"</f>
        <v>!!SPV.02.02.20.03 Columns {3}</v>
      </c>
    </row>
  </sheetData>
  <sheetProtection sheet="1" objects="1" scenarios="1"/>
  <mergeCells count="10">
    <mergeCell ref="B37:L37"/>
    <mergeCell ref="B41:B43"/>
    <mergeCell ref="C41:C42"/>
    <mergeCell ref="B2:O2"/>
    <mergeCell ref="B5:L5"/>
    <mergeCell ref="D9:D10"/>
    <mergeCell ref="D11:D12"/>
    <mergeCell ref="B25:L25"/>
    <mergeCell ref="B29:B31"/>
    <mergeCell ref="C29:C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3BE18-DA06-4C1E-B523-D8F314535218}">
  <sheetPr codeName="Blad3">
    <tabColor rgb="FF92D050"/>
  </sheetPr>
  <dimension ref="A1:B1"/>
  <sheetViews>
    <sheetView workbookViewId="0">
      <selection activeCell="D46" sqref="D46"/>
    </sheetView>
  </sheetViews>
  <sheetFormatPr defaultRowHeight="15"/>
  <cols>
    <col min="1" max="1" width="17.5703125" style="33" customWidth="1"/>
    <col min="2" max="2" width="146.85546875" style="33" customWidth="1"/>
  </cols>
  <sheetData>
    <row r="1" spans="1:2">
      <c r="A1" s="33" t="s">
        <v>464</v>
      </c>
      <c r="B1" s="33" t="s">
        <v>465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F7A5-27FE-4893-967B-B802213FFA2F}">
  <sheetPr codeName="Blad20"/>
  <dimension ref="B2:O36"/>
  <sheetViews>
    <sheetView showGridLines="0" workbookViewId="0"/>
  </sheetViews>
  <sheetFormatPr defaultRowHeight="15"/>
  <cols>
    <col min="2" max="2" width="85.7109375"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3153</v>
      </c>
      <c r="C5" s="96"/>
      <c r="D5" s="96"/>
      <c r="E5" s="96"/>
      <c r="F5" s="96"/>
      <c r="G5" s="96"/>
      <c r="H5" s="96"/>
      <c r="I5" s="96"/>
      <c r="J5" s="96"/>
      <c r="K5" s="96"/>
      <c r="L5" s="96"/>
    </row>
    <row r="7" spans="2:15">
      <c r="B7" t="s">
        <v>3110</v>
      </c>
      <c r="I7" s="13" t="str">
        <f>IF(COUNTIF(D:D,"Reported")&gt;0,Show!$B$16,"!")&amp;"SR.01.01.07.01 Table label {"&amp;COLUMN($C$1)&amp;"}"</f>
        <v>!SR.01.01.07.01 Table label {3}</v>
      </c>
      <c r="J7" s="13" t="str">
        <f>IF(COUNTIF(D:D,"Reported")&gt;0,Show!$B$16,"!")&amp;"SR.01.01.07.01 Table value {"&amp;COLUMN($D$1)&amp;"}"</f>
        <v>!SR.01.01.07.01 Table value {4}</v>
      </c>
    </row>
    <row r="8" spans="2:15">
      <c r="B8" t="s">
        <v>3111</v>
      </c>
    </row>
    <row r="9" spans="2:15">
      <c r="B9" s="40" t="s">
        <v>3112</v>
      </c>
      <c r="C9" s="53" t="s">
        <v>3113</v>
      </c>
      <c r="D9" s="51"/>
    </row>
    <row r="10" spans="2:15">
      <c r="B10" s="40" t="s">
        <v>3114</v>
      </c>
      <c r="C10" s="53" t="s">
        <v>3115</v>
      </c>
      <c r="D10" s="50"/>
    </row>
    <row r="11" spans="2:15">
      <c r="I11" s="13" t="str">
        <f>IF(COUNTIF(D:D,"Reported")&gt;0,Show!$B$16&amp;Show!$B$16,"!!")&amp;"SR.01.01.07.01 Table label {"&amp;COLUMN($C$1)&amp;"}"</f>
        <v>!!SR.01.01.07.01 Table label {3}</v>
      </c>
      <c r="J11" s="13" t="str">
        <f>IF(COUNTIF(D:D,"Reported")&gt;0,Show!$B$16&amp;Show!$B$16,"!!")&amp;"SR.01.01.07.01 Table value {"&amp;COLUMN($D$1)&amp;"}"</f>
        <v>!!SR.01.01.07.01 Table value {4}</v>
      </c>
    </row>
    <row r="13" spans="2:15">
      <c r="D13" s="98" t="s">
        <v>2877</v>
      </c>
    </row>
    <row r="14" spans="2:15">
      <c r="D14" s="99"/>
    </row>
    <row r="15" spans="2:15">
      <c r="D15" s="99"/>
    </row>
    <row r="16" spans="2:15">
      <c r="D16" s="100"/>
    </row>
    <row r="17" spans="2:10">
      <c r="D17" s="45" t="s">
        <v>2879</v>
      </c>
      <c r="I17" s="13" t="str">
        <f>IF(COUNTIF(D:D,"Reported")&gt;0,Show!$B$16,"!")&amp;"SR.01.01.07.01 Rows {"&amp;COLUMN($C$1)&amp;"}"&amp;"@ForceFilingCode:true"</f>
        <v>!SR.01.01.07.01 Rows {3}@ForceFilingCode:true</v>
      </c>
      <c r="J17" s="13" t="str">
        <f>IF(COUNTIF(D:D,"Reported")&gt;0,Show!$B$16,"!")&amp;"SR.01.01.07.01 Columns {"&amp;COLUMN($D$1)&amp;"}"</f>
        <v>!SR.01.01.07.01 Columns {4}</v>
      </c>
    </row>
    <row r="18" spans="2:10">
      <c r="B18" s="43" t="s">
        <v>2880</v>
      </c>
      <c r="C18" s="44" t="s">
        <v>2878</v>
      </c>
      <c r="D18" s="48"/>
    </row>
    <row r="19" spans="2:10">
      <c r="B19" s="47" t="s">
        <v>2881</v>
      </c>
      <c r="C19" s="44" t="s">
        <v>2878</v>
      </c>
      <c r="D19" s="46"/>
    </row>
    <row r="20" spans="2:10">
      <c r="B20" s="52" t="s">
        <v>3154</v>
      </c>
      <c r="C20" s="41" t="s">
        <v>3118</v>
      </c>
      <c r="D20" s="51"/>
    </row>
    <row r="21" spans="2:10">
      <c r="B21" s="52" t="s">
        <v>3119</v>
      </c>
      <c r="C21" s="41" t="s">
        <v>3120</v>
      </c>
      <c r="D21" s="51"/>
    </row>
    <row r="22" spans="2:10">
      <c r="B22" s="52" t="s">
        <v>3121</v>
      </c>
      <c r="C22" s="41" t="s">
        <v>3122</v>
      </c>
      <c r="D22" s="51"/>
    </row>
    <row r="23" spans="2:10">
      <c r="B23" s="52" t="s">
        <v>3123</v>
      </c>
      <c r="C23" s="41" t="s">
        <v>3124</v>
      </c>
      <c r="D23" s="51"/>
    </row>
    <row r="24" spans="2:10">
      <c r="B24" s="52" t="s">
        <v>3125</v>
      </c>
      <c r="C24" s="41" t="s">
        <v>3126</v>
      </c>
      <c r="D24" s="51"/>
    </row>
    <row r="25" spans="2:10">
      <c r="B25" s="52" t="s">
        <v>3127</v>
      </c>
      <c r="C25" s="41" t="s">
        <v>3128</v>
      </c>
      <c r="D25" s="51"/>
    </row>
    <row r="26" spans="2:10" ht="30">
      <c r="B26" s="52" t="s">
        <v>3129</v>
      </c>
      <c r="C26" s="41" t="s">
        <v>3130</v>
      </c>
      <c r="D26" s="51"/>
    </row>
    <row r="27" spans="2:10">
      <c r="B27" s="52" t="s">
        <v>3131</v>
      </c>
      <c r="C27" s="41" t="s">
        <v>3132</v>
      </c>
      <c r="D27" s="51"/>
    </row>
    <row r="28" spans="2:10">
      <c r="B28" s="52" t="s">
        <v>3133</v>
      </c>
      <c r="C28" s="41" t="s">
        <v>3134</v>
      </c>
      <c r="D28" s="51"/>
    </row>
    <row r="29" spans="2:10">
      <c r="B29" s="52" t="s">
        <v>3135</v>
      </c>
      <c r="C29" s="41" t="s">
        <v>3136</v>
      </c>
      <c r="D29" s="51"/>
    </row>
    <row r="30" spans="2:10">
      <c r="B30" s="52" t="s">
        <v>3137</v>
      </c>
      <c r="C30" s="41" t="s">
        <v>3138</v>
      </c>
      <c r="D30" s="51"/>
    </row>
    <row r="31" spans="2:10">
      <c r="B31" s="52" t="s">
        <v>3139</v>
      </c>
      <c r="C31" s="41" t="s">
        <v>3140</v>
      </c>
      <c r="D31" s="51"/>
    </row>
    <row r="32" spans="2:10">
      <c r="B32" s="52" t="s">
        <v>3141</v>
      </c>
      <c r="C32" s="41" t="s">
        <v>3142</v>
      </c>
      <c r="D32" s="51"/>
    </row>
    <row r="33" spans="2:10">
      <c r="B33" s="52" t="s">
        <v>3143</v>
      </c>
      <c r="C33" s="41" t="s">
        <v>3144</v>
      </c>
      <c r="D33" s="51"/>
    </row>
    <row r="34" spans="2:10">
      <c r="B34" s="52" t="s">
        <v>3145</v>
      </c>
      <c r="C34" s="41" t="s">
        <v>3146</v>
      </c>
      <c r="D34" s="51"/>
    </row>
    <row r="35" spans="2:10">
      <c r="B35" s="52" t="s">
        <v>3155</v>
      </c>
      <c r="C35" s="41" t="s">
        <v>3148</v>
      </c>
      <c r="D35" s="51"/>
    </row>
    <row r="36" spans="2:10">
      <c r="I36" s="13" t="str">
        <f>IF(COUNTIF(D:D,"Reported")&gt;0,Show!$B$16&amp;Show!$B$16,"!!")&amp;"SR.01.01.07.01 Rows {"&amp;COLUMN($C$1)&amp;"}"</f>
        <v>!!SR.01.01.07.01 Rows {3}</v>
      </c>
      <c r="J36" s="13" t="str">
        <f>IF(COUNTIF(D:D,"Reported")&gt;0,Show!$B$16&amp;Show!$B$16,"!!")&amp;"SR.01.01.07.01 Columns {"&amp;COLUMN($D$1)&amp;"}"</f>
        <v>!!SR.01.01.07.01 Columns {4}</v>
      </c>
    </row>
  </sheetData>
  <sheetProtection sheet="1" objects="1" scenarios="1"/>
  <mergeCells count="3">
    <mergeCell ref="B2:O2"/>
    <mergeCell ref="B5:L5"/>
    <mergeCell ref="D13:D16"/>
  </mergeCells>
  <dataValidations count="12">
    <dataValidation type="list" errorStyle="warning" allowBlank="1" showInputMessage="1" showErrorMessage="1" sqref="D9" xr:uid="{C12049B2-409F-42F4-930C-129FFF5EC6A2}">
      <formula1>hier_PU_20</formula1>
    </dataValidation>
    <dataValidation type="list" errorStyle="warning" allowBlank="1" showInputMessage="1" showErrorMessage="1" sqref="D20" xr:uid="{45E40A72-823F-4A23-8711-01DBEA5FAB9F}">
      <formula1>hier_CN_77</formula1>
    </dataValidation>
    <dataValidation type="list" errorStyle="warning" allowBlank="1" showInputMessage="1" showErrorMessage="1" sqref="D21" xr:uid="{D4C4C668-81F7-4808-84EA-14B7E238FDFB}">
      <formula1>hier_CN_92</formula1>
    </dataValidation>
    <dataValidation type="list" errorStyle="warning" allowBlank="1" showInputMessage="1" showErrorMessage="1" sqref="D22" xr:uid="{828CB342-5D73-4FA4-90FB-A9AB8D37DA8A}">
      <formula1>hier_CN_93</formula1>
    </dataValidation>
    <dataValidation type="list" errorStyle="warning" allowBlank="1" showInputMessage="1" showErrorMessage="1" sqref="D23 D24" xr:uid="{9D524FD7-EDE9-45F2-8A9F-5D24C23004A4}">
      <formula1>hier_CN_79</formula1>
    </dataValidation>
    <dataValidation type="list" errorStyle="warning" allowBlank="1" showInputMessage="1" showErrorMessage="1" sqref="D25" xr:uid="{6C57D373-DE12-4C35-AEFB-88F096D5D702}">
      <formula1>hier_CN_108</formula1>
    </dataValidation>
    <dataValidation type="list" errorStyle="warning" allowBlank="1" showInputMessage="1" showErrorMessage="1" sqref="D26" xr:uid="{D9D04429-83B7-449E-B184-2E604DBD41B5}">
      <formula1>hier_CN_8</formula1>
    </dataValidation>
    <dataValidation type="list" errorStyle="warning" allowBlank="1" showInputMessage="1" showErrorMessage="1" sqref="D27" xr:uid="{A5DC1422-93A9-4545-9FEE-0AD7E2C283B8}">
      <formula1>hier_CN_9</formula1>
    </dataValidation>
    <dataValidation type="list" errorStyle="warning" allowBlank="1" showInputMessage="1" showErrorMessage="1" sqref="D28 D29 D30 D31 D32" xr:uid="{73E5B104-4DD9-4679-8D58-A3DF9EC77950}">
      <formula1>hier_CN_124</formula1>
    </dataValidation>
    <dataValidation type="list" errorStyle="warning" allowBlank="1" showInputMessage="1" showErrorMessage="1" sqref="D33" xr:uid="{DE4204D8-8193-40BB-BA4C-D62B7BBE0A18}">
      <formula1>hier_CN_53</formula1>
    </dataValidation>
    <dataValidation type="list" errorStyle="warning" allowBlank="1" showInputMessage="1" showErrorMessage="1" sqref="D34" xr:uid="{AFFB2398-892C-4B06-809E-4EA3F78E2D7D}">
      <formula1>hier_CN_55</formula1>
    </dataValidation>
    <dataValidation type="list" errorStyle="warning" allowBlank="1" showInputMessage="1" showErrorMessage="1" sqref="D35" xr:uid="{373E09A0-4263-4FB1-8C6F-D78049C3A626}">
      <formula1>hier_CN_51</formula1>
    </dataValidation>
  </dataValidations>
  <hyperlinks>
    <hyperlink ref="B20" location="'SR.02.01.07'!A1" display="SR.02.01.07 - Balance Sheet" xr:uid="{CFB6DC61-B831-4CD2-B611-FD89EB00C803}"/>
    <hyperlink ref="B21" location="'SR.12.01.01'!A1" display="SR.12.01.01 - Life and Health SLT Technical Provisions" xr:uid="{126120AA-3899-45FF-B544-771B124FC155}"/>
    <hyperlink ref="B22" location="'SR.17.01.01'!A1" display="SR.17.01.01 - Non-Life Technical Provisions" xr:uid="{56DA5441-4DF7-4CDC-A255-3DD68C59BD72}"/>
    <hyperlink ref="B23" location="'SR.22.02.01'!A1" display="SR.22.02.01 - Projection of future cash flows (Best Estimate - Matching portfolios)" xr:uid="{7C3D3750-2695-426D-8654-97EB4B69C4D4}"/>
    <hyperlink ref="B24" location="'SR.22.03.01'!A1" display="SR.22.03.01 - Information on the matching adjustment calculation" xr:uid="{AC6785E2-F5F0-40E2-8863-AF53F221CA0B}"/>
    <hyperlink ref="B25" location="'SR.25.01.01'!A1" display="SR.25.01.01 - Solvency Capital Requirement - for undertakings on Standard Formula" xr:uid="{A7A2AD90-73D7-499E-89CD-2D689D5E3E33}"/>
    <hyperlink ref="B26" location="'SR.25.02.01'!A1" display="SR.25.02.01 - Solvency Capital Requirement - for undertakings using the standard formula and partial internal model" xr:uid="{CBCF45AC-B8A5-49D9-8B7B-A17E30F9C1DC}"/>
    <hyperlink ref="B27" location="'SR.25.03.01'!A1" display="SR.25.03.01 - Solvency Capital Requirement - for undertakings on Full Internal Models" xr:uid="{93018764-3FE1-42A5-B4CF-0F9216AC41DA}"/>
    <hyperlink ref="B28" location="'SR.26.01.01'!A1" display="SR.26.01.01 - Solvency Capital Requirement - Market risk" xr:uid="{066C6B9C-FB81-41F0-BBA6-5889E91BD6C1}"/>
    <hyperlink ref="B29" location="'SR.26.02.01'!A1" display="SR.26.02.01 - Solvency Capital Requirement - Counterparty default risk" xr:uid="{31E599FF-D98C-4DF8-A55E-645BF2A62F0D}"/>
    <hyperlink ref="B30" location="'SR.26.03.01'!A1" display="SR.26.03.01 - Solvency Capital Requirement - Life underwriting risk" xr:uid="{CAE46140-501F-44C9-94F1-52819B97A101}"/>
    <hyperlink ref="B31" location="'SR.26.04.01'!A1" display="SR.26.04.01 - Solvency Capital Requirement - Health underwriting risk" xr:uid="{A9565856-0130-45AA-B3EB-6D601BF35B05}"/>
    <hyperlink ref="B32" location="'SR.26.05.01'!A1" display="SR.26.05.01 - Solvency Capital Requirement - Non-Life underwriting risk" xr:uid="{F16E9DA3-1E70-4289-9EE1-2E37EC9A12C3}"/>
    <hyperlink ref="B33" location="'SR.26.06.01'!A1" display="SR.26.06.01 - Solvency Capital Requirement - Operational risk" xr:uid="{D157FEE3-6369-45BF-AB86-85B15715F072}"/>
    <hyperlink ref="B34" location="'SR.26.07.01'!A1" display="SR.26.07.01 - Solvency Capital Requirement - Simplifications" xr:uid="{4D6815F9-682D-44C0-A8D4-A05A679E3DB2}"/>
    <hyperlink ref="B35" location="'SR.27.01.01'!A1" display="SR.27.01.01 - Solvency Capital Requirement - Non-Life and Health catastrophe risk" xr:uid="{58E83656-6746-497C-947B-E8F049DA403B}"/>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698-6C0A-4ECA-A00F-C357029574D8}">
  <sheetPr codeName="Blad199"/>
  <dimension ref="B2:S28"/>
  <sheetViews>
    <sheetView showGridLines="0" workbookViewId="0"/>
  </sheetViews>
  <sheetFormatPr defaultRowHeight="15"/>
  <cols>
    <col min="2" max="2" width="12.7109375" bestFit="1" customWidth="1"/>
    <col min="3" max="3" width="15.7109375" customWidth="1"/>
    <col min="4" max="6" width="40.7109375" customWidth="1"/>
    <col min="7" max="8" width="15.7109375" customWidth="1"/>
    <col min="9" max="9" width="40.7109375" customWidth="1"/>
    <col min="10" max="10" width="15.7109375" customWidth="1"/>
  </cols>
  <sheetData>
    <row r="2" spans="2:19" ht="23.25">
      <c r="B2" s="95" t="s">
        <v>812</v>
      </c>
      <c r="C2" s="96"/>
      <c r="D2" s="96"/>
      <c r="E2" s="96"/>
      <c r="F2" s="96"/>
      <c r="G2" s="96"/>
      <c r="H2" s="96"/>
      <c r="I2" s="96"/>
      <c r="J2" s="96"/>
      <c r="K2" s="96"/>
      <c r="L2" s="96"/>
      <c r="M2" s="96"/>
      <c r="N2" s="96"/>
      <c r="O2" s="96"/>
    </row>
    <row r="5" spans="2:19" ht="18.75">
      <c r="B5" s="97" t="s">
        <v>6075</v>
      </c>
      <c r="C5" s="96"/>
      <c r="D5" s="96"/>
      <c r="E5" s="96"/>
      <c r="F5" s="96"/>
      <c r="G5" s="96"/>
      <c r="H5" s="96"/>
      <c r="I5" s="96"/>
      <c r="J5" s="96"/>
      <c r="K5" s="96"/>
      <c r="L5" s="96"/>
    </row>
    <row r="9" spans="2:19">
      <c r="D9" s="101" t="s">
        <v>2877</v>
      </c>
      <c r="E9" s="103"/>
    </row>
    <row r="10" spans="2:19">
      <c r="D10" s="104"/>
      <c r="E10" s="106"/>
    </row>
    <row r="11" spans="2:19" ht="30">
      <c r="D11" s="55" t="s">
        <v>6076</v>
      </c>
      <c r="E11" s="55" t="s">
        <v>6077</v>
      </c>
    </row>
    <row r="12" spans="2:19">
      <c r="D12" s="45" t="s">
        <v>3233</v>
      </c>
      <c r="E12" s="45" t="s">
        <v>3234</v>
      </c>
      <c r="R12" s="13" t="str">
        <f>Show!$B$195&amp;"SPV.03.01.20.01 Rows {"&amp;COLUMN($C$1)&amp;"}"&amp;"@ForceFilingCode:true"</f>
        <v>!SPV.03.01.20.01 Rows {3}@ForceFilingCode:true</v>
      </c>
      <c r="S12" s="13" t="str">
        <f>Show!$B$195&amp;"SPV.03.01.20.01 Columns {"&amp;COLUMN($D$1)&amp;"}"</f>
        <v>!SPV.03.01.20.01 Columns {4}</v>
      </c>
    </row>
    <row r="13" spans="2:19">
      <c r="B13" s="43" t="s">
        <v>2880</v>
      </c>
      <c r="C13" s="44" t="s">
        <v>2878</v>
      </c>
      <c r="D13" s="56"/>
      <c r="E13" s="57"/>
    </row>
    <row r="14" spans="2:19">
      <c r="B14" s="47" t="s">
        <v>3480</v>
      </c>
      <c r="C14" s="41" t="s">
        <v>2883</v>
      </c>
      <c r="D14" s="60"/>
      <c r="E14" s="60"/>
    </row>
    <row r="16" spans="2:19">
      <c r="R16" s="13" t="str">
        <f>Show!$B$195&amp;Show!$B$195&amp;"SPV.03.01.20.01 Rows {"&amp;COLUMN($C$1)&amp;"}"</f>
        <v>!!SPV.03.01.20.01 Rows {3}</v>
      </c>
      <c r="S16" s="13" t="str">
        <f>Show!$B$195&amp;Show!$B$195&amp;"SPV.03.01.20.01 Columns {"&amp;COLUMN($E$1)&amp;"}"</f>
        <v>!!SPV.03.01.20.01 Columns {5}</v>
      </c>
    </row>
    <row r="18" spans="2:19" ht="18.75">
      <c r="B18" s="97" t="s">
        <v>6078</v>
      </c>
      <c r="C18" s="96"/>
      <c r="D18" s="96"/>
      <c r="E18" s="96"/>
      <c r="F18" s="96"/>
      <c r="G18" s="96"/>
      <c r="H18" s="96"/>
      <c r="I18" s="96"/>
      <c r="J18" s="96"/>
      <c r="K18" s="96"/>
      <c r="L18" s="96"/>
    </row>
    <row r="22" spans="2:19">
      <c r="B22" s="98" t="s">
        <v>6079</v>
      </c>
      <c r="C22" s="101" t="s">
        <v>2877</v>
      </c>
      <c r="D22" s="102"/>
      <c r="E22" s="102"/>
      <c r="F22" s="102"/>
      <c r="G22" s="102"/>
      <c r="H22" s="102"/>
      <c r="I22" s="102"/>
      <c r="J22" s="103"/>
    </row>
    <row r="23" spans="2:19">
      <c r="B23" s="99"/>
      <c r="C23" s="104"/>
      <c r="D23" s="105"/>
      <c r="E23" s="105"/>
      <c r="F23" s="105"/>
      <c r="G23" s="105"/>
      <c r="H23" s="105"/>
      <c r="I23" s="105"/>
      <c r="J23" s="106"/>
    </row>
    <row r="24" spans="2:19" ht="60">
      <c r="B24" s="100"/>
      <c r="C24" s="55" t="s">
        <v>6080</v>
      </c>
      <c r="D24" s="55" t="s">
        <v>6081</v>
      </c>
      <c r="E24" s="55" t="s">
        <v>6082</v>
      </c>
      <c r="F24" s="55" t="s">
        <v>6083</v>
      </c>
      <c r="G24" s="55" t="s">
        <v>6076</v>
      </c>
      <c r="H24" s="55" t="s">
        <v>6077</v>
      </c>
      <c r="I24" s="55" t="s">
        <v>6084</v>
      </c>
      <c r="J24" s="55" t="s">
        <v>3621</v>
      </c>
    </row>
    <row r="25" spans="2:19">
      <c r="B25" s="42" t="s">
        <v>2879</v>
      </c>
      <c r="C25" s="42" t="s">
        <v>3219</v>
      </c>
      <c r="D25" s="42" t="s">
        <v>3225</v>
      </c>
      <c r="E25" s="42" t="s">
        <v>3223</v>
      </c>
      <c r="F25" s="42" t="s">
        <v>3229</v>
      </c>
      <c r="G25" s="42" t="s">
        <v>3233</v>
      </c>
      <c r="H25" s="42" t="s">
        <v>3234</v>
      </c>
      <c r="I25" s="42" t="s">
        <v>3236</v>
      </c>
      <c r="J25" s="42" t="s">
        <v>3239</v>
      </c>
      <c r="R25" s="13" t="str">
        <f>Show!$B$195&amp;"SPV.03.01.20.02 Rows {"&amp;COLUMN($B$1)&amp;"}"&amp;"@ForceFilingCode:true"</f>
        <v>!SPV.03.01.20.02 Rows {2}@ForceFilingCode:true</v>
      </c>
      <c r="S25" s="13" t="str">
        <f>Show!$B$195&amp;"SPV.03.01.20.02 Columns {"&amp;COLUMN($B$1)&amp;"}"</f>
        <v>!SPV.03.01.20.02 Columns {2}</v>
      </c>
    </row>
    <row r="26" spans="2:19">
      <c r="B26" s="50"/>
      <c r="C26" s="54"/>
      <c r="D26" s="51"/>
      <c r="E26" s="51"/>
      <c r="F26" s="51"/>
      <c r="G26" s="60"/>
      <c r="H26" s="60"/>
      <c r="I26" s="51"/>
      <c r="J26" s="69"/>
    </row>
    <row r="28" spans="2:19">
      <c r="R28" s="13" t="str">
        <f>Show!$B$195&amp;Show!$B$195&amp;"SPV.03.01.20.02 Rows {"&amp;COLUMN($B$1)&amp;"}"</f>
        <v>!!SPV.03.01.20.02 Rows {2}</v>
      </c>
      <c r="S28" s="13" t="str">
        <f>Show!$B$195&amp;Show!$B$195&amp;"SPV.03.01.20.02 Columns {"&amp;COLUMN($J$1)&amp;"}"</f>
        <v>!!SPV.03.01.20.02 Columns {10}</v>
      </c>
    </row>
  </sheetData>
  <sheetProtection sheet="1" objects="1" scenarios="1"/>
  <mergeCells count="6">
    <mergeCell ref="B2:O2"/>
    <mergeCell ref="B5:L5"/>
    <mergeCell ref="D9:E10"/>
    <mergeCell ref="B18:L18"/>
    <mergeCell ref="B22:B24"/>
    <mergeCell ref="C22:J23"/>
  </mergeCells>
  <dataValidations count="3">
    <dataValidation type="date" operator="greaterThan" allowBlank="1" showInputMessage="1" showErrorMessage="1" errorTitle="Date value" error="This cell can only contain dates" sqref="C26" xr:uid="{1A2091A4-237B-4723-87E9-5BE64A61256C}">
      <formula1>1</formula1>
    </dataValidation>
    <dataValidation type="list" errorStyle="warning" allowBlank="1" showInputMessage="1" showErrorMessage="1" sqref="D26" xr:uid="{CB1EA5FD-D62E-4BD3-89F4-9C9B61851FC8}">
      <formula1>hier_AP_16</formula1>
    </dataValidation>
    <dataValidation type="list" errorStyle="warning" allowBlank="1" showInputMessage="1" showErrorMessage="1" sqref="I26" xr:uid="{C8779E64-6C28-4101-B8F7-3AA43986C844}">
      <formula1>hier_AP_15</formula1>
    </dataValidation>
  </dataValidation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98FB3-DB74-415E-925F-D7813428FF09}">
  <sheetPr codeName="Blad200"/>
  <dimension ref="B2:O28"/>
  <sheetViews>
    <sheetView showGridLines="0" workbookViewId="0"/>
  </sheetViews>
  <sheetFormatPr defaultRowHeight="15"/>
  <cols>
    <col min="2" max="2" width="12.7109375" bestFit="1" customWidth="1"/>
    <col min="3" max="3" width="40.7109375" customWidth="1"/>
    <col min="4" max="4" width="15.7109375" customWidth="1"/>
  </cols>
  <sheetData>
    <row r="2" spans="2:15" ht="23.25">
      <c r="B2" s="95" t="s">
        <v>812</v>
      </c>
      <c r="C2" s="96"/>
      <c r="D2" s="96"/>
      <c r="E2" s="96"/>
      <c r="F2" s="96"/>
      <c r="G2" s="96"/>
      <c r="H2" s="96"/>
      <c r="I2" s="96"/>
      <c r="J2" s="96"/>
      <c r="K2" s="96"/>
      <c r="L2" s="96"/>
      <c r="M2" s="96"/>
      <c r="N2" s="96"/>
      <c r="O2" s="96"/>
    </row>
    <row r="5" spans="2:15" ht="18.75">
      <c r="B5" s="97" t="s">
        <v>6085</v>
      </c>
      <c r="C5" s="96"/>
      <c r="D5" s="96"/>
      <c r="E5" s="96"/>
      <c r="F5" s="96"/>
      <c r="G5" s="96"/>
      <c r="H5" s="96"/>
      <c r="I5" s="96"/>
      <c r="J5" s="96"/>
      <c r="K5" s="96"/>
      <c r="L5" s="96"/>
    </row>
    <row r="9" spans="2:15">
      <c r="D9" s="98" t="s">
        <v>2877</v>
      </c>
    </row>
    <row r="10" spans="2:15">
      <c r="D10" s="100"/>
    </row>
    <row r="11" spans="2:15" ht="90">
      <c r="D11" s="55" t="s">
        <v>6086</v>
      </c>
    </row>
    <row r="12" spans="2:15">
      <c r="D12" s="45" t="s">
        <v>3225</v>
      </c>
      <c r="L12" s="13" t="str">
        <f>Show!$B$196&amp;"SPV.03.02.20.01 Rows {"&amp;COLUMN($C$1)&amp;"}"&amp;"@ForceFilingCode:true"</f>
        <v>!SPV.03.02.20.01 Rows {3}@ForceFilingCode:true</v>
      </c>
      <c r="M12" s="13" t="str">
        <f>Show!$B$196&amp;"SPV.03.02.20.01 Columns {"&amp;COLUMN($D$1)&amp;"}"</f>
        <v>!SPV.03.02.20.01 Columns {4}</v>
      </c>
    </row>
    <row r="13" spans="2:15">
      <c r="B13" s="43" t="s">
        <v>2880</v>
      </c>
      <c r="C13" s="44" t="s">
        <v>2878</v>
      </c>
      <c r="D13" s="46"/>
    </row>
    <row r="14" spans="2:15">
      <c r="B14" s="47" t="s">
        <v>3480</v>
      </c>
      <c r="C14" s="41" t="s">
        <v>2883</v>
      </c>
      <c r="D14" s="60"/>
    </row>
    <row r="16" spans="2:15">
      <c r="L16" s="13" t="str">
        <f>Show!$B$196&amp;Show!$B$196&amp;"SPV.03.02.20.01 Rows {"&amp;COLUMN($C$1)&amp;"}"</f>
        <v>!!SPV.03.02.20.01 Rows {3}</v>
      </c>
      <c r="M16" s="13" t="str">
        <f>Show!$B$196&amp;Show!$B$196&amp;"SPV.03.02.20.01 Columns {"&amp;COLUMN($D$1)&amp;"}"</f>
        <v>!!SPV.03.02.20.01 Columns {4}</v>
      </c>
    </row>
    <row r="18" spans="2:13" ht="18.75">
      <c r="B18" s="97" t="s">
        <v>6087</v>
      </c>
      <c r="C18" s="96"/>
      <c r="D18" s="96"/>
      <c r="E18" s="96"/>
      <c r="F18" s="96"/>
      <c r="G18" s="96"/>
      <c r="H18" s="96"/>
      <c r="I18" s="96"/>
      <c r="J18" s="96"/>
      <c r="K18" s="96"/>
      <c r="L18" s="96"/>
    </row>
    <row r="22" spans="2:13">
      <c r="B22" s="98" t="s">
        <v>6079</v>
      </c>
      <c r="C22" s="101" t="s">
        <v>2877</v>
      </c>
      <c r="D22" s="103"/>
    </row>
    <row r="23" spans="2:13">
      <c r="B23" s="99"/>
      <c r="C23" s="104"/>
      <c r="D23" s="106"/>
    </row>
    <row r="24" spans="2:13" ht="90">
      <c r="B24" s="100"/>
      <c r="C24" s="55" t="s">
        <v>6088</v>
      </c>
      <c r="D24" s="55" t="s">
        <v>6086</v>
      </c>
    </row>
    <row r="25" spans="2:13">
      <c r="B25" s="42" t="s">
        <v>2879</v>
      </c>
      <c r="C25" s="42" t="s">
        <v>3219</v>
      </c>
      <c r="D25" s="42" t="s">
        <v>3225</v>
      </c>
      <c r="L25" s="13" t="str">
        <f>Show!$B$196&amp;"SPV.03.02.20.02 Rows {"&amp;COLUMN($B$1)&amp;"}"&amp;"@ForceFilingCode:true"</f>
        <v>!SPV.03.02.20.02 Rows {2}@ForceFilingCode:true</v>
      </c>
      <c r="M25" s="13" t="str">
        <f>Show!$B$196&amp;"SPV.03.02.20.02 Columns {"&amp;COLUMN($B$1)&amp;"}"</f>
        <v>!SPV.03.02.20.02 Columns {2}</v>
      </c>
    </row>
    <row r="26" spans="2:13">
      <c r="B26" s="50"/>
      <c r="C26" s="51"/>
      <c r="D26" s="60"/>
    </row>
    <row r="28" spans="2:13">
      <c r="L28" s="13" t="str">
        <f>Show!$B$196&amp;Show!$B$196&amp;"SPV.03.02.20.02 Rows {"&amp;COLUMN($B$1)&amp;"}"</f>
        <v>!!SPV.03.02.20.02 Rows {2}</v>
      </c>
      <c r="M28" s="13" t="str">
        <f>Show!$B$196&amp;Show!$B$196&amp;"SPV.03.02.20.02 Columns {"&amp;COLUMN($D$1)&amp;"}"</f>
        <v>!!SPV.03.02.20.02 Columns {4}</v>
      </c>
    </row>
  </sheetData>
  <sheetProtection sheet="1" objects="1" scenarios="1"/>
  <mergeCells count="6">
    <mergeCell ref="B2:O2"/>
    <mergeCell ref="B5:L5"/>
    <mergeCell ref="D9:D10"/>
    <mergeCell ref="B18:L18"/>
    <mergeCell ref="B22:B24"/>
    <mergeCell ref="C22:D23"/>
  </mergeCell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4DCF-AE2F-4CDE-A956-20A4F3D76255}">
  <sheetPr codeName="Blad201"/>
  <dimension ref="B2:Y15"/>
  <sheetViews>
    <sheetView showGridLines="0" workbookViewId="0"/>
  </sheetViews>
  <sheetFormatPr defaultRowHeight="15"/>
  <cols>
    <col min="2" max="2" width="6.140625" bestFit="1" customWidth="1"/>
    <col min="3" max="5" width="15.7109375" customWidth="1"/>
    <col min="6" max="6" width="40.7109375" customWidth="1"/>
    <col min="7" max="7" width="15.7109375" customWidth="1"/>
    <col min="8" max="8" width="40.7109375" customWidth="1"/>
    <col min="9" max="13" width="15.7109375" customWidth="1"/>
  </cols>
  <sheetData>
    <row r="2" spans="2:25" ht="23.25">
      <c r="B2" s="95" t="s">
        <v>815</v>
      </c>
      <c r="C2" s="96"/>
      <c r="D2" s="96"/>
      <c r="E2" s="96"/>
      <c r="F2" s="96"/>
      <c r="G2" s="96"/>
      <c r="H2" s="96"/>
      <c r="I2" s="96"/>
      <c r="J2" s="96"/>
      <c r="K2" s="96"/>
      <c r="L2" s="96"/>
      <c r="M2" s="96"/>
      <c r="N2" s="96"/>
      <c r="O2" s="96"/>
    </row>
    <row r="5" spans="2:25" ht="18.75">
      <c r="B5" s="97" t="s">
        <v>6089</v>
      </c>
      <c r="C5" s="96"/>
      <c r="D5" s="96"/>
      <c r="E5" s="96"/>
      <c r="F5" s="96"/>
      <c r="G5" s="96"/>
      <c r="H5" s="96"/>
      <c r="I5" s="96"/>
      <c r="J5" s="96"/>
      <c r="K5" s="96"/>
      <c r="L5" s="96"/>
    </row>
    <row r="9" spans="2:25">
      <c r="B9" s="98" t="s">
        <v>6090</v>
      </c>
      <c r="C9" s="98" t="s">
        <v>6091</v>
      </c>
      <c r="D9" s="98" t="s">
        <v>6092</v>
      </c>
      <c r="E9" s="98" t="s">
        <v>6093</v>
      </c>
      <c r="F9" s="101" t="s">
        <v>2877</v>
      </c>
      <c r="G9" s="102"/>
      <c r="H9" s="102"/>
      <c r="I9" s="102"/>
      <c r="J9" s="102"/>
      <c r="K9" s="102"/>
      <c r="L9" s="102"/>
      <c r="M9" s="103"/>
    </row>
    <row r="10" spans="2:25">
      <c r="B10" s="99"/>
      <c r="C10" s="99"/>
      <c r="D10" s="99"/>
      <c r="E10" s="99"/>
      <c r="F10" s="104"/>
      <c r="G10" s="105"/>
      <c r="H10" s="105"/>
      <c r="I10" s="105"/>
      <c r="J10" s="105"/>
      <c r="K10" s="105"/>
      <c r="L10" s="105"/>
      <c r="M10" s="106"/>
    </row>
    <row r="11" spans="2:25">
      <c r="B11" s="100"/>
      <c r="C11" s="100"/>
      <c r="D11" s="100"/>
      <c r="E11" s="100"/>
      <c r="F11" s="55" t="s">
        <v>6094</v>
      </c>
      <c r="G11" s="55" t="s">
        <v>6095</v>
      </c>
      <c r="H11" s="55" t="s">
        <v>6096</v>
      </c>
      <c r="I11" s="55" t="s">
        <v>6097</v>
      </c>
      <c r="J11" s="55" t="s">
        <v>6098</v>
      </c>
      <c r="K11" s="55" t="s">
        <v>6099</v>
      </c>
      <c r="L11" s="55" t="s">
        <v>6100</v>
      </c>
      <c r="M11" s="55" t="s">
        <v>6101</v>
      </c>
    </row>
    <row r="12" spans="2:25">
      <c r="B12" s="42" t="s">
        <v>2879</v>
      </c>
      <c r="C12" s="42" t="s">
        <v>3219</v>
      </c>
      <c r="D12" s="42" t="s">
        <v>3225</v>
      </c>
      <c r="E12" s="42" t="s">
        <v>3223</v>
      </c>
      <c r="F12" s="42" t="s">
        <v>3229</v>
      </c>
      <c r="G12" s="42" t="s">
        <v>3231</v>
      </c>
      <c r="H12" s="42" t="s">
        <v>3233</v>
      </c>
      <c r="I12" s="42" t="s">
        <v>3234</v>
      </c>
      <c r="J12" s="42" t="s">
        <v>3236</v>
      </c>
      <c r="K12" s="42" t="s">
        <v>3239</v>
      </c>
      <c r="L12" s="42" t="s">
        <v>3241</v>
      </c>
      <c r="M12" s="42" t="s">
        <v>3243</v>
      </c>
      <c r="X12" s="13" t="str">
        <f>Show!$B$197&amp;"T.99.01.01.01 Rows {"&amp;COLUMN($B$1)&amp;"}"&amp;"@ForceFilingCode:true"</f>
        <v>!T.99.01.01.01 Rows {2}@ForceFilingCode:true</v>
      </c>
      <c r="Y12" s="13" t="str">
        <f>Show!$B$197&amp;"T.99.01.01.01 Columns {"&amp;COLUMN($B$1)&amp;"}"</f>
        <v>!T.99.01.01.01 Columns {2}</v>
      </c>
    </row>
    <row r="13" spans="2:25">
      <c r="B13" s="50"/>
      <c r="C13" s="50"/>
      <c r="D13" s="50"/>
      <c r="E13" s="50"/>
      <c r="F13" s="51"/>
      <c r="G13" s="60"/>
      <c r="H13" s="51"/>
      <c r="I13" s="54"/>
      <c r="J13" s="50"/>
      <c r="K13" s="69"/>
      <c r="L13" s="70"/>
      <c r="M13" s="50"/>
    </row>
    <row r="15" spans="2:25">
      <c r="X15" s="13" t="str">
        <f>Show!$B$197&amp;Show!$B$197&amp;"T.99.01.01.01 Rows {"&amp;COLUMN($B$1)&amp;"}"</f>
        <v>!!T.99.01.01.01 Rows {2}</v>
      </c>
      <c r="Y15" s="13" t="str">
        <f>Show!$B$197&amp;Show!$B$197&amp;"T.99.01.01.01 Columns {"&amp;COLUMN($M$1)&amp;"}"</f>
        <v>!!T.99.01.01.01 Columns {13}</v>
      </c>
    </row>
  </sheetData>
  <sheetProtection sheet="1" objects="1" scenarios="1"/>
  <mergeCells count="7">
    <mergeCell ref="B2:O2"/>
    <mergeCell ref="B5:L5"/>
    <mergeCell ref="B9:B11"/>
    <mergeCell ref="C9:C11"/>
    <mergeCell ref="D9:D11"/>
    <mergeCell ref="E9:E11"/>
    <mergeCell ref="F9:M10"/>
  </mergeCells>
  <dataValidations count="2">
    <dataValidation type="date" operator="greaterThan" allowBlank="1" showInputMessage="1" showErrorMessage="1" errorTitle="Date value" error="This cell can only contain dates" sqref="I13" xr:uid="{B417BB84-5018-4DB6-9837-E44DB88359E3}">
      <formula1>1</formula1>
    </dataValidation>
    <dataValidation type="list" errorStyle="warning" allowBlank="1" showInputMessage="1" showErrorMessage="1" sqref="M13" xr:uid="{B84F486D-B55E-4744-9BC9-76E0E3870BD5}">
      <formula1>"true,false"</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A4796-DA0D-4B26-B9C0-129E1BE01FC4}">
  <sheetPr codeName="Blad21"/>
  <dimension ref="B2:O90"/>
  <sheetViews>
    <sheetView showGridLines="0" workbookViewId="0"/>
  </sheetViews>
  <sheetFormatPr defaultRowHeight="15"/>
  <cols>
    <col min="2" max="2" width="85.42578125" bestFit="1" customWidth="1"/>
    <col min="4" max="4" width="40.7109375" customWidth="1"/>
  </cols>
  <sheetData>
    <row r="2" spans="2:15" ht="23.25">
      <c r="B2" s="95" t="s">
        <v>528</v>
      </c>
      <c r="C2" s="96"/>
      <c r="D2" s="96"/>
      <c r="E2" s="96"/>
      <c r="F2" s="96"/>
      <c r="G2" s="96"/>
      <c r="H2" s="96"/>
      <c r="I2" s="96"/>
      <c r="J2" s="96"/>
      <c r="K2" s="96"/>
      <c r="L2" s="96"/>
      <c r="M2" s="96"/>
      <c r="N2" s="96"/>
      <c r="O2" s="96"/>
    </row>
    <row r="5" spans="2:15" ht="18.75">
      <c r="B5" s="97" t="s">
        <v>3156</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IF(COUNTIF(D:D,"Reported")&gt;0,Show!$B$17,"!")&amp;"SE.01.01.16.01 Rows {"&amp;COLUMN($C$1)&amp;"}"&amp;"@ForceFilingCode:true"</f>
        <v>!SE.01.01.16.01 Rows {3}@ForceFilingCode:true</v>
      </c>
      <c r="J13" s="13" t="str">
        <f>IF(COUNTIF(D:D,"Reported")&gt;0,Show!$B$17,"!")&amp;"SE.01.01.16.01 Columns {"&amp;COLUMN($D$1)&amp;"}"</f>
        <v>!SE.01.01.16.01 Columns {4}</v>
      </c>
    </row>
    <row r="14" spans="2:15">
      <c r="B14" s="43" t="s">
        <v>2880</v>
      </c>
      <c r="C14" s="44" t="s">
        <v>2878</v>
      </c>
      <c r="D14" s="48"/>
    </row>
    <row r="15" spans="2:15">
      <c r="B15" s="47" t="s">
        <v>2881</v>
      </c>
      <c r="C15" s="44" t="s">
        <v>2878</v>
      </c>
      <c r="D15" s="46"/>
    </row>
    <row r="16" spans="2:15">
      <c r="B16" s="52" t="s">
        <v>2882</v>
      </c>
      <c r="C16" s="41" t="s">
        <v>2883</v>
      </c>
      <c r="D16" s="51"/>
    </row>
    <row r="17" spans="2:4">
      <c r="B17" s="52" t="s">
        <v>2884</v>
      </c>
      <c r="C17" s="41" t="s">
        <v>2885</v>
      </c>
      <c r="D17" s="51"/>
    </row>
    <row r="18" spans="2:4">
      <c r="B18" s="52" t="s">
        <v>3157</v>
      </c>
      <c r="C18" s="41" t="s">
        <v>3158</v>
      </c>
      <c r="D18" s="51"/>
    </row>
    <row r="19" spans="2:4">
      <c r="B19" s="52" t="s">
        <v>2888</v>
      </c>
      <c r="C19" s="41" t="s">
        <v>2889</v>
      </c>
      <c r="D19" s="51"/>
    </row>
    <row r="20" spans="2:4">
      <c r="B20" s="52" t="s">
        <v>2890</v>
      </c>
      <c r="C20" s="41" t="s">
        <v>2891</v>
      </c>
      <c r="D20" s="51"/>
    </row>
    <row r="21" spans="2:4" ht="30">
      <c r="B21" s="52" t="s">
        <v>2892</v>
      </c>
      <c r="C21" s="41" t="s">
        <v>2893</v>
      </c>
      <c r="D21" s="51"/>
    </row>
    <row r="22" spans="2:4" ht="30">
      <c r="B22" s="52" t="s">
        <v>2894</v>
      </c>
      <c r="C22" s="41" t="s">
        <v>2895</v>
      </c>
      <c r="D22" s="51"/>
    </row>
    <row r="23" spans="2:4">
      <c r="B23" s="52" t="s">
        <v>2896</v>
      </c>
      <c r="C23" s="41" t="s">
        <v>2897</v>
      </c>
      <c r="D23" s="51"/>
    </row>
    <row r="24" spans="2:4" ht="30">
      <c r="B24" s="52" t="s">
        <v>2898</v>
      </c>
      <c r="C24" s="41" t="s">
        <v>2899</v>
      </c>
      <c r="D24" s="51"/>
    </row>
    <row r="25" spans="2:4">
      <c r="B25" s="52" t="s">
        <v>2900</v>
      </c>
      <c r="C25" s="41" t="s">
        <v>2901</v>
      </c>
      <c r="D25" s="51"/>
    </row>
    <row r="26" spans="2:4">
      <c r="B26" s="52" t="s">
        <v>2902</v>
      </c>
      <c r="C26" s="41" t="s">
        <v>2903</v>
      </c>
      <c r="D26" s="51"/>
    </row>
    <row r="27" spans="2:4">
      <c r="B27" s="52" t="s">
        <v>2904</v>
      </c>
      <c r="C27" s="41" t="s">
        <v>2905</v>
      </c>
      <c r="D27" s="51"/>
    </row>
    <row r="28" spans="2:4">
      <c r="B28" s="52" t="s">
        <v>3159</v>
      </c>
      <c r="C28" s="41" t="s">
        <v>3160</v>
      </c>
      <c r="D28" s="51"/>
    </row>
    <row r="29" spans="2:4">
      <c r="B29" s="52" t="s">
        <v>2908</v>
      </c>
      <c r="C29" s="41" t="s">
        <v>2909</v>
      </c>
      <c r="D29" s="51"/>
    </row>
    <row r="30" spans="2:4">
      <c r="B30" s="52" t="s">
        <v>2910</v>
      </c>
      <c r="C30" s="41" t="s">
        <v>2911</v>
      </c>
      <c r="D30" s="51"/>
    </row>
    <row r="31" spans="2:4">
      <c r="B31" s="52" t="s">
        <v>2912</v>
      </c>
      <c r="C31" s="41" t="s">
        <v>2913</v>
      </c>
      <c r="D31" s="51"/>
    </row>
    <row r="32" spans="2:4">
      <c r="B32" s="52" t="s">
        <v>2914</v>
      </c>
      <c r="C32" s="41" t="s">
        <v>2915</v>
      </c>
      <c r="D32" s="51"/>
    </row>
    <row r="33" spans="2:4">
      <c r="B33" s="52" t="s">
        <v>2916</v>
      </c>
      <c r="C33" s="41" t="s">
        <v>2917</v>
      </c>
      <c r="D33" s="51"/>
    </row>
    <row r="34" spans="2:4">
      <c r="B34" s="52" t="s">
        <v>2918</v>
      </c>
      <c r="C34" s="41" t="s">
        <v>2919</v>
      </c>
      <c r="D34" s="51"/>
    </row>
    <row r="35" spans="2:4">
      <c r="B35" s="52" t="s">
        <v>2920</v>
      </c>
      <c r="C35" s="41" t="s">
        <v>2921</v>
      </c>
      <c r="D35" s="51"/>
    </row>
    <row r="36" spans="2:4">
      <c r="B36" s="52" t="s">
        <v>2922</v>
      </c>
      <c r="C36" s="41" t="s">
        <v>2923</v>
      </c>
      <c r="D36" s="51"/>
    </row>
    <row r="37" spans="2:4">
      <c r="B37" s="52" t="s">
        <v>2924</v>
      </c>
      <c r="C37" s="41" t="s">
        <v>2925</v>
      </c>
      <c r="D37" s="51"/>
    </row>
    <row r="38" spans="2:4">
      <c r="B38" s="52" t="s">
        <v>2926</v>
      </c>
      <c r="C38" s="41" t="s">
        <v>2927</v>
      </c>
      <c r="D38" s="51"/>
    </row>
    <row r="39" spans="2:4">
      <c r="B39" s="52" t="s">
        <v>2928</v>
      </c>
      <c r="C39" s="41" t="s">
        <v>2929</v>
      </c>
      <c r="D39" s="51"/>
    </row>
    <row r="40" spans="2:4">
      <c r="B40" s="52" t="s">
        <v>2930</v>
      </c>
      <c r="C40" s="41" t="s">
        <v>2931</v>
      </c>
      <c r="D40" s="51"/>
    </row>
    <row r="41" spans="2:4">
      <c r="B41" s="52" t="s">
        <v>2932</v>
      </c>
      <c r="C41" s="41" t="s">
        <v>2933</v>
      </c>
      <c r="D41" s="51"/>
    </row>
    <row r="42" spans="2:4">
      <c r="B42" s="52" t="s">
        <v>2934</v>
      </c>
      <c r="C42" s="41" t="s">
        <v>2935</v>
      </c>
      <c r="D42" s="51"/>
    </row>
    <row r="43" spans="2:4">
      <c r="B43" s="52" t="s">
        <v>2936</v>
      </c>
      <c r="C43" s="41" t="s">
        <v>2937</v>
      </c>
      <c r="D43" s="51"/>
    </row>
    <row r="44" spans="2:4">
      <c r="B44" s="52" t="s">
        <v>2938</v>
      </c>
      <c r="C44" s="41" t="s">
        <v>2939</v>
      </c>
      <c r="D44" s="51"/>
    </row>
    <row r="45" spans="2:4">
      <c r="B45" s="52" t="s">
        <v>2940</v>
      </c>
      <c r="C45" s="41" t="s">
        <v>2941</v>
      </c>
      <c r="D45" s="51"/>
    </row>
    <row r="46" spans="2:4">
      <c r="B46" s="52" t="s">
        <v>2942</v>
      </c>
      <c r="C46" s="41" t="s">
        <v>2943</v>
      </c>
      <c r="D46" s="51"/>
    </row>
    <row r="47" spans="2:4">
      <c r="B47" s="52" t="s">
        <v>2944</v>
      </c>
      <c r="C47" s="41" t="s">
        <v>2945</v>
      </c>
      <c r="D47" s="51"/>
    </row>
    <row r="48" spans="2:4">
      <c r="B48" s="52" t="s">
        <v>2946</v>
      </c>
      <c r="C48" s="41" t="s">
        <v>2947</v>
      </c>
      <c r="D48" s="51"/>
    </row>
    <row r="49" spans="2:4">
      <c r="B49" s="52" t="s">
        <v>2948</v>
      </c>
      <c r="C49" s="41" t="s">
        <v>2949</v>
      </c>
      <c r="D49" s="51"/>
    </row>
    <row r="50" spans="2:4">
      <c r="B50" s="52" t="s">
        <v>2950</v>
      </c>
      <c r="C50" s="41" t="s">
        <v>2951</v>
      </c>
      <c r="D50" s="51"/>
    </row>
    <row r="51" spans="2:4">
      <c r="B51" s="52" t="s">
        <v>2952</v>
      </c>
      <c r="C51" s="41" t="s">
        <v>2953</v>
      </c>
      <c r="D51" s="51"/>
    </row>
    <row r="52" spans="2:4">
      <c r="B52" s="52" t="s">
        <v>2954</v>
      </c>
      <c r="C52" s="41" t="s">
        <v>2955</v>
      </c>
      <c r="D52" s="51"/>
    </row>
    <row r="53" spans="2:4">
      <c r="B53" s="52" t="s">
        <v>2956</v>
      </c>
      <c r="C53" s="41" t="s">
        <v>2957</v>
      </c>
      <c r="D53" s="51"/>
    </row>
    <row r="54" spans="2:4">
      <c r="B54" s="52" t="s">
        <v>2958</v>
      </c>
      <c r="C54" s="41" t="s">
        <v>2959</v>
      </c>
      <c r="D54" s="51"/>
    </row>
    <row r="55" spans="2:4">
      <c r="B55" s="52" t="s">
        <v>2960</v>
      </c>
      <c r="C55" s="41" t="s">
        <v>2961</v>
      </c>
      <c r="D55" s="51"/>
    </row>
    <row r="56" spans="2:4">
      <c r="B56" s="52" t="s">
        <v>2962</v>
      </c>
      <c r="C56" s="41" t="s">
        <v>2963</v>
      </c>
      <c r="D56" s="51"/>
    </row>
    <row r="57" spans="2:4">
      <c r="B57" s="52" t="s">
        <v>2964</v>
      </c>
      <c r="C57" s="41" t="s">
        <v>2965</v>
      </c>
      <c r="D57" s="51"/>
    </row>
    <row r="58" spans="2:4">
      <c r="B58" s="52" t="s">
        <v>2966</v>
      </c>
      <c r="C58" s="41" t="s">
        <v>2967</v>
      </c>
      <c r="D58" s="51"/>
    </row>
    <row r="59" spans="2:4">
      <c r="B59" s="52" t="s">
        <v>2968</v>
      </c>
      <c r="C59" s="41" t="s">
        <v>2969</v>
      </c>
      <c r="D59" s="51"/>
    </row>
    <row r="60" spans="2:4">
      <c r="B60" s="52" t="s">
        <v>2970</v>
      </c>
      <c r="C60" s="41" t="s">
        <v>2971</v>
      </c>
      <c r="D60" s="51"/>
    </row>
    <row r="61" spans="2:4" ht="30">
      <c r="B61" s="52" t="s">
        <v>2972</v>
      </c>
      <c r="C61" s="41" t="s">
        <v>2973</v>
      </c>
      <c r="D61" s="51"/>
    </row>
    <row r="62" spans="2:4">
      <c r="B62" s="52" t="s">
        <v>2974</v>
      </c>
      <c r="C62" s="41" t="s">
        <v>2975</v>
      </c>
      <c r="D62" s="51"/>
    </row>
    <row r="63" spans="2:4">
      <c r="B63" s="52" t="s">
        <v>2976</v>
      </c>
      <c r="C63" s="41" t="s">
        <v>2977</v>
      </c>
      <c r="D63" s="51"/>
    </row>
    <row r="64" spans="2:4">
      <c r="B64" s="52" t="s">
        <v>2978</v>
      </c>
      <c r="C64" s="41" t="s">
        <v>2979</v>
      </c>
      <c r="D64" s="51"/>
    </row>
    <row r="65" spans="2:4">
      <c r="B65" s="52" t="s">
        <v>2980</v>
      </c>
      <c r="C65" s="41" t="s">
        <v>2981</v>
      </c>
      <c r="D65" s="51"/>
    </row>
    <row r="66" spans="2:4">
      <c r="B66" s="52" t="s">
        <v>2982</v>
      </c>
      <c r="C66" s="41" t="s">
        <v>2983</v>
      </c>
      <c r="D66" s="51"/>
    </row>
    <row r="67" spans="2:4">
      <c r="B67" s="52" t="s">
        <v>2984</v>
      </c>
      <c r="C67" s="41" t="s">
        <v>2985</v>
      </c>
      <c r="D67" s="51"/>
    </row>
    <row r="68" spans="2:4">
      <c r="B68" s="52" t="s">
        <v>2986</v>
      </c>
      <c r="C68" s="41" t="s">
        <v>2987</v>
      </c>
      <c r="D68" s="51"/>
    </row>
    <row r="69" spans="2:4">
      <c r="B69" s="52" t="s">
        <v>2988</v>
      </c>
      <c r="C69" s="41" t="s">
        <v>2989</v>
      </c>
      <c r="D69" s="51"/>
    </row>
    <row r="70" spans="2:4">
      <c r="B70" s="52" t="s">
        <v>2990</v>
      </c>
      <c r="C70" s="41" t="s">
        <v>2991</v>
      </c>
      <c r="D70" s="51"/>
    </row>
    <row r="71" spans="2:4" ht="30">
      <c r="B71" s="52" t="s">
        <v>2992</v>
      </c>
      <c r="C71" s="41" t="s">
        <v>2993</v>
      </c>
      <c r="D71" s="51"/>
    </row>
    <row r="72" spans="2:4">
      <c r="B72" s="52" t="s">
        <v>2994</v>
      </c>
      <c r="C72" s="41" t="s">
        <v>2995</v>
      </c>
      <c r="D72" s="51"/>
    </row>
    <row r="73" spans="2:4">
      <c r="B73" s="52" t="s">
        <v>2996</v>
      </c>
      <c r="C73" s="41" t="s">
        <v>2997</v>
      </c>
      <c r="D73" s="51"/>
    </row>
    <row r="74" spans="2:4" ht="30">
      <c r="B74" s="52" t="s">
        <v>2998</v>
      </c>
      <c r="C74" s="41" t="s">
        <v>2999</v>
      </c>
      <c r="D74" s="51"/>
    </row>
    <row r="75" spans="2:4">
      <c r="B75" s="52" t="s">
        <v>3000</v>
      </c>
      <c r="C75" s="41" t="s">
        <v>3001</v>
      </c>
      <c r="D75" s="51"/>
    </row>
    <row r="76" spans="2:4">
      <c r="B76" s="52" t="s">
        <v>3002</v>
      </c>
      <c r="C76" s="41" t="s">
        <v>3003</v>
      </c>
      <c r="D76" s="51"/>
    </row>
    <row r="77" spans="2:4">
      <c r="B77" s="52" t="s">
        <v>3004</v>
      </c>
      <c r="C77" s="41" t="s">
        <v>3005</v>
      </c>
      <c r="D77" s="51"/>
    </row>
    <row r="78" spans="2:4">
      <c r="B78" s="52" t="s">
        <v>3006</v>
      </c>
      <c r="C78" s="41" t="s">
        <v>3007</v>
      </c>
      <c r="D78" s="51"/>
    </row>
    <row r="79" spans="2:4">
      <c r="B79" s="52" t="s">
        <v>3008</v>
      </c>
      <c r="C79" s="41" t="s">
        <v>3009</v>
      </c>
      <c r="D79" s="51"/>
    </row>
    <row r="80" spans="2:4">
      <c r="B80" s="52" t="s">
        <v>3010</v>
      </c>
      <c r="C80" s="41" t="s">
        <v>3011</v>
      </c>
      <c r="D80" s="51"/>
    </row>
    <row r="81" spans="2:10">
      <c r="B81" s="52" t="s">
        <v>3012</v>
      </c>
      <c r="C81" s="41" t="s">
        <v>3013</v>
      </c>
      <c r="D81" s="51"/>
    </row>
    <row r="82" spans="2:10">
      <c r="B82" s="52" t="s">
        <v>3014</v>
      </c>
      <c r="C82" s="41" t="s">
        <v>3015</v>
      </c>
      <c r="D82" s="51"/>
    </row>
    <row r="83" spans="2:10">
      <c r="B83" s="52" t="s">
        <v>3016</v>
      </c>
      <c r="C83" s="41" t="s">
        <v>3017</v>
      </c>
      <c r="D83" s="51"/>
    </row>
    <row r="84" spans="2:10">
      <c r="B84" s="52" t="s">
        <v>3018</v>
      </c>
      <c r="C84" s="41" t="s">
        <v>3019</v>
      </c>
      <c r="D84" s="51"/>
    </row>
    <row r="85" spans="2:10">
      <c r="B85" s="52" t="s">
        <v>3020</v>
      </c>
      <c r="C85" s="41" t="s">
        <v>3021</v>
      </c>
      <c r="D85" s="51"/>
    </row>
    <row r="86" spans="2:10">
      <c r="B86" s="52" t="s">
        <v>3022</v>
      </c>
      <c r="C86" s="41" t="s">
        <v>3023</v>
      </c>
      <c r="D86" s="51"/>
    </row>
    <row r="87" spans="2:10">
      <c r="B87" s="52" t="s">
        <v>3161</v>
      </c>
      <c r="C87" s="41" t="s">
        <v>3162</v>
      </c>
      <c r="D87" s="51"/>
    </row>
    <row r="88" spans="2:10">
      <c r="B88" s="52" t="s">
        <v>3163</v>
      </c>
      <c r="C88" s="41" t="s">
        <v>3164</v>
      </c>
      <c r="D88" s="51"/>
    </row>
    <row r="89" spans="2:10">
      <c r="B89" s="52" t="s">
        <v>3165</v>
      </c>
      <c r="C89" s="41" t="s">
        <v>3166</v>
      </c>
      <c r="D89" s="51"/>
    </row>
    <row r="90" spans="2:10">
      <c r="I90" s="13" t="str">
        <f>IF(COUNTIF(D:D,"Reported")&gt;0,Show!$B$17&amp;Show!$B$17,"!!")&amp;"SE.01.01.16.01 Rows {"&amp;COLUMN($C$1)&amp;"}"</f>
        <v>!!SE.01.01.16.01 Rows {3}</v>
      </c>
      <c r="J90" s="13" t="str">
        <f>IF(COUNTIF(D:D,"Reported")&gt;0,Show!$B$17&amp;Show!$B$17,"!!")&amp;"SE.01.01.16.01 Columns {"&amp;COLUMN($D$1)&amp;"}"</f>
        <v>!!SE.01.01.16.01 Columns {4}</v>
      </c>
    </row>
  </sheetData>
  <sheetProtection sheet="1" objects="1" scenarios="1"/>
  <mergeCells count="3">
    <mergeCell ref="B2:O2"/>
    <mergeCell ref="B5:L5"/>
    <mergeCell ref="D9:D12"/>
  </mergeCells>
  <dataValidations count="52">
    <dataValidation type="list" errorStyle="warning" allowBlank="1" showInputMessage="1" showErrorMessage="1" sqref="D16" xr:uid="{CC26B00B-68D5-4F26-8749-6A29AD9F07EB}">
      <formula1>hier_CN_2</formula1>
    </dataValidation>
    <dataValidation type="list" errorStyle="warning" allowBlank="1" showInputMessage="1" showErrorMessage="1" sqref="D17" xr:uid="{A0248685-10E8-438E-B054-AEAE782C5D3C}">
      <formula1>hier_CN_14</formula1>
    </dataValidation>
    <dataValidation type="list" errorStyle="warning" allowBlank="1" showInputMessage="1" showErrorMessage="1" sqref="D18" xr:uid="{AF45E6D8-1730-4A41-8CA4-6FE7C4951B85}">
      <formula1>hier_CN_81</formula1>
    </dataValidation>
    <dataValidation type="list" errorStyle="warning" allowBlank="1" showInputMessage="1" showErrorMessage="1" sqref="D19" xr:uid="{F03635D8-ED84-4386-A972-126937F4CE7A}">
      <formula1>hier_CN_18</formula1>
    </dataValidation>
    <dataValidation type="list" errorStyle="warning" allowBlank="1" showInputMessage="1" showErrorMessage="1" sqref="D20" xr:uid="{722A080D-61ED-425F-8971-38EFF1EDC7B0}">
      <formula1>hier_CN_20</formula1>
    </dataValidation>
    <dataValidation type="list" errorStyle="warning" allowBlank="1" showInputMessage="1" showErrorMessage="1" sqref="D21" xr:uid="{F5A6F5AF-5C86-4341-B567-8534684C7A91}">
      <formula1>hier_CN_34</formula1>
    </dataValidation>
    <dataValidation type="list" errorStyle="warning" allowBlank="1" showInputMessage="1" showErrorMessage="1" sqref="D22" xr:uid="{9B818FB3-09C5-4B05-B1B1-696EC6EA7F0F}">
      <formula1>hier_CN_35</formula1>
    </dataValidation>
    <dataValidation type="list" errorStyle="warning" allowBlank="1" showInputMessage="1" showErrorMessage="1" sqref="D23" xr:uid="{7F008E82-5D1D-44D9-B837-AA785AA92493}">
      <formula1>hier_CN_36</formula1>
    </dataValidation>
    <dataValidation type="list" errorStyle="warning" allowBlank="1" showInputMessage="1" showErrorMessage="1" sqref="D24" xr:uid="{769BA45F-6E1B-474E-8A1E-0A3949F481AB}">
      <formula1>hier_CN_37</formula1>
    </dataValidation>
    <dataValidation type="list" errorStyle="warning" allowBlank="1" showInputMessage="1" showErrorMessage="1" sqref="D25 D55" xr:uid="{D698B581-0F18-4E30-91A5-40ABA8E03CD0}">
      <formula1>hier_CN_113</formula1>
    </dataValidation>
    <dataValidation type="list" errorStyle="warning" allowBlank="1" showInputMessage="1" showErrorMessage="1" sqref="D26" xr:uid="{6392F0F5-E8F6-489D-A82B-201AE9C3C4A5}">
      <formula1>hier_CN_116</formula1>
    </dataValidation>
    <dataValidation type="list" errorStyle="warning" allowBlank="1" showInputMessage="1" showErrorMessage="1" sqref="D27" xr:uid="{78AFB313-5B17-4416-95BF-0B27A7487319}">
      <formula1>hier_CN_27</formula1>
    </dataValidation>
    <dataValidation type="list" errorStyle="warning" allowBlank="1" showInputMessage="1" showErrorMessage="1" sqref="D28" xr:uid="{CB00698E-9FC3-49A9-BCA9-A5EE4A0FACA3}">
      <formula1>hier_CN_23</formula1>
    </dataValidation>
    <dataValidation type="list" errorStyle="warning" allowBlank="1" showInputMessage="1" showErrorMessage="1" sqref="D29" xr:uid="{F792F9B9-9651-48DB-8AA8-C1B4BCA59E46}">
      <formula1>hier_CN_117</formula1>
    </dataValidation>
    <dataValidation type="list" errorStyle="warning" allowBlank="1" showInputMessage="1" showErrorMessage="1" sqref="D30" xr:uid="{087197A3-1A97-4EE3-8458-0512776DD13D}">
      <formula1>hier_CN_120</formula1>
    </dataValidation>
    <dataValidation type="list" errorStyle="warning" allowBlank="1" showInputMessage="1" showErrorMessage="1" sqref="D31 D32" xr:uid="{9B9CE1BB-2736-443B-AAB3-96A0098343AB}">
      <formula1>hier_CN_28</formula1>
    </dataValidation>
    <dataValidation type="list" errorStyle="warning" allowBlank="1" showInputMessage="1" showErrorMessage="1" sqref="D33 D73 D74 D75 D76" xr:uid="{1BDB6942-D8EB-4F0F-AA1C-EA7937828631}">
      <formula1>hier_CN_15</formula1>
    </dataValidation>
    <dataValidation type="list" errorStyle="warning" allowBlank="1" showInputMessage="1" showErrorMessage="1" sqref="D34" xr:uid="{C72B70DF-762E-4AFD-A991-79F4B3C35EF9}">
      <formula1>hier_CN_39</formula1>
    </dataValidation>
    <dataValidation type="list" errorStyle="warning" allowBlank="1" showInputMessage="1" showErrorMessage="1" sqref="D35" xr:uid="{A9470DEC-1AB0-49CB-81F8-8CD15E9610AB}">
      <formula1>hier_CN_40</formula1>
    </dataValidation>
    <dataValidation type="list" errorStyle="warning" allowBlank="1" showInputMessage="1" showErrorMessage="1" sqref="D36" xr:uid="{C8F2F8FE-0423-4EB3-B264-06823FBC287E}">
      <formula1>hier_CN_83</formula1>
    </dataValidation>
    <dataValidation type="list" errorStyle="warning" allowBlank="1" showInputMessage="1" showErrorMessage="1" sqref="D37" xr:uid="{09834F7B-8360-495A-9DE7-EAB458E4F220}">
      <formula1>hier_CN_31</formula1>
    </dataValidation>
    <dataValidation type="list" errorStyle="warning" allowBlank="1" showInputMessage="1" showErrorMessage="1" sqref="D38 D39" xr:uid="{58D13404-0A52-46ED-9476-F4CDF68B257B}">
      <formula1>hier_CN_30</formula1>
    </dataValidation>
    <dataValidation type="list" errorStyle="warning" allowBlank="1" showInputMessage="1" showErrorMessage="1" sqref="D40 D41" xr:uid="{CD416F4E-E444-4358-B150-A84677A53F95}">
      <formula1>hier_CN_41</formula1>
    </dataValidation>
    <dataValidation type="list" errorStyle="warning" allowBlank="1" showInputMessage="1" showErrorMessage="1" sqref="D42" xr:uid="{5ABF9C48-3611-4830-BB29-E34F15590B30}">
      <formula1>hier_CN_42</formula1>
    </dataValidation>
    <dataValidation type="list" errorStyle="warning" allowBlank="1" showInputMessage="1" showErrorMessage="1" sqref="D43" xr:uid="{34557CBD-4D7E-4110-9020-56A0505E0008}">
      <formula1>hier_CN_84</formula1>
    </dataValidation>
    <dataValidation type="list" errorStyle="warning" allowBlank="1" showInputMessage="1" showErrorMessage="1" sqref="D44" xr:uid="{F94ED15A-2F02-44D9-9DE2-0360B049A704}">
      <formula1>hier_CN_33</formula1>
    </dataValidation>
    <dataValidation type="list" errorStyle="warning" allowBlank="1" showInputMessage="1" showErrorMessage="1" sqref="D45 D46" xr:uid="{1A40BBA5-0BA2-47DD-A6BD-90139A73018F}">
      <formula1>hier_CN_32</formula1>
    </dataValidation>
    <dataValidation type="list" errorStyle="warning" allowBlank="1" showInputMessage="1" showErrorMessage="1" sqref="D47 D48 D49 D50" xr:uid="{C9DD2355-395B-416C-96D0-443A5E413A28}">
      <formula1>hier_CN_123</formula1>
    </dataValidation>
    <dataValidation type="list" errorStyle="warning" allowBlank="1" showInputMessage="1" showErrorMessage="1" sqref="D51" xr:uid="{44762CE6-9BF6-4D6B-A0FD-07E84A9F8DA2}">
      <formula1>hier_CN_43</formula1>
    </dataValidation>
    <dataValidation type="list" errorStyle="warning" allowBlank="1" showInputMessage="1" showErrorMessage="1" sqref="D52 D53" xr:uid="{C67946BE-362A-42D5-9050-929794FFD201}">
      <formula1>hier_CN_45</formula1>
    </dataValidation>
    <dataValidation type="list" errorStyle="warning" allowBlank="1" showInputMessage="1" showErrorMessage="1" sqref="D54" xr:uid="{4B9B0920-AA7A-44F8-92D1-5237C5358EFC}">
      <formula1>hier_CN_112</formula1>
    </dataValidation>
    <dataValidation type="list" errorStyle="warning" allowBlank="1" showInputMessage="1" showErrorMessage="1" sqref="D56 D57 D58" xr:uid="{02EC273C-C056-409E-BC22-55457B08A159}">
      <formula1>hier_CN_1</formula1>
    </dataValidation>
    <dataValidation type="list" errorStyle="warning" allowBlank="1" showInputMessage="1" showErrorMessage="1" sqref="D59" xr:uid="{49752C0C-7D76-42F2-A2B5-BD0BBC5478AC}">
      <formula1>hier_CN_46</formula1>
    </dataValidation>
    <dataValidation type="list" errorStyle="warning" allowBlank="1" showInputMessage="1" showErrorMessage="1" sqref="D60" xr:uid="{4C8B8C23-1EB9-4CF1-B8EC-85506D3A8746}">
      <formula1>hier_CN_108</formula1>
    </dataValidation>
    <dataValidation type="list" errorStyle="warning" allowBlank="1" showInputMessage="1" showErrorMessage="1" sqref="D61" xr:uid="{4CC2C34F-3242-4830-9AE5-750BFAFD04B8}">
      <formula1>hier_CN_8</formula1>
    </dataValidation>
    <dataValidation type="list" errorStyle="warning" allowBlank="1" showInputMessage="1" showErrorMessage="1" sqref="D62" xr:uid="{34DD7901-BD53-457A-90D8-C5EF8F0BD570}">
      <formula1>hier_CN_9</formula1>
    </dataValidation>
    <dataValidation type="list" errorStyle="warning" allowBlank="1" showInputMessage="1" showErrorMessage="1" sqref="D63 D64 D65 D66 D67" xr:uid="{8EB6C3BB-2A61-4CE1-BC7C-31B0EC50A3F3}">
      <formula1>hier_CN_124</formula1>
    </dataValidation>
    <dataValidation type="list" errorStyle="warning" allowBlank="1" showInputMessage="1" showErrorMessage="1" sqref="D68" xr:uid="{A228C07D-243B-4852-A8A2-83C888C8E1B1}">
      <formula1>hier_CN_53</formula1>
    </dataValidation>
    <dataValidation type="list" errorStyle="warning" allowBlank="1" showInputMessage="1" showErrorMessage="1" sqref="D69" xr:uid="{3D10C4E0-28D4-4389-B797-D9EDD4EED139}">
      <formula1>hier_CN_55</formula1>
    </dataValidation>
    <dataValidation type="list" errorStyle="warning" allowBlank="1" showInputMessage="1" showErrorMessage="1" sqref="D70" xr:uid="{87D39525-6E84-4F8E-B99A-564CFD6CB369}">
      <formula1>hier_CN_51</formula1>
    </dataValidation>
    <dataValidation type="list" errorStyle="warning" allowBlank="1" showInputMessage="1" showErrorMessage="1" sqref="D71" xr:uid="{F9FA1459-E62F-44B3-92A5-9027233F0EBE}">
      <formula1>hier_CN_85</formula1>
    </dataValidation>
    <dataValidation type="list" errorStyle="warning" allowBlank="1" showInputMessage="1" showErrorMessage="1" sqref="D72" xr:uid="{5C3D8C97-4AEB-4A41-A735-FBA9FC70AFAB}">
      <formula1>hier_CN_86</formula1>
    </dataValidation>
    <dataValidation type="list" errorStyle="warning" allowBlank="1" showInputMessage="1" showErrorMessage="1" sqref="D77 D78" xr:uid="{69DEC770-1A23-492B-92FE-1E70C49CF46D}">
      <formula1>hier_CN_57</formula1>
    </dataValidation>
    <dataValidation type="list" errorStyle="warning" allowBlank="1" showInputMessage="1" showErrorMessage="1" sqref="D79 D80 D81" xr:uid="{C5BB817F-368F-4D9A-AA6B-2ED97FC0E625}">
      <formula1>hier_CN_58</formula1>
    </dataValidation>
    <dataValidation type="list" errorStyle="warning" allowBlank="1" showInputMessage="1" showErrorMessage="1" sqref="D82" xr:uid="{3A3100B6-0F67-4C55-B5E6-CE7265DE03E4}">
      <formula1>hier_CN_59</formula1>
    </dataValidation>
    <dataValidation type="list" errorStyle="warning" allowBlank="1" showInputMessage="1" showErrorMessage="1" sqref="D83" xr:uid="{42C0AB35-082A-43FE-B5F7-EF579A180B2E}">
      <formula1>hier_CN_60</formula1>
    </dataValidation>
    <dataValidation type="list" errorStyle="warning" allowBlank="1" showInputMessage="1" showErrorMessage="1" sqref="D84" xr:uid="{E81F1E0D-0B88-45A1-9BFF-D86982314EAD}">
      <formula1>hier_CN_62</formula1>
    </dataValidation>
    <dataValidation type="list" errorStyle="warning" allowBlank="1" showInputMessage="1" showErrorMessage="1" sqref="D85" xr:uid="{B4185677-56D8-45D5-9026-AA4C88F95FB0}">
      <formula1>hier_CN_64</formula1>
    </dataValidation>
    <dataValidation type="list" errorStyle="warning" allowBlank="1" showInputMessage="1" showErrorMessage="1" sqref="D86" xr:uid="{8452CAD0-A487-4BC9-B9F9-BFA8ADD7249D}">
      <formula1>hier_CN_66</formula1>
    </dataValidation>
    <dataValidation type="list" errorStyle="warning" allowBlank="1" showInputMessage="1" showErrorMessage="1" sqref="D87" xr:uid="{206089C1-C33A-4769-9036-502E35C37F5E}">
      <formula1>hier_CN_111</formula1>
    </dataValidation>
    <dataValidation type="list" errorStyle="warning" allowBlank="1" showInputMessage="1" showErrorMessage="1" sqref="D88" xr:uid="{E883742E-6457-48B6-A817-44B5707544FD}">
      <formula1>hier_CN_94</formula1>
    </dataValidation>
    <dataValidation type="list" errorStyle="warning" allowBlank="1" showInputMessage="1" showErrorMessage="1" sqref="D89" xr:uid="{2C38C886-2307-4791-ADC5-23F453BB271E}">
      <formula1>hier_CN_95</formula1>
    </dataValidation>
  </dataValidations>
  <hyperlinks>
    <hyperlink ref="B16" location="'S.01.02.01'!A1" display="S.01.02.01 - Basic Information - General" xr:uid="{773EF054-1BD4-437A-B416-6F3DCD533171}"/>
    <hyperlink ref="B17" location="'S.01.03.01'!A1" display="S.01.03.01 - Basic Information - RFF and matching adjustment portfolios" xr:uid="{15B393DA-9A5D-4B9E-BBF4-33AAE369F789}"/>
    <hyperlink ref="B18" location="'SE.02.01.16'!A1" display="SE.02.01.16 - Balance Sheet" xr:uid="{902FA19D-51BB-422C-8679-8241D71472F6}"/>
    <hyperlink ref="B19" location="'S.02.02.01'!A1" display="S.02.02.01 - Assets and liabilities by currency" xr:uid="{8319C7BE-BDC2-4146-91A1-BB959294BB26}"/>
    <hyperlink ref="B20" location="'S.03.01.01'!A1" display="S.03.01.01 - Off-balance sheet items - general" xr:uid="{C4EBA2B3-311E-47ED-8E1B-374FA38637AC}"/>
    <hyperlink ref="B21" location="'S.03.02.01'!A1" display="S.03.02.01 - Off-balance sheet items - List of unlimited guarantees received by the undertaking" xr:uid="{1C68ABFD-B39E-4868-95C8-8E3FF0364312}"/>
    <hyperlink ref="B22" location="'S.03.03.01'!A1" display="S.03.03.01 - Off-balance sheet items - List of unlimited guarantees provided by the undertaking" xr:uid="{87029A59-BB4D-4444-A6B9-C2097EC24C3F}"/>
    <hyperlink ref="B23" location="'S.04.01.01'!A1" display="S.04.01.01 - Activity by country" xr:uid="{8CD58101-10C5-4F39-A220-D24D4ACF8571}"/>
    <hyperlink ref="B24" location="'S.04.02.01'!A1" display="S.04.02.01 - Information on class 10 in Part A of Annex I of Solvency II Directive, excluding carrier's liability" xr:uid="{71F21A66-2C5F-4F09-B240-7D408C96490F}"/>
    <hyperlink ref="B25" location="'S.05.01.01'!A1" display="S.05.01.01 - Premiums, claims and expenses by line of business" xr:uid="{6D0F0939-4693-4EC6-A0CF-C92074BAC614}"/>
    <hyperlink ref="B26" location="'S.05.02.01'!A1" display="S.05.02.01 - Premiums, claims and expenses by country" xr:uid="{EEED9A19-3ECF-4EE0-8E43-8A32FF7B00D2}"/>
    <hyperlink ref="B27" location="'S.06.01.01'!A1" display="S.06.01.01 - Summary of assets" xr:uid="{4AA9CD05-04FF-4CAD-ADE4-C5A19626022D}"/>
    <hyperlink ref="B28" location="'SE.06.02.16'!A1" display="SE.06.02.16 - List of assets" xr:uid="{000D88EA-A95A-4C4B-A40D-CC9034FF12CE}"/>
    <hyperlink ref="B29" location="'S.06.03.01'!A1" display="S.06.03.01 - Collective investment undertakings - look-through approach" xr:uid="{928D6E8E-0BEB-44DC-881D-CD25109EE2D9}"/>
    <hyperlink ref="B30" location="'S.07.01.01'!A1" display="S.07.01.01 - Structured products" xr:uid="{CD6F2014-B49C-4FE1-90C0-6F79AEFA07DF}"/>
    <hyperlink ref="B31" location="'S.08.01.01'!A1" display="S.08.01.01 - Open derivatives" xr:uid="{78346282-D6EF-40DF-BD2F-F074FFA2655B}"/>
    <hyperlink ref="B32" location="'S.08.02.01'!A1" display="S.08.02.01 - Derivatives Transactions" xr:uid="{2B2C180C-0E26-46AC-9366-43B35AF7E15A}"/>
    <hyperlink ref="B33" location="'S.09.01.01'!A1" display="S.09.01.01 - Income/gains and losses in the period" xr:uid="{5CD5740A-2B43-41D0-AE53-769E35127A56}"/>
    <hyperlink ref="B34" location="'S.10.01.01'!A1" display="S.10.01.01 - Securities lending and repos" xr:uid="{6BE6C154-9197-4651-BB11-54922679685F}"/>
    <hyperlink ref="B35" location="'S.11.01.01'!A1" display="S.11.01.01 - Assets held as collateral" xr:uid="{CC7E8F45-00F4-4606-B313-D1962F01F573}"/>
    <hyperlink ref="B36" location="'S.12.01.01'!A1" display="S.12.01.01 - Life and Health SLT Technical Provisions" xr:uid="{3115F358-C610-472E-9A68-3A4C99C6E230}"/>
    <hyperlink ref="B37" location="'S.12.02.01'!A1" display="S.12.02.01 - Life and Health SLT Technical Provisions - by country" xr:uid="{9250A75A-1AD0-49EA-8200-44E140FC39D4}"/>
    <hyperlink ref="B38" location="'S.13.01.01'!A1" display="S.13.01.01 - Projection of future gross cash flows" xr:uid="{1FC27925-855B-4DD4-8514-2D802BD16707}"/>
    <hyperlink ref="B39" location="'S.14.01.01'!A1" display="S.14.01.01 - Life obligations analysis" xr:uid="{968FCF55-1017-47D2-9518-7C455E86DDDE}"/>
    <hyperlink ref="B40" location="'S.15.01.01'!A1" display="S.15.01.01 - Description of the guarantees of variable annuities" xr:uid="{3DFBC3D7-5AE6-4FA7-93C4-5DE409AD92D3}"/>
    <hyperlink ref="B41" location="'S.15.02.01'!A1" display="S.15.02.01 - Hedging of guarantees of variable annuities" xr:uid="{387AA4F2-A323-4CFE-A758-58C7A847C43E}"/>
    <hyperlink ref="B42" location="'S.16.01.01'!A1" display="S.16.01.01 - Information on annuities stemming from Non-Life Insurance obligations" xr:uid="{A2AB0860-1F3C-4796-88DD-22ED7221E219}"/>
    <hyperlink ref="B43" location="'S.17.01.01'!A1" display="S.17.01.01 - Non-Life Technical Provisions" xr:uid="{B05B5272-CA24-4A9E-A27A-DEED6D001657}"/>
    <hyperlink ref="B44" location="'S.17.02.01'!A1" display="S.17.02.01 - Non-Life Technical Provisions - By country" xr:uid="{4E570CA1-43F4-4116-9B65-5B991E4ADECD}"/>
    <hyperlink ref="B45" location="'S.18.01.01'!A1" display="S.18.01.01 - Projection of future cash flows (Best Estimate - Non Life)" xr:uid="{68EC2F77-5D5C-4C48-964D-C3A6569CA853}"/>
    <hyperlink ref="B46" location="'S.19.01.01'!A1" display="S.19.01.01 - Non-life insurance claims" xr:uid="{274E0E7B-D2EB-41DE-825B-68DEBEED8A73}"/>
    <hyperlink ref="B47" location="'S.20.01.01'!A1" display="S.20.01.01 - Development of the distribution of the claims incurred" xr:uid="{09DF3E83-9814-4CEE-A242-0BAF8D12AB66}"/>
    <hyperlink ref="B48" location="'S.21.01.01'!A1" display="S.21.01.01 - Loss distribution risk profile" xr:uid="{9065D69C-C5F9-4217-BF07-BAFF7D585E3D}"/>
    <hyperlink ref="B49" location="'S.21.02.01'!A1" display="S.21.02.01 - Underwriting risks non-life" xr:uid="{0220C2CF-A669-42B3-B4EB-2B677C0A8207}"/>
    <hyperlink ref="B50" location="'S.21.03.01'!A1" display="S.21.03.01 - Non-life distribution of underwriting risks - by sum insured" xr:uid="{5C865A10-39FE-4EC5-99C3-45AA3AC97DF6}"/>
    <hyperlink ref="B51" location="'S.22.01.01'!A1" display="S.22.01.01 - Impact of long term guarantees measures and transitionals" xr:uid="{AF72CF36-FEB2-44F0-844C-E5E94B0115F9}"/>
    <hyperlink ref="B52" location="'S.22.04.01'!A1" display="S.22.04.01 - Information on the transitional on interest rates calculation" xr:uid="{9593CE65-477F-46CA-A344-A03812841690}"/>
    <hyperlink ref="B53" location="'S.22.05.01'!A1" display="S.22.05.01 - Overall calculation of the transitional on technical provisions" xr:uid="{D4F24CEC-709A-44CE-8EA1-934F3B86BF56}"/>
    <hyperlink ref="B54" location="'S.22.06.01'!A1" display="S.22.06.01 - Best estimate subject to volatility adjustment by country and currency" xr:uid="{40026E5B-446C-47CD-A103-5C46BD36DA24}"/>
    <hyperlink ref="B55" location="'S.23.01.01'!A1" display="S.23.01.01 - Own funds" xr:uid="{71CFBB14-B956-4634-B400-0D4519CEEAE7}"/>
    <hyperlink ref="B56" location="'S.23.02.01'!A1" display="S.23.02.01 - Detailed information by tiers on own funds" xr:uid="{2AE841C9-BC3E-4677-96CD-E7A9A1E451B9}"/>
    <hyperlink ref="B57" location="'S.23.03.01'!A1" display="S.23.03.01 - Annual movements on own funds" xr:uid="{FADDBA1C-27CD-47DE-A32E-1C6054A32A06}"/>
    <hyperlink ref="B58" location="'S.23.04.01'!A1" display="S.23.04.01 - List of items on own funds" xr:uid="{0ACBE780-9DFA-4F6D-BF81-01792BEC01E0}"/>
    <hyperlink ref="B59" location="'S.24.01.01'!A1" display="S.24.01.01 - Participations held" xr:uid="{F1A41369-9D62-4F9F-9A7A-5DB06C9FC1CD}"/>
    <hyperlink ref="B60" location="'S.25.01.01'!A1" display="S.25.01.01 - Solvency Capital Requirement - for undertakings on Standard Formula" xr:uid="{0D5CE158-137F-4EC7-A35B-010B0CD3A293}"/>
    <hyperlink ref="B61" location="'S.25.02.01'!A1" display="S.25.02.01 - Solvency Capital Requirement - for undertakings using the standard formula and partial internal model" xr:uid="{65EE77DF-7032-496E-88F5-534168018584}"/>
    <hyperlink ref="B62" location="'S.25.03.01'!A1" display="S.25.03.01 - Solvency Capital Requirement - for undertakings on Full Internal Models" xr:uid="{61B5E0ED-7D9A-496D-B1C8-A5EA724CBC7A}"/>
    <hyperlink ref="B63" location="'S.26.01.01'!A1" display="S.26.01.01 - Solvency Capital Requirement - Market risk" xr:uid="{72E3AD72-3ACB-41BB-88A8-15F0444617EB}"/>
    <hyperlink ref="B64" location="'S.26.02.01'!A1" display="S.26.02.01 - Solvency Capital Requirement - Counterparty default risk" xr:uid="{EF7CDDF2-BCBA-421D-A3C2-786ED1C15ED6}"/>
    <hyperlink ref="B65" location="'S.26.03.01'!A1" display="S.26.03.01 - Solvency Capital Requirement - Life underwriting risk" xr:uid="{140A660C-85CF-4262-8D6C-A3F26435D2A1}"/>
    <hyperlink ref="B66" location="'S.26.04.01'!A1" display="S.26.04.01 - Solvency Capital Requirement - Health underwriting risk" xr:uid="{48A0928C-D8B9-459C-AA65-86EB4634C113}"/>
    <hyperlink ref="B67" location="'S.26.05.01'!A1" display="S.26.05.01 - Solvency Capital Requirement - Non-Life underwriting risk" xr:uid="{5B35F3C6-DE5E-4D5E-A29F-8771836068B5}"/>
    <hyperlink ref="B68" location="'S.26.06.01'!A1" display="S.26.06.01 - Solvency Capital Requirement - Operational risk" xr:uid="{4451B892-DC17-4E1D-A1AC-DDE528B2AA87}"/>
    <hyperlink ref="B69" location="'S.26.07.01'!A1" display="S.26.07.01 - Solvency Capital Requirement - Simplifications" xr:uid="{CF6DF5DB-A7A6-4D1D-A89D-530083337A07}"/>
    <hyperlink ref="B70" location="'S.27.01.01'!A1" display="S.27.01.01 - Solvency Capital Requirement - Non-life and Health catastrophe risk" xr:uid="{0504D96B-DB9B-4590-AD37-292EF81AC1A0}"/>
    <hyperlink ref="B71" location="'S.28.01.01'!A1" display="S.28.01.01 - Minimum Capital Requirement - Only life or only non-life insurance or reinsurance activity" xr:uid="{02DD8B7B-34BE-4A72-B489-2B00A3425E29}"/>
    <hyperlink ref="B72" location="'S.28.02.01'!A1" display="S.28.02.01 - Minimum Capital Requirement - Both life and non-life insurance activity" xr:uid="{097DD613-358D-4D12-B051-B7BB5BA541E3}"/>
    <hyperlink ref="B73" location="'S.29.01.01'!A1" display="S.29.01.01 - Excess of Assets over Liabilities" xr:uid="{8BF7F45E-5044-49C9-ABA1-601258651DAE}"/>
    <hyperlink ref="B74" location="'S.29.02.01'!A1" display="S.29.02.01 - Excess of Assets over Liabilities - explained by investments and financial liabilities" xr:uid="{8A56CA2E-DED9-4A5C-B98D-A38C45DA06BD}"/>
    <hyperlink ref="B75" location="'S.29.03.01'!A1" display="S.29.03.01 - Excess of Assets over Liabilities - explained by technical provisions" xr:uid="{E636A90C-5A91-4E71-890A-0E9E278009F2}"/>
    <hyperlink ref="B76" location="'S.29.04.01'!A1" display="S.29.04.01 - Detailed analysis per period - Technical flows versus Technical provisions" xr:uid="{39F60851-14DE-4CCD-9726-7722FD5B22FB}"/>
    <hyperlink ref="B77" location="'S.30.01.01'!A1" display="S.30.01.01 - Facultative covers for non-life and life business basic data" xr:uid="{614AF1E9-3912-4C76-84E3-6C70C5BC4014}"/>
    <hyperlink ref="B78" location="'S.30.02.01'!A1" display="S.30.02.01 - Facultative covers for non-life and life business shares data" xr:uid="{192503C6-F748-4C5C-B63D-C8EA34C74664}"/>
    <hyperlink ref="B79" location="'S.30.03.01'!A1" display="S.30.03.01 - Outgoing Reinsurance Program basic data" xr:uid="{F03D9835-D47A-4B51-BBA4-CE1FA20592C4}"/>
    <hyperlink ref="B80" location="'S.30.04.01'!A1" display="S.30.04.01 - Outgoing Reinsurance Program shares data" xr:uid="{9417B698-E961-41D1-A0B5-A13D4ED9CD41}"/>
    <hyperlink ref="B81" location="'S.31.01.01'!A1" display="S.31.01.01 - Share of reinsurers (including Finite Reinsurance and SPV's)" xr:uid="{F2E1A208-4BF3-4B3C-B5A1-E1104165381D}"/>
    <hyperlink ref="B82" location="'S.31.02.01'!A1" display="S.31.02.01 - Special Purpose Vehicles" xr:uid="{50408A8A-94E9-4DFC-A012-A44AF5A0A7D0}"/>
    <hyperlink ref="B83" location="'S.36.01.01'!A1" display="S.36.01.01 - IGT - Equity-type transactions, debt and asset transfer" xr:uid="{7063FC2D-7C7A-47B9-8749-15D66D57BF74}"/>
    <hyperlink ref="B84" location="'S.36.02.01'!A1" display="S.36.02.01 - IGT - Derivatives" xr:uid="{2027D874-F189-4E71-8C5F-8306EBC42E2C}"/>
    <hyperlink ref="B85" location="'S.36.03.01'!A1" display="S.36.03.01 - IGT - Internal reinsurance" xr:uid="{467F5B0D-649A-4DB7-AA47-9F8EBE0637A4}"/>
    <hyperlink ref="B86" location="'S.36.04.01'!A1" display="S.36.04.01 - IGT - Cost Sharing, contingent liabilities, off BS and other items" xr:uid="{7C36F430-8D83-418B-B27D-C5B8DAF5B7F5}"/>
    <hyperlink ref="B87" location="'E.01.01.16'!A1" display="E.01.01.16 - Deposits to cedants - line-by-line reporting" xr:uid="{BE9E861D-5553-49F6-A968-0F0470C0062C}"/>
    <hyperlink ref="B88" location="'E.02.01.16'!A1" display="E.02.01.16 - Pension entitlements" xr:uid="{59DC9581-AE3A-4883-A992-E85180785F99}"/>
    <hyperlink ref="B89" location="'E.03.01.16'!A1" display="E.03.01.16 - Non-life Technical Provisions - reinsurance policies - By country" xr:uid="{CE492E61-6BC8-459F-82A6-D600A473B39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1136-938D-4B2F-8DE4-65F658F20BE7}">
  <sheetPr codeName="Blad22"/>
  <dimension ref="B2:O29"/>
  <sheetViews>
    <sheetView showGridLines="0" workbookViewId="0"/>
  </sheetViews>
  <sheetFormatPr defaultRowHeight="15"/>
  <cols>
    <col min="2" max="2" width="81.140625" bestFit="1" customWidth="1"/>
    <col min="4" max="4" width="40.7109375" customWidth="1"/>
  </cols>
  <sheetData>
    <row r="2" spans="2:15" ht="23.25">
      <c r="B2" s="95" t="s">
        <v>530</v>
      </c>
      <c r="C2" s="96"/>
      <c r="D2" s="96"/>
      <c r="E2" s="96"/>
      <c r="F2" s="96"/>
      <c r="G2" s="96"/>
      <c r="H2" s="96"/>
      <c r="I2" s="96"/>
      <c r="J2" s="96"/>
      <c r="K2" s="96"/>
      <c r="L2" s="96"/>
      <c r="M2" s="96"/>
      <c r="N2" s="96"/>
      <c r="O2" s="96"/>
    </row>
    <row r="5" spans="2:15" ht="18.75">
      <c r="B5" s="97" t="s">
        <v>3167</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IF(COUNTIF(D:D,"Reported")&gt;0,Show!$B$18,"!")&amp;"SE.01.01.17.01 Rows {"&amp;COLUMN($C$1)&amp;"}"&amp;"@ForceFilingCode:true"</f>
        <v>!SE.01.01.17.01 Rows {3}@ForceFilingCode:true</v>
      </c>
      <c r="J13" s="13" t="str">
        <f>IF(COUNTIF(D:D,"Reported")&gt;0,Show!$B$18,"!")&amp;"SE.01.01.17.01 Columns {"&amp;COLUMN($D$1)&amp;"}"</f>
        <v>!SE.01.01.17.01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3168</v>
      </c>
      <c r="C17" s="41" t="s">
        <v>3158</v>
      </c>
      <c r="D17" s="51"/>
    </row>
    <row r="18" spans="2:10">
      <c r="B18" s="52" t="s">
        <v>3026</v>
      </c>
      <c r="C18" s="41" t="s">
        <v>2901</v>
      </c>
      <c r="D18" s="51"/>
    </row>
    <row r="19" spans="2:10">
      <c r="B19" s="52" t="s">
        <v>3159</v>
      </c>
      <c r="C19" s="41" t="s">
        <v>3160</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2960</v>
      </c>
      <c r="C25" s="41" t="s">
        <v>2961</v>
      </c>
      <c r="D25" s="51"/>
    </row>
    <row r="26" spans="2:10" ht="30">
      <c r="B26" s="52" t="s">
        <v>2992</v>
      </c>
      <c r="C26" s="41" t="s">
        <v>2993</v>
      </c>
      <c r="D26" s="51"/>
    </row>
    <row r="27" spans="2:10">
      <c r="B27" s="52" t="s">
        <v>2994</v>
      </c>
      <c r="C27" s="41" t="s">
        <v>2995</v>
      </c>
      <c r="D27" s="51"/>
    </row>
    <row r="28" spans="2:10">
      <c r="B28" s="52" t="s">
        <v>3161</v>
      </c>
      <c r="C28" s="41" t="s">
        <v>3162</v>
      </c>
      <c r="D28" s="51"/>
    </row>
    <row r="29" spans="2:10">
      <c r="I29" s="13" t="str">
        <f>IF(COUNTIF(D:D,"Reported")&gt;0,Show!$B$18&amp;Show!$B$18,"!!")&amp;"SE.01.01.17.01 Rows {"&amp;COLUMN($C$1)&amp;"}"</f>
        <v>!!SE.01.01.17.01 Rows {3}</v>
      </c>
      <c r="J29" s="13" t="str">
        <f>IF(COUNTIF(D:D,"Reported")&gt;0,Show!$B$18&amp;Show!$B$18,"!!")&amp;"SE.01.01.17.01 Columns {"&amp;COLUMN($D$1)&amp;"}"</f>
        <v>!!SE.01.01.17.01 Columns {4}</v>
      </c>
    </row>
  </sheetData>
  <sheetProtection sheet="1" objects="1" scenarios="1"/>
  <mergeCells count="3">
    <mergeCell ref="B2:O2"/>
    <mergeCell ref="B5:L5"/>
    <mergeCell ref="D9:D12"/>
  </mergeCells>
  <dataValidations count="11">
    <dataValidation type="list" errorStyle="warning" allowBlank="1" showInputMessage="1" showErrorMessage="1" sqref="D16" xr:uid="{D8C16BFF-A658-47DC-8196-EF5383CD546A}">
      <formula1>hier_CN_2</formula1>
    </dataValidation>
    <dataValidation type="list" errorStyle="warning" allowBlank="1" showInputMessage="1" showErrorMessage="1" sqref="D17" xr:uid="{1B9F2D78-69C4-4239-A91F-B58C16C67FE0}">
      <formula1>hier_CN_81</formula1>
    </dataValidation>
    <dataValidation type="list" errorStyle="warning" allowBlank="1" showInputMessage="1" showErrorMessage="1" sqref="D18 D25" xr:uid="{92770C3C-8861-4550-B7A1-496A8D42EA64}">
      <formula1>hier_CN_113</formula1>
    </dataValidation>
    <dataValidation type="list" errorStyle="warning" allowBlank="1" showInputMessage="1" showErrorMessage="1" sqref="D19" xr:uid="{90F58769-40CD-4EFD-B48E-1CC6B81281CD}">
      <formula1>hier_CN_23</formula1>
    </dataValidation>
    <dataValidation type="list" errorStyle="warning" allowBlank="1" showInputMessage="1" showErrorMessage="1" sqref="D20" xr:uid="{1E10692A-048D-43CD-9B1F-B75C5C0E9060}">
      <formula1>hier_CN_117</formula1>
    </dataValidation>
    <dataValidation type="list" errorStyle="warning" allowBlank="1" showInputMessage="1" showErrorMessage="1" sqref="D21 D22" xr:uid="{B4DD8A57-BA23-42A5-BC92-0612B8330724}">
      <formula1>hier_CN_28</formula1>
    </dataValidation>
    <dataValidation type="list" errorStyle="warning" allowBlank="1" showInputMessage="1" showErrorMessage="1" sqref="D23" xr:uid="{A1461CA6-05B0-4FEC-833A-F3EC562045A3}">
      <formula1>hier_CN_83</formula1>
    </dataValidation>
    <dataValidation type="list" errorStyle="warning" allowBlank="1" showInputMessage="1" showErrorMessage="1" sqref="D24" xr:uid="{374B7277-FAFE-479A-B073-07B06F29BFCA}">
      <formula1>hier_CN_84</formula1>
    </dataValidation>
    <dataValidation type="list" errorStyle="warning" allowBlank="1" showInputMessage="1" showErrorMessage="1" sqref="D26" xr:uid="{7CB8054A-8C81-4762-A7C5-4B6DCA7896EB}">
      <formula1>hier_CN_85</formula1>
    </dataValidation>
    <dataValidation type="list" errorStyle="warning" allowBlank="1" showInputMessage="1" showErrorMessage="1" sqref="D27" xr:uid="{68F520D8-EC78-43F0-8A66-060564CB07DA}">
      <formula1>hier_CN_86</formula1>
    </dataValidation>
    <dataValidation type="list" errorStyle="warning" allowBlank="1" showInputMessage="1" showErrorMessage="1" sqref="D28" xr:uid="{665B1B9D-8730-4AF3-80ED-DCFF4F14518D}">
      <formula1>hier_CN_111</formula1>
    </dataValidation>
  </dataValidations>
  <hyperlinks>
    <hyperlink ref="B16" location="'S.01.02.01'!A1" display="S.01.02.01 - Basic Information - General" xr:uid="{19ADD8E3-4E0A-4C75-9BD9-18F785E7C0E0}"/>
    <hyperlink ref="B17" location="'SE.02.01.17'!A1" display="SE.02.01.17 - Balance Sheet" xr:uid="{3F6B1C22-3BEA-4F01-A488-B5003C8C70BE}"/>
    <hyperlink ref="B18" location="'S.05.01.02'!A1" display="S.05.01.02 - Premiums, claims and expenses by line of business" xr:uid="{8CB117F9-D198-4191-88B4-FEB0A3810B45}"/>
    <hyperlink ref="B19" location="'SE.06.02.16'!A1" display="SE.06.02.16 - List of assets" xr:uid="{6E03B116-72C5-4D50-AB45-5CFF747A20DF}"/>
    <hyperlink ref="B20" location="'S.06.03.01'!A1" display="S.06.03.01 - Collective investment undertakings - look-through approach" xr:uid="{C1379391-D459-46EC-9B18-ADF9194FE8BA}"/>
    <hyperlink ref="B21" location="'S.08.01.01'!A1" display="S.08.01.01 - Open derivatives" xr:uid="{DE0C5860-27E5-4347-9B5A-13DE1BA89C2D}"/>
    <hyperlink ref="B22" location="'S.08.02.01'!A1" display="S.08.02.01 - Derivatives Transactions" xr:uid="{F053EEA2-195B-4A90-928A-5A8F8D5A3195}"/>
    <hyperlink ref="B23" location="'S.12.01.02'!A1" display="S.12.01.02 - Life and Health SLT Technical Provisions" xr:uid="{098303B8-352E-459D-B0A1-758799FE1EE3}"/>
    <hyperlink ref="B24" location="'S.17.01.02'!A1" display="S.17.01.02 - Non-Life Technical Provisions" xr:uid="{C63571C5-415D-40A5-9D20-4754E3482FC7}"/>
    <hyperlink ref="B25" location="'S.23.01.01'!A1" display="S.23.01.01 - Own funds" xr:uid="{4E27105B-4ECE-4563-9A2B-06C86ACC548A}"/>
    <hyperlink ref="B26" location="'S.28.01.01'!A1" display="S.28.01.01 - Minimum Capital Requirement - Only life or only non-life insurance or reinsurance activity" xr:uid="{AB6A1B88-685F-4136-992F-65C8D05570E0}"/>
    <hyperlink ref="B27" location="'S.28.02.01'!A1" display="S.28.02.01 - Minimum Capital Requirement - Both life and non-life insurance activity" xr:uid="{0CA3E200-8C5D-439E-BE57-F03DB221FB80}"/>
    <hyperlink ref="B28" location="'E.01.01.16'!A1" display="E.01.01.16 - Deposits to cedants - line-by-line reporting" xr:uid="{01608F13-3E23-4F47-9D2D-B6F07772E5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9DEEE-D5EB-4043-A67E-2D7C9D964601}">
  <sheetPr codeName="Blad23"/>
  <dimension ref="B2:O82"/>
  <sheetViews>
    <sheetView showGridLines="0" workbookViewId="0"/>
  </sheetViews>
  <sheetFormatPr defaultRowHeight="15"/>
  <cols>
    <col min="2" max="2" width="84.5703125" bestFit="1" customWidth="1"/>
    <col min="4" max="4" width="40.7109375" customWidth="1"/>
  </cols>
  <sheetData>
    <row r="2" spans="2:15" ht="23.25">
      <c r="B2" s="95" t="s">
        <v>532</v>
      </c>
      <c r="C2" s="96"/>
      <c r="D2" s="96"/>
      <c r="E2" s="96"/>
      <c r="F2" s="96"/>
      <c r="G2" s="96"/>
      <c r="H2" s="96"/>
      <c r="I2" s="96"/>
      <c r="J2" s="96"/>
      <c r="K2" s="96"/>
      <c r="L2" s="96"/>
      <c r="M2" s="96"/>
      <c r="N2" s="96"/>
      <c r="O2" s="96"/>
    </row>
    <row r="5" spans="2:15" ht="18.75">
      <c r="B5" s="97" t="s">
        <v>3169</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IF(COUNTIF(D:D,"Reported")&gt;0,Show!$B$19,"!")&amp;"SE.01.01.18.01 Rows {"&amp;COLUMN($C$1)&amp;"}"&amp;"@ForceFilingCode:true"</f>
        <v>!SE.01.01.18.01 Rows {3}@ForceFilingCode:true</v>
      </c>
      <c r="J13" s="13" t="str">
        <f>IF(COUNTIF(D:D,"Reported")&gt;0,Show!$B$19,"!")&amp;"SE.01.01.18.01 Columns {"&amp;COLUMN($D$1)&amp;"}"</f>
        <v>!SE.01.01.18.01 Columns {4}</v>
      </c>
    </row>
    <row r="14" spans="2:15">
      <c r="B14" s="43" t="s">
        <v>2880</v>
      </c>
      <c r="C14" s="44" t="s">
        <v>2878</v>
      </c>
      <c r="D14" s="48"/>
    </row>
    <row r="15" spans="2:15">
      <c r="B15" s="47" t="s">
        <v>2881</v>
      </c>
      <c r="C15" s="44" t="s">
        <v>2878</v>
      </c>
      <c r="D15" s="46"/>
    </row>
    <row r="16" spans="2:15">
      <c r="B16" s="52" t="s">
        <v>3075</v>
      </c>
      <c r="C16" s="41" t="s">
        <v>2883</v>
      </c>
      <c r="D16" s="51"/>
    </row>
    <row r="17" spans="2:4">
      <c r="B17" s="52" t="s">
        <v>2884</v>
      </c>
      <c r="C17" s="41" t="s">
        <v>2885</v>
      </c>
      <c r="D17" s="51"/>
    </row>
    <row r="18" spans="2:4">
      <c r="B18" s="52" t="s">
        <v>3170</v>
      </c>
      <c r="C18" s="41" t="s">
        <v>3158</v>
      </c>
      <c r="D18" s="51"/>
    </row>
    <row r="19" spans="2:4">
      <c r="B19" s="52" t="s">
        <v>2888</v>
      </c>
      <c r="C19" s="41" t="s">
        <v>2889</v>
      </c>
      <c r="D19" s="51"/>
    </row>
    <row r="20" spans="2:4">
      <c r="B20" s="52" t="s">
        <v>3077</v>
      </c>
      <c r="C20" s="41" t="s">
        <v>3078</v>
      </c>
      <c r="D20" s="51"/>
    </row>
    <row r="21" spans="2:4">
      <c r="B21" s="52" t="s">
        <v>3171</v>
      </c>
      <c r="C21" s="41" t="s">
        <v>2891</v>
      </c>
      <c r="D21" s="51"/>
    </row>
    <row r="22" spans="2:4" ht="30">
      <c r="B22" s="52" t="s">
        <v>2892</v>
      </c>
      <c r="C22" s="41" t="s">
        <v>2893</v>
      </c>
      <c r="D22" s="51"/>
    </row>
    <row r="23" spans="2:4" ht="30">
      <c r="B23" s="52" t="s">
        <v>2894</v>
      </c>
      <c r="C23" s="41" t="s">
        <v>2895</v>
      </c>
      <c r="D23" s="51"/>
    </row>
    <row r="24" spans="2:4">
      <c r="B24" s="52" t="s">
        <v>2900</v>
      </c>
      <c r="C24" s="41" t="s">
        <v>2901</v>
      </c>
      <c r="D24" s="51"/>
    </row>
    <row r="25" spans="2:4">
      <c r="B25" s="52" t="s">
        <v>2902</v>
      </c>
      <c r="C25" s="41" t="s">
        <v>2903</v>
      </c>
      <c r="D25" s="51"/>
    </row>
    <row r="26" spans="2:4">
      <c r="B26" s="52" t="s">
        <v>3172</v>
      </c>
      <c r="C26" s="41" t="s">
        <v>3160</v>
      </c>
      <c r="D26" s="51"/>
    </row>
    <row r="27" spans="2:4">
      <c r="B27" s="52" t="s">
        <v>2908</v>
      </c>
      <c r="C27" s="41" t="s">
        <v>2909</v>
      </c>
      <c r="D27" s="51"/>
    </row>
    <row r="28" spans="2:4">
      <c r="B28" s="52" t="s">
        <v>2910</v>
      </c>
      <c r="C28" s="41" t="s">
        <v>2911</v>
      </c>
      <c r="D28" s="51"/>
    </row>
    <row r="29" spans="2:4">
      <c r="B29" s="52" t="s">
        <v>2912</v>
      </c>
      <c r="C29" s="41" t="s">
        <v>2913</v>
      </c>
      <c r="D29" s="51"/>
    </row>
    <row r="30" spans="2:4">
      <c r="B30" s="52" t="s">
        <v>2914</v>
      </c>
      <c r="C30" s="41" t="s">
        <v>2915</v>
      </c>
      <c r="D30" s="51"/>
    </row>
    <row r="31" spans="2:4">
      <c r="B31" s="52" t="s">
        <v>2916</v>
      </c>
      <c r="C31" s="41" t="s">
        <v>2917</v>
      </c>
      <c r="D31" s="51"/>
    </row>
    <row r="32" spans="2:4">
      <c r="B32" s="52" t="s">
        <v>2918</v>
      </c>
      <c r="C32" s="41" t="s">
        <v>2919</v>
      </c>
      <c r="D32" s="51"/>
    </row>
    <row r="33" spans="2:4">
      <c r="B33" s="52" t="s">
        <v>2920</v>
      </c>
      <c r="C33" s="41" t="s">
        <v>2921</v>
      </c>
      <c r="D33" s="51"/>
    </row>
    <row r="34" spans="2:4">
      <c r="B34" s="52" t="s">
        <v>2922</v>
      </c>
      <c r="C34" s="41" t="s">
        <v>2923</v>
      </c>
      <c r="D34" s="51"/>
    </row>
    <row r="35" spans="2:4">
      <c r="B35" s="52" t="s">
        <v>3080</v>
      </c>
      <c r="C35" s="41" t="s">
        <v>2925</v>
      </c>
      <c r="D35" s="51"/>
    </row>
    <row r="36" spans="2:4">
      <c r="B36" s="52" t="s">
        <v>2926</v>
      </c>
      <c r="C36" s="41" t="s">
        <v>2927</v>
      </c>
      <c r="D36" s="51"/>
    </row>
    <row r="37" spans="2:4">
      <c r="B37" s="52" t="s">
        <v>2928</v>
      </c>
      <c r="C37" s="41" t="s">
        <v>2929</v>
      </c>
      <c r="D37" s="51"/>
    </row>
    <row r="38" spans="2:4">
      <c r="B38" s="52" t="s">
        <v>2930</v>
      </c>
      <c r="C38" s="41" t="s">
        <v>2931</v>
      </c>
      <c r="D38" s="51"/>
    </row>
    <row r="39" spans="2:4">
      <c r="B39" s="52" t="s">
        <v>2932</v>
      </c>
      <c r="C39" s="41" t="s">
        <v>2933</v>
      </c>
      <c r="D39" s="51"/>
    </row>
    <row r="40" spans="2:4">
      <c r="B40" s="52" t="s">
        <v>2934</v>
      </c>
      <c r="C40" s="41" t="s">
        <v>2935</v>
      </c>
      <c r="D40" s="51"/>
    </row>
    <row r="41" spans="2:4">
      <c r="B41" s="52" t="s">
        <v>2936</v>
      </c>
      <c r="C41" s="41" t="s">
        <v>2937</v>
      </c>
      <c r="D41" s="51"/>
    </row>
    <row r="42" spans="2:4">
      <c r="B42" s="52" t="s">
        <v>2938</v>
      </c>
      <c r="C42" s="41" t="s">
        <v>2939</v>
      </c>
      <c r="D42" s="51"/>
    </row>
    <row r="43" spans="2:4">
      <c r="B43" s="52" t="s">
        <v>3081</v>
      </c>
      <c r="C43" s="41" t="s">
        <v>2941</v>
      </c>
      <c r="D43" s="51"/>
    </row>
    <row r="44" spans="2:4">
      <c r="B44" s="52" t="s">
        <v>2942</v>
      </c>
      <c r="C44" s="41" t="s">
        <v>2943</v>
      </c>
      <c r="D44" s="51"/>
    </row>
    <row r="45" spans="2:4">
      <c r="B45" s="52" t="s">
        <v>2944</v>
      </c>
      <c r="C45" s="41" t="s">
        <v>2945</v>
      </c>
      <c r="D45" s="51"/>
    </row>
    <row r="46" spans="2:4">
      <c r="B46" s="52" t="s">
        <v>2946</v>
      </c>
      <c r="C46" s="41" t="s">
        <v>2947</v>
      </c>
      <c r="D46" s="51"/>
    </row>
    <row r="47" spans="2:4">
      <c r="B47" s="52" t="s">
        <v>2948</v>
      </c>
      <c r="C47" s="41" t="s">
        <v>2949</v>
      </c>
      <c r="D47" s="51"/>
    </row>
    <row r="48" spans="2:4">
      <c r="B48" s="52" t="s">
        <v>2950</v>
      </c>
      <c r="C48" s="41" t="s">
        <v>2951</v>
      </c>
      <c r="D48" s="51"/>
    </row>
    <row r="49" spans="2:4">
      <c r="B49" s="52" t="s">
        <v>2952</v>
      </c>
      <c r="C49" s="41" t="s">
        <v>2953</v>
      </c>
      <c r="D49" s="51"/>
    </row>
    <row r="50" spans="2:4">
      <c r="B50" s="52" t="s">
        <v>2954</v>
      </c>
      <c r="C50" s="41" t="s">
        <v>2955</v>
      </c>
      <c r="D50" s="51"/>
    </row>
    <row r="51" spans="2:4">
      <c r="B51" s="52" t="s">
        <v>2956</v>
      </c>
      <c r="C51" s="41" t="s">
        <v>2957</v>
      </c>
      <c r="D51" s="51"/>
    </row>
    <row r="52" spans="2:4">
      <c r="B52" s="52" t="s">
        <v>2958</v>
      </c>
      <c r="C52" s="41" t="s">
        <v>2959</v>
      </c>
      <c r="D52" s="51"/>
    </row>
    <row r="53" spans="2:4">
      <c r="B53" s="52" t="s">
        <v>3082</v>
      </c>
      <c r="C53" s="41" t="s">
        <v>2961</v>
      </c>
      <c r="D53" s="51"/>
    </row>
    <row r="54" spans="2:4">
      <c r="B54" s="52" t="s">
        <v>3083</v>
      </c>
      <c r="C54" s="41" t="s">
        <v>2965</v>
      </c>
      <c r="D54" s="51"/>
    </row>
    <row r="55" spans="2:4">
      <c r="B55" s="52" t="s">
        <v>2968</v>
      </c>
      <c r="C55" s="41" t="s">
        <v>2969</v>
      </c>
      <c r="D55" s="51"/>
    </row>
    <row r="56" spans="2:4">
      <c r="B56" s="52" t="s">
        <v>2970</v>
      </c>
      <c r="C56" s="41" t="s">
        <v>2971</v>
      </c>
      <c r="D56" s="51"/>
    </row>
    <row r="57" spans="2:4" ht="30">
      <c r="B57" s="52" t="s">
        <v>2972</v>
      </c>
      <c r="C57" s="41" t="s">
        <v>2973</v>
      </c>
      <c r="D57" s="51"/>
    </row>
    <row r="58" spans="2:4">
      <c r="B58" s="52" t="s">
        <v>2974</v>
      </c>
      <c r="C58" s="41" t="s">
        <v>2975</v>
      </c>
      <c r="D58" s="51"/>
    </row>
    <row r="59" spans="2:4">
      <c r="B59" s="52" t="s">
        <v>2976</v>
      </c>
      <c r="C59" s="41" t="s">
        <v>2977</v>
      </c>
      <c r="D59" s="51"/>
    </row>
    <row r="60" spans="2:4">
      <c r="B60" s="52" t="s">
        <v>2978</v>
      </c>
      <c r="C60" s="41" t="s">
        <v>2979</v>
      </c>
      <c r="D60" s="51"/>
    </row>
    <row r="61" spans="2:4">
      <c r="B61" s="52" t="s">
        <v>2980</v>
      </c>
      <c r="C61" s="41" t="s">
        <v>2981</v>
      </c>
      <c r="D61" s="51"/>
    </row>
    <row r="62" spans="2:4">
      <c r="B62" s="52" t="s">
        <v>2982</v>
      </c>
      <c r="C62" s="41" t="s">
        <v>2983</v>
      </c>
      <c r="D62" s="51"/>
    </row>
    <row r="63" spans="2:4">
      <c r="B63" s="52" t="s">
        <v>2984</v>
      </c>
      <c r="C63" s="41" t="s">
        <v>2985</v>
      </c>
      <c r="D63" s="51"/>
    </row>
    <row r="64" spans="2:4">
      <c r="B64" s="52" t="s">
        <v>2986</v>
      </c>
      <c r="C64" s="41" t="s">
        <v>2987</v>
      </c>
      <c r="D64" s="51"/>
    </row>
    <row r="65" spans="2:4">
      <c r="B65" s="52" t="s">
        <v>2988</v>
      </c>
      <c r="C65" s="41" t="s">
        <v>2989</v>
      </c>
      <c r="D65" s="51"/>
    </row>
    <row r="66" spans="2:4">
      <c r="B66" s="52" t="s">
        <v>3084</v>
      </c>
      <c r="C66" s="41" t="s">
        <v>2991</v>
      </c>
      <c r="D66" s="51"/>
    </row>
    <row r="67" spans="2:4" ht="30">
      <c r="B67" s="52" t="s">
        <v>2992</v>
      </c>
      <c r="C67" s="41" t="s">
        <v>2993</v>
      </c>
      <c r="D67" s="51"/>
    </row>
    <row r="68" spans="2:4">
      <c r="B68" s="52" t="s">
        <v>2994</v>
      </c>
      <c r="C68" s="41" t="s">
        <v>2995</v>
      </c>
      <c r="D68" s="51"/>
    </row>
    <row r="69" spans="2:4">
      <c r="B69" s="52" t="s">
        <v>3085</v>
      </c>
      <c r="C69" s="41" t="s">
        <v>2997</v>
      </c>
      <c r="D69" s="51"/>
    </row>
    <row r="70" spans="2:4" ht="30">
      <c r="B70" s="52" t="s">
        <v>2998</v>
      </c>
      <c r="C70" s="41" t="s">
        <v>2999</v>
      </c>
      <c r="D70" s="51"/>
    </row>
    <row r="71" spans="2:4">
      <c r="B71" s="52" t="s">
        <v>3000</v>
      </c>
      <c r="C71" s="41" t="s">
        <v>3001</v>
      </c>
      <c r="D71" s="51"/>
    </row>
    <row r="72" spans="2:4">
      <c r="B72" s="52" t="s">
        <v>3002</v>
      </c>
      <c r="C72" s="41" t="s">
        <v>3003</v>
      </c>
      <c r="D72" s="51"/>
    </row>
    <row r="73" spans="2:4">
      <c r="B73" s="52" t="s">
        <v>3004</v>
      </c>
      <c r="C73" s="41" t="s">
        <v>3005</v>
      </c>
      <c r="D73" s="51"/>
    </row>
    <row r="74" spans="2:4">
      <c r="B74" s="52" t="s">
        <v>3006</v>
      </c>
      <c r="C74" s="41" t="s">
        <v>3007</v>
      </c>
      <c r="D74" s="51"/>
    </row>
    <row r="75" spans="2:4">
      <c r="B75" s="52" t="s">
        <v>3008</v>
      </c>
      <c r="C75" s="41" t="s">
        <v>3009</v>
      </c>
      <c r="D75" s="51"/>
    </row>
    <row r="76" spans="2:4">
      <c r="B76" s="52" t="s">
        <v>3010</v>
      </c>
      <c r="C76" s="41" t="s">
        <v>3011</v>
      </c>
      <c r="D76" s="51"/>
    </row>
    <row r="77" spans="2:4">
      <c r="B77" s="52" t="s">
        <v>3012</v>
      </c>
      <c r="C77" s="41" t="s">
        <v>3013</v>
      </c>
      <c r="D77" s="51"/>
    </row>
    <row r="78" spans="2:4">
      <c r="B78" s="52" t="s">
        <v>3014</v>
      </c>
      <c r="C78" s="41" t="s">
        <v>3015</v>
      </c>
      <c r="D78" s="51"/>
    </row>
    <row r="79" spans="2:4">
      <c r="B79" s="52" t="s">
        <v>3161</v>
      </c>
      <c r="C79" s="41" t="s">
        <v>3162</v>
      </c>
      <c r="D79" s="51"/>
    </row>
    <row r="80" spans="2:4">
      <c r="B80" s="52" t="s">
        <v>3163</v>
      </c>
      <c r="C80" s="41" t="s">
        <v>3164</v>
      </c>
      <c r="D80" s="51"/>
    </row>
    <row r="81" spans="2:10">
      <c r="B81" s="52" t="s">
        <v>3165</v>
      </c>
      <c r="C81" s="41" t="s">
        <v>3166</v>
      </c>
      <c r="D81" s="51"/>
    </row>
    <row r="82" spans="2:10">
      <c r="I82" s="13" t="str">
        <f>IF(COUNTIF(D:D,"Reported")&gt;0,Show!$B$19&amp;Show!$B$19,"!!")&amp;"SE.01.01.18.01 Rows {"&amp;COLUMN($C$1)&amp;"}"</f>
        <v>!!SE.01.01.18.01 Rows {3}</v>
      </c>
      <c r="J82" s="13" t="str">
        <f>IF(COUNTIF(D:D,"Reported")&gt;0,Show!$B$19&amp;Show!$B$19,"!!")&amp;"SE.01.01.18.01 Columns {"&amp;COLUMN($D$1)&amp;"}"</f>
        <v>!!SE.01.01.18.01 Columns {4}</v>
      </c>
    </row>
  </sheetData>
  <sheetProtection sheet="1" objects="1" scenarios="1"/>
  <mergeCells count="3">
    <mergeCell ref="B2:O2"/>
    <mergeCell ref="B5:L5"/>
    <mergeCell ref="D9:D12"/>
  </mergeCells>
  <dataValidations count="45">
    <dataValidation type="list" errorStyle="warning" allowBlank="1" showInputMessage="1" showErrorMessage="1" sqref="D16" xr:uid="{A6EAF311-A289-445D-9529-048646976412}">
      <formula1>hier_CN_2</formula1>
    </dataValidation>
    <dataValidation type="list" errorStyle="warning" allowBlank="1" showInputMessage="1" showErrorMessage="1" sqref="D17" xr:uid="{E9739674-DC13-4368-AADE-8141E7ADBBA1}">
      <formula1>hier_CN_14</formula1>
    </dataValidation>
    <dataValidation type="list" errorStyle="warning" allowBlank="1" showInputMessage="1" showErrorMessage="1" sqref="D18" xr:uid="{B63B59B4-75F3-4F7B-88B1-5632D635FE4D}">
      <formula1>hier_CN_106</formula1>
    </dataValidation>
    <dataValidation type="list" errorStyle="warning" allowBlank="1" showInputMessage="1" showErrorMessage="1" sqref="D19" xr:uid="{85C4FFDB-1C6B-427D-8D91-62BCB187D792}">
      <formula1>hier_CN_18</formula1>
    </dataValidation>
    <dataValidation type="list" errorStyle="warning" allowBlank="1" showInputMessage="1" showErrorMessage="1" sqref="D20 D31 D69 D70 D71 D72" xr:uid="{6FD60B5F-7F3F-44A7-9B3A-25AAE76EE824}">
      <formula1>hier_CN_15</formula1>
    </dataValidation>
    <dataValidation type="list" errorStyle="warning" allowBlank="1" showInputMessage="1" showErrorMessage="1" sqref="D21" xr:uid="{76240394-D565-497B-8C4A-8BC0B40A2EF3}">
      <formula1>hier_CN_20</formula1>
    </dataValidation>
    <dataValidation type="list" errorStyle="warning" allowBlank="1" showInputMessage="1" showErrorMessage="1" sqref="D22" xr:uid="{3A761156-9D53-4E88-8081-D10CBFB27EA5}">
      <formula1>hier_CN_34</formula1>
    </dataValidation>
    <dataValidation type="list" errorStyle="warning" allowBlank="1" showInputMessage="1" showErrorMessage="1" sqref="D23" xr:uid="{9172D14B-F5BB-45BD-A0A8-5D0620797DD6}">
      <formula1>hier_CN_35</formula1>
    </dataValidation>
    <dataValidation type="list" errorStyle="warning" allowBlank="1" showInputMessage="1" showErrorMessage="1" sqref="D24 D53" xr:uid="{07AA0898-C3A6-4F43-A5BE-D4CF75A73EBE}">
      <formula1>hier_CN_115</formula1>
    </dataValidation>
    <dataValidation type="list" errorStyle="warning" allowBlank="1" showInputMessage="1" showErrorMessage="1" sqref="D25" xr:uid="{4949E0CF-DB6F-4C56-B48E-227F37688CBC}">
      <formula1>hier_CN_116</formula1>
    </dataValidation>
    <dataValidation type="list" errorStyle="warning" allowBlank="1" showInputMessage="1" showErrorMessage="1" sqref="D26" xr:uid="{311277B1-BFC5-4ED8-9897-2CEB38E5145F}">
      <formula1>hier_CN_97</formula1>
    </dataValidation>
    <dataValidation type="list" errorStyle="warning" allowBlank="1" showInputMessage="1" showErrorMessage="1" sqref="D27" xr:uid="{83D19CDD-96C8-4DC0-9C4E-F6B0CEC1E30E}">
      <formula1>hier_CN_119</formula1>
    </dataValidation>
    <dataValidation type="list" errorStyle="warning" allowBlank="1" showInputMessage="1" showErrorMessage="1" sqref="D28" xr:uid="{981C0116-AFBE-4E98-848B-844D093F441E}">
      <formula1>hier_CN_121</formula1>
    </dataValidation>
    <dataValidation type="list" errorStyle="warning" allowBlank="1" showInputMessage="1" showErrorMessage="1" sqref="D29 D30" xr:uid="{254CDFD7-58AE-4018-9803-C7EA0E48279D}">
      <formula1>hier_CN_100</formula1>
    </dataValidation>
    <dataValidation type="list" errorStyle="warning" allowBlank="1" showInputMessage="1" showErrorMessage="1" sqref="D32" xr:uid="{69500981-8E2D-4987-ACEF-D28DF34DA409}">
      <formula1>hier_CN_101</formula1>
    </dataValidation>
    <dataValidation type="list" errorStyle="warning" allowBlank="1" showInputMessage="1" showErrorMessage="1" sqref="D33" xr:uid="{BDB82868-8321-4298-9416-208F5133E3EB}">
      <formula1>hier_CN_102</formula1>
    </dataValidation>
    <dataValidation type="list" errorStyle="warning" allowBlank="1" showInputMessage="1" showErrorMessage="1" sqref="D34" xr:uid="{268CE588-B68A-48AB-9972-7D0374E81627}">
      <formula1>hier_CN_103</formula1>
    </dataValidation>
    <dataValidation type="list" errorStyle="warning" allowBlank="1" showInputMessage="1" showErrorMessage="1" sqref="D35" xr:uid="{E7F222C8-AEAB-4A7D-81B4-BB2C4E49FA26}">
      <formula1>hier_CN_31</formula1>
    </dataValidation>
    <dataValidation type="list" errorStyle="warning" allowBlank="1" showInputMessage="1" showErrorMessage="1" sqref="D36 D37" xr:uid="{310A0C60-202C-4775-999F-5F78EA4654BD}">
      <formula1>hier_CN_30</formula1>
    </dataValidation>
    <dataValidation type="list" errorStyle="warning" allowBlank="1" showInputMessage="1" showErrorMessage="1" sqref="D38 D39" xr:uid="{72BA72CC-5F14-4422-9F73-AACC4168DA45}">
      <formula1>hier_CN_41</formula1>
    </dataValidation>
    <dataValidation type="list" errorStyle="warning" allowBlank="1" showInputMessage="1" showErrorMessage="1" sqref="D40" xr:uid="{865092A6-8FC4-4FF4-880D-457B49823057}">
      <formula1>hier_CN_42</formula1>
    </dataValidation>
    <dataValidation type="list" errorStyle="warning" allowBlank="1" showInputMessage="1" showErrorMessage="1" sqref="D41" xr:uid="{F93A8097-FAC1-4662-BDF5-4CAA981DDFC3}">
      <formula1>hier_CN_104</formula1>
    </dataValidation>
    <dataValidation type="list" errorStyle="warning" allowBlank="1" showInputMessage="1" showErrorMessage="1" sqref="D42" xr:uid="{922DC910-21CE-4938-9C83-2D79F44136C8}">
      <formula1>hier_CN_33</formula1>
    </dataValidation>
    <dataValidation type="list" errorStyle="warning" allowBlank="1" showInputMessage="1" showErrorMessage="1" sqref="D43 D44" xr:uid="{9A41CACC-626E-47F2-8C51-E076D990C4B2}">
      <formula1>hier_CN_32</formula1>
    </dataValidation>
    <dataValidation type="list" errorStyle="warning" allowBlank="1" showInputMessage="1" showErrorMessage="1" sqref="D45 D46 D47 D48" xr:uid="{DDB2B285-D6F9-408B-A16C-B1EDEB675803}">
      <formula1>hier_CN_123</formula1>
    </dataValidation>
    <dataValidation type="list" errorStyle="warning" allowBlank="1" showInputMessage="1" showErrorMessage="1" sqref="D49" xr:uid="{261CE2D5-5C9A-46F8-BA0A-A4EEAB72C346}">
      <formula1>hier_CN_43</formula1>
    </dataValidation>
    <dataValidation type="list" errorStyle="warning" allowBlank="1" showInputMessage="1" showErrorMessage="1" sqref="D50 D51" xr:uid="{76E38CD4-7454-44DF-9405-43E84E075655}">
      <formula1>hier_CN_45</formula1>
    </dataValidation>
    <dataValidation type="list" errorStyle="warning" allowBlank="1" showInputMessage="1" showErrorMessage="1" sqref="D52" xr:uid="{53D739E6-6437-420B-8953-462D5A4461D8}">
      <formula1>hier_CN_112</formula1>
    </dataValidation>
    <dataValidation type="list" errorStyle="warning" allowBlank="1" showInputMessage="1" showErrorMessage="1" sqref="D54" xr:uid="{2EF3B05D-FAE8-438F-A50F-3A04A406BB64}">
      <formula1>hier_CN_1</formula1>
    </dataValidation>
    <dataValidation type="list" errorStyle="warning" allowBlank="1" showInputMessage="1" showErrorMessage="1" sqref="D55" xr:uid="{8DBF0D9B-5B90-42E1-9B37-001E22AE2095}">
      <formula1>hier_CN_46</formula1>
    </dataValidation>
    <dataValidation type="list" errorStyle="warning" allowBlank="1" showInputMessage="1" showErrorMessage="1" sqref="D56" xr:uid="{C228C86B-1567-4318-8326-92F5883D639C}">
      <formula1>hier_CN_108</formula1>
    </dataValidation>
    <dataValidation type="list" errorStyle="warning" allowBlank="1" showInputMessage="1" showErrorMessage="1" sqref="D57" xr:uid="{66B58D48-FF9B-4C23-B2A7-6A8C8F595224}">
      <formula1>hier_CN_8</formula1>
    </dataValidation>
    <dataValidation type="list" errorStyle="warning" allowBlank="1" showInputMessage="1" showErrorMessage="1" sqref="D58" xr:uid="{04E96A55-B24D-4DD5-B5D5-227D46F97BA8}">
      <formula1>hier_CN_9</formula1>
    </dataValidation>
    <dataValidation type="list" errorStyle="warning" allowBlank="1" showInputMessage="1" showErrorMessage="1" sqref="D59 D60 D61 D62 D63" xr:uid="{B4A86957-D29D-4E57-A744-4DE7E59EA130}">
      <formula1>hier_CN_124</formula1>
    </dataValidation>
    <dataValidation type="list" errorStyle="warning" allowBlank="1" showInputMessage="1" showErrorMessage="1" sqref="D64" xr:uid="{A240EC13-FF1C-4B49-86B6-B34C18A238D3}">
      <formula1>hier_CN_53</formula1>
    </dataValidation>
    <dataValidation type="list" errorStyle="warning" allowBlank="1" showInputMessage="1" showErrorMessage="1" sqref="D65" xr:uid="{AEC9C4D0-7656-4D30-843E-4873CACB85BD}">
      <formula1>hier_CN_55</formula1>
    </dataValidation>
    <dataValidation type="list" errorStyle="warning" allowBlank="1" showInputMessage="1" showErrorMessage="1" sqref="D66" xr:uid="{FB576C3E-F5DE-4610-8D0B-04B3D598B4C7}">
      <formula1>hier_CN_51</formula1>
    </dataValidation>
    <dataValidation type="list" errorStyle="warning" allowBlank="1" showInputMessage="1" showErrorMessage="1" sqref="D67" xr:uid="{E8D79753-FB26-401E-B790-F3D42F187E9E}">
      <formula1>hier_CN_85</formula1>
    </dataValidation>
    <dataValidation type="list" errorStyle="warning" allowBlank="1" showInputMessage="1" showErrorMessage="1" sqref="D68" xr:uid="{14723074-6AC6-4ED3-B730-DC43B70A8EB4}">
      <formula1>hier_CN_86</formula1>
    </dataValidation>
    <dataValidation type="list" errorStyle="warning" allowBlank="1" showInputMessage="1" showErrorMessage="1" sqref="D73 D74" xr:uid="{A6248F99-1BC0-4525-BB4D-4F741DC3A7BA}">
      <formula1>hier_CN_57</formula1>
    </dataValidation>
    <dataValidation type="list" errorStyle="warning" allowBlank="1" showInputMessage="1" showErrorMessage="1" sqref="D75 D76 D77" xr:uid="{EDBDA285-70E4-42CA-8C5B-DB0C2BBD4E45}">
      <formula1>hier_CN_58</formula1>
    </dataValidation>
    <dataValidation type="list" errorStyle="warning" allowBlank="1" showInputMessage="1" showErrorMessage="1" sqref="D78" xr:uid="{5B4FE8B0-69FA-4A79-AAD7-18D669DE7106}">
      <formula1>hier_CN_59</formula1>
    </dataValidation>
    <dataValidation type="list" errorStyle="warning" allowBlank="1" showInputMessage="1" showErrorMessage="1" sqref="D79" xr:uid="{800FC6EA-C62E-4796-A341-4A857C2EE361}">
      <formula1>hier_CN_122</formula1>
    </dataValidation>
    <dataValidation type="list" errorStyle="warning" allowBlank="1" showInputMessage="1" showErrorMessage="1" sqref="D80" xr:uid="{930CCA85-3D4A-40BC-8441-2BA71762533F}">
      <formula1>hier_CN_94</formula1>
    </dataValidation>
    <dataValidation type="list" errorStyle="warning" allowBlank="1" showInputMessage="1" showErrorMessage="1" sqref="D81" xr:uid="{100FAE11-49BB-4CCF-AD03-4F8D801DD625}">
      <formula1>hier_CN_95</formula1>
    </dataValidation>
  </dataValidations>
  <hyperlinks>
    <hyperlink ref="B16" location="'S.01.02.07'!A1" display="S.01.02.07 - Basic Information - General" xr:uid="{5BBE0EE2-F3A9-4B65-9E49-EBCA32BB1134}"/>
    <hyperlink ref="B17" location="'S.01.03.01'!A1" display="S.01.03.01 - Basic Information - RFF and matching adjustment portfolios" xr:uid="{BC8B09A7-5547-45B7-8990-582C54C1DBC4}"/>
    <hyperlink ref="B18" location="'SE.02.01.18'!A1" display="SE.02.01.18 - Balance Sheet" xr:uid="{8A9603A2-D866-4B70-9210-29C71507AE3A}"/>
    <hyperlink ref="B19" location="'S.02.02.01'!A1" display="S.02.02.01 - Assets and liabilities by currency" xr:uid="{12A6244F-6909-4691-8BC0-1F1AD6DB8F5E}"/>
    <hyperlink ref="B20" location="'S.02.03.07'!A1" display="S.02.03.07 - Additional branch balance sheet information" xr:uid="{734D7261-A522-4543-8B28-44BE1E0D3268}"/>
    <hyperlink ref="B21" location="'S.03.01.01'!A1" display="S.03.01.01 - Off-balance sheet items -general" xr:uid="{AEB62E37-7D4D-4725-B5AC-E890C3CB4C06}"/>
    <hyperlink ref="B22" location="'S.03.02.01'!A1" display="S.03.02.01 - Off-balance sheet items - List of unlimited guarantees received by the undertaking" xr:uid="{87767BE8-D938-408C-A6F8-66CC4934FC9A}"/>
    <hyperlink ref="B23" location="'S.03.03.01'!A1" display="S.03.03.01 - Off-balance sheet items - List of unlimited guarantees provided by the undertaking" xr:uid="{F72AAE9A-E3A7-432A-9889-9EA27D05410A}"/>
    <hyperlink ref="B24" location="'S.05.01.01'!A1" display="S.05.01.01 - Premiums, claims and expenses by line of business" xr:uid="{FFC873A7-8026-4C3A-9C39-D0A51F638649}"/>
    <hyperlink ref="B25" location="'S.05.02.01'!A1" display="S.05.02.01 - Premiums, claims and expenses by country" xr:uid="{3F3EBCED-C6BD-4F46-97CF-284223526DC1}"/>
    <hyperlink ref="B26" location="'SE.06.02.18'!A1" display="SE.06.02.18 - List of assets" xr:uid="{4060375C-7DD1-495C-A93C-57BB9A9EA492}"/>
    <hyperlink ref="B27" location="'S.06.03.01'!A1" display="S.06.03.01 - Collective investment undertakings - look-through approach" xr:uid="{9E6CA8C6-6241-4B4C-85C0-0222D7962515}"/>
    <hyperlink ref="B28" location="'S.07.01.01'!A1" display="S.07.01.01 - Structured products" xr:uid="{ED443FF9-A3E7-44AA-AEF0-28DBC95FF474}"/>
    <hyperlink ref="B29" location="'S.08.01.01'!A1" display="S.08.01.01 - Open derivatives" xr:uid="{8E8FA5C8-3A5F-414C-9D13-88DEDA80B97A}"/>
    <hyperlink ref="B30" location="'S.08.02.01'!A1" display="S.08.02.01 - Derivatives Transactions" xr:uid="{057AD40E-BAC7-4777-99D4-A30525C19B6A}"/>
    <hyperlink ref="B31" location="'S.09.01.01'!A1" display="S.09.01.01 - Income/gains and losses in the period" xr:uid="{2C035816-7E3C-4EF2-9471-03BCBCC84917}"/>
    <hyperlink ref="B32" location="'S.10.01.01'!A1" display="S.10.01.01 - Securities lending and repos" xr:uid="{526EE655-4D36-4DCB-8F06-7953B995384E}"/>
    <hyperlink ref="B33" location="'S.11.01.01'!A1" display="S.11.01.01 - Assets held as collateral" xr:uid="{9A7C0786-48CE-4E2D-9721-01C16E5F9EB8}"/>
    <hyperlink ref="B34" location="'S.12.01.01'!A1" display="S.12.01.01 - Life and Health SLT Technical Provisions" xr:uid="{2B84EC0E-47BE-47DC-B806-0C2FEDC47EBF}"/>
    <hyperlink ref="B35" location="'S.12.02.01'!A1" display="S.12.02.01 - Life and Health SLT Technical Provisions - By country" xr:uid="{14BF9A30-5AB2-4046-8F42-519EEE78D2B8}"/>
    <hyperlink ref="B36" location="'S.13.01.01'!A1" display="S.13.01.01 - Projection of future gross cash flows" xr:uid="{C2F126D6-72D2-4BF4-A57A-3FA28A58AB04}"/>
    <hyperlink ref="B37" location="'S.14.01.01'!A1" display="S.14.01.01 - Life obligations analysis" xr:uid="{14B5C123-D940-4B41-909E-8A6F7092C9C2}"/>
    <hyperlink ref="B38" location="'S.15.01.01'!A1" display="S.15.01.01 - Description of the guarantees of variable annuities" xr:uid="{A19A643E-480A-4D54-8518-F19E73E3098E}"/>
    <hyperlink ref="B39" location="'S.15.02.01'!A1" display="S.15.02.01 - Hedging of guarantees of variable annuities" xr:uid="{A377740F-C63B-446E-86DA-A66916479559}"/>
    <hyperlink ref="B40" location="'S.16.01.01'!A1" display="S.16.01.01 - Information on annuities stemming from Non-Life Insurance obligations" xr:uid="{539BBF90-7A8A-4BE5-815E-78E676624465}"/>
    <hyperlink ref="B41" location="'S.17.01.01'!A1" display="S.17.01.01 - Non-Life Technical Provisions" xr:uid="{C2D9BE15-82B2-40D8-B6B5-7F140DC1ECD2}"/>
    <hyperlink ref="B42" location="'S.17.02.01'!A1" display="S.17.02.01 - Non-Life Technical Provisions - By country" xr:uid="{7E932637-4B06-4A60-992D-9EC70C715E0F}"/>
    <hyperlink ref="B43" location="'S.18.01.01'!A1" display="S.18.01.01 - Projection of future cash flows (Best Estimate - Non-Life)" xr:uid="{32F19C7E-0EF2-4C71-A818-F19C906CE075}"/>
    <hyperlink ref="B44" location="'S.19.01.01'!A1" display="S.19.01.01 - Non-life insurance claims" xr:uid="{79C45380-86C4-4E24-AAAF-AA919B39B279}"/>
    <hyperlink ref="B45" location="'S.20.01.01'!A1" display="S.20.01.01 - Development of the distribution of the claims incurred" xr:uid="{BB7E941F-DFB3-4FEB-8F55-B0C052B704B6}"/>
    <hyperlink ref="B46" location="'S.21.01.01'!A1" display="S.21.01.01 - Loss distribution risk profile" xr:uid="{C93E1D55-2E2B-4A11-8D1E-97FA4520DA08}"/>
    <hyperlink ref="B47" location="'S.21.02.01'!A1" display="S.21.02.01 - Underwriting risks non-life" xr:uid="{062CC438-680C-4962-81E0-49BC751B33A2}"/>
    <hyperlink ref="B48" location="'S.21.03.01'!A1" display="S.21.03.01 - Non-life distribution of underwriting risks - by sum insured" xr:uid="{51FFAB6C-195D-45A3-9175-882E8F469211}"/>
    <hyperlink ref="B49" location="'S.22.01.01'!A1" display="S.22.01.01 - Impact of long term guarantees measures and transitionals" xr:uid="{F2758223-2BEE-4B63-80E8-B1FD63729C24}"/>
    <hyperlink ref="B50" location="'S.22.04.01'!A1" display="S.22.04.01 - Information on the transitional on interest rates calculation" xr:uid="{A1D799E6-A111-4B62-ADED-F25D6DD93A0C}"/>
    <hyperlink ref="B51" location="'S.22.05.01'!A1" display="S.22.05.01 - Overall calculation of the transitional on technical provisions" xr:uid="{A5716B74-08C8-4B89-9DFB-1828DABDC3DC}"/>
    <hyperlink ref="B52" location="'S.22.06.01'!A1" display="S.22.06.01 - Best estimate subject to volatility adjustment by country and currency" xr:uid="{6DDDF076-1D71-45A1-85C6-EA9B7C4068D0}"/>
    <hyperlink ref="B53" location="'S.23.01.07'!A1" display="S.23.01.07 - Own funds" xr:uid="{F0E4E099-14B2-4713-8223-5FD049242579}"/>
    <hyperlink ref="B54" location="'S.23.03.07'!A1" display="S.23.03.07 - Annual movements on own funds" xr:uid="{4B3F52D0-E288-4836-8447-4804A9EAAC37}"/>
    <hyperlink ref="B55" location="'S.24.01.01'!A1" display="S.24.01.01 - Participations held" xr:uid="{097F5E44-1E93-4119-9A68-F8BAD35E40D6}"/>
    <hyperlink ref="B56" location="'S.25.01.01'!A1" display="S.25.01.01 - Solvency Capital Requirement - for undertakings on Standard Formula" xr:uid="{9A787177-6C55-4E78-8D88-D1C3BE6D818C}"/>
    <hyperlink ref="B57" location="'S.25.02.01'!A1" display="S.25.02.01 - Solvency Capital Requirement - for undertakings using the standard formula and partial internal model" xr:uid="{0C47B35C-5E2C-4B8A-872C-61513835781D}"/>
    <hyperlink ref="B58" location="'S.25.03.01'!A1" display="S.25.03.01 - Solvency Capital Requirement - for undertakings on Full Internal Models" xr:uid="{9CF2F5AE-C9C5-4A65-A1BD-7271BB561C4C}"/>
    <hyperlink ref="B59" location="'S.26.01.01'!A1" display="S.26.01.01 - Solvency Capital Requirement - Market risk" xr:uid="{7FEC4B20-9F27-4B96-9C8D-13CE616408DB}"/>
    <hyperlink ref="B60" location="'S.26.02.01'!A1" display="S.26.02.01 - Solvency Capital Requirement - Counterparty default risk" xr:uid="{5644AC84-E42E-47E7-A61E-756BBF30A0C8}"/>
    <hyperlink ref="B61" location="'S.26.03.01'!A1" display="S.26.03.01 - Solvency Capital Requirement - Life underwriting risk" xr:uid="{C744301C-32BD-4ED8-9C37-276F022CA99B}"/>
    <hyperlink ref="B62" location="'S.26.04.01'!A1" display="S.26.04.01 - Solvency Capital Requirement - Health underwriting risk" xr:uid="{84C87534-AE21-49D7-9BDA-EAAA22555D79}"/>
    <hyperlink ref="B63" location="'S.26.05.01'!A1" display="S.26.05.01 - Solvency Capital Requirement - Non-Life underwriting risk" xr:uid="{32C7D9F4-5891-48FA-81DF-2FD0447B581A}"/>
    <hyperlink ref="B64" location="'S.26.06.01'!A1" display="S.26.06.01 - Solvency Capital Requirement - Operational risk" xr:uid="{2CF16BFC-0377-439F-8097-6DC7161C1EBD}"/>
    <hyperlink ref="B65" location="'S.26.07.01'!A1" display="S.26.07.01 - Solvency Capital Requirement - Simplifications" xr:uid="{2750AA87-A212-43A4-9034-D3F275CA1FDB}"/>
    <hyperlink ref="B66" location="'S.27.01.01'!A1" display="S.27.01.01 - Solvency Capital Requirement - Non-Life and Health catastrophe risk" xr:uid="{89033826-A7B5-4E5C-87F1-71E25F1E5CA8}"/>
    <hyperlink ref="B67" location="'S.28.01.01'!A1" display="S.28.01.01 - Minimum Capital Requirement - Only life or only non-life insurance or reinsurance activity" xr:uid="{54CFA846-B7F3-4475-9D07-C16218389649}"/>
    <hyperlink ref="B68" location="'S.28.02.01'!A1" display="S.28.02.01 - Minimum Capital Requirement - Both life and non-life insurance activity" xr:uid="{1E8B5482-3702-45B5-A6CC-22D4CF0EA257}"/>
    <hyperlink ref="B69" location="'S.29.01.07'!A1" display="S.29.01.07 - Excess of Assets over Liabilities" xr:uid="{86005FCC-0F2A-4795-89C6-EB5FE814678E}"/>
    <hyperlink ref="B70" location="'S.29.02.01'!A1" display="S.29.02.01 - Excess of Assets over Liabilities - explained by investments and financial liabilities" xr:uid="{B2034C42-4CF8-49FE-A38D-3F4C2D247341}"/>
    <hyperlink ref="B71" location="'S.29.03.01'!A1" display="S.29.03.01 - Excess of Assets over Liabilities - explained by technical provisions" xr:uid="{7289312E-A670-4F6E-9667-780C92572263}"/>
    <hyperlink ref="B72" location="'S.29.04.01'!A1" display="S.29.04.01 - Detailed analysis per period - Technical flows versus Technical provisions" xr:uid="{298291BB-66FF-42CD-A6A3-6026B02675F8}"/>
    <hyperlink ref="B73" location="'S.30.01.01'!A1" display="S.30.01.01 - Facultative covers for non-life and life business basic data" xr:uid="{7CAFEF87-196D-4082-A952-095F20AE66C7}"/>
    <hyperlink ref="B74" location="'S.30.02.01'!A1" display="S.30.02.01 - Facultative covers for non-life and life business shares data" xr:uid="{BF21AFCE-A27E-40E3-9E42-99A289C602B0}"/>
    <hyperlink ref="B75" location="'S.30.03.01'!A1" display="S.30.03.01 - Outgoing Reinsurance Program basic data" xr:uid="{807F194C-1430-486B-B34B-39B991F65222}"/>
    <hyperlink ref="B76" location="'S.30.04.01'!A1" display="S.30.04.01 - Outgoing Reinsurance Program shares data" xr:uid="{DE6A4180-0403-455A-AC29-C04494457757}"/>
    <hyperlink ref="B77" location="'S.31.01.01'!A1" display="S.31.01.01 - Share of reinsurers (including Finite Reinsurance and SPV's)" xr:uid="{4FA5B233-07A5-455E-929C-192F5E931735}"/>
    <hyperlink ref="B78" location="'S.31.02.01'!A1" display="S.31.02.01 - Special Purpose Vehicles" xr:uid="{260EA59A-67F7-499B-89CC-28AC7F73E849}"/>
    <hyperlink ref="B79" location="'E.01.01.16'!A1" display="E.01.01.16 - Deposits to cedants - line-by-line reporting" xr:uid="{DE0386FC-A04C-42DC-9FE2-DFF370DB39C6}"/>
    <hyperlink ref="B80" location="'E.02.01.16'!A1" display="E.02.01.16 - Pension entitlements" xr:uid="{4B84F52E-6255-440C-B1D8-DD60C04FC17C}"/>
    <hyperlink ref="B81" location="'E.03.01.16'!A1" display="E.03.01.16 - Non-life Technical Provisions - reinsurance policies - By country" xr:uid="{D9D4BC6F-2BC3-46FF-84B2-185DA418875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606A-B9CB-4CA3-9470-BEF0BF19D9F6}">
  <sheetPr codeName="Blad24"/>
  <dimension ref="B2:O29"/>
  <sheetViews>
    <sheetView showGridLines="0" workbookViewId="0"/>
  </sheetViews>
  <sheetFormatPr defaultRowHeight="15"/>
  <cols>
    <col min="2" max="2" width="81.140625" bestFit="1" customWidth="1"/>
    <col min="4" max="4" width="40.7109375" customWidth="1"/>
  </cols>
  <sheetData>
    <row r="2" spans="2:15" ht="23.25">
      <c r="B2" s="95" t="s">
        <v>534</v>
      </c>
      <c r="C2" s="96"/>
      <c r="D2" s="96"/>
      <c r="E2" s="96"/>
      <c r="F2" s="96"/>
      <c r="G2" s="96"/>
      <c r="H2" s="96"/>
      <c r="I2" s="96"/>
      <c r="J2" s="96"/>
      <c r="K2" s="96"/>
      <c r="L2" s="96"/>
      <c r="M2" s="96"/>
      <c r="N2" s="96"/>
      <c r="O2" s="96"/>
    </row>
    <row r="5" spans="2:15" ht="18.75">
      <c r="B5" s="97" t="s">
        <v>3173</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IF(COUNTIF(D:D,"Reported")&gt;0,Show!$B$20,"!")&amp;"SE.01.01.19.01 Rows {"&amp;COLUMN($C$1)&amp;"}"&amp;"@ForceFilingCode:true"</f>
        <v>!SE.01.01.19.01 Rows {3}@ForceFilingCode:true</v>
      </c>
      <c r="J13" s="13" t="str">
        <f>IF(COUNTIF(D:D,"Reported")&gt;0,Show!$B$20,"!")&amp;"SE.01.01.19.01 Columns {"&amp;COLUMN($D$1)&amp;"}"</f>
        <v>!SE.01.01.19.01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3174</v>
      </c>
      <c r="C17" s="41" t="s">
        <v>3158</v>
      </c>
      <c r="D17" s="51"/>
    </row>
    <row r="18" spans="2:10">
      <c r="B18" s="52" t="s">
        <v>3026</v>
      </c>
      <c r="C18" s="41" t="s">
        <v>2901</v>
      </c>
      <c r="D18" s="51"/>
    </row>
    <row r="19" spans="2:10">
      <c r="B19" s="52" t="s">
        <v>3172</v>
      </c>
      <c r="C19" s="41" t="s">
        <v>3160</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3082</v>
      </c>
      <c r="C25" s="41" t="s">
        <v>2961</v>
      </c>
      <c r="D25" s="51"/>
    </row>
    <row r="26" spans="2:10" ht="30">
      <c r="B26" s="52" t="s">
        <v>2992</v>
      </c>
      <c r="C26" s="41" t="s">
        <v>2993</v>
      </c>
      <c r="D26" s="51"/>
    </row>
    <row r="27" spans="2:10">
      <c r="B27" s="52" t="s">
        <v>2994</v>
      </c>
      <c r="C27" s="41" t="s">
        <v>2995</v>
      </c>
      <c r="D27" s="51"/>
    </row>
    <row r="28" spans="2:10">
      <c r="B28" s="52" t="s">
        <v>3161</v>
      </c>
      <c r="C28" s="41" t="s">
        <v>3162</v>
      </c>
      <c r="D28" s="51"/>
    </row>
    <row r="29" spans="2:10">
      <c r="I29" s="13" t="str">
        <f>IF(COUNTIF(D:D,"Reported")&gt;0,Show!$B$20&amp;Show!$B$20,"!!")&amp;"SE.01.01.19.01 Rows {"&amp;COLUMN($C$1)&amp;"}"</f>
        <v>!!SE.01.01.19.01 Rows {3}</v>
      </c>
      <c r="J29" s="13" t="str">
        <f>IF(COUNTIF(D:D,"Reported")&gt;0,Show!$B$20&amp;Show!$B$20,"!!")&amp;"SE.01.01.19.01 Columns {"&amp;COLUMN($D$1)&amp;"}"</f>
        <v>!!SE.01.01.19.01 Columns {4}</v>
      </c>
    </row>
  </sheetData>
  <sheetProtection sheet="1" objects="1" scenarios="1"/>
  <mergeCells count="3">
    <mergeCell ref="B2:O2"/>
    <mergeCell ref="B5:L5"/>
    <mergeCell ref="D9:D12"/>
  </mergeCells>
  <dataValidations count="11">
    <dataValidation type="list" errorStyle="warning" allowBlank="1" showInputMessage="1" showErrorMessage="1" sqref="D16" xr:uid="{7AC60D16-8D7F-4D4E-B18E-D5E01C92000A}">
      <formula1>hier_CN_2</formula1>
    </dataValidation>
    <dataValidation type="list" errorStyle="warning" allowBlank="1" showInputMessage="1" showErrorMessage="1" sqref="D17" xr:uid="{05013D0C-1F71-479F-8F25-8DF4CC67DAF1}">
      <formula1>hier_CN_106</formula1>
    </dataValidation>
    <dataValidation type="list" errorStyle="warning" allowBlank="1" showInputMessage="1" showErrorMessage="1" sqref="D18 D25" xr:uid="{270B8A54-E345-47F1-9CEB-CB660DC550D1}">
      <formula1>hier_CN_115</formula1>
    </dataValidation>
    <dataValidation type="list" errorStyle="warning" allowBlank="1" showInputMessage="1" showErrorMessage="1" sqref="D19" xr:uid="{25A403D5-607E-40C0-AA01-0593710DAA8B}">
      <formula1>hier_CN_97</formula1>
    </dataValidation>
    <dataValidation type="list" errorStyle="warning" allowBlank="1" showInputMessage="1" showErrorMessage="1" sqref="D20" xr:uid="{8B57DB5F-669A-4722-BCE9-D93B8D319065}">
      <formula1>hier_CN_119</formula1>
    </dataValidation>
    <dataValidation type="list" errorStyle="warning" allowBlank="1" showInputMessage="1" showErrorMessage="1" sqref="D21 D22" xr:uid="{4EE51365-9358-4916-AFAD-A1BD732196BF}">
      <formula1>hier_CN_100</formula1>
    </dataValidation>
    <dataValidation type="list" errorStyle="warning" allowBlank="1" showInputMessage="1" showErrorMessage="1" sqref="D23" xr:uid="{156EE8BD-E849-4EF0-B763-895B29012373}">
      <formula1>hier_CN_103</formula1>
    </dataValidation>
    <dataValidation type="list" errorStyle="warning" allowBlank="1" showInputMessage="1" showErrorMessage="1" sqref="D24" xr:uid="{1C510E3C-31CC-40CD-9C05-35FD66033EB2}">
      <formula1>hier_CN_104</formula1>
    </dataValidation>
    <dataValidation type="list" errorStyle="warning" allowBlank="1" showInputMessage="1" showErrorMessage="1" sqref="D26" xr:uid="{B759776C-FD7E-4FF4-A946-5C55CEF09F8A}">
      <formula1>hier_CN_85</formula1>
    </dataValidation>
    <dataValidation type="list" errorStyle="warning" allowBlank="1" showInputMessage="1" showErrorMessage="1" sqref="D27" xr:uid="{846C76B0-FE6E-4AD6-B24A-32FCE1B7CC0D}">
      <formula1>hier_CN_86</formula1>
    </dataValidation>
    <dataValidation type="list" errorStyle="warning" allowBlank="1" showInputMessage="1" showErrorMessage="1" sqref="D28" xr:uid="{F488C61A-F0B7-4AE5-807E-2B543E3BE493}">
      <formula1>hier_CN_122</formula1>
    </dataValidation>
  </dataValidations>
  <hyperlinks>
    <hyperlink ref="B16" location="'S.01.02.07'!A1" display="S.01.02.07 - Basic Information - General" xr:uid="{9F72FEF0-1F9F-4096-85A6-EEF30C59750F}"/>
    <hyperlink ref="B17" location="'SE.02.01.19'!A1" display="SE.02.01.19 - Balance Sheet" xr:uid="{E978C8C1-53BB-42FD-9FCE-A4BF3A7F218D}"/>
    <hyperlink ref="B18" location="'S.05.01.02'!A1" display="S.05.01.02 - Premiums, claims and expenses by line of business" xr:uid="{1259E198-AA86-41F3-B202-A29D272C9F55}"/>
    <hyperlink ref="B19" location="'SE.06.02.18'!A1" display="SE.06.02.18 - List of assets" xr:uid="{E623E814-42BE-4740-8BC4-03EC8627016A}"/>
    <hyperlink ref="B20" location="'S.06.03.01'!A1" display="S.06.03.01 - Collective investment undertakings - look-through approach" xr:uid="{9B48F8D3-0616-48ED-8E81-1F9A9668DAA2}"/>
    <hyperlink ref="B21" location="'S.08.01.01'!A1" display="S.08.01.01 - Open derivatives" xr:uid="{C081078D-65F8-40FE-8FFD-053D6B6FE029}"/>
    <hyperlink ref="B22" location="'S.08.02.01'!A1" display="S.08.02.01 - Derivatives Transactions" xr:uid="{1AD23E9A-CF48-4842-8A21-0F8D41C3BD9C}"/>
    <hyperlink ref="B23" location="'S.12.01.02'!A1" display="S.12.01.02 - Life and Health SLT Technical Provisions" xr:uid="{70E466D4-5B0C-4125-98A0-ED8C24980283}"/>
    <hyperlink ref="B24" location="'S.17.01.02'!A1" display="S.17.01.02 - Non-Life Technical Provisions" xr:uid="{B7C2DED8-3AC5-456A-98CA-71D2181E5C8F}"/>
    <hyperlink ref="B25" location="'S.23.01.07'!A1" display="S.23.01.07 - Own funds" xr:uid="{7F77166A-EA61-40E5-8687-DC5EDA23A798}"/>
    <hyperlink ref="B26" location="'S.28.01.01'!A1" display="S.28.01.01 - Minimum Capital Requirement - Only life or only non-life insurance or reinsurance activity" xr:uid="{4279A51A-BC2C-4BD9-8AA6-DF0950BA8764}"/>
    <hyperlink ref="B27" location="'S.28.02.01'!A1" display="S.28.02.01 - Minimum Capital Requirement - Both life and non-life insurance activity" xr:uid="{4C4CA193-9761-494D-966D-3FB565B924D4}"/>
    <hyperlink ref="B28" location="'E.01.01.16'!A1" display="E.01.01.16 - Deposits to cedants - line-by-line reporting" xr:uid="{3A2C2894-8D26-4230-8A24-462C54145DD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29A7-F305-47B0-9291-1A1D71799122}">
  <sheetPr codeName="Blad25"/>
  <dimension ref="B2:O39"/>
  <sheetViews>
    <sheetView showGridLines="0" workbookViewId="0">
      <selection activeCell="D14" sqref="D14"/>
    </sheetView>
  </sheetViews>
  <sheetFormatPr defaultRowHeight="15"/>
  <cols>
    <col min="2" max="2" width="85.85546875" bestFit="1" customWidth="1"/>
    <col min="4" max="4" width="40.7109375" customWidth="1"/>
  </cols>
  <sheetData>
    <row r="2" spans="2:15" ht="23.25">
      <c r="B2" s="95" t="s">
        <v>536</v>
      </c>
      <c r="C2" s="96"/>
      <c r="D2" s="96"/>
      <c r="E2" s="96"/>
      <c r="F2" s="96"/>
      <c r="G2" s="96"/>
      <c r="H2" s="96"/>
      <c r="I2" s="96"/>
      <c r="J2" s="96"/>
      <c r="K2" s="96"/>
      <c r="L2" s="96"/>
      <c r="M2" s="96"/>
      <c r="N2" s="96"/>
      <c r="O2" s="96"/>
    </row>
    <row r="5" spans="2:15" ht="18.75">
      <c r="B5" s="97" t="s">
        <v>3175</v>
      </c>
      <c r="C5" s="96"/>
      <c r="D5" s="96"/>
      <c r="E5" s="96"/>
      <c r="F5" s="96"/>
      <c r="G5" s="96"/>
      <c r="H5" s="96"/>
      <c r="I5" s="96"/>
      <c r="J5" s="96"/>
      <c r="K5" s="96"/>
      <c r="L5" s="96"/>
    </row>
    <row r="9" spans="2:15">
      <c r="D9" s="98" t="s">
        <v>2877</v>
      </c>
    </row>
    <row r="10" spans="2:15">
      <c r="D10" s="99"/>
    </row>
    <row r="11" spans="2:15">
      <c r="D11" s="100"/>
    </row>
    <row r="12" spans="2:15">
      <c r="D12" s="45" t="s">
        <v>2879</v>
      </c>
      <c r="I12" s="13" t="str">
        <f>Show!$B$21&amp;"S.01.02.01.01 Rows {"&amp;COLUMN($C$1)&amp;"}"&amp;"@ForceFilingCode:true"</f>
        <v>!S.01.02.01.01 Rows {3}@ForceFilingCode:true</v>
      </c>
      <c r="J12" s="13" t="str">
        <f>Show!$B$21&amp;"S.01.02.01.01 Columns {"&amp;COLUMN($D$1)&amp;"}"</f>
        <v>!S.01.02.01.01 Columns {4}</v>
      </c>
    </row>
    <row r="13" spans="2:15">
      <c r="B13" s="43" t="s">
        <v>2880</v>
      </c>
      <c r="C13" s="44" t="s">
        <v>2878</v>
      </c>
      <c r="D13" s="46"/>
    </row>
    <row r="14" spans="2:15">
      <c r="B14" s="47" t="s">
        <v>3176</v>
      </c>
      <c r="C14" s="41" t="s">
        <v>2883</v>
      </c>
      <c r="D14" s="51"/>
    </row>
    <row r="15" spans="2:15">
      <c r="B15" s="47" t="s">
        <v>3177</v>
      </c>
      <c r="C15" s="41" t="s">
        <v>2885</v>
      </c>
      <c r="D15" s="51"/>
    </row>
    <row r="16" spans="2:15">
      <c r="B16" s="47" t="s">
        <v>3178</v>
      </c>
      <c r="C16" s="41" t="s">
        <v>2889</v>
      </c>
      <c r="D16" s="51"/>
    </row>
    <row r="17" spans="2:4">
      <c r="B17" s="47" t="s">
        <v>3179</v>
      </c>
      <c r="C17" s="41" t="s">
        <v>3078</v>
      </c>
      <c r="D17" s="51"/>
    </row>
    <row r="18" spans="2:4">
      <c r="B18" s="47" t="s">
        <v>3180</v>
      </c>
      <c r="C18" s="41" t="s">
        <v>2893</v>
      </c>
      <c r="D18" s="51"/>
    </row>
    <row r="19" spans="2:4">
      <c r="B19" s="47" t="s">
        <v>3181</v>
      </c>
      <c r="C19" s="41" t="s">
        <v>2895</v>
      </c>
      <c r="D19" s="54"/>
    </row>
    <row r="20" spans="2:4">
      <c r="B20" s="47" t="s">
        <v>3182</v>
      </c>
      <c r="C20" s="41" t="s">
        <v>3183</v>
      </c>
      <c r="D20" s="54"/>
    </row>
    <row r="21" spans="2:4">
      <c r="B21" s="47" t="s">
        <v>3184</v>
      </c>
      <c r="C21" s="41" t="s">
        <v>2897</v>
      </c>
      <c r="D21" s="54"/>
    </row>
    <row r="22" spans="2:4">
      <c r="B22" s="47" t="s">
        <v>3185</v>
      </c>
      <c r="C22" s="41" t="s">
        <v>2899</v>
      </c>
      <c r="D22" s="51"/>
    </row>
    <row r="23" spans="2:4">
      <c r="B23" s="47" t="s">
        <v>3186</v>
      </c>
      <c r="C23" s="41" t="s">
        <v>2901</v>
      </c>
      <c r="D23" s="51"/>
    </row>
    <row r="24" spans="2:4">
      <c r="B24" s="47" t="s">
        <v>3187</v>
      </c>
      <c r="C24" s="41" t="s">
        <v>2903</v>
      </c>
      <c r="D24" s="51"/>
    </row>
    <row r="25" spans="2:4">
      <c r="B25" s="47" t="s">
        <v>3188</v>
      </c>
      <c r="C25" s="41" t="s">
        <v>2905</v>
      </c>
      <c r="D25" s="51"/>
    </row>
    <row r="26" spans="2:4">
      <c r="B26" s="47" t="s">
        <v>1172</v>
      </c>
      <c r="C26" s="41" t="s">
        <v>2907</v>
      </c>
      <c r="D26" s="51"/>
    </row>
    <row r="27" spans="2:4">
      <c r="B27" s="47" t="s">
        <v>3189</v>
      </c>
      <c r="C27" s="41" t="s">
        <v>2909</v>
      </c>
      <c r="D27" s="51"/>
    </row>
    <row r="28" spans="2:4">
      <c r="B28" s="47" t="s">
        <v>3190</v>
      </c>
      <c r="C28" s="41" t="s">
        <v>2913</v>
      </c>
      <c r="D28" s="51"/>
    </row>
    <row r="29" spans="2:4">
      <c r="B29" s="47" t="s">
        <v>3191</v>
      </c>
      <c r="C29" s="41" t="s">
        <v>2915</v>
      </c>
      <c r="D29" s="51"/>
    </row>
    <row r="30" spans="2:4">
      <c r="B30" s="47" t="s">
        <v>3192</v>
      </c>
      <c r="C30" s="41" t="s">
        <v>2917</v>
      </c>
      <c r="D30" s="51"/>
    </row>
    <row r="31" spans="2:4">
      <c r="B31" s="47" t="s">
        <v>3193</v>
      </c>
      <c r="C31" s="41" t="s">
        <v>2919</v>
      </c>
      <c r="D31" s="51"/>
    </row>
    <row r="32" spans="2:4">
      <c r="B32" s="47" t="s">
        <v>3194</v>
      </c>
      <c r="C32" s="41" t="s">
        <v>2921</v>
      </c>
      <c r="D32" s="51"/>
    </row>
    <row r="33" spans="2:10">
      <c r="B33" s="47" t="s">
        <v>3195</v>
      </c>
      <c r="C33" s="41" t="s">
        <v>2929</v>
      </c>
      <c r="D33" s="51"/>
    </row>
    <row r="34" spans="2:10">
      <c r="B34" s="47" t="s">
        <v>3196</v>
      </c>
      <c r="C34" s="41" t="s">
        <v>3197</v>
      </c>
      <c r="D34" s="51"/>
    </row>
    <row r="35" spans="2:10" ht="30">
      <c r="B35" s="47" t="s">
        <v>3198</v>
      </c>
      <c r="C35" s="41" t="s">
        <v>2931</v>
      </c>
      <c r="D35" s="51"/>
    </row>
    <row r="36" spans="2:10">
      <c r="B36" s="47" t="s">
        <v>3199</v>
      </c>
      <c r="C36" s="41" t="s">
        <v>3200</v>
      </c>
      <c r="D36" s="51"/>
    </row>
    <row r="37" spans="2:10">
      <c r="B37" s="47" t="s">
        <v>3201</v>
      </c>
      <c r="C37" s="41" t="s">
        <v>3202</v>
      </c>
      <c r="D37" s="51"/>
    </row>
    <row r="38" spans="2:10">
      <c r="B38" s="47" t="s">
        <v>3203</v>
      </c>
      <c r="C38" s="41" t="s">
        <v>3204</v>
      </c>
      <c r="D38" s="51"/>
    </row>
    <row r="39" spans="2:10">
      <c r="I39" s="13" t="str">
        <f>Show!$B$21&amp;Show!$B$21&amp;"S.01.02.01.01 Rows {"&amp;COLUMN($C$1)&amp;"}"</f>
        <v>!!S.01.02.01.01 Rows {3}</v>
      </c>
      <c r="J39" s="13" t="str">
        <f>Show!$B$21&amp;Show!$B$21&amp;"S.01.02.01.01 Columns {"&amp;COLUMN($D$1)&amp;"}"</f>
        <v>!!S.01.02.01.01 Columns {4}</v>
      </c>
    </row>
  </sheetData>
  <sheetProtection sheet="1" objects="1" scenarios="1"/>
  <mergeCells count="3">
    <mergeCell ref="B2:O2"/>
    <mergeCell ref="B5:L5"/>
    <mergeCell ref="D9:D11"/>
  </mergeCells>
  <dataValidations count="16">
    <dataValidation type="list" errorStyle="warning" allowBlank="1" showInputMessage="1" showErrorMessage="1" sqref="D16" xr:uid="{BF31BE55-6FD7-43B0-AA7B-B8642D24ADF3}">
      <formula1>hier_SE_21</formula1>
    </dataValidation>
    <dataValidation type="list" errorStyle="warning" allowBlank="1" showInputMessage="1" showErrorMessage="1" sqref="D17" xr:uid="{9871D713-FE7F-467E-B12F-BE8013B26AF3}">
      <formula1>hier_GA_1</formula1>
    </dataValidation>
    <dataValidation type="list" errorStyle="warning" allowBlank="1" showInputMessage="1" showErrorMessage="1" sqref="D18" xr:uid="{0238DF4D-EAD6-4084-B363-9735868F1141}">
      <formula1>hier_LA_1</formula1>
    </dataValidation>
    <dataValidation type="date" operator="greaterThan" allowBlank="1" showInputMessage="1" showErrorMessage="1" errorTitle="Date value" error="This cell can only contain dates" sqref="D19:D21" xr:uid="{D1E4312F-43AD-436F-8AEC-F924F3FD05CA}">
      <formula1>1</formula1>
    </dataValidation>
    <dataValidation type="list" errorStyle="warning" allowBlank="1" showInputMessage="1" showErrorMessage="1" sqref="D22" xr:uid="{E664F6AF-53C1-4ED1-ADF9-DAFC013A6F53}">
      <formula1>hier_CS_12</formula1>
    </dataValidation>
    <dataValidation type="list" errorStyle="warning" allowBlank="1" showInputMessage="1" showErrorMessage="1" sqref="D23" xr:uid="{3AF9DF45-9AC8-4525-84B1-5A18DEB45F74}">
      <formula1>hier_CU_5</formula1>
    </dataValidation>
    <dataValidation type="list" errorStyle="warning" allowBlank="1" showInputMessage="1" showErrorMessage="1" sqref="D24" xr:uid="{AC9DBE10-DE2B-4881-929B-981A00FC9F5F}">
      <formula1>hier_AM_11</formula1>
    </dataValidation>
    <dataValidation type="list" errorStyle="warning" allowBlank="1" showInputMessage="1" showErrorMessage="1" sqref="D25" xr:uid="{169F8727-BC49-412A-A897-2535E835464A}">
      <formula1>hier_AP_3</formula1>
    </dataValidation>
    <dataValidation type="list" errorStyle="warning" allowBlank="1" showInputMessage="1" showErrorMessage="1" sqref="D26" xr:uid="{FAD45EA7-D9EC-4C95-B711-9C3263964F55}">
      <formula1>hier_AP_4</formula1>
    </dataValidation>
    <dataValidation type="list" errorStyle="warning" allowBlank="1" showInputMessage="1" showErrorMessage="1" sqref="D27" xr:uid="{6808E359-B954-4FB3-98D1-B102740521F0}">
      <formula1>hier_PU_23</formula1>
    </dataValidation>
    <dataValidation type="list" errorStyle="warning" allowBlank="1" showInputMessage="1" showErrorMessage="1" sqref="D28" xr:uid="{EA1EB45F-5424-4FE8-AE38-D98C619B2F30}">
      <formula1>hier_PU_15</formula1>
    </dataValidation>
    <dataValidation type="list" errorStyle="warning" allowBlank="1" showInputMessage="1" showErrorMessage="1" sqref="D29" xr:uid="{7D9EF81E-5F3B-47E4-B77C-031B045A1B89}">
      <formula1>hier_AP_5</formula1>
    </dataValidation>
    <dataValidation type="list" errorStyle="warning" allowBlank="1" showInputMessage="1" showErrorMessage="1" sqref="D30" xr:uid="{669BD12F-40D2-4198-8C26-FB83856FFD85}">
      <formula1>hier_AP_6</formula1>
    </dataValidation>
    <dataValidation type="list" errorStyle="warning" allowBlank="1" showInputMessage="1" showErrorMessage="1" sqref="D31" xr:uid="{EDF6F628-3110-4994-9D4A-BD5D1042A6DD}">
      <formula1>hier_AP_7</formula1>
    </dataValidation>
    <dataValidation type="list" errorStyle="warning" allowBlank="1" showInputMessage="1" showErrorMessage="1" sqref="D32" xr:uid="{F40B94CE-6C2A-447D-950B-13330C18B8D1}">
      <formula1>hier_CS_13</formula1>
    </dataValidation>
    <dataValidation type="list" errorStyle="warning" allowBlank="1" showInputMessage="1" showErrorMessage="1" sqref="D33" xr:uid="{CA06C1AE-3F24-4F02-917B-FC0E12E0B4B0}">
      <formula1>hier_CN_127</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0D1F-F0E0-45AC-9908-3FE84EF1804D}">
  <sheetPr codeName="Blad26"/>
  <dimension ref="B2:O40"/>
  <sheetViews>
    <sheetView showGridLines="0" workbookViewId="0"/>
  </sheetViews>
  <sheetFormatPr defaultRowHeight="15"/>
  <cols>
    <col min="2" max="2" width="85.85546875" bestFit="1" customWidth="1"/>
    <col min="4" max="4" width="40.7109375" customWidth="1"/>
  </cols>
  <sheetData>
    <row r="2" spans="2:15" ht="23.25">
      <c r="B2" s="95" t="s">
        <v>536</v>
      </c>
      <c r="C2" s="96"/>
      <c r="D2" s="96"/>
      <c r="E2" s="96"/>
      <c r="F2" s="96"/>
      <c r="G2" s="96"/>
      <c r="H2" s="96"/>
      <c r="I2" s="96"/>
      <c r="J2" s="96"/>
      <c r="K2" s="96"/>
      <c r="L2" s="96"/>
      <c r="M2" s="96"/>
      <c r="N2" s="96"/>
      <c r="O2" s="96"/>
    </row>
    <row r="5" spans="2:15" ht="18.75">
      <c r="B5" s="97" t="s">
        <v>3205</v>
      </c>
      <c r="C5" s="96"/>
      <c r="D5" s="96"/>
      <c r="E5" s="96"/>
      <c r="F5" s="96"/>
      <c r="G5" s="96"/>
      <c r="H5" s="96"/>
      <c r="I5" s="96"/>
      <c r="J5" s="96"/>
      <c r="K5" s="96"/>
      <c r="L5" s="96"/>
    </row>
    <row r="9" spans="2:15">
      <c r="D9" s="98" t="s">
        <v>2877</v>
      </c>
    </row>
    <row r="10" spans="2:15">
      <c r="D10" s="99"/>
    </row>
    <row r="11" spans="2:15">
      <c r="D11" s="100"/>
    </row>
    <row r="12" spans="2:15">
      <c r="D12" s="45" t="s">
        <v>2879</v>
      </c>
      <c r="I12" s="13" t="str">
        <f>Show!$B$22&amp;"S.01.02.04.01 Rows {"&amp;COLUMN($C$1)&amp;"}"&amp;"@ForceFilingCode:true"</f>
        <v>!S.01.02.04.01 Rows {3}@ForceFilingCode:true</v>
      </c>
      <c r="J12" s="13" t="str">
        <f>Show!$B$22&amp;"S.01.02.04.01 Columns {"&amp;COLUMN($D$1)&amp;"}"</f>
        <v>!S.01.02.04.01 Columns {4}</v>
      </c>
    </row>
    <row r="13" spans="2:15">
      <c r="B13" s="43" t="s">
        <v>2880</v>
      </c>
      <c r="C13" s="44" t="s">
        <v>2878</v>
      </c>
      <c r="D13" s="46"/>
    </row>
    <row r="14" spans="2:15">
      <c r="B14" s="47" t="s">
        <v>3206</v>
      </c>
      <c r="C14" s="41" t="s">
        <v>2883</v>
      </c>
      <c r="D14" s="51"/>
    </row>
    <row r="15" spans="2:15">
      <c r="B15" s="47" t="s">
        <v>3207</v>
      </c>
      <c r="C15" s="41" t="s">
        <v>2885</v>
      </c>
      <c r="D15" s="51"/>
    </row>
    <row r="16" spans="2:15">
      <c r="B16" s="47" t="s">
        <v>3208</v>
      </c>
      <c r="C16" s="41" t="s">
        <v>3078</v>
      </c>
      <c r="D16" s="51"/>
    </row>
    <row r="17" spans="2:4">
      <c r="B17" s="47" t="s">
        <v>2746</v>
      </c>
      <c r="C17" s="41" t="s">
        <v>2891</v>
      </c>
      <c r="D17" s="51"/>
    </row>
    <row r="18" spans="2:4">
      <c r="B18" s="47" t="s">
        <v>3180</v>
      </c>
      <c r="C18" s="41" t="s">
        <v>2893</v>
      </c>
      <c r="D18" s="51"/>
    </row>
    <row r="19" spans="2:4">
      <c r="B19" s="47" t="s">
        <v>3181</v>
      </c>
      <c r="C19" s="41" t="s">
        <v>2895</v>
      </c>
      <c r="D19" s="54"/>
    </row>
    <row r="20" spans="2:4">
      <c r="B20" s="47" t="s">
        <v>3182</v>
      </c>
      <c r="C20" s="41" t="s">
        <v>3183</v>
      </c>
      <c r="D20" s="54"/>
    </row>
    <row r="21" spans="2:4">
      <c r="B21" s="47" t="s">
        <v>3184</v>
      </c>
      <c r="C21" s="41" t="s">
        <v>2897</v>
      </c>
      <c r="D21" s="54"/>
    </row>
    <row r="22" spans="2:4">
      <c r="B22" s="47" t="s">
        <v>3185</v>
      </c>
      <c r="C22" s="41" t="s">
        <v>2899</v>
      </c>
      <c r="D22" s="51"/>
    </row>
    <row r="23" spans="2:4">
      <c r="B23" s="47" t="s">
        <v>3186</v>
      </c>
      <c r="C23" s="41" t="s">
        <v>2901</v>
      </c>
      <c r="D23" s="51"/>
    </row>
    <row r="24" spans="2:4">
      <c r="B24" s="47" t="s">
        <v>3187</v>
      </c>
      <c r="C24" s="41" t="s">
        <v>2903</v>
      </c>
      <c r="D24" s="51"/>
    </row>
    <row r="25" spans="2:4">
      <c r="B25" s="47" t="s">
        <v>3209</v>
      </c>
      <c r="C25" s="41" t="s">
        <v>2905</v>
      </c>
      <c r="D25" s="51"/>
    </row>
    <row r="26" spans="2:4">
      <c r="B26" s="47" t="s">
        <v>2749</v>
      </c>
      <c r="C26" s="41" t="s">
        <v>2907</v>
      </c>
      <c r="D26" s="51"/>
    </row>
    <row r="27" spans="2:4">
      <c r="B27" s="47" t="s">
        <v>3189</v>
      </c>
      <c r="C27" s="41" t="s">
        <v>2909</v>
      </c>
      <c r="D27" s="51"/>
    </row>
    <row r="28" spans="2:4">
      <c r="B28" s="47" t="s">
        <v>3210</v>
      </c>
      <c r="C28" s="41" t="s">
        <v>2911</v>
      </c>
      <c r="D28" s="51"/>
    </row>
    <row r="29" spans="2:4">
      <c r="B29" s="47" t="s">
        <v>3190</v>
      </c>
      <c r="C29" s="41" t="s">
        <v>2913</v>
      </c>
      <c r="D29" s="51"/>
    </row>
    <row r="30" spans="2:4">
      <c r="B30" s="47" t="s">
        <v>3191</v>
      </c>
      <c r="C30" s="41" t="s">
        <v>2915</v>
      </c>
      <c r="D30" s="51"/>
    </row>
    <row r="31" spans="2:4">
      <c r="B31" s="47" t="s">
        <v>3192</v>
      </c>
      <c r="C31" s="41" t="s">
        <v>2917</v>
      </c>
      <c r="D31" s="51"/>
    </row>
    <row r="32" spans="2:4">
      <c r="B32" s="47" t="s">
        <v>3193</v>
      </c>
      <c r="C32" s="41" t="s">
        <v>2919</v>
      </c>
      <c r="D32" s="51"/>
    </row>
    <row r="33" spans="2:10">
      <c r="B33" s="47" t="s">
        <v>3194</v>
      </c>
      <c r="C33" s="41" t="s">
        <v>2921</v>
      </c>
      <c r="D33" s="51"/>
    </row>
    <row r="34" spans="2:10">
      <c r="B34" s="47" t="s">
        <v>3195</v>
      </c>
      <c r="C34" s="41" t="s">
        <v>2929</v>
      </c>
      <c r="D34" s="51"/>
    </row>
    <row r="35" spans="2:10">
      <c r="B35" s="47" t="s">
        <v>3196</v>
      </c>
      <c r="C35" s="41" t="s">
        <v>3197</v>
      </c>
      <c r="D35" s="51"/>
    </row>
    <row r="36" spans="2:10" ht="30">
      <c r="B36" s="47" t="s">
        <v>3198</v>
      </c>
      <c r="C36" s="41" t="s">
        <v>2931</v>
      </c>
      <c r="D36" s="51"/>
    </row>
    <row r="37" spans="2:10">
      <c r="B37" s="47" t="s">
        <v>3199</v>
      </c>
      <c r="C37" s="41" t="s">
        <v>3200</v>
      </c>
      <c r="D37" s="51"/>
    </row>
    <row r="38" spans="2:10">
      <c r="B38" s="47" t="s">
        <v>3201</v>
      </c>
      <c r="C38" s="41" t="s">
        <v>3202</v>
      </c>
      <c r="D38" s="51"/>
    </row>
    <row r="39" spans="2:10">
      <c r="B39" s="47" t="s">
        <v>3203</v>
      </c>
      <c r="C39" s="41" t="s">
        <v>3204</v>
      </c>
      <c r="D39" s="51"/>
    </row>
    <row r="40" spans="2:10">
      <c r="I40" s="13" t="str">
        <f>Show!$B$22&amp;Show!$B$22&amp;"S.01.02.04.01 Rows {"&amp;COLUMN($C$1)&amp;"}"</f>
        <v>!!S.01.02.04.01 Rows {3}</v>
      </c>
      <c r="J40" s="13" t="str">
        <f>Show!$B$22&amp;Show!$B$22&amp;"S.01.02.04.01 Columns {"&amp;COLUMN($D$1)&amp;"}"</f>
        <v>!!S.01.02.04.01 Columns {4}</v>
      </c>
    </row>
  </sheetData>
  <sheetProtection sheet="1" objects="1" scenarios="1"/>
  <mergeCells count="3">
    <mergeCell ref="B2:O2"/>
    <mergeCell ref="B5:L5"/>
    <mergeCell ref="D9:D11"/>
  </mergeCells>
  <dataValidations count="17">
    <dataValidation type="list" errorStyle="warning" allowBlank="1" showInputMessage="1" showErrorMessage="1" sqref="D16" xr:uid="{5CAE548B-7235-4898-BF91-230960C1B861}">
      <formula1>hier_GA_1</formula1>
    </dataValidation>
    <dataValidation type="list" errorStyle="warning" allowBlank="1" showInputMessage="1" showErrorMessage="1" sqref="D17" xr:uid="{2C4467D8-3B2D-4C8A-888D-6E5BDDC40CA0}">
      <formula1>hier_CS_14</formula1>
    </dataValidation>
    <dataValidation type="list" errorStyle="warning" allowBlank="1" showInputMessage="1" showErrorMessage="1" sqref="D18" xr:uid="{2680AB74-2EF9-4820-A1BE-9ED090F1760C}">
      <formula1>hier_LA_1</formula1>
    </dataValidation>
    <dataValidation type="date" operator="greaterThan" allowBlank="1" showInputMessage="1" showErrorMessage="1" errorTitle="Date value" error="This cell can only contain dates" sqref="D19:D21" xr:uid="{3E08D439-1146-4D09-A32B-AD2D3649D026}">
      <formula1>1</formula1>
    </dataValidation>
    <dataValidation type="list" errorStyle="warning" allowBlank="1" showInputMessage="1" showErrorMessage="1" sqref="D22" xr:uid="{4BCFF823-81D2-4E40-A513-B2A6A7C25E60}">
      <formula1>hier_CS_21</formula1>
    </dataValidation>
    <dataValidation type="list" errorStyle="warning" allowBlank="1" showInputMessage="1" showErrorMessage="1" sqref="D23" xr:uid="{D33FC9BF-F9DC-4099-A8EC-04DC290899A1}">
      <formula1>hier_CU_5</formula1>
    </dataValidation>
    <dataValidation type="list" errorStyle="warning" allowBlank="1" showInputMessage="1" showErrorMessage="1" sqref="D24" xr:uid="{C3D26D48-7E36-45D0-9212-2750E72BA597}">
      <formula1>hier_AM_11</formula1>
    </dataValidation>
    <dataValidation type="list" errorStyle="warning" allowBlank="1" showInputMessage="1" showErrorMessage="1" sqref="D25" xr:uid="{CE805A2E-A182-40B0-A1B3-02E55C02FF82}">
      <formula1>hier_AP_3</formula1>
    </dataValidation>
    <dataValidation type="list" errorStyle="warning" allowBlank="1" showInputMessage="1" showErrorMessage="1" sqref="D26" xr:uid="{0A5BA273-D254-4AF9-B29C-14557B7B06EE}">
      <formula1>hier_AP_8</formula1>
    </dataValidation>
    <dataValidation type="list" errorStyle="warning" allowBlank="1" showInputMessage="1" showErrorMessage="1" sqref="D27" xr:uid="{A3B2443B-F4EB-4F93-86BA-44CB81552C86}">
      <formula1>hier_PU_23</formula1>
    </dataValidation>
    <dataValidation type="list" errorStyle="warning" allowBlank="1" showInputMessage="1" showErrorMessage="1" sqref="D28" xr:uid="{5B6B00F9-A4A3-40A5-89F4-F7DAD010C93C}">
      <formula1>hier_CS_15</formula1>
    </dataValidation>
    <dataValidation type="list" errorStyle="warning" allowBlank="1" showInputMessage="1" showErrorMessage="1" sqref="D29" xr:uid="{5E55A91E-583B-418F-9FB2-A026E4D46316}">
      <formula1>hier_PU_15</formula1>
    </dataValidation>
    <dataValidation type="list" errorStyle="warning" allowBlank="1" showInputMessage="1" showErrorMessage="1" sqref="D30" xr:uid="{A935C76F-37C9-460D-9CD5-8D2E9C55F21E}">
      <formula1>hier_AP_5</formula1>
    </dataValidation>
    <dataValidation type="list" errorStyle="warning" allowBlank="1" showInputMessage="1" showErrorMessage="1" sqref="D31" xr:uid="{0F8F2D69-5D00-413C-9FC6-49FBB6FDE91B}">
      <formula1>hier_AP_6</formula1>
    </dataValidation>
    <dataValidation type="list" errorStyle="warning" allowBlank="1" showInputMessage="1" showErrorMessage="1" sqref="D32" xr:uid="{5941C4A9-DBD2-480A-8039-25B225CFDC2C}">
      <formula1>hier_AP_7</formula1>
    </dataValidation>
    <dataValidation type="list" errorStyle="warning" allowBlank="1" showInputMessage="1" showErrorMessage="1" sqref="D33" xr:uid="{B9BCC881-9DCD-4F33-867B-941C4B3D7BFA}">
      <formula1>hier_CS_13</formula1>
    </dataValidation>
    <dataValidation type="list" errorStyle="warning" allowBlank="1" showInputMessage="1" showErrorMessage="1" sqref="D34" xr:uid="{8AD0FF12-B10D-452E-880D-28A7F4AF26AC}">
      <formula1>hier_CN_127</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3C995-7B26-409F-B88C-11D9EF2CCE8B}">
  <sheetPr codeName="Blad27"/>
  <dimension ref="B2:O63"/>
  <sheetViews>
    <sheetView showGridLines="0" workbookViewId="0"/>
  </sheetViews>
  <sheetFormatPr defaultRowHeight="15"/>
  <cols>
    <col min="2" max="2" width="57.5703125" bestFit="1" customWidth="1"/>
    <col min="3" max="4" width="40.7109375" customWidth="1"/>
  </cols>
  <sheetData>
    <row r="2" spans="2:15" ht="23.25">
      <c r="B2" s="95" t="s">
        <v>539</v>
      </c>
      <c r="C2" s="96"/>
      <c r="D2" s="96"/>
      <c r="E2" s="96"/>
      <c r="F2" s="96"/>
      <c r="G2" s="96"/>
      <c r="H2" s="96"/>
      <c r="I2" s="96"/>
      <c r="J2" s="96"/>
      <c r="K2" s="96"/>
      <c r="L2" s="96"/>
      <c r="M2" s="96"/>
      <c r="N2" s="96"/>
      <c r="O2" s="96"/>
    </row>
    <row r="5" spans="2:15" ht="18.75">
      <c r="B5" s="97" t="s">
        <v>3211</v>
      </c>
      <c r="C5" s="96"/>
      <c r="D5" s="96"/>
      <c r="E5" s="96"/>
      <c r="F5" s="96"/>
      <c r="G5" s="96"/>
      <c r="H5" s="96"/>
      <c r="I5" s="96"/>
      <c r="J5" s="96"/>
      <c r="K5" s="96"/>
      <c r="L5" s="96"/>
    </row>
    <row r="9" spans="2:15">
      <c r="D9" s="98" t="s">
        <v>2877</v>
      </c>
    </row>
    <row r="10" spans="2:15">
      <c r="D10" s="99"/>
    </row>
    <row r="11" spans="2:15">
      <c r="D11" s="100"/>
    </row>
    <row r="12" spans="2:15">
      <c r="D12" s="45" t="s">
        <v>2879</v>
      </c>
      <c r="L12" s="13" t="str">
        <f>Show!$B$23&amp;"S.01.02.07.01 Rows {"&amp;COLUMN($C$1)&amp;"}"&amp;"@ForceFilingCode:true"</f>
        <v>!S.01.02.07.01 Rows {3}@ForceFilingCode:true</v>
      </c>
      <c r="M12" s="13" t="str">
        <f>Show!$B$23&amp;"S.01.02.07.01 Columns {"&amp;COLUMN($D$1)&amp;"}"</f>
        <v>!S.01.02.07.01 Columns {4}</v>
      </c>
    </row>
    <row r="13" spans="2:15">
      <c r="B13" s="43" t="s">
        <v>2880</v>
      </c>
      <c r="C13" s="44" t="s">
        <v>2878</v>
      </c>
      <c r="D13" s="46"/>
    </row>
    <row r="14" spans="2:15">
      <c r="B14" s="47" t="s">
        <v>3212</v>
      </c>
      <c r="C14" s="41" t="s">
        <v>2883</v>
      </c>
      <c r="D14" s="51"/>
    </row>
    <row r="15" spans="2:15">
      <c r="B15" s="47" t="s">
        <v>3213</v>
      </c>
      <c r="C15" s="41" t="s">
        <v>2885</v>
      </c>
      <c r="D15" s="51"/>
    </row>
    <row r="16" spans="2:15">
      <c r="B16" s="47" t="s">
        <v>3214</v>
      </c>
      <c r="C16" s="41" t="s">
        <v>2887</v>
      </c>
      <c r="D16" s="51"/>
    </row>
    <row r="17" spans="2:4">
      <c r="B17" s="47" t="s">
        <v>3215</v>
      </c>
      <c r="C17" s="41" t="s">
        <v>2889</v>
      </c>
      <c r="D17" s="51"/>
    </row>
    <row r="18" spans="2:4">
      <c r="B18" s="47" t="s">
        <v>3216</v>
      </c>
      <c r="C18" s="41" t="s">
        <v>3078</v>
      </c>
      <c r="D18" s="51"/>
    </row>
    <row r="19" spans="2:4">
      <c r="B19" s="47" t="s">
        <v>3180</v>
      </c>
      <c r="C19" s="41" t="s">
        <v>2893</v>
      </c>
      <c r="D19" s="51"/>
    </row>
    <row r="20" spans="2:4">
      <c r="B20" s="47" t="s">
        <v>3181</v>
      </c>
      <c r="C20" s="41" t="s">
        <v>2895</v>
      </c>
      <c r="D20" s="54"/>
    </row>
    <row r="21" spans="2:4">
      <c r="B21" s="47" t="s">
        <v>3182</v>
      </c>
      <c r="C21" s="41" t="s">
        <v>3183</v>
      </c>
      <c r="D21" s="54"/>
    </row>
    <row r="22" spans="2:4">
      <c r="B22" s="47" t="s">
        <v>3184</v>
      </c>
      <c r="C22" s="41" t="s">
        <v>2897</v>
      </c>
      <c r="D22" s="54"/>
    </row>
    <row r="23" spans="2:4">
      <c r="B23" s="47" t="s">
        <v>3185</v>
      </c>
      <c r="C23" s="41" t="s">
        <v>2899</v>
      </c>
      <c r="D23" s="51"/>
    </row>
    <row r="24" spans="2:4">
      <c r="B24" s="47" t="s">
        <v>3186</v>
      </c>
      <c r="C24" s="41" t="s">
        <v>2901</v>
      </c>
      <c r="D24" s="51"/>
    </row>
    <row r="25" spans="2:4">
      <c r="B25" s="47" t="s">
        <v>3187</v>
      </c>
      <c r="C25" s="41" t="s">
        <v>2903</v>
      </c>
      <c r="D25" s="51"/>
    </row>
    <row r="26" spans="2:4">
      <c r="B26" s="47" t="s">
        <v>3188</v>
      </c>
      <c r="C26" s="41" t="s">
        <v>2905</v>
      </c>
      <c r="D26" s="51"/>
    </row>
    <row r="27" spans="2:4">
      <c r="B27" s="47" t="s">
        <v>1172</v>
      </c>
      <c r="C27" s="41" t="s">
        <v>2907</v>
      </c>
      <c r="D27" s="51"/>
    </row>
    <row r="28" spans="2:4">
      <c r="B28" s="47" t="s">
        <v>3189</v>
      </c>
      <c r="C28" s="41" t="s">
        <v>2909</v>
      </c>
      <c r="D28" s="51"/>
    </row>
    <row r="29" spans="2:4">
      <c r="B29" s="47" t="s">
        <v>3190</v>
      </c>
      <c r="C29" s="41" t="s">
        <v>2913</v>
      </c>
      <c r="D29" s="51"/>
    </row>
    <row r="30" spans="2:4">
      <c r="B30" s="47" t="s">
        <v>3191</v>
      </c>
      <c r="C30" s="41" t="s">
        <v>2915</v>
      </c>
      <c r="D30" s="51"/>
    </row>
    <row r="31" spans="2:4">
      <c r="B31" s="47" t="s">
        <v>3192</v>
      </c>
      <c r="C31" s="41" t="s">
        <v>2917</v>
      </c>
      <c r="D31" s="51"/>
    </row>
    <row r="32" spans="2:4">
      <c r="B32" s="47" t="s">
        <v>3193</v>
      </c>
      <c r="C32" s="41" t="s">
        <v>2919</v>
      </c>
      <c r="D32" s="51"/>
    </row>
    <row r="33" spans="2:13">
      <c r="B33" s="47" t="s">
        <v>3194</v>
      </c>
      <c r="C33" s="41" t="s">
        <v>2921</v>
      </c>
      <c r="D33" s="51"/>
    </row>
    <row r="34" spans="2:13">
      <c r="B34" s="47" t="s">
        <v>3217</v>
      </c>
      <c r="C34" s="41" t="s">
        <v>2923</v>
      </c>
      <c r="D34" s="51"/>
    </row>
    <row r="35" spans="2:13">
      <c r="B35" s="47" t="s">
        <v>3195</v>
      </c>
      <c r="C35" s="41" t="s">
        <v>2929</v>
      </c>
      <c r="D35" s="51"/>
    </row>
    <row r="36" spans="2:13">
      <c r="B36" s="47" t="s">
        <v>3199</v>
      </c>
      <c r="C36" s="41" t="s">
        <v>3200</v>
      </c>
      <c r="D36" s="51"/>
    </row>
    <row r="37" spans="2:13">
      <c r="B37" s="47" t="s">
        <v>3201</v>
      </c>
      <c r="C37" s="41" t="s">
        <v>3202</v>
      </c>
      <c r="D37" s="51"/>
    </row>
    <row r="38" spans="2:13">
      <c r="B38" s="47" t="s">
        <v>3203</v>
      </c>
      <c r="C38" s="41" t="s">
        <v>3204</v>
      </c>
      <c r="D38" s="51"/>
    </row>
    <row r="39" spans="2:13">
      <c r="L39" s="13" t="str">
        <f>Show!$B$23&amp;Show!$B$23&amp;"S.01.02.07.01 Rows {"&amp;COLUMN($C$1)&amp;"}"</f>
        <v>!!S.01.02.07.01 Rows {3}</v>
      </c>
      <c r="M39" s="13" t="str">
        <f>Show!$B$23&amp;Show!$B$23&amp;"S.01.02.07.01 Columns {"&amp;COLUMN($D$1)&amp;"}"</f>
        <v>!!S.01.02.07.01 Columns {4}</v>
      </c>
    </row>
    <row r="41" spans="2:13" ht="18.75">
      <c r="B41" s="97" t="s">
        <v>3218</v>
      </c>
      <c r="C41" s="96"/>
      <c r="D41" s="96"/>
      <c r="E41" s="96"/>
      <c r="F41" s="96"/>
      <c r="G41" s="96"/>
      <c r="H41" s="96"/>
      <c r="I41" s="96"/>
      <c r="J41" s="96"/>
      <c r="K41" s="96"/>
      <c r="L41" s="96"/>
    </row>
    <row r="45" spans="2:13">
      <c r="D45" s="98" t="s">
        <v>2877</v>
      </c>
    </row>
    <row r="46" spans="2:13">
      <c r="D46" s="99"/>
    </row>
    <row r="47" spans="2:13">
      <c r="D47" s="100"/>
    </row>
    <row r="48" spans="2:13">
      <c r="D48" s="45" t="s">
        <v>3219</v>
      </c>
      <c r="L48" s="13" t="str">
        <f>Show!$B$23&amp;"S.01.02.07.02 Rows {"&amp;COLUMN($C$1)&amp;"}"&amp;"@ForceFilingCode:true"</f>
        <v>!S.01.02.07.02 Rows {3}@ForceFilingCode:true</v>
      </c>
      <c r="M48" s="13" t="str">
        <f>Show!$B$23&amp;"S.01.02.07.02 Columns {"&amp;COLUMN($D$1)&amp;"}"</f>
        <v>!S.01.02.07.02 Columns {4}</v>
      </c>
    </row>
    <row r="49" spans="2:13">
      <c r="B49" s="43" t="s">
        <v>2880</v>
      </c>
      <c r="C49" s="44" t="s">
        <v>2878</v>
      </c>
      <c r="D49" s="46"/>
    </row>
    <row r="50" spans="2:13">
      <c r="B50" s="47" t="s">
        <v>3220</v>
      </c>
      <c r="C50" s="41" t="s">
        <v>2925</v>
      </c>
      <c r="D50" s="51"/>
    </row>
    <row r="51" spans="2:13">
      <c r="L51" s="13" t="str">
        <f>Show!$B$23&amp;Show!$B$23&amp;"S.01.02.07.02 Rows {"&amp;COLUMN($C$1)&amp;"}"</f>
        <v>!!S.01.02.07.02 Rows {3}</v>
      </c>
      <c r="M51" s="13" t="str">
        <f>Show!$B$23&amp;Show!$B$23&amp;"S.01.02.07.02 Columns {"&amp;COLUMN($D$1)&amp;"}"</f>
        <v>!!S.01.02.07.02 Columns {4}</v>
      </c>
    </row>
    <row r="53" spans="2:13" ht="18.75">
      <c r="B53" s="97" t="s">
        <v>3221</v>
      </c>
      <c r="C53" s="96"/>
      <c r="D53" s="96"/>
      <c r="E53" s="96"/>
      <c r="F53" s="96"/>
      <c r="G53" s="96"/>
      <c r="H53" s="96"/>
      <c r="I53" s="96"/>
      <c r="J53" s="96"/>
      <c r="K53" s="96"/>
      <c r="L53" s="96"/>
    </row>
    <row r="57" spans="2:13">
      <c r="B57" s="98" t="s">
        <v>3222</v>
      </c>
      <c r="C57" s="98" t="s">
        <v>2877</v>
      </c>
    </row>
    <row r="58" spans="2:13">
      <c r="B58" s="99"/>
      <c r="C58" s="100"/>
    </row>
    <row r="59" spans="2:13">
      <c r="B59" s="100"/>
      <c r="C59" s="55" t="s">
        <v>3224</v>
      </c>
    </row>
    <row r="60" spans="2:13">
      <c r="B60" s="42" t="s">
        <v>3223</v>
      </c>
      <c r="C60" s="42" t="s">
        <v>3225</v>
      </c>
      <c r="L60" s="13" t="str">
        <f>Show!$B$23&amp;"S.01.02.07.03 Rows {"&amp;COLUMN($B$1)&amp;"}"&amp;"@ForceFilingCode:true"</f>
        <v>!S.01.02.07.03 Rows {2}@ForceFilingCode:true</v>
      </c>
      <c r="M60" s="13" t="str">
        <f>Show!$B$23&amp;"S.01.02.07.03 Columns {"&amp;COLUMN($B$1)&amp;"}"</f>
        <v>!S.01.02.07.03 Columns {2}</v>
      </c>
    </row>
    <row r="61" spans="2:13">
      <c r="B61" s="51"/>
      <c r="C61" s="51"/>
    </row>
    <row r="63" spans="2:13">
      <c r="L63" s="13" t="str">
        <f>Show!$B$23&amp;Show!$B$23&amp;"S.01.02.07.03 Rows {"&amp;COLUMN($B$1)&amp;"}"</f>
        <v>!!S.01.02.07.03 Rows {2}</v>
      </c>
      <c r="M63" s="13" t="str">
        <f>Show!$B$23&amp;Show!$B$23&amp;"S.01.02.07.03 Columns {"&amp;COLUMN($C$1)&amp;"}"</f>
        <v>!!S.01.02.07.03 Columns {3}</v>
      </c>
    </row>
  </sheetData>
  <sheetProtection sheet="1" objects="1" scenarios="1"/>
  <mergeCells count="8">
    <mergeCell ref="B57:B59"/>
    <mergeCell ref="C57:C58"/>
    <mergeCell ref="B2:O2"/>
    <mergeCell ref="B5:L5"/>
    <mergeCell ref="D9:D11"/>
    <mergeCell ref="B41:L41"/>
    <mergeCell ref="D45:D47"/>
    <mergeCell ref="B53:L53"/>
  </mergeCells>
  <dataValidations count="18">
    <dataValidation type="list" errorStyle="warning" allowBlank="1" showInputMessage="1" showErrorMessage="1" sqref="D15 D17" xr:uid="{6EAEE6E5-4560-4600-98C3-8F0DB846F45C}">
      <formula1>hier_GA_1</formula1>
    </dataValidation>
    <dataValidation type="list" errorStyle="warning" allowBlank="1" showInputMessage="1" showErrorMessage="1" sqref="D19" xr:uid="{FF402239-101A-4D03-9FF6-24D9338E0B19}">
      <formula1>hier_LA_1</formula1>
    </dataValidation>
    <dataValidation type="date" operator="greaterThan" allowBlank="1" showInputMessage="1" showErrorMessage="1" errorTitle="Date value" error="This cell can only contain dates" sqref="D20:D22" xr:uid="{2BA16E5C-1267-4E30-991B-DD2C19FA8F0A}">
      <formula1>1</formula1>
    </dataValidation>
    <dataValidation type="list" errorStyle="warning" allowBlank="1" showInputMessage="1" showErrorMessage="1" sqref="D23" xr:uid="{707F2C5C-3AF2-49FD-8BB9-EAFD08AF8562}">
      <formula1>hier_CS_12</formula1>
    </dataValidation>
    <dataValidation type="list" errorStyle="warning" allowBlank="1" showInputMessage="1" showErrorMessage="1" sqref="D24" xr:uid="{75C24AFA-CA3A-4F8F-8319-45D983B99A2B}">
      <formula1>hier_CU_5</formula1>
    </dataValidation>
    <dataValidation type="list" errorStyle="warning" allowBlank="1" showInputMessage="1" showErrorMessage="1" sqref="D25" xr:uid="{4D6FC541-CB56-4A43-B9F2-BD5E48ECFC84}">
      <formula1>hier_AM_11</formula1>
    </dataValidation>
    <dataValidation type="list" errorStyle="warning" allowBlank="1" showInputMessage="1" showErrorMessage="1" sqref="D26" xr:uid="{B32E607A-72E8-45C8-94C4-937E7543FD65}">
      <formula1>hier_AP_3</formula1>
    </dataValidation>
    <dataValidation type="list" errorStyle="warning" allowBlank="1" showInputMessage="1" showErrorMessage="1" sqref="D27" xr:uid="{B5FEED80-8370-406F-99DF-47152A1111D5}">
      <formula1>hier_AP_4</formula1>
    </dataValidation>
    <dataValidation type="list" errorStyle="warning" allowBlank="1" showInputMessage="1" showErrorMessage="1" sqref="D28" xr:uid="{DCDD7C03-FAEF-4FF1-85AC-46C8434BFCCB}">
      <formula1>hier_PU_23</formula1>
    </dataValidation>
    <dataValidation type="list" errorStyle="warning" allowBlank="1" showInputMessage="1" showErrorMessage="1" sqref="D29" xr:uid="{40C18135-C8A4-4F54-99B6-4EB3AB9B8681}">
      <formula1>hier_PU_15</formula1>
    </dataValidation>
    <dataValidation type="list" errorStyle="warning" allowBlank="1" showInputMessage="1" showErrorMessage="1" sqref="D30" xr:uid="{EAFAA398-0B2E-4703-8BA7-500653AE65E4}">
      <formula1>hier_AP_5</formula1>
    </dataValidation>
    <dataValidation type="list" errorStyle="warning" allowBlank="1" showInputMessage="1" showErrorMessage="1" sqref="D31" xr:uid="{22F00FC8-2B80-40CF-9E98-70F65E2677AD}">
      <formula1>hier_AP_6</formula1>
    </dataValidation>
    <dataValidation type="list" errorStyle="warning" allowBlank="1" showInputMessage="1" showErrorMessage="1" sqref="D32" xr:uid="{2F1187C1-1EFA-4AE3-A5B9-C183426250F8}">
      <formula1>hier_AP_7</formula1>
    </dataValidation>
    <dataValidation type="list" errorStyle="warning" allowBlank="1" showInputMessage="1" showErrorMessage="1" sqref="D33" xr:uid="{A1767A00-7F3B-42DE-A208-58E062123E6F}">
      <formula1>hier_CS_13</formula1>
    </dataValidation>
    <dataValidation type="list" errorStyle="warning" allowBlank="1" showInputMessage="1" showErrorMessage="1" sqref="D34" xr:uid="{2C2B7D36-0E5E-4C0B-AF1D-26122874F762}">
      <formula1>hier_SE_22</formula1>
    </dataValidation>
    <dataValidation type="list" errorStyle="warning" allowBlank="1" showInputMessage="1" showErrorMessage="1" sqref="D35" xr:uid="{6F8AF8F2-D0AF-4C1F-8CD2-1B4C357AAB49}">
      <formula1>hier_CN_127</formula1>
    </dataValidation>
    <dataValidation type="list" errorStyle="warning" allowBlank="1" showInputMessage="1" showErrorMessage="1" sqref="D50" xr:uid="{C710FD15-24B6-45CD-8183-09BE25FEB88A}">
      <formula1>hier_AO_2</formula1>
    </dataValidation>
    <dataValidation type="list" errorStyle="warning" allowBlank="1" showInputMessage="1" showErrorMessage="1" sqref="B61" xr:uid="{A0B9E639-4459-4B05-80DC-DB268A7A5C31}">
      <formula1>hier_GA_32</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54D3D-8948-40D6-89F8-A0F0CE8A4E19}">
  <sheetPr codeName="Blad28"/>
  <dimension ref="B2:P27"/>
  <sheetViews>
    <sheetView showGridLines="0" workbookViewId="0"/>
  </sheetViews>
  <sheetFormatPr defaultRowHeight="15"/>
  <cols>
    <col min="2" max="2" width="36.5703125" bestFit="1" customWidth="1"/>
    <col min="3" max="3" width="15.7109375" customWidth="1"/>
    <col min="4" max="7" width="40.7109375" customWidth="1"/>
  </cols>
  <sheetData>
    <row r="2" spans="2:16" ht="23.25">
      <c r="B2" s="95" t="s">
        <v>541</v>
      </c>
      <c r="C2" s="96"/>
      <c r="D2" s="96"/>
      <c r="E2" s="96"/>
      <c r="F2" s="96"/>
      <c r="G2" s="96"/>
      <c r="H2" s="96"/>
      <c r="I2" s="96"/>
      <c r="J2" s="96"/>
      <c r="K2" s="96"/>
      <c r="L2" s="96"/>
      <c r="M2" s="96"/>
      <c r="N2" s="96"/>
      <c r="O2" s="96"/>
    </row>
    <row r="5" spans="2:16" ht="18.75">
      <c r="B5" s="97" t="s">
        <v>3226</v>
      </c>
      <c r="C5" s="96"/>
      <c r="D5" s="96"/>
      <c r="E5" s="96"/>
      <c r="F5" s="96"/>
      <c r="G5" s="96"/>
      <c r="H5" s="96"/>
      <c r="I5" s="96"/>
      <c r="J5" s="96"/>
      <c r="K5" s="96"/>
      <c r="L5" s="96"/>
    </row>
    <row r="9" spans="2:16">
      <c r="B9" s="98" t="s">
        <v>3227</v>
      </c>
      <c r="C9" s="101" t="s">
        <v>2877</v>
      </c>
      <c r="D9" s="102"/>
      <c r="E9" s="102"/>
      <c r="F9" s="102"/>
      <c r="G9" s="103"/>
    </row>
    <row r="10" spans="2:16">
      <c r="B10" s="99"/>
      <c r="C10" s="104"/>
      <c r="D10" s="105"/>
      <c r="E10" s="105"/>
      <c r="F10" s="105"/>
      <c r="G10" s="106"/>
    </row>
    <row r="11" spans="2:16" ht="75">
      <c r="B11" s="100"/>
      <c r="C11" s="55" t="s">
        <v>3228</v>
      </c>
      <c r="D11" s="55" t="s">
        <v>3230</v>
      </c>
      <c r="E11" s="55" t="s">
        <v>3232</v>
      </c>
      <c r="F11" s="55" t="s">
        <v>1208</v>
      </c>
      <c r="G11" s="55" t="s">
        <v>3235</v>
      </c>
    </row>
    <row r="12" spans="2:16">
      <c r="B12" s="42" t="s">
        <v>3223</v>
      </c>
      <c r="C12" s="42" t="s">
        <v>3229</v>
      </c>
      <c r="D12" s="42" t="s">
        <v>3231</v>
      </c>
      <c r="E12" s="42" t="s">
        <v>3233</v>
      </c>
      <c r="F12" s="42" t="s">
        <v>3234</v>
      </c>
      <c r="G12" s="42" t="s">
        <v>3236</v>
      </c>
      <c r="O12" s="13" t="str">
        <f>Show!$B$24&amp;"S.01.03.01.01 Rows {"&amp;COLUMN($B$1)&amp;"}"&amp;"@ForceFilingCode:true"</f>
        <v>!S.01.03.01.01 Rows {2}@ForceFilingCode:true</v>
      </c>
      <c r="P12" s="13" t="str">
        <f>Show!$B$24&amp;"S.01.03.01.01 Columns {"&amp;COLUMN($B$1)&amp;"}"</f>
        <v>!S.01.03.01.01 Columns {2}</v>
      </c>
    </row>
    <row r="13" spans="2:16">
      <c r="B13" s="50"/>
      <c r="C13" s="51"/>
      <c r="D13" s="51"/>
      <c r="E13" s="51"/>
      <c r="F13" s="51"/>
      <c r="G13" s="51"/>
    </row>
    <row r="15" spans="2:16">
      <c r="O15" s="13" t="str">
        <f>Show!$B$24&amp;Show!$B$24&amp;"S.01.03.01.01 Rows {"&amp;COLUMN($B$1)&amp;"}"</f>
        <v>!!S.01.03.01.01 Rows {2}</v>
      </c>
      <c r="P15" s="13" t="str">
        <f>Show!$B$24&amp;Show!$B$24&amp;"S.01.03.01.01 Columns {"&amp;COLUMN($G$1)&amp;"}"</f>
        <v>!!S.01.03.01.01 Columns {7}</v>
      </c>
    </row>
    <row r="17" spans="2:16" ht="18.75">
      <c r="B17" s="97" t="s">
        <v>3237</v>
      </c>
      <c r="C17" s="96"/>
      <c r="D17" s="96"/>
      <c r="E17" s="96"/>
      <c r="F17" s="96"/>
      <c r="G17" s="96"/>
      <c r="H17" s="96"/>
      <c r="I17" s="96"/>
      <c r="J17" s="96"/>
      <c r="K17" s="96"/>
      <c r="L17" s="96"/>
    </row>
    <row r="21" spans="2:16">
      <c r="B21" s="98" t="s">
        <v>3238</v>
      </c>
      <c r="C21" s="98" t="s">
        <v>3240</v>
      </c>
      <c r="D21" s="98" t="s">
        <v>2877</v>
      </c>
    </row>
    <row r="22" spans="2:16">
      <c r="B22" s="99"/>
      <c r="C22" s="99"/>
      <c r="D22" s="100"/>
    </row>
    <row r="23" spans="2:16">
      <c r="B23" s="100"/>
      <c r="C23" s="100"/>
      <c r="D23" s="55" t="s">
        <v>3242</v>
      </c>
    </row>
    <row r="24" spans="2:16">
      <c r="B24" s="42" t="s">
        <v>3239</v>
      </c>
      <c r="C24" s="42" t="s">
        <v>3241</v>
      </c>
      <c r="D24" s="42" t="s">
        <v>3243</v>
      </c>
      <c r="O24" s="13" t="str">
        <f>Show!$B$24&amp;"S.01.03.01.02 Rows {"&amp;COLUMN($B$1)&amp;"}"&amp;"@ForceFilingCode:true"</f>
        <v>!S.01.03.01.02 Rows {2}@ForceFilingCode:true</v>
      </c>
      <c r="P24" s="13" t="str">
        <f>Show!$B$24&amp;"S.01.03.01.02 Columns {"&amp;COLUMN($B$1)&amp;"}"</f>
        <v>!S.01.03.01.02 Columns {2}</v>
      </c>
    </row>
    <row r="25" spans="2:16">
      <c r="B25" s="50"/>
      <c r="C25" s="50"/>
      <c r="D25" s="51"/>
    </row>
    <row r="27" spans="2:16">
      <c r="O27" s="13" t="str">
        <f>Show!$B$24&amp;Show!$B$24&amp;"S.01.03.01.02 Rows {"&amp;COLUMN($B$1)&amp;"}"</f>
        <v>!!S.01.03.01.02 Rows {2}</v>
      </c>
      <c r="P27" s="13" t="str">
        <f>Show!$B$24&amp;Show!$B$24&amp;"S.01.03.01.02 Columns {"&amp;COLUMN($D$1)&amp;"}"</f>
        <v>!!S.01.03.01.02 Columns {4}</v>
      </c>
    </row>
  </sheetData>
  <sheetProtection sheet="1" objects="1" scenarios="1"/>
  <mergeCells count="8">
    <mergeCell ref="B21:B23"/>
    <mergeCell ref="C21:C23"/>
    <mergeCell ref="D21:D22"/>
    <mergeCell ref="B2:O2"/>
    <mergeCell ref="B5:L5"/>
    <mergeCell ref="B9:B11"/>
    <mergeCell ref="C9:G10"/>
    <mergeCell ref="B17:L17"/>
  </mergeCells>
  <dataValidations count="5">
    <dataValidation type="list" errorStyle="warning" allowBlank="1" showInputMessage="1" showErrorMessage="1" sqref="D13" xr:uid="{67F69F27-E690-4F7E-9BEE-7E504212C7F8}">
      <formula1>hier_PU_37</formula1>
    </dataValidation>
    <dataValidation type="list" errorStyle="warning" allowBlank="1" showInputMessage="1" showErrorMessage="1" sqref="E13" xr:uid="{93F8D406-E3B9-454A-8B8B-8513F167FC34}">
      <formula1>hier_PU_17</formula1>
    </dataValidation>
    <dataValidation type="list" errorStyle="warning" allowBlank="1" showInputMessage="1" showErrorMessage="1" sqref="F13" xr:uid="{1121B6F2-1622-4A30-B745-14B7E61C6337}">
      <formula1>hier_AP_11</formula1>
    </dataValidation>
    <dataValidation type="list" errorStyle="warning" allowBlank="1" showInputMessage="1" showErrorMessage="1" sqref="G13" xr:uid="{5A91EA84-8F7B-4C24-988F-DEDF2180A5C3}">
      <formula1>hier_AP_9</formula1>
    </dataValidation>
    <dataValidation type="list" errorStyle="warning" allowBlank="1" showInputMessage="1" showErrorMessage="1" sqref="D25" xr:uid="{2862A776-D5F7-4F6D-94E0-154E5DB6787C}">
      <formula1>hier_PU_34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29655-05B5-43E9-888E-4539D7CC413F}">
  <sheetPr codeName="Blad29"/>
  <dimension ref="B2:S27"/>
  <sheetViews>
    <sheetView showGridLines="0" workbookViewId="0"/>
  </sheetViews>
  <sheetFormatPr defaultRowHeight="15"/>
  <cols>
    <col min="2" max="2" width="51.140625" bestFit="1" customWidth="1"/>
    <col min="3" max="3" width="15.7109375" customWidth="1"/>
    <col min="4" max="9" width="40.7109375" customWidth="1"/>
  </cols>
  <sheetData>
    <row r="2" spans="2:19" ht="23.25">
      <c r="B2" s="95" t="s">
        <v>541</v>
      </c>
      <c r="C2" s="96"/>
      <c r="D2" s="96"/>
      <c r="E2" s="96"/>
      <c r="F2" s="96"/>
      <c r="G2" s="96"/>
      <c r="H2" s="96"/>
      <c r="I2" s="96"/>
      <c r="J2" s="96"/>
      <c r="K2" s="96"/>
      <c r="L2" s="96"/>
      <c r="M2" s="96"/>
      <c r="N2" s="96"/>
      <c r="O2" s="96"/>
    </row>
    <row r="5" spans="2:19" ht="18.75">
      <c r="B5" s="97" t="s">
        <v>3244</v>
      </c>
      <c r="C5" s="96"/>
      <c r="D5" s="96"/>
      <c r="E5" s="96"/>
      <c r="F5" s="96"/>
      <c r="G5" s="96"/>
      <c r="H5" s="96"/>
      <c r="I5" s="96"/>
      <c r="J5" s="96"/>
      <c r="K5" s="96"/>
      <c r="L5" s="96"/>
    </row>
    <row r="9" spans="2:19">
      <c r="B9" s="98" t="s">
        <v>3245</v>
      </c>
      <c r="C9" s="98" t="s">
        <v>3227</v>
      </c>
      <c r="D9" s="101" t="s">
        <v>2877</v>
      </c>
      <c r="E9" s="102"/>
      <c r="F9" s="102"/>
      <c r="G9" s="102"/>
      <c r="H9" s="102"/>
      <c r="I9" s="103"/>
    </row>
    <row r="10" spans="2:19">
      <c r="B10" s="99"/>
      <c r="C10" s="99"/>
      <c r="D10" s="104"/>
      <c r="E10" s="105"/>
      <c r="F10" s="105"/>
      <c r="G10" s="105"/>
      <c r="H10" s="105"/>
      <c r="I10" s="106"/>
    </row>
    <row r="11" spans="2:19" ht="30">
      <c r="B11" s="100"/>
      <c r="C11" s="100"/>
      <c r="D11" s="55" t="s">
        <v>3246</v>
      </c>
      <c r="E11" s="55" t="s">
        <v>3228</v>
      </c>
      <c r="F11" s="55" t="s">
        <v>3230</v>
      </c>
      <c r="G11" s="55" t="s">
        <v>3232</v>
      </c>
      <c r="H11" s="55" t="s">
        <v>1208</v>
      </c>
      <c r="I11" s="55" t="s">
        <v>3235</v>
      </c>
    </row>
    <row r="12" spans="2:19">
      <c r="B12" s="42" t="s">
        <v>3219</v>
      </c>
      <c r="C12" s="42" t="s">
        <v>3223</v>
      </c>
      <c r="D12" s="42" t="s">
        <v>2879</v>
      </c>
      <c r="E12" s="42" t="s">
        <v>3229</v>
      </c>
      <c r="F12" s="42" t="s">
        <v>3231</v>
      </c>
      <c r="G12" s="42" t="s">
        <v>3233</v>
      </c>
      <c r="H12" s="42" t="s">
        <v>3234</v>
      </c>
      <c r="I12" s="42" t="s">
        <v>3236</v>
      </c>
      <c r="R12" s="13" t="str">
        <f>Show!$B$25&amp;"S.01.03.04.01 Rows {"&amp;COLUMN($B$1)&amp;"}"&amp;"@ForceFilingCode:true"</f>
        <v>!S.01.03.04.01 Rows {2}@ForceFilingCode:true</v>
      </c>
      <c r="S12" s="13" t="str">
        <f>Show!$B$25&amp;"S.01.03.04.01 Columns {"&amp;COLUMN($B$1)&amp;"}"</f>
        <v>!S.01.03.04.01 Columns {2}</v>
      </c>
    </row>
    <row r="13" spans="2:19">
      <c r="B13" s="50"/>
      <c r="C13" s="50"/>
      <c r="D13" s="51"/>
      <c r="E13" s="51"/>
      <c r="F13" s="51"/>
      <c r="G13" s="51"/>
      <c r="H13" s="51"/>
      <c r="I13" s="51"/>
    </row>
    <row r="15" spans="2:19">
      <c r="R15" s="13" t="str">
        <f>Show!$B$25&amp;Show!$B$25&amp;"S.01.03.04.01 Rows {"&amp;COLUMN($B$1)&amp;"}"</f>
        <v>!!S.01.03.04.01 Rows {2}</v>
      </c>
      <c r="S15" s="13" t="str">
        <f>Show!$B$25&amp;Show!$B$25&amp;"S.01.03.04.01 Columns {"&amp;COLUMN($I$1)&amp;"}"</f>
        <v>!!S.01.03.04.01 Columns {9}</v>
      </c>
    </row>
    <row r="17" spans="2:19" ht="18.75">
      <c r="B17" s="97" t="s">
        <v>3247</v>
      </c>
      <c r="C17" s="96"/>
      <c r="D17" s="96"/>
      <c r="E17" s="96"/>
      <c r="F17" s="96"/>
      <c r="G17" s="96"/>
      <c r="H17" s="96"/>
      <c r="I17" s="96"/>
      <c r="J17" s="96"/>
      <c r="K17" s="96"/>
      <c r="L17" s="96"/>
    </row>
    <row r="21" spans="2:19">
      <c r="B21" s="98" t="s">
        <v>3248</v>
      </c>
      <c r="C21" s="98" t="s">
        <v>3240</v>
      </c>
      <c r="D21" s="98" t="s">
        <v>2877</v>
      </c>
    </row>
    <row r="22" spans="2:19">
      <c r="B22" s="99"/>
      <c r="C22" s="99"/>
      <c r="D22" s="100"/>
    </row>
    <row r="23" spans="2:19">
      <c r="B23" s="100"/>
      <c r="C23" s="100"/>
      <c r="D23" s="55" t="s">
        <v>3242</v>
      </c>
    </row>
    <row r="24" spans="2:19">
      <c r="B24" s="42" t="s">
        <v>3239</v>
      </c>
      <c r="C24" s="42" t="s">
        <v>3241</v>
      </c>
      <c r="D24" s="42" t="s">
        <v>3243</v>
      </c>
      <c r="R24" s="13" t="str">
        <f>Show!$B$25&amp;"S.01.03.04.02 Rows {"&amp;COLUMN($B$1)&amp;"}"&amp;"@ForceFilingCode:true"</f>
        <v>!S.01.03.04.02 Rows {2}@ForceFilingCode:true</v>
      </c>
      <c r="S24" s="13" t="str">
        <f>Show!$B$25&amp;"S.01.03.04.02 Columns {"&amp;COLUMN($B$1)&amp;"}"</f>
        <v>!S.01.03.04.02 Columns {2}</v>
      </c>
    </row>
    <row r="25" spans="2:19">
      <c r="B25" s="50"/>
      <c r="C25" s="50"/>
      <c r="D25" s="51"/>
    </row>
    <row r="27" spans="2:19">
      <c r="R27" s="13" t="str">
        <f>Show!$B$25&amp;Show!$B$25&amp;"S.01.03.04.02 Rows {"&amp;COLUMN($B$1)&amp;"}"</f>
        <v>!!S.01.03.04.02 Rows {2}</v>
      </c>
      <c r="S27" s="13" t="str">
        <f>Show!$B$25&amp;Show!$B$25&amp;"S.01.03.04.02 Columns {"&amp;COLUMN($D$1)&amp;"}"</f>
        <v>!!S.01.03.04.02 Columns {4}</v>
      </c>
    </row>
  </sheetData>
  <sheetProtection sheet="1" objects="1" scenarios="1"/>
  <mergeCells count="9">
    <mergeCell ref="B21:B23"/>
    <mergeCell ref="C21:C23"/>
    <mergeCell ref="D21:D22"/>
    <mergeCell ref="B2:O2"/>
    <mergeCell ref="B5:L5"/>
    <mergeCell ref="B9:B11"/>
    <mergeCell ref="C9:C11"/>
    <mergeCell ref="D9:I10"/>
    <mergeCell ref="B17:L17"/>
  </mergeCells>
  <dataValidations count="5">
    <dataValidation type="list" errorStyle="warning" allowBlank="1" showInputMessage="1" showErrorMessage="1" sqref="F13" xr:uid="{C5E564B6-A1FA-4E02-8666-BEFC70EA5A0D}">
      <formula1>hier_PU_37</formula1>
    </dataValidation>
    <dataValidation type="list" errorStyle="warning" allowBlank="1" showInputMessage="1" showErrorMessage="1" sqref="G13" xr:uid="{62B1D0C7-E7D1-4546-8605-2340B3CC5572}">
      <formula1>hier_PU_17</formula1>
    </dataValidation>
    <dataValidation type="list" errorStyle="warning" allowBlank="1" showInputMessage="1" showErrorMessage="1" sqref="H13" xr:uid="{FE1A7A24-9C90-4FF1-84E4-EBBC53EC16CB}">
      <formula1>hier_AP_11</formula1>
    </dataValidation>
    <dataValidation type="list" errorStyle="warning" allowBlank="1" showInputMessage="1" showErrorMessage="1" sqref="I13" xr:uid="{0407E331-FCD4-4A71-BCD0-FA620781232E}">
      <formula1>hier_AP_9</formula1>
    </dataValidation>
    <dataValidation type="list" errorStyle="warning" allowBlank="1" showInputMessage="1" showErrorMessage="1" sqref="D25" xr:uid="{C6DA88FA-7959-4C14-BCB4-6ADA79AE58DB}">
      <formula1>hier_PU_34</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7FCAA-41E6-44CD-8AEE-34FCAEB70C74}">
  <sheetPr codeName="Blad4">
    <tabColor rgb="FF92D050"/>
  </sheetPr>
  <dimension ref="B3:O202"/>
  <sheetViews>
    <sheetView showGridLines="0" workbookViewId="0">
      <selection activeCell="D46" sqref="D46"/>
    </sheetView>
  </sheetViews>
  <sheetFormatPr defaultRowHeight="15"/>
  <cols>
    <col min="1" max="1" width="4.28515625" customWidth="1"/>
    <col min="2" max="2" width="18.5703125" style="33" customWidth="1"/>
    <col min="3" max="3" width="115.28515625" style="33" customWidth="1"/>
    <col min="4" max="4" width="18.42578125" style="33" customWidth="1"/>
    <col min="5" max="5" width="0" hidden="1" customWidth="1"/>
  </cols>
  <sheetData>
    <row r="3" spans="2:15" ht="23.25">
      <c r="B3" s="95" t="s">
        <v>466</v>
      </c>
      <c r="C3" s="96"/>
      <c r="D3" s="96"/>
      <c r="E3" s="96"/>
      <c r="F3" s="96"/>
      <c r="G3" s="96"/>
      <c r="H3" s="96"/>
      <c r="I3" s="96"/>
      <c r="J3" s="96"/>
      <c r="K3" s="96"/>
      <c r="L3" s="96"/>
      <c r="M3" s="96"/>
      <c r="N3" s="96"/>
      <c r="O3" s="96"/>
    </row>
    <row r="5" spans="2:15">
      <c r="B5" s="36" t="s">
        <v>467</v>
      </c>
      <c r="C5" s="36" t="s">
        <v>468</v>
      </c>
      <c r="D5" s="36" t="s">
        <v>469</v>
      </c>
    </row>
    <row r="6" spans="2:15" hidden="1">
      <c r="B6" s="37" t="s">
        <v>510</v>
      </c>
      <c r="C6" s="38" t="s">
        <v>512</v>
      </c>
      <c r="D6" s="39"/>
      <c r="E6" t="str">
        <f>IF($D$6="Reported","@ForceFilingCode:true",IF($D$6="Not Reported","@ForceFilingCode:false",""))</f>
        <v/>
      </c>
    </row>
    <row r="7" spans="2:15" hidden="1">
      <c r="B7" s="37" t="s">
        <v>513</v>
      </c>
      <c r="C7" s="38" t="s">
        <v>512</v>
      </c>
      <c r="D7" s="39"/>
      <c r="E7" t="str">
        <f>IF($D$7="Reported","@ForceFilingCode:true",IF($D$7="Not Reported","@ForceFilingCode:false",""))</f>
        <v/>
      </c>
    </row>
    <row r="8" spans="2:15" hidden="1">
      <c r="B8" s="37" t="s">
        <v>514</v>
      </c>
      <c r="C8" s="38" t="s">
        <v>512</v>
      </c>
      <c r="D8" s="39"/>
      <c r="E8" t="str">
        <f>IF($D$8="Reported","@ForceFilingCode:true",IF($D$8="Not Reported","@ForceFilingCode:false",""))</f>
        <v/>
      </c>
    </row>
    <row r="9" spans="2:15" hidden="1">
      <c r="B9" s="37" t="s">
        <v>515</v>
      </c>
      <c r="C9" s="38" t="s">
        <v>512</v>
      </c>
      <c r="D9" s="39"/>
      <c r="E9" t="str">
        <f>IF($D$9="Reported","@ForceFilingCode:true",IF($D$9="Not Reported","@ForceFilingCode:false",""))</f>
        <v/>
      </c>
    </row>
    <row r="10" spans="2:15" hidden="1">
      <c r="B10" s="37" t="s">
        <v>516</v>
      </c>
      <c r="C10" s="38" t="s">
        <v>512</v>
      </c>
      <c r="D10" s="39"/>
      <c r="E10" t="str">
        <f>IF($D$10="Reported","@ForceFilingCode:true",IF($D$10="Not Reported","@ForceFilingCode:false",""))</f>
        <v/>
      </c>
    </row>
    <row r="11" spans="2:15" hidden="1">
      <c r="B11" s="37" t="s">
        <v>517</v>
      </c>
      <c r="C11" s="38" t="s">
        <v>512</v>
      </c>
      <c r="D11" s="39"/>
      <c r="E11" t="str">
        <f>IF($D$11="Reported","@ForceFilingCode:true",IF($D$11="Not Reported","@ForceFilingCode:false",""))</f>
        <v/>
      </c>
    </row>
    <row r="12" spans="2:15" hidden="1">
      <c r="B12" s="37" t="s">
        <v>518</v>
      </c>
      <c r="C12" s="38" t="s">
        <v>512</v>
      </c>
      <c r="D12" s="39"/>
      <c r="E12" t="str">
        <f>IF($D$12="Reported","@ForceFilingCode:true",IF($D$12="Not Reported","@ForceFilingCode:false",""))</f>
        <v/>
      </c>
    </row>
    <row r="13" spans="2:15" hidden="1">
      <c r="B13" s="37" t="s">
        <v>519</v>
      </c>
      <c r="C13" s="38" t="s">
        <v>512</v>
      </c>
      <c r="D13" s="39"/>
      <c r="E13" t="str">
        <f>IF($D$13="Reported","@ForceFilingCode:true",IF($D$13="Not Reported","@ForceFilingCode:false",""))</f>
        <v/>
      </c>
    </row>
    <row r="14" spans="2:15" hidden="1">
      <c r="B14" s="37" t="s">
        <v>520</v>
      </c>
      <c r="C14" s="38" t="s">
        <v>512</v>
      </c>
      <c r="D14" s="39"/>
      <c r="E14" t="str">
        <f>IF($D$14="Reported","@ForceFilingCode:true",IF($D$14="Not Reported","@ForceFilingCode:false",""))</f>
        <v/>
      </c>
    </row>
    <row r="15" spans="2:15" hidden="1">
      <c r="B15" s="37" t="s">
        <v>521</v>
      </c>
      <c r="C15" s="38" t="s">
        <v>512</v>
      </c>
      <c r="D15" s="39"/>
      <c r="E15" t="str">
        <f>IF($D$15="Reported","@ForceFilingCode:true",IF($D$15="Not Reported","@ForceFilingCode:false",""))</f>
        <v/>
      </c>
    </row>
    <row r="16" spans="2:15" hidden="1">
      <c r="B16" s="37" t="s">
        <v>522</v>
      </c>
      <c r="C16" s="38" t="s">
        <v>512</v>
      </c>
      <c r="D16" s="39"/>
      <c r="E16" t="str">
        <f>IF($D$16="Reported","@ForceFilingCode:true",IF($D$16="Not Reported","@ForceFilingCode:false",""))</f>
        <v/>
      </c>
    </row>
    <row r="17" spans="2:5" hidden="1">
      <c r="B17" s="37" t="s">
        <v>523</v>
      </c>
      <c r="C17" s="38" t="s">
        <v>512</v>
      </c>
      <c r="D17" s="39"/>
      <c r="E17" t="str">
        <f>IF($D$17="Reported","@ForceFilingCode:true",IF($D$17="Not Reported","@ForceFilingCode:false",""))</f>
        <v/>
      </c>
    </row>
    <row r="18" spans="2:5" hidden="1">
      <c r="B18" s="37" t="s">
        <v>524</v>
      </c>
      <c r="C18" s="38" t="s">
        <v>512</v>
      </c>
      <c r="D18" s="39"/>
      <c r="E18" t="str">
        <f>IF($D$18="Reported","@ForceFilingCode:true",IF($D$18="Not Reported","@ForceFilingCode:false",""))</f>
        <v/>
      </c>
    </row>
    <row r="19" spans="2:5" hidden="1">
      <c r="B19" s="37" t="s">
        <v>525</v>
      </c>
      <c r="C19" s="38" t="s">
        <v>512</v>
      </c>
      <c r="D19" s="39"/>
      <c r="E19" t="str">
        <f>IF($D$19="Reported","@ForceFilingCode:true",IF($D$19="Not Reported","@ForceFilingCode:false",""))</f>
        <v/>
      </c>
    </row>
    <row r="20" spans="2:5" hidden="1">
      <c r="B20" s="37" t="s">
        <v>526</v>
      </c>
      <c r="C20" s="38" t="s">
        <v>512</v>
      </c>
      <c r="D20" s="39"/>
      <c r="E20" t="str">
        <f>IF($D$20="Reported","@ForceFilingCode:true",IF($D$20="Not Reported","@ForceFilingCode:false",""))</f>
        <v/>
      </c>
    </row>
    <row r="21" spans="2:5" hidden="1">
      <c r="B21" s="37" t="s">
        <v>527</v>
      </c>
      <c r="C21" s="38" t="s">
        <v>528</v>
      </c>
      <c r="D21" s="39"/>
      <c r="E21" t="str">
        <f>IF($D$21="Reported","@ForceFilingCode:true",IF($D$21="Not Reported","@ForceFilingCode:false",""))</f>
        <v/>
      </c>
    </row>
    <row r="22" spans="2:5" hidden="1">
      <c r="B22" s="37" t="s">
        <v>529</v>
      </c>
      <c r="C22" s="38" t="s">
        <v>530</v>
      </c>
      <c r="D22" s="39"/>
      <c r="E22" t="str">
        <f>IF($D$22="Reported","@ForceFilingCode:true",IF($D$22="Not Reported","@ForceFilingCode:false",""))</f>
        <v/>
      </c>
    </row>
    <row r="23" spans="2:5" hidden="1">
      <c r="B23" s="37" t="s">
        <v>531</v>
      </c>
      <c r="C23" s="38" t="s">
        <v>532</v>
      </c>
      <c r="D23" s="39"/>
      <c r="E23" t="str">
        <f>IF($D$23="Reported","@ForceFilingCode:true",IF($D$23="Not Reported","@ForceFilingCode:false",""))</f>
        <v/>
      </c>
    </row>
    <row r="24" spans="2:5" hidden="1">
      <c r="B24" s="37" t="s">
        <v>533</v>
      </c>
      <c r="C24" s="38" t="s">
        <v>534</v>
      </c>
      <c r="D24" s="39"/>
      <c r="E24" t="str">
        <f>IF($D$24="Reported","@ForceFilingCode:true",IF($D$24="Not Reported","@ForceFilingCode:false",""))</f>
        <v/>
      </c>
    </row>
    <row r="25" spans="2:5" hidden="1">
      <c r="B25" s="37" t="s">
        <v>535</v>
      </c>
      <c r="C25" s="38" t="s">
        <v>536</v>
      </c>
      <c r="D25" s="39"/>
      <c r="E25" t="str">
        <f>IF($D$25="Reported","@ForceFilingCode:true",IF($D$25="Not Reported","@ForceFilingCode:false",""))</f>
        <v/>
      </c>
    </row>
    <row r="26" spans="2:5" hidden="1">
      <c r="B26" s="37" t="s">
        <v>537</v>
      </c>
      <c r="C26" s="38" t="s">
        <v>536</v>
      </c>
      <c r="D26" s="39"/>
      <c r="E26" t="str">
        <f>IF($D$26="Reported","@ForceFilingCode:true",IF($D$26="Not Reported","@ForceFilingCode:false",""))</f>
        <v/>
      </c>
    </row>
    <row r="27" spans="2:5" hidden="1">
      <c r="B27" s="37" t="s">
        <v>538</v>
      </c>
      <c r="C27" s="38" t="s">
        <v>539</v>
      </c>
      <c r="D27" s="39"/>
      <c r="E27" t="str">
        <f>IF($D$27="Reported","@ForceFilingCode:true",IF($D$27="Not Reported","@ForceFilingCode:false",""))</f>
        <v/>
      </c>
    </row>
    <row r="28" spans="2:5" hidden="1">
      <c r="B28" s="37" t="s">
        <v>540</v>
      </c>
      <c r="C28" s="38" t="s">
        <v>541</v>
      </c>
      <c r="D28" s="39"/>
      <c r="E28" t="str">
        <f>IF($D$28="Reported","@ForceFilingCode:true",IF($D$28="Not Reported","@ForceFilingCode:false",""))</f>
        <v/>
      </c>
    </row>
    <row r="29" spans="2:5" hidden="1">
      <c r="B29" s="37" t="s">
        <v>542</v>
      </c>
      <c r="C29" s="38" t="s">
        <v>541</v>
      </c>
      <c r="D29" s="39"/>
      <c r="E29" t="str">
        <f>IF($D$29="Reported","@ForceFilingCode:true",IF($D$29="Not Reported","@ForceFilingCode:false",""))</f>
        <v/>
      </c>
    </row>
    <row r="30" spans="2:5" hidden="1">
      <c r="B30" s="37" t="s">
        <v>543</v>
      </c>
      <c r="C30" s="38" t="s">
        <v>544</v>
      </c>
      <c r="D30" s="39"/>
      <c r="E30" t="str">
        <f>IF($D$30="Reported","@ForceFilingCode:true",IF($D$30="Not Reported","@ForceFilingCode:false",""))</f>
        <v/>
      </c>
    </row>
    <row r="31" spans="2:5">
      <c r="B31" s="37" t="s">
        <v>545</v>
      </c>
      <c r="C31" s="38" t="s">
        <v>544</v>
      </c>
      <c r="D31" s="39" t="s">
        <v>817</v>
      </c>
      <c r="E31" t="str">
        <f>IF($D$31="Reported","@ForceFilingCode:true",IF($D$31="Not Reported","@ForceFilingCode:false",""))</f>
        <v>@ForceFilingCode:true</v>
      </c>
    </row>
    <row r="32" spans="2:5" hidden="1">
      <c r="B32" s="37" t="s">
        <v>546</v>
      </c>
      <c r="C32" s="38" t="s">
        <v>544</v>
      </c>
      <c r="D32" s="39"/>
      <c r="E32" t="str">
        <f>IF($D$32="Reported","@ForceFilingCode:true",IF($D$32="Not Reported","@ForceFilingCode:false",""))</f>
        <v/>
      </c>
    </row>
    <row r="33" spans="2:5" hidden="1">
      <c r="B33" s="37" t="s">
        <v>547</v>
      </c>
      <c r="C33" s="38" t="s">
        <v>544</v>
      </c>
      <c r="D33" s="39"/>
      <c r="E33" t="str">
        <f>IF($D$33="Reported","@ForceFilingCode:true",IF($D$33="Not Reported","@ForceFilingCode:false",""))</f>
        <v/>
      </c>
    </row>
    <row r="34" spans="2:5" hidden="1">
      <c r="B34" s="37" t="s">
        <v>548</v>
      </c>
      <c r="C34" s="38" t="s">
        <v>544</v>
      </c>
      <c r="D34" s="39"/>
      <c r="E34" t="str">
        <f>IF($D$34="Reported","@ForceFilingCode:true",IF($D$34="Not Reported","@ForceFilingCode:false",""))</f>
        <v/>
      </c>
    </row>
    <row r="35" spans="2:5" hidden="1">
      <c r="B35" s="37" t="s">
        <v>549</v>
      </c>
      <c r="C35" s="38" t="s">
        <v>544</v>
      </c>
      <c r="D35" s="39"/>
      <c r="E35" t="str">
        <f>IF($D$35="Reported","@ForceFilingCode:true",IF($D$35="Not Reported","@ForceFilingCode:false",""))</f>
        <v/>
      </c>
    </row>
    <row r="36" spans="2:5" hidden="1">
      <c r="B36" s="37" t="s">
        <v>550</v>
      </c>
      <c r="C36" s="38" t="s">
        <v>551</v>
      </c>
      <c r="D36" s="39"/>
      <c r="E36" t="str">
        <f>IF($D$36="Reported","@ForceFilingCode:true",IF($D$36="Not Reported","@ForceFilingCode:false",""))</f>
        <v/>
      </c>
    </row>
    <row r="37" spans="2:5" hidden="1">
      <c r="B37" s="37" t="s">
        <v>552</v>
      </c>
      <c r="C37" s="38" t="s">
        <v>553</v>
      </c>
      <c r="D37" s="39"/>
      <c r="E37" t="str">
        <f>IF($D$37="Reported","@ForceFilingCode:true",IF($D$37="Not Reported","@ForceFilingCode:false",""))</f>
        <v/>
      </c>
    </row>
    <row r="38" spans="2:5" hidden="1">
      <c r="B38" s="37" t="s">
        <v>554</v>
      </c>
      <c r="C38" s="38" t="s">
        <v>555</v>
      </c>
      <c r="D38" s="39"/>
      <c r="E38" t="str">
        <f>IF($D$38="Reported","@ForceFilingCode:true",IF($D$38="Not Reported","@ForceFilingCode:false",""))</f>
        <v/>
      </c>
    </row>
    <row r="39" spans="2:5" hidden="1">
      <c r="B39" s="37" t="s">
        <v>556</v>
      </c>
      <c r="C39" s="38" t="s">
        <v>557</v>
      </c>
      <c r="D39" s="39"/>
      <c r="E39" t="str">
        <f>IF($D$39="Reported","@ForceFilingCode:true",IF($D$39="Not Reported","@ForceFilingCode:false",""))</f>
        <v/>
      </c>
    </row>
    <row r="40" spans="2:5" hidden="1">
      <c r="B40" s="37" t="s">
        <v>558</v>
      </c>
      <c r="C40" s="38" t="s">
        <v>559</v>
      </c>
      <c r="D40" s="39"/>
      <c r="E40" t="str">
        <f>IF($D$40="Reported","@ForceFilingCode:true",IF($D$40="Not Reported","@ForceFilingCode:false",""))</f>
        <v/>
      </c>
    </row>
    <row r="41" spans="2:5" hidden="1">
      <c r="B41" s="37" t="s">
        <v>560</v>
      </c>
      <c r="C41" s="38" t="s">
        <v>561</v>
      </c>
      <c r="D41" s="39"/>
      <c r="E41" t="str">
        <f>IF($D$41="Reported","@ForceFilingCode:true",IF($D$41="Not Reported","@ForceFilingCode:false",""))</f>
        <v/>
      </c>
    </row>
    <row r="42" spans="2:5" hidden="1">
      <c r="B42" s="37" t="s">
        <v>562</v>
      </c>
      <c r="C42" s="38" t="s">
        <v>563</v>
      </c>
      <c r="D42" s="39"/>
      <c r="E42" t="str">
        <f>IF($D$42="Reported","@ForceFilingCode:true",IF($D$42="Not Reported","@ForceFilingCode:false",""))</f>
        <v/>
      </c>
    </row>
    <row r="43" spans="2:5" hidden="1">
      <c r="B43" s="37" t="s">
        <v>564</v>
      </c>
      <c r="C43" s="38" t="s">
        <v>563</v>
      </c>
      <c r="D43" s="39"/>
      <c r="E43" t="str">
        <f>IF($D$43="Reported","@ForceFilingCode:true",IF($D$43="Not Reported","@ForceFilingCode:false",""))</f>
        <v/>
      </c>
    </row>
    <row r="44" spans="2:5" hidden="1">
      <c r="B44" s="37" t="s">
        <v>565</v>
      </c>
      <c r="C44" s="38" t="s">
        <v>566</v>
      </c>
      <c r="D44" s="39"/>
      <c r="E44" t="str">
        <f>IF($D$44="Reported","@ForceFilingCode:true",IF($D$44="Not Reported","@ForceFilingCode:false",""))</f>
        <v/>
      </c>
    </row>
    <row r="45" spans="2:5" hidden="1">
      <c r="B45" s="37" t="s">
        <v>567</v>
      </c>
      <c r="C45" s="38" t="s">
        <v>568</v>
      </c>
      <c r="D45" s="39"/>
      <c r="E45" t="str">
        <f>IF($D$45="Reported","@ForceFilingCode:true",IF($D$45="Not Reported","@ForceFilingCode:false",""))</f>
        <v/>
      </c>
    </row>
    <row r="46" spans="2:5" hidden="1">
      <c r="B46" s="37" t="s">
        <v>569</v>
      </c>
      <c r="C46" s="38" t="s">
        <v>570</v>
      </c>
      <c r="D46" s="39"/>
      <c r="E46" t="str">
        <f>IF($D$46="Reported","@ForceFilingCode:true",IF($D$46="Not Reported","@ForceFilingCode:false",""))</f>
        <v/>
      </c>
    </row>
    <row r="47" spans="2:5" hidden="1">
      <c r="B47" s="37" t="s">
        <v>571</v>
      </c>
      <c r="C47" s="38" t="s">
        <v>572</v>
      </c>
      <c r="D47" s="39"/>
      <c r="E47" t="str">
        <f>IF($D$47="Reported","@ForceFilingCode:true",IF($D$47="Not Reported","@ForceFilingCode:false",""))</f>
        <v/>
      </c>
    </row>
    <row r="48" spans="2:5" hidden="1">
      <c r="B48" s="37" t="s">
        <v>573</v>
      </c>
      <c r="C48" s="38" t="s">
        <v>574</v>
      </c>
      <c r="D48" s="39"/>
      <c r="E48" t="str">
        <f>IF($D$48="Reported","@ForceFilingCode:true",IF($D$48="Not Reported","@ForceFilingCode:false",""))</f>
        <v/>
      </c>
    </row>
    <row r="49" spans="2:5" hidden="1">
      <c r="B49" s="37" t="s">
        <v>575</v>
      </c>
      <c r="C49" s="38" t="s">
        <v>576</v>
      </c>
      <c r="D49" s="39"/>
      <c r="E49" t="str">
        <f>IF($D$49="Reported","@ForceFilingCode:true",IF($D$49="Not Reported","@ForceFilingCode:false",""))</f>
        <v/>
      </c>
    </row>
    <row r="50" spans="2:5" hidden="1">
      <c r="B50" s="37" t="s">
        <v>577</v>
      </c>
      <c r="C50" s="38" t="s">
        <v>578</v>
      </c>
      <c r="D50" s="39"/>
      <c r="E50" t="str">
        <f>IF($D$50="Reported","@ForceFilingCode:true",IF($D$50="Not Reported","@ForceFilingCode:false",""))</f>
        <v/>
      </c>
    </row>
    <row r="51" spans="2:5">
      <c r="B51" s="37" t="s">
        <v>579</v>
      </c>
      <c r="C51" s="38" t="s">
        <v>578</v>
      </c>
      <c r="D51" s="39" t="s">
        <v>817</v>
      </c>
      <c r="E51" t="str">
        <f>IF($D$51="Reported","@ForceFilingCode:true",IF($D$51="Not Reported","@ForceFilingCode:false",""))</f>
        <v>@ForceFilingCode:true</v>
      </c>
    </row>
    <row r="52" spans="2:5" hidden="1">
      <c r="B52" s="37" t="s">
        <v>580</v>
      </c>
      <c r="C52" s="38" t="s">
        <v>578</v>
      </c>
      <c r="D52" s="39"/>
      <c r="E52" t="str">
        <f>IF($D$52="Reported","@ForceFilingCode:true",IF($D$52="Not Reported","@ForceFilingCode:false",""))</f>
        <v/>
      </c>
    </row>
    <row r="53" spans="2:5">
      <c r="B53" s="37" t="s">
        <v>581</v>
      </c>
      <c r="C53" s="38" t="s">
        <v>582</v>
      </c>
      <c r="D53" s="39" t="s">
        <v>817</v>
      </c>
      <c r="E53" t="str">
        <f>IF($D$53="Reported","@ForceFilingCode:true",IF($D$53="Not Reported","@ForceFilingCode:false",""))</f>
        <v>@ForceFilingCode:true</v>
      </c>
    </row>
    <row r="54" spans="2:5" hidden="1">
      <c r="B54" s="37" t="s">
        <v>583</v>
      </c>
      <c r="C54" s="38" t="s">
        <v>584</v>
      </c>
      <c r="D54" s="39"/>
      <c r="E54" t="str">
        <f>IF($D$54="Reported","@ForceFilingCode:true",IF($D$54="Not Reported","@ForceFilingCode:false",""))</f>
        <v/>
      </c>
    </row>
    <row r="55" spans="2:5" hidden="1">
      <c r="B55" s="37" t="s">
        <v>585</v>
      </c>
      <c r="C55" s="38" t="s">
        <v>586</v>
      </c>
      <c r="D55" s="39"/>
      <c r="E55" t="str">
        <f>IF($D$55="Reported","@ForceFilingCode:true",IF($D$55="Not Reported","@ForceFilingCode:false",""))</f>
        <v/>
      </c>
    </row>
    <row r="56" spans="2:5" hidden="1">
      <c r="B56" s="37" t="s">
        <v>587</v>
      </c>
      <c r="C56" s="38" t="s">
        <v>586</v>
      </c>
      <c r="D56" s="39"/>
      <c r="E56" t="str">
        <f>IF($D$56="Reported","@ForceFilingCode:true",IF($D$56="Not Reported","@ForceFilingCode:false",""))</f>
        <v/>
      </c>
    </row>
    <row r="57" spans="2:5" hidden="1">
      <c r="B57" s="37" t="s">
        <v>588</v>
      </c>
      <c r="C57" s="38" t="s">
        <v>586</v>
      </c>
      <c r="D57" s="39"/>
      <c r="E57" t="str">
        <f>IF($D$57="Reported","@ForceFilingCode:true",IF($D$57="Not Reported","@ForceFilingCode:false",""))</f>
        <v/>
      </c>
    </row>
    <row r="58" spans="2:5" hidden="1">
      <c r="B58" s="37" t="s">
        <v>589</v>
      </c>
      <c r="C58" s="38" t="s">
        <v>590</v>
      </c>
      <c r="D58" s="39"/>
      <c r="E58" t="str">
        <f>IF($D$58="Reported","@ForceFilingCode:true",IF($D$58="Not Reported","@ForceFilingCode:false",""))</f>
        <v/>
      </c>
    </row>
    <row r="59" spans="2:5" hidden="1">
      <c r="B59" s="37" t="s">
        <v>591</v>
      </c>
      <c r="C59" s="38" t="s">
        <v>592</v>
      </c>
      <c r="D59" s="39"/>
      <c r="E59" t="str">
        <f>IF($D$59="Reported","@ForceFilingCode:true",IF($D$59="Not Reported","@ForceFilingCode:false",""))</f>
        <v/>
      </c>
    </row>
    <row r="60" spans="2:5" hidden="1">
      <c r="B60" s="37" t="s">
        <v>593</v>
      </c>
      <c r="C60" s="38" t="s">
        <v>594</v>
      </c>
      <c r="D60" s="39"/>
      <c r="E60" t="str">
        <f>IF($D$60="Reported","@ForceFilingCode:true",IF($D$60="Not Reported","@ForceFilingCode:false",""))</f>
        <v/>
      </c>
    </row>
    <row r="61" spans="2:5" hidden="1">
      <c r="B61" s="37" t="s">
        <v>595</v>
      </c>
      <c r="C61" s="38" t="s">
        <v>594</v>
      </c>
      <c r="D61" s="39"/>
      <c r="E61" t="str">
        <f>IF($D$61="Reported","@ForceFilingCode:true",IF($D$61="Not Reported","@ForceFilingCode:false",""))</f>
        <v/>
      </c>
    </row>
    <row r="62" spans="2:5" hidden="1">
      <c r="B62" s="37" t="s">
        <v>596</v>
      </c>
      <c r="C62" s="38" t="s">
        <v>597</v>
      </c>
      <c r="D62" s="39"/>
      <c r="E62" t="str">
        <f>IF($D$62="Reported","@ForceFilingCode:true",IF($D$62="Not Reported","@ForceFilingCode:false",""))</f>
        <v/>
      </c>
    </row>
    <row r="63" spans="2:5" hidden="1">
      <c r="B63" s="37" t="s">
        <v>598</v>
      </c>
      <c r="C63" s="38" t="s">
        <v>597</v>
      </c>
      <c r="D63" s="39"/>
      <c r="E63" t="str">
        <f>IF($D$63="Reported","@ForceFilingCode:true",IF($D$63="Not Reported","@ForceFilingCode:false",""))</f>
        <v/>
      </c>
    </row>
    <row r="64" spans="2:5" hidden="1">
      <c r="B64" s="37" t="s">
        <v>599</v>
      </c>
      <c r="C64" s="38" t="s">
        <v>600</v>
      </c>
      <c r="D64" s="39"/>
      <c r="E64" t="str">
        <f>IF($D$64="Reported","@ForceFilingCode:true",IF($D$64="Not Reported","@ForceFilingCode:false",""))</f>
        <v/>
      </c>
    </row>
    <row r="65" spans="2:5" hidden="1">
      <c r="B65" s="37" t="s">
        <v>601</v>
      </c>
      <c r="C65" s="38" t="s">
        <v>600</v>
      </c>
      <c r="D65" s="39"/>
      <c r="E65" t="str">
        <f>IF($D$65="Reported","@ForceFilingCode:true",IF($D$65="Not Reported","@ForceFilingCode:false",""))</f>
        <v/>
      </c>
    </row>
    <row r="66" spans="2:5" hidden="1">
      <c r="B66" s="37" t="s">
        <v>602</v>
      </c>
      <c r="C66" s="38" t="s">
        <v>603</v>
      </c>
      <c r="D66" s="39"/>
      <c r="E66" t="str">
        <f>IF($D$66="Reported","@ForceFilingCode:true",IF($D$66="Not Reported","@ForceFilingCode:false",""))</f>
        <v/>
      </c>
    </row>
    <row r="67" spans="2:5" hidden="1">
      <c r="B67" s="37" t="s">
        <v>604</v>
      </c>
      <c r="C67" s="38" t="s">
        <v>603</v>
      </c>
      <c r="D67" s="39"/>
      <c r="E67" t="str">
        <f>IF($D$67="Reported","@ForceFilingCode:true",IF($D$67="Not Reported","@ForceFilingCode:false",""))</f>
        <v/>
      </c>
    </row>
    <row r="68" spans="2:5" hidden="1">
      <c r="B68" s="37" t="s">
        <v>605</v>
      </c>
      <c r="C68" s="38" t="s">
        <v>606</v>
      </c>
      <c r="D68" s="39"/>
      <c r="E68" t="str">
        <f>IF($D$68="Reported","@ForceFilingCode:true",IF($D$68="Not Reported","@ForceFilingCode:false",""))</f>
        <v/>
      </c>
    </row>
    <row r="69" spans="2:5" hidden="1">
      <c r="B69" s="37" t="s">
        <v>607</v>
      </c>
      <c r="C69" s="38" t="s">
        <v>606</v>
      </c>
      <c r="D69" s="39"/>
      <c r="E69" t="str">
        <f>IF($D$69="Reported","@ForceFilingCode:true",IF($D$69="Not Reported","@ForceFilingCode:false",""))</f>
        <v/>
      </c>
    </row>
    <row r="70" spans="2:5" hidden="1">
      <c r="B70" s="37" t="s">
        <v>608</v>
      </c>
      <c r="C70" s="38" t="s">
        <v>609</v>
      </c>
      <c r="D70" s="39"/>
      <c r="E70" t="str">
        <f>IF($D$70="Reported","@ForceFilingCode:true",IF($D$70="Not Reported","@ForceFilingCode:false",""))</f>
        <v/>
      </c>
    </row>
    <row r="71" spans="2:5" hidden="1">
      <c r="B71" s="37" t="s">
        <v>610</v>
      </c>
      <c r="C71" s="38" t="s">
        <v>609</v>
      </c>
      <c r="D71" s="39"/>
      <c r="E71" t="str">
        <f>IF($D$71="Reported","@ForceFilingCode:true",IF($D$71="Not Reported","@ForceFilingCode:false",""))</f>
        <v/>
      </c>
    </row>
    <row r="72" spans="2:5" hidden="1">
      <c r="B72" s="37" t="s">
        <v>611</v>
      </c>
      <c r="C72" s="38" t="s">
        <v>612</v>
      </c>
      <c r="D72" s="39"/>
      <c r="E72" t="str">
        <f>IF($D$72="Reported","@ForceFilingCode:true",IF($D$72="Not Reported","@ForceFilingCode:false",""))</f>
        <v/>
      </c>
    </row>
    <row r="73" spans="2:5" hidden="1">
      <c r="B73" s="37" t="s">
        <v>613</v>
      </c>
      <c r="C73" s="38" t="s">
        <v>612</v>
      </c>
      <c r="D73" s="39"/>
      <c r="E73" t="str">
        <f>IF($D$73="Reported","@ForceFilingCode:true",IF($D$73="Not Reported","@ForceFilingCode:false",""))</f>
        <v/>
      </c>
    </row>
    <row r="74" spans="2:5" hidden="1">
      <c r="B74" s="37" t="s">
        <v>614</v>
      </c>
      <c r="C74" s="38" t="s">
        <v>615</v>
      </c>
      <c r="D74" s="39"/>
      <c r="E74" t="str">
        <f>IF($D$74="Reported","@ForceFilingCode:true",IF($D$74="Not Reported","@ForceFilingCode:false",""))</f>
        <v/>
      </c>
    </row>
    <row r="75" spans="2:5">
      <c r="B75" s="37" t="s">
        <v>616</v>
      </c>
      <c r="C75" s="38" t="s">
        <v>615</v>
      </c>
      <c r="D75" s="39" t="s">
        <v>817</v>
      </c>
      <c r="E75" t="str">
        <f>IF($D$75="Reported","@ForceFilingCode:true",IF($D$75="Not Reported","@ForceFilingCode:false",""))</f>
        <v>@ForceFilingCode:true</v>
      </c>
    </row>
    <row r="76" spans="2:5" hidden="1">
      <c r="B76" s="37" t="s">
        <v>617</v>
      </c>
      <c r="C76" s="38" t="s">
        <v>615</v>
      </c>
      <c r="D76" s="39"/>
      <c r="E76" t="str">
        <f>IF($D$76="Reported","@ForceFilingCode:true",IF($D$76="Not Reported","@ForceFilingCode:false",""))</f>
        <v/>
      </c>
    </row>
    <row r="77" spans="2:5" hidden="1">
      <c r="B77" s="37" t="s">
        <v>618</v>
      </c>
      <c r="C77" s="38" t="s">
        <v>619</v>
      </c>
      <c r="D77" s="39"/>
      <c r="E77" t="str">
        <f>IF($D$77="Reported","@ForceFilingCode:true",IF($D$77="Not Reported","@ForceFilingCode:false",""))</f>
        <v/>
      </c>
    </row>
    <row r="78" spans="2:5" hidden="1">
      <c r="B78" s="37" t="s">
        <v>620</v>
      </c>
      <c r="C78" s="38" t="s">
        <v>621</v>
      </c>
      <c r="D78" s="39"/>
      <c r="E78" t="str">
        <f>IF($D$78="Reported","@ForceFilingCode:true",IF($D$78="Not Reported","@ForceFilingCode:false",""))</f>
        <v/>
      </c>
    </row>
    <row r="79" spans="2:5" hidden="1">
      <c r="B79" s="37" t="s">
        <v>622</v>
      </c>
      <c r="C79" s="38" t="s">
        <v>623</v>
      </c>
      <c r="D79" s="39"/>
      <c r="E79" t="str">
        <f>IF($D$79="Reported","@ForceFilingCode:true",IF($D$79="Not Reported","@ForceFilingCode:false",""))</f>
        <v/>
      </c>
    </row>
    <row r="80" spans="2:5" hidden="1">
      <c r="B80" s="37" t="s">
        <v>624</v>
      </c>
      <c r="C80" s="38" t="s">
        <v>623</v>
      </c>
      <c r="D80" s="39"/>
      <c r="E80" t="str">
        <f>IF($D$80="Reported","@ForceFilingCode:true",IF($D$80="Not Reported","@ForceFilingCode:false",""))</f>
        <v/>
      </c>
    </row>
    <row r="81" spans="2:5" hidden="1">
      <c r="B81" s="37" t="s">
        <v>625</v>
      </c>
      <c r="C81" s="38" t="s">
        <v>626</v>
      </c>
      <c r="D81" s="39"/>
      <c r="E81" t="str">
        <f>IF($D$81="Reported","@ForceFilingCode:true",IF($D$81="Not Reported","@ForceFilingCode:false",""))</f>
        <v/>
      </c>
    </row>
    <row r="82" spans="2:5" hidden="1">
      <c r="B82" s="37" t="s">
        <v>627</v>
      </c>
      <c r="C82" s="38" t="s">
        <v>626</v>
      </c>
      <c r="D82" s="39"/>
      <c r="E82" t="str">
        <f>IF($D$82="Reported","@ForceFilingCode:true",IF($D$82="Not Reported","@ForceFilingCode:false",""))</f>
        <v/>
      </c>
    </row>
    <row r="83" spans="2:5" hidden="1">
      <c r="B83" s="37" t="s">
        <v>628</v>
      </c>
      <c r="C83" s="38" t="s">
        <v>629</v>
      </c>
      <c r="D83" s="39"/>
      <c r="E83" t="str">
        <f>IF($D$83="Reported","@ForceFilingCode:true",IF($D$83="Not Reported","@ForceFilingCode:false",""))</f>
        <v/>
      </c>
    </row>
    <row r="84" spans="2:5" hidden="1">
      <c r="B84" s="37" t="s">
        <v>630</v>
      </c>
      <c r="C84" s="38" t="s">
        <v>629</v>
      </c>
      <c r="D84" s="39"/>
      <c r="E84" t="str">
        <f>IF($D$84="Reported","@ForceFilingCode:true",IF($D$84="Not Reported","@ForceFilingCode:false",""))</f>
        <v/>
      </c>
    </row>
    <row r="85" spans="2:5" hidden="1">
      <c r="B85" s="37" t="s">
        <v>631</v>
      </c>
      <c r="C85" s="38" t="s">
        <v>632</v>
      </c>
      <c r="D85" s="39"/>
      <c r="E85" t="str">
        <f>IF($D$85="Reported","@ForceFilingCode:true",IF($D$85="Not Reported","@ForceFilingCode:false",""))</f>
        <v/>
      </c>
    </row>
    <row r="86" spans="2:5" hidden="1">
      <c r="B86" s="37" t="s">
        <v>633</v>
      </c>
      <c r="C86" s="38" t="s">
        <v>634</v>
      </c>
      <c r="D86" s="39"/>
      <c r="E86" t="str">
        <f>IF($D$86="Reported","@ForceFilingCode:true",IF($D$86="Not Reported","@ForceFilingCode:false",""))</f>
        <v/>
      </c>
    </row>
    <row r="87" spans="2:5">
      <c r="B87" s="37" t="s">
        <v>635</v>
      </c>
      <c r="C87" s="38" t="s">
        <v>634</v>
      </c>
      <c r="D87" s="39" t="s">
        <v>817</v>
      </c>
      <c r="E87" t="str">
        <f>IF($D$87="Reported","@ForceFilingCode:true",IF($D$87="Not Reported","@ForceFilingCode:false",""))</f>
        <v>@ForceFilingCode:true</v>
      </c>
    </row>
    <row r="88" spans="2:5" hidden="1">
      <c r="B88" s="37" t="s">
        <v>636</v>
      </c>
      <c r="C88" s="38" t="s">
        <v>634</v>
      </c>
      <c r="D88" s="39"/>
      <c r="E88" t="str">
        <f>IF($D$88="Reported","@ForceFilingCode:true",IF($D$88="Not Reported","@ForceFilingCode:false",""))</f>
        <v/>
      </c>
    </row>
    <row r="89" spans="2:5" hidden="1">
      <c r="B89" s="37" t="s">
        <v>637</v>
      </c>
      <c r="C89" s="38" t="s">
        <v>638</v>
      </c>
      <c r="D89" s="39"/>
      <c r="E89" t="str">
        <f>IF($D$89="Reported","@ForceFilingCode:true",IF($D$89="Not Reported","@ForceFilingCode:false",""))</f>
        <v/>
      </c>
    </row>
    <row r="90" spans="2:5" hidden="1">
      <c r="B90" s="37" t="s">
        <v>639</v>
      </c>
      <c r="C90" s="38" t="s">
        <v>640</v>
      </c>
      <c r="D90" s="39"/>
      <c r="E90" t="str">
        <f>IF($D$90="Reported","@ForceFilingCode:true",IF($D$90="Not Reported","@ForceFilingCode:false",""))</f>
        <v/>
      </c>
    </row>
    <row r="91" spans="2:5" hidden="1">
      <c r="B91" s="37" t="s">
        <v>641</v>
      </c>
      <c r="C91" s="38" t="s">
        <v>642</v>
      </c>
      <c r="D91" s="39"/>
      <c r="E91" t="str">
        <f>IF($D$91="Reported","@ForceFilingCode:true",IF($D$91="Not Reported","@ForceFilingCode:false",""))</f>
        <v/>
      </c>
    </row>
    <row r="92" spans="2:5">
      <c r="B92" s="37" t="s">
        <v>643</v>
      </c>
      <c r="C92" s="38" t="s">
        <v>642</v>
      </c>
      <c r="D92" s="39" t="s">
        <v>817</v>
      </c>
      <c r="E92" t="str">
        <f>IF($D$92="Reported","@ForceFilingCode:true",IF($D$92="Not Reported","@ForceFilingCode:false",""))</f>
        <v>@ForceFilingCode:true</v>
      </c>
    </row>
    <row r="93" spans="2:5" hidden="1">
      <c r="B93" s="37" t="s">
        <v>644</v>
      </c>
      <c r="C93" s="38" t="s">
        <v>645</v>
      </c>
      <c r="D93" s="39"/>
      <c r="E93" t="str">
        <f>IF($D$93="Reported","@ForceFilingCode:true",IF($D$93="Not Reported","@ForceFilingCode:false",""))</f>
        <v/>
      </c>
    </row>
    <row r="94" spans="2:5" hidden="1">
      <c r="B94" s="37" t="s">
        <v>646</v>
      </c>
      <c r="C94" s="38" t="s">
        <v>647</v>
      </c>
      <c r="D94" s="39"/>
      <c r="E94" t="str">
        <f>IF($D$94="Reported","@ForceFilingCode:true",IF($D$94="Not Reported","@ForceFilingCode:false",""))</f>
        <v/>
      </c>
    </row>
    <row r="95" spans="2:5" hidden="1">
      <c r="B95" s="37" t="s">
        <v>648</v>
      </c>
      <c r="C95" s="38" t="s">
        <v>649</v>
      </c>
      <c r="D95" s="39"/>
      <c r="E95" t="str">
        <f>IF($D$95="Reported","@ForceFilingCode:true",IF($D$95="Not Reported","@ForceFilingCode:false",""))</f>
        <v/>
      </c>
    </row>
    <row r="96" spans="2:5" hidden="1">
      <c r="B96" s="37" t="s">
        <v>650</v>
      </c>
      <c r="C96" s="38" t="s">
        <v>651</v>
      </c>
      <c r="D96" s="39"/>
      <c r="E96" t="str">
        <f>IF($D$96="Reported","@ForceFilingCode:true",IF($D$96="Not Reported","@ForceFilingCode:false",""))</f>
        <v/>
      </c>
    </row>
    <row r="97" spans="2:5" hidden="1">
      <c r="B97" s="37" t="s">
        <v>652</v>
      </c>
      <c r="C97" s="38" t="s">
        <v>653</v>
      </c>
      <c r="D97" s="39"/>
      <c r="E97" t="str">
        <f>IF($D$97="Reported","@ForceFilingCode:true",IF($D$97="Not Reported","@ForceFilingCode:false",""))</f>
        <v/>
      </c>
    </row>
    <row r="98" spans="2:5" hidden="1">
      <c r="B98" s="37" t="s">
        <v>654</v>
      </c>
      <c r="C98" s="38" t="s">
        <v>653</v>
      </c>
      <c r="D98" s="39"/>
      <c r="E98" t="str">
        <f>IF($D$98="Reported","@ForceFilingCode:true",IF($D$98="Not Reported","@ForceFilingCode:false",""))</f>
        <v/>
      </c>
    </row>
    <row r="99" spans="2:5">
      <c r="B99" s="37" t="s">
        <v>655</v>
      </c>
      <c r="C99" s="38" t="s">
        <v>653</v>
      </c>
      <c r="D99" s="39" t="s">
        <v>817</v>
      </c>
      <c r="E99" t="str">
        <f>IF($D$99="Reported","@ForceFilingCode:true",IF($D$99="Not Reported","@ForceFilingCode:false",""))</f>
        <v>@ForceFilingCode:true</v>
      </c>
    </row>
    <row r="100" spans="2:5" hidden="1">
      <c r="B100" s="37" t="s">
        <v>656</v>
      </c>
      <c r="C100" s="38" t="s">
        <v>653</v>
      </c>
      <c r="D100" s="39"/>
      <c r="E100" t="str">
        <f>IF($D$100="Reported","@ForceFilingCode:true",IF($D$100="Not Reported","@ForceFilingCode:false",""))</f>
        <v/>
      </c>
    </row>
    <row r="101" spans="2:5" hidden="1">
      <c r="B101" s="37" t="s">
        <v>657</v>
      </c>
      <c r="C101" s="38" t="s">
        <v>658</v>
      </c>
      <c r="D101" s="39"/>
      <c r="E101" t="str">
        <f>IF($D$101="Reported","@ForceFilingCode:true",IF($D$101="Not Reported","@ForceFilingCode:false",""))</f>
        <v/>
      </c>
    </row>
    <row r="102" spans="2:5" hidden="1">
      <c r="B102" s="37" t="s">
        <v>659</v>
      </c>
      <c r="C102" s="38" t="s">
        <v>660</v>
      </c>
      <c r="D102" s="39"/>
      <c r="E102" t="str">
        <f>IF($D$102="Reported","@ForceFilingCode:true",IF($D$102="Not Reported","@ForceFilingCode:false",""))</f>
        <v/>
      </c>
    </row>
    <row r="103" spans="2:5" hidden="1">
      <c r="B103" s="37" t="s">
        <v>661</v>
      </c>
      <c r="C103" s="38" t="s">
        <v>662</v>
      </c>
      <c r="D103" s="39"/>
      <c r="E103" t="str">
        <f>IF($D$103="Reported","@ForceFilingCode:true",IF($D$103="Not Reported","@ForceFilingCode:false",""))</f>
        <v/>
      </c>
    </row>
    <row r="104" spans="2:5" hidden="1">
      <c r="B104" s="37" t="s">
        <v>663</v>
      </c>
      <c r="C104" s="38" t="s">
        <v>664</v>
      </c>
      <c r="D104" s="39"/>
      <c r="E104" t="str">
        <f>IF($D$104="Reported","@ForceFilingCode:true",IF($D$104="Not Reported","@ForceFilingCode:false",""))</f>
        <v/>
      </c>
    </row>
    <row r="105" spans="2:5" hidden="1">
      <c r="B105" s="37" t="s">
        <v>665</v>
      </c>
      <c r="C105" s="38" t="s">
        <v>666</v>
      </c>
      <c r="D105" s="39"/>
      <c r="E105" t="str">
        <f>IF($D$105="Reported","@ForceFilingCode:true",IF($D$105="Not Reported","@ForceFilingCode:false",""))</f>
        <v/>
      </c>
    </row>
    <row r="106" spans="2:5">
      <c r="B106" s="37" t="s">
        <v>667</v>
      </c>
      <c r="C106" s="38" t="s">
        <v>668</v>
      </c>
      <c r="D106" s="39" t="s">
        <v>817</v>
      </c>
      <c r="E106" t="str">
        <f>IF($D$106="Reported","@ForceFilingCode:true",IF($D$106="Not Reported","@ForceFilingCode:false",""))</f>
        <v>@ForceFilingCode:true</v>
      </c>
    </row>
    <row r="107" spans="2:5" hidden="1">
      <c r="B107" s="37" t="s">
        <v>669</v>
      </c>
      <c r="C107" s="38" t="s">
        <v>668</v>
      </c>
      <c r="D107" s="39"/>
      <c r="E107" t="str">
        <f>IF($D$107="Reported","@ForceFilingCode:true",IF($D$107="Not Reported","@ForceFilingCode:false",""))</f>
        <v/>
      </c>
    </row>
    <row r="108" spans="2:5" hidden="1">
      <c r="B108" s="37" t="s">
        <v>670</v>
      </c>
      <c r="C108" s="38" t="s">
        <v>668</v>
      </c>
      <c r="D108" s="39"/>
      <c r="E108" t="str">
        <f>IF($D$108="Reported","@ForceFilingCode:true",IF($D$108="Not Reported","@ForceFilingCode:false",""))</f>
        <v/>
      </c>
    </row>
    <row r="109" spans="2:5" hidden="1">
      <c r="B109" s="37" t="s">
        <v>671</v>
      </c>
      <c r="C109" s="38" t="s">
        <v>668</v>
      </c>
      <c r="D109" s="39"/>
      <c r="E109" t="str">
        <f>IF($D$109="Reported","@ForceFilingCode:true",IF($D$109="Not Reported","@ForceFilingCode:false",""))</f>
        <v/>
      </c>
    </row>
    <row r="110" spans="2:5" hidden="1">
      <c r="B110" s="37" t="s">
        <v>672</v>
      </c>
      <c r="C110" s="38" t="s">
        <v>668</v>
      </c>
      <c r="D110" s="39"/>
      <c r="E110" t="str">
        <f>IF($D$110="Reported","@ForceFilingCode:true",IF($D$110="Not Reported","@ForceFilingCode:false",""))</f>
        <v/>
      </c>
    </row>
    <row r="111" spans="2:5" hidden="1">
      <c r="B111" s="37" t="s">
        <v>673</v>
      </c>
      <c r="C111" s="38" t="s">
        <v>674</v>
      </c>
      <c r="D111" s="39"/>
      <c r="E111" t="str">
        <f>IF($D$111="Reported","@ForceFilingCode:true",IF($D$111="Not Reported","@ForceFilingCode:false",""))</f>
        <v/>
      </c>
    </row>
    <row r="112" spans="2:5" hidden="1">
      <c r="B112" s="37" t="s">
        <v>675</v>
      </c>
      <c r="C112" s="38" t="s">
        <v>674</v>
      </c>
      <c r="D112" s="39"/>
      <c r="E112" t="str">
        <f>IF($D$112="Reported","@ForceFilingCode:true",IF($D$112="Not Reported","@ForceFilingCode:false",""))</f>
        <v/>
      </c>
    </row>
    <row r="113" spans="2:5" hidden="1">
      <c r="B113" s="37" t="s">
        <v>676</v>
      </c>
      <c r="C113" s="38" t="s">
        <v>677</v>
      </c>
      <c r="D113" s="39"/>
      <c r="E113" t="str">
        <f>IF($D$113="Reported","@ForceFilingCode:true",IF($D$113="Not Reported","@ForceFilingCode:false",""))</f>
        <v/>
      </c>
    </row>
    <row r="114" spans="2:5" hidden="1">
      <c r="B114" s="37" t="s">
        <v>678</v>
      </c>
      <c r="C114" s="38" t="s">
        <v>677</v>
      </c>
      <c r="D114" s="39"/>
      <c r="E114" t="str">
        <f>IF($D$114="Reported","@ForceFilingCode:true",IF($D$114="Not Reported","@ForceFilingCode:false",""))</f>
        <v/>
      </c>
    </row>
    <row r="115" spans="2:5" hidden="1">
      <c r="B115" s="37" t="s">
        <v>679</v>
      </c>
      <c r="C115" s="38" t="s">
        <v>680</v>
      </c>
      <c r="D115" s="39"/>
      <c r="E115" t="str">
        <f>IF($D$115="Reported","@ForceFilingCode:true",IF($D$115="Not Reported","@ForceFilingCode:false",""))</f>
        <v/>
      </c>
    </row>
    <row r="116" spans="2:5" hidden="1">
      <c r="B116" s="37" t="s">
        <v>681</v>
      </c>
      <c r="C116" s="38" t="s">
        <v>682</v>
      </c>
      <c r="D116" s="39"/>
      <c r="E116" t="str">
        <f>IF($D$116="Reported","@ForceFilingCode:true",IF($D$116="Not Reported","@ForceFilingCode:false",""))</f>
        <v/>
      </c>
    </row>
    <row r="117" spans="2:5" hidden="1">
      <c r="B117" s="37" t="s">
        <v>683</v>
      </c>
      <c r="C117" s="38" t="s">
        <v>682</v>
      </c>
      <c r="D117" s="39"/>
      <c r="E117" t="str">
        <f>IF($D$117="Reported","@ForceFilingCode:true",IF($D$117="Not Reported","@ForceFilingCode:false",""))</f>
        <v/>
      </c>
    </row>
    <row r="118" spans="2:5" hidden="1">
      <c r="B118" s="37" t="s">
        <v>684</v>
      </c>
      <c r="C118" s="38" t="s">
        <v>685</v>
      </c>
      <c r="D118" s="39"/>
      <c r="E118" t="str">
        <f>IF($D$118="Reported","@ForceFilingCode:true",IF($D$118="Not Reported","@ForceFilingCode:false",""))</f>
        <v/>
      </c>
    </row>
    <row r="119" spans="2:5" hidden="1">
      <c r="B119" s="37" t="s">
        <v>686</v>
      </c>
      <c r="C119" s="38" t="s">
        <v>687</v>
      </c>
      <c r="D119" s="39"/>
      <c r="E119" t="str">
        <f>IF($D$119="Reported","@ForceFilingCode:true",IF($D$119="Not Reported","@ForceFilingCode:false",""))</f>
        <v/>
      </c>
    </row>
    <row r="120" spans="2:5" hidden="1">
      <c r="B120" s="37" t="s">
        <v>688</v>
      </c>
      <c r="C120" s="38" t="s">
        <v>689</v>
      </c>
      <c r="D120" s="39"/>
      <c r="E120" t="str">
        <f>IF($D$120="Reported","@ForceFilingCode:true",IF($D$120="Not Reported","@ForceFilingCode:false",""))</f>
        <v/>
      </c>
    </row>
    <row r="121" spans="2:5">
      <c r="B121" s="37" t="s">
        <v>690</v>
      </c>
      <c r="C121" s="38" t="s">
        <v>687</v>
      </c>
      <c r="D121" s="39" t="s">
        <v>817</v>
      </c>
      <c r="E121" t="str">
        <f>IF($D$121="Reported","@ForceFilingCode:true",IF($D$121="Not Reported","@ForceFilingCode:false",""))</f>
        <v>@ForceFilingCode:true</v>
      </c>
    </row>
    <row r="122" spans="2:5" hidden="1">
      <c r="B122" s="37" t="s">
        <v>691</v>
      </c>
      <c r="C122" s="38" t="s">
        <v>689</v>
      </c>
      <c r="D122" s="39"/>
      <c r="E122" t="str">
        <f>IF($D$122="Reported","@ForceFilingCode:true",IF($D$122="Not Reported","@ForceFilingCode:false",""))</f>
        <v/>
      </c>
    </row>
    <row r="123" spans="2:5" hidden="1">
      <c r="B123" s="37" t="s">
        <v>692</v>
      </c>
      <c r="C123" s="38" t="s">
        <v>687</v>
      </c>
      <c r="D123" s="39"/>
      <c r="E123" t="str">
        <f>IF($D$123="Reported","@ForceFilingCode:true",IF($D$123="Not Reported","@ForceFilingCode:false",""))</f>
        <v/>
      </c>
    </row>
    <row r="124" spans="2:5" hidden="1">
      <c r="B124" s="37" t="s">
        <v>693</v>
      </c>
      <c r="C124" s="38" t="s">
        <v>689</v>
      </c>
      <c r="D124" s="39"/>
      <c r="E124" t="str">
        <f>IF($D$124="Reported","@ForceFilingCode:true",IF($D$124="Not Reported","@ForceFilingCode:false",""))</f>
        <v/>
      </c>
    </row>
    <row r="125" spans="2:5" hidden="1">
      <c r="B125" s="37" t="s">
        <v>694</v>
      </c>
      <c r="C125" s="38" t="s">
        <v>695</v>
      </c>
      <c r="D125" s="39"/>
      <c r="E125" t="str">
        <f>IF($D$125="Reported","@ForceFilingCode:true",IF($D$125="Not Reported","@ForceFilingCode:false",""))</f>
        <v/>
      </c>
    </row>
    <row r="126" spans="2:5" hidden="1">
      <c r="B126" s="37" t="s">
        <v>696</v>
      </c>
      <c r="C126" s="38" t="s">
        <v>697</v>
      </c>
      <c r="D126" s="39"/>
      <c r="E126" t="str">
        <f>IF($D$126="Reported","@ForceFilingCode:true",IF($D$126="Not Reported","@ForceFilingCode:false",""))</f>
        <v/>
      </c>
    </row>
    <row r="127" spans="2:5">
      <c r="B127" s="37" t="s">
        <v>698</v>
      </c>
      <c r="C127" s="38" t="s">
        <v>695</v>
      </c>
      <c r="D127" s="39" t="s">
        <v>6108</v>
      </c>
      <c r="E127" t="str">
        <f>IF($D$127="Reported","@ForceFilingCode:true",IF($D$127="Not Reported","@ForceFilingCode:false",""))</f>
        <v>@ForceFilingCode:false</v>
      </c>
    </row>
    <row r="128" spans="2:5" hidden="1">
      <c r="B128" s="37" t="s">
        <v>699</v>
      </c>
      <c r="C128" s="38" t="s">
        <v>697</v>
      </c>
      <c r="D128" s="39"/>
      <c r="E128" t="str">
        <f>IF($D$128="Reported","@ForceFilingCode:true",IF($D$128="Not Reported","@ForceFilingCode:false",""))</f>
        <v/>
      </c>
    </row>
    <row r="129" spans="2:5" hidden="1">
      <c r="B129" s="37" t="s">
        <v>700</v>
      </c>
      <c r="C129" s="38" t="s">
        <v>695</v>
      </c>
      <c r="D129" s="39"/>
      <c r="E129" t="str">
        <f>IF($D$129="Reported","@ForceFilingCode:true",IF($D$129="Not Reported","@ForceFilingCode:false",""))</f>
        <v/>
      </c>
    </row>
    <row r="130" spans="2:5" hidden="1">
      <c r="B130" s="37" t="s">
        <v>701</v>
      </c>
      <c r="C130" s="38" t="s">
        <v>697</v>
      </c>
      <c r="D130" s="39"/>
      <c r="E130" t="str">
        <f>IF($D$130="Reported","@ForceFilingCode:true",IF($D$130="Not Reported","@ForceFilingCode:false",""))</f>
        <v/>
      </c>
    </row>
    <row r="131" spans="2:5" hidden="1">
      <c r="B131" s="37" t="s">
        <v>702</v>
      </c>
      <c r="C131" s="38" t="s">
        <v>703</v>
      </c>
      <c r="D131" s="39"/>
      <c r="E131" t="str">
        <f>IF($D$131="Reported","@ForceFilingCode:true",IF($D$131="Not Reported","@ForceFilingCode:false",""))</f>
        <v/>
      </c>
    </row>
    <row r="132" spans="2:5" hidden="1">
      <c r="B132" s="37" t="s">
        <v>704</v>
      </c>
      <c r="C132" s="38" t="s">
        <v>705</v>
      </c>
      <c r="D132" s="39"/>
      <c r="E132" t="str">
        <f>IF($D$132="Reported","@ForceFilingCode:true",IF($D$132="Not Reported","@ForceFilingCode:false",""))</f>
        <v/>
      </c>
    </row>
    <row r="133" spans="2:5">
      <c r="B133" s="37" t="s">
        <v>706</v>
      </c>
      <c r="C133" s="38" t="s">
        <v>703</v>
      </c>
      <c r="D133" s="39" t="s">
        <v>6108</v>
      </c>
      <c r="E133" t="str">
        <f>IF($D$133="Reported","@ForceFilingCode:true",IF($D$133="Not Reported","@ForceFilingCode:false",""))</f>
        <v>@ForceFilingCode:false</v>
      </c>
    </row>
    <row r="134" spans="2:5" hidden="1">
      <c r="B134" s="37" t="s">
        <v>707</v>
      </c>
      <c r="C134" s="38" t="s">
        <v>705</v>
      </c>
      <c r="D134" s="39"/>
      <c r="E134" t="str">
        <f>IF($D$134="Reported","@ForceFilingCode:true",IF($D$134="Not Reported","@ForceFilingCode:false",""))</f>
        <v/>
      </c>
    </row>
    <row r="135" spans="2:5" hidden="1">
      <c r="B135" s="37" t="s">
        <v>708</v>
      </c>
      <c r="C135" s="38" t="s">
        <v>703</v>
      </c>
      <c r="D135" s="39"/>
      <c r="E135" t="str">
        <f>IF($D$135="Reported","@ForceFilingCode:true",IF($D$135="Not Reported","@ForceFilingCode:false",""))</f>
        <v/>
      </c>
    </row>
    <row r="136" spans="2:5" hidden="1">
      <c r="B136" s="37" t="s">
        <v>709</v>
      </c>
      <c r="C136" s="38" t="s">
        <v>705</v>
      </c>
      <c r="D136" s="39"/>
      <c r="E136" t="str">
        <f>IF($D$136="Reported","@ForceFilingCode:true",IF($D$136="Not Reported","@ForceFilingCode:false",""))</f>
        <v/>
      </c>
    </row>
    <row r="137" spans="2:5" hidden="1">
      <c r="B137" s="37" t="s">
        <v>710</v>
      </c>
      <c r="C137" s="38" t="s">
        <v>711</v>
      </c>
      <c r="D137" s="39"/>
      <c r="E137" t="str">
        <f>IF($D$137="Reported","@ForceFilingCode:true",IF($D$137="Not Reported","@ForceFilingCode:false",""))</f>
        <v/>
      </c>
    </row>
    <row r="138" spans="2:5" hidden="1">
      <c r="B138" s="37" t="s">
        <v>712</v>
      </c>
      <c r="C138" s="38" t="s">
        <v>711</v>
      </c>
      <c r="D138" s="39"/>
      <c r="E138" t="str">
        <f>IF($D$138="Reported","@ForceFilingCode:true",IF($D$138="Not Reported","@ForceFilingCode:false",""))</f>
        <v/>
      </c>
    </row>
    <row r="139" spans="2:5" hidden="1">
      <c r="B139" s="37" t="s">
        <v>713</v>
      </c>
      <c r="C139" s="38" t="s">
        <v>714</v>
      </c>
      <c r="D139" s="39"/>
      <c r="E139" t="str">
        <f>IF($D$139="Reported","@ForceFilingCode:true",IF($D$139="Not Reported","@ForceFilingCode:false",""))</f>
        <v/>
      </c>
    </row>
    <row r="140" spans="2:5" hidden="1">
      <c r="B140" s="37" t="s">
        <v>715</v>
      </c>
      <c r="C140" s="38" t="s">
        <v>714</v>
      </c>
      <c r="D140" s="39"/>
      <c r="E140" t="str">
        <f>IF($D$140="Reported","@ForceFilingCode:true",IF($D$140="Not Reported","@ForceFilingCode:false",""))</f>
        <v/>
      </c>
    </row>
    <row r="141" spans="2:5" hidden="1">
      <c r="B141" s="37" t="s">
        <v>716</v>
      </c>
      <c r="C141" s="38" t="s">
        <v>714</v>
      </c>
      <c r="D141" s="39"/>
      <c r="E141" t="str">
        <f>IF($D$141="Reported","@ForceFilingCode:true",IF($D$141="Not Reported","@ForceFilingCode:false",""))</f>
        <v/>
      </c>
    </row>
    <row r="142" spans="2:5" hidden="1">
      <c r="B142" s="37" t="s">
        <v>717</v>
      </c>
      <c r="C142" s="38" t="s">
        <v>718</v>
      </c>
      <c r="D142" s="39"/>
      <c r="E142" t="str">
        <f>IF($D$142="Reported","@ForceFilingCode:true",IF($D$142="Not Reported","@ForceFilingCode:false",""))</f>
        <v/>
      </c>
    </row>
    <row r="143" spans="2:5" hidden="1">
      <c r="B143" s="37" t="s">
        <v>719</v>
      </c>
      <c r="C143" s="38" t="s">
        <v>718</v>
      </c>
      <c r="D143" s="39"/>
      <c r="E143" t="str">
        <f>IF($D$143="Reported","@ForceFilingCode:true",IF($D$143="Not Reported","@ForceFilingCode:false",""))</f>
        <v/>
      </c>
    </row>
    <row r="144" spans="2:5" hidden="1">
      <c r="B144" s="37" t="s">
        <v>720</v>
      </c>
      <c r="C144" s="38" t="s">
        <v>718</v>
      </c>
      <c r="D144" s="39"/>
      <c r="E144" t="str">
        <f>IF($D$144="Reported","@ForceFilingCode:true",IF($D$144="Not Reported","@ForceFilingCode:false",""))</f>
        <v/>
      </c>
    </row>
    <row r="145" spans="2:5" hidden="1">
      <c r="B145" s="37" t="s">
        <v>721</v>
      </c>
      <c r="C145" s="38" t="s">
        <v>722</v>
      </c>
      <c r="D145" s="39"/>
      <c r="E145" t="str">
        <f>IF($D$145="Reported","@ForceFilingCode:true",IF($D$145="Not Reported","@ForceFilingCode:false",""))</f>
        <v/>
      </c>
    </row>
    <row r="146" spans="2:5" hidden="1">
      <c r="B146" s="37" t="s">
        <v>723</v>
      </c>
      <c r="C146" s="38" t="s">
        <v>722</v>
      </c>
      <c r="D146" s="39"/>
      <c r="E146" t="str">
        <f>IF($D$146="Reported","@ForceFilingCode:true",IF($D$146="Not Reported","@ForceFilingCode:false",""))</f>
        <v/>
      </c>
    </row>
    <row r="147" spans="2:5" hidden="1">
      <c r="B147" s="37" t="s">
        <v>724</v>
      </c>
      <c r="C147" s="38" t="s">
        <v>722</v>
      </c>
      <c r="D147" s="39"/>
      <c r="E147" t="str">
        <f>IF($D$147="Reported","@ForceFilingCode:true",IF($D$147="Not Reported","@ForceFilingCode:false",""))</f>
        <v/>
      </c>
    </row>
    <row r="148" spans="2:5" hidden="1">
      <c r="B148" s="37" t="s">
        <v>725</v>
      </c>
      <c r="C148" s="38" t="s">
        <v>726</v>
      </c>
      <c r="D148" s="39"/>
      <c r="E148" t="str">
        <f>IF($D$148="Reported","@ForceFilingCode:true",IF($D$148="Not Reported","@ForceFilingCode:false",""))</f>
        <v/>
      </c>
    </row>
    <row r="149" spans="2:5" hidden="1">
      <c r="B149" s="37" t="s">
        <v>727</v>
      </c>
      <c r="C149" s="38" t="s">
        <v>726</v>
      </c>
      <c r="D149" s="39"/>
      <c r="E149" t="str">
        <f>IF($D$149="Reported","@ForceFilingCode:true",IF($D$149="Not Reported","@ForceFilingCode:false",""))</f>
        <v/>
      </c>
    </row>
    <row r="150" spans="2:5" hidden="1">
      <c r="B150" s="37" t="s">
        <v>728</v>
      </c>
      <c r="C150" s="38" t="s">
        <v>726</v>
      </c>
      <c r="D150" s="39"/>
      <c r="E150" t="str">
        <f>IF($D$150="Reported","@ForceFilingCode:true",IF($D$150="Not Reported","@ForceFilingCode:false",""))</f>
        <v/>
      </c>
    </row>
    <row r="151" spans="2:5" hidden="1">
      <c r="B151" s="37" t="s">
        <v>729</v>
      </c>
      <c r="C151" s="38" t="s">
        <v>730</v>
      </c>
      <c r="D151" s="39"/>
      <c r="E151" t="str">
        <f>IF($D$151="Reported","@ForceFilingCode:true",IF($D$151="Not Reported","@ForceFilingCode:false",""))</f>
        <v/>
      </c>
    </row>
    <row r="152" spans="2:5" hidden="1">
      <c r="B152" s="37" t="s">
        <v>731</v>
      </c>
      <c r="C152" s="38" t="s">
        <v>730</v>
      </c>
      <c r="D152" s="39"/>
      <c r="E152" t="str">
        <f>IF($D$152="Reported","@ForceFilingCode:true",IF($D$152="Not Reported","@ForceFilingCode:false",""))</f>
        <v/>
      </c>
    </row>
    <row r="153" spans="2:5" hidden="1">
      <c r="B153" s="37" t="s">
        <v>732</v>
      </c>
      <c r="C153" s="38" t="s">
        <v>730</v>
      </c>
      <c r="D153" s="39"/>
      <c r="E153" t="str">
        <f>IF($D$153="Reported","@ForceFilingCode:true",IF($D$153="Not Reported","@ForceFilingCode:false",""))</f>
        <v/>
      </c>
    </row>
    <row r="154" spans="2:5" hidden="1">
      <c r="B154" s="37" t="s">
        <v>733</v>
      </c>
      <c r="C154" s="38" t="s">
        <v>734</v>
      </c>
      <c r="D154" s="39"/>
      <c r="E154" t="str">
        <f>IF($D$154="Reported","@ForceFilingCode:true",IF($D$154="Not Reported","@ForceFilingCode:false",""))</f>
        <v/>
      </c>
    </row>
    <row r="155" spans="2:5" hidden="1">
      <c r="B155" s="37" t="s">
        <v>735</v>
      </c>
      <c r="C155" s="38" t="s">
        <v>734</v>
      </c>
      <c r="D155" s="39"/>
      <c r="E155" t="str">
        <f>IF($D$155="Reported","@ForceFilingCode:true",IF($D$155="Not Reported","@ForceFilingCode:false",""))</f>
        <v/>
      </c>
    </row>
    <row r="156" spans="2:5" hidden="1">
      <c r="B156" s="37" t="s">
        <v>736</v>
      </c>
      <c r="C156" s="38" t="s">
        <v>734</v>
      </c>
      <c r="D156" s="39"/>
      <c r="E156" t="str">
        <f>IF($D$156="Reported","@ForceFilingCode:true",IF($D$156="Not Reported","@ForceFilingCode:false",""))</f>
        <v/>
      </c>
    </row>
    <row r="157" spans="2:5" hidden="1">
      <c r="B157" s="37" t="s">
        <v>737</v>
      </c>
      <c r="C157" s="38" t="s">
        <v>738</v>
      </c>
      <c r="D157" s="39"/>
      <c r="E157" t="str">
        <f>IF($D$157="Reported","@ForceFilingCode:true",IF($D$157="Not Reported","@ForceFilingCode:false",""))</f>
        <v/>
      </c>
    </row>
    <row r="158" spans="2:5" hidden="1">
      <c r="B158" s="37" t="s">
        <v>739</v>
      </c>
      <c r="C158" s="38" t="s">
        <v>738</v>
      </c>
      <c r="D158" s="39"/>
      <c r="E158" t="str">
        <f>IF($D$158="Reported","@ForceFilingCode:true",IF($D$158="Not Reported","@ForceFilingCode:false",""))</f>
        <v/>
      </c>
    </row>
    <row r="159" spans="2:5" hidden="1">
      <c r="B159" s="37" t="s">
        <v>740</v>
      </c>
      <c r="C159" s="38" t="s">
        <v>738</v>
      </c>
      <c r="D159" s="39"/>
      <c r="E159" t="str">
        <f>IF($D$159="Reported","@ForceFilingCode:true",IF($D$159="Not Reported","@ForceFilingCode:false",""))</f>
        <v/>
      </c>
    </row>
    <row r="160" spans="2:5" hidden="1">
      <c r="B160" s="37" t="s">
        <v>741</v>
      </c>
      <c r="C160" s="38" t="s">
        <v>742</v>
      </c>
      <c r="D160" s="39"/>
      <c r="E160" t="str">
        <f>IF($D$160="Reported","@ForceFilingCode:true",IF($D$160="Not Reported","@ForceFilingCode:false",""))</f>
        <v/>
      </c>
    </row>
    <row r="161" spans="2:5" hidden="1">
      <c r="B161" s="37" t="s">
        <v>743</v>
      </c>
      <c r="C161" s="38" t="s">
        <v>742</v>
      </c>
      <c r="D161" s="39"/>
      <c r="E161" t="str">
        <f>IF($D$161="Reported","@ForceFilingCode:true",IF($D$161="Not Reported","@ForceFilingCode:false",""))</f>
        <v/>
      </c>
    </row>
    <row r="162" spans="2:5" hidden="1">
      <c r="B162" s="37" t="s">
        <v>744</v>
      </c>
      <c r="C162" s="38" t="s">
        <v>742</v>
      </c>
      <c r="D162" s="39"/>
      <c r="E162" t="str">
        <f>IF($D$162="Reported","@ForceFilingCode:true",IF($D$162="Not Reported","@ForceFilingCode:false",""))</f>
        <v/>
      </c>
    </row>
    <row r="163" spans="2:5">
      <c r="B163" s="37" t="s">
        <v>745</v>
      </c>
      <c r="C163" s="38" t="s">
        <v>746</v>
      </c>
      <c r="D163" s="39" t="s">
        <v>817</v>
      </c>
      <c r="E163" t="str">
        <f>IF($D$163="Reported","@ForceFilingCode:true",IF($D$163="Not Reported","@ForceFilingCode:false",""))</f>
        <v>@ForceFilingCode:true</v>
      </c>
    </row>
    <row r="164" spans="2:5">
      <c r="B164" s="37" t="s">
        <v>747</v>
      </c>
      <c r="C164" s="38" t="s">
        <v>748</v>
      </c>
      <c r="D164" s="39" t="s">
        <v>6108</v>
      </c>
      <c r="E164" t="str">
        <f>IF($D$164="Reported","@ForceFilingCode:true",IF($D$164="Not Reported","@ForceFilingCode:false",""))</f>
        <v>@ForceFilingCode:false</v>
      </c>
    </row>
    <row r="165" spans="2:5" hidden="1">
      <c r="B165" s="37" t="s">
        <v>749</v>
      </c>
      <c r="C165" s="38" t="s">
        <v>750</v>
      </c>
      <c r="D165" s="39"/>
      <c r="E165" t="str">
        <f>IF($D$165="Reported","@ForceFilingCode:true",IF($D$165="Not Reported","@ForceFilingCode:false",""))</f>
        <v/>
      </c>
    </row>
    <row r="166" spans="2:5" hidden="1">
      <c r="B166" s="37" t="s">
        <v>751</v>
      </c>
      <c r="C166" s="38" t="s">
        <v>752</v>
      </c>
      <c r="D166" s="39"/>
      <c r="E166" t="str">
        <f>IF($D$166="Reported","@ForceFilingCode:true",IF($D$166="Not Reported","@ForceFilingCode:false",""))</f>
        <v/>
      </c>
    </row>
    <row r="167" spans="2:5" hidden="1">
      <c r="B167" s="37" t="s">
        <v>753</v>
      </c>
      <c r="C167" s="38" t="s">
        <v>754</v>
      </c>
      <c r="D167" s="39"/>
      <c r="E167" t="str">
        <f>IF($D$167="Reported","@ForceFilingCode:true",IF($D$167="Not Reported","@ForceFilingCode:false",""))</f>
        <v/>
      </c>
    </row>
    <row r="168" spans="2:5" hidden="1">
      <c r="B168" s="37" t="s">
        <v>755</v>
      </c>
      <c r="C168" s="38" t="s">
        <v>756</v>
      </c>
      <c r="D168" s="39"/>
      <c r="E168" t="str">
        <f>IF($D$168="Reported","@ForceFilingCode:true",IF($D$168="Not Reported","@ForceFilingCode:false",""))</f>
        <v/>
      </c>
    </row>
    <row r="169" spans="2:5" hidden="1">
      <c r="B169" s="37" t="s">
        <v>757</v>
      </c>
      <c r="C169" s="38" t="s">
        <v>758</v>
      </c>
      <c r="D169" s="39"/>
      <c r="E169" t="str">
        <f>IF($D$169="Reported","@ForceFilingCode:true",IF($D$169="Not Reported","@ForceFilingCode:false",""))</f>
        <v/>
      </c>
    </row>
    <row r="170" spans="2:5" hidden="1">
      <c r="B170" s="37" t="s">
        <v>759</v>
      </c>
      <c r="C170" s="38" t="s">
        <v>760</v>
      </c>
      <c r="D170" s="39"/>
      <c r="E170" t="str">
        <f>IF($D$170="Reported","@ForceFilingCode:true",IF($D$170="Not Reported","@ForceFilingCode:false",""))</f>
        <v/>
      </c>
    </row>
    <row r="171" spans="2:5" hidden="1">
      <c r="B171" s="37" t="s">
        <v>761</v>
      </c>
      <c r="C171" s="38" t="s">
        <v>762</v>
      </c>
      <c r="D171" s="39"/>
      <c r="E171" t="str">
        <f>IF($D$171="Reported","@ForceFilingCode:true",IF($D$171="Not Reported","@ForceFilingCode:false",""))</f>
        <v/>
      </c>
    </row>
    <row r="172" spans="2:5" hidden="1">
      <c r="B172" s="37" t="s">
        <v>763</v>
      </c>
      <c r="C172" s="38" t="s">
        <v>764</v>
      </c>
      <c r="D172" s="39"/>
      <c r="E172" t="str">
        <f>IF($D$172="Reported","@ForceFilingCode:true",IF($D$172="Not Reported","@ForceFilingCode:false",""))</f>
        <v/>
      </c>
    </row>
    <row r="173" spans="2:5" hidden="1">
      <c r="B173" s="37" t="s">
        <v>765</v>
      </c>
      <c r="C173" s="38" t="s">
        <v>766</v>
      </c>
      <c r="D173" s="39"/>
      <c r="E173" t="str">
        <f>IF($D$173="Reported","@ForceFilingCode:true",IF($D$173="Not Reported","@ForceFilingCode:false",""))</f>
        <v/>
      </c>
    </row>
    <row r="174" spans="2:5" hidden="1">
      <c r="B174" s="37" t="s">
        <v>767</v>
      </c>
      <c r="C174" s="38" t="s">
        <v>768</v>
      </c>
      <c r="D174" s="39"/>
      <c r="E174" t="str">
        <f>IF($D$174="Reported","@ForceFilingCode:true",IF($D$174="Not Reported","@ForceFilingCode:false",""))</f>
        <v/>
      </c>
    </row>
    <row r="175" spans="2:5" hidden="1">
      <c r="B175" s="37" t="s">
        <v>769</v>
      </c>
      <c r="C175" s="38" t="s">
        <v>768</v>
      </c>
      <c r="D175" s="39"/>
      <c r="E175" t="str">
        <f>IF($D$175="Reported","@ForceFilingCode:true",IF($D$175="Not Reported","@ForceFilingCode:false",""))</f>
        <v/>
      </c>
    </row>
    <row r="176" spans="2:5" hidden="1">
      <c r="B176" s="37" t="s">
        <v>770</v>
      </c>
      <c r="C176" s="38" t="s">
        <v>771</v>
      </c>
      <c r="D176" s="39"/>
      <c r="E176" t="str">
        <f>IF($D$176="Reported","@ForceFilingCode:true",IF($D$176="Not Reported","@ForceFilingCode:false",""))</f>
        <v/>
      </c>
    </row>
    <row r="177" spans="2:5" hidden="1">
      <c r="B177" s="37" t="s">
        <v>772</v>
      </c>
      <c r="C177" s="38" t="s">
        <v>771</v>
      </c>
      <c r="D177" s="39"/>
      <c r="E177" t="str">
        <f>IF($D$177="Reported","@ForceFilingCode:true",IF($D$177="Not Reported","@ForceFilingCode:false",""))</f>
        <v/>
      </c>
    </row>
    <row r="178" spans="2:5" hidden="1">
      <c r="B178" s="37" t="s">
        <v>773</v>
      </c>
      <c r="C178" s="38" t="s">
        <v>774</v>
      </c>
      <c r="D178" s="39"/>
      <c r="E178" t="str">
        <f>IF($D$178="Reported","@ForceFilingCode:true",IF($D$178="Not Reported","@ForceFilingCode:false",""))</f>
        <v/>
      </c>
    </row>
    <row r="179" spans="2:5" hidden="1">
      <c r="B179" s="37" t="s">
        <v>775</v>
      </c>
      <c r="C179" s="38" t="s">
        <v>774</v>
      </c>
      <c r="D179" s="39"/>
      <c r="E179" t="str">
        <f>IF($D$179="Reported","@ForceFilingCode:true",IF($D$179="Not Reported","@ForceFilingCode:false",""))</f>
        <v/>
      </c>
    </row>
    <row r="180" spans="2:5" hidden="1">
      <c r="B180" s="37" t="s">
        <v>776</v>
      </c>
      <c r="C180" s="38" t="s">
        <v>777</v>
      </c>
      <c r="D180" s="39"/>
      <c r="E180" t="str">
        <f>IF($D$180="Reported","@ForceFilingCode:true",IF($D$180="Not Reported","@ForceFilingCode:false",""))</f>
        <v/>
      </c>
    </row>
    <row r="181" spans="2:5" ht="30" hidden="1">
      <c r="B181" s="37" t="s">
        <v>778</v>
      </c>
      <c r="C181" s="38" t="s">
        <v>779</v>
      </c>
      <c r="D181" s="39"/>
      <c r="E181" t="str">
        <f>IF($D$181="Reported","@ForceFilingCode:true",IF($D$181="Not Reported","@ForceFilingCode:false",""))</f>
        <v/>
      </c>
    </row>
    <row r="182" spans="2:5" hidden="1">
      <c r="B182" s="37" t="s">
        <v>780</v>
      </c>
      <c r="C182" s="38" t="s">
        <v>781</v>
      </c>
      <c r="D182" s="39"/>
      <c r="E182" t="str">
        <f>IF($D$182="Reported","@ForceFilingCode:true",IF($D$182="Not Reported","@ForceFilingCode:false",""))</f>
        <v/>
      </c>
    </row>
    <row r="183" spans="2:5" hidden="1">
      <c r="B183" s="37" t="s">
        <v>782</v>
      </c>
      <c r="C183" s="38" t="s">
        <v>783</v>
      </c>
      <c r="D183" s="39"/>
      <c r="E183" t="str">
        <f>IF($D$183="Reported","@ForceFilingCode:true",IF($D$183="Not Reported","@ForceFilingCode:false",""))</f>
        <v/>
      </c>
    </row>
    <row r="184" spans="2:5" hidden="1">
      <c r="B184" s="37" t="s">
        <v>784</v>
      </c>
      <c r="C184" s="38" t="s">
        <v>785</v>
      </c>
      <c r="D184" s="39"/>
      <c r="E184" t="str">
        <f>IF($D$184="Reported","@ForceFilingCode:true",IF($D$184="Not Reported","@ForceFilingCode:false",""))</f>
        <v/>
      </c>
    </row>
    <row r="185" spans="2:5" hidden="1">
      <c r="B185" s="37" t="s">
        <v>786</v>
      </c>
      <c r="C185" s="38" t="s">
        <v>787</v>
      </c>
      <c r="D185" s="39"/>
      <c r="E185" t="str">
        <f>IF($D$185="Reported","@ForceFilingCode:true",IF($D$185="Not Reported","@ForceFilingCode:false",""))</f>
        <v/>
      </c>
    </row>
    <row r="186" spans="2:5" hidden="1">
      <c r="B186" s="37" t="s">
        <v>788</v>
      </c>
      <c r="C186" s="38" t="s">
        <v>789</v>
      </c>
      <c r="D186" s="39"/>
      <c r="E186" t="str">
        <f>IF($D$186="Reported","@ForceFilingCode:true",IF($D$186="Not Reported","@ForceFilingCode:false",""))</f>
        <v/>
      </c>
    </row>
    <row r="187" spans="2:5" hidden="1">
      <c r="B187" s="37" t="s">
        <v>790</v>
      </c>
      <c r="C187" s="38" t="s">
        <v>791</v>
      </c>
      <c r="D187" s="39"/>
      <c r="E187" t="str">
        <f>IF($D$187="Reported","@ForceFilingCode:true",IF($D$187="Not Reported","@ForceFilingCode:false",""))</f>
        <v/>
      </c>
    </row>
    <row r="188" spans="2:5" hidden="1">
      <c r="B188" s="37" t="s">
        <v>792</v>
      </c>
      <c r="C188" s="38" t="s">
        <v>793</v>
      </c>
      <c r="D188" s="39"/>
      <c r="E188" t="str">
        <f>IF($D$188="Reported","@ForceFilingCode:true",IF($D$188="Not Reported","@ForceFilingCode:false",""))</f>
        <v/>
      </c>
    </row>
    <row r="189" spans="2:5" hidden="1">
      <c r="B189" s="37" t="s">
        <v>794</v>
      </c>
      <c r="C189" s="38" t="s">
        <v>795</v>
      </c>
      <c r="D189" s="39"/>
      <c r="E189" t="str">
        <f>IF($D$189="Reported","@ForceFilingCode:true",IF($D$189="Not Reported","@ForceFilingCode:false",""))</f>
        <v/>
      </c>
    </row>
    <row r="190" spans="2:5" hidden="1">
      <c r="B190" s="37" t="s">
        <v>796</v>
      </c>
      <c r="C190" s="38" t="s">
        <v>797</v>
      </c>
      <c r="D190" s="39"/>
      <c r="E190" t="str">
        <f>IF($D$190="Reported","@ForceFilingCode:true",IF($D$190="Not Reported","@ForceFilingCode:false",""))</f>
        <v/>
      </c>
    </row>
    <row r="191" spans="2:5" hidden="1">
      <c r="B191" s="37" t="s">
        <v>798</v>
      </c>
      <c r="C191" s="38" t="s">
        <v>799</v>
      </c>
      <c r="D191" s="39"/>
      <c r="E191" t="str">
        <f>IF($D$191="Reported","@ForceFilingCode:true",IF($D$191="Not Reported","@ForceFilingCode:false",""))</f>
        <v/>
      </c>
    </row>
    <row r="192" spans="2:5" hidden="1">
      <c r="B192" s="37" t="s">
        <v>800</v>
      </c>
      <c r="C192" s="38" t="s">
        <v>801</v>
      </c>
      <c r="D192" s="39"/>
      <c r="E192" t="str">
        <f>IF($D$192="Reported","@ForceFilingCode:true",IF($D$192="Not Reported","@ForceFilingCode:false",""))</f>
        <v/>
      </c>
    </row>
    <row r="193" spans="2:5" hidden="1">
      <c r="B193" s="37" t="s">
        <v>802</v>
      </c>
      <c r="C193" s="38" t="s">
        <v>803</v>
      </c>
      <c r="D193" s="39"/>
      <c r="E193" t="str">
        <f>IF($D$193="Reported","@ForceFilingCode:true",IF($D$193="Not Reported","@ForceFilingCode:false",""))</f>
        <v/>
      </c>
    </row>
    <row r="194" spans="2:5" hidden="1">
      <c r="B194" s="37" t="s">
        <v>804</v>
      </c>
      <c r="C194" s="38" t="s">
        <v>803</v>
      </c>
      <c r="D194" s="39"/>
      <c r="E194" t="str">
        <f>IF($D$194="Reported","@ForceFilingCode:true",IF($D$194="Not Reported","@ForceFilingCode:false",""))</f>
        <v/>
      </c>
    </row>
    <row r="195" spans="2:5" hidden="1">
      <c r="B195" s="37" t="s">
        <v>805</v>
      </c>
      <c r="C195" s="38" t="s">
        <v>512</v>
      </c>
      <c r="D195" s="39"/>
      <c r="E195" t="str">
        <f>IF($D$195="Reported","@ForceFilingCode:true",IF($D$195="Not Reported","@ForceFilingCode:false",""))</f>
        <v/>
      </c>
    </row>
    <row r="196" spans="2:5" hidden="1">
      <c r="B196" s="37" t="s">
        <v>806</v>
      </c>
      <c r="C196" s="38" t="s">
        <v>807</v>
      </c>
      <c r="D196" s="39"/>
      <c r="E196" t="str">
        <f>IF($D$196="Reported","@ForceFilingCode:true",IF($D$196="Not Reported","@ForceFilingCode:false",""))</f>
        <v/>
      </c>
    </row>
    <row r="197" spans="2:5" hidden="1">
      <c r="B197" s="37" t="s">
        <v>808</v>
      </c>
      <c r="C197" s="38" t="s">
        <v>544</v>
      </c>
      <c r="D197" s="39"/>
      <c r="E197" t="str">
        <f>IF($D$197="Reported","@ForceFilingCode:true",IF($D$197="Not Reported","@ForceFilingCode:false",""))</f>
        <v/>
      </c>
    </row>
    <row r="198" spans="2:5" hidden="1">
      <c r="B198" s="37" t="s">
        <v>809</v>
      </c>
      <c r="C198" s="38" t="s">
        <v>810</v>
      </c>
      <c r="D198" s="39"/>
      <c r="E198" t="str">
        <f>IF($D$198="Reported","@ForceFilingCode:true",IF($D$198="Not Reported","@ForceFilingCode:false",""))</f>
        <v/>
      </c>
    </row>
    <row r="199" spans="2:5" hidden="1">
      <c r="B199" s="37" t="s">
        <v>811</v>
      </c>
      <c r="C199" s="38" t="s">
        <v>812</v>
      </c>
      <c r="D199" s="39"/>
      <c r="E199" t="str">
        <f>IF($D$199="Reported","@ForceFilingCode:true",IF($D$199="Not Reported","@ForceFilingCode:false",""))</f>
        <v/>
      </c>
    </row>
    <row r="200" spans="2:5" hidden="1">
      <c r="B200" s="37" t="s">
        <v>813</v>
      </c>
      <c r="C200" s="38" t="s">
        <v>812</v>
      </c>
      <c r="D200" s="39"/>
      <c r="E200" t="str">
        <f>IF($D$200="Reported","@ForceFilingCode:true",IF($D$200="Not Reported","@ForceFilingCode:false",""))</f>
        <v/>
      </c>
    </row>
    <row r="201" spans="2:5" hidden="1">
      <c r="B201" s="37" t="s">
        <v>814</v>
      </c>
      <c r="C201" s="38" t="s">
        <v>815</v>
      </c>
      <c r="D201" s="39"/>
      <c r="E201" t="str">
        <f>IF($D$201="Reported","@ForceFilingCode:true",IF($D$201="Not Reported","@ForceFilingCode:false",""))</f>
        <v/>
      </c>
    </row>
    <row r="202" spans="2:5">
      <c r="B202" s="35"/>
      <c r="C202" s="35"/>
      <c r="D202" s="35"/>
    </row>
  </sheetData>
  <sheetProtection sheet="1" objects="1" scenarios="1"/>
  <mergeCells count="1">
    <mergeCell ref="B3:O3"/>
  </mergeCells>
  <dataValidations count="1">
    <dataValidation type="list" allowBlank="1" showInputMessage="1" showErrorMessage="1" sqref="D6 D7 D8 D9 D10 D11 D12 D13 D14 D15 D16 D17 D18 D19 D20 D21 D22 D23 D24 D25 D26 D27 D28 D29 D30 D31 D32 D33 D34 D35 D36 D37 D38 D39 D40 D41 D42 D43 D44 D45 D46 D47 D48 D49 D50 D51 D52 D53 D54 D55 D56 D57 D58 D59 D60 D61 D62 D63 D64 D65 D66 D67 D68 D69 D70 D71 D72 D73 D74 D75 D76 D77 D78 D79 D80 D81 D82 D83 D84 D85 D86 D87 D88 D89 D90 D91 D92 D93 D94 D95 D96 D97 D98 D99 D100 D101 D102 D103 D104 D105 D106 D107 D108 D109 D110 D111 D112 D113 D114 D115 D116 D117 D118 D119 D120 D121 D122 D123 D124 D125 D126 D127 D128 D129 D130 D131 D132 D133 D134 D135 D136 D137 D138 D139 D140 D141 D142 D143 D144 D145 D146 D147 D148 D149 D150 D151 D152 D153 D154 D155 D156 D157 D158 D159 D160 D161 D162 D163 D164 D165 D166 D167 D168 D169 D170 D171 D172 D173 D174 D175 D176 D177 D178 D179 D180 D181 D182 D183 D184 D185 D186 D187 D188 D189 D190 D191 D192 D193 D194 D195 D196 D197 D198 D199 D200 D201" xr:uid="{7FAF5F3E-30C8-4DC3-9172-496A1098BCDC}">
      <formula1>"Reported,Not Reported"</formula1>
    </dataValidation>
  </dataValidations>
  <hyperlinks>
    <hyperlink ref="B6" location="'S.01.01.01'!A1" display="S.01.01.01" xr:uid="{85964589-8C14-452F-948F-D36F7CF90AAC}"/>
    <hyperlink ref="B7" location="'S.01.01.02'!A1" display="S.01.01.02" xr:uid="{B7F57092-2855-427D-93A2-63A8A7D8540D}"/>
    <hyperlink ref="B8" location="'S.01.01.04'!A1" display="S.01.01.04" xr:uid="{E8B0543B-2279-4EBF-AAEC-31D12B58AF75}"/>
    <hyperlink ref="B9" location="'S.01.01.05'!A1" display="S.01.01.05" xr:uid="{2F738AAF-9319-4EB9-A478-565DB3ED2D04}"/>
    <hyperlink ref="B10" location="'S.01.01.07'!A1" display="S.01.01.07" xr:uid="{AD2280DF-75E4-4849-98F9-4230610A694C}"/>
    <hyperlink ref="B11" location="'S.01.01.08'!A1" display="S.01.01.08" xr:uid="{119DEB17-7697-4206-AA02-899002F138A4}"/>
    <hyperlink ref="B12" location="'S.01.01.10'!A1" display="S.01.01.10" xr:uid="{559B458B-DED8-4B77-A7E6-1369B578418B}"/>
    <hyperlink ref="B13" location="'S.01.01.11'!A1" display="S.01.01.11" xr:uid="{2C6A04AB-B815-4CE7-B882-832BE4649726}"/>
    <hyperlink ref="B14" location="'S.01.01.12'!A1" display="S.01.01.12" xr:uid="{E6AD41A2-5C02-4FB6-9FD3-3252C078795A}"/>
    <hyperlink ref="B15" location="'S.01.01.13'!A1" display="S.01.01.13" xr:uid="{C564615D-6FDF-4D41-BC45-29D3762C64E0}"/>
    <hyperlink ref="B16" location="'S.01.01.14'!A1" display="S.01.01.14" xr:uid="{40953A58-C563-459E-BA8F-5E1F4D79B5DC}"/>
    <hyperlink ref="B17" location="'S.01.01.15'!A1" display="S.01.01.15" xr:uid="{D37CBCA7-2C48-44CD-8167-C03E6A439F8F}"/>
    <hyperlink ref="B18" location="'SR.01.01.01'!A1" display="SR.01.01.01" xr:uid="{4B3FF5FA-B5F3-4236-B202-CF1DD5B16D4D}"/>
    <hyperlink ref="B19" location="'SR.01.01.04'!A1" display="SR.01.01.04" xr:uid="{5C608442-BF97-4705-91DE-D4D49BF26A75}"/>
    <hyperlink ref="B20" location="'SR.01.01.07'!A1" display="SR.01.01.07" xr:uid="{A499D1EB-43BF-4A8A-8218-9E589C6F9DC2}"/>
    <hyperlink ref="B21" location="'SE.01.01.16'!A1" display="SE.01.01.16" xr:uid="{59D85483-1AE4-4BFB-B380-6D15A6FCBAFF}"/>
    <hyperlink ref="B22" location="'SE.01.01.17'!A1" display="SE.01.01.17" xr:uid="{F7334630-0925-440A-A673-70A1D161379A}"/>
    <hyperlink ref="B23" location="'SE.01.01.18'!A1" display="SE.01.01.18" xr:uid="{86131FE1-83DA-4082-A609-C97314EC3F04}"/>
    <hyperlink ref="B24" location="'SE.01.01.19'!A1" display="SE.01.01.19" xr:uid="{2C9D5F94-006C-4AE4-85E8-02C6495F93A6}"/>
    <hyperlink ref="B25" location="'S.01.02.01'!A1" display="S.01.02.01" xr:uid="{DAB660FF-7F60-458A-AD4B-FA0592D6FD86}"/>
    <hyperlink ref="B26" location="'S.01.02.04'!A1" display="S.01.02.04" xr:uid="{E176B02C-D420-4AFF-827A-1381BE4C7F8E}"/>
    <hyperlink ref="B27" location="'S.01.02.07'!A1" display="S.01.02.07" xr:uid="{FB9014A4-B418-4E39-9D32-5FB49C936851}"/>
    <hyperlink ref="B28" location="'S.01.03.01'!A1" display="S.01.03.01" xr:uid="{500974D5-B870-4B6D-B377-395513E1B4A6}"/>
    <hyperlink ref="B29" location="'S.01.03.04'!A1" display="S.01.03.04" xr:uid="{D7414426-F936-4C19-958A-7504456C1FAD}"/>
    <hyperlink ref="B30" location="'S.02.01.01'!A1" display="S.02.01.01" xr:uid="{7E0B600F-828E-4E29-92A7-C0F2859E27C5}"/>
    <hyperlink ref="B31" location="'S.02.01.02'!A1" display="S.02.01.02" xr:uid="{B1567AB8-6524-494E-B9ED-FCBC344C9039}"/>
    <hyperlink ref="B32" location="'S.02.01.07'!A1" display="S.02.01.07" xr:uid="{B0CC212A-5734-4C4A-A592-0852699A1726}"/>
    <hyperlink ref="B33" location="'S.02.01.08'!A1" display="S.02.01.08" xr:uid="{DB3ACA1F-289D-4B4A-8710-EC4DC2B7828D}"/>
    <hyperlink ref="B34" location="'SR.02.01.01'!A1" display="SR.02.01.01" xr:uid="{98669F56-24BF-4CD0-86CF-C0FDAF6ACCEC}"/>
    <hyperlink ref="B35" location="'SR.02.01.07'!A1" display="SR.02.01.07" xr:uid="{14C24606-874F-45CE-89C3-66026FF56440}"/>
    <hyperlink ref="B36" location="'SE.02.01.16'!A1" display="SE.02.01.16" xr:uid="{9A9F7FA5-4ED2-4091-8C5A-E8CD9D18BFE8}"/>
    <hyperlink ref="B37" location="'SE.02.01.17'!A1" display="SE.02.01.17" xr:uid="{B8DDCA86-35F5-4CC4-A6B3-AA90BC9991D8}"/>
    <hyperlink ref="B38" location="'SE.02.01.18'!A1" display="SE.02.01.18" xr:uid="{AC4AE5EF-5B16-4D7A-A834-44B7AFE4B320}"/>
    <hyperlink ref="B39" location="'SE.02.01.19'!A1" display="SE.02.01.19" xr:uid="{30A6AA78-E706-45D1-9C39-8788D05125C0}"/>
    <hyperlink ref="B40" location="'S.02.02.01'!A1" display="S.02.02.01" xr:uid="{7924BF24-B546-4B03-A53E-1CB2EE4F256F}"/>
    <hyperlink ref="B41" location="'S.02.03.07'!A1" display="S.02.03.07" xr:uid="{5BF8FE43-4EEA-47F0-A27E-06EBE3CE437E}"/>
    <hyperlink ref="B42" location="'S.03.01.01'!A1" display="S.03.01.01" xr:uid="{16E59C1B-5FE1-49D0-98D6-71C0FD528D59}"/>
    <hyperlink ref="B43" location="'S.03.01.04'!A1" display="S.03.01.04" xr:uid="{776AF287-045C-4A8C-9F9A-608E66773197}"/>
    <hyperlink ref="B44" location="'S.03.02.01'!A1" display="S.03.02.01" xr:uid="{97341957-18A8-4830-9B33-F33AA9823476}"/>
    <hyperlink ref="B45" location="'S.03.02.04'!A1" display="S.03.02.04" xr:uid="{EBCD3F9E-9CA9-41E4-9D84-26A9593A3D21}"/>
    <hyperlink ref="B46" location="'S.03.03.01'!A1" display="S.03.03.01" xr:uid="{F9EDC2B1-65C9-4401-B123-3437ECBF8803}"/>
    <hyperlink ref="B47" location="'S.03.03.04'!A1" display="S.03.03.04" xr:uid="{69B0DEF2-BF40-432B-90B6-7FA7BA6A659B}"/>
    <hyperlink ref="B48" location="'S.04.01.01'!A1" display="S.04.01.01" xr:uid="{7BC151EC-45BE-4E87-A89D-B57D7D0877F7}"/>
    <hyperlink ref="B49" location="'S.04.02.01'!A1" display="S.04.02.01" xr:uid="{0E0E4029-DACF-465C-9DA1-C46504D4F191}"/>
    <hyperlink ref="B50" location="'S.05.01.01'!A1" display="S.05.01.01" xr:uid="{1CC55FF0-0F82-4B8C-8F31-D93228E2D435}"/>
    <hyperlink ref="B51" location="'S.05.01.02'!A1" display="S.05.01.02" xr:uid="{6D285749-4072-479A-96A3-A0B457E877F8}"/>
    <hyperlink ref="B52" location="'S.05.01.13'!A1" display="S.05.01.13" xr:uid="{5C1ADD02-989A-490D-B7B8-2F67FDE3E18F}"/>
    <hyperlink ref="B53" location="'S.05.02.01'!A1" display="S.05.02.01" xr:uid="{B2FB4246-EBEA-482C-9B30-3B2C53C248D7}"/>
    <hyperlink ref="B54" location="'S.06.01.01'!A1" display="S.06.01.01" xr:uid="{0F33ED6F-A3A3-4339-AAAB-8B84FD89B766}"/>
    <hyperlink ref="B55" location="'S.06.02.01'!A1" display="S.06.02.01" xr:uid="{A40047DD-34B7-4CC9-B55B-174FE9521308}"/>
    <hyperlink ref="B56" location="'S.06.02.04'!A1" display="S.06.02.04" xr:uid="{DB40B2CC-A63F-46A1-B319-1CE702EBE7C7}"/>
    <hyperlink ref="B57" location="'S.06.02.07'!A1" display="S.06.02.07" xr:uid="{70C248C9-D361-4276-BB46-80CE278FF738}"/>
    <hyperlink ref="B58" location="'SE.06.02.16'!A1" display="SE.06.02.16" xr:uid="{3C1568D4-6868-4C31-9083-CFDF8DD46D72}"/>
    <hyperlink ref="B59" location="'SE.06.02.18'!A1" display="SE.06.02.18" xr:uid="{9576F4F6-88B7-46CA-93E4-52C59E4B8E07}"/>
    <hyperlink ref="B60" location="'S.06.03.01'!A1" display="S.06.03.01" xr:uid="{FE1BBBAB-825E-40CD-AFA6-DCEF6290329B}"/>
    <hyperlink ref="B61" location="'S.06.03.04'!A1" display="S.06.03.04" xr:uid="{9E491757-6941-430E-8C84-C29304A9B268}"/>
    <hyperlink ref="B62" location="'S.07.01.01'!A1" display="S.07.01.01" xr:uid="{C39B36B3-637E-4C58-B56C-AFAEA146744D}"/>
    <hyperlink ref="B63" location="'S.07.01.04'!A1" display="S.07.01.04" xr:uid="{A17BADA8-C466-4CDF-8FE4-881331F9E17F}"/>
    <hyperlink ref="B64" location="'S.08.01.01'!A1" display="S.08.01.01" xr:uid="{7CF49E98-5303-4B52-B646-20627016C79E}"/>
    <hyperlink ref="B65" location="'S.08.01.04'!A1" display="S.08.01.04" xr:uid="{4B1EB19E-954A-455E-9BD0-BBB2602AAB94}"/>
    <hyperlink ref="B66" location="'S.08.02.01'!A1" display="S.08.02.01" xr:uid="{1D2B33A3-ECEF-476E-B2C7-608DBB3A671D}"/>
    <hyperlink ref="B67" location="'S.08.02.04'!A1" display="S.08.02.04" xr:uid="{DF926963-E090-46D2-9C2A-916987A198E3}"/>
    <hyperlink ref="B68" location="'S.09.01.01'!A1" display="S.09.01.01" xr:uid="{768189F6-B9DD-4DFE-94C4-C65012689C58}"/>
    <hyperlink ref="B69" location="'S.09.01.04'!A1" display="S.09.01.04" xr:uid="{9CB67635-F6DE-491A-B498-86C0F5C0A215}"/>
    <hyperlink ref="B70" location="'S.10.01.01'!A1" display="S.10.01.01" xr:uid="{4B8DCAC6-DB0B-406E-9F76-6190E5B5107E}"/>
    <hyperlink ref="B71" location="'S.10.01.04'!A1" display="S.10.01.04" xr:uid="{5B63973D-0811-4952-976D-CC177582A509}"/>
    <hyperlink ref="B72" location="'S.11.01.01'!A1" display="S.11.01.01" xr:uid="{E25C9EC5-9536-4493-B9F5-855497A76473}"/>
    <hyperlink ref="B73" location="'S.11.01.04'!A1" display="S.11.01.04" xr:uid="{FBC7436C-BE7A-4664-A0A7-90917057884E}"/>
    <hyperlink ref="B74" location="'S.12.01.01'!A1" display="S.12.01.01" xr:uid="{0779B15B-52B8-4529-9D97-E617A89197CD}"/>
    <hyperlink ref="B75" location="'S.12.01.02'!A1" display="S.12.01.02" xr:uid="{A40AF1A8-D992-4E6F-8CCF-B54015196CC1}"/>
    <hyperlink ref="B76" location="'SR.12.01.01'!A1" display="SR.12.01.01" xr:uid="{B11B9941-648B-448C-82F5-E21DFBBEAF37}"/>
    <hyperlink ref="B77" location="'S.12.02.01'!A1" display="S.12.02.01" xr:uid="{9494DCB9-A193-48DB-BA0F-7DD3C0372099}"/>
    <hyperlink ref="B78" location="'S.13.01.01'!A1" display="S.13.01.01" xr:uid="{7608408C-53CD-40F0-BD96-12CCD7E04837}"/>
    <hyperlink ref="B79" location="'S.14.01.01'!A1" display="S.14.01.01" xr:uid="{86418CF9-86DD-491C-80EC-FBAE2AD04FB9}"/>
    <hyperlink ref="B80" location="'S.14.01.10'!A1" display="S.14.01.10" xr:uid="{068F3023-6943-4D21-B746-39669BA3EC51}"/>
    <hyperlink ref="B81" location="'S.15.01.01'!A1" display="S.15.01.01" xr:uid="{2E771485-F6D9-40D9-BBBE-FF187FDA351D}"/>
    <hyperlink ref="B82" location="'S.15.01.04'!A1" display="S.15.01.04" xr:uid="{AA10E366-612E-4422-870F-31C35DD74B41}"/>
    <hyperlink ref="B83" location="'S.15.02.01'!A1" display="S.15.02.01" xr:uid="{06C87382-75A9-46AD-9FEA-0F87822B050E}"/>
    <hyperlink ref="B84" location="'S.15.02.04'!A1" display="S.15.02.04" xr:uid="{83804DA0-7C53-4566-BFB4-8390E8DCC50C}"/>
    <hyperlink ref="B85" location="'S.16.01.01'!A1" display="S.16.01.01" xr:uid="{43DD8AB9-AB91-495A-B1AF-BE3A321E69B8}"/>
    <hyperlink ref="B86" location="'S.17.01.01'!A1" display="S.17.01.01" xr:uid="{4B153B37-26F9-4303-B801-382BA1D4A88B}"/>
    <hyperlink ref="B87" location="'S.17.01.02'!A1" display="S.17.01.02" xr:uid="{20130C36-A1D7-4E8F-8934-8FA3281BB367}"/>
    <hyperlink ref="B88" location="'SR.17.01.01'!A1" display="SR.17.01.01" xr:uid="{0F7A280D-1467-4182-817C-270FCAAFF431}"/>
    <hyperlink ref="B89" location="'S.17.02.01'!A1" display="S.17.02.01" xr:uid="{13D729A6-0CBF-40F3-99E0-88D4FA82C1C1}"/>
    <hyperlink ref="B90" location="'S.18.01.01'!A1" display="S.18.01.01" xr:uid="{7CBD2175-BFB9-40A6-87EE-FEC75F4B0847}"/>
    <hyperlink ref="B91" location="'S.19.01.01'!A1" display="S.19.01.01" xr:uid="{B30F5CF4-25D2-4000-8BA9-808549F4463C}"/>
    <hyperlink ref="B92" location="'S.19.01.21'!A1" display="S.19.01.21" xr:uid="{D5567E35-961D-44C4-8A31-4DD22675A392}"/>
    <hyperlink ref="B93" location="'S.20.01.01'!A1" display="S.20.01.01" xr:uid="{9D2E7C8B-D4CA-4203-AF90-93F15DAEA14C}"/>
    <hyperlink ref="B94" location="'S.21.01.01'!A1" display="S.21.01.01" xr:uid="{D4F732FA-D96C-45C1-8B75-EA3027B6071F}"/>
    <hyperlink ref="B95" location="'S.21.02.01'!A1" display="S.21.02.01" xr:uid="{B1C14747-AC05-4493-B9BB-7561AF816B87}"/>
    <hyperlink ref="B96" location="'S.21.03.01'!A1" display="S.21.03.01" xr:uid="{A0875344-35EE-4A41-AFEF-804A03BED5F6}"/>
    <hyperlink ref="B97" location="'S.22.01.01'!A1" display="S.22.01.01" xr:uid="{7A90A424-DDCA-4B59-9956-EE36D4AFB8BF}"/>
    <hyperlink ref="B98" location="'S.22.01.04'!A1" display="S.22.01.04" xr:uid="{119265B0-DF85-4D7F-B84A-857D2D201907}"/>
    <hyperlink ref="B99" location="'S.22.01.21'!A1" display="S.22.01.21" xr:uid="{57C319C6-02D4-4D51-AA8F-FE1C9A997824}"/>
    <hyperlink ref="B100" location="'S.22.01.22'!A1" display="S.22.01.22" xr:uid="{20FE66C8-6598-44B8-99B3-8A6D6E06BA7F}"/>
    <hyperlink ref="B101" location="'SR.22.02.01'!A1" display="SR.22.02.01" xr:uid="{EC9503EC-7D00-4446-B64D-CEA9CFDDB686}"/>
    <hyperlink ref="B102" location="'SR.22.03.01'!A1" display="SR.22.03.01" xr:uid="{87CC0BE8-4BE4-460E-B74A-E9E0761A7836}"/>
    <hyperlink ref="B103" location="'S.22.04.01'!A1" display="S.22.04.01" xr:uid="{86DBC69F-DA30-4F45-B4E5-B48F6AA4CA74}"/>
    <hyperlink ref="B104" location="'S.22.05.01'!A1" display="S.22.05.01" xr:uid="{1DA45AAC-AAAF-4480-9385-34AEDE468A94}"/>
    <hyperlink ref="B105" location="'S.22.06.01'!A1" display="S.22.06.01" xr:uid="{0CDC61B2-0C59-48DD-9723-00C9E26A1DC2}"/>
    <hyperlink ref="B106" location="'S.23.01.01'!A1" display="S.23.01.01" xr:uid="{955E6794-FA64-4879-AAA3-C436629C7948}"/>
    <hyperlink ref="B107" location="'S.23.01.04'!A1" display="S.23.01.04" xr:uid="{2D1DACF5-10FD-4B23-B7D7-BC53667C6D21}"/>
    <hyperlink ref="B108" location="'S.23.01.07'!A1" display="S.23.01.07" xr:uid="{C19C856F-FF03-4D6B-BBC5-1775DAFADFBD}"/>
    <hyperlink ref="B109" location="'S.23.01.13'!A1" display="S.23.01.13" xr:uid="{843943C1-D69B-4FB3-B95C-F34D8A2F9649}"/>
    <hyperlink ref="B110" location="'S.23.01.22'!A1" display="S.23.01.22" xr:uid="{A31B17D5-2C5B-49D4-A786-CEF6EA595B88}"/>
    <hyperlink ref="B111" location="'S.23.02.01'!A1" display="S.23.02.01" xr:uid="{826C6438-D524-4F2D-9E9B-1C2C0F135AEC}"/>
    <hyperlink ref="B112" location="'S.23.02.04'!A1" display="S.23.02.04" xr:uid="{7122945C-F435-4127-8E98-61E8080F8643}"/>
    <hyperlink ref="B113" location="'S.23.03.01'!A1" display="S.23.03.01" xr:uid="{B1577839-AB4C-4A4B-8AB2-93BC72C7CF2D}"/>
    <hyperlink ref="B114" location="'S.23.03.04'!A1" display="S.23.03.04" xr:uid="{385EB2A4-92CB-4E88-93F2-4EF3A03288F9}"/>
    <hyperlink ref="B115" location="'S.23.03.07'!A1" display="S.23.03.07" xr:uid="{BC2E8823-47DE-4EC0-AE8C-96D74C842F21}"/>
    <hyperlink ref="B116" location="'S.23.04.01'!A1" display="S.23.04.01" xr:uid="{AC8B89FE-191E-4821-8088-877F0A94CEA3}"/>
    <hyperlink ref="B117" location="'S.23.04.04'!A1" display="S.23.04.04" xr:uid="{762B38AD-93D6-4DCF-B503-B6E753A615C3}"/>
    <hyperlink ref="B118" location="'S.24.01.01'!A1" display="S.24.01.01" xr:uid="{643BB225-4933-44F6-ADFF-0E99576A2610}"/>
    <hyperlink ref="B119" location="'S.25.01.01'!A1" display="S.25.01.01" xr:uid="{A06B6DBE-0EC3-4249-81B2-BF7C6FC38F0C}"/>
    <hyperlink ref="B120" location="'S.25.01.04'!A1" display="S.25.01.04" xr:uid="{2C7D90A7-AC7D-4A73-8031-3F7EE41DA423}"/>
    <hyperlink ref="B121" location="'S.25.01.21'!A1" display="S.25.01.21" xr:uid="{A67513CA-6D3A-45C5-86F5-04D0033F420A}"/>
    <hyperlink ref="B122" location="'S.25.01.22'!A1" display="S.25.01.22" xr:uid="{B41CB83B-D300-41E6-B8A4-7C7E29575039}"/>
    <hyperlink ref="B123" location="'SR.25.01.01'!A1" display="SR.25.01.01" xr:uid="{1FC89421-7D00-4BA5-BBBA-AB6312C91158}"/>
    <hyperlink ref="B124" location="'SR.25.01.04'!A1" display="SR.25.01.04" xr:uid="{A28B2221-3FC0-4D8A-8531-377479C00C9E}"/>
    <hyperlink ref="B125" location="'S.25.02.01'!A1" display="S.25.02.01" xr:uid="{76737887-1E6A-41F2-A75C-8659FED574E2}"/>
    <hyperlink ref="B126" location="'S.25.02.04'!A1" display="S.25.02.04" xr:uid="{5C71EAC7-5BC5-45E3-AB86-C4CE2C043057}"/>
    <hyperlink ref="B127" location="'S.25.02.21'!A1" display="S.25.02.21" xr:uid="{1B4A6157-701D-45BE-96D4-4204506D5171}"/>
    <hyperlink ref="B128" location="'S.25.02.22'!A1" display="S.25.02.22" xr:uid="{5CA8D269-1ED7-4C2F-8275-8E1BF25BEFC6}"/>
    <hyperlink ref="B129" location="'SR.25.02.01'!A1" display="SR.25.02.01" xr:uid="{59FD13B3-025B-42B5-BCCC-45361743A298}"/>
    <hyperlink ref="B130" location="'SR.25.02.04'!A1" display="SR.25.02.04" xr:uid="{B1799519-B148-4DF6-A0CA-ED6B6DFB4C5B}"/>
    <hyperlink ref="B131" location="'S.25.03.01'!A1" display="S.25.03.01" xr:uid="{B611EE3E-97CC-4136-8677-3822B6362D68}"/>
    <hyperlink ref="B132" location="'S.25.03.04'!A1" display="S.25.03.04" xr:uid="{FBA4F304-D949-4B30-8C37-8F32B3EF5E91}"/>
    <hyperlink ref="B133" location="'S.25.03.21'!A1" display="S.25.03.21" xr:uid="{DB875925-9D92-4752-9CDF-F7EBA0174AD7}"/>
    <hyperlink ref="B134" location="'S.25.03.22'!A1" display="S.25.03.22" xr:uid="{875BA243-C0F4-4444-B5ED-D94ED9F788C4}"/>
    <hyperlink ref="B135" location="'SR.25.03.01'!A1" display="SR.25.03.01" xr:uid="{83F6096B-5C54-4715-BAC0-028F6D9010F3}"/>
    <hyperlink ref="B136" location="'SR.25.03.04'!A1" display="SR.25.03.04" xr:uid="{12C44F62-FB93-4A12-AF99-0CD57CF2C17E}"/>
    <hyperlink ref="B137" location="'S.25.04.11'!A1" display="S.25.04.11" xr:uid="{26C7042F-4C0C-48BD-AAC5-58CB2CBF40E3}"/>
    <hyperlink ref="B138" location="'S.25.04.13'!A1" display="S.25.04.13" xr:uid="{6AE5EFB0-B331-4387-8E80-15BF58E73BE8}"/>
    <hyperlink ref="B139" location="'S.26.01.01'!A1" display="S.26.01.01" xr:uid="{9CE83EB5-1FCD-4CDE-B8BF-762F131D4644}"/>
    <hyperlink ref="B140" location="'S.26.01.04'!A1" display="S.26.01.04" xr:uid="{1FE3068E-7EEA-45BD-BBA5-2C21DD84A3A2}"/>
    <hyperlink ref="B141" location="'SR.26.01.01'!A1" display="SR.26.01.01" xr:uid="{AAE5CE31-7B02-4373-A40A-FB7D2A3E867E}"/>
    <hyperlink ref="B142" location="'S.26.02.01'!A1" display="S.26.02.01" xr:uid="{4BC8B4EA-F528-4722-A644-8EBAA6E9F4EC}"/>
    <hyperlink ref="B143" location="'S.26.02.04'!A1" display="S.26.02.04" xr:uid="{7C47A66D-9F6A-44FA-AB76-AEA7599E3187}"/>
    <hyperlink ref="B144" location="'SR.26.02.01'!A1" display="SR.26.02.01" xr:uid="{5456892D-7C68-4106-A634-C665BD493748}"/>
    <hyperlink ref="B145" location="'S.26.03.01'!A1" display="S.26.03.01" xr:uid="{084AFC63-4179-4203-AFE2-955831316B43}"/>
    <hyperlink ref="B146" location="'S.26.03.04'!A1" display="S.26.03.04" xr:uid="{A8BD15A2-E00C-452A-B85A-5887135E4522}"/>
    <hyperlink ref="B147" location="'SR.26.03.01'!A1" display="SR.26.03.01" xr:uid="{DD732F7E-1934-423D-89D4-77831960D074}"/>
    <hyperlink ref="B148" location="'S.26.04.01'!A1" display="S.26.04.01" xr:uid="{E44FDD01-BEBB-404A-BE52-B108AD6F54A0}"/>
    <hyperlink ref="B149" location="'S.26.04.04'!A1" display="S.26.04.04" xr:uid="{949A04F4-F598-4793-9AC1-B40FD35942BA}"/>
    <hyperlink ref="B150" location="'SR.26.04.01'!A1" display="SR.26.04.01" xr:uid="{F718BF62-78F0-4F96-856A-B7B462657610}"/>
    <hyperlink ref="B151" location="'S.26.05.01'!A1" display="S.26.05.01" xr:uid="{39BBFA8D-5829-4377-8FDF-2A0684CF6AC5}"/>
    <hyperlink ref="B152" location="'S.26.05.04'!A1" display="S.26.05.04" xr:uid="{903D9933-2DFB-4BEB-A2B6-466240A62A0C}"/>
    <hyperlink ref="B153" location="'SR.26.05.01'!A1" display="SR.26.05.01" xr:uid="{7D9EFA19-7641-4825-AC71-C452E74779E2}"/>
    <hyperlink ref="B154" location="'S.26.06.01'!A1" display="S.26.06.01" xr:uid="{6EDBCEE7-D3DA-4B27-9057-68B663E7FC2A}"/>
    <hyperlink ref="B155" location="'S.26.06.04'!A1" display="S.26.06.04" xr:uid="{9BBCBDDE-344D-4BA2-AB5D-BDFE94A8D271}"/>
    <hyperlink ref="B156" location="'SR.26.06.01'!A1" display="SR.26.06.01" xr:uid="{08721311-7DF3-4D1D-B284-882319A83439}"/>
    <hyperlink ref="B157" location="'S.26.07.01'!A1" display="S.26.07.01" xr:uid="{2371079B-A9EB-4FF9-8243-303A4AA690D4}"/>
    <hyperlink ref="B158" location="'S.26.07.04'!A1" display="S.26.07.04" xr:uid="{2725FF1B-04FA-4802-B55C-108849B1F259}"/>
    <hyperlink ref="B159" location="'SR.26.07.01'!A1" display="SR.26.07.01" xr:uid="{0220CDD2-19D6-45AA-A508-97FE2A27CFD8}"/>
    <hyperlink ref="B160" location="'S.27.01.01'!A1" display="S.27.01.01" xr:uid="{5428DACD-C69C-4465-B08A-EDB830797470}"/>
    <hyperlink ref="B161" location="'S.27.01.04'!A1" display="S.27.01.04" xr:uid="{D9F2C1CF-7AB5-41A1-AC11-461671DBD529}"/>
    <hyperlink ref="B162" location="'SR.27.01.01'!A1" display="SR.27.01.01" xr:uid="{3C26D4F6-43D7-4168-BF6F-7A6143A70F37}"/>
    <hyperlink ref="B163" location="'S.28.01.01'!A1" display="S.28.01.01" xr:uid="{824C8343-0156-4AAC-93C6-D4950BD49913}"/>
    <hyperlink ref="B164" location="'S.28.02.01'!A1" display="S.28.02.01" xr:uid="{6DE5F069-56B0-41E4-8E14-0B49CAD62218}"/>
    <hyperlink ref="B165" location="'S.29.01.01'!A1" display="S.29.01.01" xr:uid="{25D6157F-7FF6-40D8-811E-64A09C46CD72}"/>
    <hyperlink ref="B166" location="'S.29.01.07'!A1" display="S.29.01.07" xr:uid="{5C8851C9-F8B1-47D7-8D79-5FDDEDE97653}"/>
    <hyperlink ref="B167" location="'S.29.02.01'!A1" display="S.29.02.01" xr:uid="{B0EBEA5F-7887-4538-BCCC-4D368A901554}"/>
    <hyperlink ref="B168" location="'S.29.03.01'!A1" display="S.29.03.01" xr:uid="{A4BE3CC5-01D3-4953-86C6-F756CFDD6B3D}"/>
    <hyperlink ref="B169" location="'S.29.04.01'!A1" display="S.29.04.01" xr:uid="{05145D9A-6B76-45B5-AF63-414639DDA135}"/>
    <hyperlink ref="B170" location="'S.30.01.01'!A1" display="S.30.01.01" xr:uid="{D2217236-26CC-48DF-A4ED-85B902B39BE7}"/>
    <hyperlink ref="B171" location="'S.30.02.01'!A1" display="S.30.02.01" xr:uid="{BE957368-BAA0-4AF2-A497-FC60CD60B460}"/>
    <hyperlink ref="B172" location="'S.30.03.01'!A1" display="S.30.03.01" xr:uid="{222940F2-A380-4495-849D-4BD33E8103C4}"/>
    <hyperlink ref="B173" location="'S.30.04.01'!A1" display="S.30.04.01" xr:uid="{147EB712-10E8-49C4-935C-46AA7F8DF6D1}"/>
    <hyperlink ref="B174" location="'S.31.01.01'!A1" display="S.31.01.01" xr:uid="{D8D4F8A8-51A4-4604-9CFA-33390C0EF7C7}"/>
    <hyperlink ref="B175" location="'S.31.01.04'!A1" display="S.31.01.04" xr:uid="{71886397-C4E1-4FB6-B5AE-79F22D1CE4D8}"/>
    <hyperlink ref="B176" location="'S.31.02.01'!A1" display="S.31.02.01" xr:uid="{F377CEE9-DDE4-45D5-B51E-7099D00FD510}"/>
    <hyperlink ref="B177" location="'S.31.02.04'!A1" display="S.31.02.04" xr:uid="{88D0C2FF-9F9F-460F-8A70-FC7CDBCDED39}"/>
    <hyperlink ref="B178" location="'S.32.01.04'!A1" display="S.32.01.04" xr:uid="{82A7CDAE-1195-40E9-9840-C187EEF81197}"/>
    <hyperlink ref="B179" location="'S.32.01.22'!A1" display="S.32.01.22" xr:uid="{8EB1A48C-6630-4095-BA1A-58D48DE847FD}"/>
    <hyperlink ref="B180" location="'S.33.01.04'!A1" display="S.33.01.04" xr:uid="{2D2BE94B-3870-4B59-B9BC-21C79BFF8643}"/>
    <hyperlink ref="B181" location="'S.34.01.04'!A1" display="S.34.01.04" xr:uid="{5B1CE504-743A-4027-8F4A-9F0F4AC9EDDB}"/>
    <hyperlink ref="B182" location="'S.35.01.04'!A1" display="S.35.01.04" xr:uid="{A81CC6DA-6136-4B3A-8974-2F502ACADAA8}"/>
    <hyperlink ref="B183" location="'S.36.01.01'!A1" display="S.36.01.01" xr:uid="{9A07C019-C90E-44B5-A6AB-A93AAE87C956}"/>
    <hyperlink ref="B184" location="'S.36.02.01'!A1" display="S.36.02.01" xr:uid="{C5502DC8-B19E-4884-8FA6-D8A9BDEFE235}"/>
    <hyperlink ref="B185" location="'S.36.03.01'!A1" display="S.36.03.01" xr:uid="{7E84191C-3D23-425F-9F2F-5A0C88AD14AD}"/>
    <hyperlink ref="B186" location="'S.36.04.01'!A1" display="S.36.04.01" xr:uid="{BB0F7504-2CCC-4317-A336-9DF09FFA07B5}"/>
    <hyperlink ref="B187" location="'S.37.01.04'!A1" display="S.37.01.04" xr:uid="{3AC10879-69E0-41A4-B8A6-F7B4CB307C91}"/>
    <hyperlink ref="B188" location="'S.38.01.10'!A1" display="S.38.01.10" xr:uid="{8BEE6A61-79A9-419F-A961-45E1721152F7}"/>
    <hyperlink ref="B189" location="'S.39.01.11'!A1" display="S.39.01.11" xr:uid="{EE299EAF-9288-4F37-B5B1-855C77CB44E7}"/>
    <hyperlink ref="B190" location="'S.40.01.10'!A1" display="S.40.01.10" xr:uid="{F7E61AAC-5E8B-468E-AA44-6CC72BBA1435}"/>
    <hyperlink ref="B191" location="'S.41.01.11'!A1" display="S.41.01.11" xr:uid="{1F1FB75E-A6ED-4633-9B84-28EE13250EF5}"/>
    <hyperlink ref="B192" location="'E.01.01.16'!A1" display="E.01.01.16" xr:uid="{ABF8FE27-F479-4D97-A3FB-DC599994050E}"/>
    <hyperlink ref="B193" location="'E.02.01.16'!A1" display="E.02.01.16" xr:uid="{2F9D20DB-9CFD-4B75-93EE-F8CA0584EFF1}"/>
    <hyperlink ref="B194" location="'E.03.01.16'!A1" display="E.03.01.16" xr:uid="{B3A4B37F-7096-4E30-A7BF-111943B3B95E}"/>
    <hyperlink ref="B195" location="'SPV.01.01.20'!A1" display="SPV.01.01.20" xr:uid="{1FC3E8F2-1EFD-43F5-831B-BCE2FC7B769A}"/>
    <hyperlink ref="B196" location="'SPV.01.02.20'!A1" display="SPV.01.02.20" xr:uid="{4E3D500F-D512-44BC-8F7B-E7E66F509581}"/>
    <hyperlink ref="B197" location="'SPV.02.01.20'!A1" display="SPV.02.01.20" xr:uid="{70D2C2EC-9599-4F28-A56F-7383A54AF1B5}"/>
    <hyperlink ref="B198" location="'SPV.02.02.20'!A1" display="SPV.02.02.20" xr:uid="{E85A20B6-3422-4EED-86D5-459DA9DBAE62}"/>
    <hyperlink ref="B199" location="'SPV.03.01.20'!A1" display="SPV.03.01.20" xr:uid="{1A22AE81-03F5-4F38-BF11-81F1C8D9A3BB}"/>
    <hyperlink ref="B200" location="'SPV.03.02.20'!A1" display="SPV.03.02.20" xr:uid="{A4875656-60EB-450D-82AC-C8302BA77788}"/>
    <hyperlink ref="B201" location="'T.99.01.01'!A1" display="T.99.01.01" xr:uid="{17FA0336-F594-4E29-8AE4-57F9CF96CB1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4B78-F443-43CE-905B-0E244E91599D}">
  <sheetPr codeName="Blad30"/>
  <dimension ref="B2:O103"/>
  <sheetViews>
    <sheetView showGridLines="0" workbookViewId="0"/>
  </sheetViews>
  <sheetFormatPr defaultRowHeight="15"/>
  <cols>
    <col min="2" max="2" width="82.28515625" bestFit="1" customWidth="1"/>
    <col min="4" max="5" width="15.7109375" customWidth="1"/>
  </cols>
  <sheetData>
    <row r="2" spans="2:15" ht="23.25">
      <c r="B2" s="95" t="s">
        <v>544</v>
      </c>
      <c r="C2" s="96"/>
      <c r="D2" s="96"/>
      <c r="E2" s="96"/>
      <c r="F2" s="96"/>
      <c r="G2" s="96"/>
      <c r="H2" s="96"/>
      <c r="I2" s="96"/>
      <c r="J2" s="96"/>
      <c r="K2" s="96"/>
      <c r="L2" s="96"/>
      <c r="M2" s="96"/>
      <c r="N2" s="96"/>
      <c r="O2" s="96"/>
    </row>
    <row r="5" spans="2:15" ht="18.75">
      <c r="B5" s="97" t="s">
        <v>3249</v>
      </c>
      <c r="C5" s="96"/>
      <c r="D5" s="96"/>
      <c r="E5" s="96"/>
      <c r="F5" s="96"/>
      <c r="G5" s="96"/>
      <c r="H5" s="96"/>
      <c r="I5" s="96"/>
      <c r="J5" s="96"/>
      <c r="K5" s="96"/>
      <c r="L5" s="96"/>
    </row>
    <row r="9" spans="2:15">
      <c r="D9" s="101" t="s">
        <v>2877</v>
      </c>
      <c r="E9" s="103"/>
    </row>
    <row r="10" spans="2:15">
      <c r="D10" s="104"/>
      <c r="E10" s="106"/>
    </row>
    <row r="11" spans="2:15">
      <c r="D11" s="98" t="s">
        <v>3250</v>
      </c>
      <c r="E11" s="98" t="s">
        <v>3251</v>
      </c>
    </row>
    <row r="12" spans="2:15">
      <c r="D12" s="99"/>
      <c r="E12" s="99"/>
    </row>
    <row r="13" spans="2:15">
      <c r="D13" s="99"/>
      <c r="E13" s="99"/>
    </row>
    <row r="14" spans="2:15">
      <c r="D14" s="100"/>
      <c r="E14" s="100"/>
    </row>
    <row r="15" spans="2:15">
      <c r="D15" s="45" t="s">
        <v>2879</v>
      </c>
      <c r="E15" s="45" t="s">
        <v>3219</v>
      </c>
      <c r="J15" s="13" t="str">
        <f>Show!$B$26&amp;"S.02.01.01.01 Rows {"&amp;COLUMN($C$1)&amp;"}"&amp;"@ForceFilingCode:true"</f>
        <v>!S.02.01.01.01 Rows {3}@ForceFilingCode:true</v>
      </c>
      <c r="K15" s="13" t="str">
        <f>Show!$B$26&amp;"S.02.01.01.01 Columns {"&amp;COLUMN($D$1)&amp;"}"</f>
        <v>!S.02.01.01.01 Columns {4}</v>
      </c>
    </row>
    <row r="16" spans="2:15">
      <c r="B16" s="43" t="s">
        <v>2880</v>
      </c>
      <c r="C16" s="44" t="s">
        <v>2878</v>
      </c>
      <c r="D16" s="58"/>
      <c r="E16" s="59"/>
    </row>
    <row r="17" spans="2:5">
      <c r="B17" s="47" t="s">
        <v>3252</v>
      </c>
      <c r="C17" s="44" t="s">
        <v>2878</v>
      </c>
      <c r="D17" s="58"/>
      <c r="E17" s="57"/>
    </row>
    <row r="18" spans="2:5">
      <c r="B18" s="49" t="s">
        <v>3253</v>
      </c>
      <c r="C18" s="44" t="s">
        <v>2883</v>
      </c>
      <c r="D18" s="48"/>
      <c r="E18" s="60"/>
    </row>
    <row r="19" spans="2:5">
      <c r="B19" s="49" t="s">
        <v>3254</v>
      </c>
      <c r="C19" s="44" t="s">
        <v>2885</v>
      </c>
      <c r="D19" s="46"/>
      <c r="E19" s="60"/>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0"/>
    </row>
    <row r="45" spans="2:5">
      <c r="B45" s="61" t="s">
        <v>3273</v>
      </c>
      <c r="C45" s="41" t="s">
        <v>2935</v>
      </c>
      <c r="D45" s="60"/>
      <c r="E45" s="60"/>
    </row>
    <row r="46" spans="2:5">
      <c r="B46" s="62" t="s">
        <v>3274</v>
      </c>
      <c r="C46" s="41" t="s">
        <v>2937</v>
      </c>
      <c r="D46" s="60"/>
      <c r="E46" s="60"/>
    </row>
    <row r="47" spans="2:5">
      <c r="B47" s="62" t="s">
        <v>3275</v>
      </c>
      <c r="C47" s="41" t="s">
        <v>2939</v>
      </c>
      <c r="D47" s="60"/>
      <c r="E47" s="60"/>
    </row>
    <row r="48" spans="2:5">
      <c r="B48" s="61" t="s">
        <v>3276</v>
      </c>
      <c r="C48" s="41" t="s">
        <v>2941</v>
      </c>
      <c r="D48" s="60"/>
      <c r="E48" s="60"/>
    </row>
    <row r="49" spans="2:5">
      <c r="B49" s="62" t="s">
        <v>3277</v>
      </c>
      <c r="C49" s="41" t="s">
        <v>2943</v>
      </c>
      <c r="D49" s="60"/>
      <c r="E49" s="60"/>
    </row>
    <row r="50" spans="2:5">
      <c r="B50" s="62" t="s">
        <v>3278</v>
      </c>
      <c r="C50" s="41" t="s">
        <v>2945</v>
      </c>
      <c r="D50" s="60"/>
      <c r="E50" s="60"/>
    </row>
    <row r="51" spans="2:5">
      <c r="B51" s="61" t="s">
        <v>3279</v>
      </c>
      <c r="C51" s="41" t="s">
        <v>2947</v>
      </c>
      <c r="D51" s="60"/>
      <c r="E51" s="60"/>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3284</v>
      </c>
      <c r="C56" s="41" t="s">
        <v>2957</v>
      </c>
      <c r="D56" s="60"/>
      <c r="E56" s="60"/>
    </row>
    <row r="57" spans="2:5">
      <c r="B57" s="49" t="s">
        <v>3285</v>
      </c>
      <c r="C57" s="41" t="s">
        <v>2959</v>
      </c>
      <c r="D57" s="60"/>
      <c r="E57" s="60"/>
    </row>
    <row r="58" spans="2:5">
      <c r="B58" s="49" t="s">
        <v>3286</v>
      </c>
      <c r="C58" s="41" t="s">
        <v>2961</v>
      </c>
      <c r="D58" s="60"/>
      <c r="E58" s="60"/>
    </row>
    <row r="59" spans="2:5">
      <c r="B59" s="49" t="s">
        <v>3287</v>
      </c>
      <c r="C59" s="41" t="s">
        <v>2963</v>
      </c>
      <c r="D59" s="60"/>
      <c r="E59" s="60"/>
    </row>
    <row r="60" spans="2:5">
      <c r="B60" s="49" t="s">
        <v>3288</v>
      </c>
      <c r="C60" s="41" t="s">
        <v>2977</v>
      </c>
      <c r="D60" s="63"/>
      <c r="E60" s="63"/>
    </row>
    <row r="61" spans="2:5">
      <c r="B61" s="47" t="s">
        <v>2389</v>
      </c>
      <c r="C61" s="44" t="s">
        <v>2878</v>
      </c>
      <c r="D61" s="56"/>
      <c r="E61" s="57"/>
    </row>
    <row r="62" spans="2:5">
      <c r="B62" s="49" t="s">
        <v>3289</v>
      </c>
      <c r="C62" s="41" t="s">
        <v>2979</v>
      </c>
      <c r="D62" s="60"/>
      <c r="E62" s="60"/>
    </row>
    <row r="63" spans="2:5">
      <c r="B63" s="61" t="s">
        <v>3290</v>
      </c>
      <c r="C63" s="41" t="s">
        <v>2981</v>
      </c>
      <c r="D63" s="60"/>
      <c r="E63" s="63"/>
    </row>
    <row r="64" spans="2:5">
      <c r="B64" s="62" t="s">
        <v>3291</v>
      </c>
      <c r="C64" s="41" t="s">
        <v>2983</v>
      </c>
      <c r="D64" s="64"/>
      <c r="E64" s="48"/>
    </row>
    <row r="65" spans="2:5">
      <c r="B65" s="62" t="s">
        <v>3292</v>
      </c>
      <c r="C65" s="41" t="s">
        <v>2985</v>
      </c>
      <c r="D65" s="64"/>
      <c r="E65" s="48"/>
    </row>
    <row r="66" spans="2:5">
      <c r="B66" s="62" t="s">
        <v>3293</v>
      </c>
      <c r="C66" s="41" t="s">
        <v>2987</v>
      </c>
      <c r="D66" s="64"/>
      <c r="E66" s="46"/>
    </row>
    <row r="67" spans="2:5">
      <c r="B67" s="61" t="s">
        <v>3294</v>
      </c>
      <c r="C67" s="41" t="s">
        <v>2989</v>
      </c>
      <c r="D67" s="60"/>
      <c r="E67" s="63"/>
    </row>
    <row r="68" spans="2:5">
      <c r="B68" s="62" t="s">
        <v>3291</v>
      </c>
      <c r="C68" s="41" t="s">
        <v>2991</v>
      </c>
      <c r="D68" s="64"/>
      <c r="E68" s="48"/>
    </row>
    <row r="69" spans="2:5">
      <c r="B69" s="62" t="s">
        <v>3292</v>
      </c>
      <c r="C69" s="41" t="s">
        <v>2993</v>
      </c>
      <c r="D69" s="64"/>
      <c r="E69" s="48"/>
    </row>
    <row r="70" spans="2:5">
      <c r="B70" s="62" t="s">
        <v>3293</v>
      </c>
      <c r="C70" s="41" t="s">
        <v>2995</v>
      </c>
      <c r="D70" s="64"/>
      <c r="E70" s="46"/>
    </row>
    <row r="71" spans="2:5">
      <c r="B71" s="49" t="s">
        <v>3295</v>
      </c>
      <c r="C71" s="41" t="s">
        <v>2997</v>
      </c>
      <c r="D71" s="60"/>
      <c r="E71" s="60"/>
    </row>
    <row r="72" spans="2:5">
      <c r="B72" s="61" t="s">
        <v>3296</v>
      </c>
      <c r="C72" s="41" t="s">
        <v>2999</v>
      </c>
      <c r="D72" s="60"/>
      <c r="E72" s="63"/>
    </row>
    <row r="73" spans="2:5">
      <c r="B73" s="62" t="s">
        <v>3291</v>
      </c>
      <c r="C73" s="41" t="s">
        <v>3001</v>
      </c>
      <c r="D73" s="64"/>
      <c r="E73" s="48"/>
    </row>
    <row r="74" spans="2:5">
      <c r="B74" s="62" t="s">
        <v>3292</v>
      </c>
      <c r="C74" s="41" t="s">
        <v>3003</v>
      </c>
      <c r="D74" s="64"/>
      <c r="E74" s="48"/>
    </row>
    <row r="75" spans="2:5">
      <c r="B75" s="62" t="s">
        <v>3293</v>
      </c>
      <c r="C75" s="41" t="s">
        <v>3005</v>
      </c>
      <c r="D75" s="64"/>
      <c r="E75" s="46"/>
    </row>
    <row r="76" spans="2:5">
      <c r="B76" s="61" t="s">
        <v>3297</v>
      </c>
      <c r="C76" s="41" t="s">
        <v>3007</v>
      </c>
      <c r="D76" s="60"/>
      <c r="E76" s="63"/>
    </row>
    <row r="77" spans="2:5">
      <c r="B77" s="62" t="s">
        <v>3291</v>
      </c>
      <c r="C77" s="41" t="s">
        <v>3009</v>
      </c>
      <c r="D77" s="64"/>
      <c r="E77" s="48"/>
    </row>
    <row r="78" spans="2:5">
      <c r="B78" s="62" t="s">
        <v>3292</v>
      </c>
      <c r="C78" s="41" t="s">
        <v>3011</v>
      </c>
      <c r="D78" s="64"/>
      <c r="E78" s="48"/>
    </row>
    <row r="79" spans="2:5">
      <c r="B79" s="62" t="s">
        <v>3293</v>
      </c>
      <c r="C79" s="41" t="s">
        <v>3013</v>
      </c>
      <c r="D79" s="64"/>
      <c r="E79" s="46"/>
    </row>
    <row r="80" spans="2:5">
      <c r="B80" s="49" t="s">
        <v>3298</v>
      </c>
      <c r="C80" s="41" t="s">
        <v>3015</v>
      </c>
      <c r="D80" s="60"/>
      <c r="E80" s="63"/>
    </row>
    <row r="81" spans="2:5">
      <c r="B81" s="61" t="s">
        <v>3291</v>
      </c>
      <c r="C81" s="41" t="s">
        <v>3064</v>
      </c>
      <c r="D81" s="64"/>
      <c r="E81" s="48"/>
    </row>
    <row r="82" spans="2:5">
      <c r="B82" s="61" t="s">
        <v>3292</v>
      </c>
      <c r="C82" s="41" t="s">
        <v>3066</v>
      </c>
      <c r="D82" s="64"/>
      <c r="E82" s="48"/>
    </row>
    <row r="83" spans="2:5">
      <c r="B83" s="61" t="s">
        <v>3293</v>
      </c>
      <c r="C83" s="41" t="s">
        <v>3068</v>
      </c>
      <c r="D83" s="65"/>
      <c r="E83" s="46"/>
    </row>
    <row r="84" spans="2:5">
      <c r="B84" s="49" t="s">
        <v>3299</v>
      </c>
      <c r="C84" s="44" t="s">
        <v>3070</v>
      </c>
      <c r="D84" s="46"/>
      <c r="E84" s="60"/>
    </row>
    <row r="85" spans="2:5">
      <c r="B85" s="49" t="s">
        <v>2698</v>
      </c>
      <c r="C85" s="41" t="s">
        <v>3017</v>
      </c>
      <c r="D85" s="60"/>
      <c r="E85" s="60"/>
    </row>
    <row r="86" spans="2:5">
      <c r="B86" s="49" t="s">
        <v>3300</v>
      </c>
      <c r="C86" s="41" t="s">
        <v>3019</v>
      </c>
      <c r="D86" s="60"/>
      <c r="E86" s="60"/>
    </row>
    <row r="87" spans="2:5">
      <c r="B87" s="49" t="s">
        <v>3301</v>
      </c>
      <c r="C87" s="41" t="s">
        <v>3021</v>
      </c>
      <c r="D87" s="60"/>
      <c r="E87" s="60"/>
    </row>
    <row r="88" spans="2:5">
      <c r="B88" s="49" t="s">
        <v>3302</v>
      </c>
      <c r="C88" s="41" t="s">
        <v>3023</v>
      </c>
      <c r="D88" s="60"/>
      <c r="E88" s="60"/>
    </row>
    <row r="89" spans="2:5">
      <c r="B89" s="49" t="s">
        <v>3303</v>
      </c>
      <c r="C89" s="41" t="s">
        <v>3072</v>
      </c>
      <c r="D89" s="60"/>
      <c r="E89" s="60"/>
    </row>
    <row r="90" spans="2:5">
      <c r="B90" s="49" t="s">
        <v>2481</v>
      </c>
      <c r="C90" s="41" t="s">
        <v>3118</v>
      </c>
      <c r="D90" s="60"/>
      <c r="E90" s="60"/>
    </row>
    <row r="91" spans="2:5">
      <c r="B91" s="49" t="s">
        <v>3304</v>
      </c>
      <c r="C91" s="41" t="s">
        <v>3120</v>
      </c>
      <c r="D91" s="60"/>
      <c r="E91" s="60"/>
    </row>
    <row r="92" spans="2:5">
      <c r="B92" s="49" t="s">
        <v>3305</v>
      </c>
      <c r="C92" s="41" t="s">
        <v>3122</v>
      </c>
      <c r="D92" s="60"/>
      <c r="E92" s="60"/>
    </row>
    <row r="93" spans="2:5">
      <c r="B93" s="49" t="s">
        <v>3306</v>
      </c>
      <c r="C93" s="41" t="s">
        <v>3124</v>
      </c>
      <c r="D93" s="60"/>
      <c r="E93" s="60"/>
    </row>
    <row r="94" spans="2:5">
      <c r="B94" s="49" t="s">
        <v>3307</v>
      </c>
      <c r="C94" s="41" t="s">
        <v>3126</v>
      </c>
      <c r="D94" s="60"/>
      <c r="E94" s="60"/>
    </row>
    <row r="95" spans="2:5">
      <c r="B95" s="49" t="s">
        <v>3308</v>
      </c>
      <c r="C95" s="41" t="s">
        <v>3128</v>
      </c>
      <c r="D95" s="60"/>
      <c r="E95" s="60"/>
    </row>
    <row r="96" spans="2:5">
      <c r="B96" s="49" t="s">
        <v>3309</v>
      </c>
      <c r="C96" s="41" t="s">
        <v>3130</v>
      </c>
      <c r="D96" s="60"/>
      <c r="E96" s="60"/>
    </row>
    <row r="97" spans="2:11">
      <c r="B97" s="61" t="s">
        <v>3310</v>
      </c>
      <c r="C97" s="41" t="s">
        <v>3132</v>
      </c>
      <c r="D97" s="60"/>
      <c r="E97" s="60"/>
    </row>
    <row r="98" spans="2:11">
      <c r="B98" s="61" t="s">
        <v>3311</v>
      </c>
      <c r="C98" s="41" t="s">
        <v>3134</v>
      </c>
      <c r="D98" s="60"/>
      <c r="E98" s="60"/>
    </row>
    <row r="99" spans="2:11">
      <c r="B99" s="49" t="s">
        <v>3312</v>
      </c>
      <c r="C99" s="41" t="s">
        <v>3136</v>
      </c>
      <c r="D99" s="60"/>
      <c r="E99" s="60"/>
    </row>
    <row r="100" spans="2:11">
      <c r="B100" s="49" t="s">
        <v>3313</v>
      </c>
      <c r="C100" s="41" t="s">
        <v>3140</v>
      </c>
      <c r="D100" s="60"/>
      <c r="E100" s="60"/>
    </row>
    <row r="101" spans="2:11">
      <c r="B101" s="47" t="s">
        <v>3314</v>
      </c>
      <c r="C101" s="41" t="s">
        <v>3315</v>
      </c>
      <c r="D101" s="60"/>
      <c r="E101" s="60"/>
    </row>
    <row r="103" spans="2:11">
      <c r="J103" s="13" t="str">
        <f>Show!$B$26&amp;Show!$B$26&amp;"S.02.01.01.01 Rows {"&amp;COLUMN($C$1)&amp;"}"</f>
        <v>!!S.02.01.01.01 Rows {3}</v>
      </c>
      <c r="K103" s="13" t="str">
        <f>Show!$B$26&amp;Show!$B$26&amp;"S.02.01.01.01 Columns {"&amp;COLUMN($E$1)&amp;"}"</f>
        <v>!!S.02.01.01.01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8FE8-F8BF-4F87-91B5-0A3B60059A02}">
  <sheetPr codeName="Blad31"/>
  <dimension ref="B2:O103"/>
  <sheetViews>
    <sheetView showGridLines="0" tabSelected="1" workbookViewId="0">
      <selection activeCell="D26" sqref="D26"/>
    </sheetView>
  </sheetViews>
  <sheetFormatPr defaultRowHeight="15"/>
  <cols>
    <col min="2" max="2" width="82.28515625" bestFit="1" customWidth="1"/>
    <col min="4" max="4" width="16.42578125" bestFit="1" customWidth="1"/>
  </cols>
  <sheetData>
    <row r="2" spans="2:15" ht="23.25">
      <c r="B2" s="95" t="s">
        <v>544</v>
      </c>
      <c r="C2" s="96"/>
      <c r="D2" s="96"/>
      <c r="E2" s="96"/>
      <c r="F2" s="96"/>
      <c r="G2" s="96"/>
      <c r="H2" s="96"/>
      <c r="I2" s="96"/>
      <c r="J2" s="96"/>
      <c r="K2" s="96"/>
      <c r="L2" s="96"/>
      <c r="M2" s="96"/>
      <c r="N2" s="96"/>
      <c r="O2" s="96"/>
    </row>
    <row r="5" spans="2:15" ht="18.75">
      <c r="B5" s="97" t="s">
        <v>3316</v>
      </c>
      <c r="C5" s="96"/>
      <c r="D5" s="96"/>
      <c r="E5" s="96"/>
      <c r="F5" s="96"/>
      <c r="G5" s="96"/>
      <c r="H5" s="96"/>
      <c r="I5" s="96"/>
      <c r="J5" s="96"/>
      <c r="K5" s="96"/>
      <c r="L5" s="96"/>
    </row>
    <row r="9" spans="2:15">
      <c r="D9" s="98" t="s">
        <v>2877</v>
      </c>
    </row>
    <row r="10" spans="2:15">
      <c r="D10" s="100"/>
    </row>
    <row r="11" spans="2:15">
      <c r="D11" s="98" t="s">
        <v>3250</v>
      </c>
    </row>
    <row r="12" spans="2:15">
      <c r="D12" s="99"/>
    </row>
    <row r="13" spans="2:15">
      <c r="D13" s="99"/>
    </row>
    <row r="14" spans="2:15">
      <c r="D14" s="100"/>
    </row>
    <row r="15" spans="2:15">
      <c r="D15" s="45" t="s">
        <v>2879</v>
      </c>
      <c r="I15" s="13"/>
      <c r="J15" s="13"/>
    </row>
    <row r="16" spans="2:15">
      <c r="B16" s="43" t="s">
        <v>2880</v>
      </c>
      <c r="C16" s="44" t="s">
        <v>2878</v>
      </c>
      <c r="D16" s="48"/>
    </row>
    <row r="17" spans="2:4">
      <c r="B17" s="47" t="s">
        <v>3252</v>
      </c>
      <c r="C17" s="44" t="s">
        <v>2878</v>
      </c>
      <c r="D17" s="48"/>
    </row>
    <row r="18" spans="2:4">
      <c r="B18" s="49" t="s">
        <v>3253</v>
      </c>
      <c r="C18" s="44" t="s">
        <v>2883</v>
      </c>
      <c r="D18" s="48"/>
    </row>
    <row r="19" spans="2:4">
      <c r="B19" s="49" t="s">
        <v>3254</v>
      </c>
      <c r="C19" s="44" t="s">
        <v>2885</v>
      </c>
      <c r="D19" s="46"/>
    </row>
    <row r="20" spans="2:4">
      <c r="B20" s="49" t="s">
        <v>3255</v>
      </c>
      <c r="C20" s="41" t="s">
        <v>2887</v>
      </c>
      <c r="D20" s="60">
        <f>'[1]SE.02.01.16'!D11</f>
        <v>0</v>
      </c>
    </row>
    <row r="21" spans="2:4">
      <c r="B21" s="49" t="s">
        <v>3256</v>
      </c>
      <c r="C21" s="41" t="s">
        <v>2889</v>
      </c>
      <c r="D21" s="60">
        <f>'[1]SE.02.01.16'!D12</f>
        <v>0</v>
      </c>
    </row>
    <row r="22" spans="2:4">
      <c r="B22" s="49" t="s">
        <v>3257</v>
      </c>
      <c r="C22" s="41" t="s">
        <v>3078</v>
      </c>
      <c r="D22" s="60">
        <f>'[1]SE.02.01.16'!D13</f>
        <v>0</v>
      </c>
    </row>
    <row r="23" spans="2:4">
      <c r="B23" s="49" t="s">
        <v>3258</v>
      </c>
      <c r="C23" s="41" t="s">
        <v>2891</v>
      </c>
      <c r="D23" s="60">
        <f>'[1]SE.02.01.16'!D14</f>
        <v>23528711.810000002</v>
      </c>
    </row>
    <row r="24" spans="2:4">
      <c r="B24" s="49" t="s">
        <v>3259</v>
      </c>
      <c r="C24" s="41" t="s">
        <v>2893</v>
      </c>
      <c r="D24" s="60">
        <f>'[1]SE.02.01.16'!D15</f>
        <v>8863471747.2829514</v>
      </c>
    </row>
    <row r="25" spans="2:4">
      <c r="B25" s="61" t="s">
        <v>3260</v>
      </c>
      <c r="C25" s="41" t="s">
        <v>2895</v>
      </c>
      <c r="D25" s="60">
        <f>'[1]SE.02.01.16'!D16</f>
        <v>0</v>
      </c>
    </row>
    <row r="26" spans="2:4">
      <c r="B26" s="61" t="s">
        <v>3261</v>
      </c>
      <c r="C26" s="41" t="s">
        <v>2897</v>
      </c>
      <c r="D26" s="60">
        <f>'[1]SE.02.01.16'!D17</f>
        <v>5941784818.4325161</v>
      </c>
    </row>
    <row r="27" spans="2:4">
      <c r="B27" s="61" t="s">
        <v>2480</v>
      </c>
      <c r="C27" s="41" t="s">
        <v>2899</v>
      </c>
      <c r="D27" s="60">
        <f>'[1]SE.02.01.16'!D18</f>
        <v>0</v>
      </c>
    </row>
    <row r="28" spans="2:4">
      <c r="B28" s="62" t="s">
        <v>3262</v>
      </c>
      <c r="C28" s="41" t="s">
        <v>2901</v>
      </c>
      <c r="D28" s="60">
        <f>'[1]SE.02.01.16'!D19</f>
        <v>0</v>
      </c>
    </row>
    <row r="29" spans="2:4">
      <c r="B29" s="62" t="s">
        <v>3263</v>
      </c>
      <c r="C29" s="41" t="s">
        <v>2903</v>
      </c>
      <c r="D29" s="60">
        <f>'[1]SE.02.01.16'!D20</f>
        <v>0</v>
      </c>
    </row>
    <row r="30" spans="2:4">
      <c r="B30" s="61" t="s">
        <v>3264</v>
      </c>
      <c r="C30" s="41" t="s">
        <v>2905</v>
      </c>
      <c r="D30" s="60">
        <f>'[1]SE.02.01.16'!D21</f>
        <v>1909562422.965575</v>
      </c>
    </row>
    <row r="31" spans="2:4">
      <c r="B31" s="62" t="s">
        <v>2372</v>
      </c>
      <c r="C31" s="41" t="s">
        <v>2907</v>
      </c>
      <c r="D31" s="60">
        <f>'[1]SE.02.01.16'!D22</f>
        <v>795316207.31592607</v>
      </c>
    </row>
    <row r="32" spans="2:4">
      <c r="B32" s="62" t="s">
        <v>2373</v>
      </c>
      <c r="C32" s="41" t="s">
        <v>2909</v>
      </c>
      <c r="D32" s="60">
        <f>'[1]SE.02.01.16'!D23</f>
        <v>1114246215.6496489</v>
      </c>
    </row>
    <row r="33" spans="2:4">
      <c r="B33" s="62" t="s">
        <v>2377</v>
      </c>
      <c r="C33" s="41" t="s">
        <v>2911</v>
      </c>
      <c r="D33" s="60">
        <f>'[1]SE.02.01.16'!D24</f>
        <v>0</v>
      </c>
    </row>
    <row r="34" spans="2:4">
      <c r="B34" s="62" t="s">
        <v>2378</v>
      </c>
      <c r="C34" s="41" t="s">
        <v>2913</v>
      </c>
      <c r="D34" s="60">
        <f>'[1]SE.02.01.16'!D25</f>
        <v>0</v>
      </c>
    </row>
    <row r="35" spans="2:4">
      <c r="B35" s="61" t="s">
        <v>3265</v>
      </c>
      <c r="C35" s="41" t="s">
        <v>2915</v>
      </c>
      <c r="D35" s="60">
        <f>'[1]SE.02.01.16'!D26</f>
        <v>1011889963.4248605</v>
      </c>
    </row>
    <row r="36" spans="2:4">
      <c r="B36" s="61" t="s">
        <v>2481</v>
      </c>
      <c r="C36" s="41" t="s">
        <v>2917</v>
      </c>
      <c r="D36" s="60">
        <f>'[1]SE.02.01.16'!D27</f>
        <v>208142</v>
      </c>
    </row>
    <row r="37" spans="2:4">
      <c r="B37" s="61" t="s">
        <v>3266</v>
      </c>
      <c r="C37" s="41" t="s">
        <v>2919</v>
      </c>
      <c r="D37" s="60">
        <f>'[1]SE.02.01.16'!D28</f>
        <v>26400.46</v>
      </c>
    </row>
    <row r="38" spans="2:4">
      <c r="B38" s="61" t="s">
        <v>2382</v>
      </c>
      <c r="C38" s="41" t="s">
        <v>2921</v>
      </c>
      <c r="D38" s="60">
        <f>'[1]SE.02.01.16'!D29</f>
        <v>0</v>
      </c>
    </row>
    <row r="39" spans="2:4">
      <c r="B39" s="49" t="s">
        <v>3267</v>
      </c>
      <c r="C39" s="41" t="s">
        <v>2923</v>
      </c>
      <c r="D39" s="60">
        <f>'[1]SE.02.01.16'!D30</f>
        <v>0</v>
      </c>
    </row>
    <row r="40" spans="2:4">
      <c r="B40" s="49" t="s">
        <v>3268</v>
      </c>
      <c r="C40" s="41" t="s">
        <v>2925</v>
      </c>
      <c r="D40" s="60">
        <f>'[1]SE.02.01.16'!D31</f>
        <v>1284587679.9217379</v>
      </c>
    </row>
    <row r="41" spans="2:4">
      <c r="B41" s="61" t="s">
        <v>3269</v>
      </c>
      <c r="C41" s="41" t="s">
        <v>2927</v>
      </c>
      <c r="D41" s="60">
        <f>'[1]SE.02.01.16'!D32</f>
        <v>0</v>
      </c>
    </row>
    <row r="42" spans="2:4">
      <c r="B42" s="61" t="s">
        <v>3270</v>
      </c>
      <c r="C42" s="41" t="s">
        <v>2929</v>
      </c>
      <c r="D42" s="60">
        <f>'[1]SE.02.01.16'!D33</f>
        <v>0</v>
      </c>
    </row>
    <row r="43" spans="2:4">
      <c r="B43" s="61" t="s">
        <v>3271</v>
      </c>
      <c r="C43" s="41" t="s">
        <v>2931</v>
      </c>
      <c r="D43" s="60">
        <f>'[1]SE.02.01.16'!D34</f>
        <v>1284587679.9217379</v>
      </c>
    </row>
    <row r="44" spans="2:4">
      <c r="B44" s="49" t="s">
        <v>3272</v>
      </c>
      <c r="C44" s="41" t="s">
        <v>2933</v>
      </c>
      <c r="D44" s="60">
        <f>'[1]SE.02.01.16'!D35</f>
        <v>17123800.639049329</v>
      </c>
    </row>
    <row r="45" spans="2:4">
      <c r="B45" s="61" t="s">
        <v>3273</v>
      </c>
      <c r="C45" s="41" t="s">
        <v>2935</v>
      </c>
      <c r="D45" s="60">
        <f>'[1]SE.02.01.16'!D36</f>
        <v>17123800.639049329</v>
      </c>
    </row>
    <row r="46" spans="2:4">
      <c r="B46" s="62" t="s">
        <v>3274</v>
      </c>
      <c r="C46" s="41" t="s">
        <v>2937</v>
      </c>
      <c r="D46" s="60">
        <f>'[1]SE.02.01.16'!D37</f>
        <v>17123800.639049329</v>
      </c>
    </row>
    <row r="47" spans="2:4">
      <c r="B47" s="62" t="s">
        <v>3275</v>
      </c>
      <c r="C47" s="41" t="s">
        <v>2939</v>
      </c>
      <c r="D47" s="60">
        <f>'[1]SE.02.01.16'!D38</f>
        <v>0</v>
      </c>
    </row>
    <row r="48" spans="2:4">
      <c r="B48" s="61" t="s">
        <v>3276</v>
      </c>
      <c r="C48" s="41" t="s">
        <v>2941</v>
      </c>
      <c r="D48" s="60">
        <f>'[1]SE.02.01.16'!D39</f>
        <v>0</v>
      </c>
    </row>
    <row r="49" spans="2:4">
      <c r="B49" s="62" t="s">
        <v>3277</v>
      </c>
      <c r="C49" s="41" t="s">
        <v>2943</v>
      </c>
      <c r="D49" s="60">
        <f>'[1]SE.02.01.16'!D40</f>
        <v>0</v>
      </c>
    </row>
    <row r="50" spans="2:4">
      <c r="B50" s="62" t="s">
        <v>3278</v>
      </c>
      <c r="C50" s="41" t="s">
        <v>2945</v>
      </c>
      <c r="D50" s="60">
        <f>'[1]SE.02.01.16'!D41</f>
        <v>0</v>
      </c>
    </row>
    <row r="51" spans="2:4">
      <c r="B51" s="61" t="s">
        <v>3279</v>
      </c>
      <c r="C51" s="41" t="s">
        <v>2947</v>
      </c>
      <c r="D51" s="60">
        <f>'[1]SE.02.01.16'!D42</f>
        <v>0</v>
      </c>
    </row>
    <row r="52" spans="2:4">
      <c r="B52" s="49" t="s">
        <v>3280</v>
      </c>
      <c r="C52" s="41" t="s">
        <v>2949</v>
      </c>
      <c r="D52" s="60">
        <f>'[1]SE.02.01.16'!D43</f>
        <v>0</v>
      </c>
    </row>
    <row r="53" spans="2:4">
      <c r="B53" s="49" t="s">
        <v>3281</v>
      </c>
      <c r="C53" s="41" t="s">
        <v>2951</v>
      </c>
      <c r="D53" s="60">
        <f>'[1]SE.02.01.16'!D44</f>
        <v>282009654.43115097</v>
      </c>
    </row>
    <row r="54" spans="2:4">
      <c r="B54" s="49" t="s">
        <v>3282</v>
      </c>
      <c r="C54" s="41" t="s">
        <v>2953</v>
      </c>
      <c r="D54" s="60">
        <f>'[1]SE.02.01.16'!D45</f>
        <v>0</v>
      </c>
    </row>
    <row r="55" spans="2:4">
      <c r="B55" s="49" t="s">
        <v>3283</v>
      </c>
      <c r="C55" s="41" t="s">
        <v>2955</v>
      </c>
      <c r="D55" s="60">
        <f>'[1]SE.02.01.16'!D46</f>
        <v>122528058.26062199</v>
      </c>
    </row>
    <row r="56" spans="2:4">
      <c r="B56" s="49" t="s">
        <v>3284</v>
      </c>
      <c r="C56" s="41" t="s">
        <v>2957</v>
      </c>
      <c r="D56" s="60">
        <f>'[1]SE.02.01.16'!D47</f>
        <v>462377188</v>
      </c>
    </row>
    <row r="57" spans="2:4">
      <c r="B57" s="49" t="s">
        <v>3285</v>
      </c>
      <c r="C57" s="41" t="s">
        <v>2959</v>
      </c>
      <c r="D57" s="60">
        <f>'[1]SE.02.01.16'!D48</f>
        <v>0</v>
      </c>
    </row>
    <row r="58" spans="2:4">
      <c r="B58" s="49" t="s">
        <v>3286</v>
      </c>
      <c r="C58" s="41" t="s">
        <v>2961</v>
      </c>
      <c r="D58" s="60">
        <f>'[1]SE.02.01.16'!D49</f>
        <v>86253027.698716551</v>
      </c>
    </row>
    <row r="59" spans="2:4">
      <c r="B59" s="49" t="s">
        <v>3287</v>
      </c>
      <c r="C59" s="41" t="s">
        <v>2963</v>
      </c>
      <c r="D59" s="60">
        <f>'[1]SE.02.01.16'!D50</f>
        <v>4524179.96</v>
      </c>
    </row>
    <row r="60" spans="2:4">
      <c r="B60" s="49" t="s">
        <v>3288</v>
      </c>
      <c r="C60" s="41" t="s">
        <v>2977</v>
      </c>
      <c r="D60" s="60">
        <f>'[1]SE.02.01.16'!D51</f>
        <v>11146404048.004227</v>
      </c>
    </row>
    <row r="61" spans="2:4">
      <c r="B61" s="47" t="s">
        <v>2389</v>
      </c>
      <c r="C61" s="44" t="s">
        <v>2878</v>
      </c>
      <c r="D61" s="46"/>
    </row>
    <row r="62" spans="2:4">
      <c r="B62" s="49" t="s">
        <v>3289</v>
      </c>
      <c r="C62" s="41" t="s">
        <v>2979</v>
      </c>
      <c r="D62" s="60">
        <f>'[1]SE.02.01.16'!D53</f>
        <v>2054483723.2416449</v>
      </c>
    </row>
    <row r="63" spans="2:4">
      <c r="B63" s="61" t="s">
        <v>3290</v>
      </c>
      <c r="C63" s="41" t="s">
        <v>2981</v>
      </c>
      <c r="D63" s="60">
        <f>'[1]SE.02.01.16'!D54</f>
        <v>1959190378.3168027</v>
      </c>
    </row>
    <row r="64" spans="2:4">
      <c r="B64" s="62" t="s">
        <v>3291</v>
      </c>
      <c r="C64" s="41" t="s">
        <v>2983</v>
      </c>
      <c r="D64" s="60">
        <f>'[1]SE.02.01.16'!D55</f>
        <v>0</v>
      </c>
    </row>
    <row r="65" spans="2:4">
      <c r="B65" s="62" t="s">
        <v>3292</v>
      </c>
      <c r="C65" s="41" t="s">
        <v>2985</v>
      </c>
      <c r="D65" s="60">
        <f>'[1]SE.02.01.16'!D56</f>
        <v>1849627320.1324956</v>
      </c>
    </row>
    <row r="66" spans="2:4">
      <c r="B66" s="62" t="s">
        <v>3293</v>
      </c>
      <c r="C66" s="41" t="s">
        <v>2987</v>
      </c>
      <c r="D66" s="60">
        <f>'[1]SE.02.01.16'!D57</f>
        <v>109563058.18430702</v>
      </c>
    </row>
    <row r="67" spans="2:4">
      <c r="B67" s="61" t="s">
        <v>3294</v>
      </c>
      <c r="C67" s="41" t="s">
        <v>2989</v>
      </c>
      <c r="D67" s="60">
        <f>'[1]SE.02.01.16'!D58</f>
        <v>95293344.924842224</v>
      </c>
    </row>
    <row r="68" spans="2:4">
      <c r="B68" s="62" t="s">
        <v>3291</v>
      </c>
      <c r="C68" s="41" t="s">
        <v>2991</v>
      </c>
      <c r="D68" s="60">
        <f>'[1]SE.02.01.16'!D59</f>
        <v>0</v>
      </c>
    </row>
    <row r="69" spans="2:4">
      <c r="B69" s="62" t="s">
        <v>3292</v>
      </c>
      <c r="C69" s="41" t="s">
        <v>2993</v>
      </c>
      <c r="D69" s="60">
        <f>'[1]SE.02.01.16'!D60</f>
        <v>86825799.347264931</v>
      </c>
    </row>
    <row r="70" spans="2:4">
      <c r="B70" s="62" t="s">
        <v>3293</v>
      </c>
      <c r="C70" s="41" t="s">
        <v>2995</v>
      </c>
      <c r="D70" s="60">
        <f>'[1]SE.02.01.16'!D61</f>
        <v>8467545.5775772948</v>
      </c>
    </row>
    <row r="71" spans="2:4">
      <c r="B71" s="49" t="s">
        <v>3295</v>
      </c>
      <c r="C71" s="41" t="s">
        <v>2997</v>
      </c>
      <c r="D71" s="60">
        <f>'[1]SE.02.01.16'!D62</f>
        <v>160649108.52054429</v>
      </c>
    </row>
    <row r="72" spans="2:4">
      <c r="B72" s="61" t="s">
        <v>3296</v>
      </c>
      <c r="C72" s="41" t="s">
        <v>2999</v>
      </c>
      <c r="D72" s="60">
        <f>'[1]SE.02.01.16'!D63</f>
        <v>143784482.16318339</v>
      </c>
    </row>
    <row r="73" spans="2:4">
      <c r="B73" s="62" t="s">
        <v>3291</v>
      </c>
      <c r="C73" s="41" t="s">
        <v>3001</v>
      </c>
      <c r="D73" s="60">
        <f>'[1]SE.02.01.16'!D64</f>
        <v>0</v>
      </c>
    </row>
    <row r="74" spans="2:4">
      <c r="B74" s="62" t="s">
        <v>3292</v>
      </c>
      <c r="C74" s="41" t="s">
        <v>3003</v>
      </c>
      <c r="D74" s="60">
        <f>'[1]SE.02.01.16'!D65</f>
        <v>139958757.79477701</v>
      </c>
    </row>
    <row r="75" spans="2:4">
      <c r="B75" s="62" t="s">
        <v>3293</v>
      </c>
      <c r="C75" s="41" t="s">
        <v>3005</v>
      </c>
      <c r="D75" s="60">
        <f>'[1]SE.02.01.16'!D66</f>
        <v>3825724.3684063908</v>
      </c>
    </row>
    <row r="76" spans="2:4">
      <c r="B76" s="61" t="s">
        <v>3297</v>
      </c>
      <c r="C76" s="41" t="s">
        <v>3007</v>
      </c>
      <c r="D76" s="60">
        <f>'[1]SE.02.01.16'!D67</f>
        <v>16864626.357360907</v>
      </c>
    </row>
    <row r="77" spans="2:4">
      <c r="B77" s="62" t="s">
        <v>3291</v>
      </c>
      <c r="C77" s="41" t="s">
        <v>3009</v>
      </c>
      <c r="D77" s="60">
        <f>'[1]SE.02.01.16'!D68</f>
        <v>0</v>
      </c>
    </row>
    <row r="78" spans="2:4">
      <c r="B78" s="62" t="s">
        <v>3292</v>
      </c>
      <c r="C78" s="41" t="s">
        <v>3011</v>
      </c>
      <c r="D78" s="60">
        <f>'[1]SE.02.01.16'!D69</f>
        <v>15257046.568822</v>
      </c>
    </row>
    <row r="79" spans="2:4">
      <c r="B79" s="62" t="s">
        <v>3293</v>
      </c>
      <c r="C79" s="41" t="s">
        <v>3013</v>
      </c>
      <c r="D79" s="60">
        <f>'[1]SE.02.01.16'!D70</f>
        <v>1607579.7885389072</v>
      </c>
    </row>
    <row r="80" spans="2:4">
      <c r="B80" s="49" t="s">
        <v>3298</v>
      </c>
      <c r="C80" s="41" t="s">
        <v>3015</v>
      </c>
      <c r="D80" s="60">
        <f>'[1]SE.02.01.16'!D71</f>
        <v>0</v>
      </c>
    </row>
    <row r="81" spans="2:4">
      <c r="B81" s="61" t="s">
        <v>3291</v>
      </c>
      <c r="C81" s="41" t="s">
        <v>3064</v>
      </c>
      <c r="D81" s="60">
        <f>'[1]SE.02.01.16'!D72</f>
        <v>0</v>
      </c>
    </row>
    <row r="82" spans="2:4">
      <c r="B82" s="61" t="s">
        <v>3292</v>
      </c>
      <c r="C82" s="41" t="s">
        <v>3066</v>
      </c>
      <c r="D82" s="60">
        <f>'[1]SE.02.01.16'!D73</f>
        <v>0</v>
      </c>
    </row>
    <row r="83" spans="2:4">
      <c r="B83" s="61" t="s">
        <v>3293</v>
      </c>
      <c r="C83" s="41" t="s">
        <v>3068</v>
      </c>
      <c r="D83" s="60">
        <f>'[1]SE.02.01.16'!D74</f>
        <v>0</v>
      </c>
    </row>
    <row r="84" spans="2:4">
      <c r="B84" s="49" t="s">
        <v>3299</v>
      </c>
      <c r="C84" s="44" t="s">
        <v>3070</v>
      </c>
      <c r="D84" s="46"/>
    </row>
    <row r="85" spans="2:4">
      <c r="B85" s="49" t="s">
        <v>2698</v>
      </c>
      <c r="C85" s="41" t="s">
        <v>3017</v>
      </c>
      <c r="D85" s="60">
        <f>'[1]SE.02.01.16'!D76</f>
        <v>0</v>
      </c>
    </row>
    <row r="86" spans="2:4">
      <c r="B86" s="49" t="s">
        <v>3300</v>
      </c>
      <c r="C86" s="41" t="s">
        <v>3019</v>
      </c>
      <c r="D86" s="60">
        <f>'[1]SE.02.01.16'!D77</f>
        <v>413300000</v>
      </c>
    </row>
    <row r="87" spans="2:4">
      <c r="B87" s="49" t="s">
        <v>3301</v>
      </c>
      <c r="C87" s="41" t="s">
        <v>3021</v>
      </c>
      <c r="D87" s="60">
        <f>'[1]SE.02.01.16'!D78</f>
        <v>6743791</v>
      </c>
    </row>
    <row r="88" spans="2:4">
      <c r="B88" s="49" t="s">
        <v>3302</v>
      </c>
      <c r="C88" s="41" t="s">
        <v>3023</v>
      </c>
      <c r="D88" s="60">
        <f>'[1]SE.02.01.16'!D79</f>
        <v>0</v>
      </c>
    </row>
    <row r="89" spans="2:4">
      <c r="B89" s="49" t="s">
        <v>3303</v>
      </c>
      <c r="C89" s="41" t="s">
        <v>3072</v>
      </c>
      <c r="D89" s="60">
        <f>'[1]SE.02.01.16'!D80</f>
        <v>6131375.6339710336</v>
      </c>
    </row>
    <row r="90" spans="2:4">
      <c r="B90" s="49" t="s">
        <v>2481</v>
      </c>
      <c r="C90" s="41" t="s">
        <v>3118</v>
      </c>
      <c r="D90" s="60">
        <f>'[1]SE.02.01.16'!D81</f>
        <v>0</v>
      </c>
    </row>
    <row r="91" spans="2:4">
      <c r="B91" s="49" t="s">
        <v>3304</v>
      </c>
      <c r="C91" s="41" t="s">
        <v>3120</v>
      </c>
      <c r="D91" s="60">
        <f>'[1]SE.02.01.16'!D82</f>
        <v>0</v>
      </c>
    </row>
    <row r="92" spans="2:4">
      <c r="B92" s="49" t="s">
        <v>3305</v>
      </c>
      <c r="C92" s="41" t="s">
        <v>3122</v>
      </c>
      <c r="D92" s="60">
        <f>'[1]SE.02.01.16'!D86</f>
        <v>480163837.64035827</v>
      </c>
    </row>
    <row r="93" spans="2:4">
      <c r="B93" s="49" t="s">
        <v>3306</v>
      </c>
      <c r="C93" s="41" t="s">
        <v>3124</v>
      </c>
      <c r="D93" s="60">
        <f>'[1]SE.02.01.16'!D92</f>
        <v>87685809.632681862</v>
      </c>
    </row>
    <row r="94" spans="2:4">
      <c r="B94" s="49" t="s">
        <v>3307</v>
      </c>
      <c r="C94" s="41" t="s">
        <v>3126</v>
      </c>
      <c r="D94" s="60">
        <f>'[1]SE.02.01.16'!D93</f>
        <v>0</v>
      </c>
    </row>
    <row r="95" spans="2:4">
      <c r="B95" s="49" t="s">
        <v>3308</v>
      </c>
      <c r="C95" s="41" t="s">
        <v>3128</v>
      </c>
      <c r="D95" s="60">
        <f>'[1]SE.02.01.16'!D94</f>
        <v>48977157.37528</v>
      </c>
    </row>
    <row r="96" spans="2:4">
      <c r="B96" s="49" t="s">
        <v>3309</v>
      </c>
      <c r="C96" s="41" t="s">
        <v>3130</v>
      </c>
      <c r="D96" s="60">
        <f>'[1]SE.02.01.16'!D95</f>
        <v>2500624355.6709194</v>
      </c>
    </row>
    <row r="97" spans="2:10">
      <c r="B97" s="61" t="s">
        <v>3310</v>
      </c>
      <c r="C97" s="41" t="s">
        <v>3132</v>
      </c>
      <c r="D97" s="60">
        <f>'[1]SE.02.01.16'!D102</f>
        <v>0</v>
      </c>
    </row>
    <row r="98" spans="2:10">
      <c r="B98" s="61" t="s">
        <v>3311</v>
      </c>
      <c r="C98" s="41" t="s">
        <v>3134</v>
      </c>
      <c r="D98" s="60">
        <f>'[1]SE.02.01.16'!D103</f>
        <v>2500624355.6709194</v>
      </c>
    </row>
    <row r="99" spans="2:10">
      <c r="B99" s="49" t="s">
        <v>3312</v>
      </c>
      <c r="C99" s="41" t="s">
        <v>3136</v>
      </c>
      <c r="D99" s="60">
        <f>'[1]SE.02.01.16'!D104</f>
        <v>119218817.58000004</v>
      </c>
    </row>
    <row r="100" spans="2:10">
      <c r="B100" s="49" t="s">
        <v>3313</v>
      </c>
      <c r="C100" s="41" t="s">
        <v>3140</v>
      </c>
      <c r="D100" s="60">
        <f>'[1]SE.02.01.16'!D105</f>
        <v>5877977976.2953997</v>
      </c>
    </row>
    <row r="101" spans="2:10">
      <c r="B101" s="47" t="s">
        <v>3314</v>
      </c>
      <c r="C101" s="41" t="s">
        <v>3315</v>
      </c>
      <c r="D101" s="60">
        <f>'[1]SE.02.01.16'!D106</f>
        <v>5268426071.708827</v>
      </c>
    </row>
    <row r="103" spans="2:10">
      <c r="I103" s="13"/>
      <c r="J103" s="13"/>
    </row>
  </sheetData>
  <mergeCells count="4">
    <mergeCell ref="B2:O2"/>
    <mergeCell ref="B5:L5"/>
    <mergeCell ref="D9:D10"/>
    <mergeCell ref="D11:D1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9C7D-7BEF-4017-9CFC-6B5962023E68}">
  <sheetPr codeName="Blad32"/>
  <dimension ref="B2:O98"/>
  <sheetViews>
    <sheetView showGridLines="0" workbookViewId="0"/>
  </sheetViews>
  <sheetFormatPr defaultRowHeight="15"/>
  <cols>
    <col min="2" max="2" width="78.85546875" bestFit="1" customWidth="1"/>
    <col min="4" max="5" width="15.7109375" customWidth="1"/>
  </cols>
  <sheetData>
    <row r="2" spans="2:15" ht="23.25">
      <c r="B2" s="95" t="s">
        <v>544</v>
      </c>
      <c r="C2" s="96"/>
      <c r="D2" s="96"/>
      <c r="E2" s="96"/>
      <c r="F2" s="96"/>
      <c r="G2" s="96"/>
      <c r="H2" s="96"/>
      <c r="I2" s="96"/>
      <c r="J2" s="96"/>
      <c r="K2" s="96"/>
      <c r="L2" s="96"/>
      <c r="M2" s="96"/>
      <c r="N2" s="96"/>
      <c r="O2" s="96"/>
    </row>
    <row r="5" spans="2:15" ht="18.75">
      <c r="B5" s="97" t="s">
        <v>3317</v>
      </c>
      <c r="C5" s="96"/>
      <c r="D5" s="96"/>
      <c r="E5" s="96"/>
      <c r="F5" s="96"/>
      <c r="G5" s="96"/>
      <c r="H5" s="96"/>
      <c r="I5" s="96"/>
      <c r="J5" s="96"/>
      <c r="K5" s="96"/>
      <c r="L5" s="96"/>
    </row>
    <row r="9" spans="2:15">
      <c r="D9" s="101" t="s">
        <v>2877</v>
      </c>
      <c r="E9" s="103"/>
    </row>
    <row r="10" spans="2:15">
      <c r="D10" s="104"/>
      <c r="E10" s="106"/>
    </row>
    <row r="11" spans="2:15">
      <c r="D11" s="98" t="s">
        <v>3250</v>
      </c>
      <c r="E11" s="98" t="s">
        <v>3318</v>
      </c>
    </row>
    <row r="12" spans="2:15">
      <c r="D12" s="99"/>
      <c r="E12" s="99"/>
    </row>
    <row r="13" spans="2:15">
      <c r="D13" s="99"/>
      <c r="E13" s="99"/>
    </row>
    <row r="14" spans="2:15">
      <c r="D14" s="100"/>
      <c r="E14" s="100"/>
    </row>
    <row r="15" spans="2:15">
      <c r="D15" s="45" t="s">
        <v>2879</v>
      </c>
      <c r="E15" s="45" t="s">
        <v>3219</v>
      </c>
      <c r="J15" s="13" t="str">
        <f>Show!$B$28&amp;"S.02.01.07.01 Rows {"&amp;COLUMN($C$1)&amp;"}"&amp;"@ForceFilingCode:true"</f>
        <v>!S.02.01.07.01 Rows {3}@ForceFilingCode:true</v>
      </c>
      <c r="K15" s="13" t="str">
        <f>Show!$B$28&amp;"S.02.01.07.01 Columns {"&amp;COLUMN($D$1)&amp;"}"</f>
        <v>!S.02.01.07.01 Columns {4}</v>
      </c>
    </row>
    <row r="16" spans="2:15">
      <c r="B16" s="43" t="s">
        <v>2880</v>
      </c>
      <c r="C16" s="44" t="s">
        <v>2878</v>
      </c>
      <c r="D16" s="58"/>
      <c r="E16" s="59"/>
    </row>
    <row r="17" spans="2:5">
      <c r="B17" s="47" t="s">
        <v>3252</v>
      </c>
      <c r="C17" s="44" t="s">
        <v>2878</v>
      </c>
      <c r="D17" s="58"/>
      <c r="E17" s="57"/>
    </row>
    <row r="18" spans="2:5">
      <c r="B18" s="49" t="s">
        <v>3253</v>
      </c>
      <c r="C18" s="44" t="s">
        <v>2883</v>
      </c>
      <c r="D18" s="48"/>
      <c r="E18" s="60"/>
    </row>
    <row r="19" spans="2:5">
      <c r="B19" s="49" t="s">
        <v>3254</v>
      </c>
      <c r="C19" s="44" t="s">
        <v>2885</v>
      </c>
      <c r="D19" s="46"/>
      <c r="E19" s="60"/>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0"/>
    </row>
    <row r="45" spans="2:5">
      <c r="B45" s="61" t="s">
        <v>3273</v>
      </c>
      <c r="C45" s="41" t="s">
        <v>2935</v>
      </c>
      <c r="D45" s="60"/>
      <c r="E45" s="60"/>
    </row>
    <row r="46" spans="2:5">
      <c r="B46" s="62" t="s">
        <v>3274</v>
      </c>
      <c r="C46" s="41" t="s">
        <v>2937</v>
      </c>
      <c r="D46" s="60"/>
      <c r="E46" s="60"/>
    </row>
    <row r="47" spans="2:5">
      <c r="B47" s="62" t="s">
        <v>3275</v>
      </c>
      <c r="C47" s="41" t="s">
        <v>2939</v>
      </c>
      <c r="D47" s="60"/>
      <c r="E47" s="60"/>
    </row>
    <row r="48" spans="2:5">
      <c r="B48" s="61" t="s">
        <v>3276</v>
      </c>
      <c r="C48" s="41" t="s">
        <v>2941</v>
      </c>
      <c r="D48" s="60"/>
      <c r="E48" s="60"/>
    </row>
    <row r="49" spans="2:5">
      <c r="B49" s="62" t="s">
        <v>3277</v>
      </c>
      <c r="C49" s="41" t="s">
        <v>2943</v>
      </c>
      <c r="D49" s="60"/>
      <c r="E49" s="60"/>
    </row>
    <row r="50" spans="2:5">
      <c r="B50" s="62" t="s">
        <v>3278</v>
      </c>
      <c r="C50" s="41" t="s">
        <v>2945</v>
      </c>
      <c r="D50" s="60"/>
      <c r="E50" s="60"/>
    </row>
    <row r="51" spans="2:5">
      <c r="B51" s="61" t="s">
        <v>3279</v>
      </c>
      <c r="C51" s="41" t="s">
        <v>2947</v>
      </c>
      <c r="D51" s="60"/>
      <c r="E51" s="60"/>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3286</v>
      </c>
      <c r="C56" s="41" t="s">
        <v>2961</v>
      </c>
      <c r="D56" s="60"/>
      <c r="E56" s="60"/>
    </row>
    <row r="57" spans="2:5">
      <c r="B57" s="49" t="s">
        <v>3287</v>
      </c>
      <c r="C57" s="41" t="s">
        <v>2963</v>
      </c>
      <c r="D57" s="60"/>
      <c r="E57" s="60"/>
    </row>
    <row r="58" spans="2:5">
      <c r="B58" s="49" t="s">
        <v>3288</v>
      </c>
      <c r="C58" s="41" t="s">
        <v>2977</v>
      </c>
      <c r="D58" s="63"/>
      <c r="E58" s="63"/>
    </row>
    <row r="59" spans="2:5">
      <c r="B59" s="47" t="s">
        <v>2389</v>
      </c>
      <c r="C59" s="44" t="s">
        <v>2878</v>
      </c>
      <c r="D59" s="56"/>
      <c r="E59" s="57"/>
    </row>
    <row r="60" spans="2:5">
      <c r="B60" s="49" t="s">
        <v>3289</v>
      </c>
      <c r="C60" s="41" t="s">
        <v>2979</v>
      </c>
      <c r="D60" s="60"/>
      <c r="E60" s="60"/>
    </row>
    <row r="61" spans="2:5">
      <c r="B61" s="61" t="s">
        <v>3290</v>
      </c>
      <c r="C61" s="41" t="s">
        <v>2981</v>
      </c>
      <c r="D61" s="60"/>
      <c r="E61" s="63"/>
    </row>
    <row r="62" spans="2:5">
      <c r="B62" s="62" t="s">
        <v>3291</v>
      </c>
      <c r="C62" s="41" t="s">
        <v>2983</v>
      </c>
      <c r="D62" s="64"/>
      <c r="E62" s="48"/>
    </row>
    <row r="63" spans="2:5">
      <c r="B63" s="62" t="s">
        <v>3292</v>
      </c>
      <c r="C63" s="41" t="s">
        <v>2985</v>
      </c>
      <c r="D63" s="64"/>
      <c r="E63" s="48"/>
    </row>
    <row r="64" spans="2:5">
      <c r="B64" s="62" t="s">
        <v>3293</v>
      </c>
      <c r="C64" s="41" t="s">
        <v>2987</v>
      </c>
      <c r="D64" s="64"/>
      <c r="E64" s="46"/>
    </row>
    <row r="65" spans="2:5">
      <c r="B65" s="61" t="s">
        <v>3294</v>
      </c>
      <c r="C65" s="41" t="s">
        <v>2989</v>
      </c>
      <c r="D65" s="60"/>
      <c r="E65" s="63"/>
    </row>
    <row r="66" spans="2:5">
      <c r="B66" s="62" t="s">
        <v>3291</v>
      </c>
      <c r="C66" s="41" t="s">
        <v>2991</v>
      </c>
      <c r="D66" s="64"/>
      <c r="E66" s="48"/>
    </row>
    <row r="67" spans="2:5">
      <c r="B67" s="62" t="s">
        <v>3292</v>
      </c>
      <c r="C67" s="41" t="s">
        <v>2993</v>
      </c>
      <c r="D67" s="64"/>
      <c r="E67" s="48"/>
    </row>
    <row r="68" spans="2:5">
      <c r="B68" s="62" t="s">
        <v>3293</v>
      </c>
      <c r="C68" s="41" t="s">
        <v>2995</v>
      </c>
      <c r="D68" s="64"/>
      <c r="E68" s="46"/>
    </row>
    <row r="69" spans="2:5">
      <c r="B69" s="49" t="s">
        <v>3295</v>
      </c>
      <c r="C69" s="41" t="s">
        <v>2997</v>
      </c>
      <c r="D69" s="60"/>
      <c r="E69" s="60"/>
    </row>
    <row r="70" spans="2:5">
      <c r="B70" s="61" t="s">
        <v>3296</v>
      </c>
      <c r="C70" s="41" t="s">
        <v>2999</v>
      </c>
      <c r="D70" s="60"/>
      <c r="E70" s="63"/>
    </row>
    <row r="71" spans="2:5">
      <c r="B71" s="62" t="s">
        <v>3291</v>
      </c>
      <c r="C71" s="41" t="s">
        <v>3001</v>
      </c>
      <c r="D71" s="64"/>
      <c r="E71" s="48"/>
    </row>
    <row r="72" spans="2:5">
      <c r="B72" s="62" t="s">
        <v>3292</v>
      </c>
      <c r="C72" s="41" t="s">
        <v>3003</v>
      </c>
      <c r="D72" s="64"/>
      <c r="E72" s="48"/>
    </row>
    <row r="73" spans="2:5">
      <c r="B73" s="62" t="s">
        <v>3293</v>
      </c>
      <c r="C73" s="41" t="s">
        <v>3005</v>
      </c>
      <c r="D73" s="64"/>
      <c r="E73" s="46"/>
    </row>
    <row r="74" spans="2:5">
      <c r="B74" s="61" t="s">
        <v>3297</v>
      </c>
      <c r="C74" s="41" t="s">
        <v>3007</v>
      </c>
      <c r="D74" s="60"/>
      <c r="E74" s="63"/>
    </row>
    <row r="75" spans="2:5">
      <c r="B75" s="62" t="s">
        <v>3291</v>
      </c>
      <c r="C75" s="41" t="s">
        <v>3009</v>
      </c>
      <c r="D75" s="64"/>
      <c r="E75" s="48"/>
    </row>
    <row r="76" spans="2:5">
      <c r="B76" s="62" t="s">
        <v>3292</v>
      </c>
      <c r="C76" s="41" t="s">
        <v>3011</v>
      </c>
      <c r="D76" s="64"/>
      <c r="E76" s="48"/>
    </row>
    <row r="77" spans="2:5">
      <c r="B77" s="62" t="s">
        <v>3293</v>
      </c>
      <c r="C77" s="41" t="s">
        <v>3013</v>
      </c>
      <c r="D77" s="64"/>
      <c r="E77" s="46"/>
    </row>
    <row r="78" spans="2:5">
      <c r="B78" s="49" t="s">
        <v>3298</v>
      </c>
      <c r="C78" s="41" t="s">
        <v>3015</v>
      </c>
      <c r="D78" s="60"/>
      <c r="E78" s="63"/>
    </row>
    <row r="79" spans="2:5">
      <c r="B79" s="61" t="s">
        <v>3291</v>
      </c>
      <c r="C79" s="41" t="s">
        <v>3064</v>
      </c>
      <c r="D79" s="64"/>
      <c r="E79" s="48"/>
    </row>
    <row r="80" spans="2:5">
      <c r="B80" s="61" t="s">
        <v>3292</v>
      </c>
      <c r="C80" s="41" t="s">
        <v>3066</v>
      </c>
      <c r="D80" s="64"/>
      <c r="E80" s="48"/>
    </row>
    <row r="81" spans="2:5">
      <c r="B81" s="61" t="s">
        <v>3293</v>
      </c>
      <c r="C81" s="41" t="s">
        <v>3068</v>
      </c>
      <c r="D81" s="65"/>
      <c r="E81" s="46"/>
    </row>
    <row r="82" spans="2:5">
      <c r="B82" s="49" t="s">
        <v>3299</v>
      </c>
      <c r="C82" s="44" t="s">
        <v>3070</v>
      </c>
      <c r="D82" s="46"/>
      <c r="E82" s="60"/>
    </row>
    <row r="83" spans="2:5">
      <c r="B83" s="49" t="s">
        <v>2698</v>
      </c>
      <c r="C83" s="41" t="s">
        <v>3017</v>
      </c>
      <c r="D83" s="60"/>
      <c r="E83" s="60"/>
    </row>
    <row r="84" spans="2:5">
      <c r="B84" s="49" t="s">
        <v>3300</v>
      </c>
      <c r="C84" s="41" t="s">
        <v>3019</v>
      </c>
      <c r="D84" s="60"/>
      <c r="E84" s="60"/>
    </row>
    <row r="85" spans="2:5">
      <c r="B85" s="49" t="s">
        <v>3301</v>
      </c>
      <c r="C85" s="41" t="s">
        <v>3021</v>
      </c>
      <c r="D85" s="60"/>
      <c r="E85" s="60"/>
    </row>
    <row r="86" spans="2:5">
      <c r="B86" s="49" t="s">
        <v>3302</v>
      </c>
      <c r="C86" s="41" t="s">
        <v>3023</v>
      </c>
      <c r="D86" s="60"/>
      <c r="E86" s="60"/>
    </row>
    <row r="87" spans="2:5">
      <c r="B87" s="49" t="s">
        <v>3303</v>
      </c>
      <c r="C87" s="41" t="s">
        <v>3072</v>
      </c>
      <c r="D87" s="60"/>
      <c r="E87" s="60"/>
    </row>
    <row r="88" spans="2:5">
      <c r="B88" s="49" t="s">
        <v>2481</v>
      </c>
      <c r="C88" s="41" t="s">
        <v>3118</v>
      </c>
      <c r="D88" s="60"/>
      <c r="E88" s="60"/>
    </row>
    <row r="89" spans="2:5">
      <c r="B89" s="49" t="s">
        <v>3304</v>
      </c>
      <c r="C89" s="41" t="s">
        <v>3120</v>
      </c>
      <c r="D89" s="60"/>
      <c r="E89" s="60"/>
    </row>
    <row r="90" spans="2:5">
      <c r="B90" s="49" t="s">
        <v>3305</v>
      </c>
      <c r="C90" s="41" t="s">
        <v>3122</v>
      </c>
      <c r="D90" s="60"/>
      <c r="E90" s="60"/>
    </row>
    <row r="91" spans="2:5">
      <c r="B91" s="49" t="s">
        <v>3306</v>
      </c>
      <c r="C91" s="41" t="s">
        <v>3124</v>
      </c>
      <c r="D91" s="60"/>
      <c r="E91" s="60"/>
    </row>
    <row r="92" spans="2:5">
      <c r="B92" s="49" t="s">
        <v>3307</v>
      </c>
      <c r="C92" s="41" t="s">
        <v>3126</v>
      </c>
      <c r="D92" s="60"/>
      <c r="E92" s="60"/>
    </row>
    <row r="93" spans="2:5">
      <c r="B93" s="49" t="s">
        <v>3308</v>
      </c>
      <c r="C93" s="41" t="s">
        <v>3128</v>
      </c>
      <c r="D93" s="60"/>
      <c r="E93" s="60"/>
    </row>
    <row r="94" spans="2:5">
      <c r="B94" s="49" t="s">
        <v>3312</v>
      </c>
      <c r="C94" s="41" t="s">
        <v>3136</v>
      </c>
      <c r="D94" s="60"/>
      <c r="E94" s="60"/>
    </row>
    <row r="95" spans="2:5">
      <c r="B95" s="49" t="s">
        <v>3313</v>
      </c>
      <c r="C95" s="41" t="s">
        <v>3140</v>
      </c>
      <c r="D95" s="60"/>
      <c r="E95" s="60"/>
    </row>
    <row r="96" spans="2:5">
      <c r="B96" s="47" t="s">
        <v>3314</v>
      </c>
      <c r="C96" s="41" t="s">
        <v>3315</v>
      </c>
      <c r="D96" s="60"/>
      <c r="E96" s="60"/>
    </row>
    <row r="98" spans="10:11">
      <c r="J98" s="13" t="str">
        <f>Show!$B$28&amp;Show!$B$28&amp;"S.02.01.07.01 Rows {"&amp;COLUMN($C$1)&amp;"}"</f>
        <v>!!S.02.01.07.01 Rows {3}</v>
      </c>
      <c r="K98" s="13" t="str">
        <f>Show!$B$28&amp;Show!$B$28&amp;"S.02.01.07.01 Columns {"&amp;COLUMN($E$1)&amp;"}"</f>
        <v>!!S.02.01.07.01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F570-5BD2-4EB2-A659-0700C1780CB9}">
  <sheetPr codeName="Blad33"/>
  <dimension ref="B2:O98"/>
  <sheetViews>
    <sheetView showGridLines="0" workbookViewId="0"/>
  </sheetViews>
  <sheetFormatPr defaultRowHeight="15"/>
  <cols>
    <col min="2" max="2" width="78.85546875" bestFit="1" customWidth="1"/>
    <col min="4" max="4" width="15.7109375" customWidth="1"/>
  </cols>
  <sheetData>
    <row r="2" spans="2:15" ht="23.25">
      <c r="B2" s="95" t="s">
        <v>544</v>
      </c>
      <c r="C2" s="96"/>
      <c r="D2" s="96"/>
      <c r="E2" s="96"/>
      <c r="F2" s="96"/>
      <c r="G2" s="96"/>
      <c r="H2" s="96"/>
      <c r="I2" s="96"/>
      <c r="J2" s="96"/>
      <c r="K2" s="96"/>
      <c r="L2" s="96"/>
      <c r="M2" s="96"/>
      <c r="N2" s="96"/>
      <c r="O2" s="96"/>
    </row>
    <row r="5" spans="2:15" ht="18.75">
      <c r="B5" s="97" t="s">
        <v>3319</v>
      </c>
      <c r="C5" s="96"/>
      <c r="D5" s="96"/>
      <c r="E5" s="96"/>
      <c r="F5" s="96"/>
      <c r="G5" s="96"/>
      <c r="H5" s="96"/>
      <c r="I5" s="96"/>
      <c r="J5" s="96"/>
      <c r="K5" s="96"/>
      <c r="L5" s="96"/>
    </row>
    <row r="9" spans="2:15">
      <c r="D9" s="98" t="s">
        <v>2877</v>
      </c>
    </row>
    <row r="10" spans="2:15">
      <c r="D10" s="100"/>
    </row>
    <row r="11" spans="2:15">
      <c r="D11" s="98" t="s">
        <v>3250</v>
      </c>
    </row>
    <row r="12" spans="2:15">
      <c r="D12" s="99"/>
    </row>
    <row r="13" spans="2:15">
      <c r="D13" s="99"/>
    </row>
    <row r="14" spans="2:15">
      <c r="D14" s="100"/>
    </row>
    <row r="15" spans="2:15">
      <c r="D15" s="45" t="s">
        <v>2879</v>
      </c>
      <c r="I15" s="13" t="str">
        <f>Show!$B$29&amp;"S.02.01.08.01 Rows {"&amp;COLUMN($C$1)&amp;"}"&amp;"@ForceFilingCode:true"</f>
        <v>!S.02.01.08.01 Rows {3}@ForceFilingCode:true</v>
      </c>
      <c r="J15" s="13" t="str">
        <f>Show!$B$29&amp;"S.02.01.08.01 Columns {"&amp;COLUMN($D$1)&amp;"}"</f>
        <v>!S.02.01.08.01 Columns {4}</v>
      </c>
    </row>
    <row r="16" spans="2:15">
      <c r="B16" s="43" t="s">
        <v>2880</v>
      </c>
      <c r="C16" s="44" t="s">
        <v>2878</v>
      </c>
      <c r="D16" s="48"/>
    </row>
    <row r="17" spans="2:4">
      <c r="B17" s="47" t="s">
        <v>3252</v>
      </c>
      <c r="C17" s="44" t="s">
        <v>2878</v>
      </c>
      <c r="D17" s="48"/>
    </row>
    <row r="18" spans="2:4">
      <c r="B18" s="49" t="s">
        <v>3253</v>
      </c>
      <c r="C18" s="44" t="s">
        <v>2883</v>
      </c>
      <c r="D18" s="48"/>
    </row>
    <row r="19" spans="2:4">
      <c r="B19" s="49" t="s">
        <v>3254</v>
      </c>
      <c r="C19" s="44" t="s">
        <v>2885</v>
      </c>
      <c r="D19" s="46"/>
    </row>
    <row r="20" spans="2:4">
      <c r="B20" s="49" t="s">
        <v>3255</v>
      </c>
      <c r="C20" s="41" t="s">
        <v>2887</v>
      </c>
      <c r="D20" s="60"/>
    </row>
    <row r="21" spans="2:4">
      <c r="B21" s="49" t="s">
        <v>3256</v>
      </c>
      <c r="C21" s="41" t="s">
        <v>2889</v>
      </c>
      <c r="D21" s="60"/>
    </row>
    <row r="22" spans="2:4">
      <c r="B22" s="49" t="s">
        <v>3257</v>
      </c>
      <c r="C22" s="41" t="s">
        <v>3078</v>
      </c>
      <c r="D22" s="60"/>
    </row>
    <row r="23" spans="2:4">
      <c r="B23" s="49" t="s">
        <v>3258</v>
      </c>
      <c r="C23" s="41" t="s">
        <v>2891</v>
      </c>
      <c r="D23" s="60"/>
    </row>
    <row r="24" spans="2:4">
      <c r="B24" s="49" t="s">
        <v>3259</v>
      </c>
      <c r="C24" s="41" t="s">
        <v>2893</v>
      </c>
      <c r="D24" s="60"/>
    </row>
    <row r="25" spans="2:4">
      <c r="B25" s="61" t="s">
        <v>3260</v>
      </c>
      <c r="C25" s="41" t="s">
        <v>2895</v>
      </c>
      <c r="D25" s="60"/>
    </row>
    <row r="26" spans="2:4">
      <c r="B26" s="61" t="s">
        <v>3261</v>
      </c>
      <c r="C26" s="41" t="s">
        <v>2897</v>
      </c>
      <c r="D26" s="60"/>
    </row>
    <row r="27" spans="2:4">
      <c r="B27" s="61" t="s">
        <v>2480</v>
      </c>
      <c r="C27" s="41" t="s">
        <v>2899</v>
      </c>
      <c r="D27" s="60"/>
    </row>
    <row r="28" spans="2:4">
      <c r="B28" s="62" t="s">
        <v>3262</v>
      </c>
      <c r="C28" s="41" t="s">
        <v>2901</v>
      </c>
      <c r="D28" s="60"/>
    </row>
    <row r="29" spans="2:4">
      <c r="B29" s="62" t="s">
        <v>3263</v>
      </c>
      <c r="C29" s="41" t="s">
        <v>2903</v>
      </c>
      <c r="D29" s="60"/>
    </row>
    <row r="30" spans="2:4">
      <c r="B30" s="61" t="s">
        <v>3264</v>
      </c>
      <c r="C30" s="41" t="s">
        <v>2905</v>
      </c>
      <c r="D30" s="60"/>
    </row>
    <row r="31" spans="2:4">
      <c r="B31" s="62" t="s">
        <v>2372</v>
      </c>
      <c r="C31" s="41" t="s">
        <v>2907</v>
      </c>
      <c r="D31" s="60"/>
    </row>
    <row r="32" spans="2:4">
      <c r="B32" s="62" t="s">
        <v>2373</v>
      </c>
      <c r="C32" s="41" t="s">
        <v>2909</v>
      </c>
      <c r="D32" s="60"/>
    </row>
    <row r="33" spans="2:4">
      <c r="B33" s="62" t="s">
        <v>2377</v>
      </c>
      <c r="C33" s="41" t="s">
        <v>2911</v>
      </c>
      <c r="D33" s="60"/>
    </row>
    <row r="34" spans="2:4">
      <c r="B34" s="62" t="s">
        <v>2378</v>
      </c>
      <c r="C34" s="41" t="s">
        <v>2913</v>
      </c>
      <c r="D34" s="60"/>
    </row>
    <row r="35" spans="2:4">
      <c r="B35" s="61" t="s">
        <v>3265</v>
      </c>
      <c r="C35" s="41" t="s">
        <v>2915</v>
      </c>
      <c r="D35" s="60"/>
    </row>
    <row r="36" spans="2:4">
      <c r="B36" s="61" t="s">
        <v>2481</v>
      </c>
      <c r="C36" s="41" t="s">
        <v>2917</v>
      </c>
      <c r="D36" s="60"/>
    </row>
    <row r="37" spans="2:4">
      <c r="B37" s="61" t="s">
        <v>3266</v>
      </c>
      <c r="C37" s="41" t="s">
        <v>2919</v>
      </c>
      <c r="D37" s="60"/>
    </row>
    <row r="38" spans="2:4">
      <c r="B38" s="61" t="s">
        <v>2382</v>
      </c>
      <c r="C38" s="41" t="s">
        <v>2921</v>
      </c>
      <c r="D38" s="60"/>
    </row>
    <row r="39" spans="2:4">
      <c r="B39" s="49" t="s">
        <v>3267</v>
      </c>
      <c r="C39" s="41" t="s">
        <v>2923</v>
      </c>
      <c r="D39" s="60"/>
    </row>
    <row r="40" spans="2:4">
      <c r="B40" s="49" t="s">
        <v>3268</v>
      </c>
      <c r="C40" s="41" t="s">
        <v>2925</v>
      </c>
      <c r="D40" s="60"/>
    </row>
    <row r="41" spans="2:4">
      <c r="B41" s="61" t="s">
        <v>3269</v>
      </c>
      <c r="C41" s="41" t="s">
        <v>2927</v>
      </c>
      <c r="D41" s="60"/>
    </row>
    <row r="42" spans="2:4">
      <c r="B42" s="61" t="s">
        <v>3270</v>
      </c>
      <c r="C42" s="41" t="s">
        <v>2929</v>
      </c>
      <c r="D42" s="60"/>
    </row>
    <row r="43" spans="2:4">
      <c r="B43" s="61" t="s">
        <v>3271</v>
      </c>
      <c r="C43" s="41" t="s">
        <v>2931</v>
      </c>
      <c r="D43" s="60"/>
    </row>
    <row r="44" spans="2:4">
      <c r="B44" s="49" t="s">
        <v>3272</v>
      </c>
      <c r="C44" s="41" t="s">
        <v>2933</v>
      </c>
      <c r="D44" s="60"/>
    </row>
    <row r="45" spans="2:4">
      <c r="B45" s="61" t="s">
        <v>3273</v>
      </c>
      <c r="C45" s="41" t="s">
        <v>2935</v>
      </c>
      <c r="D45" s="60"/>
    </row>
    <row r="46" spans="2:4">
      <c r="B46" s="62" t="s">
        <v>3274</v>
      </c>
      <c r="C46" s="41" t="s">
        <v>2937</v>
      </c>
      <c r="D46" s="60"/>
    </row>
    <row r="47" spans="2:4">
      <c r="B47" s="62" t="s">
        <v>3275</v>
      </c>
      <c r="C47" s="41" t="s">
        <v>2939</v>
      </c>
      <c r="D47" s="60"/>
    </row>
    <row r="48" spans="2:4">
      <c r="B48" s="61" t="s">
        <v>3276</v>
      </c>
      <c r="C48" s="41" t="s">
        <v>2941</v>
      </c>
      <c r="D48" s="60"/>
    </row>
    <row r="49" spans="2:4">
      <c r="B49" s="62" t="s">
        <v>3277</v>
      </c>
      <c r="C49" s="41" t="s">
        <v>2943</v>
      </c>
      <c r="D49" s="60"/>
    </row>
    <row r="50" spans="2:4">
      <c r="B50" s="62" t="s">
        <v>3278</v>
      </c>
      <c r="C50" s="41" t="s">
        <v>2945</v>
      </c>
      <c r="D50" s="60"/>
    </row>
    <row r="51" spans="2:4">
      <c r="B51" s="61" t="s">
        <v>3279</v>
      </c>
      <c r="C51" s="41" t="s">
        <v>2947</v>
      </c>
      <c r="D51" s="60"/>
    </row>
    <row r="52" spans="2:4">
      <c r="B52" s="49" t="s">
        <v>3280</v>
      </c>
      <c r="C52" s="41" t="s">
        <v>2949</v>
      </c>
      <c r="D52" s="60"/>
    </row>
    <row r="53" spans="2:4">
      <c r="B53" s="49" t="s">
        <v>3281</v>
      </c>
      <c r="C53" s="41" t="s">
        <v>2951</v>
      </c>
      <c r="D53" s="60"/>
    </row>
    <row r="54" spans="2:4">
      <c r="B54" s="49" t="s">
        <v>3282</v>
      </c>
      <c r="C54" s="41" t="s">
        <v>2953</v>
      </c>
      <c r="D54" s="60"/>
    </row>
    <row r="55" spans="2:4">
      <c r="B55" s="49" t="s">
        <v>3283</v>
      </c>
      <c r="C55" s="41" t="s">
        <v>2955</v>
      </c>
      <c r="D55" s="60"/>
    </row>
    <row r="56" spans="2:4">
      <c r="B56" s="49" t="s">
        <v>3286</v>
      </c>
      <c r="C56" s="41" t="s">
        <v>2961</v>
      </c>
      <c r="D56" s="60"/>
    </row>
    <row r="57" spans="2:4">
      <c r="B57" s="49" t="s">
        <v>3287</v>
      </c>
      <c r="C57" s="41" t="s">
        <v>2963</v>
      </c>
      <c r="D57" s="60"/>
    </row>
    <row r="58" spans="2:4">
      <c r="B58" s="49" t="s">
        <v>3288</v>
      </c>
      <c r="C58" s="41" t="s">
        <v>2977</v>
      </c>
      <c r="D58" s="63"/>
    </row>
    <row r="59" spans="2:4">
      <c r="B59" s="47" t="s">
        <v>2389</v>
      </c>
      <c r="C59" s="44" t="s">
        <v>2878</v>
      </c>
      <c r="D59" s="46"/>
    </row>
    <row r="60" spans="2:4">
      <c r="B60" s="49" t="s">
        <v>3289</v>
      </c>
      <c r="C60" s="41" t="s">
        <v>2979</v>
      </c>
      <c r="D60" s="60"/>
    </row>
    <row r="61" spans="2:4">
      <c r="B61" s="61" t="s">
        <v>3290</v>
      </c>
      <c r="C61" s="41" t="s">
        <v>2981</v>
      </c>
      <c r="D61" s="60"/>
    </row>
    <row r="62" spans="2:4">
      <c r="B62" s="62" t="s">
        <v>3291</v>
      </c>
      <c r="C62" s="41" t="s">
        <v>2983</v>
      </c>
      <c r="D62" s="60"/>
    </row>
    <row r="63" spans="2:4">
      <c r="B63" s="62" t="s">
        <v>3292</v>
      </c>
      <c r="C63" s="41" t="s">
        <v>2985</v>
      </c>
      <c r="D63" s="60"/>
    </row>
    <row r="64" spans="2:4">
      <c r="B64" s="62" t="s">
        <v>3293</v>
      </c>
      <c r="C64" s="41" t="s">
        <v>2987</v>
      </c>
      <c r="D64" s="60"/>
    </row>
    <row r="65" spans="2:4">
      <c r="B65" s="61" t="s">
        <v>3294</v>
      </c>
      <c r="C65" s="41" t="s">
        <v>2989</v>
      </c>
      <c r="D65" s="60"/>
    </row>
    <row r="66" spans="2:4">
      <c r="B66" s="62" t="s">
        <v>3291</v>
      </c>
      <c r="C66" s="41" t="s">
        <v>2991</v>
      </c>
      <c r="D66" s="60"/>
    </row>
    <row r="67" spans="2:4">
      <c r="B67" s="62" t="s">
        <v>3292</v>
      </c>
      <c r="C67" s="41" t="s">
        <v>2993</v>
      </c>
      <c r="D67" s="60"/>
    </row>
    <row r="68" spans="2:4">
      <c r="B68" s="62" t="s">
        <v>3293</v>
      </c>
      <c r="C68" s="41" t="s">
        <v>2995</v>
      </c>
      <c r="D68" s="60"/>
    </row>
    <row r="69" spans="2:4">
      <c r="B69" s="49" t="s">
        <v>3295</v>
      </c>
      <c r="C69" s="41" t="s">
        <v>2997</v>
      </c>
      <c r="D69" s="60"/>
    </row>
    <row r="70" spans="2:4">
      <c r="B70" s="61" t="s">
        <v>3296</v>
      </c>
      <c r="C70" s="41" t="s">
        <v>2999</v>
      </c>
      <c r="D70" s="60"/>
    </row>
    <row r="71" spans="2:4">
      <c r="B71" s="62" t="s">
        <v>3291</v>
      </c>
      <c r="C71" s="41" t="s">
        <v>3001</v>
      </c>
      <c r="D71" s="60"/>
    </row>
    <row r="72" spans="2:4">
      <c r="B72" s="62" t="s">
        <v>3292</v>
      </c>
      <c r="C72" s="41" t="s">
        <v>3003</v>
      </c>
      <c r="D72" s="60"/>
    </row>
    <row r="73" spans="2:4">
      <c r="B73" s="62" t="s">
        <v>3293</v>
      </c>
      <c r="C73" s="41" t="s">
        <v>3005</v>
      </c>
      <c r="D73" s="60"/>
    </row>
    <row r="74" spans="2:4">
      <c r="B74" s="61" t="s">
        <v>3297</v>
      </c>
      <c r="C74" s="41" t="s">
        <v>3007</v>
      </c>
      <c r="D74" s="60"/>
    </row>
    <row r="75" spans="2:4">
      <c r="B75" s="62" t="s">
        <v>3291</v>
      </c>
      <c r="C75" s="41" t="s">
        <v>3009</v>
      </c>
      <c r="D75" s="60"/>
    </row>
    <row r="76" spans="2:4">
      <c r="B76" s="62" t="s">
        <v>3292</v>
      </c>
      <c r="C76" s="41" t="s">
        <v>3011</v>
      </c>
      <c r="D76" s="60"/>
    </row>
    <row r="77" spans="2:4">
      <c r="B77" s="62" t="s">
        <v>3293</v>
      </c>
      <c r="C77" s="41" t="s">
        <v>3013</v>
      </c>
      <c r="D77" s="60"/>
    </row>
    <row r="78" spans="2:4">
      <c r="B78" s="49" t="s">
        <v>3298</v>
      </c>
      <c r="C78" s="41" t="s">
        <v>3015</v>
      </c>
      <c r="D78" s="60"/>
    </row>
    <row r="79" spans="2:4">
      <c r="B79" s="61" t="s">
        <v>3291</v>
      </c>
      <c r="C79" s="41" t="s">
        <v>3064</v>
      </c>
      <c r="D79" s="60"/>
    </row>
    <row r="80" spans="2:4">
      <c r="B80" s="61" t="s">
        <v>3292</v>
      </c>
      <c r="C80" s="41" t="s">
        <v>3066</v>
      </c>
      <c r="D80" s="60"/>
    </row>
    <row r="81" spans="2:4">
      <c r="B81" s="61" t="s">
        <v>3293</v>
      </c>
      <c r="C81" s="41" t="s">
        <v>3068</v>
      </c>
      <c r="D81" s="63"/>
    </row>
    <row r="82" spans="2:4">
      <c r="B82" s="49" t="s">
        <v>3299</v>
      </c>
      <c r="C82" s="44" t="s">
        <v>3070</v>
      </c>
      <c r="D82" s="46"/>
    </row>
    <row r="83" spans="2:4">
      <c r="B83" s="49" t="s">
        <v>2698</v>
      </c>
      <c r="C83" s="41" t="s">
        <v>3017</v>
      </c>
      <c r="D83" s="60"/>
    </row>
    <row r="84" spans="2:4">
      <c r="B84" s="49" t="s">
        <v>3300</v>
      </c>
      <c r="C84" s="41" t="s">
        <v>3019</v>
      </c>
      <c r="D84" s="60"/>
    </row>
    <row r="85" spans="2:4">
      <c r="B85" s="49" t="s">
        <v>3301</v>
      </c>
      <c r="C85" s="41" t="s">
        <v>3021</v>
      </c>
      <c r="D85" s="60"/>
    </row>
    <row r="86" spans="2:4">
      <c r="B86" s="49" t="s">
        <v>3302</v>
      </c>
      <c r="C86" s="41" t="s">
        <v>3023</v>
      </c>
      <c r="D86" s="60"/>
    </row>
    <row r="87" spans="2:4">
      <c r="B87" s="49" t="s">
        <v>3303</v>
      </c>
      <c r="C87" s="41" t="s">
        <v>3072</v>
      </c>
      <c r="D87" s="60"/>
    </row>
    <row r="88" spans="2:4">
      <c r="B88" s="49" t="s">
        <v>2481</v>
      </c>
      <c r="C88" s="41" t="s">
        <v>3118</v>
      </c>
      <c r="D88" s="60"/>
    </row>
    <row r="89" spans="2:4">
      <c r="B89" s="49" t="s">
        <v>3304</v>
      </c>
      <c r="C89" s="41" t="s">
        <v>3120</v>
      </c>
      <c r="D89" s="60"/>
    </row>
    <row r="90" spans="2:4">
      <c r="B90" s="49" t="s">
        <v>3305</v>
      </c>
      <c r="C90" s="41" t="s">
        <v>3122</v>
      </c>
      <c r="D90" s="60"/>
    </row>
    <row r="91" spans="2:4">
      <c r="B91" s="49" t="s">
        <v>3306</v>
      </c>
      <c r="C91" s="41" t="s">
        <v>3124</v>
      </c>
      <c r="D91" s="60"/>
    </row>
    <row r="92" spans="2:4">
      <c r="B92" s="49" t="s">
        <v>3307</v>
      </c>
      <c r="C92" s="41" t="s">
        <v>3126</v>
      </c>
      <c r="D92" s="60"/>
    </row>
    <row r="93" spans="2:4">
      <c r="B93" s="49" t="s">
        <v>3308</v>
      </c>
      <c r="C93" s="41" t="s">
        <v>3128</v>
      </c>
      <c r="D93" s="60"/>
    </row>
    <row r="94" spans="2:4">
      <c r="B94" s="49" t="s">
        <v>3312</v>
      </c>
      <c r="C94" s="41" t="s">
        <v>3136</v>
      </c>
      <c r="D94" s="60"/>
    </row>
    <row r="95" spans="2:4">
      <c r="B95" s="49" t="s">
        <v>3313</v>
      </c>
      <c r="C95" s="41" t="s">
        <v>3140</v>
      </c>
      <c r="D95" s="60"/>
    </row>
    <row r="96" spans="2:4">
      <c r="B96" s="47" t="s">
        <v>3314</v>
      </c>
      <c r="C96" s="41" t="s">
        <v>3315</v>
      </c>
      <c r="D96" s="60"/>
    </row>
    <row r="98" spans="9:10">
      <c r="I98" s="13" t="str">
        <f>Show!$B$29&amp;Show!$B$29&amp;"S.02.01.08.01 Rows {"&amp;COLUMN($C$1)&amp;"}"</f>
        <v>!!S.02.01.08.01 Rows {3}</v>
      </c>
      <c r="J98" s="13" t="str">
        <f>Show!$B$29&amp;Show!$B$29&amp;"S.02.01.08.01 Columns {"&amp;COLUMN($D$1)&amp;"}"</f>
        <v>!!S.02.01.08.01 Columns {4}</v>
      </c>
    </row>
  </sheetData>
  <sheetProtection sheet="1" objects="1" scenarios="1"/>
  <mergeCells count="4">
    <mergeCell ref="B2:O2"/>
    <mergeCell ref="B5:L5"/>
    <mergeCell ref="D9:D10"/>
    <mergeCell ref="D11:D1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1B12-A5B1-4E28-9276-B3D6125F8F20}">
  <sheetPr codeName="Blad34"/>
  <dimension ref="B2:O107"/>
  <sheetViews>
    <sheetView showGridLines="0" workbookViewId="0"/>
  </sheetViews>
  <sheetFormatPr defaultRowHeight="15"/>
  <cols>
    <col min="2" max="2" width="82.28515625" bestFit="1" customWidth="1"/>
    <col min="4" max="5" width="15.7109375" customWidth="1"/>
  </cols>
  <sheetData>
    <row r="2" spans="2:15" ht="23.25">
      <c r="B2" s="95" t="s">
        <v>544</v>
      </c>
      <c r="C2" s="96"/>
      <c r="D2" s="96"/>
      <c r="E2" s="96"/>
      <c r="F2" s="96"/>
      <c r="G2" s="96"/>
      <c r="H2" s="96"/>
      <c r="I2" s="96"/>
      <c r="J2" s="96"/>
      <c r="K2" s="96"/>
      <c r="L2" s="96"/>
      <c r="M2" s="96"/>
      <c r="N2" s="96"/>
      <c r="O2" s="96"/>
    </row>
    <row r="5" spans="2:15" ht="18.75">
      <c r="B5" s="97" t="s">
        <v>3320</v>
      </c>
      <c r="C5" s="96"/>
      <c r="D5" s="96"/>
      <c r="E5" s="96"/>
      <c r="F5" s="96"/>
      <c r="G5" s="96"/>
      <c r="H5" s="96"/>
      <c r="I5" s="96"/>
      <c r="J5" s="96"/>
      <c r="K5" s="96"/>
      <c r="L5" s="96"/>
    </row>
    <row r="7" spans="2:15">
      <c r="B7" t="s">
        <v>3110</v>
      </c>
      <c r="J7" s="13" t="str">
        <f>Show!$B$30&amp;"SR.02.01.01.01 Table label {"&amp;COLUMN($C$1)&amp;"}"</f>
        <v>!SR.02.01.01.01 Table label {3}</v>
      </c>
      <c r="K7" s="13" t="str">
        <f>Show!$B$30&amp;"SR.02.01.01.01 Table value {"&amp;COLUMN($D$1)&amp;"}"</f>
        <v>!SR.02.01.01.01 Table value {4}</v>
      </c>
    </row>
    <row r="8" spans="2:15">
      <c r="B8" t="s">
        <v>3111</v>
      </c>
    </row>
    <row r="9" spans="2:15">
      <c r="B9" s="40" t="s">
        <v>3321</v>
      </c>
      <c r="C9" s="53" t="s">
        <v>3115</v>
      </c>
      <c r="D9" s="51"/>
    </row>
    <row r="10" spans="2:15">
      <c r="B10" s="40" t="s">
        <v>3322</v>
      </c>
      <c r="C10" s="53" t="s">
        <v>3323</v>
      </c>
      <c r="D10" s="50"/>
    </row>
    <row r="11" spans="2:15">
      <c r="J11" s="13" t="str">
        <f>Show!$B$30&amp;Show!$B$30&amp;"SR.02.01.01.01 Table label {"&amp;COLUMN($C$1)&amp;"}"</f>
        <v>!!SR.02.01.01.01 Table label {3}</v>
      </c>
      <c r="K11" s="13" t="str">
        <f>Show!$B$30&amp;Show!$B$30&amp;"SR.02.01.01.01 Table value {"&amp;COLUMN($D$1)&amp;"}"</f>
        <v>!!SR.02.01.01.01 Table value {4}</v>
      </c>
    </row>
    <row r="13" spans="2:15">
      <c r="D13" s="101" t="s">
        <v>2877</v>
      </c>
      <c r="E13" s="103"/>
    </row>
    <row r="14" spans="2:15">
      <c r="D14" s="104"/>
      <c r="E14" s="106"/>
    </row>
    <row r="15" spans="2:15">
      <c r="D15" s="98" t="s">
        <v>3250</v>
      </c>
      <c r="E15" s="98" t="s">
        <v>3251</v>
      </c>
    </row>
    <row r="16" spans="2:15">
      <c r="D16" s="99"/>
      <c r="E16" s="99"/>
    </row>
    <row r="17" spans="2:11">
      <c r="D17" s="99"/>
      <c r="E17" s="99"/>
    </row>
    <row r="18" spans="2:11">
      <c r="D18" s="100"/>
      <c r="E18" s="100"/>
    </row>
    <row r="19" spans="2:11">
      <c r="D19" s="45" t="s">
        <v>2879</v>
      </c>
      <c r="E19" s="45" t="s">
        <v>3219</v>
      </c>
      <c r="J19" s="13" t="str">
        <f>Show!$B$30&amp;"SR.02.01.01.01 Rows {"&amp;COLUMN($C$1)&amp;"}"&amp;"@ForceFilingCode:true"</f>
        <v>!SR.02.01.01.01 Rows {3}@ForceFilingCode:true</v>
      </c>
      <c r="K19" s="13" t="str">
        <f>Show!$B$30&amp;"SR.02.01.01.01 Columns {"&amp;COLUMN($D$1)&amp;"}"</f>
        <v>!SR.02.01.01.01 Columns {4}</v>
      </c>
    </row>
    <row r="20" spans="2:11">
      <c r="B20" s="43" t="s">
        <v>2880</v>
      </c>
      <c r="C20" s="44" t="s">
        <v>2878</v>
      </c>
      <c r="D20" s="58"/>
      <c r="E20" s="59"/>
    </row>
    <row r="21" spans="2:11">
      <c r="B21" s="47" t="s">
        <v>3252</v>
      </c>
      <c r="C21" s="44" t="s">
        <v>2878</v>
      </c>
      <c r="D21" s="58"/>
      <c r="E21" s="57"/>
    </row>
    <row r="22" spans="2:11">
      <c r="B22" s="49" t="s">
        <v>3253</v>
      </c>
      <c r="C22" s="44" t="s">
        <v>2883</v>
      </c>
      <c r="D22" s="48"/>
      <c r="E22" s="60"/>
    </row>
    <row r="23" spans="2:11">
      <c r="B23" s="49" t="s">
        <v>3254</v>
      </c>
      <c r="C23" s="44" t="s">
        <v>2885</v>
      </c>
      <c r="D23" s="46"/>
      <c r="E23" s="60"/>
    </row>
    <row r="24" spans="2:11">
      <c r="B24" s="49" t="s">
        <v>3255</v>
      </c>
      <c r="C24" s="41" t="s">
        <v>2887</v>
      </c>
      <c r="D24" s="60"/>
      <c r="E24" s="60"/>
    </row>
    <row r="25" spans="2:11">
      <c r="B25" s="49" t="s">
        <v>3256</v>
      </c>
      <c r="C25" s="41" t="s">
        <v>2889</v>
      </c>
      <c r="D25" s="60"/>
      <c r="E25" s="60"/>
    </row>
    <row r="26" spans="2:11">
      <c r="B26" s="49" t="s">
        <v>3257</v>
      </c>
      <c r="C26" s="41" t="s">
        <v>3078</v>
      </c>
      <c r="D26" s="60"/>
      <c r="E26" s="60"/>
    </row>
    <row r="27" spans="2:11">
      <c r="B27" s="49" t="s">
        <v>3258</v>
      </c>
      <c r="C27" s="41" t="s">
        <v>2891</v>
      </c>
      <c r="D27" s="60"/>
      <c r="E27" s="60"/>
    </row>
    <row r="28" spans="2:11">
      <c r="B28" s="49" t="s">
        <v>3259</v>
      </c>
      <c r="C28" s="41" t="s">
        <v>2893</v>
      </c>
      <c r="D28" s="60"/>
      <c r="E28" s="60"/>
    </row>
    <row r="29" spans="2:11">
      <c r="B29" s="61" t="s">
        <v>3260</v>
      </c>
      <c r="C29" s="41" t="s">
        <v>2895</v>
      </c>
      <c r="D29" s="60"/>
      <c r="E29" s="60"/>
    </row>
    <row r="30" spans="2:11">
      <c r="B30" s="61" t="s">
        <v>3261</v>
      </c>
      <c r="C30" s="41" t="s">
        <v>2897</v>
      </c>
      <c r="D30" s="60"/>
      <c r="E30" s="60"/>
    </row>
    <row r="31" spans="2:11">
      <c r="B31" s="61" t="s">
        <v>2480</v>
      </c>
      <c r="C31" s="41" t="s">
        <v>2899</v>
      </c>
      <c r="D31" s="60"/>
      <c r="E31" s="60"/>
    </row>
    <row r="32" spans="2:11">
      <c r="B32" s="62" t="s">
        <v>3262</v>
      </c>
      <c r="C32" s="41" t="s">
        <v>2901</v>
      </c>
      <c r="D32" s="60"/>
      <c r="E32" s="60"/>
    </row>
    <row r="33" spans="2:5">
      <c r="B33" s="62" t="s">
        <v>3263</v>
      </c>
      <c r="C33" s="41" t="s">
        <v>2903</v>
      </c>
      <c r="D33" s="60"/>
      <c r="E33" s="60"/>
    </row>
    <row r="34" spans="2:5">
      <c r="B34" s="61" t="s">
        <v>3264</v>
      </c>
      <c r="C34" s="41" t="s">
        <v>2905</v>
      </c>
      <c r="D34" s="60"/>
      <c r="E34" s="60"/>
    </row>
    <row r="35" spans="2:5">
      <c r="B35" s="62" t="s">
        <v>2372</v>
      </c>
      <c r="C35" s="41" t="s">
        <v>2907</v>
      </c>
      <c r="D35" s="60"/>
      <c r="E35" s="60"/>
    </row>
    <row r="36" spans="2:5">
      <c r="B36" s="62" t="s">
        <v>2373</v>
      </c>
      <c r="C36" s="41" t="s">
        <v>2909</v>
      </c>
      <c r="D36" s="60"/>
      <c r="E36" s="60"/>
    </row>
    <row r="37" spans="2:5">
      <c r="B37" s="62" t="s">
        <v>2377</v>
      </c>
      <c r="C37" s="41" t="s">
        <v>2911</v>
      </c>
      <c r="D37" s="60"/>
      <c r="E37" s="60"/>
    </row>
    <row r="38" spans="2:5">
      <c r="B38" s="62" t="s">
        <v>2378</v>
      </c>
      <c r="C38" s="41" t="s">
        <v>2913</v>
      </c>
      <c r="D38" s="60"/>
      <c r="E38" s="60"/>
    </row>
    <row r="39" spans="2:5">
      <c r="B39" s="61" t="s">
        <v>3265</v>
      </c>
      <c r="C39" s="41" t="s">
        <v>2915</v>
      </c>
      <c r="D39" s="60"/>
      <c r="E39" s="60"/>
    </row>
    <row r="40" spans="2:5">
      <c r="B40" s="61" t="s">
        <v>2481</v>
      </c>
      <c r="C40" s="41" t="s">
        <v>2917</v>
      </c>
      <c r="D40" s="60"/>
      <c r="E40" s="60"/>
    </row>
    <row r="41" spans="2:5">
      <c r="B41" s="61" t="s">
        <v>3266</v>
      </c>
      <c r="C41" s="41" t="s">
        <v>2919</v>
      </c>
      <c r="D41" s="60"/>
      <c r="E41" s="60"/>
    </row>
    <row r="42" spans="2:5">
      <c r="B42" s="61" t="s">
        <v>2382</v>
      </c>
      <c r="C42" s="41" t="s">
        <v>2921</v>
      </c>
      <c r="D42" s="60"/>
      <c r="E42" s="60"/>
    </row>
    <row r="43" spans="2:5">
      <c r="B43" s="49" t="s">
        <v>3267</v>
      </c>
      <c r="C43" s="41" t="s">
        <v>2923</v>
      </c>
      <c r="D43" s="60"/>
      <c r="E43" s="60"/>
    </row>
    <row r="44" spans="2:5">
      <c r="B44" s="49" t="s">
        <v>3268</v>
      </c>
      <c r="C44" s="41" t="s">
        <v>2925</v>
      </c>
      <c r="D44" s="60"/>
      <c r="E44" s="60"/>
    </row>
    <row r="45" spans="2:5">
      <c r="B45" s="61" t="s">
        <v>3269</v>
      </c>
      <c r="C45" s="41" t="s">
        <v>2927</v>
      </c>
      <c r="D45" s="60"/>
      <c r="E45" s="60"/>
    </row>
    <row r="46" spans="2:5">
      <c r="B46" s="61" t="s">
        <v>3270</v>
      </c>
      <c r="C46" s="41" t="s">
        <v>2929</v>
      </c>
      <c r="D46" s="60"/>
      <c r="E46" s="60"/>
    </row>
    <row r="47" spans="2:5">
      <c r="B47" s="61" t="s">
        <v>3271</v>
      </c>
      <c r="C47" s="41" t="s">
        <v>2931</v>
      </c>
      <c r="D47" s="60"/>
      <c r="E47" s="60"/>
    </row>
    <row r="48" spans="2:5">
      <c r="B48" s="49" t="s">
        <v>3272</v>
      </c>
      <c r="C48" s="41" t="s">
        <v>2933</v>
      </c>
      <c r="D48" s="60"/>
      <c r="E48" s="60"/>
    </row>
    <row r="49" spans="2:5">
      <c r="B49" s="61" t="s">
        <v>3273</v>
      </c>
      <c r="C49" s="41" t="s">
        <v>2935</v>
      </c>
      <c r="D49" s="60"/>
      <c r="E49" s="60"/>
    </row>
    <row r="50" spans="2:5">
      <c r="B50" s="62" t="s">
        <v>3274</v>
      </c>
      <c r="C50" s="41" t="s">
        <v>2937</v>
      </c>
      <c r="D50" s="60"/>
      <c r="E50" s="60"/>
    </row>
    <row r="51" spans="2:5">
      <c r="B51" s="62" t="s">
        <v>3275</v>
      </c>
      <c r="C51" s="41" t="s">
        <v>2939</v>
      </c>
      <c r="D51" s="60"/>
      <c r="E51" s="60"/>
    </row>
    <row r="52" spans="2:5">
      <c r="B52" s="61" t="s">
        <v>3276</v>
      </c>
      <c r="C52" s="41" t="s">
        <v>2941</v>
      </c>
      <c r="D52" s="60"/>
      <c r="E52" s="60"/>
    </row>
    <row r="53" spans="2:5">
      <c r="B53" s="62" t="s">
        <v>3277</v>
      </c>
      <c r="C53" s="41" t="s">
        <v>2943</v>
      </c>
      <c r="D53" s="60"/>
      <c r="E53" s="60"/>
    </row>
    <row r="54" spans="2:5">
      <c r="B54" s="62" t="s">
        <v>3278</v>
      </c>
      <c r="C54" s="41" t="s">
        <v>2945</v>
      </c>
      <c r="D54" s="60"/>
      <c r="E54" s="60"/>
    </row>
    <row r="55" spans="2:5">
      <c r="B55" s="61" t="s">
        <v>3279</v>
      </c>
      <c r="C55" s="41" t="s">
        <v>2947</v>
      </c>
      <c r="D55" s="60"/>
      <c r="E55" s="60"/>
    </row>
    <row r="56" spans="2:5">
      <c r="B56" s="49" t="s">
        <v>3280</v>
      </c>
      <c r="C56" s="41" t="s">
        <v>2949</v>
      </c>
      <c r="D56" s="60"/>
      <c r="E56" s="60"/>
    </row>
    <row r="57" spans="2:5">
      <c r="B57" s="49" t="s">
        <v>3281</v>
      </c>
      <c r="C57" s="41" t="s">
        <v>2951</v>
      </c>
      <c r="D57" s="60"/>
      <c r="E57" s="60"/>
    </row>
    <row r="58" spans="2:5">
      <c r="B58" s="49" t="s">
        <v>3282</v>
      </c>
      <c r="C58" s="41" t="s">
        <v>2953</v>
      </c>
      <c r="D58" s="60"/>
      <c r="E58" s="60"/>
    </row>
    <row r="59" spans="2:5">
      <c r="B59" s="49" t="s">
        <v>3283</v>
      </c>
      <c r="C59" s="41" t="s">
        <v>2955</v>
      </c>
      <c r="D59" s="60"/>
      <c r="E59" s="60"/>
    </row>
    <row r="60" spans="2:5">
      <c r="B60" s="49" t="s">
        <v>3284</v>
      </c>
      <c r="C60" s="41" t="s">
        <v>2957</v>
      </c>
      <c r="D60" s="60"/>
      <c r="E60" s="60"/>
    </row>
    <row r="61" spans="2:5">
      <c r="B61" s="49" t="s">
        <v>3285</v>
      </c>
      <c r="C61" s="41" t="s">
        <v>2959</v>
      </c>
      <c r="D61" s="60"/>
      <c r="E61" s="60"/>
    </row>
    <row r="62" spans="2:5">
      <c r="B62" s="49" t="s">
        <v>3286</v>
      </c>
      <c r="C62" s="41" t="s">
        <v>2961</v>
      </c>
      <c r="D62" s="60"/>
      <c r="E62" s="60"/>
    </row>
    <row r="63" spans="2:5">
      <c r="B63" s="49" t="s">
        <v>3287</v>
      </c>
      <c r="C63" s="41" t="s">
        <v>2963</v>
      </c>
      <c r="D63" s="60"/>
      <c r="E63" s="60"/>
    </row>
    <row r="64" spans="2:5">
      <c r="B64" s="49" t="s">
        <v>3288</v>
      </c>
      <c r="C64" s="41" t="s">
        <v>2977</v>
      </c>
      <c r="D64" s="63"/>
      <c r="E64" s="63"/>
    </row>
    <row r="65" spans="2:5">
      <c r="B65" s="47" t="s">
        <v>2389</v>
      </c>
      <c r="C65" s="44" t="s">
        <v>2878</v>
      </c>
      <c r="D65" s="56"/>
      <c r="E65" s="57"/>
    </row>
    <row r="66" spans="2:5">
      <c r="B66" s="49" t="s">
        <v>3289</v>
      </c>
      <c r="C66" s="41" t="s">
        <v>2979</v>
      </c>
      <c r="D66" s="60"/>
      <c r="E66" s="60"/>
    </row>
    <row r="67" spans="2:5">
      <c r="B67" s="61" t="s">
        <v>3290</v>
      </c>
      <c r="C67" s="41" t="s">
        <v>2981</v>
      </c>
      <c r="D67" s="60"/>
      <c r="E67" s="63"/>
    </row>
    <row r="68" spans="2:5">
      <c r="B68" s="62" t="s">
        <v>3291</v>
      </c>
      <c r="C68" s="41" t="s">
        <v>2983</v>
      </c>
      <c r="D68" s="64"/>
      <c r="E68" s="48"/>
    </row>
    <row r="69" spans="2:5">
      <c r="B69" s="62" t="s">
        <v>3292</v>
      </c>
      <c r="C69" s="41" t="s">
        <v>2985</v>
      </c>
      <c r="D69" s="64"/>
      <c r="E69" s="48"/>
    </row>
    <row r="70" spans="2:5">
      <c r="B70" s="62" t="s">
        <v>3293</v>
      </c>
      <c r="C70" s="41" t="s">
        <v>2987</v>
      </c>
      <c r="D70" s="64"/>
      <c r="E70" s="46"/>
    </row>
    <row r="71" spans="2:5">
      <c r="B71" s="61" t="s">
        <v>3294</v>
      </c>
      <c r="C71" s="41" t="s">
        <v>2989</v>
      </c>
      <c r="D71" s="60"/>
      <c r="E71" s="63"/>
    </row>
    <row r="72" spans="2:5">
      <c r="B72" s="62" t="s">
        <v>3291</v>
      </c>
      <c r="C72" s="41" t="s">
        <v>2991</v>
      </c>
      <c r="D72" s="64"/>
      <c r="E72" s="48"/>
    </row>
    <row r="73" spans="2:5">
      <c r="B73" s="62" t="s">
        <v>3292</v>
      </c>
      <c r="C73" s="41" t="s">
        <v>2993</v>
      </c>
      <c r="D73" s="64"/>
      <c r="E73" s="48"/>
    </row>
    <row r="74" spans="2:5">
      <c r="B74" s="62" t="s">
        <v>3293</v>
      </c>
      <c r="C74" s="41" t="s">
        <v>2995</v>
      </c>
      <c r="D74" s="64"/>
      <c r="E74" s="46"/>
    </row>
    <row r="75" spans="2:5">
      <c r="B75" s="49" t="s">
        <v>3295</v>
      </c>
      <c r="C75" s="41" t="s">
        <v>2997</v>
      </c>
      <c r="D75" s="60"/>
      <c r="E75" s="60"/>
    </row>
    <row r="76" spans="2:5">
      <c r="B76" s="61" t="s">
        <v>3296</v>
      </c>
      <c r="C76" s="41" t="s">
        <v>2999</v>
      </c>
      <c r="D76" s="60"/>
      <c r="E76" s="63"/>
    </row>
    <row r="77" spans="2:5">
      <c r="B77" s="62" t="s">
        <v>3291</v>
      </c>
      <c r="C77" s="41" t="s">
        <v>3001</v>
      </c>
      <c r="D77" s="64"/>
      <c r="E77" s="48"/>
    </row>
    <row r="78" spans="2:5">
      <c r="B78" s="62" t="s">
        <v>3292</v>
      </c>
      <c r="C78" s="41" t="s">
        <v>3003</v>
      </c>
      <c r="D78" s="64"/>
      <c r="E78" s="48"/>
    </row>
    <row r="79" spans="2:5">
      <c r="B79" s="62" t="s">
        <v>3293</v>
      </c>
      <c r="C79" s="41" t="s">
        <v>3005</v>
      </c>
      <c r="D79" s="64"/>
      <c r="E79" s="46"/>
    </row>
    <row r="80" spans="2:5">
      <c r="B80" s="61" t="s">
        <v>3297</v>
      </c>
      <c r="C80" s="41" t="s">
        <v>3007</v>
      </c>
      <c r="D80" s="60"/>
      <c r="E80" s="63"/>
    </row>
    <row r="81" spans="2:5">
      <c r="B81" s="62" t="s">
        <v>3291</v>
      </c>
      <c r="C81" s="41" t="s">
        <v>3009</v>
      </c>
      <c r="D81" s="64"/>
      <c r="E81" s="48"/>
    </row>
    <row r="82" spans="2:5">
      <c r="B82" s="62" t="s">
        <v>3292</v>
      </c>
      <c r="C82" s="41" t="s">
        <v>3011</v>
      </c>
      <c r="D82" s="64"/>
      <c r="E82" s="48"/>
    </row>
    <row r="83" spans="2:5">
      <c r="B83" s="62" t="s">
        <v>3293</v>
      </c>
      <c r="C83" s="41" t="s">
        <v>3013</v>
      </c>
      <c r="D83" s="64"/>
      <c r="E83" s="46"/>
    </row>
    <row r="84" spans="2:5">
      <c r="B84" s="49" t="s">
        <v>3298</v>
      </c>
      <c r="C84" s="41" t="s">
        <v>3015</v>
      </c>
      <c r="D84" s="60"/>
      <c r="E84" s="63"/>
    </row>
    <row r="85" spans="2:5">
      <c r="B85" s="61" t="s">
        <v>3291</v>
      </c>
      <c r="C85" s="41" t="s">
        <v>3064</v>
      </c>
      <c r="D85" s="64"/>
      <c r="E85" s="48"/>
    </row>
    <row r="86" spans="2:5">
      <c r="B86" s="61" t="s">
        <v>3292</v>
      </c>
      <c r="C86" s="41" t="s">
        <v>3066</v>
      </c>
      <c r="D86" s="64"/>
      <c r="E86" s="48"/>
    </row>
    <row r="87" spans="2:5">
      <c r="B87" s="61" t="s">
        <v>3293</v>
      </c>
      <c r="C87" s="41" t="s">
        <v>3068</v>
      </c>
      <c r="D87" s="65"/>
      <c r="E87" s="46"/>
    </row>
    <row r="88" spans="2:5">
      <c r="B88" s="49" t="s">
        <v>3299</v>
      </c>
      <c r="C88" s="44" t="s">
        <v>3070</v>
      </c>
      <c r="D88" s="46"/>
      <c r="E88" s="60"/>
    </row>
    <row r="89" spans="2:5">
      <c r="B89" s="49" t="s">
        <v>2698</v>
      </c>
      <c r="C89" s="41" t="s">
        <v>3017</v>
      </c>
      <c r="D89" s="60"/>
      <c r="E89" s="60"/>
    </row>
    <row r="90" spans="2:5">
      <c r="B90" s="49" t="s">
        <v>3300</v>
      </c>
      <c r="C90" s="41" t="s">
        <v>3019</v>
      </c>
      <c r="D90" s="60"/>
      <c r="E90" s="60"/>
    </row>
    <row r="91" spans="2:5">
      <c r="B91" s="49" t="s">
        <v>3301</v>
      </c>
      <c r="C91" s="41" t="s">
        <v>3021</v>
      </c>
      <c r="D91" s="60"/>
      <c r="E91" s="60"/>
    </row>
    <row r="92" spans="2:5">
      <c r="B92" s="49" t="s">
        <v>3302</v>
      </c>
      <c r="C92" s="41" t="s">
        <v>3023</v>
      </c>
      <c r="D92" s="60"/>
      <c r="E92" s="60"/>
    </row>
    <row r="93" spans="2:5">
      <c r="B93" s="49" t="s">
        <v>3303</v>
      </c>
      <c r="C93" s="41" t="s">
        <v>3072</v>
      </c>
      <c r="D93" s="60"/>
      <c r="E93" s="60"/>
    </row>
    <row r="94" spans="2:5">
      <c r="B94" s="49" t="s">
        <v>2481</v>
      </c>
      <c r="C94" s="41" t="s">
        <v>3118</v>
      </c>
      <c r="D94" s="60"/>
      <c r="E94" s="60"/>
    </row>
    <row r="95" spans="2:5">
      <c r="B95" s="49" t="s">
        <v>3304</v>
      </c>
      <c r="C95" s="41" t="s">
        <v>3120</v>
      </c>
      <c r="D95" s="60"/>
      <c r="E95" s="60"/>
    </row>
    <row r="96" spans="2:5">
      <c r="B96" s="49" t="s">
        <v>3305</v>
      </c>
      <c r="C96" s="41" t="s">
        <v>3122</v>
      </c>
      <c r="D96" s="60"/>
      <c r="E96" s="60"/>
    </row>
    <row r="97" spans="2:11">
      <c r="B97" s="49" t="s">
        <v>3306</v>
      </c>
      <c r="C97" s="41" t="s">
        <v>3124</v>
      </c>
      <c r="D97" s="60"/>
      <c r="E97" s="60"/>
    </row>
    <row r="98" spans="2:11">
      <c r="B98" s="49" t="s">
        <v>3307</v>
      </c>
      <c r="C98" s="41" t="s">
        <v>3126</v>
      </c>
      <c r="D98" s="60"/>
      <c r="E98" s="60"/>
    </row>
    <row r="99" spans="2:11">
      <c r="B99" s="49" t="s">
        <v>3308</v>
      </c>
      <c r="C99" s="41" t="s">
        <v>3128</v>
      </c>
      <c r="D99" s="60"/>
      <c r="E99" s="60"/>
    </row>
    <row r="100" spans="2:11">
      <c r="B100" s="49" t="s">
        <v>3309</v>
      </c>
      <c r="C100" s="41" t="s">
        <v>3130</v>
      </c>
      <c r="D100" s="60"/>
      <c r="E100" s="60"/>
    </row>
    <row r="101" spans="2:11">
      <c r="B101" s="61" t="s">
        <v>3310</v>
      </c>
      <c r="C101" s="41" t="s">
        <v>3132</v>
      </c>
      <c r="D101" s="60"/>
      <c r="E101" s="60"/>
    </row>
    <row r="102" spans="2:11">
      <c r="B102" s="61" t="s">
        <v>3311</v>
      </c>
      <c r="C102" s="41" t="s">
        <v>3134</v>
      </c>
      <c r="D102" s="60"/>
      <c r="E102" s="60"/>
    </row>
    <row r="103" spans="2:11">
      <c r="B103" s="49" t="s">
        <v>3312</v>
      </c>
      <c r="C103" s="41" t="s">
        <v>3136</v>
      </c>
      <c r="D103" s="60"/>
      <c r="E103" s="60"/>
    </row>
    <row r="104" spans="2:11">
      <c r="B104" s="49" t="s">
        <v>3313</v>
      </c>
      <c r="C104" s="41" t="s">
        <v>3140</v>
      </c>
      <c r="D104" s="60"/>
      <c r="E104" s="60"/>
    </row>
    <row r="105" spans="2:11">
      <c r="B105" s="47" t="s">
        <v>3314</v>
      </c>
      <c r="C105" s="41" t="s">
        <v>3315</v>
      </c>
      <c r="D105" s="60"/>
      <c r="E105" s="60"/>
    </row>
    <row r="107" spans="2:11">
      <c r="J107" s="13" t="str">
        <f>Show!$B$30&amp;Show!$B$30&amp;"SR.02.01.01.01 Rows {"&amp;COLUMN($C$1)&amp;"}"</f>
        <v>!!SR.02.01.01.01 Rows {3}</v>
      </c>
      <c r="K107" s="13" t="str">
        <f>Show!$B$30&amp;Show!$B$30&amp;"SR.02.01.01.01 Columns {"&amp;COLUMN($E$1)&amp;"}"</f>
        <v>!!SR.02.01.01.01 Columns {5}</v>
      </c>
    </row>
  </sheetData>
  <sheetProtection sheet="1" objects="1" scenarios="1"/>
  <mergeCells count="5">
    <mergeCell ref="B2:O2"/>
    <mergeCell ref="B5:L5"/>
    <mergeCell ref="D13:E14"/>
    <mergeCell ref="D15:D18"/>
    <mergeCell ref="E15:E18"/>
  </mergeCells>
  <dataValidations count="1">
    <dataValidation type="list" errorStyle="warning" allowBlank="1" showInputMessage="1" showErrorMessage="1" sqref="D9" xr:uid="{1C88B346-2EE3-4D72-BA27-FD48910907D6}">
      <formula1>hier_PU_30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0A013-ADE2-4F9A-996B-C6BF6B3EDF17}">
  <sheetPr codeName="Blad35"/>
  <dimension ref="B2:O102"/>
  <sheetViews>
    <sheetView showGridLines="0" workbookViewId="0"/>
  </sheetViews>
  <sheetFormatPr defaultRowHeight="15"/>
  <cols>
    <col min="2" max="2" width="78.85546875" bestFit="1" customWidth="1"/>
    <col min="4" max="5" width="15.7109375" customWidth="1"/>
  </cols>
  <sheetData>
    <row r="2" spans="2:15" ht="23.25">
      <c r="B2" s="95" t="s">
        <v>544</v>
      </c>
      <c r="C2" s="96"/>
      <c r="D2" s="96"/>
      <c r="E2" s="96"/>
      <c r="F2" s="96"/>
      <c r="G2" s="96"/>
      <c r="H2" s="96"/>
      <c r="I2" s="96"/>
      <c r="J2" s="96"/>
      <c r="K2" s="96"/>
      <c r="L2" s="96"/>
      <c r="M2" s="96"/>
      <c r="N2" s="96"/>
      <c r="O2" s="96"/>
    </row>
    <row r="5" spans="2:15" ht="18.75">
      <c r="B5" s="97" t="s">
        <v>3324</v>
      </c>
      <c r="C5" s="96"/>
      <c r="D5" s="96"/>
      <c r="E5" s="96"/>
      <c r="F5" s="96"/>
      <c r="G5" s="96"/>
      <c r="H5" s="96"/>
      <c r="I5" s="96"/>
      <c r="J5" s="96"/>
      <c r="K5" s="96"/>
      <c r="L5" s="96"/>
    </row>
    <row r="7" spans="2:15">
      <c r="B7" t="s">
        <v>3110</v>
      </c>
      <c r="J7" s="13" t="str">
        <f>Show!$B$31&amp;"SR.02.01.07.01 Table label {"&amp;COLUMN($C$1)&amp;"}"</f>
        <v>!SR.02.01.07.01 Table label {3}</v>
      </c>
      <c r="K7" s="13" t="str">
        <f>Show!$B$31&amp;"SR.02.01.07.01 Table value {"&amp;COLUMN($D$1)&amp;"}"</f>
        <v>!SR.02.01.07.01 Table value {4}</v>
      </c>
    </row>
    <row r="8" spans="2:15">
      <c r="B8" t="s">
        <v>3111</v>
      </c>
    </row>
    <row r="9" spans="2:15">
      <c r="B9" s="40" t="s">
        <v>3325</v>
      </c>
      <c r="C9" s="53" t="s">
        <v>3115</v>
      </c>
      <c r="D9" s="51"/>
    </row>
    <row r="10" spans="2:15">
      <c r="B10" s="40" t="s">
        <v>3322</v>
      </c>
      <c r="C10" s="53" t="s">
        <v>3323</v>
      </c>
      <c r="D10" s="50"/>
    </row>
    <row r="11" spans="2:15">
      <c r="J11" s="13" t="str">
        <f>Show!$B$31&amp;Show!$B$31&amp;"SR.02.01.07.01 Table label {"&amp;COLUMN($C$1)&amp;"}"</f>
        <v>!!SR.02.01.07.01 Table label {3}</v>
      </c>
      <c r="K11" s="13" t="str">
        <f>Show!$B$31&amp;Show!$B$31&amp;"SR.02.01.07.01 Table value {"&amp;COLUMN($D$1)&amp;"}"</f>
        <v>!!SR.02.01.07.01 Table value {4}</v>
      </c>
    </row>
    <row r="13" spans="2:15">
      <c r="D13" s="101" t="s">
        <v>2877</v>
      </c>
      <c r="E13" s="103"/>
    </row>
    <row r="14" spans="2:15">
      <c r="D14" s="104"/>
      <c r="E14" s="106"/>
    </row>
    <row r="15" spans="2:15">
      <c r="D15" s="98" t="s">
        <v>3250</v>
      </c>
      <c r="E15" s="98" t="s">
        <v>3318</v>
      </c>
    </row>
    <row r="16" spans="2:15">
      <c r="D16" s="99"/>
      <c r="E16" s="99"/>
    </row>
    <row r="17" spans="2:11">
      <c r="D17" s="99"/>
      <c r="E17" s="99"/>
    </row>
    <row r="18" spans="2:11">
      <c r="D18" s="100"/>
      <c r="E18" s="100"/>
    </row>
    <row r="19" spans="2:11">
      <c r="D19" s="45" t="s">
        <v>2879</v>
      </c>
      <c r="E19" s="45" t="s">
        <v>3219</v>
      </c>
      <c r="J19" s="13" t="str">
        <f>Show!$B$31&amp;"SR.02.01.07.01 Rows {"&amp;COLUMN($C$1)&amp;"}"&amp;"@ForceFilingCode:true"</f>
        <v>!SR.02.01.07.01 Rows {3}@ForceFilingCode:true</v>
      </c>
      <c r="K19" s="13" t="str">
        <f>Show!$B$31&amp;"SR.02.01.07.01 Columns {"&amp;COLUMN($D$1)&amp;"}"</f>
        <v>!SR.02.01.07.01 Columns {4}</v>
      </c>
    </row>
    <row r="20" spans="2:11">
      <c r="B20" s="43" t="s">
        <v>2880</v>
      </c>
      <c r="C20" s="44" t="s">
        <v>2878</v>
      </c>
      <c r="D20" s="58"/>
      <c r="E20" s="59"/>
    </row>
    <row r="21" spans="2:11">
      <c r="B21" s="47" t="s">
        <v>3252</v>
      </c>
      <c r="C21" s="44" t="s">
        <v>2878</v>
      </c>
      <c r="D21" s="58"/>
      <c r="E21" s="57"/>
    </row>
    <row r="22" spans="2:11">
      <c r="B22" s="49" t="s">
        <v>3253</v>
      </c>
      <c r="C22" s="44" t="s">
        <v>2883</v>
      </c>
      <c r="D22" s="48"/>
      <c r="E22" s="60"/>
    </row>
    <row r="23" spans="2:11">
      <c r="B23" s="49" t="s">
        <v>3254</v>
      </c>
      <c r="C23" s="44" t="s">
        <v>2885</v>
      </c>
      <c r="D23" s="46"/>
      <c r="E23" s="60"/>
    </row>
    <row r="24" spans="2:11">
      <c r="B24" s="49" t="s">
        <v>3255</v>
      </c>
      <c r="C24" s="41" t="s">
        <v>2887</v>
      </c>
      <c r="D24" s="60"/>
      <c r="E24" s="60"/>
    </row>
    <row r="25" spans="2:11">
      <c r="B25" s="49" t="s">
        <v>3256</v>
      </c>
      <c r="C25" s="41" t="s">
        <v>2889</v>
      </c>
      <c r="D25" s="60"/>
      <c r="E25" s="60"/>
    </row>
    <row r="26" spans="2:11">
      <c r="B26" s="49" t="s">
        <v>3257</v>
      </c>
      <c r="C26" s="41" t="s">
        <v>3078</v>
      </c>
      <c r="D26" s="60"/>
      <c r="E26" s="60"/>
    </row>
    <row r="27" spans="2:11">
      <c r="B27" s="49" t="s">
        <v>3258</v>
      </c>
      <c r="C27" s="41" t="s">
        <v>2891</v>
      </c>
      <c r="D27" s="60"/>
      <c r="E27" s="60"/>
    </row>
    <row r="28" spans="2:11">
      <c r="B28" s="49" t="s">
        <v>3259</v>
      </c>
      <c r="C28" s="41" t="s">
        <v>2893</v>
      </c>
      <c r="D28" s="60"/>
      <c r="E28" s="60"/>
    </row>
    <row r="29" spans="2:11">
      <c r="B29" s="61" t="s">
        <v>3260</v>
      </c>
      <c r="C29" s="41" t="s">
        <v>2895</v>
      </c>
      <c r="D29" s="60"/>
      <c r="E29" s="60"/>
    </row>
    <row r="30" spans="2:11">
      <c r="B30" s="61" t="s">
        <v>3261</v>
      </c>
      <c r="C30" s="41" t="s">
        <v>2897</v>
      </c>
      <c r="D30" s="60"/>
      <c r="E30" s="60"/>
    </row>
    <row r="31" spans="2:11">
      <c r="B31" s="61" t="s">
        <v>2480</v>
      </c>
      <c r="C31" s="41" t="s">
        <v>2899</v>
      </c>
      <c r="D31" s="60"/>
      <c r="E31" s="60"/>
    </row>
    <row r="32" spans="2:11">
      <c r="B32" s="62" t="s">
        <v>3262</v>
      </c>
      <c r="C32" s="41" t="s">
        <v>2901</v>
      </c>
      <c r="D32" s="60"/>
      <c r="E32" s="60"/>
    </row>
    <row r="33" spans="2:5">
      <c r="B33" s="62" t="s">
        <v>3263</v>
      </c>
      <c r="C33" s="41" t="s">
        <v>2903</v>
      </c>
      <c r="D33" s="60"/>
      <c r="E33" s="60"/>
    </row>
    <row r="34" spans="2:5">
      <c r="B34" s="61" t="s">
        <v>3264</v>
      </c>
      <c r="C34" s="41" t="s">
        <v>2905</v>
      </c>
      <c r="D34" s="60"/>
      <c r="E34" s="60"/>
    </row>
    <row r="35" spans="2:5">
      <c r="B35" s="62" t="s">
        <v>2372</v>
      </c>
      <c r="C35" s="41" t="s">
        <v>2907</v>
      </c>
      <c r="D35" s="60"/>
      <c r="E35" s="60"/>
    </row>
    <row r="36" spans="2:5">
      <c r="B36" s="62" t="s">
        <v>2373</v>
      </c>
      <c r="C36" s="41" t="s">
        <v>2909</v>
      </c>
      <c r="D36" s="60"/>
      <c r="E36" s="60"/>
    </row>
    <row r="37" spans="2:5">
      <c r="B37" s="62" t="s">
        <v>2377</v>
      </c>
      <c r="C37" s="41" t="s">
        <v>2911</v>
      </c>
      <c r="D37" s="60"/>
      <c r="E37" s="60"/>
    </row>
    <row r="38" spans="2:5">
      <c r="B38" s="62" t="s">
        <v>2378</v>
      </c>
      <c r="C38" s="41" t="s">
        <v>2913</v>
      </c>
      <c r="D38" s="60"/>
      <c r="E38" s="60"/>
    </row>
    <row r="39" spans="2:5">
      <c r="B39" s="61" t="s">
        <v>3265</v>
      </c>
      <c r="C39" s="41" t="s">
        <v>2915</v>
      </c>
      <c r="D39" s="60"/>
      <c r="E39" s="60"/>
    </row>
    <row r="40" spans="2:5">
      <c r="B40" s="61" t="s">
        <v>2481</v>
      </c>
      <c r="C40" s="41" t="s">
        <v>2917</v>
      </c>
      <c r="D40" s="60"/>
      <c r="E40" s="60"/>
    </row>
    <row r="41" spans="2:5">
      <c r="B41" s="61" t="s">
        <v>3266</v>
      </c>
      <c r="C41" s="41" t="s">
        <v>2919</v>
      </c>
      <c r="D41" s="60"/>
      <c r="E41" s="60"/>
    </row>
    <row r="42" spans="2:5">
      <c r="B42" s="61" t="s">
        <v>2382</v>
      </c>
      <c r="C42" s="41" t="s">
        <v>2921</v>
      </c>
      <c r="D42" s="60"/>
      <c r="E42" s="60"/>
    </row>
    <row r="43" spans="2:5">
      <c r="B43" s="49" t="s">
        <v>3267</v>
      </c>
      <c r="C43" s="41" t="s">
        <v>2923</v>
      </c>
      <c r="D43" s="60"/>
      <c r="E43" s="60"/>
    </row>
    <row r="44" spans="2:5">
      <c r="B44" s="49" t="s">
        <v>3268</v>
      </c>
      <c r="C44" s="41" t="s">
        <v>2925</v>
      </c>
      <c r="D44" s="60"/>
      <c r="E44" s="60"/>
    </row>
    <row r="45" spans="2:5">
      <c r="B45" s="61" t="s">
        <v>3269</v>
      </c>
      <c r="C45" s="41" t="s">
        <v>2927</v>
      </c>
      <c r="D45" s="60"/>
      <c r="E45" s="60"/>
    </row>
    <row r="46" spans="2:5">
      <c r="B46" s="61" t="s">
        <v>3270</v>
      </c>
      <c r="C46" s="41" t="s">
        <v>2929</v>
      </c>
      <c r="D46" s="60"/>
      <c r="E46" s="60"/>
    </row>
    <row r="47" spans="2:5">
      <c r="B47" s="61" t="s">
        <v>3271</v>
      </c>
      <c r="C47" s="41" t="s">
        <v>2931</v>
      </c>
      <c r="D47" s="60"/>
      <c r="E47" s="60"/>
    </row>
    <row r="48" spans="2:5">
      <c r="B48" s="49" t="s">
        <v>3272</v>
      </c>
      <c r="C48" s="41" t="s">
        <v>2933</v>
      </c>
      <c r="D48" s="60"/>
      <c r="E48" s="60"/>
    </row>
    <row r="49" spans="2:5">
      <c r="B49" s="61" t="s">
        <v>3273</v>
      </c>
      <c r="C49" s="41" t="s">
        <v>2935</v>
      </c>
      <c r="D49" s="60"/>
      <c r="E49" s="60"/>
    </row>
    <row r="50" spans="2:5">
      <c r="B50" s="62" t="s">
        <v>3274</v>
      </c>
      <c r="C50" s="41" t="s">
        <v>2937</v>
      </c>
      <c r="D50" s="60"/>
      <c r="E50" s="60"/>
    </row>
    <row r="51" spans="2:5">
      <c r="B51" s="62" t="s">
        <v>3275</v>
      </c>
      <c r="C51" s="41" t="s">
        <v>2939</v>
      </c>
      <c r="D51" s="60"/>
      <c r="E51" s="60"/>
    </row>
    <row r="52" spans="2:5">
      <c r="B52" s="61" t="s">
        <v>3276</v>
      </c>
      <c r="C52" s="41" t="s">
        <v>2941</v>
      </c>
      <c r="D52" s="60"/>
      <c r="E52" s="60"/>
    </row>
    <row r="53" spans="2:5">
      <c r="B53" s="62" t="s">
        <v>3277</v>
      </c>
      <c r="C53" s="41" t="s">
        <v>2943</v>
      </c>
      <c r="D53" s="60"/>
      <c r="E53" s="60"/>
    </row>
    <row r="54" spans="2:5">
      <c r="B54" s="62" t="s">
        <v>3278</v>
      </c>
      <c r="C54" s="41" t="s">
        <v>2945</v>
      </c>
      <c r="D54" s="60"/>
      <c r="E54" s="60"/>
    </row>
    <row r="55" spans="2:5">
      <c r="B55" s="61" t="s">
        <v>3279</v>
      </c>
      <c r="C55" s="41" t="s">
        <v>2947</v>
      </c>
      <c r="D55" s="60"/>
      <c r="E55" s="60"/>
    </row>
    <row r="56" spans="2:5">
      <c r="B56" s="49" t="s">
        <v>3280</v>
      </c>
      <c r="C56" s="41" t="s">
        <v>2949</v>
      </c>
      <c r="D56" s="60"/>
      <c r="E56" s="60"/>
    </row>
    <row r="57" spans="2:5">
      <c r="B57" s="49" t="s">
        <v>3281</v>
      </c>
      <c r="C57" s="41" t="s">
        <v>2951</v>
      </c>
      <c r="D57" s="60"/>
      <c r="E57" s="60"/>
    </row>
    <row r="58" spans="2:5">
      <c r="B58" s="49" t="s">
        <v>3282</v>
      </c>
      <c r="C58" s="41" t="s">
        <v>2953</v>
      </c>
      <c r="D58" s="60"/>
      <c r="E58" s="60"/>
    </row>
    <row r="59" spans="2:5">
      <c r="B59" s="49" t="s">
        <v>3283</v>
      </c>
      <c r="C59" s="41" t="s">
        <v>2955</v>
      </c>
      <c r="D59" s="60"/>
      <c r="E59" s="60"/>
    </row>
    <row r="60" spans="2:5">
      <c r="B60" s="49" t="s">
        <v>3286</v>
      </c>
      <c r="C60" s="41" t="s">
        <v>2961</v>
      </c>
      <c r="D60" s="60"/>
      <c r="E60" s="60"/>
    </row>
    <row r="61" spans="2:5">
      <c r="B61" s="49" t="s">
        <v>3287</v>
      </c>
      <c r="C61" s="41" t="s">
        <v>2963</v>
      </c>
      <c r="D61" s="60"/>
      <c r="E61" s="60"/>
    </row>
    <row r="62" spans="2:5">
      <c r="B62" s="49" t="s">
        <v>3288</v>
      </c>
      <c r="C62" s="41" t="s">
        <v>2977</v>
      </c>
      <c r="D62" s="63"/>
      <c r="E62" s="63"/>
    </row>
    <row r="63" spans="2:5">
      <c r="B63" s="47" t="s">
        <v>2389</v>
      </c>
      <c r="C63" s="44" t="s">
        <v>2878</v>
      </c>
      <c r="D63" s="56"/>
      <c r="E63" s="57"/>
    </row>
    <row r="64" spans="2:5">
      <c r="B64" s="49" t="s">
        <v>3289</v>
      </c>
      <c r="C64" s="41" t="s">
        <v>2979</v>
      </c>
      <c r="D64" s="60"/>
      <c r="E64" s="60"/>
    </row>
    <row r="65" spans="2:5">
      <c r="B65" s="61" t="s">
        <v>3290</v>
      </c>
      <c r="C65" s="41" t="s">
        <v>2981</v>
      </c>
      <c r="D65" s="60"/>
      <c r="E65" s="63"/>
    </row>
    <row r="66" spans="2:5">
      <c r="B66" s="62" t="s">
        <v>3291</v>
      </c>
      <c r="C66" s="41" t="s">
        <v>2983</v>
      </c>
      <c r="D66" s="64"/>
      <c r="E66" s="48"/>
    </row>
    <row r="67" spans="2:5">
      <c r="B67" s="62" t="s">
        <v>3292</v>
      </c>
      <c r="C67" s="41" t="s">
        <v>2985</v>
      </c>
      <c r="D67" s="64"/>
      <c r="E67" s="48"/>
    </row>
    <row r="68" spans="2:5">
      <c r="B68" s="62" t="s">
        <v>3293</v>
      </c>
      <c r="C68" s="41" t="s">
        <v>2987</v>
      </c>
      <c r="D68" s="64"/>
      <c r="E68" s="46"/>
    </row>
    <row r="69" spans="2:5">
      <c r="B69" s="61" t="s">
        <v>3294</v>
      </c>
      <c r="C69" s="41" t="s">
        <v>2989</v>
      </c>
      <c r="D69" s="60"/>
      <c r="E69" s="63"/>
    </row>
    <row r="70" spans="2:5">
      <c r="B70" s="62" t="s">
        <v>3291</v>
      </c>
      <c r="C70" s="41" t="s">
        <v>2991</v>
      </c>
      <c r="D70" s="64"/>
      <c r="E70" s="48"/>
    </row>
    <row r="71" spans="2:5">
      <c r="B71" s="62" t="s">
        <v>3292</v>
      </c>
      <c r="C71" s="41" t="s">
        <v>2993</v>
      </c>
      <c r="D71" s="64"/>
      <c r="E71" s="48"/>
    </row>
    <row r="72" spans="2:5">
      <c r="B72" s="62" t="s">
        <v>3293</v>
      </c>
      <c r="C72" s="41" t="s">
        <v>2995</v>
      </c>
      <c r="D72" s="64"/>
      <c r="E72" s="46"/>
    </row>
    <row r="73" spans="2:5">
      <c r="B73" s="49" t="s">
        <v>3295</v>
      </c>
      <c r="C73" s="41" t="s">
        <v>2997</v>
      </c>
      <c r="D73" s="60"/>
      <c r="E73" s="60"/>
    </row>
    <row r="74" spans="2:5">
      <c r="B74" s="61" t="s">
        <v>3296</v>
      </c>
      <c r="C74" s="41" t="s">
        <v>2999</v>
      </c>
      <c r="D74" s="60"/>
      <c r="E74" s="63"/>
    </row>
    <row r="75" spans="2:5">
      <c r="B75" s="62" t="s">
        <v>3291</v>
      </c>
      <c r="C75" s="41" t="s">
        <v>3001</v>
      </c>
      <c r="D75" s="64"/>
      <c r="E75" s="48"/>
    </row>
    <row r="76" spans="2:5">
      <c r="B76" s="62" t="s">
        <v>3292</v>
      </c>
      <c r="C76" s="41" t="s">
        <v>3003</v>
      </c>
      <c r="D76" s="64"/>
      <c r="E76" s="48"/>
    </row>
    <row r="77" spans="2:5">
      <c r="B77" s="62" t="s">
        <v>3293</v>
      </c>
      <c r="C77" s="41" t="s">
        <v>3005</v>
      </c>
      <c r="D77" s="64"/>
      <c r="E77" s="46"/>
    </row>
    <row r="78" spans="2:5">
      <c r="B78" s="61" t="s">
        <v>3297</v>
      </c>
      <c r="C78" s="41" t="s">
        <v>3007</v>
      </c>
      <c r="D78" s="60"/>
      <c r="E78" s="63"/>
    </row>
    <row r="79" spans="2:5">
      <c r="B79" s="62" t="s">
        <v>3291</v>
      </c>
      <c r="C79" s="41" t="s">
        <v>3009</v>
      </c>
      <c r="D79" s="64"/>
      <c r="E79" s="48"/>
    </row>
    <row r="80" spans="2:5">
      <c r="B80" s="62" t="s">
        <v>3292</v>
      </c>
      <c r="C80" s="41" t="s">
        <v>3011</v>
      </c>
      <c r="D80" s="64"/>
      <c r="E80" s="48"/>
    </row>
    <row r="81" spans="2:5">
      <c r="B81" s="62" t="s">
        <v>3293</v>
      </c>
      <c r="C81" s="41" t="s">
        <v>3013</v>
      </c>
      <c r="D81" s="64"/>
      <c r="E81" s="46"/>
    </row>
    <row r="82" spans="2:5">
      <c r="B82" s="49" t="s">
        <v>3298</v>
      </c>
      <c r="C82" s="41" t="s">
        <v>3015</v>
      </c>
      <c r="D82" s="60"/>
      <c r="E82" s="63"/>
    </row>
    <row r="83" spans="2:5">
      <c r="B83" s="61" t="s">
        <v>3291</v>
      </c>
      <c r="C83" s="41" t="s">
        <v>3064</v>
      </c>
      <c r="D83" s="64"/>
      <c r="E83" s="48"/>
    </row>
    <row r="84" spans="2:5">
      <c r="B84" s="61" t="s">
        <v>3292</v>
      </c>
      <c r="C84" s="41" t="s">
        <v>3066</v>
      </c>
      <c r="D84" s="64"/>
      <c r="E84" s="48"/>
    </row>
    <row r="85" spans="2:5">
      <c r="B85" s="61" t="s">
        <v>3293</v>
      </c>
      <c r="C85" s="41" t="s">
        <v>3068</v>
      </c>
      <c r="D85" s="65"/>
      <c r="E85" s="46"/>
    </row>
    <row r="86" spans="2:5">
      <c r="B86" s="49" t="s">
        <v>3299</v>
      </c>
      <c r="C86" s="44" t="s">
        <v>3070</v>
      </c>
      <c r="D86" s="46"/>
      <c r="E86" s="60"/>
    </row>
    <row r="87" spans="2:5">
      <c r="B87" s="49" t="s">
        <v>2698</v>
      </c>
      <c r="C87" s="41" t="s">
        <v>3017</v>
      </c>
      <c r="D87" s="60"/>
      <c r="E87" s="60"/>
    </row>
    <row r="88" spans="2:5">
      <c r="B88" s="49" t="s">
        <v>3300</v>
      </c>
      <c r="C88" s="41" t="s">
        <v>3019</v>
      </c>
      <c r="D88" s="60"/>
      <c r="E88" s="60"/>
    </row>
    <row r="89" spans="2:5">
      <c r="B89" s="49" t="s">
        <v>3301</v>
      </c>
      <c r="C89" s="41" t="s">
        <v>3021</v>
      </c>
      <c r="D89" s="60"/>
      <c r="E89" s="60"/>
    </row>
    <row r="90" spans="2:5">
      <c r="B90" s="49" t="s">
        <v>3302</v>
      </c>
      <c r="C90" s="41" t="s">
        <v>3023</v>
      </c>
      <c r="D90" s="60"/>
      <c r="E90" s="60"/>
    </row>
    <row r="91" spans="2:5">
      <c r="B91" s="49" t="s">
        <v>3303</v>
      </c>
      <c r="C91" s="41" t="s">
        <v>3072</v>
      </c>
      <c r="D91" s="60"/>
      <c r="E91" s="60"/>
    </row>
    <row r="92" spans="2:5">
      <c r="B92" s="49" t="s">
        <v>2481</v>
      </c>
      <c r="C92" s="41" t="s">
        <v>3118</v>
      </c>
      <c r="D92" s="60"/>
      <c r="E92" s="60"/>
    </row>
    <row r="93" spans="2:5">
      <c r="B93" s="49" t="s">
        <v>3304</v>
      </c>
      <c r="C93" s="41" t="s">
        <v>3120</v>
      </c>
      <c r="D93" s="60"/>
      <c r="E93" s="60"/>
    </row>
    <row r="94" spans="2:5">
      <c r="B94" s="49" t="s">
        <v>3305</v>
      </c>
      <c r="C94" s="41" t="s">
        <v>3122</v>
      </c>
      <c r="D94" s="60"/>
      <c r="E94" s="60"/>
    </row>
    <row r="95" spans="2:5">
      <c r="B95" s="49" t="s">
        <v>3306</v>
      </c>
      <c r="C95" s="41" t="s">
        <v>3124</v>
      </c>
      <c r="D95" s="60"/>
      <c r="E95" s="60"/>
    </row>
    <row r="96" spans="2:5">
      <c r="B96" s="49" t="s">
        <v>3307</v>
      </c>
      <c r="C96" s="41" t="s">
        <v>3126</v>
      </c>
      <c r="D96" s="60"/>
      <c r="E96" s="60"/>
    </row>
    <row r="97" spans="2:11">
      <c r="B97" s="49" t="s">
        <v>3308</v>
      </c>
      <c r="C97" s="41" t="s">
        <v>3128</v>
      </c>
      <c r="D97" s="60"/>
      <c r="E97" s="60"/>
    </row>
    <row r="98" spans="2:11">
      <c r="B98" s="49" t="s">
        <v>3312</v>
      </c>
      <c r="C98" s="41" t="s">
        <v>3136</v>
      </c>
      <c r="D98" s="60"/>
      <c r="E98" s="60"/>
    </row>
    <row r="99" spans="2:11">
      <c r="B99" s="49" t="s">
        <v>3313</v>
      </c>
      <c r="C99" s="41" t="s">
        <v>3140</v>
      </c>
      <c r="D99" s="60"/>
      <c r="E99" s="60"/>
    </row>
    <row r="100" spans="2:11">
      <c r="B100" s="47" t="s">
        <v>3314</v>
      </c>
      <c r="C100" s="41" t="s">
        <v>3315</v>
      </c>
      <c r="D100" s="60"/>
      <c r="E100" s="60"/>
    </row>
    <row r="102" spans="2:11">
      <c r="J102" s="13" t="str">
        <f>Show!$B$31&amp;Show!$B$31&amp;"SR.02.01.07.01 Rows {"&amp;COLUMN($C$1)&amp;"}"</f>
        <v>!!SR.02.01.07.01 Rows {3}</v>
      </c>
      <c r="K102" s="13" t="str">
        <f>Show!$B$31&amp;Show!$B$31&amp;"SR.02.01.07.01 Columns {"&amp;COLUMN($E$1)&amp;"}"</f>
        <v>!!SR.02.01.07.01 Columns {5}</v>
      </c>
    </row>
  </sheetData>
  <sheetProtection sheet="1" objects="1" scenarios="1"/>
  <mergeCells count="5">
    <mergeCell ref="B2:O2"/>
    <mergeCell ref="B5:L5"/>
    <mergeCell ref="D13:E14"/>
    <mergeCell ref="D15:D18"/>
    <mergeCell ref="E15:E18"/>
  </mergeCells>
  <dataValidations count="1">
    <dataValidation type="list" errorStyle="warning" allowBlank="1" showInputMessage="1" showErrorMessage="1" sqref="D9" xr:uid="{B54F575F-5F8E-47A7-B342-67024E740F04}">
      <formula1>hier_PU_30</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ED03-C89C-4E4A-A31B-760BBC51C4A1}">
  <sheetPr codeName="Blad36"/>
  <dimension ref="B2:O111"/>
  <sheetViews>
    <sheetView showGridLines="0" workbookViewId="0"/>
  </sheetViews>
  <sheetFormatPr defaultRowHeight="15"/>
  <cols>
    <col min="2" max="2" width="83.7109375" bestFit="1" customWidth="1"/>
    <col min="4" max="6" width="15.7109375" customWidth="1"/>
  </cols>
  <sheetData>
    <row r="2" spans="2:15" ht="23.25">
      <c r="B2" s="95" t="s">
        <v>551</v>
      </c>
      <c r="C2" s="96"/>
      <c r="D2" s="96"/>
      <c r="E2" s="96"/>
      <c r="F2" s="96"/>
      <c r="G2" s="96"/>
      <c r="H2" s="96"/>
      <c r="I2" s="96"/>
      <c r="J2" s="96"/>
      <c r="K2" s="96"/>
      <c r="L2" s="96"/>
      <c r="M2" s="96"/>
      <c r="N2" s="96"/>
      <c r="O2" s="96"/>
    </row>
    <row r="5" spans="2:15" ht="18.75">
      <c r="B5" s="97" t="s">
        <v>3326</v>
      </c>
      <c r="C5" s="96"/>
      <c r="D5" s="96"/>
      <c r="E5" s="96"/>
      <c r="F5" s="96"/>
      <c r="G5" s="96"/>
      <c r="H5" s="96"/>
      <c r="I5" s="96"/>
      <c r="J5" s="96"/>
      <c r="K5" s="96"/>
      <c r="L5" s="96"/>
    </row>
    <row r="9" spans="2:15">
      <c r="D9" s="101" t="s">
        <v>2877</v>
      </c>
      <c r="E9" s="102"/>
      <c r="F9" s="103"/>
    </row>
    <row r="10" spans="2:15">
      <c r="D10" s="104"/>
      <c r="E10" s="105"/>
      <c r="F10" s="106"/>
    </row>
    <row r="11" spans="2:15">
      <c r="D11" s="98" t="s">
        <v>3250</v>
      </c>
      <c r="E11" s="98" t="s">
        <v>3251</v>
      </c>
      <c r="F11" s="98" t="s">
        <v>3327</v>
      </c>
    </row>
    <row r="12" spans="2:15">
      <c r="D12" s="99"/>
      <c r="E12" s="99"/>
      <c r="F12" s="99"/>
    </row>
    <row r="13" spans="2:15">
      <c r="D13" s="99"/>
      <c r="E13" s="99"/>
      <c r="F13" s="99"/>
    </row>
    <row r="14" spans="2:15">
      <c r="D14" s="100"/>
      <c r="E14" s="100"/>
      <c r="F14" s="100"/>
    </row>
    <row r="15" spans="2:15">
      <c r="D15" s="45" t="s">
        <v>2879</v>
      </c>
      <c r="E15" s="45" t="s">
        <v>3219</v>
      </c>
      <c r="F15" s="45" t="s">
        <v>3328</v>
      </c>
      <c r="K15" s="13" t="str">
        <f>Show!$B$32&amp;"SE.02.01.16.01 Rows {"&amp;COLUMN($C$1)&amp;"}"&amp;"@ForceFilingCode:true"</f>
        <v>!SE.02.01.16.01 Rows {3}@ForceFilingCode:true</v>
      </c>
      <c r="L15" s="13" t="str">
        <f>Show!$B$32&amp;"SE.02.01.16.01 Columns {"&amp;COLUMN($D$1)&amp;"}"</f>
        <v>!SE.02.01.16.01 Columns {4}</v>
      </c>
    </row>
    <row r="16" spans="2:15">
      <c r="B16" s="43" t="s">
        <v>2880</v>
      </c>
      <c r="C16" s="44" t="s">
        <v>2878</v>
      </c>
      <c r="D16" s="58"/>
      <c r="E16" s="67"/>
      <c r="F16" s="59"/>
    </row>
    <row r="17" spans="2:6">
      <c r="B17" s="47" t="s">
        <v>3252</v>
      </c>
      <c r="C17" s="44" t="s">
        <v>2878</v>
      </c>
      <c r="D17" s="58"/>
      <c r="E17" s="66"/>
      <c r="F17" s="59"/>
    </row>
    <row r="18" spans="2:6">
      <c r="B18" s="49" t="s">
        <v>3253</v>
      </c>
      <c r="C18" s="44" t="s">
        <v>2883</v>
      </c>
      <c r="D18" s="48"/>
      <c r="E18" s="64"/>
      <c r="F18" s="48"/>
    </row>
    <row r="19" spans="2:6">
      <c r="B19" s="49" t="s">
        <v>3254</v>
      </c>
      <c r="C19" s="44" t="s">
        <v>2885</v>
      </c>
      <c r="D19" s="46"/>
      <c r="E19" s="64"/>
      <c r="F19" s="46"/>
    </row>
    <row r="20" spans="2:6">
      <c r="B20" s="49" t="s">
        <v>3255</v>
      </c>
      <c r="C20" s="41" t="s">
        <v>2887</v>
      </c>
      <c r="D20" s="60"/>
      <c r="E20" s="60"/>
      <c r="F20" s="60"/>
    </row>
    <row r="21" spans="2:6">
      <c r="B21" s="49" t="s">
        <v>3256</v>
      </c>
      <c r="C21" s="41" t="s">
        <v>2889</v>
      </c>
      <c r="D21" s="60"/>
      <c r="E21" s="60"/>
      <c r="F21" s="60"/>
    </row>
    <row r="22" spans="2:6">
      <c r="B22" s="49" t="s">
        <v>3257</v>
      </c>
      <c r="C22" s="41" t="s">
        <v>3078</v>
      </c>
      <c r="D22" s="60"/>
      <c r="E22" s="60"/>
      <c r="F22" s="60"/>
    </row>
    <row r="23" spans="2:6">
      <c r="B23" s="49" t="s">
        <v>3258</v>
      </c>
      <c r="C23" s="41" t="s">
        <v>2891</v>
      </c>
      <c r="D23" s="60"/>
      <c r="E23" s="60"/>
      <c r="F23" s="60"/>
    </row>
    <row r="24" spans="2:6">
      <c r="B24" s="49" t="s">
        <v>3259</v>
      </c>
      <c r="C24" s="41" t="s">
        <v>2893</v>
      </c>
      <c r="D24" s="60"/>
      <c r="E24" s="60"/>
      <c r="F24" s="60"/>
    </row>
    <row r="25" spans="2:6">
      <c r="B25" s="61" t="s">
        <v>3260</v>
      </c>
      <c r="C25" s="41" t="s">
        <v>2895</v>
      </c>
      <c r="D25" s="60"/>
      <c r="E25" s="60"/>
      <c r="F25" s="60"/>
    </row>
    <row r="26" spans="2:6">
      <c r="B26" s="61" t="s">
        <v>3261</v>
      </c>
      <c r="C26" s="41" t="s">
        <v>2897</v>
      </c>
      <c r="D26" s="60"/>
      <c r="E26" s="60"/>
      <c r="F26" s="60"/>
    </row>
    <row r="27" spans="2:6">
      <c r="B27" s="61" t="s">
        <v>2480</v>
      </c>
      <c r="C27" s="41" t="s">
        <v>2899</v>
      </c>
      <c r="D27" s="60"/>
      <c r="E27" s="60"/>
      <c r="F27" s="60"/>
    </row>
    <row r="28" spans="2:6">
      <c r="B28" s="62" t="s">
        <v>3262</v>
      </c>
      <c r="C28" s="41" t="s">
        <v>2901</v>
      </c>
      <c r="D28" s="60"/>
      <c r="E28" s="60"/>
      <c r="F28" s="60"/>
    </row>
    <row r="29" spans="2:6">
      <c r="B29" s="62" t="s">
        <v>3263</v>
      </c>
      <c r="C29" s="41" t="s">
        <v>2903</v>
      </c>
      <c r="D29" s="60"/>
      <c r="E29" s="60"/>
      <c r="F29" s="60"/>
    </row>
    <row r="30" spans="2:6">
      <c r="B30" s="61" t="s">
        <v>3264</v>
      </c>
      <c r="C30" s="41" t="s">
        <v>2905</v>
      </c>
      <c r="D30" s="60"/>
      <c r="E30" s="60"/>
      <c r="F30" s="60"/>
    </row>
    <row r="31" spans="2:6">
      <c r="B31" s="62" t="s">
        <v>2372</v>
      </c>
      <c r="C31" s="41" t="s">
        <v>2907</v>
      </c>
      <c r="D31" s="60"/>
      <c r="E31" s="60"/>
      <c r="F31" s="60"/>
    </row>
    <row r="32" spans="2:6">
      <c r="B32" s="62" t="s">
        <v>2373</v>
      </c>
      <c r="C32" s="41" t="s">
        <v>2909</v>
      </c>
      <c r="D32" s="60"/>
      <c r="E32" s="60"/>
      <c r="F32" s="60"/>
    </row>
    <row r="33" spans="2:6">
      <c r="B33" s="62" t="s">
        <v>2377</v>
      </c>
      <c r="C33" s="41" t="s">
        <v>2911</v>
      </c>
      <c r="D33" s="60"/>
      <c r="E33" s="60"/>
      <c r="F33" s="60"/>
    </row>
    <row r="34" spans="2:6">
      <c r="B34" s="62" t="s">
        <v>2378</v>
      </c>
      <c r="C34" s="41" t="s">
        <v>2913</v>
      </c>
      <c r="D34" s="60"/>
      <c r="E34" s="60"/>
      <c r="F34" s="60"/>
    </row>
    <row r="35" spans="2:6">
      <c r="B35" s="61" t="s">
        <v>3265</v>
      </c>
      <c r="C35" s="41" t="s">
        <v>2915</v>
      </c>
      <c r="D35" s="60"/>
      <c r="E35" s="60"/>
      <c r="F35" s="60"/>
    </row>
    <row r="36" spans="2:6">
      <c r="B36" s="61" t="s">
        <v>2481</v>
      </c>
      <c r="C36" s="41" t="s">
        <v>2917</v>
      </c>
      <c r="D36" s="60"/>
      <c r="E36" s="60"/>
      <c r="F36" s="60"/>
    </row>
    <row r="37" spans="2:6">
      <c r="B37" s="61" t="s">
        <v>3266</v>
      </c>
      <c r="C37" s="41" t="s">
        <v>2919</v>
      </c>
      <c r="D37" s="60"/>
      <c r="E37" s="60"/>
      <c r="F37" s="60"/>
    </row>
    <row r="38" spans="2:6">
      <c r="B38" s="61" t="s">
        <v>2382</v>
      </c>
      <c r="C38" s="41" t="s">
        <v>2921</v>
      </c>
      <c r="D38" s="60"/>
      <c r="E38" s="60"/>
      <c r="F38" s="60"/>
    </row>
    <row r="39" spans="2:6">
      <c r="B39" s="49" t="s">
        <v>3267</v>
      </c>
      <c r="C39" s="41" t="s">
        <v>2923</v>
      </c>
      <c r="D39" s="60"/>
      <c r="E39" s="60"/>
      <c r="F39" s="60"/>
    </row>
    <row r="40" spans="2:6">
      <c r="B40" s="49" t="s">
        <v>3268</v>
      </c>
      <c r="C40" s="41" t="s">
        <v>2925</v>
      </c>
      <c r="D40" s="60"/>
      <c r="E40" s="60"/>
      <c r="F40" s="60"/>
    </row>
    <row r="41" spans="2:6">
      <c r="B41" s="61" t="s">
        <v>3269</v>
      </c>
      <c r="C41" s="41" t="s">
        <v>2927</v>
      </c>
      <c r="D41" s="60"/>
      <c r="E41" s="60"/>
      <c r="F41" s="60"/>
    </row>
    <row r="42" spans="2:6">
      <c r="B42" s="61" t="s">
        <v>3270</v>
      </c>
      <c r="C42" s="41" t="s">
        <v>2929</v>
      </c>
      <c r="D42" s="60"/>
      <c r="E42" s="60"/>
      <c r="F42" s="60"/>
    </row>
    <row r="43" spans="2:6">
      <c r="B43" s="61" t="s">
        <v>3271</v>
      </c>
      <c r="C43" s="41" t="s">
        <v>2931</v>
      </c>
      <c r="D43" s="60"/>
      <c r="E43" s="60"/>
      <c r="F43" s="60"/>
    </row>
    <row r="44" spans="2:6">
      <c r="B44" s="49" t="s">
        <v>3272</v>
      </c>
      <c r="C44" s="41" t="s">
        <v>2933</v>
      </c>
      <c r="D44" s="60"/>
      <c r="E44" s="60"/>
      <c r="F44" s="63"/>
    </row>
    <row r="45" spans="2:6">
      <c r="B45" s="61" t="s">
        <v>3273</v>
      </c>
      <c r="C45" s="41" t="s">
        <v>2935</v>
      </c>
      <c r="D45" s="60"/>
      <c r="E45" s="64"/>
      <c r="F45" s="48"/>
    </row>
    <row r="46" spans="2:6">
      <c r="B46" s="62" t="s">
        <v>3274</v>
      </c>
      <c r="C46" s="41" t="s">
        <v>2937</v>
      </c>
      <c r="D46" s="60"/>
      <c r="E46" s="64"/>
      <c r="F46" s="48"/>
    </row>
    <row r="47" spans="2:6">
      <c r="B47" s="62" t="s">
        <v>3275</v>
      </c>
      <c r="C47" s="41" t="s">
        <v>2939</v>
      </c>
      <c r="D47" s="60"/>
      <c r="E47" s="64"/>
      <c r="F47" s="48"/>
    </row>
    <row r="48" spans="2:6">
      <c r="B48" s="61" t="s">
        <v>3276</v>
      </c>
      <c r="C48" s="41" t="s">
        <v>2941</v>
      </c>
      <c r="D48" s="60"/>
      <c r="E48" s="64"/>
      <c r="F48" s="48"/>
    </row>
    <row r="49" spans="2:6">
      <c r="B49" s="62" t="s">
        <v>3277</v>
      </c>
      <c r="C49" s="41" t="s">
        <v>2943</v>
      </c>
      <c r="D49" s="60"/>
      <c r="E49" s="64"/>
      <c r="F49" s="48"/>
    </row>
    <row r="50" spans="2:6">
      <c r="B50" s="62" t="s">
        <v>3278</v>
      </c>
      <c r="C50" s="41" t="s">
        <v>2945</v>
      </c>
      <c r="D50" s="60"/>
      <c r="E50" s="64"/>
      <c r="F50" s="48"/>
    </row>
    <row r="51" spans="2:6">
      <c r="B51" s="61" t="s">
        <v>3279</v>
      </c>
      <c r="C51" s="41" t="s">
        <v>2947</v>
      </c>
      <c r="D51" s="60"/>
      <c r="E51" s="64"/>
      <c r="F51" s="46"/>
    </row>
    <row r="52" spans="2:6">
      <c r="B52" s="49" t="s">
        <v>3280</v>
      </c>
      <c r="C52" s="41" t="s">
        <v>2949</v>
      </c>
      <c r="D52" s="60"/>
      <c r="E52" s="60"/>
      <c r="F52" s="60"/>
    </row>
    <row r="53" spans="2:6">
      <c r="B53" s="49" t="s">
        <v>3281</v>
      </c>
      <c r="C53" s="41" t="s">
        <v>2951</v>
      </c>
      <c r="D53" s="60"/>
      <c r="E53" s="60"/>
      <c r="F53" s="60"/>
    </row>
    <row r="54" spans="2:6">
      <c r="B54" s="49" t="s">
        <v>3282</v>
      </c>
      <c r="C54" s="41" t="s">
        <v>2953</v>
      </c>
      <c r="D54" s="60"/>
      <c r="E54" s="60"/>
      <c r="F54" s="60"/>
    </row>
    <row r="55" spans="2:6">
      <c r="B55" s="49" t="s">
        <v>3283</v>
      </c>
      <c r="C55" s="41" t="s">
        <v>2955</v>
      </c>
      <c r="D55" s="60"/>
      <c r="E55" s="60"/>
      <c r="F55" s="60"/>
    </row>
    <row r="56" spans="2:6">
      <c r="B56" s="49" t="s">
        <v>3284</v>
      </c>
      <c r="C56" s="41" t="s">
        <v>2957</v>
      </c>
      <c r="D56" s="60"/>
      <c r="E56" s="60"/>
      <c r="F56" s="60"/>
    </row>
    <row r="57" spans="2:6">
      <c r="B57" s="49" t="s">
        <v>3285</v>
      </c>
      <c r="C57" s="41" t="s">
        <v>2959</v>
      </c>
      <c r="D57" s="60"/>
      <c r="E57" s="60"/>
      <c r="F57" s="60"/>
    </row>
    <row r="58" spans="2:6">
      <c r="B58" s="49" t="s">
        <v>3286</v>
      </c>
      <c r="C58" s="41" t="s">
        <v>2961</v>
      </c>
      <c r="D58" s="60"/>
      <c r="E58" s="60"/>
      <c r="F58" s="60"/>
    </row>
    <row r="59" spans="2:6">
      <c r="B59" s="49" t="s">
        <v>3287</v>
      </c>
      <c r="C59" s="41" t="s">
        <v>2963</v>
      </c>
      <c r="D59" s="60"/>
      <c r="E59" s="60"/>
      <c r="F59" s="60"/>
    </row>
    <row r="60" spans="2:6">
      <c r="B60" s="49" t="s">
        <v>3288</v>
      </c>
      <c r="C60" s="41" t="s">
        <v>2977</v>
      </c>
      <c r="D60" s="63"/>
      <c r="E60" s="63"/>
      <c r="F60" s="63"/>
    </row>
    <row r="61" spans="2:6">
      <c r="B61" s="47" t="s">
        <v>2389</v>
      </c>
      <c r="C61" s="44" t="s">
        <v>2878</v>
      </c>
      <c r="D61" s="56"/>
      <c r="E61" s="66"/>
      <c r="F61" s="57"/>
    </row>
    <row r="62" spans="2:6">
      <c r="B62" s="49" t="s">
        <v>3289</v>
      </c>
      <c r="C62" s="41" t="s">
        <v>2979</v>
      </c>
      <c r="D62" s="60"/>
      <c r="E62" s="60"/>
      <c r="F62" s="63"/>
    </row>
    <row r="63" spans="2:6">
      <c r="B63" s="61" t="s">
        <v>3290</v>
      </c>
      <c r="C63" s="41" t="s">
        <v>2981</v>
      </c>
      <c r="D63" s="60"/>
      <c r="E63" s="65"/>
      <c r="F63" s="48"/>
    </row>
    <row r="64" spans="2:6">
      <c r="B64" s="62" t="s">
        <v>3291</v>
      </c>
      <c r="C64" s="41" t="s">
        <v>2983</v>
      </c>
      <c r="D64" s="64"/>
      <c r="E64" s="58"/>
      <c r="F64" s="48"/>
    </row>
    <row r="65" spans="2:6">
      <c r="B65" s="62" t="s">
        <v>3292</v>
      </c>
      <c r="C65" s="41" t="s">
        <v>2985</v>
      </c>
      <c r="D65" s="64"/>
      <c r="E65" s="58"/>
      <c r="F65" s="48"/>
    </row>
    <row r="66" spans="2:6">
      <c r="B66" s="62" t="s">
        <v>3293</v>
      </c>
      <c r="C66" s="41" t="s">
        <v>2987</v>
      </c>
      <c r="D66" s="64"/>
      <c r="E66" s="56"/>
      <c r="F66" s="48"/>
    </row>
    <row r="67" spans="2:6">
      <c r="B67" s="61" t="s">
        <v>3294</v>
      </c>
      <c r="C67" s="41" t="s">
        <v>2989</v>
      </c>
      <c r="D67" s="60"/>
      <c r="E67" s="65"/>
      <c r="F67" s="48"/>
    </row>
    <row r="68" spans="2:6">
      <c r="B68" s="62" t="s">
        <v>3291</v>
      </c>
      <c r="C68" s="41" t="s">
        <v>2991</v>
      </c>
      <c r="D68" s="64"/>
      <c r="E68" s="58"/>
      <c r="F68" s="48"/>
    </row>
    <row r="69" spans="2:6">
      <c r="B69" s="62" t="s">
        <v>3292</v>
      </c>
      <c r="C69" s="41" t="s">
        <v>2993</v>
      </c>
      <c r="D69" s="64"/>
      <c r="E69" s="58"/>
      <c r="F69" s="48"/>
    </row>
    <row r="70" spans="2:6">
      <c r="B70" s="62" t="s">
        <v>3293</v>
      </c>
      <c r="C70" s="41" t="s">
        <v>2995</v>
      </c>
      <c r="D70" s="64"/>
      <c r="E70" s="56"/>
      <c r="F70" s="46"/>
    </row>
    <row r="71" spans="2:6">
      <c r="B71" s="49" t="s">
        <v>3295</v>
      </c>
      <c r="C71" s="41" t="s">
        <v>2997</v>
      </c>
      <c r="D71" s="60"/>
      <c r="E71" s="60"/>
      <c r="F71" s="63"/>
    </row>
    <row r="72" spans="2:6">
      <c r="B72" s="61" t="s">
        <v>3296</v>
      </c>
      <c r="C72" s="41" t="s">
        <v>2999</v>
      </c>
      <c r="D72" s="60"/>
      <c r="E72" s="65"/>
      <c r="F72" s="48"/>
    </row>
    <row r="73" spans="2:6">
      <c r="B73" s="62" t="s">
        <v>3291</v>
      </c>
      <c r="C73" s="41" t="s">
        <v>3001</v>
      </c>
      <c r="D73" s="64"/>
      <c r="E73" s="58"/>
      <c r="F73" s="48"/>
    </row>
    <row r="74" spans="2:6">
      <c r="B74" s="62" t="s">
        <v>3292</v>
      </c>
      <c r="C74" s="41" t="s">
        <v>3003</v>
      </c>
      <c r="D74" s="64"/>
      <c r="E74" s="58"/>
      <c r="F74" s="48"/>
    </row>
    <row r="75" spans="2:6">
      <c r="B75" s="62" t="s">
        <v>3293</v>
      </c>
      <c r="C75" s="41" t="s">
        <v>3005</v>
      </c>
      <c r="D75" s="64"/>
      <c r="E75" s="56"/>
      <c r="F75" s="48"/>
    </row>
    <row r="76" spans="2:6">
      <c r="B76" s="61" t="s">
        <v>3297</v>
      </c>
      <c r="C76" s="41" t="s">
        <v>3007</v>
      </c>
      <c r="D76" s="60"/>
      <c r="E76" s="65"/>
      <c r="F76" s="48"/>
    </row>
    <row r="77" spans="2:6">
      <c r="B77" s="62" t="s">
        <v>3291</v>
      </c>
      <c r="C77" s="41" t="s">
        <v>3009</v>
      </c>
      <c r="D77" s="64"/>
      <c r="E77" s="58"/>
      <c r="F77" s="48"/>
    </row>
    <row r="78" spans="2:6">
      <c r="B78" s="62" t="s">
        <v>3292</v>
      </c>
      <c r="C78" s="41" t="s">
        <v>3011</v>
      </c>
      <c r="D78" s="64"/>
      <c r="E78" s="58"/>
      <c r="F78" s="48"/>
    </row>
    <row r="79" spans="2:6">
      <c r="B79" s="62" t="s">
        <v>3293</v>
      </c>
      <c r="C79" s="41" t="s">
        <v>3013</v>
      </c>
      <c r="D79" s="64"/>
      <c r="E79" s="56"/>
      <c r="F79" s="46"/>
    </row>
    <row r="80" spans="2:6">
      <c r="B80" s="49" t="s">
        <v>3298</v>
      </c>
      <c r="C80" s="41" t="s">
        <v>3015</v>
      </c>
      <c r="D80" s="60"/>
      <c r="E80" s="63"/>
      <c r="F80" s="63"/>
    </row>
    <row r="81" spans="2:6">
      <c r="B81" s="61" t="s">
        <v>3291</v>
      </c>
      <c r="C81" s="41" t="s">
        <v>3064</v>
      </c>
      <c r="D81" s="64"/>
      <c r="E81" s="58"/>
      <c r="F81" s="48"/>
    </row>
    <row r="82" spans="2:6">
      <c r="B82" s="61" t="s">
        <v>3292</v>
      </c>
      <c r="C82" s="41" t="s">
        <v>3066</v>
      </c>
      <c r="D82" s="64"/>
      <c r="E82" s="58"/>
      <c r="F82" s="48"/>
    </row>
    <row r="83" spans="2:6">
      <c r="B83" s="61" t="s">
        <v>3293</v>
      </c>
      <c r="C83" s="41" t="s">
        <v>3068</v>
      </c>
      <c r="D83" s="65"/>
      <c r="E83" s="56"/>
      <c r="F83" s="48"/>
    </row>
    <row r="84" spans="2:6">
      <c r="B84" s="49" t="s">
        <v>3299</v>
      </c>
      <c r="C84" s="44" t="s">
        <v>3070</v>
      </c>
      <c r="D84" s="46"/>
      <c r="E84" s="64"/>
      <c r="F84" s="46"/>
    </row>
    <row r="85" spans="2:6">
      <c r="B85" s="49" t="s">
        <v>2698</v>
      </c>
      <c r="C85" s="41" t="s">
        <v>3017</v>
      </c>
      <c r="D85" s="60"/>
      <c r="E85" s="60"/>
      <c r="F85" s="60"/>
    </row>
    <row r="86" spans="2:6">
      <c r="B86" s="49" t="s">
        <v>3300</v>
      </c>
      <c r="C86" s="41" t="s">
        <v>3019</v>
      </c>
      <c r="D86" s="60"/>
      <c r="E86" s="60"/>
      <c r="F86" s="60"/>
    </row>
    <row r="87" spans="2:6">
      <c r="B87" s="49" t="s">
        <v>3301</v>
      </c>
      <c r="C87" s="41" t="s">
        <v>3021</v>
      </c>
      <c r="D87" s="60"/>
      <c r="E87" s="60"/>
      <c r="F87" s="60"/>
    </row>
    <row r="88" spans="2:6">
      <c r="B88" s="49" t="s">
        <v>3302</v>
      </c>
      <c r="C88" s="41" t="s">
        <v>3023</v>
      </c>
      <c r="D88" s="60"/>
      <c r="E88" s="60"/>
      <c r="F88" s="60"/>
    </row>
    <row r="89" spans="2:6">
      <c r="B89" s="49" t="s">
        <v>3303</v>
      </c>
      <c r="C89" s="41" t="s">
        <v>3072</v>
      </c>
      <c r="D89" s="60"/>
      <c r="E89" s="60"/>
      <c r="F89" s="60"/>
    </row>
    <row r="90" spans="2:6">
      <c r="B90" s="49" t="s">
        <v>2481</v>
      </c>
      <c r="C90" s="41" t="s">
        <v>3118</v>
      </c>
      <c r="D90" s="60"/>
      <c r="E90" s="60"/>
      <c r="F90" s="60"/>
    </row>
    <row r="91" spans="2:6">
      <c r="B91" s="49" t="s">
        <v>3304</v>
      </c>
      <c r="C91" s="41" t="s">
        <v>3120</v>
      </c>
      <c r="D91" s="60"/>
      <c r="E91" s="63"/>
      <c r="F91" s="60"/>
    </row>
    <row r="92" spans="2:6">
      <c r="B92" s="61" t="s">
        <v>3329</v>
      </c>
      <c r="C92" s="41" t="s">
        <v>3330</v>
      </c>
      <c r="D92" s="64"/>
      <c r="E92" s="48"/>
      <c r="F92" s="60"/>
    </row>
    <row r="93" spans="2:6">
      <c r="B93" s="61" t="s">
        <v>3331</v>
      </c>
      <c r="C93" s="41" t="s">
        <v>3332</v>
      </c>
      <c r="D93" s="64"/>
      <c r="E93" s="48"/>
      <c r="F93" s="60"/>
    </row>
    <row r="94" spans="2:6">
      <c r="B94" s="61" t="s">
        <v>3333</v>
      </c>
      <c r="C94" s="41" t="s">
        <v>3334</v>
      </c>
      <c r="D94" s="64"/>
      <c r="E94" s="46"/>
      <c r="F94" s="60"/>
    </row>
    <row r="95" spans="2:6">
      <c r="B95" s="49" t="s">
        <v>3305</v>
      </c>
      <c r="C95" s="41" t="s">
        <v>3122</v>
      </c>
      <c r="D95" s="60"/>
      <c r="E95" s="63"/>
      <c r="F95" s="60"/>
    </row>
    <row r="96" spans="2:6">
      <c r="B96" s="61" t="s">
        <v>3335</v>
      </c>
      <c r="C96" s="41" t="s">
        <v>3336</v>
      </c>
      <c r="D96" s="64"/>
      <c r="E96" s="48"/>
      <c r="F96" s="60"/>
    </row>
    <row r="97" spans="2:12">
      <c r="B97" s="62" t="s">
        <v>3337</v>
      </c>
      <c r="C97" s="41" t="s">
        <v>3338</v>
      </c>
      <c r="D97" s="64"/>
      <c r="E97" s="48"/>
      <c r="F97" s="60"/>
    </row>
    <row r="98" spans="2:12">
      <c r="B98" s="62" t="s">
        <v>3339</v>
      </c>
      <c r="C98" s="41" t="s">
        <v>3340</v>
      </c>
      <c r="D98" s="64"/>
      <c r="E98" s="48"/>
      <c r="F98" s="60"/>
    </row>
    <row r="99" spans="2:12">
      <c r="B99" s="62" t="s">
        <v>3341</v>
      </c>
      <c r="C99" s="41" t="s">
        <v>3342</v>
      </c>
      <c r="D99" s="64"/>
      <c r="E99" s="48"/>
      <c r="F99" s="60"/>
    </row>
    <row r="100" spans="2:12">
      <c r="B100" s="61" t="s">
        <v>3343</v>
      </c>
      <c r="C100" s="41" t="s">
        <v>3344</v>
      </c>
      <c r="D100" s="64"/>
      <c r="E100" s="46"/>
      <c r="F100" s="60"/>
    </row>
    <row r="101" spans="2:12">
      <c r="B101" s="49" t="s">
        <v>3306</v>
      </c>
      <c r="C101" s="41" t="s">
        <v>3124</v>
      </c>
      <c r="D101" s="60"/>
      <c r="E101" s="60"/>
      <c r="F101" s="60"/>
    </row>
    <row r="102" spans="2:12">
      <c r="B102" s="49" t="s">
        <v>3307</v>
      </c>
      <c r="C102" s="41" t="s">
        <v>3126</v>
      </c>
      <c r="D102" s="60"/>
      <c r="E102" s="60"/>
      <c r="F102" s="60"/>
    </row>
    <row r="103" spans="2:12">
      <c r="B103" s="49" t="s">
        <v>3308</v>
      </c>
      <c r="C103" s="41" t="s">
        <v>3128</v>
      </c>
      <c r="D103" s="60"/>
      <c r="E103" s="60"/>
      <c r="F103" s="60"/>
    </row>
    <row r="104" spans="2:12">
      <c r="B104" s="49" t="s">
        <v>3309</v>
      </c>
      <c r="C104" s="41" t="s">
        <v>3130</v>
      </c>
      <c r="D104" s="60"/>
      <c r="E104" s="60"/>
      <c r="F104" s="60"/>
    </row>
    <row r="105" spans="2:12">
      <c r="B105" s="61" t="s">
        <v>3310</v>
      </c>
      <c r="C105" s="41" t="s">
        <v>3132</v>
      </c>
      <c r="D105" s="60"/>
      <c r="E105" s="60"/>
      <c r="F105" s="60"/>
    </row>
    <row r="106" spans="2:12">
      <c r="B106" s="61" t="s">
        <v>3311</v>
      </c>
      <c r="C106" s="41" t="s">
        <v>3134</v>
      </c>
      <c r="D106" s="60"/>
      <c r="E106" s="60"/>
      <c r="F106" s="60"/>
    </row>
    <row r="107" spans="2:12">
      <c r="B107" s="49" t="s">
        <v>3312</v>
      </c>
      <c r="C107" s="41" t="s">
        <v>3136</v>
      </c>
      <c r="D107" s="60"/>
      <c r="E107" s="60"/>
      <c r="F107" s="60"/>
    </row>
    <row r="108" spans="2:12">
      <c r="B108" s="49" t="s">
        <v>3313</v>
      </c>
      <c r="C108" s="41" t="s">
        <v>3140</v>
      </c>
      <c r="D108" s="60"/>
      <c r="E108" s="60"/>
      <c r="F108" s="60"/>
    </row>
    <row r="109" spans="2:12">
      <c r="B109" s="47" t="s">
        <v>3314</v>
      </c>
      <c r="C109" s="41" t="s">
        <v>3315</v>
      </c>
      <c r="D109" s="60"/>
      <c r="E109" s="60"/>
      <c r="F109" s="60"/>
    </row>
    <row r="111" spans="2:12">
      <c r="K111" s="13" t="str">
        <f>Show!$B$32&amp;Show!$B$32&amp;"SE.02.01.16.01 Rows {"&amp;COLUMN($C$1)&amp;"}"</f>
        <v>!!SE.02.01.16.01 Rows {3}</v>
      </c>
      <c r="L111" s="13" t="str">
        <f>Show!$B$32&amp;Show!$B$32&amp;"SE.02.01.16.01 Columns {"&amp;COLUMN($F$1)&amp;"}"</f>
        <v>!!SE.02.01.16.01 Columns {6}</v>
      </c>
    </row>
  </sheetData>
  <sheetProtection sheet="1" objects="1" scenarios="1"/>
  <mergeCells count="6">
    <mergeCell ref="B2:O2"/>
    <mergeCell ref="B5:L5"/>
    <mergeCell ref="D9:F10"/>
    <mergeCell ref="D11:D14"/>
    <mergeCell ref="E11:E14"/>
    <mergeCell ref="F11:F1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A6B7-A2E4-4716-B86B-4F6BAB1F7F11}">
  <sheetPr codeName="Blad37"/>
  <dimension ref="B2:O111"/>
  <sheetViews>
    <sheetView showGridLines="0" workbookViewId="0"/>
  </sheetViews>
  <sheetFormatPr defaultRowHeight="15"/>
  <cols>
    <col min="2" max="2" width="83.7109375" bestFit="1" customWidth="1"/>
    <col min="4" max="5" width="15.7109375" customWidth="1"/>
  </cols>
  <sheetData>
    <row r="2" spans="2:15" ht="23.25">
      <c r="B2" s="95" t="s">
        <v>553</v>
      </c>
      <c r="C2" s="96"/>
      <c r="D2" s="96"/>
      <c r="E2" s="96"/>
      <c r="F2" s="96"/>
      <c r="G2" s="96"/>
      <c r="H2" s="96"/>
      <c r="I2" s="96"/>
      <c r="J2" s="96"/>
      <c r="K2" s="96"/>
      <c r="L2" s="96"/>
      <c r="M2" s="96"/>
      <c r="N2" s="96"/>
      <c r="O2" s="96"/>
    </row>
    <row r="5" spans="2:15" ht="18.75">
      <c r="B5" s="97" t="s">
        <v>3345</v>
      </c>
      <c r="C5" s="96"/>
      <c r="D5" s="96"/>
      <c r="E5" s="96"/>
      <c r="F5" s="96"/>
      <c r="G5" s="96"/>
      <c r="H5" s="96"/>
      <c r="I5" s="96"/>
      <c r="J5" s="96"/>
      <c r="K5" s="96"/>
      <c r="L5" s="96"/>
    </row>
    <row r="9" spans="2:15">
      <c r="D9" s="101" t="s">
        <v>2877</v>
      </c>
      <c r="E9" s="103"/>
    </row>
    <row r="10" spans="2:15">
      <c r="D10" s="104"/>
      <c r="E10" s="106"/>
    </row>
    <row r="11" spans="2:15">
      <c r="D11" s="98" t="s">
        <v>3250</v>
      </c>
      <c r="E11" s="98" t="s">
        <v>3327</v>
      </c>
    </row>
    <row r="12" spans="2:15">
      <c r="D12" s="99"/>
      <c r="E12" s="99"/>
    </row>
    <row r="13" spans="2:15">
      <c r="D13" s="99"/>
      <c r="E13" s="99"/>
    </row>
    <row r="14" spans="2:15">
      <c r="D14" s="100"/>
      <c r="E14" s="100"/>
    </row>
    <row r="15" spans="2:15">
      <c r="D15" s="45" t="s">
        <v>2879</v>
      </c>
      <c r="E15" s="45" t="s">
        <v>3328</v>
      </c>
      <c r="J15" s="13" t="str">
        <f>Show!$B$33&amp;"SE.02.01.17.01 Rows {"&amp;COLUMN($C$1)&amp;"}"&amp;"@ForceFilingCode:true"</f>
        <v>!SE.02.01.17.01 Rows {3}@ForceFilingCode:true</v>
      </c>
      <c r="K15" s="13" t="str">
        <f>Show!$B$33&amp;"SE.02.01.17.01 Columns {"&amp;COLUMN($D$1)&amp;"}"</f>
        <v>!SE.02.01.17.01 Columns {4}</v>
      </c>
    </row>
    <row r="16" spans="2:15">
      <c r="B16" s="43" t="s">
        <v>2880</v>
      </c>
      <c r="C16" s="44" t="s">
        <v>2878</v>
      </c>
      <c r="D16" s="58"/>
      <c r="E16" s="59"/>
    </row>
    <row r="17" spans="2:5">
      <c r="B17" s="47" t="s">
        <v>3252</v>
      </c>
      <c r="C17" s="44" t="s">
        <v>2878</v>
      </c>
      <c r="D17" s="58"/>
      <c r="E17" s="59"/>
    </row>
    <row r="18" spans="2:5">
      <c r="B18" s="49" t="s">
        <v>3253</v>
      </c>
      <c r="C18" s="44" t="s">
        <v>2883</v>
      </c>
      <c r="D18" s="58"/>
      <c r="E18" s="48"/>
    </row>
    <row r="19" spans="2:5">
      <c r="B19" s="49" t="s">
        <v>3254</v>
      </c>
      <c r="C19" s="44" t="s">
        <v>2885</v>
      </c>
      <c r="D19" s="56"/>
      <c r="E19" s="46"/>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3"/>
    </row>
    <row r="45" spans="2:5">
      <c r="B45" s="61" t="s">
        <v>3273</v>
      </c>
      <c r="C45" s="41" t="s">
        <v>2935</v>
      </c>
      <c r="D45" s="64"/>
      <c r="E45" s="48"/>
    </row>
    <row r="46" spans="2:5">
      <c r="B46" s="62" t="s">
        <v>3274</v>
      </c>
      <c r="C46" s="41" t="s">
        <v>2937</v>
      </c>
      <c r="D46" s="64"/>
      <c r="E46" s="48"/>
    </row>
    <row r="47" spans="2:5">
      <c r="B47" s="62" t="s">
        <v>3275</v>
      </c>
      <c r="C47" s="41" t="s">
        <v>2939</v>
      </c>
      <c r="D47" s="64"/>
      <c r="E47" s="48"/>
    </row>
    <row r="48" spans="2:5">
      <c r="B48" s="61" t="s">
        <v>3276</v>
      </c>
      <c r="C48" s="41" t="s">
        <v>2941</v>
      </c>
      <c r="D48" s="64"/>
      <c r="E48" s="48"/>
    </row>
    <row r="49" spans="2:5">
      <c r="B49" s="62" t="s">
        <v>3277</v>
      </c>
      <c r="C49" s="41" t="s">
        <v>2943</v>
      </c>
      <c r="D49" s="64"/>
      <c r="E49" s="48"/>
    </row>
    <row r="50" spans="2:5">
      <c r="B50" s="62" t="s">
        <v>3278</v>
      </c>
      <c r="C50" s="41" t="s">
        <v>2945</v>
      </c>
      <c r="D50" s="64"/>
      <c r="E50" s="48"/>
    </row>
    <row r="51" spans="2:5">
      <c r="B51" s="61" t="s">
        <v>3279</v>
      </c>
      <c r="C51" s="41" t="s">
        <v>2947</v>
      </c>
      <c r="D51" s="64"/>
      <c r="E51" s="46"/>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3284</v>
      </c>
      <c r="C56" s="41" t="s">
        <v>2957</v>
      </c>
      <c r="D56" s="60"/>
      <c r="E56" s="60"/>
    </row>
    <row r="57" spans="2:5">
      <c r="B57" s="49" t="s">
        <v>3285</v>
      </c>
      <c r="C57" s="41" t="s">
        <v>2959</v>
      </c>
      <c r="D57" s="60"/>
      <c r="E57" s="60"/>
    </row>
    <row r="58" spans="2:5">
      <c r="B58" s="49" t="s">
        <v>3286</v>
      </c>
      <c r="C58" s="41" t="s">
        <v>2961</v>
      </c>
      <c r="D58" s="60"/>
      <c r="E58" s="60"/>
    </row>
    <row r="59" spans="2:5">
      <c r="B59" s="49" t="s">
        <v>3287</v>
      </c>
      <c r="C59" s="41" t="s">
        <v>2963</v>
      </c>
      <c r="D59" s="60"/>
      <c r="E59" s="60"/>
    </row>
    <row r="60" spans="2:5">
      <c r="B60" s="49" t="s">
        <v>3288</v>
      </c>
      <c r="C60" s="41" t="s">
        <v>2977</v>
      </c>
      <c r="D60" s="63"/>
      <c r="E60" s="63"/>
    </row>
    <row r="61" spans="2:5">
      <c r="B61" s="47" t="s">
        <v>2389</v>
      </c>
      <c r="C61" s="44" t="s">
        <v>2878</v>
      </c>
      <c r="D61" s="56"/>
      <c r="E61" s="57"/>
    </row>
    <row r="62" spans="2:5">
      <c r="B62" s="49" t="s">
        <v>3289</v>
      </c>
      <c r="C62" s="41" t="s">
        <v>2979</v>
      </c>
      <c r="D62" s="60"/>
      <c r="E62" s="63"/>
    </row>
    <row r="63" spans="2:5">
      <c r="B63" s="61" t="s">
        <v>3290</v>
      </c>
      <c r="C63" s="41" t="s">
        <v>2981</v>
      </c>
      <c r="D63" s="64"/>
      <c r="E63" s="48"/>
    </row>
    <row r="64" spans="2:5">
      <c r="B64" s="62" t="s">
        <v>3291</v>
      </c>
      <c r="C64" s="41" t="s">
        <v>2983</v>
      </c>
      <c r="D64" s="64"/>
      <c r="E64" s="48"/>
    </row>
    <row r="65" spans="2:5">
      <c r="B65" s="62" t="s">
        <v>3292</v>
      </c>
      <c r="C65" s="41" t="s">
        <v>2985</v>
      </c>
      <c r="D65" s="64"/>
      <c r="E65" s="48"/>
    </row>
    <row r="66" spans="2:5">
      <c r="B66" s="62" t="s">
        <v>3293</v>
      </c>
      <c r="C66" s="41" t="s">
        <v>2987</v>
      </c>
      <c r="D66" s="64"/>
      <c r="E66" s="48"/>
    </row>
    <row r="67" spans="2:5">
      <c r="B67" s="61" t="s">
        <v>3294</v>
      </c>
      <c r="C67" s="41" t="s">
        <v>2989</v>
      </c>
      <c r="D67" s="64"/>
      <c r="E67" s="48"/>
    </row>
    <row r="68" spans="2:5">
      <c r="B68" s="62" t="s">
        <v>3291</v>
      </c>
      <c r="C68" s="41" t="s">
        <v>2991</v>
      </c>
      <c r="D68" s="64"/>
      <c r="E68" s="48"/>
    </row>
    <row r="69" spans="2:5">
      <c r="B69" s="62" t="s">
        <v>3292</v>
      </c>
      <c r="C69" s="41" t="s">
        <v>2993</v>
      </c>
      <c r="D69" s="64"/>
      <c r="E69" s="48"/>
    </row>
    <row r="70" spans="2:5">
      <c r="B70" s="62" t="s">
        <v>3293</v>
      </c>
      <c r="C70" s="41" t="s">
        <v>2995</v>
      </c>
      <c r="D70" s="64"/>
      <c r="E70" s="46"/>
    </row>
    <row r="71" spans="2:5">
      <c r="B71" s="49" t="s">
        <v>3295</v>
      </c>
      <c r="C71" s="41" t="s">
        <v>2997</v>
      </c>
      <c r="D71" s="60"/>
      <c r="E71" s="63"/>
    </row>
    <row r="72" spans="2:5">
      <c r="B72" s="61" t="s">
        <v>3296</v>
      </c>
      <c r="C72" s="41" t="s">
        <v>2999</v>
      </c>
      <c r="D72" s="64"/>
      <c r="E72" s="48"/>
    </row>
    <row r="73" spans="2:5">
      <c r="B73" s="62" t="s">
        <v>3291</v>
      </c>
      <c r="C73" s="41" t="s">
        <v>3001</v>
      </c>
      <c r="D73" s="64"/>
      <c r="E73" s="48"/>
    </row>
    <row r="74" spans="2:5">
      <c r="B74" s="62" t="s">
        <v>3292</v>
      </c>
      <c r="C74" s="41" t="s">
        <v>3003</v>
      </c>
      <c r="D74" s="64"/>
      <c r="E74" s="48"/>
    </row>
    <row r="75" spans="2:5">
      <c r="B75" s="62" t="s">
        <v>3293</v>
      </c>
      <c r="C75" s="41" t="s">
        <v>3005</v>
      </c>
      <c r="D75" s="64"/>
      <c r="E75" s="48"/>
    </row>
    <row r="76" spans="2:5">
      <c r="B76" s="61" t="s">
        <v>3297</v>
      </c>
      <c r="C76" s="41" t="s">
        <v>3007</v>
      </c>
      <c r="D76" s="64"/>
      <c r="E76" s="48"/>
    </row>
    <row r="77" spans="2:5">
      <c r="B77" s="62" t="s">
        <v>3291</v>
      </c>
      <c r="C77" s="41" t="s">
        <v>3009</v>
      </c>
      <c r="D77" s="64"/>
      <c r="E77" s="48"/>
    </row>
    <row r="78" spans="2:5">
      <c r="B78" s="62" t="s">
        <v>3292</v>
      </c>
      <c r="C78" s="41" t="s">
        <v>3011</v>
      </c>
      <c r="D78" s="64"/>
      <c r="E78" s="48"/>
    </row>
    <row r="79" spans="2:5">
      <c r="B79" s="62" t="s">
        <v>3293</v>
      </c>
      <c r="C79" s="41" t="s">
        <v>3013</v>
      </c>
      <c r="D79" s="64"/>
      <c r="E79" s="46"/>
    </row>
    <row r="80" spans="2:5">
      <c r="B80" s="49" t="s">
        <v>3298</v>
      </c>
      <c r="C80" s="41" t="s">
        <v>3015</v>
      </c>
      <c r="D80" s="60"/>
      <c r="E80" s="63"/>
    </row>
    <row r="81" spans="2:5">
      <c r="B81" s="61" t="s">
        <v>3291</v>
      </c>
      <c r="C81" s="41" t="s">
        <v>3064</v>
      </c>
      <c r="D81" s="64"/>
      <c r="E81" s="48"/>
    </row>
    <row r="82" spans="2:5">
      <c r="B82" s="61" t="s">
        <v>3292</v>
      </c>
      <c r="C82" s="41" t="s">
        <v>3066</v>
      </c>
      <c r="D82" s="64"/>
      <c r="E82" s="48"/>
    </row>
    <row r="83" spans="2:5">
      <c r="B83" s="61" t="s">
        <v>3293</v>
      </c>
      <c r="C83" s="41" t="s">
        <v>3068</v>
      </c>
      <c r="D83" s="65"/>
      <c r="E83" s="48"/>
    </row>
    <row r="84" spans="2:5">
      <c r="B84" s="49" t="s">
        <v>3299</v>
      </c>
      <c r="C84" s="44" t="s">
        <v>3070</v>
      </c>
      <c r="D84" s="56"/>
      <c r="E84" s="46"/>
    </row>
    <row r="85" spans="2:5">
      <c r="B85" s="49" t="s">
        <v>2698</v>
      </c>
      <c r="C85" s="41" t="s">
        <v>3017</v>
      </c>
      <c r="D85" s="60"/>
      <c r="E85" s="60"/>
    </row>
    <row r="86" spans="2:5">
      <c r="B86" s="49" t="s">
        <v>3300</v>
      </c>
      <c r="C86" s="41" t="s">
        <v>3019</v>
      </c>
      <c r="D86" s="60"/>
      <c r="E86" s="60"/>
    </row>
    <row r="87" spans="2:5">
      <c r="B87" s="49" t="s">
        <v>3301</v>
      </c>
      <c r="C87" s="41" t="s">
        <v>3021</v>
      </c>
      <c r="D87" s="60"/>
      <c r="E87" s="60"/>
    </row>
    <row r="88" spans="2:5">
      <c r="B88" s="49" t="s">
        <v>3302</v>
      </c>
      <c r="C88" s="41" t="s">
        <v>3023</v>
      </c>
      <c r="D88" s="60"/>
      <c r="E88" s="60"/>
    </row>
    <row r="89" spans="2:5">
      <c r="B89" s="49" t="s">
        <v>3303</v>
      </c>
      <c r="C89" s="41" t="s">
        <v>3072</v>
      </c>
      <c r="D89" s="60"/>
      <c r="E89" s="60"/>
    </row>
    <row r="90" spans="2:5">
      <c r="B90" s="49" t="s">
        <v>2481</v>
      </c>
      <c r="C90" s="41" t="s">
        <v>3118</v>
      </c>
      <c r="D90" s="60"/>
      <c r="E90" s="60"/>
    </row>
    <row r="91" spans="2:5">
      <c r="B91" s="49" t="s">
        <v>3304</v>
      </c>
      <c r="C91" s="41" t="s">
        <v>3120</v>
      </c>
      <c r="D91" s="60"/>
      <c r="E91" s="60"/>
    </row>
    <row r="92" spans="2:5">
      <c r="B92" s="61" t="s">
        <v>3329</v>
      </c>
      <c r="C92" s="41" t="s">
        <v>3330</v>
      </c>
      <c r="D92" s="60"/>
      <c r="E92" s="60"/>
    </row>
    <row r="93" spans="2:5">
      <c r="B93" s="61" t="s">
        <v>3331</v>
      </c>
      <c r="C93" s="41" t="s">
        <v>3332</v>
      </c>
      <c r="D93" s="60"/>
      <c r="E93" s="60"/>
    </row>
    <row r="94" spans="2:5">
      <c r="B94" s="61" t="s">
        <v>3333</v>
      </c>
      <c r="C94" s="41" t="s">
        <v>3334</v>
      </c>
      <c r="D94" s="60"/>
      <c r="E94" s="60"/>
    </row>
    <row r="95" spans="2:5">
      <c r="B95" s="49" t="s">
        <v>3305</v>
      </c>
      <c r="C95" s="41" t="s">
        <v>3122</v>
      </c>
      <c r="D95" s="60"/>
      <c r="E95" s="60"/>
    </row>
    <row r="96" spans="2:5">
      <c r="B96" s="61" t="s">
        <v>3335</v>
      </c>
      <c r="C96" s="41" t="s">
        <v>3336</v>
      </c>
      <c r="D96" s="60"/>
      <c r="E96" s="60"/>
    </row>
    <row r="97" spans="2:11">
      <c r="B97" s="62" t="s">
        <v>3337</v>
      </c>
      <c r="C97" s="41" t="s">
        <v>3338</v>
      </c>
      <c r="D97" s="60"/>
      <c r="E97" s="60"/>
    </row>
    <row r="98" spans="2:11">
      <c r="B98" s="62" t="s">
        <v>3339</v>
      </c>
      <c r="C98" s="41" t="s">
        <v>3340</v>
      </c>
      <c r="D98" s="60"/>
      <c r="E98" s="60"/>
    </row>
    <row r="99" spans="2:11">
      <c r="B99" s="62" t="s">
        <v>3341</v>
      </c>
      <c r="C99" s="41" t="s">
        <v>3342</v>
      </c>
      <c r="D99" s="60"/>
      <c r="E99" s="60"/>
    </row>
    <row r="100" spans="2:11">
      <c r="B100" s="61" t="s">
        <v>3343</v>
      </c>
      <c r="C100" s="41" t="s">
        <v>3344</v>
      </c>
      <c r="D100" s="60"/>
      <c r="E100" s="60"/>
    </row>
    <row r="101" spans="2:11">
      <c r="B101" s="49" t="s">
        <v>3306</v>
      </c>
      <c r="C101" s="41" t="s">
        <v>3124</v>
      </c>
      <c r="D101" s="60"/>
      <c r="E101" s="60"/>
    </row>
    <row r="102" spans="2:11">
      <c r="B102" s="49" t="s">
        <v>3307</v>
      </c>
      <c r="C102" s="41" t="s">
        <v>3126</v>
      </c>
      <c r="D102" s="60"/>
      <c r="E102" s="60"/>
    </row>
    <row r="103" spans="2:11">
      <c r="B103" s="49" t="s">
        <v>3308</v>
      </c>
      <c r="C103" s="41" t="s">
        <v>3128</v>
      </c>
      <c r="D103" s="60"/>
      <c r="E103" s="60"/>
    </row>
    <row r="104" spans="2:11">
      <c r="B104" s="49" t="s">
        <v>3309</v>
      </c>
      <c r="C104" s="41" t="s">
        <v>3130</v>
      </c>
      <c r="D104" s="60"/>
      <c r="E104" s="60"/>
    </row>
    <row r="105" spans="2:11">
      <c r="B105" s="61" t="s">
        <v>3310</v>
      </c>
      <c r="C105" s="41" t="s">
        <v>3132</v>
      </c>
      <c r="D105" s="60"/>
      <c r="E105" s="60"/>
    </row>
    <row r="106" spans="2:11">
      <c r="B106" s="61" t="s">
        <v>3311</v>
      </c>
      <c r="C106" s="41" t="s">
        <v>3134</v>
      </c>
      <c r="D106" s="60"/>
      <c r="E106" s="60"/>
    </row>
    <row r="107" spans="2:11">
      <c r="B107" s="49" t="s">
        <v>3312</v>
      </c>
      <c r="C107" s="41" t="s">
        <v>3136</v>
      </c>
      <c r="D107" s="60"/>
      <c r="E107" s="60"/>
    </row>
    <row r="108" spans="2:11">
      <c r="B108" s="49" t="s">
        <v>3313</v>
      </c>
      <c r="C108" s="41" t="s">
        <v>3140</v>
      </c>
      <c r="D108" s="60"/>
      <c r="E108" s="60"/>
    </row>
    <row r="109" spans="2:11">
      <c r="B109" s="47" t="s">
        <v>3314</v>
      </c>
      <c r="C109" s="41" t="s">
        <v>3315</v>
      </c>
      <c r="D109" s="60"/>
      <c r="E109" s="60"/>
    </row>
    <row r="111" spans="2:11">
      <c r="J111" s="13" t="str">
        <f>Show!$B$33&amp;Show!$B$33&amp;"SE.02.01.17.01 Rows {"&amp;COLUMN($C$1)&amp;"}"</f>
        <v>!!SE.02.01.17.01 Rows {3}</v>
      </c>
      <c r="K111" s="13" t="str">
        <f>Show!$B$33&amp;Show!$B$33&amp;"SE.02.01.17.01 Columns {"&amp;COLUMN($E$1)&amp;"}"</f>
        <v>!!SE.02.01.17.01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5C47-3AE1-4F35-A2E9-A48040D442A8}">
  <sheetPr codeName="Blad38"/>
  <dimension ref="B2:O106"/>
  <sheetViews>
    <sheetView showGridLines="0" workbookViewId="0"/>
  </sheetViews>
  <sheetFormatPr defaultRowHeight="15"/>
  <cols>
    <col min="2" max="2" width="83.7109375" bestFit="1" customWidth="1"/>
    <col min="4" max="6" width="15.7109375" customWidth="1"/>
  </cols>
  <sheetData>
    <row r="2" spans="2:15" ht="23.25">
      <c r="B2" s="95" t="s">
        <v>555</v>
      </c>
      <c r="C2" s="96"/>
      <c r="D2" s="96"/>
      <c r="E2" s="96"/>
      <c r="F2" s="96"/>
      <c r="G2" s="96"/>
      <c r="H2" s="96"/>
      <c r="I2" s="96"/>
      <c r="J2" s="96"/>
      <c r="K2" s="96"/>
      <c r="L2" s="96"/>
      <c r="M2" s="96"/>
      <c r="N2" s="96"/>
      <c r="O2" s="96"/>
    </row>
    <row r="5" spans="2:15" ht="18.75">
      <c r="B5" s="97" t="s">
        <v>3346</v>
      </c>
      <c r="C5" s="96"/>
      <c r="D5" s="96"/>
      <c r="E5" s="96"/>
      <c r="F5" s="96"/>
      <c r="G5" s="96"/>
      <c r="H5" s="96"/>
      <c r="I5" s="96"/>
      <c r="J5" s="96"/>
      <c r="K5" s="96"/>
      <c r="L5" s="96"/>
    </row>
    <row r="9" spans="2:15">
      <c r="D9" s="101" t="s">
        <v>2877</v>
      </c>
      <c r="E9" s="102"/>
      <c r="F9" s="103"/>
    </row>
    <row r="10" spans="2:15">
      <c r="D10" s="104"/>
      <c r="E10" s="105"/>
      <c r="F10" s="106"/>
    </row>
    <row r="11" spans="2:15">
      <c r="D11" s="98" t="s">
        <v>3250</v>
      </c>
      <c r="E11" s="98" t="s">
        <v>3318</v>
      </c>
      <c r="F11" s="98" t="s">
        <v>3327</v>
      </c>
    </row>
    <row r="12" spans="2:15">
      <c r="D12" s="99"/>
      <c r="E12" s="99"/>
      <c r="F12" s="99"/>
    </row>
    <row r="13" spans="2:15">
      <c r="D13" s="99"/>
      <c r="E13" s="99"/>
      <c r="F13" s="99"/>
    </row>
    <row r="14" spans="2:15">
      <c r="D14" s="100"/>
      <c r="E14" s="100"/>
      <c r="F14" s="100"/>
    </row>
    <row r="15" spans="2:15">
      <c r="D15" s="45" t="s">
        <v>2879</v>
      </c>
      <c r="E15" s="45" t="s">
        <v>3219</v>
      </c>
      <c r="F15" s="45" t="s">
        <v>3328</v>
      </c>
      <c r="K15" s="13" t="str">
        <f>Show!$B$34&amp;"SE.02.01.18.01 Rows {"&amp;COLUMN($C$1)&amp;"}"&amp;"@ForceFilingCode:true"</f>
        <v>!SE.02.01.18.01 Rows {3}@ForceFilingCode:true</v>
      </c>
      <c r="L15" s="13" t="str">
        <f>Show!$B$34&amp;"SE.02.01.18.01 Columns {"&amp;COLUMN($D$1)&amp;"}"</f>
        <v>!SE.02.01.18.01 Columns {4}</v>
      </c>
    </row>
    <row r="16" spans="2:15">
      <c r="B16" s="43" t="s">
        <v>2880</v>
      </c>
      <c r="C16" s="44" t="s">
        <v>2878</v>
      </c>
      <c r="D16" s="58"/>
      <c r="E16" s="67"/>
      <c r="F16" s="59"/>
    </row>
    <row r="17" spans="2:6">
      <c r="B17" s="47" t="s">
        <v>3252</v>
      </c>
      <c r="C17" s="44" t="s">
        <v>2878</v>
      </c>
      <c r="D17" s="58"/>
      <c r="E17" s="66"/>
      <c r="F17" s="59"/>
    </row>
    <row r="18" spans="2:6">
      <c r="B18" s="49" t="s">
        <v>3253</v>
      </c>
      <c r="C18" s="44" t="s">
        <v>2883</v>
      </c>
      <c r="D18" s="48"/>
      <c r="E18" s="64"/>
      <c r="F18" s="48"/>
    </row>
    <row r="19" spans="2:6">
      <c r="B19" s="49" t="s">
        <v>3254</v>
      </c>
      <c r="C19" s="44" t="s">
        <v>2885</v>
      </c>
      <c r="D19" s="46"/>
      <c r="E19" s="64"/>
      <c r="F19" s="46"/>
    </row>
    <row r="20" spans="2:6">
      <c r="B20" s="49" t="s">
        <v>3255</v>
      </c>
      <c r="C20" s="41" t="s">
        <v>2887</v>
      </c>
      <c r="D20" s="60"/>
      <c r="E20" s="60"/>
      <c r="F20" s="60"/>
    </row>
    <row r="21" spans="2:6">
      <c r="B21" s="49" t="s">
        <v>3256</v>
      </c>
      <c r="C21" s="41" t="s">
        <v>2889</v>
      </c>
      <c r="D21" s="60"/>
      <c r="E21" s="60"/>
      <c r="F21" s="60"/>
    </row>
    <row r="22" spans="2:6">
      <c r="B22" s="49" t="s">
        <v>3257</v>
      </c>
      <c r="C22" s="41" t="s">
        <v>3078</v>
      </c>
      <c r="D22" s="60"/>
      <c r="E22" s="60"/>
      <c r="F22" s="60"/>
    </row>
    <row r="23" spans="2:6">
      <c r="B23" s="49" t="s">
        <v>3258</v>
      </c>
      <c r="C23" s="41" t="s">
        <v>2891</v>
      </c>
      <c r="D23" s="60"/>
      <c r="E23" s="60"/>
      <c r="F23" s="60"/>
    </row>
    <row r="24" spans="2:6">
      <c r="B24" s="49" t="s">
        <v>3259</v>
      </c>
      <c r="C24" s="41" t="s">
        <v>2893</v>
      </c>
      <c r="D24" s="60"/>
      <c r="E24" s="60"/>
      <c r="F24" s="60"/>
    </row>
    <row r="25" spans="2:6">
      <c r="B25" s="61" t="s">
        <v>3260</v>
      </c>
      <c r="C25" s="41" t="s">
        <v>2895</v>
      </c>
      <c r="D25" s="60"/>
      <c r="E25" s="60"/>
      <c r="F25" s="60"/>
    </row>
    <row r="26" spans="2:6">
      <c r="B26" s="61" t="s">
        <v>3261</v>
      </c>
      <c r="C26" s="41" t="s">
        <v>2897</v>
      </c>
      <c r="D26" s="60"/>
      <c r="E26" s="60"/>
      <c r="F26" s="60"/>
    </row>
    <row r="27" spans="2:6">
      <c r="B27" s="61" t="s">
        <v>2480</v>
      </c>
      <c r="C27" s="41" t="s">
        <v>2899</v>
      </c>
      <c r="D27" s="60"/>
      <c r="E27" s="60"/>
      <c r="F27" s="60"/>
    </row>
    <row r="28" spans="2:6">
      <c r="B28" s="62" t="s">
        <v>3262</v>
      </c>
      <c r="C28" s="41" t="s">
        <v>2901</v>
      </c>
      <c r="D28" s="60"/>
      <c r="E28" s="60"/>
      <c r="F28" s="60"/>
    </row>
    <row r="29" spans="2:6">
      <c r="B29" s="62" t="s">
        <v>3263</v>
      </c>
      <c r="C29" s="41" t="s">
        <v>2903</v>
      </c>
      <c r="D29" s="60"/>
      <c r="E29" s="60"/>
      <c r="F29" s="60"/>
    </row>
    <row r="30" spans="2:6">
      <c r="B30" s="61" t="s">
        <v>3264</v>
      </c>
      <c r="C30" s="41" t="s">
        <v>2905</v>
      </c>
      <c r="D30" s="60"/>
      <c r="E30" s="60"/>
      <c r="F30" s="60"/>
    </row>
    <row r="31" spans="2:6">
      <c r="B31" s="62" t="s">
        <v>2372</v>
      </c>
      <c r="C31" s="41" t="s">
        <v>2907</v>
      </c>
      <c r="D31" s="60"/>
      <c r="E31" s="60"/>
      <c r="F31" s="60"/>
    </row>
    <row r="32" spans="2:6">
      <c r="B32" s="62" t="s">
        <v>2373</v>
      </c>
      <c r="C32" s="41" t="s">
        <v>2909</v>
      </c>
      <c r="D32" s="60"/>
      <c r="E32" s="60"/>
      <c r="F32" s="60"/>
    </row>
    <row r="33" spans="2:6">
      <c r="B33" s="62" t="s">
        <v>2377</v>
      </c>
      <c r="C33" s="41" t="s">
        <v>2911</v>
      </c>
      <c r="D33" s="60"/>
      <c r="E33" s="60"/>
      <c r="F33" s="60"/>
    </row>
    <row r="34" spans="2:6">
      <c r="B34" s="62" t="s">
        <v>2378</v>
      </c>
      <c r="C34" s="41" t="s">
        <v>2913</v>
      </c>
      <c r="D34" s="60"/>
      <c r="E34" s="60"/>
      <c r="F34" s="60"/>
    </row>
    <row r="35" spans="2:6">
      <c r="B35" s="61" t="s">
        <v>3265</v>
      </c>
      <c r="C35" s="41" t="s">
        <v>2915</v>
      </c>
      <c r="D35" s="60"/>
      <c r="E35" s="60"/>
      <c r="F35" s="60"/>
    </row>
    <row r="36" spans="2:6">
      <c r="B36" s="61" t="s">
        <v>2481</v>
      </c>
      <c r="C36" s="41" t="s">
        <v>2917</v>
      </c>
      <c r="D36" s="60"/>
      <c r="E36" s="60"/>
      <c r="F36" s="60"/>
    </row>
    <row r="37" spans="2:6">
      <c r="B37" s="61" t="s">
        <v>3266</v>
      </c>
      <c r="C37" s="41" t="s">
        <v>2919</v>
      </c>
      <c r="D37" s="60"/>
      <c r="E37" s="60"/>
      <c r="F37" s="60"/>
    </row>
    <row r="38" spans="2:6">
      <c r="B38" s="61" t="s">
        <v>2382</v>
      </c>
      <c r="C38" s="41" t="s">
        <v>2921</v>
      </c>
      <c r="D38" s="60"/>
      <c r="E38" s="60"/>
      <c r="F38" s="60"/>
    </row>
    <row r="39" spans="2:6">
      <c r="B39" s="49" t="s">
        <v>3267</v>
      </c>
      <c r="C39" s="41" t="s">
        <v>2923</v>
      </c>
      <c r="D39" s="60"/>
      <c r="E39" s="60"/>
      <c r="F39" s="60"/>
    </row>
    <row r="40" spans="2:6">
      <c r="B40" s="49" t="s">
        <v>3268</v>
      </c>
      <c r="C40" s="41" t="s">
        <v>2925</v>
      </c>
      <c r="D40" s="60"/>
      <c r="E40" s="60"/>
      <c r="F40" s="60"/>
    </row>
    <row r="41" spans="2:6">
      <c r="B41" s="61" t="s">
        <v>3269</v>
      </c>
      <c r="C41" s="41" t="s">
        <v>2927</v>
      </c>
      <c r="D41" s="60"/>
      <c r="E41" s="60"/>
      <c r="F41" s="60"/>
    </row>
    <row r="42" spans="2:6">
      <c r="B42" s="61" t="s">
        <v>3270</v>
      </c>
      <c r="C42" s="41" t="s">
        <v>2929</v>
      </c>
      <c r="D42" s="60"/>
      <c r="E42" s="60"/>
      <c r="F42" s="60"/>
    </row>
    <row r="43" spans="2:6">
      <c r="B43" s="61" t="s">
        <v>3271</v>
      </c>
      <c r="C43" s="41" t="s">
        <v>2931</v>
      </c>
      <c r="D43" s="60"/>
      <c r="E43" s="60"/>
      <c r="F43" s="60"/>
    </row>
    <row r="44" spans="2:6">
      <c r="B44" s="49" t="s">
        <v>3272</v>
      </c>
      <c r="C44" s="41" t="s">
        <v>2933</v>
      </c>
      <c r="D44" s="60"/>
      <c r="E44" s="60"/>
      <c r="F44" s="63"/>
    </row>
    <row r="45" spans="2:6">
      <c r="B45" s="61" t="s">
        <v>3273</v>
      </c>
      <c r="C45" s="41" t="s">
        <v>2935</v>
      </c>
      <c r="D45" s="60"/>
      <c r="E45" s="64"/>
      <c r="F45" s="48"/>
    </row>
    <row r="46" spans="2:6">
      <c r="B46" s="62" t="s">
        <v>3274</v>
      </c>
      <c r="C46" s="41" t="s">
        <v>2937</v>
      </c>
      <c r="D46" s="60"/>
      <c r="E46" s="64"/>
      <c r="F46" s="48"/>
    </row>
    <row r="47" spans="2:6">
      <c r="B47" s="62" t="s">
        <v>3275</v>
      </c>
      <c r="C47" s="41" t="s">
        <v>2939</v>
      </c>
      <c r="D47" s="60"/>
      <c r="E47" s="64"/>
      <c r="F47" s="48"/>
    </row>
    <row r="48" spans="2:6">
      <c r="B48" s="61" t="s">
        <v>3276</v>
      </c>
      <c r="C48" s="41" t="s">
        <v>2941</v>
      </c>
      <c r="D48" s="60"/>
      <c r="E48" s="64"/>
      <c r="F48" s="48"/>
    </row>
    <row r="49" spans="2:6">
      <c r="B49" s="62" t="s">
        <v>3277</v>
      </c>
      <c r="C49" s="41" t="s">
        <v>2943</v>
      </c>
      <c r="D49" s="60"/>
      <c r="E49" s="64"/>
      <c r="F49" s="48"/>
    </row>
    <row r="50" spans="2:6">
      <c r="B50" s="62" t="s">
        <v>3278</v>
      </c>
      <c r="C50" s="41" t="s">
        <v>2945</v>
      </c>
      <c r="D50" s="60"/>
      <c r="E50" s="64"/>
      <c r="F50" s="48"/>
    </row>
    <row r="51" spans="2:6">
      <c r="B51" s="61" t="s">
        <v>3279</v>
      </c>
      <c r="C51" s="41" t="s">
        <v>2947</v>
      </c>
      <c r="D51" s="60"/>
      <c r="E51" s="64"/>
      <c r="F51" s="46"/>
    </row>
    <row r="52" spans="2:6">
      <c r="B52" s="49" t="s">
        <v>3280</v>
      </c>
      <c r="C52" s="41" t="s">
        <v>2949</v>
      </c>
      <c r="D52" s="60"/>
      <c r="E52" s="60"/>
      <c r="F52" s="60"/>
    </row>
    <row r="53" spans="2:6">
      <c r="B53" s="49" t="s">
        <v>3281</v>
      </c>
      <c r="C53" s="41" t="s">
        <v>2951</v>
      </c>
      <c r="D53" s="60"/>
      <c r="E53" s="60"/>
      <c r="F53" s="60"/>
    </row>
    <row r="54" spans="2:6">
      <c r="B54" s="49" t="s">
        <v>3282</v>
      </c>
      <c r="C54" s="41" t="s">
        <v>2953</v>
      </c>
      <c r="D54" s="60"/>
      <c r="E54" s="60"/>
      <c r="F54" s="60"/>
    </row>
    <row r="55" spans="2:6">
      <c r="B55" s="49" t="s">
        <v>3283</v>
      </c>
      <c r="C55" s="41" t="s">
        <v>2955</v>
      </c>
      <c r="D55" s="60"/>
      <c r="E55" s="60"/>
      <c r="F55" s="60"/>
    </row>
    <row r="56" spans="2:6">
      <c r="B56" s="49" t="s">
        <v>3286</v>
      </c>
      <c r="C56" s="41" t="s">
        <v>2961</v>
      </c>
      <c r="D56" s="60"/>
      <c r="E56" s="60"/>
      <c r="F56" s="60"/>
    </row>
    <row r="57" spans="2:6">
      <c r="B57" s="49" t="s">
        <v>3287</v>
      </c>
      <c r="C57" s="41" t="s">
        <v>2963</v>
      </c>
      <c r="D57" s="60"/>
      <c r="E57" s="60"/>
      <c r="F57" s="60"/>
    </row>
    <row r="58" spans="2:6">
      <c r="B58" s="49" t="s">
        <v>3288</v>
      </c>
      <c r="C58" s="41" t="s">
        <v>2977</v>
      </c>
      <c r="D58" s="63"/>
      <c r="E58" s="63"/>
      <c r="F58" s="63"/>
    </row>
    <row r="59" spans="2:6">
      <c r="B59" s="47" t="s">
        <v>2389</v>
      </c>
      <c r="C59" s="44" t="s">
        <v>2878</v>
      </c>
      <c r="D59" s="56"/>
      <c r="E59" s="66"/>
      <c r="F59" s="57"/>
    </row>
    <row r="60" spans="2:6">
      <c r="B60" s="49" t="s">
        <v>3289</v>
      </c>
      <c r="C60" s="41" t="s">
        <v>2979</v>
      </c>
      <c r="D60" s="60"/>
      <c r="E60" s="60"/>
      <c r="F60" s="63"/>
    </row>
    <row r="61" spans="2:6">
      <c r="B61" s="61" t="s">
        <v>3290</v>
      </c>
      <c r="C61" s="41" t="s">
        <v>2981</v>
      </c>
      <c r="D61" s="60"/>
      <c r="E61" s="65"/>
      <c r="F61" s="48"/>
    </row>
    <row r="62" spans="2:6">
      <c r="B62" s="62" t="s">
        <v>3291</v>
      </c>
      <c r="C62" s="41" t="s">
        <v>2983</v>
      </c>
      <c r="D62" s="64"/>
      <c r="E62" s="58"/>
      <c r="F62" s="48"/>
    </row>
    <row r="63" spans="2:6">
      <c r="B63" s="62" t="s">
        <v>3292</v>
      </c>
      <c r="C63" s="41" t="s">
        <v>2985</v>
      </c>
      <c r="D63" s="64"/>
      <c r="E63" s="58"/>
      <c r="F63" s="48"/>
    </row>
    <row r="64" spans="2:6">
      <c r="B64" s="62" t="s">
        <v>3293</v>
      </c>
      <c r="C64" s="41" t="s">
        <v>2987</v>
      </c>
      <c r="D64" s="64"/>
      <c r="E64" s="56"/>
      <c r="F64" s="48"/>
    </row>
    <row r="65" spans="2:6">
      <c r="B65" s="61" t="s">
        <v>3294</v>
      </c>
      <c r="C65" s="41" t="s">
        <v>2989</v>
      </c>
      <c r="D65" s="60"/>
      <c r="E65" s="65"/>
      <c r="F65" s="48"/>
    </row>
    <row r="66" spans="2:6">
      <c r="B66" s="62" t="s">
        <v>3291</v>
      </c>
      <c r="C66" s="41" t="s">
        <v>2991</v>
      </c>
      <c r="D66" s="64"/>
      <c r="E66" s="58"/>
      <c r="F66" s="48"/>
    </row>
    <row r="67" spans="2:6">
      <c r="B67" s="62" t="s">
        <v>3292</v>
      </c>
      <c r="C67" s="41" t="s">
        <v>2993</v>
      </c>
      <c r="D67" s="64"/>
      <c r="E67" s="58"/>
      <c r="F67" s="48"/>
    </row>
    <row r="68" spans="2:6">
      <c r="B68" s="62" t="s">
        <v>3293</v>
      </c>
      <c r="C68" s="41" t="s">
        <v>2995</v>
      </c>
      <c r="D68" s="64"/>
      <c r="E68" s="56"/>
      <c r="F68" s="46"/>
    </row>
    <row r="69" spans="2:6">
      <c r="B69" s="49" t="s">
        <v>3295</v>
      </c>
      <c r="C69" s="41" t="s">
        <v>2997</v>
      </c>
      <c r="D69" s="60"/>
      <c r="E69" s="60"/>
      <c r="F69" s="63"/>
    </row>
    <row r="70" spans="2:6">
      <c r="B70" s="61" t="s">
        <v>3296</v>
      </c>
      <c r="C70" s="41" t="s">
        <v>2999</v>
      </c>
      <c r="D70" s="60"/>
      <c r="E70" s="65"/>
      <c r="F70" s="48"/>
    </row>
    <row r="71" spans="2:6">
      <c r="B71" s="62" t="s">
        <v>3291</v>
      </c>
      <c r="C71" s="41" t="s">
        <v>3001</v>
      </c>
      <c r="D71" s="64"/>
      <c r="E71" s="58"/>
      <c r="F71" s="48"/>
    </row>
    <row r="72" spans="2:6">
      <c r="B72" s="62" t="s">
        <v>3292</v>
      </c>
      <c r="C72" s="41" t="s">
        <v>3003</v>
      </c>
      <c r="D72" s="64"/>
      <c r="E72" s="58"/>
      <c r="F72" s="48"/>
    </row>
    <row r="73" spans="2:6">
      <c r="B73" s="62" t="s">
        <v>3293</v>
      </c>
      <c r="C73" s="41" t="s">
        <v>3005</v>
      </c>
      <c r="D73" s="64"/>
      <c r="E73" s="56"/>
      <c r="F73" s="48"/>
    </row>
    <row r="74" spans="2:6">
      <c r="B74" s="61" t="s">
        <v>3297</v>
      </c>
      <c r="C74" s="41" t="s">
        <v>3007</v>
      </c>
      <c r="D74" s="60"/>
      <c r="E74" s="65"/>
      <c r="F74" s="48"/>
    </row>
    <row r="75" spans="2:6">
      <c r="B75" s="62" t="s">
        <v>3291</v>
      </c>
      <c r="C75" s="41" t="s">
        <v>3009</v>
      </c>
      <c r="D75" s="64"/>
      <c r="E75" s="58"/>
      <c r="F75" s="48"/>
    </row>
    <row r="76" spans="2:6">
      <c r="B76" s="62" t="s">
        <v>3292</v>
      </c>
      <c r="C76" s="41" t="s">
        <v>3011</v>
      </c>
      <c r="D76" s="64"/>
      <c r="E76" s="58"/>
      <c r="F76" s="48"/>
    </row>
    <row r="77" spans="2:6">
      <c r="B77" s="62" t="s">
        <v>3293</v>
      </c>
      <c r="C77" s="41" t="s">
        <v>3013</v>
      </c>
      <c r="D77" s="64"/>
      <c r="E77" s="56"/>
      <c r="F77" s="46"/>
    </row>
    <row r="78" spans="2:6">
      <c r="B78" s="49" t="s">
        <v>3298</v>
      </c>
      <c r="C78" s="41" t="s">
        <v>3015</v>
      </c>
      <c r="D78" s="60"/>
      <c r="E78" s="63"/>
      <c r="F78" s="63"/>
    </row>
    <row r="79" spans="2:6">
      <c r="B79" s="61" t="s">
        <v>3291</v>
      </c>
      <c r="C79" s="41" t="s">
        <v>3064</v>
      </c>
      <c r="D79" s="64"/>
      <c r="E79" s="58"/>
      <c r="F79" s="48"/>
    </row>
    <row r="80" spans="2:6">
      <c r="B80" s="61" t="s">
        <v>3292</v>
      </c>
      <c r="C80" s="41" t="s">
        <v>3066</v>
      </c>
      <c r="D80" s="64"/>
      <c r="E80" s="58"/>
      <c r="F80" s="48"/>
    </row>
    <row r="81" spans="2:6">
      <c r="B81" s="61" t="s">
        <v>3293</v>
      </c>
      <c r="C81" s="41" t="s">
        <v>3068</v>
      </c>
      <c r="D81" s="65"/>
      <c r="E81" s="56"/>
      <c r="F81" s="48"/>
    </row>
    <row r="82" spans="2:6">
      <c r="B82" s="49" t="s">
        <v>3299</v>
      </c>
      <c r="C82" s="44" t="s">
        <v>3070</v>
      </c>
      <c r="D82" s="46"/>
      <c r="E82" s="64"/>
      <c r="F82" s="46"/>
    </row>
    <row r="83" spans="2:6">
      <c r="B83" s="49" t="s">
        <v>2698</v>
      </c>
      <c r="C83" s="41" t="s">
        <v>3017</v>
      </c>
      <c r="D83" s="60"/>
      <c r="E83" s="60"/>
      <c r="F83" s="60"/>
    </row>
    <row r="84" spans="2:6">
      <c r="B84" s="49" t="s">
        <v>3300</v>
      </c>
      <c r="C84" s="41" t="s">
        <v>3019</v>
      </c>
      <c r="D84" s="60"/>
      <c r="E84" s="60"/>
      <c r="F84" s="60"/>
    </row>
    <row r="85" spans="2:6">
      <c r="B85" s="49" t="s">
        <v>3301</v>
      </c>
      <c r="C85" s="41" t="s">
        <v>3021</v>
      </c>
      <c r="D85" s="60"/>
      <c r="E85" s="60"/>
      <c r="F85" s="60"/>
    </row>
    <row r="86" spans="2:6">
      <c r="B86" s="49" t="s">
        <v>3302</v>
      </c>
      <c r="C86" s="41" t="s">
        <v>3023</v>
      </c>
      <c r="D86" s="60"/>
      <c r="E86" s="60"/>
      <c r="F86" s="60"/>
    </row>
    <row r="87" spans="2:6">
      <c r="B87" s="49" t="s">
        <v>3303</v>
      </c>
      <c r="C87" s="41" t="s">
        <v>3072</v>
      </c>
      <c r="D87" s="60"/>
      <c r="E87" s="60"/>
      <c r="F87" s="60"/>
    </row>
    <row r="88" spans="2:6">
      <c r="B88" s="49" t="s">
        <v>2481</v>
      </c>
      <c r="C88" s="41" t="s">
        <v>3118</v>
      </c>
      <c r="D88" s="60"/>
      <c r="E88" s="60"/>
      <c r="F88" s="60"/>
    </row>
    <row r="89" spans="2:6">
      <c r="B89" s="49" t="s">
        <v>3304</v>
      </c>
      <c r="C89" s="41" t="s">
        <v>3120</v>
      </c>
      <c r="D89" s="60"/>
      <c r="E89" s="63"/>
      <c r="F89" s="60"/>
    </row>
    <row r="90" spans="2:6">
      <c r="B90" s="61" t="s">
        <v>3329</v>
      </c>
      <c r="C90" s="41" t="s">
        <v>3330</v>
      </c>
      <c r="D90" s="64"/>
      <c r="E90" s="48"/>
      <c r="F90" s="60"/>
    </row>
    <row r="91" spans="2:6">
      <c r="B91" s="61" t="s">
        <v>3331</v>
      </c>
      <c r="C91" s="41" t="s">
        <v>3332</v>
      </c>
      <c r="D91" s="64"/>
      <c r="E91" s="48"/>
      <c r="F91" s="60"/>
    </row>
    <row r="92" spans="2:6">
      <c r="B92" s="61" t="s">
        <v>3333</v>
      </c>
      <c r="C92" s="41" t="s">
        <v>3334</v>
      </c>
      <c r="D92" s="64"/>
      <c r="E92" s="46"/>
      <c r="F92" s="60"/>
    </row>
    <row r="93" spans="2:6">
      <c r="B93" s="49" t="s">
        <v>3305</v>
      </c>
      <c r="C93" s="41" t="s">
        <v>3122</v>
      </c>
      <c r="D93" s="60"/>
      <c r="E93" s="63"/>
      <c r="F93" s="60"/>
    </row>
    <row r="94" spans="2:6">
      <c r="B94" s="61" t="s">
        <v>3335</v>
      </c>
      <c r="C94" s="41" t="s">
        <v>3336</v>
      </c>
      <c r="D94" s="64"/>
      <c r="E94" s="48"/>
      <c r="F94" s="60"/>
    </row>
    <row r="95" spans="2:6">
      <c r="B95" s="62" t="s">
        <v>3337</v>
      </c>
      <c r="C95" s="41" t="s">
        <v>3338</v>
      </c>
      <c r="D95" s="64"/>
      <c r="E95" s="48"/>
      <c r="F95" s="60"/>
    </row>
    <row r="96" spans="2:6">
      <c r="B96" s="62" t="s">
        <v>3339</v>
      </c>
      <c r="C96" s="41" t="s">
        <v>3340</v>
      </c>
      <c r="D96" s="64"/>
      <c r="E96" s="48"/>
      <c r="F96" s="60"/>
    </row>
    <row r="97" spans="2:12">
      <c r="B97" s="62" t="s">
        <v>3341</v>
      </c>
      <c r="C97" s="41" t="s">
        <v>3342</v>
      </c>
      <c r="D97" s="64"/>
      <c r="E97" s="48"/>
      <c r="F97" s="60"/>
    </row>
    <row r="98" spans="2:12">
      <c r="B98" s="61" t="s">
        <v>3343</v>
      </c>
      <c r="C98" s="41" t="s">
        <v>3344</v>
      </c>
      <c r="D98" s="64"/>
      <c r="E98" s="46"/>
      <c r="F98" s="60"/>
    </row>
    <row r="99" spans="2:12">
      <c r="B99" s="49" t="s">
        <v>3306</v>
      </c>
      <c r="C99" s="41" t="s">
        <v>3124</v>
      </c>
      <c r="D99" s="60"/>
      <c r="E99" s="60"/>
      <c r="F99" s="60"/>
    </row>
    <row r="100" spans="2:12">
      <c r="B100" s="49" t="s">
        <v>3307</v>
      </c>
      <c r="C100" s="41" t="s">
        <v>3126</v>
      </c>
      <c r="D100" s="60"/>
      <c r="E100" s="60"/>
      <c r="F100" s="60"/>
    </row>
    <row r="101" spans="2:12">
      <c r="B101" s="49" t="s">
        <v>3308</v>
      </c>
      <c r="C101" s="41" t="s">
        <v>3128</v>
      </c>
      <c r="D101" s="60"/>
      <c r="E101" s="60"/>
      <c r="F101" s="60"/>
    </row>
    <row r="102" spans="2:12">
      <c r="B102" s="49" t="s">
        <v>3312</v>
      </c>
      <c r="C102" s="41" t="s">
        <v>3136</v>
      </c>
      <c r="D102" s="60"/>
      <c r="E102" s="60"/>
      <c r="F102" s="60"/>
    </row>
    <row r="103" spans="2:12">
      <c r="B103" s="49" t="s">
        <v>3313</v>
      </c>
      <c r="C103" s="41" t="s">
        <v>3140</v>
      </c>
      <c r="D103" s="60"/>
      <c r="E103" s="60"/>
      <c r="F103" s="60"/>
    </row>
    <row r="104" spans="2:12">
      <c r="B104" s="47" t="s">
        <v>3314</v>
      </c>
      <c r="C104" s="41" t="s">
        <v>3315</v>
      </c>
      <c r="D104" s="60"/>
      <c r="E104" s="60"/>
      <c r="F104" s="60"/>
    </row>
    <row r="106" spans="2:12">
      <c r="K106" s="13" t="str">
        <f>Show!$B$34&amp;Show!$B$34&amp;"SE.02.01.18.01 Rows {"&amp;COLUMN($C$1)&amp;"}"</f>
        <v>!!SE.02.01.18.01 Rows {3}</v>
      </c>
      <c r="L106" s="13" t="str">
        <f>Show!$B$34&amp;Show!$B$34&amp;"SE.02.01.18.01 Columns {"&amp;COLUMN($F$1)&amp;"}"</f>
        <v>!!SE.02.01.18.01 Columns {6}</v>
      </c>
    </row>
  </sheetData>
  <sheetProtection sheet="1" objects="1" scenarios="1"/>
  <mergeCells count="6">
    <mergeCell ref="B2:O2"/>
    <mergeCell ref="B5:L5"/>
    <mergeCell ref="D9:F10"/>
    <mergeCell ref="D11:D14"/>
    <mergeCell ref="E11:E14"/>
    <mergeCell ref="F11:F1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75EB-F911-4357-AE6A-57807E88C161}">
  <sheetPr codeName="Blad39"/>
  <dimension ref="B2:O106"/>
  <sheetViews>
    <sheetView showGridLines="0" workbookViewId="0"/>
  </sheetViews>
  <sheetFormatPr defaultRowHeight="15"/>
  <cols>
    <col min="2" max="2" width="83.7109375" bestFit="1" customWidth="1"/>
    <col min="4" max="5" width="15.7109375" customWidth="1"/>
  </cols>
  <sheetData>
    <row r="2" spans="2:15" ht="23.25">
      <c r="B2" s="95" t="s">
        <v>557</v>
      </c>
      <c r="C2" s="96"/>
      <c r="D2" s="96"/>
      <c r="E2" s="96"/>
      <c r="F2" s="96"/>
      <c r="G2" s="96"/>
      <c r="H2" s="96"/>
      <c r="I2" s="96"/>
      <c r="J2" s="96"/>
      <c r="K2" s="96"/>
      <c r="L2" s="96"/>
      <c r="M2" s="96"/>
      <c r="N2" s="96"/>
      <c r="O2" s="96"/>
    </row>
    <row r="5" spans="2:15" ht="18.75">
      <c r="B5" s="97" t="s">
        <v>3347</v>
      </c>
      <c r="C5" s="96"/>
      <c r="D5" s="96"/>
      <c r="E5" s="96"/>
      <c r="F5" s="96"/>
      <c r="G5" s="96"/>
      <c r="H5" s="96"/>
      <c r="I5" s="96"/>
      <c r="J5" s="96"/>
      <c r="K5" s="96"/>
      <c r="L5" s="96"/>
    </row>
    <row r="9" spans="2:15">
      <c r="D9" s="101" t="s">
        <v>2877</v>
      </c>
      <c r="E9" s="103"/>
    </row>
    <row r="10" spans="2:15">
      <c r="D10" s="104"/>
      <c r="E10" s="106"/>
    </row>
    <row r="11" spans="2:15">
      <c r="D11" s="98" t="s">
        <v>3250</v>
      </c>
      <c r="E11" s="98" t="s">
        <v>3327</v>
      </c>
    </row>
    <row r="12" spans="2:15">
      <c r="D12" s="99"/>
      <c r="E12" s="99"/>
    </row>
    <row r="13" spans="2:15">
      <c r="D13" s="99"/>
      <c r="E13" s="99"/>
    </row>
    <row r="14" spans="2:15">
      <c r="D14" s="100"/>
      <c r="E14" s="100"/>
    </row>
    <row r="15" spans="2:15">
      <c r="D15" s="45" t="s">
        <v>2879</v>
      </c>
      <c r="E15" s="45" t="s">
        <v>3328</v>
      </c>
      <c r="J15" s="13" t="str">
        <f>Show!$B$35&amp;"SE.02.01.19.01 Rows {"&amp;COLUMN($C$1)&amp;"}"&amp;"@ForceFilingCode:true"</f>
        <v>!SE.02.01.19.01 Rows {3}@ForceFilingCode:true</v>
      </c>
      <c r="K15" s="13" t="str">
        <f>Show!$B$35&amp;"SE.02.01.19.01 Columns {"&amp;COLUMN($D$1)&amp;"}"</f>
        <v>!SE.02.01.19.01 Columns {4}</v>
      </c>
    </row>
    <row r="16" spans="2:15">
      <c r="B16" s="43" t="s">
        <v>2880</v>
      </c>
      <c r="C16" s="44" t="s">
        <v>2878</v>
      </c>
      <c r="D16" s="58"/>
      <c r="E16" s="59"/>
    </row>
    <row r="17" spans="2:5">
      <c r="B17" s="47" t="s">
        <v>3252</v>
      </c>
      <c r="C17" s="44" t="s">
        <v>2878</v>
      </c>
      <c r="D17" s="58"/>
      <c r="E17" s="59"/>
    </row>
    <row r="18" spans="2:5">
      <c r="B18" s="49" t="s">
        <v>3253</v>
      </c>
      <c r="C18" s="44" t="s">
        <v>2883</v>
      </c>
      <c r="D18" s="58"/>
      <c r="E18" s="48"/>
    </row>
    <row r="19" spans="2:5">
      <c r="B19" s="49" t="s">
        <v>3254</v>
      </c>
      <c r="C19" s="44" t="s">
        <v>2885</v>
      </c>
      <c r="D19" s="56"/>
      <c r="E19" s="46"/>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3"/>
    </row>
    <row r="45" spans="2:5">
      <c r="B45" s="61" t="s">
        <v>3273</v>
      </c>
      <c r="C45" s="41" t="s">
        <v>2935</v>
      </c>
      <c r="D45" s="64"/>
      <c r="E45" s="48"/>
    </row>
    <row r="46" spans="2:5">
      <c r="B46" s="62" t="s">
        <v>3274</v>
      </c>
      <c r="C46" s="41" t="s">
        <v>2937</v>
      </c>
      <c r="D46" s="64"/>
      <c r="E46" s="48"/>
    </row>
    <row r="47" spans="2:5">
      <c r="B47" s="62" t="s">
        <v>3275</v>
      </c>
      <c r="C47" s="41" t="s">
        <v>2939</v>
      </c>
      <c r="D47" s="64"/>
      <c r="E47" s="48"/>
    </row>
    <row r="48" spans="2:5">
      <c r="B48" s="61" t="s">
        <v>3276</v>
      </c>
      <c r="C48" s="41" t="s">
        <v>2941</v>
      </c>
      <c r="D48" s="64"/>
      <c r="E48" s="48"/>
    </row>
    <row r="49" spans="2:5">
      <c r="B49" s="62" t="s">
        <v>3277</v>
      </c>
      <c r="C49" s="41" t="s">
        <v>2943</v>
      </c>
      <c r="D49" s="64"/>
      <c r="E49" s="48"/>
    </row>
    <row r="50" spans="2:5">
      <c r="B50" s="62" t="s">
        <v>3278</v>
      </c>
      <c r="C50" s="41" t="s">
        <v>2945</v>
      </c>
      <c r="D50" s="64"/>
      <c r="E50" s="48"/>
    </row>
    <row r="51" spans="2:5">
      <c r="B51" s="61" t="s">
        <v>3279</v>
      </c>
      <c r="C51" s="41" t="s">
        <v>2947</v>
      </c>
      <c r="D51" s="64"/>
      <c r="E51" s="46"/>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3286</v>
      </c>
      <c r="C56" s="41" t="s">
        <v>2961</v>
      </c>
      <c r="D56" s="60"/>
      <c r="E56" s="60"/>
    </row>
    <row r="57" spans="2:5">
      <c r="B57" s="49" t="s">
        <v>3287</v>
      </c>
      <c r="C57" s="41" t="s">
        <v>2963</v>
      </c>
      <c r="D57" s="60"/>
      <c r="E57" s="60"/>
    </row>
    <row r="58" spans="2:5">
      <c r="B58" s="49" t="s">
        <v>3288</v>
      </c>
      <c r="C58" s="41" t="s">
        <v>2977</v>
      </c>
      <c r="D58" s="63"/>
      <c r="E58" s="63"/>
    </row>
    <row r="59" spans="2:5">
      <c r="B59" s="47" t="s">
        <v>2389</v>
      </c>
      <c r="C59" s="44" t="s">
        <v>2878</v>
      </c>
      <c r="D59" s="56"/>
      <c r="E59" s="57"/>
    </row>
    <row r="60" spans="2:5">
      <c r="B60" s="49" t="s">
        <v>3289</v>
      </c>
      <c r="C60" s="41" t="s">
        <v>2979</v>
      </c>
      <c r="D60" s="60"/>
      <c r="E60" s="63"/>
    </row>
    <row r="61" spans="2:5">
      <c r="B61" s="61" t="s">
        <v>3290</v>
      </c>
      <c r="C61" s="41" t="s">
        <v>2981</v>
      </c>
      <c r="D61" s="64"/>
      <c r="E61" s="48"/>
    </row>
    <row r="62" spans="2:5">
      <c r="B62" s="62" t="s">
        <v>3291</v>
      </c>
      <c r="C62" s="41" t="s">
        <v>2983</v>
      </c>
      <c r="D62" s="64"/>
      <c r="E62" s="48"/>
    </row>
    <row r="63" spans="2:5">
      <c r="B63" s="62" t="s">
        <v>3292</v>
      </c>
      <c r="C63" s="41" t="s">
        <v>2985</v>
      </c>
      <c r="D63" s="64"/>
      <c r="E63" s="48"/>
    </row>
    <row r="64" spans="2:5">
      <c r="B64" s="62" t="s">
        <v>3293</v>
      </c>
      <c r="C64" s="41" t="s">
        <v>2987</v>
      </c>
      <c r="D64" s="64"/>
      <c r="E64" s="48"/>
    </row>
    <row r="65" spans="2:5">
      <c r="B65" s="61" t="s">
        <v>3294</v>
      </c>
      <c r="C65" s="41" t="s">
        <v>2989</v>
      </c>
      <c r="D65" s="64"/>
      <c r="E65" s="48"/>
    </row>
    <row r="66" spans="2:5">
      <c r="B66" s="62" t="s">
        <v>3291</v>
      </c>
      <c r="C66" s="41" t="s">
        <v>2991</v>
      </c>
      <c r="D66" s="64"/>
      <c r="E66" s="48"/>
    </row>
    <row r="67" spans="2:5">
      <c r="B67" s="62" t="s">
        <v>3292</v>
      </c>
      <c r="C67" s="41" t="s">
        <v>2993</v>
      </c>
      <c r="D67" s="64"/>
      <c r="E67" s="48"/>
    </row>
    <row r="68" spans="2:5">
      <c r="B68" s="62" t="s">
        <v>3293</v>
      </c>
      <c r="C68" s="41" t="s">
        <v>2995</v>
      </c>
      <c r="D68" s="64"/>
      <c r="E68" s="46"/>
    </row>
    <row r="69" spans="2:5">
      <c r="B69" s="49" t="s">
        <v>3295</v>
      </c>
      <c r="C69" s="41" t="s">
        <v>2997</v>
      </c>
      <c r="D69" s="60"/>
      <c r="E69" s="63"/>
    </row>
    <row r="70" spans="2:5">
      <c r="B70" s="61" t="s">
        <v>3296</v>
      </c>
      <c r="C70" s="41" t="s">
        <v>2999</v>
      </c>
      <c r="D70" s="64"/>
      <c r="E70" s="48"/>
    </row>
    <row r="71" spans="2:5">
      <c r="B71" s="62" t="s">
        <v>3291</v>
      </c>
      <c r="C71" s="41" t="s">
        <v>3001</v>
      </c>
      <c r="D71" s="64"/>
      <c r="E71" s="48"/>
    </row>
    <row r="72" spans="2:5">
      <c r="B72" s="62" t="s">
        <v>3292</v>
      </c>
      <c r="C72" s="41" t="s">
        <v>3003</v>
      </c>
      <c r="D72" s="64"/>
      <c r="E72" s="48"/>
    </row>
    <row r="73" spans="2:5">
      <c r="B73" s="62" t="s">
        <v>3293</v>
      </c>
      <c r="C73" s="41" t="s">
        <v>3005</v>
      </c>
      <c r="D73" s="64"/>
      <c r="E73" s="48"/>
    </row>
    <row r="74" spans="2:5">
      <c r="B74" s="61" t="s">
        <v>3297</v>
      </c>
      <c r="C74" s="41" t="s">
        <v>3007</v>
      </c>
      <c r="D74" s="64"/>
      <c r="E74" s="48"/>
    </row>
    <row r="75" spans="2:5">
      <c r="B75" s="62" t="s">
        <v>3291</v>
      </c>
      <c r="C75" s="41" t="s">
        <v>3009</v>
      </c>
      <c r="D75" s="64"/>
      <c r="E75" s="48"/>
    </row>
    <row r="76" spans="2:5">
      <c r="B76" s="62" t="s">
        <v>3292</v>
      </c>
      <c r="C76" s="41" t="s">
        <v>3011</v>
      </c>
      <c r="D76" s="64"/>
      <c r="E76" s="48"/>
    </row>
    <row r="77" spans="2:5">
      <c r="B77" s="62" t="s">
        <v>3293</v>
      </c>
      <c r="C77" s="41" t="s">
        <v>3013</v>
      </c>
      <c r="D77" s="64"/>
      <c r="E77" s="46"/>
    </row>
    <row r="78" spans="2:5">
      <c r="B78" s="49" t="s">
        <v>3298</v>
      </c>
      <c r="C78" s="41" t="s">
        <v>3015</v>
      </c>
      <c r="D78" s="60"/>
      <c r="E78" s="63"/>
    </row>
    <row r="79" spans="2:5">
      <c r="B79" s="61" t="s">
        <v>3291</v>
      </c>
      <c r="C79" s="41" t="s">
        <v>3064</v>
      </c>
      <c r="D79" s="64"/>
      <c r="E79" s="48"/>
    </row>
    <row r="80" spans="2:5">
      <c r="B80" s="61" t="s">
        <v>3292</v>
      </c>
      <c r="C80" s="41" t="s">
        <v>3066</v>
      </c>
      <c r="D80" s="64"/>
      <c r="E80" s="48"/>
    </row>
    <row r="81" spans="2:5">
      <c r="B81" s="61" t="s">
        <v>3293</v>
      </c>
      <c r="C81" s="41" t="s">
        <v>3068</v>
      </c>
      <c r="D81" s="65"/>
      <c r="E81" s="48"/>
    </row>
    <row r="82" spans="2:5">
      <c r="B82" s="49" t="s">
        <v>3299</v>
      </c>
      <c r="C82" s="44" t="s">
        <v>3070</v>
      </c>
      <c r="D82" s="56"/>
      <c r="E82" s="46"/>
    </row>
    <row r="83" spans="2:5">
      <c r="B83" s="49" t="s">
        <v>2698</v>
      </c>
      <c r="C83" s="41" t="s">
        <v>3017</v>
      </c>
      <c r="D83" s="60"/>
      <c r="E83" s="60"/>
    </row>
    <row r="84" spans="2:5">
      <c r="B84" s="49" t="s">
        <v>3300</v>
      </c>
      <c r="C84" s="41" t="s">
        <v>3019</v>
      </c>
      <c r="D84" s="60"/>
      <c r="E84" s="60"/>
    </row>
    <row r="85" spans="2:5">
      <c r="B85" s="49" t="s">
        <v>3301</v>
      </c>
      <c r="C85" s="41" t="s">
        <v>3021</v>
      </c>
      <c r="D85" s="60"/>
      <c r="E85" s="60"/>
    </row>
    <row r="86" spans="2:5">
      <c r="B86" s="49" t="s">
        <v>3302</v>
      </c>
      <c r="C86" s="41" t="s">
        <v>3023</v>
      </c>
      <c r="D86" s="60"/>
      <c r="E86" s="60"/>
    </row>
    <row r="87" spans="2:5">
      <c r="B87" s="49" t="s">
        <v>3303</v>
      </c>
      <c r="C87" s="41" t="s">
        <v>3072</v>
      </c>
      <c r="D87" s="60"/>
      <c r="E87" s="60"/>
    </row>
    <row r="88" spans="2:5">
      <c r="B88" s="49" t="s">
        <v>2481</v>
      </c>
      <c r="C88" s="41" t="s">
        <v>3118</v>
      </c>
      <c r="D88" s="60"/>
      <c r="E88" s="60"/>
    </row>
    <row r="89" spans="2:5">
      <c r="B89" s="49" t="s">
        <v>3304</v>
      </c>
      <c r="C89" s="41" t="s">
        <v>3120</v>
      </c>
      <c r="D89" s="60"/>
      <c r="E89" s="60"/>
    </row>
    <row r="90" spans="2:5">
      <c r="B90" s="61" t="s">
        <v>3329</v>
      </c>
      <c r="C90" s="41" t="s">
        <v>3330</v>
      </c>
      <c r="D90" s="60"/>
      <c r="E90" s="60"/>
    </row>
    <row r="91" spans="2:5">
      <c r="B91" s="61" t="s">
        <v>3331</v>
      </c>
      <c r="C91" s="41" t="s">
        <v>3332</v>
      </c>
      <c r="D91" s="60"/>
      <c r="E91" s="60"/>
    </row>
    <row r="92" spans="2:5">
      <c r="B92" s="61" t="s">
        <v>3333</v>
      </c>
      <c r="C92" s="41" t="s">
        <v>3334</v>
      </c>
      <c r="D92" s="60"/>
      <c r="E92" s="60"/>
    </row>
    <row r="93" spans="2:5">
      <c r="B93" s="49" t="s">
        <v>3305</v>
      </c>
      <c r="C93" s="41" t="s">
        <v>3122</v>
      </c>
      <c r="D93" s="60"/>
      <c r="E93" s="60"/>
    </row>
    <row r="94" spans="2:5">
      <c r="B94" s="61" t="s">
        <v>3335</v>
      </c>
      <c r="C94" s="41" t="s">
        <v>3336</v>
      </c>
      <c r="D94" s="60"/>
      <c r="E94" s="60"/>
    </row>
    <row r="95" spans="2:5">
      <c r="B95" s="62" t="s">
        <v>3337</v>
      </c>
      <c r="C95" s="41" t="s">
        <v>3338</v>
      </c>
      <c r="D95" s="60"/>
      <c r="E95" s="60"/>
    </row>
    <row r="96" spans="2:5">
      <c r="B96" s="62" t="s">
        <v>3339</v>
      </c>
      <c r="C96" s="41" t="s">
        <v>3340</v>
      </c>
      <c r="D96" s="60"/>
      <c r="E96" s="60"/>
    </row>
    <row r="97" spans="2:11">
      <c r="B97" s="62" t="s">
        <v>3341</v>
      </c>
      <c r="C97" s="41" t="s">
        <v>3342</v>
      </c>
      <c r="D97" s="60"/>
      <c r="E97" s="60"/>
    </row>
    <row r="98" spans="2:11">
      <c r="B98" s="61" t="s">
        <v>3343</v>
      </c>
      <c r="C98" s="41" t="s">
        <v>3344</v>
      </c>
      <c r="D98" s="60"/>
      <c r="E98" s="60"/>
    </row>
    <row r="99" spans="2:11">
      <c r="B99" s="49" t="s">
        <v>3306</v>
      </c>
      <c r="C99" s="41" t="s">
        <v>3124</v>
      </c>
      <c r="D99" s="60"/>
      <c r="E99" s="60"/>
    </row>
    <row r="100" spans="2:11">
      <c r="B100" s="49" t="s">
        <v>3307</v>
      </c>
      <c r="C100" s="41" t="s">
        <v>3126</v>
      </c>
      <c r="D100" s="60"/>
      <c r="E100" s="60"/>
    </row>
    <row r="101" spans="2:11">
      <c r="B101" s="49" t="s">
        <v>3308</v>
      </c>
      <c r="C101" s="41" t="s">
        <v>3128</v>
      </c>
      <c r="D101" s="60"/>
      <c r="E101" s="60"/>
    </row>
    <row r="102" spans="2:11">
      <c r="B102" s="49" t="s">
        <v>3312</v>
      </c>
      <c r="C102" s="41" t="s">
        <v>3136</v>
      </c>
      <c r="D102" s="60"/>
      <c r="E102" s="60"/>
    </row>
    <row r="103" spans="2:11">
      <c r="B103" s="49" t="s">
        <v>3313</v>
      </c>
      <c r="C103" s="41" t="s">
        <v>3140</v>
      </c>
      <c r="D103" s="60"/>
      <c r="E103" s="60"/>
    </row>
    <row r="104" spans="2:11">
      <c r="B104" s="47" t="s">
        <v>3314</v>
      </c>
      <c r="C104" s="41" t="s">
        <v>3315</v>
      </c>
      <c r="D104" s="60"/>
      <c r="E104" s="60"/>
    </row>
    <row r="106" spans="2:11">
      <c r="J106" s="13" t="str">
        <f>Show!$B$35&amp;Show!$B$35&amp;"SE.02.01.19.01 Rows {"&amp;COLUMN($C$1)&amp;"}"</f>
        <v>!!SE.02.01.19.01 Rows {3}</v>
      </c>
      <c r="K106" s="13" t="str">
        <f>Show!$B$35&amp;Show!$B$35&amp;"SE.02.01.19.01 Columns {"&amp;COLUMN($E$1)&amp;"}"</f>
        <v>!!SE.02.01.19.01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E0BE-3B95-48F2-99FA-271E9F9D02B5}">
  <sheetPr codeName="Blad2"/>
  <dimension ref="A1:U1618"/>
  <sheetViews>
    <sheetView topLeftCell="A832" workbookViewId="0">
      <selection activeCell="C868" sqref="C868"/>
    </sheetView>
  </sheetViews>
  <sheetFormatPr defaultRowHeight="15"/>
  <cols>
    <col min="1" max="1" width="50.140625" customWidth="1"/>
  </cols>
  <sheetData>
    <row r="1" spans="1:21">
      <c r="A1" t="s">
        <v>508</v>
      </c>
      <c r="B1" t="s">
        <v>509</v>
      </c>
      <c r="C1" t="s">
        <v>29</v>
      </c>
      <c r="D1" t="s">
        <v>473</v>
      </c>
      <c r="E1" t="s">
        <v>475</v>
      </c>
      <c r="F1" t="s">
        <v>477</v>
      </c>
      <c r="G1" t="s">
        <v>479</v>
      </c>
      <c r="H1" t="s">
        <v>481</v>
      </c>
      <c r="I1" t="s">
        <v>483</v>
      </c>
      <c r="J1" t="s">
        <v>485</v>
      </c>
      <c r="K1" t="s">
        <v>487</v>
      </c>
      <c r="L1" t="s">
        <v>489</v>
      </c>
      <c r="M1" t="s">
        <v>491</v>
      </c>
      <c r="N1" t="s">
        <v>493</v>
      </c>
      <c r="O1" t="s">
        <v>495</v>
      </c>
      <c r="P1" t="s">
        <v>497</v>
      </c>
      <c r="Q1" t="s">
        <v>499</v>
      </c>
      <c r="R1" t="s">
        <v>501</v>
      </c>
      <c r="S1" t="s">
        <v>503</v>
      </c>
      <c r="T1" t="s">
        <v>505</v>
      </c>
      <c r="U1" t="s">
        <v>507</v>
      </c>
    </row>
    <row r="2" spans="1:21">
      <c r="A2" s="34" t="s">
        <v>510</v>
      </c>
      <c r="B2" t="str">
        <f>IF(HLOOKUP('General data'!$E$22,$C$1:$U$2,2,FALSE)="X","/","!")</f>
        <v>!</v>
      </c>
      <c r="C2" t="s">
        <v>511</v>
      </c>
    </row>
    <row r="3" spans="1:21">
      <c r="A3" s="34" t="s">
        <v>513</v>
      </c>
      <c r="B3" t="str">
        <f>IF(HLOOKUP('General data'!$E$22,$C$1:$U$3,3,FALSE)="X","/","!")</f>
        <v>!</v>
      </c>
      <c r="D3" t="s">
        <v>511</v>
      </c>
    </row>
    <row r="4" spans="1:21">
      <c r="A4" s="34" t="s">
        <v>514</v>
      </c>
      <c r="B4" t="str">
        <f>IF(HLOOKUP('General data'!$E$22,$C$1:$U$4,4,FALSE)="X","/","!")</f>
        <v>!</v>
      </c>
      <c r="E4" t="s">
        <v>511</v>
      </c>
    </row>
    <row r="5" spans="1:21">
      <c r="A5" s="34" t="s">
        <v>515</v>
      </c>
      <c r="B5" t="str">
        <f>IF(HLOOKUP('General data'!$E$22,$C$1:$U$5,5,FALSE)="X","/","!")</f>
        <v>!</v>
      </c>
      <c r="F5" t="s">
        <v>511</v>
      </c>
    </row>
    <row r="6" spans="1:21">
      <c r="A6" s="34" t="s">
        <v>516</v>
      </c>
      <c r="B6" t="str">
        <f>IF(HLOOKUP('General data'!$E$22,$C$1:$U$6,6,FALSE)="X","/","!")</f>
        <v>!</v>
      </c>
      <c r="G6" t="s">
        <v>511</v>
      </c>
    </row>
    <row r="7" spans="1:21">
      <c r="A7" s="34" t="s">
        <v>517</v>
      </c>
      <c r="B7" t="str">
        <f>IF(HLOOKUP('General data'!$E$22,$C$1:$U$7,7,FALSE)="X","/","!")</f>
        <v>!</v>
      </c>
      <c r="H7" t="s">
        <v>511</v>
      </c>
    </row>
    <row r="8" spans="1:21">
      <c r="A8" s="34" t="s">
        <v>518</v>
      </c>
      <c r="B8" t="str">
        <f>IF(HLOOKUP('General data'!$E$22,$C$1:$U$8,8,FALSE)="X","/","!")</f>
        <v>!</v>
      </c>
      <c r="I8" t="s">
        <v>511</v>
      </c>
    </row>
    <row r="9" spans="1:21">
      <c r="A9" s="34" t="s">
        <v>519</v>
      </c>
      <c r="B9" t="str">
        <f>IF(HLOOKUP('General data'!$E$22,$C$1:$U$9,9,FALSE)="X","/","!")</f>
        <v>!</v>
      </c>
      <c r="J9" t="s">
        <v>511</v>
      </c>
    </row>
    <row r="10" spans="1:21">
      <c r="A10" s="34" t="s">
        <v>520</v>
      </c>
      <c r="B10" t="str">
        <f>IF(HLOOKUP('General data'!$E$22,$C$1:$U$10,10,FALSE)="X","/","!")</f>
        <v>!</v>
      </c>
      <c r="K10" t="s">
        <v>511</v>
      </c>
    </row>
    <row r="11" spans="1:21">
      <c r="A11" s="34" t="s">
        <v>521</v>
      </c>
      <c r="B11" t="str">
        <f>IF(HLOOKUP('General data'!$E$22,$C$1:$U$11,11,FALSE)="X","/","!")</f>
        <v>!</v>
      </c>
      <c r="L11" t="s">
        <v>511</v>
      </c>
    </row>
    <row r="12" spans="1:21">
      <c r="A12" s="34" t="s">
        <v>522</v>
      </c>
      <c r="B12" t="str">
        <f>IF(HLOOKUP('General data'!$E$22,$C$1:$U$12,12,FALSE)="X","/","!")</f>
        <v>!</v>
      </c>
      <c r="M12" t="s">
        <v>511</v>
      </c>
    </row>
    <row r="13" spans="1:21">
      <c r="A13" s="34" t="s">
        <v>523</v>
      </c>
      <c r="B13" t="str">
        <f>IF(HLOOKUP('General data'!$E$22,$C$1:$U$13,13,FALSE)="X","/","!")</f>
        <v>!</v>
      </c>
      <c r="N13" t="s">
        <v>511</v>
      </c>
    </row>
    <row r="14" spans="1:21">
      <c r="A14" s="34" t="s">
        <v>524</v>
      </c>
      <c r="B14" t="str">
        <f>IF(HLOOKUP('General data'!$E$22,$C$1:$U$14,14,FALSE)="X","/","!")</f>
        <v>!</v>
      </c>
      <c r="C14" t="s">
        <v>511</v>
      </c>
      <c r="O14" t="s">
        <v>511</v>
      </c>
    </row>
    <row r="15" spans="1:21">
      <c r="A15" s="34" t="s">
        <v>525</v>
      </c>
      <c r="B15" t="str">
        <f>IF(HLOOKUP('General data'!$E$22,$C$1:$U$15,15,FALSE)="X","/","!")</f>
        <v>!</v>
      </c>
      <c r="E15" t="s">
        <v>511</v>
      </c>
    </row>
    <row r="16" spans="1:21">
      <c r="A16" s="34" t="s">
        <v>526</v>
      </c>
      <c r="B16" t="str">
        <f>IF(HLOOKUP('General data'!$E$22,$C$1:$U$16,16,FALSE)="X","/","!")</f>
        <v>!</v>
      </c>
      <c r="G16" t="s">
        <v>511</v>
      </c>
      <c r="Q16" t="s">
        <v>511</v>
      </c>
    </row>
    <row r="17" spans="1:21">
      <c r="A17" s="34" t="s">
        <v>527</v>
      </c>
      <c r="B17" t="str">
        <f>IF(HLOOKUP('General data'!$E$22,$C$1:$U$17,17,FALSE)="X","/","!")</f>
        <v>!</v>
      </c>
      <c r="O17" t="s">
        <v>511</v>
      </c>
    </row>
    <row r="18" spans="1:21">
      <c r="A18" s="34" t="s">
        <v>529</v>
      </c>
      <c r="B18" t="str">
        <f>IF(HLOOKUP('General data'!$E$22,$C$1:$U$18,18,FALSE)="X","/","!")</f>
        <v>!</v>
      </c>
      <c r="P18" t="s">
        <v>511</v>
      </c>
    </row>
    <row r="19" spans="1:21">
      <c r="A19" s="34" t="s">
        <v>531</v>
      </c>
      <c r="B19" t="str">
        <f>IF(HLOOKUP('General data'!$E$22,$C$1:$U$19,19,FALSE)="X","/","!")</f>
        <v>!</v>
      </c>
      <c r="Q19" t="s">
        <v>511</v>
      </c>
    </row>
    <row r="20" spans="1:21">
      <c r="A20" s="34" t="s">
        <v>533</v>
      </c>
      <c r="B20" t="str">
        <f>IF(HLOOKUP('General data'!$E$22,$C$1:$U$20,20,FALSE)="X","/","!")</f>
        <v>!</v>
      </c>
      <c r="R20" t="s">
        <v>511</v>
      </c>
    </row>
    <row r="21" spans="1:21">
      <c r="A21" s="34" t="s">
        <v>535</v>
      </c>
      <c r="B21" t="str">
        <f>IF(AND(HLOOKUP('General data'!$E$22,$C$1:$V$21,21,FALSE)="X",OR(LEFT('S.01.01.02'!$D$16,8)="Reported",LEFT('S.01.01.01'!$D$16,8)="Reported",LEFT('S.01.01.10'!$D$16,8)="Reported",LEFT('S.01.01.11'!$D$16,8)="Reported",LEFT('SE.01.01.16'!$D$16,8)="Reported",LEFT('SE.01.01.17'!$D$16,8)="Reported")),"/","!")</f>
        <v>!</v>
      </c>
      <c r="C21" t="s">
        <v>511</v>
      </c>
      <c r="D21" t="s">
        <v>511</v>
      </c>
      <c r="I21" t="s">
        <v>511</v>
      </c>
      <c r="J21" t="s">
        <v>511</v>
      </c>
      <c r="O21" t="s">
        <v>511</v>
      </c>
      <c r="P21" t="s">
        <v>511</v>
      </c>
    </row>
    <row r="22" spans="1:21">
      <c r="A22" s="34" t="s">
        <v>537</v>
      </c>
      <c r="B22" t="str">
        <f>IF(AND(HLOOKUP('General data'!$E$22,$C$1:$V$22,22,FALSE)="X",OR(LEFT('S.01.01.05'!$D$16,8)="Reported",LEFT('S.01.01.04'!$D$16,8)="Reported",LEFT('S.01.01.12'!$D$16,8)="Reported",LEFT('S.01.01.13'!$D$16,8)="Reported")),"/","!")</f>
        <v>!</v>
      </c>
      <c r="E22" t="s">
        <v>511</v>
      </c>
      <c r="F22" t="s">
        <v>511</v>
      </c>
      <c r="K22" t="s">
        <v>511</v>
      </c>
      <c r="L22" t="s">
        <v>511</v>
      </c>
    </row>
    <row r="23" spans="1:21">
      <c r="A23" s="34" t="s">
        <v>538</v>
      </c>
      <c r="B23" t="str">
        <f>IF(AND(HLOOKUP('General data'!$E$22,$C$1:$V$23,23,FALSE)="X",OR(LEFT('S.01.01.08'!$D$16,8)="Reported",LEFT('S.01.01.07'!$D$16,8)="Reported",LEFT('S.01.01.14'!$D$16,8)="Reported",LEFT('S.01.01.15'!$D$16,8)="Reported",LEFT('SE.01.01.18'!$D$16,8)="Reported",LEFT('SE.01.01.19'!$D$16,8)="Reported")),"/","!")</f>
        <v>!</v>
      </c>
      <c r="G23" t="s">
        <v>511</v>
      </c>
      <c r="H23" t="s">
        <v>511</v>
      </c>
      <c r="M23" t="s">
        <v>511</v>
      </c>
      <c r="N23" t="s">
        <v>511</v>
      </c>
      <c r="Q23" t="s">
        <v>511</v>
      </c>
      <c r="R23" t="s">
        <v>511</v>
      </c>
    </row>
    <row r="24" spans="1:21">
      <c r="A24" s="34" t="s">
        <v>540</v>
      </c>
      <c r="B24" t="str">
        <f>IF(AND(HLOOKUP('General data'!$E$22,$C$1:$V$24,24,FALSE)="X",OR(LEFT('S.01.01.07'!$D$17,8)="Reported",LEFT('S.01.01.01'!$D$17,8)="Reported",LEFT('SE.01.01.16'!$D$17,8)="Reported",LEFT('SE.01.01.18'!$D$17,8)="Reported")),"/","!")</f>
        <v>!</v>
      </c>
      <c r="C24" t="s">
        <v>511</v>
      </c>
      <c r="G24" t="s">
        <v>511</v>
      </c>
      <c r="O24" t="s">
        <v>511</v>
      </c>
      <c r="Q24" t="s">
        <v>511</v>
      </c>
    </row>
    <row r="25" spans="1:21">
      <c r="A25" s="34" t="s">
        <v>542</v>
      </c>
      <c r="B25" t="str">
        <f>IF(AND(HLOOKUP('General data'!$E$22,$C$1:$V$25,25,FALSE)="X",LEFT('S.01.01.04'!$D$17,8)="Reported"),"/","!")</f>
        <v>!</v>
      </c>
      <c r="E25" t="s">
        <v>511</v>
      </c>
    </row>
    <row r="26" spans="1:21">
      <c r="A26" s="34" t="s">
        <v>543</v>
      </c>
      <c r="B26" t="str">
        <f>IF(AND(HLOOKUP('General data'!$E$22,$C$1:$V$26,26,FALSE)="X",OR(LEFT('S.01.01.04'!$D$18,8)="Reported",LEFT('S.01.01.01'!$D$18,8)="Reported")),"/","!")</f>
        <v>!</v>
      </c>
      <c r="C26" t="s">
        <v>511</v>
      </c>
      <c r="E26" t="s">
        <v>511</v>
      </c>
    </row>
    <row r="27" spans="1:21">
      <c r="A27" s="34" t="s">
        <v>545</v>
      </c>
      <c r="B27" t="str">
        <f>IF(AND(HLOOKUP('General data'!$E$22,$C$1:$V$27,27,FALSE)="X",OR(LEFT('S.01.01.05'!$D$17,8)="Reported",LEFT('S.01.01.02'!$D$17,8)="Reported",LEFT('S.01.01.13'!$D$17,8)="Reported")),"/","!")</f>
        <v>!</v>
      </c>
      <c r="D27" t="s">
        <v>511</v>
      </c>
      <c r="F27" t="s">
        <v>511</v>
      </c>
      <c r="L27" t="s">
        <v>511</v>
      </c>
      <c r="T27" t="s">
        <v>511</v>
      </c>
      <c r="U27" t="s">
        <v>511</v>
      </c>
    </row>
    <row r="28" spans="1:21">
      <c r="A28" s="34" t="s">
        <v>546</v>
      </c>
      <c r="B28" t="str">
        <f>IF(AND(HLOOKUP('General data'!$E$22,$C$1:$V$28,28,FALSE)="X",LEFT('S.01.01.07'!$D$18,8)="Reported"),"/","!")</f>
        <v>!</v>
      </c>
      <c r="G28" t="s">
        <v>511</v>
      </c>
    </row>
    <row r="29" spans="1:21">
      <c r="A29" s="34" t="s">
        <v>547</v>
      </c>
      <c r="B29" t="str">
        <f>IF(AND(HLOOKUP('General data'!$E$22,$C$1:$V$29,29,FALSE)="X",LEFT('S.01.01.08'!$D$17,8)="Reported"),"/","!")</f>
        <v>!</v>
      </c>
      <c r="H29" t="s">
        <v>511</v>
      </c>
    </row>
    <row r="30" spans="1:21">
      <c r="A30" s="34" t="s">
        <v>548</v>
      </c>
      <c r="B30" t="str">
        <f>IF(AND(HLOOKUP('General data'!$E$22,$C$1:$V$30,30,FALSE)="X",OR(LEFT('SR.01.01.04'!$D$20,8)="Reported",LEFT('SR.01.01.01'!$D$20,8)="Reported")),"/","!")</f>
        <v>!</v>
      </c>
      <c r="C30" t="s">
        <v>511</v>
      </c>
      <c r="E30" t="s">
        <v>511</v>
      </c>
      <c r="O30" t="s">
        <v>511</v>
      </c>
    </row>
    <row r="31" spans="1:21">
      <c r="A31" s="34" t="s">
        <v>549</v>
      </c>
      <c r="B31" t="str">
        <f>IF(AND(HLOOKUP('General data'!$E$22,$C$1:$V$31,31,FALSE)="X",LEFT('SR.01.01.07'!$D$20,8)="Reported"),"/","!")</f>
        <v>!</v>
      </c>
      <c r="G31" t="s">
        <v>511</v>
      </c>
      <c r="Q31" t="s">
        <v>511</v>
      </c>
    </row>
    <row r="32" spans="1:21">
      <c r="A32" s="34" t="s">
        <v>550</v>
      </c>
      <c r="B32" t="str">
        <f>IF(AND(HLOOKUP('General data'!$E$22,$C$1:$V$32,32,FALSE)="X",LEFT('SE.01.01.16'!$D$18,8)="Reported"),"/","!")</f>
        <v>!</v>
      </c>
      <c r="O32" t="s">
        <v>511</v>
      </c>
    </row>
    <row r="33" spans="1:21">
      <c r="A33" s="34" t="s">
        <v>552</v>
      </c>
      <c r="B33" t="str">
        <f>IF(AND(HLOOKUP('General data'!$E$22,$C$1:$V$33,33,FALSE)="X",LEFT('SE.01.01.17'!$D$17,8)="Reported"),"/","!")</f>
        <v>!</v>
      </c>
      <c r="P33" t="s">
        <v>511</v>
      </c>
    </row>
    <row r="34" spans="1:21">
      <c r="A34" s="34" t="s">
        <v>554</v>
      </c>
      <c r="B34" t="str">
        <f>IF(AND(HLOOKUP('General data'!$E$22,$C$1:$V$34,34,FALSE)="X",LEFT('SE.01.01.18'!$D$18,8)="Reported"),"/","!")</f>
        <v>!</v>
      </c>
      <c r="Q34" t="s">
        <v>511</v>
      </c>
    </row>
    <row r="35" spans="1:21">
      <c r="A35" s="34" t="s">
        <v>556</v>
      </c>
      <c r="B35" t="str">
        <f>IF(AND(HLOOKUP('General data'!$E$22,$C$1:$V$35,35,FALSE)="X",LEFT('SE.01.01.19'!$D$17,8)="Reported"),"/","!")</f>
        <v>!</v>
      </c>
      <c r="R35" t="s">
        <v>511</v>
      </c>
    </row>
    <row r="36" spans="1:21">
      <c r="A36" s="34" t="s">
        <v>558</v>
      </c>
      <c r="B36" t="str">
        <f>IF(AND(HLOOKUP('General data'!$E$22,$C$1:$V$36,36,FALSE)="X",OR(LEFT('S.01.01.04'!$D$19,8)="Reported",LEFT('S.01.01.01'!$D$19,8)="Reported",LEFT('S.01.01.07'!$D$19,8)="Reported",LEFT('SE.01.01.16'!$D$19,8)="Reported",LEFT('SE.01.01.18'!$D$19,8)="Reported")),"/","!")</f>
        <v>!</v>
      </c>
      <c r="C36" t="s">
        <v>511</v>
      </c>
      <c r="E36" t="s">
        <v>511</v>
      </c>
      <c r="G36" t="s">
        <v>511</v>
      </c>
      <c r="O36" t="s">
        <v>511</v>
      </c>
      <c r="Q36" t="s">
        <v>511</v>
      </c>
    </row>
    <row r="37" spans="1:21">
      <c r="A37" s="34" t="s">
        <v>560</v>
      </c>
      <c r="B37" t="str">
        <f>IF(AND(HLOOKUP('General data'!$E$22,$C$1:$V$37,37,FALSE)="X",OR(LEFT('SE.01.01.18'!$D$20,8)="Reported",LEFT('S.01.01.07'!$D$20,8)="Reported")),"/","!")</f>
        <v>!</v>
      </c>
      <c r="G37" t="s">
        <v>511</v>
      </c>
      <c r="Q37" t="s">
        <v>511</v>
      </c>
    </row>
    <row r="38" spans="1:21">
      <c r="A38" s="34" t="s">
        <v>562</v>
      </c>
      <c r="B38" t="str">
        <f>IF(AND(HLOOKUP('General data'!$E$22,$C$1:$V$38,38,FALSE)="X",OR(LEFT('S.01.01.07'!$D$21,8)="Reported",LEFT('S.01.01.01'!$D$20,8)="Reported",LEFT('SE.01.01.16'!$D$20,8)="Reported",LEFT('SE.01.01.18'!$D$21,8)="Reported")),"/","!")</f>
        <v>!</v>
      </c>
      <c r="C38" t="s">
        <v>511</v>
      </c>
      <c r="G38" t="s">
        <v>511</v>
      </c>
      <c r="O38" t="s">
        <v>511</v>
      </c>
      <c r="Q38" t="s">
        <v>511</v>
      </c>
    </row>
    <row r="39" spans="1:21">
      <c r="A39" s="34" t="s">
        <v>564</v>
      </c>
      <c r="B39" t="str">
        <f>IF(AND(HLOOKUP('General data'!$E$22,$C$1:$V$39,39,FALSE)="X",LEFT('S.01.01.04'!$D$20,8)="Reported"),"/","!")</f>
        <v>!</v>
      </c>
      <c r="E39" t="s">
        <v>511</v>
      </c>
    </row>
    <row r="40" spans="1:21">
      <c r="A40" s="34" t="s">
        <v>565</v>
      </c>
      <c r="B40" t="str">
        <f>IF(AND(HLOOKUP('General data'!$E$22,$C$1:$V$40,40,FALSE)="X",OR(LEFT('S.01.01.07'!$D$22,8)="Reported",LEFT('S.01.01.01'!$D$21,8)="Reported",LEFT('SE.01.01.16'!$D$21,8)="Reported",LEFT('SE.01.01.18'!$D$22,8)="Reported")),"/","!")</f>
        <v>!</v>
      </c>
      <c r="C40" t="s">
        <v>511</v>
      </c>
      <c r="G40" t="s">
        <v>511</v>
      </c>
      <c r="O40" t="s">
        <v>511</v>
      </c>
      <c r="Q40" t="s">
        <v>511</v>
      </c>
    </row>
    <row r="41" spans="1:21">
      <c r="A41" s="34" t="s">
        <v>567</v>
      </c>
      <c r="B41" t="str">
        <f>IF(AND(HLOOKUP('General data'!$E$22,$C$1:$V$41,41,FALSE)="X",LEFT('S.01.01.04'!$D$21,8)="Reported"),"/","!")</f>
        <v>!</v>
      </c>
      <c r="E41" t="s">
        <v>511</v>
      </c>
    </row>
    <row r="42" spans="1:21">
      <c r="A42" s="34" t="s">
        <v>569</v>
      </c>
      <c r="B42" t="str">
        <f>IF(AND(HLOOKUP('General data'!$E$22,$C$1:$V$42,42,FALSE)="X",OR(LEFT('S.01.01.07'!$D$23,8)="Reported",LEFT('S.01.01.01'!$D$22,8)="Reported",LEFT('SE.01.01.16'!$D$22,8)="Reported",LEFT('SE.01.01.18'!$D$23,8)="Reported")),"/","!")</f>
        <v>!</v>
      </c>
      <c r="C42" t="s">
        <v>511</v>
      </c>
      <c r="G42" t="s">
        <v>511</v>
      </c>
      <c r="O42" t="s">
        <v>511</v>
      </c>
      <c r="Q42" t="s">
        <v>511</v>
      </c>
    </row>
    <row r="43" spans="1:21">
      <c r="A43" s="34" t="s">
        <v>571</v>
      </c>
      <c r="B43" t="str">
        <f>IF(AND(HLOOKUP('General data'!$E$22,$C$1:$V$43,43,FALSE)="X",LEFT('S.01.01.04'!$D$22,8)="Reported"),"/","!")</f>
        <v>!</v>
      </c>
      <c r="E43" t="s">
        <v>511</v>
      </c>
    </row>
    <row r="44" spans="1:21">
      <c r="A44" s="34" t="s">
        <v>573</v>
      </c>
      <c r="B44" t="str">
        <f>IF(AND(HLOOKUP('General data'!$E$22,$C$1:$V$44,44,FALSE)="X",OR(LEFT('SE.01.01.16'!$D$23,8)="Reported",LEFT('S.01.01.01'!$D$23,8)="Reported")),"/","!")</f>
        <v>!</v>
      </c>
      <c r="C44" t="s">
        <v>511</v>
      </c>
      <c r="O44" t="s">
        <v>511</v>
      </c>
    </row>
    <row r="45" spans="1:21">
      <c r="A45" s="34" t="s">
        <v>575</v>
      </c>
      <c r="B45" t="str">
        <f>IF(AND(HLOOKUP('General data'!$E$22,$C$1:$V$45,45,FALSE)="X",OR(LEFT('SE.01.01.16'!$D$24,8)="Reported",LEFT('S.01.01.01'!$D$24,8)="Reported")),"/","!")</f>
        <v>!</v>
      </c>
      <c r="C45" t="s">
        <v>511</v>
      </c>
      <c r="O45" t="s">
        <v>511</v>
      </c>
    </row>
    <row r="46" spans="1:21">
      <c r="A46" s="34" t="s">
        <v>577</v>
      </c>
      <c r="B46" t="str">
        <f>IF(AND(HLOOKUP('General data'!$E$22,$C$1:$V$46,46,FALSE)="X",OR(LEFT('S.01.01.04'!$D$23,8)="Reported",LEFT('S.01.01.01'!$D$25,8)="Reported",LEFT('S.01.01.07'!$D$24,8)="Reported",LEFT('SE.01.01.16'!$D$25,8)="Reported",LEFT('SE.01.01.18'!$D$24,8)="Reported")),"/","!")</f>
        <v>!</v>
      </c>
      <c r="C46" t="s">
        <v>511</v>
      </c>
      <c r="E46" t="s">
        <v>511</v>
      </c>
      <c r="G46" t="s">
        <v>511</v>
      </c>
      <c r="O46" t="s">
        <v>511</v>
      </c>
      <c r="Q46" t="s">
        <v>511</v>
      </c>
    </row>
    <row r="47" spans="1:21">
      <c r="A47" s="34" t="s">
        <v>579</v>
      </c>
      <c r="B47" t="str">
        <f>IF(AND(HLOOKUP('General data'!$E$22,$C$1:$V$47,47,FALSE)="X",OR(LEFT('S.01.01.05'!$D$18,8)="Reported",LEFT('S.01.01.02'!$D$18,8)="Reported",LEFT('S.01.01.08'!$D$18,8)="Reported",LEFT('SE.01.01.17'!$D$18,8)="Reported",LEFT('SE.01.01.19'!$D$18,8)="Reported")),"/","!")</f>
        <v>!</v>
      </c>
      <c r="D47" t="s">
        <v>511</v>
      </c>
      <c r="F47" t="s">
        <v>511</v>
      </c>
      <c r="H47" t="s">
        <v>511</v>
      </c>
      <c r="P47" t="s">
        <v>511</v>
      </c>
      <c r="R47" t="s">
        <v>511</v>
      </c>
      <c r="T47" t="s">
        <v>511</v>
      </c>
      <c r="U47" t="s">
        <v>511</v>
      </c>
    </row>
    <row r="48" spans="1:21">
      <c r="A48" s="34" t="s">
        <v>580</v>
      </c>
      <c r="B48" t="str">
        <f>IF(AND(HLOOKUP('General data'!$E$22,$C$1:$V$48,48,FALSE)="X",LEFT('S.01.01.13'!$D$18,8)="Reported"),"/","!")</f>
        <v>!</v>
      </c>
      <c r="L48" t="s">
        <v>511</v>
      </c>
    </row>
    <row r="49" spans="1:21">
      <c r="A49" s="34" t="s">
        <v>581</v>
      </c>
      <c r="B49" t="str">
        <f>IF(AND(HLOOKUP('General data'!$E$22,$C$1:$V$49,49,FALSE)="X",OR(LEFT('S.01.01.04'!$D$24,8)="Reported",LEFT('S.01.01.01'!$D$26,8)="Reported",LEFT('S.01.01.07'!$D$25,8)="Reported",LEFT('SE.01.01.16'!$D$26,8)="Reported",LEFT('SE.01.01.18'!$D$25,8)="Reported")),"/","!")</f>
        <v>!</v>
      </c>
      <c r="C49" t="s">
        <v>511</v>
      </c>
      <c r="E49" t="s">
        <v>511</v>
      </c>
      <c r="G49" t="s">
        <v>511</v>
      </c>
      <c r="O49" t="s">
        <v>511</v>
      </c>
      <c r="Q49" t="s">
        <v>511</v>
      </c>
      <c r="T49" t="s">
        <v>511</v>
      </c>
      <c r="U49" t="s">
        <v>511</v>
      </c>
    </row>
    <row r="50" spans="1:21">
      <c r="A50" s="34" t="s">
        <v>583</v>
      </c>
      <c r="B50" t="str">
        <f>IF(AND(HLOOKUP('General data'!$E$22,$C$1:$V$50,50,FALSE)="X",OR(LEFT('S.01.01.04'!$D$25,8)="Reported",LEFT('S.01.01.01'!$D$27,8)="Reported",LEFT('SE.01.01.16'!$D$27,8)="Reported")),"/","!")</f>
        <v>!</v>
      </c>
      <c r="C50" t="s">
        <v>511</v>
      </c>
      <c r="E50" t="s">
        <v>511</v>
      </c>
      <c r="O50" t="s">
        <v>511</v>
      </c>
    </row>
    <row r="51" spans="1:21">
      <c r="A51" s="34" t="s">
        <v>585</v>
      </c>
      <c r="B51" t="str">
        <f>IF(AND(HLOOKUP('General data'!$E$22,$C$1:$V$51,51,FALSE)="X",OR(LEFT('S.01.01.02'!$D$19,8)="Reported",LEFT('S.01.01.01'!$D$28,8)="Reported")),"/","!")</f>
        <v>!</v>
      </c>
      <c r="C51" t="s">
        <v>511</v>
      </c>
      <c r="D51" t="s">
        <v>511</v>
      </c>
    </row>
    <row r="52" spans="1:21">
      <c r="A52" s="34" t="s">
        <v>587</v>
      </c>
      <c r="B52" t="str">
        <f>IF(AND(HLOOKUP('General data'!$E$22,$C$1:$V$52,52,FALSE)="X",OR(LEFT('S.01.01.05'!$D$19,8)="Reported",LEFT('S.01.01.04'!$D$26,8)="Reported",LEFT('S.01.01.13'!$D$19,8)="Reported")),"/","!")</f>
        <v>!</v>
      </c>
      <c r="E52" t="s">
        <v>511</v>
      </c>
      <c r="F52" t="s">
        <v>511</v>
      </c>
      <c r="L52" t="s">
        <v>511</v>
      </c>
    </row>
    <row r="53" spans="1:21">
      <c r="A53" s="34" t="s">
        <v>588</v>
      </c>
      <c r="B53" t="str">
        <f>IF(AND(HLOOKUP('General data'!$E$22,$C$1:$V$53,53,FALSE)="X",OR(LEFT('S.01.01.08'!$D$19,8)="Reported",LEFT('S.01.01.07'!$D$26,8)="Reported")),"/","!")</f>
        <v>!</v>
      </c>
      <c r="G53" t="s">
        <v>511</v>
      </c>
      <c r="H53" t="s">
        <v>511</v>
      </c>
    </row>
    <row r="54" spans="1:21">
      <c r="A54" s="34" t="s">
        <v>589</v>
      </c>
      <c r="B54" t="str">
        <f>IF(AND(HLOOKUP('General data'!$E$22,$C$1:$V$54,54,FALSE)="X",OR(LEFT('SE.01.01.17'!$D$19,8)="Reported",LEFT('SE.01.01.16'!$D$28,8)="Reported")),"/","!")</f>
        <v>!</v>
      </c>
      <c r="O54" t="s">
        <v>511</v>
      </c>
      <c r="P54" t="s">
        <v>511</v>
      </c>
    </row>
    <row r="55" spans="1:21">
      <c r="A55" s="34" t="s">
        <v>591</v>
      </c>
      <c r="B55" t="str">
        <f>IF(AND(HLOOKUP('General data'!$E$22,$C$1:$V$55,55,FALSE)="X",OR(LEFT('SE.01.01.19'!$D$19,8)="Reported",LEFT('SE.01.01.18'!$D$26,8)="Reported")),"/","!")</f>
        <v>!</v>
      </c>
      <c r="Q55" t="s">
        <v>511</v>
      </c>
      <c r="R55" t="s">
        <v>511</v>
      </c>
    </row>
    <row r="56" spans="1:21">
      <c r="A56" s="34" t="s">
        <v>593</v>
      </c>
      <c r="B56" t="str">
        <f>IF(AND(HLOOKUP('General data'!$E$22,$C$1:$V$56,56,FALSE)="X",OR(LEFT('S.01.01.02'!$D$20,8)="Reported",LEFT('S.01.01.01'!$D$29,8)="Reported",LEFT('S.01.01.07'!$D$27,8)="Reported",LEFT('S.01.01.08'!$D$20,8)="Reported",LEFT('SE.01.01.16'!$D$29,8)="Reported",LEFT('SE.01.01.17'!$D$20,8)="Reported",LEFT('SE.01.01.18'!$D$27,8)="Reported",LEFT('SE.01.01.19'!$D$20,8)="Reported")),"/","!")</f>
        <v>!</v>
      </c>
      <c r="C56" t="s">
        <v>511</v>
      </c>
      <c r="D56" t="s">
        <v>511</v>
      </c>
      <c r="G56" t="s">
        <v>511</v>
      </c>
      <c r="H56" t="s">
        <v>511</v>
      </c>
      <c r="O56" t="s">
        <v>511</v>
      </c>
      <c r="P56" t="s">
        <v>511</v>
      </c>
      <c r="Q56" t="s">
        <v>511</v>
      </c>
      <c r="R56" t="s">
        <v>511</v>
      </c>
    </row>
    <row r="57" spans="1:21">
      <c r="A57" s="34" t="s">
        <v>595</v>
      </c>
      <c r="B57" t="str">
        <f>IF(AND(HLOOKUP('General data'!$E$22,$C$1:$V$57,57,FALSE)="X",OR(LEFT('S.01.01.05'!$D$20,8)="Reported",LEFT('S.01.01.04'!$D$27,8)="Reported")),"/","!")</f>
        <v>!</v>
      </c>
      <c r="E57" t="s">
        <v>511</v>
      </c>
      <c r="F57" t="s">
        <v>511</v>
      </c>
    </row>
    <row r="58" spans="1:21">
      <c r="A58" s="34" t="s">
        <v>596</v>
      </c>
      <c r="B58" t="str">
        <f>IF(AND(HLOOKUP('General data'!$E$22,$C$1:$V$58,58,FALSE)="X",OR(LEFT('S.01.01.07'!$D$28,8)="Reported",LEFT('S.01.01.01'!$D$30,8)="Reported",LEFT('SE.01.01.16'!$D$30,8)="Reported",LEFT('SE.01.01.18'!$D$28,8)="Reported")),"/","!")</f>
        <v>!</v>
      </c>
      <c r="C58" t="s">
        <v>511</v>
      </c>
      <c r="G58" t="s">
        <v>511</v>
      </c>
      <c r="O58" t="s">
        <v>511</v>
      </c>
      <c r="Q58" t="s">
        <v>511</v>
      </c>
    </row>
    <row r="59" spans="1:21">
      <c r="A59" s="34" t="s">
        <v>598</v>
      </c>
      <c r="B59" t="str">
        <f>IF(AND(HLOOKUP('General data'!$E$22,$C$1:$V$59,59,FALSE)="X",LEFT('S.01.01.04'!$D$28,8)="Reported"),"/","!")</f>
        <v>!</v>
      </c>
      <c r="E59" t="s">
        <v>511</v>
      </c>
    </row>
    <row r="60" spans="1:21">
      <c r="A60" s="34" t="s">
        <v>599</v>
      </c>
      <c r="B60" t="str">
        <f>IF(AND(HLOOKUP('General data'!$E$22,$C$1:$V$60,60,FALSE)="X",OR(LEFT('S.01.01.02'!$D$21,8)="Reported",LEFT('S.01.01.01'!$D$31,8)="Reported",LEFT('S.01.01.07'!$D$29,8)="Reported",LEFT('S.01.01.08'!$D$21,8)="Reported",LEFT('SE.01.01.16'!$D$31,8)="Reported",LEFT('SE.01.01.17'!$D$21,8)="Reported",LEFT('SE.01.01.18'!$D$29,8)="Reported",LEFT('SE.01.01.19'!$D$21,8)="Reported")),"/","!")</f>
        <v>!</v>
      </c>
      <c r="C60" t="s">
        <v>511</v>
      </c>
      <c r="D60" t="s">
        <v>511</v>
      </c>
      <c r="G60" t="s">
        <v>511</v>
      </c>
      <c r="H60" t="s">
        <v>511</v>
      </c>
      <c r="O60" t="s">
        <v>511</v>
      </c>
      <c r="P60" t="s">
        <v>511</v>
      </c>
      <c r="Q60" t="s">
        <v>511</v>
      </c>
      <c r="R60" t="s">
        <v>511</v>
      </c>
    </row>
    <row r="61" spans="1:21">
      <c r="A61" s="34" t="s">
        <v>601</v>
      </c>
      <c r="B61" t="str">
        <f>IF(AND(HLOOKUP('General data'!$E$22,$C$1:$V$61,61,FALSE)="X",OR(LEFT('S.01.01.05'!$D$21,8)="Reported",LEFT('S.01.01.04'!$D$29,8)="Reported")),"/","!")</f>
        <v>!</v>
      </c>
      <c r="E61" t="s">
        <v>511</v>
      </c>
      <c r="F61" t="s">
        <v>511</v>
      </c>
    </row>
    <row r="62" spans="1:21">
      <c r="A62" s="34" t="s">
        <v>602</v>
      </c>
      <c r="B62" t="str">
        <f>IF(AND(HLOOKUP('General data'!$E$22,$C$1:$V$62,62,FALSE)="X",OR(LEFT('S.01.01.02'!$D$22,8)="Reported",LEFT('S.01.01.01'!$D$32,8)="Reported",LEFT('S.01.01.07'!$D$30,8)="Reported",LEFT('S.01.01.08'!$D$22,8)="Reported",LEFT('SE.01.01.16'!$D$32,8)="Reported",LEFT('SE.01.01.17'!$D$22,8)="Reported",LEFT('SE.01.01.18'!$D$30,8)="Reported",LEFT('SE.01.01.19'!$D$22,8)="Reported")),"/","!")</f>
        <v>!</v>
      </c>
      <c r="C62" t="s">
        <v>511</v>
      </c>
      <c r="D62" t="s">
        <v>511</v>
      </c>
      <c r="G62" t="s">
        <v>511</v>
      </c>
      <c r="H62" t="s">
        <v>511</v>
      </c>
      <c r="O62" t="s">
        <v>511</v>
      </c>
      <c r="P62" t="s">
        <v>511</v>
      </c>
      <c r="Q62" t="s">
        <v>511</v>
      </c>
      <c r="R62" t="s">
        <v>511</v>
      </c>
    </row>
    <row r="63" spans="1:21">
      <c r="A63" s="34" t="s">
        <v>604</v>
      </c>
      <c r="B63" t="str">
        <f>IF(AND(HLOOKUP('General data'!$E$22,$C$1:$V$63,63,FALSE)="X",OR(LEFT('S.01.01.05'!$D$22,8)="Reported",LEFT('S.01.01.04'!$D$30,8)="Reported")),"/","!")</f>
        <v>!</v>
      </c>
      <c r="E63" t="s">
        <v>511</v>
      </c>
      <c r="F63" t="s">
        <v>511</v>
      </c>
    </row>
    <row r="64" spans="1:21">
      <c r="A64" s="34" t="s">
        <v>605</v>
      </c>
      <c r="B64" t="str">
        <f>IF(AND(HLOOKUP('General data'!$E$22,$C$1:$V$64,64,FALSE)="X",OR(LEFT('S.01.01.07'!$D$31,8)="Reported",LEFT('S.01.01.01'!$D$33,8)="Reported",LEFT('SE.01.01.16'!$D$33,8)="Reported",LEFT('SE.01.01.18'!$D$31,8)="Reported")),"/","!")</f>
        <v>!</v>
      </c>
      <c r="C64" t="s">
        <v>511</v>
      </c>
      <c r="G64" t="s">
        <v>511</v>
      </c>
      <c r="O64" t="s">
        <v>511</v>
      </c>
      <c r="Q64" t="s">
        <v>511</v>
      </c>
    </row>
    <row r="65" spans="1:20">
      <c r="A65" s="34" t="s">
        <v>607</v>
      </c>
      <c r="B65" t="str">
        <f>IF(AND(HLOOKUP('General data'!$E$22,$C$1:$V$65,65,FALSE)="X",LEFT('S.01.01.04'!$D$31,8)="Reported"),"/","!")</f>
        <v>!</v>
      </c>
      <c r="E65" t="s">
        <v>511</v>
      </c>
    </row>
    <row r="66" spans="1:20">
      <c r="A66" s="34" t="s">
        <v>608</v>
      </c>
      <c r="B66" t="str">
        <f>IF(AND(HLOOKUP('General data'!$E$22,$C$1:$V$66,66,FALSE)="X",OR(LEFT('S.01.01.07'!$D$32,8)="Reported",LEFT('S.01.01.01'!$D$34,8)="Reported",LEFT('SE.01.01.16'!$D$34,8)="Reported",LEFT('SE.01.01.18'!$D$32,8)="Reported")),"/","!")</f>
        <v>!</v>
      </c>
      <c r="C66" t="s">
        <v>511</v>
      </c>
      <c r="G66" t="s">
        <v>511</v>
      </c>
      <c r="O66" t="s">
        <v>511</v>
      </c>
      <c r="Q66" t="s">
        <v>511</v>
      </c>
    </row>
    <row r="67" spans="1:20">
      <c r="A67" s="34" t="s">
        <v>610</v>
      </c>
      <c r="B67" t="str">
        <f>IF(AND(HLOOKUP('General data'!$E$22,$C$1:$V$67,67,FALSE)="X",LEFT('S.01.01.04'!$D$32,8)="Reported"),"/","!")</f>
        <v>!</v>
      </c>
      <c r="E67" t="s">
        <v>511</v>
      </c>
    </row>
    <row r="68" spans="1:20">
      <c r="A68" s="34" t="s">
        <v>611</v>
      </c>
      <c r="B68" t="str">
        <f>IF(AND(HLOOKUP('General data'!$E$22,$C$1:$V$68,68,FALSE)="X",OR(LEFT('S.01.01.07'!$D$33,8)="Reported",LEFT('S.01.01.01'!$D$35,8)="Reported",LEFT('SE.01.01.16'!$D$35,8)="Reported",LEFT('SE.01.01.18'!$D$33,8)="Reported")),"/","!")</f>
        <v>!</v>
      </c>
      <c r="C68" t="s">
        <v>511</v>
      </c>
      <c r="G68" t="s">
        <v>511</v>
      </c>
      <c r="O68" t="s">
        <v>511</v>
      </c>
      <c r="Q68" t="s">
        <v>511</v>
      </c>
    </row>
    <row r="69" spans="1:20">
      <c r="A69" s="34" t="s">
        <v>613</v>
      </c>
      <c r="B69" t="str">
        <f>IF(AND(HLOOKUP('General data'!$E$22,$C$1:$V$69,69,FALSE)="X",LEFT('S.01.01.04'!$D$33,8)="Reported"),"/","!")</f>
        <v>!</v>
      </c>
      <c r="E69" t="s">
        <v>511</v>
      </c>
    </row>
    <row r="70" spans="1:20">
      <c r="A70" s="34" t="s">
        <v>614</v>
      </c>
      <c r="B70" t="str">
        <f>IF(AND(HLOOKUP('General data'!$E$22,$C$1:$V$70,70,FALSE)="X",OR(LEFT('S.01.01.07'!$D$34,8)="Reported",LEFT('S.01.01.01'!$D$36,8)="Reported",LEFT('SE.01.01.16'!$D$36,8)="Reported",LEFT('SE.01.01.18'!$D$34,8)="Reported")),"/","!")</f>
        <v>!</v>
      </c>
      <c r="C70" t="s">
        <v>511</v>
      </c>
      <c r="G70" t="s">
        <v>511</v>
      </c>
      <c r="O70" t="s">
        <v>511</v>
      </c>
      <c r="Q70" t="s">
        <v>511</v>
      </c>
    </row>
    <row r="71" spans="1:20">
      <c r="A71" s="34" t="s">
        <v>616</v>
      </c>
      <c r="B71" t="str">
        <f>IF(AND(HLOOKUP('General data'!$E$22,$C$1:$V$71,71,FALSE)="X",OR(LEFT('S.01.01.08'!$D$23,8)="Reported",LEFT('S.01.01.02'!$D$23,8)="Reported",LEFT('SE.01.01.17'!$D$23,8)="Reported",LEFT('SE.01.01.19'!$D$23,8)="Reported")),"/","!")</f>
        <v>!</v>
      </c>
      <c r="D71" t="s">
        <v>511</v>
      </c>
      <c r="H71" t="s">
        <v>511</v>
      </c>
      <c r="P71" t="s">
        <v>511</v>
      </c>
      <c r="R71" t="s">
        <v>511</v>
      </c>
      <c r="T71" t="s">
        <v>511</v>
      </c>
    </row>
    <row r="72" spans="1:20">
      <c r="A72" s="34" t="s">
        <v>617</v>
      </c>
      <c r="B72" t="str">
        <f>IF(AND(HLOOKUP('General data'!$E$22,$C$1:$V$72,72,FALSE)="X",OR(LEFT('SR.01.01.07'!$D$21,8)="Reported",LEFT('SR.01.01.01'!$D$21,8)="Reported")),"/","!")</f>
        <v>!</v>
      </c>
      <c r="C72" t="s">
        <v>511</v>
      </c>
      <c r="G72" t="s">
        <v>511</v>
      </c>
      <c r="O72" t="s">
        <v>511</v>
      </c>
      <c r="Q72" t="s">
        <v>511</v>
      </c>
    </row>
    <row r="73" spans="1:20">
      <c r="A73" s="34" t="s">
        <v>618</v>
      </c>
      <c r="B73" t="str">
        <f>IF(AND(HLOOKUP('General data'!$E$22,$C$1:$V$73,73,FALSE)="X",OR(LEFT('S.01.01.07'!$D$35,8)="Reported",LEFT('S.01.01.01'!$D$37,8)="Reported",LEFT('SE.01.01.16'!$D$37,8)="Reported",LEFT('SE.01.01.18'!$D$35,8)="Reported")),"/","!")</f>
        <v>!</v>
      </c>
      <c r="C73" t="s">
        <v>511</v>
      </c>
      <c r="G73" t="s">
        <v>511</v>
      </c>
      <c r="O73" t="s">
        <v>511</v>
      </c>
      <c r="Q73" t="s">
        <v>511</v>
      </c>
    </row>
    <row r="74" spans="1:20">
      <c r="A74" s="34" t="s">
        <v>620</v>
      </c>
      <c r="B74" t="str">
        <f>IF(AND(HLOOKUP('General data'!$E$22,$C$1:$V$74,74,FALSE)="X",OR(LEFT('S.01.01.07'!$D$36,8)="Reported",LEFT('S.01.01.01'!$D$38,8)="Reported",LEFT('SE.01.01.16'!$D$38,8)="Reported",LEFT('SE.01.01.18'!$D$36,8)="Reported")),"/","!")</f>
        <v>!</v>
      </c>
      <c r="C74" t="s">
        <v>511</v>
      </c>
      <c r="G74" t="s">
        <v>511</v>
      </c>
      <c r="O74" t="s">
        <v>511</v>
      </c>
      <c r="Q74" t="s">
        <v>511</v>
      </c>
    </row>
    <row r="75" spans="1:20">
      <c r="A75" s="34" t="s">
        <v>622</v>
      </c>
      <c r="B75" t="str">
        <f>IF(AND(HLOOKUP('General data'!$E$22,$C$1:$V$75,75,FALSE)="X",OR(LEFT('S.01.01.07'!$D$37,8)="Reported",LEFT('S.01.01.01'!$D$39,8)="Reported",LEFT('SE.01.01.16'!$D$39,8)="Reported",LEFT('SE.01.01.18'!$D$37,8)="Reported")),"/","!")</f>
        <v>!</v>
      </c>
      <c r="C75" t="s">
        <v>511</v>
      </c>
      <c r="G75" t="s">
        <v>511</v>
      </c>
      <c r="O75" t="s">
        <v>511</v>
      </c>
      <c r="Q75" t="s">
        <v>511</v>
      </c>
    </row>
    <row r="76" spans="1:20">
      <c r="A76" s="34" t="s">
        <v>624</v>
      </c>
      <c r="B76" t="str">
        <f>IF(AND(HLOOKUP('General data'!$E$22,$C$1:$V$76,76,FALSE)="X",OR(LEFT('S.01.01.12'!$D$17,8)="Reported",LEFT('S.01.01.10'!$D$17,8)="Reported",LEFT('S.01.01.14'!$D$17,8)="Reported")),"/","!")</f>
        <v>!</v>
      </c>
      <c r="I76" t="s">
        <v>511</v>
      </c>
      <c r="K76" t="s">
        <v>511</v>
      </c>
      <c r="M76" t="s">
        <v>511</v>
      </c>
    </row>
    <row r="77" spans="1:20">
      <c r="A77" s="34" t="s">
        <v>625</v>
      </c>
      <c r="B77" t="str">
        <f>IF(AND(HLOOKUP('General data'!$E$22,$C$1:$V$77,77,FALSE)="X",OR(LEFT('S.01.01.07'!$D$38,8)="Reported",LEFT('S.01.01.01'!$D$40,8)="Reported",LEFT('SE.01.01.16'!$D$40,8)="Reported",LEFT('SE.01.01.18'!$D$38,8)="Reported")),"/","!")</f>
        <v>!</v>
      </c>
      <c r="C77" t="s">
        <v>511</v>
      </c>
      <c r="G77" t="s">
        <v>511</v>
      </c>
      <c r="O77" t="s">
        <v>511</v>
      </c>
      <c r="Q77" t="s">
        <v>511</v>
      </c>
    </row>
    <row r="78" spans="1:20">
      <c r="A78" s="34" t="s">
        <v>627</v>
      </c>
      <c r="B78" t="str">
        <f>IF(AND(HLOOKUP('General data'!$E$22,$C$1:$V$78,78,FALSE)="X",LEFT('S.01.01.04'!$D$34,8)="Reported"),"/","!")</f>
        <v>!</v>
      </c>
      <c r="E78" t="s">
        <v>511</v>
      </c>
    </row>
    <row r="79" spans="1:20">
      <c r="A79" s="34" t="s">
        <v>628</v>
      </c>
      <c r="B79" t="str">
        <f>IF(AND(HLOOKUP('General data'!$E$22,$C$1:$V$79,79,FALSE)="X",OR(LEFT('S.01.01.07'!$D$39,8)="Reported",LEFT('S.01.01.01'!$D$41,8)="Reported",LEFT('SE.01.01.16'!$D$41,8)="Reported",LEFT('SE.01.01.18'!$D$39,8)="Reported")),"/","!")</f>
        <v>!</v>
      </c>
      <c r="C79" t="s">
        <v>511</v>
      </c>
      <c r="G79" t="s">
        <v>511</v>
      </c>
      <c r="O79" t="s">
        <v>511</v>
      </c>
      <c r="Q79" t="s">
        <v>511</v>
      </c>
    </row>
    <row r="80" spans="1:20">
      <c r="A80" s="34" t="s">
        <v>630</v>
      </c>
      <c r="B80" t="str">
        <f>IF(AND(HLOOKUP('General data'!$E$22,$C$1:$V$80,80,FALSE)="X",LEFT('S.01.01.04'!$D$35,8)="Reported"),"/","!")</f>
        <v>!</v>
      </c>
      <c r="E80" t="s">
        <v>511</v>
      </c>
    </row>
    <row r="81" spans="1:21">
      <c r="A81" s="34" t="s">
        <v>631</v>
      </c>
      <c r="B81" t="str">
        <f>IF(AND(HLOOKUP('General data'!$E$22,$C$1:$V$81,81,FALSE)="X",OR(LEFT('S.01.01.07'!$D$40,8)="Reported",LEFT('S.01.01.01'!$D$42,8)="Reported",LEFT('SE.01.01.16'!$D$42,8)="Reported",LEFT('SE.01.01.18'!$D$40,8)="Reported")),"/","!")</f>
        <v>!</v>
      </c>
      <c r="C81" t="s">
        <v>511</v>
      </c>
      <c r="G81" t="s">
        <v>511</v>
      </c>
      <c r="O81" t="s">
        <v>511</v>
      </c>
      <c r="Q81" t="s">
        <v>511</v>
      </c>
    </row>
    <row r="82" spans="1:21">
      <c r="A82" s="34" t="s">
        <v>633</v>
      </c>
      <c r="B82" t="str">
        <f>IF(AND(HLOOKUP('General data'!$E$22,$C$1:$V$82,82,FALSE)="X",OR(LEFT('S.01.01.07'!$D$41,8)="Reported",LEFT('S.01.01.01'!$D$43,8)="Reported",LEFT('SE.01.01.16'!$D$43,8)="Reported",LEFT('SE.01.01.18'!$D$41,8)="Reported")),"/","!")</f>
        <v>!</v>
      </c>
      <c r="C82" t="s">
        <v>511</v>
      </c>
      <c r="G82" t="s">
        <v>511</v>
      </c>
      <c r="O82" t="s">
        <v>511</v>
      </c>
      <c r="Q82" t="s">
        <v>511</v>
      </c>
    </row>
    <row r="83" spans="1:21">
      <c r="A83" s="34" t="s">
        <v>635</v>
      </c>
      <c r="B83" t="str">
        <f>IF(AND(HLOOKUP('General data'!$E$22,$C$1:$V$83,83,FALSE)="X",OR(LEFT('S.01.01.08'!$D$24,8)="Reported",LEFT('S.01.01.02'!$D$24,8)="Reported",LEFT('SE.01.01.17'!$D$24,8)="Reported",LEFT('SE.01.01.19'!$D$24,8)="Reported")),"/","!")</f>
        <v>!</v>
      </c>
      <c r="D83" t="s">
        <v>511</v>
      </c>
      <c r="H83" t="s">
        <v>511</v>
      </c>
      <c r="P83" t="s">
        <v>511</v>
      </c>
      <c r="R83" t="s">
        <v>511</v>
      </c>
      <c r="T83" t="s">
        <v>511</v>
      </c>
    </row>
    <row r="84" spans="1:21">
      <c r="A84" s="34" t="s">
        <v>636</v>
      </c>
      <c r="B84" t="str">
        <f>IF(AND(HLOOKUP('General data'!$E$22,$C$1:$V$84,84,FALSE)="X",OR(LEFT('SR.01.01.07'!$D$22,8)="Reported",LEFT('SR.01.01.01'!$D$22,8)="Reported")),"/","!")</f>
        <v>!</v>
      </c>
      <c r="C84" t="s">
        <v>511</v>
      </c>
      <c r="G84" t="s">
        <v>511</v>
      </c>
      <c r="O84" t="s">
        <v>511</v>
      </c>
      <c r="Q84" t="s">
        <v>511</v>
      </c>
    </row>
    <row r="85" spans="1:21">
      <c r="A85" s="34" t="s">
        <v>637</v>
      </c>
      <c r="B85" t="str">
        <f>IF(AND(HLOOKUP('General data'!$E$22,$C$1:$V$85,85,FALSE)="X",OR(LEFT('S.01.01.07'!$D$42,8)="Reported",LEFT('S.01.01.01'!$D$44,8)="Reported",LEFT('SE.01.01.16'!$D$44,8)="Reported",LEFT('SE.01.01.18'!$D$42,8)="Reported")),"/","!")</f>
        <v>!</v>
      </c>
      <c r="C85" t="s">
        <v>511</v>
      </c>
      <c r="G85" t="s">
        <v>511</v>
      </c>
      <c r="O85" t="s">
        <v>511</v>
      </c>
      <c r="Q85" t="s">
        <v>511</v>
      </c>
    </row>
    <row r="86" spans="1:21">
      <c r="A86" s="34" t="s">
        <v>639</v>
      </c>
      <c r="B86" t="str">
        <f>IF(AND(HLOOKUP('General data'!$E$22,$C$1:$V$86,86,FALSE)="X",OR(LEFT('S.01.01.07'!$D$43,8)="Reported",LEFT('S.01.01.01'!$D$45,8)="Reported",LEFT('SE.01.01.16'!$D$45,8)="Reported",LEFT('SE.01.01.18'!$D$43,8)="Reported")),"/","!")</f>
        <v>!</v>
      </c>
      <c r="C86" t="s">
        <v>511</v>
      </c>
      <c r="G86" t="s">
        <v>511</v>
      </c>
      <c r="O86" t="s">
        <v>511</v>
      </c>
      <c r="Q86" t="s">
        <v>511</v>
      </c>
    </row>
    <row r="87" spans="1:21">
      <c r="A87" s="34" t="s">
        <v>641</v>
      </c>
      <c r="B87" t="str">
        <f>IF(AND(HLOOKUP('General data'!$E$22,$C$1:$V$87,87,FALSE)="X",OR(LEFT('S.01.01.07'!$D$44,8)="Reported",LEFT('S.01.01.01'!$D$46,8)="Reported",LEFT('SE.01.01.16'!$D$46,8)="Reported",LEFT('SE.01.01.18'!$D$44,8)="Reported")),"/","!")</f>
        <v>!</v>
      </c>
      <c r="C87" t="s">
        <v>511</v>
      </c>
      <c r="G87" t="s">
        <v>511</v>
      </c>
      <c r="O87" t="s">
        <v>511</v>
      </c>
      <c r="Q87" t="s">
        <v>511</v>
      </c>
    </row>
    <row r="88" spans="1:21">
      <c r="A88" s="34" t="s">
        <v>643</v>
      </c>
      <c r="B88" t="str">
        <f>IF(AND(HLOOKUP('General data'!$E$22,$C$1:$V$88,88,FALSE)="X",Index!D92="Reported"),"/","!")</f>
        <v>/</v>
      </c>
      <c r="T88" t="s">
        <v>511</v>
      </c>
    </row>
    <row r="89" spans="1:21">
      <c r="A89" s="34" t="s">
        <v>644</v>
      </c>
      <c r="B89" t="str">
        <f>IF(AND(HLOOKUP('General data'!$E$22,$C$1:$V$89,89,FALSE)="X",OR(LEFT('S.01.01.07'!$D$45,8)="Reported",LEFT('S.01.01.01'!$D$47,8)="Reported",LEFT('SE.01.01.16'!$D$47,8)="Reported",LEFT('SE.01.01.18'!$D$45,8)="Reported")),"/","!")</f>
        <v>!</v>
      </c>
      <c r="C89" t="s">
        <v>511</v>
      </c>
      <c r="G89" t="s">
        <v>511</v>
      </c>
      <c r="O89" t="s">
        <v>511</v>
      </c>
      <c r="Q89" t="s">
        <v>511</v>
      </c>
    </row>
    <row r="90" spans="1:21">
      <c r="A90" s="34" t="s">
        <v>646</v>
      </c>
      <c r="B90" t="str">
        <f>IF(AND(HLOOKUP('General data'!$E$22,$C$1:$V$90,90,FALSE)="X",OR(LEFT('S.01.01.07'!$D$46,8)="Reported",LEFT('S.01.01.01'!$D$48,8)="Reported",LEFT('SE.01.01.16'!$D$48,8)="Reported",LEFT('SE.01.01.18'!$D$46,8)="Reported")),"/","!")</f>
        <v>!</v>
      </c>
      <c r="C90" t="s">
        <v>511</v>
      </c>
      <c r="G90" t="s">
        <v>511</v>
      </c>
      <c r="O90" t="s">
        <v>511</v>
      </c>
      <c r="Q90" t="s">
        <v>511</v>
      </c>
    </row>
    <row r="91" spans="1:21">
      <c r="A91" s="34" t="s">
        <v>648</v>
      </c>
      <c r="B91" t="str">
        <f>IF(AND(HLOOKUP('General data'!$E$22,$C$1:$V$91,91,FALSE)="X",OR(LEFT('S.01.01.07'!$D$47,8)="Reported",LEFT('S.01.01.01'!$D$49,8)="Reported",LEFT('SE.01.01.16'!$D$49,8)="Reported",LEFT('SE.01.01.18'!$D$47,8)="Reported")),"/","!")</f>
        <v>!</v>
      </c>
      <c r="C91" t="s">
        <v>511</v>
      </c>
      <c r="G91" t="s">
        <v>511</v>
      </c>
      <c r="O91" t="s">
        <v>511</v>
      </c>
      <c r="Q91" t="s">
        <v>511</v>
      </c>
    </row>
    <row r="92" spans="1:21">
      <c r="A92" s="34" t="s">
        <v>650</v>
      </c>
      <c r="B92" t="str">
        <f>IF(AND(HLOOKUP('General data'!$E$22,$C$1:$V$92,92,FALSE)="X",OR(LEFT('S.01.01.07'!$D$48,8)="Reported",LEFT('S.01.01.01'!$D$50,8)="Reported",LEFT('SE.01.01.16'!$D$50,8)="Reported",LEFT('SE.01.01.18'!$D$48,8)="Reported")),"/","!")</f>
        <v>!</v>
      </c>
      <c r="C92" t="s">
        <v>511</v>
      </c>
      <c r="G92" t="s">
        <v>511</v>
      </c>
      <c r="O92" t="s">
        <v>511</v>
      </c>
      <c r="Q92" t="s">
        <v>511</v>
      </c>
    </row>
    <row r="93" spans="1:21">
      <c r="A93" s="34" t="s">
        <v>652</v>
      </c>
      <c r="B93" t="str">
        <f>IF(AND(HLOOKUP('General data'!$E$22,$C$1:$V$93,93,FALSE)="X",OR(LEFT('S.01.01.07'!$D$49,8)="Reported",LEFT('S.01.01.01'!$D$51,8)="Reported",LEFT('SE.01.01.16'!$D$51,8)="Reported",LEFT('SE.01.01.18'!$D$49,8)="Reported")),"/","!")</f>
        <v>!</v>
      </c>
      <c r="C93" t="s">
        <v>511</v>
      </c>
      <c r="G93" t="s">
        <v>511</v>
      </c>
      <c r="O93" t="s">
        <v>511</v>
      </c>
      <c r="Q93" t="s">
        <v>511</v>
      </c>
    </row>
    <row r="94" spans="1:21">
      <c r="A94" s="34" t="s">
        <v>654</v>
      </c>
      <c r="B94" t="str">
        <f>IF(AND(HLOOKUP('General data'!$E$22,$C$1:$V$94,94,FALSE)="X",LEFT('S.01.01.04'!$D$36,8)="Reported"),"/","!")</f>
        <v>!</v>
      </c>
      <c r="E94" t="s">
        <v>511</v>
      </c>
    </row>
    <row r="95" spans="1:21">
      <c r="A95" s="34" t="s">
        <v>655</v>
      </c>
      <c r="B95" t="str">
        <f>IF(AND(HLOOKUP('General data'!$E$22,$C$1:$V$95,95,FALSE)="X",Index!D99="Reported"),"/","!")</f>
        <v>/</v>
      </c>
      <c r="T95" t="s">
        <v>511</v>
      </c>
    </row>
    <row r="96" spans="1:21">
      <c r="A96" s="34" t="s">
        <v>656</v>
      </c>
      <c r="B96" t="str">
        <f>IF(AND(HLOOKUP('General data'!$E$22,$C$1:$V$96,96,FALSE)="X",Index!D100="Reported"),"/","!")</f>
        <v>!</v>
      </c>
      <c r="U96" t="s">
        <v>511</v>
      </c>
    </row>
    <row r="97" spans="1:21">
      <c r="A97" s="34" t="s">
        <v>657</v>
      </c>
      <c r="B97" t="str">
        <f>IF(AND(HLOOKUP('General data'!$E$22,$C$1:$V$97,97,FALSE)="X",OR(LEFT('SR.01.01.07'!$D$23,8)="Reported",LEFT('SR.01.01.01'!$D$23,8)="Reported")),"/","!")</f>
        <v>!</v>
      </c>
      <c r="C97" t="s">
        <v>511</v>
      </c>
      <c r="G97" t="s">
        <v>511</v>
      </c>
      <c r="O97" t="s">
        <v>511</v>
      </c>
      <c r="Q97" t="s">
        <v>511</v>
      </c>
    </row>
    <row r="98" spans="1:21">
      <c r="A98" s="34" t="s">
        <v>659</v>
      </c>
      <c r="B98" t="str">
        <f>IF(AND(HLOOKUP('General data'!$E$22,$C$1:$V$98,98,FALSE)="X",OR(LEFT('SR.01.01.07'!$D$24,8)="Reported",LEFT('SR.01.01.01'!$D$24,8)="Reported")),"/","!")</f>
        <v>!</v>
      </c>
      <c r="C98" t="s">
        <v>511</v>
      </c>
      <c r="G98" t="s">
        <v>511</v>
      </c>
      <c r="O98" t="s">
        <v>511</v>
      </c>
      <c r="Q98" t="s">
        <v>511</v>
      </c>
    </row>
    <row r="99" spans="1:21">
      <c r="A99" s="34" t="s">
        <v>661</v>
      </c>
      <c r="B99" t="str">
        <f>IF(AND(HLOOKUP('General data'!$E$22,$C$1:$V$99,99,FALSE)="X",OR(LEFT('S.01.01.07'!$D$50,8)="Reported",LEFT('S.01.01.01'!$D$52,8)="Reported",LEFT('SE.01.01.16'!$D$52,8)="Reported",LEFT('SE.01.01.18'!$D$50,8)="Reported")),"/","!")</f>
        <v>!</v>
      </c>
      <c r="C99" t="s">
        <v>511</v>
      </c>
      <c r="G99" t="s">
        <v>511</v>
      </c>
      <c r="O99" t="s">
        <v>511</v>
      </c>
      <c r="Q99" t="s">
        <v>511</v>
      </c>
    </row>
    <row r="100" spans="1:21">
      <c r="A100" s="34" t="s">
        <v>663</v>
      </c>
      <c r="B100" t="str">
        <f>IF(AND(HLOOKUP('General data'!$E$22,$C$1:$V$100,100,FALSE)="X",OR(LEFT('S.01.01.07'!$D$51,8)="Reported",LEFT('S.01.01.01'!$D$53,8)="Reported",LEFT('SE.01.01.16'!$D$53,8)="Reported",LEFT('SE.01.01.18'!$D$51,8)="Reported")),"/","!")</f>
        <v>!</v>
      </c>
      <c r="C100" t="s">
        <v>511</v>
      </c>
      <c r="G100" t="s">
        <v>511</v>
      </c>
      <c r="O100" t="s">
        <v>511</v>
      </c>
      <c r="Q100" t="s">
        <v>511</v>
      </c>
    </row>
    <row r="101" spans="1:21">
      <c r="A101" s="34" t="s">
        <v>665</v>
      </c>
      <c r="B101" t="str">
        <f>IF(AND(HLOOKUP('General data'!$E$22,$C$1:$V$101,101,FALSE)="X",OR(LEFT('S.01.01.07'!$D$52,8)="Reported",LEFT('S.01.01.01'!$D$54,8)="Reported",LEFT('SE.01.01.16'!$D$54,8)="Reported",LEFT('SE.01.01.18'!$D$52,8)="Reported")),"/","!")</f>
        <v>!</v>
      </c>
      <c r="C101" t="s">
        <v>511</v>
      </c>
      <c r="G101" t="s">
        <v>511</v>
      </c>
      <c r="O101" t="s">
        <v>511</v>
      </c>
      <c r="Q101" t="s">
        <v>511</v>
      </c>
    </row>
    <row r="102" spans="1:21">
      <c r="A102" s="34" t="s">
        <v>667</v>
      </c>
      <c r="B102" t="str">
        <f>IF(AND(HLOOKUP('General data'!$E$22,$C$1:$V$102,102,FALSE)="X",OR(LEFT('S.01.01.02'!$D$25,8)="Reported",LEFT('S.01.01.01'!$D$55,8)="Reported",LEFT('SE.01.01.16'!$D$55,8)="Reported",LEFT('SE.01.01.17'!$D$25,8)="Reported")),"/","!")</f>
        <v>!</v>
      </c>
      <c r="C102" t="s">
        <v>511</v>
      </c>
      <c r="D102" t="s">
        <v>511</v>
      </c>
      <c r="O102" t="s">
        <v>511</v>
      </c>
      <c r="P102" t="s">
        <v>511</v>
      </c>
      <c r="T102" t="s">
        <v>511</v>
      </c>
    </row>
    <row r="103" spans="1:21">
      <c r="A103" s="34" t="s">
        <v>669</v>
      </c>
      <c r="B103" t="str">
        <f>IF(AND(HLOOKUP('General data'!$E$22,$C$1:$V$103,103,FALSE)="X",OR(LEFT('S.01.01.05'!$D$23,8)="Reported",LEFT('S.01.01.04'!$D$37,8)="Reported")),"/","!")</f>
        <v>!</v>
      </c>
      <c r="E103" t="s">
        <v>511</v>
      </c>
      <c r="F103" t="s">
        <v>511</v>
      </c>
    </row>
    <row r="104" spans="1:21">
      <c r="A104" s="34" t="s">
        <v>670</v>
      </c>
      <c r="B104" t="str">
        <f>IF(AND(HLOOKUP('General data'!$E$22,$C$1:$V$104,104,FALSE)="X",OR(LEFT('S.01.01.08'!$D$25,8)="Reported",LEFT('S.01.01.07'!$D$53,8)="Reported",LEFT('SE.01.01.18'!$D$53,8)="Reported",LEFT('SE.01.01.19'!$D$25,8)="Reported")),"/","!")</f>
        <v>!</v>
      </c>
      <c r="G104" t="s">
        <v>511</v>
      </c>
      <c r="H104" t="s">
        <v>511</v>
      </c>
      <c r="Q104" t="s">
        <v>511</v>
      </c>
      <c r="R104" t="s">
        <v>511</v>
      </c>
    </row>
    <row r="105" spans="1:21">
      <c r="A105" s="34" t="s">
        <v>671</v>
      </c>
      <c r="B105" t="str">
        <f>IF(AND(HLOOKUP('General data'!$E$22,$C$1:$V$105,105,FALSE)="X",LEFT('S.01.01.13'!$D$20,8)="Reported"),"/","!")</f>
        <v>!</v>
      </c>
      <c r="L105" t="s">
        <v>511</v>
      </c>
    </row>
    <row r="106" spans="1:21">
      <c r="A106" s="34" t="s">
        <v>672</v>
      </c>
      <c r="B106" t="str">
        <f>IF(AND(HLOOKUP('General data'!$E$22,$C$1:$V$106,106,FALSE)="X",Index!D110="Reported"),"/","!")</f>
        <v>!</v>
      </c>
      <c r="U106" t="s">
        <v>511</v>
      </c>
    </row>
    <row r="107" spans="1:21">
      <c r="A107" s="34" t="s">
        <v>673</v>
      </c>
      <c r="B107" t="str">
        <f>IF(AND(HLOOKUP('General data'!$E$22,$C$1:$V$107,107,FALSE)="X",OR(LEFT('SE.01.01.16'!$D$56,8)="Reported",LEFT('S.01.01.01'!$D$56,8)="Reported")),"/","!")</f>
        <v>!</v>
      </c>
      <c r="C107" t="s">
        <v>511</v>
      </c>
      <c r="O107" t="s">
        <v>511</v>
      </c>
    </row>
    <row r="108" spans="1:21">
      <c r="A108" s="34" t="s">
        <v>675</v>
      </c>
      <c r="B108" t="str">
        <f>IF(AND(HLOOKUP('General data'!$E$22,$C$1:$V$108,108,FALSE)="X",LEFT('S.01.01.04'!$D$38,8)="Reported"),"/","!")</f>
        <v>!</v>
      </c>
      <c r="E108" t="s">
        <v>511</v>
      </c>
    </row>
    <row r="109" spans="1:21">
      <c r="A109" s="34" t="s">
        <v>676</v>
      </c>
      <c r="B109" t="str">
        <f>IF(AND(HLOOKUP('General data'!$E$22,$C$1:$V$109,109,FALSE)="X",OR(LEFT('SE.01.01.16'!$D$57,8)="Reported",LEFT('S.01.01.01'!$D$57,8)="Reported")),"/","!")</f>
        <v>!</v>
      </c>
      <c r="C109" t="s">
        <v>511</v>
      </c>
      <c r="O109" t="s">
        <v>511</v>
      </c>
    </row>
    <row r="110" spans="1:21">
      <c r="A110" s="34" t="s">
        <v>678</v>
      </c>
      <c r="B110" t="str">
        <f>IF(AND(HLOOKUP('General data'!$E$22,$C$1:$V$110,110,FALSE)="X",LEFT('S.01.01.04'!$D$39,8)="Reported"),"/","!")</f>
        <v>!</v>
      </c>
      <c r="E110" t="s">
        <v>511</v>
      </c>
    </row>
    <row r="111" spans="1:21">
      <c r="A111" s="34" t="s">
        <v>679</v>
      </c>
      <c r="B111" t="str">
        <f>IF(AND(HLOOKUP('General data'!$E$22,$C$1:$V$111,111,FALSE)="X",OR(LEFT('SE.01.01.18'!$D$54,8)="Reported",LEFT('S.01.01.07'!$D$54,8)="Reported")),"/","!")</f>
        <v>!</v>
      </c>
      <c r="G111" t="s">
        <v>511</v>
      </c>
      <c r="Q111" t="s">
        <v>511</v>
      </c>
    </row>
    <row r="112" spans="1:21">
      <c r="A112" s="34" t="s">
        <v>681</v>
      </c>
      <c r="B112" t="str">
        <f>IF(AND(HLOOKUP('General data'!$E$22,$C$1:$V$112,112,FALSE)="X",OR(LEFT('SE.01.01.16'!$D$58,8)="Reported",LEFT('S.01.01.01'!$D$58,8)="Reported")),"/","!")</f>
        <v>!</v>
      </c>
      <c r="C112" t="s">
        <v>511</v>
      </c>
      <c r="O112" t="s">
        <v>511</v>
      </c>
    </row>
    <row r="113" spans="1:21">
      <c r="A113" s="34" t="s">
        <v>683</v>
      </c>
      <c r="B113" t="str">
        <f>IF(AND(HLOOKUP('General data'!$E$22,$C$1:$V$113,113,FALSE)="X",LEFT('S.01.01.04'!$D$40,8)="Reported"),"/","!")</f>
        <v>!</v>
      </c>
      <c r="E113" t="s">
        <v>511</v>
      </c>
    </row>
    <row r="114" spans="1:21">
      <c r="A114" s="34" t="s">
        <v>684</v>
      </c>
      <c r="B114" t="str">
        <f>IF(AND(HLOOKUP('General data'!$E$22,$C$1:$V$114,114,FALSE)="X",OR(LEFT('S.01.01.07'!$D$55,8)="Reported",LEFT('S.01.01.01'!$D$59,8)="Reported",LEFT('SE.01.01.16'!$D$59,8)="Reported",LEFT('SE.01.01.18'!$D$55,8)="Reported")),"/","!")</f>
        <v>!</v>
      </c>
      <c r="C114" t="s">
        <v>511</v>
      </c>
      <c r="G114" t="s">
        <v>511</v>
      </c>
      <c r="O114" t="s">
        <v>511</v>
      </c>
      <c r="Q114" t="s">
        <v>511</v>
      </c>
    </row>
    <row r="115" spans="1:21">
      <c r="A115" s="34" t="s">
        <v>686</v>
      </c>
      <c r="B115" t="str">
        <f>IF(AND(HLOOKUP('General data'!$E$22,$C$1:$V$115,115,FALSE)="X",OR(LEFT('S.01.01.07'!$D$56,8)="Reported",LEFT('S.01.01.01'!$D$60,8)="Reported",LEFT('SE.01.01.16'!$D$60,8)="Reported",LEFT('SE.01.01.18'!$D$56,8)="Reported")),"/","!")</f>
        <v>!</v>
      </c>
      <c r="C115" t="s">
        <v>511</v>
      </c>
      <c r="G115" t="s">
        <v>511</v>
      </c>
      <c r="O115" t="s">
        <v>511</v>
      </c>
      <c r="Q115" t="s">
        <v>511</v>
      </c>
    </row>
    <row r="116" spans="1:21">
      <c r="A116" s="34" t="s">
        <v>688</v>
      </c>
      <c r="B116" t="str">
        <f>IF(AND(HLOOKUP('General data'!$E$22,$C$1:$V$116,116,FALSE)="X",LEFT('S.01.01.04'!$D$41,8)="Reported"),"/","!")</f>
        <v>!</v>
      </c>
      <c r="E116" t="s">
        <v>511</v>
      </c>
    </row>
    <row r="117" spans="1:21">
      <c r="A117" s="34" t="s">
        <v>690</v>
      </c>
      <c r="B117" t="str">
        <f>IF(AND(HLOOKUP('General data'!$E$22,$C$1:$V$117,117,FALSE)="X",Index!D121="Reported"),"/","!")</f>
        <v>/</v>
      </c>
      <c r="T117" t="s">
        <v>511</v>
      </c>
    </row>
    <row r="118" spans="1:21">
      <c r="A118" s="34" t="s">
        <v>691</v>
      </c>
      <c r="B118" t="str">
        <f>IF(AND(HLOOKUP('General data'!$E$22,$C$1:$V$118,118,FALSE)="X",Index!D122="Reported"),"/","!")</f>
        <v>!</v>
      </c>
      <c r="U118" t="s">
        <v>511</v>
      </c>
    </row>
    <row r="119" spans="1:21">
      <c r="A119" s="34" t="s">
        <v>692</v>
      </c>
      <c r="B119" t="str">
        <f>IF(AND(HLOOKUP('General data'!$E$22,$C$1:$V$119,119,FALSE)="X",OR(LEFT('SR.01.01.07'!$D$25,8)="Reported",LEFT('SR.01.01.01'!$D$25,8)="Reported")),"/","!")</f>
        <v>!</v>
      </c>
      <c r="C119" t="s">
        <v>511</v>
      </c>
      <c r="G119" t="s">
        <v>511</v>
      </c>
      <c r="O119" t="s">
        <v>511</v>
      </c>
      <c r="Q119" t="s">
        <v>511</v>
      </c>
    </row>
    <row r="120" spans="1:21">
      <c r="A120" s="34" t="s">
        <v>693</v>
      </c>
      <c r="B120" t="str">
        <f>IF(AND(HLOOKUP('General data'!$E$22,$C$1:$V$120,120,FALSE)="X",LEFT('SR.01.01.04'!$D$21,8)="Reported"),"/","!")</f>
        <v>!</v>
      </c>
      <c r="E120" t="s">
        <v>511</v>
      </c>
    </row>
    <row r="121" spans="1:21">
      <c r="A121" s="34" t="s">
        <v>694</v>
      </c>
      <c r="B121" t="str">
        <f>IF(AND(HLOOKUP('General data'!$E$22,$C$1:$V$121,121,FALSE)="X",OR(LEFT('S.01.01.07'!$D$57,8)="Reported",LEFT('S.01.01.01'!$D$61,8)="Reported",LEFT('SE.01.01.16'!$D$61,8)="Reported",LEFT('SE.01.01.18'!$D$57,8)="Reported")),"/","!")</f>
        <v>!</v>
      </c>
      <c r="C121" t="s">
        <v>511</v>
      </c>
      <c r="G121" t="s">
        <v>511</v>
      </c>
      <c r="O121" t="s">
        <v>511</v>
      </c>
      <c r="Q121" t="s">
        <v>511</v>
      </c>
    </row>
    <row r="122" spans="1:21">
      <c r="A122" s="34" t="s">
        <v>696</v>
      </c>
      <c r="B122" t="str">
        <f>IF(AND(HLOOKUP('General data'!$E$22,$C$1:$V$122,122,FALSE)="X",LEFT('S.01.01.04'!$D$42,8)="Reported"),"/","!")</f>
        <v>!</v>
      </c>
      <c r="E122" t="s">
        <v>511</v>
      </c>
    </row>
    <row r="123" spans="1:21">
      <c r="A123" s="34" t="s">
        <v>698</v>
      </c>
      <c r="B123" t="str">
        <f>IF(AND(HLOOKUP('General data'!$E$22,$C$1:$V$123,123,FALSE)="X",Index!D127="Reported"),"/","!")</f>
        <v>!</v>
      </c>
      <c r="T123" t="s">
        <v>511</v>
      </c>
    </row>
    <row r="124" spans="1:21">
      <c r="A124" s="34" t="s">
        <v>699</v>
      </c>
      <c r="B124" t="str">
        <f>IF(AND(HLOOKUP('General data'!$E$22,$C$1:$V$124,124,FALSE)="X",Index!D128="Reported"),"/","!")</f>
        <v>!</v>
      </c>
      <c r="U124" t="s">
        <v>511</v>
      </c>
    </row>
    <row r="125" spans="1:21">
      <c r="A125" s="34" t="s">
        <v>700</v>
      </c>
      <c r="B125" t="str">
        <f>IF(AND(HLOOKUP('General data'!$E$22,$C$1:$V$125,125,FALSE)="X",OR(LEFT('SR.01.01.07'!$D$26,8)="Reported",LEFT('SR.01.01.01'!$D$26,8)="Reported")),"/","!")</f>
        <v>!</v>
      </c>
      <c r="C125" t="s">
        <v>511</v>
      </c>
      <c r="G125" t="s">
        <v>511</v>
      </c>
      <c r="O125" t="s">
        <v>511</v>
      </c>
      <c r="Q125" t="s">
        <v>511</v>
      </c>
    </row>
    <row r="126" spans="1:21">
      <c r="A126" s="34" t="s">
        <v>701</v>
      </c>
      <c r="B126" t="str">
        <f>IF(AND(HLOOKUP('General data'!$E$22,$C$1:$V$126,126,FALSE)="X",LEFT('SR.01.01.04'!$D$22,8)="Reported"),"/","!")</f>
        <v>!</v>
      </c>
      <c r="E126" t="s">
        <v>511</v>
      </c>
    </row>
    <row r="127" spans="1:21">
      <c r="A127" s="34" t="s">
        <v>702</v>
      </c>
      <c r="B127" t="str">
        <f>IF(AND(HLOOKUP('General data'!$E$22,$C$1:$V$127,127,FALSE)="X",OR(LEFT('S.01.01.07'!$D$58,8)="Reported",LEFT('S.01.01.01'!$D$62,8)="Reported",LEFT('SE.01.01.16'!$D$62,8)="Reported",LEFT('SE.01.01.18'!$D$58,8)="Reported")),"/","!")</f>
        <v>!</v>
      </c>
      <c r="C127" t="s">
        <v>511</v>
      </c>
      <c r="G127" t="s">
        <v>511</v>
      </c>
      <c r="O127" t="s">
        <v>511</v>
      </c>
      <c r="Q127" t="s">
        <v>511</v>
      </c>
    </row>
    <row r="128" spans="1:21">
      <c r="A128" s="34" t="s">
        <v>704</v>
      </c>
      <c r="B128" t="str">
        <f>IF(AND(HLOOKUP('General data'!$E$22,$C$1:$V$128,128,FALSE)="X",LEFT('S.01.01.04'!$D$43,8)="Reported"),"/","!")</f>
        <v>!</v>
      </c>
      <c r="E128" t="s">
        <v>511</v>
      </c>
    </row>
    <row r="129" spans="1:21">
      <c r="A129" s="34" t="s">
        <v>706</v>
      </c>
      <c r="B129" t="str">
        <f>IF(AND(HLOOKUP('General data'!$E$22,$C$1:$V$129,129,FALSE)="X",Index!D133="Reported"),"/","!")</f>
        <v>!</v>
      </c>
      <c r="T129" t="s">
        <v>511</v>
      </c>
    </row>
    <row r="130" spans="1:21">
      <c r="A130" s="34" t="s">
        <v>707</v>
      </c>
      <c r="B130" t="str">
        <f>IF(AND(HLOOKUP('General data'!$E$22,$C$1:$V$130,130,FALSE)="X",Index!D134="Reported"),"/","!")</f>
        <v>!</v>
      </c>
      <c r="U130" t="s">
        <v>511</v>
      </c>
    </row>
    <row r="131" spans="1:21">
      <c r="A131" s="34" t="s">
        <v>708</v>
      </c>
      <c r="B131" t="str">
        <f>IF(AND(HLOOKUP('General data'!$E$22,$C$1:$V$131,131,FALSE)="X",OR(LEFT('SR.01.01.07'!$D$27,8)="Reported",LEFT('SR.01.01.01'!$D$27,8)="Reported")),"/","!")</f>
        <v>!</v>
      </c>
      <c r="C131" t="s">
        <v>511</v>
      </c>
      <c r="G131" t="s">
        <v>511</v>
      </c>
      <c r="O131" t="s">
        <v>511</v>
      </c>
      <c r="Q131" t="s">
        <v>511</v>
      </c>
    </row>
    <row r="132" spans="1:21">
      <c r="A132" s="34" t="s">
        <v>709</v>
      </c>
      <c r="B132" t="str">
        <f>IF(AND(HLOOKUP('General data'!$E$22,$C$1:$V$132,132,FALSE)="X",LEFT('SR.01.01.04'!$D$23,8)="Reported"),"/","!")</f>
        <v>!</v>
      </c>
      <c r="E132" t="s">
        <v>511</v>
      </c>
    </row>
    <row r="133" spans="1:21">
      <c r="A133" s="34" t="s">
        <v>710</v>
      </c>
      <c r="B133" t="str">
        <f>IF(AND(HLOOKUP('General data'!$E$22,$C$1:$V$133,133,FALSE)="X",OR(LEFT('S.01.01.15'!$D$17,8)="Reported",LEFT('S.01.01.11'!$D$17,8)="Reported")),"/","!")</f>
        <v>!</v>
      </c>
      <c r="J133" t="s">
        <v>511</v>
      </c>
      <c r="N133" t="s">
        <v>511</v>
      </c>
    </row>
    <row r="134" spans="1:21">
      <c r="A134" s="34" t="s">
        <v>712</v>
      </c>
      <c r="B134" t="str">
        <f>IF(AND(HLOOKUP('General data'!$E$22,$C$1:$V$134,134,FALSE)="X",LEFT('S.01.01.13'!$D$21,8)="Reported"),"/","!")</f>
        <v>!</v>
      </c>
      <c r="L134" t="s">
        <v>511</v>
      </c>
    </row>
    <row r="135" spans="1:21">
      <c r="A135" s="34" t="s">
        <v>713</v>
      </c>
      <c r="B135" t="str">
        <f>IF(AND(HLOOKUP('General data'!$E$22,$C$1:$V$135,135,FALSE)="X",OR(LEFT('S.01.01.07'!$D$59,8)="Reported",LEFT('S.01.01.01'!$D$63,8)="Reported",LEFT('SE.01.01.16'!$D$63,8)="Reported",LEFT('SE.01.01.18'!$D$59,8)="Reported")),"/","!")</f>
        <v>!</v>
      </c>
      <c r="C135" t="s">
        <v>511</v>
      </c>
      <c r="G135" t="s">
        <v>511</v>
      </c>
      <c r="O135" t="s">
        <v>511</v>
      </c>
      <c r="Q135" t="s">
        <v>511</v>
      </c>
    </row>
    <row r="136" spans="1:21">
      <c r="A136" s="34" t="s">
        <v>715</v>
      </c>
      <c r="B136" t="str">
        <f>IF(AND(HLOOKUP('General data'!$E$22,$C$1:$V$136,136,FALSE)="X",LEFT('S.01.01.04'!$D$44,8)="Reported"),"/","!")</f>
        <v>!</v>
      </c>
      <c r="E136" t="s">
        <v>511</v>
      </c>
    </row>
    <row r="137" spans="1:21">
      <c r="A137" s="34" t="s">
        <v>716</v>
      </c>
      <c r="B137" t="str">
        <f>IF(AND(HLOOKUP('General data'!$E$22,$C$1:$V$137,137,FALSE)="X",OR(LEFT('SR.01.01.04'!$D$24,8)="Reported",LEFT('SR.01.01.01'!$D$28,8)="Reported",LEFT('SR.01.01.07'!$D$28,8)="Reported")),"/","!")</f>
        <v>!</v>
      </c>
      <c r="C137" t="s">
        <v>511</v>
      </c>
      <c r="E137" t="s">
        <v>511</v>
      </c>
      <c r="G137" t="s">
        <v>511</v>
      </c>
      <c r="O137" t="s">
        <v>511</v>
      </c>
      <c r="Q137" t="s">
        <v>511</v>
      </c>
    </row>
    <row r="138" spans="1:21">
      <c r="A138" s="34" t="s">
        <v>717</v>
      </c>
      <c r="B138" t="str">
        <f>IF(AND(HLOOKUP('General data'!$E$22,$C$1:$V$138,138,FALSE)="X",OR(LEFT('S.01.01.07'!$D$60,8)="Reported",LEFT('S.01.01.01'!$D$64,8)="Reported",LEFT('SE.01.01.16'!$D$64,8)="Reported",LEFT('SE.01.01.18'!$D$60,8)="Reported")),"/","!")</f>
        <v>!</v>
      </c>
      <c r="C138" t="s">
        <v>511</v>
      </c>
      <c r="G138" t="s">
        <v>511</v>
      </c>
      <c r="O138" t="s">
        <v>511</v>
      </c>
      <c r="Q138" t="s">
        <v>511</v>
      </c>
    </row>
    <row r="139" spans="1:21">
      <c r="A139" s="34" t="s">
        <v>719</v>
      </c>
      <c r="B139" t="str">
        <f>IF(AND(HLOOKUP('General data'!$E$22,$C$1:$V$139,139,FALSE)="X",LEFT('S.01.01.04'!$D$45,8)="Reported"),"/","!")</f>
        <v>!</v>
      </c>
      <c r="E139" t="s">
        <v>511</v>
      </c>
    </row>
    <row r="140" spans="1:21">
      <c r="A140" s="34" t="s">
        <v>720</v>
      </c>
      <c r="B140" t="str">
        <f>IF(AND(HLOOKUP('General data'!$E$22,$C$1:$V$140,140,FALSE)="X",OR(LEFT('SR.01.01.04'!$D$25,8)="Reported",LEFT('SR.01.01.01'!$D$29,8)="Reported",LEFT('SR.01.01.07'!$D$29,8)="Reported")),"/","!")</f>
        <v>!</v>
      </c>
      <c r="C140" t="s">
        <v>511</v>
      </c>
      <c r="E140" t="s">
        <v>511</v>
      </c>
      <c r="G140" t="s">
        <v>511</v>
      </c>
      <c r="O140" t="s">
        <v>511</v>
      </c>
      <c r="Q140" t="s">
        <v>511</v>
      </c>
    </row>
    <row r="141" spans="1:21">
      <c r="A141" s="34" t="s">
        <v>721</v>
      </c>
      <c r="B141" t="str">
        <f>IF(AND(HLOOKUP('General data'!$E$22,$C$1:$V$141,141,FALSE)="X",OR(LEFT('S.01.01.07'!$D$61,8)="Reported",LEFT('S.01.01.01'!$D$65,8)="Reported",LEFT('SE.01.01.16'!$D$65,8)="Reported",LEFT('SE.01.01.18'!$D$61,8)="Reported")),"/","!")</f>
        <v>!</v>
      </c>
      <c r="C141" t="s">
        <v>511</v>
      </c>
      <c r="G141" t="s">
        <v>511</v>
      </c>
      <c r="O141" t="s">
        <v>511</v>
      </c>
      <c r="Q141" t="s">
        <v>511</v>
      </c>
    </row>
    <row r="142" spans="1:21">
      <c r="A142" s="34" t="s">
        <v>723</v>
      </c>
      <c r="B142" t="str">
        <f>IF(AND(HLOOKUP('General data'!$E$22,$C$1:$V$142,142,FALSE)="X",LEFT('S.01.01.04'!$D$46,8)="Reported"),"/","!")</f>
        <v>!</v>
      </c>
      <c r="E142" t="s">
        <v>511</v>
      </c>
    </row>
    <row r="143" spans="1:21">
      <c r="A143" s="34" t="s">
        <v>724</v>
      </c>
      <c r="B143" t="str">
        <f>IF(AND(HLOOKUP('General data'!$E$22,$C$1:$V$143,143,FALSE)="X",OR(LEFT('SR.01.01.04'!$D$26,8)="Reported",LEFT('SR.01.01.01'!$D$30,8)="Reported",LEFT('SR.01.01.07'!$D$30,8)="Reported")),"/","!")</f>
        <v>!</v>
      </c>
      <c r="C143" t="s">
        <v>511</v>
      </c>
      <c r="E143" t="s">
        <v>511</v>
      </c>
      <c r="G143" t="s">
        <v>511</v>
      </c>
      <c r="O143" t="s">
        <v>511</v>
      </c>
      <c r="Q143" t="s">
        <v>511</v>
      </c>
    </row>
    <row r="144" spans="1:21">
      <c r="A144" s="34" t="s">
        <v>725</v>
      </c>
      <c r="B144" t="str">
        <f>IF(AND(HLOOKUP('General data'!$E$22,$C$1:$V$144,144,FALSE)="X",OR(LEFT('S.01.01.07'!$D$62,8)="Reported",LEFT('S.01.01.01'!$D$66,8)="Reported",LEFT('SE.01.01.16'!$D$66,8)="Reported",LEFT('SE.01.01.18'!$D$62,8)="Reported")),"/","!")</f>
        <v>!</v>
      </c>
      <c r="C144" t="s">
        <v>511</v>
      </c>
      <c r="G144" t="s">
        <v>511</v>
      </c>
      <c r="O144" t="s">
        <v>511</v>
      </c>
      <c r="Q144" t="s">
        <v>511</v>
      </c>
    </row>
    <row r="145" spans="1:20">
      <c r="A145" s="34" t="s">
        <v>727</v>
      </c>
      <c r="B145" t="str">
        <f>IF(AND(HLOOKUP('General data'!$E$22,$C$1:$V$145,145,FALSE)="X",LEFT('S.01.01.04'!$D$47,8)="Reported"),"/","!")</f>
        <v>!</v>
      </c>
      <c r="E145" t="s">
        <v>511</v>
      </c>
    </row>
    <row r="146" spans="1:20">
      <c r="A146" s="34" t="s">
        <v>728</v>
      </c>
      <c r="B146" t="str">
        <f>IF(AND(HLOOKUP('General data'!$E$22,$C$1:$V$146,146,FALSE)="X",OR(LEFT('SR.01.01.04'!$D$27,8)="Reported",LEFT('SR.01.01.01'!$D$31,8)="Reported",LEFT('SR.01.01.07'!$D$31,8)="Reported")),"/","!")</f>
        <v>!</v>
      </c>
      <c r="C146" t="s">
        <v>511</v>
      </c>
      <c r="E146" t="s">
        <v>511</v>
      </c>
      <c r="G146" t="s">
        <v>511</v>
      </c>
      <c r="O146" t="s">
        <v>511</v>
      </c>
      <c r="Q146" t="s">
        <v>511</v>
      </c>
    </row>
    <row r="147" spans="1:20">
      <c r="A147" s="34" t="s">
        <v>729</v>
      </c>
      <c r="B147" t="str">
        <f>IF(AND(HLOOKUP('General data'!$E$22,$C$1:$V$147,147,FALSE)="X",OR(LEFT('S.01.01.07'!$D$63,8)="Reported",LEFT('S.01.01.01'!$D$67,8)="Reported",LEFT('SE.01.01.16'!$D$67,8)="Reported",LEFT('SE.01.01.18'!$D$63,8)="Reported")),"/","!")</f>
        <v>!</v>
      </c>
      <c r="C147" t="s">
        <v>511</v>
      </c>
      <c r="G147" t="s">
        <v>511</v>
      </c>
      <c r="O147" t="s">
        <v>511</v>
      </c>
      <c r="Q147" t="s">
        <v>511</v>
      </c>
    </row>
    <row r="148" spans="1:20">
      <c r="A148" s="34" t="s">
        <v>731</v>
      </c>
      <c r="B148" t="str">
        <f>IF(AND(HLOOKUP('General data'!$E$22,$C$1:$V$148,148,FALSE)="X",LEFT('S.01.01.04'!$D$48,8)="Reported"),"/","!")</f>
        <v>!</v>
      </c>
      <c r="E148" t="s">
        <v>511</v>
      </c>
    </row>
    <row r="149" spans="1:20">
      <c r="A149" s="34" t="s">
        <v>732</v>
      </c>
      <c r="B149" t="str">
        <f>IF(AND(HLOOKUP('General data'!$E$22,$C$1:$V$149,149,FALSE)="X",OR(LEFT('SR.01.01.04'!$D$28,8)="Reported",LEFT('SR.01.01.01'!$D$32,8)="Reported",LEFT('SR.01.01.07'!$D$32,8)="Reported")),"/","!")</f>
        <v>!</v>
      </c>
      <c r="C149" t="s">
        <v>511</v>
      </c>
      <c r="E149" t="s">
        <v>511</v>
      </c>
      <c r="G149" t="s">
        <v>511</v>
      </c>
      <c r="O149" t="s">
        <v>511</v>
      </c>
      <c r="Q149" t="s">
        <v>511</v>
      </c>
    </row>
    <row r="150" spans="1:20">
      <c r="A150" s="34" t="s">
        <v>733</v>
      </c>
      <c r="B150" t="str">
        <f>IF(AND(HLOOKUP('General data'!$E$22,$C$1:$V$150,150,FALSE)="X",OR(LEFT('S.01.01.07'!$D$64,8)="Reported",LEFT('S.01.01.01'!$D$68,8)="Reported",LEFT('SE.01.01.16'!$D$68,8)="Reported",LEFT('SE.01.01.18'!$D$64,8)="Reported")),"/","!")</f>
        <v>!</v>
      </c>
      <c r="C150" t="s">
        <v>511</v>
      </c>
      <c r="G150" t="s">
        <v>511</v>
      </c>
      <c r="O150" t="s">
        <v>511</v>
      </c>
      <c r="Q150" t="s">
        <v>511</v>
      </c>
    </row>
    <row r="151" spans="1:20">
      <c r="A151" s="34" t="s">
        <v>735</v>
      </c>
      <c r="B151" t="str">
        <f>IF(AND(HLOOKUP('General data'!$E$22,$C$1:$V$151,151,FALSE)="X",LEFT('S.01.01.04'!$D$49,8)="Reported"),"/","!")</f>
        <v>!</v>
      </c>
      <c r="E151" t="s">
        <v>511</v>
      </c>
    </row>
    <row r="152" spans="1:20">
      <c r="A152" s="34" t="s">
        <v>736</v>
      </c>
      <c r="B152" t="str">
        <f>IF(AND(HLOOKUP('General data'!$E$22,$C$1:$V$152,152,FALSE)="X",OR(LEFT('SR.01.01.04'!$D$29,8)="Reported",LEFT('SR.01.01.01'!$D$33,8)="Reported",LEFT('SR.01.01.07'!$D$33,8)="Reported")),"/","!")</f>
        <v>!</v>
      </c>
      <c r="C152" t="s">
        <v>511</v>
      </c>
      <c r="E152" t="s">
        <v>511</v>
      </c>
      <c r="G152" t="s">
        <v>511</v>
      </c>
      <c r="O152" t="s">
        <v>511</v>
      </c>
      <c r="Q152" t="s">
        <v>511</v>
      </c>
    </row>
    <row r="153" spans="1:20">
      <c r="A153" s="34" t="s">
        <v>737</v>
      </c>
      <c r="B153" t="str">
        <f>IF(AND(HLOOKUP('General data'!$E$22,$C$1:$V$153,153,FALSE)="X",OR(LEFT('S.01.01.07'!$D$65,8)="Reported",LEFT('S.01.01.01'!$D$69,8)="Reported",LEFT('SE.01.01.16'!$D$69,8)="Reported",LEFT('SE.01.01.18'!$D$65,8)="Reported")),"/","!")</f>
        <v>!</v>
      </c>
      <c r="C153" t="s">
        <v>511</v>
      </c>
      <c r="G153" t="s">
        <v>511</v>
      </c>
      <c r="O153" t="s">
        <v>511</v>
      </c>
      <c r="Q153" t="s">
        <v>511</v>
      </c>
    </row>
    <row r="154" spans="1:20">
      <c r="A154" s="34" t="s">
        <v>739</v>
      </c>
      <c r="B154" t="str">
        <f>IF(AND(HLOOKUP('General data'!$E$22,$C$1:$V$154,154,FALSE)="X",LEFT('S.01.01.04'!$D$50,8)="Reported"),"/","!")</f>
        <v>!</v>
      </c>
      <c r="E154" t="s">
        <v>511</v>
      </c>
    </row>
    <row r="155" spans="1:20">
      <c r="A155" s="34" t="s">
        <v>740</v>
      </c>
      <c r="B155" t="str">
        <f>IF(AND(HLOOKUP('General data'!$E$22,$C$1:$V$155,155,FALSE)="X",OR(LEFT('SR.01.01.04'!$D$30,8)="Reported",LEFT('SR.01.01.01'!$D$34,8)="Reported",LEFT('SR.01.01.07'!$D$34,8)="Reported")),"/","!")</f>
        <v>!</v>
      </c>
      <c r="C155" t="s">
        <v>511</v>
      </c>
      <c r="E155" t="s">
        <v>511</v>
      </c>
      <c r="G155" t="s">
        <v>511</v>
      </c>
      <c r="O155" t="s">
        <v>511</v>
      </c>
      <c r="Q155" t="s">
        <v>511</v>
      </c>
    </row>
    <row r="156" spans="1:20">
      <c r="A156" s="34" t="s">
        <v>741</v>
      </c>
      <c r="B156" t="str">
        <f>IF(AND(HLOOKUP('General data'!$E$22,$C$1:$V$156,156,FALSE)="X",OR(LEFT('S.01.01.07'!$D$66,8)="Reported",LEFT('S.01.01.01'!$D$70,8)="Reported",LEFT('SE.01.01.16'!$D$70,8)="Reported",LEFT('SE.01.01.18'!$D$66,8)="Reported")),"/","!")</f>
        <v>!</v>
      </c>
      <c r="C156" t="s">
        <v>511</v>
      </c>
      <c r="G156" t="s">
        <v>511</v>
      </c>
      <c r="O156" t="s">
        <v>511</v>
      </c>
      <c r="Q156" t="s">
        <v>511</v>
      </c>
    </row>
    <row r="157" spans="1:20">
      <c r="A157" s="34" t="s">
        <v>743</v>
      </c>
      <c r="B157" t="str">
        <f>IF(AND(HLOOKUP('General data'!$E$22,$C$1:$V$157,157,FALSE)="X",LEFT('S.01.01.04'!$D$51,8)="Reported"),"/","!")</f>
        <v>!</v>
      </c>
      <c r="E157" t="s">
        <v>511</v>
      </c>
    </row>
    <row r="158" spans="1:20">
      <c r="A158" s="34" t="s">
        <v>744</v>
      </c>
      <c r="B158" t="str">
        <f>IF(AND(HLOOKUP('General data'!$E$22,$C$1:$V$158,158,FALSE)="X",OR(LEFT('SR.01.01.04'!$D$31,8)="Reported",LEFT('SR.01.01.01'!$D$35,8)="Reported",LEFT('SR.01.01.07'!$D$35,8)="Reported")),"/","!")</f>
        <v>!</v>
      </c>
      <c r="C158" t="s">
        <v>511</v>
      </c>
      <c r="E158" t="s">
        <v>511</v>
      </c>
      <c r="G158" t="s">
        <v>511</v>
      </c>
      <c r="O158" t="s">
        <v>511</v>
      </c>
      <c r="Q158" t="s">
        <v>511</v>
      </c>
    </row>
    <row r="159" spans="1:20">
      <c r="A159" s="34" t="s">
        <v>745</v>
      </c>
      <c r="B159" t="str">
        <f>IF(AND(HLOOKUP('General data'!$E$22,$C$1:$V$159,159,FALSE)="X",OR(LEFT('S.01.01.02'!$D$26,8)="Reported",LEFT('S.01.01.01'!$D$71,8)="Reported",LEFT('S.01.01.07'!$D$67,8)="Reported",LEFT('S.01.01.08'!$D$26,8)="Reported",LEFT('SE.01.01.16'!$D$71,8)="Reported",LEFT('SE.01.01.17'!$D$26,8)="Reported",LEFT('SE.01.01.18'!$D$67,8)="Reported",LEFT('SE.01.01.19'!$D$26,8)="Reported")),"/","!")</f>
        <v>!</v>
      </c>
      <c r="C159" t="s">
        <v>511</v>
      </c>
      <c r="D159" t="s">
        <v>511</v>
      </c>
      <c r="G159" t="s">
        <v>511</v>
      </c>
      <c r="H159" t="s">
        <v>511</v>
      </c>
      <c r="O159" t="s">
        <v>511</v>
      </c>
      <c r="P159" t="s">
        <v>511</v>
      </c>
      <c r="Q159" t="s">
        <v>511</v>
      </c>
      <c r="R159" t="s">
        <v>511</v>
      </c>
      <c r="T159" t="s">
        <v>511</v>
      </c>
    </row>
    <row r="160" spans="1:20">
      <c r="A160" s="34" t="s">
        <v>747</v>
      </c>
      <c r="B160" t="str">
        <f>IF(AND(HLOOKUP('General data'!$E$22,$C$1:$V$160,160,FALSE)="X",OR(LEFT('S.01.01.02'!$D$27,8)="Reported",LEFT('S.01.01.01'!$D$72,8)="Reported",LEFT('S.01.01.07'!$D$68,8)="Reported",LEFT('S.01.01.08'!$D$27,8)="Reported",LEFT('SE.01.01.16'!$D$72,8)="Reported",LEFT('SE.01.01.17'!$D$27,8)="Reported",LEFT('SE.01.01.18'!$D$68,8)="Reported",LEFT('SE.01.01.19'!$D$27,8)="Reported")),"/","!")</f>
        <v>!</v>
      </c>
      <c r="C160" t="s">
        <v>511</v>
      </c>
      <c r="D160" t="s">
        <v>511</v>
      </c>
      <c r="G160" t="s">
        <v>511</v>
      </c>
      <c r="H160" t="s">
        <v>511</v>
      </c>
      <c r="O160" t="s">
        <v>511</v>
      </c>
      <c r="P160" t="s">
        <v>511</v>
      </c>
      <c r="Q160" t="s">
        <v>511</v>
      </c>
      <c r="R160" t="s">
        <v>511</v>
      </c>
      <c r="T160" t="s">
        <v>511</v>
      </c>
    </row>
    <row r="161" spans="1:21">
      <c r="A161" s="34" t="s">
        <v>749</v>
      </c>
      <c r="B161" t="str">
        <f>IF(AND(HLOOKUP('General data'!$E$22,$C$1:$V$161,161,FALSE)="X",OR(LEFT('SE.01.01.16'!$D$73,8)="Reported",LEFT('S.01.01.01'!$D$73,8)="Reported")),"/","!")</f>
        <v>!</v>
      </c>
      <c r="C161" t="s">
        <v>511</v>
      </c>
      <c r="O161" t="s">
        <v>511</v>
      </c>
    </row>
    <row r="162" spans="1:21">
      <c r="A162" s="34" t="s">
        <v>751</v>
      </c>
      <c r="B162" t="str">
        <f>IF(AND(HLOOKUP('General data'!$E$22,$C$1:$V$162,162,FALSE)="X",OR(LEFT('SE.01.01.18'!$D$69,8)="Reported",LEFT('S.01.01.07'!$D$69,8)="Reported")),"/","!")</f>
        <v>!</v>
      </c>
      <c r="G162" t="s">
        <v>511</v>
      </c>
      <c r="Q162" t="s">
        <v>511</v>
      </c>
    </row>
    <row r="163" spans="1:21">
      <c r="A163" s="34" t="s">
        <v>753</v>
      </c>
      <c r="B163" t="str">
        <f>IF(AND(HLOOKUP('General data'!$E$22,$C$1:$V$163,163,FALSE)="X",OR(LEFT('S.01.01.07'!$D$70,8)="Reported",LEFT('S.01.01.01'!$D$74,8)="Reported",LEFT('SE.01.01.16'!$D$74,8)="Reported",LEFT('SE.01.01.18'!$D$70,8)="Reported")),"/","!")</f>
        <v>!</v>
      </c>
      <c r="C163" t="s">
        <v>511</v>
      </c>
      <c r="G163" t="s">
        <v>511</v>
      </c>
      <c r="O163" t="s">
        <v>511</v>
      </c>
      <c r="Q163" t="s">
        <v>511</v>
      </c>
    </row>
    <row r="164" spans="1:21">
      <c r="A164" s="34" t="s">
        <v>755</v>
      </c>
      <c r="B164" t="str">
        <f>IF(AND(HLOOKUP('General data'!$E$22,$C$1:$V$164,164,FALSE)="X",OR(LEFT('S.01.01.07'!$D$71,8)="Reported",LEFT('S.01.01.01'!$D$75,8)="Reported",LEFT('SE.01.01.16'!$D$75,8)="Reported",LEFT('SE.01.01.18'!$D$71,8)="Reported")),"/","!")</f>
        <v>!</v>
      </c>
      <c r="C164" t="s">
        <v>511</v>
      </c>
      <c r="G164" t="s">
        <v>511</v>
      </c>
      <c r="O164" t="s">
        <v>511</v>
      </c>
      <c r="Q164" t="s">
        <v>511</v>
      </c>
    </row>
    <row r="165" spans="1:21">
      <c r="A165" s="34" t="s">
        <v>757</v>
      </c>
      <c r="B165" t="str">
        <f>IF(AND(HLOOKUP('General data'!$E$22,$C$1:$V$165,165,FALSE)="X",OR(LEFT('S.01.01.07'!$D$72,8)="Reported",LEFT('S.01.01.01'!$D$76,8)="Reported",LEFT('SE.01.01.16'!$D$76,8)="Reported",LEFT('SE.01.01.18'!$D$72,8)="Reported")),"/","!")</f>
        <v>!</v>
      </c>
      <c r="C165" t="s">
        <v>511</v>
      </c>
      <c r="G165" t="s">
        <v>511</v>
      </c>
      <c r="O165" t="s">
        <v>511</v>
      </c>
      <c r="Q165" t="s">
        <v>511</v>
      </c>
    </row>
    <row r="166" spans="1:21">
      <c r="A166" s="34" t="s">
        <v>759</v>
      </c>
      <c r="B166" t="str">
        <f>IF(AND(HLOOKUP('General data'!$E$22,$C$1:$V$166,166,FALSE)="X",OR(LEFT('S.01.01.07'!$D$73,8)="Reported",LEFT('S.01.01.01'!$D$77,8)="Reported",LEFT('SE.01.01.16'!$D$77,8)="Reported",LEFT('SE.01.01.18'!$D$73,8)="Reported")),"/","!")</f>
        <v>!</v>
      </c>
      <c r="C166" t="s">
        <v>511</v>
      </c>
      <c r="G166" t="s">
        <v>511</v>
      </c>
      <c r="O166" t="s">
        <v>511</v>
      </c>
      <c r="Q166" t="s">
        <v>511</v>
      </c>
    </row>
    <row r="167" spans="1:21">
      <c r="A167" s="34" t="s">
        <v>761</v>
      </c>
      <c r="B167" t="str">
        <f>IF(AND(HLOOKUP('General data'!$E$22,$C$1:$V$167,167,FALSE)="X",OR(LEFT('S.01.01.07'!$D$74,8)="Reported",LEFT('S.01.01.01'!$D$78,8)="Reported",LEFT('SE.01.01.16'!$D$78,8)="Reported",LEFT('SE.01.01.18'!$D$74,8)="Reported")),"/","!")</f>
        <v>!</v>
      </c>
      <c r="C167" t="s">
        <v>511</v>
      </c>
      <c r="G167" t="s">
        <v>511</v>
      </c>
      <c r="O167" t="s">
        <v>511</v>
      </c>
      <c r="Q167" t="s">
        <v>511</v>
      </c>
    </row>
    <row r="168" spans="1:21">
      <c r="A168" s="34" t="s">
        <v>763</v>
      </c>
      <c r="B168" t="str">
        <f>IF(AND(HLOOKUP('General data'!$E$22,$C$1:$V$168,168,FALSE)="X",OR(LEFT('S.01.01.07'!$D$75,8)="Reported",LEFT('S.01.01.01'!$D$79,8)="Reported",LEFT('SE.01.01.16'!$D$79,8)="Reported",LEFT('SE.01.01.18'!$D$75,8)="Reported")),"/","!")</f>
        <v>!</v>
      </c>
      <c r="C168" t="s">
        <v>511</v>
      </c>
      <c r="G168" t="s">
        <v>511</v>
      </c>
      <c r="O168" t="s">
        <v>511</v>
      </c>
      <c r="Q168" t="s">
        <v>511</v>
      </c>
    </row>
    <row r="169" spans="1:21">
      <c r="A169" s="34" t="s">
        <v>765</v>
      </c>
      <c r="B169" t="str">
        <f>IF(AND(HLOOKUP('General data'!$E$22,$C$1:$V$169,169,FALSE)="X",OR(LEFT('S.01.01.07'!$D$76,8)="Reported",LEFT('S.01.01.01'!$D$80,8)="Reported",LEFT('SE.01.01.16'!$D$80,8)="Reported",LEFT('SE.01.01.18'!$D$76,8)="Reported")),"/","!")</f>
        <v>!</v>
      </c>
      <c r="C169" t="s">
        <v>511</v>
      </c>
      <c r="G169" t="s">
        <v>511</v>
      </c>
      <c r="O169" t="s">
        <v>511</v>
      </c>
      <c r="Q169" t="s">
        <v>511</v>
      </c>
    </row>
    <row r="170" spans="1:21">
      <c r="A170" s="34" t="s">
        <v>767</v>
      </c>
      <c r="B170" t="str">
        <f>IF(AND(HLOOKUP('General data'!$E$22,$C$1:$V$170,170,FALSE)="X",OR(LEFT('S.01.01.07'!$D$77,8)="Reported",LEFT('S.01.01.01'!$D$81,8)="Reported",LEFT('SE.01.01.16'!$D$81,8)="Reported",LEFT('SE.01.01.18'!$D$77,8)="Reported")),"/","!")</f>
        <v>!</v>
      </c>
      <c r="C170" t="s">
        <v>511</v>
      </c>
      <c r="G170" t="s">
        <v>511</v>
      </c>
      <c r="O170" t="s">
        <v>511</v>
      </c>
      <c r="Q170" t="s">
        <v>511</v>
      </c>
    </row>
    <row r="171" spans="1:21">
      <c r="A171" s="34" t="s">
        <v>769</v>
      </c>
      <c r="B171" t="str">
        <f>IF(AND(HLOOKUP('General data'!$E$22,$C$1:$V$171,171,FALSE)="X",LEFT('S.01.01.04'!$D$52,8)="Reported"),"/","!")</f>
        <v>!</v>
      </c>
      <c r="E171" t="s">
        <v>511</v>
      </c>
    </row>
    <row r="172" spans="1:21">
      <c r="A172" s="34" t="s">
        <v>770</v>
      </c>
      <c r="B172" t="str">
        <f>IF(AND(HLOOKUP('General data'!$E$22,$C$1:$V$172,172,FALSE)="X",OR(LEFT('S.01.01.07'!$D$78,8)="Reported",LEFT('S.01.01.01'!$D$82,8)="Reported",LEFT('SE.01.01.16'!$D$82,8)="Reported",LEFT('SE.01.01.18'!$D$78,8)="Reported")),"/","!")</f>
        <v>!</v>
      </c>
      <c r="C172" t="s">
        <v>511</v>
      </c>
      <c r="G172" t="s">
        <v>511</v>
      </c>
      <c r="O172" t="s">
        <v>511</v>
      </c>
      <c r="Q172" t="s">
        <v>511</v>
      </c>
    </row>
    <row r="173" spans="1:21">
      <c r="A173" s="34" t="s">
        <v>772</v>
      </c>
      <c r="B173" t="str">
        <f>IF(AND(HLOOKUP('General data'!$E$22,$C$1:$V$173,173,FALSE)="X",LEFT('S.01.01.04'!$D$53,8)="Reported"),"/","!")</f>
        <v>!</v>
      </c>
      <c r="E173" t="s">
        <v>511</v>
      </c>
    </row>
    <row r="174" spans="1:21">
      <c r="A174" s="34" t="s">
        <v>773</v>
      </c>
      <c r="B174" t="str">
        <f>IF(AND(HLOOKUP('General data'!$E$22,$C$1:$V$174,174,FALSE)="X",LEFT('S.01.01.04'!$D$54,8)="Reported"),"/","!")</f>
        <v>!</v>
      </c>
      <c r="E174" t="s">
        <v>511</v>
      </c>
    </row>
    <row r="175" spans="1:21">
      <c r="A175" s="34" t="s">
        <v>775</v>
      </c>
      <c r="B175" t="str">
        <f>IF(AND(HLOOKUP('General data'!$E$22,$C$1:$V$175,175,FALSE)="X",Index!D179="Reported"),"/","!")</f>
        <v>!</v>
      </c>
      <c r="U175" t="s">
        <v>511</v>
      </c>
    </row>
    <row r="176" spans="1:21">
      <c r="A176" s="34" t="s">
        <v>776</v>
      </c>
      <c r="B176" t="str">
        <f>IF(AND(HLOOKUP('General data'!$E$22,$C$1:$V$176,176,FALSE)="X",LEFT('S.01.01.04'!$D$55,8)="Reported"),"/","!")</f>
        <v>!</v>
      </c>
      <c r="E176" t="s">
        <v>511</v>
      </c>
    </row>
    <row r="177" spans="1:19">
      <c r="A177" s="34" t="s">
        <v>778</v>
      </c>
      <c r="B177" t="str">
        <f>IF(AND(HLOOKUP('General data'!$E$22,$C$1:$V$177,177,FALSE)="X",LEFT('S.01.01.04'!$D$56,8)="Reported"),"/","!")</f>
        <v>!</v>
      </c>
      <c r="E177" t="s">
        <v>511</v>
      </c>
    </row>
    <row r="178" spans="1:19">
      <c r="A178" s="34" t="s">
        <v>780</v>
      </c>
      <c r="B178" t="str">
        <f>IF(AND(HLOOKUP('General data'!$E$22,$C$1:$V$178,178,FALSE)="X",LEFT('S.01.01.04'!$D$57,8)="Reported"),"/","!")</f>
        <v>!</v>
      </c>
      <c r="E178" t="s">
        <v>511</v>
      </c>
    </row>
    <row r="179" spans="1:19">
      <c r="A179" s="34" t="s">
        <v>782</v>
      </c>
      <c r="B179" t="str">
        <f>IF(AND(HLOOKUP('General data'!$E$22,$C$1:$V$179,179,FALSE)="X",OR(LEFT('S.01.01.04'!$D$58,8)="Reported",LEFT('S.01.01.01'!$D$83,8)="Reported",LEFT('SE.01.01.16'!$D$83,8)="Reported")),"/","!")</f>
        <v>!</v>
      </c>
      <c r="C179" t="s">
        <v>511</v>
      </c>
      <c r="E179" t="s">
        <v>511</v>
      </c>
      <c r="O179" t="s">
        <v>511</v>
      </c>
    </row>
    <row r="180" spans="1:19">
      <c r="A180" s="34" t="s">
        <v>784</v>
      </c>
      <c r="B180" t="str">
        <f>IF(AND(HLOOKUP('General data'!$E$22,$C$1:$V$180,180,FALSE)="X",OR(LEFT('S.01.01.04'!$D$59,8)="Reported",LEFT('S.01.01.01'!$D$84,8)="Reported",LEFT('SE.01.01.16'!$D$84,8)="Reported")),"/","!")</f>
        <v>!</v>
      </c>
      <c r="C180" t="s">
        <v>511</v>
      </c>
      <c r="E180" t="s">
        <v>511</v>
      </c>
      <c r="O180" t="s">
        <v>511</v>
      </c>
    </row>
    <row r="181" spans="1:19">
      <c r="A181" s="34" t="s">
        <v>786</v>
      </c>
      <c r="B181" t="str">
        <f>IF(AND(HLOOKUP('General data'!$E$22,$C$1:$V$181,181,FALSE)="X",OR(LEFT('S.01.01.04'!$D$60,8)="Reported",LEFT('S.01.01.01'!$D$85,8)="Reported",LEFT('SE.01.01.16'!$D$85,8)="Reported")),"/","!")</f>
        <v>!</v>
      </c>
      <c r="C181" t="s">
        <v>511</v>
      </c>
      <c r="E181" t="s">
        <v>511</v>
      </c>
      <c r="O181" t="s">
        <v>511</v>
      </c>
    </row>
    <row r="182" spans="1:19">
      <c r="A182" s="34" t="s">
        <v>788</v>
      </c>
      <c r="B182" t="str">
        <f>IF(AND(HLOOKUP('General data'!$E$22,$C$1:$V$182,182,FALSE)="X",OR(LEFT('S.01.01.04'!$D$61,8)="Reported",LEFT('S.01.01.01'!$D$86,8)="Reported",LEFT('SE.01.01.16'!$D$86,8)="Reported")),"/","!")</f>
        <v>!</v>
      </c>
      <c r="C182" t="s">
        <v>511</v>
      </c>
      <c r="E182" t="s">
        <v>511</v>
      </c>
      <c r="O182" t="s">
        <v>511</v>
      </c>
    </row>
    <row r="183" spans="1:19">
      <c r="A183" s="34" t="s">
        <v>790</v>
      </c>
      <c r="B183" t="str">
        <f>IF(AND(HLOOKUP('General data'!$E$22,$C$1:$V$183,183,FALSE)="X",LEFT('S.01.01.04'!$D$62,8)="Reported"),"/","!")</f>
        <v>!</v>
      </c>
      <c r="E183" t="s">
        <v>511</v>
      </c>
    </row>
    <row r="184" spans="1:19">
      <c r="A184" s="34" t="s">
        <v>792</v>
      </c>
      <c r="B184" t="str">
        <f>IF(AND(HLOOKUP('General data'!$E$22,$C$1:$V$184,184,FALSE)="X",OR(LEFT('S.01.01.12'!$D$18,8)="Reported",LEFT('S.01.01.10'!$D$18,8)="Reported",LEFT('S.01.01.14'!$D$18,8)="Reported")),"/","!")</f>
        <v>!</v>
      </c>
      <c r="I184" t="s">
        <v>511</v>
      </c>
      <c r="K184" t="s">
        <v>511</v>
      </c>
      <c r="M184" t="s">
        <v>511</v>
      </c>
    </row>
    <row r="185" spans="1:19">
      <c r="A185" s="34" t="s">
        <v>794</v>
      </c>
      <c r="B185" t="str">
        <f>IF(AND(HLOOKUP('General data'!$E$22,$C$1:$V$185,185,FALSE)="X",OR(LEFT('S.01.01.13'!$D$22,8)="Reported",LEFT('S.01.01.11'!$D$18,8)="Reported",LEFT('S.01.01.15'!$D$18,8)="Reported")),"/","!")</f>
        <v>!</v>
      </c>
      <c r="J185" t="s">
        <v>511</v>
      </c>
      <c r="L185" t="s">
        <v>511</v>
      </c>
      <c r="N185" t="s">
        <v>511</v>
      </c>
    </row>
    <row r="186" spans="1:19">
      <c r="A186" s="34" t="s">
        <v>796</v>
      </c>
      <c r="B186" t="str">
        <f>IF(AND(HLOOKUP('General data'!$E$22,$C$1:$V$186,186,FALSE)="X",OR(LEFT('S.01.01.12'!$D$19,8)="Reported",LEFT('S.01.01.10'!$D$19,8)="Reported",LEFT('S.01.01.14'!$D$19,8)="Reported")),"/","!")</f>
        <v>!</v>
      </c>
      <c r="I186" t="s">
        <v>511</v>
      </c>
      <c r="K186" t="s">
        <v>511</v>
      </c>
      <c r="M186" t="s">
        <v>511</v>
      </c>
    </row>
    <row r="187" spans="1:19">
      <c r="A187" s="34" t="s">
        <v>798</v>
      </c>
      <c r="B187" t="str">
        <f>IF(AND(HLOOKUP('General data'!$E$22,$C$1:$V$187,187,FALSE)="X",OR(LEFT('S.01.01.13'!$D$23,8)="Reported",LEFT('S.01.01.11'!$D$19,8)="Reported",LEFT('S.01.01.15'!$D$19,8)="Reported")),"/","!")</f>
        <v>!</v>
      </c>
      <c r="J187" t="s">
        <v>511</v>
      </c>
      <c r="L187" t="s">
        <v>511</v>
      </c>
      <c r="N187" t="s">
        <v>511</v>
      </c>
    </row>
    <row r="188" spans="1:19">
      <c r="A188" s="34" t="s">
        <v>800</v>
      </c>
      <c r="B188" t="str">
        <f>IF(AND(HLOOKUP('General data'!$E$22,$C$1:$V$188,188,FALSE)="X",OR(LEFT('SE.01.01.17'!$D$28,8)="Reported",LEFT('SE.01.01.16'!$D$87,8)="Reported",LEFT('SE.01.01.18'!$D$79,8)="Reported",LEFT('SE.01.01.19'!$D$28,8)="Reported")),"/","!")</f>
        <v>!</v>
      </c>
      <c r="O188" t="s">
        <v>511</v>
      </c>
      <c r="P188" t="s">
        <v>511</v>
      </c>
      <c r="Q188" t="s">
        <v>511</v>
      </c>
      <c r="R188" t="s">
        <v>511</v>
      </c>
    </row>
    <row r="189" spans="1:19">
      <c r="A189" s="34" t="s">
        <v>802</v>
      </c>
      <c r="B189" t="str">
        <f>IF(AND(HLOOKUP('General data'!$E$22,$C$1:$V$189,189,FALSE)="X",OR(LEFT('SE.01.01.18'!$D$80,8)="Reported",LEFT('SE.01.01.16'!$D$88,8)="Reported")),"/","!")</f>
        <v>!</v>
      </c>
      <c r="O189" t="s">
        <v>511</v>
      </c>
      <c r="Q189" t="s">
        <v>511</v>
      </c>
    </row>
    <row r="190" spans="1:19">
      <c r="A190" s="34" t="s">
        <v>804</v>
      </c>
      <c r="B190" t="str">
        <f>IF(AND(HLOOKUP('General data'!$E$22,$C$1:$V$190,190,FALSE)="X",OR(LEFT('SE.01.01.18'!$D$81,8)="Reported",LEFT('SE.01.01.16'!$D$89,8)="Reported")),"/","!")</f>
        <v>!</v>
      </c>
      <c r="O190" t="s">
        <v>511</v>
      </c>
      <c r="Q190" t="s">
        <v>511</v>
      </c>
    </row>
    <row r="191" spans="1:19">
      <c r="A191" s="34" t="s">
        <v>805</v>
      </c>
      <c r="B191" t="str">
        <f>IF(HLOOKUP('General data'!$E$22,$C$1:$U$191,191,FALSE)="X","/","!")</f>
        <v>!</v>
      </c>
      <c r="S191" t="s">
        <v>511</v>
      </c>
    </row>
    <row r="192" spans="1:19">
      <c r="A192" s="34" t="s">
        <v>806</v>
      </c>
      <c r="B192" t="str">
        <f>IF(AND(HLOOKUP('General data'!$E$22,$C$1:$V$192,192,FALSE)="X",LEFT('SPV.01.01.20'!$D$16,8)="Reported"),"/","!")</f>
        <v>!</v>
      </c>
      <c r="S192" t="s">
        <v>511</v>
      </c>
    </row>
    <row r="193" spans="1:19">
      <c r="A193" s="34" t="s">
        <v>808</v>
      </c>
      <c r="B193" t="str">
        <f>IF(AND(HLOOKUP('General data'!$E$22,$C$1:$V$193,193,FALSE)="X",LEFT('SPV.01.01.20'!$D$17,8)="Reported"),"/","!")</f>
        <v>!</v>
      </c>
      <c r="S193" t="s">
        <v>511</v>
      </c>
    </row>
    <row r="194" spans="1:19">
      <c r="A194" s="34" t="s">
        <v>809</v>
      </c>
      <c r="B194" t="str">
        <f>IF(AND(HLOOKUP('General data'!$E$22,$C$1:$V$194,194,FALSE)="X",LEFT('SPV.01.01.20'!$D$18,8)="Reported"),"/","!")</f>
        <v>!</v>
      </c>
      <c r="S194" t="s">
        <v>511</v>
      </c>
    </row>
    <row r="195" spans="1:19">
      <c r="A195" s="34" t="s">
        <v>811</v>
      </c>
      <c r="B195" t="str">
        <f>IF(AND(HLOOKUP('General data'!$E$22,$C$1:$V$195,195,FALSE)="X",LEFT('SPV.01.01.20'!$D$19,8)="Reported"),"/","!")</f>
        <v>!</v>
      </c>
      <c r="S195" t="s">
        <v>511</v>
      </c>
    </row>
    <row r="196" spans="1:19">
      <c r="A196" s="34" t="s">
        <v>813</v>
      </c>
      <c r="B196" t="str">
        <f>IF(AND(HLOOKUP('General data'!$E$22,$C$1:$V$196,196,FALSE)="X",LEFT('SPV.01.01.20'!$D$20,8)="Reported"),"/","!")</f>
        <v>!</v>
      </c>
      <c r="S196" t="s">
        <v>511</v>
      </c>
    </row>
    <row r="197" spans="1:19">
      <c r="A197" s="34" t="s">
        <v>814</v>
      </c>
      <c r="B197" t="str">
        <f>IF(AND(HLOOKUP('General data'!$E$22,$C$1:$V$197,197,FALSE)="X",Index!D201="Reported"),"/","!")</f>
        <v>!</v>
      </c>
      <c r="C197" t="s">
        <v>511</v>
      </c>
      <c r="D197" t="s">
        <v>511</v>
      </c>
      <c r="E197" t="s">
        <v>511</v>
      </c>
      <c r="F197" t="s">
        <v>511</v>
      </c>
      <c r="G197" t="s">
        <v>511</v>
      </c>
      <c r="H197" t="s">
        <v>511</v>
      </c>
      <c r="I197" t="s">
        <v>511</v>
      </c>
      <c r="J197" t="s">
        <v>511</v>
      </c>
      <c r="K197" t="s">
        <v>511</v>
      </c>
      <c r="L197" t="s">
        <v>511</v>
      </c>
      <c r="M197" t="s">
        <v>511</v>
      </c>
      <c r="N197" t="s">
        <v>511</v>
      </c>
      <c r="O197" t="s">
        <v>511</v>
      </c>
      <c r="P197" t="s">
        <v>511</v>
      </c>
      <c r="Q197" t="s">
        <v>511</v>
      </c>
      <c r="R197" t="s">
        <v>511</v>
      </c>
      <c r="S197" t="s">
        <v>511</v>
      </c>
    </row>
    <row r="198" spans="1:19">
      <c r="A198" t="str">
        <f>IF(AND(LEFT('S.01.01.01'!$D$16,8)&lt;&gt;"Reported",'S.01.01.01'!$D$16&lt;&gt;""),Show!$B$2 &amp; "S.01.02.01.01 Rows{Z}@ForceFilingCode:false","")</f>
        <v/>
      </c>
      <c r="B198" t="str">
        <f>IF(AND(LEFT('S.01.01.01'!$D$16,8)&lt;&gt;"Reported",'S.01.01.01'!$D$16&lt;&gt;""),Show!$B$2&amp; Show!$B$2&amp;"S.01.02.01.01 Rows{Z}@ForceFilingCode:false","")</f>
        <v/>
      </c>
    </row>
    <row r="199" spans="1:19">
      <c r="A199" t="str">
        <f>IF(AND(LEFT('S.01.01.01'!$D$17,8)&lt;&gt;"Reported",'S.01.01.01'!$D$17&lt;&gt;""),Show!$B$2 &amp; "S.01.03.01.01 Rows{Z}@ForceFilingCode:false","")</f>
        <v/>
      </c>
      <c r="B199" t="str">
        <f>IF(AND(LEFT('S.01.01.01'!$D$17,8)&lt;&gt;"Reported",'S.01.01.01'!$D$17&lt;&gt;""),Show!$B$2&amp; Show!$B$2&amp;"S.01.03.01.01 Rows{Z}@ForceFilingCode:false","")</f>
        <v/>
      </c>
    </row>
    <row r="200" spans="1:19">
      <c r="A200" t="str">
        <f>IF(AND(LEFT('S.01.01.01'!$D$17,8)&lt;&gt;"Reported",'S.01.01.01'!$D$17&lt;&gt;""),Show!$B$2 &amp; "S.01.03.01.02 Rows{Z}@ForceFilingCode:false","")</f>
        <v/>
      </c>
      <c r="B200" t="str">
        <f>IF(AND(LEFT('S.01.01.01'!$D$17,8)&lt;&gt;"Reported",'S.01.01.01'!$D$17&lt;&gt;""),Show!$B$2&amp; Show!$B$2&amp;"S.01.03.01.02 Rows{Z}@ForceFilingCode:false","")</f>
        <v/>
      </c>
    </row>
    <row r="201" spans="1:19">
      <c r="A201" t="str">
        <f>IF(AND(LEFT('S.01.01.01'!$D$18,8)&lt;&gt;"Reported",'S.01.01.01'!$D$18&lt;&gt;""),Show!$B$2 &amp; "S.02.01.01.01 Rows{Z}@ForceFilingCode:false","")</f>
        <v/>
      </c>
      <c r="B201" t="str">
        <f>IF(AND(LEFT('S.01.01.01'!$D$18,8)&lt;&gt;"Reported",'S.01.01.01'!$D$18&lt;&gt;""),Show!$B$2&amp; Show!$B$2&amp;"S.02.01.01.01 Rows{Z}@ForceFilingCode:false","")</f>
        <v/>
      </c>
    </row>
    <row r="202" spans="1:19">
      <c r="A202" t="str">
        <f>IF(AND(LEFT('S.01.01.01'!$D$19,8)&lt;&gt;"Reported",'S.01.01.01'!$D$19&lt;&gt;""),Show!$B$2 &amp; "S.02.02.01.01 Rows{Z}@ForceFilingCode:false","")</f>
        <v/>
      </c>
      <c r="B202" t="str">
        <f>IF(AND(LEFT('S.01.01.01'!$D$19,8)&lt;&gt;"Reported",'S.01.01.01'!$D$19&lt;&gt;""),Show!$B$2&amp; Show!$B$2&amp;"S.02.02.01.01 Rows{Z}@ForceFilingCode:false","")</f>
        <v/>
      </c>
    </row>
    <row r="203" spans="1:19">
      <c r="A203" t="str">
        <f>IF(AND(LEFT('S.01.01.01'!$D$19,8)&lt;&gt;"Reported",'S.01.01.01'!$D$19&lt;&gt;""),Show!$B$2 &amp; "S.02.02.01.02 Rows{Z}@ForceFilingCode:false","")</f>
        <v/>
      </c>
      <c r="B203" t="str">
        <f>IF(AND(LEFT('S.01.01.01'!$D$19,8)&lt;&gt;"Reported",'S.01.01.01'!$D$19&lt;&gt;""),Show!$B$2&amp; Show!$B$2&amp;"S.02.02.01.02 Rows{Z}@ForceFilingCode:false","")</f>
        <v/>
      </c>
    </row>
    <row r="204" spans="1:19">
      <c r="A204" t="str">
        <f>IF(AND(LEFT('S.01.01.01'!$D$20,8)&lt;&gt;"Reported",'S.01.01.01'!$D$20&lt;&gt;""),Show!$B$2 &amp; "S.03.01.01.01 Rows{Z}@ForceFilingCode:false","")</f>
        <v/>
      </c>
      <c r="B204" t="str">
        <f>IF(AND(LEFT('S.01.01.01'!$D$20,8)&lt;&gt;"Reported",'S.01.01.01'!$D$20&lt;&gt;""),Show!$B$2&amp; Show!$B$2&amp;"S.03.01.01.01 Rows{Z}@ForceFilingCode:false","")</f>
        <v/>
      </c>
    </row>
    <row r="205" spans="1:19">
      <c r="A205" t="str">
        <f>IF(AND(LEFT('S.01.01.01'!$D$20,8)&lt;&gt;"Reported",'S.01.01.01'!$D$20&lt;&gt;""),Show!$B$2 &amp; "S.03.01.01.02 Rows{Z}@ForceFilingCode:false","")</f>
        <v/>
      </c>
      <c r="B205" t="str">
        <f>IF(AND(LEFT('S.01.01.01'!$D$20,8)&lt;&gt;"Reported",'S.01.01.01'!$D$20&lt;&gt;""),Show!$B$2&amp; Show!$B$2&amp;"S.03.01.01.02 Rows{Z}@ForceFilingCode:false","")</f>
        <v/>
      </c>
    </row>
    <row r="206" spans="1:19">
      <c r="A206" t="str">
        <f>IF(AND(LEFT('S.01.01.01'!$D$21,8)&lt;&gt;"Reported",'S.01.01.01'!$D$21&lt;&gt;""),Show!$B$2 &amp; "S.03.02.01.01 Rows{Z}@ForceFilingCode:false","")</f>
        <v/>
      </c>
      <c r="B206" t="str">
        <f>IF(AND(LEFT('S.01.01.01'!$D$21,8)&lt;&gt;"Reported",'S.01.01.01'!$D$21&lt;&gt;""),Show!$B$2&amp; Show!$B$2&amp;"S.03.02.01.01 Rows{Z}@ForceFilingCode:false","")</f>
        <v/>
      </c>
    </row>
    <row r="207" spans="1:19">
      <c r="A207" t="str">
        <f>IF(AND(LEFT('S.01.01.01'!$D$22,8)&lt;&gt;"Reported",'S.01.01.01'!$D$22&lt;&gt;""),Show!$B$2 &amp; "S.03.03.01.01 Rows{Z}@ForceFilingCode:false","")</f>
        <v/>
      </c>
      <c r="B207" t="str">
        <f>IF(AND(LEFT('S.01.01.01'!$D$22,8)&lt;&gt;"Reported",'S.01.01.01'!$D$22&lt;&gt;""),Show!$B$2&amp; Show!$B$2&amp;"S.03.03.01.01 Rows{Z}@ForceFilingCode:false","")</f>
        <v/>
      </c>
    </row>
    <row r="208" spans="1:19">
      <c r="A208" t="str">
        <f>IF(AND(LEFT('S.01.01.01'!$D$23,8)&lt;&gt;"Reported",'S.01.01.01'!$D$23&lt;&gt;""),Show!$B$2 &amp; "S.04.01.01.01 Rows{Z}@ForceFilingCode:false","")</f>
        <v/>
      </c>
      <c r="B208" t="str">
        <f>IF(AND(LEFT('S.01.01.01'!$D$23,8)&lt;&gt;"Reported",'S.01.01.01'!$D$23&lt;&gt;""),Show!$B$2&amp; Show!$B$2&amp;"S.04.01.01.01 Rows{Z}@ForceFilingCode:false","")</f>
        <v/>
      </c>
    </row>
    <row r="209" spans="1:2">
      <c r="A209" t="str">
        <f>IF(AND(LEFT('S.01.01.01'!$D$23,8)&lt;&gt;"Reported",'S.01.01.01'!$D$23&lt;&gt;""),Show!$B$2 &amp; "S.04.01.01.02 Rows{Z}@ForceFilingCode:false","")</f>
        <v/>
      </c>
      <c r="B209" t="str">
        <f>IF(AND(LEFT('S.01.01.01'!$D$23,8)&lt;&gt;"Reported",'S.01.01.01'!$D$23&lt;&gt;""),Show!$B$2&amp; Show!$B$2&amp;"S.04.01.01.02 Rows{Z}@ForceFilingCode:false","")</f>
        <v/>
      </c>
    </row>
    <row r="210" spans="1:2">
      <c r="A210" t="str">
        <f>IF(AND(LEFT('S.01.01.01'!$D$23,8)&lt;&gt;"Reported",'S.01.01.01'!$D$23&lt;&gt;""),Show!$B$2 &amp; "S.04.01.01.03 Rows{Z}@ForceFilingCode:false","")</f>
        <v/>
      </c>
      <c r="B210" t="str">
        <f>IF(AND(LEFT('S.01.01.01'!$D$23,8)&lt;&gt;"Reported",'S.01.01.01'!$D$23&lt;&gt;""),Show!$B$2&amp; Show!$B$2&amp;"S.04.01.01.03 Rows{Z}@ForceFilingCode:false","")</f>
        <v/>
      </c>
    </row>
    <row r="211" spans="1:2">
      <c r="A211" t="str">
        <f>IF(AND(LEFT('S.01.01.01'!$D$23,8)&lt;&gt;"Reported",'S.01.01.01'!$D$23&lt;&gt;""),Show!$B$2 &amp; "S.04.01.01.04 Rows{Z}@ForceFilingCode:false","")</f>
        <v/>
      </c>
      <c r="B211" t="str">
        <f>IF(AND(LEFT('S.01.01.01'!$D$23,8)&lt;&gt;"Reported",'S.01.01.01'!$D$23&lt;&gt;""),Show!$B$2&amp; Show!$B$2&amp;"S.04.01.01.04 Rows{Z}@ForceFilingCode:false","")</f>
        <v/>
      </c>
    </row>
    <row r="212" spans="1:2">
      <c r="A212" t="str">
        <f>IF(AND(LEFT('S.01.01.01'!$D$24,8)&lt;&gt;"Reported",'S.01.01.01'!$D$24&lt;&gt;""),Show!$B$2 &amp; "S.04.02.01.01 Rows{Z}@ForceFilingCode:false","")</f>
        <v/>
      </c>
      <c r="B212" t="str">
        <f>IF(AND(LEFT('S.01.01.01'!$D$24,8)&lt;&gt;"Reported",'S.01.01.01'!$D$24&lt;&gt;""),Show!$B$2&amp; Show!$B$2&amp;"S.04.02.01.01 Rows{Z}@ForceFilingCode:false","")</f>
        <v/>
      </c>
    </row>
    <row r="213" spans="1:2">
      <c r="A213" t="str">
        <f>IF(AND(LEFT('S.01.01.01'!$D$24,8)&lt;&gt;"Reported",'S.01.01.01'!$D$24&lt;&gt;""),Show!$B$2 &amp; "S.04.02.01.02 Rows{Z}@ForceFilingCode:false","")</f>
        <v/>
      </c>
      <c r="B213" t="str">
        <f>IF(AND(LEFT('S.01.01.01'!$D$24,8)&lt;&gt;"Reported",'S.01.01.01'!$D$24&lt;&gt;""),Show!$B$2&amp; Show!$B$2&amp;"S.04.02.01.02 Rows{Z}@ForceFilingCode:false","")</f>
        <v/>
      </c>
    </row>
    <row r="214" spans="1:2">
      <c r="A214" t="str">
        <f>IF(AND(LEFT('S.01.01.01'!$D$25,8)&lt;&gt;"Reported",'S.01.01.01'!$D$25&lt;&gt;""),Show!$B$2 &amp; "S.05.01.01.01 Rows{Z}@ForceFilingCode:false","")</f>
        <v/>
      </c>
      <c r="B214" t="str">
        <f>IF(AND(LEFT('S.01.01.01'!$D$25,8)&lt;&gt;"Reported",'S.01.01.01'!$D$25&lt;&gt;""),Show!$B$2&amp; Show!$B$2&amp;"S.05.01.01.01 Rows{Z}@ForceFilingCode:false","")</f>
        <v/>
      </c>
    </row>
    <row r="215" spans="1:2">
      <c r="A215" t="str">
        <f>IF(AND(LEFT('S.01.01.01'!$D$25,8)&lt;&gt;"Reported",'S.01.01.01'!$D$25&lt;&gt;""),Show!$B$2 &amp; "S.05.01.01.02 Rows{Z}@ForceFilingCode:false","")</f>
        <v/>
      </c>
      <c r="B215" t="str">
        <f>IF(AND(LEFT('S.01.01.01'!$D$25,8)&lt;&gt;"Reported",'S.01.01.01'!$D$25&lt;&gt;""),Show!$B$2&amp; Show!$B$2&amp;"S.05.01.01.02 Rows{Z}@ForceFilingCode:false","")</f>
        <v/>
      </c>
    </row>
    <row r="216" spans="1:2">
      <c r="A216" t="str">
        <f>IF(AND(LEFT('S.01.01.01'!$D$26,8)&lt;&gt;"Reported",'S.01.01.01'!$D$26&lt;&gt;""),Show!$B$2 &amp; "S.05.02.01.01 Rows{Z}@ForceFilingCode:false","")</f>
        <v/>
      </c>
      <c r="B216" t="str">
        <f>IF(AND(LEFT('S.01.01.01'!$D$26,8)&lt;&gt;"Reported",'S.01.01.01'!$D$26&lt;&gt;""),Show!$B$2&amp; Show!$B$2&amp;"S.05.02.01.01 Rows{Z}@ForceFilingCode:false","")</f>
        <v/>
      </c>
    </row>
    <row r="217" spans="1:2">
      <c r="A217" t="str">
        <f>IF(AND(LEFT('S.01.01.01'!$D$26,8)&lt;&gt;"Reported",'S.01.01.01'!$D$26&lt;&gt;""),Show!$B$2 &amp; "S.05.02.01.02 Rows{Z}@ForceFilingCode:false","")</f>
        <v/>
      </c>
      <c r="B217" t="str">
        <f>IF(AND(LEFT('S.01.01.01'!$D$26,8)&lt;&gt;"Reported",'S.01.01.01'!$D$26&lt;&gt;""),Show!$B$2&amp; Show!$B$2&amp;"S.05.02.01.02 Rows{Z}@ForceFilingCode:false","")</f>
        <v/>
      </c>
    </row>
    <row r="218" spans="1:2">
      <c r="A218" t="str">
        <f>IF(AND(LEFT('S.01.01.01'!$D$26,8)&lt;&gt;"Reported",'S.01.01.01'!$D$26&lt;&gt;""),Show!$B$2 &amp; "S.05.02.01.03 Rows{Z}@ForceFilingCode:false","")</f>
        <v/>
      </c>
      <c r="B218" t="str">
        <f>IF(AND(LEFT('S.01.01.01'!$D$26,8)&lt;&gt;"Reported",'S.01.01.01'!$D$26&lt;&gt;""),Show!$B$2&amp; Show!$B$2&amp;"S.05.02.01.03 Rows{Z}@ForceFilingCode:false","")</f>
        <v/>
      </c>
    </row>
    <row r="219" spans="1:2">
      <c r="A219" t="str">
        <f>IF(AND(LEFT('S.01.01.01'!$D$26,8)&lt;&gt;"Reported",'S.01.01.01'!$D$26&lt;&gt;""),Show!$B$2 &amp; "S.05.02.01.04 Rows{Z}@ForceFilingCode:false","")</f>
        <v/>
      </c>
      <c r="B219" t="str">
        <f>IF(AND(LEFT('S.01.01.01'!$D$26,8)&lt;&gt;"Reported",'S.01.01.01'!$D$26&lt;&gt;""),Show!$B$2&amp; Show!$B$2&amp;"S.05.02.01.04 Rows{Z}@ForceFilingCode:false","")</f>
        <v/>
      </c>
    </row>
    <row r="220" spans="1:2">
      <c r="A220" t="str">
        <f>IF(AND(LEFT('S.01.01.01'!$D$26,8)&lt;&gt;"Reported",'S.01.01.01'!$D$26&lt;&gt;""),Show!$B$2 &amp; "S.05.02.01.05 Rows{Z}@ForceFilingCode:false","")</f>
        <v/>
      </c>
      <c r="B220" t="str">
        <f>IF(AND(LEFT('S.01.01.01'!$D$26,8)&lt;&gt;"Reported",'S.01.01.01'!$D$26&lt;&gt;""),Show!$B$2&amp; Show!$B$2&amp;"S.05.02.01.05 Rows{Z}@ForceFilingCode:false","")</f>
        <v/>
      </c>
    </row>
    <row r="221" spans="1:2">
      <c r="A221" t="str">
        <f>IF(AND(LEFT('S.01.01.01'!$D$26,8)&lt;&gt;"Reported",'S.01.01.01'!$D$26&lt;&gt;""),Show!$B$2 &amp; "S.05.02.01.06 Rows{Z}@ForceFilingCode:false","")</f>
        <v/>
      </c>
      <c r="B221" t="str">
        <f>IF(AND(LEFT('S.01.01.01'!$D$26,8)&lt;&gt;"Reported",'S.01.01.01'!$D$26&lt;&gt;""),Show!$B$2&amp; Show!$B$2&amp;"S.05.02.01.06 Rows{Z}@ForceFilingCode:false","")</f>
        <v/>
      </c>
    </row>
    <row r="222" spans="1:2">
      <c r="A222" t="str">
        <f>IF(AND(LEFT('S.01.01.01'!$D$27,8)&lt;&gt;"Reported",'S.01.01.01'!$D$27&lt;&gt;""),Show!$B$2 &amp; "S.06.01.01.01 Rows{Z}@ForceFilingCode:false","")</f>
        <v/>
      </c>
      <c r="B222" t="str">
        <f>IF(AND(LEFT('S.01.01.01'!$D$27,8)&lt;&gt;"Reported",'S.01.01.01'!$D$27&lt;&gt;""),Show!$B$2&amp; Show!$B$2&amp;"S.06.01.01.01 Rows{Z}@ForceFilingCode:false","")</f>
        <v/>
      </c>
    </row>
    <row r="223" spans="1:2">
      <c r="A223" t="str">
        <f>IF(AND(LEFT('S.01.01.01'!$D$28,8)&lt;&gt;"Reported",'S.01.01.01'!$D$28&lt;&gt;""),Show!$B$2 &amp; "S.06.02.01.01 Rows{Z}@ForceFilingCode:false","")</f>
        <v/>
      </c>
      <c r="B223" t="str">
        <f>IF(AND(LEFT('S.01.01.01'!$D$28,8)&lt;&gt;"Reported",'S.01.01.01'!$D$28&lt;&gt;""),Show!$B$2&amp; Show!$B$2&amp;"S.06.02.01.01 Rows{Z}@ForceFilingCode:false","")</f>
        <v/>
      </c>
    </row>
    <row r="224" spans="1:2">
      <c r="A224" t="str">
        <f>IF(AND(LEFT('S.01.01.01'!$D$28,8)&lt;&gt;"Reported",'S.01.01.01'!$D$28&lt;&gt;""),Show!$B$2 &amp; "S.06.02.01.02 Rows{Z}@ForceFilingCode:false","")</f>
        <v/>
      </c>
      <c r="B224" t="str">
        <f>IF(AND(LEFT('S.01.01.01'!$D$28,8)&lt;&gt;"Reported",'S.01.01.01'!$D$28&lt;&gt;""),Show!$B$2&amp; Show!$B$2&amp;"S.06.02.01.02 Rows{Z}@ForceFilingCode:false","")</f>
        <v/>
      </c>
    </row>
    <row r="225" spans="1:2">
      <c r="A225" t="str">
        <f>IF(AND(LEFT('S.01.01.01'!$D$29,8)&lt;&gt;"Reported",'S.01.01.01'!$D$29&lt;&gt;""),Show!$B$2 &amp; "S.06.03.01.01 Rows{Z}@ForceFilingCode:false","")</f>
        <v/>
      </c>
      <c r="B225" t="str">
        <f>IF(AND(LEFT('S.01.01.01'!$D$29,8)&lt;&gt;"Reported",'S.01.01.01'!$D$29&lt;&gt;""),Show!$B$2&amp; Show!$B$2&amp;"S.06.03.01.01 Rows{Z}@ForceFilingCode:false","")</f>
        <v/>
      </c>
    </row>
    <row r="226" spans="1:2">
      <c r="A226" t="str">
        <f>IF(AND(LEFT('S.01.01.01'!$D$30,8)&lt;&gt;"Reported",'S.01.01.01'!$D$30&lt;&gt;""),Show!$B$2 &amp; "S.07.01.01.01 Rows{Z}@ForceFilingCode:false","")</f>
        <v/>
      </c>
      <c r="B226" t="str">
        <f>IF(AND(LEFT('S.01.01.01'!$D$30,8)&lt;&gt;"Reported",'S.01.01.01'!$D$30&lt;&gt;""),Show!$B$2&amp; Show!$B$2&amp;"S.07.01.01.01 Rows{Z}@ForceFilingCode:false","")</f>
        <v/>
      </c>
    </row>
    <row r="227" spans="1:2">
      <c r="A227" t="str">
        <f>IF(AND(LEFT('S.01.01.01'!$D$31,8)&lt;&gt;"Reported",'S.01.01.01'!$D$31&lt;&gt;""),Show!$B$2 &amp; "S.08.01.01.01 Rows{Z}@ForceFilingCode:false","")</f>
        <v/>
      </c>
      <c r="B227" t="str">
        <f>IF(AND(LEFT('S.01.01.01'!$D$31,8)&lt;&gt;"Reported",'S.01.01.01'!$D$31&lt;&gt;""),Show!$B$2&amp; Show!$B$2&amp;"S.08.01.01.01 Rows{Z}@ForceFilingCode:false","")</f>
        <v/>
      </c>
    </row>
    <row r="228" spans="1:2">
      <c r="A228" t="str">
        <f>IF(AND(LEFT('S.01.01.01'!$D$31,8)&lt;&gt;"Reported",'S.01.01.01'!$D$31&lt;&gt;""),Show!$B$2 &amp; "S.08.01.01.02 Rows{Z}@ForceFilingCode:false","")</f>
        <v/>
      </c>
      <c r="B228" t="str">
        <f>IF(AND(LEFT('S.01.01.01'!$D$31,8)&lt;&gt;"Reported",'S.01.01.01'!$D$31&lt;&gt;""),Show!$B$2&amp; Show!$B$2&amp;"S.08.01.01.02 Rows{Z}@ForceFilingCode:false","")</f>
        <v/>
      </c>
    </row>
    <row r="229" spans="1:2">
      <c r="A229" t="str">
        <f>IF(AND(LEFT('S.01.01.01'!$D$32,8)&lt;&gt;"Reported",'S.01.01.01'!$D$32&lt;&gt;""),Show!$B$2 &amp; "S.08.02.01.01 Rows{Z}@ForceFilingCode:false","")</f>
        <v/>
      </c>
      <c r="B229" t="str">
        <f>IF(AND(LEFT('S.01.01.01'!$D$32,8)&lt;&gt;"Reported",'S.01.01.01'!$D$32&lt;&gt;""),Show!$B$2&amp; Show!$B$2&amp;"S.08.02.01.01 Rows{Z}@ForceFilingCode:false","")</f>
        <v/>
      </c>
    </row>
    <row r="230" spans="1:2">
      <c r="A230" t="str">
        <f>IF(AND(LEFT('S.01.01.01'!$D$32,8)&lt;&gt;"Reported",'S.01.01.01'!$D$32&lt;&gt;""),Show!$B$2 &amp; "S.08.02.01.02 Rows{Z}@ForceFilingCode:false","")</f>
        <v/>
      </c>
      <c r="B230" t="str">
        <f>IF(AND(LEFT('S.01.01.01'!$D$32,8)&lt;&gt;"Reported",'S.01.01.01'!$D$32&lt;&gt;""),Show!$B$2&amp; Show!$B$2&amp;"S.08.02.01.02 Rows{Z}@ForceFilingCode:false","")</f>
        <v/>
      </c>
    </row>
    <row r="231" spans="1:2">
      <c r="A231" t="str">
        <f>IF(AND(LEFT('S.01.01.01'!$D$33,8)&lt;&gt;"Reported",'S.01.01.01'!$D$33&lt;&gt;""),Show!$B$2 &amp; "S.09.01.01.01 Rows{Z}@ForceFilingCode:false","")</f>
        <v/>
      </c>
      <c r="B231" t="str">
        <f>IF(AND(LEFT('S.01.01.01'!$D$33,8)&lt;&gt;"Reported",'S.01.01.01'!$D$33&lt;&gt;""),Show!$B$2&amp; Show!$B$2&amp;"S.09.01.01.01 Rows{Z}@ForceFilingCode:false","")</f>
        <v/>
      </c>
    </row>
    <row r="232" spans="1:2">
      <c r="A232" t="str">
        <f>IF(AND(LEFT('S.01.01.01'!$D$34,8)&lt;&gt;"Reported",'S.01.01.01'!$D$34&lt;&gt;""),Show!$B$2 &amp; "S.10.01.01.01 Rows{Z}@ForceFilingCode:false","")</f>
        <v/>
      </c>
      <c r="B232" t="str">
        <f>IF(AND(LEFT('S.01.01.01'!$D$34,8)&lt;&gt;"Reported",'S.01.01.01'!$D$34&lt;&gt;""),Show!$B$2&amp; Show!$B$2&amp;"S.10.01.01.01 Rows{Z}@ForceFilingCode:false","")</f>
        <v/>
      </c>
    </row>
    <row r="233" spans="1:2">
      <c r="A233" t="str">
        <f>IF(AND(LEFT('S.01.01.01'!$D$35,8)&lt;&gt;"Reported",'S.01.01.01'!$D$35&lt;&gt;""),Show!$B$2 &amp; "S.11.01.01.01 Rows{Z}@ForceFilingCode:false","")</f>
        <v/>
      </c>
      <c r="B233" t="str">
        <f>IF(AND(LEFT('S.01.01.01'!$D$35,8)&lt;&gt;"Reported",'S.01.01.01'!$D$35&lt;&gt;""),Show!$B$2&amp; Show!$B$2&amp;"S.11.01.01.01 Rows{Z}@ForceFilingCode:false","")</f>
        <v/>
      </c>
    </row>
    <row r="234" spans="1:2">
      <c r="A234" t="str">
        <f>IF(AND(LEFT('S.01.01.01'!$D$35,8)&lt;&gt;"Reported",'S.01.01.01'!$D$35&lt;&gt;""),Show!$B$2 &amp; "S.11.01.01.02 Rows{Z}@ForceFilingCode:false","")</f>
        <v/>
      </c>
      <c r="B234" t="str">
        <f>IF(AND(LEFT('S.01.01.01'!$D$35,8)&lt;&gt;"Reported",'S.01.01.01'!$D$35&lt;&gt;""),Show!$B$2&amp; Show!$B$2&amp;"S.11.01.01.02 Rows{Z}@ForceFilingCode:false","")</f>
        <v/>
      </c>
    </row>
    <row r="235" spans="1:2">
      <c r="A235" t="str">
        <f>IF(AND(LEFT('S.01.01.01'!$D$36,8)&lt;&gt;"Reported",'S.01.01.01'!$D$36&lt;&gt;""),Show!$B$2 &amp; "S.12.01.01.01 Rows{Z}@ForceFilingCode:false","")</f>
        <v/>
      </c>
      <c r="B235" t="str">
        <f>IF(AND(LEFT('S.01.01.01'!$D$36,8)&lt;&gt;"Reported",'S.01.01.01'!$D$36&lt;&gt;""),Show!$B$2&amp; Show!$B$2&amp;"S.12.01.01.01 Rows{Z}@ForceFilingCode:false","")</f>
        <v/>
      </c>
    </row>
    <row r="236" spans="1:2">
      <c r="A236" t="str">
        <f>IF(AND(LEFT('S.01.01.01'!$D$37,8)&lt;&gt;"Reported",'S.01.01.01'!$D$37&lt;&gt;""),Show!$B$2 &amp; "S.12.02.01.01 Rows{Z}@ForceFilingCode:false","")</f>
        <v/>
      </c>
      <c r="B236" t="str">
        <f>IF(AND(LEFT('S.01.01.01'!$D$37,8)&lt;&gt;"Reported",'S.01.01.01'!$D$37&lt;&gt;""),Show!$B$2&amp; Show!$B$2&amp;"S.12.02.01.01 Rows{Z}@ForceFilingCode:false","")</f>
        <v/>
      </c>
    </row>
    <row r="237" spans="1:2">
      <c r="A237" t="str">
        <f>IF(AND(LEFT('S.01.01.01'!$D$37,8)&lt;&gt;"Reported",'S.01.01.01'!$D$37&lt;&gt;""),Show!$B$2 &amp; "S.12.02.01.02 Rows{Z}@ForceFilingCode:false","")</f>
        <v/>
      </c>
      <c r="B237" t="str">
        <f>IF(AND(LEFT('S.01.01.01'!$D$37,8)&lt;&gt;"Reported",'S.01.01.01'!$D$37&lt;&gt;""),Show!$B$2&amp; Show!$B$2&amp;"S.12.02.01.02 Rows{Z}@ForceFilingCode:false","")</f>
        <v/>
      </c>
    </row>
    <row r="238" spans="1:2">
      <c r="A238" t="str">
        <f>IF(AND(LEFT('S.01.01.01'!$D$38,8)&lt;&gt;"Reported",'S.01.01.01'!$D$38&lt;&gt;""),Show!$B$2 &amp; "S.13.01.01.01 Rows{Z}@ForceFilingCode:false","")</f>
        <v/>
      </c>
      <c r="B238" t="str">
        <f>IF(AND(LEFT('S.01.01.01'!$D$38,8)&lt;&gt;"Reported",'S.01.01.01'!$D$38&lt;&gt;""),Show!$B$2&amp; Show!$B$2&amp;"S.13.01.01.01 Rows{Z}@ForceFilingCode:false","")</f>
        <v/>
      </c>
    </row>
    <row r="239" spans="1:2">
      <c r="A239" t="str">
        <f>IF(AND(LEFT('S.01.01.01'!$D$39,8)&lt;&gt;"Reported",'S.01.01.01'!$D$39&lt;&gt;""),Show!$B$2 &amp; "S.14.01.01.01 Rows{Z}@ForceFilingCode:false","")</f>
        <v/>
      </c>
      <c r="B239" t="str">
        <f>IF(AND(LEFT('S.01.01.01'!$D$39,8)&lt;&gt;"Reported",'S.01.01.01'!$D$39&lt;&gt;""),Show!$B$2&amp; Show!$B$2&amp;"S.14.01.01.01 Rows{Z}@ForceFilingCode:false","")</f>
        <v/>
      </c>
    </row>
    <row r="240" spans="1:2">
      <c r="A240" t="str">
        <f>IF(AND(LEFT('S.01.01.01'!$D$39,8)&lt;&gt;"Reported",'S.01.01.01'!$D$39&lt;&gt;""),Show!$B$2 &amp; "S.14.01.01.02 Rows{Z}@ForceFilingCode:false","")</f>
        <v/>
      </c>
      <c r="B240" t="str">
        <f>IF(AND(LEFT('S.01.01.01'!$D$39,8)&lt;&gt;"Reported",'S.01.01.01'!$D$39&lt;&gt;""),Show!$B$2&amp; Show!$B$2&amp;"S.14.01.01.02 Rows{Z}@ForceFilingCode:false","")</f>
        <v/>
      </c>
    </row>
    <row r="241" spans="1:2">
      <c r="A241" t="str">
        <f>IF(AND(LEFT('S.01.01.01'!$D$39,8)&lt;&gt;"Reported",'S.01.01.01'!$D$39&lt;&gt;""),Show!$B$2 &amp; "S.14.01.01.03 Rows{Z}@ForceFilingCode:false","")</f>
        <v/>
      </c>
      <c r="B241" t="str">
        <f>IF(AND(LEFT('S.01.01.01'!$D$39,8)&lt;&gt;"Reported",'S.01.01.01'!$D$39&lt;&gt;""),Show!$B$2&amp; Show!$B$2&amp;"S.14.01.01.03 Rows{Z}@ForceFilingCode:false","")</f>
        <v/>
      </c>
    </row>
    <row r="242" spans="1:2">
      <c r="A242" t="str">
        <f>IF(AND(LEFT('S.01.01.01'!$D$39,8)&lt;&gt;"Reported",'S.01.01.01'!$D$39&lt;&gt;""),Show!$B$2 &amp; "S.14.01.01.04 Rows{Z}@ForceFilingCode:false","")</f>
        <v/>
      </c>
      <c r="B242" t="str">
        <f>IF(AND(LEFT('S.01.01.01'!$D$39,8)&lt;&gt;"Reported",'S.01.01.01'!$D$39&lt;&gt;""),Show!$B$2&amp; Show!$B$2&amp;"S.14.01.01.04 Rows{Z}@ForceFilingCode:false","")</f>
        <v/>
      </c>
    </row>
    <row r="243" spans="1:2">
      <c r="A243" t="str">
        <f>IF(AND(LEFT('S.01.01.01'!$D$40,8)&lt;&gt;"Reported",'S.01.01.01'!$D$40&lt;&gt;""),Show!$B$2 &amp; "S.15.01.01.01 Rows{Z}@ForceFilingCode:false","")</f>
        <v/>
      </c>
      <c r="B243" t="str">
        <f>IF(AND(LEFT('S.01.01.01'!$D$40,8)&lt;&gt;"Reported",'S.01.01.01'!$D$40&lt;&gt;""),Show!$B$2&amp; Show!$B$2&amp;"S.15.01.01.01 Rows{Z}@ForceFilingCode:false","")</f>
        <v/>
      </c>
    </row>
    <row r="244" spans="1:2">
      <c r="A244" t="str">
        <f>IF(AND(LEFT('S.01.01.01'!$D$41,8)&lt;&gt;"Reported",'S.01.01.01'!$D$41&lt;&gt;""),Show!$B$2 &amp; "S.15.02.01.01 Rows{Z}@ForceFilingCode:false","")</f>
        <v/>
      </c>
      <c r="B244" t="str">
        <f>IF(AND(LEFT('S.01.01.01'!$D$41,8)&lt;&gt;"Reported",'S.01.01.01'!$D$41&lt;&gt;""),Show!$B$2&amp; Show!$B$2&amp;"S.15.02.01.01 Rows{Z}@ForceFilingCode:false","")</f>
        <v/>
      </c>
    </row>
    <row r="245" spans="1:2">
      <c r="A245" t="str">
        <f>IF(AND(LEFT('S.01.01.01'!$D$42,8)&lt;&gt;"Reported",'S.01.01.01'!$D$42&lt;&gt;""),Show!$B$2 &amp; "S.16.01.01.01 Rows{Z}@ForceFilingCode:false","")</f>
        <v/>
      </c>
      <c r="B245" t="str">
        <f>IF(AND(LEFT('S.01.01.01'!$D$42,8)&lt;&gt;"Reported",'S.01.01.01'!$D$42&lt;&gt;""),Show!$B$2&amp; Show!$B$2&amp;"S.16.01.01.01 Rows{Z}@ForceFilingCode:false","")</f>
        <v/>
      </c>
    </row>
    <row r="246" spans="1:2">
      <c r="A246" t="str">
        <f>IF(AND(LEFT('S.01.01.01'!$D$42,8)&lt;&gt;"Reported",'S.01.01.01'!$D$42&lt;&gt;""),Show!$B$2 &amp; "S.16.01.01.02 Rows{Z}@ForceFilingCode:false","")</f>
        <v/>
      </c>
      <c r="B246" t="str">
        <f>IF(AND(LEFT('S.01.01.01'!$D$42,8)&lt;&gt;"Reported",'S.01.01.01'!$D$42&lt;&gt;""),Show!$B$2&amp; Show!$B$2&amp;"S.16.01.01.02 Rows{Z}@ForceFilingCode:false","")</f>
        <v/>
      </c>
    </row>
    <row r="247" spans="1:2">
      <c r="A247" t="str">
        <f>IF(AND(LEFT('S.01.01.01'!$D$43,8)&lt;&gt;"Reported",'S.01.01.01'!$D$43&lt;&gt;""),Show!$B$2 &amp; "S.17.01.01.01 Rows{Z}@ForceFilingCode:false","")</f>
        <v/>
      </c>
      <c r="B247" t="str">
        <f>IF(AND(LEFT('S.01.01.01'!$D$43,8)&lt;&gt;"Reported",'S.01.01.01'!$D$43&lt;&gt;""),Show!$B$2&amp; Show!$B$2&amp;"S.17.01.01.01 Rows{Z}@ForceFilingCode:false","")</f>
        <v/>
      </c>
    </row>
    <row r="248" spans="1:2">
      <c r="A248" t="str">
        <f>IF(AND(LEFT('S.01.01.01'!$D$44,8)&lt;&gt;"Reported",'S.01.01.01'!$D$44&lt;&gt;""),Show!$B$2 &amp; "S.17.02.01.01 Rows{Z}@ForceFilingCode:false","")</f>
        <v/>
      </c>
      <c r="B248" t="str">
        <f>IF(AND(LEFT('S.01.01.01'!$D$44,8)&lt;&gt;"Reported",'S.01.01.01'!$D$44&lt;&gt;""),Show!$B$2&amp; Show!$B$2&amp;"S.17.02.01.01 Rows{Z}@ForceFilingCode:false","")</f>
        <v/>
      </c>
    </row>
    <row r="249" spans="1:2">
      <c r="A249" t="str">
        <f>IF(AND(LEFT('S.01.01.01'!$D$44,8)&lt;&gt;"Reported",'S.01.01.01'!$D$44&lt;&gt;""),Show!$B$2 &amp; "S.17.02.01.02 Rows{Z}@ForceFilingCode:false","")</f>
        <v/>
      </c>
      <c r="B249" t="str">
        <f>IF(AND(LEFT('S.01.01.01'!$D$44,8)&lt;&gt;"Reported",'S.01.01.01'!$D$44&lt;&gt;""),Show!$B$2&amp; Show!$B$2&amp;"S.17.02.01.02 Rows{Z}@ForceFilingCode:false","")</f>
        <v/>
      </c>
    </row>
    <row r="250" spans="1:2">
      <c r="A250" t="str">
        <f>IF(AND(LEFT('S.01.01.01'!$D$45,8)&lt;&gt;"Reported",'S.01.01.01'!$D$45&lt;&gt;""),Show!$B$2 &amp; "S.18.01.01.01 Rows{Z}@ForceFilingCode:false","")</f>
        <v/>
      </c>
      <c r="B250" t="str">
        <f>IF(AND(LEFT('S.01.01.01'!$D$45,8)&lt;&gt;"Reported",'S.01.01.01'!$D$45&lt;&gt;""),Show!$B$2&amp; Show!$B$2&amp;"S.18.01.01.01 Rows{Z}@ForceFilingCode:false","")</f>
        <v/>
      </c>
    </row>
    <row r="251" spans="1:2">
      <c r="A251" t="str">
        <f>IF(AND(LEFT('S.01.01.01'!$D$46,8)&lt;&gt;"Reported",'S.01.01.01'!$D$46&lt;&gt;""),Show!$B$2 &amp; "S.19.01.01.01 Rows{Z}@ForceFilingCode:false","")</f>
        <v/>
      </c>
      <c r="B251" t="str">
        <f>IF(AND(LEFT('S.01.01.01'!$D$46,8)&lt;&gt;"Reported",'S.01.01.01'!$D$46&lt;&gt;""),Show!$B$2&amp; Show!$B$2&amp;"S.19.01.01.01 Rows{Z}@ForceFilingCode:false","")</f>
        <v/>
      </c>
    </row>
    <row r="252" spans="1:2">
      <c r="A252" t="str">
        <f>IF(AND(LEFT('S.01.01.01'!$D$46,8)&lt;&gt;"Reported",'S.01.01.01'!$D$46&lt;&gt;""),Show!$B$2 &amp; "S.19.01.01.02 Rows{Z}@ForceFilingCode:false","")</f>
        <v/>
      </c>
      <c r="B252" t="str">
        <f>IF(AND(LEFT('S.01.01.01'!$D$46,8)&lt;&gt;"Reported",'S.01.01.01'!$D$46&lt;&gt;""),Show!$B$2&amp; Show!$B$2&amp;"S.19.01.01.02 Rows{Z}@ForceFilingCode:false","")</f>
        <v/>
      </c>
    </row>
    <row r="253" spans="1:2">
      <c r="A253" t="str">
        <f>IF(AND(LEFT('S.01.01.01'!$D$46,8)&lt;&gt;"Reported",'S.01.01.01'!$D$46&lt;&gt;""),Show!$B$2 &amp; "S.19.01.01.03 Rows{Z}@ForceFilingCode:false","")</f>
        <v/>
      </c>
      <c r="B253" t="str">
        <f>IF(AND(LEFT('S.01.01.01'!$D$46,8)&lt;&gt;"Reported",'S.01.01.01'!$D$46&lt;&gt;""),Show!$B$2&amp; Show!$B$2&amp;"S.19.01.01.03 Rows{Z}@ForceFilingCode:false","")</f>
        <v/>
      </c>
    </row>
    <row r="254" spans="1:2">
      <c r="A254" t="str">
        <f>IF(AND(LEFT('S.01.01.01'!$D$46,8)&lt;&gt;"Reported",'S.01.01.01'!$D$46&lt;&gt;""),Show!$B$2 &amp; "S.19.01.01.04 Rows{Z}@ForceFilingCode:false","")</f>
        <v/>
      </c>
      <c r="B254" t="str">
        <f>IF(AND(LEFT('S.01.01.01'!$D$46,8)&lt;&gt;"Reported",'S.01.01.01'!$D$46&lt;&gt;""),Show!$B$2&amp; Show!$B$2&amp;"S.19.01.01.04 Rows{Z}@ForceFilingCode:false","")</f>
        <v/>
      </c>
    </row>
    <row r="255" spans="1:2">
      <c r="A255" t="str">
        <f>IF(AND(LEFT('S.01.01.01'!$D$46,8)&lt;&gt;"Reported",'S.01.01.01'!$D$46&lt;&gt;""),Show!$B$2 &amp; "S.19.01.01.05 Rows{Z}@ForceFilingCode:false","")</f>
        <v/>
      </c>
      <c r="B255" t="str">
        <f>IF(AND(LEFT('S.01.01.01'!$D$46,8)&lt;&gt;"Reported",'S.01.01.01'!$D$46&lt;&gt;""),Show!$B$2&amp; Show!$B$2&amp;"S.19.01.01.05 Rows{Z}@ForceFilingCode:false","")</f>
        <v/>
      </c>
    </row>
    <row r="256" spans="1:2">
      <c r="A256" t="str">
        <f>IF(AND(LEFT('S.01.01.01'!$D$46,8)&lt;&gt;"Reported",'S.01.01.01'!$D$46&lt;&gt;""),Show!$B$2 &amp; "S.19.01.01.06 Rows{Z}@ForceFilingCode:false","")</f>
        <v/>
      </c>
      <c r="B256" t="str">
        <f>IF(AND(LEFT('S.01.01.01'!$D$46,8)&lt;&gt;"Reported",'S.01.01.01'!$D$46&lt;&gt;""),Show!$B$2&amp; Show!$B$2&amp;"S.19.01.01.06 Rows{Z}@ForceFilingCode:false","")</f>
        <v/>
      </c>
    </row>
    <row r="257" spans="1:2">
      <c r="A257" t="str">
        <f>IF(AND(LEFT('S.01.01.01'!$D$46,8)&lt;&gt;"Reported",'S.01.01.01'!$D$46&lt;&gt;""),Show!$B$2 &amp; "S.19.01.01.07 Rows{Z}@ForceFilingCode:false","")</f>
        <v/>
      </c>
      <c r="B257" t="str">
        <f>IF(AND(LEFT('S.01.01.01'!$D$46,8)&lt;&gt;"Reported",'S.01.01.01'!$D$46&lt;&gt;""),Show!$B$2&amp; Show!$B$2&amp;"S.19.01.01.07 Rows{Z}@ForceFilingCode:false","")</f>
        <v/>
      </c>
    </row>
    <row r="258" spans="1:2">
      <c r="A258" t="str">
        <f>IF(AND(LEFT('S.01.01.01'!$D$46,8)&lt;&gt;"Reported",'S.01.01.01'!$D$46&lt;&gt;""),Show!$B$2 &amp; "S.19.01.01.08 Rows{Z}@ForceFilingCode:false","")</f>
        <v/>
      </c>
      <c r="B258" t="str">
        <f>IF(AND(LEFT('S.01.01.01'!$D$46,8)&lt;&gt;"Reported",'S.01.01.01'!$D$46&lt;&gt;""),Show!$B$2&amp; Show!$B$2&amp;"S.19.01.01.08 Rows{Z}@ForceFilingCode:false","")</f>
        <v/>
      </c>
    </row>
    <row r="259" spans="1:2">
      <c r="A259" t="str">
        <f>IF(AND(LEFT('S.01.01.01'!$D$46,8)&lt;&gt;"Reported",'S.01.01.01'!$D$46&lt;&gt;""),Show!$B$2 &amp; "S.19.01.01.09 Rows{Z}@ForceFilingCode:false","")</f>
        <v/>
      </c>
      <c r="B259" t="str">
        <f>IF(AND(LEFT('S.01.01.01'!$D$46,8)&lt;&gt;"Reported",'S.01.01.01'!$D$46&lt;&gt;""),Show!$B$2&amp; Show!$B$2&amp;"S.19.01.01.09 Rows{Z}@ForceFilingCode:false","")</f>
        <v/>
      </c>
    </row>
    <row r="260" spans="1:2">
      <c r="A260" t="str">
        <f>IF(AND(LEFT('S.01.01.01'!$D$46,8)&lt;&gt;"Reported",'S.01.01.01'!$D$46&lt;&gt;""),Show!$B$2 &amp; "S.19.01.01.10 Rows{Z}@ForceFilingCode:false","")</f>
        <v/>
      </c>
      <c r="B260" t="str">
        <f>IF(AND(LEFT('S.01.01.01'!$D$46,8)&lt;&gt;"Reported",'S.01.01.01'!$D$46&lt;&gt;""),Show!$B$2&amp; Show!$B$2&amp;"S.19.01.01.10 Rows{Z}@ForceFilingCode:false","")</f>
        <v/>
      </c>
    </row>
    <row r="261" spans="1:2">
      <c r="A261" t="str">
        <f>IF(AND(LEFT('S.01.01.01'!$D$46,8)&lt;&gt;"Reported",'S.01.01.01'!$D$46&lt;&gt;""),Show!$B$2 &amp; "S.19.01.01.11 Rows{Z}@ForceFilingCode:false","")</f>
        <v/>
      </c>
      <c r="B261" t="str">
        <f>IF(AND(LEFT('S.01.01.01'!$D$46,8)&lt;&gt;"Reported",'S.01.01.01'!$D$46&lt;&gt;""),Show!$B$2&amp; Show!$B$2&amp;"S.19.01.01.11 Rows{Z}@ForceFilingCode:false","")</f>
        <v/>
      </c>
    </row>
    <row r="262" spans="1:2">
      <c r="A262" t="str">
        <f>IF(AND(LEFT('S.01.01.01'!$D$46,8)&lt;&gt;"Reported",'S.01.01.01'!$D$46&lt;&gt;""),Show!$B$2 &amp; "S.19.01.01.12 Rows{Z}@ForceFilingCode:false","")</f>
        <v/>
      </c>
      <c r="B262" t="str">
        <f>IF(AND(LEFT('S.01.01.01'!$D$46,8)&lt;&gt;"Reported",'S.01.01.01'!$D$46&lt;&gt;""),Show!$B$2&amp; Show!$B$2&amp;"S.19.01.01.12 Rows{Z}@ForceFilingCode:false","")</f>
        <v/>
      </c>
    </row>
    <row r="263" spans="1:2">
      <c r="A263" t="str">
        <f>IF(AND(LEFT('S.01.01.01'!$D$46,8)&lt;&gt;"Reported",'S.01.01.01'!$D$46&lt;&gt;""),Show!$B$2 &amp; "S.19.01.01.13 Rows{Z}@ForceFilingCode:false","")</f>
        <v/>
      </c>
      <c r="B263" t="str">
        <f>IF(AND(LEFT('S.01.01.01'!$D$46,8)&lt;&gt;"Reported",'S.01.01.01'!$D$46&lt;&gt;""),Show!$B$2&amp; Show!$B$2&amp;"S.19.01.01.13 Rows{Z}@ForceFilingCode:false","")</f>
        <v/>
      </c>
    </row>
    <row r="264" spans="1:2">
      <c r="A264" t="str">
        <f>IF(AND(LEFT('S.01.01.01'!$D$46,8)&lt;&gt;"Reported",'S.01.01.01'!$D$46&lt;&gt;""),Show!$B$2 &amp; "S.19.01.01.14 Rows{Z}@ForceFilingCode:false","")</f>
        <v/>
      </c>
      <c r="B264" t="str">
        <f>IF(AND(LEFT('S.01.01.01'!$D$46,8)&lt;&gt;"Reported",'S.01.01.01'!$D$46&lt;&gt;""),Show!$B$2&amp; Show!$B$2&amp;"S.19.01.01.14 Rows{Z}@ForceFilingCode:false","")</f>
        <v/>
      </c>
    </row>
    <row r="265" spans="1:2">
      <c r="A265" t="str">
        <f>IF(AND(LEFT('S.01.01.01'!$D$46,8)&lt;&gt;"Reported",'S.01.01.01'!$D$46&lt;&gt;""),Show!$B$2 &amp; "S.19.01.01.15 Rows{Z}@ForceFilingCode:false","")</f>
        <v/>
      </c>
      <c r="B265" t="str">
        <f>IF(AND(LEFT('S.01.01.01'!$D$46,8)&lt;&gt;"Reported",'S.01.01.01'!$D$46&lt;&gt;""),Show!$B$2&amp; Show!$B$2&amp;"S.19.01.01.15 Rows{Z}@ForceFilingCode:false","")</f>
        <v/>
      </c>
    </row>
    <row r="266" spans="1:2">
      <c r="A266" t="str">
        <f>IF(AND(LEFT('S.01.01.01'!$D$46,8)&lt;&gt;"Reported",'S.01.01.01'!$D$46&lt;&gt;""),Show!$B$2 &amp; "S.19.01.01.16 Rows{Z}@ForceFilingCode:false","")</f>
        <v/>
      </c>
      <c r="B266" t="str">
        <f>IF(AND(LEFT('S.01.01.01'!$D$46,8)&lt;&gt;"Reported",'S.01.01.01'!$D$46&lt;&gt;""),Show!$B$2&amp; Show!$B$2&amp;"S.19.01.01.16 Rows{Z}@ForceFilingCode:false","")</f>
        <v/>
      </c>
    </row>
    <row r="267" spans="1:2">
      <c r="A267" t="str">
        <f>IF(AND(LEFT('S.01.01.01'!$D$46,8)&lt;&gt;"Reported",'S.01.01.01'!$D$46&lt;&gt;""),Show!$B$2 &amp; "S.19.01.01.17 Rows{Z}@ForceFilingCode:false","")</f>
        <v/>
      </c>
      <c r="B267" t="str">
        <f>IF(AND(LEFT('S.01.01.01'!$D$46,8)&lt;&gt;"Reported",'S.01.01.01'!$D$46&lt;&gt;""),Show!$B$2&amp; Show!$B$2&amp;"S.19.01.01.17 Rows{Z}@ForceFilingCode:false","")</f>
        <v/>
      </c>
    </row>
    <row r="268" spans="1:2">
      <c r="A268" t="str">
        <f>IF(AND(LEFT('S.01.01.01'!$D$46,8)&lt;&gt;"Reported",'S.01.01.01'!$D$46&lt;&gt;""),Show!$B$2 &amp; "S.19.01.01.18 Rows{Z}@ForceFilingCode:false","")</f>
        <v/>
      </c>
      <c r="B268" t="str">
        <f>IF(AND(LEFT('S.01.01.01'!$D$46,8)&lt;&gt;"Reported",'S.01.01.01'!$D$46&lt;&gt;""),Show!$B$2&amp; Show!$B$2&amp;"S.19.01.01.18 Rows{Z}@ForceFilingCode:false","")</f>
        <v/>
      </c>
    </row>
    <row r="269" spans="1:2">
      <c r="A269" t="str">
        <f>IF(AND(LEFT('S.01.01.01'!$D$46,8)&lt;&gt;"Reported",'S.01.01.01'!$D$46&lt;&gt;""),Show!$B$2 &amp; "S.19.01.01.19 Rows{Z}@ForceFilingCode:false","")</f>
        <v/>
      </c>
      <c r="B269" t="str">
        <f>IF(AND(LEFT('S.01.01.01'!$D$46,8)&lt;&gt;"Reported",'S.01.01.01'!$D$46&lt;&gt;""),Show!$B$2&amp; Show!$B$2&amp;"S.19.01.01.19 Rows{Z}@ForceFilingCode:false","")</f>
        <v/>
      </c>
    </row>
    <row r="270" spans="1:2">
      <c r="A270" t="str">
        <f>IF(AND(LEFT('S.01.01.01'!$D$46,8)&lt;&gt;"Reported",'S.01.01.01'!$D$46&lt;&gt;""),Show!$B$2 &amp; "S.19.01.01.20 Rows{Z}@ForceFilingCode:false","")</f>
        <v/>
      </c>
      <c r="B270" t="str">
        <f>IF(AND(LEFT('S.01.01.01'!$D$46,8)&lt;&gt;"Reported",'S.01.01.01'!$D$46&lt;&gt;""),Show!$B$2&amp; Show!$B$2&amp;"S.19.01.01.20 Rows{Z}@ForceFilingCode:false","")</f>
        <v/>
      </c>
    </row>
    <row r="271" spans="1:2">
      <c r="A271" t="str">
        <f>IF(AND(LEFT('S.01.01.01'!$D$46,8)&lt;&gt;"Reported",'S.01.01.01'!$D$46&lt;&gt;""),Show!$B$2 &amp; "S.19.01.01.21 Rows{Z}@ForceFilingCode:false","")</f>
        <v/>
      </c>
      <c r="B271" t="str">
        <f>IF(AND(LEFT('S.01.01.01'!$D$46,8)&lt;&gt;"Reported",'S.01.01.01'!$D$46&lt;&gt;""),Show!$B$2&amp; Show!$B$2&amp;"S.19.01.01.21 Rows{Z}@ForceFilingCode:false","")</f>
        <v/>
      </c>
    </row>
    <row r="272" spans="1:2">
      <c r="A272" t="str">
        <f>IF(AND(LEFT('S.01.01.01'!$D$47,8)&lt;&gt;"Reported",'S.01.01.01'!$D$47&lt;&gt;""),Show!$B$2 &amp; "S.20.01.01.01 Rows{Z}@ForceFilingCode:false","")</f>
        <v/>
      </c>
      <c r="B272" t="str">
        <f>IF(AND(LEFT('S.01.01.01'!$D$47,8)&lt;&gt;"Reported",'S.01.01.01'!$D$47&lt;&gt;""),Show!$B$2&amp; Show!$B$2&amp;"S.20.01.01.01 Rows{Z}@ForceFilingCode:false","")</f>
        <v/>
      </c>
    </row>
    <row r="273" spans="1:2">
      <c r="A273" t="str">
        <f>IF(AND(LEFT('S.01.01.01'!$D$48,8)&lt;&gt;"Reported",'S.01.01.01'!$D$48&lt;&gt;""),Show!$B$2 &amp; "S.21.01.01.01 Rows{Z}@ForceFilingCode:false","")</f>
        <v/>
      </c>
      <c r="B273" t="str">
        <f>IF(AND(LEFT('S.01.01.01'!$D$48,8)&lt;&gt;"Reported",'S.01.01.01'!$D$48&lt;&gt;""),Show!$B$2&amp; Show!$B$2&amp;"S.21.01.01.01 Rows{Z}@ForceFilingCode:false","")</f>
        <v/>
      </c>
    </row>
    <row r="274" spans="1:2">
      <c r="A274" t="str">
        <f>IF(AND(LEFT('S.01.01.01'!$D$49,8)&lt;&gt;"Reported",'S.01.01.01'!$D$49&lt;&gt;""),Show!$B$2 &amp; "S.21.02.01.01 Rows{Z}@ForceFilingCode:false","")</f>
        <v/>
      </c>
      <c r="B274" t="str">
        <f>IF(AND(LEFT('S.01.01.01'!$D$49,8)&lt;&gt;"Reported",'S.01.01.01'!$D$49&lt;&gt;""),Show!$B$2&amp; Show!$B$2&amp;"S.21.02.01.01 Rows{Z}@ForceFilingCode:false","")</f>
        <v/>
      </c>
    </row>
    <row r="275" spans="1:2">
      <c r="A275" t="str">
        <f>IF(AND(LEFT('S.01.01.01'!$D$50,8)&lt;&gt;"Reported",'S.01.01.01'!$D$50&lt;&gt;""),Show!$B$2 &amp; "S.21.03.01.01 Rows{Z}@ForceFilingCode:false","")</f>
        <v/>
      </c>
      <c r="B275" t="str">
        <f>IF(AND(LEFT('S.01.01.01'!$D$50,8)&lt;&gt;"Reported",'S.01.01.01'!$D$50&lt;&gt;""),Show!$B$2&amp; Show!$B$2&amp;"S.21.03.01.01 Rows{Z}@ForceFilingCode:false","")</f>
        <v/>
      </c>
    </row>
    <row r="276" spans="1:2">
      <c r="A276" t="str">
        <f>IF(AND(LEFT('S.01.01.01'!$D$51,8)&lt;&gt;"Reported",'S.01.01.01'!$D$51&lt;&gt;""),Show!$B$2 &amp; "S.22.01.01.01 Rows{Z}@ForceFilingCode:false","")</f>
        <v/>
      </c>
      <c r="B276" t="str">
        <f>IF(AND(LEFT('S.01.01.01'!$D$51,8)&lt;&gt;"Reported",'S.01.01.01'!$D$51&lt;&gt;""),Show!$B$2&amp; Show!$B$2&amp;"S.22.01.01.01 Rows{Z}@ForceFilingCode:false","")</f>
        <v/>
      </c>
    </row>
    <row r="277" spans="1:2">
      <c r="A277" t="str">
        <f>IF(AND(LEFT('S.01.01.01'!$D$52,8)&lt;&gt;"Reported",'S.01.01.01'!$D$52&lt;&gt;""),Show!$B$2 &amp; "S.22.04.01.01 Rows{Z}@ForceFilingCode:false","")</f>
        <v/>
      </c>
      <c r="B277" t="str">
        <f>IF(AND(LEFT('S.01.01.01'!$D$52,8)&lt;&gt;"Reported",'S.01.01.01'!$D$52&lt;&gt;""),Show!$B$2&amp; Show!$B$2&amp;"S.22.04.01.01 Rows{Z}@ForceFilingCode:false","")</f>
        <v/>
      </c>
    </row>
    <row r="278" spans="1:2">
      <c r="A278" t="str">
        <f>IF(AND(LEFT('S.01.01.01'!$D$52,8)&lt;&gt;"Reported",'S.01.01.01'!$D$52&lt;&gt;""),Show!$B$2 &amp; "S.22.04.01.02 Rows{Z}@ForceFilingCode:false","")</f>
        <v/>
      </c>
      <c r="B278" t="str">
        <f>IF(AND(LEFT('S.01.01.01'!$D$52,8)&lt;&gt;"Reported",'S.01.01.01'!$D$52&lt;&gt;""),Show!$B$2&amp; Show!$B$2&amp;"S.22.04.01.02 Rows{Z}@ForceFilingCode:false","")</f>
        <v/>
      </c>
    </row>
    <row r="279" spans="1:2">
      <c r="A279" t="str">
        <f>IF(AND(LEFT('S.01.01.01'!$D$53,8)&lt;&gt;"Reported",'S.01.01.01'!$D$53&lt;&gt;""),Show!$B$2 &amp; "S.22.05.01.01 Rows{Z}@ForceFilingCode:false","")</f>
        <v/>
      </c>
      <c r="B279" t="str">
        <f>IF(AND(LEFT('S.01.01.01'!$D$53,8)&lt;&gt;"Reported",'S.01.01.01'!$D$53&lt;&gt;""),Show!$B$2&amp; Show!$B$2&amp;"S.22.05.01.01 Rows{Z}@ForceFilingCode:false","")</f>
        <v/>
      </c>
    </row>
    <row r="280" spans="1:2">
      <c r="A280" t="str">
        <f>IF(AND(LEFT('S.01.01.01'!$D$54,8)&lt;&gt;"Reported",'S.01.01.01'!$D$54&lt;&gt;""),Show!$B$2 &amp; "S.22.06.01.01 Rows{Z}@ForceFilingCode:false","")</f>
        <v/>
      </c>
      <c r="B280" t="str">
        <f>IF(AND(LEFT('S.01.01.01'!$D$54,8)&lt;&gt;"Reported",'S.01.01.01'!$D$54&lt;&gt;""),Show!$B$2&amp; Show!$B$2&amp;"S.22.06.01.01 Rows{Z}@ForceFilingCode:false","")</f>
        <v/>
      </c>
    </row>
    <row r="281" spans="1:2">
      <c r="A281" t="str">
        <f>IF(AND(LEFT('S.01.01.01'!$D$54,8)&lt;&gt;"Reported",'S.01.01.01'!$D$54&lt;&gt;""),Show!$B$2 &amp; "S.22.06.01.02 Rows{Z}@ForceFilingCode:false","")</f>
        <v/>
      </c>
      <c r="B281" t="str">
        <f>IF(AND(LEFT('S.01.01.01'!$D$54,8)&lt;&gt;"Reported",'S.01.01.01'!$D$54&lt;&gt;""),Show!$B$2&amp; Show!$B$2&amp;"S.22.06.01.02 Rows{Z}@ForceFilingCode:false","")</f>
        <v/>
      </c>
    </row>
    <row r="282" spans="1:2">
      <c r="A282" t="str">
        <f>IF(AND(LEFT('S.01.01.01'!$D$54,8)&lt;&gt;"Reported",'S.01.01.01'!$D$54&lt;&gt;""),Show!$B$2 &amp; "S.22.06.01.03 Rows{Z}@ForceFilingCode:false","")</f>
        <v/>
      </c>
      <c r="B282" t="str">
        <f>IF(AND(LEFT('S.01.01.01'!$D$54,8)&lt;&gt;"Reported",'S.01.01.01'!$D$54&lt;&gt;""),Show!$B$2&amp; Show!$B$2&amp;"S.22.06.01.03 Rows{Z}@ForceFilingCode:false","")</f>
        <v/>
      </c>
    </row>
    <row r="283" spans="1:2">
      <c r="A283" t="str">
        <f>IF(AND(LEFT('S.01.01.01'!$D$54,8)&lt;&gt;"Reported",'S.01.01.01'!$D$54&lt;&gt;""),Show!$B$2 &amp; "S.22.06.01.04 Rows{Z}@ForceFilingCode:false","")</f>
        <v/>
      </c>
      <c r="B283" t="str">
        <f>IF(AND(LEFT('S.01.01.01'!$D$54,8)&lt;&gt;"Reported",'S.01.01.01'!$D$54&lt;&gt;""),Show!$B$2&amp; Show!$B$2&amp;"S.22.06.01.04 Rows{Z}@ForceFilingCode:false","")</f>
        <v/>
      </c>
    </row>
    <row r="284" spans="1:2">
      <c r="A284" t="str">
        <f>IF(AND(LEFT('S.01.01.01'!$D$55,8)&lt;&gt;"Reported",'S.01.01.01'!$D$55&lt;&gt;""),Show!$B$2 &amp; "S.23.01.01.01 Rows{Z}@ForceFilingCode:false","")</f>
        <v/>
      </c>
      <c r="B284" t="str">
        <f>IF(AND(LEFT('S.01.01.01'!$D$55,8)&lt;&gt;"Reported",'S.01.01.01'!$D$55&lt;&gt;""),Show!$B$2&amp; Show!$B$2&amp;"S.23.01.01.01 Rows{Z}@ForceFilingCode:false","")</f>
        <v/>
      </c>
    </row>
    <row r="285" spans="1:2">
      <c r="A285" t="str">
        <f>IF(AND(LEFT('S.01.01.01'!$D$55,8)&lt;&gt;"Reported",'S.01.01.01'!$D$55&lt;&gt;""),Show!$B$2 &amp; "S.23.01.01.02 Rows{Z}@ForceFilingCode:false","")</f>
        <v/>
      </c>
      <c r="B285" t="str">
        <f>IF(AND(LEFT('S.01.01.01'!$D$55,8)&lt;&gt;"Reported",'S.01.01.01'!$D$55&lt;&gt;""),Show!$B$2&amp; Show!$B$2&amp;"S.23.01.01.02 Rows{Z}@ForceFilingCode:false","")</f>
        <v/>
      </c>
    </row>
    <row r="286" spans="1:2">
      <c r="A286" t="str">
        <f>IF(AND(LEFT('S.01.01.01'!$D$56,8)&lt;&gt;"Reported",'S.01.01.01'!$D$56&lt;&gt;""),Show!$B$2 &amp; "S.23.02.01.01 Rows{Z}@ForceFilingCode:false","")</f>
        <v/>
      </c>
      <c r="B286" t="str">
        <f>IF(AND(LEFT('S.01.01.01'!$D$56,8)&lt;&gt;"Reported",'S.01.01.01'!$D$56&lt;&gt;""),Show!$B$2&amp; Show!$B$2&amp;"S.23.02.01.01 Rows{Z}@ForceFilingCode:false","")</f>
        <v/>
      </c>
    </row>
    <row r="287" spans="1:2">
      <c r="A287" t="str">
        <f>IF(AND(LEFT('S.01.01.01'!$D$56,8)&lt;&gt;"Reported",'S.01.01.01'!$D$56&lt;&gt;""),Show!$B$2 &amp; "S.23.02.01.02 Rows{Z}@ForceFilingCode:false","")</f>
        <v/>
      </c>
      <c r="B287" t="str">
        <f>IF(AND(LEFT('S.01.01.01'!$D$56,8)&lt;&gt;"Reported",'S.01.01.01'!$D$56&lt;&gt;""),Show!$B$2&amp; Show!$B$2&amp;"S.23.02.01.02 Rows{Z}@ForceFilingCode:false","")</f>
        <v/>
      </c>
    </row>
    <row r="288" spans="1:2">
      <c r="A288" t="str">
        <f>IF(AND(LEFT('S.01.01.01'!$D$56,8)&lt;&gt;"Reported",'S.01.01.01'!$D$56&lt;&gt;""),Show!$B$2 &amp; "S.23.02.01.03 Rows{Z}@ForceFilingCode:false","")</f>
        <v/>
      </c>
      <c r="B288" t="str">
        <f>IF(AND(LEFT('S.01.01.01'!$D$56,8)&lt;&gt;"Reported",'S.01.01.01'!$D$56&lt;&gt;""),Show!$B$2&amp; Show!$B$2&amp;"S.23.02.01.03 Rows{Z}@ForceFilingCode:false","")</f>
        <v/>
      </c>
    </row>
    <row r="289" spans="1:2">
      <c r="A289" t="str">
        <f>IF(AND(LEFT('S.01.01.01'!$D$56,8)&lt;&gt;"Reported",'S.01.01.01'!$D$56&lt;&gt;""),Show!$B$2 &amp; "S.23.02.01.04 Rows{Z}@ForceFilingCode:false","")</f>
        <v/>
      </c>
      <c r="B289" t="str">
        <f>IF(AND(LEFT('S.01.01.01'!$D$56,8)&lt;&gt;"Reported",'S.01.01.01'!$D$56&lt;&gt;""),Show!$B$2&amp; Show!$B$2&amp;"S.23.02.01.04 Rows{Z}@ForceFilingCode:false","")</f>
        <v/>
      </c>
    </row>
    <row r="290" spans="1:2">
      <c r="A290" t="str">
        <f>IF(AND(LEFT('S.01.01.01'!$D$57,8)&lt;&gt;"Reported",'S.01.01.01'!$D$57&lt;&gt;""),Show!$B$2 &amp; "S.23.03.01.01 Rows{Z}@ForceFilingCode:false","")</f>
        <v/>
      </c>
      <c r="B290" t="str">
        <f>IF(AND(LEFT('S.01.01.01'!$D$57,8)&lt;&gt;"Reported",'S.01.01.01'!$D$57&lt;&gt;""),Show!$B$2&amp; Show!$B$2&amp;"S.23.03.01.01 Rows{Z}@ForceFilingCode:false","")</f>
        <v/>
      </c>
    </row>
    <row r="291" spans="1:2">
      <c r="A291" t="str">
        <f>IF(AND(LEFT('S.01.01.01'!$D$57,8)&lt;&gt;"Reported",'S.01.01.01'!$D$57&lt;&gt;""),Show!$B$2 &amp; "S.23.03.01.02 Rows{Z}@ForceFilingCode:false","")</f>
        <v/>
      </c>
      <c r="B291" t="str">
        <f>IF(AND(LEFT('S.01.01.01'!$D$57,8)&lt;&gt;"Reported",'S.01.01.01'!$D$57&lt;&gt;""),Show!$B$2&amp; Show!$B$2&amp;"S.23.03.01.02 Rows{Z}@ForceFilingCode:false","")</f>
        <v/>
      </c>
    </row>
    <row r="292" spans="1:2">
      <c r="A292" t="str">
        <f>IF(AND(LEFT('S.01.01.01'!$D$57,8)&lt;&gt;"Reported",'S.01.01.01'!$D$57&lt;&gt;""),Show!$B$2 &amp; "S.23.03.01.03 Rows{Z}@ForceFilingCode:false","")</f>
        <v/>
      </c>
      <c r="B292" t="str">
        <f>IF(AND(LEFT('S.01.01.01'!$D$57,8)&lt;&gt;"Reported",'S.01.01.01'!$D$57&lt;&gt;""),Show!$B$2&amp; Show!$B$2&amp;"S.23.03.01.03 Rows{Z}@ForceFilingCode:false","")</f>
        <v/>
      </c>
    </row>
    <row r="293" spans="1:2">
      <c r="A293" t="str">
        <f>IF(AND(LEFT('S.01.01.01'!$D$57,8)&lt;&gt;"Reported",'S.01.01.01'!$D$57&lt;&gt;""),Show!$B$2 &amp; "S.23.03.01.04 Rows{Z}@ForceFilingCode:false","")</f>
        <v/>
      </c>
      <c r="B293" t="str">
        <f>IF(AND(LEFT('S.01.01.01'!$D$57,8)&lt;&gt;"Reported",'S.01.01.01'!$D$57&lt;&gt;""),Show!$B$2&amp; Show!$B$2&amp;"S.23.03.01.04 Rows{Z}@ForceFilingCode:false","")</f>
        <v/>
      </c>
    </row>
    <row r="294" spans="1:2">
      <c r="A294" t="str">
        <f>IF(AND(LEFT('S.01.01.01'!$D$57,8)&lt;&gt;"Reported",'S.01.01.01'!$D$57&lt;&gt;""),Show!$B$2 &amp; "S.23.03.01.05 Rows{Z}@ForceFilingCode:false","")</f>
        <v/>
      </c>
      <c r="B294" t="str">
        <f>IF(AND(LEFT('S.01.01.01'!$D$57,8)&lt;&gt;"Reported",'S.01.01.01'!$D$57&lt;&gt;""),Show!$B$2&amp; Show!$B$2&amp;"S.23.03.01.05 Rows{Z}@ForceFilingCode:false","")</f>
        <v/>
      </c>
    </row>
    <row r="295" spans="1:2">
      <c r="A295" t="str">
        <f>IF(AND(LEFT('S.01.01.01'!$D$57,8)&lt;&gt;"Reported",'S.01.01.01'!$D$57&lt;&gt;""),Show!$B$2 &amp; "S.23.03.01.06 Rows{Z}@ForceFilingCode:false","")</f>
        <v/>
      </c>
      <c r="B295" t="str">
        <f>IF(AND(LEFT('S.01.01.01'!$D$57,8)&lt;&gt;"Reported",'S.01.01.01'!$D$57&lt;&gt;""),Show!$B$2&amp; Show!$B$2&amp;"S.23.03.01.06 Rows{Z}@ForceFilingCode:false","")</f>
        <v/>
      </c>
    </row>
    <row r="296" spans="1:2">
      <c r="A296" t="str">
        <f>IF(AND(LEFT('S.01.01.01'!$D$57,8)&lt;&gt;"Reported",'S.01.01.01'!$D$57&lt;&gt;""),Show!$B$2 &amp; "S.23.03.01.07 Rows{Z}@ForceFilingCode:false","")</f>
        <v/>
      </c>
      <c r="B296" t="str">
        <f>IF(AND(LEFT('S.01.01.01'!$D$57,8)&lt;&gt;"Reported",'S.01.01.01'!$D$57&lt;&gt;""),Show!$B$2&amp; Show!$B$2&amp;"S.23.03.01.07 Rows{Z}@ForceFilingCode:false","")</f>
        <v/>
      </c>
    </row>
    <row r="297" spans="1:2">
      <c r="A297" t="str">
        <f>IF(AND(LEFT('S.01.01.01'!$D$57,8)&lt;&gt;"Reported",'S.01.01.01'!$D$57&lt;&gt;""),Show!$B$2 &amp; "S.23.03.01.08 Rows{Z}@ForceFilingCode:false","")</f>
        <v/>
      </c>
      <c r="B297" t="str">
        <f>IF(AND(LEFT('S.01.01.01'!$D$57,8)&lt;&gt;"Reported",'S.01.01.01'!$D$57&lt;&gt;""),Show!$B$2&amp; Show!$B$2&amp;"S.23.03.01.08 Rows{Z}@ForceFilingCode:false","")</f>
        <v/>
      </c>
    </row>
    <row r="298" spans="1:2">
      <c r="A298" t="str">
        <f>IF(AND(LEFT('S.01.01.01'!$D$58,8)&lt;&gt;"Reported",'S.01.01.01'!$D$58&lt;&gt;""),Show!$B$2 &amp; "S.23.04.01.01 Rows{Z}@ForceFilingCode:false","")</f>
        <v/>
      </c>
      <c r="B298" t="str">
        <f>IF(AND(LEFT('S.01.01.01'!$D$58,8)&lt;&gt;"Reported",'S.01.01.01'!$D$58&lt;&gt;""),Show!$B$2&amp; Show!$B$2&amp;"S.23.04.01.01 Rows{Z}@ForceFilingCode:false","")</f>
        <v/>
      </c>
    </row>
    <row r="299" spans="1:2">
      <c r="A299" t="str">
        <f>IF(AND(LEFT('S.01.01.01'!$D$58,8)&lt;&gt;"Reported",'S.01.01.01'!$D$58&lt;&gt;""),Show!$B$2 &amp; "S.23.04.01.02 Rows{Z}@ForceFilingCode:false","")</f>
        <v/>
      </c>
      <c r="B299" t="str">
        <f>IF(AND(LEFT('S.01.01.01'!$D$58,8)&lt;&gt;"Reported",'S.01.01.01'!$D$58&lt;&gt;""),Show!$B$2&amp; Show!$B$2&amp;"S.23.04.01.02 Rows{Z}@ForceFilingCode:false","")</f>
        <v/>
      </c>
    </row>
    <row r="300" spans="1:2">
      <c r="A300" t="str">
        <f>IF(AND(LEFT('S.01.01.01'!$D$58,8)&lt;&gt;"Reported",'S.01.01.01'!$D$58&lt;&gt;""),Show!$B$2 &amp; "S.23.04.01.03 Rows{Z}@ForceFilingCode:false","")</f>
        <v/>
      </c>
      <c r="B300" t="str">
        <f>IF(AND(LEFT('S.01.01.01'!$D$58,8)&lt;&gt;"Reported",'S.01.01.01'!$D$58&lt;&gt;""),Show!$B$2&amp; Show!$B$2&amp;"S.23.04.01.03 Rows{Z}@ForceFilingCode:false","")</f>
        <v/>
      </c>
    </row>
    <row r="301" spans="1:2">
      <c r="A301" t="str">
        <f>IF(AND(LEFT('S.01.01.01'!$D$58,8)&lt;&gt;"Reported",'S.01.01.01'!$D$58&lt;&gt;""),Show!$B$2 &amp; "S.23.04.01.04 Rows{Z}@ForceFilingCode:false","")</f>
        <v/>
      </c>
      <c r="B301" t="str">
        <f>IF(AND(LEFT('S.01.01.01'!$D$58,8)&lt;&gt;"Reported",'S.01.01.01'!$D$58&lt;&gt;""),Show!$B$2&amp; Show!$B$2&amp;"S.23.04.01.04 Rows{Z}@ForceFilingCode:false","")</f>
        <v/>
      </c>
    </row>
    <row r="302" spans="1:2">
      <c r="A302" t="str">
        <f>IF(AND(LEFT('S.01.01.01'!$D$58,8)&lt;&gt;"Reported",'S.01.01.01'!$D$58&lt;&gt;""),Show!$B$2 &amp; "S.23.04.01.05 Rows{Z}@ForceFilingCode:false","")</f>
        <v/>
      </c>
      <c r="B302" t="str">
        <f>IF(AND(LEFT('S.01.01.01'!$D$58,8)&lt;&gt;"Reported",'S.01.01.01'!$D$58&lt;&gt;""),Show!$B$2&amp; Show!$B$2&amp;"S.23.04.01.05 Rows{Z}@ForceFilingCode:false","")</f>
        <v/>
      </c>
    </row>
    <row r="303" spans="1:2">
      <c r="A303" t="str">
        <f>IF(AND(LEFT('S.01.01.01'!$D$58,8)&lt;&gt;"Reported",'S.01.01.01'!$D$58&lt;&gt;""),Show!$B$2 &amp; "S.23.04.01.06 Rows{Z}@ForceFilingCode:false","")</f>
        <v/>
      </c>
      <c r="B303" t="str">
        <f>IF(AND(LEFT('S.01.01.01'!$D$58,8)&lt;&gt;"Reported",'S.01.01.01'!$D$58&lt;&gt;""),Show!$B$2&amp; Show!$B$2&amp;"S.23.04.01.06 Rows{Z}@ForceFilingCode:false","")</f>
        <v/>
      </c>
    </row>
    <row r="304" spans="1:2">
      <c r="A304" t="str">
        <f>IF(AND(LEFT('S.01.01.01'!$D$58,8)&lt;&gt;"Reported",'S.01.01.01'!$D$58&lt;&gt;""),Show!$B$2 &amp; "S.23.04.01.07 Rows{Z}@ForceFilingCode:false","")</f>
        <v/>
      </c>
      <c r="B304" t="str">
        <f>IF(AND(LEFT('S.01.01.01'!$D$58,8)&lt;&gt;"Reported",'S.01.01.01'!$D$58&lt;&gt;""),Show!$B$2&amp; Show!$B$2&amp;"S.23.04.01.07 Rows{Z}@ForceFilingCode:false","")</f>
        <v/>
      </c>
    </row>
    <row r="305" spans="1:2">
      <c r="A305" t="str">
        <f>IF(AND(LEFT('S.01.01.01'!$D$58,8)&lt;&gt;"Reported",'S.01.01.01'!$D$58&lt;&gt;""),Show!$B$2 &amp; "S.23.04.01.09 Rows{Z}@ForceFilingCode:false","")</f>
        <v/>
      </c>
      <c r="B305" t="str">
        <f>IF(AND(LEFT('S.01.01.01'!$D$58,8)&lt;&gt;"Reported",'S.01.01.01'!$D$58&lt;&gt;""),Show!$B$2&amp; Show!$B$2&amp;"S.23.04.01.09 Rows{Z}@ForceFilingCode:false","")</f>
        <v/>
      </c>
    </row>
    <row r="306" spans="1:2">
      <c r="A306" t="str">
        <f>IF(AND(LEFT('S.01.01.01'!$D$59,8)&lt;&gt;"Reported",'S.01.01.01'!$D$59&lt;&gt;""),Show!$B$2 &amp; "S.24.01.01.01 Rows{Z}@ForceFilingCode:false","")</f>
        <v/>
      </c>
      <c r="B306" t="str">
        <f>IF(AND(LEFT('S.01.01.01'!$D$59,8)&lt;&gt;"Reported",'S.01.01.01'!$D$59&lt;&gt;""),Show!$B$2&amp; Show!$B$2&amp;"S.24.01.01.01 Rows{Z}@ForceFilingCode:false","")</f>
        <v/>
      </c>
    </row>
    <row r="307" spans="1:2">
      <c r="A307" t="str">
        <f>IF(AND(LEFT('S.01.01.01'!$D$59,8)&lt;&gt;"Reported",'S.01.01.01'!$D$59&lt;&gt;""),Show!$B$2 &amp; "S.24.01.01.02 Rows{Z}@ForceFilingCode:false","")</f>
        <v/>
      </c>
      <c r="B307" t="str">
        <f>IF(AND(LEFT('S.01.01.01'!$D$59,8)&lt;&gt;"Reported",'S.01.01.01'!$D$59&lt;&gt;""),Show!$B$2&amp; Show!$B$2&amp;"S.24.01.01.02 Rows{Z}@ForceFilingCode:false","")</f>
        <v/>
      </c>
    </row>
    <row r="308" spans="1:2">
      <c r="A308" t="str">
        <f>IF(AND(LEFT('S.01.01.01'!$D$59,8)&lt;&gt;"Reported",'S.01.01.01'!$D$59&lt;&gt;""),Show!$B$2 &amp; "S.24.01.01.03 Rows{Z}@ForceFilingCode:false","")</f>
        <v/>
      </c>
      <c r="B308" t="str">
        <f>IF(AND(LEFT('S.01.01.01'!$D$59,8)&lt;&gt;"Reported",'S.01.01.01'!$D$59&lt;&gt;""),Show!$B$2&amp; Show!$B$2&amp;"S.24.01.01.03 Rows{Z}@ForceFilingCode:false","")</f>
        <v/>
      </c>
    </row>
    <row r="309" spans="1:2">
      <c r="A309" t="str">
        <f>IF(AND(LEFT('S.01.01.01'!$D$59,8)&lt;&gt;"Reported",'S.01.01.01'!$D$59&lt;&gt;""),Show!$B$2 &amp; "S.24.01.01.04 Rows{Z}@ForceFilingCode:false","")</f>
        <v/>
      </c>
      <c r="B309" t="str">
        <f>IF(AND(LEFT('S.01.01.01'!$D$59,8)&lt;&gt;"Reported",'S.01.01.01'!$D$59&lt;&gt;""),Show!$B$2&amp; Show!$B$2&amp;"S.24.01.01.04 Rows{Z}@ForceFilingCode:false","")</f>
        <v/>
      </c>
    </row>
    <row r="310" spans="1:2">
      <c r="A310" t="str">
        <f>IF(AND(LEFT('S.01.01.01'!$D$59,8)&lt;&gt;"Reported",'S.01.01.01'!$D$59&lt;&gt;""),Show!$B$2 &amp; "S.24.01.01.05 Rows{Z}@ForceFilingCode:false","")</f>
        <v/>
      </c>
      <c r="B310" t="str">
        <f>IF(AND(LEFT('S.01.01.01'!$D$59,8)&lt;&gt;"Reported",'S.01.01.01'!$D$59&lt;&gt;""),Show!$B$2&amp; Show!$B$2&amp;"S.24.01.01.05 Rows{Z}@ForceFilingCode:false","")</f>
        <v/>
      </c>
    </row>
    <row r="311" spans="1:2">
      <c r="A311" t="str">
        <f>IF(AND(LEFT('S.01.01.01'!$D$59,8)&lt;&gt;"Reported",'S.01.01.01'!$D$59&lt;&gt;""),Show!$B$2 &amp; "S.24.01.01.06 Rows{Z}@ForceFilingCode:false","")</f>
        <v/>
      </c>
      <c r="B311" t="str">
        <f>IF(AND(LEFT('S.01.01.01'!$D$59,8)&lt;&gt;"Reported",'S.01.01.01'!$D$59&lt;&gt;""),Show!$B$2&amp; Show!$B$2&amp;"S.24.01.01.06 Rows{Z}@ForceFilingCode:false","")</f>
        <v/>
      </c>
    </row>
    <row r="312" spans="1:2">
      <c r="A312" t="str">
        <f>IF(AND(LEFT('S.01.01.01'!$D$59,8)&lt;&gt;"Reported",'S.01.01.01'!$D$59&lt;&gt;""),Show!$B$2 &amp; "S.24.01.01.07 Rows{Z}@ForceFilingCode:false","")</f>
        <v/>
      </c>
      <c r="B312" t="str">
        <f>IF(AND(LEFT('S.01.01.01'!$D$59,8)&lt;&gt;"Reported",'S.01.01.01'!$D$59&lt;&gt;""),Show!$B$2&amp; Show!$B$2&amp;"S.24.01.01.07 Rows{Z}@ForceFilingCode:false","")</f>
        <v/>
      </c>
    </row>
    <row r="313" spans="1:2">
      <c r="A313" t="str">
        <f>IF(AND(LEFT('S.01.01.01'!$D$59,8)&lt;&gt;"Reported",'S.01.01.01'!$D$59&lt;&gt;""),Show!$B$2 &amp; "S.24.01.01.08 Rows{Z}@ForceFilingCode:false","")</f>
        <v/>
      </c>
      <c r="B313" t="str">
        <f>IF(AND(LEFT('S.01.01.01'!$D$59,8)&lt;&gt;"Reported",'S.01.01.01'!$D$59&lt;&gt;""),Show!$B$2&amp; Show!$B$2&amp;"S.24.01.01.08 Rows{Z}@ForceFilingCode:false","")</f>
        <v/>
      </c>
    </row>
    <row r="314" spans="1:2">
      <c r="A314" t="str">
        <f>IF(AND(LEFT('S.01.01.01'!$D$59,8)&lt;&gt;"Reported",'S.01.01.01'!$D$59&lt;&gt;""),Show!$B$2 &amp; "S.24.01.01.09 Rows{Z}@ForceFilingCode:false","")</f>
        <v/>
      </c>
      <c r="B314" t="str">
        <f>IF(AND(LEFT('S.01.01.01'!$D$59,8)&lt;&gt;"Reported",'S.01.01.01'!$D$59&lt;&gt;""),Show!$B$2&amp; Show!$B$2&amp;"S.24.01.01.09 Rows{Z}@ForceFilingCode:false","")</f>
        <v/>
      </c>
    </row>
    <row r="315" spans="1:2">
      <c r="A315" t="str">
        <f>IF(AND(LEFT('S.01.01.01'!$D$59,8)&lt;&gt;"Reported",'S.01.01.01'!$D$59&lt;&gt;""),Show!$B$2 &amp; "S.24.01.01.10 Rows{Z}@ForceFilingCode:false","")</f>
        <v/>
      </c>
      <c r="B315" t="str">
        <f>IF(AND(LEFT('S.01.01.01'!$D$59,8)&lt;&gt;"Reported",'S.01.01.01'!$D$59&lt;&gt;""),Show!$B$2&amp; Show!$B$2&amp;"S.24.01.01.10 Rows{Z}@ForceFilingCode:false","")</f>
        <v/>
      </c>
    </row>
    <row r="316" spans="1:2">
      <c r="A316" t="str">
        <f>IF(AND(LEFT('S.01.01.01'!$D$59,8)&lt;&gt;"Reported",'S.01.01.01'!$D$59&lt;&gt;""),Show!$B$2 &amp; "S.24.01.01.11 Rows{Z}@ForceFilingCode:false","")</f>
        <v/>
      </c>
      <c r="B316" t="str">
        <f>IF(AND(LEFT('S.01.01.01'!$D$59,8)&lt;&gt;"Reported",'S.01.01.01'!$D$59&lt;&gt;""),Show!$B$2&amp; Show!$B$2&amp;"S.24.01.01.11 Rows{Z}@ForceFilingCode:false","")</f>
        <v/>
      </c>
    </row>
    <row r="317" spans="1:2">
      <c r="A317" t="str">
        <f>IF(AND(LEFT('S.01.01.01'!$D$60,8)&lt;&gt;"Reported",'S.01.01.01'!$D$60&lt;&gt;""),Show!$B$2 &amp; "S.25.01.01.01 Rows{Z}@ForceFilingCode:false","")</f>
        <v/>
      </c>
      <c r="B317" t="str">
        <f>IF(AND(LEFT('S.01.01.01'!$D$60,8)&lt;&gt;"Reported",'S.01.01.01'!$D$60&lt;&gt;""),Show!$B$2&amp; Show!$B$2&amp;"S.25.01.01.01 Rows{Z}@ForceFilingCode:false","")</f>
        <v/>
      </c>
    </row>
    <row r="318" spans="1:2">
      <c r="A318" t="str">
        <f>IF(AND(LEFT('S.01.01.01'!$D$60,8)&lt;&gt;"Reported",'S.01.01.01'!$D$60&lt;&gt;""),Show!$B$2 &amp; "S.25.01.01.02 Rows{Z}@ForceFilingCode:false","")</f>
        <v/>
      </c>
      <c r="B318" t="str">
        <f>IF(AND(LEFT('S.01.01.01'!$D$60,8)&lt;&gt;"Reported",'S.01.01.01'!$D$60&lt;&gt;""),Show!$B$2&amp; Show!$B$2&amp;"S.25.01.01.02 Rows{Z}@ForceFilingCode:false","")</f>
        <v/>
      </c>
    </row>
    <row r="319" spans="1:2">
      <c r="A319" t="str">
        <f>IF(AND(LEFT('S.01.01.01'!$D$60,8)&lt;&gt;"Reported",'S.01.01.01'!$D$60&lt;&gt;""),Show!$B$2 &amp; "S.25.01.01.03 Rows{Z}@ForceFilingCode:false","")</f>
        <v/>
      </c>
      <c r="B319" t="str">
        <f>IF(AND(LEFT('S.01.01.01'!$D$60,8)&lt;&gt;"Reported",'S.01.01.01'!$D$60&lt;&gt;""),Show!$B$2&amp; Show!$B$2&amp;"S.25.01.01.03 Rows{Z}@ForceFilingCode:false","")</f>
        <v/>
      </c>
    </row>
    <row r="320" spans="1:2">
      <c r="A320" t="str">
        <f>IF(AND(LEFT('S.01.01.01'!$D$60,8)&lt;&gt;"Reported",'S.01.01.01'!$D$60&lt;&gt;""),Show!$B$2 &amp; "S.25.01.01.04 Rows{Z}@ForceFilingCode:false","")</f>
        <v/>
      </c>
      <c r="B320" t="str">
        <f>IF(AND(LEFT('S.01.01.01'!$D$60,8)&lt;&gt;"Reported",'S.01.01.01'!$D$60&lt;&gt;""),Show!$B$2&amp; Show!$B$2&amp;"S.25.01.01.04 Rows{Z}@ForceFilingCode:false","")</f>
        <v/>
      </c>
    </row>
    <row r="321" spans="1:2">
      <c r="A321" t="str">
        <f>IF(AND(LEFT('S.01.01.01'!$D$60,8)&lt;&gt;"Reported",'S.01.01.01'!$D$60&lt;&gt;""),Show!$B$2 &amp; "S.25.01.01.05 Rows{Z}@ForceFilingCode:false","")</f>
        <v/>
      </c>
      <c r="B321" t="str">
        <f>IF(AND(LEFT('S.01.01.01'!$D$60,8)&lt;&gt;"Reported",'S.01.01.01'!$D$60&lt;&gt;""),Show!$B$2&amp; Show!$B$2&amp;"S.25.01.01.05 Rows{Z}@ForceFilingCode:false","")</f>
        <v/>
      </c>
    </row>
    <row r="322" spans="1:2">
      <c r="A322" t="str">
        <f>IF(AND(LEFT('S.01.01.01'!$D$61,8)&lt;&gt;"Reported",'S.01.01.01'!$D$61&lt;&gt;""),Show!$B$2 &amp; "S.25.02.01.01 Rows{Z}@ForceFilingCode:false","")</f>
        <v/>
      </c>
      <c r="B322" t="str">
        <f>IF(AND(LEFT('S.01.01.01'!$D$61,8)&lt;&gt;"Reported",'S.01.01.01'!$D$61&lt;&gt;""),Show!$B$2&amp; Show!$B$2&amp;"S.25.02.01.01 Rows{Z}@ForceFilingCode:false","")</f>
        <v/>
      </c>
    </row>
    <row r="323" spans="1:2">
      <c r="A323" t="str">
        <f>IF(AND(LEFT('S.01.01.01'!$D$61,8)&lt;&gt;"Reported",'S.01.01.01'!$D$61&lt;&gt;""),Show!$B$2 &amp; "S.25.02.01.02 Rows{Z}@ForceFilingCode:false","")</f>
        <v/>
      </c>
      <c r="B323" t="str">
        <f>IF(AND(LEFT('S.01.01.01'!$D$61,8)&lt;&gt;"Reported",'S.01.01.01'!$D$61&lt;&gt;""),Show!$B$2&amp; Show!$B$2&amp;"S.25.02.01.02 Rows{Z}@ForceFilingCode:false","")</f>
        <v/>
      </c>
    </row>
    <row r="324" spans="1:2">
      <c r="A324" t="str">
        <f>IF(AND(LEFT('S.01.01.01'!$D$61,8)&lt;&gt;"Reported",'S.01.01.01'!$D$61&lt;&gt;""),Show!$B$2 &amp; "S.25.02.01.03 Rows{Z}@ForceFilingCode:false","")</f>
        <v/>
      </c>
      <c r="B324" t="str">
        <f>IF(AND(LEFT('S.01.01.01'!$D$61,8)&lt;&gt;"Reported",'S.01.01.01'!$D$61&lt;&gt;""),Show!$B$2&amp; Show!$B$2&amp;"S.25.02.01.03 Rows{Z}@ForceFilingCode:false","")</f>
        <v/>
      </c>
    </row>
    <row r="325" spans="1:2">
      <c r="A325" t="str">
        <f>IF(AND(LEFT('S.01.01.01'!$D$61,8)&lt;&gt;"Reported",'S.01.01.01'!$D$61&lt;&gt;""),Show!$B$2 &amp; "S.25.02.01.04 Rows{Z}@ForceFilingCode:false","")</f>
        <v/>
      </c>
      <c r="B325" t="str">
        <f>IF(AND(LEFT('S.01.01.01'!$D$61,8)&lt;&gt;"Reported",'S.01.01.01'!$D$61&lt;&gt;""),Show!$B$2&amp; Show!$B$2&amp;"S.25.02.01.04 Rows{Z}@ForceFilingCode:false","")</f>
        <v/>
      </c>
    </row>
    <row r="326" spans="1:2">
      <c r="A326" t="str">
        <f>IF(AND(LEFT('S.01.01.01'!$D$61,8)&lt;&gt;"Reported",'S.01.01.01'!$D$61&lt;&gt;""),Show!$B$2 &amp; "S.25.02.01.05 Rows{Z}@ForceFilingCode:false","")</f>
        <v/>
      </c>
      <c r="B326" t="str">
        <f>IF(AND(LEFT('S.01.01.01'!$D$61,8)&lt;&gt;"Reported",'S.01.01.01'!$D$61&lt;&gt;""),Show!$B$2&amp; Show!$B$2&amp;"S.25.02.01.05 Rows{Z}@ForceFilingCode:false","")</f>
        <v/>
      </c>
    </row>
    <row r="327" spans="1:2">
      <c r="A327" t="str">
        <f>IF(AND(LEFT('S.01.01.01'!$D$62,8)&lt;&gt;"Reported",'S.01.01.01'!$D$62&lt;&gt;""),Show!$B$2 &amp; "S.25.03.01.01 Rows{Z}@ForceFilingCode:false","")</f>
        <v/>
      </c>
      <c r="B327" t="str">
        <f>IF(AND(LEFT('S.01.01.01'!$D$62,8)&lt;&gt;"Reported",'S.01.01.01'!$D$62&lt;&gt;""),Show!$B$2&amp; Show!$B$2&amp;"S.25.03.01.01 Rows{Z}@ForceFilingCode:false","")</f>
        <v/>
      </c>
    </row>
    <row r="328" spans="1:2">
      <c r="A328" t="str">
        <f>IF(AND(LEFT('S.01.01.01'!$D$62,8)&lt;&gt;"Reported",'S.01.01.01'!$D$62&lt;&gt;""),Show!$B$2 &amp; "S.25.03.01.02 Rows{Z}@ForceFilingCode:false","")</f>
        <v/>
      </c>
      <c r="B328" t="str">
        <f>IF(AND(LEFT('S.01.01.01'!$D$62,8)&lt;&gt;"Reported",'S.01.01.01'!$D$62&lt;&gt;""),Show!$B$2&amp; Show!$B$2&amp;"S.25.03.01.02 Rows{Z}@ForceFilingCode:false","")</f>
        <v/>
      </c>
    </row>
    <row r="329" spans="1:2">
      <c r="A329" t="str">
        <f>IF(AND(LEFT('S.01.01.01'!$D$62,8)&lt;&gt;"Reported",'S.01.01.01'!$D$62&lt;&gt;""),Show!$B$2 &amp; "S.25.03.01.03 Rows{Z}@ForceFilingCode:false","")</f>
        <v/>
      </c>
      <c r="B329" t="str">
        <f>IF(AND(LEFT('S.01.01.01'!$D$62,8)&lt;&gt;"Reported",'S.01.01.01'!$D$62&lt;&gt;""),Show!$B$2&amp; Show!$B$2&amp;"S.25.03.01.03 Rows{Z}@ForceFilingCode:false","")</f>
        <v/>
      </c>
    </row>
    <row r="330" spans="1:2">
      <c r="A330" t="str">
        <f>IF(AND(LEFT('S.01.01.01'!$D$62,8)&lt;&gt;"Reported",'S.01.01.01'!$D$62&lt;&gt;""),Show!$B$2 &amp; "S.25.03.01.04 Rows{Z}@ForceFilingCode:false","")</f>
        <v/>
      </c>
      <c r="B330" t="str">
        <f>IF(AND(LEFT('S.01.01.01'!$D$62,8)&lt;&gt;"Reported",'S.01.01.01'!$D$62&lt;&gt;""),Show!$B$2&amp; Show!$B$2&amp;"S.25.03.01.04 Rows{Z}@ForceFilingCode:false","")</f>
        <v/>
      </c>
    </row>
    <row r="331" spans="1:2">
      <c r="A331" t="str">
        <f>IF(AND(LEFT('S.01.01.01'!$D$62,8)&lt;&gt;"Reported",'S.01.01.01'!$D$62&lt;&gt;""),Show!$B$2 &amp; "S.25.03.01.05 Rows{Z}@ForceFilingCode:false","")</f>
        <v/>
      </c>
      <c r="B331" t="str">
        <f>IF(AND(LEFT('S.01.01.01'!$D$62,8)&lt;&gt;"Reported",'S.01.01.01'!$D$62&lt;&gt;""),Show!$B$2&amp; Show!$B$2&amp;"S.25.03.01.05 Rows{Z}@ForceFilingCode:false","")</f>
        <v/>
      </c>
    </row>
    <row r="332" spans="1:2">
      <c r="A332" t="str">
        <f>IF(AND(LEFT('S.01.01.01'!$D$63,8)&lt;&gt;"Reported",'S.01.01.01'!$D$63&lt;&gt;""),Show!$B$2 &amp; "S.26.01.01.01 Rows{Z}@ForceFilingCode:false","")</f>
        <v/>
      </c>
      <c r="B332" t="str">
        <f>IF(AND(LEFT('S.01.01.01'!$D$63,8)&lt;&gt;"Reported",'S.01.01.01'!$D$63&lt;&gt;""),Show!$B$2&amp; Show!$B$2&amp;"S.26.01.01.01 Rows{Z}@ForceFilingCode:false","")</f>
        <v/>
      </c>
    </row>
    <row r="333" spans="1:2">
      <c r="A333" t="str">
        <f>IF(AND(LEFT('S.01.01.01'!$D$63,8)&lt;&gt;"Reported",'S.01.01.01'!$D$63&lt;&gt;""),Show!$B$2 &amp; "S.26.01.01.02 Rows{Z}@ForceFilingCode:false","")</f>
        <v/>
      </c>
      <c r="B333" t="str">
        <f>IF(AND(LEFT('S.01.01.01'!$D$63,8)&lt;&gt;"Reported",'S.01.01.01'!$D$63&lt;&gt;""),Show!$B$2&amp; Show!$B$2&amp;"S.26.01.01.02 Rows{Z}@ForceFilingCode:false","")</f>
        <v/>
      </c>
    </row>
    <row r="334" spans="1:2">
      <c r="A334" t="str">
        <f>IF(AND(LEFT('S.01.01.01'!$D$63,8)&lt;&gt;"Reported",'S.01.01.01'!$D$63&lt;&gt;""),Show!$B$2 &amp; "S.26.01.01.03 Rows{Z}@ForceFilingCode:false","")</f>
        <v/>
      </c>
      <c r="B334" t="str">
        <f>IF(AND(LEFT('S.01.01.01'!$D$63,8)&lt;&gt;"Reported",'S.01.01.01'!$D$63&lt;&gt;""),Show!$B$2&amp; Show!$B$2&amp;"S.26.01.01.03 Rows{Z}@ForceFilingCode:false","")</f>
        <v/>
      </c>
    </row>
    <row r="335" spans="1:2">
      <c r="A335" t="str">
        <f>IF(AND(LEFT('S.01.01.01'!$D$64,8)&lt;&gt;"Reported",'S.01.01.01'!$D$64&lt;&gt;""),Show!$B$2 &amp; "S.26.02.01.01 Rows{Z}@ForceFilingCode:false","")</f>
        <v/>
      </c>
      <c r="B335" t="str">
        <f>IF(AND(LEFT('S.01.01.01'!$D$64,8)&lt;&gt;"Reported",'S.01.01.01'!$D$64&lt;&gt;""),Show!$B$2&amp; Show!$B$2&amp;"S.26.02.01.01 Rows{Z}@ForceFilingCode:false","")</f>
        <v/>
      </c>
    </row>
    <row r="336" spans="1:2">
      <c r="A336" t="str">
        <f>IF(AND(LEFT('S.01.01.01'!$D$64,8)&lt;&gt;"Reported",'S.01.01.01'!$D$64&lt;&gt;""),Show!$B$2 &amp; "S.26.02.01.02 Rows{Z}@ForceFilingCode:false","")</f>
        <v/>
      </c>
      <c r="B336" t="str">
        <f>IF(AND(LEFT('S.01.01.01'!$D$64,8)&lt;&gt;"Reported",'S.01.01.01'!$D$64&lt;&gt;""),Show!$B$2&amp; Show!$B$2&amp;"S.26.02.01.02 Rows{Z}@ForceFilingCode:false","")</f>
        <v/>
      </c>
    </row>
    <row r="337" spans="1:2">
      <c r="A337" t="str">
        <f>IF(AND(LEFT('S.01.01.01'!$D$64,8)&lt;&gt;"Reported",'S.01.01.01'!$D$64&lt;&gt;""),Show!$B$2 &amp; "S.26.02.01.03 Rows{Z}@ForceFilingCode:false","")</f>
        <v/>
      </c>
      <c r="B337" t="str">
        <f>IF(AND(LEFT('S.01.01.01'!$D$64,8)&lt;&gt;"Reported",'S.01.01.01'!$D$64&lt;&gt;""),Show!$B$2&amp; Show!$B$2&amp;"S.26.02.01.03 Rows{Z}@ForceFilingCode:false","")</f>
        <v/>
      </c>
    </row>
    <row r="338" spans="1:2">
      <c r="A338" t="str">
        <f>IF(AND(LEFT('S.01.01.01'!$D$65,8)&lt;&gt;"Reported",'S.01.01.01'!$D$65&lt;&gt;""),Show!$B$2 &amp; "S.26.03.01.01 Rows{Z}@ForceFilingCode:false","")</f>
        <v/>
      </c>
      <c r="B338" t="str">
        <f>IF(AND(LEFT('S.01.01.01'!$D$65,8)&lt;&gt;"Reported",'S.01.01.01'!$D$65&lt;&gt;""),Show!$B$2&amp; Show!$B$2&amp;"S.26.03.01.01 Rows{Z}@ForceFilingCode:false","")</f>
        <v/>
      </c>
    </row>
    <row r="339" spans="1:2">
      <c r="A339" t="str">
        <f>IF(AND(LEFT('S.01.01.01'!$D$65,8)&lt;&gt;"Reported",'S.01.01.01'!$D$65&lt;&gt;""),Show!$B$2 &amp; "S.26.03.01.02 Rows{Z}@ForceFilingCode:false","")</f>
        <v/>
      </c>
      <c r="B339" t="str">
        <f>IF(AND(LEFT('S.01.01.01'!$D$65,8)&lt;&gt;"Reported",'S.01.01.01'!$D$65&lt;&gt;""),Show!$B$2&amp; Show!$B$2&amp;"S.26.03.01.02 Rows{Z}@ForceFilingCode:false","")</f>
        <v/>
      </c>
    </row>
    <row r="340" spans="1:2">
      <c r="A340" t="str">
        <f>IF(AND(LEFT('S.01.01.01'!$D$65,8)&lt;&gt;"Reported",'S.01.01.01'!$D$65&lt;&gt;""),Show!$B$2 &amp; "S.26.03.01.03 Rows{Z}@ForceFilingCode:false","")</f>
        <v/>
      </c>
      <c r="B340" t="str">
        <f>IF(AND(LEFT('S.01.01.01'!$D$65,8)&lt;&gt;"Reported",'S.01.01.01'!$D$65&lt;&gt;""),Show!$B$2&amp; Show!$B$2&amp;"S.26.03.01.03 Rows{Z}@ForceFilingCode:false","")</f>
        <v/>
      </c>
    </row>
    <row r="341" spans="1:2">
      <c r="A341" t="str">
        <f>IF(AND(LEFT('S.01.01.01'!$D$65,8)&lt;&gt;"Reported",'S.01.01.01'!$D$65&lt;&gt;""),Show!$B$2 &amp; "S.26.03.01.04 Rows{Z}@ForceFilingCode:false","")</f>
        <v/>
      </c>
      <c r="B341" t="str">
        <f>IF(AND(LEFT('S.01.01.01'!$D$65,8)&lt;&gt;"Reported",'S.01.01.01'!$D$65&lt;&gt;""),Show!$B$2&amp; Show!$B$2&amp;"S.26.03.01.04 Rows{Z}@ForceFilingCode:false","")</f>
        <v/>
      </c>
    </row>
    <row r="342" spans="1:2">
      <c r="A342" t="str">
        <f>IF(AND(LEFT('S.01.01.01'!$D$66,8)&lt;&gt;"Reported",'S.01.01.01'!$D$66&lt;&gt;""),Show!$B$2 &amp; "S.26.04.01.01 Rows{Z}@ForceFilingCode:false","")</f>
        <v/>
      </c>
      <c r="B342" t="str">
        <f>IF(AND(LEFT('S.01.01.01'!$D$66,8)&lt;&gt;"Reported",'S.01.01.01'!$D$66&lt;&gt;""),Show!$B$2&amp; Show!$B$2&amp;"S.26.04.01.01 Rows{Z}@ForceFilingCode:false","")</f>
        <v/>
      </c>
    </row>
    <row r="343" spans="1:2">
      <c r="A343" t="str">
        <f>IF(AND(LEFT('S.01.01.01'!$D$66,8)&lt;&gt;"Reported",'S.01.01.01'!$D$66&lt;&gt;""),Show!$B$2 &amp; "S.26.04.01.02 Rows{Z}@ForceFilingCode:false","")</f>
        <v/>
      </c>
      <c r="B343" t="str">
        <f>IF(AND(LEFT('S.01.01.01'!$D$66,8)&lt;&gt;"Reported",'S.01.01.01'!$D$66&lt;&gt;""),Show!$B$2&amp; Show!$B$2&amp;"S.26.04.01.02 Rows{Z}@ForceFilingCode:false","")</f>
        <v/>
      </c>
    </row>
    <row r="344" spans="1:2">
      <c r="A344" t="str">
        <f>IF(AND(LEFT('S.01.01.01'!$D$66,8)&lt;&gt;"Reported",'S.01.01.01'!$D$66&lt;&gt;""),Show!$B$2 &amp; "S.26.04.01.03 Rows{Z}@ForceFilingCode:false","")</f>
        <v/>
      </c>
      <c r="B344" t="str">
        <f>IF(AND(LEFT('S.01.01.01'!$D$66,8)&lt;&gt;"Reported",'S.01.01.01'!$D$66&lt;&gt;""),Show!$B$2&amp; Show!$B$2&amp;"S.26.04.01.03 Rows{Z}@ForceFilingCode:false","")</f>
        <v/>
      </c>
    </row>
    <row r="345" spans="1:2">
      <c r="A345" t="str">
        <f>IF(AND(LEFT('S.01.01.01'!$D$66,8)&lt;&gt;"Reported",'S.01.01.01'!$D$66&lt;&gt;""),Show!$B$2 &amp; "S.26.04.01.04 Rows{Z}@ForceFilingCode:false","")</f>
        <v/>
      </c>
      <c r="B345" t="str">
        <f>IF(AND(LEFT('S.01.01.01'!$D$66,8)&lt;&gt;"Reported",'S.01.01.01'!$D$66&lt;&gt;""),Show!$B$2&amp; Show!$B$2&amp;"S.26.04.01.04 Rows{Z}@ForceFilingCode:false","")</f>
        <v/>
      </c>
    </row>
    <row r="346" spans="1:2">
      <c r="A346" t="str">
        <f>IF(AND(LEFT('S.01.01.01'!$D$66,8)&lt;&gt;"Reported",'S.01.01.01'!$D$66&lt;&gt;""),Show!$B$2 &amp; "S.26.04.01.05 Rows{Z}@ForceFilingCode:false","")</f>
        <v/>
      </c>
      <c r="B346" t="str">
        <f>IF(AND(LEFT('S.01.01.01'!$D$66,8)&lt;&gt;"Reported",'S.01.01.01'!$D$66&lt;&gt;""),Show!$B$2&amp; Show!$B$2&amp;"S.26.04.01.05 Rows{Z}@ForceFilingCode:false","")</f>
        <v/>
      </c>
    </row>
    <row r="347" spans="1:2">
      <c r="A347" t="str">
        <f>IF(AND(LEFT('S.01.01.01'!$D$66,8)&lt;&gt;"Reported",'S.01.01.01'!$D$66&lt;&gt;""),Show!$B$2 &amp; "S.26.04.01.06 Rows{Z}@ForceFilingCode:false","")</f>
        <v/>
      </c>
      <c r="B347" t="str">
        <f>IF(AND(LEFT('S.01.01.01'!$D$66,8)&lt;&gt;"Reported",'S.01.01.01'!$D$66&lt;&gt;""),Show!$B$2&amp; Show!$B$2&amp;"S.26.04.01.06 Rows{Z}@ForceFilingCode:false","")</f>
        <v/>
      </c>
    </row>
    <row r="348" spans="1:2">
      <c r="A348" t="str">
        <f>IF(AND(LEFT('S.01.01.01'!$D$66,8)&lt;&gt;"Reported",'S.01.01.01'!$D$66&lt;&gt;""),Show!$B$2 &amp; "S.26.04.01.07 Rows{Z}@ForceFilingCode:false","")</f>
        <v/>
      </c>
      <c r="B348" t="str">
        <f>IF(AND(LEFT('S.01.01.01'!$D$66,8)&lt;&gt;"Reported",'S.01.01.01'!$D$66&lt;&gt;""),Show!$B$2&amp; Show!$B$2&amp;"S.26.04.01.07 Rows{Z}@ForceFilingCode:false","")</f>
        <v/>
      </c>
    </row>
    <row r="349" spans="1:2">
      <c r="A349" t="str">
        <f>IF(AND(LEFT('S.01.01.01'!$D$66,8)&lt;&gt;"Reported",'S.01.01.01'!$D$66&lt;&gt;""),Show!$B$2 &amp; "S.26.04.01.08 Rows{Z}@ForceFilingCode:false","")</f>
        <v/>
      </c>
      <c r="B349" t="str">
        <f>IF(AND(LEFT('S.01.01.01'!$D$66,8)&lt;&gt;"Reported",'S.01.01.01'!$D$66&lt;&gt;""),Show!$B$2&amp; Show!$B$2&amp;"S.26.04.01.08 Rows{Z}@ForceFilingCode:false","")</f>
        <v/>
      </c>
    </row>
    <row r="350" spans="1:2">
      <c r="A350" t="str">
        <f>IF(AND(LEFT('S.01.01.01'!$D$66,8)&lt;&gt;"Reported",'S.01.01.01'!$D$66&lt;&gt;""),Show!$B$2 &amp; "S.26.04.01.09 Rows{Z}@ForceFilingCode:false","")</f>
        <v/>
      </c>
      <c r="B350" t="str">
        <f>IF(AND(LEFT('S.01.01.01'!$D$66,8)&lt;&gt;"Reported",'S.01.01.01'!$D$66&lt;&gt;""),Show!$B$2&amp; Show!$B$2&amp;"S.26.04.01.09 Rows{Z}@ForceFilingCode:false","")</f>
        <v/>
      </c>
    </row>
    <row r="351" spans="1:2">
      <c r="A351" t="str">
        <f>IF(AND(LEFT('S.01.01.01'!$D$67,8)&lt;&gt;"Reported",'S.01.01.01'!$D$67&lt;&gt;""),Show!$B$2 &amp; "S.26.05.01.01 Rows{Z}@ForceFilingCode:false","")</f>
        <v/>
      </c>
      <c r="B351" t="str">
        <f>IF(AND(LEFT('S.01.01.01'!$D$67,8)&lt;&gt;"Reported",'S.01.01.01'!$D$67&lt;&gt;""),Show!$B$2&amp; Show!$B$2&amp;"S.26.05.01.01 Rows{Z}@ForceFilingCode:false","")</f>
        <v/>
      </c>
    </row>
    <row r="352" spans="1:2">
      <c r="A352" t="str">
        <f>IF(AND(LEFT('S.01.01.01'!$D$67,8)&lt;&gt;"Reported",'S.01.01.01'!$D$67&lt;&gt;""),Show!$B$2 &amp; "S.26.05.01.02 Rows{Z}@ForceFilingCode:false","")</f>
        <v/>
      </c>
      <c r="B352" t="str">
        <f>IF(AND(LEFT('S.01.01.01'!$D$67,8)&lt;&gt;"Reported",'S.01.01.01'!$D$67&lt;&gt;""),Show!$B$2&amp; Show!$B$2&amp;"S.26.05.01.02 Rows{Z}@ForceFilingCode:false","")</f>
        <v/>
      </c>
    </row>
    <row r="353" spans="1:2">
      <c r="A353" t="str">
        <f>IF(AND(LEFT('S.01.01.01'!$D$67,8)&lt;&gt;"Reported",'S.01.01.01'!$D$67&lt;&gt;""),Show!$B$2 &amp; "S.26.05.01.03 Rows{Z}@ForceFilingCode:false","")</f>
        <v/>
      </c>
      <c r="B353" t="str">
        <f>IF(AND(LEFT('S.01.01.01'!$D$67,8)&lt;&gt;"Reported",'S.01.01.01'!$D$67&lt;&gt;""),Show!$B$2&amp; Show!$B$2&amp;"S.26.05.01.03 Rows{Z}@ForceFilingCode:false","")</f>
        <v/>
      </c>
    </row>
    <row r="354" spans="1:2">
      <c r="A354" t="str">
        <f>IF(AND(LEFT('S.01.01.01'!$D$67,8)&lt;&gt;"Reported",'S.01.01.01'!$D$67&lt;&gt;""),Show!$B$2 &amp; "S.26.05.01.04 Rows{Z}@ForceFilingCode:false","")</f>
        <v/>
      </c>
      <c r="B354" t="str">
        <f>IF(AND(LEFT('S.01.01.01'!$D$67,8)&lt;&gt;"Reported",'S.01.01.01'!$D$67&lt;&gt;""),Show!$B$2&amp; Show!$B$2&amp;"S.26.05.01.04 Rows{Z}@ForceFilingCode:false","")</f>
        <v/>
      </c>
    </row>
    <row r="355" spans="1:2">
      <c r="A355" t="str">
        <f>IF(AND(LEFT('S.01.01.01'!$D$67,8)&lt;&gt;"Reported",'S.01.01.01'!$D$67&lt;&gt;""),Show!$B$2 &amp; "S.26.05.01.05 Rows{Z}@ForceFilingCode:false","")</f>
        <v/>
      </c>
      <c r="B355" t="str">
        <f>IF(AND(LEFT('S.01.01.01'!$D$67,8)&lt;&gt;"Reported",'S.01.01.01'!$D$67&lt;&gt;""),Show!$B$2&amp; Show!$B$2&amp;"S.26.05.01.05 Rows{Z}@ForceFilingCode:false","")</f>
        <v/>
      </c>
    </row>
    <row r="356" spans="1:2">
      <c r="A356" t="str">
        <f>IF(AND(LEFT('S.01.01.01'!$D$68,8)&lt;&gt;"Reported",'S.01.01.01'!$D$68&lt;&gt;""),Show!$B$2 &amp; "S.26.06.01.01 Rows{Z}@ForceFilingCode:false","")</f>
        <v/>
      </c>
      <c r="B356" t="str">
        <f>IF(AND(LEFT('S.01.01.01'!$D$68,8)&lt;&gt;"Reported",'S.01.01.01'!$D$68&lt;&gt;""),Show!$B$2&amp; Show!$B$2&amp;"S.26.06.01.01 Rows{Z}@ForceFilingCode:false","")</f>
        <v/>
      </c>
    </row>
    <row r="357" spans="1:2">
      <c r="A357" t="str">
        <f>IF(AND(LEFT('S.01.01.01'!$D$69,8)&lt;&gt;"Reported",'S.01.01.01'!$D$69&lt;&gt;""),Show!$B$2 &amp; "S.26.07.01.01 Rows{Z}@ForceFilingCode:false","")</f>
        <v/>
      </c>
      <c r="B357" t="str">
        <f>IF(AND(LEFT('S.01.01.01'!$D$69,8)&lt;&gt;"Reported",'S.01.01.01'!$D$69&lt;&gt;""),Show!$B$2&amp; Show!$B$2&amp;"S.26.07.01.01 Rows{Z}@ForceFilingCode:false","")</f>
        <v/>
      </c>
    </row>
    <row r="358" spans="1:2">
      <c r="A358" t="str">
        <f>IF(AND(LEFT('S.01.01.01'!$D$69,8)&lt;&gt;"Reported",'S.01.01.01'!$D$69&lt;&gt;""),Show!$B$2 &amp; "S.26.07.01.02 Rows{Z}@ForceFilingCode:false","")</f>
        <v/>
      </c>
      <c r="B358" t="str">
        <f>IF(AND(LEFT('S.01.01.01'!$D$69,8)&lt;&gt;"Reported",'S.01.01.01'!$D$69&lt;&gt;""),Show!$B$2&amp; Show!$B$2&amp;"S.26.07.01.02 Rows{Z}@ForceFilingCode:false","")</f>
        <v/>
      </c>
    </row>
    <row r="359" spans="1:2">
      <c r="A359" t="str">
        <f>IF(AND(LEFT('S.01.01.01'!$D$69,8)&lt;&gt;"Reported",'S.01.01.01'!$D$69&lt;&gt;""),Show!$B$2 &amp; "S.26.07.01.03 Rows{Z}@ForceFilingCode:false","")</f>
        <v/>
      </c>
      <c r="B359" t="str">
        <f>IF(AND(LEFT('S.01.01.01'!$D$69,8)&lt;&gt;"Reported",'S.01.01.01'!$D$69&lt;&gt;""),Show!$B$2&amp; Show!$B$2&amp;"S.26.07.01.03 Rows{Z}@ForceFilingCode:false","")</f>
        <v/>
      </c>
    </row>
    <row r="360" spans="1:2">
      <c r="A360" t="str">
        <f>IF(AND(LEFT('S.01.01.01'!$D$69,8)&lt;&gt;"Reported",'S.01.01.01'!$D$69&lt;&gt;""),Show!$B$2 &amp; "S.26.07.01.04 Rows{Z}@ForceFilingCode:false","")</f>
        <v/>
      </c>
      <c r="B360" t="str">
        <f>IF(AND(LEFT('S.01.01.01'!$D$69,8)&lt;&gt;"Reported",'S.01.01.01'!$D$69&lt;&gt;""),Show!$B$2&amp; Show!$B$2&amp;"S.26.07.01.04 Rows{Z}@ForceFilingCode:false","")</f>
        <v/>
      </c>
    </row>
    <row r="361" spans="1:2">
      <c r="A361" t="str">
        <f>IF(AND(LEFT('S.01.01.01'!$D$69,8)&lt;&gt;"Reported",'S.01.01.01'!$D$69&lt;&gt;""),Show!$B$2 &amp; "S.26.07.01.05 Rows{Z}@ForceFilingCode:false","")</f>
        <v/>
      </c>
      <c r="B361" t="str">
        <f>IF(AND(LEFT('S.01.01.01'!$D$69,8)&lt;&gt;"Reported",'S.01.01.01'!$D$69&lt;&gt;""),Show!$B$2&amp; Show!$B$2&amp;"S.26.07.01.05 Rows{Z}@ForceFilingCode:false","")</f>
        <v/>
      </c>
    </row>
    <row r="362" spans="1:2">
      <c r="A362" t="str">
        <f>IF(AND(LEFT('S.01.01.01'!$D$69,8)&lt;&gt;"Reported",'S.01.01.01'!$D$69&lt;&gt;""),Show!$B$2 &amp; "S.26.07.01.06 Rows{Z}@ForceFilingCode:false","")</f>
        <v/>
      </c>
      <c r="B362" t="str">
        <f>IF(AND(LEFT('S.01.01.01'!$D$69,8)&lt;&gt;"Reported",'S.01.01.01'!$D$69&lt;&gt;""),Show!$B$2&amp; Show!$B$2&amp;"S.26.07.01.06 Rows{Z}@ForceFilingCode:false","")</f>
        <v/>
      </c>
    </row>
    <row r="363" spans="1:2">
      <c r="A363" t="str">
        <f>IF(AND(LEFT('S.01.01.01'!$D$70,8)&lt;&gt;"Reported",'S.01.01.01'!$D$70&lt;&gt;""),Show!$B$2 &amp; "S.27.01.01.01 Rows{Z}@ForceFilingCode:false","")</f>
        <v/>
      </c>
      <c r="B363" t="str">
        <f>IF(AND(LEFT('S.01.01.01'!$D$70,8)&lt;&gt;"Reported",'S.01.01.01'!$D$70&lt;&gt;""),Show!$B$2&amp; Show!$B$2&amp;"S.27.01.01.01 Rows{Z}@ForceFilingCode:false","")</f>
        <v/>
      </c>
    </row>
    <row r="364" spans="1:2">
      <c r="A364" t="str">
        <f>IF(AND(LEFT('S.01.01.01'!$D$70,8)&lt;&gt;"Reported",'S.01.01.01'!$D$70&lt;&gt;""),Show!$B$2 &amp; "S.27.01.01.02 Rows{Z}@ForceFilingCode:false","")</f>
        <v/>
      </c>
      <c r="B364" t="str">
        <f>IF(AND(LEFT('S.01.01.01'!$D$70,8)&lt;&gt;"Reported",'S.01.01.01'!$D$70&lt;&gt;""),Show!$B$2&amp; Show!$B$2&amp;"S.27.01.01.02 Rows{Z}@ForceFilingCode:false","")</f>
        <v/>
      </c>
    </row>
    <row r="365" spans="1:2">
      <c r="A365" t="str">
        <f>IF(AND(LEFT('S.01.01.01'!$D$70,8)&lt;&gt;"Reported",'S.01.01.01'!$D$70&lt;&gt;""),Show!$B$2 &amp; "S.27.01.01.03 Rows{Z}@ForceFilingCode:false","")</f>
        <v/>
      </c>
      <c r="B365" t="str">
        <f>IF(AND(LEFT('S.01.01.01'!$D$70,8)&lt;&gt;"Reported",'S.01.01.01'!$D$70&lt;&gt;""),Show!$B$2&amp; Show!$B$2&amp;"S.27.01.01.03 Rows{Z}@ForceFilingCode:false","")</f>
        <v/>
      </c>
    </row>
    <row r="366" spans="1:2">
      <c r="A366" t="str">
        <f>IF(AND(LEFT('S.01.01.01'!$D$70,8)&lt;&gt;"Reported",'S.01.01.01'!$D$70&lt;&gt;""),Show!$B$2 &amp; "S.27.01.01.04 Rows{Z}@ForceFilingCode:false","")</f>
        <v/>
      </c>
      <c r="B366" t="str">
        <f>IF(AND(LEFT('S.01.01.01'!$D$70,8)&lt;&gt;"Reported",'S.01.01.01'!$D$70&lt;&gt;""),Show!$B$2&amp; Show!$B$2&amp;"S.27.01.01.04 Rows{Z}@ForceFilingCode:false","")</f>
        <v/>
      </c>
    </row>
    <row r="367" spans="1:2">
      <c r="A367" t="str">
        <f>IF(AND(LEFT('S.01.01.01'!$D$70,8)&lt;&gt;"Reported",'S.01.01.01'!$D$70&lt;&gt;""),Show!$B$2 &amp; "S.27.01.01.05 Rows{Z}@ForceFilingCode:false","")</f>
        <v/>
      </c>
      <c r="B367" t="str">
        <f>IF(AND(LEFT('S.01.01.01'!$D$70,8)&lt;&gt;"Reported",'S.01.01.01'!$D$70&lt;&gt;""),Show!$B$2&amp; Show!$B$2&amp;"S.27.01.01.05 Rows{Z}@ForceFilingCode:false","")</f>
        <v/>
      </c>
    </row>
    <row r="368" spans="1:2">
      <c r="A368" t="str">
        <f>IF(AND(LEFT('S.01.01.01'!$D$70,8)&lt;&gt;"Reported",'S.01.01.01'!$D$70&lt;&gt;""),Show!$B$2 &amp; "S.27.01.01.06 Rows{Z}@ForceFilingCode:false","")</f>
        <v/>
      </c>
      <c r="B368" t="str">
        <f>IF(AND(LEFT('S.01.01.01'!$D$70,8)&lt;&gt;"Reported",'S.01.01.01'!$D$70&lt;&gt;""),Show!$B$2&amp; Show!$B$2&amp;"S.27.01.01.06 Rows{Z}@ForceFilingCode:false","")</f>
        <v/>
      </c>
    </row>
    <row r="369" spans="1:2">
      <c r="A369" t="str">
        <f>IF(AND(LEFT('S.01.01.01'!$D$70,8)&lt;&gt;"Reported",'S.01.01.01'!$D$70&lt;&gt;""),Show!$B$2 &amp; "S.27.01.01.07 Rows{Z}@ForceFilingCode:false","")</f>
        <v/>
      </c>
      <c r="B369" t="str">
        <f>IF(AND(LEFT('S.01.01.01'!$D$70,8)&lt;&gt;"Reported",'S.01.01.01'!$D$70&lt;&gt;""),Show!$B$2&amp; Show!$B$2&amp;"S.27.01.01.07 Rows{Z}@ForceFilingCode:false","")</f>
        <v/>
      </c>
    </row>
    <row r="370" spans="1:2">
      <c r="A370" t="str">
        <f>IF(AND(LEFT('S.01.01.01'!$D$70,8)&lt;&gt;"Reported",'S.01.01.01'!$D$70&lt;&gt;""),Show!$B$2 &amp; "S.27.01.01.08 Rows{Z}@ForceFilingCode:false","")</f>
        <v/>
      </c>
      <c r="B370" t="str">
        <f>IF(AND(LEFT('S.01.01.01'!$D$70,8)&lt;&gt;"Reported",'S.01.01.01'!$D$70&lt;&gt;""),Show!$B$2&amp; Show!$B$2&amp;"S.27.01.01.08 Rows{Z}@ForceFilingCode:false","")</f>
        <v/>
      </c>
    </row>
    <row r="371" spans="1:2">
      <c r="A371" t="str">
        <f>IF(AND(LEFT('S.01.01.01'!$D$70,8)&lt;&gt;"Reported",'S.01.01.01'!$D$70&lt;&gt;""),Show!$B$2 &amp; "S.27.01.01.09 Rows{Z}@ForceFilingCode:false","")</f>
        <v/>
      </c>
      <c r="B371" t="str">
        <f>IF(AND(LEFT('S.01.01.01'!$D$70,8)&lt;&gt;"Reported",'S.01.01.01'!$D$70&lt;&gt;""),Show!$B$2&amp; Show!$B$2&amp;"S.27.01.01.09 Rows{Z}@ForceFilingCode:false","")</f>
        <v/>
      </c>
    </row>
    <row r="372" spans="1:2">
      <c r="A372" t="str">
        <f>IF(AND(LEFT('S.01.01.01'!$D$70,8)&lt;&gt;"Reported",'S.01.01.01'!$D$70&lt;&gt;""),Show!$B$2 &amp; "S.27.01.01.10 Rows{Z}@ForceFilingCode:false","")</f>
        <v/>
      </c>
      <c r="B372" t="str">
        <f>IF(AND(LEFT('S.01.01.01'!$D$70,8)&lt;&gt;"Reported",'S.01.01.01'!$D$70&lt;&gt;""),Show!$B$2&amp; Show!$B$2&amp;"S.27.01.01.10 Rows{Z}@ForceFilingCode:false","")</f>
        <v/>
      </c>
    </row>
    <row r="373" spans="1:2">
      <c r="A373" t="str">
        <f>IF(AND(LEFT('S.01.01.01'!$D$70,8)&lt;&gt;"Reported",'S.01.01.01'!$D$70&lt;&gt;""),Show!$B$2 &amp; "S.27.01.01.11 Rows{Z}@ForceFilingCode:false","")</f>
        <v/>
      </c>
      <c r="B373" t="str">
        <f>IF(AND(LEFT('S.01.01.01'!$D$70,8)&lt;&gt;"Reported",'S.01.01.01'!$D$70&lt;&gt;""),Show!$B$2&amp; Show!$B$2&amp;"S.27.01.01.11 Rows{Z}@ForceFilingCode:false","")</f>
        <v/>
      </c>
    </row>
    <row r="374" spans="1:2">
      <c r="A374" t="str">
        <f>IF(AND(LEFT('S.01.01.01'!$D$70,8)&lt;&gt;"Reported",'S.01.01.01'!$D$70&lt;&gt;""),Show!$B$2 &amp; "S.27.01.01.12 Rows{Z}@ForceFilingCode:false","")</f>
        <v/>
      </c>
      <c r="B374" t="str">
        <f>IF(AND(LEFT('S.01.01.01'!$D$70,8)&lt;&gt;"Reported",'S.01.01.01'!$D$70&lt;&gt;""),Show!$B$2&amp; Show!$B$2&amp;"S.27.01.01.12 Rows{Z}@ForceFilingCode:false","")</f>
        <v/>
      </c>
    </row>
    <row r="375" spans="1:2">
      <c r="A375" t="str">
        <f>IF(AND(LEFT('S.01.01.01'!$D$70,8)&lt;&gt;"Reported",'S.01.01.01'!$D$70&lt;&gt;""),Show!$B$2 &amp; "S.27.01.01.13 Rows{Z}@ForceFilingCode:false","")</f>
        <v/>
      </c>
      <c r="B375" t="str">
        <f>IF(AND(LEFT('S.01.01.01'!$D$70,8)&lt;&gt;"Reported",'S.01.01.01'!$D$70&lt;&gt;""),Show!$B$2&amp; Show!$B$2&amp;"S.27.01.01.13 Rows{Z}@ForceFilingCode:false","")</f>
        <v/>
      </c>
    </row>
    <row r="376" spans="1:2">
      <c r="A376" t="str">
        <f>IF(AND(LEFT('S.01.01.01'!$D$70,8)&lt;&gt;"Reported",'S.01.01.01'!$D$70&lt;&gt;""),Show!$B$2 &amp; "S.27.01.01.14 Rows{Z}@ForceFilingCode:false","")</f>
        <v/>
      </c>
      <c r="B376" t="str">
        <f>IF(AND(LEFT('S.01.01.01'!$D$70,8)&lt;&gt;"Reported",'S.01.01.01'!$D$70&lt;&gt;""),Show!$B$2&amp; Show!$B$2&amp;"S.27.01.01.14 Rows{Z}@ForceFilingCode:false","")</f>
        <v/>
      </c>
    </row>
    <row r="377" spans="1:2">
      <c r="A377" t="str">
        <f>IF(AND(LEFT('S.01.01.01'!$D$70,8)&lt;&gt;"Reported",'S.01.01.01'!$D$70&lt;&gt;""),Show!$B$2 &amp; "S.27.01.01.15 Rows{Z}@ForceFilingCode:false","")</f>
        <v/>
      </c>
      <c r="B377" t="str">
        <f>IF(AND(LEFT('S.01.01.01'!$D$70,8)&lt;&gt;"Reported",'S.01.01.01'!$D$70&lt;&gt;""),Show!$B$2&amp; Show!$B$2&amp;"S.27.01.01.15 Rows{Z}@ForceFilingCode:false","")</f>
        <v/>
      </c>
    </row>
    <row r="378" spans="1:2">
      <c r="A378" t="str">
        <f>IF(AND(LEFT('S.01.01.01'!$D$70,8)&lt;&gt;"Reported",'S.01.01.01'!$D$70&lt;&gt;""),Show!$B$2 &amp; "S.27.01.01.16 Rows{Z}@ForceFilingCode:false","")</f>
        <v/>
      </c>
      <c r="B378" t="str">
        <f>IF(AND(LEFT('S.01.01.01'!$D$70,8)&lt;&gt;"Reported",'S.01.01.01'!$D$70&lt;&gt;""),Show!$B$2&amp; Show!$B$2&amp;"S.27.01.01.16 Rows{Z}@ForceFilingCode:false","")</f>
        <v/>
      </c>
    </row>
    <row r="379" spans="1:2">
      <c r="A379" t="str">
        <f>IF(AND(LEFT('S.01.01.01'!$D$70,8)&lt;&gt;"Reported",'S.01.01.01'!$D$70&lt;&gt;""),Show!$B$2 &amp; "S.27.01.01.17 Rows{Z}@ForceFilingCode:false","")</f>
        <v/>
      </c>
      <c r="B379" t="str">
        <f>IF(AND(LEFT('S.01.01.01'!$D$70,8)&lt;&gt;"Reported",'S.01.01.01'!$D$70&lt;&gt;""),Show!$B$2&amp; Show!$B$2&amp;"S.27.01.01.17 Rows{Z}@ForceFilingCode:false","")</f>
        <v/>
      </c>
    </row>
    <row r="380" spans="1:2">
      <c r="A380" t="str">
        <f>IF(AND(LEFT('S.01.01.01'!$D$70,8)&lt;&gt;"Reported",'S.01.01.01'!$D$70&lt;&gt;""),Show!$B$2 &amp; "S.27.01.01.18 Rows{Z}@ForceFilingCode:false","")</f>
        <v/>
      </c>
      <c r="B380" t="str">
        <f>IF(AND(LEFT('S.01.01.01'!$D$70,8)&lt;&gt;"Reported",'S.01.01.01'!$D$70&lt;&gt;""),Show!$B$2&amp; Show!$B$2&amp;"S.27.01.01.18 Rows{Z}@ForceFilingCode:false","")</f>
        <v/>
      </c>
    </row>
    <row r="381" spans="1:2">
      <c r="A381" t="str">
        <f>IF(AND(LEFT('S.01.01.01'!$D$70,8)&lt;&gt;"Reported",'S.01.01.01'!$D$70&lt;&gt;""),Show!$B$2 &amp; "S.27.01.01.19 Rows{Z}@ForceFilingCode:false","")</f>
        <v/>
      </c>
      <c r="B381" t="str">
        <f>IF(AND(LEFT('S.01.01.01'!$D$70,8)&lt;&gt;"Reported",'S.01.01.01'!$D$70&lt;&gt;""),Show!$B$2&amp; Show!$B$2&amp;"S.27.01.01.19 Rows{Z}@ForceFilingCode:false","")</f>
        <v/>
      </c>
    </row>
    <row r="382" spans="1:2">
      <c r="A382" t="str">
        <f>IF(AND(LEFT('S.01.01.01'!$D$70,8)&lt;&gt;"Reported",'S.01.01.01'!$D$70&lt;&gt;""),Show!$B$2 &amp; "S.27.01.01.20 Rows{Z}@ForceFilingCode:false","")</f>
        <v/>
      </c>
      <c r="B382" t="str">
        <f>IF(AND(LEFT('S.01.01.01'!$D$70,8)&lt;&gt;"Reported",'S.01.01.01'!$D$70&lt;&gt;""),Show!$B$2&amp; Show!$B$2&amp;"S.27.01.01.20 Rows{Z}@ForceFilingCode:false","")</f>
        <v/>
      </c>
    </row>
    <row r="383" spans="1:2">
      <c r="A383" t="str">
        <f>IF(AND(LEFT('S.01.01.01'!$D$70,8)&lt;&gt;"Reported",'S.01.01.01'!$D$70&lt;&gt;""),Show!$B$2 &amp; "S.27.01.01.21 Rows{Z}@ForceFilingCode:false","")</f>
        <v/>
      </c>
      <c r="B383" t="str">
        <f>IF(AND(LEFT('S.01.01.01'!$D$70,8)&lt;&gt;"Reported",'S.01.01.01'!$D$70&lt;&gt;""),Show!$B$2&amp; Show!$B$2&amp;"S.27.01.01.21 Rows{Z}@ForceFilingCode:false","")</f>
        <v/>
      </c>
    </row>
    <row r="384" spans="1:2">
      <c r="A384" t="str">
        <f>IF(AND(LEFT('S.01.01.01'!$D$70,8)&lt;&gt;"Reported",'S.01.01.01'!$D$70&lt;&gt;""),Show!$B$2 &amp; "S.27.01.01.22 Rows{Z}@ForceFilingCode:false","")</f>
        <v/>
      </c>
      <c r="B384" t="str">
        <f>IF(AND(LEFT('S.01.01.01'!$D$70,8)&lt;&gt;"Reported",'S.01.01.01'!$D$70&lt;&gt;""),Show!$B$2&amp; Show!$B$2&amp;"S.27.01.01.22 Rows{Z}@ForceFilingCode:false","")</f>
        <v/>
      </c>
    </row>
    <row r="385" spans="1:2">
      <c r="A385" t="str">
        <f>IF(AND(LEFT('S.01.01.01'!$D$70,8)&lt;&gt;"Reported",'S.01.01.01'!$D$70&lt;&gt;""),Show!$B$2 &amp; "S.27.01.01.23 Rows{Z}@ForceFilingCode:false","")</f>
        <v/>
      </c>
      <c r="B385" t="str">
        <f>IF(AND(LEFT('S.01.01.01'!$D$70,8)&lt;&gt;"Reported",'S.01.01.01'!$D$70&lt;&gt;""),Show!$B$2&amp; Show!$B$2&amp;"S.27.01.01.23 Rows{Z}@ForceFilingCode:false","")</f>
        <v/>
      </c>
    </row>
    <row r="386" spans="1:2">
      <c r="A386" t="str">
        <f>IF(AND(LEFT('S.01.01.01'!$D$70,8)&lt;&gt;"Reported",'S.01.01.01'!$D$70&lt;&gt;""),Show!$B$2 &amp; "S.27.01.01.24 Rows{Z}@ForceFilingCode:false","")</f>
        <v/>
      </c>
      <c r="B386" t="str">
        <f>IF(AND(LEFT('S.01.01.01'!$D$70,8)&lt;&gt;"Reported",'S.01.01.01'!$D$70&lt;&gt;""),Show!$B$2&amp; Show!$B$2&amp;"S.27.01.01.24 Rows{Z}@ForceFilingCode:false","")</f>
        <v/>
      </c>
    </row>
    <row r="387" spans="1:2">
      <c r="A387" t="str">
        <f>IF(AND(LEFT('S.01.01.01'!$D$70,8)&lt;&gt;"Reported",'S.01.01.01'!$D$70&lt;&gt;""),Show!$B$2 &amp; "S.27.01.01.25 Rows{Z}@ForceFilingCode:false","")</f>
        <v/>
      </c>
      <c r="B387" t="str">
        <f>IF(AND(LEFT('S.01.01.01'!$D$70,8)&lt;&gt;"Reported",'S.01.01.01'!$D$70&lt;&gt;""),Show!$B$2&amp; Show!$B$2&amp;"S.27.01.01.25 Rows{Z}@ForceFilingCode:false","")</f>
        <v/>
      </c>
    </row>
    <row r="388" spans="1:2">
      <c r="A388" t="str">
        <f>IF(AND(LEFT('S.01.01.01'!$D$70,8)&lt;&gt;"Reported",'S.01.01.01'!$D$70&lt;&gt;""),Show!$B$2 &amp; "S.27.01.01.26 Rows{Z}@ForceFilingCode:false","")</f>
        <v/>
      </c>
      <c r="B388" t="str">
        <f>IF(AND(LEFT('S.01.01.01'!$D$70,8)&lt;&gt;"Reported",'S.01.01.01'!$D$70&lt;&gt;""),Show!$B$2&amp; Show!$B$2&amp;"S.27.01.01.26 Rows{Z}@ForceFilingCode:false","")</f>
        <v/>
      </c>
    </row>
    <row r="389" spans="1:2">
      <c r="A389" t="str">
        <f>IF(AND(LEFT('S.01.01.01'!$D$70,8)&lt;&gt;"Reported",'S.01.01.01'!$D$70&lt;&gt;""),Show!$B$2 &amp; "S.27.01.01.27 Rows{Z}@ForceFilingCode:false","")</f>
        <v/>
      </c>
      <c r="B389" t="str">
        <f>IF(AND(LEFT('S.01.01.01'!$D$70,8)&lt;&gt;"Reported",'S.01.01.01'!$D$70&lt;&gt;""),Show!$B$2&amp; Show!$B$2&amp;"S.27.01.01.27 Rows{Z}@ForceFilingCode:false","")</f>
        <v/>
      </c>
    </row>
    <row r="390" spans="1:2">
      <c r="A390" t="str">
        <f>IF(AND(LEFT('S.01.01.01'!$D$70,8)&lt;&gt;"Reported",'S.01.01.01'!$D$70&lt;&gt;""),Show!$B$2 &amp; "S.27.01.01.28 Rows{Z}@ForceFilingCode:false","")</f>
        <v/>
      </c>
      <c r="B390" t="str">
        <f>IF(AND(LEFT('S.01.01.01'!$D$70,8)&lt;&gt;"Reported",'S.01.01.01'!$D$70&lt;&gt;""),Show!$B$2&amp; Show!$B$2&amp;"S.27.01.01.28 Rows{Z}@ForceFilingCode:false","")</f>
        <v/>
      </c>
    </row>
    <row r="391" spans="1:2">
      <c r="A391" t="str">
        <f>IF(AND(LEFT('S.01.01.01'!$D$71,8)&lt;&gt;"Reported",'S.01.01.01'!$D$71&lt;&gt;""),Show!$B$2 &amp; "S.28.01.01.01 Rows{Z}@ForceFilingCode:false","")</f>
        <v/>
      </c>
      <c r="B391" t="str">
        <f>IF(AND(LEFT('S.01.01.01'!$D$71,8)&lt;&gt;"Reported",'S.01.01.01'!$D$71&lt;&gt;""),Show!$B$2&amp; Show!$B$2&amp;"S.28.01.01.01 Rows{Z}@ForceFilingCode:false","")</f>
        <v/>
      </c>
    </row>
    <row r="392" spans="1:2">
      <c r="A392" t="str">
        <f>IF(AND(LEFT('S.01.01.01'!$D$71,8)&lt;&gt;"Reported",'S.01.01.01'!$D$71&lt;&gt;""),Show!$B$2 &amp; "S.28.01.01.02 Rows{Z}@ForceFilingCode:false","")</f>
        <v/>
      </c>
      <c r="B392" t="str">
        <f>IF(AND(LEFT('S.01.01.01'!$D$71,8)&lt;&gt;"Reported",'S.01.01.01'!$D$71&lt;&gt;""),Show!$B$2&amp; Show!$B$2&amp;"S.28.01.01.02 Rows{Z}@ForceFilingCode:false","")</f>
        <v/>
      </c>
    </row>
    <row r="393" spans="1:2">
      <c r="A393" t="str">
        <f>IF(AND(LEFT('S.01.01.01'!$D$71,8)&lt;&gt;"Reported",'S.01.01.01'!$D$71&lt;&gt;""),Show!$B$2 &amp; "S.28.01.01.03 Rows{Z}@ForceFilingCode:false","")</f>
        <v/>
      </c>
      <c r="B393" t="str">
        <f>IF(AND(LEFT('S.01.01.01'!$D$71,8)&lt;&gt;"Reported",'S.01.01.01'!$D$71&lt;&gt;""),Show!$B$2&amp; Show!$B$2&amp;"S.28.01.01.03 Rows{Z}@ForceFilingCode:false","")</f>
        <v/>
      </c>
    </row>
    <row r="394" spans="1:2">
      <c r="A394" t="str">
        <f>IF(AND(LEFT('S.01.01.01'!$D$71,8)&lt;&gt;"Reported",'S.01.01.01'!$D$71&lt;&gt;""),Show!$B$2 &amp; "S.28.01.01.04 Rows{Z}@ForceFilingCode:false","")</f>
        <v/>
      </c>
      <c r="B394" t="str">
        <f>IF(AND(LEFT('S.01.01.01'!$D$71,8)&lt;&gt;"Reported",'S.01.01.01'!$D$71&lt;&gt;""),Show!$B$2&amp; Show!$B$2&amp;"S.28.01.01.04 Rows{Z}@ForceFilingCode:false","")</f>
        <v/>
      </c>
    </row>
    <row r="395" spans="1:2">
      <c r="A395" t="str">
        <f>IF(AND(LEFT('S.01.01.01'!$D$71,8)&lt;&gt;"Reported",'S.01.01.01'!$D$71&lt;&gt;""),Show!$B$2 &amp; "S.28.01.01.05 Rows{Z}@ForceFilingCode:false","")</f>
        <v/>
      </c>
      <c r="B395" t="str">
        <f>IF(AND(LEFT('S.01.01.01'!$D$71,8)&lt;&gt;"Reported",'S.01.01.01'!$D$71&lt;&gt;""),Show!$B$2&amp; Show!$B$2&amp;"S.28.01.01.05 Rows{Z}@ForceFilingCode:false","")</f>
        <v/>
      </c>
    </row>
    <row r="396" spans="1:2">
      <c r="A396" t="str">
        <f>IF(AND(LEFT('S.01.01.01'!$D$72,8)&lt;&gt;"Reported",'S.01.01.01'!$D$72&lt;&gt;""),Show!$B$2 &amp; "S.28.02.01.01 Rows{Z}@ForceFilingCode:false","")</f>
        <v/>
      </c>
      <c r="B396" t="str">
        <f>IF(AND(LEFT('S.01.01.01'!$D$72,8)&lt;&gt;"Reported",'S.01.01.01'!$D$72&lt;&gt;""),Show!$B$2&amp; Show!$B$2&amp;"S.28.02.01.01 Rows{Z}@ForceFilingCode:false","")</f>
        <v/>
      </c>
    </row>
    <row r="397" spans="1:2">
      <c r="A397" t="str">
        <f>IF(AND(LEFT('S.01.01.01'!$D$72,8)&lt;&gt;"Reported",'S.01.01.01'!$D$72&lt;&gt;""),Show!$B$2 &amp; "S.28.02.01.02 Rows{Z}@ForceFilingCode:false","")</f>
        <v/>
      </c>
      <c r="B397" t="str">
        <f>IF(AND(LEFT('S.01.01.01'!$D$72,8)&lt;&gt;"Reported",'S.01.01.01'!$D$72&lt;&gt;""),Show!$B$2&amp; Show!$B$2&amp;"S.28.02.01.02 Rows{Z}@ForceFilingCode:false","")</f>
        <v/>
      </c>
    </row>
    <row r="398" spans="1:2">
      <c r="A398" t="str">
        <f>IF(AND(LEFT('S.01.01.01'!$D$72,8)&lt;&gt;"Reported",'S.01.01.01'!$D$72&lt;&gt;""),Show!$B$2 &amp; "S.28.02.01.03 Rows{Z}@ForceFilingCode:false","")</f>
        <v/>
      </c>
      <c r="B398" t="str">
        <f>IF(AND(LEFT('S.01.01.01'!$D$72,8)&lt;&gt;"Reported",'S.01.01.01'!$D$72&lt;&gt;""),Show!$B$2&amp; Show!$B$2&amp;"S.28.02.01.03 Rows{Z}@ForceFilingCode:false","")</f>
        <v/>
      </c>
    </row>
    <row r="399" spans="1:2">
      <c r="A399" t="str">
        <f>IF(AND(LEFT('S.01.01.01'!$D$72,8)&lt;&gt;"Reported",'S.01.01.01'!$D$72&lt;&gt;""),Show!$B$2 &amp; "S.28.02.01.04 Rows{Z}@ForceFilingCode:false","")</f>
        <v/>
      </c>
      <c r="B399" t="str">
        <f>IF(AND(LEFT('S.01.01.01'!$D$72,8)&lt;&gt;"Reported",'S.01.01.01'!$D$72&lt;&gt;""),Show!$B$2&amp; Show!$B$2&amp;"S.28.02.01.04 Rows{Z}@ForceFilingCode:false","")</f>
        <v/>
      </c>
    </row>
    <row r="400" spans="1:2">
      <c r="A400" t="str">
        <f>IF(AND(LEFT('S.01.01.01'!$D$72,8)&lt;&gt;"Reported",'S.01.01.01'!$D$72&lt;&gt;""),Show!$B$2 &amp; "S.28.02.01.05 Rows{Z}@ForceFilingCode:false","")</f>
        <v/>
      </c>
      <c r="B400" t="str">
        <f>IF(AND(LEFT('S.01.01.01'!$D$72,8)&lt;&gt;"Reported",'S.01.01.01'!$D$72&lt;&gt;""),Show!$B$2&amp; Show!$B$2&amp;"S.28.02.01.05 Rows{Z}@ForceFilingCode:false","")</f>
        <v/>
      </c>
    </row>
    <row r="401" spans="1:2">
      <c r="A401" t="str">
        <f>IF(AND(LEFT('S.01.01.01'!$D$72,8)&lt;&gt;"Reported",'S.01.01.01'!$D$72&lt;&gt;""),Show!$B$2 &amp; "S.28.02.01.06 Rows{Z}@ForceFilingCode:false","")</f>
        <v/>
      </c>
      <c r="B401" t="str">
        <f>IF(AND(LEFT('S.01.01.01'!$D$72,8)&lt;&gt;"Reported",'S.01.01.01'!$D$72&lt;&gt;""),Show!$B$2&amp; Show!$B$2&amp;"S.28.02.01.06 Rows{Z}@ForceFilingCode:false","")</f>
        <v/>
      </c>
    </row>
    <row r="402" spans="1:2">
      <c r="A402" t="str">
        <f>IF(AND(LEFT('S.01.01.01'!$D$73,8)&lt;&gt;"Reported",'S.01.01.01'!$D$73&lt;&gt;""),Show!$B$2 &amp; "S.29.01.01.01 Rows{Z}@ForceFilingCode:false","")</f>
        <v/>
      </c>
      <c r="B402" t="str">
        <f>IF(AND(LEFT('S.01.01.01'!$D$73,8)&lt;&gt;"Reported",'S.01.01.01'!$D$73&lt;&gt;""),Show!$B$2&amp; Show!$B$2&amp;"S.29.01.01.01 Rows{Z}@ForceFilingCode:false","")</f>
        <v/>
      </c>
    </row>
    <row r="403" spans="1:2">
      <c r="A403" t="str">
        <f>IF(AND(LEFT('S.01.01.01'!$D$73,8)&lt;&gt;"Reported",'S.01.01.01'!$D$73&lt;&gt;""),Show!$B$2 &amp; "S.29.01.01.02 Rows{Z}@ForceFilingCode:false","")</f>
        <v/>
      </c>
      <c r="B403" t="str">
        <f>IF(AND(LEFT('S.01.01.01'!$D$73,8)&lt;&gt;"Reported",'S.01.01.01'!$D$73&lt;&gt;""),Show!$B$2&amp; Show!$B$2&amp;"S.29.01.01.02 Rows{Z}@ForceFilingCode:false","")</f>
        <v/>
      </c>
    </row>
    <row r="404" spans="1:2">
      <c r="A404" t="str">
        <f>IF(AND(LEFT('S.01.01.01'!$D$74,8)&lt;&gt;"Reported",'S.01.01.01'!$D$74&lt;&gt;""),Show!$B$2 &amp; "S.29.02.01.01 Rows{Z}@ForceFilingCode:false","")</f>
        <v/>
      </c>
      <c r="B404" t="str">
        <f>IF(AND(LEFT('S.01.01.01'!$D$74,8)&lt;&gt;"Reported",'S.01.01.01'!$D$74&lt;&gt;""),Show!$B$2&amp; Show!$B$2&amp;"S.29.02.01.01 Rows{Z}@ForceFilingCode:false","")</f>
        <v/>
      </c>
    </row>
    <row r="405" spans="1:2">
      <c r="A405" t="str">
        <f>IF(AND(LEFT('S.01.01.01'!$D$75,8)&lt;&gt;"Reported",'S.01.01.01'!$D$75&lt;&gt;""),Show!$B$2 &amp; "S.29.03.01.01 Rows{Z}@ForceFilingCode:false","")</f>
        <v/>
      </c>
      <c r="B405" t="str">
        <f>IF(AND(LEFT('S.01.01.01'!$D$75,8)&lt;&gt;"Reported",'S.01.01.01'!$D$75&lt;&gt;""),Show!$B$2&amp; Show!$B$2&amp;"S.29.03.01.01 Rows{Z}@ForceFilingCode:false","")</f>
        <v/>
      </c>
    </row>
    <row r="406" spans="1:2">
      <c r="A406" t="str">
        <f>IF(AND(LEFT('S.01.01.01'!$D$75,8)&lt;&gt;"Reported",'S.01.01.01'!$D$75&lt;&gt;""),Show!$B$2 &amp; "S.29.03.01.02 Rows{Z}@ForceFilingCode:false","")</f>
        <v/>
      </c>
      <c r="B406" t="str">
        <f>IF(AND(LEFT('S.01.01.01'!$D$75,8)&lt;&gt;"Reported",'S.01.01.01'!$D$75&lt;&gt;""),Show!$B$2&amp; Show!$B$2&amp;"S.29.03.01.02 Rows{Z}@ForceFilingCode:false","")</f>
        <v/>
      </c>
    </row>
    <row r="407" spans="1:2">
      <c r="A407" t="str">
        <f>IF(AND(LEFT('S.01.01.01'!$D$75,8)&lt;&gt;"Reported",'S.01.01.01'!$D$75&lt;&gt;""),Show!$B$2 &amp; "S.29.03.01.03 Rows{Z}@ForceFilingCode:false","")</f>
        <v/>
      </c>
      <c r="B407" t="str">
        <f>IF(AND(LEFT('S.01.01.01'!$D$75,8)&lt;&gt;"Reported",'S.01.01.01'!$D$75&lt;&gt;""),Show!$B$2&amp; Show!$B$2&amp;"S.29.03.01.03 Rows{Z}@ForceFilingCode:false","")</f>
        <v/>
      </c>
    </row>
    <row r="408" spans="1:2">
      <c r="A408" t="str">
        <f>IF(AND(LEFT('S.01.01.01'!$D$75,8)&lt;&gt;"Reported",'S.01.01.01'!$D$75&lt;&gt;""),Show!$B$2 &amp; "S.29.03.01.04 Rows{Z}@ForceFilingCode:false","")</f>
        <v/>
      </c>
      <c r="B408" t="str">
        <f>IF(AND(LEFT('S.01.01.01'!$D$75,8)&lt;&gt;"Reported",'S.01.01.01'!$D$75&lt;&gt;""),Show!$B$2&amp; Show!$B$2&amp;"S.29.03.01.04 Rows{Z}@ForceFilingCode:false","")</f>
        <v/>
      </c>
    </row>
    <row r="409" spans="1:2">
      <c r="A409" t="str">
        <f>IF(AND(LEFT('S.01.01.01'!$D$75,8)&lt;&gt;"Reported",'S.01.01.01'!$D$75&lt;&gt;""),Show!$B$2 &amp; "S.29.03.01.05 Rows{Z}@ForceFilingCode:false","")</f>
        <v/>
      </c>
      <c r="B409" t="str">
        <f>IF(AND(LEFT('S.01.01.01'!$D$75,8)&lt;&gt;"Reported",'S.01.01.01'!$D$75&lt;&gt;""),Show!$B$2&amp; Show!$B$2&amp;"S.29.03.01.05 Rows{Z}@ForceFilingCode:false","")</f>
        <v/>
      </c>
    </row>
    <row r="410" spans="1:2">
      <c r="A410" t="str">
        <f>IF(AND(LEFT('S.01.01.01'!$D$75,8)&lt;&gt;"Reported",'S.01.01.01'!$D$75&lt;&gt;""),Show!$B$2 &amp; "S.29.03.01.06 Rows{Z}@ForceFilingCode:false","")</f>
        <v/>
      </c>
      <c r="B410" t="str">
        <f>IF(AND(LEFT('S.01.01.01'!$D$75,8)&lt;&gt;"Reported",'S.01.01.01'!$D$75&lt;&gt;""),Show!$B$2&amp; Show!$B$2&amp;"S.29.03.01.06 Rows{Z}@ForceFilingCode:false","")</f>
        <v/>
      </c>
    </row>
    <row r="411" spans="1:2">
      <c r="A411" t="str">
        <f>IF(AND(LEFT('S.01.01.01'!$D$75,8)&lt;&gt;"Reported",'S.01.01.01'!$D$75&lt;&gt;""),Show!$B$2 &amp; "S.29.03.01.07 Rows{Z}@ForceFilingCode:false","")</f>
        <v/>
      </c>
      <c r="B411" t="str">
        <f>IF(AND(LEFT('S.01.01.01'!$D$75,8)&lt;&gt;"Reported",'S.01.01.01'!$D$75&lt;&gt;""),Show!$B$2&amp; Show!$B$2&amp;"S.29.03.01.07 Rows{Z}@ForceFilingCode:false","")</f>
        <v/>
      </c>
    </row>
    <row r="412" spans="1:2">
      <c r="A412" t="str">
        <f>IF(AND(LEFT('S.01.01.01'!$D$76,8)&lt;&gt;"Reported",'S.01.01.01'!$D$76&lt;&gt;""),Show!$B$2 &amp; "S.29.04.01.01 Rows{Z}@ForceFilingCode:false","")</f>
        <v/>
      </c>
      <c r="B412" t="str">
        <f>IF(AND(LEFT('S.01.01.01'!$D$76,8)&lt;&gt;"Reported",'S.01.01.01'!$D$76&lt;&gt;""),Show!$B$2&amp; Show!$B$2&amp;"S.29.04.01.01 Rows{Z}@ForceFilingCode:false","")</f>
        <v/>
      </c>
    </row>
    <row r="413" spans="1:2">
      <c r="A413" t="str">
        <f>IF(AND(LEFT('S.01.01.01'!$D$76,8)&lt;&gt;"Reported",'S.01.01.01'!$D$76&lt;&gt;""),Show!$B$2 &amp; "S.29.04.01.02 Rows{Z}@ForceFilingCode:false","")</f>
        <v/>
      </c>
      <c r="B413" t="str">
        <f>IF(AND(LEFT('S.01.01.01'!$D$76,8)&lt;&gt;"Reported",'S.01.01.01'!$D$76&lt;&gt;""),Show!$B$2&amp; Show!$B$2&amp;"S.29.04.01.02 Rows{Z}@ForceFilingCode:false","")</f>
        <v/>
      </c>
    </row>
    <row r="414" spans="1:2">
      <c r="A414" t="str">
        <f>IF(AND(LEFT('S.01.01.01'!$D$77,8)&lt;&gt;"Reported",'S.01.01.01'!$D$77&lt;&gt;""),Show!$B$2 &amp; "S.30.01.01.01 Rows{Z}@ForceFilingCode:false","")</f>
        <v/>
      </c>
      <c r="B414" t="str">
        <f>IF(AND(LEFT('S.01.01.01'!$D$77,8)&lt;&gt;"Reported",'S.01.01.01'!$D$77&lt;&gt;""),Show!$B$2&amp; Show!$B$2&amp;"S.30.01.01.01 Rows{Z}@ForceFilingCode:false","")</f>
        <v/>
      </c>
    </row>
    <row r="415" spans="1:2">
      <c r="A415" t="str">
        <f>IF(AND(LEFT('S.01.01.01'!$D$77,8)&lt;&gt;"Reported",'S.01.01.01'!$D$77&lt;&gt;""),Show!$B$2 &amp; "S.30.01.01.02 Rows{Z}@ForceFilingCode:false","")</f>
        <v/>
      </c>
      <c r="B415" t="str">
        <f>IF(AND(LEFT('S.01.01.01'!$D$77,8)&lt;&gt;"Reported",'S.01.01.01'!$D$77&lt;&gt;""),Show!$B$2&amp; Show!$B$2&amp;"S.30.01.01.02 Rows{Z}@ForceFilingCode:false","")</f>
        <v/>
      </c>
    </row>
    <row r="416" spans="1:2">
      <c r="A416" t="str">
        <f>IF(AND(LEFT('S.01.01.01'!$D$78,8)&lt;&gt;"Reported",'S.01.01.01'!$D$78&lt;&gt;""),Show!$B$2 &amp; "S.30.02.01.01 Rows{Z}@ForceFilingCode:false","")</f>
        <v/>
      </c>
      <c r="B416" t="str">
        <f>IF(AND(LEFT('S.01.01.01'!$D$78,8)&lt;&gt;"Reported",'S.01.01.01'!$D$78&lt;&gt;""),Show!$B$2&amp; Show!$B$2&amp;"S.30.02.01.01 Rows{Z}@ForceFilingCode:false","")</f>
        <v/>
      </c>
    </row>
    <row r="417" spans="1:2">
      <c r="A417" t="str">
        <f>IF(AND(LEFT('S.01.01.01'!$D$78,8)&lt;&gt;"Reported",'S.01.01.01'!$D$78&lt;&gt;""),Show!$B$2 &amp; "S.30.02.01.02 Rows{Z}@ForceFilingCode:false","")</f>
        <v/>
      </c>
      <c r="B417" t="str">
        <f>IF(AND(LEFT('S.01.01.01'!$D$78,8)&lt;&gt;"Reported",'S.01.01.01'!$D$78&lt;&gt;""),Show!$B$2&amp; Show!$B$2&amp;"S.30.02.01.02 Rows{Z}@ForceFilingCode:false","")</f>
        <v/>
      </c>
    </row>
    <row r="418" spans="1:2">
      <c r="A418" t="str">
        <f>IF(AND(LEFT('S.01.01.01'!$D$78,8)&lt;&gt;"Reported",'S.01.01.01'!$D$78&lt;&gt;""),Show!$B$2 &amp; "S.30.02.01.03 Rows{Z}@ForceFilingCode:false","")</f>
        <v/>
      </c>
      <c r="B418" t="str">
        <f>IF(AND(LEFT('S.01.01.01'!$D$78,8)&lt;&gt;"Reported",'S.01.01.01'!$D$78&lt;&gt;""),Show!$B$2&amp; Show!$B$2&amp;"S.30.02.01.03 Rows{Z}@ForceFilingCode:false","")</f>
        <v/>
      </c>
    </row>
    <row r="419" spans="1:2">
      <c r="A419" t="str">
        <f>IF(AND(LEFT('S.01.01.01'!$D$78,8)&lt;&gt;"Reported",'S.01.01.01'!$D$78&lt;&gt;""),Show!$B$2 &amp; "S.30.02.01.04 Rows{Z}@ForceFilingCode:false","")</f>
        <v/>
      </c>
      <c r="B419" t="str">
        <f>IF(AND(LEFT('S.01.01.01'!$D$78,8)&lt;&gt;"Reported",'S.01.01.01'!$D$78&lt;&gt;""),Show!$B$2&amp; Show!$B$2&amp;"S.30.02.01.04 Rows{Z}@ForceFilingCode:false","")</f>
        <v/>
      </c>
    </row>
    <row r="420" spans="1:2">
      <c r="A420" t="str">
        <f>IF(AND(LEFT('S.01.01.01'!$D$79,8)&lt;&gt;"Reported",'S.01.01.01'!$D$79&lt;&gt;""),Show!$B$2 &amp; "S.30.03.01.01 Rows{Z}@ForceFilingCode:false","")</f>
        <v/>
      </c>
      <c r="B420" t="str">
        <f>IF(AND(LEFT('S.01.01.01'!$D$79,8)&lt;&gt;"Reported",'S.01.01.01'!$D$79&lt;&gt;""),Show!$B$2&amp; Show!$B$2&amp;"S.30.03.01.01 Rows{Z}@ForceFilingCode:false","")</f>
        <v/>
      </c>
    </row>
    <row r="421" spans="1:2">
      <c r="A421" t="str">
        <f>IF(AND(LEFT('S.01.01.01'!$D$80,8)&lt;&gt;"Reported",'S.01.01.01'!$D$80&lt;&gt;""),Show!$B$2 &amp; "S.30.04.01.01 Rows{Z}@ForceFilingCode:false","")</f>
        <v/>
      </c>
      <c r="B421" t="str">
        <f>IF(AND(LEFT('S.01.01.01'!$D$80,8)&lt;&gt;"Reported",'S.01.01.01'!$D$80&lt;&gt;""),Show!$B$2&amp; Show!$B$2&amp;"S.30.04.01.01 Rows{Z}@ForceFilingCode:false","")</f>
        <v/>
      </c>
    </row>
    <row r="422" spans="1:2">
      <c r="A422" t="str">
        <f>IF(AND(LEFT('S.01.01.01'!$D$80,8)&lt;&gt;"Reported",'S.01.01.01'!$D$80&lt;&gt;""),Show!$B$2 &amp; "S.30.04.01.02 Rows{Z}@ForceFilingCode:false","")</f>
        <v/>
      </c>
      <c r="B422" t="str">
        <f>IF(AND(LEFT('S.01.01.01'!$D$80,8)&lt;&gt;"Reported",'S.01.01.01'!$D$80&lt;&gt;""),Show!$B$2&amp; Show!$B$2&amp;"S.30.04.01.02 Rows{Z}@ForceFilingCode:false","")</f>
        <v/>
      </c>
    </row>
    <row r="423" spans="1:2">
      <c r="A423" t="str">
        <f>IF(AND(LEFT('S.01.01.01'!$D$80,8)&lt;&gt;"Reported",'S.01.01.01'!$D$80&lt;&gt;""),Show!$B$2 &amp; "S.30.04.01.03 Rows{Z}@ForceFilingCode:false","")</f>
        <v/>
      </c>
      <c r="B423" t="str">
        <f>IF(AND(LEFT('S.01.01.01'!$D$80,8)&lt;&gt;"Reported",'S.01.01.01'!$D$80&lt;&gt;""),Show!$B$2&amp; Show!$B$2&amp;"S.30.04.01.03 Rows{Z}@ForceFilingCode:false","")</f>
        <v/>
      </c>
    </row>
    <row r="424" spans="1:2">
      <c r="A424" t="str">
        <f>IF(AND(LEFT('S.01.01.01'!$D$81,8)&lt;&gt;"Reported",'S.01.01.01'!$D$81&lt;&gt;""),Show!$B$2 &amp; "S.31.01.01.01 Rows{Z}@ForceFilingCode:false","")</f>
        <v/>
      </c>
      <c r="B424" t="str">
        <f>IF(AND(LEFT('S.01.01.01'!$D$81,8)&lt;&gt;"Reported",'S.01.01.01'!$D$81&lt;&gt;""),Show!$B$2&amp; Show!$B$2&amp;"S.31.01.01.01 Rows{Z}@ForceFilingCode:false","")</f>
        <v/>
      </c>
    </row>
    <row r="425" spans="1:2">
      <c r="A425" t="str">
        <f>IF(AND(LEFT('S.01.01.01'!$D$81,8)&lt;&gt;"Reported",'S.01.01.01'!$D$81&lt;&gt;""),Show!$B$2 &amp; "S.31.01.01.02 Rows{Z}@ForceFilingCode:false","")</f>
        <v/>
      </c>
      <c r="B425" t="str">
        <f>IF(AND(LEFT('S.01.01.01'!$D$81,8)&lt;&gt;"Reported",'S.01.01.01'!$D$81&lt;&gt;""),Show!$B$2&amp; Show!$B$2&amp;"S.31.01.01.02 Rows{Z}@ForceFilingCode:false","")</f>
        <v/>
      </c>
    </row>
    <row r="426" spans="1:2">
      <c r="A426" t="str">
        <f>IF(AND(LEFT('S.01.01.01'!$D$82,8)&lt;&gt;"Reported",'S.01.01.01'!$D$82&lt;&gt;""),Show!$B$2 &amp; "S.31.02.01.01 Rows{Z}@ForceFilingCode:false","")</f>
        <v/>
      </c>
      <c r="B426" t="str">
        <f>IF(AND(LEFT('S.01.01.01'!$D$82,8)&lt;&gt;"Reported",'S.01.01.01'!$D$82&lt;&gt;""),Show!$B$2&amp; Show!$B$2&amp;"S.31.02.01.01 Rows{Z}@ForceFilingCode:false","")</f>
        <v/>
      </c>
    </row>
    <row r="427" spans="1:2">
      <c r="A427" t="str">
        <f>IF(AND(LEFT('S.01.01.01'!$D$82,8)&lt;&gt;"Reported",'S.01.01.01'!$D$82&lt;&gt;""),Show!$B$2 &amp; "S.31.02.01.02 Rows{Z}@ForceFilingCode:false","")</f>
        <v/>
      </c>
      <c r="B427" t="str">
        <f>IF(AND(LEFT('S.01.01.01'!$D$82,8)&lt;&gt;"Reported",'S.01.01.01'!$D$82&lt;&gt;""),Show!$B$2&amp; Show!$B$2&amp;"S.31.02.01.02 Rows{Z}@ForceFilingCode:false","")</f>
        <v/>
      </c>
    </row>
    <row r="428" spans="1:2">
      <c r="A428" t="str">
        <f>IF(AND(LEFT('S.01.01.01'!$D$83,8)&lt;&gt;"Reported",'S.01.01.01'!$D$83&lt;&gt;""),Show!$B$2 &amp; "S.36.01.01.01 Rows{Z}@ForceFilingCode:false","")</f>
        <v/>
      </c>
      <c r="B428" t="str">
        <f>IF(AND(LEFT('S.01.01.01'!$D$83,8)&lt;&gt;"Reported",'S.01.01.01'!$D$83&lt;&gt;""),Show!$B$2&amp; Show!$B$2&amp;"S.36.01.01.01 Rows{Z}@ForceFilingCode:false","")</f>
        <v/>
      </c>
    </row>
    <row r="429" spans="1:2">
      <c r="A429" t="str">
        <f>IF(AND(LEFT('S.01.01.01'!$D$84,8)&lt;&gt;"Reported",'S.01.01.01'!$D$84&lt;&gt;""),Show!$B$2 &amp; "S.36.02.01.01 Rows{Z}@ForceFilingCode:false","")</f>
        <v/>
      </c>
      <c r="B429" t="str">
        <f>IF(AND(LEFT('S.01.01.01'!$D$84,8)&lt;&gt;"Reported",'S.01.01.01'!$D$84&lt;&gt;""),Show!$B$2&amp; Show!$B$2&amp;"S.36.02.01.01 Rows{Z}@ForceFilingCode:false","")</f>
        <v/>
      </c>
    </row>
    <row r="430" spans="1:2">
      <c r="A430" t="str">
        <f>IF(AND(LEFT('S.01.01.01'!$D$85,8)&lt;&gt;"Reported",'S.01.01.01'!$D$85&lt;&gt;""),Show!$B$2 &amp; "S.36.03.01.01 Rows{Z}@ForceFilingCode:false","")</f>
        <v/>
      </c>
      <c r="B430" t="str">
        <f>IF(AND(LEFT('S.01.01.01'!$D$85,8)&lt;&gt;"Reported",'S.01.01.01'!$D$85&lt;&gt;""),Show!$B$2&amp; Show!$B$2&amp;"S.36.03.01.01 Rows{Z}@ForceFilingCode:false","")</f>
        <v/>
      </c>
    </row>
    <row r="431" spans="1:2">
      <c r="A431" t="str">
        <f>IF(AND(LEFT('S.01.01.01'!$D$86,8)&lt;&gt;"Reported",'S.01.01.01'!$D$86&lt;&gt;""),Show!$B$2 &amp; "S.36.04.01.01 Rows{Z}@ForceFilingCode:false","")</f>
        <v/>
      </c>
      <c r="B431" t="str">
        <f>IF(AND(LEFT('S.01.01.01'!$D$86,8)&lt;&gt;"Reported",'S.01.01.01'!$D$86&lt;&gt;""),Show!$B$2&amp; Show!$B$2&amp;"S.36.04.01.01 Rows{Z}@ForceFilingCode:false","")</f>
        <v/>
      </c>
    </row>
    <row r="432" spans="1:2">
      <c r="A432" t="str">
        <f>IF(AND(LEFT('S.01.01.02'!$D$16,8)&lt;&gt;"Reported",'S.01.01.02'!$D$16&lt;&gt;""),Show!$B$3 &amp; "S.01.02.01.01 Rows{Z}@ForceFilingCode:false","")</f>
        <v/>
      </c>
      <c r="B432" t="str">
        <f>IF(AND(LEFT('S.01.01.02'!$D$16,8)&lt;&gt;"Reported",'S.01.01.02'!$D$16&lt;&gt;""),Show!$B$3&amp; Show!$B$3&amp;"S.01.02.01.01 Rows{Z}@ForceFilingCode:false","")</f>
        <v/>
      </c>
    </row>
    <row r="433" spans="1:2">
      <c r="A433" t="str">
        <f>IF(AND(LEFT('S.01.01.02'!$D$17,8)&lt;&gt;"Reported",'S.01.01.02'!$D$17&lt;&gt;""),Show!$B$3 &amp; "S.02.01.02.01 Rows{Z}@ForceFilingCode:false","")</f>
        <v/>
      </c>
      <c r="B433" t="str">
        <f>IF(AND(LEFT('S.01.01.02'!$D$17,8)&lt;&gt;"Reported",'S.01.01.02'!$D$17&lt;&gt;""),Show!$B$3&amp; Show!$B$3&amp;"S.02.01.02.01 Rows{Z}@ForceFilingCode:false","")</f>
        <v/>
      </c>
    </row>
    <row r="434" spans="1:2">
      <c r="A434" t="str">
        <f>IF(AND(LEFT('S.01.01.02'!$D$18,8)&lt;&gt;"Reported",'S.01.01.02'!$D$18&lt;&gt;""),Show!$B$3 &amp; "S.05.01.02.01 Rows{Z}@ForceFilingCode:false","")</f>
        <v/>
      </c>
      <c r="B434" t="str">
        <f>IF(AND(LEFT('S.01.01.02'!$D$18,8)&lt;&gt;"Reported",'S.01.01.02'!$D$18&lt;&gt;""),Show!$B$3&amp; Show!$B$3&amp;"S.05.01.02.01 Rows{Z}@ForceFilingCode:false","")</f>
        <v/>
      </c>
    </row>
    <row r="435" spans="1:2">
      <c r="A435" t="str">
        <f>IF(AND(LEFT('S.01.01.02'!$D$18,8)&lt;&gt;"Reported",'S.01.01.02'!$D$18&lt;&gt;""),Show!$B$3 &amp; "S.05.01.02.02 Rows{Z}@ForceFilingCode:false","")</f>
        <v/>
      </c>
      <c r="B435" t="str">
        <f>IF(AND(LEFT('S.01.01.02'!$D$18,8)&lt;&gt;"Reported",'S.01.01.02'!$D$18&lt;&gt;""),Show!$B$3&amp; Show!$B$3&amp;"S.05.01.02.02 Rows{Z}@ForceFilingCode:false","")</f>
        <v/>
      </c>
    </row>
    <row r="436" spans="1:2">
      <c r="A436" t="str">
        <f>IF(AND(LEFT('S.01.01.02'!$D$19,8)&lt;&gt;"Reported",'S.01.01.02'!$D$19&lt;&gt;""),Show!$B$3 &amp; "S.06.02.01.01 Rows{Z}@ForceFilingCode:false","")</f>
        <v/>
      </c>
      <c r="B436" t="str">
        <f>IF(AND(LEFT('S.01.01.02'!$D$19,8)&lt;&gt;"Reported",'S.01.01.02'!$D$19&lt;&gt;""),Show!$B$3&amp; Show!$B$3&amp;"S.06.02.01.01 Rows{Z}@ForceFilingCode:false","")</f>
        <v/>
      </c>
    </row>
    <row r="437" spans="1:2">
      <c r="A437" t="str">
        <f>IF(AND(LEFT('S.01.01.02'!$D$19,8)&lt;&gt;"Reported",'S.01.01.02'!$D$19&lt;&gt;""),Show!$B$3 &amp; "S.06.02.01.02 Rows{Z}@ForceFilingCode:false","")</f>
        <v/>
      </c>
      <c r="B437" t="str">
        <f>IF(AND(LEFT('S.01.01.02'!$D$19,8)&lt;&gt;"Reported",'S.01.01.02'!$D$19&lt;&gt;""),Show!$B$3&amp; Show!$B$3&amp;"S.06.02.01.02 Rows{Z}@ForceFilingCode:false","")</f>
        <v/>
      </c>
    </row>
    <row r="438" spans="1:2">
      <c r="A438" t="str">
        <f>IF(AND(LEFT('S.01.01.02'!$D$20,8)&lt;&gt;"Reported",'S.01.01.02'!$D$20&lt;&gt;""),Show!$B$3 &amp; "S.06.03.01.01 Rows{Z}@ForceFilingCode:false","")</f>
        <v/>
      </c>
      <c r="B438" t="str">
        <f>IF(AND(LEFT('S.01.01.02'!$D$20,8)&lt;&gt;"Reported",'S.01.01.02'!$D$20&lt;&gt;""),Show!$B$3&amp; Show!$B$3&amp;"S.06.03.01.01 Rows{Z}@ForceFilingCode:false","")</f>
        <v/>
      </c>
    </row>
    <row r="439" spans="1:2">
      <c r="A439" t="str">
        <f>IF(AND(LEFT('S.01.01.02'!$D$21,8)&lt;&gt;"Reported",'S.01.01.02'!$D$21&lt;&gt;""),Show!$B$3 &amp; "S.08.01.01.01 Rows{Z}@ForceFilingCode:false","")</f>
        <v/>
      </c>
      <c r="B439" t="str">
        <f>IF(AND(LEFT('S.01.01.02'!$D$21,8)&lt;&gt;"Reported",'S.01.01.02'!$D$21&lt;&gt;""),Show!$B$3&amp; Show!$B$3&amp;"S.08.01.01.01 Rows{Z}@ForceFilingCode:false","")</f>
        <v/>
      </c>
    </row>
    <row r="440" spans="1:2">
      <c r="A440" t="str">
        <f>IF(AND(LEFT('S.01.01.02'!$D$21,8)&lt;&gt;"Reported",'S.01.01.02'!$D$21&lt;&gt;""),Show!$B$3 &amp; "S.08.01.01.02 Rows{Z}@ForceFilingCode:false","")</f>
        <v/>
      </c>
      <c r="B440" t="str">
        <f>IF(AND(LEFT('S.01.01.02'!$D$21,8)&lt;&gt;"Reported",'S.01.01.02'!$D$21&lt;&gt;""),Show!$B$3&amp; Show!$B$3&amp;"S.08.01.01.02 Rows{Z}@ForceFilingCode:false","")</f>
        <v/>
      </c>
    </row>
    <row r="441" spans="1:2">
      <c r="A441" t="str">
        <f>IF(AND(LEFT('S.01.01.02'!$D$22,8)&lt;&gt;"Reported",'S.01.01.02'!$D$22&lt;&gt;""),Show!$B$3 &amp; "S.08.02.01.01 Rows{Z}@ForceFilingCode:false","")</f>
        <v/>
      </c>
      <c r="B441" t="str">
        <f>IF(AND(LEFT('S.01.01.02'!$D$22,8)&lt;&gt;"Reported",'S.01.01.02'!$D$22&lt;&gt;""),Show!$B$3&amp; Show!$B$3&amp;"S.08.02.01.01 Rows{Z}@ForceFilingCode:false","")</f>
        <v/>
      </c>
    </row>
    <row r="442" spans="1:2">
      <c r="A442" t="str">
        <f>IF(AND(LEFT('S.01.01.02'!$D$22,8)&lt;&gt;"Reported",'S.01.01.02'!$D$22&lt;&gt;""),Show!$B$3 &amp; "S.08.02.01.02 Rows{Z}@ForceFilingCode:false","")</f>
        <v/>
      </c>
      <c r="B442" t="str">
        <f>IF(AND(LEFT('S.01.01.02'!$D$22,8)&lt;&gt;"Reported",'S.01.01.02'!$D$22&lt;&gt;""),Show!$B$3&amp; Show!$B$3&amp;"S.08.02.01.02 Rows{Z}@ForceFilingCode:false","")</f>
        <v/>
      </c>
    </row>
    <row r="443" spans="1:2">
      <c r="A443" t="str">
        <f>IF(AND(LEFT('S.01.01.02'!$D$23,8)&lt;&gt;"Reported",'S.01.01.02'!$D$23&lt;&gt;""),Show!$B$3 &amp; "S.12.01.02.01 Rows{Z}@ForceFilingCode:false","")</f>
        <v/>
      </c>
      <c r="B443" t="str">
        <f>IF(AND(LEFT('S.01.01.02'!$D$23,8)&lt;&gt;"Reported",'S.01.01.02'!$D$23&lt;&gt;""),Show!$B$3&amp; Show!$B$3&amp;"S.12.01.02.01 Rows{Z}@ForceFilingCode:false","")</f>
        <v/>
      </c>
    </row>
    <row r="444" spans="1:2">
      <c r="A444" t="str">
        <f>IF(AND(LEFT('S.01.01.02'!$D$24,8)&lt;&gt;"Reported",'S.01.01.02'!$D$24&lt;&gt;""),Show!$B$3 &amp; "S.17.01.02.01 Rows{Z}@ForceFilingCode:false","")</f>
        <v/>
      </c>
      <c r="B444" t="str">
        <f>IF(AND(LEFT('S.01.01.02'!$D$24,8)&lt;&gt;"Reported",'S.01.01.02'!$D$24&lt;&gt;""),Show!$B$3&amp; Show!$B$3&amp;"S.17.01.02.01 Rows{Z}@ForceFilingCode:false","")</f>
        <v/>
      </c>
    </row>
    <row r="445" spans="1:2">
      <c r="A445" t="str">
        <f>IF(AND(LEFT('S.01.01.02'!$D$25,8)&lt;&gt;"Reported",'S.01.01.02'!$D$25&lt;&gt;""),Show!$B$3 &amp; "S.23.01.01.01 Rows{Z}@ForceFilingCode:false","")</f>
        <v/>
      </c>
      <c r="B445" t="str">
        <f>IF(AND(LEFT('S.01.01.02'!$D$25,8)&lt;&gt;"Reported",'S.01.01.02'!$D$25&lt;&gt;""),Show!$B$3&amp; Show!$B$3&amp;"S.23.01.01.01 Rows{Z}@ForceFilingCode:false","")</f>
        <v/>
      </c>
    </row>
    <row r="446" spans="1:2">
      <c r="A446" t="str">
        <f>IF(AND(LEFT('S.01.01.02'!$D$25,8)&lt;&gt;"Reported",'S.01.01.02'!$D$25&lt;&gt;""),Show!$B$3 &amp; "S.23.01.01.02 Rows{Z}@ForceFilingCode:false","")</f>
        <v/>
      </c>
      <c r="B446" t="str">
        <f>IF(AND(LEFT('S.01.01.02'!$D$25,8)&lt;&gt;"Reported",'S.01.01.02'!$D$25&lt;&gt;""),Show!$B$3&amp; Show!$B$3&amp;"S.23.01.01.02 Rows{Z}@ForceFilingCode:false","")</f>
        <v/>
      </c>
    </row>
    <row r="447" spans="1:2">
      <c r="A447" t="str">
        <f>IF(AND(LEFT('S.01.01.02'!$D$26,8)&lt;&gt;"Reported",'S.01.01.02'!$D$26&lt;&gt;""),Show!$B$3 &amp; "S.28.01.01.01 Rows{Z}@ForceFilingCode:false","")</f>
        <v/>
      </c>
      <c r="B447" t="str">
        <f>IF(AND(LEFT('S.01.01.02'!$D$26,8)&lt;&gt;"Reported",'S.01.01.02'!$D$26&lt;&gt;""),Show!$B$3&amp; Show!$B$3&amp;"S.28.01.01.01 Rows{Z}@ForceFilingCode:false","")</f>
        <v/>
      </c>
    </row>
    <row r="448" spans="1:2">
      <c r="A448" t="str">
        <f>IF(AND(LEFT('S.01.01.02'!$D$26,8)&lt;&gt;"Reported",'S.01.01.02'!$D$26&lt;&gt;""),Show!$B$3 &amp; "S.28.01.01.02 Rows{Z}@ForceFilingCode:false","")</f>
        <v/>
      </c>
      <c r="B448" t="str">
        <f>IF(AND(LEFT('S.01.01.02'!$D$26,8)&lt;&gt;"Reported",'S.01.01.02'!$D$26&lt;&gt;""),Show!$B$3&amp; Show!$B$3&amp;"S.28.01.01.02 Rows{Z}@ForceFilingCode:false","")</f>
        <v/>
      </c>
    </row>
    <row r="449" spans="1:2">
      <c r="A449" t="str">
        <f>IF(AND(LEFT('S.01.01.02'!$D$26,8)&lt;&gt;"Reported",'S.01.01.02'!$D$26&lt;&gt;""),Show!$B$3 &amp; "S.28.01.01.03 Rows{Z}@ForceFilingCode:false","")</f>
        <v/>
      </c>
      <c r="B449" t="str">
        <f>IF(AND(LEFT('S.01.01.02'!$D$26,8)&lt;&gt;"Reported",'S.01.01.02'!$D$26&lt;&gt;""),Show!$B$3&amp; Show!$B$3&amp;"S.28.01.01.03 Rows{Z}@ForceFilingCode:false","")</f>
        <v/>
      </c>
    </row>
    <row r="450" spans="1:2">
      <c r="A450" t="str">
        <f>IF(AND(LEFT('S.01.01.02'!$D$26,8)&lt;&gt;"Reported",'S.01.01.02'!$D$26&lt;&gt;""),Show!$B$3 &amp; "S.28.01.01.04 Rows{Z}@ForceFilingCode:false","")</f>
        <v/>
      </c>
      <c r="B450" t="str">
        <f>IF(AND(LEFT('S.01.01.02'!$D$26,8)&lt;&gt;"Reported",'S.01.01.02'!$D$26&lt;&gt;""),Show!$B$3&amp; Show!$B$3&amp;"S.28.01.01.04 Rows{Z}@ForceFilingCode:false","")</f>
        <v/>
      </c>
    </row>
    <row r="451" spans="1:2">
      <c r="A451" t="str">
        <f>IF(AND(LEFT('S.01.01.02'!$D$26,8)&lt;&gt;"Reported",'S.01.01.02'!$D$26&lt;&gt;""),Show!$B$3 &amp; "S.28.01.01.05 Rows{Z}@ForceFilingCode:false","")</f>
        <v/>
      </c>
      <c r="B451" t="str">
        <f>IF(AND(LEFT('S.01.01.02'!$D$26,8)&lt;&gt;"Reported",'S.01.01.02'!$D$26&lt;&gt;""),Show!$B$3&amp; Show!$B$3&amp;"S.28.01.01.05 Rows{Z}@ForceFilingCode:false","")</f>
        <v/>
      </c>
    </row>
    <row r="452" spans="1:2">
      <c r="A452" t="str">
        <f>IF(AND(LEFT('S.01.01.02'!$D$27,8)&lt;&gt;"Reported",'S.01.01.02'!$D$27&lt;&gt;""),Show!$B$3 &amp; "S.28.02.01.01 Rows{Z}@ForceFilingCode:false","")</f>
        <v/>
      </c>
      <c r="B452" t="str">
        <f>IF(AND(LEFT('S.01.01.02'!$D$27,8)&lt;&gt;"Reported",'S.01.01.02'!$D$27&lt;&gt;""),Show!$B$3&amp; Show!$B$3&amp;"S.28.02.01.01 Rows{Z}@ForceFilingCode:false","")</f>
        <v/>
      </c>
    </row>
    <row r="453" spans="1:2">
      <c r="A453" t="str">
        <f>IF(AND(LEFT('S.01.01.02'!$D$27,8)&lt;&gt;"Reported",'S.01.01.02'!$D$27&lt;&gt;""),Show!$B$3 &amp; "S.28.02.01.02 Rows{Z}@ForceFilingCode:false","")</f>
        <v/>
      </c>
      <c r="B453" t="str">
        <f>IF(AND(LEFT('S.01.01.02'!$D$27,8)&lt;&gt;"Reported",'S.01.01.02'!$D$27&lt;&gt;""),Show!$B$3&amp; Show!$B$3&amp;"S.28.02.01.02 Rows{Z}@ForceFilingCode:false","")</f>
        <v/>
      </c>
    </row>
    <row r="454" spans="1:2">
      <c r="A454" t="str">
        <f>IF(AND(LEFT('S.01.01.02'!$D$27,8)&lt;&gt;"Reported",'S.01.01.02'!$D$27&lt;&gt;""),Show!$B$3 &amp; "S.28.02.01.03 Rows{Z}@ForceFilingCode:false","")</f>
        <v/>
      </c>
      <c r="B454" t="str">
        <f>IF(AND(LEFT('S.01.01.02'!$D$27,8)&lt;&gt;"Reported",'S.01.01.02'!$D$27&lt;&gt;""),Show!$B$3&amp; Show!$B$3&amp;"S.28.02.01.03 Rows{Z}@ForceFilingCode:false","")</f>
        <v/>
      </c>
    </row>
    <row r="455" spans="1:2">
      <c r="A455" t="str">
        <f>IF(AND(LEFT('S.01.01.02'!$D$27,8)&lt;&gt;"Reported",'S.01.01.02'!$D$27&lt;&gt;""),Show!$B$3 &amp; "S.28.02.01.04 Rows{Z}@ForceFilingCode:false","")</f>
        <v/>
      </c>
      <c r="B455" t="str">
        <f>IF(AND(LEFT('S.01.01.02'!$D$27,8)&lt;&gt;"Reported",'S.01.01.02'!$D$27&lt;&gt;""),Show!$B$3&amp; Show!$B$3&amp;"S.28.02.01.04 Rows{Z}@ForceFilingCode:false","")</f>
        <v/>
      </c>
    </row>
    <row r="456" spans="1:2">
      <c r="A456" t="str">
        <f>IF(AND(LEFT('S.01.01.02'!$D$27,8)&lt;&gt;"Reported",'S.01.01.02'!$D$27&lt;&gt;""),Show!$B$3 &amp; "S.28.02.01.05 Rows{Z}@ForceFilingCode:false","")</f>
        <v/>
      </c>
      <c r="B456" t="str">
        <f>IF(AND(LEFT('S.01.01.02'!$D$27,8)&lt;&gt;"Reported",'S.01.01.02'!$D$27&lt;&gt;""),Show!$B$3&amp; Show!$B$3&amp;"S.28.02.01.05 Rows{Z}@ForceFilingCode:false","")</f>
        <v/>
      </c>
    </row>
    <row r="457" spans="1:2">
      <c r="A457" t="str">
        <f>IF(AND(LEFT('S.01.01.02'!$D$27,8)&lt;&gt;"Reported",'S.01.01.02'!$D$27&lt;&gt;""),Show!$B$3 &amp; "S.28.02.01.06 Rows{Z}@ForceFilingCode:false","")</f>
        <v/>
      </c>
      <c r="B457" t="str">
        <f>IF(AND(LEFT('S.01.01.02'!$D$27,8)&lt;&gt;"Reported",'S.01.01.02'!$D$27&lt;&gt;""),Show!$B$3&amp; Show!$B$3&amp;"S.28.02.01.06 Rows{Z}@ForceFilingCode:false","")</f>
        <v/>
      </c>
    </row>
    <row r="458" spans="1:2">
      <c r="A458" t="str">
        <f>IF(AND(LEFT('S.01.01.04'!$D$16,8)&lt;&gt;"Reported",'S.01.01.04'!$D$16&lt;&gt;""),Show!$B$4 &amp; "S.01.02.04.01 Rows{Z}@ForceFilingCode:false","")</f>
        <v/>
      </c>
      <c r="B458" t="str">
        <f>IF(AND(LEFT('S.01.01.04'!$D$16,8)&lt;&gt;"Reported",'S.01.01.04'!$D$16&lt;&gt;""),Show!$B$4&amp; Show!$B$4&amp;"S.01.02.04.01 Rows{Z}@ForceFilingCode:false","")</f>
        <v/>
      </c>
    </row>
    <row r="459" spans="1:2">
      <c r="A459" t="str">
        <f>IF(AND(LEFT('S.01.01.04'!$D$17,8)&lt;&gt;"Reported",'S.01.01.04'!$D$17&lt;&gt;""),Show!$B$4 &amp; "S.01.03.04.01 Rows{Z}@ForceFilingCode:false","")</f>
        <v/>
      </c>
      <c r="B459" t="str">
        <f>IF(AND(LEFT('S.01.01.04'!$D$17,8)&lt;&gt;"Reported",'S.01.01.04'!$D$17&lt;&gt;""),Show!$B$4&amp; Show!$B$4&amp;"S.01.03.04.01 Rows{Z}@ForceFilingCode:false","")</f>
        <v/>
      </c>
    </row>
    <row r="460" spans="1:2">
      <c r="A460" t="str">
        <f>IF(AND(LEFT('S.01.01.04'!$D$17,8)&lt;&gt;"Reported",'S.01.01.04'!$D$17&lt;&gt;""),Show!$B$4 &amp; "S.01.03.04.02 Rows{Z}@ForceFilingCode:false","")</f>
        <v/>
      </c>
      <c r="B460" t="str">
        <f>IF(AND(LEFT('S.01.01.04'!$D$17,8)&lt;&gt;"Reported",'S.01.01.04'!$D$17&lt;&gt;""),Show!$B$4&amp; Show!$B$4&amp;"S.01.03.04.02 Rows{Z}@ForceFilingCode:false","")</f>
        <v/>
      </c>
    </row>
    <row r="461" spans="1:2">
      <c r="A461" t="str">
        <f>IF(AND(LEFT('S.01.01.04'!$D$18,8)&lt;&gt;"Reported",'S.01.01.04'!$D$18&lt;&gt;""),Show!$B$4 &amp; "S.02.01.01.01 Rows{Z}@ForceFilingCode:false","")</f>
        <v/>
      </c>
      <c r="B461" t="str">
        <f>IF(AND(LEFT('S.01.01.04'!$D$18,8)&lt;&gt;"Reported",'S.01.01.04'!$D$18&lt;&gt;""),Show!$B$4&amp; Show!$B$4&amp;"S.02.01.01.01 Rows{Z}@ForceFilingCode:false","")</f>
        <v/>
      </c>
    </row>
    <row r="462" spans="1:2">
      <c r="A462" t="str">
        <f>IF(AND(LEFT('S.01.01.04'!$D$19,8)&lt;&gt;"Reported",'S.01.01.04'!$D$19&lt;&gt;""),Show!$B$4 &amp; "S.02.02.01.01 Rows{Z}@ForceFilingCode:false","")</f>
        <v/>
      </c>
      <c r="B462" t="str">
        <f>IF(AND(LEFT('S.01.01.04'!$D$19,8)&lt;&gt;"Reported",'S.01.01.04'!$D$19&lt;&gt;""),Show!$B$4&amp; Show!$B$4&amp;"S.02.02.01.01 Rows{Z}@ForceFilingCode:false","")</f>
        <v/>
      </c>
    </row>
    <row r="463" spans="1:2">
      <c r="A463" t="str">
        <f>IF(AND(LEFT('S.01.01.04'!$D$19,8)&lt;&gt;"Reported",'S.01.01.04'!$D$19&lt;&gt;""),Show!$B$4 &amp; "S.02.02.01.02 Rows{Z}@ForceFilingCode:false","")</f>
        <v/>
      </c>
      <c r="B463" t="str">
        <f>IF(AND(LEFT('S.01.01.04'!$D$19,8)&lt;&gt;"Reported",'S.01.01.04'!$D$19&lt;&gt;""),Show!$B$4&amp; Show!$B$4&amp;"S.02.02.01.02 Rows{Z}@ForceFilingCode:false","")</f>
        <v/>
      </c>
    </row>
    <row r="464" spans="1:2">
      <c r="A464" t="str">
        <f>IF(AND(LEFT('S.01.01.04'!$D$20,8)&lt;&gt;"Reported",'S.01.01.04'!$D$20&lt;&gt;""),Show!$B$4 &amp; "S.03.01.04.01 Rows{Z}@ForceFilingCode:false","")</f>
        <v/>
      </c>
      <c r="B464" t="str">
        <f>IF(AND(LEFT('S.01.01.04'!$D$20,8)&lt;&gt;"Reported",'S.01.01.04'!$D$20&lt;&gt;""),Show!$B$4&amp; Show!$B$4&amp;"S.03.01.04.01 Rows{Z}@ForceFilingCode:false","")</f>
        <v/>
      </c>
    </row>
    <row r="465" spans="1:2">
      <c r="A465" t="str">
        <f>IF(AND(LEFT('S.01.01.04'!$D$20,8)&lt;&gt;"Reported",'S.01.01.04'!$D$20&lt;&gt;""),Show!$B$4 &amp; "S.03.01.04.02 Rows{Z}@ForceFilingCode:false","")</f>
        <v/>
      </c>
      <c r="B465" t="str">
        <f>IF(AND(LEFT('S.01.01.04'!$D$20,8)&lt;&gt;"Reported",'S.01.01.04'!$D$20&lt;&gt;""),Show!$B$4&amp; Show!$B$4&amp;"S.03.01.04.02 Rows{Z}@ForceFilingCode:false","")</f>
        <v/>
      </c>
    </row>
    <row r="466" spans="1:2">
      <c r="A466" t="str">
        <f>IF(AND(LEFT('S.01.01.04'!$D$21,8)&lt;&gt;"Reported",'S.01.01.04'!$D$21&lt;&gt;""),Show!$B$4 &amp; "S.03.02.04.01 Rows{Z}@ForceFilingCode:false","")</f>
        <v/>
      </c>
      <c r="B466" t="str">
        <f>IF(AND(LEFT('S.01.01.04'!$D$21,8)&lt;&gt;"Reported",'S.01.01.04'!$D$21&lt;&gt;""),Show!$B$4&amp; Show!$B$4&amp;"S.03.02.04.01 Rows{Z}@ForceFilingCode:false","")</f>
        <v/>
      </c>
    </row>
    <row r="467" spans="1:2">
      <c r="A467" t="str">
        <f>IF(AND(LEFT('S.01.01.04'!$D$22,8)&lt;&gt;"Reported",'S.01.01.04'!$D$22&lt;&gt;""),Show!$B$4 &amp; "S.03.03.04.01 Rows{Z}@ForceFilingCode:false","")</f>
        <v/>
      </c>
      <c r="B467" t="str">
        <f>IF(AND(LEFT('S.01.01.04'!$D$22,8)&lt;&gt;"Reported",'S.01.01.04'!$D$22&lt;&gt;""),Show!$B$4&amp; Show!$B$4&amp;"S.03.03.04.01 Rows{Z}@ForceFilingCode:false","")</f>
        <v/>
      </c>
    </row>
    <row r="468" spans="1:2">
      <c r="A468" t="str">
        <f>IF(AND(LEFT('S.01.01.04'!$D$23,8)&lt;&gt;"Reported",'S.01.01.04'!$D$23&lt;&gt;""),Show!$B$4 &amp; "S.05.01.01.01 Rows{Z}@ForceFilingCode:false","")</f>
        <v/>
      </c>
      <c r="B468" t="str">
        <f>IF(AND(LEFT('S.01.01.04'!$D$23,8)&lt;&gt;"Reported",'S.01.01.04'!$D$23&lt;&gt;""),Show!$B$4&amp; Show!$B$4&amp;"S.05.01.01.01 Rows{Z}@ForceFilingCode:false","")</f>
        <v/>
      </c>
    </row>
    <row r="469" spans="1:2">
      <c r="A469" t="str">
        <f>IF(AND(LEFT('S.01.01.04'!$D$23,8)&lt;&gt;"Reported",'S.01.01.04'!$D$23&lt;&gt;""),Show!$B$4 &amp; "S.05.01.01.02 Rows{Z}@ForceFilingCode:false","")</f>
        <v/>
      </c>
      <c r="B469" t="str">
        <f>IF(AND(LEFT('S.01.01.04'!$D$23,8)&lt;&gt;"Reported",'S.01.01.04'!$D$23&lt;&gt;""),Show!$B$4&amp; Show!$B$4&amp;"S.05.01.01.02 Rows{Z}@ForceFilingCode:false","")</f>
        <v/>
      </c>
    </row>
    <row r="470" spans="1:2">
      <c r="A470" t="str">
        <f>IF(AND(LEFT('S.01.01.04'!$D$24,8)&lt;&gt;"Reported",'S.01.01.04'!$D$24&lt;&gt;""),Show!$B$4 &amp; "S.05.02.01.01 Rows{Z}@ForceFilingCode:false","")</f>
        <v/>
      </c>
      <c r="B470" t="str">
        <f>IF(AND(LEFT('S.01.01.04'!$D$24,8)&lt;&gt;"Reported",'S.01.01.04'!$D$24&lt;&gt;""),Show!$B$4&amp; Show!$B$4&amp;"S.05.02.01.01 Rows{Z}@ForceFilingCode:false","")</f>
        <v/>
      </c>
    </row>
    <row r="471" spans="1:2">
      <c r="A471" t="str">
        <f>IF(AND(LEFT('S.01.01.04'!$D$24,8)&lt;&gt;"Reported",'S.01.01.04'!$D$24&lt;&gt;""),Show!$B$4 &amp; "S.05.02.01.02 Rows{Z}@ForceFilingCode:false","")</f>
        <v/>
      </c>
      <c r="B471" t="str">
        <f>IF(AND(LEFT('S.01.01.04'!$D$24,8)&lt;&gt;"Reported",'S.01.01.04'!$D$24&lt;&gt;""),Show!$B$4&amp; Show!$B$4&amp;"S.05.02.01.02 Rows{Z}@ForceFilingCode:false","")</f>
        <v/>
      </c>
    </row>
    <row r="472" spans="1:2">
      <c r="A472" t="str">
        <f>IF(AND(LEFT('S.01.01.04'!$D$24,8)&lt;&gt;"Reported",'S.01.01.04'!$D$24&lt;&gt;""),Show!$B$4 &amp; "S.05.02.01.03 Rows{Z}@ForceFilingCode:false","")</f>
        <v/>
      </c>
      <c r="B472" t="str">
        <f>IF(AND(LEFT('S.01.01.04'!$D$24,8)&lt;&gt;"Reported",'S.01.01.04'!$D$24&lt;&gt;""),Show!$B$4&amp; Show!$B$4&amp;"S.05.02.01.03 Rows{Z}@ForceFilingCode:false","")</f>
        <v/>
      </c>
    </row>
    <row r="473" spans="1:2">
      <c r="A473" t="str">
        <f>IF(AND(LEFT('S.01.01.04'!$D$24,8)&lt;&gt;"Reported",'S.01.01.04'!$D$24&lt;&gt;""),Show!$B$4 &amp; "S.05.02.01.04 Rows{Z}@ForceFilingCode:false","")</f>
        <v/>
      </c>
      <c r="B473" t="str">
        <f>IF(AND(LEFT('S.01.01.04'!$D$24,8)&lt;&gt;"Reported",'S.01.01.04'!$D$24&lt;&gt;""),Show!$B$4&amp; Show!$B$4&amp;"S.05.02.01.04 Rows{Z}@ForceFilingCode:false","")</f>
        <v/>
      </c>
    </row>
    <row r="474" spans="1:2">
      <c r="A474" t="str">
        <f>IF(AND(LEFT('S.01.01.04'!$D$24,8)&lt;&gt;"Reported",'S.01.01.04'!$D$24&lt;&gt;""),Show!$B$4 &amp; "S.05.02.01.05 Rows{Z}@ForceFilingCode:false","")</f>
        <v/>
      </c>
      <c r="B474" t="str">
        <f>IF(AND(LEFT('S.01.01.04'!$D$24,8)&lt;&gt;"Reported",'S.01.01.04'!$D$24&lt;&gt;""),Show!$B$4&amp; Show!$B$4&amp;"S.05.02.01.05 Rows{Z}@ForceFilingCode:false","")</f>
        <v/>
      </c>
    </row>
    <row r="475" spans="1:2">
      <c r="A475" t="str">
        <f>IF(AND(LEFT('S.01.01.04'!$D$24,8)&lt;&gt;"Reported",'S.01.01.04'!$D$24&lt;&gt;""),Show!$B$4 &amp; "S.05.02.01.06 Rows{Z}@ForceFilingCode:false","")</f>
        <v/>
      </c>
      <c r="B475" t="str">
        <f>IF(AND(LEFT('S.01.01.04'!$D$24,8)&lt;&gt;"Reported",'S.01.01.04'!$D$24&lt;&gt;""),Show!$B$4&amp; Show!$B$4&amp;"S.05.02.01.06 Rows{Z}@ForceFilingCode:false","")</f>
        <v/>
      </c>
    </row>
    <row r="476" spans="1:2">
      <c r="A476" t="str">
        <f>IF(AND(LEFT('S.01.01.04'!$D$25,8)&lt;&gt;"Reported",'S.01.01.04'!$D$25&lt;&gt;""),Show!$B$4 &amp; "S.06.01.01.01 Rows{Z}@ForceFilingCode:false","")</f>
        <v/>
      </c>
      <c r="B476" t="str">
        <f>IF(AND(LEFT('S.01.01.04'!$D$25,8)&lt;&gt;"Reported",'S.01.01.04'!$D$25&lt;&gt;""),Show!$B$4&amp; Show!$B$4&amp;"S.06.01.01.01 Rows{Z}@ForceFilingCode:false","")</f>
        <v/>
      </c>
    </row>
    <row r="477" spans="1:2">
      <c r="A477" t="str">
        <f>IF(AND(LEFT('S.01.01.04'!$D$26,8)&lt;&gt;"Reported",'S.01.01.04'!$D$26&lt;&gt;""),Show!$B$4 &amp; "S.06.02.04.01 Rows{Z}@ForceFilingCode:false","")</f>
        <v/>
      </c>
      <c r="B477" t="str">
        <f>IF(AND(LEFT('S.01.01.04'!$D$26,8)&lt;&gt;"Reported",'S.01.01.04'!$D$26&lt;&gt;""),Show!$B$4&amp; Show!$B$4&amp;"S.06.02.04.01 Rows{Z}@ForceFilingCode:false","")</f>
        <v/>
      </c>
    </row>
    <row r="478" spans="1:2">
      <c r="A478" t="str">
        <f>IF(AND(LEFT('S.01.01.04'!$D$26,8)&lt;&gt;"Reported",'S.01.01.04'!$D$26&lt;&gt;""),Show!$B$4 &amp; "S.06.02.04.02 Rows{Z}@ForceFilingCode:false","")</f>
        <v/>
      </c>
      <c r="B478" t="str">
        <f>IF(AND(LEFT('S.01.01.04'!$D$26,8)&lt;&gt;"Reported",'S.01.01.04'!$D$26&lt;&gt;""),Show!$B$4&amp; Show!$B$4&amp;"S.06.02.04.02 Rows{Z}@ForceFilingCode:false","")</f>
        <v/>
      </c>
    </row>
    <row r="479" spans="1:2">
      <c r="A479" t="str">
        <f>IF(AND(LEFT('S.01.01.04'!$D$27,8)&lt;&gt;"Reported",'S.01.01.04'!$D$27&lt;&gt;""),Show!$B$4 &amp; "S.06.03.04.01 Rows{Z}@ForceFilingCode:false","")</f>
        <v/>
      </c>
      <c r="B479" t="str">
        <f>IF(AND(LEFT('S.01.01.04'!$D$27,8)&lt;&gt;"Reported",'S.01.01.04'!$D$27&lt;&gt;""),Show!$B$4&amp; Show!$B$4&amp;"S.06.03.04.01 Rows{Z}@ForceFilingCode:false","")</f>
        <v/>
      </c>
    </row>
    <row r="480" spans="1:2">
      <c r="A480" t="str">
        <f>IF(AND(LEFT('S.01.01.04'!$D$28,8)&lt;&gt;"Reported",'S.01.01.04'!$D$28&lt;&gt;""),Show!$B$4 &amp; "S.07.01.04.01 Rows{Z}@ForceFilingCode:false","")</f>
        <v/>
      </c>
      <c r="B480" t="str">
        <f>IF(AND(LEFT('S.01.01.04'!$D$28,8)&lt;&gt;"Reported",'S.01.01.04'!$D$28&lt;&gt;""),Show!$B$4&amp; Show!$B$4&amp;"S.07.01.04.01 Rows{Z}@ForceFilingCode:false","")</f>
        <v/>
      </c>
    </row>
    <row r="481" spans="1:2">
      <c r="A481" t="str">
        <f>IF(AND(LEFT('S.01.01.04'!$D$29,8)&lt;&gt;"Reported",'S.01.01.04'!$D$29&lt;&gt;""),Show!$B$4 &amp; "S.08.01.04.01 Rows{Z}@ForceFilingCode:false","")</f>
        <v/>
      </c>
      <c r="B481" t="str">
        <f>IF(AND(LEFT('S.01.01.04'!$D$29,8)&lt;&gt;"Reported",'S.01.01.04'!$D$29&lt;&gt;""),Show!$B$4&amp; Show!$B$4&amp;"S.08.01.04.01 Rows{Z}@ForceFilingCode:false","")</f>
        <v/>
      </c>
    </row>
    <row r="482" spans="1:2">
      <c r="A482" t="str">
        <f>IF(AND(LEFT('S.01.01.04'!$D$29,8)&lt;&gt;"Reported",'S.01.01.04'!$D$29&lt;&gt;""),Show!$B$4 &amp; "S.08.01.04.02 Rows{Z}@ForceFilingCode:false","")</f>
        <v/>
      </c>
      <c r="B482" t="str">
        <f>IF(AND(LEFT('S.01.01.04'!$D$29,8)&lt;&gt;"Reported",'S.01.01.04'!$D$29&lt;&gt;""),Show!$B$4&amp; Show!$B$4&amp;"S.08.01.04.02 Rows{Z}@ForceFilingCode:false","")</f>
        <v/>
      </c>
    </row>
    <row r="483" spans="1:2">
      <c r="A483" t="str">
        <f>IF(AND(LEFT('S.01.01.04'!$D$30,8)&lt;&gt;"Reported",'S.01.01.04'!$D$30&lt;&gt;""),Show!$B$4 &amp; "S.08.02.04.01 Rows{Z}@ForceFilingCode:false","")</f>
        <v/>
      </c>
      <c r="B483" t="str">
        <f>IF(AND(LEFT('S.01.01.04'!$D$30,8)&lt;&gt;"Reported",'S.01.01.04'!$D$30&lt;&gt;""),Show!$B$4&amp; Show!$B$4&amp;"S.08.02.04.01 Rows{Z}@ForceFilingCode:false","")</f>
        <v/>
      </c>
    </row>
    <row r="484" spans="1:2">
      <c r="A484" t="str">
        <f>IF(AND(LEFT('S.01.01.04'!$D$30,8)&lt;&gt;"Reported",'S.01.01.04'!$D$30&lt;&gt;""),Show!$B$4 &amp; "S.08.02.04.02 Rows{Z}@ForceFilingCode:false","")</f>
        <v/>
      </c>
      <c r="B484" t="str">
        <f>IF(AND(LEFT('S.01.01.04'!$D$30,8)&lt;&gt;"Reported",'S.01.01.04'!$D$30&lt;&gt;""),Show!$B$4&amp; Show!$B$4&amp;"S.08.02.04.02 Rows{Z}@ForceFilingCode:false","")</f>
        <v/>
      </c>
    </row>
    <row r="485" spans="1:2">
      <c r="A485" t="str">
        <f>IF(AND(LEFT('S.01.01.04'!$D$31,8)&lt;&gt;"Reported",'S.01.01.04'!$D$31&lt;&gt;""),Show!$B$4 &amp; "S.09.01.04.01 Rows{Z}@ForceFilingCode:false","")</f>
        <v/>
      </c>
      <c r="B485" t="str">
        <f>IF(AND(LEFT('S.01.01.04'!$D$31,8)&lt;&gt;"Reported",'S.01.01.04'!$D$31&lt;&gt;""),Show!$B$4&amp; Show!$B$4&amp;"S.09.01.04.01 Rows{Z}@ForceFilingCode:false","")</f>
        <v/>
      </c>
    </row>
    <row r="486" spans="1:2">
      <c r="A486" t="str">
        <f>IF(AND(LEFT('S.01.01.04'!$D$32,8)&lt;&gt;"Reported",'S.01.01.04'!$D$32&lt;&gt;""),Show!$B$4 &amp; "S.10.01.04.01 Rows{Z}@ForceFilingCode:false","")</f>
        <v/>
      </c>
      <c r="B486" t="str">
        <f>IF(AND(LEFT('S.01.01.04'!$D$32,8)&lt;&gt;"Reported",'S.01.01.04'!$D$32&lt;&gt;""),Show!$B$4&amp; Show!$B$4&amp;"S.10.01.04.01 Rows{Z}@ForceFilingCode:false","")</f>
        <v/>
      </c>
    </row>
    <row r="487" spans="1:2">
      <c r="A487" t="str">
        <f>IF(AND(LEFT('S.01.01.04'!$D$33,8)&lt;&gt;"Reported",'S.01.01.04'!$D$33&lt;&gt;""),Show!$B$4 &amp; "S.11.01.04.01 Rows{Z}@ForceFilingCode:false","")</f>
        <v/>
      </c>
      <c r="B487" t="str">
        <f>IF(AND(LEFT('S.01.01.04'!$D$33,8)&lt;&gt;"Reported",'S.01.01.04'!$D$33&lt;&gt;""),Show!$B$4&amp; Show!$B$4&amp;"S.11.01.04.01 Rows{Z}@ForceFilingCode:false","")</f>
        <v/>
      </c>
    </row>
    <row r="488" spans="1:2">
      <c r="A488" t="str">
        <f>IF(AND(LEFT('S.01.01.04'!$D$33,8)&lt;&gt;"Reported",'S.01.01.04'!$D$33&lt;&gt;""),Show!$B$4 &amp; "S.11.01.04.02 Rows{Z}@ForceFilingCode:false","")</f>
        <v/>
      </c>
      <c r="B488" t="str">
        <f>IF(AND(LEFT('S.01.01.04'!$D$33,8)&lt;&gt;"Reported",'S.01.01.04'!$D$33&lt;&gt;""),Show!$B$4&amp; Show!$B$4&amp;"S.11.01.04.02 Rows{Z}@ForceFilingCode:false","")</f>
        <v/>
      </c>
    </row>
    <row r="489" spans="1:2">
      <c r="A489" t="str">
        <f>IF(AND(LEFT('S.01.01.04'!$D$34,8)&lt;&gt;"Reported",'S.01.01.04'!$D$34&lt;&gt;""),Show!$B$4 &amp; "S.15.01.04.01 Rows{Z}@ForceFilingCode:false","")</f>
        <v/>
      </c>
      <c r="B489" t="str">
        <f>IF(AND(LEFT('S.01.01.04'!$D$34,8)&lt;&gt;"Reported",'S.01.01.04'!$D$34&lt;&gt;""),Show!$B$4&amp; Show!$B$4&amp;"S.15.01.04.01 Rows{Z}@ForceFilingCode:false","")</f>
        <v/>
      </c>
    </row>
    <row r="490" spans="1:2">
      <c r="A490" t="str">
        <f>IF(AND(LEFT('S.01.01.04'!$D$35,8)&lt;&gt;"Reported",'S.01.01.04'!$D$35&lt;&gt;""),Show!$B$4 &amp; "S.15.02.04.01 Rows{Z}@ForceFilingCode:false","")</f>
        <v/>
      </c>
      <c r="B490" t="str">
        <f>IF(AND(LEFT('S.01.01.04'!$D$35,8)&lt;&gt;"Reported",'S.01.01.04'!$D$35&lt;&gt;""),Show!$B$4&amp; Show!$B$4&amp;"S.15.02.04.01 Rows{Z}@ForceFilingCode:false","")</f>
        <v/>
      </c>
    </row>
    <row r="491" spans="1:2">
      <c r="A491" t="str">
        <f>IF(AND(LEFT('S.01.01.04'!$D$36,8)&lt;&gt;"Reported",'S.01.01.04'!$D$36&lt;&gt;""),Show!$B$4 &amp; "S.22.01.04.01 Rows{Z}@ForceFilingCode:false","")</f>
        <v/>
      </c>
      <c r="B491" t="str">
        <f>IF(AND(LEFT('S.01.01.04'!$D$36,8)&lt;&gt;"Reported",'S.01.01.04'!$D$36&lt;&gt;""),Show!$B$4&amp; Show!$B$4&amp;"S.22.01.04.01 Rows{Z}@ForceFilingCode:false","")</f>
        <v/>
      </c>
    </row>
    <row r="492" spans="1:2">
      <c r="A492" t="str">
        <f>IF(AND(LEFT('S.01.01.04'!$D$37,8)&lt;&gt;"Reported",'S.01.01.04'!$D$37&lt;&gt;""),Show!$B$4 &amp; "S.23.01.04.01 Rows{Z}@ForceFilingCode:false","")</f>
        <v/>
      </c>
      <c r="B492" t="str">
        <f>IF(AND(LEFT('S.01.01.04'!$D$37,8)&lt;&gt;"Reported",'S.01.01.04'!$D$37&lt;&gt;""),Show!$B$4&amp; Show!$B$4&amp;"S.23.01.04.01 Rows{Z}@ForceFilingCode:false","")</f>
        <v/>
      </c>
    </row>
    <row r="493" spans="1:2">
      <c r="A493" t="str">
        <f>IF(AND(LEFT('S.01.01.04'!$D$37,8)&lt;&gt;"Reported",'S.01.01.04'!$D$37&lt;&gt;""),Show!$B$4 &amp; "S.23.01.04.02 Rows{Z}@ForceFilingCode:false","")</f>
        <v/>
      </c>
      <c r="B493" t="str">
        <f>IF(AND(LEFT('S.01.01.04'!$D$37,8)&lt;&gt;"Reported",'S.01.01.04'!$D$37&lt;&gt;""),Show!$B$4&amp; Show!$B$4&amp;"S.23.01.04.02 Rows{Z}@ForceFilingCode:false","")</f>
        <v/>
      </c>
    </row>
    <row r="494" spans="1:2">
      <c r="A494" t="str">
        <f>IF(AND(LEFT('S.01.01.04'!$D$38,8)&lt;&gt;"Reported",'S.01.01.04'!$D$38&lt;&gt;""),Show!$B$4 &amp; "S.23.02.04.01 Rows{Z}@ForceFilingCode:false","")</f>
        <v/>
      </c>
      <c r="B494" t="str">
        <f>IF(AND(LEFT('S.01.01.04'!$D$38,8)&lt;&gt;"Reported",'S.01.01.04'!$D$38&lt;&gt;""),Show!$B$4&amp; Show!$B$4&amp;"S.23.02.04.01 Rows{Z}@ForceFilingCode:false","")</f>
        <v/>
      </c>
    </row>
    <row r="495" spans="1:2">
      <c r="A495" t="str">
        <f>IF(AND(LEFT('S.01.01.04'!$D$38,8)&lt;&gt;"Reported",'S.01.01.04'!$D$38&lt;&gt;""),Show!$B$4 &amp; "S.23.02.04.02 Rows{Z}@ForceFilingCode:false","")</f>
        <v/>
      </c>
      <c r="B495" t="str">
        <f>IF(AND(LEFT('S.01.01.04'!$D$38,8)&lt;&gt;"Reported",'S.01.01.04'!$D$38&lt;&gt;""),Show!$B$4&amp; Show!$B$4&amp;"S.23.02.04.02 Rows{Z}@ForceFilingCode:false","")</f>
        <v/>
      </c>
    </row>
    <row r="496" spans="1:2">
      <c r="A496" t="str">
        <f>IF(AND(LEFT('S.01.01.04'!$D$38,8)&lt;&gt;"Reported",'S.01.01.04'!$D$38&lt;&gt;""),Show!$B$4 &amp; "S.23.02.04.03 Rows{Z}@ForceFilingCode:false","")</f>
        <v/>
      </c>
      <c r="B496" t="str">
        <f>IF(AND(LEFT('S.01.01.04'!$D$38,8)&lt;&gt;"Reported",'S.01.01.04'!$D$38&lt;&gt;""),Show!$B$4&amp; Show!$B$4&amp;"S.23.02.04.03 Rows{Z}@ForceFilingCode:false","")</f>
        <v/>
      </c>
    </row>
    <row r="497" spans="1:2">
      <c r="A497" t="str">
        <f>IF(AND(LEFT('S.01.01.04'!$D$38,8)&lt;&gt;"Reported",'S.01.01.04'!$D$38&lt;&gt;""),Show!$B$4 &amp; "S.23.02.04.04 Rows{Z}@ForceFilingCode:false","")</f>
        <v/>
      </c>
      <c r="B497" t="str">
        <f>IF(AND(LEFT('S.01.01.04'!$D$38,8)&lt;&gt;"Reported",'S.01.01.04'!$D$38&lt;&gt;""),Show!$B$4&amp; Show!$B$4&amp;"S.23.02.04.04 Rows{Z}@ForceFilingCode:false","")</f>
        <v/>
      </c>
    </row>
    <row r="498" spans="1:2">
      <c r="A498" t="str">
        <f>IF(AND(LEFT('S.01.01.04'!$D$39,8)&lt;&gt;"Reported",'S.01.01.04'!$D$39&lt;&gt;""),Show!$B$4 &amp; "S.23.03.04.01 Rows{Z}@ForceFilingCode:false","")</f>
        <v/>
      </c>
      <c r="B498" t="str">
        <f>IF(AND(LEFT('S.01.01.04'!$D$39,8)&lt;&gt;"Reported",'S.01.01.04'!$D$39&lt;&gt;""),Show!$B$4&amp; Show!$B$4&amp;"S.23.03.04.01 Rows{Z}@ForceFilingCode:false","")</f>
        <v/>
      </c>
    </row>
    <row r="499" spans="1:2">
      <c r="A499" t="str">
        <f>IF(AND(LEFT('S.01.01.04'!$D$39,8)&lt;&gt;"Reported",'S.01.01.04'!$D$39&lt;&gt;""),Show!$B$4 &amp; "S.23.03.04.02 Rows{Z}@ForceFilingCode:false","")</f>
        <v/>
      </c>
      <c r="B499" t="str">
        <f>IF(AND(LEFT('S.01.01.04'!$D$39,8)&lt;&gt;"Reported",'S.01.01.04'!$D$39&lt;&gt;""),Show!$B$4&amp; Show!$B$4&amp;"S.23.03.04.02 Rows{Z}@ForceFilingCode:false","")</f>
        <v/>
      </c>
    </row>
    <row r="500" spans="1:2">
      <c r="A500" t="str">
        <f>IF(AND(LEFT('S.01.01.04'!$D$39,8)&lt;&gt;"Reported",'S.01.01.04'!$D$39&lt;&gt;""),Show!$B$4 &amp; "S.23.03.04.03 Rows{Z}@ForceFilingCode:false","")</f>
        <v/>
      </c>
      <c r="B500" t="str">
        <f>IF(AND(LEFT('S.01.01.04'!$D$39,8)&lt;&gt;"Reported",'S.01.01.04'!$D$39&lt;&gt;""),Show!$B$4&amp; Show!$B$4&amp;"S.23.03.04.03 Rows{Z}@ForceFilingCode:false","")</f>
        <v/>
      </c>
    </row>
    <row r="501" spans="1:2">
      <c r="A501" t="str">
        <f>IF(AND(LEFT('S.01.01.04'!$D$39,8)&lt;&gt;"Reported",'S.01.01.04'!$D$39&lt;&gt;""),Show!$B$4 &amp; "S.23.03.04.04 Rows{Z}@ForceFilingCode:false","")</f>
        <v/>
      </c>
      <c r="B501" t="str">
        <f>IF(AND(LEFT('S.01.01.04'!$D$39,8)&lt;&gt;"Reported",'S.01.01.04'!$D$39&lt;&gt;""),Show!$B$4&amp; Show!$B$4&amp;"S.23.03.04.04 Rows{Z}@ForceFilingCode:false","")</f>
        <v/>
      </c>
    </row>
    <row r="502" spans="1:2">
      <c r="A502" t="str">
        <f>IF(AND(LEFT('S.01.01.04'!$D$39,8)&lt;&gt;"Reported",'S.01.01.04'!$D$39&lt;&gt;""),Show!$B$4 &amp; "S.23.03.04.05 Rows{Z}@ForceFilingCode:false","")</f>
        <v/>
      </c>
      <c r="B502" t="str">
        <f>IF(AND(LEFT('S.01.01.04'!$D$39,8)&lt;&gt;"Reported",'S.01.01.04'!$D$39&lt;&gt;""),Show!$B$4&amp; Show!$B$4&amp;"S.23.03.04.05 Rows{Z}@ForceFilingCode:false","")</f>
        <v/>
      </c>
    </row>
    <row r="503" spans="1:2">
      <c r="A503" t="str">
        <f>IF(AND(LEFT('S.01.01.04'!$D$39,8)&lt;&gt;"Reported",'S.01.01.04'!$D$39&lt;&gt;""),Show!$B$4 &amp; "S.23.03.04.06 Rows{Z}@ForceFilingCode:false","")</f>
        <v/>
      </c>
      <c r="B503" t="str">
        <f>IF(AND(LEFT('S.01.01.04'!$D$39,8)&lt;&gt;"Reported",'S.01.01.04'!$D$39&lt;&gt;""),Show!$B$4&amp; Show!$B$4&amp;"S.23.03.04.06 Rows{Z}@ForceFilingCode:false","")</f>
        <v/>
      </c>
    </row>
    <row r="504" spans="1:2">
      <c r="A504" t="str">
        <f>IF(AND(LEFT('S.01.01.04'!$D$39,8)&lt;&gt;"Reported",'S.01.01.04'!$D$39&lt;&gt;""),Show!$B$4 &amp; "S.23.03.04.07 Rows{Z}@ForceFilingCode:false","")</f>
        <v/>
      </c>
      <c r="B504" t="str">
        <f>IF(AND(LEFT('S.01.01.04'!$D$39,8)&lt;&gt;"Reported",'S.01.01.04'!$D$39&lt;&gt;""),Show!$B$4&amp; Show!$B$4&amp;"S.23.03.04.07 Rows{Z}@ForceFilingCode:false","")</f>
        <v/>
      </c>
    </row>
    <row r="505" spans="1:2">
      <c r="A505" t="str">
        <f>IF(AND(LEFT('S.01.01.04'!$D$39,8)&lt;&gt;"Reported",'S.01.01.04'!$D$39&lt;&gt;""),Show!$B$4 &amp; "S.23.03.04.08 Rows{Z}@ForceFilingCode:false","")</f>
        <v/>
      </c>
      <c r="B505" t="str">
        <f>IF(AND(LEFT('S.01.01.04'!$D$39,8)&lt;&gt;"Reported",'S.01.01.04'!$D$39&lt;&gt;""),Show!$B$4&amp; Show!$B$4&amp;"S.23.03.04.08 Rows{Z}@ForceFilingCode:false","")</f>
        <v/>
      </c>
    </row>
    <row r="506" spans="1:2">
      <c r="A506" t="str">
        <f>IF(AND(LEFT('S.01.01.04'!$D$40,8)&lt;&gt;"Reported",'S.01.01.04'!$D$40&lt;&gt;""),Show!$B$4 &amp; "S.23.04.04.01 Rows{Z}@ForceFilingCode:false","")</f>
        <v/>
      </c>
      <c r="B506" t="str">
        <f>IF(AND(LEFT('S.01.01.04'!$D$40,8)&lt;&gt;"Reported",'S.01.01.04'!$D$40&lt;&gt;""),Show!$B$4&amp; Show!$B$4&amp;"S.23.04.04.01 Rows{Z}@ForceFilingCode:false","")</f>
        <v/>
      </c>
    </row>
    <row r="507" spans="1:2">
      <c r="A507" t="str">
        <f>IF(AND(LEFT('S.01.01.04'!$D$40,8)&lt;&gt;"Reported",'S.01.01.04'!$D$40&lt;&gt;""),Show!$B$4 &amp; "S.23.04.04.02 Rows{Z}@ForceFilingCode:false","")</f>
        <v/>
      </c>
      <c r="B507" t="str">
        <f>IF(AND(LEFT('S.01.01.04'!$D$40,8)&lt;&gt;"Reported",'S.01.01.04'!$D$40&lt;&gt;""),Show!$B$4&amp; Show!$B$4&amp;"S.23.04.04.02 Rows{Z}@ForceFilingCode:false","")</f>
        <v/>
      </c>
    </row>
    <row r="508" spans="1:2">
      <c r="A508" t="str">
        <f>IF(AND(LEFT('S.01.01.04'!$D$40,8)&lt;&gt;"Reported",'S.01.01.04'!$D$40&lt;&gt;""),Show!$B$4 &amp; "S.23.04.04.03 Rows{Z}@ForceFilingCode:false","")</f>
        <v/>
      </c>
      <c r="B508" t="str">
        <f>IF(AND(LEFT('S.01.01.04'!$D$40,8)&lt;&gt;"Reported",'S.01.01.04'!$D$40&lt;&gt;""),Show!$B$4&amp; Show!$B$4&amp;"S.23.04.04.03 Rows{Z}@ForceFilingCode:false","")</f>
        <v/>
      </c>
    </row>
    <row r="509" spans="1:2">
      <c r="A509" t="str">
        <f>IF(AND(LEFT('S.01.01.04'!$D$40,8)&lt;&gt;"Reported",'S.01.01.04'!$D$40&lt;&gt;""),Show!$B$4 &amp; "S.23.04.04.04 Rows{Z}@ForceFilingCode:false","")</f>
        <v/>
      </c>
      <c r="B509" t="str">
        <f>IF(AND(LEFT('S.01.01.04'!$D$40,8)&lt;&gt;"Reported",'S.01.01.04'!$D$40&lt;&gt;""),Show!$B$4&amp; Show!$B$4&amp;"S.23.04.04.04 Rows{Z}@ForceFilingCode:false","")</f>
        <v/>
      </c>
    </row>
    <row r="510" spans="1:2">
      <c r="A510" t="str">
        <f>IF(AND(LEFT('S.01.01.04'!$D$40,8)&lt;&gt;"Reported",'S.01.01.04'!$D$40&lt;&gt;""),Show!$B$4 &amp; "S.23.04.04.05 Rows{Z}@ForceFilingCode:false","")</f>
        <v/>
      </c>
      <c r="B510" t="str">
        <f>IF(AND(LEFT('S.01.01.04'!$D$40,8)&lt;&gt;"Reported",'S.01.01.04'!$D$40&lt;&gt;""),Show!$B$4&amp; Show!$B$4&amp;"S.23.04.04.05 Rows{Z}@ForceFilingCode:false","")</f>
        <v/>
      </c>
    </row>
    <row r="511" spans="1:2">
      <c r="A511" t="str">
        <f>IF(AND(LEFT('S.01.01.04'!$D$40,8)&lt;&gt;"Reported",'S.01.01.04'!$D$40&lt;&gt;""),Show!$B$4 &amp; "S.23.04.04.06 Rows{Z}@ForceFilingCode:false","")</f>
        <v/>
      </c>
      <c r="B511" t="str">
        <f>IF(AND(LEFT('S.01.01.04'!$D$40,8)&lt;&gt;"Reported",'S.01.01.04'!$D$40&lt;&gt;""),Show!$B$4&amp; Show!$B$4&amp;"S.23.04.04.06 Rows{Z}@ForceFilingCode:false","")</f>
        <v/>
      </c>
    </row>
    <row r="512" spans="1:2">
      <c r="A512" t="str">
        <f>IF(AND(LEFT('S.01.01.04'!$D$40,8)&lt;&gt;"Reported",'S.01.01.04'!$D$40&lt;&gt;""),Show!$B$4 &amp; "S.23.04.04.07 Rows{Z}@ForceFilingCode:false","")</f>
        <v/>
      </c>
      <c r="B512" t="str">
        <f>IF(AND(LEFT('S.01.01.04'!$D$40,8)&lt;&gt;"Reported",'S.01.01.04'!$D$40&lt;&gt;""),Show!$B$4&amp; Show!$B$4&amp;"S.23.04.04.07 Rows{Z}@ForceFilingCode:false","")</f>
        <v/>
      </c>
    </row>
    <row r="513" spans="1:2">
      <c r="A513" t="str">
        <f>IF(AND(LEFT('S.01.01.04'!$D$40,8)&lt;&gt;"Reported",'S.01.01.04'!$D$40&lt;&gt;""),Show!$B$4 &amp; "S.23.04.04.09 Rows{Z}@ForceFilingCode:false","")</f>
        <v/>
      </c>
      <c r="B513" t="str">
        <f>IF(AND(LEFT('S.01.01.04'!$D$40,8)&lt;&gt;"Reported",'S.01.01.04'!$D$40&lt;&gt;""),Show!$B$4&amp; Show!$B$4&amp;"S.23.04.04.09 Rows{Z}@ForceFilingCode:false","")</f>
        <v/>
      </c>
    </row>
    <row r="514" spans="1:2">
      <c r="A514" t="str">
        <f>IF(AND(LEFT('S.01.01.04'!$D$40,8)&lt;&gt;"Reported",'S.01.01.04'!$D$40&lt;&gt;""),Show!$B$4 &amp; "S.23.04.04.10 Rows{Z}@ForceFilingCode:false","")</f>
        <v/>
      </c>
      <c r="B514" t="str">
        <f>IF(AND(LEFT('S.01.01.04'!$D$40,8)&lt;&gt;"Reported",'S.01.01.04'!$D$40&lt;&gt;""),Show!$B$4&amp; Show!$B$4&amp;"S.23.04.04.10 Rows{Z}@ForceFilingCode:false","")</f>
        <v/>
      </c>
    </row>
    <row r="515" spans="1:2">
      <c r="A515" t="str">
        <f>IF(AND(LEFT('S.01.01.04'!$D$40,8)&lt;&gt;"Reported",'S.01.01.04'!$D$40&lt;&gt;""),Show!$B$4 &amp; "S.23.04.04.11 Rows{Z}@ForceFilingCode:false","")</f>
        <v/>
      </c>
      <c r="B515" t="str">
        <f>IF(AND(LEFT('S.01.01.04'!$D$40,8)&lt;&gt;"Reported",'S.01.01.04'!$D$40&lt;&gt;""),Show!$B$4&amp; Show!$B$4&amp;"S.23.04.04.11 Rows{Z}@ForceFilingCode:false","")</f>
        <v/>
      </c>
    </row>
    <row r="516" spans="1:2">
      <c r="A516" t="str">
        <f>IF(AND(LEFT('S.01.01.04'!$D$41,8)&lt;&gt;"Reported",'S.01.01.04'!$D$41&lt;&gt;""),Show!$B$4 &amp; "S.25.01.04.01 Rows{Z}@ForceFilingCode:false","")</f>
        <v/>
      </c>
      <c r="B516" t="str">
        <f>IF(AND(LEFT('S.01.01.04'!$D$41,8)&lt;&gt;"Reported",'S.01.01.04'!$D$41&lt;&gt;""),Show!$B$4&amp; Show!$B$4&amp;"S.25.01.04.01 Rows{Z}@ForceFilingCode:false","")</f>
        <v/>
      </c>
    </row>
    <row r="517" spans="1:2">
      <c r="A517" t="str">
        <f>IF(AND(LEFT('S.01.01.04'!$D$41,8)&lt;&gt;"Reported",'S.01.01.04'!$D$41&lt;&gt;""),Show!$B$4 &amp; "S.25.01.04.02 Rows{Z}@ForceFilingCode:false","")</f>
        <v/>
      </c>
      <c r="B517" t="str">
        <f>IF(AND(LEFT('S.01.01.04'!$D$41,8)&lt;&gt;"Reported",'S.01.01.04'!$D$41&lt;&gt;""),Show!$B$4&amp; Show!$B$4&amp;"S.25.01.04.02 Rows{Z}@ForceFilingCode:false","")</f>
        <v/>
      </c>
    </row>
    <row r="518" spans="1:2">
      <c r="A518" t="str">
        <f>IF(AND(LEFT('S.01.01.04'!$D$42,8)&lt;&gt;"Reported",'S.01.01.04'!$D$42&lt;&gt;""),Show!$B$4 &amp; "S.25.02.04.01 Rows{Z}@ForceFilingCode:false","")</f>
        <v/>
      </c>
      <c r="B518" t="str">
        <f>IF(AND(LEFT('S.01.01.04'!$D$42,8)&lt;&gt;"Reported",'S.01.01.04'!$D$42&lt;&gt;""),Show!$B$4&amp; Show!$B$4&amp;"S.25.02.04.01 Rows{Z}@ForceFilingCode:false","")</f>
        <v/>
      </c>
    </row>
    <row r="519" spans="1:2">
      <c r="A519" t="str">
        <f>IF(AND(LEFT('S.01.01.04'!$D$42,8)&lt;&gt;"Reported",'S.01.01.04'!$D$42&lt;&gt;""),Show!$B$4 &amp; "S.25.02.04.02 Rows{Z}@ForceFilingCode:false","")</f>
        <v/>
      </c>
      <c r="B519" t="str">
        <f>IF(AND(LEFT('S.01.01.04'!$D$42,8)&lt;&gt;"Reported",'S.01.01.04'!$D$42&lt;&gt;""),Show!$B$4&amp; Show!$B$4&amp;"S.25.02.04.02 Rows{Z}@ForceFilingCode:false","")</f>
        <v/>
      </c>
    </row>
    <row r="520" spans="1:2">
      <c r="A520" t="str">
        <f>IF(AND(LEFT('S.01.01.04'!$D$43,8)&lt;&gt;"Reported",'S.01.01.04'!$D$43&lt;&gt;""),Show!$B$4 &amp; "S.25.03.04.01 Rows{Z}@ForceFilingCode:false","")</f>
        <v/>
      </c>
      <c r="B520" t="str">
        <f>IF(AND(LEFT('S.01.01.04'!$D$43,8)&lt;&gt;"Reported",'S.01.01.04'!$D$43&lt;&gt;""),Show!$B$4&amp; Show!$B$4&amp;"S.25.03.04.01 Rows{Z}@ForceFilingCode:false","")</f>
        <v/>
      </c>
    </row>
    <row r="521" spans="1:2">
      <c r="A521" t="str">
        <f>IF(AND(LEFT('S.01.01.04'!$D$43,8)&lt;&gt;"Reported",'S.01.01.04'!$D$43&lt;&gt;""),Show!$B$4 &amp; "S.25.03.04.02 Rows{Z}@ForceFilingCode:false","")</f>
        <v/>
      </c>
      <c r="B521" t="str">
        <f>IF(AND(LEFT('S.01.01.04'!$D$43,8)&lt;&gt;"Reported",'S.01.01.04'!$D$43&lt;&gt;""),Show!$B$4&amp; Show!$B$4&amp;"S.25.03.04.02 Rows{Z}@ForceFilingCode:false","")</f>
        <v/>
      </c>
    </row>
    <row r="522" spans="1:2">
      <c r="A522" t="str">
        <f>IF(AND(LEFT('S.01.01.04'!$D$44,8)&lt;&gt;"Reported",'S.01.01.04'!$D$44&lt;&gt;""),Show!$B$4 &amp; "S.26.01.04.01 Rows{Z}@ForceFilingCode:false","")</f>
        <v/>
      </c>
      <c r="B522" t="str">
        <f>IF(AND(LEFT('S.01.01.04'!$D$44,8)&lt;&gt;"Reported",'S.01.01.04'!$D$44&lt;&gt;""),Show!$B$4&amp; Show!$B$4&amp;"S.26.01.04.01 Rows{Z}@ForceFilingCode:false","")</f>
        <v/>
      </c>
    </row>
    <row r="523" spans="1:2">
      <c r="A523" t="str">
        <f>IF(AND(LEFT('S.01.01.04'!$D$44,8)&lt;&gt;"Reported",'S.01.01.04'!$D$44&lt;&gt;""),Show!$B$4 &amp; "S.26.01.04.02 Rows{Z}@ForceFilingCode:false","")</f>
        <v/>
      </c>
      <c r="B523" t="str">
        <f>IF(AND(LEFT('S.01.01.04'!$D$44,8)&lt;&gt;"Reported",'S.01.01.04'!$D$44&lt;&gt;""),Show!$B$4&amp; Show!$B$4&amp;"S.26.01.04.02 Rows{Z}@ForceFilingCode:false","")</f>
        <v/>
      </c>
    </row>
    <row r="524" spans="1:2">
      <c r="A524" t="str">
        <f>IF(AND(LEFT('S.01.01.04'!$D$44,8)&lt;&gt;"Reported",'S.01.01.04'!$D$44&lt;&gt;""),Show!$B$4 &amp; "S.26.01.04.03 Rows{Z}@ForceFilingCode:false","")</f>
        <v/>
      </c>
      <c r="B524" t="str">
        <f>IF(AND(LEFT('S.01.01.04'!$D$44,8)&lt;&gt;"Reported",'S.01.01.04'!$D$44&lt;&gt;""),Show!$B$4&amp; Show!$B$4&amp;"S.26.01.04.03 Rows{Z}@ForceFilingCode:false","")</f>
        <v/>
      </c>
    </row>
    <row r="525" spans="1:2">
      <c r="A525" t="str">
        <f>IF(AND(LEFT('S.01.01.04'!$D$44,8)&lt;&gt;"Reported",'S.01.01.04'!$D$44&lt;&gt;""),Show!$B$4 &amp; "S.26.01.04.04 Rows{Z}@ForceFilingCode:false","")</f>
        <v/>
      </c>
      <c r="B525" t="str">
        <f>IF(AND(LEFT('S.01.01.04'!$D$44,8)&lt;&gt;"Reported",'S.01.01.04'!$D$44&lt;&gt;""),Show!$B$4&amp; Show!$B$4&amp;"S.26.01.04.04 Rows{Z}@ForceFilingCode:false","")</f>
        <v/>
      </c>
    </row>
    <row r="526" spans="1:2">
      <c r="A526" t="str">
        <f>IF(AND(LEFT('S.01.01.04'!$D$45,8)&lt;&gt;"Reported",'S.01.01.04'!$D$45&lt;&gt;""),Show!$B$4 &amp; "S.26.02.04.01 Rows{Z}@ForceFilingCode:false","")</f>
        <v/>
      </c>
      <c r="B526" t="str">
        <f>IF(AND(LEFT('S.01.01.04'!$D$45,8)&lt;&gt;"Reported",'S.01.01.04'!$D$45&lt;&gt;""),Show!$B$4&amp; Show!$B$4&amp;"S.26.02.04.01 Rows{Z}@ForceFilingCode:false","")</f>
        <v/>
      </c>
    </row>
    <row r="527" spans="1:2">
      <c r="A527" t="str">
        <f>IF(AND(LEFT('S.01.01.04'!$D$45,8)&lt;&gt;"Reported",'S.01.01.04'!$D$45&lt;&gt;""),Show!$B$4 &amp; "S.26.02.04.02 Rows{Z}@ForceFilingCode:false","")</f>
        <v/>
      </c>
      <c r="B527" t="str">
        <f>IF(AND(LEFT('S.01.01.04'!$D$45,8)&lt;&gt;"Reported",'S.01.01.04'!$D$45&lt;&gt;""),Show!$B$4&amp; Show!$B$4&amp;"S.26.02.04.02 Rows{Z}@ForceFilingCode:false","")</f>
        <v/>
      </c>
    </row>
    <row r="528" spans="1:2">
      <c r="A528" t="str">
        <f>IF(AND(LEFT('S.01.01.04'!$D$45,8)&lt;&gt;"Reported",'S.01.01.04'!$D$45&lt;&gt;""),Show!$B$4 &amp; "S.26.02.04.03 Rows{Z}@ForceFilingCode:false","")</f>
        <v/>
      </c>
      <c r="B528" t="str">
        <f>IF(AND(LEFT('S.01.01.04'!$D$45,8)&lt;&gt;"Reported",'S.01.01.04'!$D$45&lt;&gt;""),Show!$B$4&amp; Show!$B$4&amp;"S.26.02.04.03 Rows{Z}@ForceFilingCode:false","")</f>
        <v/>
      </c>
    </row>
    <row r="529" spans="1:2">
      <c r="A529" t="str">
        <f>IF(AND(LEFT('S.01.01.04'!$D$46,8)&lt;&gt;"Reported",'S.01.01.04'!$D$46&lt;&gt;""),Show!$B$4 &amp; "S.26.03.04.01 Rows{Z}@ForceFilingCode:false","")</f>
        <v/>
      </c>
      <c r="B529" t="str">
        <f>IF(AND(LEFT('S.01.01.04'!$D$46,8)&lt;&gt;"Reported",'S.01.01.04'!$D$46&lt;&gt;""),Show!$B$4&amp; Show!$B$4&amp;"S.26.03.04.01 Rows{Z}@ForceFilingCode:false","")</f>
        <v/>
      </c>
    </row>
    <row r="530" spans="1:2">
      <c r="A530" t="str">
        <f>IF(AND(LEFT('S.01.01.04'!$D$46,8)&lt;&gt;"Reported",'S.01.01.04'!$D$46&lt;&gt;""),Show!$B$4 &amp; "S.26.03.04.02 Rows{Z}@ForceFilingCode:false","")</f>
        <v/>
      </c>
      <c r="B530" t="str">
        <f>IF(AND(LEFT('S.01.01.04'!$D$46,8)&lt;&gt;"Reported",'S.01.01.04'!$D$46&lt;&gt;""),Show!$B$4&amp; Show!$B$4&amp;"S.26.03.04.02 Rows{Z}@ForceFilingCode:false","")</f>
        <v/>
      </c>
    </row>
    <row r="531" spans="1:2">
      <c r="A531" t="str">
        <f>IF(AND(LEFT('S.01.01.04'!$D$46,8)&lt;&gt;"Reported",'S.01.01.04'!$D$46&lt;&gt;""),Show!$B$4 &amp; "S.26.03.04.03 Rows{Z}@ForceFilingCode:false","")</f>
        <v/>
      </c>
      <c r="B531" t="str">
        <f>IF(AND(LEFT('S.01.01.04'!$D$46,8)&lt;&gt;"Reported",'S.01.01.04'!$D$46&lt;&gt;""),Show!$B$4&amp; Show!$B$4&amp;"S.26.03.04.03 Rows{Z}@ForceFilingCode:false","")</f>
        <v/>
      </c>
    </row>
    <row r="532" spans="1:2">
      <c r="A532" t="str">
        <f>IF(AND(LEFT('S.01.01.04'!$D$46,8)&lt;&gt;"Reported",'S.01.01.04'!$D$46&lt;&gt;""),Show!$B$4 &amp; "S.26.03.04.04 Rows{Z}@ForceFilingCode:false","")</f>
        <v/>
      </c>
      <c r="B532" t="str">
        <f>IF(AND(LEFT('S.01.01.04'!$D$46,8)&lt;&gt;"Reported",'S.01.01.04'!$D$46&lt;&gt;""),Show!$B$4&amp; Show!$B$4&amp;"S.26.03.04.04 Rows{Z}@ForceFilingCode:false","")</f>
        <v/>
      </c>
    </row>
    <row r="533" spans="1:2">
      <c r="A533" t="str">
        <f>IF(AND(LEFT('S.01.01.04'!$D$47,8)&lt;&gt;"Reported",'S.01.01.04'!$D$47&lt;&gt;""),Show!$B$4 &amp; "S.26.04.04.01 Rows{Z}@ForceFilingCode:false","")</f>
        <v/>
      </c>
      <c r="B533" t="str">
        <f>IF(AND(LEFT('S.01.01.04'!$D$47,8)&lt;&gt;"Reported",'S.01.01.04'!$D$47&lt;&gt;""),Show!$B$4&amp; Show!$B$4&amp;"S.26.04.04.01 Rows{Z}@ForceFilingCode:false","")</f>
        <v/>
      </c>
    </row>
    <row r="534" spans="1:2">
      <c r="A534" t="str">
        <f>IF(AND(LEFT('S.01.01.04'!$D$47,8)&lt;&gt;"Reported",'S.01.01.04'!$D$47&lt;&gt;""),Show!$B$4 &amp; "S.26.04.04.02 Rows{Z}@ForceFilingCode:false","")</f>
        <v/>
      </c>
      <c r="B534" t="str">
        <f>IF(AND(LEFT('S.01.01.04'!$D$47,8)&lt;&gt;"Reported",'S.01.01.04'!$D$47&lt;&gt;""),Show!$B$4&amp; Show!$B$4&amp;"S.26.04.04.02 Rows{Z}@ForceFilingCode:false","")</f>
        <v/>
      </c>
    </row>
    <row r="535" spans="1:2">
      <c r="A535" t="str">
        <f>IF(AND(LEFT('S.01.01.04'!$D$47,8)&lt;&gt;"Reported",'S.01.01.04'!$D$47&lt;&gt;""),Show!$B$4 &amp; "S.26.04.04.03 Rows{Z}@ForceFilingCode:false","")</f>
        <v/>
      </c>
      <c r="B535" t="str">
        <f>IF(AND(LEFT('S.01.01.04'!$D$47,8)&lt;&gt;"Reported",'S.01.01.04'!$D$47&lt;&gt;""),Show!$B$4&amp; Show!$B$4&amp;"S.26.04.04.03 Rows{Z}@ForceFilingCode:false","")</f>
        <v/>
      </c>
    </row>
    <row r="536" spans="1:2">
      <c r="A536" t="str">
        <f>IF(AND(LEFT('S.01.01.04'!$D$47,8)&lt;&gt;"Reported",'S.01.01.04'!$D$47&lt;&gt;""),Show!$B$4 &amp; "S.26.04.04.04 Rows{Z}@ForceFilingCode:false","")</f>
        <v/>
      </c>
      <c r="B536" t="str">
        <f>IF(AND(LEFT('S.01.01.04'!$D$47,8)&lt;&gt;"Reported",'S.01.01.04'!$D$47&lt;&gt;""),Show!$B$4&amp; Show!$B$4&amp;"S.26.04.04.04 Rows{Z}@ForceFilingCode:false","")</f>
        <v/>
      </c>
    </row>
    <row r="537" spans="1:2">
      <c r="A537" t="str">
        <f>IF(AND(LEFT('S.01.01.04'!$D$47,8)&lt;&gt;"Reported",'S.01.01.04'!$D$47&lt;&gt;""),Show!$B$4 &amp; "S.26.04.04.05 Rows{Z}@ForceFilingCode:false","")</f>
        <v/>
      </c>
      <c r="B537" t="str">
        <f>IF(AND(LEFT('S.01.01.04'!$D$47,8)&lt;&gt;"Reported",'S.01.01.04'!$D$47&lt;&gt;""),Show!$B$4&amp; Show!$B$4&amp;"S.26.04.04.05 Rows{Z}@ForceFilingCode:false","")</f>
        <v/>
      </c>
    </row>
    <row r="538" spans="1:2">
      <c r="A538" t="str">
        <f>IF(AND(LEFT('S.01.01.04'!$D$47,8)&lt;&gt;"Reported",'S.01.01.04'!$D$47&lt;&gt;""),Show!$B$4 &amp; "S.26.04.04.06 Rows{Z}@ForceFilingCode:false","")</f>
        <v/>
      </c>
      <c r="B538" t="str">
        <f>IF(AND(LEFT('S.01.01.04'!$D$47,8)&lt;&gt;"Reported",'S.01.01.04'!$D$47&lt;&gt;""),Show!$B$4&amp; Show!$B$4&amp;"S.26.04.04.06 Rows{Z}@ForceFilingCode:false","")</f>
        <v/>
      </c>
    </row>
    <row r="539" spans="1:2">
      <c r="A539" t="str">
        <f>IF(AND(LEFT('S.01.01.04'!$D$47,8)&lt;&gt;"Reported",'S.01.01.04'!$D$47&lt;&gt;""),Show!$B$4 &amp; "S.26.04.04.07 Rows{Z}@ForceFilingCode:false","")</f>
        <v/>
      </c>
      <c r="B539" t="str">
        <f>IF(AND(LEFT('S.01.01.04'!$D$47,8)&lt;&gt;"Reported",'S.01.01.04'!$D$47&lt;&gt;""),Show!$B$4&amp; Show!$B$4&amp;"S.26.04.04.07 Rows{Z}@ForceFilingCode:false","")</f>
        <v/>
      </c>
    </row>
    <row r="540" spans="1:2">
      <c r="A540" t="str">
        <f>IF(AND(LEFT('S.01.01.04'!$D$47,8)&lt;&gt;"Reported",'S.01.01.04'!$D$47&lt;&gt;""),Show!$B$4 &amp; "S.26.04.04.08 Rows{Z}@ForceFilingCode:false","")</f>
        <v/>
      </c>
      <c r="B540" t="str">
        <f>IF(AND(LEFT('S.01.01.04'!$D$47,8)&lt;&gt;"Reported",'S.01.01.04'!$D$47&lt;&gt;""),Show!$B$4&amp; Show!$B$4&amp;"S.26.04.04.08 Rows{Z}@ForceFilingCode:false","")</f>
        <v/>
      </c>
    </row>
    <row r="541" spans="1:2">
      <c r="A541" t="str">
        <f>IF(AND(LEFT('S.01.01.04'!$D$47,8)&lt;&gt;"Reported",'S.01.01.04'!$D$47&lt;&gt;""),Show!$B$4 &amp; "S.26.04.04.09 Rows{Z}@ForceFilingCode:false","")</f>
        <v/>
      </c>
      <c r="B541" t="str">
        <f>IF(AND(LEFT('S.01.01.04'!$D$47,8)&lt;&gt;"Reported",'S.01.01.04'!$D$47&lt;&gt;""),Show!$B$4&amp; Show!$B$4&amp;"S.26.04.04.09 Rows{Z}@ForceFilingCode:false","")</f>
        <v/>
      </c>
    </row>
    <row r="542" spans="1:2">
      <c r="A542" t="str">
        <f>IF(AND(LEFT('S.01.01.04'!$D$48,8)&lt;&gt;"Reported",'S.01.01.04'!$D$48&lt;&gt;""),Show!$B$4 &amp; "S.26.05.04.01 Rows{Z}@ForceFilingCode:false","")</f>
        <v/>
      </c>
      <c r="B542" t="str">
        <f>IF(AND(LEFT('S.01.01.04'!$D$48,8)&lt;&gt;"Reported",'S.01.01.04'!$D$48&lt;&gt;""),Show!$B$4&amp; Show!$B$4&amp;"S.26.05.04.01 Rows{Z}@ForceFilingCode:false","")</f>
        <v/>
      </c>
    </row>
    <row r="543" spans="1:2">
      <c r="A543" t="str">
        <f>IF(AND(LEFT('S.01.01.04'!$D$48,8)&lt;&gt;"Reported",'S.01.01.04'!$D$48&lt;&gt;""),Show!$B$4 &amp; "S.26.05.04.02 Rows{Z}@ForceFilingCode:false","")</f>
        <v/>
      </c>
      <c r="B543" t="str">
        <f>IF(AND(LEFT('S.01.01.04'!$D$48,8)&lt;&gt;"Reported",'S.01.01.04'!$D$48&lt;&gt;""),Show!$B$4&amp; Show!$B$4&amp;"S.26.05.04.02 Rows{Z}@ForceFilingCode:false","")</f>
        <v/>
      </c>
    </row>
    <row r="544" spans="1:2">
      <c r="A544" t="str">
        <f>IF(AND(LEFT('S.01.01.04'!$D$48,8)&lt;&gt;"Reported",'S.01.01.04'!$D$48&lt;&gt;""),Show!$B$4 &amp; "S.26.05.04.03 Rows{Z}@ForceFilingCode:false","")</f>
        <v/>
      </c>
      <c r="B544" t="str">
        <f>IF(AND(LEFT('S.01.01.04'!$D$48,8)&lt;&gt;"Reported",'S.01.01.04'!$D$48&lt;&gt;""),Show!$B$4&amp; Show!$B$4&amp;"S.26.05.04.03 Rows{Z}@ForceFilingCode:false","")</f>
        <v/>
      </c>
    </row>
    <row r="545" spans="1:2">
      <c r="A545" t="str">
        <f>IF(AND(LEFT('S.01.01.04'!$D$48,8)&lt;&gt;"Reported",'S.01.01.04'!$D$48&lt;&gt;""),Show!$B$4 &amp; "S.26.05.04.04 Rows{Z}@ForceFilingCode:false","")</f>
        <v/>
      </c>
      <c r="B545" t="str">
        <f>IF(AND(LEFT('S.01.01.04'!$D$48,8)&lt;&gt;"Reported",'S.01.01.04'!$D$48&lt;&gt;""),Show!$B$4&amp; Show!$B$4&amp;"S.26.05.04.04 Rows{Z}@ForceFilingCode:false","")</f>
        <v/>
      </c>
    </row>
    <row r="546" spans="1:2">
      <c r="A546" t="str">
        <f>IF(AND(LEFT('S.01.01.04'!$D$48,8)&lt;&gt;"Reported",'S.01.01.04'!$D$48&lt;&gt;""),Show!$B$4 &amp; "S.26.05.04.05 Rows{Z}@ForceFilingCode:false","")</f>
        <v/>
      </c>
      <c r="B546" t="str">
        <f>IF(AND(LEFT('S.01.01.04'!$D$48,8)&lt;&gt;"Reported",'S.01.01.04'!$D$48&lt;&gt;""),Show!$B$4&amp; Show!$B$4&amp;"S.26.05.04.05 Rows{Z}@ForceFilingCode:false","")</f>
        <v/>
      </c>
    </row>
    <row r="547" spans="1:2">
      <c r="A547" t="str">
        <f>IF(AND(LEFT('S.01.01.04'!$D$49,8)&lt;&gt;"Reported",'S.01.01.04'!$D$49&lt;&gt;""),Show!$B$4 &amp; "S.26.06.04.01 Rows{Z}@ForceFilingCode:false","")</f>
        <v/>
      </c>
      <c r="B547" t="str">
        <f>IF(AND(LEFT('S.01.01.04'!$D$49,8)&lt;&gt;"Reported",'S.01.01.04'!$D$49&lt;&gt;""),Show!$B$4&amp; Show!$B$4&amp;"S.26.06.04.01 Rows{Z}@ForceFilingCode:false","")</f>
        <v/>
      </c>
    </row>
    <row r="548" spans="1:2">
      <c r="A548" t="str">
        <f>IF(AND(LEFT('S.01.01.04'!$D$50,8)&lt;&gt;"Reported",'S.01.01.04'!$D$50&lt;&gt;""),Show!$B$4 &amp; "S.26.07.04.01 Rows{Z}@ForceFilingCode:false","")</f>
        <v/>
      </c>
      <c r="B548" t="str">
        <f>IF(AND(LEFT('S.01.01.04'!$D$50,8)&lt;&gt;"Reported",'S.01.01.04'!$D$50&lt;&gt;""),Show!$B$4&amp; Show!$B$4&amp;"S.26.07.04.01 Rows{Z}@ForceFilingCode:false","")</f>
        <v/>
      </c>
    </row>
    <row r="549" spans="1:2">
      <c r="A549" t="str">
        <f>IF(AND(LEFT('S.01.01.04'!$D$50,8)&lt;&gt;"Reported",'S.01.01.04'!$D$50&lt;&gt;""),Show!$B$4 &amp; "S.26.07.04.02 Rows{Z}@ForceFilingCode:false","")</f>
        <v/>
      </c>
      <c r="B549" t="str">
        <f>IF(AND(LEFT('S.01.01.04'!$D$50,8)&lt;&gt;"Reported",'S.01.01.04'!$D$50&lt;&gt;""),Show!$B$4&amp; Show!$B$4&amp;"S.26.07.04.02 Rows{Z}@ForceFilingCode:false","")</f>
        <v/>
      </c>
    </row>
    <row r="550" spans="1:2">
      <c r="A550" t="str">
        <f>IF(AND(LEFT('S.01.01.04'!$D$50,8)&lt;&gt;"Reported",'S.01.01.04'!$D$50&lt;&gt;""),Show!$B$4 &amp; "S.26.07.04.03 Rows{Z}@ForceFilingCode:false","")</f>
        <v/>
      </c>
      <c r="B550" t="str">
        <f>IF(AND(LEFT('S.01.01.04'!$D$50,8)&lt;&gt;"Reported",'S.01.01.04'!$D$50&lt;&gt;""),Show!$B$4&amp; Show!$B$4&amp;"S.26.07.04.03 Rows{Z}@ForceFilingCode:false","")</f>
        <v/>
      </c>
    </row>
    <row r="551" spans="1:2">
      <c r="A551" t="str">
        <f>IF(AND(LEFT('S.01.01.04'!$D$50,8)&lt;&gt;"Reported",'S.01.01.04'!$D$50&lt;&gt;""),Show!$B$4 &amp; "S.26.07.04.04 Rows{Z}@ForceFilingCode:false","")</f>
        <v/>
      </c>
      <c r="B551" t="str">
        <f>IF(AND(LEFT('S.01.01.04'!$D$50,8)&lt;&gt;"Reported",'S.01.01.04'!$D$50&lt;&gt;""),Show!$B$4&amp; Show!$B$4&amp;"S.26.07.04.04 Rows{Z}@ForceFilingCode:false","")</f>
        <v/>
      </c>
    </row>
    <row r="552" spans="1:2">
      <c r="A552" t="str">
        <f>IF(AND(LEFT('S.01.01.04'!$D$50,8)&lt;&gt;"Reported",'S.01.01.04'!$D$50&lt;&gt;""),Show!$B$4 &amp; "S.26.07.04.05 Rows{Z}@ForceFilingCode:false","")</f>
        <v/>
      </c>
      <c r="B552" t="str">
        <f>IF(AND(LEFT('S.01.01.04'!$D$50,8)&lt;&gt;"Reported",'S.01.01.04'!$D$50&lt;&gt;""),Show!$B$4&amp; Show!$B$4&amp;"S.26.07.04.05 Rows{Z}@ForceFilingCode:false","")</f>
        <v/>
      </c>
    </row>
    <row r="553" spans="1:2">
      <c r="A553" t="str">
        <f>IF(AND(LEFT('S.01.01.04'!$D$50,8)&lt;&gt;"Reported",'S.01.01.04'!$D$50&lt;&gt;""),Show!$B$4 &amp; "S.26.07.04.06 Rows{Z}@ForceFilingCode:false","")</f>
        <v/>
      </c>
      <c r="B553" t="str">
        <f>IF(AND(LEFT('S.01.01.04'!$D$50,8)&lt;&gt;"Reported",'S.01.01.04'!$D$50&lt;&gt;""),Show!$B$4&amp; Show!$B$4&amp;"S.26.07.04.06 Rows{Z}@ForceFilingCode:false","")</f>
        <v/>
      </c>
    </row>
    <row r="554" spans="1:2">
      <c r="A554" t="str">
        <f>IF(AND(LEFT('S.01.01.04'!$D$51,8)&lt;&gt;"Reported",'S.01.01.04'!$D$51&lt;&gt;""),Show!$B$4 &amp; "S.27.01.04.01 Rows{Z}@ForceFilingCode:false","")</f>
        <v/>
      </c>
      <c r="B554" t="str">
        <f>IF(AND(LEFT('S.01.01.04'!$D$51,8)&lt;&gt;"Reported",'S.01.01.04'!$D$51&lt;&gt;""),Show!$B$4&amp; Show!$B$4&amp;"S.27.01.04.01 Rows{Z}@ForceFilingCode:false","")</f>
        <v/>
      </c>
    </row>
    <row r="555" spans="1:2">
      <c r="A555" t="str">
        <f>IF(AND(LEFT('S.01.01.04'!$D$51,8)&lt;&gt;"Reported",'S.01.01.04'!$D$51&lt;&gt;""),Show!$B$4 &amp; "S.27.01.04.02 Rows{Z}@ForceFilingCode:false","")</f>
        <v/>
      </c>
      <c r="B555" t="str">
        <f>IF(AND(LEFT('S.01.01.04'!$D$51,8)&lt;&gt;"Reported",'S.01.01.04'!$D$51&lt;&gt;""),Show!$B$4&amp; Show!$B$4&amp;"S.27.01.04.02 Rows{Z}@ForceFilingCode:false","")</f>
        <v/>
      </c>
    </row>
    <row r="556" spans="1:2">
      <c r="A556" t="str">
        <f>IF(AND(LEFT('S.01.01.04'!$D$51,8)&lt;&gt;"Reported",'S.01.01.04'!$D$51&lt;&gt;""),Show!$B$4 &amp; "S.27.01.04.03 Rows{Z}@ForceFilingCode:false","")</f>
        <v/>
      </c>
      <c r="B556" t="str">
        <f>IF(AND(LEFT('S.01.01.04'!$D$51,8)&lt;&gt;"Reported",'S.01.01.04'!$D$51&lt;&gt;""),Show!$B$4&amp; Show!$B$4&amp;"S.27.01.04.03 Rows{Z}@ForceFilingCode:false","")</f>
        <v/>
      </c>
    </row>
    <row r="557" spans="1:2">
      <c r="A557" t="str">
        <f>IF(AND(LEFT('S.01.01.04'!$D$51,8)&lt;&gt;"Reported",'S.01.01.04'!$D$51&lt;&gt;""),Show!$B$4 &amp; "S.27.01.04.04 Rows{Z}@ForceFilingCode:false","")</f>
        <v/>
      </c>
      <c r="B557" t="str">
        <f>IF(AND(LEFT('S.01.01.04'!$D$51,8)&lt;&gt;"Reported",'S.01.01.04'!$D$51&lt;&gt;""),Show!$B$4&amp; Show!$B$4&amp;"S.27.01.04.04 Rows{Z}@ForceFilingCode:false","")</f>
        <v/>
      </c>
    </row>
    <row r="558" spans="1:2">
      <c r="A558" t="str">
        <f>IF(AND(LEFT('S.01.01.04'!$D$51,8)&lt;&gt;"Reported",'S.01.01.04'!$D$51&lt;&gt;""),Show!$B$4 &amp; "S.27.01.04.05 Rows{Z}@ForceFilingCode:false","")</f>
        <v/>
      </c>
      <c r="B558" t="str">
        <f>IF(AND(LEFT('S.01.01.04'!$D$51,8)&lt;&gt;"Reported",'S.01.01.04'!$D$51&lt;&gt;""),Show!$B$4&amp; Show!$B$4&amp;"S.27.01.04.05 Rows{Z}@ForceFilingCode:false","")</f>
        <v/>
      </c>
    </row>
    <row r="559" spans="1:2">
      <c r="A559" t="str">
        <f>IF(AND(LEFT('S.01.01.04'!$D$51,8)&lt;&gt;"Reported",'S.01.01.04'!$D$51&lt;&gt;""),Show!$B$4 &amp; "S.27.01.04.06 Rows{Z}@ForceFilingCode:false","")</f>
        <v/>
      </c>
      <c r="B559" t="str">
        <f>IF(AND(LEFT('S.01.01.04'!$D$51,8)&lt;&gt;"Reported",'S.01.01.04'!$D$51&lt;&gt;""),Show!$B$4&amp; Show!$B$4&amp;"S.27.01.04.06 Rows{Z}@ForceFilingCode:false","")</f>
        <v/>
      </c>
    </row>
    <row r="560" spans="1:2">
      <c r="A560" t="str">
        <f>IF(AND(LEFT('S.01.01.04'!$D$51,8)&lt;&gt;"Reported",'S.01.01.04'!$D$51&lt;&gt;""),Show!$B$4 &amp; "S.27.01.04.07 Rows{Z}@ForceFilingCode:false","")</f>
        <v/>
      </c>
      <c r="B560" t="str">
        <f>IF(AND(LEFT('S.01.01.04'!$D$51,8)&lt;&gt;"Reported",'S.01.01.04'!$D$51&lt;&gt;""),Show!$B$4&amp; Show!$B$4&amp;"S.27.01.04.07 Rows{Z}@ForceFilingCode:false","")</f>
        <v/>
      </c>
    </row>
    <row r="561" spans="1:2">
      <c r="A561" t="str">
        <f>IF(AND(LEFT('S.01.01.04'!$D$51,8)&lt;&gt;"Reported",'S.01.01.04'!$D$51&lt;&gt;""),Show!$B$4 &amp; "S.27.01.04.08 Rows{Z}@ForceFilingCode:false","")</f>
        <v/>
      </c>
      <c r="B561" t="str">
        <f>IF(AND(LEFT('S.01.01.04'!$D$51,8)&lt;&gt;"Reported",'S.01.01.04'!$D$51&lt;&gt;""),Show!$B$4&amp; Show!$B$4&amp;"S.27.01.04.08 Rows{Z}@ForceFilingCode:false","")</f>
        <v/>
      </c>
    </row>
    <row r="562" spans="1:2">
      <c r="A562" t="str">
        <f>IF(AND(LEFT('S.01.01.04'!$D$51,8)&lt;&gt;"Reported",'S.01.01.04'!$D$51&lt;&gt;""),Show!$B$4 &amp; "S.27.01.04.09 Rows{Z}@ForceFilingCode:false","")</f>
        <v/>
      </c>
      <c r="B562" t="str">
        <f>IF(AND(LEFT('S.01.01.04'!$D$51,8)&lt;&gt;"Reported",'S.01.01.04'!$D$51&lt;&gt;""),Show!$B$4&amp; Show!$B$4&amp;"S.27.01.04.09 Rows{Z}@ForceFilingCode:false","")</f>
        <v/>
      </c>
    </row>
    <row r="563" spans="1:2">
      <c r="A563" t="str">
        <f>IF(AND(LEFT('S.01.01.04'!$D$51,8)&lt;&gt;"Reported",'S.01.01.04'!$D$51&lt;&gt;""),Show!$B$4 &amp; "S.27.01.04.10 Rows{Z}@ForceFilingCode:false","")</f>
        <v/>
      </c>
      <c r="B563" t="str">
        <f>IF(AND(LEFT('S.01.01.04'!$D$51,8)&lt;&gt;"Reported",'S.01.01.04'!$D$51&lt;&gt;""),Show!$B$4&amp; Show!$B$4&amp;"S.27.01.04.10 Rows{Z}@ForceFilingCode:false","")</f>
        <v/>
      </c>
    </row>
    <row r="564" spans="1:2">
      <c r="A564" t="str">
        <f>IF(AND(LEFT('S.01.01.04'!$D$51,8)&lt;&gt;"Reported",'S.01.01.04'!$D$51&lt;&gt;""),Show!$B$4 &amp; "S.27.01.04.11 Rows{Z}@ForceFilingCode:false","")</f>
        <v/>
      </c>
      <c r="B564" t="str">
        <f>IF(AND(LEFT('S.01.01.04'!$D$51,8)&lt;&gt;"Reported",'S.01.01.04'!$D$51&lt;&gt;""),Show!$B$4&amp; Show!$B$4&amp;"S.27.01.04.11 Rows{Z}@ForceFilingCode:false","")</f>
        <v/>
      </c>
    </row>
    <row r="565" spans="1:2">
      <c r="A565" t="str">
        <f>IF(AND(LEFT('S.01.01.04'!$D$51,8)&lt;&gt;"Reported",'S.01.01.04'!$D$51&lt;&gt;""),Show!$B$4 &amp; "S.27.01.04.12 Rows{Z}@ForceFilingCode:false","")</f>
        <v/>
      </c>
      <c r="B565" t="str">
        <f>IF(AND(LEFT('S.01.01.04'!$D$51,8)&lt;&gt;"Reported",'S.01.01.04'!$D$51&lt;&gt;""),Show!$B$4&amp; Show!$B$4&amp;"S.27.01.04.12 Rows{Z}@ForceFilingCode:false","")</f>
        <v/>
      </c>
    </row>
    <row r="566" spans="1:2">
      <c r="A566" t="str">
        <f>IF(AND(LEFT('S.01.01.04'!$D$51,8)&lt;&gt;"Reported",'S.01.01.04'!$D$51&lt;&gt;""),Show!$B$4 &amp; "S.27.01.04.13 Rows{Z}@ForceFilingCode:false","")</f>
        <v/>
      </c>
      <c r="B566" t="str">
        <f>IF(AND(LEFT('S.01.01.04'!$D$51,8)&lt;&gt;"Reported",'S.01.01.04'!$D$51&lt;&gt;""),Show!$B$4&amp; Show!$B$4&amp;"S.27.01.04.13 Rows{Z}@ForceFilingCode:false","")</f>
        <v/>
      </c>
    </row>
    <row r="567" spans="1:2">
      <c r="A567" t="str">
        <f>IF(AND(LEFT('S.01.01.04'!$D$51,8)&lt;&gt;"Reported",'S.01.01.04'!$D$51&lt;&gt;""),Show!$B$4 &amp; "S.27.01.04.14 Rows{Z}@ForceFilingCode:false","")</f>
        <v/>
      </c>
      <c r="B567" t="str">
        <f>IF(AND(LEFT('S.01.01.04'!$D$51,8)&lt;&gt;"Reported",'S.01.01.04'!$D$51&lt;&gt;""),Show!$B$4&amp; Show!$B$4&amp;"S.27.01.04.14 Rows{Z}@ForceFilingCode:false","")</f>
        <v/>
      </c>
    </row>
    <row r="568" spans="1:2">
      <c r="A568" t="str">
        <f>IF(AND(LEFT('S.01.01.04'!$D$51,8)&lt;&gt;"Reported",'S.01.01.04'!$D$51&lt;&gt;""),Show!$B$4 &amp; "S.27.01.04.15 Rows{Z}@ForceFilingCode:false","")</f>
        <v/>
      </c>
      <c r="B568" t="str">
        <f>IF(AND(LEFT('S.01.01.04'!$D$51,8)&lt;&gt;"Reported",'S.01.01.04'!$D$51&lt;&gt;""),Show!$B$4&amp; Show!$B$4&amp;"S.27.01.04.15 Rows{Z}@ForceFilingCode:false","")</f>
        <v/>
      </c>
    </row>
    <row r="569" spans="1:2">
      <c r="A569" t="str">
        <f>IF(AND(LEFT('S.01.01.04'!$D$51,8)&lt;&gt;"Reported",'S.01.01.04'!$D$51&lt;&gt;""),Show!$B$4 &amp; "S.27.01.04.16 Rows{Z}@ForceFilingCode:false","")</f>
        <v/>
      </c>
      <c r="B569" t="str">
        <f>IF(AND(LEFT('S.01.01.04'!$D$51,8)&lt;&gt;"Reported",'S.01.01.04'!$D$51&lt;&gt;""),Show!$B$4&amp; Show!$B$4&amp;"S.27.01.04.16 Rows{Z}@ForceFilingCode:false","")</f>
        <v/>
      </c>
    </row>
    <row r="570" spans="1:2">
      <c r="A570" t="str">
        <f>IF(AND(LEFT('S.01.01.04'!$D$51,8)&lt;&gt;"Reported",'S.01.01.04'!$D$51&lt;&gt;""),Show!$B$4 &amp; "S.27.01.04.17 Rows{Z}@ForceFilingCode:false","")</f>
        <v/>
      </c>
      <c r="B570" t="str">
        <f>IF(AND(LEFT('S.01.01.04'!$D$51,8)&lt;&gt;"Reported",'S.01.01.04'!$D$51&lt;&gt;""),Show!$B$4&amp; Show!$B$4&amp;"S.27.01.04.17 Rows{Z}@ForceFilingCode:false","")</f>
        <v/>
      </c>
    </row>
    <row r="571" spans="1:2">
      <c r="A571" t="str">
        <f>IF(AND(LEFT('S.01.01.04'!$D$51,8)&lt;&gt;"Reported",'S.01.01.04'!$D$51&lt;&gt;""),Show!$B$4 &amp; "S.27.01.04.18 Rows{Z}@ForceFilingCode:false","")</f>
        <v/>
      </c>
      <c r="B571" t="str">
        <f>IF(AND(LEFT('S.01.01.04'!$D$51,8)&lt;&gt;"Reported",'S.01.01.04'!$D$51&lt;&gt;""),Show!$B$4&amp; Show!$B$4&amp;"S.27.01.04.18 Rows{Z}@ForceFilingCode:false","")</f>
        <v/>
      </c>
    </row>
    <row r="572" spans="1:2">
      <c r="A572" t="str">
        <f>IF(AND(LEFT('S.01.01.04'!$D$51,8)&lt;&gt;"Reported",'S.01.01.04'!$D$51&lt;&gt;""),Show!$B$4 &amp; "S.27.01.04.19 Rows{Z}@ForceFilingCode:false","")</f>
        <v/>
      </c>
      <c r="B572" t="str">
        <f>IF(AND(LEFT('S.01.01.04'!$D$51,8)&lt;&gt;"Reported",'S.01.01.04'!$D$51&lt;&gt;""),Show!$B$4&amp; Show!$B$4&amp;"S.27.01.04.19 Rows{Z}@ForceFilingCode:false","")</f>
        <v/>
      </c>
    </row>
    <row r="573" spans="1:2">
      <c r="A573" t="str">
        <f>IF(AND(LEFT('S.01.01.04'!$D$51,8)&lt;&gt;"Reported",'S.01.01.04'!$D$51&lt;&gt;""),Show!$B$4 &amp; "S.27.01.04.20 Rows{Z}@ForceFilingCode:false","")</f>
        <v/>
      </c>
      <c r="B573" t="str">
        <f>IF(AND(LEFT('S.01.01.04'!$D$51,8)&lt;&gt;"Reported",'S.01.01.04'!$D$51&lt;&gt;""),Show!$B$4&amp; Show!$B$4&amp;"S.27.01.04.20 Rows{Z}@ForceFilingCode:false","")</f>
        <v/>
      </c>
    </row>
    <row r="574" spans="1:2">
      <c r="A574" t="str">
        <f>IF(AND(LEFT('S.01.01.04'!$D$51,8)&lt;&gt;"Reported",'S.01.01.04'!$D$51&lt;&gt;""),Show!$B$4 &amp; "S.27.01.04.21 Rows{Z}@ForceFilingCode:false","")</f>
        <v/>
      </c>
      <c r="B574" t="str">
        <f>IF(AND(LEFT('S.01.01.04'!$D$51,8)&lt;&gt;"Reported",'S.01.01.04'!$D$51&lt;&gt;""),Show!$B$4&amp; Show!$B$4&amp;"S.27.01.04.21 Rows{Z}@ForceFilingCode:false","")</f>
        <v/>
      </c>
    </row>
    <row r="575" spans="1:2">
      <c r="A575" t="str">
        <f>IF(AND(LEFT('S.01.01.04'!$D$51,8)&lt;&gt;"Reported",'S.01.01.04'!$D$51&lt;&gt;""),Show!$B$4 &amp; "S.27.01.04.22 Rows{Z}@ForceFilingCode:false","")</f>
        <v/>
      </c>
      <c r="B575" t="str">
        <f>IF(AND(LEFT('S.01.01.04'!$D$51,8)&lt;&gt;"Reported",'S.01.01.04'!$D$51&lt;&gt;""),Show!$B$4&amp; Show!$B$4&amp;"S.27.01.04.22 Rows{Z}@ForceFilingCode:false","")</f>
        <v/>
      </c>
    </row>
    <row r="576" spans="1:2">
      <c r="A576" t="str">
        <f>IF(AND(LEFT('S.01.01.04'!$D$51,8)&lt;&gt;"Reported",'S.01.01.04'!$D$51&lt;&gt;""),Show!$B$4 &amp; "S.27.01.04.23 Rows{Z}@ForceFilingCode:false","")</f>
        <v/>
      </c>
      <c r="B576" t="str">
        <f>IF(AND(LEFT('S.01.01.04'!$D$51,8)&lt;&gt;"Reported",'S.01.01.04'!$D$51&lt;&gt;""),Show!$B$4&amp; Show!$B$4&amp;"S.27.01.04.23 Rows{Z}@ForceFilingCode:false","")</f>
        <v/>
      </c>
    </row>
    <row r="577" spans="1:2">
      <c r="A577" t="str">
        <f>IF(AND(LEFT('S.01.01.04'!$D$51,8)&lt;&gt;"Reported",'S.01.01.04'!$D$51&lt;&gt;""),Show!$B$4 &amp; "S.27.01.04.24 Rows{Z}@ForceFilingCode:false","")</f>
        <v/>
      </c>
      <c r="B577" t="str">
        <f>IF(AND(LEFT('S.01.01.04'!$D$51,8)&lt;&gt;"Reported",'S.01.01.04'!$D$51&lt;&gt;""),Show!$B$4&amp; Show!$B$4&amp;"S.27.01.04.24 Rows{Z}@ForceFilingCode:false","")</f>
        <v/>
      </c>
    </row>
    <row r="578" spans="1:2">
      <c r="A578" t="str">
        <f>IF(AND(LEFT('S.01.01.04'!$D$51,8)&lt;&gt;"Reported",'S.01.01.04'!$D$51&lt;&gt;""),Show!$B$4 &amp; "S.27.01.04.25 Rows{Z}@ForceFilingCode:false","")</f>
        <v/>
      </c>
      <c r="B578" t="str">
        <f>IF(AND(LEFT('S.01.01.04'!$D$51,8)&lt;&gt;"Reported",'S.01.01.04'!$D$51&lt;&gt;""),Show!$B$4&amp; Show!$B$4&amp;"S.27.01.04.25 Rows{Z}@ForceFilingCode:false","")</f>
        <v/>
      </c>
    </row>
    <row r="579" spans="1:2">
      <c r="A579" t="str">
        <f>IF(AND(LEFT('S.01.01.04'!$D$51,8)&lt;&gt;"Reported",'S.01.01.04'!$D$51&lt;&gt;""),Show!$B$4 &amp; "S.27.01.04.26 Rows{Z}@ForceFilingCode:false","")</f>
        <v/>
      </c>
      <c r="B579" t="str">
        <f>IF(AND(LEFT('S.01.01.04'!$D$51,8)&lt;&gt;"Reported",'S.01.01.04'!$D$51&lt;&gt;""),Show!$B$4&amp; Show!$B$4&amp;"S.27.01.04.26 Rows{Z}@ForceFilingCode:false","")</f>
        <v/>
      </c>
    </row>
    <row r="580" spans="1:2">
      <c r="A580" t="str">
        <f>IF(AND(LEFT('S.01.01.04'!$D$51,8)&lt;&gt;"Reported",'S.01.01.04'!$D$51&lt;&gt;""),Show!$B$4 &amp; "S.27.01.04.27 Rows{Z}@ForceFilingCode:false","")</f>
        <v/>
      </c>
      <c r="B580" t="str">
        <f>IF(AND(LEFT('S.01.01.04'!$D$51,8)&lt;&gt;"Reported",'S.01.01.04'!$D$51&lt;&gt;""),Show!$B$4&amp; Show!$B$4&amp;"S.27.01.04.27 Rows{Z}@ForceFilingCode:false","")</f>
        <v/>
      </c>
    </row>
    <row r="581" spans="1:2">
      <c r="A581" t="str">
        <f>IF(AND(LEFT('S.01.01.04'!$D$51,8)&lt;&gt;"Reported",'S.01.01.04'!$D$51&lt;&gt;""),Show!$B$4 &amp; "S.27.01.04.28 Rows{Z}@ForceFilingCode:false","")</f>
        <v/>
      </c>
      <c r="B581" t="str">
        <f>IF(AND(LEFT('S.01.01.04'!$D$51,8)&lt;&gt;"Reported",'S.01.01.04'!$D$51&lt;&gt;""),Show!$B$4&amp; Show!$B$4&amp;"S.27.01.04.28 Rows{Z}@ForceFilingCode:false","")</f>
        <v/>
      </c>
    </row>
    <row r="582" spans="1:2">
      <c r="A582" t="str">
        <f>IF(AND(LEFT('S.01.01.04'!$D$52,8)&lt;&gt;"Reported",'S.01.01.04'!$D$52&lt;&gt;""),Show!$B$4 &amp; "S.31.01.04.01 Rows{Z}@ForceFilingCode:false","")</f>
        <v/>
      </c>
      <c r="B582" t="str">
        <f>IF(AND(LEFT('S.01.01.04'!$D$52,8)&lt;&gt;"Reported",'S.01.01.04'!$D$52&lt;&gt;""),Show!$B$4&amp; Show!$B$4&amp;"S.31.01.04.01 Rows{Z}@ForceFilingCode:false","")</f>
        <v/>
      </c>
    </row>
    <row r="583" spans="1:2">
      <c r="A583" t="str">
        <f>IF(AND(LEFT('S.01.01.04'!$D$52,8)&lt;&gt;"Reported",'S.01.01.04'!$D$52&lt;&gt;""),Show!$B$4 &amp; "S.31.01.04.02 Rows{Z}@ForceFilingCode:false","")</f>
        <v/>
      </c>
      <c r="B583" t="str">
        <f>IF(AND(LEFT('S.01.01.04'!$D$52,8)&lt;&gt;"Reported",'S.01.01.04'!$D$52&lt;&gt;""),Show!$B$4&amp; Show!$B$4&amp;"S.31.01.04.02 Rows{Z}@ForceFilingCode:false","")</f>
        <v/>
      </c>
    </row>
    <row r="584" spans="1:2">
      <c r="A584" t="str">
        <f>IF(AND(LEFT('S.01.01.04'!$D$53,8)&lt;&gt;"Reported",'S.01.01.04'!$D$53&lt;&gt;""),Show!$B$4 &amp; "S.31.02.04.01 Rows{Z}@ForceFilingCode:false","")</f>
        <v/>
      </c>
      <c r="B584" t="str">
        <f>IF(AND(LEFT('S.01.01.04'!$D$53,8)&lt;&gt;"Reported",'S.01.01.04'!$D$53&lt;&gt;""),Show!$B$4&amp; Show!$B$4&amp;"S.31.02.04.01 Rows{Z}@ForceFilingCode:false","")</f>
        <v/>
      </c>
    </row>
    <row r="585" spans="1:2">
      <c r="A585" t="str">
        <f>IF(AND(LEFT('S.01.01.04'!$D$53,8)&lt;&gt;"Reported",'S.01.01.04'!$D$53&lt;&gt;""),Show!$B$4 &amp; "S.31.02.04.02 Rows{Z}@ForceFilingCode:false","")</f>
        <v/>
      </c>
      <c r="B585" t="str">
        <f>IF(AND(LEFT('S.01.01.04'!$D$53,8)&lt;&gt;"Reported",'S.01.01.04'!$D$53&lt;&gt;""),Show!$B$4&amp; Show!$B$4&amp;"S.31.02.04.02 Rows{Z}@ForceFilingCode:false","")</f>
        <v/>
      </c>
    </row>
    <row r="586" spans="1:2">
      <c r="A586" t="str">
        <f>IF(AND(LEFT('S.01.01.04'!$D$54,8)&lt;&gt;"Reported",'S.01.01.04'!$D$54&lt;&gt;""),Show!$B$4 &amp; "S.32.01.04.01 Rows{Z}@ForceFilingCode:false","")</f>
        <v/>
      </c>
      <c r="B586" t="str">
        <f>IF(AND(LEFT('S.01.01.04'!$D$54,8)&lt;&gt;"Reported",'S.01.01.04'!$D$54&lt;&gt;""),Show!$B$4&amp; Show!$B$4&amp;"S.32.01.04.01 Rows{Z}@ForceFilingCode:false","")</f>
        <v/>
      </c>
    </row>
    <row r="587" spans="1:2">
      <c r="A587" t="str">
        <f>IF(AND(LEFT('S.01.01.04'!$D$55,8)&lt;&gt;"Reported",'S.01.01.04'!$D$55&lt;&gt;""),Show!$B$4 &amp; "S.33.01.04.01 Rows{Z}@ForceFilingCode:false","")</f>
        <v/>
      </c>
      <c r="B587" t="str">
        <f>IF(AND(LEFT('S.01.01.04'!$D$55,8)&lt;&gt;"Reported",'S.01.01.04'!$D$55&lt;&gt;""),Show!$B$4&amp; Show!$B$4&amp;"S.33.01.04.01 Rows{Z}@ForceFilingCode:false","")</f>
        <v/>
      </c>
    </row>
    <row r="588" spans="1:2">
      <c r="A588" t="str">
        <f>IF(AND(LEFT('S.01.01.04'!$D$56,8)&lt;&gt;"Reported",'S.01.01.04'!$D$56&lt;&gt;""),Show!$B$4 &amp; "S.34.01.04.01 Rows{Z}@ForceFilingCode:false","")</f>
        <v/>
      </c>
      <c r="B588" t="str">
        <f>IF(AND(LEFT('S.01.01.04'!$D$56,8)&lt;&gt;"Reported",'S.01.01.04'!$D$56&lt;&gt;""),Show!$B$4&amp; Show!$B$4&amp;"S.34.01.04.01 Rows{Z}@ForceFilingCode:false","")</f>
        <v/>
      </c>
    </row>
    <row r="589" spans="1:2">
      <c r="A589" t="str">
        <f>IF(AND(LEFT('S.01.01.04'!$D$57,8)&lt;&gt;"Reported",'S.01.01.04'!$D$57&lt;&gt;""),Show!$B$4 &amp; "S.35.01.04.01 Rows{Z}@ForceFilingCode:false","")</f>
        <v/>
      </c>
      <c r="B589" t="str">
        <f>IF(AND(LEFT('S.01.01.04'!$D$57,8)&lt;&gt;"Reported",'S.01.01.04'!$D$57&lt;&gt;""),Show!$B$4&amp; Show!$B$4&amp;"S.35.01.04.01 Rows{Z}@ForceFilingCode:false","")</f>
        <v/>
      </c>
    </row>
    <row r="590" spans="1:2">
      <c r="A590" t="str">
        <f>IF(AND(LEFT('S.01.01.04'!$D$58,8)&lt;&gt;"Reported",'S.01.01.04'!$D$58&lt;&gt;""),Show!$B$4 &amp; "S.36.01.01.01 Rows{Z}@ForceFilingCode:false","")</f>
        <v/>
      </c>
      <c r="B590" t="str">
        <f>IF(AND(LEFT('S.01.01.04'!$D$58,8)&lt;&gt;"Reported",'S.01.01.04'!$D$58&lt;&gt;""),Show!$B$4&amp; Show!$B$4&amp;"S.36.01.01.01 Rows{Z}@ForceFilingCode:false","")</f>
        <v/>
      </c>
    </row>
    <row r="591" spans="1:2">
      <c r="A591" t="str">
        <f>IF(AND(LEFT('S.01.01.04'!$D$59,8)&lt;&gt;"Reported",'S.01.01.04'!$D$59&lt;&gt;""),Show!$B$4 &amp; "S.36.02.01.01 Rows{Z}@ForceFilingCode:false","")</f>
        <v/>
      </c>
      <c r="B591" t="str">
        <f>IF(AND(LEFT('S.01.01.04'!$D$59,8)&lt;&gt;"Reported",'S.01.01.04'!$D$59&lt;&gt;""),Show!$B$4&amp; Show!$B$4&amp;"S.36.02.01.01 Rows{Z}@ForceFilingCode:false","")</f>
        <v/>
      </c>
    </row>
    <row r="592" spans="1:2">
      <c r="A592" t="str">
        <f>IF(AND(LEFT('S.01.01.04'!$D$60,8)&lt;&gt;"Reported",'S.01.01.04'!$D$60&lt;&gt;""),Show!$B$4 &amp; "S.36.03.01.01 Rows{Z}@ForceFilingCode:false","")</f>
        <v/>
      </c>
      <c r="B592" t="str">
        <f>IF(AND(LEFT('S.01.01.04'!$D$60,8)&lt;&gt;"Reported",'S.01.01.04'!$D$60&lt;&gt;""),Show!$B$4&amp; Show!$B$4&amp;"S.36.03.01.01 Rows{Z}@ForceFilingCode:false","")</f>
        <v/>
      </c>
    </row>
    <row r="593" spans="1:2">
      <c r="A593" t="str">
        <f>IF(AND(LEFT('S.01.01.04'!$D$61,8)&lt;&gt;"Reported",'S.01.01.04'!$D$61&lt;&gt;""),Show!$B$4 &amp; "S.36.04.01.01 Rows{Z}@ForceFilingCode:false","")</f>
        <v/>
      </c>
      <c r="B593" t="str">
        <f>IF(AND(LEFT('S.01.01.04'!$D$61,8)&lt;&gt;"Reported",'S.01.01.04'!$D$61&lt;&gt;""),Show!$B$4&amp; Show!$B$4&amp;"S.36.04.01.01 Rows{Z}@ForceFilingCode:false","")</f>
        <v/>
      </c>
    </row>
    <row r="594" spans="1:2">
      <c r="A594" t="str">
        <f>IF(AND(LEFT('S.01.01.04'!$D$62,8)&lt;&gt;"Reported",'S.01.01.04'!$D$62&lt;&gt;""),Show!$B$4 &amp; "S.37.01.04.01 Rows{Z}@ForceFilingCode:false","")</f>
        <v/>
      </c>
      <c r="B594" t="str">
        <f>IF(AND(LEFT('S.01.01.04'!$D$62,8)&lt;&gt;"Reported",'S.01.01.04'!$D$62&lt;&gt;""),Show!$B$4&amp; Show!$B$4&amp;"S.37.01.04.01 Rows{Z}@ForceFilingCode:false","")</f>
        <v/>
      </c>
    </row>
    <row r="595" spans="1:2">
      <c r="A595" t="str">
        <f>IF(AND(LEFT('S.01.01.05'!$D$16,8)&lt;&gt;"Reported",'S.01.01.05'!$D$16&lt;&gt;""),Show!$B$5 &amp; "S.01.02.04.01 Rows{Z}@ForceFilingCode:false","")</f>
        <v/>
      </c>
      <c r="B595" t="str">
        <f>IF(AND(LEFT('S.01.01.05'!$D$16,8)&lt;&gt;"Reported",'S.01.01.05'!$D$16&lt;&gt;""),Show!$B$5&amp; Show!$B$5&amp;"S.01.02.04.01 Rows{Z}@ForceFilingCode:false","")</f>
        <v/>
      </c>
    </row>
    <row r="596" spans="1:2">
      <c r="A596" t="str">
        <f>IF(AND(LEFT('S.01.01.05'!$D$17,8)&lt;&gt;"Reported",'S.01.01.05'!$D$17&lt;&gt;""),Show!$B$5 &amp; "S.02.01.02.01 Rows{Z}@ForceFilingCode:false","")</f>
        <v/>
      </c>
      <c r="B596" t="str">
        <f>IF(AND(LEFT('S.01.01.05'!$D$17,8)&lt;&gt;"Reported",'S.01.01.05'!$D$17&lt;&gt;""),Show!$B$5&amp; Show!$B$5&amp;"S.02.01.02.01 Rows{Z}@ForceFilingCode:false","")</f>
        <v/>
      </c>
    </row>
    <row r="597" spans="1:2">
      <c r="A597" t="str">
        <f>IF(AND(LEFT('S.01.01.05'!$D$18,8)&lt;&gt;"Reported",'S.01.01.05'!$D$18&lt;&gt;""),Show!$B$5 &amp; "S.05.01.02.01 Rows{Z}@ForceFilingCode:false","")</f>
        <v/>
      </c>
      <c r="B597" t="str">
        <f>IF(AND(LEFT('S.01.01.05'!$D$18,8)&lt;&gt;"Reported",'S.01.01.05'!$D$18&lt;&gt;""),Show!$B$5&amp; Show!$B$5&amp;"S.05.01.02.01 Rows{Z}@ForceFilingCode:false","")</f>
        <v/>
      </c>
    </row>
    <row r="598" spans="1:2">
      <c r="A598" t="str">
        <f>IF(AND(LEFT('S.01.01.05'!$D$18,8)&lt;&gt;"Reported",'S.01.01.05'!$D$18&lt;&gt;""),Show!$B$5 &amp; "S.05.01.02.02 Rows{Z}@ForceFilingCode:false","")</f>
        <v/>
      </c>
      <c r="B598" t="str">
        <f>IF(AND(LEFT('S.01.01.05'!$D$18,8)&lt;&gt;"Reported",'S.01.01.05'!$D$18&lt;&gt;""),Show!$B$5&amp; Show!$B$5&amp;"S.05.01.02.02 Rows{Z}@ForceFilingCode:false","")</f>
        <v/>
      </c>
    </row>
    <row r="599" spans="1:2">
      <c r="A599" t="str">
        <f>IF(AND(LEFT('S.01.01.05'!$D$19,8)&lt;&gt;"Reported",'S.01.01.05'!$D$19&lt;&gt;""),Show!$B$5 &amp; "S.06.02.04.01 Rows{Z}@ForceFilingCode:false","")</f>
        <v/>
      </c>
      <c r="B599" t="str">
        <f>IF(AND(LEFT('S.01.01.05'!$D$19,8)&lt;&gt;"Reported",'S.01.01.05'!$D$19&lt;&gt;""),Show!$B$5&amp; Show!$B$5&amp;"S.06.02.04.01 Rows{Z}@ForceFilingCode:false","")</f>
        <v/>
      </c>
    </row>
    <row r="600" spans="1:2">
      <c r="A600" t="str">
        <f>IF(AND(LEFT('S.01.01.05'!$D$19,8)&lt;&gt;"Reported",'S.01.01.05'!$D$19&lt;&gt;""),Show!$B$5 &amp; "S.06.02.04.02 Rows{Z}@ForceFilingCode:false","")</f>
        <v/>
      </c>
      <c r="B600" t="str">
        <f>IF(AND(LEFT('S.01.01.05'!$D$19,8)&lt;&gt;"Reported",'S.01.01.05'!$D$19&lt;&gt;""),Show!$B$5&amp; Show!$B$5&amp;"S.06.02.04.02 Rows{Z}@ForceFilingCode:false","")</f>
        <v/>
      </c>
    </row>
    <row r="601" spans="1:2">
      <c r="A601" t="str">
        <f>IF(AND(LEFT('S.01.01.05'!$D$20,8)&lt;&gt;"Reported",'S.01.01.05'!$D$20&lt;&gt;""),Show!$B$5 &amp; "S.06.03.04.01 Rows{Z}@ForceFilingCode:false","")</f>
        <v/>
      </c>
      <c r="B601" t="str">
        <f>IF(AND(LEFT('S.01.01.05'!$D$20,8)&lt;&gt;"Reported",'S.01.01.05'!$D$20&lt;&gt;""),Show!$B$5&amp; Show!$B$5&amp;"S.06.03.04.01 Rows{Z}@ForceFilingCode:false","")</f>
        <v/>
      </c>
    </row>
    <row r="602" spans="1:2">
      <c r="A602" t="str">
        <f>IF(AND(LEFT('S.01.01.05'!$D$21,8)&lt;&gt;"Reported",'S.01.01.05'!$D$21&lt;&gt;""),Show!$B$5 &amp; "S.08.01.04.01 Rows{Z}@ForceFilingCode:false","")</f>
        <v/>
      </c>
      <c r="B602" t="str">
        <f>IF(AND(LEFT('S.01.01.05'!$D$21,8)&lt;&gt;"Reported",'S.01.01.05'!$D$21&lt;&gt;""),Show!$B$5&amp; Show!$B$5&amp;"S.08.01.04.01 Rows{Z}@ForceFilingCode:false","")</f>
        <v/>
      </c>
    </row>
    <row r="603" spans="1:2">
      <c r="A603" t="str">
        <f>IF(AND(LEFT('S.01.01.05'!$D$21,8)&lt;&gt;"Reported",'S.01.01.05'!$D$21&lt;&gt;""),Show!$B$5 &amp; "S.08.01.04.02 Rows{Z}@ForceFilingCode:false","")</f>
        <v/>
      </c>
      <c r="B603" t="str">
        <f>IF(AND(LEFT('S.01.01.05'!$D$21,8)&lt;&gt;"Reported",'S.01.01.05'!$D$21&lt;&gt;""),Show!$B$5&amp; Show!$B$5&amp;"S.08.01.04.02 Rows{Z}@ForceFilingCode:false","")</f>
        <v/>
      </c>
    </row>
    <row r="604" spans="1:2">
      <c r="A604" t="str">
        <f>IF(AND(LEFT('S.01.01.05'!$D$22,8)&lt;&gt;"Reported",'S.01.01.05'!$D$22&lt;&gt;""),Show!$B$5 &amp; "S.08.02.04.01 Rows{Z}@ForceFilingCode:false","")</f>
        <v/>
      </c>
      <c r="B604" t="str">
        <f>IF(AND(LEFT('S.01.01.05'!$D$22,8)&lt;&gt;"Reported",'S.01.01.05'!$D$22&lt;&gt;""),Show!$B$5&amp; Show!$B$5&amp;"S.08.02.04.01 Rows{Z}@ForceFilingCode:false","")</f>
        <v/>
      </c>
    </row>
    <row r="605" spans="1:2">
      <c r="A605" t="str">
        <f>IF(AND(LEFT('S.01.01.05'!$D$22,8)&lt;&gt;"Reported",'S.01.01.05'!$D$22&lt;&gt;""),Show!$B$5 &amp; "S.08.02.04.02 Rows{Z}@ForceFilingCode:false","")</f>
        <v/>
      </c>
      <c r="B605" t="str">
        <f>IF(AND(LEFT('S.01.01.05'!$D$22,8)&lt;&gt;"Reported",'S.01.01.05'!$D$22&lt;&gt;""),Show!$B$5&amp; Show!$B$5&amp;"S.08.02.04.02 Rows{Z}@ForceFilingCode:false","")</f>
        <v/>
      </c>
    </row>
    <row r="606" spans="1:2">
      <c r="A606" t="str">
        <f>IF(AND(LEFT('S.01.01.05'!$D$23,8)&lt;&gt;"Reported",'S.01.01.05'!$D$23&lt;&gt;""),Show!$B$5 &amp; "S.23.01.04.01 Rows{Z}@ForceFilingCode:false","")</f>
        <v/>
      </c>
      <c r="B606" t="str">
        <f>IF(AND(LEFT('S.01.01.05'!$D$23,8)&lt;&gt;"Reported",'S.01.01.05'!$D$23&lt;&gt;""),Show!$B$5&amp; Show!$B$5&amp;"S.23.01.04.01 Rows{Z}@ForceFilingCode:false","")</f>
        <v/>
      </c>
    </row>
    <row r="607" spans="1:2">
      <c r="A607" t="str">
        <f>IF(AND(LEFT('S.01.01.05'!$D$23,8)&lt;&gt;"Reported",'S.01.01.05'!$D$23&lt;&gt;""),Show!$B$5 &amp; "S.23.01.04.02 Rows{Z}@ForceFilingCode:false","")</f>
        <v/>
      </c>
      <c r="B607" t="str">
        <f>IF(AND(LEFT('S.01.01.05'!$D$23,8)&lt;&gt;"Reported",'S.01.01.05'!$D$23&lt;&gt;""),Show!$B$5&amp; Show!$B$5&amp;"S.23.01.04.02 Rows{Z}@ForceFilingCode:false","")</f>
        <v/>
      </c>
    </row>
    <row r="608" spans="1:2">
      <c r="A608" t="str">
        <f>IF(AND(LEFT('S.01.01.07'!$D$16,8)&lt;&gt;"Reported",'S.01.01.07'!$D$16&lt;&gt;""),Show!$B$6 &amp; "S.01.02.07.01 Rows{Z}@ForceFilingCode:false","")</f>
        <v/>
      </c>
      <c r="B608" t="str">
        <f>IF(AND(LEFT('S.01.01.07'!$D$16,8)&lt;&gt;"Reported",'S.01.01.07'!$D$16&lt;&gt;""),Show!$B$6&amp; Show!$B$6&amp;"S.01.02.07.01 Rows{Z}@ForceFilingCode:false","")</f>
        <v/>
      </c>
    </row>
    <row r="609" spans="1:2">
      <c r="A609" t="str">
        <f>IF(AND(LEFT('S.01.01.07'!$D$16,8)&lt;&gt;"Reported",'S.01.01.07'!$D$16&lt;&gt;""),Show!$B$6 &amp; "S.01.02.07.02 Rows{Z}@ForceFilingCode:false","")</f>
        <v/>
      </c>
      <c r="B609" t="str">
        <f>IF(AND(LEFT('S.01.01.07'!$D$16,8)&lt;&gt;"Reported",'S.01.01.07'!$D$16&lt;&gt;""),Show!$B$6&amp; Show!$B$6&amp;"S.01.02.07.02 Rows{Z}@ForceFilingCode:false","")</f>
        <v/>
      </c>
    </row>
    <row r="610" spans="1:2">
      <c r="A610" t="str">
        <f>IF(AND(LEFT('S.01.01.07'!$D$16,8)&lt;&gt;"Reported",'S.01.01.07'!$D$16&lt;&gt;""),Show!$B$6 &amp; "S.01.02.07.03 Rows{Z}@ForceFilingCode:false","")</f>
        <v/>
      </c>
      <c r="B610" t="str">
        <f>IF(AND(LEFT('S.01.01.07'!$D$16,8)&lt;&gt;"Reported",'S.01.01.07'!$D$16&lt;&gt;""),Show!$B$6&amp; Show!$B$6&amp;"S.01.02.07.03 Rows{Z}@ForceFilingCode:false","")</f>
        <v/>
      </c>
    </row>
    <row r="611" spans="1:2">
      <c r="A611" t="str">
        <f>IF(AND(LEFT('S.01.01.07'!$D$17,8)&lt;&gt;"Reported",'S.01.01.07'!$D$17&lt;&gt;""),Show!$B$6 &amp; "S.01.03.01.01 Rows{Z}@ForceFilingCode:false","")</f>
        <v/>
      </c>
      <c r="B611" t="str">
        <f>IF(AND(LEFT('S.01.01.07'!$D$17,8)&lt;&gt;"Reported",'S.01.01.07'!$D$17&lt;&gt;""),Show!$B$6&amp; Show!$B$6&amp;"S.01.03.01.01 Rows{Z}@ForceFilingCode:false","")</f>
        <v/>
      </c>
    </row>
    <row r="612" spans="1:2">
      <c r="A612" t="str">
        <f>IF(AND(LEFT('S.01.01.07'!$D$17,8)&lt;&gt;"Reported",'S.01.01.07'!$D$17&lt;&gt;""),Show!$B$6 &amp; "S.01.03.01.02 Rows{Z}@ForceFilingCode:false","")</f>
        <v/>
      </c>
      <c r="B612" t="str">
        <f>IF(AND(LEFT('S.01.01.07'!$D$17,8)&lt;&gt;"Reported",'S.01.01.07'!$D$17&lt;&gt;""),Show!$B$6&amp; Show!$B$6&amp;"S.01.03.01.02 Rows{Z}@ForceFilingCode:false","")</f>
        <v/>
      </c>
    </row>
    <row r="613" spans="1:2">
      <c r="A613" t="str">
        <f>IF(AND(LEFT('S.01.01.07'!$D$18,8)&lt;&gt;"Reported",'S.01.01.07'!$D$18&lt;&gt;""),Show!$B$6 &amp; "S.02.01.07.01 Rows{Z}@ForceFilingCode:false","")</f>
        <v/>
      </c>
      <c r="B613" t="str">
        <f>IF(AND(LEFT('S.01.01.07'!$D$18,8)&lt;&gt;"Reported",'S.01.01.07'!$D$18&lt;&gt;""),Show!$B$6&amp; Show!$B$6&amp;"S.02.01.07.01 Rows{Z}@ForceFilingCode:false","")</f>
        <v/>
      </c>
    </row>
    <row r="614" spans="1:2">
      <c r="A614" t="str">
        <f>IF(AND(LEFT('S.01.01.07'!$D$19,8)&lt;&gt;"Reported",'S.01.01.07'!$D$19&lt;&gt;""),Show!$B$6 &amp; "S.02.02.01.01 Rows{Z}@ForceFilingCode:false","")</f>
        <v/>
      </c>
      <c r="B614" t="str">
        <f>IF(AND(LEFT('S.01.01.07'!$D$19,8)&lt;&gt;"Reported",'S.01.01.07'!$D$19&lt;&gt;""),Show!$B$6&amp; Show!$B$6&amp;"S.02.02.01.01 Rows{Z}@ForceFilingCode:false","")</f>
        <v/>
      </c>
    </row>
    <row r="615" spans="1:2">
      <c r="A615" t="str">
        <f>IF(AND(LEFT('S.01.01.07'!$D$19,8)&lt;&gt;"Reported",'S.01.01.07'!$D$19&lt;&gt;""),Show!$B$6 &amp; "S.02.02.01.02 Rows{Z}@ForceFilingCode:false","")</f>
        <v/>
      </c>
      <c r="B615" t="str">
        <f>IF(AND(LEFT('S.01.01.07'!$D$19,8)&lt;&gt;"Reported",'S.01.01.07'!$D$19&lt;&gt;""),Show!$B$6&amp; Show!$B$6&amp;"S.02.02.01.02 Rows{Z}@ForceFilingCode:false","")</f>
        <v/>
      </c>
    </row>
    <row r="616" spans="1:2">
      <c r="A616" t="str">
        <f>IF(AND(LEFT('S.01.01.07'!$D$20,8)&lt;&gt;"Reported",'S.01.01.07'!$D$20&lt;&gt;""),Show!$B$6 &amp; "S.02.03.07.01 Rows{Z}@ForceFilingCode:false","")</f>
        <v/>
      </c>
      <c r="B616" t="str">
        <f>IF(AND(LEFT('S.01.01.07'!$D$20,8)&lt;&gt;"Reported",'S.01.01.07'!$D$20&lt;&gt;""),Show!$B$6&amp; Show!$B$6&amp;"S.02.03.07.01 Rows{Z}@ForceFilingCode:false","")</f>
        <v/>
      </c>
    </row>
    <row r="617" spans="1:2">
      <c r="A617" t="str">
        <f>IF(AND(LEFT('S.01.01.07'!$D$20,8)&lt;&gt;"Reported",'S.01.01.07'!$D$20&lt;&gt;""),Show!$B$6 &amp; "S.02.03.07.02 Rows{Z}@ForceFilingCode:false","")</f>
        <v/>
      </c>
      <c r="B617" t="str">
        <f>IF(AND(LEFT('S.01.01.07'!$D$20,8)&lt;&gt;"Reported",'S.01.01.07'!$D$20&lt;&gt;""),Show!$B$6&amp; Show!$B$6&amp;"S.02.03.07.02 Rows{Z}@ForceFilingCode:false","")</f>
        <v/>
      </c>
    </row>
    <row r="618" spans="1:2">
      <c r="A618" t="str">
        <f>IF(AND(LEFT('S.01.01.07'!$D$20,8)&lt;&gt;"Reported",'S.01.01.07'!$D$20&lt;&gt;""),Show!$B$6 &amp; "S.02.03.07.03 Rows{Z}@ForceFilingCode:false","")</f>
        <v/>
      </c>
      <c r="B618" t="str">
        <f>IF(AND(LEFT('S.01.01.07'!$D$20,8)&lt;&gt;"Reported",'S.01.01.07'!$D$20&lt;&gt;""),Show!$B$6&amp; Show!$B$6&amp;"S.02.03.07.03 Rows{Z}@ForceFilingCode:false","")</f>
        <v/>
      </c>
    </row>
    <row r="619" spans="1:2">
      <c r="A619" t="str">
        <f>IF(AND(LEFT('S.01.01.07'!$D$21,8)&lt;&gt;"Reported",'S.01.01.07'!$D$21&lt;&gt;""),Show!$B$6 &amp; "S.03.01.01.01 Rows{Z}@ForceFilingCode:false","")</f>
        <v/>
      </c>
      <c r="B619" t="str">
        <f>IF(AND(LEFT('S.01.01.07'!$D$21,8)&lt;&gt;"Reported",'S.01.01.07'!$D$21&lt;&gt;""),Show!$B$6&amp; Show!$B$6&amp;"S.03.01.01.01 Rows{Z}@ForceFilingCode:false","")</f>
        <v/>
      </c>
    </row>
    <row r="620" spans="1:2">
      <c r="A620" t="str">
        <f>IF(AND(LEFT('S.01.01.07'!$D$21,8)&lt;&gt;"Reported",'S.01.01.07'!$D$21&lt;&gt;""),Show!$B$6 &amp; "S.03.01.01.02 Rows{Z}@ForceFilingCode:false","")</f>
        <v/>
      </c>
      <c r="B620" t="str">
        <f>IF(AND(LEFT('S.01.01.07'!$D$21,8)&lt;&gt;"Reported",'S.01.01.07'!$D$21&lt;&gt;""),Show!$B$6&amp; Show!$B$6&amp;"S.03.01.01.02 Rows{Z}@ForceFilingCode:false","")</f>
        <v/>
      </c>
    </row>
    <row r="621" spans="1:2">
      <c r="A621" t="str">
        <f>IF(AND(LEFT('S.01.01.07'!$D$22,8)&lt;&gt;"Reported",'S.01.01.07'!$D$22&lt;&gt;""),Show!$B$6 &amp; "S.03.02.01.01 Rows{Z}@ForceFilingCode:false","")</f>
        <v/>
      </c>
      <c r="B621" t="str">
        <f>IF(AND(LEFT('S.01.01.07'!$D$22,8)&lt;&gt;"Reported",'S.01.01.07'!$D$22&lt;&gt;""),Show!$B$6&amp; Show!$B$6&amp;"S.03.02.01.01 Rows{Z}@ForceFilingCode:false","")</f>
        <v/>
      </c>
    </row>
    <row r="622" spans="1:2">
      <c r="A622" t="str">
        <f>IF(AND(LEFT('S.01.01.07'!$D$23,8)&lt;&gt;"Reported",'S.01.01.07'!$D$23&lt;&gt;""),Show!$B$6 &amp; "S.03.03.01.01 Rows{Z}@ForceFilingCode:false","")</f>
        <v/>
      </c>
      <c r="B622" t="str">
        <f>IF(AND(LEFT('S.01.01.07'!$D$23,8)&lt;&gt;"Reported",'S.01.01.07'!$D$23&lt;&gt;""),Show!$B$6&amp; Show!$B$6&amp;"S.03.03.01.01 Rows{Z}@ForceFilingCode:false","")</f>
        <v/>
      </c>
    </row>
    <row r="623" spans="1:2">
      <c r="A623" t="str">
        <f>IF(AND(LEFT('S.01.01.07'!$D$24,8)&lt;&gt;"Reported",'S.01.01.07'!$D$24&lt;&gt;""),Show!$B$6 &amp; "S.05.01.01.01 Rows{Z}@ForceFilingCode:false","")</f>
        <v/>
      </c>
      <c r="B623" t="str">
        <f>IF(AND(LEFT('S.01.01.07'!$D$24,8)&lt;&gt;"Reported",'S.01.01.07'!$D$24&lt;&gt;""),Show!$B$6&amp; Show!$B$6&amp;"S.05.01.01.01 Rows{Z}@ForceFilingCode:false","")</f>
        <v/>
      </c>
    </row>
    <row r="624" spans="1:2">
      <c r="A624" t="str">
        <f>IF(AND(LEFT('S.01.01.07'!$D$24,8)&lt;&gt;"Reported",'S.01.01.07'!$D$24&lt;&gt;""),Show!$B$6 &amp; "S.05.01.01.02 Rows{Z}@ForceFilingCode:false","")</f>
        <v/>
      </c>
      <c r="B624" t="str">
        <f>IF(AND(LEFT('S.01.01.07'!$D$24,8)&lt;&gt;"Reported",'S.01.01.07'!$D$24&lt;&gt;""),Show!$B$6&amp; Show!$B$6&amp;"S.05.01.01.02 Rows{Z}@ForceFilingCode:false","")</f>
        <v/>
      </c>
    </row>
    <row r="625" spans="1:2">
      <c r="A625" t="str">
        <f>IF(AND(LEFT('S.01.01.07'!$D$25,8)&lt;&gt;"Reported",'S.01.01.07'!$D$25&lt;&gt;""),Show!$B$6 &amp; "S.05.02.01.01 Rows{Z}@ForceFilingCode:false","")</f>
        <v/>
      </c>
      <c r="B625" t="str">
        <f>IF(AND(LEFT('S.01.01.07'!$D$25,8)&lt;&gt;"Reported",'S.01.01.07'!$D$25&lt;&gt;""),Show!$B$6&amp; Show!$B$6&amp;"S.05.02.01.01 Rows{Z}@ForceFilingCode:false","")</f>
        <v/>
      </c>
    </row>
    <row r="626" spans="1:2">
      <c r="A626" t="str">
        <f>IF(AND(LEFT('S.01.01.07'!$D$25,8)&lt;&gt;"Reported",'S.01.01.07'!$D$25&lt;&gt;""),Show!$B$6 &amp; "S.05.02.01.02 Rows{Z}@ForceFilingCode:false","")</f>
        <v/>
      </c>
      <c r="B626" t="str">
        <f>IF(AND(LEFT('S.01.01.07'!$D$25,8)&lt;&gt;"Reported",'S.01.01.07'!$D$25&lt;&gt;""),Show!$B$6&amp; Show!$B$6&amp;"S.05.02.01.02 Rows{Z}@ForceFilingCode:false","")</f>
        <v/>
      </c>
    </row>
    <row r="627" spans="1:2">
      <c r="A627" t="str">
        <f>IF(AND(LEFT('S.01.01.07'!$D$25,8)&lt;&gt;"Reported",'S.01.01.07'!$D$25&lt;&gt;""),Show!$B$6 &amp; "S.05.02.01.03 Rows{Z}@ForceFilingCode:false","")</f>
        <v/>
      </c>
      <c r="B627" t="str">
        <f>IF(AND(LEFT('S.01.01.07'!$D$25,8)&lt;&gt;"Reported",'S.01.01.07'!$D$25&lt;&gt;""),Show!$B$6&amp; Show!$B$6&amp;"S.05.02.01.03 Rows{Z}@ForceFilingCode:false","")</f>
        <v/>
      </c>
    </row>
    <row r="628" spans="1:2">
      <c r="A628" t="str">
        <f>IF(AND(LEFT('S.01.01.07'!$D$25,8)&lt;&gt;"Reported",'S.01.01.07'!$D$25&lt;&gt;""),Show!$B$6 &amp; "S.05.02.01.04 Rows{Z}@ForceFilingCode:false","")</f>
        <v/>
      </c>
      <c r="B628" t="str">
        <f>IF(AND(LEFT('S.01.01.07'!$D$25,8)&lt;&gt;"Reported",'S.01.01.07'!$D$25&lt;&gt;""),Show!$B$6&amp; Show!$B$6&amp;"S.05.02.01.04 Rows{Z}@ForceFilingCode:false","")</f>
        <v/>
      </c>
    </row>
    <row r="629" spans="1:2">
      <c r="A629" t="str">
        <f>IF(AND(LEFT('S.01.01.07'!$D$25,8)&lt;&gt;"Reported",'S.01.01.07'!$D$25&lt;&gt;""),Show!$B$6 &amp; "S.05.02.01.05 Rows{Z}@ForceFilingCode:false","")</f>
        <v/>
      </c>
      <c r="B629" t="str">
        <f>IF(AND(LEFT('S.01.01.07'!$D$25,8)&lt;&gt;"Reported",'S.01.01.07'!$D$25&lt;&gt;""),Show!$B$6&amp; Show!$B$6&amp;"S.05.02.01.05 Rows{Z}@ForceFilingCode:false","")</f>
        <v/>
      </c>
    </row>
    <row r="630" spans="1:2">
      <c r="A630" t="str">
        <f>IF(AND(LEFT('S.01.01.07'!$D$25,8)&lt;&gt;"Reported",'S.01.01.07'!$D$25&lt;&gt;""),Show!$B$6 &amp; "S.05.02.01.06 Rows{Z}@ForceFilingCode:false","")</f>
        <v/>
      </c>
      <c r="B630" t="str">
        <f>IF(AND(LEFT('S.01.01.07'!$D$25,8)&lt;&gt;"Reported",'S.01.01.07'!$D$25&lt;&gt;""),Show!$B$6&amp; Show!$B$6&amp;"S.05.02.01.06 Rows{Z}@ForceFilingCode:false","")</f>
        <v/>
      </c>
    </row>
    <row r="631" spans="1:2">
      <c r="A631" t="str">
        <f>IF(AND(LEFT('S.01.01.07'!$D$26,8)&lt;&gt;"Reported",'S.01.01.07'!$D$26&lt;&gt;""),Show!$B$6 &amp; "S.06.02.07.01 Rows{Z}@ForceFilingCode:false","")</f>
        <v/>
      </c>
      <c r="B631" t="str">
        <f>IF(AND(LEFT('S.01.01.07'!$D$26,8)&lt;&gt;"Reported",'S.01.01.07'!$D$26&lt;&gt;""),Show!$B$6&amp; Show!$B$6&amp;"S.06.02.07.01 Rows{Z}@ForceFilingCode:false","")</f>
        <v/>
      </c>
    </row>
    <row r="632" spans="1:2">
      <c r="A632" t="str">
        <f>IF(AND(LEFT('S.01.01.07'!$D$26,8)&lt;&gt;"Reported",'S.01.01.07'!$D$26&lt;&gt;""),Show!$B$6 &amp; "S.06.02.07.02 Rows{Z}@ForceFilingCode:false","")</f>
        <v/>
      </c>
      <c r="B632" t="str">
        <f>IF(AND(LEFT('S.01.01.07'!$D$26,8)&lt;&gt;"Reported",'S.01.01.07'!$D$26&lt;&gt;""),Show!$B$6&amp; Show!$B$6&amp;"S.06.02.07.02 Rows{Z}@ForceFilingCode:false","")</f>
        <v/>
      </c>
    </row>
    <row r="633" spans="1:2">
      <c r="A633" t="str">
        <f>IF(AND(LEFT('S.01.01.07'!$D$27,8)&lt;&gt;"Reported",'S.01.01.07'!$D$27&lt;&gt;""),Show!$B$6 &amp; "S.06.03.01.01 Rows{Z}@ForceFilingCode:false","")</f>
        <v/>
      </c>
      <c r="B633" t="str">
        <f>IF(AND(LEFT('S.01.01.07'!$D$27,8)&lt;&gt;"Reported",'S.01.01.07'!$D$27&lt;&gt;""),Show!$B$6&amp; Show!$B$6&amp;"S.06.03.01.01 Rows{Z}@ForceFilingCode:false","")</f>
        <v/>
      </c>
    </row>
    <row r="634" spans="1:2">
      <c r="A634" t="str">
        <f>IF(AND(LEFT('S.01.01.07'!$D$28,8)&lt;&gt;"Reported",'S.01.01.07'!$D$28&lt;&gt;""),Show!$B$6 &amp; "S.07.01.01.01 Rows{Z}@ForceFilingCode:false","")</f>
        <v/>
      </c>
      <c r="B634" t="str">
        <f>IF(AND(LEFT('S.01.01.07'!$D$28,8)&lt;&gt;"Reported",'S.01.01.07'!$D$28&lt;&gt;""),Show!$B$6&amp; Show!$B$6&amp;"S.07.01.01.01 Rows{Z}@ForceFilingCode:false","")</f>
        <v/>
      </c>
    </row>
    <row r="635" spans="1:2">
      <c r="A635" t="str">
        <f>IF(AND(LEFT('S.01.01.07'!$D$29,8)&lt;&gt;"Reported",'S.01.01.07'!$D$29&lt;&gt;""),Show!$B$6 &amp; "S.08.01.01.01 Rows{Z}@ForceFilingCode:false","")</f>
        <v/>
      </c>
      <c r="B635" t="str">
        <f>IF(AND(LEFT('S.01.01.07'!$D$29,8)&lt;&gt;"Reported",'S.01.01.07'!$D$29&lt;&gt;""),Show!$B$6&amp; Show!$B$6&amp;"S.08.01.01.01 Rows{Z}@ForceFilingCode:false","")</f>
        <v/>
      </c>
    </row>
    <row r="636" spans="1:2">
      <c r="A636" t="str">
        <f>IF(AND(LEFT('S.01.01.07'!$D$29,8)&lt;&gt;"Reported",'S.01.01.07'!$D$29&lt;&gt;""),Show!$B$6 &amp; "S.08.01.01.02 Rows{Z}@ForceFilingCode:false","")</f>
        <v/>
      </c>
      <c r="B636" t="str">
        <f>IF(AND(LEFT('S.01.01.07'!$D$29,8)&lt;&gt;"Reported",'S.01.01.07'!$D$29&lt;&gt;""),Show!$B$6&amp; Show!$B$6&amp;"S.08.01.01.02 Rows{Z}@ForceFilingCode:false","")</f>
        <v/>
      </c>
    </row>
    <row r="637" spans="1:2">
      <c r="A637" t="str">
        <f>IF(AND(LEFT('S.01.01.07'!$D$30,8)&lt;&gt;"Reported",'S.01.01.07'!$D$30&lt;&gt;""),Show!$B$6 &amp; "S.08.02.01.01 Rows{Z}@ForceFilingCode:false","")</f>
        <v/>
      </c>
      <c r="B637" t="str">
        <f>IF(AND(LEFT('S.01.01.07'!$D$30,8)&lt;&gt;"Reported",'S.01.01.07'!$D$30&lt;&gt;""),Show!$B$6&amp; Show!$B$6&amp;"S.08.02.01.01 Rows{Z}@ForceFilingCode:false","")</f>
        <v/>
      </c>
    </row>
    <row r="638" spans="1:2">
      <c r="A638" t="str">
        <f>IF(AND(LEFT('S.01.01.07'!$D$30,8)&lt;&gt;"Reported",'S.01.01.07'!$D$30&lt;&gt;""),Show!$B$6 &amp; "S.08.02.01.02 Rows{Z}@ForceFilingCode:false","")</f>
        <v/>
      </c>
      <c r="B638" t="str">
        <f>IF(AND(LEFT('S.01.01.07'!$D$30,8)&lt;&gt;"Reported",'S.01.01.07'!$D$30&lt;&gt;""),Show!$B$6&amp; Show!$B$6&amp;"S.08.02.01.02 Rows{Z}@ForceFilingCode:false","")</f>
        <v/>
      </c>
    </row>
    <row r="639" spans="1:2">
      <c r="A639" t="str">
        <f>IF(AND(LEFT('S.01.01.07'!$D$31,8)&lt;&gt;"Reported",'S.01.01.07'!$D$31&lt;&gt;""),Show!$B$6 &amp; "S.09.01.01.01 Rows{Z}@ForceFilingCode:false","")</f>
        <v/>
      </c>
      <c r="B639" t="str">
        <f>IF(AND(LEFT('S.01.01.07'!$D$31,8)&lt;&gt;"Reported",'S.01.01.07'!$D$31&lt;&gt;""),Show!$B$6&amp; Show!$B$6&amp;"S.09.01.01.01 Rows{Z}@ForceFilingCode:false","")</f>
        <v/>
      </c>
    </row>
    <row r="640" spans="1:2">
      <c r="A640" t="str">
        <f>IF(AND(LEFT('S.01.01.07'!$D$32,8)&lt;&gt;"Reported",'S.01.01.07'!$D$32&lt;&gt;""),Show!$B$6 &amp; "S.10.01.01.01 Rows{Z}@ForceFilingCode:false","")</f>
        <v/>
      </c>
      <c r="B640" t="str">
        <f>IF(AND(LEFT('S.01.01.07'!$D$32,8)&lt;&gt;"Reported",'S.01.01.07'!$D$32&lt;&gt;""),Show!$B$6&amp; Show!$B$6&amp;"S.10.01.01.01 Rows{Z}@ForceFilingCode:false","")</f>
        <v/>
      </c>
    </row>
    <row r="641" spans="1:2">
      <c r="A641" t="str">
        <f>IF(AND(LEFT('S.01.01.07'!$D$33,8)&lt;&gt;"Reported",'S.01.01.07'!$D$33&lt;&gt;""),Show!$B$6 &amp; "S.11.01.01.01 Rows{Z}@ForceFilingCode:false","")</f>
        <v/>
      </c>
      <c r="B641" t="str">
        <f>IF(AND(LEFT('S.01.01.07'!$D$33,8)&lt;&gt;"Reported",'S.01.01.07'!$D$33&lt;&gt;""),Show!$B$6&amp; Show!$B$6&amp;"S.11.01.01.01 Rows{Z}@ForceFilingCode:false","")</f>
        <v/>
      </c>
    </row>
    <row r="642" spans="1:2">
      <c r="A642" t="str">
        <f>IF(AND(LEFT('S.01.01.07'!$D$33,8)&lt;&gt;"Reported",'S.01.01.07'!$D$33&lt;&gt;""),Show!$B$6 &amp; "S.11.01.01.02 Rows{Z}@ForceFilingCode:false","")</f>
        <v/>
      </c>
      <c r="B642" t="str">
        <f>IF(AND(LEFT('S.01.01.07'!$D$33,8)&lt;&gt;"Reported",'S.01.01.07'!$D$33&lt;&gt;""),Show!$B$6&amp; Show!$B$6&amp;"S.11.01.01.02 Rows{Z}@ForceFilingCode:false","")</f>
        <v/>
      </c>
    </row>
    <row r="643" spans="1:2">
      <c r="A643" t="str">
        <f>IF(AND(LEFT('S.01.01.07'!$D$34,8)&lt;&gt;"Reported",'S.01.01.07'!$D$34&lt;&gt;""),Show!$B$6 &amp; "S.12.01.01.01 Rows{Z}@ForceFilingCode:false","")</f>
        <v/>
      </c>
      <c r="B643" t="str">
        <f>IF(AND(LEFT('S.01.01.07'!$D$34,8)&lt;&gt;"Reported",'S.01.01.07'!$D$34&lt;&gt;""),Show!$B$6&amp; Show!$B$6&amp;"S.12.01.01.01 Rows{Z}@ForceFilingCode:false","")</f>
        <v/>
      </c>
    </row>
    <row r="644" spans="1:2">
      <c r="A644" t="str">
        <f>IF(AND(LEFT('S.01.01.07'!$D$35,8)&lt;&gt;"Reported",'S.01.01.07'!$D$35&lt;&gt;""),Show!$B$6 &amp; "S.12.02.01.01 Rows{Z}@ForceFilingCode:false","")</f>
        <v/>
      </c>
      <c r="B644" t="str">
        <f>IF(AND(LEFT('S.01.01.07'!$D$35,8)&lt;&gt;"Reported",'S.01.01.07'!$D$35&lt;&gt;""),Show!$B$6&amp; Show!$B$6&amp;"S.12.02.01.01 Rows{Z}@ForceFilingCode:false","")</f>
        <v/>
      </c>
    </row>
    <row r="645" spans="1:2">
      <c r="A645" t="str">
        <f>IF(AND(LEFT('S.01.01.07'!$D$35,8)&lt;&gt;"Reported",'S.01.01.07'!$D$35&lt;&gt;""),Show!$B$6 &amp; "S.12.02.01.02 Rows{Z}@ForceFilingCode:false","")</f>
        <v/>
      </c>
      <c r="B645" t="str">
        <f>IF(AND(LEFT('S.01.01.07'!$D$35,8)&lt;&gt;"Reported",'S.01.01.07'!$D$35&lt;&gt;""),Show!$B$6&amp; Show!$B$6&amp;"S.12.02.01.02 Rows{Z}@ForceFilingCode:false","")</f>
        <v/>
      </c>
    </row>
    <row r="646" spans="1:2">
      <c r="A646" t="str">
        <f>IF(AND(LEFT('S.01.01.07'!$D$36,8)&lt;&gt;"Reported",'S.01.01.07'!$D$36&lt;&gt;""),Show!$B$6 &amp; "S.13.01.01.01 Rows{Z}@ForceFilingCode:false","")</f>
        <v/>
      </c>
      <c r="B646" t="str">
        <f>IF(AND(LEFT('S.01.01.07'!$D$36,8)&lt;&gt;"Reported",'S.01.01.07'!$D$36&lt;&gt;""),Show!$B$6&amp; Show!$B$6&amp;"S.13.01.01.01 Rows{Z}@ForceFilingCode:false","")</f>
        <v/>
      </c>
    </row>
    <row r="647" spans="1:2">
      <c r="A647" t="str">
        <f>IF(AND(LEFT('S.01.01.07'!$D$37,8)&lt;&gt;"Reported",'S.01.01.07'!$D$37&lt;&gt;""),Show!$B$6 &amp; "S.14.01.01.01 Rows{Z}@ForceFilingCode:false","")</f>
        <v/>
      </c>
      <c r="B647" t="str">
        <f>IF(AND(LEFT('S.01.01.07'!$D$37,8)&lt;&gt;"Reported",'S.01.01.07'!$D$37&lt;&gt;""),Show!$B$6&amp; Show!$B$6&amp;"S.14.01.01.01 Rows{Z}@ForceFilingCode:false","")</f>
        <v/>
      </c>
    </row>
    <row r="648" spans="1:2">
      <c r="A648" t="str">
        <f>IF(AND(LEFT('S.01.01.07'!$D$37,8)&lt;&gt;"Reported",'S.01.01.07'!$D$37&lt;&gt;""),Show!$B$6 &amp; "S.14.01.01.02 Rows{Z}@ForceFilingCode:false","")</f>
        <v/>
      </c>
      <c r="B648" t="str">
        <f>IF(AND(LEFT('S.01.01.07'!$D$37,8)&lt;&gt;"Reported",'S.01.01.07'!$D$37&lt;&gt;""),Show!$B$6&amp; Show!$B$6&amp;"S.14.01.01.02 Rows{Z}@ForceFilingCode:false","")</f>
        <v/>
      </c>
    </row>
    <row r="649" spans="1:2">
      <c r="A649" t="str">
        <f>IF(AND(LEFT('S.01.01.07'!$D$37,8)&lt;&gt;"Reported",'S.01.01.07'!$D$37&lt;&gt;""),Show!$B$6 &amp; "S.14.01.01.03 Rows{Z}@ForceFilingCode:false","")</f>
        <v/>
      </c>
      <c r="B649" t="str">
        <f>IF(AND(LEFT('S.01.01.07'!$D$37,8)&lt;&gt;"Reported",'S.01.01.07'!$D$37&lt;&gt;""),Show!$B$6&amp; Show!$B$6&amp;"S.14.01.01.03 Rows{Z}@ForceFilingCode:false","")</f>
        <v/>
      </c>
    </row>
    <row r="650" spans="1:2">
      <c r="A650" t="str">
        <f>IF(AND(LEFT('S.01.01.07'!$D$37,8)&lt;&gt;"Reported",'S.01.01.07'!$D$37&lt;&gt;""),Show!$B$6 &amp; "S.14.01.01.04 Rows{Z}@ForceFilingCode:false","")</f>
        <v/>
      </c>
      <c r="B650" t="str">
        <f>IF(AND(LEFT('S.01.01.07'!$D$37,8)&lt;&gt;"Reported",'S.01.01.07'!$D$37&lt;&gt;""),Show!$B$6&amp; Show!$B$6&amp;"S.14.01.01.04 Rows{Z}@ForceFilingCode:false","")</f>
        <v/>
      </c>
    </row>
    <row r="651" spans="1:2">
      <c r="A651" t="str">
        <f>IF(AND(LEFT('S.01.01.07'!$D$38,8)&lt;&gt;"Reported",'S.01.01.07'!$D$38&lt;&gt;""),Show!$B$6 &amp; "S.15.01.01.01 Rows{Z}@ForceFilingCode:false","")</f>
        <v/>
      </c>
      <c r="B651" t="str">
        <f>IF(AND(LEFT('S.01.01.07'!$D$38,8)&lt;&gt;"Reported",'S.01.01.07'!$D$38&lt;&gt;""),Show!$B$6&amp; Show!$B$6&amp;"S.15.01.01.01 Rows{Z}@ForceFilingCode:false","")</f>
        <v/>
      </c>
    </row>
    <row r="652" spans="1:2">
      <c r="A652" t="str">
        <f>IF(AND(LEFT('S.01.01.07'!$D$39,8)&lt;&gt;"Reported",'S.01.01.07'!$D$39&lt;&gt;""),Show!$B$6 &amp; "S.15.02.01.01 Rows{Z}@ForceFilingCode:false","")</f>
        <v/>
      </c>
      <c r="B652" t="str">
        <f>IF(AND(LEFT('S.01.01.07'!$D$39,8)&lt;&gt;"Reported",'S.01.01.07'!$D$39&lt;&gt;""),Show!$B$6&amp; Show!$B$6&amp;"S.15.02.01.01 Rows{Z}@ForceFilingCode:false","")</f>
        <v/>
      </c>
    </row>
    <row r="653" spans="1:2">
      <c r="A653" t="str">
        <f>IF(AND(LEFT('S.01.01.07'!$D$40,8)&lt;&gt;"Reported",'S.01.01.07'!$D$40&lt;&gt;""),Show!$B$6 &amp; "S.16.01.01.01 Rows{Z}@ForceFilingCode:false","")</f>
        <v/>
      </c>
      <c r="B653" t="str">
        <f>IF(AND(LEFT('S.01.01.07'!$D$40,8)&lt;&gt;"Reported",'S.01.01.07'!$D$40&lt;&gt;""),Show!$B$6&amp; Show!$B$6&amp;"S.16.01.01.01 Rows{Z}@ForceFilingCode:false","")</f>
        <v/>
      </c>
    </row>
    <row r="654" spans="1:2">
      <c r="A654" t="str">
        <f>IF(AND(LEFT('S.01.01.07'!$D$40,8)&lt;&gt;"Reported",'S.01.01.07'!$D$40&lt;&gt;""),Show!$B$6 &amp; "S.16.01.01.02 Rows{Z}@ForceFilingCode:false","")</f>
        <v/>
      </c>
      <c r="B654" t="str">
        <f>IF(AND(LEFT('S.01.01.07'!$D$40,8)&lt;&gt;"Reported",'S.01.01.07'!$D$40&lt;&gt;""),Show!$B$6&amp; Show!$B$6&amp;"S.16.01.01.02 Rows{Z}@ForceFilingCode:false","")</f>
        <v/>
      </c>
    </row>
    <row r="655" spans="1:2">
      <c r="A655" t="str">
        <f>IF(AND(LEFT('S.01.01.07'!$D$41,8)&lt;&gt;"Reported",'S.01.01.07'!$D$41&lt;&gt;""),Show!$B$6 &amp; "S.17.01.01.01 Rows{Z}@ForceFilingCode:false","")</f>
        <v/>
      </c>
      <c r="B655" t="str">
        <f>IF(AND(LEFT('S.01.01.07'!$D$41,8)&lt;&gt;"Reported",'S.01.01.07'!$D$41&lt;&gt;""),Show!$B$6&amp; Show!$B$6&amp;"S.17.01.01.01 Rows{Z}@ForceFilingCode:false","")</f>
        <v/>
      </c>
    </row>
    <row r="656" spans="1:2">
      <c r="A656" t="str">
        <f>IF(AND(LEFT('S.01.01.07'!$D$42,8)&lt;&gt;"Reported",'S.01.01.07'!$D$42&lt;&gt;""),Show!$B$6 &amp; "S.17.02.01.01 Rows{Z}@ForceFilingCode:false","")</f>
        <v/>
      </c>
      <c r="B656" t="str">
        <f>IF(AND(LEFT('S.01.01.07'!$D$42,8)&lt;&gt;"Reported",'S.01.01.07'!$D$42&lt;&gt;""),Show!$B$6&amp; Show!$B$6&amp;"S.17.02.01.01 Rows{Z}@ForceFilingCode:false","")</f>
        <v/>
      </c>
    </row>
    <row r="657" spans="1:2">
      <c r="A657" t="str">
        <f>IF(AND(LEFT('S.01.01.07'!$D$42,8)&lt;&gt;"Reported",'S.01.01.07'!$D$42&lt;&gt;""),Show!$B$6 &amp; "S.17.02.01.02 Rows{Z}@ForceFilingCode:false","")</f>
        <v/>
      </c>
      <c r="B657" t="str">
        <f>IF(AND(LEFT('S.01.01.07'!$D$42,8)&lt;&gt;"Reported",'S.01.01.07'!$D$42&lt;&gt;""),Show!$B$6&amp; Show!$B$6&amp;"S.17.02.01.02 Rows{Z}@ForceFilingCode:false","")</f>
        <v/>
      </c>
    </row>
    <row r="658" spans="1:2">
      <c r="A658" t="str">
        <f>IF(AND(LEFT('S.01.01.07'!$D$43,8)&lt;&gt;"Reported",'S.01.01.07'!$D$43&lt;&gt;""),Show!$B$6 &amp; "S.18.01.01.01 Rows{Z}@ForceFilingCode:false","")</f>
        <v/>
      </c>
      <c r="B658" t="str">
        <f>IF(AND(LEFT('S.01.01.07'!$D$43,8)&lt;&gt;"Reported",'S.01.01.07'!$D$43&lt;&gt;""),Show!$B$6&amp; Show!$B$6&amp;"S.18.01.01.01 Rows{Z}@ForceFilingCode:false","")</f>
        <v/>
      </c>
    </row>
    <row r="659" spans="1:2">
      <c r="A659" t="str">
        <f>IF(AND(LEFT('S.01.01.07'!$D$44,8)&lt;&gt;"Reported",'S.01.01.07'!$D$44&lt;&gt;""),Show!$B$6 &amp; "S.19.01.01.01 Rows{Z}@ForceFilingCode:false","")</f>
        <v/>
      </c>
      <c r="B659" t="str">
        <f>IF(AND(LEFT('S.01.01.07'!$D$44,8)&lt;&gt;"Reported",'S.01.01.07'!$D$44&lt;&gt;""),Show!$B$6&amp; Show!$B$6&amp;"S.19.01.01.01 Rows{Z}@ForceFilingCode:false","")</f>
        <v/>
      </c>
    </row>
    <row r="660" spans="1:2">
      <c r="A660" t="str">
        <f>IF(AND(LEFT('S.01.01.07'!$D$44,8)&lt;&gt;"Reported",'S.01.01.07'!$D$44&lt;&gt;""),Show!$B$6 &amp; "S.19.01.01.02 Rows{Z}@ForceFilingCode:false","")</f>
        <v/>
      </c>
      <c r="B660" t="str">
        <f>IF(AND(LEFT('S.01.01.07'!$D$44,8)&lt;&gt;"Reported",'S.01.01.07'!$D$44&lt;&gt;""),Show!$B$6&amp; Show!$B$6&amp;"S.19.01.01.02 Rows{Z}@ForceFilingCode:false","")</f>
        <v/>
      </c>
    </row>
    <row r="661" spans="1:2">
      <c r="A661" t="str">
        <f>IF(AND(LEFT('S.01.01.07'!$D$44,8)&lt;&gt;"Reported",'S.01.01.07'!$D$44&lt;&gt;""),Show!$B$6 &amp; "S.19.01.01.03 Rows{Z}@ForceFilingCode:false","")</f>
        <v/>
      </c>
      <c r="B661" t="str">
        <f>IF(AND(LEFT('S.01.01.07'!$D$44,8)&lt;&gt;"Reported",'S.01.01.07'!$D$44&lt;&gt;""),Show!$B$6&amp; Show!$B$6&amp;"S.19.01.01.03 Rows{Z}@ForceFilingCode:false","")</f>
        <v/>
      </c>
    </row>
    <row r="662" spans="1:2">
      <c r="A662" t="str">
        <f>IF(AND(LEFT('S.01.01.07'!$D$44,8)&lt;&gt;"Reported",'S.01.01.07'!$D$44&lt;&gt;""),Show!$B$6 &amp; "S.19.01.01.04 Rows{Z}@ForceFilingCode:false","")</f>
        <v/>
      </c>
      <c r="B662" t="str">
        <f>IF(AND(LEFT('S.01.01.07'!$D$44,8)&lt;&gt;"Reported",'S.01.01.07'!$D$44&lt;&gt;""),Show!$B$6&amp; Show!$B$6&amp;"S.19.01.01.04 Rows{Z}@ForceFilingCode:false","")</f>
        <v/>
      </c>
    </row>
    <row r="663" spans="1:2">
      <c r="A663" t="str">
        <f>IF(AND(LEFT('S.01.01.07'!$D$44,8)&lt;&gt;"Reported",'S.01.01.07'!$D$44&lt;&gt;""),Show!$B$6 &amp; "S.19.01.01.05 Rows{Z}@ForceFilingCode:false","")</f>
        <v/>
      </c>
      <c r="B663" t="str">
        <f>IF(AND(LEFT('S.01.01.07'!$D$44,8)&lt;&gt;"Reported",'S.01.01.07'!$D$44&lt;&gt;""),Show!$B$6&amp; Show!$B$6&amp;"S.19.01.01.05 Rows{Z}@ForceFilingCode:false","")</f>
        <v/>
      </c>
    </row>
    <row r="664" spans="1:2">
      <c r="A664" t="str">
        <f>IF(AND(LEFT('S.01.01.07'!$D$44,8)&lt;&gt;"Reported",'S.01.01.07'!$D$44&lt;&gt;""),Show!$B$6 &amp; "S.19.01.01.06 Rows{Z}@ForceFilingCode:false","")</f>
        <v/>
      </c>
      <c r="B664" t="str">
        <f>IF(AND(LEFT('S.01.01.07'!$D$44,8)&lt;&gt;"Reported",'S.01.01.07'!$D$44&lt;&gt;""),Show!$B$6&amp; Show!$B$6&amp;"S.19.01.01.06 Rows{Z}@ForceFilingCode:false","")</f>
        <v/>
      </c>
    </row>
    <row r="665" spans="1:2">
      <c r="A665" t="str">
        <f>IF(AND(LEFT('S.01.01.07'!$D$44,8)&lt;&gt;"Reported",'S.01.01.07'!$D$44&lt;&gt;""),Show!$B$6 &amp; "S.19.01.01.07 Rows{Z}@ForceFilingCode:false","")</f>
        <v/>
      </c>
      <c r="B665" t="str">
        <f>IF(AND(LEFT('S.01.01.07'!$D$44,8)&lt;&gt;"Reported",'S.01.01.07'!$D$44&lt;&gt;""),Show!$B$6&amp; Show!$B$6&amp;"S.19.01.01.07 Rows{Z}@ForceFilingCode:false","")</f>
        <v/>
      </c>
    </row>
    <row r="666" spans="1:2">
      <c r="A666" t="str">
        <f>IF(AND(LEFT('S.01.01.07'!$D$44,8)&lt;&gt;"Reported",'S.01.01.07'!$D$44&lt;&gt;""),Show!$B$6 &amp; "S.19.01.01.08 Rows{Z}@ForceFilingCode:false","")</f>
        <v/>
      </c>
      <c r="B666" t="str">
        <f>IF(AND(LEFT('S.01.01.07'!$D$44,8)&lt;&gt;"Reported",'S.01.01.07'!$D$44&lt;&gt;""),Show!$B$6&amp; Show!$B$6&amp;"S.19.01.01.08 Rows{Z}@ForceFilingCode:false","")</f>
        <v/>
      </c>
    </row>
    <row r="667" spans="1:2">
      <c r="A667" t="str">
        <f>IF(AND(LEFT('S.01.01.07'!$D$44,8)&lt;&gt;"Reported",'S.01.01.07'!$D$44&lt;&gt;""),Show!$B$6 &amp; "S.19.01.01.09 Rows{Z}@ForceFilingCode:false","")</f>
        <v/>
      </c>
      <c r="B667" t="str">
        <f>IF(AND(LEFT('S.01.01.07'!$D$44,8)&lt;&gt;"Reported",'S.01.01.07'!$D$44&lt;&gt;""),Show!$B$6&amp; Show!$B$6&amp;"S.19.01.01.09 Rows{Z}@ForceFilingCode:false","")</f>
        <v/>
      </c>
    </row>
    <row r="668" spans="1:2">
      <c r="A668" t="str">
        <f>IF(AND(LEFT('S.01.01.07'!$D$44,8)&lt;&gt;"Reported",'S.01.01.07'!$D$44&lt;&gt;""),Show!$B$6 &amp; "S.19.01.01.10 Rows{Z}@ForceFilingCode:false","")</f>
        <v/>
      </c>
      <c r="B668" t="str">
        <f>IF(AND(LEFT('S.01.01.07'!$D$44,8)&lt;&gt;"Reported",'S.01.01.07'!$D$44&lt;&gt;""),Show!$B$6&amp; Show!$B$6&amp;"S.19.01.01.10 Rows{Z}@ForceFilingCode:false","")</f>
        <v/>
      </c>
    </row>
    <row r="669" spans="1:2">
      <c r="A669" t="str">
        <f>IF(AND(LEFT('S.01.01.07'!$D$44,8)&lt;&gt;"Reported",'S.01.01.07'!$D$44&lt;&gt;""),Show!$B$6 &amp; "S.19.01.01.11 Rows{Z}@ForceFilingCode:false","")</f>
        <v/>
      </c>
      <c r="B669" t="str">
        <f>IF(AND(LEFT('S.01.01.07'!$D$44,8)&lt;&gt;"Reported",'S.01.01.07'!$D$44&lt;&gt;""),Show!$B$6&amp; Show!$B$6&amp;"S.19.01.01.11 Rows{Z}@ForceFilingCode:false","")</f>
        <v/>
      </c>
    </row>
    <row r="670" spans="1:2">
      <c r="A670" t="str">
        <f>IF(AND(LEFT('S.01.01.07'!$D$44,8)&lt;&gt;"Reported",'S.01.01.07'!$D$44&lt;&gt;""),Show!$B$6 &amp; "S.19.01.01.12 Rows{Z}@ForceFilingCode:false","")</f>
        <v/>
      </c>
      <c r="B670" t="str">
        <f>IF(AND(LEFT('S.01.01.07'!$D$44,8)&lt;&gt;"Reported",'S.01.01.07'!$D$44&lt;&gt;""),Show!$B$6&amp; Show!$B$6&amp;"S.19.01.01.12 Rows{Z}@ForceFilingCode:false","")</f>
        <v/>
      </c>
    </row>
    <row r="671" spans="1:2">
      <c r="A671" t="str">
        <f>IF(AND(LEFT('S.01.01.07'!$D$44,8)&lt;&gt;"Reported",'S.01.01.07'!$D$44&lt;&gt;""),Show!$B$6 &amp; "S.19.01.01.13 Rows{Z}@ForceFilingCode:false","")</f>
        <v/>
      </c>
      <c r="B671" t="str">
        <f>IF(AND(LEFT('S.01.01.07'!$D$44,8)&lt;&gt;"Reported",'S.01.01.07'!$D$44&lt;&gt;""),Show!$B$6&amp; Show!$B$6&amp;"S.19.01.01.13 Rows{Z}@ForceFilingCode:false","")</f>
        <v/>
      </c>
    </row>
    <row r="672" spans="1:2">
      <c r="A672" t="str">
        <f>IF(AND(LEFT('S.01.01.07'!$D$44,8)&lt;&gt;"Reported",'S.01.01.07'!$D$44&lt;&gt;""),Show!$B$6 &amp; "S.19.01.01.14 Rows{Z}@ForceFilingCode:false","")</f>
        <v/>
      </c>
      <c r="B672" t="str">
        <f>IF(AND(LEFT('S.01.01.07'!$D$44,8)&lt;&gt;"Reported",'S.01.01.07'!$D$44&lt;&gt;""),Show!$B$6&amp; Show!$B$6&amp;"S.19.01.01.14 Rows{Z}@ForceFilingCode:false","")</f>
        <v/>
      </c>
    </row>
    <row r="673" spans="1:2">
      <c r="A673" t="str">
        <f>IF(AND(LEFT('S.01.01.07'!$D$44,8)&lt;&gt;"Reported",'S.01.01.07'!$D$44&lt;&gt;""),Show!$B$6 &amp; "S.19.01.01.15 Rows{Z}@ForceFilingCode:false","")</f>
        <v/>
      </c>
      <c r="B673" t="str">
        <f>IF(AND(LEFT('S.01.01.07'!$D$44,8)&lt;&gt;"Reported",'S.01.01.07'!$D$44&lt;&gt;""),Show!$B$6&amp; Show!$B$6&amp;"S.19.01.01.15 Rows{Z}@ForceFilingCode:false","")</f>
        <v/>
      </c>
    </row>
    <row r="674" spans="1:2">
      <c r="A674" t="str">
        <f>IF(AND(LEFT('S.01.01.07'!$D$44,8)&lt;&gt;"Reported",'S.01.01.07'!$D$44&lt;&gt;""),Show!$B$6 &amp; "S.19.01.01.16 Rows{Z}@ForceFilingCode:false","")</f>
        <v/>
      </c>
      <c r="B674" t="str">
        <f>IF(AND(LEFT('S.01.01.07'!$D$44,8)&lt;&gt;"Reported",'S.01.01.07'!$D$44&lt;&gt;""),Show!$B$6&amp; Show!$B$6&amp;"S.19.01.01.16 Rows{Z}@ForceFilingCode:false","")</f>
        <v/>
      </c>
    </row>
    <row r="675" spans="1:2">
      <c r="A675" t="str">
        <f>IF(AND(LEFT('S.01.01.07'!$D$44,8)&lt;&gt;"Reported",'S.01.01.07'!$D$44&lt;&gt;""),Show!$B$6 &amp; "S.19.01.01.17 Rows{Z}@ForceFilingCode:false","")</f>
        <v/>
      </c>
      <c r="B675" t="str">
        <f>IF(AND(LEFT('S.01.01.07'!$D$44,8)&lt;&gt;"Reported",'S.01.01.07'!$D$44&lt;&gt;""),Show!$B$6&amp; Show!$B$6&amp;"S.19.01.01.17 Rows{Z}@ForceFilingCode:false","")</f>
        <v/>
      </c>
    </row>
    <row r="676" spans="1:2">
      <c r="A676" t="str">
        <f>IF(AND(LEFT('S.01.01.07'!$D$44,8)&lt;&gt;"Reported",'S.01.01.07'!$D$44&lt;&gt;""),Show!$B$6 &amp; "S.19.01.01.18 Rows{Z}@ForceFilingCode:false","")</f>
        <v/>
      </c>
      <c r="B676" t="str">
        <f>IF(AND(LEFT('S.01.01.07'!$D$44,8)&lt;&gt;"Reported",'S.01.01.07'!$D$44&lt;&gt;""),Show!$B$6&amp; Show!$B$6&amp;"S.19.01.01.18 Rows{Z}@ForceFilingCode:false","")</f>
        <v/>
      </c>
    </row>
    <row r="677" spans="1:2">
      <c r="A677" t="str">
        <f>IF(AND(LEFT('S.01.01.07'!$D$44,8)&lt;&gt;"Reported",'S.01.01.07'!$D$44&lt;&gt;""),Show!$B$6 &amp; "S.19.01.01.19 Rows{Z}@ForceFilingCode:false","")</f>
        <v/>
      </c>
      <c r="B677" t="str">
        <f>IF(AND(LEFT('S.01.01.07'!$D$44,8)&lt;&gt;"Reported",'S.01.01.07'!$D$44&lt;&gt;""),Show!$B$6&amp; Show!$B$6&amp;"S.19.01.01.19 Rows{Z}@ForceFilingCode:false","")</f>
        <v/>
      </c>
    </row>
    <row r="678" spans="1:2">
      <c r="A678" t="str">
        <f>IF(AND(LEFT('S.01.01.07'!$D$44,8)&lt;&gt;"Reported",'S.01.01.07'!$D$44&lt;&gt;""),Show!$B$6 &amp; "S.19.01.01.20 Rows{Z}@ForceFilingCode:false","")</f>
        <v/>
      </c>
      <c r="B678" t="str">
        <f>IF(AND(LEFT('S.01.01.07'!$D$44,8)&lt;&gt;"Reported",'S.01.01.07'!$D$44&lt;&gt;""),Show!$B$6&amp; Show!$B$6&amp;"S.19.01.01.20 Rows{Z}@ForceFilingCode:false","")</f>
        <v/>
      </c>
    </row>
    <row r="679" spans="1:2">
      <c r="A679" t="str">
        <f>IF(AND(LEFT('S.01.01.07'!$D$44,8)&lt;&gt;"Reported",'S.01.01.07'!$D$44&lt;&gt;""),Show!$B$6 &amp; "S.19.01.01.21 Rows{Z}@ForceFilingCode:false","")</f>
        <v/>
      </c>
      <c r="B679" t="str">
        <f>IF(AND(LEFT('S.01.01.07'!$D$44,8)&lt;&gt;"Reported",'S.01.01.07'!$D$44&lt;&gt;""),Show!$B$6&amp; Show!$B$6&amp;"S.19.01.01.21 Rows{Z}@ForceFilingCode:false","")</f>
        <v/>
      </c>
    </row>
    <row r="680" spans="1:2">
      <c r="A680" t="str">
        <f>IF(AND(LEFT('S.01.01.07'!$D$45,8)&lt;&gt;"Reported",'S.01.01.07'!$D$45&lt;&gt;""),Show!$B$6 &amp; "S.20.01.01.01 Rows{Z}@ForceFilingCode:false","")</f>
        <v/>
      </c>
      <c r="B680" t="str">
        <f>IF(AND(LEFT('S.01.01.07'!$D$45,8)&lt;&gt;"Reported",'S.01.01.07'!$D$45&lt;&gt;""),Show!$B$6&amp; Show!$B$6&amp;"S.20.01.01.01 Rows{Z}@ForceFilingCode:false","")</f>
        <v/>
      </c>
    </row>
    <row r="681" spans="1:2">
      <c r="A681" t="str">
        <f>IF(AND(LEFT('S.01.01.07'!$D$46,8)&lt;&gt;"Reported",'S.01.01.07'!$D$46&lt;&gt;""),Show!$B$6 &amp; "S.21.01.01.01 Rows{Z}@ForceFilingCode:false","")</f>
        <v/>
      </c>
      <c r="B681" t="str">
        <f>IF(AND(LEFT('S.01.01.07'!$D$46,8)&lt;&gt;"Reported",'S.01.01.07'!$D$46&lt;&gt;""),Show!$B$6&amp; Show!$B$6&amp;"S.21.01.01.01 Rows{Z}@ForceFilingCode:false","")</f>
        <v/>
      </c>
    </row>
    <row r="682" spans="1:2">
      <c r="A682" t="str">
        <f>IF(AND(LEFT('S.01.01.07'!$D$47,8)&lt;&gt;"Reported",'S.01.01.07'!$D$47&lt;&gt;""),Show!$B$6 &amp; "S.21.02.01.01 Rows{Z}@ForceFilingCode:false","")</f>
        <v/>
      </c>
      <c r="B682" t="str">
        <f>IF(AND(LEFT('S.01.01.07'!$D$47,8)&lt;&gt;"Reported",'S.01.01.07'!$D$47&lt;&gt;""),Show!$B$6&amp; Show!$B$6&amp;"S.21.02.01.01 Rows{Z}@ForceFilingCode:false","")</f>
        <v/>
      </c>
    </row>
    <row r="683" spans="1:2">
      <c r="A683" t="str">
        <f>IF(AND(LEFT('S.01.01.07'!$D$48,8)&lt;&gt;"Reported",'S.01.01.07'!$D$48&lt;&gt;""),Show!$B$6 &amp; "S.21.03.01.01 Rows{Z}@ForceFilingCode:false","")</f>
        <v/>
      </c>
      <c r="B683" t="str">
        <f>IF(AND(LEFT('S.01.01.07'!$D$48,8)&lt;&gt;"Reported",'S.01.01.07'!$D$48&lt;&gt;""),Show!$B$6&amp; Show!$B$6&amp;"S.21.03.01.01 Rows{Z}@ForceFilingCode:false","")</f>
        <v/>
      </c>
    </row>
    <row r="684" spans="1:2">
      <c r="A684" t="str">
        <f>IF(AND(LEFT('S.01.01.07'!$D$49,8)&lt;&gt;"Reported",'S.01.01.07'!$D$49&lt;&gt;""),Show!$B$6 &amp; "S.22.01.01.01 Rows{Z}@ForceFilingCode:false","")</f>
        <v/>
      </c>
      <c r="B684" t="str">
        <f>IF(AND(LEFT('S.01.01.07'!$D$49,8)&lt;&gt;"Reported",'S.01.01.07'!$D$49&lt;&gt;""),Show!$B$6&amp; Show!$B$6&amp;"S.22.01.01.01 Rows{Z}@ForceFilingCode:false","")</f>
        <v/>
      </c>
    </row>
    <row r="685" spans="1:2">
      <c r="A685" t="str">
        <f>IF(AND(LEFT('S.01.01.07'!$D$50,8)&lt;&gt;"Reported",'S.01.01.07'!$D$50&lt;&gt;""),Show!$B$6 &amp; "S.22.04.01.01 Rows{Z}@ForceFilingCode:false","")</f>
        <v/>
      </c>
      <c r="B685" t="str">
        <f>IF(AND(LEFT('S.01.01.07'!$D$50,8)&lt;&gt;"Reported",'S.01.01.07'!$D$50&lt;&gt;""),Show!$B$6&amp; Show!$B$6&amp;"S.22.04.01.01 Rows{Z}@ForceFilingCode:false","")</f>
        <v/>
      </c>
    </row>
    <row r="686" spans="1:2">
      <c r="A686" t="str">
        <f>IF(AND(LEFT('S.01.01.07'!$D$50,8)&lt;&gt;"Reported",'S.01.01.07'!$D$50&lt;&gt;""),Show!$B$6 &amp; "S.22.04.01.02 Rows{Z}@ForceFilingCode:false","")</f>
        <v/>
      </c>
      <c r="B686" t="str">
        <f>IF(AND(LEFT('S.01.01.07'!$D$50,8)&lt;&gt;"Reported",'S.01.01.07'!$D$50&lt;&gt;""),Show!$B$6&amp; Show!$B$6&amp;"S.22.04.01.02 Rows{Z}@ForceFilingCode:false","")</f>
        <v/>
      </c>
    </row>
    <row r="687" spans="1:2">
      <c r="A687" t="str">
        <f>IF(AND(LEFT('S.01.01.07'!$D$51,8)&lt;&gt;"Reported",'S.01.01.07'!$D$51&lt;&gt;""),Show!$B$6 &amp; "S.22.05.01.01 Rows{Z}@ForceFilingCode:false","")</f>
        <v/>
      </c>
      <c r="B687" t="str">
        <f>IF(AND(LEFT('S.01.01.07'!$D$51,8)&lt;&gt;"Reported",'S.01.01.07'!$D$51&lt;&gt;""),Show!$B$6&amp; Show!$B$6&amp;"S.22.05.01.01 Rows{Z}@ForceFilingCode:false","")</f>
        <v/>
      </c>
    </row>
    <row r="688" spans="1:2">
      <c r="A688" t="str">
        <f>IF(AND(LEFT('S.01.01.07'!$D$52,8)&lt;&gt;"Reported",'S.01.01.07'!$D$52&lt;&gt;""),Show!$B$6 &amp; "S.22.06.01.01 Rows{Z}@ForceFilingCode:false","")</f>
        <v/>
      </c>
      <c r="B688" t="str">
        <f>IF(AND(LEFT('S.01.01.07'!$D$52,8)&lt;&gt;"Reported",'S.01.01.07'!$D$52&lt;&gt;""),Show!$B$6&amp; Show!$B$6&amp;"S.22.06.01.01 Rows{Z}@ForceFilingCode:false","")</f>
        <v/>
      </c>
    </row>
    <row r="689" spans="1:2">
      <c r="A689" t="str">
        <f>IF(AND(LEFT('S.01.01.07'!$D$52,8)&lt;&gt;"Reported",'S.01.01.07'!$D$52&lt;&gt;""),Show!$B$6 &amp; "S.22.06.01.02 Rows{Z}@ForceFilingCode:false","")</f>
        <v/>
      </c>
      <c r="B689" t="str">
        <f>IF(AND(LEFT('S.01.01.07'!$D$52,8)&lt;&gt;"Reported",'S.01.01.07'!$D$52&lt;&gt;""),Show!$B$6&amp; Show!$B$6&amp;"S.22.06.01.02 Rows{Z}@ForceFilingCode:false","")</f>
        <v/>
      </c>
    </row>
    <row r="690" spans="1:2">
      <c r="A690" t="str">
        <f>IF(AND(LEFT('S.01.01.07'!$D$52,8)&lt;&gt;"Reported",'S.01.01.07'!$D$52&lt;&gt;""),Show!$B$6 &amp; "S.22.06.01.03 Rows{Z}@ForceFilingCode:false","")</f>
        <v/>
      </c>
      <c r="B690" t="str">
        <f>IF(AND(LEFT('S.01.01.07'!$D$52,8)&lt;&gt;"Reported",'S.01.01.07'!$D$52&lt;&gt;""),Show!$B$6&amp; Show!$B$6&amp;"S.22.06.01.03 Rows{Z}@ForceFilingCode:false","")</f>
        <v/>
      </c>
    </row>
    <row r="691" spans="1:2">
      <c r="A691" t="str">
        <f>IF(AND(LEFT('S.01.01.07'!$D$52,8)&lt;&gt;"Reported",'S.01.01.07'!$D$52&lt;&gt;""),Show!$B$6 &amp; "S.22.06.01.04 Rows{Z}@ForceFilingCode:false","")</f>
        <v/>
      </c>
      <c r="B691" t="str">
        <f>IF(AND(LEFT('S.01.01.07'!$D$52,8)&lt;&gt;"Reported",'S.01.01.07'!$D$52&lt;&gt;""),Show!$B$6&amp; Show!$B$6&amp;"S.22.06.01.04 Rows{Z}@ForceFilingCode:false","")</f>
        <v/>
      </c>
    </row>
    <row r="692" spans="1:2">
      <c r="A692" t="str">
        <f>IF(AND(LEFT('S.01.01.07'!$D$53,8)&lt;&gt;"Reported",'S.01.01.07'!$D$53&lt;&gt;""),Show!$B$6 &amp; "S.23.01.07.01 Rows{Z}@ForceFilingCode:false","")</f>
        <v/>
      </c>
      <c r="B692" t="str">
        <f>IF(AND(LEFT('S.01.01.07'!$D$53,8)&lt;&gt;"Reported",'S.01.01.07'!$D$53&lt;&gt;""),Show!$B$6&amp; Show!$B$6&amp;"S.23.01.07.01 Rows{Z}@ForceFilingCode:false","")</f>
        <v/>
      </c>
    </row>
    <row r="693" spans="1:2">
      <c r="A693" t="str">
        <f>IF(AND(LEFT('S.01.01.07'!$D$53,8)&lt;&gt;"Reported",'S.01.01.07'!$D$53&lt;&gt;""),Show!$B$6 &amp; "S.23.01.07.02 Rows{Z}@ForceFilingCode:false","")</f>
        <v/>
      </c>
      <c r="B693" t="str">
        <f>IF(AND(LEFT('S.01.01.07'!$D$53,8)&lt;&gt;"Reported",'S.01.01.07'!$D$53&lt;&gt;""),Show!$B$6&amp; Show!$B$6&amp;"S.23.01.07.02 Rows{Z}@ForceFilingCode:false","")</f>
        <v/>
      </c>
    </row>
    <row r="694" spans="1:2">
      <c r="A694" t="str">
        <f>IF(AND(LEFT('S.01.01.07'!$D$54,8)&lt;&gt;"Reported",'S.01.01.07'!$D$54&lt;&gt;""),Show!$B$6 &amp; "S.23.03.07.01 Rows{Z}@ForceFilingCode:false","")</f>
        <v/>
      </c>
      <c r="B694" t="str">
        <f>IF(AND(LEFT('S.01.01.07'!$D$54,8)&lt;&gt;"Reported",'S.01.01.07'!$D$54&lt;&gt;""),Show!$B$6&amp; Show!$B$6&amp;"S.23.03.07.01 Rows{Z}@ForceFilingCode:false","")</f>
        <v/>
      </c>
    </row>
    <row r="695" spans="1:2">
      <c r="A695" t="str">
        <f>IF(AND(LEFT('S.01.01.07'!$D$54,8)&lt;&gt;"Reported",'S.01.01.07'!$D$54&lt;&gt;""),Show!$B$6 &amp; "S.23.03.07.02 Rows{Z}@ForceFilingCode:false","")</f>
        <v/>
      </c>
      <c r="B695" t="str">
        <f>IF(AND(LEFT('S.01.01.07'!$D$54,8)&lt;&gt;"Reported",'S.01.01.07'!$D$54&lt;&gt;""),Show!$B$6&amp; Show!$B$6&amp;"S.23.03.07.02 Rows{Z}@ForceFilingCode:false","")</f>
        <v/>
      </c>
    </row>
    <row r="696" spans="1:2">
      <c r="A696" t="str">
        <f>IF(AND(LEFT('S.01.01.07'!$D$55,8)&lt;&gt;"Reported",'S.01.01.07'!$D$55&lt;&gt;""),Show!$B$6 &amp; "S.24.01.01.01 Rows{Z}@ForceFilingCode:false","")</f>
        <v/>
      </c>
      <c r="B696" t="str">
        <f>IF(AND(LEFT('S.01.01.07'!$D$55,8)&lt;&gt;"Reported",'S.01.01.07'!$D$55&lt;&gt;""),Show!$B$6&amp; Show!$B$6&amp;"S.24.01.01.01 Rows{Z}@ForceFilingCode:false","")</f>
        <v/>
      </c>
    </row>
    <row r="697" spans="1:2">
      <c r="A697" t="str">
        <f>IF(AND(LEFT('S.01.01.07'!$D$55,8)&lt;&gt;"Reported",'S.01.01.07'!$D$55&lt;&gt;""),Show!$B$6 &amp; "S.24.01.01.02 Rows{Z}@ForceFilingCode:false","")</f>
        <v/>
      </c>
      <c r="B697" t="str">
        <f>IF(AND(LEFT('S.01.01.07'!$D$55,8)&lt;&gt;"Reported",'S.01.01.07'!$D$55&lt;&gt;""),Show!$B$6&amp; Show!$B$6&amp;"S.24.01.01.02 Rows{Z}@ForceFilingCode:false","")</f>
        <v/>
      </c>
    </row>
    <row r="698" spans="1:2">
      <c r="A698" t="str">
        <f>IF(AND(LEFT('S.01.01.07'!$D$55,8)&lt;&gt;"Reported",'S.01.01.07'!$D$55&lt;&gt;""),Show!$B$6 &amp; "S.24.01.01.03 Rows{Z}@ForceFilingCode:false","")</f>
        <v/>
      </c>
      <c r="B698" t="str">
        <f>IF(AND(LEFT('S.01.01.07'!$D$55,8)&lt;&gt;"Reported",'S.01.01.07'!$D$55&lt;&gt;""),Show!$B$6&amp; Show!$B$6&amp;"S.24.01.01.03 Rows{Z}@ForceFilingCode:false","")</f>
        <v/>
      </c>
    </row>
    <row r="699" spans="1:2">
      <c r="A699" t="str">
        <f>IF(AND(LEFT('S.01.01.07'!$D$55,8)&lt;&gt;"Reported",'S.01.01.07'!$D$55&lt;&gt;""),Show!$B$6 &amp; "S.24.01.01.04 Rows{Z}@ForceFilingCode:false","")</f>
        <v/>
      </c>
      <c r="B699" t="str">
        <f>IF(AND(LEFT('S.01.01.07'!$D$55,8)&lt;&gt;"Reported",'S.01.01.07'!$D$55&lt;&gt;""),Show!$B$6&amp; Show!$B$6&amp;"S.24.01.01.04 Rows{Z}@ForceFilingCode:false","")</f>
        <v/>
      </c>
    </row>
    <row r="700" spans="1:2">
      <c r="A700" t="str">
        <f>IF(AND(LEFT('S.01.01.07'!$D$55,8)&lt;&gt;"Reported",'S.01.01.07'!$D$55&lt;&gt;""),Show!$B$6 &amp; "S.24.01.01.05 Rows{Z}@ForceFilingCode:false","")</f>
        <v/>
      </c>
      <c r="B700" t="str">
        <f>IF(AND(LEFT('S.01.01.07'!$D$55,8)&lt;&gt;"Reported",'S.01.01.07'!$D$55&lt;&gt;""),Show!$B$6&amp; Show!$B$6&amp;"S.24.01.01.05 Rows{Z}@ForceFilingCode:false","")</f>
        <v/>
      </c>
    </row>
    <row r="701" spans="1:2">
      <c r="A701" t="str">
        <f>IF(AND(LEFT('S.01.01.07'!$D$55,8)&lt;&gt;"Reported",'S.01.01.07'!$D$55&lt;&gt;""),Show!$B$6 &amp; "S.24.01.01.06 Rows{Z}@ForceFilingCode:false","")</f>
        <v/>
      </c>
      <c r="B701" t="str">
        <f>IF(AND(LEFT('S.01.01.07'!$D$55,8)&lt;&gt;"Reported",'S.01.01.07'!$D$55&lt;&gt;""),Show!$B$6&amp; Show!$B$6&amp;"S.24.01.01.06 Rows{Z}@ForceFilingCode:false","")</f>
        <v/>
      </c>
    </row>
    <row r="702" spans="1:2">
      <c r="A702" t="str">
        <f>IF(AND(LEFT('S.01.01.07'!$D$55,8)&lt;&gt;"Reported",'S.01.01.07'!$D$55&lt;&gt;""),Show!$B$6 &amp; "S.24.01.01.07 Rows{Z}@ForceFilingCode:false","")</f>
        <v/>
      </c>
      <c r="B702" t="str">
        <f>IF(AND(LEFT('S.01.01.07'!$D$55,8)&lt;&gt;"Reported",'S.01.01.07'!$D$55&lt;&gt;""),Show!$B$6&amp; Show!$B$6&amp;"S.24.01.01.07 Rows{Z}@ForceFilingCode:false","")</f>
        <v/>
      </c>
    </row>
    <row r="703" spans="1:2">
      <c r="A703" t="str">
        <f>IF(AND(LEFT('S.01.01.07'!$D$55,8)&lt;&gt;"Reported",'S.01.01.07'!$D$55&lt;&gt;""),Show!$B$6 &amp; "S.24.01.01.08 Rows{Z}@ForceFilingCode:false","")</f>
        <v/>
      </c>
      <c r="B703" t="str">
        <f>IF(AND(LEFT('S.01.01.07'!$D$55,8)&lt;&gt;"Reported",'S.01.01.07'!$D$55&lt;&gt;""),Show!$B$6&amp; Show!$B$6&amp;"S.24.01.01.08 Rows{Z}@ForceFilingCode:false","")</f>
        <v/>
      </c>
    </row>
    <row r="704" spans="1:2">
      <c r="A704" t="str">
        <f>IF(AND(LEFT('S.01.01.07'!$D$55,8)&lt;&gt;"Reported",'S.01.01.07'!$D$55&lt;&gt;""),Show!$B$6 &amp; "S.24.01.01.09 Rows{Z}@ForceFilingCode:false","")</f>
        <v/>
      </c>
      <c r="B704" t="str">
        <f>IF(AND(LEFT('S.01.01.07'!$D$55,8)&lt;&gt;"Reported",'S.01.01.07'!$D$55&lt;&gt;""),Show!$B$6&amp; Show!$B$6&amp;"S.24.01.01.09 Rows{Z}@ForceFilingCode:false","")</f>
        <v/>
      </c>
    </row>
    <row r="705" spans="1:2">
      <c r="A705" t="str">
        <f>IF(AND(LEFT('S.01.01.07'!$D$55,8)&lt;&gt;"Reported",'S.01.01.07'!$D$55&lt;&gt;""),Show!$B$6 &amp; "S.24.01.01.10 Rows{Z}@ForceFilingCode:false","")</f>
        <v/>
      </c>
      <c r="B705" t="str">
        <f>IF(AND(LEFT('S.01.01.07'!$D$55,8)&lt;&gt;"Reported",'S.01.01.07'!$D$55&lt;&gt;""),Show!$B$6&amp; Show!$B$6&amp;"S.24.01.01.10 Rows{Z}@ForceFilingCode:false","")</f>
        <v/>
      </c>
    </row>
    <row r="706" spans="1:2">
      <c r="A706" t="str">
        <f>IF(AND(LEFT('S.01.01.07'!$D$55,8)&lt;&gt;"Reported",'S.01.01.07'!$D$55&lt;&gt;""),Show!$B$6 &amp; "S.24.01.01.11 Rows{Z}@ForceFilingCode:false","")</f>
        <v/>
      </c>
      <c r="B706" t="str">
        <f>IF(AND(LEFT('S.01.01.07'!$D$55,8)&lt;&gt;"Reported",'S.01.01.07'!$D$55&lt;&gt;""),Show!$B$6&amp; Show!$B$6&amp;"S.24.01.01.11 Rows{Z}@ForceFilingCode:false","")</f>
        <v/>
      </c>
    </row>
    <row r="707" spans="1:2">
      <c r="A707" t="str">
        <f>IF(AND(LEFT('S.01.01.07'!$D$56,8)&lt;&gt;"Reported",'S.01.01.07'!$D$56&lt;&gt;""),Show!$B$6 &amp; "S.25.01.01.01 Rows{Z}@ForceFilingCode:false","")</f>
        <v/>
      </c>
      <c r="B707" t="str">
        <f>IF(AND(LEFT('S.01.01.07'!$D$56,8)&lt;&gt;"Reported",'S.01.01.07'!$D$56&lt;&gt;""),Show!$B$6&amp; Show!$B$6&amp;"S.25.01.01.01 Rows{Z}@ForceFilingCode:false","")</f>
        <v/>
      </c>
    </row>
    <row r="708" spans="1:2">
      <c r="A708" t="str">
        <f>IF(AND(LEFT('S.01.01.07'!$D$56,8)&lt;&gt;"Reported",'S.01.01.07'!$D$56&lt;&gt;""),Show!$B$6 &amp; "S.25.01.01.02 Rows{Z}@ForceFilingCode:false","")</f>
        <v/>
      </c>
      <c r="B708" t="str">
        <f>IF(AND(LEFT('S.01.01.07'!$D$56,8)&lt;&gt;"Reported",'S.01.01.07'!$D$56&lt;&gt;""),Show!$B$6&amp; Show!$B$6&amp;"S.25.01.01.02 Rows{Z}@ForceFilingCode:false","")</f>
        <v/>
      </c>
    </row>
    <row r="709" spans="1:2">
      <c r="A709" t="str">
        <f>IF(AND(LEFT('S.01.01.07'!$D$56,8)&lt;&gt;"Reported",'S.01.01.07'!$D$56&lt;&gt;""),Show!$B$6 &amp; "S.25.01.01.03 Rows{Z}@ForceFilingCode:false","")</f>
        <v/>
      </c>
      <c r="B709" t="str">
        <f>IF(AND(LEFT('S.01.01.07'!$D$56,8)&lt;&gt;"Reported",'S.01.01.07'!$D$56&lt;&gt;""),Show!$B$6&amp; Show!$B$6&amp;"S.25.01.01.03 Rows{Z}@ForceFilingCode:false","")</f>
        <v/>
      </c>
    </row>
    <row r="710" spans="1:2">
      <c r="A710" t="str">
        <f>IF(AND(LEFT('S.01.01.07'!$D$56,8)&lt;&gt;"Reported",'S.01.01.07'!$D$56&lt;&gt;""),Show!$B$6 &amp; "S.25.01.01.04 Rows{Z}@ForceFilingCode:false","")</f>
        <v/>
      </c>
      <c r="B710" t="str">
        <f>IF(AND(LEFT('S.01.01.07'!$D$56,8)&lt;&gt;"Reported",'S.01.01.07'!$D$56&lt;&gt;""),Show!$B$6&amp; Show!$B$6&amp;"S.25.01.01.04 Rows{Z}@ForceFilingCode:false","")</f>
        <v/>
      </c>
    </row>
    <row r="711" spans="1:2">
      <c r="A711" t="str">
        <f>IF(AND(LEFT('S.01.01.07'!$D$56,8)&lt;&gt;"Reported",'S.01.01.07'!$D$56&lt;&gt;""),Show!$B$6 &amp; "S.25.01.01.05 Rows{Z}@ForceFilingCode:false","")</f>
        <v/>
      </c>
      <c r="B711" t="str">
        <f>IF(AND(LEFT('S.01.01.07'!$D$56,8)&lt;&gt;"Reported",'S.01.01.07'!$D$56&lt;&gt;""),Show!$B$6&amp; Show!$B$6&amp;"S.25.01.01.05 Rows{Z}@ForceFilingCode:false","")</f>
        <v/>
      </c>
    </row>
    <row r="712" spans="1:2">
      <c r="A712" t="str">
        <f>IF(AND(LEFT('S.01.01.07'!$D$57,8)&lt;&gt;"Reported",'S.01.01.07'!$D$57&lt;&gt;""),Show!$B$6 &amp; "S.25.02.01.01 Rows{Z}@ForceFilingCode:false","")</f>
        <v/>
      </c>
      <c r="B712" t="str">
        <f>IF(AND(LEFT('S.01.01.07'!$D$57,8)&lt;&gt;"Reported",'S.01.01.07'!$D$57&lt;&gt;""),Show!$B$6&amp; Show!$B$6&amp;"S.25.02.01.01 Rows{Z}@ForceFilingCode:false","")</f>
        <v/>
      </c>
    </row>
    <row r="713" spans="1:2">
      <c r="A713" t="str">
        <f>IF(AND(LEFT('S.01.01.07'!$D$57,8)&lt;&gt;"Reported",'S.01.01.07'!$D$57&lt;&gt;""),Show!$B$6 &amp; "S.25.02.01.02 Rows{Z}@ForceFilingCode:false","")</f>
        <v/>
      </c>
      <c r="B713" t="str">
        <f>IF(AND(LEFT('S.01.01.07'!$D$57,8)&lt;&gt;"Reported",'S.01.01.07'!$D$57&lt;&gt;""),Show!$B$6&amp; Show!$B$6&amp;"S.25.02.01.02 Rows{Z}@ForceFilingCode:false","")</f>
        <v/>
      </c>
    </row>
    <row r="714" spans="1:2">
      <c r="A714" t="str">
        <f>IF(AND(LEFT('S.01.01.07'!$D$57,8)&lt;&gt;"Reported",'S.01.01.07'!$D$57&lt;&gt;""),Show!$B$6 &amp; "S.25.02.01.03 Rows{Z}@ForceFilingCode:false","")</f>
        <v/>
      </c>
      <c r="B714" t="str">
        <f>IF(AND(LEFT('S.01.01.07'!$D$57,8)&lt;&gt;"Reported",'S.01.01.07'!$D$57&lt;&gt;""),Show!$B$6&amp; Show!$B$6&amp;"S.25.02.01.03 Rows{Z}@ForceFilingCode:false","")</f>
        <v/>
      </c>
    </row>
    <row r="715" spans="1:2">
      <c r="A715" t="str">
        <f>IF(AND(LEFT('S.01.01.07'!$D$57,8)&lt;&gt;"Reported",'S.01.01.07'!$D$57&lt;&gt;""),Show!$B$6 &amp; "S.25.02.01.04 Rows{Z}@ForceFilingCode:false","")</f>
        <v/>
      </c>
      <c r="B715" t="str">
        <f>IF(AND(LEFT('S.01.01.07'!$D$57,8)&lt;&gt;"Reported",'S.01.01.07'!$D$57&lt;&gt;""),Show!$B$6&amp; Show!$B$6&amp;"S.25.02.01.04 Rows{Z}@ForceFilingCode:false","")</f>
        <v/>
      </c>
    </row>
    <row r="716" spans="1:2">
      <c r="A716" t="str">
        <f>IF(AND(LEFT('S.01.01.07'!$D$57,8)&lt;&gt;"Reported",'S.01.01.07'!$D$57&lt;&gt;""),Show!$B$6 &amp; "S.25.02.01.05 Rows{Z}@ForceFilingCode:false","")</f>
        <v/>
      </c>
      <c r="B716" t="str">
        <f>IF(AND(LEFT('S.01.01.07'!$D$57,8)&lt;&gt;"Reported",'S.01.01.07'!$D$57&lt;&gt;""),Show!$B$6&amp; Show!$B$6&amp;"S.25.02.01.05 Rows{Z}@ForceFilingCode:false","")</f>
        <v/>
      </c>
    </row>
    <row r="717" spans="1:2">
      <c r="A717" t="str">
        <f>IF(AND(LEFT('S.01.01.07'!$D$58,8)&lt;&gt;"Reported",'S.01.01.07'!$D$58&lt;&gt;""),Show!$B$6 &amp; "S.25.03.01.01 Rows{Z}@ForceFilingCode:false","")</f>
        <v/>
      </c>
      <c r="B717" t="str">
        <f>IF(AND(LEFT('S.01.01.07'!$D$58,8)&lt;&gt;"Reported",'S.01.01.07'!$D$58&lt;&gt;""),Show!$B$6&amp; Show!$B$6&amp;"S.25.03.01.01 Rows{Z}@ForceFilingCode:false","")</f>
        <v/>
      </c>
    </row>
    <row r="718" spans="1:2">
      <c r="A718" t="str">
        <f>IF(AND(LEFT('S.01.01.07'!$D$58,8)&lt;&gt;"Reported",'S.01.01.07'!$D$58&lt;&gt;""),Show!$B$6 &amp; "S.25.03.01.02 Rows{Z}@ForceFilingCode:false","")</f>
        <v/>
      </c>
      <c r="B718" t="str">
        <f>IF(AND(LEFT('S.01.01.07'!$D$58,8)&lt;&gt;"Reported",'S.01.01.07'!$D$58&lt;&gt;""),Show!$B$6&amp; Show!$B$6&amp;"S.25.03.01.02 Rows{Z}@ForceFilingCode:false","")</f>
        <v/>
      </c>
    </row>
    <row r="719" spans="1:2">
      <c r="A719" t="str">
        <f>IF(AND(LEFT('S.01.01.07'!$D$58,8)&lt;&gt;"Reported",'S.01.01.07'!$D$58&lt;&gt;""),Show!$B$6 &amp; "S.25.03.01.03 Rows{Z}@ForceFilingCode:false","")</f>
        <v/>
      </c>
      <c r="B719" t="str">
        <f>IF(AND(LEFT('S.01.01.07'!$D$58,8)&lt;&gt;"Reported",'S.01.01.07'!$D$58&lt;&gt;""),Show!$B$6&amp; Show!$B$6&amp;"S.25.03.01.03 Rows{Z}@ForceFilingCode:false","")</f>
        <v/>
      </c>
    </row>
    <row r="720" spans="1:2">
      <c r="A720" t="str">
        <f>IF(AND(LEFT('S.01.01.07'!$D$58,8)&lt;&gt;"Reported",'S.01.01.07'!$D$58&lt;&gt;""),Show!$B$6 &amp; "S.25.03.01.04 Rows{Z}@ForceFilingCode:false","")</f>
        <v/>
      </c>
      <c r="B720" t="str">
        <f>IF(AND(LEFT('S.01.01.07'!$D$58,8)&lt;&gt;"Reported",'S.01.01.07'!$D$58&lt;&gt;""),Show!$B$6&amp; Show!$B$6&amp;"S.25.03.01.04 Rows{Z}@ForceFilingCode:false","")</f>
        <v/>
      </c>
    </row>
    <row r="721" spans="1:2">
      <c r="A721" t="str">
        <f>IF(AND(LEFT('S.01.01.07'!$D$58,8)&lt;&gt;"Reported",'S.01.01.07'!$D$58&lt;&gt;""),Show!$B$6 &amp; "S.25.03.01.05 Rows{Z}@ForceFilingCode:false","")</f>
        <v/>
      </c>
      <c r="B721" t="str">
        <f>IF(AND(LEFT('S.01.01.07'!$D$58,8)&lt;&gt;"Reported",'S.01.01.07'!$D$58&lt;&gt;""),Show!$B$6&amp; Show!$B$6&amp;"S.25.03.01.05 Rows{Z}@ForceFilingCode:false","")</f>
        <v/>
      </c>
    </row>
    <row r="722" spans="1:2">
      <c r="A722" t="str">
        <f>IF(AND(LEFT('S.01.01.07'!$D$59,8)&lt;&gt;"Reported",'S.01.01.07'!$D$59&lt;&gt;""),Show!$B$6 &amp; "S.26.01.01.01 Rows{Z}@ForceFilingCode:false","")</f>
        <v/>
      </c>
      <c r="B722" t="str">
        <f>IF(AND(LEFT('S.01.01.07'!$D$59,8)&lt;&gt;"Reported",'S.01.01.07'!$D$59&lt;&gt;""),Show!$B$6&amp; Show!$B$6&amp;"S.26.01.01.01 Rows{Z}@ForceFilingCode:false","")</f>
        <v/>
      </c>
    </row>
    <row r="723" spans="1:2">
      <c r="A723" t="str">
        <f>IF(AND(LEFT('S.01.01.07'!$D$59,8)&lt;&gt;"Reported",'S.01.01.07'!$D$59&lt;&gt;""),Show!$B$6 &amp; "S.26.01.01.02 Rows{Z}@ForceFilingCode:false","")</f>
        <v/>
      </c>
      <c r="B723" t="str">
        <f>IF(AND(LEFT('S.01.01.07'!$D$59,8)&lt;&gt;"Reported",'S.01.01.07'!$D$59&lt;&gt;""),Show!$B$6&amp; Show!$B$6&amp;"S.26.01.01.02 Rows{Z}@ForceFilingCode:false","")</f>
        <v/>
      </c>
    </row>
    <row r="724" spans="1:2">
      <c r="A724" t="str">
        <f>IF(AND(LEFT('S.01.01.07'!$D$59,8)&lt;&gt;"Reported",'S.01.01.07'!$D$59&lt;&gt;""),Show!$B$6 &amp; "S.26.01.01.03 Rows{Z}@ForceFilingCode:false","")</f>
        <v/>
      </c>
      <c r="B724" t="str">
        <f>IF(AND(LEFT('S.01.01.07'!$D$59,8)&lt;&gt;"Reported",'S.01.01.07'!$D$59&lt;&gt;""),Show!$B$6&amp; Show!$B$6&amp;"S.26.01.01.03 Rows{Z}@ForceFilingCode:false","")</f>
        <v/>
      </c>
    </row>
    <row r="725" spans="1:2">
      <c r="A725" t="str">
        <f>IF(AND(LEFT('S.01.01.07'!$D$60,8)&lt;&gt;"Reported",'S.01.01.07'!$D$60&lt;&gt;""),Show!$B$6 &amp; "S.26.02.01.01 Rows{Z}@ForceFilingCode:false","")</f>
        <v/>
      </c>
      <c r="B725" t="str">
        <f>IF(AND(LEFT('S.01.01.07'!$D$60,8)&lt;&gt;"Reported",'S.01.01.07'!$D$60&lt;&gt;""),Show!$B$6&amp; Show!$B$6&amp;"S.26.02.01.01 Rows{Z}@ForceFilingCode:false","")</f>
        <v/>
      </c>
    </row>
    <row r="726" spans="1:2">
      <c r="A726" t="str">
        <f>IF(AND(LEFT('S.01.01.07'!$D$60,8)&lt;&gt;"Reported",'S.01.01.07'!$D$60&lt;&gt;""),Show!$B$6 &amp; "S.26.02.01.02 Rows{Z}@ForceFilingCode:false","")</f>
        <v/>
      </c>
      <c r="B726" t="str">
        <f>IF(AND(LEFT('S.01.01.07'!$D$60,8)&lt;&gt;"Reported",'S.01.01.07'!$D$60&lt;&gt;""),Show!$B$6&amp; Show!$B$6&amp;"S.26.02.01.02 Rows{Z}@ForceFilingCode:false","")</f>
        <v/>
      </c>
    </row>
    <row r="727" spans="1:2">
      <c r="A727" t="str">
        <f>IF(AND(LEFT('S.01.01.07'!$D$60,8)&lt;&gt;"Reported",'S.01.01.07'!$D$60&lt;&gt;""),Show!$B$6 &amp; "S.26.02.01.03 Rows{Z}@ForceFilingCode:false","")</f>
        <v/>
      </c>
      <c r="B727" t="str">
        <f>IF(AND(LEFT('S.01.01.07'!$D$60,8)&lt;&gt;"Reported",'S.01.01.07'!$D$60&lt;&gt;""),Show!$B$6&amp; Show!$B$6&amp;"S.26.02.01.03 Rows{Z}@ForceFilingCode:false","")</f>
        <v/>
      </c>
    </row>
    <row r="728" spans="1:2">
      <c r="A728" t="str">
        <f>IF(AND(LEFT('S.01.01.07'!$D$61,8)&lt;&gt;"Reported",'S.01.01.07'!$D$61&lt;&gt;""),Show!$B$6 &amp; "S.26.03.01.01 Rows{Z}@ForceFilingCode:false","")</f>
        <v/>
      </c>
      <c r="B728" t="str">
        <f>IF(AND(LEFT('S.01.01.07'!$D$61,8)&lt;&gt;"Reported",'S.01.01.07'!$D$61&lt;&gt;""),Show!$B$6&amp; Show!$B$6&amp;"S.26.03.01.01 Rows{Z}@ForceFilingCode:false","")</f>
        <v/>
      </c>
    </row>
    <row r="729" spans="1:2">
      <c r="A729" t="str">
        <f>IF(AND(LEFT('S.01.01.07'!$D$61,8)&lt;&gt;"Reported",'S.01.01.07'!$D$61&lt;&gt;""),Show!$B$6 &amp; "S.26.03.01.02 Rows{Z}@ForceFilingCode:false","")</f>
        <v/>
      </c>
      <c r="B729" t="str">
        <f>IF(AND(LEFT('S.01.01.07'!$D$61,8)&lt;&gt;"Reported",'S.01.01.07'!$D$61&lt;&gt;""),Show!$B$6&amp; Show!$B$6&amp;"S.26.03.01.02 Rows{Z}@ForceFilingCode:false","")</f>
        <v/>
      </c>
    </row>
    <row r="730" spans="1:2">
      <c r="A730" t="str">
        <f>IF(AND(LEFT('S.01.01.07'!$D$61,8)&lt;&gt;"Reported",'S.01.01.07'!$D$61&lt;&gt;""),Show!$B$6 &amp; "S.26.03.01.03 Rows{Z}@ForceFilingCode:false","")</f>
        <v/>
      </c>
      <c r="B730" t="str">
        <f>IF(AND(LEFT('S.01.01.07'!$D$61,8)&lt;&gt;"Reported",'S.01.01.07'!$D$61&lt;&gt;""),Show!$B$6&amp; Show!$B$6&amp;"S.26.03.01.03 Rows{Z}@ForceFilingCode:false","")</f>
        <v/>
      </c>
    </row>
    <row r="731" spans="1:2">
      <c r="A731" t="str">
        <f>IF(AND(LEFT('S.01.01.07'!$D$61,8)&lt;&gt;"Reported",'S.01.01.07'!$D$61&lt;&gt;""),Show!$B$6 &amp; "S.26.03.01.04 Rows{Z}@ForceFilingCode:false","")</f>
        <v/>
      </c>
      <c r="B731" t="str">
        <f>IF(AND(LEFT('S.01.01.07'!$D$61,8)&lt;&gt;"Reported",'S.01.01.07'!$D$61&lt;&gt;""),Show!$B$6&amp; Show!$B$6&amp;"S.26.03.01.04 Rows{Z}@ForceFilingCode:false","")</f>
        <v/>
      </c>
    </row>
    <row r="732" spans="1:2">
      <c r="A732" t="str">
        <f>IF(AND(LEFT('S.01.01.07'!$D$62,8)&lt;&gt;"Reported",'S.01.01.07'!$D$62&lt;&gt;""),Show!$B$6 &amp; "S.26.04.01.01 Rows{Z}@ForceFilingCode:false","")</f>
        <v/>
      </c>
      <c r="B732" t="str">
        <f>IF(AND(LEFT('S.01.01.07'!$D$62,8)&lt;&gt;"Reported",'S.01.01.07'!$D$62&lt;&gt;""),Show!$B$6&amp; Show!$B$6&amp;"S.26.04.01.01 Rows{Z}@ForceFilingCode:false","")</f>
        <v/>
      </c>
    </row>
    <row r="733" spans="1:2">
      <c r="A733" t="str">
        <f>IF(AND(LEFT('S.01.01.07'!$D$62,8)&lt;&gt;"Reported",'S.01.01.07'!$D$62&lt;&gt;""),Show!$B$6 &amp; "S.26.04.01.02 Rows{Z}@ForceFilingCode:false","")</f>
        <v/>
      </c>
      <c r="B733" t="str">
        <f>IF(AND(LEFT('S.01.01.07'!$D$62,8)&lt;&gt;"Reported",'S.01.01.07'!$D$62&lt;&gt;""),Show!$B$6&amp; Show!$B$6&amp;"S.26.04.01.02 Rows{Z}@ForceFilingCode:false","")</f>
        <v/>
      </c>
    </row>
    <row r="734" spans="1:2">
      <c r="A734" t="str">
        <f>IF(AND(LEFT('S.01.01.07'!$D$62,8)&lt;&gt;"Reported",'S.01.01.07'!$D$62&lt;&gt;""),Show!$B$6 &amp; "S.26.04.01.03 Rows{Z}@ForceFilingCode:false","")</f>
        <v/>
      </c>
      <c r="B734" t="str">
        <f>IF(AND(LEFT('S.01.01.07'!$D$62,8)&lt;&gt;"Reported",'S.01.01.07'!$D$62&lt;&gt;""),Show!$B$6&amp; Show!$B$6&amp;"S.26.04.01.03 Rows{Z}@ForceFilingCode:false","")</f>
        <v/>
      </c>
    </row>
    <row r="735" spans="1:2">
      <c r="A735" t="str">
        <f>IF(AND(LEFT('S.01.01.07'!$D$62,8)&lt;&gt;"Reported",'S.01.01.07'!$D$62&lt;&gt;""),Show!$B$6 &amp; "S.26.04.01.04 Rows{Z}@ForceFilingCode:false","")</f>
        <v/>
      </c>
      <c r="B735" t="str">
        <f>IF(AND(LEFT('S.01.01.07'!$D$62,8)&lt;&gt;"Reported",'S.01.01.07'!$D$62&lt;&gt;""),Show!$B$6&amp; Show!$B$6&amp;"S.26.04.01.04 Rows{Z}@ForceFilingCode:false","")</f>
        <v/>
      </c>
    </row>
    <row r="736" spans="1:2">
      <c r="A736" t="str">
        <f>IF(AND(LEFT('S.01.01.07'!$D$62,8)&lt;&gt;"Reported",'S.01.01.07'!$D$62&lt;&gt;""),Show!$B$6 &amp; "S.26.04.01.05 Rows{Z}@ForceFilingCode:false","")</f>
        <v/>
      </c>
      <c r="B736" t="str">
        <f>IF(AND(LEFT('S.01.01.07'!$D$62,8)&lt;&gt;"Reported",'S.01.01.07'!$D$62&lt;&gt;""),Show!$B$6&amp; Show!$B$6&amp;"S.26.04.01.05 Rows{Z}@ForceFilingCode:false","")</f>
        <v/>
      </c>
    </row>
    <row r="737" spans="1:2">
      <c r="A737" t="str">
        <f>IF(AND(LEFT('S.01.01.07'!$D$62,8)&lt;&gt;"Reported",'S.01.01.07'!$D$62&lt;&gt;""),Show!$B$6 &amp; "S.26.04.01.06 Rows{Z}@ForceFilingCode:false","")</f>
        <v/>
      </c>
      <c r="B737" t="str">
        <f>IF(AND(LEFT('S.01.01.07'!$D$62,8)&lt;&gt;"Reported",'S.01.01.07'!$D$62&lt;&gt;""),Show!$B$6&amp; Show!$B$6&amp;"S.26.04.01.06 Rows{Z}@ForceFilingCode:false","")</f>
        <v/>
      </c>
    </row>
    <row r="738" spans="1:2">
      <c r="A738" t="str">
        <f>IF(AND(LEFT('S.01.01.07'!$D$62,8)&lt;&gt;"Reported",'S.01.01.07'!$D$62&lt;&gt;""),Show!$B$6 &amp; "S.26.04.01.07 Rows{Z}@ForceFilingCode:false","")</f>
        <v/>
      </c>
      <c r="B738" t="str">
        <f>IF(AND(LEFT('S.01.01.07'!$D$62,8)&lt;&gt;"Reported",'S.01.01.07'!$D$62&lt;&gt;""),Show!$B$6&amp; Show!$B$6&amp;"S.26.04.01.07 Rows{Z}@ForceFilingCode:false","")</f>
        <v/>
      </c>
    </row>
    <row r="739" spans="1:2">
      <c r="A739" t="str">
        <f>IF(AND(LEFT('S.01.01.07'!$D$62,8)&lt;&gt;"Reported",'S.01.01.07'!$D$62&lt;&gt;""),Show!$B$6 &amp; "S.26.04.01.08 Rows{Z}@ForceFilingCode:false","")</f>
        <v/>
      </c>
      <c r="B739" t="str">
        <f>IF(AND(LEFT('S.01.01.07'!$D$62,8)&lt;&gt;"Reported",'S.01.01.07'!$D$62&lt;&gt;""),Show!$B$6&amp; Show!$B$6&amp;"S.26.04.01.08 Rows{Z}@ForceFilingCode:false","")</f>
        <v/>
      </c>
    </row>
    <row r="740" spans="1:2">
      <c r="A740" t="str">
        <f>IF(AND(LEFT('S.01.01.07'!$D$62,8)&lt;&gt;"Reported",'S.01.01.07'!$D$62&lt;&gt;""),Show!$B$6 &amp; "S.26.04.01.09 Rows{Z}@ForceFilingCode:false","")</f>
        <v/>
      </c>
      <c r="B740" t="str">
        <f>IF(AND(LEFT('S.01.01.07'!$D$62,8)&lt;&gt;"Reported",'S.01.01.07'!$D$62&lt;&gt;""),Show!$B$6&amp; Show!$B$6&amp;"S.26.04.01.09 Rows{Z}@ForceFilingCode:false","")</f>
        <v/>
      </c>
    </row>
    <row r="741" spans="1:2">
      <c r="A741" t="str">
        <f>IF(AND(LEFT('S.01.01.07'!$D$63,8)&lt;&gt;"Reported",'S.01.01.07'!$D$63&lt;&gt;""),Show!$B$6 &amp; "S.26.05.01.01 Rows{Z}@ForceFilingCode:false","")</f>
        <v/>
      </c>
      <c r="B741" t="str">
        <f>IF(AND(LEFT('S.01.01.07'!$D$63,8)&lt;&gt;"Reported",'S.01.01.07'!$D$63&lt;&gt;""),Show!$B$6&amp; Show!$B$6&amp;"S.26.05.01.01 Rows{Z}@ForceFilingCode:false","")</f>
        <v/>
      </c>
    </row>
    <row r="742" spans="1:2">
      <c r="A742" t="str">
        <f>IF(AND(LEFT('S.01.01.07'!$D$63,8)&lt;&gt;"Reported",'S.01.01.07'!$D$63&lt;&gt;""),Show!$B$6 &amp; "S.26.05.01.02 Rows{Z}@ForceFilingCode:false","")</f>
        <v/>
      </c>
      <c r="B742" t="str">
        <f>IF(AND(LEFT('S.01.01.07'!$D$63,8)&lt;&gt;"Reported",'S.01.01.07'!$D$63&lt;&gt;""),Show!$B$6&amp; Show!$B$6&amp;"S.26.05.01.02 Rows{Z}@ForceFilingCode:false","")</f>
        <v/>
      </c>
    </row>
    <row r="743" spans="1:2">
      <c r="A743" t="str">
        <f>IF(AND(LEFT('S.01.01.07'!$D$63,8)&lt;&gt;"Reported",'S.01.01.07'!$D$63&lt;&gt;""),Show!$B$6 &amp; "S.26.05.01.03 Rows{Z}@ForceFilingCode:false","")</f>
        <v/>
      </c>
      <c r="B743" t="str">
        <f>IF(AND(LEFT('S.01.01.07'!$D$63,8)&lt;&gt;"Reported",'S.01.01.07'!$D$63&lt;&gt;""),Show!$B$6&amp; Show!$B$6&amp;"S.26.05.01.03 Rows{Z}@ForceFilingCode:false","")</f>
        <v/>
      </c>
    </row>
    <row r="744" spans="1:2">
      <c r="A744" t="str">
        <f>IF(AND(LEFT('S.01.01.07'!$D$63,8)&lt;&gt;"Reported",'S.01.01.07'!$D$63&lt;&gt;""),Show!$B$6 &amp; "S.26.05.01.04 Rows{Z}@ForceFilingCode:false","")</f>
        <v/>
      </c>
      <c r="B744" t="str">
        <f>IF(AND(LEFT('S.01.01.07'!$D$63,8)&lt;&gt;"Reported",'S.01.01.07'!$D$63&lt;&gt;""),Show!$B$6&amp; Show!$B$6&amp;"S.26.05.01.04 Rows{Z}@ForceFilingCode:false","")</f>
        <v/>
      </c>
    </row>
    <row r="745" spans="1:2">
      <c r="A745" t="str">
        <f>IF(AND(LEFT('S.01.01.07'!$D$63,8)&lt;&gt;"Reported",'S.01.01.07'!$D$63&lt;&gt;""),Show!$B$6 &amp; "S.26.05.01.05 Rows{Z}@ForceFilingCode:false","")</f>
        <v/>
      </c>
      <c r="B745" t="str">
        <f>IF(AND(LEFT('S.01.01.07'!$D$63,8)&lt;&gt;"Reported",'S.01.01.07'!$D$63&lt;&gt;""),Show!$B$6&amp; Show!$B$6&amp;"S.26.05.01.05 Rows{Z}@ForceFilingCode:false","")</f>
        <v/>
      </c>
    </row>
    <row r="746" spans="1:2">
      <c r="A746" t="str">
        <f>IF(AND(LEFT('S.01.01.07'!$D$64,8)&lt;&gt;"Reported",'S.01.01.07'!$D$64&lt;&gt;""),Show!$B$6 &amp; "S.26.06.01.01 Rows{Z}@ForceFilingCode:false","")</f>
        <v/>
      </c>
      <c r="B746" t="str">
        <f>IF(AND(LEFT('S.01.01.07'!$D$64,8)&lt;&gt;"Reported",'S.01.01.07'!$D$64&lt;&gt;""),Show!$B$6&amp; Show!$B$6&amp;"S.26.06.01.01 Rows{Z}@ForceFilingCode:false","")</f>
        <v/>
      </c>
    </row>
    <row r="747" spans="1:2">
      <c r="A747" t="str">
        <f>IF(AND(LEFT('S.01.01.07'!$D$65,8)&lt;&gt;"Reported",'S.01.01.07'!$D$65&lt;&gt;""),Show!$B$6 &amp; "S.26.07.01.01 Rows{Z}@ForceFilingCode:false","")</f>
        <v/>
      </c>
      <c r="B747" t="str">
        <f>IF(AND(LEFT('S.01.01.07'!$D$65,8)&lt;&gt;"Reported",'S.01.01.07'!$D$65&lt;&gt;""),Show!$B$6&amp; Show!$B$6&amp;"S.26.07.01.01 Rows{Z}@ForceFilingCode:false","")</f>
        <v/>
      </c>
    </row>
    <row r="748" spans="1:2">
      <c r="A748" t="str">
        <f>IF(AND(LEFT('S.01.01.07'!$D$65,8)&lt;&gt;"Reported",'S.01.01.07'!$D$65&lt;&gt;""),Show!$B$6 &amp; "S.26.07.01.02 Rows{Z}@ForceFilingCode:false","")</f>
        <v/>
      </c>
      <c r="B748" t="str">
        <f>IF(AND(LEFT('S.01.01.07'!$D$65,8)&lt;&gt;"Reported",'S.01.01.07'!$D$65&lt;&gt;""),Show!$B$6&amp; Show!$B$6&amp;"S.26.07.01.02 Rows{Z}@ForceFilingCode:false","")</f>
        <v/>
      </c>
    </row>
    <row r="749" spans="1:2">
      <c r="A749" t="str">
        <f>IF(AND(LEFT('S.01.01.07'!$D$65,8)&lt;&gt;"Reported",'S.01.01.07'!$D$65&lt;&gt;""),Show!$B$6 &amp; "S.26.07.01.03 Rows{Z}@ForceFilingCode:false","")</f>
        <v/>
      </c>
      <c r="B749" t="str">
        <f>IF(AND(LEFT('S.01.01.07'!$D$65,8)&lt;&gt;"Reported",'S.01.01.07'!$D$65&lt;&gt;""),Show!$B$6&amp; Show!$B$6&amp;"S.26.07.01.03 Rows{Z}@ForceFilingCode:false","")</f>
        <v/>
      </c>
    </row>
    <row r="750" spans="1:2">
      <c r="A750" t="str">
        <f>IF(AND(LEFT('S.01.01.07'!$D$65,8)&lt;&gt;"Reported",'S.01.01.07'!$D$65&lt;&gt;""),Show!$B$6 &amp; "S.26.07.01.04 Rows{Z}@ForceFilingCode:false","")</f>
        <v/>
      </c>
      <c r="B750" t="str">
        <f>IF(AND(LEFT('S.01.01.07'!$D$65,8)&lt;&gt;"Reported",'S.01.01.07'!$D$65&lt;&gt;""),Show!$B$6&amp; Show!$B$6&amp;"S.26.07.01.04 Rows{Z}@ForceFilingCode:false","")</f>
        <v/>
      </c>
    </row>
    <row r="751" spans="1:2">
      <c r="A751" t="str">
        <f>IF(AND(LEFT('S.01.01.07'!$D$65,8)&lt;&gt;"Reported",'S.01.01.07'!$D$65&lt;&gt;""),Show!$B$6 &amp; "S.26.07.01.05 Rows{Z}@ForceFilingCode:false","")</f>
        <v/>
      </c>
      <c r="B751" t="str">
        <f>IF(AND(LEFT('S.01.01.07'!$D$65,8)&lt;&gt;"Reported",'S.01.01.07'!$D$65&lt;&gt;""),Show!$B$6&amp; Show!$B$6&amp;"S.26.07.01.05 Rows{Z}@ForceFilingCode:false","")</f>
        <v/>
      </c>
    </row>
    <row r="752" spans="1:2">
      <c r="A752" t="str">
        <f>IF(AND(LEFT('S.01.01.07'!$D$65,8)&lt;&gt;"Reported",'S.01.01.07'!$D$65&lt;&gt;""),Show!$B$6 &amp; "S.26.07.01.06 Rows{Z}@ForceFilingCode:false","")</f>
        <v/>
      </c>
      <c r="B752" t="str">
        <f>IF(AND(LEFT('S.01.01.07'!$D$65,8)&lt;&gt;"Reported",'S.01.01.07'!$D$65&lt;&gt;""),Show!$B$6&amp; Show!$B$6&amp;"S.26.07.01.06 Rows{Z}@ForceFilingCode:false","")</f>
        <v/>
      </c>
    </row>
    <row r="753" spans="1:2">
      <c r="A753" t="str">
        <f>IF(AND(LEFT('S.01.01.07'!$D$66,8)&lt;&gt;"Reported",'S.01.01.07'!$D$66&lt;&gt;""),Show!$B$6 &amp; "S.27.01.01.01 Rows{Z}@ForceFilingCode:false","")</f>
        <v/>
      </c>
      <c r="B753" t="str">
        <f>IF(AND(LEFT('S.01.01.07'!$D$66,8)&lt;&gt;"Reported",'S.01.01.07'!$D$66&lt;&gt;""),Show!$B$6&amp; Show!$B$6&amp;"S.27.01.01.01 Rows{Z}@ForceFilingCode:false","")</f>
        <v/>
      </c>
    </row>
    <row r="754" spans="1:2">
      <c r="A754" t="str">
        <f>IF(AND(LEFT('S.01.01.07'!$D$66,8)&lt;&gt;"Reported",'S.01.01.07'!$D$66&lt;&gt;""),Show!$B$6 &amp; "S.27.01.01.02 Rows{Z}@ForceFilingCode:false","")</f>
        <v/>
      </c>
      <c r="B754" t="str">
        <f>IF(AND(LEFT('S.01.01.07'!$D$66,8)&lt;&gt;"Reported",'S.01.01.07'!$D$66&lt;&gt;""),Show!$B$6&amp; Show!$B$6&amp;"S.27.01.01.02 Rows{Z}@ForceFilingCode:false","")</f>
        <v/>
      </c>
    </row>
    <row r="755" spans="1:2">
      <c r="A755" t="str">
        <f>IF(AND(LEFT('S.01.01.07'!$D$66,8)&lt;&gt;"Reported",'S.01.01.07'!$D$66&lt;&gt;""),Show!$B$6 &amp; "S.27.01.01.03 Rows{Z}@ForceFilingCode:false","")</f>
        <v/>
      </c>
      <c r="B755" t="str">
        <f>IF(AND(LEFT('S.01.01.07'!$D$66,8)&lt;&gt;"Reported",'S.01.01.07'!$D$66&lt;&gt;""),Show!$B$6&amp; Show!$B$6&amp;"S.27.01.01.03 Rows{Z}@ForceFilingCode:false","")</f>
        <v/>
      </c>
    </row>
    <row r="756" spans="1:2">
      <c r="A756" t="str">
        <f>IF(AND(LEFT('S.01.01.07'!$D$66,8)&lt;&gt;"Reported",'S.01.01.07'!$D$66&lt;&gt;""),Show!$B$6 &amp; "S.27.01.01.04 Rows{Z}@ForceFilingCode:false","")</f>
        <v/>
      </c>
      <c r="B756" t="str">
        <f>IF(AND(LEFT('S.01.01.07'!$D$66,8)&lt;&gt;"Reported",'S.01.01.07'!$D$66&lt;&gt;""),Show!$B$6&amp; Show!$B$6&amp;"S.27.01.01.04 Rows{Z}@ForceFilingCode:false","")</f>
        <v/>
      </c>
    </row>
    <row r="757" spans="1:2">
      <c r="A757" t="str">
        <f>IF(AND(LEFT('S.01.01.07'!$D$66,8)&lt;&gt;"Reported",'S.01.01.07'!$D$66&lt;&gt;""),Show!$B$6 &amp; "S.27.01.01.05 Rows{Z}@ForceFilingCode:false","")</f>
        <v/>
      </c>
      <c r="B757" t="str">
        <f>IF(AND(LEFT('S.01.01.07'!$D$66,8)&lt;&gt;"Reported",'S.01.01.07'!$D$66&lt;&gt;""),Show!$B$6&amp; Show!$B$6&amp;"S.27.01.01.05 Rows{Z}@ForceFilingCode:false","")</f>
        <v/>
      </c>
    </row>
    <row r="758" spans="1:2">
      <c r="A758" t="str">
        <f>IF(AND(LEFT('S.01.01.07'!$D$66,8)&lt;&gt;"Reported",'S.01.01.07'!$D$66&lt;&gt;""),Show!$B$6 &amp; "S.27.01.01.06 Rows{Z}@ForceFilingCode:false","")</f>
        <v/>
      </c>
      <c r="B758" t="str">
        <f>IF(AND(LEFT('S.01.01.07'!$D$66,8)&lt;&gt;"Reported",'S.01.01.07'!$D$66&lt;&gt;""),Show!$B$6&amp; Show!$B$6&amp;"S.27.01.01.06 Rows{Z}@ForceFilingCode:false","")</f>
        <v/>
      </c>
    </row>
    <row r="759" spans="1:2">
      <c r="A759" t="str">
        <f>IF(AND(LEFT('S.01.01.07'!$D$66,8)&lt;&gt;"Reported",'S.01.01.07'!$D$66&lt;&gt;""),Show!$B$6 &amp; "S.27.01.01.07 Rows{Z}@ForceFilingCode:false","")</f>
        <v/>
      </c>
      <c r="B759" t="str">
        <f>IF(AND(LEFT('S.01.01.07'!$D$66,8)&lt;&gt;"Reported",'S.01.01.07'!$D$66&lt;&gt;""),Show!$B$6&amp; Show!$B$6&amp;"S.27.01.01.07 Rows{Z}@ForceFilingCode:false","")</f>
        <v/>
      </c>
    </row>
    <row r="760" spans="1:2">
      <c r="A760" t="str">
        <f>IF(AND(LEFT('S.01.01.07'!$D$66,8)&lt;&gt;"Reported",'S.01.01.07'!$D$66&lt;&gt;""),Show!$B$6 &amp; "S.27.01.01.08 Rows{Z}@ForceFilingCode:false","")</f>
        <v/>
      </c>
      <c r="B760" t="str">
        <f>IF(AND(LEFT('S.01.01.07'!$D$66,8)&lt;&gt;"Reported",'S.01.01.07'!$D$66&lt;&gt;""),Show!$B$6&amp; Show!$B$6&amp;"S.27.01.01.08 Rows{Z}@ForceFilingCode:false","")</f>
        <v/>
      </c>
    </row>
    <row r="761" spans="1:2">
      <c r="A761" t="str">
        <f>IF(AND(LEFT('S.01.01.07'!$D$66,8)&lt;&gt;"Reported",'S.01.01.07'!$D$66&lt;&gt;""),Show!$B$6 &amp; "S.27.01.01.09 Rows{Z}@ForceFilingCode:false","")</f>
        <v/>
      </c>
      <c r="B761" t="str">
        <f>IF(AND(LEFT('S.01.01.07'!$D$66,8)&lt;&gt;"Reported",'S.01.01.07'!$D$66&lt;&gt;""),Show!$B$6&amp; Show!$B$6&amp;"S.27.01.01.09 Rows{Z}@ForceFilingCode:false","")</f>
        <v/>
      </c>
    </row>
    <row r="762" spans="1:2">
      <c r="A762" t="str">
        <f>IF(AND(LEFT('S.01.01.07'!$D$66,8)&lt;&gt;"Reported",'S.01.01.07'!$D$66&lt;&gt;""),Show!$B$6 &amp; "S.27.01.01.10 Rows{Z}@ForceFilingCode:false","")</f>
        <v/>
      </c>
      <c r="B762" t="str">
        <f>IF(AND(LEFT('S.01.01.07'!$D$66,8)&lt;&gt;"Reported",'S.01.01.07'!$D$66&lt;&gt;""),Show!$B$6&amp; Show!$B$6&amp;"S.27.01.01.10 Rows{Z}@ForceFilingCode:false","")</f>
        <v/>
      </c>
    </row>
    <row r="763" spans="1:2">
      <c r="A763" t="str">
        <f>IF(AND(LEFT('S.01.01.07'!$D$66,8)&lt;&gt;"Reported",'S.01.01.07'!$D$66&lt;&gt;""),Show!$B$6 &amp; "S.27.01.01.11 Rows{Z}@ForceFilingCode:false","")</f>
        <v/>
      </c>
      <c r="B763" t="str">
        <f>IF(AND(LEFT('S.01.01.07'!$D$66,8)&lt;&gt;"Reported",'S.01.01.07'!$D$66&lt;&gt;""),Show!$B$6&amp; Show!$B$6&amp;"S.27.01.01.11 Rows{Z}@ForceFilingCode:false","")</f>
        <v/>
      </c>
    </row>
    <row r="764" spans="1:2">
      <c r="A764" t="str">
        <f>IF(AND(LEFT('S.01.01.07'!$D$66,8)&lt;&gt;"Reported",'S.01.01.07'!$D$66&lt;&gt;""),Show!$B$6 &amp; "S.27.01.01.12 Rows{Z}@ForceFilingCode:false","")</f>
        <v/>
      </c>
      <c r="B764" t="str">
        <f>IF(AND(LEFT('S.01.01.07'!$D$66,8)&lt;&gt;"Reported",'S.01.01.07'!$D$66&lt;&gt;""),Show!$B$6&amp; Show!$B$6&amp;"S.27.01.01.12 Rows{Z}@ForceFilingCode:false","")</f>
        <v/>
      </c>
    </row>
    <row r="765" spans="1:2">
      <c r="A765" t="str">
        <f>IF(AND(LEFT('S.01.01.07'!$D$66,8)&lt;&gt;"Reported",'S.01.01.07'!$D$66&lt;&gt;""),Show!$B$6 &amp; "S.27.01.01.13 Rows{Z}@ForceFilingCode:false","")</f>
        <v/>
      </c>
      <c r="B765" t="str">
        <f>IF(AND(LEFT('S.01.01.07'!$D$66,8)&lt;&gt;"Reported",'S.01.01.07'!$D$66&lt;&gt;""),Show!$B$6&amp; Show!$B$6&amp;"S.27.01.01.13 Rows{Z}@ForceFilingCode:false","")</f>
        <v/>
      </c>
    </row>
    <row r="766" spans="1:2">
      <c r="A766" t="str">
        <f>IF(AND(LEFT('S.01.01.07'!$D$66,8)&lt;&gt;"Reported",'S.01.01.07'!$D$66&lt;&gt;""),Show!$B$6 &amp; "S.27.01.01.14 Rows{Z}@ForceFilingCode:false","")</f>
        <v/>
      </c>
      <c r="B766" t="str">
        <f>IF(AND(LEFT('S.01.01.07'!$D$66,8)&lt;&gt;"Reported",'S.01.01.07'!$D$66&lt;&gt;""),Show!$B$6&amp; Show!$B$6&amp;"S.27.01.01.14 Rows{Z}@ForceFilingCode:false","")</f>
        <v/>
      </c>
    </row>
    <row r="767" spans="1:2">
      <c r="A767" t="str">
        <f>IF(AND(LEFT('S.01.01.07'!$D$66,8)&lt;&gt;"Reported",'S.01.01.07'!$D$66&lt;&gt;""),Show!$B$6 &amp; "S.27.01.01.15 Rows{Z}@ForceFilingCode:false","")</f>
        <v/>
      </c>
      <c r="B767" t="str">
        <f>IF(AND(LEFT('S.01.01.07'!$D$66,8)&lt;&gt;"Reported",'S.01.01.07'!$D$66&lt;&gt;""),Show!$B$6&amp; Show!$B$6&amp;"S.27.01.01.15 Rows{Z}@ForceFilingCode:false","")</f>
        <v/>
      </c>
    </row>
    <row r="768" spans="1:2">
      <c r="A768" t="str">
        <f>IF(AND(LEFT('S.01.01.07'!$D$66,8)&lt;&gt;"Reported",'S.01.01.07'!$D$66&lt;&gt;""),Show!$B$6 &amp; "S.27.01.01.16 Rows{Z}@ForceFilingCode:false","")</f>
        <v/>
      </c>
      <c r="B768" t="str">
        <f>IF(AND(LEFT('S.01.01.07'!$D$66,8)&lt;&gt;"Reported",'S.01.01.07'!$D$66&lt;&gt;""),Show!$B$6&amp; Show!$B$6&amp;"S.27.01.01.16 Rows{Z}@ForceFilingCode:false","")</f>
        <v/>
      </c>
    </row>
    <row r="769" spans="1:2">
      <c r="A769" t="str">
        <f>IF(AND(LEFT('S.01.01.07'!$D$66,8)&lt;&gt;"Reported",'S.01.01.07'!$D$66&lt;&gt;""),Show!$B$6 &amp; "S.27.01.01.17 Rows{Z}@ForceFilingCode:false","")</f>
        <v/>
      </c>
      <c r="B769" t="str">
        <f>IF(AND(LEFT('S.01.01.07'!$D$66,8)&lt;&gt;"Reported",'S.01.01.07'!$D$66&lt;&gt;""),Show!$B$6&amp; Show!$B$6&amp;"S.27.01.01.17 Rows{Z}@ForceFilingCode:false","")</f>
        <v/>
      </c>
    </row>
    <row r="770" spans="1:2">
      <c r="A770" t="str">
        <f>IF(AND(LEFT('S.01.01.07'!$D$66,8)&lt;&gt;"Reported",'S.01.01.07'!$D$66&lt;&gt;""),Show!$B$6 &amp; "S.27.01.01.18 Rows{Z}@ForceFilingCode:false","")</f>
        <v/>
      </c>
      <c r="B770" t="str">
        <f>IF(AND(LEFT('S.01.01.07'!$D$66,8)&lt;&gt;"Reported",'S.01.01.07'!$D$66&lt;&gt;""),Show!$B$6&amp; Show!$B$6&amp;"S.27.01.01.18 Rows{Z}@ForceFilingCode:false","")</f>
        <v/>
      </c>
    </row>
    <row r="771" spans="1:2">
      <c r="A771" t="str">
        <f>IF(AND(LEFT('S.01.01.07'!$D$66,8)&lt;&gt;"Reported",'S.01.01.07'!$D$66&lt;&gt;""),Show!$B$6 &amp; "S.27.01.01.19 Rows{Z}@ForceFilingCode:false","")</f>
        <v/>
      </c>
      <c r="B771" t="str">
        <f>IF(AND(LEFT('S.01.01.07'!$D$66,8)&lt;&gt;"Reported",'S.01.01.07'!$D$66&lt;&gt;""),Show!$B$6&amp; Show!$B$6&amp;"S.27.01.01.19 Rows{Z}@ForceFilingCode:false","")</f>
        <v/>
      </c>
    </row>
    <row r="772" spans="1:2">
      <c r="A772" t="str">
        <f>IF(AND(LEFT('S.01.01.07'!$D$66,8)&lt;&gt;"Reported",'S.01.01.07'!$D$66&lt;&gt;""),Show!$B$6 &amp; "S.27.01.01.20 Rows{Z}@ForceFilingCode:false","")</f>
        <v/>
      </c>
      <c r="B772" t="str">
        <f>IF(AND(LEFT('S.01.01.07'!$D$66,8)&lt;&gt;"Reported",'S.01.01.07'!$D$66&lt;&gt;""),Show!$B$6&amp; Show!$B$6&amp;"S.27.01.01.20 Rows{Z}@ForceFilingCode:false","")</f>
        <v/>
      </c>
    </row>
    <row r="773" spans="1:2">
      <c r="A773" t="str">
        <f>IF(AND(LEFT('S.01.01.07'!$D$66,8)&lt;&gt;"Reported",'S.01.01.07'!$D$66&lt;&gt;""),Show!$B$6 &amp; "S.27.01.01.21 Rows{Z}@ForceFilingCode:false","")</f>
        <v/>
      </c>
      <c r="B773" t="str">
        <f>IF(AND(LEFT('S.01.01.07'!$D$66,8)&lt;&gt;"Reported",'S.01.01.07'!$D$66&lt;&gt;""),Show!$B$6&amp; Show!$B$6&amp;"S.27.01.01.21 Rows{Z}@ForceFilingCode:false","")</f>
        <v/>
      </c>
    </row>
    <row r="774" spans="1:2">
      <c r="A774" t="str">
        <f>IF(AND(LEFT('S.01.01.07'!$D$66,8)&lt;&gt;"Reported",'S.01.01.07'!$D$66&lt;&gt;""),Show!$B$6 &amp; "S.27.01.01.22 Rows{Z}@ForceFilingCode:false","")</f>
        <v/>
      </c>
      <c r="B774" t="str">
        <f>IF(AND(LEFT('S.01.01.07'!$D$66,8)&lt;&gt;"Reported",'S.01.01.07'!$D$66&lt;&gt;""),Show!$B$6&amp; Show!$B$6&amp;"S.27.01.01.22 Rows{Z}@ForceFilingCode:false","")</f>
        <v/>
      </c>
    </row>
    <row r="775" spans="1:2">
      <c r="A775" t="str">
        <f>IF(AND(LEFT('S.01.01.07'!$D$66,8)&lt;&gt;"Reported",'S.01.01.07'!$D$66&lt;&gt;""),Show!$B$6 &amp; "S.27.01.01.23 Rows{Z}@ForceFilingCode:false","")</f>
        <v/>
      </c>
      <c r="B775" t="str">
        <f>IF(AND(LEFT('S.01.01.07'!$D$66,8)&lt;&gt;"Reported",'S.01.01.07'!$D$66&lt;&gt;""),Show!$B$6&amp; Show!$B$6&amp;"S.27.01.01.23 Rows{Z}@ForceFilingCode:false","")</f>
        <v/>
      </c>
    </row>
    <row r="776" spans="1:2">
      <c r="A776" t="str">
        <f>IF(AND(LEFT('S.01.01.07'!$D$66,8)&lt;&gt;"Reported",'S.01.01.07'!$D$66&lt;&gt;""),Show!$B$6 &amp; "S.27.01.01.24 Rows{Z}@ForceFilingCode:false","")</f>
        <v/>
      </c>
      <c r="B776" t="str">
        <f>IF(AND(LEFT('S.01.01.07'!$D$66,8)&lt;&gt;"Reported",'S.01.01.07'!$D$66&lt;&gt;""),Show!$B$6&amp; Show!$B$6&amp;"S.27.01.01.24 Rows{Z}@ForceFilingCode:false","")</f>
        <v/>
      </c>
    </row>
    <row r="777" spans="1:2">
      <c r="A777" t="str">
        <f>IF(AND(LEFT('S.01.01.07'!$D$66,8)&lt;&gt;"Reported",'S.01.01.07'!$D$66&lt;&gt;""),Show!$B$6 &amp; "S.27.01.01.25 Rows{Z}@ForceFilingCode:false","")</f>
        <v/>
      </c>
      <c r="B777" t="str">
        <f>IF(AND(LEFT('S.01.01.07'!$D$66,8)&lt;&gt;"Reported",'S.01.01.07'!$D$66&lt;&gt;""),Show!$B$6&amp; Show!$B$6&amp;"S.27.01.01.25 Rows{Z}@ForceFilingCode:false","")</f>
        <v/>
      </c>
    </row>
    <row r="778" spans="1:2">
      <c r="A778" t="str">
        <f>IF(AND(LEFT('S.01.01.07'!$D$66,8)&lt;&gt;"Reported",'S.01.01.07'!$D$66&lt;&gt;""),Show!$B$6 &amp; "S.27.01.01.26 Rows{Z}@ForceFilingCode:false","")</f>
        <v/>
      </c>
      <c r="B778" t="str">
        <f>IF(AND(LEFT('S.01.01.07'!$D$66,8)&lt;&gt;"Reported",'S.01.01.07'!$D$66&lt;&gt;""),Show!$B$6&amp; Show!$B$6&amp;"S.27.01.01.26 Rows{Z}@ForceFilingCode:false","")</f>
        <v/>
      </c>
    </row>
    <row r="779" spans="1:2">
      <c r="A779" t="str">
        <f>IF(AND(LEFT('S.01.01.07'!$D$66,8)&lt;&gt;"Reported",'S.01.01.07'!$D$66&lt;&gt;""),Show!$B$6 &amp; "S.27.01.01.27 Rows{Z}@ForceFilingCode:false","")</f>
        <v/>
      </c>
      <c r="B779" t="str">
        <f>IF(AND(LEFT('S.01.01.07'!$D$66,8)&lt;&gt;"Reported",'S.01.01.07'!$D$66&lt;&gt;""),Show!$B$6&amp; Show!$B$6&amp;"S.27.01.01.27 Rows{Z}@ForceFilingCode:false","")</f>
        <v/>
      </c>
    </row>
    <row r="780" spans="1:2">
      <c r="A780" t="str">
        <f>IF(AND(LEFT('S.01.01.07'!$D$66,8)&lt;&gt;"Reported",'S.01.01.07'!$D$66&lt;&gt;""),Show!$B$6 &amp; "S.27.01.01.28 Rows{Z}@ForceFilingCode:false","")</f>
        <v/>
      </c>
      <c r="B780" t="str">
        <f>IF(AND(LEFT('S.01.01.07'!$D$66,8)&lt;&gt;"Reported",'S.01.01.07'!$D$66&lt;&gt;""),Show!$B$6&amp; Show!$B$6&amp;"S.27.01.01.28 Rows{Z}@ForceFilingCode:false","")</f>
        <v/>
      </c>
    </row>
    <row r="781" spans="1:2">
      <c r="A781" t="str">
        <f>IF(AND(LEFT('S.01.01.07'!$D$67,8)&lt;&gt;"Reported",'S.01.01.07'!$D$67&lt;&gt;""),Show!$B$6 &amp; "S.28.01.01.01 Rows{Z}@ForceFilingCode:false","")</f>
        <v/>
      </c>
      <c r="B781" t="str">
        <f>IF(AND(LEFT('S.01.01.07'!$D$67,8)&lt;&gt;"Reported",'S.01.01.07'!$D$67&lt;&gt;""),Show!$B$6&amp; Show!$B$6&amp;"S.28.01.01.01 Rows{Z}@ForceFilingCode:false","")</f>
        <v/>
      </c>
    </row>
    <row r="782" spans="1:2">
      <c r="A782" t="str">
        <f>IF(AND(LEFT('S.01.01.07'!$D$67,8)&lt;&gt;"Reported",'S.01.01.07'!$D$67&lt;&gt;""),Show!$B$6 &amp; "S.28.01.01.02 Rows{Z}@ForceFilingCode:false","")</f>
        <v/>
      </c>
      <c r="B782" t="str">
        <f>IF(AND(LEFT('S.01.01.07'!$D$67,8)&lt;&gt;"Reported",'S.01.01.07'!$D$67&lt;&gt;""),Show!$B$6&amp; Show!$B$6&amp;"S.28.01.01.02 Rows{Z}@ForceFilingCode:false","")</f>
        <v/>
      </c>
    </row>
    <row r="783" spans="1:2">
      <c r="A783" t="str">
        <f>IF(AND(LEFT('S.01.01.07'!$D$67,8)&lt;&gt;"Reported",'S.01.01.07'!$D$67&lt;&gt;""),Show!$B$6 &amp; "S.28.01.01.03 Rows{Z}@ForceFilingCode:false","")</f>
        <v/>
      </c>
      <c r="B783" t="str">
        <f>IF(AND(LEFT('S.01.01.07'!$D$67,8)&lt;&gt;"Reported",'S.01.01.07'!$D$67&lt;&gt;""),Show!$B$6&amp; Show!$B$6&amp;"S.28.01.01.03 Rows{Z}@ForceFilingCode:false","")</f>
        <v/>
      </c>
    </row>
    <row r="784" spans="1:2">
      <c r="A784" t="str">
        <f>IF(AND(LEFT('S.01.01.07'!$D$67,8)&lt;&gt;"Reported",'S.01.01.07'!$D$67&lt;&gt;""),Show!$B$6 &amp; "S.28.01.01.04 Rows{Z}@ForceFilingCode:false","")</f>
        <v/>
      </c>
      <c r="B784" t="str">
        <f>IF(AND(LEFT('S.01.01.07'!$D$67,8)&lt;&gt;"Reported",'S.01.01.07'!$D$67&lt;&gt;""),Show!$B$6&amp; Show!$B$6&amp;"S.28.01.01.04 Rows{Z}@ForceFilingCode:false","")</f>
        <v/>
      </c>
    </row>
    <row r="785" spans="1:2">
      <c r="A785" t="str">
        <f>IF(AND(LEFT('S.01.01.07'!$D$67,8)&lt;&gt;"Reported",'S.01.01.07'!$D$67&lt;&gt;""),Show!$B$6 &amp; "S.28.01.01.05 Rows{Z}@ForceFilingCode:false","")</f>
        <v/>
      </c>
      <c r="B785" t="str">
        <f>IF(AND(LEFT('S.01.01.07'!$D$67,8)&lt;&gt;"Reported",'S.01.01.07'!$D$67&lt;&gt;""),Show!$B$6&amp; Show!$B$6&amp;"S.28.01.01.05 Rows{Z}@ForceFilingCode:false","")</f>
        <v/>
      </c>
    </row>
    <row r="786" spans="1:2">
      <c r="A786" t="str">
        <f>IF(AND(LEFT('S.01.01.07'!$D$68,8)&lt;&gt;"Reported",'S.01.01.07'!$D$68&lt;&gt;""),Show!$B$6 &amp; "S.28.02.01.01 Rows{Z}@ForceFilingCode:false","")</f>
        <v/>
      </c>
      <c r="B786" t="str">
        <f>IF(AND(LEFT('S.01.01.07'!$D$68,8)&lt;&gt;"Reported",'S.01.01.07'!$D$68&lt;&gt;""),Show!$B$6&amp; Show!$B$6&amp;"S.28.02.01.01 Rows{Z}@ForceFilingCode:false","")</f>
        <v/>
      </c>
    </row>
    <row r="787" spans="1:2">
      <c r="A787" t="str">
        <f>IF(AND(LEFT('S.01.01.07'!$D$68,8)&lt;&gt;"Reported",'S.01.01.07'!$D$68&lt;&gt;""),Show!$B$6 &amp; "S.28.02.01.02 Rows{Z}@ForceFilingCode:false","")</f>
        <v/>
      </c>
      <c r="B787" t="str">
        <f>IF(AND(LEFT('S.01.01.07'!$D$68,8)&lt;&gt;"Reported",'S.01.01.07'!$D$68&lt;&gt;""),Show!$B$6&amp; Show!$B$6&amp;"S.28.02.01.02 Rows{Z}@ForceFilingCode:false","")</f>
        <v/>
      </c>
    </row>
    <row r="788" spans="1:2">
      <c r="A788" t="str">
        <f>IF(AND(LEFT('S.01.01.07'!$D$68,8)&lt;&gt;"Reported",'S.01.01.07'!$D$68&lt;&gt;""),Show!$B$6 &amp; "S.28.02.01.03 Rows{Z}@ForceFilingCode:false","")</f>
        <v/>
      </c>
      <c r="B788" t="str">
        <f>IF(AND(LEFT('S.01.01.07'!$D$68,8)&lt;&gt;"Reported",'S.01.01.07'!$D$68&lt;&gt;""),Show!$B$6&amp; Show!$B$6&amp;"S.28.02.01.03 Rows{Z}@ForceFilingCode:false","")</f>
        <v/>
      </c>
    </row>
    <row r="789" spans="1:2">
      <c r="A789" t="str">
        <f>IF(AND(LEFT('S.01.01.07'!$D$68,8)&lt;&gt;"Reported",'S.01.01.07'!$D$68&lt;&gt;""),Show!$B$6 &amp; "S.28.02.01.04 Rows{Z}@ForceFilingCode:false","")</f>
        <v/>
      </c>
      <c r="B789" t="str">
        <f>IF(AND(LEFT('S.01.01.07'!$D$68,8)&lt;&gt;"Reported",'S.01.01.07'!$D$68&lt;&gt;""),Show!$B$6&amp; Show!$B$6&amp;"S.28.02.01.04 Rows{Z}@ForceFilingCode:false","")</f>
        <v/>
      </c>
    </row>
    <row r="790" spans="1:2">
      <c r="A790" t="str">
        <f>IF(AND(LEFT('S.01.01.07'!$D$68,8)&lt;&gt;"Reported",'S.01.01.07'!$D$68&lt;&gt;""),Show!$B$6 &amp; "S.28.02.01.05 Rows{Z}@ForceFilingCode:false","")</f>
        <v/>
      </c>
      <c r="B790" t="str">
        <f>IF(AND(LEFT('S.01.01.07'!$D$68,8)&lt;&gt;"Reported",'S.01.01.07'!$D$68&lt;&gt;""),Show!$B$6&amp; Show!$B$6&amp;"S.28.02.01.05 Rows{Z}@ForceFilingCode:false","")</f>
        <v/>
      </c>
    </row>
    <row r="791" spans="1:2">
      <c r="A791" t="str">
        <f>IF(AND(LEFT('S.01.01.07'!$D$68,8)&lt;&gt;"Reported",'S.01.01.07'!$D$68&lt;&gt;""),Show!$B$6 &amp; "S.28.02.01.06 Rows{Z}@ForceFilingCode:false","")</f>
        <v/>
      </c>
      <c r="B791" t="str">
        <f>IF(AND(LEFT('S.01.01.07'!$D$68,8)&lt;&gt;"Reported",'S.01.01.07'!$D$68&lt;&gt;""),Show!$B$6&amp; Show!$B$6&amp;"S.28.02.01.06 Rows{Z}@ForceFilingCode:false","")</f>
        <v/>
      </c>
    </row>
    <row r="792" spans="1:2">
      <c r="A792" t="str">
        <f>IF(AND(LEFT('S.01.01.07'!$D$69,8)&lt;&gt;"Reported",'S.01.01.07'!$D$69&lt;&gt;""),Show!$B$6 &amp; "S.29.01.07.01 Rows{Z}@ForceFilingCode:false","")</f>
        <v/>
      </c>
      <c r="B792" t="str">
        <f>IF(AND(LEFT('S.01.01.07'!$D$69,8)&lt;&gt;"Reported",'S.01.01.07'!$D$69&lt;&gt;""),Show!$B$6&amp; Show!$B$6&amp;"S.29.01.07.01 Rows{Z}@ForceFilingCode:false","")</f>
        <v/>
      </c>
    </row>
    <row r="793" spans="1:2">
      <c r="A793" t="str">
        <f>IF(AND(LEFT('S.01.01.07'!$D$70,8)&lt;&gt;"Reported",'S.01.01.07'!$D$70&lt;&gt;""),Show!$B$6 &amp; "S.29.02.01.01 Rows{Z}@ForceFilingCode:false","")</f>
        <v/>
      </c>
      <c r="B793" t="str">
        <f>IF(AND(LEFT('S.01.01.07'!$D$70,8)&lt;&gt;"Reported",'S.01.01.07'!$D$70&lt;&gt;""),Show!$B$6&amp; Show!$B$6&amp;"S.29.02.01.01 Rows{Z}@ForceFilingCode:false","")</f>
        <v/>
      </c>
    </row>
    <row r="794" spans="1:2">
      <c r="A794" t="str">
        <f>IF(AND(LEFT('S.01.01.07'!$D$71,8)&lt;&gt;"Reported",'S.01.01.07'!$D$71&lt;&gt;""),Show!$B$6 &amp; "S.29.03.01.01 Rows{Z}@ForceFilingCode:false","")</f>
        <v/>
      </c>
      <c r="B794" t="str">
        <f>IF(AND(LEFT('S.01.01.07'!$D$71,8)&lt;&gt;"Reported",'S.01.01.07'!$D$71&lt;&gt;""),Show!$B$6&amp; Show!$B$6&amp;"S.29.03.01.01 Rows{Z}@ForceFilingCode:false","")</f>
        <v/>
      </c>
    </row>
    <row r="795" spans="1:2">
      <c r="A795" t="str">
        <f>IF(AND(LEFT('S.01.01.07'!$D$71,8)&lt;&gt;"Reported",'S.01.01.07'!$D$71&lt;&gt;""),Show!$B$6 &amp; "S.29.03.01.02 Rows{Z}@ForceFilingCode:false","")</f>
        <v/>
      </c>
      <c r="B795" t="str">
        <f>IF(AND(LEFT('S.01.01.07'!$D$71,8)&lt;&gt;"Reported",'S.01.01.07'!$D$71&lt;&gt;""),Show!$B$6&amp; Show!$B$6&amp;"S.29.03.01.02 Rows{Z}@ForceFilingCode:false","")</f>
        <v/>
      </c>
    </row>
    <row r="796" spans="1:2">
      <c r="A796" t="str">
        <f>IF(AND(LEFT('S.01.01.07'!$D$71,8)&lt;&gt;"Reported",'S.01.01.07'!$D$71&lt;&gt;""),Show!$B$6 &amp; "S.29.03.01.03 Rows{Z}@ForceFilingCode:false","")</f>
        <v/>
      </c>
      <c r="B796" t="str">
        <f>IF(AND(LEFT('S.01.01.07'!$D$71,8)&lt;&gt;"Reported",'S.01.01.07'!$D$71&lt;&gt;""),Show!$B$6&amp; Show!$B$6&amp;"S.29.03.01.03 Rows{Z}@ForceFilingCode:false","")</f>
        <v/>
      </c>
    </row>
    <row r="797" spans="1:2">
      <c r="A797" t="str">
        <f>IF(AND(LEFT('S.01.01.07'!$D$71,8)&lt;&gt;"Reported",'S.01.01.07'!$D$71&lt;&gt;""),Show!$B$6 &amp; "S.29.03.01.04 Rows{Z}@ForceFilingCode:false","")</f>
        <v/>
      </c>
      <c r="B797" t="str">
        <f>IF(AND(LEFT('S.01.01.07'!$D$71,8)&lt;&gt;"Reported",'S.01.01.07'!$D$71&lt;&gt;""),Show!$B$6&amp; Show!$B$6&amp;"S.29.03.01.04 Rows{Z}@ForceFilingCode:false","")</f>
        <v/>
      </c>
    </row>
    <row r="798" spans="1:2">
      <c r="A798" t="str">
        <f>IF(AND(LEFT('S.01.01.07'!$D$71,8)&lt;&gt;"Reported",'S.01.01.07'!$D$71&lt;&gt;""),Show!$B$6 &amp; "S.29.03.01.05 Rows{Z}@ForceFilingCode:false","")</f>
        <v/>
      </c>
      <c r="B798" t="str">
        <f>IF(AND(LEFT('S.01.01.07'!$D$71,8)&lt;&gt;"Reported",'S.01.01.07'!$D$71&lt;&gt;""),Show!$B$6&amp; Show!$B$6&amp;"S.29.03.01.05 Rows{Z}@ForceFilingCode:false","")</f>
        <v/>
      </c>
    </row>
    <row r="799" spans="1:2">
      <c r="A799" t="str">
        <f>IF(AND(LEFT('S.01.01.07'!$D$71,8)&lt;&gt;"Reported",'S.01.01.07'!$D$71&lt;&gt;""),Show!$B$6 &amp; "S.29.03.01.06 Rows{Z}@ForceFilingCode:false","")</f>
        <v/>
      </c>
      <c r="B799" t="str">
        <f>IF(AND(LEFT('S.01.01.07'!$D$71,8)&lt;&gt;"Reported",'S.01.01.07'!$D$71&lt;&gt;""),Show!$B$6&amp; Show!$B$6&amp;"S.29.03.01.06 Rows{Z}@ForceFilingCode:false","")</f>
        <v/>
      </c>
    </row>
    <row r="800" spans="1:2">
      <c r="A800" t="str">
        <f>IF(AND(LEFT('S.01.01.07'!$D$71,8)&lt;&gt;"Reported",'S.01.01.07'!$D$71&lt;&gt;""),Show!$B$6 &amp; "S.29.03.01.07 Rows{Z}@ForceFilingCode:false","")</f>
        <v/>
      </c>
      <c r="B800" t="str">
        <f>IF(AND(LEFT('S.01.01.07'!$D$71,8)&lt;&gt;"Reported",'S.01.01.07'!$D$71&lt;&gt;""),Show!$B$6&amp; Show!$B$6&amp;"S.29.03.01.07 Rows{Z}@ForceFilingCode:false","")</f>
        <v/>
      </c>
    </row>
    <row r="801" spans="1:2">
      <c r="A801" t="str">
        <f>IF(AND(LEFT('S.01.01.07'!$D$72,8)&lt;&gt;"Reported",'S.01.01.07'!$D$72&lt;&gt;""),Show!$B$6 &amp; "S.29.04.01.01 Rows{Z}@ForceFilingCode:false","")</f>
        <v/>
      </c>
      <c r="B801" t="str">
        <f>IF(AND(LEFT('S.01.01.07'!$D$72,8)&lt;&gt;"Reported",'S.01.01.07'!$D$72&lt;&gt;""),Show!$B$6&amp; Show!$B$6&amp;"S.29.04.01.01 Rows{Z}@ForceFilingCode:false","")</f>
        <v/>
      </c>
    </row>
    <row r="802" spans="1:2">
      <c r="A802" t="str">
        <f>IF(AND(LEFT('S.01.01.07'!$D$72,8)&lt;&gt;"Reported",'S.01.01.07'!$D$72&lt;&gt;""),Show!$B$6 &amp; "S.29.04.01.02 Rows{Z}@ForceFilingCode:false","")</f>
        <v/>
      </c>
      <c r="B802" t="str">
        <f>IF(AND(LEFT('S.01.01.07'!$D$72,8)&lt;&gt;"Reported",'S.01.01.07'!$D$72&lt;&gt;""),Show!$B$6&amp; Show!$B$6&amp;"S.29.04.01.02 Rows{Z}@ForceFilingCode:false","")</f>
        <v/>
      </c>
    </row>
    <row r="803" spans="1:2">
      <c r="A803" t="str">
        <f>IF(AND(LEFT('S.01.01.07'!$D$73,8)&lt;&gt;"Reported",'S.01.01.07'!$D$73&lt;&gt;""),Show!$B$6 &amp; "S.30.01.01.01 Rows{Z}@ForceFilingCode:false","")</f>
        <v/>
      </c>
      <c r="B803" t="str">
        <f>IF(AND(LEFT('S.01.01.07'!$D$73,8)&lt;&gt;"Reported",'S.01.01.07'!$D$73&lt;&gt;""),Show!$B$6&amp; Show!$B$6&amp;"S.30.01.01.01 Rows{Z}@ForceFilingCode:false","")</f>
        <v/>
      </c>
    </row>
    <row r="804" spans="1:2">
      <c r="A804" t="str">
        <f>IF(AND(LEFT('S.01.01.07'!$D$73,8)&lt;&gt;"Reported",'S.01.01.07'!$D$73&lt;&gt;""),Show!$B$6 &amp; "S.30.01.01.02 Rows{Z}@ForceFilingCode:false","")</f>
        <v/>
      </c>
      <c r="B804" t="str">
        <f>IF(AND(LEFT('S.01.01.07'!$D$73,8)&lt;&gt;"Reported",'S.01.01.07'!$D$73&lt;&gt;""),Show!$B$6&amp; Show!$B$6&amp;"S.30.01.01.02 Rows{Z}@ForceFilingCode:false","")</f>
        <v/>
      </c>
    </row>
    <row r="805" spans="1:2">
      <c r="A805" t="str">
        <f>IF(AND(LEFT('S.01.01.07'!$D$74,8)&lt;&gt;"Reported",'S.01.01.07'!$D$74&lt;&gt;""),Show!$B$6 &amp; "S.30.02.01.01 Rows{Z}@ForceFilingCode:false","")</f>
        <v/>
      </c>
      <c r="B805" t="str">
        <f>IF(AND(LEFT('S.01.01.07'!$D$74,8)&lt;&gt;"Reported",'S.01.01.07'!$D$74&lt;&gt;""),Show!$B$6&amp; Show!$B$6&amp;"S.30.02.01.01 Rows{Z}@ForceFilingCode:false","")</f>
        <v/>
      </c>
    </row>
    <row r="806" spans="1:2">
      <c r="A806" t="str">
        <f>IF(AND(LEFT('S.01.01.07'!$D$74,8)&lt;&gt;"Reported",'S.01.01.07'!$D$74&lt;&gt;""),Show!$B$6 &amp; "S.30.02.01.02 Rows{Z}@ForceFilingCode:false","")</f>
        <v/>
      </c>
      <c r="B806" t="str">
        <f>IF(AND(LEFT('S.01.01.07'!$D$74,8)&lt;&gt;"Reported",'S.01.01.07'!$D$74&lt;&gt;""),Show!$B$6&amp; Show!$B$6&amp;"S.30.02.01.02 Rows{Z}@ForceFilingCode:false","")</f>
        <v/>
      </c>
    </row>
    <row r="807" spans="1:2">
      <c r="A807" t="str">
        <f>IF(AND(LEFT('S.01.01.07'!$D$74,8)&lt;&gt;"Reported",'S.01.01.07'!$D$74&lt;&gt;""),Show!$B$6 &amp; "S.30.02.01.03 Rows{Z}@ForceFilingCode:false","")</f>
        <v/>
      </c>
      <c r="B807" t="str">
        <f>IF(AND(LEFT('S.01.01.07'!$D$74,8)&lt;&gt;"Reported",'S.01.01.07'!$D$74&lt;&gt;""),Show!$B$6&amp; Show!$B$6&amp;"S.30.02.01.03 Rows{Z}@ForceFilingCode:false","")</f>
        <v/>
      </c>
    </row>
    <row r="808" spans="1:2">
      <c r="A808" t="str">
        <f>IF(AND(LEFT('S.01.01.07'!$D$74,8)&lt;&gt;"Reported",'S.01.01.07'!$D$74&lt;&gt;""),Show!$B$6 &amp; "S.30.02.01.04 Rows{Z}@ForceFilingCode:false","")</f>
        <v/>
      </c>
      <c r="B808" t="str">
        <f>IF(AND(LEFT('S.01.01.07'!$D$74,8)&lt;&gt;"Reported",'S.01.01.07'!$D$74&lt;&gt;""),Show!$B$6&amp; Show!$B$6&amp;"S.30.02.01.04 Rows{Z}@ForceFilingCode:false","")</f>
        <v/>
      </c>
    </row>
    <row r="809" spans="1:2">
      <c r="A809" t="str">
        <f>IF(AND(LEFT('S.01.01.07'!$D$75,8)&lt;&gt;"Reported",'S.01.01.07'!$D$75&lt;&gt;""),Show!$B$6 &amp; "S.30.03.01.01 Rows{Z}@ForceFilingCode:false","")</f>
        <v/>
      </c>
      <c r="B809" t="str">
        <f>IF(AND(LEFT('S.01.01.07'!$D$75,8)&lt;&gt;"Reported",'S.01.01.07'!$D$75&lt;&gt;""),Show!$B$6&amp; Show!$B$6&amp;"S.30.03.01.01 Rows{Z}@ForceFilingCode:false","")</f>
        <v/>
      </c>
    </row>
    <row r="810" spans="1:2">
      <c r="A810" t="str">
        <f>IF(AND(LEFT('S.01.01.07'!$D$76,8)&lt;&gt;"Reported",'S.01.01.07'!$D$76&lt;&gt;""),Show!$B$6 &amp; "S.30.04.01.01 Rows{Z}@ForceFilingCode:false","")</f>
        <v/>
      </c>
      <c r="B810" t="str">
        <f>IF(AND(LEFT('S.01.01.07'!$D$76,8)&lt;&gt;"Reported",'S.01.01.07'!$D$76&lt;&gt;""),Show!$B$6&amp; Show!$B$6&amp;"S.30.04.01.01 Rows{Z}@ForceFilingCode:false","")</f>
        <v/>
      </c>
    </row>
    <row r="811" spans="1:2">
      <c r="A811" t="str">
        <f>IF(AND(LEFT('S.01.01.07'!$D$76,8)&lt;&gt;"Reported",'S.01.01.07'!$D$76&lt;&gt;""),Show!$B$6 &amp; "S.30.04.01.02 Rows{Z}@ForceFilingCode:false","")</f>
        <v/>
      </c>
      <c r="B811" t="str">
        <f>IF(AND(LEFT('S.01.01.07'!$D$76,8)&lt;&gt;"Reported",'S.01.01.07'!$D$76&lt;&gt;""),Show!$B$6&amp; Show!$B$6&amp;"S.30.04.01.02 Rows{Z}@ForceFilingCode:false","")</f>
        <v/>
      </c>
    </row>
    <row r="812" spans="1:2">
      <c r="A812" t="str">
        <f>IF(AND(LEFT('S.01.01.07'!$D$76,8)&lt;&gt;"Reported",'S.01.01.07'!$D$76&lt;&gt;""),Show!$B$6 &amp; "S.30.04.01.03 Rows{Z}@ForceFilingCode:false","")</f>
        <v/>
      </c>
      <c r="B812" t="str">
        <f>IF(AND(LEFT('S.01.01.07'!$D$76,8)&lt;&gt;"Reported",'S.01.01.07'!$D$76&lt;&gt;""),Show!$B$6&amp; Show!$B$6&amp;"S.30.04.01.03 Rows{Z}@ForceFilingCode:false","")</f>
        <v/>
      </c>
    </row>
    <row r="813" spans="1:2">
      <c r="A813" t="str">
        <f>IF(AND(LEFT('S.01.01.07'!$D$77,8)&lt;&gt;"Reported",'S.01.01.07'!$D$77&lt;&gt;""),Show!$B$6 &amp; "S.31.01.01.01 Rows{Z}@ForceFilingCode:false","")</f>
        <v/>
      </c>
      <c r="B813" t="str">
        <f>IF(AND(LEFT('S.01.01.07'!$D$77,8)&lt;&gt;"Reported",'S.01.01.07'!$D$77&lt;&gt;""),Show!$B$6&amp; Show!$B$6&amp;"S.31.01.01.01 Rows{Z}@ForceFilingCode:false","")</f>
        <v/>
      </c>
    </row>
    <row r="814" spans="1:2">
      <c r="A814" t="str">
        <f>IF(AND(LEFT('S.01.01.07'!$D$77,8)&lt;&gt;"Reported",'S.01.01.07'!$D$77&lt;&gt;""),Show!$B$6 &amp; "S.31.01.01.02 Rows{Z}@ForceFilingCode:false","")</f>
        <v/>
      </c>
      <c r="B814" t="str">
        <f>IF(AND(LEFT('S.01.01.07'!$D$77,8)&lt;&gt;"Reported",'S.01.01.07'!$D$77&lt;&gt;""),Show!$B$6&amp; Show!$B$6&amp;"S.31.01.01.02 Rows{Z}@ForceFilingCode:false","")</f>
        <v/>
      </c>
    </row>
    <row r="815" spans="1:2">
      <c r="A815" t="str">
        <f>IF(AND(LEFT('S.01.01.07'!$D$78,8)&lt;&gt;"Reported",'S.01.01.07'!$D$78&lt;&gt;""),Show!$B$6 &amp; "S.31.02.01.01 Rows{Z}@ForceFilingCode:false","")</f>
        <v/>
      </c>
      <c r="B815" t="str">
        <f>IF(AND(LEFT('S.01.01.07'!$D$78,8)&lt;&gt;"Reported",'S.01.01.07'!$D$78&lt;&gt;""),Show!$B$6&amp; Show!$B$6&amp;"S.31.02.01.01 Rows{Z}@ForceFilingCode:false","")</f>
        <v/>
      </c>
    </row>
    <row r="816" spans="1:2">
      <c r="A816" t="str">
        <f>IF(AND(LEFT('S.01.01.07'!$D$78,8)&lt;&gt;"Reported",'S.01.01.07'!$D$78&lt;&gt;""),Show!$B$6 &amp; "S.31.02.01.02 Rows{Z}@ForceFilingCode:false","")</f>
        <v/>
      </c>
      <c r="B816" t="str">
        <f>IF(AND(LEFT('S.01.01.07'!$D$78,8)&lt;&gt;"Reported",'S.01.01.07'!$D$78&lt;&gt;""),Show!$B$6&amp; Show!$B$6&amp;"S.31.02.01.02 Rows{Z}@ForceFilingCode:false","")</f>
        <v/>
      </c>
    </row>
    <row r="817" spans="1:2">
      <c r="A817" t="str">
        <f>IF(AND(LEFT('S.01.01.08'!$D$16,8)&lt;&gt;"Reported",'S.01.01.08'!$D$16&lt;&gt;""),Show!$B$7 &amp; "S.01.02.07.01 Rows{Z}@ForceFilingCode:false","")</f>
        <v/>
      </c>
      <c r="B817" t="str">
        <f>IF(AND(LEFT('S.01.01.08'!$D$16,8)&lt;&gt;"Reported",'S.01.01.08'!$D$16&lt;&gt;""),Show!$B$7&amp; Show!$B$7&amp;"S.01.02.07.01 Rows{Z}@ForceFilingCode:false","")</f>
        <v/>
      </c>
    </row>
    <row r="818" spans="1:2">
      <c r="A818" t="str">
        <f>IF(AND(LEFT('S.01.01.08'!$D$16,8)&lt;&gt;"Reported",'S.01.01.08'!$D$16&lt;&gt;""),Show!$B$7 &amp; "S.01.02.07.02 Rows{Z}@ForceFilingCode:false","")</f>
        <v/>
      </c>
      <c r="B818" t="str">
        <f>IF(AND(LEFT('S.01.01.08'!$D$16,8)&lt;&gt;"Reported",'S.01.01.08'!$D$16&lt;&gt;""),Show!$B$7&amp; Show!$B$7&amp;"S.01.02.07.02 Rows{Z}@ForceFilingCode:false","")</f>
        <v/>
      </c>
    </row>
    <row r="819" spans="1:2">
      <c r="A819" t="str">
        <f>IF(AND(LEFT('S.01.01.08'!$D$16,8)&lt;&gt;"Reported",'S.01.01.08'!$D$16&lt;&gt;""),Show!$B$7 &amp; "S.01.02.07.03 Rows{Z}@ForceFilingCode:false","")</f>
        <v/>
      </c>
      <c r="B819" t="str">
        <f>IF(AND(LEFT('S.01.01.08'!$D$16,8)&lt;&gt;"Reported",'S.01.01.08'!$D$16&lt;&gt;""),Show!$B$7&amp; Show!$B$7&amp;"S.01.02.07.03 Rows{Z}@ForceFilingCode:false","")</f>
        <v/>
      </c>
    </row>
    <row r="820" spans="1:2">
      <c r="A820" t="str">
        <f>IF(AND(LEFT('S.01.01.08'!$D$17,8)&lt;&gt;"Reported",'S.01.01.08'!$D$17&lt;&gt;""),Show!$B$7 &amp; "S.02.01.08.01 Rows{Z}@ForceFilingCode:false","")</f>
        <v/>
      </c>
      <c r="B820" t="str">
        <f>IF(AND(LEFT('S.01.01.08'!$D$17,8)&lt;&gt;"Reported",'S.01.01.08'!$D$17&lt;&gt;""),Show!$B$7&amp; Show!$B$7&amp;"S.02.01.08.01 Rows{Z}@ForceFilingCode:false","")</f>
        <v/>
      </c>
    </row>
    <row r="821" spans="1:2">
      <c r="A821" t="str">
        <f>IF(AND(LEFT('S.01.01.08'!$D$18,8)&lt;&gt;"Reported",'S.01.01.08'!$D$18&lt;&gt;""),Show!$B$7 &amp; "S.05.01.02.01 Rows{Z}@ForceFilingCode:false","")</f>
        <v/>
      </c>
      <c r="B821" t="str">
        <f>IF(AND(LEFT('S.01.01.08'!$D$18,8)&lt;&gt;"Reported",'S.01.01.08'!$D$18&lt;&gt;""),Show!$B$7&amp; Show!$B$7&amp;"S.05.01.02.01 Rows{Z}@ForceFilingCode:false","")</f>
        <v/>
      </c>
    </row>
    <row r="822" spans="1:2">
      <c r="A822" t="str">
        <f>IF(AND(LEFT('S.01.01.08'!$D$18,8)&lt;&gt;"Reported",'S.01.01.08'!$D$18&lt;&gt;""),Show!$B$7 &amp; "S.05.01.02.02 Rows{Z}@ForceFilingCode:false","")</f>
        <v/>
      </c>
      <c r="B822" t="str">
        <f>IF(AND(LEFT('S.01.01.08'!$D$18,8)&lt;&gt;"Reported",'S.01.01.08'!$D$18&lt;&gt;""),Show!$B$7&amp; Show!$B$7&amp;"S.05.01.02.02 Rows{Z}@ForceFilingCode:false","")</f>
        <v/>
      </c>
    </row>
    <row r="823" spans="1:2">
      <c r="A823" t="str">
        <f>IF(AND(LEFT('S.01.01.08'!$D$19,8)&lt;&gt;"Reported",'S.01.01.08'!$D$19&lt;&gt;""),Show!$B$7 &amp; "S.06.02.07.01 Rows{Z}@ForceFilingCode:false","")</f>
        <v/>
      </c>
      <c r="B823" t="str">
        <f>IF(AND(LEFT('S.01.01.08'!$D$19,8)&lt;&gt;"Reported",'S.01.01.08'!$D$19&lt;&gt;""),Show!$B$7&amp; Show!$B$7&amp;"S.06.02.07.01 Rows{Z}@ForceFilingCode:false","")</f>
        <v/>
      </c>
    </row>
    <row r="824" spans="1:2">
      <c r="A824" t="str">
        <f>IF(AND(LEFT('S.01.01.08'!$D$19,8)&lt;&gt;"Reported",'S.01.01.08'!$D$19&lt;&gt;""),Show!$B$7 &amp; "S.06.02.07.02 Rows{Z}@ForceFilingCode:false","")</f>
        <v/>
      </c>
      <c r="B824" t="str">
        <f>IF(AND(LEFT('S.01.01.08'!$D$19,8)&lt;&gt;"Reported",'S.01.01.08'!$D$19&lt;&gt;""),Show!$B$7&amp; Show!$B$7&amp;"S.06.02.07.02 Rows{Z}@ForceFilingCode:false","")</f>
        <v/>
      </c>
    </row>
    <row r="825" spans="1:2">
      <c r="A825" t="str">
        <f>IF(AND(LEFT('S.01.01.08'!$D$20,8)&lt;&gt;"Reported",'S.01.01.08'!$D$20&lt;&gt;""),Show!$B$7 &amp; "S.06.03.01.01 Rows{Z}@ForceFilingCode:false","")</f>
        <v/>
      </c>
      <c r="B825" t="str">
        <f>IF(AND(LEFT('S.01.01.08'!$D$20,8)&lt;&gt;"Reported",'S.01.01.08'!$D$20&lt;&gt;""),Show!$B$7&amp; Show!$B$7&amp;"S.06.03.01.01 Rows{Z}@ForceFilingCode:false","")</f>
        <v/>
      </c>
    </row>
    <row r="826" spans="1:2">
      <c r="A826" t="str">
        <f>IF(AND(LEFT('S.01.01.08'!$D$21,8)&lt;&gt;"Reported",'S.01.01.08'!$D$21&lt;&gt;""),Show!$B$7 &amp; "S.08.01.01.01 Rows{Z}@ForceFilingCode:false","")</f>
        <v/>
      </c>
      <c r="B826" t="str">
        <f>IF(AND(LEFT('S.01.01.08'!$D$21,8)&lt;&gt;"Reported",'S.01.01.08'!$D$21&lt;&gt;""),Show!$B$7&amp; Show!$B$7&amp;"S.08.01.01.01 Rows{Z}@ForceFilingCode:false","")</f>
        <v/>
      </c>
    </row>
    <row r="827" spans="1:2">
      <c r="A827" t="str">
        <f>IF(AND(LEFT('S.01.01.08'!$D$21,8)&lt;&gt;"Reported",'S.01.01.08'!$D$21&lt;&gt;""),Show!$B$7 &amp; "S.08.01.01.02 Rows{Z}@ForceFilingCode:false","")</f>
        <v/>
      </c>
      <c r="B827" t="str">
        <f>IF(AND(LEFT('S.01.01.08'!$D$21,8)&lt;&gt;"Reported",'S.01.01.08'!$D$21&lt;&gt;""),Show!$B$7&amp; Show!$B$7&amp;"S.08.01.01.02 Rows{Z}@ForceFilingCode:false","")</f>
        <v/>
      </c>
    </row>
    <row r="828" spans="1:2">
      <c r="A828" t="str">
        <f>IF(AND(LEFT('S.01.01.08'!$D$22,8)&lt;&gt;"Reported",'S.01.01.08'!$D$22&lt;&gt;""),Show!$B$7 &amp; "S.08.02.01.01 Rows{Z}@ForceFilingCode:false","")</f>
        <v/>
      </c>
      <c r="B828" t="str">
        <f>IF(AND(LEFT('S.01.01.08'!$D$22,8)&lt;&gt;"Reported",'S.01.01.08'!$D$22&lt;&gt;""),Show!$B$7&amp; Show!$B$7&amp;"S.08.02.01.01 Rows{Z}@ForceFilingCode:false","")</f>
        <v/>
      </c>
    </row>
    <row r="829" spans="1:2">
      <c r="A829" t="str">
        <f>IF(AND(LEFT('S.01.01.08'!$D$22,8)&lt;&gt;"Reported",'S.01.01.08'!$D$22&lt;&gt;""),Show!$B$7 &amp; "S.08.02.01.02 Rows{Z}@ForceFilingCode:false","")</f>
        <v/>
      </c>
      <c r="B829" t="str">
        <f>IF(AND(LEFT('S.01.01.08'!$D$22,8)&lt;&gt;"Reported",'S.01.01.08'!$D$22&lt;&gt;""),Show!$B$7&amp; Show!$B$7&amp;"S.08.02.01.02 Rows{Z}@ForceFilingCode:false","")</f>
        <v/>
      </c>
    </row>
    <row r="830" spans="1:2">
      <c r="A830" t="str">
        <f>IF(AND(LEFT('S.01.01.08'!$D$23,8)&lt;&gt;"Reported",'S.01.01.08'!$D$23&lt;&gt;""),Show!$B$7 &amp; "S.12.01.02.01 Rows{Z}@ForceFilingCode:false","")</f>
        <v/>
      </c>
      <c r="B830" t="str">
        <f>IF(AND(LEFT('S.01.01.08'!$D$23,8)&lt;&gt;"Reported",'S.01.01.08'!$D$23&lt;&gt;""),Show!$B$7&amp; Show!$B$7&amp;"S.12.01.02.01 Rows{Z}@ForceFilingCode:false","")</f>
        <v/>
      </c>
    </row>
    <row r="831" spans="1:2">
      <c r="A831" t="str">
        <f>IF(AND(LEFT('S.01.01.08'!$D$24,8)&lt;&gt;"Reported",'S.01.01.08'!$D$24&lt;&gt;""),Show!$B$7 &amp; "S.17.01.02.01 Rows{Z}@ForceFilingCode:false","")</f>
        <v/>
      </c>
      <c r="B831" t="str">
        <f>IF(AND(LEFT('S.01.01.08'!$D$24,8)&lt;&gt;"Reported",'S.01.01.08'!$D$24&lt;&gt;""),Show!$B$7&amp; Show!$B$7&amp;"S.17.01.02.01 Rows{Z}@ForceFilingCode:false","")</f>
        <v/>
      </c>
    </row>
    <row r="832" spans="1:2">
      <c r="A832" t="str">
        <f>IF(AND(LEFT('S.01.01.08'!$D$25,8)&lt;&gt;"Reported",'S.01.01.08'!$D$25&lt;&gt;""),Show!$B$7 &amp; "S.23.01.07.01 Rows{Z}@ForceFilingCode:false","")</f>
        <v/>
      </c>
      <c r="B832" t="str">
        <f>IF(AND(LEFT('S.01.01.08'!$D$25,8)&lt;&gt;"Reported",'S.01.01.08'!$D$25&lt;&gt;""),Show!$B$7&amp; Show!$B$7&amp;"S.23.01.07.01 Rows{Z}@ForceFilingCode:false","")</f>
        <v/>
      </c>
    </row>
    <row r="833" spans="1:2">
      <c r="A833" t="str">
        <f>IF(AND(LEFT('S.01.01.08'!$D$25,8)&lt;&gt;"Reported",'S.01.01.08'!$D$25&lt;&gt;""),Show!$B$7 &amp; "S.23.01.07.02 Rows{Z}@ForceFilingCode:false","")</f>
        <v/>
      </c>
      <c r="B833" t="str">
        <f>IF(AND(LEFT('S.01.01.08'!$D$25,8)&lt;&gt;"Reported",'S.01.01.08'!$D$25&lt;&gt;""),Show!$B$7&amp; Show!$B$7&amp;"S.23.01.07.02 Rows{Z}@ForceFilingCode:false","")</f>
        <v/>
      </c>
    </row>
    <row r="834" spans="1:2">
      <c r="A834" t="str">
        <f>IF(AND(LEFT('S.01.01.08'!$D$26,8)&lt;&gt;"Reported",'S.01.01.08'!$D$26&lt;&gt;""),Show!$B$7 &amp; "S.28.01.01.01 Rows{Z}@ForceFilingCode:false","")</f>
        <v/>
      </c>
      <c r="B834" t="str">
        <f>IF(AND(LEFT('S.01.01.08'!$D$26,8)&lt;&gt;"Reported",'S.01.01.08'!$D$26&lt;&gt;""),Show!$B$7&amp; Show!$B$7&amp;"S.28.01.01.01 Rows{Z}@ForceFilingCode:false","")</f>
        <v/>
      </c>
    </row>
    <row r="835" spans="1:2">
      <c r="A835" t="str">
        <f>IF(AND(LEFT('S.01.01.08'!$D$26,8)&lt;&gt;"Reported",'S.01.01.08'!$D$26&lt;&gt;""),Show!$B$7 &amp; "S.28.01.01.02 Rows{Z}@ForceFilingCode:false","")</f>
        <v/>
      </c>
      <c r="B835" t="str">
        <f>IF(AND(LEFT('S.01.01.08'!$D$26,8)&lt;&gt;"Reported",'S.01.01.08'!$D$26&lt;&gt;""),Show!$B$7&amp; Show!$B$7&amp;"S.28.01.01.02 Rows{Z}@ForceFilingCode:false","")</f>
        <v/>
      </c>
    </row>
    <row r="836" spans="1:2">
      <c r="A836" t="str">
        <f>IF(AND(LEFT('S.01.01.08'!$D$26,8)&lt;&gt;"Reported",'S.01.01.08'!$D$26&lt;&gt;""),Show!$B$7 &amp; "S.28.01.01.03 Rows{Z}@ForceFilingCode:false","")</f>
        <v/>
      </c>
      <c r="B836" t="str">
        <f>IF(AND(LEFT('S.01.01.08'!$D$26,8)&lt;&gt;"Reported",'S.01.01.08'!$D$26&lt;&gt;""),Show!$B$7&amp; Show!$B$7&amp;"S.28.01.01.03 Rows{Z}@ForceFilingCode:false","")</f>
        <v/>
      </c>
    </row>
    <row r="837" spans="1:2">
      <c r="A837" t="str">
        <f>IF(AND(LEFT('S.01.01.08'!$D$26,8)&lt;&gt;"Reported",'S.01.01.08'!$D$26&lt;&gt;""),Show!$B$7 &amp; "S.28.01.01.04 Rows{Z}@ForceFilingCode:false","")</f>
        <v/>
      </c>
      <c r="B837" t="str">
        <f>IF(AND(LEFT('S.01.01.08'!$D$26,8)&lt;&gt;"Reported",'S.01.01.08'!$D$26&lt;&gt;""),Show!$B$7&amp; Show!$B$7&amp;"S.28.01.01.04 Rows{Z}@ForceFilingCode:false","")</f>
        <v/>
      </c>
    </row>
    <row r="838" spans="1:2">
      <c r="A838" t="str">
        <f>IF(AND(LEFT('S.01.01.08'!$D$26,8)&lt;&gt;"Reported",'S.01.01.08'!$D$26&lt;&gt;""),Show!$B$7 &amp; "S.28.01.01.05 Rows{Z}@ForceFilingCode:false","")</f>
        <v/>
      </c>
      <c r="B838" t="str">
        <f>IF(AND(LEFT('S.01.01.08'!$D$26,8)&lt;&gt;"Reported",'S.01.01.08'!$D$26&lt;&gt;""),Show!$B$7&amp; Show!$B$7&amp;"S.28.01.01.05 Rows{Z}@ForceFilingCode:false","")</f>
        <v/>
      </c>
    </row>
    <row r="839" spans="1:2">
      <c r="A839" t="str">
        <f>IF(AND(LEFT('S.01.01.08'!$D$27,8)&lt;&gt;"Reported",'S.01.01.08'!$D$27&lt;&gt;""),Show!$B$7 &amp; "S.28.02.01.01 Rows{Z}@ForceFilingCode:false","")</f>
        <v/>
      </c>
      <c r="B839" t="str">
        <f>IF(AND(LEFT('S.01.01.08'!$D$27,8)&lt;&gt;"Reported",'S.01.01.08'!$D$27&lt;&gt;""),Show!$B$7&amp; Show!$B$7&amp;"S.28.02.01.01 Rows{Z}@ForceFilingCode:false","")</f>
        <v/>
      </c>
    </row>
    <row r="840" spans="1:2">
      <c r="A840" t="str">
        <f>IF(AND(LEFT('S.01.01.08'!$D$27,8)&lt;&gt;"Reported",'S.01.01.08'!$D$27&lt;&gt;""),Show!$B$7 &amp; "S.28.02.01.02 Rows{Z}@ForceFilingCode:false","")</f>
        <v/>
      </c>
      <c r="B840" t="str">
        <f>IF(AND(LEFT('S.01.01.08'!$D$27,8)&lt;&gt;"Reported",'S.01.01.08'!$D$27&lt;&gt;""),Show!$B$7&amp; Show!$B$7&amp;"S.28.02.01.02 Rows{Z}@ForceFilingCode:false","")</f>
        <v/>
      </c>
    </row>
    <row r="841" spans="1:2">
      <c r="A841" t="str">
        <f>IF(AND(LEFT('S.01.01.08'!$D$27,8)&lt;&gt;"Reported",'S.01.01.08'!$D$27&lt;&gt;""),Show!$B$7 &amp; "S.28.02.01.03 Rows{Z}@ForceFilingCode:false","")</f>
        <v/>
      </c>
      <c r="B841" t="str">
        <f>IF(AND(LEFT('S.01.01.08'!$D$27,8)&lt;&gt;"Reported",'S.01.01.08'!$D$27&lt;&gt;""),Show!$B$7&amp; Show!$B$7&amp;"S.28.02.01.03 Rows{Z}@ForceFilingCode:false","")</f>
        <v/>
      </c>
    </row>
    <row r="842" spans="1:2">
      <c r="A842" t="str">
        <f>IF(AND(LEFT('S.01.01.08'!$D$27,8)&lt;&gt;"Reported",'S.01.01.08'!$D$27&lt;&gt;""),Show!$B$7 &amp; "S.28.02.01.04 Rows{Z}@ForceFilingCode:false","")</f>
        <v/>
      </c>
      <c r="B842" t="str">
        <f>IF(AND(LEFT('S.01.01.08'!$D$27,8)&lt;&gt;"Reported",'S.01.01.08'!$D$27&lt;&gt;""),Show!$B$7&amp; Show!$B$7&amp;"S.28.02.01.04 Rows{Z}@ForceFilingCode:false","")</f>
        <v/>
      </c>
    </row>
    <row r="843" spans="1:2">
      <c r="A843" t="str">
        <f>IF(AND(LEFT('S.01.01.08'!$D$27,8)&lt;&gt;"Reported",'S.01.01.08'!$D$27&lt;&gt;""),Show!$B$7 &amp; "S.28.02.01.05 Rows{Z}@ForceFilingCode:false","")</f>
        <v/>
      </c>
      <c r="B843" t="str">
        <f>IF(AND(LEFT('S.01.01.08'!$D$27,8)&lt;&gt;"Reported",'S.01.01.08'!$D$27&lt;&gt;""),Show!$B$7&amp; Show!$B$7&amp;"S.28.02.01.05 Rows{Z}@ForceFilingCode:false","")</f>
        <v/>
      </c>
    </row>
    <row r="844" spans="1:2">
      <c r="A844" t="str">
        <f>IF(AND(LEFT('S.01.01.08'!$D$27,8)&lt;&gt;"Reported",'S.01.01.08'!$D$27&lt;&gt;""),Show!$B$7 &amp; "S.28.02.01.06 Rows{Z}@ForceFilingCode:false","")</f>
        <v/>
      </c>
      <c r="B844" t="str">
        <f>IF(AND(LEFT('S.01.01.08'!$D$27,8)&lt;&gt;"Reported",'S.01.01.08'!$D$27&lt;&gt;""),Show!$B$7&amp; Show!$B$7&amp;"S.28.02.01.06 Rows{Z}@ForceFilingCode:false","")</f>
        <v/>
      </c>
    </row>
    <row r="845" spans="1:2">
      <c r="A845" t="str">
        <f>IF(AND(LEFT('S.01.01.10'!$D$16,8)&lt;&gt;"Reported",'S.01.01.10'!$D$16&lt;&gt;""),Show!$B$8 &amp; "S.01.02.01.01 Rows{Z}@ForceFilingCode:false","")</f>
        <v/>
      </c>
      <c r="B845" t="str">
        <f>IF(AND(LEFT('S.01.01.10'!$D$16,8)&lt;&gt;"Reported",'S.01.01.10'!$D$16&lt;&gt;""),Show!$B$8&amp; Show!$B$8&amp;"S.01.02.01.01 Rows{Z}@ForceFilingCode:false","")</f>
        <v/>
      </c>
    </row>
    <row r="846" spans="1:2">
      <c r="A846" t="str">
        <f>IF(AND(LEFT('S.01.01.10'!$D$17,8)&lt;&gt;"Reported",'S.01.01.10'!$D$17&lt;&gt;""),Show!$B$8 &amp; "S.14.01.10.01 Rows{Z}@ForceFilingCode:false","")</f>
        <v/>
      </c>
      <c r="B846" t="str">
        <f>IF(AND(LEFT('S.01.01.10'!$D$17,8)&lt;&gt;"Reported",'S.01.01.10'!$D$17&lt;&gt;""),Show!$B$8&amp; Show!$B$8&amp;"S.14.01.10.01 Rows{Z}@ForceFilingCode:false","")</f>
        <v/>
      </c>
    </row>
    <row r="847" spans="1:2">
      <c r="A847" t="str">
        <f>IF(AND(LEFT('S.01.01.10'!$D$18,8)&lt;&gt;"Reported",'S.01.01.10'!$D$18&lt;&gt;""),Show!$B$8 &amp; "S.38.01.10.01 Rows{Z}@ForceFilingCode:false","")</f>
        <v/>
      </c>
      <c r="B847" t="str">
        <f>IF(AND(LEFT('S.01.01.10'!$D$18,8)&lt;&gt;"Reported",'S.01.01.10'!$D$18&lt;&gt;""),Show!$B$8&amp; Show!$B$8&amp;"S.38.01.10.01 Rows{Z}@ForceFilingCode:false","")</f>
        <v/>
      </c>
    </row>
    <row r="848" spans="1:2">
      <c r="A848" t="str">
        <f>IF(AND(LEFT('S.01.01.10'!$D$19,8)&lt;&gt;"Reported",'S.01.01.10'!$D$19&lt;&gt;""),Show!$B$8 &amp; "S.40.01.10.01 Rows{Z}@ForceFilingCode:false","")</f>
        <v/>
      </c>
      <c r="B848" t="str">
        <f>IF(AND(LEFT('S.01.01.10'!$D$19,8)&lt;&gt;"Reported",'S.01.01.10'!$D$19&lt;&gt;""),Show!$B$8&amp; Show!$B$8&amp;"S.40.01.10.01 Rows{Z}@ForceFilingCode:false","")</f>
        <v/>
      </c>
    </row>
    <row r="849" spans="1:2">
      <c r="A849" t="str">
        <f>IF(AND(LEFT('S.01.01.11'!$D$16,8)&lt;&gt;"Reported",'S.01.01.11'!$D$16&lt;&gt;""),Show!$B$9 &amp; "S.01.02.01.01 Rows{Z}@ForceFilingCode:false","")</f>
        <v/>
      </c>
      <c r="B849" t="str">
        <f>IF(AND(LEFT('S.01.01.11'!$D$16,8)&lt;&gt;"Reported",'S.01.01.11'!$D$16&lt;&gt;""),Show!$B$9&amp; Show!$B$9&amp;"S.01.02.01.01 Rows{Z}@ForceFilingCode:false","")</f>
        <v/>
      </c>
    </row>
    <row r="850" spans="1:2">
      <c r="A850" t="str">
        <f>IF(AND(LEFT('S.01.01.11'!$D$17,8)&lt;&gt;"Reported",'S.01.01.11'!$D$17&lt;&gt;""),Show!$B$9 &amp; "S.25.04.11.01 Rows{Z}@ForceFilingCode:false","")</f>
        <v/>
      </c>
      <c r="B850" t="str">
        <f>IF(AND(LEFT('S.01.01.11'!$D$17,8)&lt;&gt;"Reported",'S.01.01.11'!$D$17&lt;&gt;""),Show!$B$9&amp; Show!$B$9&amp;"S.25.04.11.01 Rows{Z}@ForceFilingCode:false","")</f>
        <v/>
      </c>
    </row>
    <row r="851" spans="1:2">
      <c r="A851" t="str">
        <f>IF(AND(LEFT('S.01.01.11'!$D$18,8)&lt;&gt;"Reported",'S.01.01.11'!$D$18&lt;&gt;""),Show!$B$9 &amp; "S.39.01.11.01 Rows{Z}@ForceFilingCode:false","")</f>
        <v/>
      </c>
      <c r="B851" t="str">
        <f>IF(AND(LEFT('S.01.01.11'!$D$18,8)&lt;&gt;"Reported",'S.01.01.11'!$D$18&lt;&gt;""),Show!$B$9&amp; Show!$B$9&amp;"S.39.01.11.01 Rows{Z}@ForceFilingCode:false","")</f>
        <v/>
      </c>
    </row>
    <row r="852" spans="1:2">
      <c r="A852" t="str">
        <f>IF(AND(LEFT('S.01.01.11'!$D$19,8)&lt;&gt;"Reported",'S.01.01.11'!$D$19&lt;&gt;""),Show!$B$9 &amp; "S.41.01.11.01 Rows{Z}@ForceFilingCode:false","")</f>
        <v/>
      </c>
      <c r="B852" t="str">
        <f>IF(AND(LEFT('S.01.01.11'!$D$19,8)&lt;&gt;"Reported",'S.01.01.11'!$D$19&lt;&gt;""),Show!$B$9&amp; Show!$B$9&amp;"S.41.01.11.01 Rows{Z}@ForceFilingCode:false","")</f>
        <v/>
      </c>
    </row>
    <row r="853" spans="1:2">
      <c r="A853" t="str">
        <f>IF(AND(LEFT('S.01.01.12'!$D$16,8)&lt;&gt;"Reported",'S.01.01.12'!$D$16&lt;&gt;""),Show!$B$10 &amp; "S.01.02.04.01 Rows{Z}@ForceFilingCode:false","")</f>
        <v/>
      </c>
      <c r="B853" t="str">
        <f>IF(AND(LEFT('S.01.01.12'!$D$16,8)&lt;&gt;"Reported",'S.01.01.12'!$D$16&lt;&gt;""),Show!$B$10&amp; Show!$B$10&amp;"S.01.02.04.01 Rows{Z}@ForceFilingCode:false","")</f>
        <v/>
      </c>
    </row>
    <row r="854" spans="1:2">
      <c r="A854" t="str">
        <f>IF(AND(LEFT('S.01.01.12'!$D$17,8)&lt;&gt;"Reported",'S.01.01.12'!$D$17&lt;&gt;""),Show!$B$10 &amp; "S.14.01.10.01 Rows{Z}@ForceFilingCode:false","")</f>
        <v/>
      </c>
      <c r="B854" t="str">
        <f>IF(AND(LEFT('S.01.01.12'!$D$17,8)&lt;&gt;"Reported",'S.01.01.12'!$D$17&lt;&gt;""),Show!$B$10&amp; Show!$B$10&amp;"S.14.01.10.01 Rows{Z}@ForceFilingCode:false","")</f>
        <v/>
      </c>
    </row>
    <row r="855" spans="1:2">
      <c r="A855" t="str">
        <f>IF(AND(LEFT('S.01.01.12'!$D$18,8)&lt;&gt;"Reported",'S.01.01.12'!$D$18&lt;&gt;""),Show!$B$10 &amp; "S.38.01.10.01 Rows{Z}@ForceFilingCode:false","")</f>
        <v/>
      </c>
      <c r="B855" t="str">
        <f>IF(AND(LEFT('S.01.01.12'!$D$18,8)&lt;&gt;"Reported",'S.01.01.12'!$D$18&lt;&gt;""),Show!$B$10&amp; Show!$B$10&amp;"S.38.01.10.01 Rows{Z}@ForceFilingCode:false","")</f>
        <v/>
      </c>
    </row>
    <row r="856" spans="1:2">
      <c r="A856" t="str">
        <f>IF(AND(LEFT('S.01.01.12'!$D$19,8)&lt;&gt;"Reported",'S.01.01.12'!$D$19&lt;&gt;""),Show!$B$10 &amp; "S.40.01.10.01 Rows{Z}@ForceFilingCode:false","")</f>
        <v/>
      </c>
      <c r="B856" t="str">
        <f>IF(AND(LEFT('S.01.01.12'!$D$19,8)&lt;&gt;"Reported",'S.01.01.12'!$D$19&lt;&gt;""),Show!$B$10&amp; Show!$B$10&amp;"S.40.01.10.01 Rows{Z}@ForceFilingCode:false","")</f>
        <v/>
      </c>
    </row>
    <row r="857" spans="1:2">
      <c r="A857" t="str">
        <f>IF(AND(LEFT('S.01.01.13'!$D$16,8)&lt;&gt;"Reported",'S.01.01.13'!$D$16&lt;&gt;""),Show!$B$11 &amp; "S.01.02.04.01 Rows{Z}@ForceFilingCode:false","")</f>
        <v/>
      </c>
      <c r="B857" t="str">
        <f>IF(AND(LEFT('S.01.01.13'!$D$16,8)&lt;&gt;"Reported",'S.01.01.13'!$D$16&lt;&gt;""),Show!$B$11&amp; Show!$B$11&amp;"S.01.02.04.01 Rows{Z}@ForceFilingCode:false","")</f>
        <v/>
      </c>
    </row>
    <row r="858" spans="1:2">
      <c r="A858" t="str">
        <f>IF(AND(LEFT('S.01.01.13'!$D$17,8)&lt;&gt;"Reported",'S.01.01.13'!$D$17&lt;&gt;""),Show!$B$11 &amp; "S.02.01.02.01 Rows{Z}@ForceFilingCode:false","")</f>
        <v/>
      </c>
      <c r="B858" t="str">
        <f>IF(AND(LEFT('S.01.01.13'!$D$17,8)&lt;&gt;"Reported",'S.01.01.13'!$D$17&lt;&gt;""),Show!$B$11&amp; Show!$B$11&amp;"S.02.01.02.01 Rows{Z}@ForceFilingCode:false","")</f>
        <v/>
      </c>
    </row>
    <row r="859" spans="1:2">
      <c r="A859" t="str">
        <f>IF(AND(LEFT('S.01.01.13'!$D$18,8)&lt;&gt;"Reported",'S.01.01.13'!$D$18&lt;&gt;""),Show!$B$11 &amp; "S.05.01.13.01 Rows{Z}@ForceFilingCode:false","")</f>
        <v/>
      </c>
      <c r="B859" t="str">
        <f>IF(AND(LEFT('S.01.01.13'!$D$18,8)&lt;&gt;"Reported",'S.01.01.13'!$D$18&lt;&gt;""),Show!$B$11&amp; Show!$B$11&amp;"S.05.01.13.01 Rows{Z}@ForceFilingCode:false","")</f>
        <v/>
      </c>
    </row>
    <row r="860" spans="1:2">
      <c r="A860" t="str">
        <f>IF(AND(LEFT('S.01.01.13'!$D$18,8)&lt;&gt;"Reported",'S.01.01.13'!$D$18&lt;&gt;""),Show!$B$11 &amp; "S.05.01.13.02 Rows{Z}@ForceFilingCode:false","")</f>
        <v/>
      </c>
      <c r="B860" t="str">
        <f>IF(AND(LEFT('S.01.01.13'!$D$18,8)&lt;&gt;"Reported",'S.01.01.13'!$D$18&lt;&gt;""),Show!$B$11&amp; Show!$B$11&amp;"S.05.01.13.02 Rows{Z}@ForceFilingCode:false","")</f>
        <v/>
      </c>
    </row>
    <row r="861" spans="1:2">
      <c r="A861" t="str">
        <f>IF(AND(LEFT('S.01.01.13'!$D$19,8)&lt;&gt;"Reported",'S.01.01.13'!$D$19&lt;&gt;""),Show!$B$11 &amp; "S.06.02.04.01 Rows{Z}@ForceFilingCode:false","")</f>
        <v/>
      </c>
      <c r="B861" t="str">
        <f>IF(AND(LEFT('S.01.01.13'!$D$19,8)&lt;&gt;"Reported",'S.01.01.13'!$D$19&lt;&gt;""),Show!$B$11&amp; Show!$B$11&amp;"S.06.02.04.01 Rows{Z}@ForceFilingCode:false","")</f>
        <v/>
      </c>
    </row>
    <row r="862" spans="1:2">
      <c r="A862" t="str">
        <f>IF(AND(LEFT('S.01.01.13'!$D$19,8)&lt;&gt;"Reported",'S.01.01.13'!$D$19&lt;&gt;""),Show!$B$11 &amp; "S.06.02.04.02 Rows{Z}@ForceFilingCode:false","")</f>
        <v/>
      </c>
      <c r="B862" t="str">
        <f>IF(AND(LEFT('S.01.01.13'!$D$19,8)&lt;&gt;"Reported",'S.01.01.13'!$D$19&lt;&gt;""),Show!$B$11&amp; Show!$B$11&amp;"S.06.02.04.02 Rows{Z}@ForceFilingCode:false","")</f>
        <v/>
      </c>
    </row>
    <row r="863" spans="1:2">
      <c r="A863" t="str">
        <f>IF(AND(LEFT('S.01.01.13'!$D$20,8)&lt;&gt;"Reported",'S.01.01.13'!$D$20&lt;&gt;""),Show!$B$11 &amp; "S.23.01.13.01 Rows{Z}@ForceFilingCode:false","")</f>
        <v/>
      </c>
      <c r="B863" t="str">
        <f>IF(AND(LEFT('S.01.01.13'!$D$20,8)&lt;&gt;"Reported",'S.01.01.13'!$D$20&lt;&gt;""),Show!$B$11&amp; Show!$B$11&amp;"S.23.01.13.01 Rows{Z}@ForceFilingCode:false","")</f>
        <v/>
      </c>
    </row>
    <row r="864" spans="1:2">
      <c r="A864" t="str">
        <f>IF(AND(LEFT('S.01.01.13'!$D$21,8)&lt;&gt;"Reported",'S.01.01.13'!$D$21&lt;&gt;""),Show!$B$11 &amp; "S.25.04.13.01 Rows{Z}@ForceFilingCode:false","")</f>
        <v/>
      </c>
      <c r="B864" t="str">
        <f>IF(AND(LEFT('S.01.01.13'!$D$21,8)&lt;&gt;"Reported",'S.01.01.13'!$D$21&lt;&gt;""),Show!$B$11&amp; Show!$B$11&amp;"S.25.04.13.01 Rows{Z}@ForceFilingCode:false","")</f>
        <v/>
      </c>
    </row>
    <row r="865" spans="1:2">
      <c r="A865" t="str">
        <f>IF(AND(LEFT('S.01.01.13'!$D$22,8)&lt;&gt;"Reported",'S.01.01.13'!$D$22&lt;&gt;""),Show!$B$11 &amp; "S.39.01.11.01 Rows{Z}@ForceFilingCode:false","")</f>
        <v/>
      </c>
      <c r="B865" t="str">
        <f>IF(AND(LEFT('S.01.01.13'!$D$22,8)&lt;&gt;"Reported",'S.01.01.13'!$D$22&lt;&gt;""),Show!$B$11&amp; Show!$B$11&amp;"S.39.01.11.01 Rows{Z}@ForceFilingCode:false","")</f>
        <v/>
      </c>
    </row>
    <row r="866" spans="1:2">
      <c r="A866" t="str">
        <f>IF(AND(LEFT('S.01.01.13'!$D$23,8)&lt;&gt;"Reported",'S.01.01.13'!$D$23&lt;&gt;""),Show!$B$11 &amp; "S.41.01.11.01 Rows{Z}@ForceFilingCode:false","")</f>
        <v/>
      </c>
      <c r="B866" t="str">
        <f>IF(AND(LEFT('S.01.01.13'!$D$23,8)&lt;&gt;"Reported",'S.01.01.13'!$D$23&lt;&gt;""),Show!$B$11&amp; Show!$B$11&amp;"S.41.01.11.01 Rows{Z}@ForceFilingCode:false","")</f>
        <v/>
      </c>
    </row>
    <row r="867" spans="1:2">
      <c r="A867" t="str">
        <f>IF(AND(LEFT('S.01.01.14'!$D$16,8)&lt;&gt;"Reported",'S.01.01.14'!$D$16&lt;&gt;""),Show!$B$12 &amp; "S.01.02.07.01 Rows{Z}@ForceFilingCode:false","")</f>
        <v/>
      </c>
      <c r="B867" t="str">
        <f>IF(AND(LEFT('S.01.01.14'!$D$16,8)&lt;&gt;"Reported",'S.01.01.14'!$D$16&lt;&gt;""),Show!$B$12&amp; Show!$B$12&amp;"S.01.02.07.01 Rows{Z}@ForceFilingCode:false","")</f>
        <v/>
      </c>
    </row>
    <row r="868" spans="1:2">
      <c r="A868" t="str">
        <f>IF(AND(LEFT('S.01.01.14'!$D$16,8)&lt;&gt;"Reported",'S.01.01.14'!$D$16&lt;&gt;""),Show!$B$12 &amp; "S.01.02.07.02 Rows{Z}@ForceFilingCode:false","")</f>
        <v/>
      </c>
      <c r="B868" t="str">
        <f>IF(AND(LEFT('S.01.01.14'!$D$16,8)&lt;&gt;"Reported",'S.01.01.14'!$D$16&lt;&gt;""),Show!$B$12&amp; Show!$B$12&amp;"S.01.02.07.02 Rows{Z}@ForceFilingCode:false","")</f>
        <v/>
      </c>
    </row>
    <row r="869" spans="1:2">
      <c r="A869" t="str">
        <f>IF(AND(LEFT('S.01.01.14'!$D$16,8)&lt;&gt;"Reported",'S.01.01.14'!$D$16&lt;&gt;""),Show!$B$12 &amp; "S.01.02.07.03 Rows{Z}@ForceFilingCode:false","")</f>
        <v/>
      </c>
      <c r="B869" t="str">
        <f>IF(AND(LEFT('S.01.01.14'!$D$16,8)&lt;&gt;"Reported",'S.01.01.14'!$D$16&lt;&gt;""),Show!$B$12&amp; Show!$B$12&amp;"S.01.02.07.03 Rows{Z}@ForceFilingCode:false","")</f>
        <v/>
      </c>
    </row>
    <row r="870" spans="1:2">
      <c r="A870" t="str">
        <f>IF(AND(LEFT('S.01.01.14'!$D$17,8)&lt;&gt;"Reported",'S.01.01.14'!$D$17&lt;&gt;""),Show!$B$12 &amp; "S.14.01.10.01 Rows{Z}@ForceFilingCode:false","")</f>
        <v/>
      </c>
      <c r="B870" t="str">
        <f>IF(AND(LEFT('S.01.01.14'!$D$17,8)&lt;&gt;"Reported",'S.01.01.14'!$D$17&lt;&gt;""),Show!$B$12&amp; Show!$B$12&amp;"S.14.01.10.01 Rows{Z}@ForceFilingCode:false","")</f>
        <v/>
      </c>
    </row>
    <row r="871" spans="1:2">
      <c r="A871" t="str">
        <f>IF(AND(LEFT('S.01.01.14'!$D$18,8)&lt;&gt;"Reported",'S.01.01.14'!$D$18&lt;&gt;""),Show!$B$12 &amp; "S.38.01.10.01 Rows{Z}@ForceFilingCode:false","")</f>
        <v/>
      </c>
      <c r="B871" t="str">
        <f>IF(AND(LEFT('S.01.01.14'!$D$18,8)&lt;&gt;"Reported",'S.01.01.14'!$D$18&lt;&gt;""),Show!$B$12&amp; Show!$B$12&amp;"S.38.01.10.01 Rows{Z}@ForceFilingCode:false","")</f>
        <v/>
      </c>
    </row>
    <row r="872" spans="1:2">
      <c r="A872" t="str">
        <f>IF(AND(LEFT('S.01.01.14'!$D$19,8)&lt;&gt;"Reported",'S.01.01.14'!$D$19&lt;&gt;""),Show!$B$12 &amp; "S.40.01.10.01 Rows{Z}@ForceFilingCode:false","")</f>
        <v/>
      </c>
      <c r="B872" t="str">
        <f>IF(AND(LEFT('S.01.01.14'!$D$19,8)&lt;&gt;"Reported",'S.01.01.14'!$D$19&lt;&gt;""),Show!$B$12&amp; Show!$B$12&amp;"S.40.01.10.01 Rows{Z}@ForceFilingCode:false","")</f>
        <v/>
      </c>
    </row>
    <row r="873" spans="1:2">
      <c r="A873" t="str">
        <f>IF(AND(LEFT('S.01.01.15'!$D$16,8)&lt;&gt;"Reported",'S.01.01.15'!$D$16&lt;&gt;""),Show!$B$13 &amp; "S.01.02.07.01 Rows{Z}@ForceFilingCode:false","")</f>
        <v/>
      </c>
      <c r="B873" t="str">
        <f>IF(AND(LEFT('S.01.01.15'!$D$16,8)&lt;&gt;"Reported",'S.01.01.15'!$D$16&lt;&gt;""),Show!$B$13&amp; Show!$B$13&amp;"S.01.02.07.01 Rows{Z}@ForceFilingCode:false","")</f>
        <v/>
      </c>
    </row>
    <row r="874" spans="1:2">
      <c r="A874" t="str">
        <f>IF(AND(LEFT('S.01.01.15'!$D$16,8)&lt;&gt;"Reported",'S.01.01.15'!$D$16&lt;&gt;""),Show!$B$13 &amp; "S.01.02.07.02 Rows{Z}@ForceFilingCode:false","")</f>
        <v/>
      </c>
      <c r="B874" t="str">
        <f>IF(AND(LEFT('S.01.01.15'!$D$16,8)&lt;&gt;"Reported",'S.01.01.15'!$D$16&lt;&gt;""),Show!$B$13&amp; Show!$B$13&amp;"S.01.02.07.02 Rows{Z}@ForceFilingCode:false","")</f>
        <v/>
      </c>
    </row>
    <row r="875" spans="1:2">
      <c r="A875" t="str">
        <f>IF(AND(LEFT('S.01.01.15'!$D$16,8)&lt;&gt;"Reported",'S.01.01.15'!$D$16&lt;&gt;""),Show!$B$13 &amp; "S.01.02.07.03 Rows{Z}@ForceFilingCode:false","")</f>
        <v/>
      </c>
      <c r="B875" t="str">
        <f>IF(AND(LEFT('S.01.01.15'!$D$16,8)&lt;&gt;"Reported",'S.01.01.15'!$D$16&lt;&gt;""),Show!$B$13&amp; Show!$B$13&amp;"S.01.02.07.03 Rows{Z}@ForceFilingCode:false","")</f>
        <v/>
      </c>
    </row>
    <row r="876" spans="1:2">
      <c r="A876" t="str">
        <f>IF(AND(LEFT('S.01.01.15'!$D$17,8)&lt;&gt;"Reported",'S.01.01.15'!$D$17&lt;&gt;""),Show!$B$13 &amp; "S.25.04.11.01 Rows{Z}@ForceFilingCode:false","")</f>
        <v/>
      </c>
      <c r="B876" t="str">
        <f>IF(AND(LEFT('S.01.01.15'!$D$17,8)&lt;&gt;"Reported",'S.01.01.15'!$D$17&lt;&gt;""),Show!$B$13&amp; Show!$B$13&amp;"S.25.04.11.01 Rows{Z}@ForceFilingCode:false","")</f>
        <v/>
      </c>
    </row>
    <row r="877" spans="1:2">
      <c r="A877" t="str">
        <f>IF(AND(LEFT('S.01.01.15'!$D$18,8)&lt;&gt;"Reported",'S.01.01.15'!$D$18&lt;&gt;""),Show!$B$13 &amp; "S.39.01.11.01 Rows{Z}@ForceFilingCode:false","")</f>
        <v/>
      </c>
      <c r="B877" t="str">
        <f>IF(AND(LEFT('S.01.01.15'!$D$18,8)&lt;&gt;"Reported",'S.01.01.15'!$D$18&lt;&gt;""),Show!$B$13&amp; Show!$B$13&amp;"S.39.01.11.01 Rows{Z}@ForceFilingCode:false","")</f>
        <v/>
      </c>
    </row>
    <row r="878" spans="1:2">
      <c r="A878" t="str">
        <f>IF(AND(LEFT('S.01.01.15'!$D$19,8)&lt;&gt;"Reported",'S.01.01.15'!$D$19&lt;&gt;""),Show!$B$13 &amp; "S.41.01.11.01 Rows{Z}@ForceFilingCode:false","")</f>
        <v/>
      </c>
      <c r="B878" t="str">
        <f>IF(AND(LEFT('S.01.01.15'!$D$19,8)&lt;&gt;"Reported",'S.01.01.15'!$D$19&lt;&gt;""),Show!$B$13&amp; Show!$B$13&amp;"S.41.01.11.01 Rows{Z}@ForceFilingCode:false","")</f>
        <v/>
      </c>
    </row>
    <row r="879" spans="1:2">
      <c r="A879" t="str">
        <f>IF(AND(LEFT('SR.01.01.01'!$D$20,8)&lt;&gt;"Reported",'SR.01.01.01'!$D$20&lt;&gt;""),Show!$B$14 &amp; "SR.02.01.01.01 Rows{Z}@ForceFilingCode:false","")</f>
        <v/>
      </c>
      <c r="B879" t="str">
        <f>IF(AND(LEFT('SR.01.01.01'!$D$20,8)&lt;&gt;"Reported",'SR.01.01.01'!$D$20&lt;&gt;""),Show!$B$14&amp; Show!$B$14&amp;"SR.02.01.01.01 Rows{Z}@ForceFilingCode:false","")</f>
        <v/>
      </c>
    </row>
    <row r="880" spans="1:2">
      <c r="A880" t="str">
        <f>IF(AND(LEFT('SR.01.01.01'!$D$21,8)&lt;&gt;"Reported",'SR.01.01.01'!$D$21&lt;&gt;""),Show!$B$14 &amp; "SR.12.01.01.01 Rows{Z}@ForceFilingCode:false","")</f>
        <v/>
      </c>
      <c r="B880" t="str">
        <f>IF(AND(LEFT('SR.01.01.01'!$D$21,8)&lt;&gt;"Reported",'SR.01.01.01'!$D$21&lt;&gt;""),Show!$B$14&amp; Show!$B$14&amp;"SR.12.01.01.01 Rows{Z}@ForceFilingCode:false","")</f>
        <v/>
      </c>
    </row>
    <row r="881" spans="1:2">
      <c r="A881" t="str">
        <f>IF(AND(LEFT('SR.01.01.01'!$D$22,8)&lt;&gt;"Reported",'SR.01.01.01'!$D$22&lt;&gt;""),Show!$B$14 &amp; "SR.17.01.01.01 Rows{Z}@ForceFilingCode:false","")</f>
        <v/>
      </c>
      <c r="B881" t="str">
        <f>IF(AND(LEFT('SR.01.01.01'!$D$22,8)&lt;&gt;"Reported",'SR.01.01.01'!$D$22&lt;&gt;""),Show!$B$14&amp; Show!$B$14&amp;"SR.17.01.01.01 Rows{Z}@ForceFilingCode:false","")</f>
        <v/>
      </c>
    </row>
    <row r="882" spans="1:2">
      <c r="A882" t="str">
        <f>IF(AND(LEFT('SR.01.01.01'!$D$23,8)&lt;&gt;"Reported",'SR.01.01.01'!$D$23&lt;&gt;""),Show!$B$14 &amp; "SR.22.02.01.01 Rows{Z}@ForceFilingCode:false","")</f>
        <v/>
      </c>
      <c r="B882" t="str">
        <f>IF(AND(LEFT('SR.01.01.01'!$D$23,8)&lt;&gt;"Reported",'SR.01.01.01'!$D$23&lt;&gt;""),Show!$B$14&amp; Show!$B$14&amp;"SR.22.02.01.01 Rows{Z}@ForceFilingCode:false","")</f>
        <v/>
      </c>
    </row>
    <row r="883" spans="1:2">
      <c r="A883" t="str">
        <f>IF(AND(LEFT('SR.01.01.01'!$D$24,8)&lt;&gt;"Reported",'SR.01.01.01'!$D$24&lt;&gt;""),Show!$B$14 &amp; "SR.22.03.01.01 Rows{Z}@ForceFilingCode:false","")</f>
        <v/>
      </c>
      <c r="B883" t="str">
        <f>IF(AND(LEFT('SR.01.01.01'!$D$24,8)&lt;&gt;"Reported",'SR.01.01.01'!$D$24&lt;&gt;""),Show!$B$14&amp; Show!$B$14&amp;"SR.22.03.01.01 Rows{Z}@ForceFilingCode:false","")</f>
        <v/>
      </c>
    </row>
    <row r="884" spans="1:2">
      <c r="A884" t="str">
        <f>IF(AND(LEFT('SR.01.01.01'!$D$25,8)&lt;&gt;"Reported",'SR.01.01.01'!$D$25&lt;&gt;""),Show!$B$14 &amp; "SR.25.01.01.01 Rows{Z}@ForceFilingCode:false","")</f>
        <v/>
      </c>
      <c r="B884" t="str">
        <f>IF(AND(LEFT('SR.01.01.01'!$D$25,8)&lt;&gt;"Reported",'SR.01.01.01'!$D$25&lt;&gt;""),Show!$B$14&amp; Show!$B$14&amp;"SR.25.01.01.01 Rows{Z}@ForceFilingCode:false","")</f>
        <v/>
      </c>
    </row>
    <row r="885" spans="1:2">
      <c r="A885" t="str">
        <f>IF(AND(LEFT('SR.01.01.01'!$D$25,8)&lt;&gt;"Reported",'SR.01.01.01'!$D$25&lt;&gt;""),Show!$B$14 &amp; "SR.25.01.01.02 Rows{Z}@ForceFilingCode:false","")</f>
        <v/>
      </c>
      <c r="B885" t="str">
        <f>IF(AND(LEFT('SR.01.01.01'!$D$25,8)&lt;&gt;"Reported",'SR.01.01.01'!$D$25&lt;&gt;""),Show!$B$14&amp; Show!$B$14&amp;"SR.25.01.01.02 Rows{Z}@ForceFilingCode:false","")</f>
        <v/>
      </c>
    </row>
    <row r="886" spans="1:2">
      <c r="A886" t="str">
        <f>IF(AND(LEFT('SR.01.01.01'!$D$25,8)&lt;&gt;"Reported",'SR.01.01.01'!$D$25&lt;&gt;""),Show!$B$14 &amp; "SR.25.01.01.03 Rows{Z}@ForceFilingCode:false","")</f>
        <v/>
      </c>
      <c r="B886" t="str">
        <f>IF(AND(LEFT('SR.01.01.01'!$D$25,8)&lt;&gt;"Reported",'SR.01.01.01'!$D$25&lt;&gt;""),Show!$B$14&amp; Show!$B$14&amp;"SR.25.01.01.03 Rows{Z}@ForceFilingCode:false","")</f>
        <v/>
      </c>
    </row>
    <row r="887" spans="1:2">
      <c r="A887" t="str">
        <f>IF(AND(LEFT('SR.01.01.01'!$D$25,8)&lt;&gt;"Reported",'SR.01.01.01'!$D$25&lt;&gt;""),Show!$B$14 &amp; "SR.25.01.01.04 Rows{Z}@ForceFilingCode:false","")</f>
        <v/>
      </c>
      <c r="B887" t="str">
        <f>IF(AND(LEFT('SR.01.01.01'!$D$25,8)&lt;&gt;"Reported",'SR.01.01.01'!$D$25&lt;&gt;""),Show!$B$14&amp; Show!$B$14&amp;"SR.25.01.01.04 Rows{Z}@ForceFilingCode:false","")</f>
        <v/>
      </c>
    </row>
    <row r="888" spans="1:2">
      <c r="A888" t="str">
        <f>IF(AND(LEFT('SR.01.01.01'!$D$25,8)&lt;&gt;"Reported",'SR.01.01.01'!$D$25&lt;&gt;""),Show!$B$14 &amp; "SR.25.01.01.05 Rows{Z}@ForceFilingCode:false","")</f>
        <v/>
      </c>
      <c r="B888" t="str">
        <f>IF(AND(LEFT('SR.01.01.01'!$D$25,8)&lt;&gt;"Reported",'SR.01.01.01'!$D$25&lt;&gt;""),Show!$B$14&amp; Show!$B$14&amp;"SR.25.01.01.05 Rows{Z}@ForceFilingCode:false","")</f>
        <v/>
      </c>
    </row>
    <row r="889" spans="1:2">
      <c r="A889" t="str">
        <f>IF(AND(LEFT('SR.01.01.01'!$D$26,8)&lt;&gt;"Reported",'SR.01.01.01'!$D$26&lt;&gt;""),Show!$B$14 &amp; "SR.25.02.01.01 Rows{Z}@ForceFilingCode:false","")</f>
        <v/>
      </c>
      <c r="B889" t="str">
        <f>IF(AND(LEFT('SR.01.01.01'!$D$26,8)&lt;&gt;"Reported",'SR.01.01.01'!$D$26&lt;&gt;""),Show!$B$14&amp; Show!$B$14&amp;"SR.25.02.01.01 Rows{Z}@ForceFilingCode:false","")</f>
        <v/>
      </c>
    </row>
    <row r="890" spans="1:2">
      <c r="A890" t="str">
        <f>IF(AND(LEFT('SR.01.01.01'!$D$26,8)&lt;&gt;"Reported",'SR.01.01.01'!$D$26&lt;&gt;""),Show!$B$14 &amp; "SR.25.02.01.02 Rows{Z}@ForceFilingCode:false","")</f>
        <v/>
      </c>
      <c r="B890" t="str">
        <f>IF(AND(LEFT('SR.01.01.01'!$D$26,8)&lt;&gt;"Reported",'SR.01.01.01'!$D$26&lt;&gt;""),Show!$B$14&amp; Show!$B$14&amp;"SR.25.02.01.02 Rows{Z}@ForceFilingCode:false","")</f>
        <v/>
      </c>
    </row>
    <row r="891" spans="1:2">
      <c r="A891" t="str">
        <f>IF(AND(LEFT('SR.01.01.01'!$D$26,8)&lt;&gt;"Reported",'SR.01.01.01'!$D$26&lt;&gt;""),Show!$B$14 &amp; "SR.25.02.01.03 Rows{Z}@ForceFilingCode:false","")</f>
        <v/>
      </c>
      <c r="B891" t="str">
        <f>IF(AND(LEFT('SR.01.01.01'!$D$26,8)&lt;&gt;"Reported",'SR.01.01.01'!$D$26&lt;&gt;""),Show!$B$14&amp; Show!$B$14&amp;"SR.25.02.01.03 Rows{Z}@ForceFilingCode:false","")</f>
        <v/>
      </c>
    </row>
    <row r="892" spans="1:2">
      <c r="A892" t="str">
        <f>IF(AND(LEFT('SR.01.01.01'!$D$26,8)&lt;&gt;"Reported",'SR.01.01.01'!$D$26&lt;&gt;""),Show!$B$14 &amp; "SR.25.02.01.04 Rows{Z}@ForceFilingCode:false","")</f>
        <v/>
      </c>
      <c r="B892" t="str">
        <f>IF(AND(LEFT('SR.01.01.01'!$D$26,8)&lt;&gt;"Reported",'SR.01.01.01'!$D$26&lt;&gt;""),Show!$B$14&amp; Show!$B$14&amp;"SR.25.02.01.04 Rows{Z}@ForceFilingCode:false","")</f>
        <v/>
      </c>
    </row>
    <row r="893" spans="1:2">
      <c r="A893" t="str">
        <f>IF(AND(LEFT('SR.01.01.01'!$D$26,8)&lt;&gt;"Reported",'SR.01.01.01'!$D$26&lt;&gt;""),Show!$B$14 &amp; "SR.25.02.01.05 Rows{Z}@ForceFilingCode:false","")</f>
        <v/>
      </c>
      <c r="B893" t="str">
        <f>IF(AND(LEFT('SR.01.01.01'!$D$26,8)&lt;&gt;"Reported",'SR.01.01.01'!$D$26&lt;&gt;""),Show!$B$14&amp; Show!$B$14&amp;"SR.25.02.01.05 Rows{Z}@ForceFilingCode:false","")</f>
        <v/>
      </c>
    </row>
    <row r="894" spans="1:2">
      <c r="A894" t="str">
        <f>IF(AND(LEFT('SR.01.01.01'!$D$27,8)&lt;&gt;"Reported",'SR.01.01.01'!$D$27&lt;&gt;""),Show!$B$14 &amp; "SR.25.03.01.01 Rows{Z}@ForceFilingCode:false","")</f>
        <v/>
      </c>
      <c r="B894" t="str">
        <f>IF(AND(LEFT('SR.01.01.01'!$D$27,8)&lt;&gt;"Reported",'SR.01.01.01'!$D$27&lt;&gt;""),Show!$B$14&amp; Show!$B$14&amp;"SR.25.03.01.01 Rows{Z}@ForceFilingCode:false","")</f>
        <v/>
      </c>
    </row>
    <row r="895" spans="1:2">
      <c r="A895" t="str">
        <f>IF(AND(LEFT('SR.01.01.01'!$D$27,8)&lt;&gt;"Reported",'SR.01.01.01'!$D$27&lt;&gt;""),Show!$B$14 &amp; "SR.25.03.01.02 Rows{Z}@ForceFilingCode:false","")</f>
        <v/>
      </c>
      <c r="B895" t="str">
        <f>IF(AND(LEFT('SR.01.01.01'!$D$27,8)&lt;&gt;"Reported",'SR.01.01.01'!$D$27&lt;&gt;""),Show!$B$14&amp; Show!$B$14&amp;"SR.25.03.01.02 Rows{Z}@ForceFilingCode:false","")</f>
        <v/>
      </c>
    </row>
    <row r="896" spans="1:2">
      <c r="A896" t="str">
        <f>IF(AND(LEFT('SR.01.01.01'!$D$27,8)&lt;&gt;"Reported",'SR.01.01.01'!$D$27&lt;&gt;""),Show!$B$14 &amp; "SR.25.03.01.03 Rows{Z}@ForceFilingCode:false","")</f>
        <v/>
      </c>
      <c r="B896" t="str">
        <f>IF(AND(LEFT('SR.01.01.01'!$D$27,8)&lt;&gt;"Reported",'SR.01.01.01'!$D$27&lt;&gt;""),Show!$B$14&amp; Show!$B$14&amp;"SR.25.03.01.03 Rows{Z}@ForceFilingCode:false","")</f>
        <v/>
      </c>
    </row>
    <row r="897" spans="1:2">
      <c r="A897" t="str">
        <f>IF(AND(LEFT('SR.01.01.01'!$D$27,8)&lt;&gt;"Reported",'SR.01.01.01'!$D$27&lt;&gt;""),Show!$B$14 &amp; "SR.25.03.01.04 Rows{Z}@ForceFilingCode:false","")</f>
        <v/>
      </c>
      <c r="B897" t="str">
        <f>IF(AND(LEFT('SR.01.01.01'!$D$27,8)&lt;&gt;"Reported",'SR.01.01.01'!$D$27&lt;&gt;""),Show!$B$14&amp; Show!$B$14&amp;"SR.25.03.01.04 Rows{Z}@ForceFilingCode:false","")</f>
        <v/>
      </c>
    </row>
    <row r="898" spans="1:2">
      <c r="A898" t="str">
        <f>IF(AND(LEFT('SR.01.01.01'!$D$27,8)&lt;&gt;"Reported",'SR.01.01.01'!$D$27&lt;&gt;""),Show!$B$14 &amp; "SR.25.03.01.05 Rows{Z}@ForceFilingCode:false","")</f>
        <v/>
      </c>
      <c r="B898" t="str">
        <f>IF(AND(LEFT('SR.01.01.01'!$D$27,8)&lt;&gt;"Reported",'SR.01.01.01'!$D$27&lt;&gt;""),Show!$B$14&amp; Show!$B$14&amp;"SR.25.03.01.05 Rows{Z}@ForceFilingCode:false","")</f>
        <v/>
      </c>
    </row>
    <row r="899" spans="1:2">
      <c r="A899" t="str">
        <f>IF(AND(LEFT('SR.01.01.01'!$D$28,8)&lt;&gt;"Reported",'SR.01.01.01'!$D$28&lt;&gt;""),Show!$B$14 &amp; "SR.26.01.01.01 Rows{Z}@ForceFilingCode:false","")</f>
        <v/>
      </c>
      <c r="B899" t="str">
        <f>IF(AND(LEFT('SR.01.01.01'!$D$28,8)&lt;&gt;"Reported",'SR.01.01.01'!$D$28&lt;&gt;""),Show!$B$14&amp; Show!$B$14&amp;"SR.26.01.01.01 Rows{Z}@ForceFilingCode:false","")</f>
        <v/>
      </c>
    </row>
    <row r="900" spans="1:2">
      <c r="A900" t="str">
        <f>IF(AND(LEFT('SR.01.01.01'!$D$28,8)&lt;&gt;"Reported",'SR.01.01.01'!$D$28&lt;&gt;""),Show!$B$14 &amp; "SR.26.01.01.02 Rows{Z}@ForceFilingCode:false","")</f>
        <v/>
      </c>
      <c r="B900" t="str">
        <f>IF(AND(LEFT('SR.01.01.01'!$D$28,8)&lt;&gt;"Reported",'SR.01.01.01'!$D$28&lt;&gt;""),Show!$B$14&amp; Show!$B$14&amp;"SR.26.01.01.02 Rows{Z}@ForceFilingCode:false","")</f>
        <v/>
      </c>
    </row>
    <row r="901" spans="1:2">
      <c r="A901" t="str">
        <f>IF(AND(LEFT('SR.01.01.01'!$D$28,8)&lt;&gt;"Reported",'SR.01.01.01'!$D$28&lt;&gt;""),Show!$B$14 &amp; "SR.26.01.01.03 Rows{Z}@ForceFilingCode:false","")</f>
        <v/>
      </c>
      <c r="B901" t="str">
        <f>IF(AND(LEFT('SR.01.01.01'!$D$28,8)&lt;&gt;"Reported",'SR.01.01.01'!$D$28&lt;&gt;""),Show!$B$14&amp; Show!$B$14&amp;"SR.26.01.01.03 Rows{Z}@ForceFilingCode:false","")</f>
        <v/>
      </c>
    </row>
    <row r="902" spans="1:2">
      <c r="A902" t="str">
        <f>IF(AND(LEFT('SR.01.01.01'!$D$29,8)&lt;&gt;"Reported",'SR.01.01.01'!$D$29&lt;&gt;""),Show!$B$14 &amp; "SR.26.02.01.01 Rows{Z}@ForceFilingCode:false","")</f>
        <v/>
      </c>
      <c r="B902" t="str">
        <f>IF(AND(LEFT('SR.01.01.01'!$D$29,8)&lt;&gt;"Reported",'SR.01.01.01'!$D$29&lt;&gt;""),Show!$B$14&amp; Show!$B$14&amp;"SR.26.02.01.01 Rows{Z}@ForceFilingCode:false","")</f>
        <v/>
      </c>
    </row>
    <row r="903" spans="1:2">
      <c r="A903" t="str">
        <f>IF(AND(LEFT('SR.01.01.01'!$D$29,8)&lt;&gt;"Reported",'SR.01.01.01'!$D$29&lt;&gt;""),Show!$B$14 &amp; "SR.26.02.01.02 Rows{Z}@ForceFilingCode:false","")</f>
        <v/>
      </c>
      <c r="B903" t="str">
        <f>IF(AND(LEFT('SR.01.01.01'!$D$29,8)&lt;&gt;"Reported",'SR.01.01.01'!$D$29&lt;&gt;""),Show!$B$14&amp; Show!$B$14&amp;"SR.26.02.01.02 Rows{Z}@ForceFilingCode:false","")</f>
        <v/>
      </c>
    </row>
    <row r="904" spans="1:2">
      <c r="A904" t="str">
        <f>IF(AND(LEFT('SR.01.01.01'!$D$30,8)&lt;&gt;"Reported",'SR.01.01.01'!$D$30&lt;&gt;""),Show!$B$14 &amp; "SR.26.03.01.01 Rows{Z}@ForceFilingCode:false","")</f>
        <v/>
      </c>
      <c r="B904" t="str">
        <f>IF(AND(LEFT('SR.01.01.01'!$D$30,8)&lt;&gt;"Reported",'SR.01.01.01'!$D$30&lt;&gt;""),Show!$B$14&amp; Show!$B$14&amp;"SR.26.03.01.01 Rows{Z}@ForceFilingCode:false","")</f>
        <v/>
      </c>
    </row>
    <row r="905" spans="1:2">
      <c r="A905" t="str">
        <f>IF(AND(LEFT('SR.01.01.01'!$D$30,8)&lt;&gt;"Reported",'SR.01.01.01'!$D$30&lt;&gt;""),Show!$B$14 &amp; "SR.26.03.01.02 Rows{Z}@ForceFilingCode:false","")</f>
        <v/>
      </c>
      <c r="B905" t="str">
        <f>IF(AND(LEFT('SR.01.01.01'!$D$30,8)&lt;&gt;"Reported",'SR.01.01.01'!$D$30&lt;&gt;""),Show!$B$14&amp; Show!$B$14&amp;"SR.26.03.01.02 Rows{Z}@ForceFilingCode:false","")</f>
        <v/>
      </c>
    </row>
    <row r="906" spans="1:2">
      <c r="A906" t="str">
        <f>IF(AND(LEFT('SR.01.01.01'!$D$30,8)&lt;&gt;"Reported",'SR.01.01.01'!$D$30&lt;&gt;""),Show!$B$14 &amp; "SR.26.03.01.03 Rows{Z}@ForceFilingCode:false","")</f>
        <v/>
      </c>
      <c r="B906" t="str">
        <f>IF(AND(LEFT('SR.01.01.01'!$D$30,8)&lt;&gt;"Reported",'SR.01.01.01'!$D$30&lt;&gt;""),Show!$B$14&amp; Show!$B$14&amp;"SR.26.03.01.03 Rows{Z}@ForceFilingCode:false","")</f>
        <v/>
      </c>
    </row>
    <row r="907" spans="1:2">
      <c r="A907" t="str">
        <f>IF(AND(LEFT('SR.01.01.01'!$D$30,8)&lt;&gt;"Reported",'SR.01.01.01'!$D$30&lt;&gt;""),Show!$B$14 &amp; "SR.26.03.01.04 Rows{Z}@ForceFilingCode:false","")</f>
        <v/>
      </c>
      <c r="B907" t="str">
        <f>IF(AND(LEFT('SR.01.01.01'!$D$30,8)&lt;&gt;"Reported",'SR.01.01.01'!$D$30&lt;&gt;""),Show!$B$14&amp; Show!$B$14&amp;"SR.26.03.01.04 Rows{Z}@ForceFilingCode:false","")</f>
        <v/>
      </c>
    </row>
    <row r="908" spans="1:2">
      <c r="A908" t="str">
        <f>IF(AND(LEFT('SR.01.01.01'!$D$31,8)&lt;&gt;"Reported",'SR.01.01.01'!$D$31&lt;&gt;""),Show!$B$14 &amp; "SR.26.04.01.01 Rows{Z}@ForceFilingCode:false","")</f>
        <v/>
      </c>
      <c r="B908" t="str">
        <f>IF(AND(LEFT('SR.01.01.01'!$D$31,8)&lt;&gt;"Reported",'SR.01.01.01'!$D$31&lt;&gt;""),Show!$B$14&amp; Show!$B$14&amp;"SR.26.04.01.01 Rows{Z}@ForceFilingCode:false","")</f>
        <v/>
      </c>
    </row>
    <row r="909" spans="1:2">
      <c r="A909" t="str">
        <f>IF(AND(LEFT('SR.01.01.01'!$D$31,8)&lt;&gt;"Reported",'SR.01.01.01'!$D$31&lt;&gt;""),Show!$B$14 &amp; "SR.26.04.01.02 Rows{Z}@ForceFilingCode:false","")</f>
        <v/>
      </c>
      <c r="B909" t="str">
        <f>IF(AND(LEFT('SR.01.01.01'!$D$31,8)&lt;&gt;"Reported",'SR.01.01.01'!$D$31&lt;&gt;""),Show!$B$14&amp; Show!$B$14&amp;"SR.26.04.01.02 Rows{Z}@ForceFilingCode:false","")</f>
        <v/>
      </c>
    </row>
    <row r="910" spans="1:2">
      <c r="A910" t="str">
        <f>IF(AND(LEFT('SR.01.01.01'!$D$31,8)&lt;&gt;"Reported",'SR.01.01.01'!$D$31&lt;&gt;""),Show!$B$14 &amp; "SR.26.04.01.03 Rows{Z}@ForceFilingCode:false","")</f>
        <v/>
      </c>
      <c r="B910" t="str">
        <f>IF(AND(LEFT('SR.01.01.01'!$D$31,8)&lt;&gt;"Reported",'SR.01.01.01'!$D$31&lt;&gt;""),Show!$B$14&amp; Show!$B$14&amp;"SR.26.04.01.03 Rows{Z}@ForceFilingCode:false","")</f>
        <v/>
      </c>
    </row>
    <row r="911" spans="1:2">
      <c r="A911" t="str">
        <f>IF(AND(LEFT('SR.01.01.01'!$D$31,8)&lt;&gt;"Reported",'SR.01.01.01'!$D$31&lt;&gt;""),Show!$B$14 &amp; "SR.26.04.01.04 Rows{Z}@ForceFilingCode:false","")</f>
        <v/>
      </c>
      <c r="B911" t="str">
        <f>IF(AND(LEFT('SR.01.01.01'!$D$31,8)&lt;&gt;"Reported",'SR.01.01.01'!$D$31&lt;&gt;""),Show!$B$14&amp; Show!$B$14&amp;"SR.26.04.01.04 Rows{Z}@ForceFilingCode:false","")</f>
        <v/>
      </c>
    </row>
    <row r="912" spans="1:2">
      <c r="A912" t="str">
        <f>IF(AND(LEFT('SR.01.01.01'!$D$31,8)&lt;&gt;"Reported",'SR.01.01.01'!$D$31&lt;&gt;""),Show!$B$14 &amp; "SR.26.04.01.05 Rows{Z}@ForceFilingCode:false","")</f>
        <v/>
      </c>
      <c r="B912" t="str">
        <f>IF(AND(LEFT('SR.01.01.01'!$D$31,8)&lt;&gt;"Reported",'SR.01.01.01'!$D$31&lt;&gt;""),Show!$B$14&amp; Show!$B$14&amp;"SR.26.04.01.05 Rows{Z}@ForceFilingCode:false","")</f>
        <v/>
      </c>
    </row>
    <row r="913" spans="1:2">
      <c r="A913" t="str">
        <f>IF(AND(LEFT('SR.01.01.01'!$D$31,8)&lt;&gt;"Reported",'SR.01.01.01'!$D$31&lt;&gt;""),Show!$B$14 &amp; "SR.26.04.01.06 Rows{Z}@ForceFilingCode:false","")</f>
        <v/>
      </c>
      <c r="B913" t="str">
        <f>IF(AND(LEFT('SR.01.01.01'!$D$31,8)&lt;&gt;"Reported",'SR.01.01.01'!$D$31&lt;&gt;""),Show!$B$14&amp; Show!$B$14&amp;"SR.26.04.01.06 Rows{Z}@ForceFilingCode:false","")</f>
        <v/>
      </c>
    </row>
    <row r="914" spans="1:2">
      <c r="A914" t="str">
        <f>IF(AND(LEFT('SR.01.01.01'!$D$31,8)&lt;&gt;"Reported",'SR.01.01.01'!$D$31&lt;&gt;""),Show!$B$14 &amp; "SR.26.04.01.07 Rows{Z}@ForceFilingCode:false","")</f>
        <v/>
      </c>
      <c r="B914" t="str">
        <f>IF(AND(LEFT('SR.01.01.01'!$D$31,8)&lt;&gt;"Reported",'SR.01.01.01'!$D$31&lt;&gt;""),Show!$B$14&amp; Show!$B$14&amp;"SR.26.04.01.07 Rows{Z}@ForceFilingCode:false","")</f>
        <v/>
      </c>
    </row>
    <row r="915" spans="1:2">
      <c r="A915" t="str">
        <f>IF(AND(LEFT('SR.01.01.01'!$D$31,8)&lt;&gt;"Reported",'SR.01.01.01'!$D$31&lt;&gt;""),Show!$B$14 &amp; "SR.26.04.01.08 Rows{Z}@ForceFilingCode:false","")</f>
        <v/>
      </c>
      <c r="B915" t="str">
        <f>IF(AND(LEFT('SR.01.01.01'!$D$31,8)&lt;&gt;"Reported",'SR.01.01.01'!$D$31&lt;&gt;""),Show!$B$14&amp; Show!$B$14&amp;"SR.26.04.01.08 Rows{Z}@ForceFilingCode:false","")</f>
        <v/>
      </c>
    </row>
    <row r="916" spans="1:2">
      <c r="A916" t="str">
        <f>IF(AND(LEFT('SR.01.01.01'!$D$31,8)&lt;&gt;"Reported",'SR.01.01.01'!$D$31&lt;&gt;""),Show!$B$14 &amp; "SR.26.04.01.09 Rows{Z}@ForceFilingCode:false","")</f>
        <v/>
      </c>
      <c r="B916" t="str">
        <f>IF(AND(LEFT('SR.01.01.01'!$D$31,8)&lt;&gt;"Reported",'SR.01.01.01'!$D$31&lt;&gt;""),Show!$B$14&amp; Show!$B$14&amp;"SR.26.04.01.09 Rows{Z}@ForceFilingCode:false","")</f>
        <v/>
      </c>
    </row>
    <row r="917" spans="1:2">
      <c r="A917" t="str">
        <f>IF(AND(LEFT('SR.01.01.01'!$D$32,8)&lt;&gt;"Reported",'SR.01.01.01'!$D$32&lt;&gt;""),Show!$B$14 &amp; "SR.26.05.01.01 Rows{Z}@ForceFilingCode:false","")</f>
        <v/>
      </c>
      <c r="B917" t="str">
        <f>IF(AND(LEFT('SR.01.01.01'!$D$32,8)&lt;&gt;"Reported",'SR.01.01.01'!$D$32&lt;&gt;""),Show!$B$14&amp; Show!$B$14&amp;"SR.26.05.01.01 Rows{Z}@ForceFilingCode:false","")</f>
        <v/>
      </c>
    </row>
    <row r="918" spans="1:2">
      <c r="A918" t="str">
        <f>IF(AND(LEFT('SR.01.01.01'!$D$32,8)&lt;&gt;"Reported",'SR.01.01.01'!$D$32&lt;&gt;""),Show!$B$14 &amp; "SR.26.05.01.02 Rows{Z}@ForceFilingCode:false","")</f>
        <v/>
      </c>
      <c r="B918" t="str">
        <f>IF(AND(LEFT('SR.01.01.01'!$D$32,8)&lt;&gt;"Reported",'SR.01.01.01'!$D$32&lt;&gt;""),Show!$B$14&amp; Show!$B$14&amp;"SR.26.05.01.02 Rows{Z}@ForceFilingCode:false","")</f>
        <v/>
      </c>
    </row>
    <row r="919" spans="1:2">
      <c r="A919" t="str">
        <f>IF(AND(LEFT('SR.01.01.01'!$D$32,8)&lt;&gt;"Reported",'SR.01.01.01'!$D$32&lt;&gt;""),Show!$B$14 &amp; "SR.26.05.01.03 Rows{Z}@ForceFilingCode:false","")</f>
        <v/>
      </c>
      <c r="B919" t="str">
        <f>IF(AND(LEFT('SR.01.01.01'!$D$32,8)&lt;&gt;"Reported",'SR.01.01.01'!$D$32&lt;&gt;""),Show!$B$14&amp; Show!$B$14&amp;"SR.26.05.01.03 Rows{Z}@ForceFilingCode:false","")</f>
        <v/>
      </c>
    </row>
    <row r="920" spans="1:2">
      <c r="A920" t="str">
        <f>IF(AND(LEFT('SR.01.01.01'!$D$32,8)&lt;&gt;"Reported",'SR.01.01.01'!$D$32&lt;&gt;""),Show!$B$14 &amp; "SR.26.05.01.04 Rows{Z}@ForceFilingCode:false","")</f>
        <v/>
      </c>
      <c r="B920" t="str">
        <f>IF(AND(LEFT('SR.01.01.01'!$D$32,8)&lt;&gt;"Reported",'SR.01.01.01'!$D$32&lt;&gt;""),Show!$B$14&amp; Show!$B$14&amp;"SR.26.05.01.04 Rows{Z}@ForceFilingCode:false","")</f>
        <v/>
      </c>
    </row>
    <row r="921" spans="1:2">
      <c r="A921" t="str">
        <f>IF(AND(LEFT('SR.01.01.01'!$D$32,8)&lt;&gt;"Reported",'SR.01.01.01'!$D$32&lt;&gt;""),Show!$B$14 &amp; "SR.26.05.01.05 Rows{Z}@ForceFilingCode:false","")</f>
        <v/>
      </c>
      <c r="B921" t="str">
        <f>IF(AND(LEFT('SR.01.01.01'!$D$32,8)&lt;&gt;"Reported",'SR.01.01.01'!$D$32&lt;&gt;""),Show!$B$14&amp; Show!$B$14&amp;"SR.26.05.01.05 Rows{Z}@ForceFilingCode:false","")</f>
        <v/>
      </c>
    </row>
    <row r="922" spans="1:2">
      <c r="A922" t="str">
        <f>IF(AND(LEFT('SR.01.01.01'!$D$33,8)&lt;&gt;"Reported",'SR.01.01.01'!$D$33&lt;&gt;""),Show!$B$14 &amp; "SR.26.06.01.01 Rows{Z}@ForceFilingCode:false","")</f>
        <v/>
      </c>
      <c r="B922" t="str">
        <f>IF(AND(LEFT('SR.01.01.01'!$D$33,8)&lt;&gt;"Reported",'SR.01.01.01'!$D$33&lt;&gt;""),Show!$B$14&amp; Show!$B$14&amp;"SR.26.06.01.01 Rows{Z}@ForceFilingCode:false","")</f>
        <v/>
      </c>
    </row>
    <row r="923" spans="1:2">
      <c r="A923" t="str">
        <f>IF(AND(LEFT('SR.01.01.01'!$D$34,8)&lt;&gt;"Reported",'SR.01.01.01'!$D$34&lt;&gt;""),Show!$B$14 &amp; "SR.26.07.01.01 Rows{Z}@ForceFilingCode:false","")</f>
        <v/>
      </c>
      <c r="B923" t="str">
        <f>IF(AND(LEFT('SR.01.01.01'!$D$34,8)&lt;&gt;"Reported",'SR.01.01.01'!$D$34&lt;&gt;""),Show!$B$14&amp; Show!$B$14&amp;"SR.26.07.01.01 Rows{Z}@ForceFilingCode:false","")</f>
        <v/>
      </c>
    </row>
    <row r="924" spans="1:2">
      <c r="A924" t="str">
        <f>IF(AND(LEFT('SR.01.01.01'!$D$34,8)&lt;&gt;"Reported",'SR.01.01.01'!$D$34&lt;&gt;""),Show!$B$14 &amp; "SR.26.07.01.02 Rows{Z}@ForceFilingCode:false","")</f>
        <v/>
      </c>
      <c r="B924" t="str">
        <f>IF(AND(LEFT('SR.01.01.01'!$D$34,8)&lt;&gt;"Reported",'SR.01.01.01'!$D$34&lt;&gt;""),Show!$B$14&amp; Show!$B$14&amp;"SR.26.07.01.02 Rows{Z}@ForceFilingCode:false","")</f>
        <v/>
      </c>
    </row>
    <row r="925" spans="1:2">
      <c r="A925" t="str">
        <f>IF(AND(LEFT('SR.01.01.01'!$D$34,8)&lt;&gt;"Reported",'SR.01.01.01'!$D$34&lt;&gt;""),Show!$B$14 &amp; "SR.26.07.01.03 Rows{Z}@ForceFilingCode:false","")</f>
        <v/>
      </c>
      <c r="B925" t="str">
        <f>IF(AND(LEFT('SR.01.01.01'!$D$34,8)&lt;&gt;"Reported",'SR.01.01.01'!$D$34&lt;&gt;""),Show!$B$14&amp; Show!$B$14&amp;"SR.26.07.01.03 Rows{Z}@ForceFilingCode:false","")</f>
        <v/>
      </c>
    </row>
    <row r="926" spans="1:2">
      <c r="A926" t="str">
        <f>IF(AND(LEFT('SR.01.01.01'!$D$34,8)&lt;&gt;"Reported",'SR.01.01.01'!$D$34&lt;&gt;""),Show!$B$14 &amp; "SR.26.07.01.04 Rows{Z}@ForceFilingCode:false","")</f>
        <v/>
      </c>
      <c r="B926" t="str">
        <f>IF(AND(LEFT('SR.01.01.01'!$D$34,8)&lt;&gt;"Reported",'SR.01.01.01'!$D$34&lt;&gt;""),Show!$B$14&amp; Show!$B$14&amp;"SR.26.07.01.04 Rows{Z}@ForceFilingCode:false","")</f>
        <v/>
      </c>
    </row>
    <row r="927" spans="1:2">
      <c r="A927" t="str">
        <f>IF(AND(LEFT('SR.01.01.01'!$D$34,8)&lt;&gt;"Reported",'SR.01.01.01'!$D$34&lt;&gt;""),Show!$B$14 &amp; "SR.26.07.01.05 Rows{Z}@ForceFilingCode:false","")</f>
        <v/>
      </c>
      <c r="B927" t="str">
        <f>IF(AND(LEFT('SR.01.01.01'!$D$34,8)&lt;&gt;"Reported",'SR.01.01.01'!$D$34&lt;&gt;""),Show!$B$14&amp; Show!$B$14&amp;"SR.26.07.01.05 Rows{Z}@ForceFilingCode:false","")</f>
        <v/>
      </c>
    </row>
    <row r="928" spans="1:2">
      <c r="A928" t="str">
        <f>IF(AND(LEFT('SR.01.01.01'!$D$34,8)&lt;&gt;"Reported",'SR.01.01.01'!$D$34&lt;&gt;""),Show!$B$14 &amp; "SR.26.07.01.06 Rows{Z}@ForceFilingCode:false","")</f>
        <v/>
      </c>
      <c r="B928" t="str">
        <f>IF(AND(LEFT('SR.01.01.01'!$D$34,8)&lt;&gt;"Reported",'SR.01.01.01'!$D$34&lt;&gt;""),Show!$B$14&amp; Show!$B$14&amp;"SR.26.07.01.06 Rows{Z}@ForceFilingCode:false","")</f>
        <v/>
      </c>
    </row>
    <row r="929" spans="1:2">
      <c r="A929" t="str">
        <f>IF(AND(LEFT('SR.01.01.01'!$D$35,8)&lt;&gt;"Reported",'SR.01.01.01'!$D$35&lt;&gt;""),Show!$B$14 &amp; "SR.27.01.01.01 Rows{Z}@ForceFilingCode:false","")</f>
        <v/>
      </c>
      <c r="B929" t="str">
        <f>IF(AND(LEFT('SR.01.01.01'!$D$35,8)&lt;&gt;"Reported",'SR.01.01.01'!$D$35&lt;&gt;""),Show!$B$14&amp; Show!$B$14&amp;"SR.27.01.01.01 Rows{Z}@ForceFilingCode:false","")</f>
        <v/>
      </c>
    </row>
    <row r="930" spans="1:2">
      <c r="A930" t="str">
        <f>IF(AND(LEFT('SR.01.01.01'!$D$35,8)&lt;&gt;"Reported",'SR.01.01.01'!$D$35&lt;&gt;""),Show!$B$14 &amp; "SR.27.01.01.02 Rows{Z}@ForceFilingCode:false","")</f>
        <v/>
      </c>
      <c r="B930" t="str">
        <f>IF(AND(LEFT('SR.01.01.01'!$D$35,8)&lt;&gt;"Reported",'SR.01.01.01'!$D$35&lt;&gt;""),Show!$B$14&amp; Show!$B$14&amp;"SR.27.01.01.02 Rows{Z}@ForceFilingCode:false","")</f>
        <v/>
      </c>
    </row>
    <row r="931" spans="1:2">
      <c r="A931" t="str">
        <f>IF(AND(LEFT('SR.01.01.01'!$D$35,8)&lt;&gt;"Reported",'SR.01.01.01'!$D$35&lt;&gt;""),Show!$B$14 &amp; "SR.27.01.01.03 Rows{Z}@ForceFilingCode:false","")</f>
        <v/>
      </c>
      <c r="B931" t="str">
        <f>IF(AND(LEFT('SR.01.01.01'!$D$35,8)&lt;&gt;"Reported",'SR.01.01.01'!$D$35&lt;&gt;""),Show!$B$14&amp; Show!$B$14&amp;"SR.27.01.01.03 Rows{Z}@ForceFilingCode:false","")</f>
        <v/>
      </c>
    </row>
    <row r="932" spans="1:2">
      <c r="A932" t="str">
        <f>IF(AND(LEFT('SR.01.01.01'!$D$35,8)&lt;&gt;"Reported",'SR.01.01.01'!$D$35&lt;&gt;""),Show!$B$14 &amp; "SR.27.01.01.04 Rows{Z}@ForceFilingCode:false","")</f>
        <v/>
      </c>
      <c r="B932" t="str">
        <f>IF(AND(LEFT('SR.01.01.01'!$D$35,8)&lt;&gt;"Reported",'SR.01.01.01'!$D$35&lt;&gt;""),Show!$B$14&amp; Show!$B$14&amp;"SR.27.01.01.04 Rows{Z}@ForceFilingCode:false","")</f>
        <v/>
      </c>
    </row>
    <row r="933" spans="1:2">
      <c r="A933" t="str">
        <f>IF(AND(LEFT('SR.01.01.01'!$D$35,8)&lt;&gt;"Reported",'SR.01.01.01'!$D$35&lt;&gt;""),Show!$B$14 &amp; "SR.27.01.01.05 Rows{Z}@ForceFilingCode:false","")</f>
        <v/>
      </c>
      <c r="B933" t="str">
        <f>IF(AND(LEFT('SR.01.01.01'!$D$35,8)&lt;&gt;"Reported",'SR.01.01.01'!$D$35&lt;&gt;""),Show!$B$14&amp; Show!$B$14&amp;"SR.27.01.01.05 Rows{Z}@ForceFilingCode:false","")</f>
        <v/>
      </c>
    </row>
    <row r="934" spans="1:2">
      <c r="A934" t="str">
        <f>IF(AND(LEFT('SR.01.01.01'!$D$35,8)&lt;&gt;"Reported",'SR.01.01.01'!$D$35&lt;&gt;""),Show!$B$14 &amp; "SR.27.01.01.06 Rows{Z}@ForceFilingCode:false","")</f>
        <v/>
      </c>
      <c r="B934" t="str">
        <f>IF(AND(LEFT('SR.01.01.01'!$D$35,8)&lt;&gt;"Reported",'SR.01.01.01'!$D$35&lt;&gt;""),Show!$B$14&amp; Show!$B$14&amp;"SR.27.01.01.06 Rows{Z}@ForceFilingCode:false","")</f>
        <v/>
      </c>
    </row>
    <row r="935" spans="1:2">
      <c r="A935" t="str">
        <f>IF(AND(LEFT('SR.01.01.01'!$D$35,8)&lt;&gt;"Reported",'SR.01.01.01'!$D$35&lt;&gt;""),Show!$B$14 &amp; "SR.27.01.01.07 Rows{Z}@ForceFilingCode:false","")</f>
        <v/>
      </c>
      <c r="B935" t="str">
        <f>IF(AND(LEFT('SR.01.01.01'!$D$35,8)&lt;&gt;"Reported",'SR.01.01.01'!$D$35&lt;&gt;""),Show!$B$14&amp; Show!$B$14&amp;"SR.27.01.01.07 Rows{Z}@ForceFilingCode:false","")</f>
        <v/>
      </c>
    </row>
    <row r="936" spans="1:2">
      <c r="A936" t="str">
        <f>IF(AND(LEFT('SR.01.01.01'!$D$35,8)&lt;&gt;"Reported",'SR.01.01.01'!$D$35&lt;&gt;""),Show!$B$14 &amp; "SR.27.01.01.08 Rows{Z}@ForceFilingCode:false","")</f>
        <v/>
      </c>
      <c r="B936" t="str">
        <f>IF(AND(LEFT('SR.01.01.01'!$D$35,8)&lt;&gt;"Reported",'SR.01.01.01'!$D$35&lt;&gt;""),Show!$B$14&amp; Show!$B$14&amp;"SR.27.01.01.08 Rows{Z}@ForceFilingCode:false","")</f>
        <v/>
      </c>
    </row>
    <row r="937" spans="1:2">
      <c r="A937" t="str">
        <f>IF(AND(LEFT('SR.01.01.01'!$D$35,8)&lt;&gt;"Reported",'SR.01.01.01'!$D$35&lt;&gt;""),Show!$B$14 &amp; "SR.27.01.01.09 Rows{Z}@ForceFilingCode:false","")</f>
        <v/>
      </c>
      <c r="B937" t="str">
        <f>IF(AND(LEFT('SR.01.01.01'!$D$35,8)&lt;&gt;"Reported",'SR.01.01.01'!$D$35&lt;&gt;""),Show!$B$14&amp; Show!$B$14&amp;"SR.27.01.01.09 Rows{Z}@ForceFilingCode:false","")</f>
        <v/>
      </c>
    </row>
    <row r="938" spans="1:2">
      <c r="A938" t="str">
        <f>IF(AND(LEFT('SR.01.01.01'!$D$35,8)&lt;&gt;"Reported",'SR.01.01.01'!$D$35&lt;&gt;""),Show!$B$14 &amp; "SR.27.01.01.10 Rows{Z}@ForceFilingCode:false","")</f>
        <v/>
      </c>
      <c r="B938" t="str">
        <f>IF(AND(LEFT('SR.01.01.01'!$D$35,8)&lt;&gt;"Reported",'SR.01.01.01'!$D$35&lt;&gt;""),Show!$B$14&amp; Show!$B$14&amp;"SR.27.01.01.10 Rows{Z}@ForceFilingCode:false","")</f>
        <v/>
      </c>
    </row>
    <row r="939" spans="1:2">
      <c r="A939" t="str">
        <f>IF(AND(LEFT('SR.01.01.01'!$D$35,8)&lt;&gt;"Reported",'SR.01.01.01'!$D$35&lt;&gt;""),Show!$B$14 &amp; "SR.27.01.01.11 Rows{Z}@ForceFilingCode:false","")</f>
        <v/>
      </c>
      <c r="B939" t="str">
        <f>IF(AND(LEFT('SR.01.01.01'!$D$35,8)&lt;&gt;"Reported",'SR.01.01.01'!$D$35&lt;&gt;""),Show!$B$14&amp; Show!$B$14&amp;"SR.27.01.01.11 Rows{Z}@ForceFilingCode:false","")</f>
        <v/>
      </c>
    </row>
    <row r="940" spans="1:2">
      <c r="A940" t="str">
        <f>IF(AND(LEFT('SR.01.01.01'!$D$35,8)&lt;&gt;"Reported",'SR.01.01.01'!$D$35&lt;&gt;""),Show!$B$14 &amp; "SR.27.01.01.12 Rows{Z}@ForceFilingCode:false","")</f>
        <v/>
      </c>
      <c r="B940" t="str">
        <f>IF(AND(LEFT('SR.01.01.01'!$D$35,8)&lt;&gt;"Reported",'SR.01.01.01'!$D$35&lt;&gt;""),Show!$B$14&amp; Show!$B$14&amp;"SR.27.01.01.12 Rows{Z}@ForceFilingCode:false","")</f>
        <v/>
      </c>
    </row>
    <row r="941" spans="1:2">
      <c r="A941" t="str">
        <f>IF(AND(LEFT('SR.01.01.01'!$D$35,8)&lt;&gt;"Reported",'SR.01.01.01'!$D$35&lt;&gt;""),Show!$B$14 &amp; "SR.27.01.01.13 Rows{Z}@ForceFilingCode:false","")</f>
        <v/>
      </c>
      <c r="B941" t="str">
        <f>IF(AND(LEFT('SR.01.01.01'!$D$35,8)&lt;&gt;"Reported",'SR.01.01.01'!$D$35&lt;&gt;""),Show!$B$14&amp; Show!$B$14&amp;"SR.27.01.01.13 Rows{Z}@ForceFilingCode:false","")</f>
        <v/>
      </c>
    </row>
    <row r="942" spans="1:2">
      <c r="A942" t="str">
        <f>IF(AND(LEFT('SR.01.01.01'!$D$35,8)&lt;&gt;"Reported",'SR.01.01.01'!$D$35&lt;&gt;""),Show!$B$14 &amp; "SR.27.01.01.14 Rows{Z}@ForceFilingCode:false","")</f>
        <v/>
      </c>
      <c r="B942" t="str">
        <f>IF(AND(LEFT('SR.01.01.01'!$D$35,8)&lt;&gt;"Reported",'SR.01.01.01'!$D$35&lt;&gt;""),Show!$B$14&amp; Show!$B$14&amp;"SR.27.01.01.14 Rows{Z}@ForceFilingCode:false","")</f>
        <v/>
      </c>
    </row>
    <row r="943" spans="1:2">
      <c r="A943" t="str">
        <f>IF(AND(LEFT('SR.01.01.01'!$D$35,8)&lt;&gt;"Reported",'SR.01.01.01'!$D$35&lt;&gt;""),Show!$B$14 &amp; "SR.27.01.01.15 Rows{Z}@ForceFilingCode:false","")</f>
        <v/>
      </c>
      <c r="B943" t="str">
        <f>IF(AND(LEFT('SR.01.01.01'!$D$35,8)&lt;&gt;"Reported",'SR.01.01.01'!$D$35&lt;&gt;""),Show!$B$14&amp; Show!$B$14&amp;"SR.27.01.01.15 Rows{Z}@ForceFilingCode:false","")</f>
        <v/>
      </c>
    </row>
    <row r="944" spans="1:2">
      <c r="A944" t="str">
        <f>IF(AND(LEFT('SR.01.01.01'!$D$35,8)&lt;&gt;"Reported",'SR.01.01.01'!$D$35&lt;&gt;""),Show!$B$14 &amp; "SR.27.01.01.16 Rows{Z}@ForceFilingCode:false","")</f>
        <v/>
      </c>
      <c r="B944" t="str">
        <f>IF(AND(LEFT('SR.01.01.01'!$D$35,8)&lt;&gt;"Reported",'SR.01.01.01'!$D$35&lt;&gt;""),Show!$B$14&amp; Show!$B$14&amp;"SR.27.01.01.16 Rows{Z}@ForceFilingCode:false","")</f>
        <v/>
      </c>
    </row>
    <row r="945" spans="1:2">
      <c r="A945" t="str">
        <f>IF(AND(LEFT('SR.01.01.01'!$D$35,8)&lt;&gt;"Reported",'SR.01.01.01'!$D$35&lt;&gt;""),Show!$B$14 &amp; "SR.27.01.01.17 Rows{Z}@ForceFilingCode:false","")</f>
        <v/>
      </c>
      <c r="B945" t="str">
        <f>IF(AND(LEFT('SR.01.01.01'!$D$35,8)&lt;&gt;"Reported",'SR.01.01.01'!$D$35&lt;&gt;""),Show!$B$14&amp; Show!$B$14&amp;"SR.27.01.01.17 Rows{Z}@ForceFilingCode:false","")</f>
        <v/>
      </c>
    </row>
    <row r="946" spans="1:2">
      <c r="A946" t="str">
        <f>IF(AND(LEFT('SR.01.01.01'!$D$35,8)&lt;&gt;"Reported",'SR.01.01.01'!$D$35&lt;&gt;""),Show!$B$14 &amp; "SR.27.01.01.18 Rows{Z}@ForceFilingCode:false","")</f>
        <v/>
      </c>
      <c r="B946" t="str">
        <f>IF(AND(LEFT('SR.01.01.01'!$D$35,8)&lt;&gt;"Reported",'SR.01.01.01'!$D$35&lt;&gt;""),Show!$B$14&amp; Show!$B$14&amp;"SR.27.01.01.18 Rows{Z}@ForceFilingCode:false","")</f>
        <v/>
      </c>
    </row>
    <row r="947" spans="1:2">
      <c r="A947" t="str">
        <f>IF(AND(LEFT('SR.01.01.01'!$D$35,8)&lt;&gt;"Reported",'SR.01.01.01'!$D$35&lt;&gt;""),Show!$B$14 &amp; "SR.27.01.01.19 Rows{Z}@ForceFilingCode:false","")</f>
        <v/>
      </c>
      <c r="B947" t="str">
        <f>IF(AND(LEFT('SR.01.01.01'!$D$35,8)&lt;&gt;"Reported",'SR.01.01.01'!$D$35&lt;&gt;""),Show!$B$14&amp; Show!$B$14&amp;"SR.27.01.01.19 Rows{Z}@ForceFilingCode:false","")</f>
        <v/>
      </c>
    </row>
    <row r="948" spans="1:2">
      <c r="A948" t="str">
        <f>IF(AND(LEFT('SR.01.01.01'!$D$35,8)&lt;&gt;"Reported",'SR.01.01.01'!$D$35&lt;&gt;""),Show!$B$14 &amp; "SR.27.01.01.20 Rows{Z}@ForceFilingCode:false","")</f>
        <v/>
      </c>
      <c r="B948" t="str">
        <f>IF(AND(LEFT('SR.01.01.01'!$D$35,8)&lt;&gt;"Reported",'SR.01.01.01'!$D$35&lt;&gt;""),Show!$B$14&amp; Show!$B$14&amp;"SR.27.01.01.20 Rows{Z}@ForceFilingCode:false","")</f>
        <v/>
      </c>
    </row>
    <row r="949" spans="1:2">
      <c r="A949" t="str">
        <f>IF(AND(LEFT('SR.01.01.01'!$D$35,8)&lt;&gt;"Reported",'SR.01.01.01'!$D$35&lt;&gt;""),Show!$B$14 &amp; "SR.27.01.01.21 Rows{Z}@ForceFilingCode:false","")</f>
        <v/>
      </c>
      <c r="B949" t="str">
        <f>IF(AND(LEFT('SR.01.01.01'!$D$35,8)&lt;&gt;"Reported",'SR.01.01.01'!$D$35&lt;&gt;""),Show!$B$14&amp; Show!$B$14&amp;"SR.27.01.01.21 Rows{Z}@ForceFilingCode:false","")</f>
        <v/>
      </c>
    </row>
    <row r="950" spans="1:2">
      <c r="A950" t="str">
        <f>IF(AND(LEFT('SR.01.01.01'!$D$35,8)&lt;&gt;"Reported",'SR.01.01.01'!$D$35&lt;&gt;""),Show!$B$14 &amp; "SR.27.01.01.22 Rows{Z}@ForceFilingCode:false","")</f>
        <v/>
      </c>
      <c r="B950" t="str">
        <f>IF(AND(LEFT('SR.01.01.01'!$D$35,8)&lt;&gt;"Reported",'SR.01.01.01'!$D$35&lt;&gt;""),Show!$B$14&amp; Show!$B$14&amp;"SR.27.01.01.22 Rows{Z}@ForceFilingCode:false","")</f>
        <v/>
      </c>
    </row>
    <row r="951" spans="1:2">
      <c r="A951" t="str">
        <f>IF(AND(LEFT('SR.01.01.01'!$D$35,8)&lt;&gt;"Reported",'SR.01.01.01'!$D$35&lt;&gt;""),Show!$B$14 &amp; "SR.27.01.01.23 Rows{Z}@ForceFilingCode:false","")</f>
        <v/>
      </c>
      <c r="B951" t="str">
        <f>IF(AND(LEFT('SR.01.01.01'!$D$35,8)&lt;&gt;"Reported",'SR.01.01.01'!$D$35&lt;&gt;""),Show!$B$14&amp; Show!$B$14&amp;"SR.27.01.01.23 Rows{Z}@ForceFilingCode:false","")</f>
        <v/>
      </c>
    </row>
    <row r="952" spans="1:2">
      <c r="A952" t="str">
        <f>IF(AND(LEFT('SR.01.01.01'!$D$35,8)&lt;&gt;"Reported",'SR.01.01.01'!$D$35&lt;&gt;""),Show!$B$14 &amp; "SR.27.01.01.24 Rows{Z}@ForceFilingCode:false","")</f>
        <v/>
      </c>
      <c r="B952" t="str">
        <f>IF(AND(LEFT('SR.01.01.01'!$D$35,8)&lt;&gt;"Reported",'SR.01.01.01'!$D$35&lt;&gt;""),Show!$B$14&amp; Show!$B$14&amp;"SR.27.01.01.24 Rows{Z}@ForceFilingCode:false","")</f>
        <v/>
      </c>
    </row>
    <row r="953" spans="1:2">
      <c r="A953" t="str">
        <f>IF(AND(LEFT('SR.01.01.01'!$D$35,8)&lt;&gt;"Reported",'SR.01.01.01'!$D$35&lt;&gt;""),Show!$B$14 &amp; "SR.27.01.01.25 Rows{Z}@ForceFilingCode:false","")</f>
        <v/>
      </c>
      <c r="B953" t="str">
        <f>IF(AND(LEFT('SR.01.01.01'!$D$35,8)&lt;&gt;"Reported",'SR.01.01.01'!$D$35&lt;&gt;""),Show!$B$14&amp; Show!$B$14&amp;"SR.27.01.01.25 Rows{Z}@ForceFilingCode:false","")</f>
        <v/>
      </c>
    </row>
    <row r="954" spans="1:2">
      <c r="A954" t="str">
        <f>IF(AND(LEFT('SR.01.01.01'!$D$35,8)&lt;&gt;"Reported",'SR.01.01.01'!$D$35&lt;&gt;""),Show!$B$14 &amp; "SR.27.01.01.26 Rows{Z}@ForceFilingCode:false","")</f>
        <v/>
      </c>
      <c r="B954" t="str">
        <f>IF(AND(LEFT('SR.01.01.01'!$D$35,8)&lt;&gt;"Reported",'SR.01.01.01'!$D$35&lt;&gt;""),Show!$B$14&amp; Show!$B$14&amp;"SR.27.01.01.26 Rows{Z}@ForceFilingCode:false","")</f>
        <v/>
      </c>
    </row>
    <row r="955" spans="1:2">
      <c r="A955" t="str">
        <f>IF(AND(LEFT('SR.01.01.01'!$D$35,8)&lt;&gt;"Reported",'SR.01.01.01'!$D$35&lt;&gt;""),Show!$B$14 &amp; "SR.27.01.01.27 Rows{Z}@ForceFilingCode:false","")</f>
        <v/>
      </c>
      <c r="B955" t="str">
        <f>IF(AND(LEFT('SR.01.01.01'!$D$35,8)&lt;&gt;"Reported",'SR.01.01.01'!$D$35&lt;&gt;""),Show!$B$14&amp; Show!$B$14&amp;"SR.27.01.01.27 Rows{Z}@ForceFilingCode:false","")</f>
        <v/>
      </c>
    </row>
    <row r="956" spans="1:2">
      <c r="A956" t="str">
        <f>IF(AND(LEFT('SR.01.01.01'!$D$35,8)&lt;&gt;"Reported",'SR.01.01.01'!$D$35&lt;&gt;""),Show!$B$14 &amp; "SR.27.01.01.28 Rows{Z}@ForceFilingCode:false","")</f>
        <v/>
      </c>
      <c r="B956" t="str">
        <f>IF(AND(LEFT('SR.01.01.01'!$D$35,8)&lt;&gt;"Reported",'SR.01.01.01'!$D$35&lt;&gt;""),Show!$B$14&amp; Show!$B$14&amp;"SR.27.01.01.28 Rows{Z}@ForceFilingCode:false","")</f>
        <v/>
      </c>
    </row>
    <row r="957" spans="1:2">
      <c r="A957" t="str">
        <f>IF(AND(LEFT('SR.01.01.04'!$D$20,8)&lt;&gt;"Reported",'SR.01.01.04'!$D$20&lt;&gt;""),Show!$B$15 &amp; "SR.02.01.01.01 Rows{Z}@ForceFilingCode:false","")</f>
        <v/>
      </c>
      <c r="B957" t="str">
        <f>IF(AND(LEFT('SR.01.01.04'!$D$20,8)&lt;&gt;"Reported",'SR.01.01.04'!$D$20&lt;&gt;""),Show!$B$15&amp; Show!$B$15&amp;"SR.02.01.01.01 Rows{Z}@ForceFilingCode:false","")</f>
        <v/>
      </c>
    </row>
    <row r="958" spans="1:2">
      <c r="A958" t="str">
        <f>IF(AND(LEFT('SR.01.01.04'!$D$21,8)&lt;&gt;"Reported",'SR.01.01.04'!$D$21&lt;&gt;""),Show!$B$15 &amp; "SR.25.01.04.01 Rows{Z}@ForceFilingCode:false","")</f>
        <v/>
      </c>
      <c r="B958" t="str">
        <f>IF(AND(LEFT('SR.01.01.04'!$D$21,8)&lt;&gt;"Reported",'SR.01.01.04'!$D$21&lt;&gt;""),Show!$B$15&amp; Show!$B$15&amp;"SR.25.01.04.01 Rows{Z}@ForceFilingCode:false","")</f>
        <v/>
      </c>
    </row>
    <row r="959" spans="1:2">
      <c r="A959" t="str">
        <f>IF(AND(LEFT('SR.01.01.04'!$D$21,8)&lt;&gt;"Reported",'SR.01.01.04'!$D$21&lt;&gt;""),Show!$B$15 &amp; "SR.25.01.04.02 Rows{Z}@ForceFilingCode:false","")</f>
        <v/>
      </c>
      <c r="B959" t="str">
        <f>IF(AND(LEFT('SR.01.01.04'!$D$21,8)&lt;&gt;"Reported",'SR.01.01.04'!$D$21&lt;&gt;""),Show!$B$15&amp; Show!$B$15&amp;"SR.25.01.04.02 Rows{Z}@ForceFilingCode:false","")</f>
        <v/>
      </c>
    </row>
    <row r="960" spans="1:2">
      <c r="A960" t="str">
        <f>IF(AND(LEFT('SR.01.01.04'!$D$22,8)&lt;&gt;"Reported",'SR.01.01.04'!$D$22&lt;&gt;""),Show!$B$15 &amp; "SR.25.02.04.01 Rows{Z}@ForceFilingCode:false","")</f>
        <v/>
      </c>
      <c r="B960" t="str">
        <f>IF(AND(LEFT('SR.01.01.04'!$D$22,8)&lt;&gt;"Reported",'SR.01.01.04'!$D$22&lt;&gt;""),Show!$B$15&amp; Show!$B$15&amp;"SR.25.02.04.01 Rows{Z}@ForceFilingCode:false","")</f>
        <v/>
      </c>
    </row>
    <row r="961" spans="1:2">
      <c r="A961" t="str">
        <f>IF(AND(LEFT('SR.01.01.04'!$D$22,8)&lt;&gt;"Reported",'SR.01.01.04'!$D$22&lt;&gt;""),Show!$B$15 &amp; "SR.25.02.04.02 Rows{Z}@ForceFilingCode:false","")</f>
        <v/>
      </c>
      <c r="B961" t="str">
        <f>IF(AND(LEFT('SR.01.01.04'!$D$22,8)&lt;&gt;"Reported",'SR.01.01.04'!$D$22&lt;&gt;""),Show!$B$15&amp; Show!$B$15&amp;"SR.25.02.04.02 Rows{Z}@ForceFilingCode:false","")</f>
        <v/>
      </c>
    </row>
    <row r="962" spans="1:2">
      <c r="A962" t="str">
        <f>IF(AND(LEFT('SR.01.01.04'!$D$23,8)&lt;&gt;"Reported",'SR.01.01.04'!$D$23&lt;&gt;""),Show!$B$15 &amp; "SR.25.03.04.01 Rows{Z}@ForceFilingCode:false","")</f>
        <v/>
      </c>
      <c r="B962" t="str">
        <f>IF(AND(LEFT('SR.01.01.04'!$D$23,8)&lt;&gt;"Reported",'SR.01.01.04'!$D$23&lt;&gt;""),Show!$B$15&amp; Show!$B$15&amp;"SR.25.03.04.01 Rows{Z}@ForceFilingCode:false","")</f>
        <v/>
      </c>
    </row>
    <row r="963" spans="1:2">
      <c r="A963" t="str">
        <f>IF(AND(LEFT('SR.01.01.04'!$D$23,8)&lt;&gt;"Reported",'SR.01.01.04'!$D$23&lt;&gt;""),Show!$B$15 &amp; "SR.25.03.04.02 Rows{Z}@ForceFilingCode:false","")</f>
        <v/>
      </c>
      <c r="B963" t="str">
        <f>IF(AND(LEFT('SR.01.01.04'!$D$23,8)&lt;&gt;"Reported",'SR.01.01.04'!$D$23&lt;&gt;""),Show!$B$15&amp; Show!$B$15&amp;"SR.25.03.04.02 Rows{Z}@ForceFilingCode:false","")</f>
        <v/>
      </c>
    </row>
    <row r="964" spans="1:2">
      <c r="A964" t="str">
        <f>IF(AND(LEFT('SR.01.01.04'!$D$24,8)&lt;&gt;"Reported",'SR.01.01.04'!$D$24&lt;&gt;""),Show!$B$15 &amp; "SR.26.01.01.01 Rows{Z}@ForceFilingCode:false","")</f>
        <v/>
      </c>
      <c r="B964" t="str">
        <f>IF(AND(LEFT('SR.01.01.04'!$D$24,8)&lt;&gt;"Reported",'SR.01.01.04'!$D$24&lt;&gt;""),Show!$B$15&amp; Show!$B$15&amp;"SR.26.01.01.01 Rows{Z}@ForceFilingCode:false","")</f>
        <v/>
      </c>
    </row>
    <row r="965" spans="1:2">
      <c r="A965" t="str">
        <f>IF(AND(LEFT('SR.01.01.04'!$D$24,8)&lt;&gt;"Reported",'SR.01.01.04'!$D$24&lt;&gt;""),Show!$B$15 &amp; "SR.26.01.01.02 Rows{Z}@ForceFilingCode:false","")</f>
        <v/>
      </c>
      <c r="B965" t="str">
        <f>IF(AND(LEFT('SR.01.01.04'!$D$24,8)&lt;&gt;"Reported",'SR.01.01.04'!$D$24&lt;&gt;""),Show!$B$15&amp; Show!$B$15&amp;"SR.26.01.01.02 Rows{Z}@ForceFilingCode:false","")</f>
        <v/>
      </c>
    </row>
    <row r="966" spans="1:2">
      <c r="A966" t="str">
        <f>IF(AND(LEFT('SR.01.01.04'!$D$24,8)&lt;&gt;"Reported",'SR.01.01.04'!$D$24&lt;&gt;""),Show!$B$15 &amp; "SR.26.01.01.03 Rows{Z}@ForceFilingCode:false","")</f>
        <v/>
      </c>
      <c r="B966" t="str">
        <f>IF(AND(LEFT('SR.01.01.04'!$D$24,8)&lt;&gt;"Reported",'SR.01.01.04'!$D$24&lt;&gt;""),Show!$B$15&amp; Show!$B$15&amp;"SR.26.01.01.03 Rows{Z}@ForceFilingCode:false","")</f>
        <v/>
      </c>
    </row>
    <row r="967" spans="1:2">
      <c r="A967" t="str">
        <f>IF(AND(LEFT('SR.01.01.04'!$D$25,8)&lt;&gt;"Reported",'SR.01.01.04'!$D$25&lt;&gt;""),Show!$B$15 &amp; "SR.26.02.01.01 Rows{Z}@ForceFilingCode:false","")</f>
        <v/>
      </c>
      <c r="B967" t="str">
        <f>IF(AND(LEFT('SR.01.01.04'!$D$25,8)&lt;&gt;"Reported",'SR.01.01.04'!$D$25&lt;&gt;""),Show!$B$15&amp; Show!$B$15&amp;"SR.26.02.01.01 Rows{Z}@ForceFilingCode:false","")</f>
        <v/>
      </c>
    </row>
    <row r="968" spans="1:2">
      <c r="A968" t="str">
        <f>IF(AND(LEFT('SR.01.01.04'!$D$25,8)&lt;&gt;"Reported",'SR.01.01.04'!$D$25&lt;&gt;""),Show!$B$15 &amp; "SR.26.02.01.02 Rows{Z}@ForceFilingCode:false","")</f>
        <v/>
      </c>
      <c r="B968" t="str">
        <f>IF(AND(LEFT('SR.01.01.04'!$D$25,8)&lt;&gt;"Reported",'SR.01.01.04'!$D$25&lt;&gt;""),Show!$B$15&amp; Show!$B$15&amp;"SR.26.02.01.02 Rows{Z}@ForceFilingCode:false","")</f>
        <v/>
      </c>
    </row>
    <row r="969" spans="1:2">
      <c r="A969" t="str">
        <f>IF(AND(LEFT('SR.01.01.04'!$D$26,8)&lt;&gt;"Reported",'SR.01.01.04'!$D$26&lt;&gt;""),Show!$B$15 &amp; "SR.26.03.01.01 Rows{Z}@ForceFilingCode:false","")</f>
        <v/>
      </c>
      <c r="B969" t="str">
        <f>IF(AND(LEFT('SR.01.01.04'!$D$26,8)&lt;&gt;"Reported",'SR.01.01.04'!$D$26&lt;&gt;""),Show!$B$15&amp; Show!$B$15&amp;"SR.26.03.01.01 Rows{Z}@ForceFilingCode:false","")</f>
        <v/>
      </c>
    </row>
    <row r="970" spans="1:2">
      <c r="A970" t="str">
        <f>IF(AND(LEFT('SR.01.01.04'!$D$26,8)&lt;&gt;"Reported",'SR.01.01.04'!$D$26&lt;&gt;""),Show!$B$15 &amp; "SR.26.03.01.02 Rows{Z}@ForceFilingCode:false","")</f>
        <v/>
      </c>
      <c r="B970" t="str">
        <f>IF(AND(LEFT('SR.01.01.04'!$D$26,8)&lt;&gt;"Reported",'SR.01.01.04'!$D$26&lt;&gt;""),Show!$B$15&amp; Show!$B$15&amp;"SR.26.03.01.02 Rows{Z}@ForceFilingCode:false","")</f>
        <v/>
      </c>
    </row>
    <row r="971" spans="1:2">
      <c r="A971" t="str">
        <f>IF(AND(LEFT('SR.01.01.04'!$D$26,8)&lt;&gt;"Reported",'SR.01.01.04'!$D$26&lt;&gt;""),Show!$B$15 &amp; "SR.26.03.01.03 Rows{Z}@ForceFilingCode:false","")</f>
        <v/>
      </c>
      <c r="B971" t="str">
        <f>IF(AND(LEFT('SR.01.01.04'!$D$26,8)&lt;&gt;"Reported",'SR.01.01.04'!$D$26&lt;&gt;""),Show!$B$15&amp; Show!$B$15&amp;"SR.26.03.01.03 Rows{Z}@ForceFilingCode:false","")</f>
        <v/>
      </c>
    </row>
    <row r="972" spans="1:2">
      <c r="A972" t="str">
        <f>IF(AND(LEFT('SR.01.01.04'!$D$26,8)&lt;&gt;"Reported",'SR.01.01.04'!$D$26&lt;&gt;""),Show!$B$15 &amp; "SR.26.03.01.04 Rows{Z}@ForceFilingCode:false","")</f>
        <v/>
      </c>
      <c r="B972" t="str">
        <f>IF(AND(LEFT('SR.01.01.04'!$D$26,8)&lt;&gt;"Reported",'SR.01.01.04'!$D$26&lt;&gt;""),Show!$B$15&amp; Show!$B$15&amp;"SR.26.03.01.04 Rows{Z}@ForceFilingCode:false","")</f>
        <v/>
      </c>
    </row>
    <row r="973" spans="1:2">
      <c r="A973" t="str">
        <f>IF(AND(LEFT('SR.01.01.04'!$D$27,8)&lt;&gt;"Reported",'SR.01.01.04'!$D$27&lt;&gt;""),Show!$B$15 &amp; "SR.26.04.01.01 Rows{Z}@ForceFilingCode:false","")</f>
        <v/>
      </c>
      <c r="B973" t="str">
        <f>IF(AND(LEFT('SR.01.01.04'!$D$27,8)&lt;&gt;"Reported",'SR.01.01.04'!$D$27&lt;&gt;""),Show!$B$15&amp; Show!$B$15&amp;"SR.26.04.01.01 Rows{Z}@ForceFilingCode:false","")</f>
        <v/>
      </c>
    </row>
    <row r="974" spans="1:2">
      <c r="A974" t="str">
        <f>IF(AND(LEFT('SR.01.01.04'!$D$27,8)&lt;&gt;"Reported",'SR.01.01.04'!$D$27&lt;&gt;""),Show!$B$15 &amp; "SR.26.04.01.02 Rows{Z}@ForceFilingCode:false","")</f>
        <v/>
      </c>
      <c r="B974" t="str">
        <f>IF(AND(LEFT('SR.01.01.04'!$D$27,8)&lt;&gt;"Reported",'SR.01.01.04'!$D$27&lt;&gt;""),Show!$B$15&amp; Show!$B$15&amp;"SR.26.04.01.02 Rows{Z}@ForceFilingCode:false","")</f>
        <v/>
      </c>
    </row>
    <row r="975" spans="1:2">
      <c r="A975" t="str">
        <f>IF(AND(LEFT('SR.01.01.04'!$D$27,8)&lt;&gt;"Reported",'SR.01.01.04'!$D$27&lt;&gt;""),Show!$B$15 &amp; "SR.26.04.01.03 Rows{Z}@ForceFilingCode:false","")</f>
        <v/>
      </c>
      <c r="B975" t="str">
        <f>IF(AND(LEFT('SR.01.01.04'!$D$27,8)&lt;&gt;"Reported",'SR.01.01.04'!$D$27&lt;&gt;""),Show!$B$15&amp; Show!$B$15&amp;"SR.26.04.01.03 Rows{Z}@ForceFilingCode:false","")</f>
        <v/>
      </c>
    </row>
    <row r="976" spans="1:2">
      <c r="A976" t="str">
        <f>IF(AND(LEFT('SR.01.01.04'!$D$27,8)&lt;&gt;"Reported",'SR.01.01.04'!$D$27&lt;&gt;""),Show!$B$15 &amp; "SR.26.04.01.04 Rows{Z}@ForceFilingCode:false","")</f>
        <v/>
      </c>
      <c r="B976" t="str">
        <f>IF(AND(LEFT('SR.01.01.04'!$D$27,8)&lt;&gt;"Reported",'SR.01.01.04'!$D$27&lt;&gt;""),Show!$B$15&amp; Show!$B$15&amp;"SR.26.04.01.04 Rows{Z}@ForceFilingCode:false","")</f>
        <v/>
      </c>
    </row>
    <row r="977" spans="1:2">
      <c r="A977" t="str">
        <f>IF(AND(LEFT('SR.01.01.04'!$D$27,8)&lt;&gt;"Reported",'SR.01.01.04'!$D$27&lt;&gt;""),Show!$B$15 &amp; "SR.26.04.01.05 Rows{Z}@ForceFilingCode:false","")</f>
        <v/>
      </c>
      <c r="B977" t="str">
        <f>IF(AND(LEFT('SR.01.01.04'!$D$27,8)&lt;&gt;"Reported",'SR.01.01.04'!$D$27&lt;&gt;""),Show!$B$15&amp; Show!$B$15&amp;"SR.26.04.01.05 Rows{Z}@ForceFilingCode:false","")</f>
        <v/>
      </c>
    </row>
    <row r="978" spans="1:2">
      <c r="A978" t="str">
        <f>IF(AND(LEFT('SR.01.01.04'!$D$27,8)&lt;&gt;"Reported",'SR.01.01.04'!$D$27&lt;&gt;""),Show!$B$15 &amp; "SR.26.04.01.06 Rows{Z}@ForceFilingCode:false","")</f>
        <v/>
      </c>
      <c r="B978" t="str">
        <f>IF(AND(LEFT('SR.01.01.04'!$D$27,8)&lt;&gt;"Reported",'SR.01.01.04'!$D$27&lt;&gt;""),Show!$B$15&amp; Show!$B$15&amp;"SR.26.04.01.06 Rows{Z}@ForceFilingCode:false","")</f>
        <v/>
      </c>
    </row>
    <row r="979" spans="1:2">
      <c r="A979" t="str">
        <f>IF(AND(LEFT('SR.01.01.04'!$D$27,8)&lt;&gt;"Reported",'SR.01.01.04'!$D$27&lt;&gt;""),Show!$B$15 &amp; "SR.26.04.01.07 Rows{Z}@ForceFilingCode:false","")</f>
        <v/>
      </c>
      <c r="B979" t="str">
        <f>IF(AND(LEFT('SR.01.01.04'!$D$27,8)&lt;&gt;"Reported",'SR.01.01.04'!$D$27&lt;&gt;""),Show!$B$15&amp; Show!$B$15&amp;"SR.26.04.01.07 Rows{Z}@ForceFilingCode:false","")</f>
        <v/>
      </c>
    </row>
    <row r="980" spans="1:2">
      <c r="A980" t="str">
        <f>IF(AND(LEFT('SR.01.01.04'!$D$27,8)&lt;&gt;"Reported",'SR.01.01.04'!$D$27&lt;&gt;""),Show!$B$15 &amp; "SR.26.04.01.08 Rows{Z}@ForceFilingCode:false","")</f>
        <v/>
      </c>
      <c r="B980" t="str">
        <f>IF(AND(LEFT('SR.01.01.04'!$D$27,8)&lt;&gt;"Reported",'SR.01.01.04'!$D$27&lt;&gt;""),Show!$B$15&amp; Show!$B$15&amp;"SR.26.04.01.08 Rows{Z}@ForceFilingCode:false","")</f>
        <v/>
      </c>
    </row>
    <row r="981" spans="1:2">
      <c r="A981" t="str">
        <f>IF(AND(LEFT('SR.01.01.04'!$D$27,8)&lt;&gt;"Reported",'SR.01.01.04'!$D$27&lt;&gt;""),Show!$B$15 &amp; "SR.26.04.01.09 Rows{Z}@ForceFilingCode:false","")</f>
        <v/>
      </c>
      <c r="B981" t="str">
        <f>IF(AND(LEFT('SR.01.01.04'!$D$27,8)&lt;&gt;"Reported",'SR.01.01.04'!$D$27&lt;&gt;""),Show!$B$15&amp; Show!$B$15&amp;"SR.26.04.01.09 Rows{Z}@ForceFilingCode:false","")</f>
        <v/>
      </c>
    </row>
    <row r="982" spans="1:2">
      <c r="A982" t="str">
        <f>IF(AND(LEFT('SR.01.01.04'!$D$28,8)&lt;&gt;"Reported",'SR.01.01.04'!$D$28&lt;&gt;""),Show!$B$15 &amp; "SR.26.05.01.01 Rows{Z}@ForceFilingCode:false","")</f>
        <v/>
      </c>
      <c r="B982" t="str">
        <f>IF(AND(LEFT('SR.01.01.04'!$D$28,8)&lt;&gt;"Reported",'SR.01.01.04'!$D$28&lt;&gt;""),Show!$B$15&amp; Show!$B$15&amp;"SR.26.05.01.01 Rows{Z}@ForceFilingCode:false","")</f>
        <v/>
      </c>
    </row>
    <row r="983" spans="1:2">
      <c r="A983" t="str">
        <f>IF(AND(LEFT('SR.01.01.04'!$D$28,8)&lt;&gt;"Reported",'SR.01.01.04'!$D$28&lt;&gt;""),Show!$B$15 &amp; "SR.26.05.01.02 Rows{Z}@ForceFilingCode:false","")</f>
        <v/>
      </c>
      <c r="B983" t="str">
        <f>IF(AND(LEFT('SR.01.01.04'!$D$28,8)&lt;&gt;"Reported",'SR.01.01.04'!$D$28&lt;&gt;""),Show!$B$15&amp; Show!$B$15&amp;"SR.26.05.01.02 Rows{Z}@ForceFilingCode:false","")</f>
        <v/>
      </c>
    </row>
    <row r="984" spans="1:2">
      <c r="A984" t="str">
        <f>IF(AND(LEFT('SR.01.01.04'!$D$28,8)&lt;&gt;"Reported",'SR.01.01.04'!$D$28&lt;&gt;""),Show!$B$15 &amp; "SR.26.05.01.03 Rows{Z}@ForceFilingCode:false","")</f>
        <v/>
      </c>
      <c r="B984" t="str">
        <f>IF(AND(LEFT('SR.01.01.04'!$D$28,8)&lt;&gt;"Reported",'SR.01.01.04'!$D$28&lt;&gt;""),Show!$B$15&amp; Show!$B$15&amp;"SR.26.05.01.03 Rows{Z}@ForceFilingCode:false","")</f>
        <v/>
      </c>
    </row>
    <row r="985" spans="1:2">
      <c r="A985" t="str">
        <f>IF(AND(LEFT('SR.01.01.04'!$D$28,8)&lt;&gt;"Reported",'SR.01.01.04'!$D$28&lt;&gt;""),Show!$B$15 &amp; "SR.26.05.01.04 Rows{Z}@ForceFilingCode:false","")</f>
        <v/>
      </c>
      <c r="B985" t="str">
        <f>IF(AND(LEFT('SR.01.01.04'!$D$28,8)&lt;&gt;"Reported",'SR.01.01.04'!$D$28&lt;&gt;""),Show!$B$15&amp; Show!$B$15&amp;"SR.26.05.01.04 Rows{Z}@ForceFilingCode:false","")</f>
        <v/>
      </c>
    </row>
    <row r="986" spans="1:2">
      <c r="A986" t="str">
        <f>IF(AND(LEFT('SR.01.01.04'!$D$28,8)&lt;&gt;"Reported",'SR.01.01.04'!$D$28&lt;&gt;""),Show!$B$15 &amp; "SR.26.05.01.05 Rows{Z}@ForceFilingCode:false","")</f>
        <v/>
      </c>
      <c r="B986" t="str">
        <f>IF(AND(LEFT('SR.01.01.04'!$D$28,8)&lt;&gt;"Reported",'SR.01.01.04'!$D$28&lt;&gt;""),Show!$B$15&amp; Show!$B$15&amp;"SR.26.05.01.05 Rows{Z}@ForceFilingCode:false","")</f>
        <v/>
      </c>
    </row>
    <row r="987" spans="1:2">
      <c r="A987" t="str">
        <f>IF(AND(LEFT('SR.01.01.04'!$D$29,8)&lt;&gt;"Reported",'SR.01.01.04'!$D$29&lt;&gt;""),Show!$B$15 &amp; "SR.26.06.01.01 Rows{Z}@ForceFilingCode:false","")</f>
        <v/>
      </c>
      <c r="B987" t="str">
        <f>IF(AND(LEFT('SR.01.01.04'!$D$29,8)&lt;&gt;"Reported",'SR.01.01.04'!$D$29&lt;&gt;""),Show!$B$15&amp; Show!$B$15&amp;"SR.26.06.01.01 Rows{Z}@ForceFilingCode:false","")</f>
        <v/>
      </c>
    </row>
    <row r="988" spans="1:2">
      <c r="A988" t="str">
        <f>IF(AND(LEFT('SR.01.01.04'!$D$30,8)&lt;&gt;"Reported",'SR.01.01.04'!$D$30&lt;&gt;""),Show!$B$15 &amp; "SR.26.07.01.01 Rows{Z}@ForceFilingCode:false","")</f>
        <v/>
      </c>
      <c r="B988" t="str">
        <f>IF(AND(LEFT('SR.01.01.04'!$D$30,8)&lt;&gt;"Reported",'SR.01.01.04'!$D$30&lt;&gt;""),Show!$B$15&amp; Show!$B$15&amp;"SR.26.07.01.01 Rows{Z}@ForceFilingCode:false","")</f>
        <v/>
      </c>
    </row>
    <row r="989" spans="1:2">
      <c r="A989" t="str">
        <f>IF(AND(LEFT('SR.01.01.04'!$D$30,8)&lt;&gt;"Reported",'SR.01.01.04'!$D$30&lt;&gt;""),Show!$B$15 &amp; "SR.26.07.01.02 Rows{Z}@ForceFilingCode:false","")</f>
        <v/>
      </c>
      <c r="B989" t="str">
        <f>IF(AND(LEFT('SR.01.01.04'!$D$30,8)&lt;&gt;"Reported",'SR.01.01.04'!$D$30&lt;&gt;""),Show!$B$15&amp; Show!$B$15&amp;"SR.26.07.01.02 Rows{Z}@ForceFilingCode:false","")</f>
        <v/>
      </c>
    </row>
    <row r="990" spans="1:2">
      <c r="A990" t="str">
        <f>IF(AND(LEFT('SR.01.01.04'!$D$30,8)&lt;&gt;"Reported",'SR.01.01.04'!$D$30&lt;&gt;""),Show!$B$15 &amp; "SR.26.07.01.03 Rows{Z}@ForceFilingCode:false","")</f>
        <v/>
      </c>
      <c r="B990" t="str">
        <f>IF(AND(LEFT('SR.01.01.04'!$D$30,8)&lt;&gt;"Reported",'SR.01.01.04'!$D$30&lt;&gt;""),Show!$B$15&amp; Show!$B$15&amp;"SR.26.07.01.03 Rows{Z}@ForceFilingCode:false","")</f>
        <v/>
      </c>
    </row>
    <row r="991" spans="1:2">
      <c r="A991" t="str">
        <f>IF(AND(LEFT('SR.01.01.04'!$D$30,8)&lt;&gt;"Reported",'SR.01.01.04'!$D$30&lt;&gt;""),Show!$B$15 &amp; "SR.26.07.01.04 Rows{Z}@ForceFilingCode:false","")</f>
        <v/>
      </c>
      <c r="B991" t="str">
        <f>IF(AND(LEFT('SR.01.01.04'!$D$30,8)&lt;&gt;"Reported",'SR.01.01.04'!$D$30&lt;&gt;""),Show!$B$15&amp; Show!$B$15&amp;"SR.26.07.01.04 Rows{Z}@ForceFilingCode:false","")</f>
        <v/>
      </c>
    </row>
    <row r="992" spans="1:2">
      <c r="A992" t="str">
        <f>IF(AND(LEFT('SR.01.01.04'!$D$30,8)&lt;&gt;"Reported",'SR.01.01.04'!$D$30&lt;&gt;""),Show!$B$15 &amp; "SR.26.07.01.05 Rows{Z}@ForceFilingCode:false","")</f>
        <v/>
      </c>
      <c r="B992" t="str">
        <f>IF(AND(LEFT('SR.01.01.04'!$D$30,8)&lt;&gt;"Reported",'SR.01.01.04'!$D$30&lt;&gt;""),Show!$B$15&amp; Show!$B$15&amp;"SR.26.07.01.05 Rows{Z}@ForceFilingCode:false","")</f>
        <v/>
      </c>
    </row>
    <row r="993" spans="1:2">
      <c r="A993" t="str">
        <f>IF(AND(LEFT('SR.01.01.04'!$D$30,8)&lt;&gt;"Reported",'SR.01.01.04'!$D$30&lt;&gt;""),Show!$B$15 &amp; "SR.26.07.01.06 Rows{Z}@ForceFilingCode:false","")</f>
        <v/>
      </c>
      <c r="B993" t="str">
        <f>IF(AND(LEFT('SR.01.01.04'!$D$30,8)&lt;&gt;"Reported",'SR.01.01.04'!$D$30&lt;&gt;""),Show!$B$15&amp; Show!$B$15&amp;"SR.26.07.01.06 Rows{Z}@ForceFilingCode:false","")</f>
        <v/>
      </c>
    </row>
    <row r="994" spans="1:2">
      <c r="A994" t="str">
        <f>IF(AND(LEFT('SR.01.01.04'!$D$31,8)&lt;&gt;"Reported",'SR.01.01.04'!$D$31&lt;&gt;""),Show!$B$15 &amp; "SR.27.01.01.01 Rows{Z}@ForceFilingCode:false","")</f>
        <v/>
      </c>
      <c r="B994" t="str">
        <f>IF(AND(LEFT('SR.01.01.04'!$D$31,8)&lt;&gt;"Reported",'SR.01.01.04'!$D$31&lt;&gt;""),Show!$B$15&amp; Show!$B$15&amp;"SR.27.01.01.01 Rows{Z}@ForceFilingCode:false","")</f>
        <v/>
      </c>
    </row>
    <row r="995" spans="1:2">
      <c r="A995" t="str">
        <f>IF(AND(LEFT('SR.01.01.04'!$D$31,8)&lt;&gt;"Reported",'SR.01.01.04'!$D$31&lt;&gt;""),Show!$B$15 &amp; "SR.27.01.01.02 Rows{Z}@ForceFilingCode:false","")</f>
        <v/>
      </c>
      <c r="B995" t="str">
        <f>IF(AND(LEFT('SR.01.01.04'!$D$31,8)&lt;&gt;"Reported",'SR.01.01.04'!$D$31&lt;&gt;""),Show!$B$15&amp; Show!$B$15&amp;"SR.27.01.01.02 Rows{Z}@ForceFilingCode:false","")</f>
        <v/>
      </c>
    </row>
    <row r="996" spans="1:2">
      <c r="A996" t="str">
        <f>IF(AND(LEFT('SR.01.01.04'!$D$31,8)&lt;&gt;"Reported",'SR.01.01.04'!$D$31&lt;&gt;""),Show!$B$15 &amp; "SR.27.01.01.03 Rows{Z}@ForceFilingCode:false","")</f>
        <v/>
      </c>
      <c r="B996" t="str">
        <f>IF(AND(LEFT('SR.01.01.04'!$D$31,8)&lt;&gt;"Reported",'SR.01.01.04'!$D$31&lt;&gt;""),Show!$B$15&amp; Show!$B$15&amp;"SR.27.01.01.03 Rows{Z}@ForceFilingCode:false","")</f>
        <v/>
      </c>
    </row>
    <row r="997" spans="1:2">
      <c r="A997" t="str">
        <f>IF(AND(LEFT('SR.01.01.04'!$D$31,8)&lt;&gt;"Reported",'SR.01.01.04'!$D$31&lt;&gt;""),Show!$B$15 &amp; "SR.27.01.01.04 Rows{Z}@ForceFilingCode:false","")</f>
        <v/>
      </c>
      <c r="B997" t="str">
        <f>IF(AND(LEFT('SR.01.01.04'!$D$31,8)&lt;&gt;"Reported",'SR.01.01.04'!$D$31&lt;&gt;""),Show!$B$15&amp; Show!$B$15&amp;"SR.27.01.01.04 Rows{Z}@ForceFilingCode:false","")</f>
        <v/>
      </c>
    </row>
    <row r="998" spans="1:2">
      <c r="A998" t="str">
        <f>IF(AND(LEFT('SR.01.01.04'!$D$31,8)&lt;&gt;"Reported",'SR.01.01.04'!$D$31&lt;&gt;""),Show!$B$15 &amp; "SR.27.01.01.05 Rows{Z}@ForceFilingCode:false","")</f>
        <v/>
      </c>
      <c r="B998" t="str">
        <f>IF(AND(LEFT('SR.01.01.04'!$D$31,8)&lt;&gt;"Reported",'SR.01.01.04'!$D$31&lt;&gt;""),Show!$B$15&amp; Show!$B$15&amp;"SR.27.01.01.05 Rows{Z}@ForceFilingCode:false","")</f>
        <v/>
      </c>
    </row>
    <row r="999" spans="1:2">
      <c r="A999" t="str">
        <f>IF(AND(LEFT('SR.01.01.04'!$D$31,8)&lt;&gt;"Reported",'SR.01.01.04'!$D$31&lt;&gt;""),Show!$B$15 &amp; "SR.27.01.01.06 Rows{Z}@ForceFilingCode:false","")</f>
        <v/>
      </c>
      <c r="B999" t="str">
        <f>IF(AND(LEFT('SR.01.01.04'!$D$31,8)&lt;&gt;"Reported",'SR.01.01.04'!$D$31&lt;&gt;""),Show!$B$15&amp; Show!$B$15&amp;"SR.27.01.01.06 Rows{Z}@ForceFilingCode:false","")</f>
        <v/>
      </c>
    </row>
    <row r="1000" spans="1:2">
      <c r="A1000" t="str">
        <f>IF(AND(LEFT('SR.01.01.04'!$D$31,8)&lt;&gt;"Reported",'SR.01.01.04'!$D$31&lt;&gt;""),Show!$B$15 &amp; "SR.27.01.01.07 Rows{Z}@ForceFilingCode:false","")</f>
        <v/>
      </c>
      <c r="B1000" t="str">
        <f>IF(AND(LEFT('SR.01.01.04'!$D$31,8)&lt;&gt;"Reported",'SR.01.01.04'!$D$31&lt;&gt;""),Show!$B$15&amp; Show!$B$15&amp;"SR.27.01.01.07 Rows{Z}@ForceFilingCode:false","")</f>
        <v/>
      </c>
    </row>
    <row r="1001" spans="1:2">
      <c r="A1001" t="str">
        <f>IF(AND(LEFT('SR.01.01.04'!$D$31,8)&lt;&gt;"Reported",'SR.01.01.04'!$D$31&lt;&gt;""),Show!$B$15 &amp; "SR.27.01.01.08 Rows{Z}@ForceFilingCode:false","")</f>
        <v/>
      </c>
      <c r="B1001" t="str">
        <f>IF(AND(LEFT('SR.01.01.04'!$D$31,8)&lt;&gt;"Reported",'SR.01.01.04'!$D$31&lt;&gt;""),Show!$B$15&amp; Show!$B$15&amp;"SR.27.01.01.08 Rows{Z}@ForceFilingCode:false","")</f>
        <v/>
      </c>
    </row>
    <row r="1002" spans="1:2">
      <c r="A1002" t="str">
        <f>IF(AND(LEFT('SR.01.01.04'!$D$31,8)&lt;&gt;"Reported",'SR.01.01.04'!$D$31&lt;&gt;""),Show!$B$15 &amp; "SR.27.01.01.09 Rows{Z}@ForceFilingCode:false","")</f>
        <v/>
      </c>
      <c r="B1002" t="str">
        <f>IF(AND(LEFT('SR.01.01.04'!$D$31,8)&lt;&gt;"Reported",'SR.01.01.04'!$D$31&lt;&gt;""),Show!$B$15&amp; Show!$B$15&amp;"SR.27.01.01.09 Rows{Z}@ForceFilingCode:false","")</f>
        <v/>
      </c>
    </row>
    <row r="1003" spans="1:2">
      <c r="A1003" t="str">
        <f>IF(AND(LEFT('SR.01.01.04'!$D$31,8)&lt;&gt;"Reported",'SR.01.01.04'!$D$31&lt;&gt;""),Show!$B$15 &amp; "SR.27.01.01.10 Rows{Z}@ForceFilingCode:false","")</f>
        <v/>
      </c>
      <c r="B1003" t="str">
        <f>IF(AND(LEFT('SR.01.01.04'!$D$31,8)&lt;&gt;"Reported",'SR.01.01.04'!$D$31&lt;&gt;""),Show!$B$15&amp; Show!$B$15&amp;"SR.27.01.01.10 Rows{Z}@ForceFilingCode:false","")</f>
        <v/>
      </c>
    </row>
    <row r="1004" spans="1:2">
      <c r="A1004" t="str">
        <f>IF(AND(LEFT('SR.01.01.04'!$D$31,8)&lt;&gt;"Reported",'SR.01.01.04'!$D$31&lt;&gt;""),Show!$B$15 &amp; "SR.27.01.01.11 Rows{Z}@ForceFilingCode:false","")</f>
        <v/>
      </c>
      <c r="B1004" t="str">
        <f>IF(AND(LEFT('SR.01.01.04'!$D$31,8)&lt;&gt;"Reported",'SR.01.01.04'!$D$31&lt;&gt;""),Show!$B$15&amp; Show!$B$15&amp;"SR.27.01.01.11 Rows{Z}@ForceFilingCode:false","")</f>
        <v/>
      </c>
    </row>
    <row r="1005" spans="1:2">
      <c r="A1005" t="str">
        <f>IF(AND(LEFT('SR.01.01.04'!$D$31,8)&lt;&gt;"Reported",'SR.01.01.04'!$D$31&lt;&gt;""),Show!$B$15 &amp; "SR.27.01.01.12 Rows{Z}@ForceFilingCode:false","")</f>
        <v/>
      </c>
      <c r="B1005" t="str">
        <f>IF(AND(LEFT('SR.01.01.04'!$D$31,8)&lt;&gt;"Reported",'SR.01.01.04'!$D$31&lt;&gt;""),Show!$B$15&amp; Show!$B$15&amp;"SR.27.01.01.12 Rows{Z}@ForceFilingCode:false","")</f>
        <v/>
      </c>
    </row>
    <row r="1006" spans="1:2">
      <c r="A1006" t="str">
        <f>IF(AND(LEFT('SR.01.01.04'!$D$31,8)&lt;&gt;"Reported",'SR.01.01.04'!$D$31&lt;&gt;""),Show!$B$15 &amp; "SR.27.01.01.13 Rows{Z}@ForceFilingCode:false","")</f>
        <v/>
      </c>
      <c r="B1006" t="str">
        <f>IF(AND(LEFT('SR.01.01.04'!$D$31,8)&lt;&gt;"Reported",'SR.01.01.04'!$D$31&lt;&gt;""),Show!$B$15&amp; Show!$B$15&amp;"SR.27.01.01.13 Rows{Z}@ForceFilingCode:false","")</f>
        <v/>
      </c>
    </row>
    <row r="1007" spans="1:2">
      <c r="A1007" t="str">
        <f>IF(AND(LEFT('SR.01.01.04'!$D$31,8)&lt;&gt;"Reported",'SR.01.01.04'!$D$31&lt;&gt;""),Show!$B$15 &amp; "SR.27.01.01.14 Rows{Z}@ForceFilingCode:false","")</f>
        <v/>
      </c>
      <c r="B1007" t="str">
        <f>IF(AND(LEFT('SR.01.01.04'!$D$31,8)&lt;&gt;"Reported",'SR.01.01.04'!$D$31&lt;&gt;""),Show!$B$15&amp; Show!$B$15&amp;"SR.27.01.01.14 Rows{Z}@ForceFilingCode:false","")</f>
        <v/>
      </c>
    </row>
    <row r="1008" spans="1:2">
      <c r="A1008" t="str">
        <f>IF(AND(LEFT('SR.01.01.04'!$D$31,8)&lt;&gt;"Reported",'SR.01.01.04'!$D$31&lt;&gt;""),Show!$B$15 &amp; "SR.27.01.01.15 Rows{Z}@ForceFilingCode:false","")</f>
        <v/>
      </c>
      <c r="B1008" t="str">
        <f>IF(AND(LEFT('SR.01.01.04'!$D$31,8)&lt;&gt;"Reported",'SR.01.01.04'!$D$31&lt;&gt;""),Show!$B$15&amp; Show!$B$15&amp;"SR.27.01.01.15 Rows{Z}@ForceFilingCode:false","")</f>
        <v/>
      </c>
    </row>
    <row r="1009" spans="1:2">
      <c r="A1009" t="str">
        <f>IF(AND(LEFT('SR.01.01.04'!$D$31,8)&lt;&gt;"Reported",'SR.01.01.04'!$D$31&lt;&gt;""),Show!$B$15 &amp; "SR.27.01.01.16 Rows{Z}@ForceFilingCode:false","")</f>
        <v/>
      </c>
      <c r="B1009" t="str">
        <f>IF(AND(LEFT('SR.01.01.04'!$D$31,8)&lt;&gt;"Reported",'SR.01.01.04'!$D$31&lt;&gt;""),Show!$B$15&amp; Show!$B$15&amp;"SR.27.01.01.16 Rows{Z}@ForceFilingCode:false","")</f>
        <v/>
      </c>
    </row>
    <row r="1010" spans="1:2">
      <c r="A1010" t="str">
        <f>IF(AND(LEFT('SR.01.01.04'!$D$31,8)&lt;&gt;"Reported",'SR.01.01.04'!$D$31&lt;&gt;""),Show!$B$15 &amp; "SR.27.01.01.17 Rows{Z}@ForceFilingCode:false","")</f>
        <v/>
      </c>
      <c r="B1010" t="str">
        <f>IF(AND(LEFT('SR.01.01.04'!$D$31,8)&lt;&gt;"Reported",'SR.01.01.04'!$D$31&lt;&gt;""),Show!$B$15&amp; Show!$B$15&amp;"SR.27.01.01.17 Rows{Z}@ForceFilingCode:false","")</f>
        <v/>
      </c>
    </row>
    <row r="1011" spans="1:2">
      <c r="A1011" t="str">
        <f>IF(AND(LEFT('SR.01.01.04'!$D$31,8)&lt;&gt;"Reported",'SR.01.01.04'!$D$31&lt;&gt;""),Show!$B$15 &amp; "SR.27.01.01.18 Rows{Z}@ForceFilingCode:false","")</f>
        <v/>
      </c>
      <c r="B1011" t="str">
        <f>IF(AND(LEFT('SR.01.01.04'!$D$31,8)&lt;&gt;"Reported",'SR.01.01.04'!$D$31&lt;&gt;""),Show!$B$15&amp; Show!$B$15&amp;"SR.27.01.01.18 Rows{Z}@ForceFilingCode:false","")</f>
        <v/>
      </c>
    </row>
    <row r="1012" spans="1:2">
      <c r="A1012" t="str">
        <f>IF(AND(LEFT('SR.01.01.04'!$D$31,8)&lt;&gt;"Reported",'SR.01.01.04'!$D$31&lt;&gt;""),Show!$B$15 &amp; "SR.27.01.01.19 Rows{Z}@ForceFilingCode:false","")</f>
        <v/>
      </c>
      <c r="B1012" t="str">
        <f>IF(AND(LEFT('SR.01.01.04'!$D$31,8)&lt;&gt;"Reported",'SR.01.01.04'!$D$31&lt;&gt;""),Show!$B$15&amp; Show!$B$15&amp;"SR.27.01.01.19 Rows{Z}@ForceFilingCode:false","")</f>
        <v/>
      </c>
    </row>
    <row r="1013" spans="1:2">
      <c r="A1013" t="str">
        <f>IF(AND(LEFT('SR.01.01.04'!$D$31,8)&lt;&gt;"Reported",'SR.01.01.04'!$D$31&lt;&gt;""),Show!$B$15 &amp; "SR.27.01.01.20 Rows{Z}@ForceFilingCode:false","")</f>
        <v/>
      </c>
      <c r="B1013" t="str">
        <f>IF(AND(LEFT('SR.01.01.04'!$D$31,8)&lt;&gt;"Reported",'SR.01.01.04'!$D$31&lt;&gt;""),Show!$B$15&amp; Show!$B$15&amp;"SR.27.01.01.20 Rows{Z}@ForceFilingCode:false","")</f>
        <v/>
      </c>
    </row>
    <row r="1014" spans="1:2">
      <c r="A1014" t="str">
        <f>IF(AND(LEFT('SR.01.01.04'!$D$31,8)&lt;&gt;"Reported",'SR.01.01.04'!$D$31&lt;&gt;""),Show!$B$15 &amp; "SR.27.01.01.21 Rows{Z}@ForceFilingCode:false","")</f>
        <v/>
      </c>
      <c r="B1014" t="str">
        <f>IF(AND(LEFT('SR.01.01.04'!$D$31,8)&lt;&gt;"Reported",'SR.01.01.04'!$D$31&lt;&gt;""),Show!$B$15&amp; Show!$B$15&amp;"SR.27.01.01.21 Rows{Z}@ForceFilingCode:false","")</f>
        <v/>
      </c>
    </row>
    <row r="1015" spans="1:2">
      <c r="A1015" t="str">
        <f>IF(AND(LEFT('SR.01.01.04'!$D$31,8)&lt;&gt;"Reported",'SR.01.01.04'!$D$31&lt;&gt;""),Show!$B$15 &amp; "SR.27.01.01.22 Rows{Z}@ForceFilingCode:false","")</f>
        <v/>
      </c>
      <c r="B1015" t="str">
        <f>IF(AND(LEFT('SR.01.01.04'!$D$31,8)&lt;&gt;"Reported",'SR.01.01.04'!$D$31&lt;&gt;""),Show!$B$15&amp; Show!$B$15&amp;"SR.27.01.01.22 Rows{Z}@ForceFilingCode:false","")</f>
        <v/>
      </c>
    </row>
    <row r="1016" spans="1:2">
      <c r="A1016" t="str">
        <f>IF(AND(LEFT('SR.01.01.04'!$D$31,8)&lt;&gt;"Reported",'SR.01.01.04'!$D$31&lt;&gt;""),Show!$B$15 &amp; "SR.27.01.01.23 Rows{Z}@ForceFilingCode:false","")</f>
        <v/>
      </c>
      <c r="B1016" t="str">
        <f>IF(AND(LEFT('SR.01.01.04'!$D$31,8)&lt;&gt;"Reported",'SR.01.01.04'!$D$31&lt;&gt;""),Show!$B$15&amp; Show!$B$15&amp;"SR.27.01.01.23 Rows{Z}@ForceFilingCode:false","")</f>
        <v/>
      </c>
    </row>
    <row r="1017" spans="1:2">
      <c r="A1017" t="str">
        <f>IF(AND(LEFT('SR.01.01.04'!$D$31,8)&lt;&gt;"Reported",'SR.01.01.04'!$D$31&lt;&gt;""),Show!$B$15 &amp; "SR.27.01.01.24 Rows{Z}@ForceFilingCode:false","")</f>
        <v/>
      </c>
      <c r="B1017" t="str">
        <f>IF(AND(LEFT('SR.01.01.04'!$D$31,8)&lt;&gt;"Reported",'SR.01.01.04'!$D$31&lt;&gt;""),Show!$B$15&amp; Show!$B$15&amp;"SR.27.01.01.24 Rows{Z}@ForceFilingCode:false","")</f>
        <v/>
      </c>
    </row>
    <row r="1018" spans="1:2">
      <c r="A1018" t="str">
        <f>IF(AND(LEFT('SR.01.01.04'!$D$31,8)&lt;&gt;"Reported",'SR.01.01.04'!$D$31&lt;&gt;""),Show!$B$15 &amp; "SR.27.01.01.25 Rows{Z}@ForceFilingCode:false","")</f>
        <v/>
      </c>
      <c r="B1018" t="str">
        <f>IF(AND(LEFT('SR.01.01.04'!$D$31,8)&lt;&gt;"Reported",'SR.01.01.04'!$D$31&lt;&gt;""),Show!$B$15&amp; Show!$B$15&amp;"SR.27.01.01.25 Rows{Z}@ForceFilingCode:false","")</f>
        <v/>
      </c>
    </row>
    <row r="1019" spans="1:2">
      <c r="A1019" t="str">
        <f>IF(AND(LEFT('SR.01.01.04'!$D$31,8)&lt;&gt;"Reported",'SR.01.01.04'!$D$31&lt;&gt;""),Show!$B$15 &amp; "SR.27.01.01.26 Rows{Z}@ForceFilingCode:false","")</f>
        <v/>
      </c>
      <c r="B1019" t="str">
        <f>IF(AND(LEFT('SR.01.01.04'!$D$31,8)&lt;&gt;"Reported",'SR.01.01.04'!$D$31&lt;&gt;""),Show!$B$15&amp; Show!$B$15&amp;"SR.27.01.01.26 Rows{Z}@ForceFilingCode:false","")</f>
        <v/>
      </c>
    </row>
    <row r="1020" spans="1:2">
      <c r="A1020" t="str">
        <f>IF(AND(LEFT('SR.01.01.04'!$D$31,8)&lt;&gt;"Reported",'SR.01.01.04'!$D$31&lt;&gt;""),Show!$B$15 &amp; "SR.27.01.01.27 Rows{Z}@ForceFilingCode:false","")</f>
        <v/>
      </c>
      <c r="B1020" t="str">
        <f>IF(AND(LEFT('SR.01.01.04'!$D$31,8)&lt;&gt;"Reported",'SR.01.01.04'!$D$31&lt;&gt;""),Show!$B$15&amp; Show!$B$15&amp;"SR.27.01.01.27 Rows{Z}@ForceFilingCode:false","")</f>
        <v/>
      </c>
    </row>
    <row r="1021" spans="1:2">
      <c r="A1021" t="str">
        <f>IF(AND(LEFT('SR.01.01.04'!$D$31,8)&lt;&gt;"Reported",'SR.01.01.04'!$D$31&lt;&gt;""),Show!$B$15 &amp; "SR.27.01.01.28 Rows{Z}@ForceFilingCode:false","")</f>
        <v/>
      </c>
      <c r="B1021" t="str">
        <f>IF(AND(LEFT('SR.01.01.04'!$D$31,8)&lt;&gt;"Reported",'SR.01.01.04'!$D$31&lt;&gt;""),Show!$B$15&amp; Show!$B$15&amp;"SR.27.01.01.28 Rows{Z}@ForceFilingCode:false","")</f>
        <v/>
      </c>
    </row>
    <row r="1022" spans="1:2">
      <c r="A1022" t="str">
        <f>IF(AND(LEFT('SR.01.01.07'!$D$20,8)&lt;&gt;"Reported",'SR.01.01.07'!$D$20&lt;&gt;""),Show!$B$16 &amp; "SR.02.01.07.01 Rows{Z}@ForceFilingCode:false","")</f>
        <v/>
      </c>
      <c r="B1022" t="str">
        <f>IF(AND(LEFT('SR.01.01.07'!$D$20,8)&lt;&gt;"Reported",'SR.01.01.07'!$D$20&lt;&gt;""),Show!$B$16&amp; Show!$B$16&amp;"SR.02.01.07.01 Rows{Z}@ForceFilingCode:false","")</f>
        <v/>
      </c>
    </row>
    <row r="1023" spans="1:2">
      <c r="A1023" t="str">
        <f>IF(AND(LEFT('SR.01.01.07'!$D$21,8)&lt;&gt;"Reported",'SR.01.01.07'!$D$21&lt;&gt;""),Show!$B$16 &amp; "SR.12.01.01.01 Rows{Z}@ForceFilingCode:false","")</f>
        <v/>
      </c>
      <c r="B1023" t="str">
        <f>IF(AND(LEFT('SR.01.01.07'!$D$21,8)&lt;&gt;"Reported",'SR.01.01.07'!$D$21&lt;&gt;""),Show!$B$16&amp; Show!$B$16&amp;"SR.12.01.01.01 Rows{Z}@ForceFilingCode:false","")</f>
        <v/>
      </c>
    </row>
    <row r="1024" spans="1:2">
      <c r="A1024" t="str">
        <f>IF(AND(LEFT('SR.01.01.07'!$D$22,8)&lt;&gt;"Reported",'SR.01.01.07'!$D$22&lt;&gt;""),Show!$B$16 &amp; "SR.17.01.01.01 Rows{Z}@ForceFilingCode:false","")</f>
        <v/>
      </c>
      <c r="B1024" t="str">
        <f>IF(AND(LEFT('SR.01.01.07'!$D$22,8)&lt;&gt;"Reported",'SR.01.01.07'!$D$22&lt;&gt;""),Show!$B$16&amp; Show!$B$16&amp;"SR.17.01.01.01 Rows{Z}@ForceFilingCode:false","")</f>
        <v/>
      </c>
    </row>
    <row r="1025" spans="1:2">
      <c r="A1025" t="str">
        <f>IF(AND(LEFT('SR.01.01.07'!$D$23,8)&lt;&gt;"Reported",'SR.01.01.07'!$D$23&lt;&gt;""),Show!$B$16 &amp; "SR.22.02.01.01 Rows{Z}@ForceFilingCode:false","")</f>
        <v/>
      </c>
      <c r="B1025" t="str">
        <f>IF(AND(LEFT('SR.01.01.07'!$D$23,8)&lt;&gt;"Reported",'SR.01.01.07'!$D$23&lt;&gt;""),Show!$B$16&amp; Show!$B$16&amp;"SR.22.02.01.01 Rows{Z}@ForceFilingCode:false","")</f>
        <v/>
      </c>
    </row>
    <row r="1026" spans="1:2">
      <c r="A1026" t="str">
        <f>IF(AND(LEFT('SR.01.01.07'!$D$24,8)&lt;&gt;"Reported",'SR.01.01.07'!$D$24&lt;&gt;""),Show!$B$16 &amp; "SR.22.03.01.01 Rows{Z}@ForceFilingCode:false","")</f>
        <v/>
      </c>
      <c r="B1026" t="str">
        <f>IF(AND(LEFT('SR.01.01.07'!$D$24,8)&lt;&gt;"Reported",'SR.01.01.07'!$D$24&lt;&gt;""),Show!$B$16&amp; Show!$B$16&amp;"SR.22.03.01.01 Rows{Z}@ForceFilingCode:false","")</f>
        <v/>
      </c>
    </row>
    <row r="1027" spans="1:2">
      <c r="A1027" t="str">
        <f>IF(AND(LEFT('SR.01.01.07'!$D$25,8)&lt;&gt;"Reported",'SR.01.01.07'!$D$25&lt;&gt;""),Show!$B$16 &amp; "SR.25.01.01.01 Rows{Z}@ForceFilingCode:false","")</f>
        <v/>
      </c>
      <c r="B1027" t="str">
        <f>IF(AND(LEFT('SR.01.01.07'!$D$25,8)&lt;&gt;"Reported",'SR.01.01.07'!$D$25&lt;&gt;""),Show!$B$16&amp; Show!$B$16&amp;"SR.25.01.01.01 Rows{Z}@ForceFilingCode:false","")</f>
        <v/>
      </c>
    </row>
    <row r="1028" spans="1:2">
      <c r="A1028" t="str">
        <f>IF(AND(LEFT('SR.01.01.07'!$D$25,8)&lt;&gt;"Reported",'SR.01.01.07'!$D$25&lt;&gt;""),Show!$B$16 &amp; "SR.25.01.01.02 Rows{Z}@ForceFilingCode:false","")</f>
        <v/>
      </c>
      <c r="B1028" t="str">
        <f>IF(AND(LEFT('SR.01.01.07'!$D$25,8)&lt;&gt;"Reported",'SR.01.01.07'!$D$25&lt;&gt;""),Show!$B$16&amp; Show!$B$16&amp;"SR.25.01.01.02 Rows{Z}@ForceFilingCode:false","")</f>
        <v/>
      </c>
    </row>
    <row r="1029" spans="1:2">
      <c r="A1029" t="str">
        <f>IF(AND(LEFT('SR.01.01.07'!$D$25,8)&lt;&gt;"Reported",'SR.01.01.07'!$D$25&lt;&gt;""),Show!$B$16 &amp; "SR.25.01.01.03 Rows{Z}@ForceFilingCode:false","")</f>
        <v/>
      </c>
      <c r="B1029" t="str">
        <f>IF(AND(LEFT('SR.01.01.07'!$D$25,8)&lt;&gt;"Reported",'SR.01.01.07'!$D$25&lt;&gt;""),Show!$B$16&amp; Show!$B$16&amp;"SR.25.01.01.03 Rows{Z}@ForceFilingCode:false","")</f>
        <v/>
      </c>
    </row>
    <row r="1030" spans="1:2">
      <c r="A1030" t="str">
        <f>IF(AND(LEFT('SR.01.01.07'!$D$25,8)&lt;&gt;"Reported",'SR.01.01.07'!$D$25&lt;&gt;""),Show!$B$16 &amp; "SR.25.01.01.04 Rows{Z}@ForceFilingCode:false","")</f>
        <v/>
      </c>
      <c r="B1030" t="str">
        <f>IF(AND(LEFT('SR.01.01.07'!$D$25,8)&lt;&gt;"Reported",'SR.01.01.07'!$D$25&lt;&gt;""),Show!$B$16&amp; Show!$B$16&amp;"SR.25.01.01.04 Rows{Z}@ForceFilingCode:false","")</f>
        <v/>
      </c>
    </row>
    <row r="1031" spans="1:2">
      <c r="A1031" t="str">
        <f>IF(AND(LEFT('SR.01.01.07'!$D$25,8)&lt;&gt;"Reported",'SR.01.01.07'!$D$25&lt;&gt;""),Show!$B$16 &amp; "SR.25.01.01.05 Rows{Z}@ForceFilingCode:false","")</f>
        <v/>
      </c>
      <c r="B1031" t="str">
        <f>IF(AND(LEFT('SR.01.01.07'!$D$25,8)&lt;&gt;"Reported",'SR.01.01.07'!$D$25&lt;&gt;""),Show!$B$16&amp; Show!$B$16&amp;"SR.25.01.01.05 Rows{Z}@ForceFilingCode:false","")</f>
        <v/>
      </c>
    </row>
    <row r="1032" spans="1:2">
      <c r="A1032" t="str">
        <f>IF(AND(LEFT('SR.01.01.07'!$D$26,8)&lt;&gt;"Reported",'SR.01.01.07'!$D$26&lt;&gt;""),Show!$B$16 &amp; "SR.25.02.01.01 Rows{Z}@ForceFilingCode:false","")</f>
        <v/>
      </c>
      <c r="B1032" t="str">
        <f>IF(AND(LEFT('SR.01.01.07'!$D$26,8)&lt;&gt;"Reported",'SR.01.01.07'!$D$26&lt;&gt;""),Show!$B$16&amp; Show!$B$16&amp;"SR.25.02.01.01 Rows{Z}@ForceFilingCode:false","")</f>
        <v/>
      </c>
    </row>
    <row r="1033" spans="1:2">
      <c r="A1033" t="str">
        <f>IF(AND(LEFT('SR.01.01.07'!$D$26,8)&lt;&gt;"Reported",'SR.01.01.07'!$D$26&lt;&gt;""),Show!$B$16 &amp; "SR.25.02.01.02 Rows{Z}@ForceFilingCode:false","")</f>
        <v/>
      </c>
      <c r="B1033" t="str">
        <f>IF(AND(LEFT('SR.01.01.07'!$D$26,8)&lt;&gt;"Reported",'SR.01.01.07'!$D$26&lt;&gt;""),Show!$B$16&amp; Show!$B$16&amp;"SR.25.02.01.02 Rows{Z}@ForceFilingCode:false","")</f>
        <v/>
      </c>
    </row>
    <row r="1034" spans="1:2">
      <c r="A1034" t="str">
        <f>IF(AND(LEFT('SR.01.01.07'!$D$26,8)&lt;&gt;"Reported",'SR.01.01.07'!$D$26&lt;&gt;""),Show!$B$16 &amp; "SR.25.02.01.03 Rows{Z}@ForceFilingCode:false","")</f>
        <v/>
      </c>
      <c r="B1034" t="str">
        <f>IF(AND(LEFT('SR.01.01.07'!$D$26,8)&lt;&gt;"Reported",'SR.01.01.07'!$D$26&lt;&gt;""),Show!$B$16&amp; Show!$B$16&amp;"SR.25.02.01.03 Rows{Z}@ForceFilingCode:false","")</f>
        <v/>
      </c>
    </row>
    <row r="1035" spans="1:2">
      <c r="A1035" t="str">
        <f>IF(AND(LEFT('SR.01.01.07'!$D$26,8)&lt;&gt;"Reported",'SR.01.01.07'!$D$26&lt;&gt;""),Show!$B$16 &amp; "SR.25.02.01.04 Rows{Z}@ForceFilingCode:false","")</f>
        <v/>
      </c>
      <c r="B1035" t="str">
        <f>IF(AND(LEFT('SR.01.01.07'!$D$26,8)&lt;&gt;"Reported",'SR.01.01.07'!$D$26&lt;&gt;""),Show!$B$16&amp; Show!$B$16&amp;"SR.25.02.01.04 Rows{Z}@ForceFilingCode:false","")</f>
        <v/>
      </c>
    </row>
    <row r="1036" spans="1:2">
      <c r="A1036" t="str">
        <f>IF(AND(LEFT('SR.01.01.07'!$D$26,8)&lt;&gt;"Reported",'SR.01.01.07'!$D$26&lt;&gt;""),Show!$B$16 &amp; "SR.25.02.01.05 Rows{Z}@ForceFilingCode:false","")</f>
        <v/>
      </c>
      <c r="B1036" t="str">
        <f>IF(AND(LEFT('SR.01.01.07'!$D$26,8)&lt;&gt;"Reported",'SR.01.01.07'!$D$26&lt;&gt;""),Show!$B$16&amp; Show!$B$16&amp;"SR.25.02.01.05 Rows{Z}@ForceFilingCode:false","")</f>
        <v/>
      </c>
    </row>
    <row r="1037" spans="1:2">
      <c r="A1037" t="str">
        <f>IF(AND(LEFT('SR.01.01.07'!$D$27,8)&lt;&gt;"Reported",'SR.01.01.07'!$D$27&lt;&gt;""),Show!$B$16 &amp; "SR.25.03.01.01 Rows{Z}@ForceFilingCode:false","")</f>
        <v/>
      </c>
      <c r="B1037" t="str">
        <f>IF(AND(LEFT('SR.01.01.07'!$D$27,8)&lt;&gt;"Reported",'SR.01.01.07'!$D$27&lt;&gt;""),Show!$B$16&amp; Show!$B$16&amp;"SR.25.03.01.01 Rows{Z}@ForceFilingCode:false","")</f>
        <v/>
      </c>
    </row>
    <row r="1038" spans="1:2">
      <c r="A1038" t="str">
        <f>IF(AND(LEFT('SR.01.01.07'!$D$27,8)&lt;&gt;"Reported",'SR.01.01.07'!$D$27&lt;&gt;""),Show!$B$16 &amp; "SR.25.03.01.02 Rows{Z}@ForceFilingCode:false","")</f>
        <v/>
      </c>
      <c r="B1038" t="str">
        <f>IF(AND(LEFT('SR.01.01.07'!$D$27,8)&lt;&gt;"Reported",'SR.01.01.07'!$D$27&lt;&gt;""),Show!$B$16&amp; Show!$B$16&amp;"SR.25.03.01.02 Rows{Z}@ForceFilingCode:false","")</f>
        <v/>
      </c>
    </row>
    <row r="1039" spans="1:2">
      <c r="A1039" t="str">
        <f>IF(AND(LEFT('SR.01.01.07'!$D$27,8)&lt;&gt;"Reported",'SR.01.01.07'!$D$27&lt;&gt;""),Show!$B$16 &amp; "SR.25.03.01.03 Rows{Z}@ForceFilingCode:false","")</f>
        <v/>
      </c>
      <c r="B1039" t="str">
        <f>IF(AND(LEFT('SR.01.01.07'!$D$27,8)&lt;&gt;"Reported",'SR.01.01.07'!$D$27&lt;&gt;""),Show!$B$16&amp; Show!$B$16&amp;"SR.25.03.01.03 Rows{Z}@ForceFilingCode:false","")</f>
        <v/>
      </c>
    </row>
    <row r="1040" spans="1:2">
      <c r="A1040" t="str">
        <f>IF(AND(LEFT('SR.01.01.07'!$D$27,8)&lt;&gt;"Reported",'SR.01.01.07'!$D$27&lt;&gt;""),Show!$B$16 &amp; "SR.25.03.01.04 Rows{Z}@ForceFilingCode:false","")</f>
        <v/>
      </c>
      <c r="B1040" t="str">
        <f>IF(AND(LEFT('SR.01.01.07'!$D$27,8)&lt;&gt;"Reported",'SR.01.01.07'!$D$27&lt;&gt;""),Show!$B$16&amp; Show!$B$16&amp;"SR.25.03.01.04 Rows{Z}@ForceFilingCode:false","")</f>
        <v/>
      </c>
    </row>
    <row r="1041" spans="1:2">
      <c r="A1041" t="str">
        <f>IF(AND(LEFT('SR.01.01.07'!$D$27,8)&lt;&gt;"Reported",'SR.01.01.07'!$D$27&lt;&gt;""),Show!$B$16 &amp; "SR.25.03.01.05 Rows{Z}@ForceFilingCode:false","")</f>
        <v/>
      </c>
      <c r="B1041" t="str">
        <f>IF(AND(LEFT('SR.01.01.07'!$D$27,8)&lt;&gt;"Reported",'SR.01.01.07'!$D$27&lt;&gt;""),Show!$B$16&amp; Show!$B$16&amp;"SR.25.03.01.05 Rows{Z}@ForceFilingCode:false","")</f>
        <v/>
      </c>
    </row>
    <row r="1042" spans="1:2">
      <c r="A1042" t="str">
        <f>IF(AND(LEFT('SR.01.01.07'!$D$28,8)&lt;&gt;"Reported",'SR.01.01.07'!$D$28&lt;&gt;""),Show!$B$16 &amp; "SR.26.01.01.01 Rows{Z}@ForceFilingCode:false","")</f>
        <v/>
      </c>
      <c r="B1042" t="str">
        <f>IF(AND(LEFT('SR.01.01.07'!$D$28,8)&lt;&gt;"Reported",'SR.01.01.07'!$D$28&lt;&gt;""),Show!$B$16&amp; Show!$B$16&amp;"SR.26.01.01.01 Rows{Z}@ForceFilingCode:false","")</f>
        <v/>
      </c>
    </row>
    <row r="1043" spans="1:2">
      <c r="A1043" t="str">
        <f>IF(AND(LEFT('SR.01.01.07'!$D$28,8)&lt;&gt;"Reported",'SR.01.01.07'!$D$28&lt;&gt;""),Show!$B$16 &amp; "SR.26.01.01.02 Rows{Z}@ForceFilingCode:false","")</f>
        <v/>
      </c>
      <c r="B1043" t="str">
        <f>IF(AND(LEFT('SR.01.01.07'!$D$28,8)&lt;&gt;"Reported",'SR.01.01.07'!$D$28&lt;&gt;""),Show!$B$16&amp; Show!$B$16&amp;"SR.26.01.01.02 Rows{Z}@ForceFilingCode:false","")</f>
        <v/>
      </c>
    </row>
    <row r="1044" spans="1:2">
      <c r="A1044" t="str">
        <f>IF(AND(LEFT('SR.01.01.07'!$D$28,8)&lt;&gt;"Reported",'SR.01.01.07'!$D$28&lt;&gt;""),Show!$B$16 &amp; "SR.26.01.01.03 Rows{Z}@ForceFilingCode:false","")</f>
        <v/>
      </c>
      <c r="B1044" t="str">
        <f>IF(AND(LEFT('SR.01.01.07'!$D$28,8)&lt;&gt;"Reported",'SR.01.01.07'!$D$28&lt;&gt;""),Show!$B$16&amp; Show!$B$16&amp;"SR.26.01.01.03 Rows{Z}@ForceFilingCode:false","")</f>
        <v/>
      </c>
    </row>
    <row r="1045" spans="1:2">
      <c r="A1045" t="str">
        <f>IF(AND(LEFT('SR.01.01.07'!$D$29,8)&lt;&gt;"Reported",'SR.01.01.07'!$D$29&lt;&gt;""),Show!$B$16 &amp; "SR.26.02.01.01 Rows{Z}@ForceFilingCode:false","")</f>
        <v/>
      </c>
      <c r="B1045" t="str">
        <f>IF(AND(LEFT('SR.01.01.07'!$D$29,8)&lt;&gt;"Reported",'SR.01.01.07'!$D$29&lt;&gt;""),Show!$B$16&amp; Show!$B$16&amp;"SR.26.02.01.01 Rows{Z}@ForceFilingCode:false","")</f>
        <v/>
      </c>
    </row>
    <row r="1046" spans="1:2">
      <c r="A1046" t="str">
        <f>IF(AND(LEFT('SR.01.01.07'!$D$29,8)&lt;&gt;"Reported",'SR.01.01.07'!$D$29&lt;&gt;""),Show!$B$16 &amp; "SR.26.02.01.02 Rows{Z}@ForceFilingCode:false","")</f>
        <v/>
      </c>
      <c r="B1046" t="str">
        <f>IF(AND(LEFT('SR.01.01.07'!$D$29,8)&lt;&gt;"Reported",'SR.01.01.07'!$D$29&lt;&gt;""),Show!$B$16&amp; Show!$B$16&amp;"SR.26.02.01.02 Rows{Z}@ForceFilingCode:false","")</f>
        <v/>
      </c>
    </row>
    <row r="1047" spans="1:2">
      <c r="A1047" t="str">
        <f>IF(AND(LEFT('SR.01.01.07'!$D$30,8)&lt;&gt;"Reported",'SR.01.01.07'!$D$30&lt;&gt;""),Show!$B$16 &amp; "SR.26.03.01.01 Rows{Z}@ForceFilingCode:false","")</f>
        <v/>
      </c>
      <c r="B1047" t="str">
        <f>IF(AND(LEFT('SR.01.01.07'!$D$30,8)&lt;&gt;"Reported",'SR.01.01.07'!$D$30&lt;&gt;""),Show!$B$16&amp; Show!$B$16&amp;"SR.26.03.01.01 Rows{Z}@ForceFilingCode:false","")</f>
        <v/>
      </c>
    </row>
    <row r="1048" spans="1:2">
      <c r="A1048" t="str">
        <f>IF(AND(LEFT('SR.01.01.07'!$D$30,8)&lt;&gt;"Reported",'SR.01.01.07'!$D$30&lt;&gt;""),Show!$B$16 &amp; "SR.26.03.01.02 Rows{Z}@ForceFilingCode:false","")</f>
        <v/>
      </c>
      <c r="B1048" t="str">
        <f>IF(AND(LEFT('SR.01.01.07'!$D$30,8)&lt;&gt;"Reported",'SR.01.01.07'!$D$30&lt;&gt;""),Show!$B$16&amp; Show!$B$16&amp;"SR.26.03.01.02 Rows{Z}@ForceFilingCode:false","")</f>
        <v/>
      </c>
    </row>
    <row r="1049" spans="1:2">
      <c r="A1049" t="str">
        <f>IF(AND(LEFT('SR.01.01.07'!$D$30,8)&lt;&gt;"Reported",'SR.01.01.07'!$D$30&lt;&gt;""),Show!$B$16 &amp; "SR.26.03.01.03 Rows{Z}@ForceFilingCode:false","")</f>
        <v/>
      </c>
      <c r="B1049" t="str">
        <f>IF(AND(LEFT('SR.01.01.07'!$D$30,8)&lt;&gt;"Reported",'SR.01.01.07'!$D$30&lt;&gt;""),Show!$B$16&amp; Show!$B$16&amp;"SR.26.03.01.03 Rows{Z}@ForceFilingCode:false","")</f>
        <v/>
      </c>
    </row>
    <row r="1050" spans="1:2">
      <c r="A1050" t="str">
        <f>IF(AND(LEFT('SR.01.01.07'!$D$30,8)&lt;&gt;"Reported",'SR.01.01.07'!$D$30&lt;&gt;""),Show!$B$16 &amp; "SR.26.03.01.04 Rows{Z}@ForceFilingCode:false","")</f>
        <v/>
      </c>
      <c r="B1050" t="str">
        <f>IF(AND(LEFT('SR.01.01.07'!$D$30,8)&lt;&gt;"Reported",'SR.01.01.07'!$D$30&lt;&gt;""),Show!$B$16&amp; Show!$B$16&amp;"SR.26.03.01.04 Rows{Z}@ForceFilingCode:false","")</f>
        <v/>
      </c>
    </row>
    <row r="1051" spans="1:2">
      <c r="A1051" t="str">
        <f>IF(AND(LEFT('SR.01.01.07'!$D$31,8)&lt;&gt;"Reported",'SR.01.01.07'!$D$31&lt;&gt;""),Show!$B$16 &amp; "SR.26.04.01.01 Rows{Z}@ForceFilingCode:false","")</f>
        <v/>
      </c>
      <c r="B1051" t="str">
        <f>IF(AND(LEFT('SR.01.01.07'!$D$31,8)&lt;&gt;"Reported",'SR.01.01.07'!$D$31&lt;&gt;""),Show!$B$16&amp; Show!$B$16&amp;"SR.26.04.01.01 Rows{Z}@ForceFilingCode:false","")</f>
        <v/>
      </c>
    </row>
    <row r="1052" spans="1:2">
      <c r="A1052" t="str">
        <f>IF(AND(LEFT('SR.01.01.07'!$D$31,8)&lt;&gt;"Reported",'SR.01.01.07'!$D$31&lt;&gt;""),Show!$B$16 &amp; "SR.26.04.01.02 Rows{Z}@ForceFilingCode:false","")</f>
        <v/>
      </c>
      <c r="B1052" t="str">
        <f>IF(AND(LEFT('SR.01.01.07'!$D$31,8)&lt;&gt;"Reported",'SR.01.01.07'!$D$31&lt;&gt;""),Show!$B$16&amp; Show!$B$16&amp;"SR.26.04.01.02 Rows{Z}@ForceFilingCode:false","")</f>
        <v/>
      </c>
    </row>
    <row r="1053" spans="1:2">
      <c r="A1053" t="str">
        <f>IF(AND(LEFT('SR.01.01.07'!$D$31,8)&lt;&gt;"Reported",'SR.01.01.07'!$D$31&lt;&gt;""),Show!$B$16 &amp; "SR.26.04.01.03 Rows{Z}@ForceFilingCode:false","")</f>
        <v/>
      </c>
      <c r="B1053" t="str">
        <f>IF(AND(LEFT('SR.01.01.07'!$D$31,8)&lt;&gt;"Reported",'SR.01.01.07'!$D$31&lt;&gt;""),Show!$B$16&amp; Show!$B$16&amp;"SR.26.04.01.03 Rows{Z}@ForceFilingCode:false","")</f>
        <v/>
      </c>
    </row>
    <row r="1054" spans="1:2">
      <c r="A1054" t="str">
        <f>IF(AND(LEFT('SR.01.01.07'!$D$31,8)&lt;&gt;"Reported",'SR.01.01.07'!$D$31&lt;&gt;""),Show!$B$16 &amp; "SR.26.04.01.04 Rows{Z}@ForceFilingCode:false","")</f>
        <v/>
      </c>
      <c r="B1054" t="str">
        <f>IF(AND(LEFT('SR.01.01.07'!$D$31,8)&lt;&gt;"Reported",'SR.01.01.07'!$D$31&lt;&gt;""),Show!$B$16&amp; Show!$B$16&amp;"SR.26.04.01.04 Rows{Z}@ForceFilingCode:false","")</f>
        <v/>
      </c>
    </row>
    <row r="1055" spans="1:2">
      <c r="A1055" t="str">
        <f>IF(AND(LEFT('SR.01.01.07'!$D$31,8)&lt;&gt;"Reported",'SR.01.01.07'!$D$31&lt;&gt;""),Show!$B$16 &amp; "SR.26.04.01.05 Rows{Z}@ForceFilingCode:false","")</f>
        <v/>
      </c>
      <c r="B1055" t="str">
        <f>IF(AND(LEFT('SR.01.01.07'!$D$31,8)&lt;&gt;"Reported",'SR.01.01.07'!$D$31&lt;&gt;""),Show!$B$16&amp; Show!$B$16&amp;"SR.26.04.01.05 Rows{Z}@ForceFilingCode:false","")</f>
        <v/>
      </c>
    </row>
    <row r="1056" spans="1:2">
      <c r="A1056" t="str">
        <f>IF(AND(LEFT('SR.01.01.07'!$D$31,8)&lt;&gt;"Reported",'SR.01.01.07'!$D$31&lt;&gt;""),Show!$B$16 &amp; "SR.26.04.01.06 Rows{Z}@ForceFilingCode:false","")</f>
        <v/>
      </c>
      <c r="B1056" t="str">
        <f>IF(AND(LEFT('SR.01.01.07'!$D$31,8)&lt;&gt;"Reported",'SR.01.01.07'!$D$31&lt;&gt;""),Show!$B$16&amp; Show!$B$16&amp;"SR.26.04.01.06 Rows{Z}@ForceFilingCode:false","")</f>
        <v/>
      </c>
    </row>
    <row r="1057" spans="1:2">
      <c r="A1057" t="str">
        <f>IF(AND(LEFT('SR.01.01.07'!$D$31,8)&lt;&gt;"Reported",'SR.01.01.07'!$D$31&lt;&gt;""),Show!$B$16 &amp; "SR.26.04.01.07 Rows{Z}@ForceFilingCode:false","")</f>
        <v/>
      </c>
      <c r="B1057" t="str">
        <f>IF(AND(LEFT('SR.01.01.07'!$D$31,8)&lt;&gt;"Reported",'SR.01.01.07'!$D$31&lt;&gt;""),Show!$B$16&amp; Show!$B$16&amp;"SR.26.04.01.07 Rows{Z}@ForceFilingCode:false","")</f>
        <v/>
      </c>
    </row>
    <row r="1058" spans="1:2">
      <c r="A1058" t="str">
        <f>IF(AND(LEFT('SR.01.01.07'!$D$31,8)&lt;&gt;"Reported",'SR.01.01.07'!$D$31&lt;&gt;""),Show!$B$16 &amp; "SR.26.04.01.08 Rows{Z}@ForceFilingCode:false","")</f>
        <v/>
      </c>
      <c r="B1058" t="str">
        <f>IF(AND(LEFT('SR.01.01.07'!$D$31,8)&lt;&gt;"Reported",'SR.01.01.07'!$D$31&lt;&gt;""),Show!$B$16&amp; Show!$B$16&amp;"SR.26.04.01.08 Rows{Z}@ForceFilingCode:false","")</f>
        <v/>
      </c>
    </row>
    <row r="1059" spans="1:2">
      <c r="A1059" t="str">
        <f>IF(AND(LEFT('SR.01.01.07'!$D$31,8)&lt;&gt;"Reported",'SR.01.01.07'!$D$31&lt;&gt;""),Show!$B$16 &amp; "SR.26.04.01.09 Rows{Z}@ForceFilingCode:false","")</f>
        <v/>
      </c>
      <c r="B1059" t="str">
        <f>IF(AND(LEFT('SR.01.01.07'!$D$31,8)&lt;&gt;"Reported",'SR.01.01.07'!$D$31&lt;&gt;""),Show!$B$16&amp; Show!$B$16&amp;"SR.26.04.01.09 Rows{Z}@ForceFilingCode:false","")</f>
        <v/>
      </c>
    </row>
    <row r="1060" spans="1:2">
      <c r="A1060" t="str">
        <f>IF(AND(LEFT('SR.01.01.07'!$D$32,8)&lt;&gt;"Reported",'SR.01.01.07'!$D$32&lt;&gt;""),Show!$B$16 &amp; "SR.26.05.01.01 Rows{Z}@ForceFilingCode:false","")</f>
        <v/>
      </c>
      <c r="B1060" t="str">
        <f>IF(AND(LEFT('SR.01.01.07'!$D$32,8)&lt;&gt;"Reported",'SR.01.01.07'!$D$32&lt;&gt;""),Show!$B$16&amp; Show!$B$16&amp;"SR.26.05.01.01 Rows{Z}@ForceFilingCode:false","")</f>
        <v/>
      </c>
    </row>
    <row r="1061" spans="1:2">
      <c r="A1061" t="str">
        <f>IF(AND(LEFT('SR.01.01.07'!$D$32,8)&lt;&gt;"Reported",'SR.01.01.07'!$D$32&lt;&gt;""),Show!$B$16 &amp; "SR.26.05.01.02 Rows{Z}@ForceFilingCode:false","")</f>
        <v/>
      </c>
      <c r="B1061" t="str">
        <f>IF(AND(LEFT('SR.01.01.07'!$D$32,8)&lt;&gt;"Reported",'SR.01.01.07'!$D$32&lt;&gt;""),Show!$B$16&amp; Show!$B$16&amp;"SR.26.05.01.02 Rows{Z}@ForceFilingCode:false","")</f>
        <v/>
      </c>
    </row>
    <row r="1062" spans="1:2">
      <c r="A1062" t="str">
        <f>IF(AND(LEFT('SR.01.01.07'!$D$32,8)&lt;&gt;"Reported",'SR.01.01.07'!$D$32&lt;&gt;""),Show!$B$16 &amp; "SR.26.05.01.03 Rows{Z}@ForceFilingCode:false","")</f>
        <v/>
      </c>
      <c r="B1062" t="str">
        <f>IF(AND(LEFT('SR.01.01.07'!$D$32,8)&lt;&gt;"Reported",'SR.01.01.07'!$D$32&lt;&gt;""),Show!$B$16&amp; Show!$B$16&amp;"SR.26.05.01.03 Rows{Z}@ForceFilingCode:false","")</f>
        <v/>
      </c>
    </row>
    <row r="1063" spans="1:2">
      <c r="A1063" t="str">
        <f>IF(AND(LEFT('SR.01.01.07'!$D$32,8)&lt;&gt;"Reported",'SR.01.01.07'!$D$32&lt;&gt;""),Show!$B$16 &amp; "SR.26.05.01.04 Rows{Z}@ForceFilingCode:false","")</f>
        <v/>
      </c>
      <c r="B1063" t="str">
        <f>IF(AND(LEFT('SR.01.01.07'!$D$32,8)&lt;&gt;"Reported",'SR.01.01.07'!$D$32&lt;&gt;""),Show!$B$16&amp; Show!$B$16&amp;"SR.26.05.01.04 Rows{Z}@ForceFilingCode:false","")</f>
        <v/>
      </c>
    </row>
    <row r="1064" spans="1:2">
      <c r="A1064" t="str">
        <f>IF(AND(LEFT('SR.01.01.07'!$D$32,8)&lt;&gt;"Reported",'SR.01.01.07'!$D$32&lt;&gt;""),Show!$B$16 &amp; "SR.26.05.01.05 Rows{Z}@ForceFilingCode:false","")</f>
        <v/>
      </c>
      <c r="B1064" t="str">
        <f>IF(AND(LEFT('SR.01.01.07'!$D$32,8)&lt;&gt;"Reported",'SR.01.01.07'!$D$32&lt;&gt;""),Show!$B$16&amp; Show!$B$16&amp;"SR.26.05.01.05 Rows{Z}@ForceFilingCode:false","")</f>
        <v/>
      </c>
    </row>
    <row r="1065" spans="1:2">
      <c r="A1065" t="str">
        <f>IF(AND(LEFT('SR.01.01.07'!$D$33,8)&lt;&gt;"Reported",'SR.01.01.07'!$D$33&lt;&gt;""),Show!$B$16 &amp; "SR.26.06.01.01 Rows{Z}@ForceFilingCode:false","")</f>
        <v/>
      </c>
      <c r="B1065" t="str">
        <f>IF(AND(LEFT('SR.01.01.07'!$D$33,8)&lt;&gt;"Reported",'SR.01.01.07'!$D$33&lt;&gt;""),Show!$B$16&amp; Show!$B$16&amp;"SR.26.06.01.01 Rows{Z}@ForceFilingCode:false","")</f>
        <v/>
      </c>
    </row>
    <row r="1066" spans="1:2">
      <c r="A1066" t="str">
        <f>IF(AND(LEFT('SR.01.01.07'!$D$34,8)&lt;&gt;"Reported",'SR.01.01.07'!$D$34&lt;&gt;""),Show!$B$16 &amp; "SR.26.07.01.01 Rows{Z}@ForceFilingCode:false","")</f>
        <v/>
      </c>
      <c r="B1066" t="str">
        <f>IF(AND(LEFT('SR.01.01.07'!$D$34,8)&lt;&gt;"Reported",'SR.01.01.07'!$D$34&lt;&gt;""),Show!$B$16&amp; Show!$B$16&amp;"SR.26.07.01.01 Rows{Z}@ForceFilingCode:false","")</f>
        <v/>
      </c>
    </row>
    <row r="1067" spans="1:2">
      <c r="A1067" t="str">
        <f>IF(AND(LEFT('SR.01.01.07'!$D$34,8)&lt;&gt;"Reported",'SR.01.01.07'!$D$34&lt;&gt;""),Show!$B$16 &amp; "SR.26.07.01.02 Rows{Z}@ForceFilingCode:false","")</f>
        <v/>
      </c>
      <c r="B1067" t="str">
        <f>IF(AND(LEFT('SR.01.01.07'!$D$34,8)&lt;&gt;"Reported",'SR.01.01.07'!$D$34&lt;&gt;""),Show!$B$16&amp; Show!$B$16&amp;"SR.26.07.01.02 Rows{Z}@ForceFilingCode:false","")</f>
        <v/>
      </c>
    </row>
    <row r="1068" spans="1:2">
      <c r="A1068" t="str">
        <f>IF(AND(LEFT('SR.01.01.07'!$D$34,8)&lt;&gt;"Reported",'SR.01.01.07'!$D$34&lt;&gt;""),Show!$B$16 &amp; "SR.26.07.01.03 Rows{Z}@ForceFilingCode:false","")</f>
        <v/>
      </c>
      <c r="B1068" t="str">
        <f>IF(AND(LEFT('SR.01.01.07'!$D$34,8)&lt;&gt;"Reported",'SR.01.01.07'!$D$34&lt;&gt;""),Show!$B$16&amp; Show!$B$16&amp;"SR.26.07.01.03 Rows{Z}@ForceFilingCode:false","")</f>
        <v/>
      </c>
    </row>
    <row r="1069" spans="1:2">
      <c r="A1069" t="str">
        <f>IF(AND(LEFT('SR.01.01.07'!$D$34,8)&lt;&gt;"Reported",'SR.01.01.07'!$D$34&lt;&gt;""),Show!$B$16 &amp; "SR.26.07.01.04 Rows{Z}@ForceFilingCode:false","")</f>
        <v/>
      </c>
      <c r="B1069" t="str">
        <f>IF(AND(LEFT('SR.01.01.07'!$D$34,8)&lt;&gt;"Reported",'SR.01.01.07'!$D$34&lt;&gt;""),Show!$B$16&amp; Show!$B$16&amp;"SR.26.07.01.04 Rows{Z}@ForceFilingCode:false","")</f>
        <v/>
      </c>
    </row>
    <row r="1070" spans="1:2">
      <c r="A1070" t="str">
        <f>IF(AND(LEFT('SR.01.01.07'!$D$34,8)&lt;&gt;"Reported",'SR.01.01.07'!$D$34&lt;&gt;""),Show!$B$16 &amp; "SR.26.07.01.05 Rows{Z}@ForceFilingCode:false","")</f>
        <v/>
      </c>
      <c r="B1070" t="str">
        <f>IF(AND(LEFT('SR.01.01.07'!$D$34,8)&lt;&gt;"Reported",'SR.01.01.07'!$D$34&lt;&gt;""),Show!$B$16&amp; Show!$B$16&amp;"SR.26.07.01.05 Rows{Z}@ForceFilingCode:false","")</f>
        <v/>
      </c>
    </row>
    <row r="1071" spans="1:2">
      <c r="A1071" t="str">
        <f>IF(AND(LEFT('SR.01.01.07'!$D$34,8)&lt;&gt;"Reported",'SR.01.01.07'!$D$34&lt;&gt;""),Show!$B$16 &amp; "SR.26.07.01.06 Rows{Z}@ForceFilingCode:false","")</f>
        <v/>
      </c>
      <c r="B1071" t="str">
        <f>IF(AND(LEFT('SR.01.01.07'!$D$34,8)&lt;&gt;"Reported",'SR.01.01.07'!$D$34&lt;&gt;""),Show!$B$16&amp; Show!$B$16&amp;"SR.26.07.01.06 Rows{Z}@ForceFilingCode:false","")</f>
        <v/>
      </c>
    </row>
    <row r="1072" spans="1:2">
      <c r="A1072" t="str">
        <f>IF(AND(LEFT('SR.01.01.07'!$D$35,8)&lt;&gt;"Reported",'SR.01.01.07'!$D$35&lt;&gt;""),Show!$B$16 &amp; "SR.27.01.01.01 Rows{Z}@ForceFilingCode:false","")</f>
        <v/>
      </c>
      <c r="B1072" t="str">
        <f>IF(AND(LEFT('SR.01.01.07'!$D$35,8)&lt;&gt;"Reported",'SR.01.01.07'!$D$35&lt;&gt;""),Show!$B$16&amp; Show!$B$16&amp;"SR.27.01.01.01 Rows{Z}@ForceFilingCode:false","")</f>
        <v/>
      </c>
    </row>
    <row r="1073" spans="1:2">
      <c r="A1073" t="str">
        <f>IF(AND(LEFT('SR.01.01.07'!$D$35,8)&lt;&gt;"Reported",'SR.01.01.07'!$D$35&lt;&gt;""),Show!$B$16 &amp; "SR.27.01.01.02 Rows{Z}@ForceFilingCode:false","")</f>
        <v/>
      </c>
      <c r="B1073" t="str">
        <f>IF(AND(LEFT('SR.01.01.07'!$D$35,8)&lt;&gt;"Reported",'SR.01.01.07'!$D$35&lt;&gt;""),Show!$B$16&amp; Show!$B$16&amp;"SR.27.01.01.02 Rows{Z}@ForceFilingCode:false","")</f>
        <v/>
      </c>
    </row>
    <row r="1074" spans="1:2">
      <c r="A1074" t="str">
        <f>IF(AND(LEFT('SR.01.01.07'!$D$35,8)&lt;&gt;"Reported",'SR.01.01.07'!$D$35&lt;&gt;""),Show!$B$16 &amp; "SR.27.01.01.03 Rows{Z}@ForceFilingCode:false","")</f>
        <v/>
      </c>
      <c r="B1074" t="str">
        <f>IF(AND(LEFT('SR.01.01.07'!$D$35,8)&lt;&gt;"Reported",'SR.01.01.07'!$D$35&lt;&gt;""),Show!$B$16&amp; Show!$B$16&amp;"SR.27.01.01.03 Rows{Z}@ForceFilingCode:false","")</f>
        <v/>
      </c>
    </row>
    <row r="1075" spans="1:2">
      <c r="A1075" t="str">
        <f>IF(AND(LEFT('SR.01.01.07'!$D$35,8)&lt;&gt;"Reported",'SR.01.01.07'!$D$35&lt;&gt;""),Show!$B$16 &amp; "SR.27.01.01.04 Rows{Z}@ForceFilingCode:false","")</f>
        <v/>
      </c>
      <c r="B1075" t="str">
        <f>IF(AND(LEFT('SR.01.01.07'!$D$35,8)&lt;&gt;"Reported",'SR.01.01.07'!$D$35&lt;&gt;""),Show!$B$16&amp; Show!$B$16&amp;"SR.27.01.01.04 Rows{Z}@ForceFilingCode:false","")</f>
        <v/>
      </c>
    </row>
    <row r="1076" spans="1:2">
      <c r="A1076" t="str">
        <f>IF(AND(LEFT('SR.01.01.07'!$D$35,8)&lt;&gt;"Reported",'SR.01.01.07'!$D$35&lt;&gt;""),Show!$B$16 &amp; "SR.27.01.01.05 Rows{Z}@ForceFilingCode:false","")</f>
        <v/>
      </c>
      <c r="B1076" t="str">
        <f>IF(AND(LEFT('SR.01.01.07'!$D$35,8)&lt;&gt;"Reported",'SR.01.01.07'!$D$35&lt;&gt;""),Show!$B$16&amp; Show!$B$16&amp;"SR.27.01.01.05 Rows{Z}@ForceFilingCode:false","")</f>
        <v/>
      </c>
    </row>
    <row r="1077" spans="1:2">
      <c r="A1077" t="str">
        <f>IF(AND(LEFT('SR.01.01.07'!$D$35,8)&lt;&gt;"Reported",'SR.01.01.07'!$D$35&lt;&gt;""),Show!$B$16 &amp; "SR.27.01.01.06 Rows{Z}@ForceFilingCode:false","")</f>
        <v/>
      </c>
      <c r="B1077" t="str">
        <f>IF(AND(LEFT('SR.01.01.07'!$D$35,8)&lt;&gt;"Reported",'SR.01.01.07'!$D$35&lt;&gt;""),Show!$B$16&amp; Show!$B$16&amp;"SR.27.01.01.06 Rows{Z}@ForceFilingCode:false","")</f>
        <v/>
      </c>
    </row>
    <row r="1078" spans="1:2">
      <c r="A1078" t="str">
        <f>IF(AND(LEFT('SR.01.01.07'!$D$35,8)&lt;&gt;"Reported",'SR.01.01.07'!$D$35&lt;&gt;""),Show!$B$16 &amp; "SR.27.01.01.07 Rows{Z}@ForceFilingCode:false","")</f>
        <v/>
      </c>
      <c r="B1078" t="str">
        <f>IF(AND(LEFT('SR.01.01.07'!$D$35,8)&lt;&gt;"Reported",'SR.01.01.07'!$D$35&lt;&gt;""),Show!$B$16&amp; Show!$B$16&amp;"SR.27.01.01.07 Rows{Z}@ForceFilingCode:false","")</f>
        <v/>
      </c>
    </row>
    <row r="1079" spans="1:2">
      <c r="A1079" t="str">
        <f>IF(AND(LEFT('SR.01.01.07'!$D$35,8)&lt;&gt;"Reported",'SR.01.01.07'!$D$35&lt;&gt;""),Show!$B$16 &amp; "SR.27.01.01.08 Rows{Z}@ForceFilingCode:false","")</f>
        <v/>
      </c>
      <c r="B1079" t="str">
        <f>IF(AND(LEFT('SR.01.01.07'!$D$35,8)&lt;&gt;"Reported",'SR.01.01.07'!$D$35&lt;&gt;""),Show!$B$16&amp; Show!$B$16&amp;"SR.27.01.01.08 Rows{Z}@ForceFilingCode:false","")</f>
        <v/>
      </c>
    </row>
    <row r="1080" spans="1:2">
      <c r="A1080" t="str">
        <f>IF(AND(LEFT('SR.01.01.07'!$D$35,8)&lt;&gt;"Reported",'SR.01.01.07'!$D$35&lt;&gt;""),Show!$B$16 &amp; "SR.27.01.01.09 Rows{Z}@ForceFilingCode:false","")</f>
        <v/>
      </c>
      <c r="B1080" t="str">
        <f>IF(AND(LEFT('SR.01.01.07'!$D$35,8)&lt;&gt;"Reported",'SR.01.01.07'!$D$35&lt;&gt;""),Show!$B$16&amp; Show!$B$16&amp;"SR.27.01.01.09 Rows{Z}@ForceFilingCode:false","")</f>
        <v/>
      </c>
    </row>
    <row r="1081" spans="1:2">
      <c r="A1081" t="str">
        <f>IF(AND(LEFT('SR.01.01.07'!$D$35,8)&lt;&gt;"Reported",'SR.01.01.07'!$D$35&lt;&gt;""),Show!$B$16 &amp; "SR.27.01.01.10 Rows{Z}@ForceFilingCode:false","")</f>
        <v/>
      </c>
      <c r="B1081" t="str">
        <f>IF(AND(LEFT('SR.01.01.07'!$D$35,8)&lt;&gt;"Reported",'SR.01.01.07'!$D$35&lt;&gt;""),Show!$B$16&amp; Show!$B$16&amp;"SR.27.01.01.10 Rows{Z}@ForceFilingCode:false","")</f>
        <v/>
      </c>
    </row>
    <row r="1082" spans="1:2">
      <c r="A1082" t="str">
        <f>IF(AND(LEFT('SR.01.01.07'!$D$35,8)&lt;&gt;"Reported",'SR.01.01.07'!$D$35&lt;&gt;""),Show!$B$16 &amp; "SR.27.01.01.11 Rows{Z}@ForceFilingCode:false","")</f>
        <v/>
      </c>
      <c r="B1082" t="str">
        <f>IF(AND(LEFT('SR.01.01.07'!$D$35,8)&lt;&gt;"Reported",'SR.01.01.07'!$D$35&lt;&gt;""),Show!$B$16&amp; Show!$B$16&amp;"SR.27.01.01.11 Rows{Z}@ForceFilingCode:false","")</f>
        <v/>
      </c>
    </row>
    <row r="1083" spans="1:2">
      <c r="A1083" t="str">
        <f>IF(AND(LEFT('SR.01.01.07'!$D$35,8)&lt;&gt;"Reported",'SR.01.01.07'!$D$35&lt;&gt;""),Show!$B$16 &amp; "SR.27.01.01.12 Rows{Z}@ForceFilingCode:false","")</f>
        <v/>
      </c>
      <c r="B1083" t="str">
        <f>IF(AND(LEFT('SR.01.01.07'!$D$35,8)&lt;&gt;"Reported",'SR.01.01.07'!$D$35&lt;&gt;""),Show!$B$16&amp; Show!$B$16&amp;"SR.27.01.01.12 Rows{Z}@ForceFilingCode:false","")</f>
        <v/>
      </c>
    </row>
    <row r="1084" spans="1:2">
      <c r="A1084" t="str">
        <f>IF(AND(LEFT('SR.01.01.07'!$D$35,8)&lt;&gt;"Reported",'SR.01.01.07'!$D$35&lt;&gt;""),Show!$B$16 &amp; "SR.27.01.01.13 Rows{Z}@ForceFilingCode:false","")</f>
        <v/>
      </c>
      <c r="B1084" t="str">
        <f>IF(AND(LEFT('SR.01.01.07'!$D$35,8)&lt;&gt;"Reported",'SR.01.01.07'!$D$35&lt;&gt;""),Show!$B$16&amp; Show!$B$16&amp;"SR.27.01.01.13 Rows{Z}@ForceFilingCode:false","")</f>
        <v/>
      </c>
    </row>
    <row r="1085" spans="1:2">
      <c r="A1085" t="str">
        <f>IF(AND(LEFT('SR.01.01.07'!$D$35,8)&lt;&gt;"Reported",'SR.01.01.07'!$D$35&lt;&gt;""),Show!$B$16 &amp; "SR.27.01.01.14 Rows{Z}@ForceFilingCode:false","")</f>
        <v/>
      </c>
      <c r="B1085" t="str">
        <f>IF(AND(LEFT('SR.01.01.07'!$D$35,8)&lt;&gt;"Reported",'SR.01.01.07'!$D$35&lt;&gt;""),Show!$B$16&amp; Show!$B$16&amp;"SR.27.01.01.14 Rows{Z}@ForceFilingCode:false","")</f>
        <v/>
      </c>
    </row>
    <row r="1086" spans="1:2">
      <c r="A1086" t="str">
        <f>IF(AND(LEFT('SR.01.01.07'!$D$35,8)&lt;&gt;"Reported",'SR.01.01.07'!$D$35&lt;&gt;""),Show!$B$16 &amp; "SR.27.01.01.15 Rows{Z}@ForceFilingCode:false","")</f>
        <v/>
      </c>
      <c r="B1086" t="str">
        <f>IF(AND(LEFT('SR.01.01.07'!$D$35,8)&lt;&gt;"Reported",'SR.01.01.07'!$D$35&lt;&gt;""),Show!$B$16&amp; Show!$B$16&amp;"SR.27.01.01.15 Rows{Z}@ForceFilingCode:false","")</f>
        <v/>
      </c>
    </row>
    <row r="1087" spans="1:2">
      <c r="A1087" t="str">
        <f>IF(AND(LEFT('SR.01.01.07'!$D$35,8)&lt;&gt;"Reported",'SR.01.01.07'!$D$35&lt;&gt;""),Show!$B$16 &amp; "SR.27.01.01.16 Rows{Z}@ForceFilingCode:false","")</f>
        <v/>
      </c>
      <c r="B1087" t="str">
        <f>IF(AND(LEFT('SR.01.01.07'!$D$35,8)&lt;&gt;"Reported",'SR.01.01.07'!$D$35&lt;&gt;""),Show!$B$16&amp; Show!$B$16&amp;"SR.27.01.01.16 Rows{Z}@ForceFilingCode:false","")</f>
        <v/>
      </c>
    </row>
    <row r="1088" spans="1:2">
      <c r="A1088" t="str">
        <f>IF(AND(LEFT('SR.01.01.07'!$D$35,8)&lt;&gt;"Reported",'SR.01.01.07'!$D$35&lt;&gt;""),Show!$B$16 &amp; "SR.27.01.01.17 Rows{Z}@ForceFilingCode:false","")</f>
        <v/>
      </c>
      <c r="B1088" t="str">
        <f>IF(AND(LEFT('SR.01.01.07'!$D$35,8)&lt;&gt;"Reported",'SR.01.01.07'!$D$35&lt;&gt;""),Show!$B$16&amp; Show!$B$16&amp;"SR.27.01.01.17 Rows{Z}@ForceFilingCode:false","")</f>
        <v/>
      </c>
    </row>
    <row r="1089" spans="1:2">
      <c r="A1089" t="str">
        <f>IF(AND(LEFT('SR.01.01.07'!$D$35,8)&lt;&gt;"Reported",'SR.01.01.07'!$D$35&lt;&gt;""),Show!$B$16 &amp; "SR.27.01.01.18 Rows{Z}@ForceFilingCode:false","")</f>
        <v/>
      </c>
      <c r="B1089" t="str">
        <f>IF(AND(LEFT('SR.01.01.07'!$D$35,8)&lt;&gt;"Reported",'SR.01.01.07'!$D$35&lt;&gt;""),Show!$B$16&amp; Show!$B$16&amp;"SR.27.01.01.18 Rows{Z}@ForceFilingCode:false","")</f>
        <v/>
      </c>
    </row>
    <row r="1090" spans="1:2">
      <c r="A1090" t="str">
        <f>IF(AND(LEFT('SR.01.01.07'!$D$35,8)&lt;&gt;"Reported",'SR.01.01.07'!$D$35&lt;&gt;""),Show!$B$16 &amp; "SR.27.01.01.19 Rows{Z}@ForceFilingCode:false","")</f>
        <v/>
      </c>
      <c r="B1090" t="str">
        <f>IF(AND(LEFT('SR.01.01.07'!$D$35,8)&lt;&gt;"Reported",'SR.01.01.07'!$D$35&lt;&gt;""),Show!$B$16&amp; Show!$B$16&amp;"SR.27.01.01.19 Rows{Z}@ForceFilingCode:false","")</f>
        <v/>
      </c>
    </row>
    <row r="1091" spans="1:2">
      <c r="A1091" t="str">
        <f>IF(AND(LEFT('SR.01.01.07'!$D$35,8)&lt;&gt;"Reported",'SR.01.01.07'!$D$35&lt;&gt;""),Show!$B$16 &amp; "SR.27.01.01.20 Rows{Z}@ForceFilingCode:false","")</f>
        <v/>
      </c>
      <c r="B1091" t="str">
        <f>IF(AND(LEFT('SR.01.01.07'!$D$35,8)&lt;&gt;"Reported",'SR.01.01.07'!$D$35&lt;&gt;""),Show!$B$16&amp; Show!$B$16&amp;"SR.27.01.01.20 Rows{Z}@ForceFilingCode:false","")</f>
        <v/>
      </c>
    </row>
    <row r="1092" spans="1:2">
      <c r="A1092" t="str">
        <f>IF(AND(LEFT('SR.01.01.07'!$D$35,8)&lt;&gt;"Reported",'SR.01.01.07'!$D$35&lt;&gt;""),Show!$B$16 &amp; "SR.27.01.01.21 Rows{Z}@ForceFilingCode:false","")</f>
        <v/>
      </c>
      <c r="B1092" t="str">
        <f>IF(AND(LEFT('SR.01.01.07'!$D$35,8)&lt;&gt;"Reported",'SR.01.01.07'!$D$35&lt;&gt;""),Show!$B$16&amp; Show!$B$16&amp;"SR.27.01.01.21 Rows{Z}@ForceFilingCode:false","")</f>
        <v/>
      </c>
    </row>
    <row r="1093" spans="1:2">
      <c r="A1093" t="str">
        <f>IF(AND(LEFT('SR.01.01.07'!$D$35,8)&lt;&gt;"Reported",'SR.01.01.07'!$D$35&lt;&gt;""),Show!$B$16 &amp; "SR.27.01.01.22 Rows{Z}@ForceFilingCode:false","")</f>
        <v/>
      </c>
      <c r="B1093" t="str">
        <f>IF(AND(LEFT('SR.01.01.07'!$D$35,8)&lt;&gt;"Reported",'SR.01.01.07'!$D$35&lt;&gt;""),Show!$B$16&amp; Show!$B$16&amp;"SR.27.01.01.22 Rows{Z}@ForceFilingCode:false","")</f>
        <v/>
      </c>
    </row>
    <row r="1094" spans="1:2">
      <c r="A1094" t="str">
        <f>IF(AND(LEFT('SR.01.01.07'!$D$35,8)&lt;&gt;"Reported",'SR.01.01.07'!$D$35&lt;&gt;""),Show!$B$16 &amp; "SR.27.01.01.23 Rows{Z}@ForceFilingCode:false","")</f>
        <v/>
      </c>
      <c r="B1094" t="str">
        <f>IF(AND(LEFT('SR.01.01.07'!$D$35,8)&lt;&gt;"Reported",'SR.01.01.07'!$D$35&lt;&gt;""),Show!$B$16&amp; Show!$B$16&amp;"SR.27.01.01.23 Rows{Z}@ForceFilingCode:false","")</f>
        <v/>
      </c>
    </row>
    <row r="1095" spans="1:2">
      <c r="A1095" t="str">
        <f>IF(AND(LEFT('SR.01.01.07'!$D$35,8)&lt;&gt;"Reported",'SR.01.01.07'!$D$35&lt;&gt;""),Show!$B$16 &amp; "SR.27.01.01.24 Rows{Z}@ForceFilingCode:false","")</f>
        <v/>
      </c>
      <c r="B1095" t="str">
        <f>IF(AND(LEFT('SR.01.01.07'!$D$35,8)&lt;&gt;"Reported",'SR.01.01.07'!$D$35&lt;&gt;""),Show!$B$16&amp; Show!$B$16&amp;"SR.27.01.01.24 Rows{Z}@ForceFilingCode:false","")</f>
        <v/>
      </c>
    </row>
    <row r="1096" spans="1:2">
      <c r="A1096" t="str">
        <f>IF(AND(LEFT('SR.01.01.07'!$D$35,8)&lt;&gt;"Reported",'SR.01.01.07'!$D$35&lt;&gt;""),Show!$B$16 &amp; "SR.27.01.01.25 Rows{Z}@ForceFilingCode:false","")</f>
        <v/>
      </c>
      <c r="B1096" t="str">
        <f>IF(AND(LEFT('SR.01.01.07'!$D$35,8)&lt;&gt;"Reported",'SR.01.01.07'!$D$35&lt;&gt;""),Show!$B$16&amp; Show!$B$16&amp;"SR.27.01.01.25 Rows{Z}@ForceFilingCode:false","")</f>
        <v/>
      </c>
    </row>
    <row r="1097" spans="1:2">
      <c r="A1097" t="str">
        <f>IF(AND(LEFT('SR.01.01.07'!$D$35,8)&lt;&gt;"Reported",'SR.01.01.07'!$D$35&lt;&gt;""),Show!$B$16 &amp; "SR.27.01.01.26 Rows{Z}@ForceFilingCode:false","")</f>
        <v/>
      </c>
      <c r="B1097" t="str">
        <f>IF(AND(LEFT('SR.01.01.07'!$D$35,8)&lt;&gt;"Reported",'SR.01.01.07'!$D$35&lt;&gt;""),Show!$B$16&amp; Show!$B$16&amp;"SR.27.01.01.26 Rows{Z}@ForceFilingCode:false","")</f>
        <v/>
      </c>
    </row>
    <row r="1098" spans="1:2">
      <c r="A1098" t="str">
        <f>IF(AND(LEFT('SR.01.01.07'!$D$35,8)&lt;&gt;"Reported",'SR.01.01.07'!$D$35&lt;&gt;""),Show!$B$16 &amp; "SR.27.01.01.27 Rows{Z}@ForceFilingCode:false","")</f>
        <v/>
      </c>
      <c r="B1098" t="str">
        <f>IF(AND(LEFT('SR.01.01.07'!$D$35,8)&lt;&gt;"Reported",'SR.01.01.07'!$D$35&lt;&gt;""),Show!$B$16&amp; Show!$B$16&amp;"SR.27.01.01.27 Rows{Z}@ForceFilingCode:false","")</f>
        <v/>
      </c>
    </row>
    <row r="1099" spans="1:2">
      <c r="A1099" t="str">
        <f>IF(AND(LEFT('SR.01.01.07'!$D$35,8)&lt;&gt;"Reported",'SR.01.01.07'!$D$35&lt;&gt;""),Show!$B$16 &amp; "SR.27.01.01.28 Rows{Z}@ForceFilingCode:false","")</f>
        <v/>
      </c>
      <c r="B1099" t="str">
        <f>IF(AND(LEFT('SR.01.01.07'!$D$35,8)&lt;&gt;"Reported",'SR.01.01.07'!$D$35&lt;&gt;""),Show!$B$16&amp; Show!$B$16&amp;"SR.27.01.01.28 Rows{Z}@ForceFilingCode:false","")</f>
        <v/>
      </c>
    </row>
    <row r="1100" spans="1:2">
      <c r="A1100" t="str">
        <f>IF(AND(LEFT('SE.01.01.16'!$D$16,8)&lt;&gt;"Reported",'SE.01.01.16'!$D$16&lt;&gt;""),Show!$B$17 &amp; "S.01.02.01.01 Rows{Z}@ForceFilingCode:false","")</f>
        <v/>
      </c>
      <c r="B1100" t="str">
        <f>IF(AND(LEFT('SE.01.01.16'!$D$16,8)&lt;&gt;"Reported",'SE.01.01.16'!$D$16&lt;&gt;""),Show!$B$17&amp; Show!$B$17&amp;"S.01.02.01.01 Rows{Z}@ForceFilingCode:false","")</f>
        <v/>
      </c>
    </row>
    <row r="1101" spans="1:2">
      <c r="A1101" t="str">
        <f>IF(AND(LEFT('SE.01.01.16'!$D$17,8)&lt;&gt;"Reported",'SE.01.01.16'!$D$17&lt;&gt;""),Show!$B$17 &amp; "S.01.03.01.01 Rows{Z}@ForceFilingCode:false","")</f>
        <v/>
      </c>
      <c r="B1101" t="str">
        <f>IF(AND(LEFT('SE.01.01.16'!$D$17,8)&lt;&gt;"Reported",'SE.01.01.16'!$D$17&lt;&gt;""),Show!$B$17&amp; Show!$B$17&amp;"S.01.03.01.01 Rows{Z}@ForceFilingCode:false","")</f>
        <v/>
      </c>
    </row>
    <row r="1102" spans="1:2">
      <c r="A1102" t="str">
        <f>IF(AND(LEFT('SE.01.01.16'!$D$17,8)&lt;&gt;"Reported",'SE.01.01.16'!$D$17&lt;&gt;""),Show!$B$17 &amp; "S.01.03.01.02 Rows{Z}@ForceFilingCode:false","")</f>
        <v/>
      </c>
      <c r="B1102" t="str">
        <f>IF(AND(LEFT('SE.01.01.16'!$D$17,8)&lt;&gt;"Reported",'SE.01.01.16'!$D$17&lt;&gt;""),Show!$B$17&amp; Show!$B$17&amp;"S.01.03.01.02 Rows{Z}@ForceFilingCode:false","")</f>
        <v/>
      </c>
    </row>
    <row r="1103" spans="1:2">
      <c r="A1103" t="str">
        <f>IF(AND(LEFT('SE.01.01.16'!$D$18,8)&lt;&gt;"Reported",'SE.01.01.16'!$D$18&lt;&gt;""),Show!$B$17 &amp; "SE.02.01.16.01 Rows{Z}@ForceFilingCode:false","")</f>
        <v/>
      </c>
      <c r="B1103" t="str">
        <f>IF(AND(LEFT('SE.01.01.16'!$D$18,8)&lt;&gt;"Reported",'SE.01.01.16'!$D$18&lt;&gt;""),Show!$B$17&amp; Show!$B$17&amp;"SE.02.01.16.01 Rows{Z}@ForceFilingCode:false","")</f>
        <v/>
      </c>
    </row>
    <row r="1104" spans="1:2">
      <c r="A1104" t="str">
        <f>IF(AND(LEFT('SE.01.01.16'!$D$19,8)&lt;&gt;"Reported",'SE.01.01.16'!$D$19&lt;&gt;""),Show!$B$17 &amp; "S.02.02.01.01 Rows{Z}@ForceFilingCode:false","")</f>
        <v/>
      </c>
      <c r="B1104" t="str">
        <f>IF(AND(LEFT('SE.01.01.16'!$D$19,8)&lt;&gt;"Reported",'SE.01.01.16'!$D$19&lt;&gt;""),Show!$B$17&amp; Show!$B$17&amp;"S.02.02.01.01 Rows{Z}@ForceFilingCode:false","")</f>
        <v/>
      </c>
    </row>
    <row r="1105" spans="1:2">
      <c r="A1105" t="str">
        <f>IF(AND(LEFT('SE.01.01.16'!$D$19,8)&lt;&gt;"Reported",'SE.01.01.16'!$D$19&lt;&gt;""),Show!$B$17 &amp; "S.02.02.01.02 Rows{Z}@ForceFilingCode:false","")</f>
        <v/>
      </c>
      <c r="B1105" t="str">
        <f>IF(AND(LEFT('SE.01.01.16'!$D$19,8)&lt;&gt;"Reported",'SE.01.01.16'!$D$19&lt;&gt;""),Show!$B$17&amp; Show!$B$17&amp;"S.02.02.01.02 Rows{Z}@ForceFilingCode:false","")</f>
        <v/>
      </c>
    </row>
    <row r="1106" spans="1:2">
      <c r="A1106" t="str">
        <f>IF(AND(LEFT('SE.01.01.16'!$D$20,8)&lt;&gt;"Reported",'SE.01.01.16'!$D$20&lt;&gt;""),Show!$B$17 &amp; "S.03.01.01.01 Rows{Z}@ForceFilingCode:false","")</f>
        <v/>
      </c>
      <c r="B1106" t="str">
        <f>IF(AND(LEFT('SE.01.01.16'!$D$20,8)&lt;&gt;"Reported",'SE.01.01.16'!$D$20&lt;&gt;""),Show!$B$17&amp; Show!$B$17&amp;"S.03.01.01.01 Rows{Z}@ForceFilingCode:false","")</f>
        <v/>
      </c>
    </row>
    <row r="1107" spans="1:2">
      <c r="A1107" t="str">
        <f>IF(AND(LEFT('SE.01.01.16'!$D$20,8)&lt;&gt;"Reported",'SE.01.01.16'!$D$20&lt;&gt;""),Show!$B$17 &amp; "S.03.01.01.02 Rows{Z}@ForceFilingCode:false","")</f>
        <v/>
      </c>
      <c r="B1107" t="str">
        <f>IF(AND(LEFT('SE.01.01.16'!$D$20,8)&lt;&gt;"Reported",'SE.01.01.16'!$D$20&lt;&gt;""),Show!$B$17&amp; Show!$B$17&amp;"S.03.01.01.02 Rows{Z}@ForceFilingCode:false","")</f>
        <v/>
      </c>
    </row>
    <row r="1108" spans="1:2">
      <c r="A1108" t="str">
        <f>IF(AND(LEFT('SE.01.01.16'!$D$21,8)&lt;&gt;"Reported",'SE.01.01.16'!$D$21&lt;&gt;""),Show!$B$17 &amp; "S.03.02.01.01 Rows{Z}@ForceFilingCode:false","")</f>
        <v/>
      </c>
      <c r="B1108" t="str">
        <f>IF(AND(LEFT('SE.01.01.16'!$D$21,8)&lt;&gt;"Reported",'SE.01.01.16'!$D$21&lt;&gt;""),Show!$B$17&amp; Show!$B$17&amp;"S.03.02.01.01 Rows{Z}@ForceFilingCode:false","")</f>
        <v/>
      </c>
    </row>
    <row r="1109" spans="1:2">
      <c r="A1109" t="str">
        <f>IF(AND(LEFT('SE.01.01.16'!$D$22,8)&lt;&gt;"Reported",'SE.01.01.16'!$D$22&lt;&gt;""),Show!$B$17 &amp; "S.03.03.01.01 Rows{Z}@ForceFilingCode:false","")</f>
        <v/>
      </c>
      <c r="B1109" t="str">
        <f>IF(AND(LEFT('SE.01.01.16'!$D$22,8)&lt;&gt;"Reported",'SE.01.01.16'!$D$22&lt;&gt;""),Show!$B$17&amp; Show!$B$17&amp;"S.03.03.01.01 Rows{Z}@ForceFilingCode:false","")</f>
        <v/>
      </c>
    </row>
    <row r="1110" spans="1:2">
      <c r="A1110" t="str">
        <f>IF(AND(LEFT('SE.01.01.16'!$D$23,8)&lt;&gt;"Reported",'SE.01.01.16'!$D$23&lt;&gt;""),Show!$B$17 &amp; "S.04.01.01.01 Rows{Z}@ForceFilingCode:false","")</f>
        <v/>
      </c>
      <c r="B1110" t="str">
        <f>IF(AND(LEFT('SE.01.01.16'!$D$23,8)&lt;&gt;"Reported",'SE.01.01.16'!$D$23&lt;&gt;""),Show!$B$17&amp; Show!$B$17&amp;"S.04.01.01.01 Rows{Z}@ForceFilingCode:false","")</f>
        <v/>
      </c>
    </row>
    <row r="1111" spans="1:2">
      <c r="A1111" t="str">
        <f>IF(AND(LEFT('SE.01.01.16'!$D$23,8)&lt;&gt;"Reported",'SE.01.01.16'!$D$23&lt;&gt;""),Show!$B$17 &amp; "S.04.01.01.02 Rows{Z}@ForceFilingCode:false","")</f>
        <v/>
      </c>
      <c r="B1111" t="str">
        <f>IF(AND(LEFT('SE.01.01.16'!$D$23,8)&lt;&gt;"Reported",'SE.01.01.16'!$D$23&lt;&gt;""),Show!$B$17&amp; Show!$B$17&amp;"S.04.01.01.02 Rows{Z}@ForceFilingCode:false","")</f>
        <v/>
      </c>
    </row>
    <row r="1112" spans="1:2">
      <c r="A1112" t="str">
        <f>IF(AND(LEFT('SE.01.01.16'!$D$23,8)&lt;&gt;"Reported",'SE.01.01.16'!$D$23&lt;&gt;""),Show!$B$17 &amp; "S.04.01.01.03 Rows{Z}@ForceFilingCode:false","")</f>
        <v/>
      </c>
      <c r="B1112" t="str">
        <f>IF(AND(LEFT('SE.01.01.16'!$D$23,8)&lt;&gt;"Reported",'SE.01.01.16'!$D$23&lt;&gt;""),Show!$B$17&amp; Show!$B$17&amp;"S.04.01.01.03 Rows{Z}@ForceFilingCode:false","")</f>
        <v/>
      </c>
    </row>
    <row r="1113" spans="1:2">
      <c r="A1113" t="str">
        <f>IF(AND(LEFT('SE.01.01.16'!$D$23,8)&lt;&gt;"Reported",'SE.01.01.16'!$D$23&lt;&gt;""),Show!$B$17 &amp; "S.04.01.01.04 Rows{Z}@ForceFilingCode:false","")</f>
        <v/>
      </c>
      <c r="B1113" t="str">
        <f>IF(AND(LEFT('SE.01.01.16'!$D$23,8)&lt;&gt;"Reported",'SE.01.01.16'!$D$23&lt;&gt;""),Show!$B$17&amp; Show!$B$17&amp;"S.04.01.01.04 Rows{Z}@ForceFilingCode:false","")</f>
        <v/>
      </c>
    </row>
    <row r="1114" spans="1:2">
      <c r="A1114" t="str">
        <f>IF(AND(LEFT('SE.01.01.16'!$D$24,8)&lt;&gt;"Reported",'SE.01.01.16'!$D$24&lt;&gt;""),Show!$B$17 &amp; "S.04.02.01.01 Rows{Z}@ForceFilingCode:false","")</f>
        <v/>
      </c>
      <c r="B1114" t="str">
        <f>IF(AND(LEFT('SE.01.01.16'!$D$24,8)&lt;&gt;"Reported",'SE.01.01.16'!$D$24&lt;&gt;""),Show!$B$17&amp; Show!$B$17&amp;"S.04.02.01.01 Rows{Z}@ForceFilingCode:false","")</f>
        <v/>
      </c>
    </row>
    <row r="1115" spans="1:2">
      <c r="A1115" t="str">
        <f>IF(AND(LEFT('SE.01.01.16'!$D$24,8)&lt;&gt;"Reported",'SE.01.01.16'!$D$24&lt;&gt;""),Show!$B$17 &amp; "S.04.02.01.02 Rows{Z}@ForceFilingCode:false","")</f>
        <v/>
      </c>
      <c r="B1115" t="str">
        <f>IF(AND(LEFT('SE.01.01.16'!$D$24,8)&lt;&gt;"Reported",'SE.01.01.16'!$D$24&lt;&gt;""),Show!$B$17&amp; Show!$B$17&amp;"S.04.02.01.02 Rows{Z}@ForceFilingCode:false","")</f>
        <v/>
      </c>
    </row>
    <row r="1116" spans="1:2">
      <c r="A1116" t="str">
        <f>IF(AND(LEFT('SE.01.01.16'!$D$25,8)&lt;&gt;"Reported",'SE.01.01.16'!$D$25&lt;&gt;""),Show!$B$17 &amp; "S.05.01.01.01 Rows{Z}@ForceFilingCode:false","")</f>
        <v/>
      </c>
      <c r="B1116" t="str">
        <f>IF(AND(LEFT('SE.01.01.16'!$D$25,8)&lt;&gt;"Reported",'SE.01.01.16'!$D$25&lt;&gt;""),Show!$B$17&amp; Show!$B$17&amp;"S.05.01.01.01 Rows{Z}@ForceFilingCode:false","")</f>
        <v/>
      </c>
    </row>
    <row r="1117" spans="1:2">
      <c r="A1117" t="str">
        <f>IF(AND(LEFT('SE.01.01.16'!$D$25,8)&lt;&gt;"Reported",'SE.01.01.16'!$D$25&lt;&gt;""),Show!$B$17 &amp; "S.05.01.01.02 Rows{Z}@ForceFilingCode:false","")</f>
        <v/>
      </c>
      <c r="B1117" t="str">
        <f>IF(AND(LEFT('SE.01.01.16'!$D$25,8)&lt;&gt;"Reported",'SE.01.01.16'!$D$25&lt;&gt;""),Show!$B$17&amp; Show!$B$17&amp;"S.05.01.01.02 Rows{Z}@ForceFilingCode:false","")</f>
        <v/>
      </c>
    </row>
    <row r="1118" spans="1:2">
      <c r="A1118" t="str">
        <f>IF(AND(LEFT('SE.01.01.16'!$D$26,8)&lt;&gt;"Reported",'SE.01.01.16'!$D$26&lt;&gt;""),Show!$B$17 &amp; "S.05.02.01.01 Rows{Z}@ForceFilingCode:false","")</f>
        <v/>
      </c>
      <c r="B1118" t="str">
        <f>IF(AND(LEFT('SE.01.01.16'!$D$26,8)&lt;&gt;"Reported",'SE.01.01.16'!$D$26&lt;&gt;""),Show!$B$17&amp; Show!$B$17&amp;"S.05.02.01.01 Rows{Z}@ForceFilingCode:false","")</f>
        <v/>
      </c>
    </row>
    <row r="1119" spans="1:2">
      <c r="A1119" t="str">
        <f>IF(AND(LEFT('SE.01.01.16'!$D$26,8)&lt;&gt;"Reported",'SE.01.01.16'!$D$26&lt;&gt;""),Show!$B$17 &amp; "S.05.02.01.02 Rows{Z}@ForceFilingCode:false","")</f>
        <v/>
      </c>
      <c r="B1119" t="str">
        <f>IF(AND(LEFT('SE.01.01.16'!$D$26,8)&lt;&gt;"Reported",'SE.01.01.16'!$D$26&lt;&gt;""),Show!$B$17&amp; Show!$B$17&amp;"S.05.02.01.02 Rows{Z}@ForceFilingCode:false","")</f>
        <v/>
      </c>
    </row>
    <row r="1120" spans="1:2">
      <c r="A1120" t="str">
        <f>IF(AND(LEFT('SE.01.01.16'!$D$26,8)&lt;&gt;"Reported",'SE.01.01.16'!$D$26&lt;&gt;""),Show!$B$17 &amp; "S.05.02.01.03 Rows{Z}@ForceFilingCode:false","")</f>
        <v/>
      </c>
      <c r="B1120" t="str">
        <f>IF(AND(LEFT('SE.01.01.16'!$D$26,8)&lt;&gt;"Reported",'SE.01.01.16'!$D$26&lt;&gt;""),Show!$B$17&amp; Show!$B$17&amp;"S.05.02.01.03 Rows{Z}@ForceFilingCode:false","")</f>
        <v/>
      </c>
    </row>
    <row r="1121" spans="1:2">
      <c r="A1121" t="str">
        <f>IF(AND(LEFT('SE.01.01.16'!$D$26,8)&lt;&gt;"Reported",'SE.01.01.16'!$D$26&lt;&gt;""),Show!$B$17 &amp; "S.05.02.01.04 Rows{Z}@ForceFilingCode:false","")</f>
        <v/>
      </c>
      <c r="B1121" t="str">
        <f>IF(AND(LEFT('SE.01.01.16'!$D$26,8)&lt;&gt;"Reported",'SE.01.01.16'!$D$26&lt;&gt;""),Show!$B$17&amp; Show!$B$17&amp;"S.05.02.01.04 Rows{Z}@ForceFilingCode:false","")</f>
        <v/>
      </c>
    </row>
    <row r="1122" spans="1:2">
      <c r="A1122" t="str">
        <f>IF(AND(LEFT('SE.01.01.16'!$D$26,8)&lt;&gt;"Reported",'SE.01.01.16'!$D$26&lt;&gt;""),Show!$B$17 &amp; "S.05.02.01.05 Rows{Z}@ForceFilingCode:false","")</f>
        <v/>
      </c>
      <c r="B1122" t="str">
        <f>IF(AND(LEFT('SE.01.01.16'!$D$26,8)&lt;&gt;"Reported",'SE.01.01.16'!$D$26&lt;&gt;""),Show!$B$17&amp; Show!$B$17&amp;"S.05.02.01.05 Rows{Z}@ForceFilingCode:false","")</f>
        <v/>
      </c>
    </row>
    <row r="1123" spans="1:2">
      <c r="A1123" t="str">
        <f>IF(AND(LEFT('SE.01.01.16'!$D$26,8)&lt;&gt;"Reported",'SE.01.01.16'!$D$26&lt;&gt;""),Show!$B$17 &amp; "S.05.02.01.06 Rows{Z}@ForceFilingCode:false","")</f>
        <v/>
      </c>
      <c r="B1123" t="str">
        <f>IF(AND(LEFT('SE.01.01.16'!$D$26,8)&lt;&gt;"Reported",'SE.01.01.16'!$D$26&lt;&gt;""),Show!$B$17&amp; Show!$B$17&amp;"S.05.02.01.06 Rows{Z}@ForceFilingCode:false","")</f>
        <v/>
      </c>
    </row>
    <row r="1124" spans="1:2">
      <c r="A1124" t="str">
        <f>IF(AND(LEFT('SE.01.01.16'!$D$27,8)&lt;&gt;"Reported",'SE.01.01.16'!$D$27&lt;&gt;""),Show!$B$17 &amp; "S.06.01.01.01 Rows{Z}@ForceFilingCode:false","")</f>
        <v/>
      </c>
      <c r="B1124" t="str">
        <f>IF(AND(LEFT('SE.01.01.16'!$D$27,8)&lt;&gt;"Reported",'SE.01.01.16'!$D$27&lt;&gt;""),Show!$B$17&amp; Show!$B$17&amp;"S.06.01.01.01 Rows{Z}@ForceFilingCode:false","")</f>
        <v/>
      </c>
    </row>
    <row r="1125" spans="1:2">
      <c r="A1125" t="str">
        <f>IF(AND(LEFT('SE.01.01.16'!$D$28,8)&lt;&gt;"Reported",'SE.01.01.16'!$D$28&lt;&gt;""),Show!$B$17 &amp; "SE.06.02.16.01 Rows{Z}@ForceFilingCode:false","")</f>
        <v/>
      </c>
      <c r="B1125" t="str">
        <f>IF(AND(LEFT('SE.01.01.16'!$D$28,8)&lt;&gt;"Reported",'SE.01.01.16'!$D$28&lt;&gt;""),Show!$B$17&amp; Show!$B$17&amp;"SE.06.02.16.01 Rows{Z}@ForceFilingCode:false","")</f>
        <v/>
      </c>
    </row>
    <row r="1126" spans="1:2">
      <c r="A1126" t="str">
        <f>IF(AND(LEFT('SE.01.01.16'!$D$28,8)&lt;&gt;"Reported",'SE.01.01.16'!$D$28&lt;&gt;""),Show!$B$17 &amp; "SE.06.02.16.02 Rows{Z}@ForceFilingCode:false","")</f>
        <v/>
      </c>
      <c r="B1126" t="str">
        <f>IF(AND(LEFT('SE.01.01.16'!$D$28,8)&lt;&gt;"Reported",'SE.01.01.16'!$D$28&lt;&gt;""),Show!$B$17&amp; Show!$B$17&amp;"SE.06.02.16.02 Rows{Z}@ForceFilingCode:false","")</f>
        <v/>
      </c>
    </row>
    <row r="1127" spans="1:2">
      <c r="A1127" t="str">
        <f>IF(AND(LEFT('SE.01.01.16'!$D$29,8)&lt;&gt;"Reported",'SE.01.01.16'!$D$29&lt;&gt;""),Show!$B$17 &amp; "S.06.03.01.01 Rows{Z}@ForceFilingCode:false","")</f>
        <v/>
      </c>
      <c r="B1127" t="str">
        <f>IF(AND(LEFT('SE.01.01.16'!$D$29,8)&lt;&gt;"Reported",'SE.01.01.16'!$D$29&lt;&gt;""),Show!$B$17&amp; Show!$B$17&amp;"S.06.03.01.01 Rows{Z}@ForceFilingCode:false","")</f>
        <v/>
      </c>
    </row>
    <row r="1128" spans="1:2">
      <c r="A1128" t="str">
        <f>IF(AND(LEFT('SE.01.01.16'!$D$30,8)&lt;&gt;"Reported",'SE.01.01.16'!$D$30&lt;&gt;""),Show!$B$17 &amp; "S.07.01.01.01 Rows{Z}@ForceFilingCode:false","")</f>
        <v/>
      </c>
      <c r="B1128" t="str">
        <f>IF(AND(LEFT('SE.01.01.16'!$D$30,8)&lt;&gt;"Reported",'SE.01.01.16'!$D$30&lt;&gt;""),Show!$B$17&amp; Show!$B$17&amp;"S.07.01.01.01 Rows{Z}@ForceFilingCode:false","")</f>
        <v/>
      </c>
    </row>
    <row r="1129" spans="1:2">
      <c r="A1129" t="str">
        <f>IF(AND(LEFT('SE.01.01.16'!$D$31,8)&lt;&gt;"Reported",'SE.01.01.16'!$D$31&lt;&gt;""),Show!$B$17 &amp; "S.08.01.01.01 Rows{Z}@ForceFilingCode:false","")</f>
        <v/>
      </c>
      <c r="B1129" t="str">
        <f>IF(AND(LEFT('SE.01.01.16'!$D$31,8)&lt;&gt;"Reported",'SE.01.01.16'!$D$31&lt;&gt;""),Show!$B$17&amp; Show!$B$17&amp;"S.08.01.01.01 Rows{Z}@ForceFilingCode:false","")</f>
        <v/>
      </c>
    </row>
    <row r="1130" spans="1:2">
      <c r="A1130" t="str">
        <f>IF(AND(LEFT('SE.01.01.16'!$D$31,8)&lt;&gt;"Reported",'SE.01.01.16'!$D$31&lt;&gt;""),Show!$B$17 &amp; "S.08.01.01.02 Rows{Z}@ForceFilingCode:false","")</f>
        <v/>
      </c>
      <c r="B1130" t="str">
        <f>IF(AND(LEFT('SE.01.01.16'!$D$31,8)&lt;&gt;"Reported",'SE.01.01.16'!$D$31&lt;&gt;""),Show!$B$17&amp; Show!$B$17&amp;"S.08.01.01.02 Rows{Z}@ForceFilingCode:false","")</f>
        <v/>
      </c>
    </row>
    <row r="1131" spans="1:2">
      <c r="A1131" t="str">
        <f>IF(AND(LEFT('SE.01.01.16'!$D$32,8)&lt;&gt;"Reported",'SE.01.01.16'!$D$32&lt;&gt;""),Show!$B$17 &amp; "S.08.02.01.01 Rows{Z}@ForceFilingCode:false","")</f>
        <v/>
      </c>
      <c r="B1131" t="str">
        <f>IF(AND(LEFT('SE.01.01.16'!$D$32,8)&lt;&gt;"Reported",'SE.01.01.16'!$D$32&lt;&gt;""),Show!$B$17&amp; Show!$B$17&amp;"S.08.02.01.01 Rows{Z}@ForceFilingCode:false","")</f>
        <v/>
      </c>
    </row>
    <row r="1132" spans="1:2">
      <c r="A1132" t="str">
        <f>IF(AND(LEFT('SE.01.01.16'!$D$32,8)&lt;&gt;"Reported",'SE.01.01.16'!$D$32&lt;&gt;""),Show!$B$17 &amp; "S.08.02.01.02 Rows{Z}@ForceFilingCode:false","")</f>
        <v/>
      </c>
      <c r="B1132" t="str">
        <f>IF(AND(LEFT('SE.01.01.16'!$D$32,8)&lt;&gt;"Reported",'SE.01.01.16'!$D$32&lt;&gt;""),Show!$B$17&amp; Show!$B$17&amp;"S.08.02.01.02 Rows{Z}@ForceFilingCode:false","")</f>
        <v/>
      </c>
    </row>
    <row r="1133" spans="1:2">
      <c r="A1133" t="str">
        <f>IF(AND(LEFT('SE.01.01.16'!$D$33,8)&lt;&gt;"Reported",'SE.01.01.16'!$D$33&lt;&gt;""),Show!$B$17 &amp; "S.09.01.01.01 Rows{Z}@ForceFilingCode:false","")</f>
        <v/>
      </c>
      <c r="B1133" t="str">
        <f>IF(AND(LEFT('SE.01.01.16'!$D$33,8)&lt;&gt;"Reported",'SE.01.01.16'!$D$33&lt;&gt;""),Show!$B$17&amp; Show!$B$17&amp;"S.09.01.01.01 Rows{Z}@ForceFilingCode:false","")</f>
        <v/>
      </c>
    </row>
    <row r="1134" spans="1:2">
      <c r="A1134" t="str">
        <f>IF(AND(LEFT('SE.01.01.16'!$D$34,8)&lt;&gt;"Reported",'SE.01.01.16'!$D$34&lt;&gt;""),Show!$B$17 &amp; "S.10.01.01.01 Rows{Z}@ForceFilingCode:false","")</f>
        <v/>
      </c>
      <c r="B1134" t="str">
        <f>IF(AND(LEFT('SE.01.01.16'!$D$34,8)&lt;&gt;"Reported",'SE.01.01.16'!$D$34&lt;&gt;""),Show!$B$17&amp; Show!$B$17&amp;"S.10.01.01.01 Rows{Z}@ForceFilingCode:false","")</f>
        <v/>
      </c>
    </row>
    <row r="1135" spans="1:2">
      <c r="A1135" t="str">
        <f>IF(AND(LEFT('SE.01.01.16'!$D$35,8)&lt;&gt;"Reported",'SE.01.01.16'!$D$35&lt;&gt;""),Show!$B$17 &amp; "S.11.01.01.01 Rows{Z}@ForceFilingCode:false","")</f>
        <v/>
      </c>
      <c r="B1135" t="str">
        <f>IF(AND(LEFT('SE.01.01.16'!$D$35,8)&lt;&gt;"Reported",'SE.01.01.16'!$D$35&lt;&gt;""),Show!$B$17&amp; Show!$B$17&amp;"S.11.01.01.01 Rows{Z}@ForceFilingCode:false","")</f>
        <v/>
      </c>
    </row>
    <row r="1136" spans="1:2">
      <c r="A1136" t="str">
        <f>IF(AND(LEFT('SE.01.01.16'!$D$35,8)&lt;&gt;"Reported",'SE.01.01.16'!$D$35&lt;&gt;""),Show!$B$17 &amp; "S.11.01.01.02 Rows{Z}@ForceFilingCode:false","")</f>
        <v/>
      </c>
      <c r="B1136" t="str">
        <f>IF(AND(LEFT('SE.01.01.16'!$D$35,8)&lt;&gt;"Reported",'SE.01.01.16'!$D$35&lt;&gt;""),Show!$B$17&amp; Show!$B$17&amp;"S.11.01.01.02 Rows{Z}@ForceFilingCode:false","")</f>
        <v/>
      </c>
    </row>
    <row r="1137" spans="1:2">
      <c r="A1137" t="str">
        <f>IF(AND(LEFT('SE.01.01.16'!$D$36,8)&lt;&gt;"Reported",'SE.01.01.16'!$D$36&lt;&gt;""),Show!$B$17 &amp; "S.12.01.01.01 Rows{Z}@ForceFilingCode:false","")</f>
        <v/>
      </c>
      <c r="B1137" t="str">
        <f>IF(AND(LEFT('SE.01.01.16'!$D$36,8)&lt;&gt;"Reported",'SE.01.01.16'!$D$36&lt;&gt;""),Show!$B$17&amp; Show!$B$17&amp;"S.12.01.01.01 Rows{Z}@ForceFilingCode:false","")</f>
        <v/>
      </c>
    </row>
    <row r="1138" spans="1:2">
      <c r="A1138" t="str">
        <f>IF(AND(LEFT('SE.01.01.16'!$D$37,8)&lt;&gt;"Reported",'SE.01.01.16'!$D$37&lt;&gt;""),Show!$B$17 &amp; "S.12.02.01.01 Rows{Z}@ForceFilingCode:false","")</f>
        <v/>
      </c>
      <c r="B1138" t="str">
        <f>IF(AND(LEFT('SE.01.01.16'!$D$37,8)&lt;&gt;"Reported",'SE.01.01.16'!$D$37&lt;&gt;""),Show!$B$17&amp; Show!$B$17&amp;"S.12.02.01.01 Rows{Z}@ForceFilingCode:false","")</f>
        <v/>
      </c>
    </row>
    <row r="1139" spans="1:2">
      <c r="A1139" t="str">
        <f>IF(AND(LEFT('SE.01.01.16'!$D$37,8)&lt;&gt;"Reported",'SE.01.01.16'!$D$37&lt;&gt;""),Show!$B$17 &amp; "S.12.02.01.02 Rows{Z}@ForceFilingCode:false","")</f>
        <v/>
      </c>
      <c r="B1139" t="str">
        <f>IF(AND(LEFT('SE.01.01.16'!$D$37,8)&lt;&gt;"Reported",'SE.01.01.16'!$D$37&lt;&gt;""),Show!$B$17&amp; Show!$B$17&amp;"S.12.02.01.02 Rows{Z}@ForceFilingCode:false","")</f>
        <v/>
      </c>
    </row>
    <row r="1140" spans="1:2">
      <c r="A1140" t="str">
        <f>IF(AND(LEFT('SE.01.01.16'!$D$38,8)&lt;&gt;"Reported",'SE.01.01.16'!$D$38&lt;&gt;""),Show!$B$17 &amp; "S.13.01.01.01 Rows{Z}@ForceFilingCode:false","")</f>
        <v/>
      </c>
      <c r="B1140" t="str">
        <f>IF(AND(LEFT('SE.01.01.16'!$D$38,8)&lt;&gt;"Reported",'SE.01.01.16'!$D$38&lt;&gt;""),Show!$B$17&amp; Show!$B$17&amp;"S.13.01.01.01 Rows{Z}@ForceFilingCode:false","")</f>
        <v/>
      </c>
    </row>
    <row r="1141" spans="1:2">
      <c r="A1141" t="str">
        <f>IF(AND(LEFT('SE.01.01.16'!$D$39,8)&lt;&gt;"Reported",'SE.01.01.16'!$D$39&lt;&gt;""),Show!$B$17 &amp; "S.14.01.01.01 Rows{Z}@ForceFilingCode:false","")</f>
        <v/>
      </c>
      <c r="B1141" t="str">
        <f>IF(AND(LEFT('SE.01.01.16'!$D$39,8)&lt;&gt;"Reported",'SE.01.01.16'!$D$39&lt;&gt;""),Show!$B$17&amp; Show!$B$17&amp;"S.14.01.01.01 Rows{Z}@ForceFilingCode:false","")</f>
        <v/>
      </c>
    </row>
    <row r="1142" spans="1:2">
      <c r="A1142" t="str">
        <f>IF(AND(LEFT('SE.01.01.16'!$D$39,8)&lt;&gt;"Reported",'SE.01.01.16'!$D$39&lt;&gt;""),Show!$B$17 &amp; "S.14.01.01.02 Rows{Z}@ForceFilingCode:false","")</f>
        <v/>
      </c>
      <c r="B1142" t="str">
        <f>IF(AND(LEFT('SE.01.01.16'!$D$39,8)&lt;&gt;"Reported",'SE.01.01.16'!$D$39&lt;&gt;""),Show!$B$17&amp; Show!$B$17&amp;"S.14.01.01.02 Rows{Z}@ForceFilingCode:false","")</f>
        <v/>
      </c>
    </row>
    <row r="1143" spans="1:2">
      <c r="A1143" t="str">
        <f>IF(AND(LEFT('SE.01.01.16'!$D$39,8)&lt;&gt;"Reported",'SE.01.01.16'!$D$39&lt;&gt;""),Show!$B$17 &amp; "S.14.01.01.03 Rows{Z}@ForceFilingCode:false","")</f>
        <v/>
      </c>
      <c r="B1143" t="str">
        <f>IF(AND(LEFT('SE.01.01.16'!$D$39,8)&lt;&gt;"Reported",'SE.01.01.16'!$D$39&lt;&gt;""),Show!$B$17&amp; Show!$B$17&amp;"S.14.01.01.03 Rows{Z}@ForceFilingCode:false","")</f>
        <v/>
      </c>
    </row>
    <row r="1144" spans="1:2">
      <c r="A1144" t="str">
        <f>IF(AND(LEFT('SE.01.01.16'!$D$39,8)&lt;&gt;"Reported",'SE.01.01.16'!$D$39&lt;&gt;""),Show!$B$17 &amp; "S.14.01.01.04 Rows{Z}@ForceFilingCode:false","")</f>
        <v/>
      </c>
      <c r="B1144" t="str">
        <f>IF(AND(LEFT('SE.01.01.16'!$D$39,8)&lt;&gt;"Reported",'SE.01.01.16'!$D$39&lt;&gt;""),Show!$B$17&amp; Show!$B$17&amp;"S.14.01.01.04 Rows{Z}@ForceFilingCode:false","")</f>
        <v/>
      </c>
    </row>
    <row r="1145" spans="1:2">
      <c r="A1145" t="str">
        <f>IF(AND(LEFT('SE.01.01.16'!$D$40,8)&lt;&gt;"Reported",'SE.01.01.16'!$D$40&lt;&gt;""),Show!$B$17 &amp; "S.15.01.01.01 Rows{Z}@ForceFilingCode:false","")</f>
        <v/>
      </c>
      <c r="B1145" t="str">
        <f>IF(AND(LEFT('SE.01.01.16'!$D$40,8)&lt;&gt;"Reported",'SE.01.01.16'!$D$40&lt;&gt;""),Show!$B$17&amp; Show!$B$17&amp;"S.15.01.01.01 Rows{Z}@ForceFilingCode:false","")</f>
        <v/>
      </c>
    </row>
    <row r="1146" spans="1:2">
      <c r="A1146" t="str">
        <f>IF(AND(LEFT('SE.01.01.16'!$D$41,8)&lt;&gt;"Reported",'SE.01.01.16'!$D$41&lt;&gt;""),Show!$B$17 &amp; "S.15.02.01.01 Rows{Z}@ForceFilingCode:false","")</f>
        <v/>
      </c>
      <c r="B1146" t="str">
        <f>IF(AND(LEFT('SE.01.01.16'!$D$41,8)&lt;&gt;"Reported",'SE.01.01.16'!$D$41&lt;&gt;""),Show!$B$17&amp; Show!$B$17&amp;"S.15.02.01.01 Rows{Z}@ForceFilingCode:false","")</f>
        <v/>
      </c>
    </row>
    <row r="1147" spans="1:2">
      <c r="A1147" t="str">
        <f>IF(AND(LEFT('SE.01.01.16'!$D$42,8)&lt;&gt;"Reported",'SE.01.01.16'!$D$42&lt;&gt;""),Show!$B$17 &amp; "S.16.01.01.01 Rows{Z}@ForceFilingCode:false","")</f>
        <v/>
      </c>
      <c r="B1147" t="str">
        <f>IF(AND(LEFT('SE.01.01.16'!$D$42,8)&lt;&gt;"Reported",'SE.01.01.16'!$D$42&lt;&gt;""),Show!$B$17&amp; Show!$B$17&amp;"S.16.01.01.01 Rows{Z}@ForceFilingCode:false","")</f>
        <v/>
      </c>
    </row>
    <row r="1148" spans="1:2">
      <c r="A1148" t="str">
        <f>IF(AND(LEFT('SE.01.01.16'!$D$42,8)&lt;&gt;"Reported",'SE.01.01.16'!$D$42&lt;&gt;""),Show!$B$17 &amp; "S.16.01.01.02 Rows{Z}@ForceFilingCode:false","")</f>
        <v/>
      </c>
      <c r="B1148" t="str">
        <f>IF(AND(LEFT('SE.01.01.16'!$D$42,8)&lt;&gt;"Reported",'SE.01.01.16'!$D$42&lt;&gt;""),Show!$B$17&amp; Show!$B$17&amp;"S.16.01.01.02 Rows{Z}@ForceFilingCode:false","")</f>
        <v/>
      </c>
    </row>
    <row r="1149" spans="1:2">
      <c r="A1149" t="str">
        <f>IF(AND(LEFT('SE.01.01.16'!$D$43,8)&lt;&gt;"Reported",'SE.01.01.16'!$D$43&lt;&gt;""),Show!$B$17 &amp; "S.17.01.01.01 Rows{Z}@ForceFilingCode:false","")</f>
        <v/>
      </c>
      <c r="B1149" t="str">
        <f>IF(AND(LEFT('SE.01.01.16'!$D$43,8)&lt;&gt;"Reported",'SE.01.01.16'!$D$43&lt;&gt;""),Show!$B$17&amp; Show!$B$17&amp;"S.17.01.01.01 Rows{Z}@ForceFilingCode:false","")</f>
        <v/>
      </c>
    </row>
    <row r="1150" spans="1:2">
      <c r="A1150" t="str">
        <f>IF(AND(LEFT('SE.01.01.16'!$D$44,8)&lt;&gt;"Reported",'SE.01.01.16'!$D$44&lt;&gt;""),Show!$B$17 &amp; "S.17.02.01.01 Rows{Z}@ForceFilingCode:false","")</f>
        <v/>
      </c>
      <c r="B1150" t="str">
        <f>IF(AND(LEFT('SE.01.01.16'!$D$44,8)&lt;&gt;"Reported",'SE.01.01.16'!$D$44&lt;&gt;""),Show!$B$17&amp; Show!$B$17&amp;"S.17.02.01.01 Rows{Z}@ForceFilingCode:false","")</f>
        <v/>
      </c>
    </row>
    <row r="1151" spans="1:2">
      <c r="A1151" t="str">
        <f>IF(AND(LEFT('SE.01.01.16'!$D$44,8)&lt;&gt;"Reported",'SE.01.01.16'!$D$44&lt;&gt;""),Show!$B$17 &amp; "S.17.02.01.02 Rows{Z}@ForceFilingCode:false","")</f>
        <v/>
      </c>
      <c r="B1151" t="str">
        <f>IF(AND(LEFT('SE.01.01.16'!$D$44,8)&lt;&gt;"Reported",'SE.01.01.16'!$D$44&lt;&gt;""),Show!$B$17&amp; Show!$B$17&amp;"S.17.02.01.02 Rows{Z}@ForceFilingCode:false","")</f>
        <v/>
      </c>
    </row>
    <row r="1152" spans="1:2">
      <c r="A1152" t="str">
        <f>IF(AND(LEFT('SE.01.01.16'!$D$45,8)&lt;&gt;"Reported",'SE.01.01.16'!$D$45&lt;&gt;""),Show!$B$17 &amp; "S.18.01.01.01 Rows{Z}@ForceFilingCode:false","")</f>
        <v/>
      </c>
      <c r="B1152" t="str">
        <f>IF(AND(LEFT('SE.01.01.16'!$D$45,8)&lt;&gt;"Reported",'SE.01.01.16'!$D$45&lt;&gt;""),Show!$B$17&amp; Show!$B$17&amp;"S.18.01.01.01 Rows{Z}@ForceFilingCode:false","")</f>
        <v/>
      </c>
    </row>
    <row r="1153" spans="1:2">
      <c r="A1153" t="str">
        <f>IF(AND(LEFT('SE.01.01.16'!$D$46,8)&lt;&gt;"Reported",'SE.01.01.16'!$D$46&lt;&gt;""),Show!$B$17 &amp; "S.19.01.01.01 Rows{Z}@ForceFilingCode:false","")</f>
        <v/>
      </c>
      <c r="B1153" t="str">
        <f>IF(AND(LEFT('SE.01.01.16'!$D$46,8)&lt;&gt;"Reported",'SE.01.01.16'!$D$46&lt;&gt;""),Show!$B$17&amp; Show!$B$17&amp;"S.19.01.01.01 Rows{Z}@ForceFilingCode:false","")</f>
        <v/>
      </c>
    </row>
    <row r="1154" spans="1:2">
      <c r="A1154" t="str">
        <f>IF(AND(LEFT('SE.01.01.16'!$D$46,8)&lt;&gt;"Reported",'SE.01.01.16'!$D$46&lt;&gt;""),Show!$B$17 &amp; "S.19.01.01.02 Rows{Z}@ForceFilingCode:false","")</f>
        <v/>
      </c>
      <c r="B1154" t="str">
        <f>IF(AND(LEFT('SE.01.01.16'!$D$46,8)&lt;&gt;"Reported",'SE.01.01.16'!$D$46&lt;&gt;""),Show!$B$17&amp; Show!$B$17&amp;"S.19.01.01.02 Rows{Z}@ForceFilingCode:false","")</f>
        <v/>
      </c>
    </row>
    <row r="1155" spans="1:2">
      <c r="A1155" t="str">
        <f>IF(AND(LEFT('SE.01.01.16'!$D$46,8)&lt;&gt;"Reported",'SE.01.01.16'!$D$46&lt;&gt;""),Show!$B$17 &amp; "S.19.01.01.03 Rows{Z}@ForceFilingCode:false","")</f>
        <v/>
      </c>
      <c r="B1155" t="str">
        <f>IF(AND(LEFT('SE.01.01.16'!$D$46,8)&lt;&gt;"Reported",'SE.01.01.16'!$D$46&lt;&gt;""),Show!$B$17&amp; Show!$B$17&amp;"S.19.01.01.03 Rows{Z}@ForceFilingCode:false","")</f>
        <v/>
      </c>
    </row>
    <row r="1156" spans="1:2">
      <c r="A1156" t="str">
        <f>IF(AND(LEFT('SE.01.01.16'!$D$46,8)&lt;&gt;"Reported",'SE.01.01.16'!$D$46&lt;&gt;""),Show!$B$17 &amp; "S.19.01.01.04 Rows{Z}@ForceFilingCode:false","")</f>
        <v/>
      </c>
      <c r="B1156" t="str">
        <f>IF(AND(LEFT('SE.01.01.16'!$D$46,8)&lt;&gt;"Reported",'SE.01.01.16'!$D$46&lt;&gt;""),Show!$B$17&amp; Show!$B$17&amp;"S.19.01.01.04 Rows{Z}@ForceFilingCode:false","")</f>
        <v/>
      </c>
    </row>
    <row r="1157" spans="1:2">
      <c r="A1157" t="str">
        <f>IF(AND(LEFT('SE.01.01.16'!$D$46,8)&lt;&gt;"Reported",'SE.01.01.16'!$D$46&lt;&gt;""),Show!$B$17 &amp; "S.19.01.01.05 Rows{Z}@ForceFilingCode:false","")</f>
        <v/>
      </c>
      <c r="B1157" t="str">
        <f>IF(AND(LEFT('SE.01.01.16'!$D$46,8)&lt;&gt;"Reported",'SE.01.01.16'!$D$46&lt;&gt;""),Show!$B$17&amp; Show!$B$17&amp;"S.19.01.01.05 Rows{Z}@ForceFilingCode:false","")</f>
        <v/>
      </c>
    </row>
    <row r="1158" spans="1:2">
      <c r="A1158" t="str">
        <f>IF(AND(LEFT('SE.01.01.16'!$D$46,8)&lt;&gt;"Reported",'SE.01.01.16'!$D$46&lt;&gt;""),Show!$B$17 &amp; "S.19.01.01.06 Rows{Z}@ForceFilingCode:false","")</f>
        <v/>
      </c>
      <c r="B1158" t="str">
        <f>IF(AND(LEFT('SE.01.01.16'!$D$46,8)&lt;&gt;"Reported",'SE.01.01.16'!$D$46&lt;&gt;""),Show!$B$17&amp; Show!$B$17&amp;"S.19.01.01.06 Rows{Z}@ForceFilingCode:false","")</f>
        <v/>
      </c>
    </row>
    <row r="1159" spans="1:2">
      <c r="A1159" t="str">
        <f>IF(AND(LEFT('SE.01.01.16'!$D$46,8)&lt;&gt;"Reported",'SE.01.01.16'!$D$46&lt;&gt;""),Show!$B$17 &amp; "S.19.01.01.07 Rows{Z}@ForceFilingCode:false","")</f>
        <v/>
      </c>
      <c r="B1159" t="str">
        <f>IF(AND(LEFT('SE.01.01.16'!$D$46,8)&lt;&gt;"Reported",'SE.01.01.16'!$D$46&lt;&gt;""),Show!$B$17&amp; Show!$B$17&amp;"S.19.01.01.07 Rows{Z}@ForceFilingCode:false","")</f>
        <v/>
      </c>
    </row>
    <row r="1160" spans="1:2">
      <c r="A1160" t="str">
        <f>IF(AND(LEFT('SE.01.01.16'!$D$46,8)&lt;&gt;"Reported",'SE.01.01.16'!$D$46&lt;&gt;""),Show!$B$17 &amp; "S.19.01.01.08 Rows{Z}@ForceFilingCode:false","")</f>
        <v/>
      </c>
      <c r="B1160" t="str">
        <f>IF(AND(LEFT('SE.01.01.16'!$D$46,8)&lt;&gt;"Reported",'SE.01.01.16'!$D$46&lt;&gt;""),Show!$B$17&amp; Show!$B$17&amp;"S.19.01.01.08 Rows{Z}@ForceFilingCode:false","")</f>
        <v/>
      </c>
    </row>
    <row r="1161" spans="1:2">
      <c r="A1161" t="str">
        <f>IF(AND(LEFT('SE.01.01.16'!$D$46,8)&lt;&gt;"Reported",'SE.01.01.16'!$D$46&lt;&gt;""),Show!$B$17 &amp; "S.19.01.01.09 Rows{Z}@ForceFilingCode:false","")</f>
        <v/>
      </c>
      <c r="B1161" t="str">
        <f>IF(AND(LEFT('SE.01.01.16'!$D$46,8)&lt;&gt;"Reported",'SE.01.01.16'!$D$46&lt;&gt;""),Show!$B$17&amp; Show!$B$17&amp;"S.19.01.01.09 Rows{Z}@ForceFilingCode:false","")</f>
        <v/>
      </c>
    </row>
    <row r="1162" spans="1:2">
      <c r="A1162" t="str">
        <f>IF(AND(LEFT('SE.01.01.16'!$D$46,8)&lt;&gt;"Reported",'SE.01.01.16'!$D$46&lt;&gt;""),Show!$B$17 &amp; "S.19.01.01.10 Rows{Z}@ForceFilingCode:false","")</f>
        <v/>
      </c>
      <c r="B1162" t="str">
        <f>IF(AND(LEFT('SE.01.01.16'!$D$46,8)&lt;&gt;"Reported",'SE.01.01.16'!$D$46&lt;&gt;""),Show!$B$17&amp; Show!$B$17&amp;"S.19.01.01.10 Rows{Z}@ForceFilingCode:false","")</f>
        <v/>
      </c>
    </row>
    <row r="1163" spans="1:2">
      <c r="A1163" t="str">
        <f>IF(AND(LEFT('SE.01.01.16'!$D$46,8)&lt;&gt;"Reported",'SE.01.01.16'!$D$46&lt;&gt;""),Show!$B$17 &amp; "S.19.01.01.11 Rows{Z}@ForceFilingCode:false","")</f>
        <v/>
      </c>
      <c r="B1163" t="str">
        <f>IF(AND(LEFT('SE.01.01.16'!$D$46,8)&lt;&gt;"Reported",'SE.01.01.16'!$D$46&lt;&gt;""),Show!$B$17&amp; Show!$B$17&amp;"S.19.01.01.11 Rows{Z}@ForceFilingCode:false","")</f>
        <v/>
      </c>
    </row>
    <row r="1164" spans="1:2">
      <c r="A1164" t="str">
        <f>IF(AND(LEFT('SE.01.01.16'!$D$46,8)&lt;&gt;"Reported",'SE.01.01.16'!$D$46&lt;&gt;""),Show!$B$17 &amp; "S.19.01.01.12 Rows{Z}@ForceFilingCode:false","")</f>
        <v/>
      </c>
      <c r="B1164" t="str">
        <f>IF(AND(LEFT('SE.01.01.16'!$D$46,8)&lt;&gt;"Reported",'SE.01.01.16'!$D$46&lt;&gt;""),Show!$B$17&amp; Show!$B$17&amp;"S.19.01.01.12 Rows{Z}@ForceFilingCode:false","")</f>
        <v/>
      </c>
    </row>
    <row r="1165" spans="1:2">
      <c r="A1165" t="str">
        <f>IF(AND(LEFT('SE.01.01.16'!$D$46,8)&lt;&gt;"Reported",'SE.01.01.16'!$D$46&lt;&gt;""),Show!$B$17 &amp; "S.19.01.01.13 Rows{Z}@ForceFilingCode:false","")</f>
        <v/>
      </c>
      <c r="B1165" t="str">
        <f>IF(AND(LEFT('SE.01.01.16'!$D$46,8)&lt;&gt;"Reported",'SE.01.01.16'!$D$46&lt;&gt;""),Show!$B$17&amp; Show!$B$17&amp;"S.19.01.01.13 Rows{Z}@ForceFilingCode:false","")</f>
        <v/>
      </c>
    </row>
    <row r="1166" spans="1:2">
      <c r="A1166" t="str">
        <f>IF(AND(LEFT('SE.01.01.16'!$D$46,8)&lt;&gt;"Reported",'SE.01.01.16'!$D$46&lt;&gt;""),Show!$B$17 &amp; "S.19.01.01.14 Rows{Z}@ForceFilingCode:false","")</f>
        <v/>
      </c>
      <c r="B1166" t="str">
        <f>IF(AND(LEFT('SE.01.01.16'!$D$46,8)&lt;&gt;"Reported",'SE.01.01.16'!$D$46&lt;&gt;""),Show!$B$17&amp; Show!$B$17&amp;"S.19.01.01.14 Rows{Z}@ForceFilingCode:false","")</f>
        <v/>
      </c>
    </row>
    <row r="1167" spans="1:2">
      <c r="A1167" t="str">
        <f>IF(AND(LEFT('SE.01.01.16'!$D$46,8)&lt;&gt;"Reported",'SE.01.01.16'!$D$46&lt;&gt;""),Show!$B$17 &amp; "S.19.01.01.15 Rows{Z}@ForceFilingCode:false","")</f>
        <v/>
      </c>
      <c r="B1167" t="str">
        <f>IF(AND(LEFT('SE.01.01.16'!$D$46,8)&lt;&gt;"Reported",'SE.01.01.16'!$D$46&lt;&gt;""),Show!$B$17&amp; Show!$B$17&amp;"S.19.01.01.15 Rows{Z}@ForceFilingCode:false","")</f>
        <v/>
      </c>
    </row>
    <row r="1168" spans="1:2">
      <c r="A1168" t="str">
        <f>IF(AND(LEFT('SE.01.01.16'!$D$46,8)&lt;&gt;"Reported",'SE.01.01.16'!$D$46&lt;&gt;""),Show!$B$17 &amp; "S.19.01.01.16 Rows{Z}@ForceFilingCode:false","")</f>
        <v/>
      </c>
      <c r="B1168" t="str">
        <f>IF(AND(LEFT('SE.01.01.16'!$D$46,8)&lt;&gt;"Reported",'SE.01.01.16'!$D$46&lt;&gt;""),Show!$B$17&amp; Show!$B$17&amp;"S.19.01.01.16 Rows{Z}@ForceFilingCode:false","")</f>
        <v/>
      </c>
    </row>
    <row r="1169" spans="1:2">
      <c r="A1169" t="str">
        <f>IF(AND(LEFT('SE.01.01.16'!$D$46,8)&lt;&gt;"Reported",'SE.01.01.16'!$D$46&lt;&gt;""),Show!$B$17 &amp; "S.19.01.01.17 Rows{Z}@ForceFilingCode:false","")</f>
        <v/>
      </c>
      <c r="B1169" t="str">
        <f>IF(AND(LEFT('SE.01.01.16'!$D$46,8)&lt;&gt;"Reported",'SE.01.01.16'!$D$46&lt;&gt;""),Show!$B$17&amp; Show!$B$17&amp;"S.19.01.01.17 Rows{Z}@ForceFilingCode:false","")</f>
        <v/>
      </c>
    </row>
    <row r="1170" spans="1:2">
      <c r="A1170" t="str">
        <f>IF(AND(LEFT('SE.01.01.16'!$D$46,8)&lt;&gt;"Reported",'SE.01.01.16'!$D$46&lt;&gt;""),Show!$B$17 &amp; "S.19.01.01.18 Rows{Z}@ForceFilingCode:false","")</f>
        <v/>
      </c>
      <c r="B1170" t="str">
        <f>IF(AND(LEFT('SE.01.01.16'!$D$46,8)&lt;&gt;"Reported",'SE.01.01.16'!$D$46&lt;&gt;""),Show!$B$17&amp; Show!$B$17&amp;"S.19.01.01.18 Rows{Z}@ForceFilingCode:false","")</f>
        <v/>
      </c>
    </row>
    <row r="1171" spans="1:2">
      <c r="A1171" t="str">
        <f>IF(AND(LEFT('SE.01.01.16'!$D$46,8)&lt;&gt;"Reported",'SE.01.01.16'!$D$46&lt;&gt;""),Show!$B$17 &amp; "S.19.01.01.19 Rows{Z}@ForceFilingCode:false","")</f>
        <v/>
      </c>
      <c r="B1171" t="str">
        <f>IF(AND(LEFT('SE.01.01.16'!$D$46,8)&lt;&gt;"Reported",'SE.01.01.16'!$D$46&lt;&gt;""),Show!$B$17&amp; Show!$B$17&amp;"S.19.01.01.19 Rows{Z}@ForceFilingCode:false","")</f>
        <v/>
      </c>
    </row>
    <row r="1172" spans="1:2">
      <c r="A1172" t="str">
        <f>IF(AND(LEFT('SE.01.01.16'!$D$46,8)&lt;&gt;"Reported",'SE.01.01.16'!$D$46&lt;&gt;""),Show!$B$17 &amp; "S.19.01.01.20 Rows{Z}@ForceFilingCode:false","")</f>
        <v/>
      </c>
      <c r="B1172" t="str">
        <f>IF(AND(LEFT('SE.01.01.16'!$D$46,8)&lt;&gt;"Reported",'SE.01.01.16'!$D$46&lt;&gt;""),Show!$B$17&amp; Show!$B$17&amp;"S.19.01.01.20 Rows{Z}@ForceFilingCode:false","")</f>
        <v/>
      </c>
    </row>
    <row r="1173" spans="1:2">
      <c r="A1173" t="str">
        <f>IF(AND(LEFT('SE.01.01.16'!$D$46,8)&lt;&gt;"Reported",'SE.01.01.16'!$D$46&lt;&gt;""),Show!$B$17 &amp; "S.19.01.01.21 Rows{Z}@ForceFilingCode:false","")</f>
        <v/>
      </c>
      <c r="B1173" t="str">
        <f>IF(AND(LEFT('SE.01.01.16'!$D$46,8)&lt;&gt;"Reported",'SE.01.01.16'!$D$46&lt;&gt;""),Show!$B$17&amp; Show!$B$17&amp;"S.19.01.01.21 Rows{Z}@ForceFilingCode:false","")</f>
        <v/>
      </c>
    </row>
    <row r="1174" spans="1:2">
      <c r="A1174" t="str">
        <f>IF(AND(LEFT('SE.01.01.16'!$D$47,8)&lt;&gt;"Reported",'SE.01.01.16'!$D$47&lt;&gt;""),Show!$B$17 &amp; "S.20.01.01.01 Rows{Z}@ForceFilingCode:false","")</f>
        <v/>
      </c>
      <c r="B1174" t="str">
        <f>IF(AND(LEFT('SE.01.01.16'!$D$47,8)&lt;&gt;"Reported",'SE.01.01.16'!$D$47&lt;&gt;""),Show!$B$17&amp; Show!$B$17&amp;"S.20.01.01.01 Rows{Z}@ForceFilingCode:false","")</f>
        <v/>
      </c>
    </row>
    <row r="1175" spans="1:2">
      <c r="A1175" t="str">
        <f>IF(AND(LEFT('SE.01.01.16'!$D$48,8)&lt;&gt;"Reported",'SE.01.01.16'!$D$48&lt;&gt;""),Show!$B$17 &amp; "S.21.01.01.01 Rows{Z}@ForceFilingCode:false","")</f>
        <v/>
      </c>
      <c r="B1175" t="str">
        <f>IF(AND(LEFT('SE.01.01.16'!$D$48,8)&lt;&gt;"Reported",'SE.01.01.16'!$D$48&lt;&gt;""),Show!$B$17&amp; Show!$B$17&amp;"S.21.01.01.01 Rows{Z}@ForceFilingCode:false","")</f>
        <v/>
      </c>
    </row>
    <row r="1176" spans="1:2">
      <c r="A1176" t="str">
        <f>IF(AND(LEFT('SE.01.01.16'!$D$49,8)&lt;&gt;"Reported",'SE.01.01.16'!$D$49&lt;&gt;""),Show!$B$17 &amp; "S.21.02.01.01 Rows{Z}@ForceFilingCode:false","")</f>
        <v/>
      </c>
      <c r="B1176" t="str">
        <f>IF(AND(LEFT('SE.01.01.16'!$D$49,8)&lt;&gt;"Reported",'SE.01.01.16'!$D$49&lt;&gt;""),Show!$B$17&amp; Show!$B$17&amp;"S.21.02.01.01 Rows{Z}@ForceFilingCode:false","")</f>
        <v/>
      </c>
    </row>
    <row r="1177" spans="1:2">
      <c r="A1177" t="str">
        <f>IF(AND(LEFT('SE.01.01.16'!$D$50,8)&lt;&gt;"Reported",'SE.01.01.16'!$D$50&lt;&gt;""),Show!$B$17 &amp; "S.21.03.01.01 Rows{Z}@ForceFilingCode:false","")</f>
        <v/>
      </c>
      <c r="B1177" t="str">
        <f>IF(AND(LEFT('SE.01.01.16'!$D$50,8)&lt;&gt;"Reported",'SE.01.01.16'!$D$50&lt;&gt;""),Show!$B$17&amp; Show!$B$17&amp;"S.21.03.01.01 Rows{Z}@ForceFilingCode:false","")</f>
        <v/>
      </c>
    </row>
    <row r="1178" spans="1:2">
      <c r="A1178" t="str">
        <f>IF(AND(LEFT('SE.01.01.16'!$D$51,8)&lt;&gt;"Reported",'SE.01.01.16'!$D$51&lt;&gt;""),Show!$B$17 &amp; "S.22.01.01.01 Rows{Z}@ForceFilingCode:false","")</f>
        <v/>
      </c>
      <c r="B1178" t="str">
        <f>IF(AND(LEFT('SE.01.01.16'!$D$51,8)&lt;&gt;"Reported",'SE.01.01.16'!$D$51&lt;&gt;""),Show!$B$17&amp; Show!$B$17&amp;"S.22.01.01.01 Rows{Z}@ForceFilingCode:false","")</f>
        <v/>
      </c>
    </row>
    <row r="1179" spans="1:2">
      <c r="A1179" t="str">
        <f>IF(AND(LEFT('SE.01.01.16'!$D$52,8)&lt;&gt;"Reported",'SE.01.01.16'!$D$52&lt;&gt;""),Show!$B$17 &amp; "S.22.04.01.01 Rows{Z}@ForceFilingCode:false","")</f>
        <v/>
      </c>
      <c r="B1179" t="str">
        <f>IF(AND(LEFT('SE.01.01.16'!$D$52,8)&lt;&gt;"Reported",'SE.01.01.16'!$D$52&lt;&gt;""),Show!$B$17&amp; Show!$B$17&amp;"S.22.04.01.01 Rows{Z}@ForceFilingCode:false","")</f>
        <v/>
      </c>
    </row>
    <row r="1180" spans="1:2">
      <c r="A1180" t="str">
        <f>IF(AND(LEFT('SE.01.01.16'!$D$52,8)&lt;&gt;"Reported",'SE.01.01.16'!$D$52&lt;&gt;""),Show!$B$17 &amp; "S.22.04.01.02 Rows{Z}@ForceFilingCode:false","")</f>
        <v/>
      </c>
      <c r="B1180" t="str">
        <f>IF(AND(LEFT('SE.01.01.16'!$D$52,8)&lt;&gt;"Reported",'SE.01.01.16'!$D$52&lt;&gt;""),Show!$B$17&amp; Show!$B$17&amp;"S.22.04.01.02 Rows{Z}@ForceFilingCode:false","")</f>
        <v/>
      </c>
    </row>
    <row r="1181" spans="1:2">
      <c r="A1181" t="str">
        <f>IF(AND(LEFT('SE.01.01.16'!$D$53,8)&lt;&gt;"Reported",'SE.01.01.16'!$D$53&lt;&gt;""),Show!$B$17 &amp; "S.22.05.01.01 Rows{Z}@ForceFilingCode:false","")</f>
        <v/>
      </c>
      <c r="B1181" t="str">
        <f>IF(AND(LEFT('SE.01.01.16'!$D$53,8)&lt;&gt;"Reported",'SE.01.01.16'!$D$53&lt;&gt;""),Show!$B$17&amp; Show!$B$17&amp;"S.22.05.01.01 Rows{Z}@ForceFilingCode:false","")</f>
        <v/>
      </c>
    </row>
    <row r="1182" spans="1:2">
      <c r="A1182" t="str">
        <f>IF(AND(LEFT('SE.01.01.16'!$D$54,8)&lt;&gt;"Reported",'SE.01.01.16'!$D$54&lt;&gt;""),Show!$B$17 &amp; "S.22.06.01.01 Rows{Z}@ForceFilingCode:false","")</f>
        <v/>
      </c>
      <c r="B1182" t="str">
        <f>IF(AND(LEFT('SE.01.01.16'!$D$54,8)&lt;&gt;"Reported",'SE.01.01.16'!$D$54&lt;&gt;""),Show!$B$17&amp; Show!$B$17&amp;"S.22.06.01.01 Rows{Z}@ForceFilingCode:false","")</f>
        <v/>
      </c>
    </row>
    <row r="1183" spans="1:2">
      <c r="A1183" t="str">
        <f>IF(AND(LEFT('SE.01.01.16'!$D$54,8)&lt;&gt;"Reported",'SE.01.01.16'!$D$54&lt;&gt;""),Show!$B$17 &amp; "S.22.06.01.02 Rows{Z}@ForceFilingCode:false","")</f>
        <v/>
      </c>
      <c r="B1183" t="str">
        <f>IF(AND(LEFT('SE.01.01.16'!$D$54,8)&lt;&gt;"Reported",'SE.01.01.16'!$D$54&lt;&gt;""),Show!$B$17&amp; Show!$B$17&amp;"S.22.06.01.02 Rows{Z}@ForceFilingCode:false","")</f>
        <v/>
      </c>
    </row>
    <row r="1184" spans="1:2">
      <c r="A1184" t="str">
        <f>IF(AND(LEFT('SE.01.01.16'!$D$54,8)&lt;&gt;"Reported",'SE.01.01.16'!$D$54&lt;&gt;""),Show!$B$17 &amp; "S.22.06.01.03 Rows{Z}@ForceFilingCode:false","")</f>
        <v/>
      </c>
      <c r="B1184" t="str">
        <f>IF(AND(LEFT('SE.01.01.16'!$D$54,8)&lt;&gt;"Reported",'SE.01.01.16'!$D$54&lt;&gt;""),Show!$B$17&amp; Show!$B$17&amp;"S.22.06.01.03 Rows{Z}@ForceFilingCode:false","")</f>
        <v/>
      </c>
    </row>
    <row r="1185" spans="1:2">
      <c r="A1185" t="str">
        <f>IF(AND(LEFT('SE.01.01.16'!$D$54,8)&lt;&gt;"Reported",'SE.01.01.16'!$D$54&lt;&gt;""),Show!$B$17 &amp; "S.22.06.01.04 Rows{Z}@ForceFilingCode:false","")</f>
        <v/>
      </c>
      <c r="B1185" t="str">
        <f>IF(AND(LEFT('SE.01.01.16'!$D$54,8)&lt;&gt;"Reported",'SE.01.01.16'!$D$54&lt;&gt;""),Show!$B$17&amp; Show!$B$17&amp;"S.22.06.01.04 Rows{Z}@ForceFilingCode:false","")</f>
        <v/>
      </c>
    </row>
    <row r="1186" spans="1:2">
      <c r="A1186" t="str">
        <f>IF(AND(LEFT('SE.01.01.16'!$D$55,8)&lt;&gt;"Reported",'SE.01.01.16'!$D$55&lt;&gt;""),Show!$B$17 &amp; "S.23.01.01.01 Rows{Z}@ForceFilingCode:false","")</f>
        <v/>
      </c>
      <c r="B1186" t="str">
        <f>IF(AND(LEFT('SE.01.01.16'!$D$55,8)&lt;&gt;"Reported",'SE.01.01.16'!$D$55&lt;&gt;""),Show!$B$17&amp; Show!$B$17&amp;"S.23.01.01.01 Rows{Z}@ForceFilingCode:false","")</f>
        <v/>
      </c>
    </row>
    <row r="1187" spans="1:2">
      <c r="A1187" t="str">
        <f>IF(AND(LEFT('SE.01.01.16'!$D$55,8)&lt;&gt;"Reported",'SE.01.01.16'!$D$55&lt;&gt;""),Show!$B$17 &amp; "S.23.01.01.02 Rows{Z}@ForceFilingCode:false","")</f>
        <v/>
      </c>
      <c r="B1187" t="str">
        <f>IF(AND(LEFT('SE.01.01.16'!$D$55,8)&lt;&gt;"Reported",'SE.01.01.16'!$D$55&lt;&gt;""),Show!$B$17&amp; Show!$B$17&amp;"S.23.01.01.02 Rows{Z}@ForceFilingCode:false","")</f>
        <v/>
      </c>
    </row>
    <row r="1188" spans="1:2">
      <c r="A1188" t="str">
        <f>IF(AND(LEFT('SE.01.01.16'!$D$56,8)&lt;&gt;"Reported",'SE.01.01.16'!$D$56&lt;&gt;""),Show!$B$17 &amp; "S.23.02.01.01 Rows{Z}@ForceFilingCode:false","")</f>
        <v/>
      </c>
      <c r="B1188" t="str">
        <f>IF(AND(LEFT('SE.01.01.16'!$D$56,8)&lt;&gt;"Reported",'SE.01.01.16'!$D$56&lt;&gt;""),Show!$B$17&amp; Show!$B$17&amp;"S.23.02.01.01 Rows{Z}@ForceFilingCode:false","")</f>
        <v/>
      </c>
    </row>
    <row r="1189" spans="1:2">
      <c r="A1189" t="str">
        <f>IF(AND(LEFT('SE.01.01.16'!$D$56,8)&lt;&gt;"Reported",'SE.01.01.16'!$D$56&lt;&gt;""),Show!$B$17 &amp; "S.23.02.01.02 Rows{Z}@ForceFilingCode:false","")</f>
        <v/>
      </c>
      <c r="B1189" t="str">
        <f>IF(AND(LEFT('SE.01.01.16'!$D$56,8)&lt;&gt;"Reported",'SE.01.01.16'!$D$56&lt;&gt;""),Show!$B$17&amp; Show!$B$17&amp;"S.23.02.01.02 Rows{Z}@ForceFilingCode:false","")</f>
        <v/>
      </c>
    </row>
    <row r="1190" spans="1:2">
      <c r="A1190" t="str">
        <f>IF(AND(LEFT('SE.01.01.16'!$D$56,8)&lt;&gt;"Reported",'SE.01.01.16'!$D$56&lt;&gt;""),Show!$B$17 &amp; "S.23.02.01.03 Rows{Z}@ForceFilingCode:false","")</f>
        <v/>
      </c>
      <c r="B1190" t="str">
        <f>IF(AND(LEFT('SE.01.01.16'!$D$56,8)&lt;&gt;"Reported",'SE.01.01.16'!$D$56&lt;&gt;""),Show!$B$17&amp; Show!$B$17&amp;"S.23.02.01.03 Rows{Z}@ForceFilingCode:false","")</f>
        <v/>
      </c>
    </row>
    <row r="1191" spans="1:2">
      <c r="A1191" t="str">
        <f>IF(AND(LEFT('SE.01.01.16'!$D$56,8)&lt;&gt;"Reported",'SE.01.01.16'!$D$56&lt;&gt;""),Show!$B$17 &amp; "S.23.02.01.04 Rows{Z}@ForceFilingCode:false","")</f>
        <v/>
      </c>
      <c r="B1191" t="str">
        <f>IF(AND(LEFT('SE.01.01.16'!$D$56,8)&lt;&gt;"Reported",'SE.01.01.16'!$D$56&lt;&gt;""),Show!$B$17&amp; Show!$B$17&amp;"S.23.02.01.04 Rows{Z}@ForceFilingCode:false","")</f>
        <v/>
      </c>
    </row>
    <row r="1192" spans="1:2">
      <c r="A1192" t="str">
        <f>IF(AND(LEFT('SE.01.01.16'!$D$57,8)&lt;&gt;"Reported",'SE.01.01.16'!$D$57&lt;&gt;""),Show!$B$17 &amp; "S.23.03.01.01 Rows{Z}@ForceFilingCode:false","")</f>
        <v/>
      </c>
      <c r="B1192" t="str">
        <f>IF(AND(LEFT('SE.01.01.16'!$D$57,8)&lt;&gt;"Reported",'SE.01.01.16'!$D$57&lt;&gt;""),Show!$B$17&amp; Show!$B$17&amp;"S.23.03.01.01 Rows{Z}@ForceFilingCode:false","")</f>
        <v/>
      </c>
    </row>
    <row r="1193" spans="1:2">
      <c r="A1193" t="str">
        <f>IF(AND(LEFT('SE.01.01.16'!$D$57,8)&lt;&gt;"Reported",'SE.01.01.16'!$D$57&lt;&gt;""),Show!$B$17 &amp; "S.23.03.01.02 Rows{Z}@ForceFilingCode:false","")</f>
        <v/>
      </c>
      <c r="B1193" t="str">
        <f>IF(AND(LEFT('SE.01.01.16'!$D$57,8)&lt;&gt;"Reported",'SE.01.01.16'!$D$57&lt;&gt;""),Show!$B$17&amp; Show!$B$17&amp;"S.23.03.01.02 Rows{Z}@ForceFilingCode:false","")</f>
        <v/>
      </c>
    </row>
    <row r="1194" spans="1:2">
      <c r="A1194" t="str">
        <f>IF(AND(LEFT('SE.01.01.16'!$D$57,8)&lt;&gt;"Reported",'SE.01.01.16'!$D$57&lt;&gt;""),Show!$B$17 &amp; "S.23.03.01.03 Rows{Z}@ForceFilingCode:false","")</f>
        <v/>
      </c>
      <c r="B1194" t="str">
        <f>IF(AND(LEFT('SE.01.01.16'!$D$57,8)&lt;&gt;"Reported",'SE.01.01.16'!$D$57&lt;&gt;""),Show!$B$17&amp; Show!$B$17&amp;"S.23.03.01.03 Rows{Z}@ForceFilingCode:false","")</f>
        <v/>
      </c>
    </row>
    <row r="1195" spans="1:2">
      <c r="A1195" t="str">
        <f>IF(AND(LEFT('SE.01.01.16'!$D$57,8)&lt;&gt;"Reported",'SE.01.01.16'!$D$57&lt;&gt;""),Show!$B$17 &amp; "S.23.03.01.04 Rows{Z}@ForceFilingCode:false","")</f>
        <v/>
      </c>
      <c r="B1195" t="str">
        <f>IF(AND(LEFT('SE.01.01.16'!$D$57,8)&lt;&gt;"Reported",'SE.01.01.16'!$D$57&lt;&gt;""),Show!$B$17&amp; Show!$B$17&amp;"S.23.03.01.04 Rows{Z}@ForceFilingCode:false","")</f>
        <v/>
      </c>
    </row>
    <row r="1196" spans="1:2">
      <c r="A1196" t="str">
        <f>IF(AND(LEFT('SE.01.01.16'!$D$57,8)&lt;&gt;"Reported",'SE.01.01.16'!$D$57&lt;&gt;""),Show!$B$17 &amp; "S.23.03.01.05 Rows{Z}@ForceFilingCode:false","")</f>
        <v/>
      </c>
      <c r="B1196" t="str">
        <f>IF(AND(LEFT('SE.01.01.16'!$D$57,8)&lt;&gt;"Reported",'SE.01.01.16'!$D$57&lt;&gt;""),Show!$B$17&amp; Show!$B$17&amp;"S.23.03.01.05 Rows{Z}@ForceFilingCode:false","")</f>
        <v/>
      </c>
    </row>
    <row r="1197" spans="1:2">
      <c r="A1197" t="str">
        <f>IF(AND(LEFT('SE.01.01.16'!$D$57,8)&lt;&gt;"Reported",'SE.01.01.16'!$D$57&lt;&gt;""),Show!$B$17 &amp; "S.23.03.01.06 Rows{Z}@ForceFilingCode:false","")</f>
        <v/>
      </c>
      <c r="B1197" t="str">
        <f>IF(AND(LEFT('SE.01.01.16'!$D$57,8)&lt;&gt;"Reported",'SE.01.01.16'!$D$57&lt;&gt;""),Show!$B$17&amp; Show!$B$17&amp;"S.23.03.01.06 Rows{Z}@ForceFilingCode:false","")</f>
        <v/>
      </c>
    </row>
    <row r="1198" spans="1:2">
      <c r="A1198" t="str">
        <f>IF(AND(LEFT('SE.01.01.16'!$D$57,8)&lt;&gt;"Reported",'SE.01.01.16'!$D$57&lt;&gt;""),Show!$B$17 &amp; "S.23.03.01.07 Rows{Z}@ForceFilingCode:false","")</f>
        <v/>
      </c>
      <c r="B1198" t="str">
        <f>IF(AND(LEFT('SE.01.01.16'!$D$57,8)&lt;&gt;"Reported",'SE.01.01.16'!$D$57&lt;&gt;""),Show!$B$17&amp; Show!$B$17&amp;"S.23.03.01.07 Rows{Z}@ForceFilingCode:false","")</f>
        <v/>
      </c>
    </row>
    <row r="1199" spans="1:2">
      <c r="A1199" t="str">
        <f>IF(AND(LEFT('SE.01.01.16'!$D$57,8)&lt;&gt;"Reported",'SE.01.01.16'!$D$57&lt;&gt;""),Show!$B$17 &amp; "S.23.03.01.08 Rows{Z}@ForceFilingCode:false","")</f>
        <v/>
      </c>
      <c r="B1199" t="str">
        <f>IF(AND(LEFT('SE.01.01.16'!$D$57,8)&lt;&gt;"Reported",'SE.01.01.16'!$D$57&lt;&gt;""),Show!$B$17&amp; Show!$B$17&amp;"S.23.03.01.08 Rows{Z}@ForceFilingCode:false","")</f>
        <v/>
      </c>
    </row>
    <row r="1200" spans="1:2">
      <c r="A1200" t="str">
        <f>IF(AND(LEFT('SE.01.01.16'!$D$58,8)&lt;&gt;"Reported",'SE.01.01.16'!$D$58&lt;&gt;""),Show!$B$17 &amp; "S.23.04.01.01 Rows{Z}@ForceFilingCode:false","")</f>
        <v/>
      </c>
      <c r="B1200" t="str">
        <f>IF(AND(LEFT('SE.01.01.16'!$D$58,8)&lt;&gt;"Reported",'SE.01.01.16'!$D$58&lt;&gt;""),Show!$B$17&amp; Show!$B$17&amp;"S.23.04.01.01 Rows{Z}@ForceFilingCode:false","")</f>
        <v/>
      </c>
    </row>
    <row r="1201" spans="1:2">
      <c r="A1201" t="str">
        <f>IF(AND(LEFT('SE.01.01.16'!$D$58,8)&lt;&gt;"Reported",'SE.01.01.16'!$D$58&lt;&gt;""),Show!$B$17 &amp; "S.23.04.01.02 Rows{Z}@ForceFilingCode:false","")</f>
        <v/>
      </c>
      <c r="B1201" t="str">
        <f>IF(AND(LEFT('SE.01.01.16'!$D$58,8)&lt;&gt;"Reported",'SE.01.01.16'!$D$58&lt;&gt;""),Show!$B$17&amp; Show!$B$17&amp;"S.23.04.01.02 Rows{Z}@ForceFilingCode:false","")</f>
        <v/>
      </c>
    </row>
    <row r="1202" spans="1:2">
      <c r="A1202" t="str">
        <f>IF(AND(LEFT('SE.01.01.16'!$D$58,8)&lt;&gt;"Reported",'SE.01.01.16'!$D$58&lt;&gt;""),Show!$B$17 &amp; "S.23.04.01.03 Rows{Z}@ForceFilingCode:false","")</f>
        <v/>
      </c>
      <c r="B1202" t="str">
        <f>IF(AND(LEFT('SE.01.01.16'!$D$58,8)&lt;&gt;"Reported",'SE.01.01.16'!$D$58&lt;&gt;""),Show!$B$17&amp; Show!$B$17&amp;"S.23.04.01.03 Rows{Z}@ForceFilingCode:false","")</f>
        <v/>
      </c>
    </row>
    <row r="1203" spans="1:2">
      <c r="A1203" t="str">
        <f>IF(AND(LEFT('SE.01.01.16'!$D$58,8)&lt;&gt;"Reported",'SE.01.01.16'!$D$58&lt;&gt;""),Show!$B$17 &amp; "S.23.04.01.04 Rows{Z}@ForceFilingCode:false","")</f>
        <v/>
      </c>
      <c r="B1203" t="str">
        <f>IF(AND(LEFT('SE.01.01.16'!$D$58,8)&lt;&gt;"Reported",'SE.01.01.16'!$D$58&lt;&gt;""),Show!$B$17&amp; Show!$B$17&amp;"S.23.04.01.04 Rows{Z}@ForceFilingCode:false","")</f>
        <v/>
      </c>
    </row>
    <row r="1204" spans="1:2">
      <c r="A1204" t="str">
        <f>IF(AND(LEFT('SE.01.01.16'!$D$58,8)&lt;&gt;"Reported",'SE.01.01.16'!$D$58&lt;&gt;""),Show!$B$17 &amp; "S.23.04.01.05 Rows{Z}@ForceFilingCode:false","")</f>
        <v/>
      </c>
      <c r="B1204" t="str">
        <f>IF(AND(LEFT('SE.01.01.16'!$D$58,8)&lt;&gt;"Reported",'SE.01.01.16'!$D$58&lt;&gt;""),Show!$B$17&amp; Show!$B$17&amp;"S.23.04.01.05 Rows{Z}@ForceFilingCode:false","")</f>
        <v/>
      </c>
    </row>
    <row r="1205" spans="1:2">
      <c r="A1205" t="str">
        <f>IF(AND(LEFT('SE.01.01.16'!$D$58,8)&lt;&gt;"Reported",'SE.01.01.16'!$D$58&lt;&gt;""),Show!$B$17 &amp; "S.23.04.01.06 Rows{Z}@ForceFilingCode:false","")</f>
        <v/>
      </c>
      <c r="B1205" t="str">
        <f>IF(AND(LEFT('SE.01.01.16'!$D$58,8)&lt;&gt;"Reported",'SE.01.01.16'!$D$58&lt;&gt;""),Show!$B$17&amp; Show!$B$17&amp;"S.23.04.01.06 Rows{Z}@ForceFilingCode:false","")</f>
        <v/>
      </c>
    </row>
    <row r="1206" spans="1:2">
      <c r="A1206" t="str">
        <f>IF(AND(LEFT('SE.01.01.16'!$D$58,8)&lt;&gt;"Reported",'SE.01.01.16'!$D$58&lt;&gt;""),Show!$B$17 &amp; "S.23.04.01.07 Rows{Z}@ForceFilingCode:false","")</f>
        <v/>
      </c>
      <c r="B1206" t="str">
        <f>IF(AND(LEFT('SE.01.01.16'!$D$58,8)&lt;&gt;"Reported",'SE.01.01.16'!$D$58&lt;&gt;""),Show!$B$17&amp; Show!$B$17&amp;"S.23.04.01.07 Rows{Z}@ForceFilingCode:false","")</f>
        <v/>
      </c>
    </row>
    <row r="1207" spans="1:2">
      <c r="A1207" t="str">
        <f>IF(AND(LEFT('SE.01.01.16'!$D$58,8)&lt;&gt;"Reported",'SE.01.01.16'!$D$58&lt;&gt;""),Show!$B$17 &amp; "S.23.04.01.09 Rows{Z}@ForceFilingCode:false","")</f>
        <v/>
      </c>
      <c r="B1207" t="str">
        <f>IF(AND(LEFT('SE.01.01.16'!$D$58,8)&lt;&gt;"Reported",'SE.01.01.16'!$D$58&lt;&gt;""),Show!$B$17&amp; Show!$B$17&amp;"S.23.04.01.09 Rows{Z}@ForceFilingCode:false","")</f>
        <v/>
      </c>
    </row>
    <row r="1208" spans="1:2">
      <c r="A1208" t="str">
        <f>IF(AND(LEFT('SE.01.01.16'!$D$59,8)&lt;&gt;"Reported",'SE.01.01.16'!$D$59&lt;&gt;""),Show!$B$17 &amp; "S.24.01.01.01 Rows{Z}@ForceFilingCode:false","")</f>
        <v/>
      </c>
      <c r="B1208" t="str">
        <f>IF(AND(LEFT('SE.01.01.16'!$D$59,8)&lt;&gt;"Reported",'SE.01.01.16'!$D$59&lt;&gt;""),Show!$B$17&amp; Show!$B$17&amp;"S.24.01.01.01 Rows{Z}@ForceFilingCode:false","")</f>
        <v/>
      </c>
    </row>
    <row r="1209" spans="1:2">
      <c r="A1209" t="str">
        <f>IF(AND(LEFT('SE.01.01.16'!$D$59,8)&lt;&gt;"Reported",'SE.01.01.16'!$D$59&lt;&gt;""),Show!$B$17 &amp; "S.24.01.01.02 Rows{Z}@ForceFilingCode:false","")</f>
        <v/>
      </c>
      <c r="B1209" t="str">
        <f>IF(AND(LEFT('SE.01.01.16'!$D$59,8)&lt;&gt;"Reported",'SE.01.01.16'!$D$59&lt;&gt;""),Show!$B$17&amp; Show!$B$17&amp;"S.24.01.01.02 Rows{Z}@ForceFilingCode:false","")</f>
        <v/>
      </c>
    </row>
    <row r="1210" spans="1:2">
      <c r="A1210" t="str">
        <f>IF(AND(LEFT('SE.01.01.16'!$D$59,8)&lt;&gt;"Reported",'SE.01.01.16'!$D$59&lt;&gt;""),Show!$B$17 &amp; "S.24.01.01.03 Rows{Z}@ForceFilingCode:false","")</f>
        <v/>
      </c>
      <c r="B1210" t="str">
        <f>IF(AND(LEFT('SE.01.01.16'!$D$59,8)&lt;&gt;"Reported",'SE.01.01.16'!$D$59&lt;&gt;""),Show!$B$17&amp; Show!$B$17&amp;"S.24.01.01.03 Rows{Z}@ForceFilingCode:false","")</f>
        <v/>
      </c>
    </row>
    <row r="1211" spans="1:2">
      <c r="A1211" t="str">
        <f>IF(AND(LEFT('SE.01.01.16'!$D$59,8)&lt;&gt;"Reported",'SE.01.01.16'!$D$59&lt;&gt;""),Show!$B$17 &amp; "S.24.01.01.04 Rows{Z}@ForceFilingCode:false","")</f>
        <v/>
      </c>
      <c r="B1211" t="str">
        <f>IF(AND(LEFT('SE.01.01.16'!$D$59,8)&lt;&gt;"Reported",'SE.01.01.16'!$D$59&lt;&gt;""),Show!$B$17&amp; Show!$B$17&amp;"S.24.01.01.04 Rows{Z}@ForceFilingCode:false","")</f>
        <v/>
      </c>
    </row>
    <row r="1212" spans="1:2">
      <c r="A1212" t="str">
        <f>IF(AND(LEFT('SE.01.01.16'!$D$59,8)&lt;&gt;"Reported",'SE.01.01.16'!$D$59&lt;&gt;""),Show!$B$17 &amp; "S.24.01.01.05 Rows{Z}@ForceFilingCode:false","")</f>
        <v/>
      </c>
      <c r="B1212" t="str">
        <f>IF(AND(LEFT('SE.01.01.16'!$D$59,8)&lt;&gt;"Reported",'SE.01.01.16'!$D$59&lt;&gt;""),Show!$B$17&amp; Show!$B$17&amp;"S.24.01.01.05 Rows{Z}@ForceFilingCode:false","")</f>
        <v/>
      </c>
    </row>
    <row r="1213" spans="1:2">
      <c r="A1213" t="str">
        <f>IF(AND(LEFT('SE.01.01.16'!$D$59,8)&lt;&gt;"Reported",'SE.01.01.16'!$D$59&lt;&gt;""),Show!$B$17 &amp; "S.24.01.01.06 Rows{Z}@ForceFilingCode:false","")</f>
        <v/>
      </c>
      <c r="B1213" t="str">
        <f>IF(AND(LEFT('SE.01.01.16'!$D$59,8)&lt;&gt;"Reported",'SE.01.01.16'!$D$59&lt;&gt;""),Show!$B$17&amp; Show!$B$17&amp;"S.24.01.01.06 Rows{Z}@ForceFilingCode:false","")</f>
        <v/>
      </c>
    </row>
    <row r="1214" spans="1:2">
      <c r="A1214" t="str">
        <f>IF(AND(LEFT('SE.01.01.16'!$D$59,8)&lt;&gt;"Reported",'SE.01.01.16'!$D$59&lt;&gt;""),Show!$B$17 &amp; "S.24.01.01.07 Rows{Z}@ForceFilingCode:false","")</f>
        <v/>
      </c>
      <c r="B1214" t="str">
        <f>IF(AND(LEFT('SE.01.01.16'!$D$59,8)&lt;&gt;"Reported",'SE.01.01.16'!$D$59&lt;&gt;""),Show!$B$17&amp; Show!$B$17&amp;"S.24.01.01.07 Rows{Z}@ForceFilingCode:false","")</f>
        <v/>
      </c>
    </row>
    <row r="1215" spans="1:2">
      <c r="A1215" t="str">
        <f>IF(AND(LEFT('SE.01.01.16'!$D$59,8)&lt;&gt;"Reported",'SE.01.01.16'!$D$59&lt;&gt;""),Show!$B$17 &amp; "S.24.01.01.08 Rows{Z}@ForceFilingCode:false","")</f>
        <v/>
      </c>
      <c r="B1215" t="str">
        <f>IF(AND(LEFT('SE.01.01.16'!$D$59,8)&lt;&gt;"Reported",'SE.01.01.16'!$D$59&lt;&gt;""),Show!$B$17&amp; Show!$B$17&amp;"S.24.01.01.08 Rows{Z}@ForceFilingCode:false","")</f>
        <v/>
      </c>
    </row>
    <row r="1216" spans="1:2">
      <c r="A1216" t="str">
        <f>IF(AND(LEFT('SE.01.01.16'!$D$59,8)&lt;&gt;"Reported",'SE.01.01.16'!$D$59&lt;&gt;""),Show!$B$17 &amp; "S.24.01.01.09 Rows{Z}@ForceFilingCode:false","")</f>
        <v/>
      </c>
      <c r="B1216" t="str">
        <f>IF(AND(LEFT('SE.01.01.16'!$D$59,8)&lt;&gt;"Reported",'SE.01.01.16'!$D$59&lt;&gt;""),Show!$B$17&amp; Show!$B$17&amp;"S.24.01.01.09 Rows{Z}@ForceFilingCode:false","")</f>
        <v/>
      </c>
    </row>
    <row r="1217" spans="1:2">
      <c r="A1217" t="str">
        <f>IF(AND(LEFT('SE.01.01.16'!$D$59,8)&lt;&gt;"Reported",'SE.01.01.16'!$D$59&lt;&gt;""),Show!$B$17 &amp; "S.24.01.01.10 Rows{Z}@ForceFilingCode:false","")</f>
        <v/>
      </c>
      <c r="B1217" t="str">
        <f>IF(AND(LEFT('SE.01.01.16'!$D$59,8)&lt;&gt;"Reported",'SE.01.01.16'!$D$59&lt;&gt;""),Show!$B$17&amp; Show!$B$17&amp;"S.24.01.01.10 Rows{Z}@ForceFilingCode:false","")</f>
        <v/>
      </c>
    </row>
    <row r="1218" spans="1:2">
      <c r="A1218" t="str">
        <f>IF(AND(LEFT('SE.01.01.16'!$D$59,8)&lt;&gt;"Reported",'SE.01.01.16'!$D$59&lt;&gt;""),Show!$B$17 &amp; "S.24.01.01.11 Rows{Z}@ForceFilingCode:false","")</f>
        <v/>
      </c>
      <c r="B1218" t="str">
        <f>IF(AND(LEFT('SE.01.01.16'!$D$59,8)&lt;&gt;"Reported",'SE.01.01.16'!$D$59&lt;&gt;""),Show!$B$17&amp; Show!$B$17&amp;"S.24.01.01.11 Rows{Z}@ForceFilingCode:false","")</f>
        <v/>
      </c>
    </row>
    <row r="1219" spans="1:2">
      <c r="A1219" t="str">
        <f>IF(AND(LEFT('SE.01.01.16'!$D$60,8)&lt;&gt;"Reported",'SE.01.01.16'!$D$60&lt;&gt;""),Show!$B$17 &amp; "S.25.01.01.01 Rows{Z}@ForceFilingCode:false","")</f>
        <v/>
      </c>
      <c r="B1219" t="str">
        <f>IF(AND(LEFT('SE.01.01.16'!$D$60,8)&lt;&gt;"Reported",'SE.01.01.16'!$D$60&lt;&gt;""),Show!$B$17&amp; Show!$B$17&amp;"S.25.01.01.01 Rows{Z}@ForceFilingCode:false","")</f>
        <v/>
      </c>
    </row>
    <row r="1220" spans="1:2">
      <c r="A1220" t="str">
        <f>IF(AND(LEFT('SE.01.01.16'!$D$60,8)&lt;&gt;"Reported",'SE.01.01.16'!$D$60&lt;&gt;""),Show!$B$17 &amp; "S.25.01.01.02 Rows{Z}@ForceFilingCode:false","")</f>
        <v/>
      </c>
      <c r="B1220" t="str">
        <f>IF(AND(LEFT('SE.01.01.16'!$D$60,8)&lt;&gt;"Reported",'SE.01.01.16'!$D$60&lt;&gt;""),Show!$B$17&amp; Show!$B$17&amp;"S.25.01.01.02 Rows{Z}@ForceFilingCode:false","")</f>
        <v/>
      </c>
    </row>
    <row r="1221" spans="1:2">
      <c r="A1221" t="str">
        <f>IF(AND(LEFT('SE.01.01.16'!$D$60,8)&lt;&gt;"Reported",'SE.01.01.16'!$D$60&lt;&gt;""),Show!$B$17 &amp; "S.25.01.01.03 Rows{Z}@ForceFilingCode:false","")</f>
        <v/>
      </c>
      <c r="B1221" t="str">
        <f>IF(AND(LEFT('SE.01.01.16'!$D$60,8)&lt;&gt;"Reported",'SE.01.01.16'!$D$60&lt;&gt;""),Show!$B$17&amp; Show!$B$17&amp;"S.25.01.01.03 Rows{Z}@ForceFilingCode:false","")</f>
        <v/>
      </c>
    </row>
    <row r="1222" spans="1:2">
      <c r="A1222" t="str">
        <f>IF(AND(LEFT('SE.01.01.16'!$D$60,8)&lt;&gt;"Reported",'SE.01.01.16'!$D$60&lt;&gt;""),Show!$B$17 &amp; "S.25.01.01.04 Rows{Z}@ForceFilingCode:false","")</f>
        <v/>
      </c>
      <c r="B1222" t="str">
        <f>IF(AND(LEFT('SE.01.01.16'!$D$60,8)&lt;&gt;"Reported",'SE.01.01.16'!$D$60&lt;&gt;""),Show!$B$17&amp; Show!$B$17&amp;"S.25.01.01.04 Rows{Z}@ForceFilingCode:false","")</f>
        <v/>
      </c>
    </row>
    <row r="1223" spans="1:2">
      <c r="A1223" t="str">
        <f>IF(AND(LEFT('SE.01.01.16'!$D$60,8)&lt;&gt;"Reported",'SE.01.01.16'!$D$60&lt;&gt;""),Show!$B$17 &amp; "S.25.01.01.05 Rows{Z}@ForceFilingCode:false","")</f>
        <v/>
      </c>
      <c r="B1223" t="str">
        <f>IF(AND(LEFT('SE.01.01.16'!$D$60,8)&lt;&gt;"Reported",'SE.01.01.16'!$D$60&lt;&gt;""),Show!$B$17&amp; Show!$B$17&amp;"S.25.01.01.05 Rows{Z}@ForceFilingCode:false","")</f>
        <v/>
      </c>
    </row>
    <row r="1224" spans="1:2">
      <c r="A1224" t="str">
        <f>IF(AND(LEFT('SE.01.01.16'!$D$61,8)&lt;&gt;"Reported",'SE.01.01.16'!$D$61&lt;&gt;""),Show!$B$17 &amp; "S.25.02.01.01 Rows{Z}@ForceFilingCode:false","")</f>
        <v/>
      </c>
      <c r="B1224" t="str">
        <f>IF(AND(LEFT('SE.01.01.16'!$D$61,8)&lt;&gt;"Reported",'SE.01.01.16'!$D$61&lt;&gt;""),Show!$B$17&amp; Show!$B$17&amp;"S.25.02.01.01 Rows{Z}@ForceFilingCode:false","")</f>
        <v/>
      </c>
    </row>
    <row r="1225" spans="1:2">
      <c r="A1225" t="str">
        <f>IF(AND(LEFT('SE.01.01.16'!$D$61,8)&lt;&gt;"Reported",'SE.01.01.16'!$D$61&lt;&gt;""),Show!$B$17 &amp; "S.25.02.01.02 Rows{Z}@ForceFilingCode:false","")</f>
        <v/>
      </c>
      <c r="B1225" t="str">
        <f>IF(AND(LEFT('SE.01.01.16'!$D$61,8)&lt;&gt;"Reported",'SE.01.01.16'!$D$61&lt;&gt;""),Show!$B$17&amp; Show!$B$17&amp;"S.25.02.01.02 Rows{Z}@ForceFilingCode:false","")</f>
        <v/>
      </c>
    </row>
    <row r="1226" spans="1:2">
      <c r="A1226" t="str">
        <f>IF(AND(LEFT('SE.01.01.16'!$D$61,8)&lt;&gt;"Reported",'SE.01.01.16'!$D$61&lt;&gt;""),Show!$B$17 &amp; "S.25.02.01.03 Rows{Z}@ForceFilingCode:false","")</f>
        <v/>
      </c>
      <c r="B1226" t="str">
        <f>IF(AND(LEFT('SE.01.01.16'!$D$61,8)&lt;&gt;"Reported",'SE.01.01.16'!$D$61&lt;&gt;""),Show!$B$17&amp; Show!$B$17&amp;"S.25.02.01.03 Rows{Z}@ForceFilingCode:false","")</f>
        <v/>
      </c>
    </row>
    <row r="1227" spans="1:2">
      <c r="A1227" t="str">
        <f>IF(AND(LEFT('SE.01.01.16'!$D$61,8)&lt;&gt;"Reported",'SE.01.01.16'!$D$61&lt;&gt;""),Show!$B$17 &amp; "S.25.02.01.04 Rows{Z}@ForceFilingCode:false","")</f>
        <v/>
      </c>
      <c r="B1227" t="str">
        <f>IF(AND(LEFT('SE.01.01.16'!$D$61,8)&lt;&gt;"Reported",'SE.01.01.16'!$D$61&lt;&gt;""),Show!$B$17&amp; Show!$B$17&amp;"S.25.02.01.04 Rows{Z}@ForceFilingCode:false","")</f>
        <v/>
      </c>
    </row>
    <row r="1228" spans="1:2">
      <c r="A1228" t="str">
        <f>IF(AND(LEFT('SE.01.01.16'!$D$61,8)&lt;&gt;"Reported",'SE.01.01.16'!$D$61&lt;&gt;""),Show!$B$17 &amp; "S.25.02.01.05 Rows{Z}@ForceFilingCode:false","")</f>
        <v/>
      </c>
      <c r="B1228" t="str">
        <f>IF(AND(LEFT('SE.01.01.16'!$D$61,8)&lt;&gt;"Reported",'SE.01.01.16'!$D$61&lt;&gt;""),Show!$B$17&amp; Show!$B$17&amp;"S.25.02.01.05 Rows{Z}@ForceFilingCode:false","")</f>
        <v/>
      </c>
    </row>
    <row r="1229" spans="1:2">
      <c r="A1229" t="str">
        <f>IF(AND(LEFT('SE.01.01.16'!$D$62,8)&lt;&gt;"Reported",'SE.01.01.16'!$D$62&lt;&gt;""),Show!$B$17 &amp; "S.25.03.01.01 Rows{Z}@ForceFilingCode:false","")</f>
        <v/>
      </c>
      <c r="B1229" t="str">
        <f>IF(AND(LEFT('SE.01.01.16'!$D$62,8)&lt;&gt;"Reported",'SE.01.01.16'!$D$62&lt;&gt;""),Show!$B$17&amp; Show!$B$17&amp;"S.25.03.01.01 Rows{Z}@ForceFilingCode:false","")</f>
        <v/>
      </c>
    </row>
    <row r="1230" spans="1:2">
      <c r="A1230" t="str">
        <f>IF(AND(LEFT('SE.01.01.16'!$D$62,8)&lt;&gt;"Reported",'SE.01.01.16'!$D$62&lt;&gt;""),Show!$B$17 &amp; "S.25.03.01.02 Rows{Z}@ForceFilingCode:false","")</f>
        <v/>
      </c>
      <c r="B1230" t="str">
        <f>IF(AND(LEFT('SE.01.01.16'!$D$62,8)&lt;&gt;"Reported",'SE.01.01.16'!$D$62&lt;&gt;""),Show!$B$17&amp; Show!$B$17&amp;"S.25.03.01.02 Rows{Z}@ForceFilingCode:false","")</f>
        <v/>
      </c>
    </row>
    <row r="1231" spans="1:2">
      <c r="A1231" t="str">
        <f>IF(AND(LEFT('SE.01.01.16'!$D$62,8)&lt;&gt;"Reported",'SE.01.01.16'!$D$62&lt;&gt;""),Show!$B$17 &amp; "S.25.03.01.03 Rows{Z}@ForceFilingCode:false","")</f>
        <v/>
      </c>
      <c r="B1231" t="str">
        <f>IF(AND(LEFT('SE.01.01.16'!$D$62,8)&lt;&gt;"Reported",'SE.01.01.16'!$D$62&lt;&gt;""),Show!$B$17&amp; Show!$B$17&amp;"S.25.03.01.03 Rows{Z}@ForceFilingCode:false","")</f>
        <v/>
      </c>
    </row>
    <row r="1232" spans="1:2">
      <c r="A1232" t="str">
        <f>IF(AND(LEFT('SE.01.01.16'!$D$62,8)&lt;&gt;"Reported",'SE.01.01.16'!$D$62&lt;&gt;""),Show!$B$17 &amp; "S.25.03.01.04 Rows{Z}@ForceFilingCode:false","")</f>
        <v/>
      </c>
      <c r="B1232" t="str">
        <f>IF(AND(LEFT('SE.01.01.16'!$D$62,8)&lt;&gt;"Reported",'SE.01.01.16'!$D$62&lt;&gt;""),Show!$B$17&amp; Show!$B$17&amp;"S.25.03.01.04 Rows{Z}@ForceFilingCode:false","")</f>
        <v/>
      </c>
    </row>
    <row r="1233" spans="1:2">
      <c r="A1233" t="str">
        <f>IF(AND(LEFT('SE.01.01.16'!$D$62,8)&lt;&gt;"Reported",'SE.01.01.16'!$D$62&lt;&gt;""),Show!$B$17 &amp; "S.25.03.01.05 Rows{Z}@ForceFilingCode:false","")</f>
        <v/>
      </c>
      <c r="B1233" t="str">
        <f>IF(AND(LEFT('SE.01.01.16'!$D$62,8)&lt;&gt;"Reported",'SE.01.01.16'!$D$62&lt;&gt;""),Show!$B$17&amp; Show!$B$17&amp;"S.25.03.01.05 Rows{Z}@ForceFilingCode:false","")</f>
        <v/>
      </c>
    </row>
    <row r="1234" spans="1:2">
      <c r="A1234" t="str">
        <f>IF(AND(LEFT('SE.01.01.16'!$D$63,8)&lt;&gt;"Reported",'SE.01.01.16'!$D$63&lt;&gt;""),Show!$B$17 &amp; "S.26.01.01.01 Rows{Z}@ForceFilingCode:false","")</f>
        <v/>
      </c>
      <c r="B1234" t="str">
        <f>IF(AND(LEFT('SE.01.01.16'!$D$63,8)&lt;&gt;"Reported",'SE.01.01.16'!$D$63&lt;&gt;""),Show!$B$17&amp; Show!$B$17&amp;"S.26.01.01.01 Rows{Z}@ForceFilingCode:false","")</f>
        <v/>
      </c>
    </row>
    <row r="1235" spans="1:2">
      <c r="A1235" t="str">
        <f>IF(AND(LEFT('SE.01.01.16'!$D$63,8)&lt;&gt;"Reported",'SE.01.01.16'!$D$63&lt;&gt;""),Show!$B$17 &amp; "S.26.01.01.02 Rows{Z}@ForceFilingCode:false","")</f>
        <v/>
      </c>
      <c r="B1235" t="str">
        <f>IF(AND(LEFT('SE.01.01.16'!$D$63,8)&lt;&gt;"Reported",'SE.01.01.16'!$D$63&lt;&gt;""),Show!$B$17&amp; Show!$B$17&amp;"S.26.01.01.02 Rows{Z}@ForceFilingCode:false","")</f>
        <v/>
      </c>
    </row>
    <row r="1236" spans="1:2">
      <c r="A1236" t="str">
        <f>IF(AND(LEFT('SE.01.01.16'!$D$63,8)&lt;&gt;"Reported",'SE.01.01.16'!$D$63&lt;&gt;""),Show!$B$17 &amp; "S.26.01.01.03 Rows{Z}@ForceFilingCode:false","")</f>
        <v/>
      </c>
      <c r="B1236" t="str">
        <f>IF(AND(LEFT('SE.01.01.16'!$D$63,8)&lt;&gt;"Reported",'SE.01.01.16'!$D$63&lt;&gt;""),Show!$B$17&amp; Show!$B$17&amp;"S.26.01.01.03 Rows{Z}@ForceFilingCode:false","")</f>
        <v/>
      </c>
    </row>
    <row r="1237" spans="1:2">
      <c r="A1237" t="str">
        <f>IF(AND(LEFT('SE.01.01.16'!$D$64,8)&lt;&gt;"Reported",'SE.01.01.16'!$D$64&lt;&gt;""),Show!$B$17 &amp; "S.26.02.01.01 Rows{Z}@ForceFilingCode:false","")</f>
        <v/>
      </c>
      <c r="B1237" t="str">
        <f>IF(AND(LEFT('SE.01.01.16'!$D$64,8)&lt;&gt;"Reported",'SE.01.01.16'!$D$64&lt;&gt;""),Show!$B$17&amp; Show!$B$17&amp;"S.26.02.01.01 Rows{Z}@ForceFilingCode:false","")</f>
        <v/>
      </c>
    </row>
    <row r="1238" spans="1:2">
      <c r="A1238" t="str">
        <f>IF(AND(LEFT('SE.01.01.16'!$D$64,8)&lt;&gt;"Reported",'SE.01.01.16'!$D$64&lt;&gt;""),Show!$B$17 &amp; "S.26.02.01.02 Rows{Z}@ForceFilingCode:false","")</f>
        <v/>
      </c>
      <c r="B1238" t="str">
        <f>IF(AND(LEFT('SE.01.01.16'!$D$64,8)&lt;&gt;"Reported",'SE.01.01.16'!$D$64&lt;&gt;""),Show!$B$17&amp; Show!$B$17&amp;"S.26.02.01.02 Rows{Z}@ForceFilingCode:false","")</f>
        <v/>
      </c>
    </row>
    <row r="1239" spans="1:2">
      <c r="A1239" t="str">
        <f>IF(AND(LEFT('SE.01.01.16'!$D$64,8)&lt;&gt;"Reported",'SE.01.01.16'!$D$64&lt;&gt;""),Show!$B$17 &amp; "S.26.02.01.03 Rows{Z}@ForceFilingCode:false","")</f>
        <v/>
      </c>
      <c r="B1239" t="str">
        <f>IF(AND(LEFT('SE.01.01.16'!$D$64,8)&lt;&gt;"Reported",'SE.01.01.16'!$D$64&lt;&gt;""),Show!$B$17&amp; Show!$B$17&amp;"S.26.02.01.03 Rows{Z}@ForceFilingCode:false","")</f>
        <v/>
      </c>
    </row>
    <row r="1240" spans="1:2">
      <c r="A1240" t="str">
        <f>IF(AND(LEFT('SE.01.01.16'!$D$65,8)&lt;&gt;"Reported",'SE.01.01.16'!$D$65&lt;&gt;""),Show!$B$17 &amp; "S.26.03.01.01 Rows{Z}@ForceFilingCode:false","")</f>
        <v/>
      </c>
      <c r="B1240" t="str">
        <f>IF(AND(LEFT('SE.01.01.16'!$D$65,8)&lt;&gt;"Reported",'SE.01.01.16'!$D$65&lt;&gt;""),Show!$B$17&amp; Show!$B$17&amp;"S.26.03.01.01 Rows{Z}@ForceFilingCode:false","")</f>
        <v/>
      </c>
    </row>
    <row r="1241" spans="1:2">
      <c r="A1241" t="str">
        <f>IF(AND(LEFT('SE.01.01.16'!$D$65,8)&lt;&gt;"Reported",'SE.01.01.16'!$D$65&lt;&gt;""),Show!$B$17 &amp; "S.26.03.01.02 Rows{Z}@ForceFilingCode:false","")</f>
        <v/>
      </c>
      <c r="B1241" t="str">
        <f>IF(AND(LEFT('SE.01.01.16'!$D$65,8)&lt;&gt;"Reported",'SE.01.01.16'!$D$65&lt;&gt;""),Show!$B$17&amp; Show!$B$17&amp;"S.26.03.01.02 Rows{Z}@ForceFilingCode:false","")</f>
        <v/>
      </c>
    </row>
    <row r="1242" spans="1:2">
      <c r="A1242" t="str">
        <f>IF(AND(LEFT('SE.01.01.16'!$D$65,8)&lt;&gt;"Reported",'SE.01.01.16'!$D$65&lt;&gt;""),Show!$B$17 &amp; "S.26.03.01.03 Rows{Z}@ForceFilingCode:false","")</f>
        <v/>
      </c>
      <c r="B1242" t="str">
        <f>IF(AND(LEFT('SE.01.01.16'!$D$65,8)&lt;&gt;"Reported",'SE.01.01.16'!$D$65&lt;&gt;""),Show!$B$17&amp; Show!$B$17&amp;"S.26.03.01.03 Rows{Z}@ForceFilingCode:false","")</f>
        <v/>
      </c>
    </row>
    <row r="1243" spans="1:2">
      <c r="A1243" t="str">
        <f>IF(AND(LEFT('SE.01.01.16'!$D$65,8)&lt;&gt;"Reported",'SE.01.01.16'!$D$65&lt;&gt;""),Show!$B$17 &amp; "S.26.03.01.04 Rows{Z}@ForceFilingCode:false","")</f>
        <v/>
      </c>
      <c r="B1243" t="str">
        <f>IF(AND(LEFT('SE.01.01.16'!$D$65,8)&lt;&gt;"Reported",'SE.01.01.16'!$D$65&lt;&gt;""),Show!$B$17&amp; Show!$B$17&amp;"S.26.03.01.04 Rows{Z}@ForceFilingCode:false","")</f>
        <v/>
      </c>
    </row>
    <row r="1244" spans="1:2">
      <c r="A1244" t="str">
        <f>IF(AND(LEFT('SE.01.01.16'!$D$66,8)&lt;&gt;"Reported",'SE.01.01.16'!$D$66&lt;&gt;""),Show!$B$17 &amp; "S.26.04.01.01 Rows{Z}@ForceFilingCode:false","")</f>
        <v/>
      </c>
      <c r="B1244" t="str">
        <f>IF(AND(LEFT('SE.01.01.16'!$D$66,8)&lt;&gt;"Reported",'SE.01.01.16'!$D$66&lt;&gt;""),Show!$B$17&amp; Show!$B$17&amp;"S.26.04.01.01 Rows{Z}@ForceFilingCode:false","")</f>
        <v/>
      </c>
    </row>
    <row r="1245" spans="1:2">
      <c r="A1245" t="str">
        <f>IF(AND(LEFT('SE.01.01.16'!$D$66,8)&lt;&gt;"Reported",'SE.01.01.16'!$D$66&lt;&gt;""),Show!$B$17 &amp; "S.26.04.01.02 Rows{Z}@ForceFilingCode:false","")</f>
        <v/>
      </c>
      <c r="B1245" t="str">
        <f>IF(AND(LEFT('SE.01.01.16'!$D$66,8)&lt;&gt;"Reported",'SE.01.01.16'!$D$66&lt;&gt;""),Show!$B$17&amp; Show!$B$17&amp;"S.26.04.01.02 Rows{Z}@ForceFilingCode:false","")</f>
        <v/>
      </c>
    </row>
    <row r="1246" spans="1:2">
      <c r="A1246" t="str">
        <f>IF(AND(LEFT('SE.01.01.16'!$D$66,8)&lt;&gt;"Reported",'SE.01.01.16'!$D$66&lt;&gt;""),Show!$B$17 &amp; "S.26.04.01.03 Rows{Z}@ForceFilingCode:false","")</f>
        <v/>
      </c>
      <c r="B1246" t="str">
        <f>IF(AND(LEFT('SE.01.01.16'!$D$66,8)&lt;&gt;"Reported",'SE.01.01.16'!$D$66&lt;&gt;""),Show!$B$17&amp; Show!$B$17&amp;"S.26.04.01.03 Rows{Z}@ForceFilingCode:false","")</f>
        <v/>
      </c>
    </row>
    <row r="1247" spans="1:2">
      <c r="A1247" t="str">
        <f>IF(AND(LEFT('SE.01.01.16'!$D$66,8)&lt;&gt;"Reported",'SE.01.01.16'!$D$66&lt;&gt;""),Show!$B$17 &amp; "S.26.04.01.04 Rows{Z}@ForceFilingCode:false","")</f>
        <v/>
      </c>
      <c r="B1247" t="str">
        <f>IF(AND(LEFT('SE.01.01.16'!$D$66,8)&lt;&gt;"Reported",'SE.01.01.16'!$D$66&lt;&gt;""),Show!$B$17&amp; Show!$B$17&amp;"S.26.04.01.04 Rows{Z}@ForceFilingCode:false","")</f>
        <v/>
      </c>
    </row>
    <row r="1248" spans="1:2">
      <c r="A1248" t="str">
        <f>IF(AND(LEFT('SE.01.01.16'!$D$66,8)&lt;&gt;"Reported",'SE.01.01.16'!$D$66&lt;&gt;""),Show!$B$17 &amp; "S.26.04.01.05 Rows{Z}@ForceFilingCode:false","")</f>
        <v/>
      </c>
      <c r="B1248" t="str">
        <f>IF(AND(LEFT('SE.01.01.16'!$D$66,8)&lt;&gt;"Reported",'SE.01.01.16'!$D$66&lt;&gt;""),Show!$B$17&amp; Show!$B$17&amp;"S.26.04.01.05 Rows{Z}@ForceFilingCode:false","")</f>
        <v/>
      </c>
    </row>
    <row r="1249" spans="1:2">
      <c r="A1249" t="str">
        <f>IF(AND(LEFT('SE.01.01.16'!$D$66,8)&lt;&gt;"Reported",'SE.01.01.16'!$D$66&lt;&gt;""),Show!$B$17 &amp; "S.26.04.01.06 Rows{Z}@ForceFilingCode:false","")</f>
        <v/>
      </c>
      <c r="B1249" t="str">
        <f>IF(AND(LEFT('SE.01.01.16'!$D$66,8)&lt;&gt;"Reported",'SE.01.01.16'!$D$66&lt;&gt;""),Show!$B$17&amp; Show!$B$17&amp;"S.26.04.01.06 Rows{Z}@ForceFilingCode:false","")</f>
        <v/>
      </c>
    </row>
    <row r="1250" spans="1:2">
      <c r="A1250" t="str">
        <f>IF(AND(LEFT('SE.01.01.16'!$D$66,8)&lt;&gt;"Reported",'SE.01.01.16'!$D$66&lt;&gt;""),Show!$B$17 &amp; "S.26.04.01.07 Rows{Z}@ForceFilingCode:false","")</f>
        <v/>
      </c>
      <c r="B1250" t="str">
        <f>IF(AND(LEFT('SE.01.01.16'!$D$66,8)&lt;&gt;"Reported",'SE.01.01.16'!$D$66&lt;&gt;""),Show!$B$17&amp; Show!$B$17&amp;"S.26.04.01.07 Rows{Z}@ForceFilingCode:false","")</f>
        <v/>
      </c>
    </row>
    <row r="1251" spans="1:2">
      <c r="A1251" t="str">
        <f>IF(AND(LEFT('SE.01.01.16'!$D$66,8)&lt;&gt;"Reported",'SE.01.01.16'!$D$66&lt;&gt;""),Show!$B$17 &amp; "S.26.04.01.08 Rows{Z}@ForceFilingCode:false","")</f>
        <v/>
      </c>
      <c r="B1251" t="str">
        <f>IF(AND(LEFT('SE.01.01.16'!$D$66,8)&lt;&gt;"Reported",'SE.01.01.16'!$D$66&lt;&gt;""),Show!$B$17&amp; Show!$B$17&amp;"S.26.04.01.08 Rows{Z}@ForceFilingCode:false","")</f>
        <v/>
      </c>
    </row>
    <row r="1252" spans="1:2">
      <c r="A1252" t="str">
        <f>IF(AND(LEFT('SE.01.01.16'!$D$66,8)&lt;&gt;"Reported",'SE.01.01.16'!$D$66&lt;&gt;""),Show!$B$17 &amp; "S.26.04.01.09 Rows{Z}@ForceFilingCode:false","")</f>
        <v/>
      </c>
      <c r="B1252" t="str">
        <f>IF(AND(LEFT('SE.01.01.16'!$D$66,8)&lt;&gt;"Reported",'SE.01.01.16'!$D$66&lt;&gt;""),Show!$B$17&amp; Show!$B$17&amp;"S.26.04.01.09 Rows{Z}@ForceFilingCode:false","")</f>
        <v/>
      </c>
    </row>
    <row r="1253" spans="1:2">
      <c r="A1253" t="str">
        <f>IF(AND(LEFT('SE.01.01.16'!$D$67,8)&lt;&gt;"Reported",'SE.01.01.16'!$D$67&lt;&gt;""),Show!$B$17 &amp; "S.26.05.01.01 Rows{Z}@ForceFilingCode:false","")</f>
        <v/>
      </c>
      <c r="B1253" t="str">
        <f>IF(AND(LEFT('SE.01.01.16'!$D$67,8)&lt;&gt;"Reported",'SE.01.01.16'!$D$67&lt;&gt;""),Show!$B$17&amp; Show!$B$17&amp;"S.26.05.01.01 Rows{Z}@ForceFilingCode:false","")</f>
        <v/>
      </c>
    </row>
    <row r="1254" spans="1:2">
      <c r="A1254" t="str">
        <f>IF(AND(LEFT('SE.01.01.16'!$D$67,8)&lt;&gt;"Reported",'SE.01.01.16'!$D$67&lt;&gt;""),Show!$B$17 &amp; "S.26.05.01.02 Rows{Z}@ForceFilingCode:false","")</f>
        <v/>
      </c>
      <c r="B1254" t="str">
        <f>IF(AND(LEFT('SE.01.01.16'!$D$67,8)&lt;&gt;"Reported",'SE.01.01.16'!$D$67&lt;&gt;""),Show!$B$17&amp; Show!$B$17&amp;"S.26.05.01.02 Rows{Z}@ForceFilingCode:false","")</f>
        <v/>
      </c>
    </row>
    <row r="1255" spans="1:2">
      <c r="A1255" t="str">
        <f>IF(AND(LEFT('SE.01.01.16'!$D$67,8)&lt;&gt;"Reported",'SE.01.01.16'!$D$67&lt;&gt;""),Show!$B$17 &amp; "S.26.05.01.03 Rows{Z}@ForceFilingCode:false","")</f>
        <v/>
      </c>
      <c r="B1255" t="str">
        <f>IF(AND(LEFT('SE.01.01.16'!$D$67,8)&lt;&gt;"Reported",'SE.01.01.16'!$D$67&lt;&gt;""),Show!$B$17&amp; Show!$B$17&amp;"S.26.05.01.03 Rows{Z}@ForceFilingCode:false","")</f>
        <v/>
      </c>
    </row>
    <row r="1256" spans="1:2">
      <c r="A1256" t="str">
        <f>IF(AND(LEFT('SE.01.01.16'!$D$67,8)&lt;&gt;"Reported",'SE.01.01.16'!$D$67&lt;&gt;""),Show!$B$17 &amp; "S.26.05.01.04 Rows{Z}@ForceFilingCode:false","")</f>
        <v/>
      </c>
      <c r="B1256" t="str">
        <f>IF(AND(LEFT('SE.01.01.16'!$D$67,8)&lt;&gt;"Reported",'SE.01.01.16'!$D$67&lt;&gt;""),Show!$B$17&amp; Show!$B$17&amp;"S.26.05.01.04 Rows{Z}@ForceFilingCode:false","")</f>
        <v/>
      </c>
    </row>
    <row r="1257" spans="1:2">
      <c r="A1257" t="str">
        <f>IF(AND(LEFT('SE.01.01.16'!$D$67,8)&lt;&gt;"Reported",'SE.01.01.16'!$D$67&lt;&gt;""),Show!$B$17 &amp; "S.26.05.01.05 Rows{Z}@ForceFilingCode:false","")</f>
        <v/>
      </c>
      <c r="B1257" t="str">
        <f>IF(AND(LEFT('SE.01.01.16'!$D$67,8)&lt;&gt;"Reported",'SE.01.01.16'!$D$67&lt;&gt;""),Show!$B$17&amp; Show!$B$17&amp;"S.26.05.01.05 Rows{Z}@ForceFilingCode:false","")</f>
        <v/>
      </c>
    </row>
    <row r="1258" spans="1:2">
      <c r="A1258" t="str">
        <f>IF(AND(LEFT('SE.01.01.16'!$D$68,8)&lt;&gt;"Reported",'SE.01.01.16'!$D$68&lt;&gt;""),Show!$B$17 &amp; "S.26.06.01.01 Rows{Z}@ForceFilingCode:false","")</f>
        <v/>
      </c>
      <c r="B1258" t="str">
        <f>IF(AND(LEFT('SE.01.01.16'!$D$68,8)&lt;&gt;"Reported",'SE.01.01.16'!$D$68&lt;&gt;""),Show!$B$17&amp; Show!$B$17&amp;"S.26.06.01.01 Rows{Z}@ForceFilingCode:false","")</f>
        <v/>
      </c>
    </row>
    <row r="1259" spans="1:2">
      <c r="A1259" t="str">
        <f>IF(AND(LEFT('SE.01.01.16'!$D$69,8)&lt;&gt;"Reported",'SE.01.01.16'!$D$69&lt;&gt;""),Show!$B$17 &amp; "S.26.07.01.01 Rows{Z}@ForceFilingCode:false","")</f>
        <v/>
      </c>
      <c r="B1259" t="str">
        <f>IF(AND(LEFT('SE.01.01.16'!$D$69,8)&lt;&gt;"Reported",'SE.01.01.16'!$D$69&lt;&gt;""),Show!$B$17&amp; Show!$B$17&amp;"S.26.07.01.01 Rows{Z}@ForceFilingCode:false","")</f>
        <v/>
      </c>
    </row>
    <row r="1260" spans="1:2">
      <c r="A1260" t="str">
        <f>IF(AND(LEFT('SE.01.01.16'!$D$69,8)&lt;&gt;"Reported",'SE.01.01.16'!$D$69&lt;&gt;""),Show!$B$17 &amp; "S.26.07.01.02 Rows{Z}@ForceFilingCode:false","")</f>
        <v/>
      </c>
      <c r="B1260" t="str">
        <f>IF(AND(LEFT('SE.01.01.16'!$D$69,8)&lt;&gt;"Reported",'SE.01.01.16'!$D$69&lt;&gt;""),Show!$B$17&amp; Show!$B$17&amp;"S.26.07.01.02 Rows{Z}@ForceFilingCode:false","")</f>
        <v/>
      </c>
    </row>
    <row r="1261" spans="1:2">
      <c r="A1261" t="str">
        <f>IF(AND(LEFT('SE.01.01.16'!$D$69,8)&lt;&gt;"Reported",'SE.01.01.16'!$D$69&lt;&gt;""),Show!$B$17 &amp; "S.26.07.01.03 Rows{Z}@ForceFilingCode:false","")</f>
        <v/>
      </c>
      <c r="B1261" t="str">
        <f>IF(AND(LEFT('SE.01.01.16'!$D$69,8)&lt;&gt;"Reported",'SE.01.01.16'!$D$69&lt;&gt;""),Show!$B$17&amp; Show!$B$17&amp;"S.26.07.01.03 Rows{Z}@ForceFilingCode:false","")</f>
        <v/>
      </c>
    </row>
    <row r="1262" spans="1:2">
      <c r="A1262" t="str">
        <f>IF(AND(LEFT('SE.01.01.16'!$D$69,8)&lt;&gt;"Reported",'SE.01.01.16'!$D$69&lt;&gt;""),Show!$B$17 &amp; "S.26.07.01.04 Rows{Z}@ForceFilingCode:false","")</f>
        <v/>
      </c>
      <c r="B1262" t="str">
        <f>IF(AND(LEFT('SE.01.01.16'!$D$69,8)&lt;&gt;"Reported",'SE.01.01.16'!$D$69&lt;&gt;""),Show!$B$17&amp; Show!$B$17&amp;"S.26.07.01.04 Rows{Z}@ForceFilingCode:false","")</f>
        <v/>
      </c>
    </row>
    <row r="1263" spans="1:2">
      <c r="A1263" t="str">
        <f>IF(AND(LEFT('SE.01.01.16'!$D$69,8)&lt;&gt;"Reported",'SE.01.01.16'!$D$69&lt;&gt;""),Show!$B$17 &amp; "S.26.07.01.05 Rows{Z}@ForceFilingCode:false","")</f>
        <v/>
      </c>
      <c r="B1263" t="str">
        <f>IF(AND(LEFT('SE.01.01.16'!$D$69,8)&lt;&gt;"Reported",'SE.01.01.16'!$D$69&lt;&gt;""),Show!$B$17&amp; Show!$B$17&amp;"S.26.07.01.05 Rows{Z}@ForceFilingCode:false","")</f>
        <v/>
      </c>
    </row>
    <row r="1264" spans="1:2">
      <c r="A1264" t="str">
        <f>IF(AND(LEFT('SE.01.01.16'!$D$69,8)&lt;&gt;"Reported",'SE.01.01.16'!$D$69&lt;&gt;""),Show!$B$17 &amp; "S.26.07.01.06 Rows{Z}@ForceFilingCode:false","")</f>
        <v/>
      </c>
      <c r="B1264" t="str">
        <f>IF(AND(LEFT('SE.01.01.16'!$D$69,8)&lt;&gt;"Reported",'SE.01.01.16'!$D$69&lt;&gt;""),Show!$B$17&amp; Show!$B$17&amp;"S.26.07.01.06 Rows{Z}@ForceFilingCode:false","")</f>
        <v/>
      </c>
    </row>
    <row r="1265" spans="1:2">
      <c r="A1265" t="str">
        <f>IF(AND(LEFT('SE.01.01.16'!$D$70,8)&lt;&gt;"Reported",'SE.01.01.16'!$D$70&lt;&gt;""),Show!$B$17 &amp; "S.27.01.01.01 Rows{Z}@ForceFilingCode:false","")</f>
        <v/>
      </c>
      <c r="B1265" t="str">
        <f>IF(AND(LEFT('SE.01.01.16'!$D$70,8)&lt;&gt;"Reported",'SE.01.01.16'!$D$70&lt;&gt;""),Show!$B$17&amp; Show!$B$17&amp;"S.27.01.01.01 Rows{Z}@ForceFilingCode:false","")</f>
        <v/>
      </c>
    </row>
    <row r="1266" spans="1:2">
      <c r="A1266" t="str">
        <f>IF(AND(LEFT('SE.01.01.16'!$D$70,8)&lt;&gt;"Reported",'SE.01.01.16'!$D$70&lt;&gt;""),Show!$B$17 &amp; "S.27.01.01.02 Rows{Z}@ForceFilingCode:false","")</f>
        <v/>
      </c>
      <c r="B1266" t="str">
        <f>IF(AND(LEFT('SE.01.01.16'!$D$70,8)&lt;&gt;"Reported",'SE.01.01.16'!$D$70&lt;&gt;""),Show!$B$17&amp; Show!$B$17&amp;"S.27.01.01.02 Rows{Z}@ForceFilingCode:false","")</f>
        <v/>
      </c>
    </row>
    <row r="1267" spans="1:2">
      <c r="A1267" t="str">
        <f>IF(AND(LEFT('SE.01.01.16'!$D$70,8)&lt;&gt;"Reported",'SE.01.01.16'!$D$70&lt;&gt;""),Show!$B$17 &amp; "S.27.01.01.03 Rows{Z}@ForceFilingCode:false","")</f>
        <v/>
      </c>
      <c r="B1267" t="str">
        <f>IF(AND(LEFT('SE.01.01.16'!$D$70,8)&lt;&gt;"Reported",'SE.01.01.16'!$D$70&lt;&gt;""),Show!$B$17&amp; Show!$B$17&amp;"S.27.01.01.03 Rows{Z}@ForceFilingCode:false","")</f>
        <v/>
      </c>
    </row>
    <row r="1268" spans="1:2">
      <c r="A1268" t="str">
        <f>IF(AND(LEFT('SE.01.01.16'!$D$70,8)&lt;&gt;"Reported",'SE.01.01.16'!$D$70&lt;&gt;""),Show!$B$17 &amp; "S.27.01.01.04 Rows{Z}@ForceFilingCode:false","")</f>
        <v/>
      </c>
      <c r="B1268" t="str">
        <f>IF(AND(LEFT('SE.01.01.16'!$D$70,8)&lt;&gt;"Reported",'SE.01.01.16'!$D$70&lt;&gt;""),Show!$B$17&amp; Show!$B$17&amp;"S.27.01.01.04 Rows{Z}@ForceFilingCode:false","")</f>
        <v/>
      </c>
    </row>
    <row r="1269" spans="1:2">
      <c r="A1269" t="str">
        <f>IF(AND(LEFT('SE.01.01.16'!$D$70,8)&lt;&gt;"Reported",'SE.01.01.16'!$D$70&lt;&gt;""),Show!$B$17 &amp; "S.27.01.01.05 Rows{Z}@ForceFilingCode:false","")</f>
        <v/>
      </c>
      <c r="B1269" t="str">
        <f>IF(AND(LEFT('SE.01.01.16'!$D$70,8)&lt;&gt;"Reported",'SE.01.01.16'!$D$70&lt;&gt;""),Show!$B$17&amp; Show!$B$17&amp;"S.27.01.01.05 Rows{Z}@ForceFilingCode:false","")</f>
        <v/>
      </c>
    </row>
    <row r="1270" spans="1:2">
      <c r="A1270" t="str">
        <f>IF(AND(LEFT('SE.01.01.16'!$D$70,8)&lt;&gt;"Reported",'SE.01.01.16'!$D$70&lt;&gt;""),Show!$B$17 &amp; "S.27.01.01.06 Rows{Z}@ForceFilingCode:false","")</f>
        <v/>
      </c>
      <c r="B1270" t="str">
        <f>IF(AND(LEFT('SE.01.01.16'!$D$70,8)&lt;&gt;"Reported",'SE.01.01.16'!$D$70&lt;&gt;""),Show!$B$17&amp; Show!$B$17&amp;"S.27.01.01.06 Rows{Z}@ForceFilingCode:false","")</f>
        <v/>
      </c>
    </row>
    <row r="1271" spans="1:2">
      <c r="A1271" t="str">
        <f>IF(AND(LEFT('SE.01.01.16'!$D$70,8)&lt;&gt;"Reported",'SE.01.01.16'!$D$70&lt;&gt;""),Show!$B$17 &amp; "S.27.01.01.07 Rows{Z}@ForceFilingCode:false","")</f>
        <v/>
      </c>
      <c r="B1271" t="str">
        <f>IF(AND(LEFT('SE.01.01.16'!$D$70,8)&lt;&gt;"Reported",'SE.01.01.16'!$D$70&lt;&gt;""),Show!$B$17&amp; Show!$B$17&amp;"S.27.01.01.07 Rows{Z}@ForceFilingCode:false","")</f>
        <v/>
      </c>
    </row>
    <row r="1272" spans="1:2">
      <c r="A1272" t="str">
        <f>IF(AND(LEFT('SE.01.01.16'!$D$70,8)&lt;&gt;"Reported",'SE.01.01.16'!$D$70&lt;&gt;""),Show!$B$17 &amp; "S.27.01.01.08 Rows{Z}@ForceFilingCode:false","")</f>
        <v/>
      </c>
      <c r="B1272" t="str">
        <f>IF(AND(LEFT('SE.01.01.16'!$D$70,8)&lt;&gt;"Reported",'SE.01.01.16'!$D$70&lt;&gt;""),Show!$B$17&amp; Show!$B$17&amp;"S.27.01.01.08 Rows{Z}@ForceFilingCode:false","")</f>
        <v/>
      </c>
    </row>
    <row r="1273" spans="1:2">
      <c r="A1273" t="str">
        <f>IF(AND(LEFT('SE.01.01.16'!$D$70,8)&lt;&gt;"Reported",'SE.01.01.16'!$D$70&lt;&gt;""),Show!$B$17 &amp; "S.27.01.01.09 Rows{Z}@ForceFilingCode:false","")</f>
        <v/>
      </c>
      <c r="B1273" t="str">
        <f>IF(AND(LEFT('SE.01.01.16'!$D$70,8)&lt;&gt;"Reported",'SE.01.01.16'!$D$70&lt;&gt;""),Show!$B$17&amp; Show!$B$17&amp;"S.27.01.01.09 Rows{Z}@ForceFilingCode:false","")</f>
        <v/>
      </c>
    </row>
    <row r="1274" spans="1:2">
      <c r="A1274" t="str">
        <f>IF(AND(LEFT('SE.01.01.16'!$D$70,8)&lt;&gt;"Reported",'SE.01.01.16'!$D$70&lt;&gt;""),Show!$B$17 &amp; "S.27.01.01.10 Rows{Z}@ForceFilingCode:false","")</f>
        <v/>
      </c>
      <c r="B1274" t="str">
        <f>IF(AND(LEFT('SE.01.01.16'!$D$70,8)&lt;&gt;"Reported",'SE.01.01.16'!$D$70&lt;&gt;""),Show!$B$17&amp; Show!$B$17&amp;"S.27.01.01.10 Rows{Z}@ForceFilingCode:false","")</f>
        <v/>
      </c>
    </row>
    <row r="1275" spans="1:2">
      <c r="A1275" t="str">
        <f>IF(AND(LEFT('SE.01.01.16'!$D$70,8)&lt;&gt;"Reported",'SE.01.01.16'!$D$70&lt;&gt;""),Show!$B$17 &amp; "S.27.01.01.11 Rows{Z}@ForceFilingCode:false","")</f>
        <v/>
      </c>
      <c r="B1275" t="str">
        <f>IF(AND(LEFT('SE.01.01.16'!$D$70,8)&lt;&gt;"Reported",'SE.01.01.16'!$D$70&lt;&gt;""),Show!$B$17&amp; Show!$B$17&amp;"S.27.01.01.11 Rows{Z}@ForceFilingCode:false","")</f>
        <v/>
      </c>
    </row>
    <row r="1276" spans="1:2">
      <c r="A1276" t="str">
        <f>IF(AND(LEFT('SE.01.01.16'!$D$70,8)&lt;&gt;"Reported",'SE.01.01.16'!$D$70&lt;&gt;""),Show!$B$17 &amp; "S.27.01.01.12 Rows{Z}@ForceFilingCode:false","")</f>
        <v/>
      </c>
      <c r="B1276" t="str">
        <f>IF(AND(LEFT('SE.01.01.16'!$D$70,8)&lt;&gt;"Reported",'SE.01.01.16'!$D$70&lt;&gt;""),Show!$B$17&amp; Show!$B$17&amp;"S.27.01.01.12 Rows{Z}@ForceFilingCode:false","")</f>
        <v/>
      </c>
    </row>
    <row r="1277" spans="1:2">
      <c r="A1277" t="str">
        <f>IF(AND(LEFT('SE.01.01.16'!$D$70,8)&lt;&gt;"Reported",'SE.01.01.16'!$D$70&lt;&gt;""),Show!$B$17 &amp; "S.27.01.01.13 Rows{Z}@ForceFilingCode:false","")</f>
        <v/>
      </c>
      <c r="B1277" t="str">
        <f>IF(AND(LEFT('SE.01.01.16'!$D$70,8)&lt;&gt;"Reported",'SE.01.01.16'!$D$70&lt;&gt;""),Show!$B$17&amp; Show!$B$17&amp;"S.27.01.01.13 Rows{Z}@ForceFilingCode:false","")</f>
        <v/>
      </c>
    </row>
    <row r="1278" spans="1:2">
      <c r="A1278" t="str">
        <f>IF(AND(LEFT('SE.01.01.16'!$D$70,8)&lt;&gt;"Reported",'SE.01.01.16'!$D$70&lt;&gt;""),Show!$B$17 &amp; "S.27.01.01.14 Rows{Z}@ForceFilingCode:false","")</f>
        <v/>
      </c>
      <c r="B1278" t="str">
        <f>IF(AND(LEFT('SE.01.01.16'!$D$70,8)&lt;&gt;"Reported",'SE.01.01.16'!$D$70&lt;&gt;""),Show!$B$17&amp; Show!$B$17&amp;"S.27.01.01.14 Rows{Z}@ForceFilingCode:false","")</f>
        <v/>
      </c>
    </row>
    <row r="1279" spans="1:2">
      <c r="A1279" t="str">
        <f>IF(AND(LEFT('SE.01.01.16'!$D$70,8)&lt;&gt;"Reported",'SE.01.01.16'!$D$70&lt;&gt;""),Show!$B$17 &amp; "S.27.01.01.15 Rows{Z}@ForceFilingCode:false","")</f>
        <v/>
      </c>
      <c r="B1279" t="str">
        <f>IF(AND(LEFT('SE.01.01.16'!$D$70,8)&lt;&gt;"Reported",'SE.01.01.16'!$D$70&lt;&gt;""),Show!$B$17&amp; Show!$B$17&amp;"S.27.01.01.15 Rows{Z}@ForceFilingCode:false","")</f>
        <v/>
      </c>
    </row>
    <row r="1280" spans="1:2">
      <c r="A1280" t="str">
        <f>IF(AND(LEFT('SE.01.01.16'!$D$70,8)&lt;&gt;"Reported",'SE.01.01.16'!$D$70&lt;&gt;""),Show!$B$17 &amp; "S.27.01.01.16 Rows{Z}@ForceFilingCode:false","")</f>
        <v/>
      </c>
      <c r="B1280" t="str">
        <f>IF(AND(LEFT('SE.01.01.16'!$D$70,8)&lt;&gt;"Reported",'SE.01.01.16'!$D$70&lt;&gt;""),Show!$B$17&amp; Show!$B$17&amp;"S.27.01.01.16 Rows{Z}@ForceFilingCode:false","")</f>
        <v/>
      </c>
    </row>
    <row r="1281" spans="1:2">
      <c r="A1281" t="str">
        <f>IF(AND(LEFT('SE.01.01.16'!$D$70,8)&lt;&gt;"Reported",'SE.01.01.16'!$D$70&lt;&gt;""),Show!$B$17 &amp; "S.27.01.01.17 Rows{Z}@ForceFilingCode:false","")</f>
        <v/>
      </c>
      <c r="B1281" t="str">
        <f>IF(AND(LEFT('SE.01.01.16'!$D$70,8)&lt;&gt;"Reported",'SE.01.01.16'!$D$70&lt;&gt;""),Show!$B$17&amp; Show!$B$17&amp;"S.27.01.01.17 Rows{Z}@ForceFilingCode:false","")</f>
        <v/>
      </c>
    </row>
    <row r="1282" spans="1:2">
      <c r="A1282" t="str">
        <f>IF(AND(LEFT('SE.01.01.16'!$D$70,8)&lt;&gt;"Reported",'SE.01.01.16'!$D$70&lt;&gt;""),Show!$B$17 &amp; "S.27.01.01.18 Rows{Z}@ForceFilingCode:false","")</f>
        <v/>
      </c>
      <c r="B1282" t="str">
        <f>IF(AND(LEFT('SE.01.01.16'!$D$70,8)&lt;&gt;"Reported",'SE.01.01.16'!$D$70&lt;&gt;""),Show!$B$17&amp; Show!$B$17&amp;"S.27.01.01.18 Rows{Z}@ForceFilingCode:false","")</f>
        <v/>
      </c>
    </row>
    <row r="1283" spans="1:2">
      <c r="A1283" t="str">
        <f>IF(AND(LEFT('SE.01.01.16'!$D$70,8)&lt;&gt;"Reported",'SE.01.01.16'!$D$70&lt;&gt;""),Show!$B$17 &amp; "S.27.01.01.19 Rows{Z}@ForceFilingCode:false","")</f>
        <v/>
      </c>
      <c r="B1283" t="str">
        <f>IF(AND(LEFT('SE.01.01.16'!$D$70,8)&lt;&gt;"Reported",'SE.01.01.16'!$D$70&lt;&gt;""),Show!$B$17&amp; Show!$B$17&amp;"S.27.01.01.19 Rows{Z}@ForceFilingCode:false","")</f>
        <v/>
      </c>
    </row>
    <row r="1284" spans="1:2">
      <c r="A1284" t="str">
        <f>IF(AND(LEFT('SE.01.01.16'!$D$70,8)&lt;&gt;"Reported",'SE.01.01.16'!$D$70&lt;&gt;""),Show!$B$17 &amp; "S.27.01.01.20 Rows{Z}@ForceFilingCode:false","")</f>
        <v/>
      </c>
      <c r="B1284" t="str">
        <f>IF(AND(LEFT('SE.01.01.16'!$D$70,8)&lt;&gt;"Reported",'SE.01.01.16'!$D$70&lt;&gt;""),Show!$B$17&amp; Show!$B$17&amp;"S.27.01.01.20 Rows{Z}@ForceFilingCode:false","")</f>
        <v/>
      </c>
    </row>
    <row r="1285" spans="1:2">
      <c r="A1285" t="str">
        <f>IF(AND(LEFT('SE.01.01.16'!$D$70,8)&lt;&gt;"Reported",'SE.01.01.16'!$D$70&lt;&gt;""),Show!$B$17 &amp; "S.27.01.01.21 Rows{Z}@ForceFilingCode:false","")</f>
        <v/>
      </c>
      <c r="B1285" t="str">
        <f>IF(AND(LEFT('SE.01.01.16'!$D$70,8)&lt;&gt;"Reported",'SE.01.01.16'!$D$70&lt;&gt;""),Show!$B$17&amp; Show!$B$17&amp;"S.27.01.01.21 Rows{Z}@ForceFilingCode:false","")</f>
        <v/>
      </c>
    </row>
    <row r="1286" spans="1:2">
      <c r="A1286" t="str">
        <f>IF(AND(LEFT('SE.01.01.16'!$D$70,8)&lt;&gt;"Reported",'SE.01.01.16'!$D$70&lt;&gt;""),Show!$B$17 &amp; "S.27.01.01.22 Rows{Z}@ForceFilingCode:false","")</f>
        <v/>
      </c>
      <c r="B1286" t="str">
        <f>IF(AND(LEFT('SE.01.01.16'!$D$70,8)&lt;&gt;"Reported",'SE.01.01.16'!$D$70&lt;&gt;""),Show!$B$17&amp; Show!$B$17&amp;"S.27.01.01.22 Rows{Z}@ForceFilingCode:false","")</f>
        <v/>
      </c>
    </row>
    <row r="1287" spans="1:2">
      <c r="A1287" t="str">
        <f>IF(AND(LEFT('SE.01.01.16'!$D$70,8)&lt;&gt;"Reported",'SE.01.01.16'!$D$70&lt;&gt;""),Show!$B$17 &amp; "S.27.01.01.23 Rows{Z}@ForceFilingCode:false","")</f>
        <v/>
      </c>
      <c r="B1287" t="str">
        <f>IF(AND(LEFT('SE.01.01.16'!$D$70,8)&lt;&gt;"Reported",'SE.01.01.16'!$D$70&lt;&gt;""),Show!$B$17&amp; Show!$B$17&amp;"S.27.01.01.23 Rows{Z}@ForceFilingCode:false","")</f>
        <v/>
      </c>
    </row>
    <row r="1288" spans="1:2">
      <c r="A1288" t="str">
        <f>IF(AND(LEFT('SE.01.01.16'!$D$70,8)&lt;&gt;"Reported",'SE.01.01.16'!$D$70&lt;&gt;""),Show!$B$17 &amp; "S.27.01.01.24 Rows{Z}@ForceFilingCode:false","")</f>
        <v/>
      </c>
      <c r="B1288" t="str">
        <f>IF(AND(LEFT('SE.01.01.16'!$D$70,8)&lt;&gt;"Reported",'SE.01.01.16'!$D$70&lt;&gt;""),Show!$B$17&amp; Show!$B$17&amp;"S.27.01.01.24 Rows{Z}@ForceFilingCode:false","")</f>
        <v/>
      </c>
    </row>
    <row r="1289" spans="1:2">
      <c r="A1289" t="str">
        <f>IF(AND(LEFT('SE.01.01.16'!$D$70,8)&lt;&gt;"Reported",'SE.01.01.16'!$D$70&lt;&gt;""),Show!$B$17 &amp; "S.27.01.01.25 Rows{Z}@ForceFilingCode:false","")</f>
        <v/>
      </c>
      <c r="B1289" t="str">
        <f>IF(AND(LEFT('SE.01.01.16'!$D$70,8)&lt;&gt;"Reported",'SE.01.01.16'!$D$70&lt;&gt;""),Show!$B$17&amp; Show!$B$17&amp;"S.27.01.01.25 Rows{Z}@ForceFilingCode:false","")</f>
        <v/>
      </c>
    </row>
    <row r="1290" spans="1:2">
      <c r="A1290" t="str">
        <f>IF(AND(LEFT('SE.01.01.16'!$D$70,8)&lt;&gt;"Reported",'SE.01.01.16'!$D$70&lt;&gt;""),Show!$B$17 &amp; "S.27.01.01.26 Rows{Z}@ForceFilingCode:false","")</f>
        <v/>
      </c>
      <c r="B1290" t="str">
        <f>IF(AND(LEFT('SE.01.01.16'!$D$70,8)&lt;&gt;"Reported",'SE.01.01.16'!$D$70&lt;&gt;""),Show!$B$17&amp; Show!$B$17&amp;"S.27.01.01.26 Rows{Z}@ForceFilingCode:false","")</f>
        <v/>
      </c>
    </row>
    <row r="1291" spans="1:2">
      <c r="A1291" t="str">
        <f>IF(AND(LEFT('SE.01.01.16'!$D$70,8)&lt;&gt;"Reported",'SE.01.01.16'!$D$70&lt;&gt;""),Show!$B$17 &amp; "S.27.01.01.27 Rows{Z}@ForceFilingCode:false","")</f>
        <v/>
      </c>
      <c r="B1291" t="str">
        <f>IF(AND(LEFT('SE.01.01.16'!$D$70,8)&lt;&gt;"Reported",'SE.01.01.16'!$D$70&lt;&gt;""),Show!$B$17&amp; Show!$B$17&amp;"S.27.01.01.27 Rows{Z}@ForceFilingCode:false","")</f>
        <v/>
      </c>
    </row>
    <row r="1292" spans="1:2">
      <c r="A1292" t="str">
        <f>IF(AND(LEFT('SE.01.01.16'!$D$70,8)&lt;&gt;"Reported",'SE.01.01.16'!$D$70&lt;&gt;""),Show!$B$17 &amp; "S.27.01.01.28 Rows{Z}@ForceFilingCode:false","")</f>
        <v/>
      </c>
      <c r="B1292" t="str">
        <f>IF(AND(LEFT('SE.01.01.16'!$D$70,8)&lt;&gt;"Reported",'SE.01.01.16'!$D$70&lt;&gt;""),Show!$B$17&amp; Show!$B$17&amp;"S.27.01.01.28 Rows{Z}@ForceFilingCode:false","")</f>
        <v/>
      </c>
    </row>
    <row r="1293" spans="1:2">
      <c r="A1293" t="str">
        <f>IF(AND(LEFT('SE.01.01.16'!$D$71,8)&lt;&gt;"Reported",'SE.01.01.16'!$D$71&lt;&gt;""),Show!$B$17 &amp; "S.28.01.01.01 Rows{Z}@ForceFilingCode:false","")</f>
        <v/>
      </c>
      <c r="B1293" t="str">
        <f>IF(AND(LEFT('SE.01.01.16'!$D$71,8)&lt;&gt;"Reported",'SE.01.01.16'!$D$71&lt;&gt;""),Show!$B$17&amp; Show!$B$17&amp;"S.28.01.01.01 Rows{Z}@ForceFilingCode:false","")</f>
        <v/>
      </c>
    </row>
    <row r="1294" spans="1:2">
      <c r="A1294" t="str">
        <f>IF(AND(LEFT('SE.01.01.16'!$D$71,8)&lt;&gt;"Reported",'SE.01.01.16'!$D$71&lt;&gt;""),Show!$B$17 &amp; "S.28.01.01.02 Rows{Z}@ForceFilingCode:false","")</f>
        <v/>
      </c>
      <c r="B1294" t="str">
        <f>IF(AND(LEFT('SE.01.01.16'!$D$71,8)&lt;&gt;"Reported",'SE.01.01.16'!$D$71&lt;&gt;""),Show!$B$17&amp; Show!$B$17&amp;"S.28.01.01.02 Rows{Z}@ForceFilingCode:false","")</f>
        <v/>
      </c>
    </row>
    <row r="1295" spans="1:2">
      <c r="A1295" t="str">
        <f>IF(AND(LEFT('SE.01.01.16'!$D$71,8)&lt;&gt;"Reported",'SE.01.01.16'!$D$71&lt;&gt;""),Show!$B$17 &amp; "S.28.01.01.03 Rows{Z}@ForceFilingCode:false","")</f>
        <v/>
      </c>
      <c r="B1295" t="str">
        <f>IF(AND(LEFT('SE.01.01.16'!$D$71,8)&lt;&gt;"Reported",'SE.01.01.16'!$D$71&lt;&gt;""),Show!$B$17&amp; Show!$B$17&amp;"S.28.01.01.03 Rows{Z}@ForceFilingCode:false","")</f>
        <v/>
      </c>
    </row>
    <row r="1296" spans="1:2">
      <c r="A1296" t="str">
        <f>IF(AND(LEFT('SE.01.01.16'!$D$71,8)&lt;&gt;"Reported",'SE.01.01.16'!$D$71&lt;&gt;""),Show!$B$17 &amp; "S.28.01.01.04 Rows{Z}@ForceFilingCode:false","")</f>
        <v/>
      </c>
      <c r="B1296" t="str">
        <f>IF(AND(LEFT('SE.01.01.16'!$D$71,8)&lt;&gt;"Reported",'SE.01.01.16'!$D$71&lt;&gt;""),Show!$B$17&amp; Show!$B$17&amp;"S.28.01.01.04 Rows{Z}@ForceFilingCode:false","")</f>
        <v/>
      </c>
    </row>
    <row r="1297" spans="1:2">
      <c r="A1297" t="str">
        <f>IF(AND(LEFT('SE.01.01.16'!$D$71,8)&lt;&gt;"Reported",'SE.01.01.16'!$D$71&lt;&gt;""),Show!$B$17 &amp; "S.28.01.01.05 Rows{Z}@ForceFilingCode:false","")</f>
        <v/>
      </c>
      <c r="B1297" t="str">
        <f>IF(AND(LEFT('SE.01.01.16'!$D$71,8)&lt;&gt;"Reported",'SE.01.01.16'!$D$71&lt;&gt;""),Show!$B$17&amp; Show!$B$17&amp;"S.28.01.01.05 Rows{Z}@ForceFilingCode:false","")</f>
        <v/>
      </c>
    </row>
    <row r="1298" spans="1:2">
      <c r="A1298" t="str">
        <f>IF(AND(LEFT('SE.01.01.16'!$D$72,8)&lt;&gt;"Reported",'SE.01.01.16'!$D$72&lt;&gt;""),Show!$B$17 &amp; "S.28.02.01.01 Rows{Z}@ForceFilingCode:false","")</f>
        <v/>
      </c>
      <c r="B1298" t="str">
        <f>IF(AND(LEFT('SE.01.01.16'!$D$72,8)&lt;&gt;"Reported",'SE.01.01.16'!$D$72&lt;&gt;""),Show!$B$17&amp; Show!$B$17&amp;"S.28.02.01.01 Rows{Z}@ForceFilingCode:false","")</f>
        <v/>
      </c>
    </row>
    <row r="1299" spans="1:2">
      <c r="A1299" t="str">
        <f>IF(AND(LEFT('SE.01.01.16'!$D$72,8)&lt;&gt;"Reported",'SE.01.01.16'!$D$72&lt;&gt;""),Show!$B$17 &amp; "S.28.02.01.02 Rows{Z}@ForceFilingCode:false","")</f>
        <v/>
      </c>
      <c r="B1299" t="str">
        <f>IF(AND(LEFT('SE.01.01.16'!$D$72,8)&lt;&gt;"Reported",'SE.01.01.16'!$D$72&lt;&gt;""),Show!$B$17&amp; Show!$B$17&amp;"S.28.02.01.02 Rows{Z}@ForceFilingCode:false","")</f>
        <v/>
      </c>
    </row>
    <row r="1300" spans="1:2">
      <c r="A1300" t="str">
        <f>IF(AND(LEFT('SE.01.01.16'!$D$72,8)&lt;&gt;"Reported",'SE.01.01.16'!$D$72&lt;&gt;""),Show!$B$17 &amp; "S.28.02.01.03 Rows{Z}@ForceFilingCode:false","")</f>
        <v/>
      </c>
      <c r="B1300" t="str">
        <f>IF(AND(LEFT('SE.01.01.16'!$D$72,8)&lt;&gt;"Reported",'SE.01.01.16'!$D$72&lt;&gt;""),Show!$B$17&amp; Show!$B$17&amp;"S.28.02.01.03 Rows{Z}@ForceFilingCode:false","")</f>
        <v/>
      </c>
    </row>
    <row r="1301" spans="1:2">
      <c r="A1301" t="str">
        <f>IF(AND(LEFT('SE.01.01.16'!$D$72,8)&lt;&gt;"Reported",'SE.01.01.16'!$D$72&lt;&gt;""),Show!$B$17 &amp; "S.28.02.01.04 Rows{Z}@ForceFilingCode:false","")</f>
        <v/>
      </c>
      <c r="B1301" t="str">
        <f>IF(AND(LEFT('SE.01.01.16'!$D$72,8)&lt;&gt;"Reported",'SE.01.01.16'!$D$72&lt;&gt;""),Show!$B$17&amp; Show!$B$17&amp;"S.28.02.01.04 Rows{Z}@ForceFilingCode:false","")</f>
        <v/>
      </c>
    </row>
    <row r="1302" spans="1:2">
      <c r="A1302" t="str">
        <f>IF(AND(LEFT('SE.01.01.16'!$D$72,8)&lt;&gt;"Reported",'SE.01.01.16'!$D$72&lt;&gt;""),Show!$B$17 &amp; "S.28.02.01.05 Rows{Z}@ForceFilingCode:false","")</f>
        <v/>
      </c>
      <c r="B1302" t="str">
        <f>IF(AND(LEFT('SE.01.01.16'!$D$72,8)&lt;&gt;"Reported",'SE.01.01.16'!$D$72&lt;&gt;""),Show!$B$17&amp; Show!$B$17&amp;"S.28.02.01.05 Rows{Z}@ForceFilingCode:false","")</f>
        <v/>
      </c>
    </row>
    <row r="1303" spans="1:2">
      <c r="A1303" t="str">
        <f>IF(AND(LEFT('SE.01.01.16'!$D$72,8)&lt;&gt;"Reported",'SE.01.01.16'!$D$72&lt;&gt;""),Show!$B$17 &amp; "S.28.02.01.06 Rows{Z}@ForceFilingCode:false","")</f>
        <v/>
      </c>
      <c r="B1303" t="str">
        <f>IF(AND(LEFT('SE.01.01.16'!$D$72,8)&lt;&gt;"Reported",'SE.01.01.16'!$D$72&lt;&gt;""),Show!$B$17&amp; Show!$B$17&amp;"S.28.02.01.06 Rows{Z}@ForceFilingCode:false","")</f>
        <v/>
      </c>
    </row>
    <row r="1304" spans="1:2">
      <c r="A1304" t="str">
        <f>IF(AND(LEFT('SE.01.01.16'!$D$73,8)&lt;&gt;"Reported",'SE.01.01.16'!$D$73&lt;&gt;""),Show!$B$17 &amp; "S.29.01.01.01 Rows{Z}@ForceFilingCode:false","")</f>
        <v/>
      </c>
      <c r="B1304" t="str">
        <f>IF(AND(LEFT('SE.01.01.16'!$D$73,8)&lt;&gt;"Reported",'SE.01.01.16'!$D$73&lt;&gt;""),Show!$B$17&amp; Show!$B$17&amp;"S.29.01.01.01 Rows{Z}@ForceFilingCode:false","")</f>
        <v/>
      </c>
    </row>
    <row r="1305" spans="1:2">
      <c r="A1305" t="str">
        <f>IF(AND(LEFT('SE.01.01.16'!$D$73,8)&lt;&gt;"Reported",'SE.01.01.16'!$D$73&lt;&gt;""),Show!$B$17 &amp; "S.29.01.01.02 Rows{Z}@ForceFilingCode:false","")</f>
        <v/>
      </c>
      <c r="B1305" t="str">
        <f>IF(AND(LEFT('SE.01.01.16'!$D$73,8)&lt;&gt;"Reported",'SE.01.01.16'!$D$73&lt;&gt;""),Show!$B$17&amp; Show!$B$17&amp;"S.29.01.01.02 Rows{Z}@ForceFilingCode:false","")</f>
        <v/>
      </c>
    </row>
    <row r="1306" spans="1:2">
      <c r="A1306" t="str">
        <f>IF(AND(LEFT('SE.01.01.16'!$D$74,8)&lt;&gt;"Reported",'SE.01.01.16'!$D$74&lt;&gt;""),Show!$B$17 &amp; "S.29.02.01.01 Rows{Z}@ForceFilingCode:false","")</f>
        <v/>
      </c>
      <c r="B1306" t="str">
        <f>IF(AND(LEFT('SE.01.01.16'!$D$74,8)&lt;&gt;"Reported",'SE.01.01.16'!$D$74&lt;&gt;""),Show!$B$17&amp; Show!$B$17&amp;"S.29.02.01.01 Rows{Z}@ForceFilingCode:false","")</f>
        <v/>
      </c>
    </row>
    <row r="1307" spans="1:2">
      <c r="A1307" t="str">
        <f>IF(AND(LEFT('SE.01.01.16'!$D$75,8)&lt;&gt;"Reported",'SE.01.01.16'!$D$75&lt;&gt;""),Show!$B$17 &amp; "S.29.03.01.01 Rows{Z}@ForceFilingCode:false","")</f>
        <v/>
      </c>
      <c r="B1307" t="str">
        <f>IF(AND(LEFT('SE.01.01.16'!$D$75,8)&lt;&gt;"Reported",'SE.01.01.16'!$D$75&lt;&gt;""),Show!$B$17&amp; Show!$B$17&amp;"S.29.03.01.01 Rows{Z}@ForceFilingCode:false","")</f>
        <v/>
      </c>
    </row>
    <row r="1308" spans="1:2">
      <c r="A1308" t="str">
        <f>IF(AND(LEFT('SE.01.01.16'!$D$75,8)&lt;&gt;"Reported",'SE.01.01.16'!$D$75&lt;&gt;""),Show!$B$17 &amp; "S.29.03.01.02 Rows{Z}@ForceFilingCode:false","")</f>
        <v/>
      </c>
      <c r="B1308" t="str">
        <f>IF(AND(LEFT('SE.01.01.16'!$D$75,8)&lt;&gt;"Reported",'SE.01.01.16'!$D$75&lt;&gt;""),Show!$B$17&amp; Show!$B$17&amp;"S.29.03.01.02 Rows{Z}@ForceFilingCode:false","")</f>
        <v/>
      </c>
    </row>
    <row r="1309" spans="1:2">
      <c r="A1309" t="str">
        <f>IF(AND(LEFT('SE.01.01.16'!$D$75,8)&lt;&gt;"Reported",'SE.01.01.16'!$D$75&lt;&gt;""),Show!$B$17 &amp; "S.29.03.01.03 Rows{Z}@ForceFilingCode:false","")</f>
        <v/>
      </c>
      <c r="B1309" t="str">
        <f>IF(AND(LEFT('SE.01.01.16'!$D$75,8)&lt;&gt;"Reported",'SE.01.01.16'!$D$75&lt;&gt;""),Show!$B$17&amp; Show!$B$17&amp;"S.29.03.01.03 Rows{Z}@ForceFilingCode:false","")</f>
        <v/>
      </c>
    </row>
    <row r="1310" spans="1:2">
      <c r="A1310" t="str">
        <f>IF(AND(LEFT('SE.01.01.16'!$D$75,8)&lt;&gt;"Reported",'SE.01.01.16'!$D$75&lt;&gt;""),Show!$B$17 &amp; "S.29.03.01.04 Rows{Z}@ForceFilingCode:false","")</f>
        <v/>
      </c>
      <c r="B1310" t="str">
        <f>IF(AND(LEFT('SE.01.01.16'!$D$75,8)&lt;&gt;"Reported",'SE.01.01.16'!$D$75&lt;&gt;""),Show!$B$17&amp; Show!$B$17&amp;"S.29.03.01.04 Rows{Z}@ForceFilingCode:false","")</f>
        <v/>
      </c>
    </row>
    <row r="1311" spans="1:2">
      <c r="A1311" t="str">
        <f>IF(AND(LEFT('SE.01.01.16'!$D$75,8)&lt;&gt;"Reported",'SE.01.01.16'!$D$75&lt;&gt;""),Show!$B$17 &amp; "S.29.03.01.05 Rows{Z}@ForceFilingCode:false","")</f>
        <v/>
      </c>
      <c r="B1311" t="str">
        <f>IF(AND(LEFT('SE.01.01.16'!$D$75,8)&lt;&gt;"Reported",'SE.01.01.16'!$D$75&lt;&gt;""),Show!$B$17&amp; Show!$B$17&amp;"S.29.03.01.05 Rows{Z}@ForceFilingCode:false","")</f>
        <v/>
      </c>
    </row>
    <row r="1312" spans="1:2">
      <c r="A1312" t="str">
        <f>IF(AND(LEFT('SE.01.01.16'!$D$75,8)&lt;&gt;"Reported",'SE.01.01.16'!$D$75&lt;&gt;""),Show!$B$17 &amp; "S.29.03.01.06 Rows{Z}@ForceFilingCode:false","")</f>
        <v/>
      </c>
      <c r="B1312" t="str">
        <f>IF(AND(LEFT('SE.01.01.16'!$D$75,8)&lt;&gt;"Reported",'SE.01.01.16'!$D$75&lt;&gt;""),Show!$B$17&amp; Show!$B$17&amp;"S.29.03.01.06 Rows{Z}@ForceFilingCode:false","")</f>
        <v/>
      </c>
    </row>
    <row r="1313" spans="1:2">
      <c r="A1313" t="str">
        <f>IF(AND(LEFT('SE.01.01.16'!$D$75,8)&lt;&gt;"Reported",'SE.01.01.16'!$D$75&lt;&gt;""),Show!$B$17 &amp; "S.29.03.01.07 Rows{Z}@ForceFilingCode:false","")</f>
        <v/>
      </c>
      <c r="B1313" t="str">
        <f>IF(AND(LEFT('SE.01.01.16'!$D$75,8)&lt;&gt;"Reported",'SE.01.01.16'!$D$75&lt;&gt;""),Show!$B$17&amp; Show!$B$17&amp;"S.29.03.01.07 Rows{Z}@ForceFilingCode:false","")</f>
        <v/>
      </c>
    </row>
    <row r="1314" spans="1:2">
      <c r="A1314" t="str">
        <f>IF(AND(LEFT('SE.01.01.16'!$D$76,8)&lt;&gt;"Reported",'SE.01.01.16'!$D$76&lt;&gt;""),Show!$B$17 &amp; "S.29.04.01.01 Rows{Z}@ForceFilingCode:false","")</f>
        <v/>
      </c>
      <c r="B1314" t="str">
        <f>IF(AND(LEFT('SE.01.01.16'!$D$76,8)&lt;&gt;"Reported",'SE.01.01.16'!$D$76&lt;&gt;""),Show!$B$17&amp; Show!$B$17&amp;"S.29.04.01.01 Rows{Z}@ForceFilingCode:false","")</f>
        <v/>
      </c>
    </row>
    <row r="1315" spans="1:2">
      <c r="A1315" t="str">
        <f>IF(AND(LEFT('SE.01.01.16'!$D$76,8)&lt;&gt;"Reported",'SE.01.01.16'!$D$76&lt;&gt;""),Show!$B$17 &amp; "S.29.04.01.02 Rows{Z}@ForceFilingCode:false","")</f>
        <v/>
      </c>
      <c r="B1315" t="str">
        <f>IF(AND(LEFT('SE.01.01.16'!$D$76,8)&lt;&gt;"Reported",'SE.01.01.16'!$D$76&lt;&gt;""),Show!$B$17&amp; Show!$B$17&amp;"S.29.04.01.02 Rows{Z}@ForceFilingCode:false","")</f>
        <v/>
      </c>
    </row>
    <row r="1316" spans="1:2">
      <c r="A1316" t="str">
        <f>IF(AND(LEFT('SE.01.01.16'!$D$77,8)&lt;&gt;"Reported",'SE.01.01.16'!$D$77&lt;&gt;""),Show!$B$17 &amp; "S.30.01.01.01 Rows{Z}@ForceFilingCode:false","")</f>
        <v/>
      </c>
      <c r="B1316" t="str">
        <f>IF(AND(LEFT('SE.01.01.16'!$D$77,8)&lt;&gt;"Reported",'SE.01.01.16'!$D$77&lt;&gt;""),Show!$B$17&amp; Show!$B$17&amp;"S.30.01.01.01 Rows{Z}@ForceFilingCode:false","")</f>
        <v/>
      </c>
    </row>
    <row r="1317" spans="1:2">
      <c r="A1317" t="str">
        <f>IF(AND(LEFT('SE.01.01.16'!$D$77,8)&lt;&gt;"Reported",'SE.01.01.16'!$D$77&lt;&gt;""),Show!$B$17 &amp; "S.30.01.01.02 Rows{Z}@ForceFilingCode:false","")</f>
        <v/>
      </c>
      <c r="B1317" t="str">
        <f>IF(AND(LEFT('SE.01.01.16'!$D$77,8)&lt;&gt;"Reported",'SE.01.01.16'!$D$77&lt;&gt;""),Show!$B$17&amp; Show!$B$17&amp;"S.30.01.01.02 Rows{Z}@ForceFilingCode:false","")</f>
        <v/>
      </c>
    </row>
    <row r="1318" spans="1:2">
      <c r="A1318" t="str">
        <f>IF(AND(LEFT('SE.01.01.16'!$D$78,8)&lt;&gt;"Reported",'SE.01.01.16'!$D$78&lt;&gt;""),Show!$B$17 &amp; "S.30.02.01.01 Rows{Z}@ForceFilingCode:false","")</f>
        <v/>
      </c>
      <c r="B1318" t="str">
        <f>IF(AND(LEFT('SE.01.01.16'!$D$78,8)&lt;&gt;"Reported",'SE.01.01.16'!$D$78&lt;&gt;""),Show!$B$17&amp; Show!$B$17&amp;"S.30.02.01.01 Rows{Z}@ForceFilingCode:false","")</f>
        <v/>
      </c>
    </row>
    <row r="1319" spans="1:2">
      <c r="A1319" t="str">
        <f>IF(AND(LEFT('SE.01.01.16'!$D$78,8)&lt;&gt;"Reported",'SE.01.01.16'!$D$78&lt;&gt;""),Show!$B$17 &amp; "S.30.02.01.02 Rows{Z}@ForceFilingCode:false","")</f>
        <v/>
      </c>
      <c r="B1319" t="str">
        <f>IF(AND(LEFT('SE.01.01.16'!$D$78,8)&lt;&gt;"Reported",'SE.01.01.16'!$D$78&lt;&gt;""),Show!$B$17&amp; Show!$B$17&amp;"S.30.02.01.02 Rows{Z}@ForceFilingCode:false","")</f>
        <v/>
      </c>
    </row>
    <row r="1320" spans="1:2">
      <c r="A1320" t="str">
        <f>IF(AND(LEFT('SE.01.01.16'!$D$78,8)&lt;&gt;"Reported",'SE.01.01.16'!$D$78&lt;&gt;""),Show!$B$17 &amp; "S.30.02.01.03 Rows{Z}@ForceFilingCode:false","")</f>
        <v/>
      </c>
      <c r="B1320" t="str">
        <f>IF(AND(LEFT('SE.01.01.16'!$D$78,8)&lt;&gt;"Reported",'SE.01.01.16'!$D$78&lt;&gt;""),Show!$B$17&amp; Show!$B$17&amp;"S.30.02.01.03 Rows{Z}@ForceFilingCode:false","")</f>
        <v/>
      </c>
    </row>
    <row r="1321" spans="1:2">
      <c r="A1321" t="str">
        <f>IF(AND(LEFT('SE.01.01.16'!$D$78,8)&lt;&gt;"Reported",'SE.01.01.16'!$D$78&lt;&gt;""),Show!$B$17 &amp; "S.30.02.01.04 Rows{Z}@ForceFilingCode:false","")</f>
        <v/>
      </c>
      <c r="B1321" t="str">
        <f>IF(AND(LEFT('SE.01.01.16'!$D$78,8)&lt;&gt;"Reported",'SE.01.01.16'!$D$78&lt;&gt;""),Show!$B$17&amp; Show!$B$17&amp;"S.30.02.01.04 Rows{Z}@ForceFilingCode:false","")</f>
        <v/>
      </c>
    </row>
    <row r="1322" spans="1:2">
      <c r="A1322" t="str">
        <f>IF(AND(LEFT('SE.01.01.16'!$D$79,8)&lt;&gt;"Reported",'SE.01.01.16'!$D$79&lt;&gt;""),Show!$B$17 &amp; "S.30.03.01.01 Rows{Z}@ForceFilingCode:false","")</f>
        <v/>
      </c>
      <c r="B1322" t="str">
        <f>IF(AND(LEFT('SE.01.01.16'!$D$79,8)&lt;&gt;"Reported",'SE.01.01.16'!$D$79&lt;&gt;""),Show!$B$17&amp; Show!$B$17&amp;"S.30.03.01.01 Rows{Z}@ForceFilingCode:false","")</f>
        <v/>
      </c>
    </row>
    <row r="1323" spans="1:2">
      <c r="A1323" t="str">
        <f>IF(AND(LEFT('SE.01.01.16'!$D$80,8)&lt;&gt;"Reported",'SE.01.01.16'!$D$80&lt;&gt;""),Show!$B$17 &amp; "S.30.04.01.01 Rows{Z}@ForceFilingCode:false","")</f>
        <v/>
      </c>
      <c r="B1323" t="str">
        <f>IF(AND(LEFT('SE.01.01.16'!$D$80,8)&lt;&gt;"Reported",'SE.01.01.16'!$D$80&lt;&gt;""),Show!$B$17&amp; Show!$B$17&amp;"S.30.04.01.01 Rows{Z}@ForceFilingCode:false","")</f>
        <v/>
      </c>
    </row>
    <row r="1324" spans="1:2">
      <c r="A1324" t="str">
        <f>IF(AND(LEFT('SE.01.01.16'!$D$80,8)&lt;&gt;"Reported",'SE.01.01.16'!$D$80&lt;&gt;""),Show!$B$17 &amp; "S.30.04.01.02 Rows{Z}@ForceFilingCode:false","")</f>
        <v/>
      </c>
      <c r="B1324" t="str">
        <f>IF(AND(LEFT('SE.01.01.16'!$D$80,8)&lt;&gt;"Reported",'SE.01.01.16'!$D$80&lt;&gt;""),Show!$B$17&amp; Show!$B$17&amp;"S.30.04.01.02 Rows{Z}@ForceFilingCode:false","")</f>
        <v/>
      </c>
    </row>
    <row r="1325" spans="1:2">
      <c r="A1325" t="str">
        <f>IF(AND(LEFT('SE.01.01.16'!$D$80,8)&lt;&gt;"Reported",'SE.01.01.16'!$D$80&lt;&gt;""),Show!$B$17 &amp; "S.30.04.01.03 Rows{Z}@ForceFilingCode:false","")</f>
        <v/>
      </c>
      <c r="B1325" t="str">
        <f>IF(AND(LEFT('SE.01.01.16'!$D$80,8)&lt;&gt;"Reported",'SE.01.01.16'!$D$80&lt;&gt;""),Show!$B$17&amp; Show!$B$17&amp;"S.30.04.01.03 Rows{Z}@ForceFilingCode:false","")</f>
        <v/>
      </c>
    </row>
    <row r="1326" spans="1:2">
      <c r="A1326" t="str">
        <f>IF(AND(LEFT('SE.01.01.16'!$D$81,8)&lt;&gt;"Reported",'SE.01.01.16'!$D$81&lt;&gt;""),Show!$B$17 &amp; "S.31.01.01.01 Rows{Z}@ForceFilingCode:false","")</f>
        <v/>
      </c>
      <c r="B1326" t="str">
        <f>IF(AND(LEFT('SE.01.01.16'!$D$81,8)&lt;&gt;"Reported",'SE.01.01.16'!$D$81&lt;&gt;""),Show!$B$17&amp; Show!$B$17&amp;"S.31.01.01.01 Rows{Z}@ForceFilingCode:false","")</f>
        <v/>
      </c>
    </row>
    <row r="1327" spans="1:2">
      <c r="A1327" t="str">
        <f>IF(AND(LEFT('SE.01.01.16'!$D$81,8)&lt;&gt;"Reported",'SE.01.01.16'!$D$81&lt;&gt;""),Show!$B$17 &amp; "S.31.01.01.02 Rows{Z}@ForceFilingCode:false","")</f>
        <v/>
      </c>
      <c r="B1327" t="str">
        <f>IF(AND(LEFT('SE.01.01.16'!$D$81,8)&lt;&gt;"Reported",'SE.01.01.16'!$D$81&lt;&gt;""),Show!$B$17&amp; Show!$B$17&amp;"S.31.01.01.02 Rows{Z}@ForceFilingCode:false","")</f>
        <v/>
      </c>
    </row>
    <row r="1328" spans="1:2">
      <c r="A1328" t="str">
        <f>IF(AND(LEFT('SE.01.01.16'!$D$82,8)&lt;&gt;"Reported",'SE.01.01.16'!$D$82&lt;&gt;""),Show!$B$17 &amp; "S.31.02.01.01 Rows{Z}@ForceFilingCode:false","")</f>
        <v/>
      </c>
      <c r="B1328" t="str">
        <f>IF(AND(LEFT('SE.01.01.16'!$D$82,8)&lt;&gt;"Reported",'SE.01.01.16'!$D$82&lt;&gt;""),Show!$B$17&amp; Show!$B$17&amp;"S.31.02.01.01 Rows{Z}@ForceFilingCode:false","")</f>
        <v/>
      </c>
    </row>
    <row r="1329" spans="1:2">
      <c r="A1329" t="str">
        <f>IF(AND(LEFT('SE.01.01.16'!$D$82,8)&lt;&gt;"Reported",'SE.01.01.16'!$D$82&lt;&gt;""),Show!$B$17 &amp; "S.31.02.01.02 Rows{Z}@ForceFilingCode:false","")</f>
        <v/>
      </c>
      <c r="B1329" t="str">
        <f>IF(AND(LEFT('SE.01.01.16'!$D$82,8)&lt;&gt;"Reported",'SE.01.01.16'!$D$82&lt;&gt;""),Show!$B$17&amp; Show!$B$17&amp;"S.31.02.01.02 Rows{Z}@ForceFilingCode:false","")</f>
        <v/>
      </c>
    </row>
    <row r="1330" spans="1:2">
      <c r="A1330" t="str">
        <f>IF(AND(LEFT('SE.01.01.16'!$D$83,8)&lt;&gt;"Reported",'SE.01.01.16'!$D$83&lt;&gt;""),Show!$B$17 &amp; "S.36.01.01.01 Rows{Z}@ForceFilingCode:false","")</f>
        <v/>
      </c>
      <c r="B1330" t="str">
        <f>IF(AND(LEFT('SE.01.01.16'!$D$83,8)&lt;&gt;"Reported",'SE.01.01.16'!$D$83&lt;&gt;""),Show!$B$17&amp; Show!$B$17&amp;"S.36.01.01.01 Rows{Z}@ForceFilingCode:false","")</f>
        <v/>
      </c>
    </row>
    <row r="1331" spans="1:2">
      <c r="A1331" t="str">
        <f>IF(AND(LEFT('SE.01.01.16'!$D$84,8)&lt;&gt;"Reported",'SE.01.01.16'!$D$84&lt;&gt;""),Show!$B$17 &amp; "S.36.02.01.01 Rows{Z}@ForceFilingCode:false","")</f>
        <v/>
      </c>
      <c r="B1331" t="str">
        <f>IF(AND(LEFT('SE.01.01.16'!$D$84,8)&lt;&gt;"Reported",'SE.01.01.16'!$D$84&lt;&gt;""),Show!$B$17&amp; Show!$B$17&amp;"S.36.02.01.01 Rows{Z}@ForceFilingCode:false","")</f>
        <v/>
      </c>
    </row>
    <row r="1332" spans="1:2">
      <c r="A1332" t="str">
        <f>IF(AND(LEFT('SE.01.01.16'!$D$85,8)&lt;&gt;"Reported",'SE.01.01.16'!$D$85&lt;&gt;""),Show!$B$17 &amp; "S.36.03.01.01 Rows{Z}@ForceFilingCode:false","")</f>
        <v/>
      </c>
      <c r="B1332" t="str">
        <f>IF(AND(LEFT('SE.01.01.16'!$D$85,8)&lt;&gt;"Reported",'SE.01.01.16'!$D$85&lt;&gt;""),Show!$B$17&amp; Show!$B$17&amp;"S.36.03.01.01 Rows{Z}@ForceFilingCode:false","")</f>
        <v/>
      </c>
    </row>
    <row r="1333" spans="1:2">
      <c r="A1333" t="str">
        <f>IF(AND(LEFT('SE.01.01.16'!$D$86,8)&lt;&gt;"Reported",'SE.01.01.16'!$D$86&lt;&gt;""),Show!$B$17 &amp; "S.36.04.01.01 Rows{Z}@ForceFilingCode:false","")</f>
        <v/>
      </c>
      <c r="B1333" t="str">
        <f>IF(AND(LEFT('SE.01.01.16'!$D$86,8)&lt;&gt;"Reported",'SE.01.01.16'!$D$86&lt;&gt;""),Show!$B$17&amp; Show!$B$17&amp;"S.36.04.01.01 Rows{Z}@ForceFilingCode:false","")</f>
        <v/>
      </c>
    </row>
    <row r="1334" spans="1:2">
      <c r="A1334" t="str">
        <f>IF(AND(LEFT('SE.01.01.16'!$D$87,8)&lt;&gt;"Reported",'SE.01.01.16'!$D$87&lt;&gt;""),Show!$B$17 &amp; "E.01.01.16.01 Rows{Z}@ForceFilingCode:false","")</f>
        <v/>
      </c>
      <c r="B1334" t="str">
        <f>IF(AND(LEFT('SE.01.01.16'!$D$87,8)&lt;&gt;"Reported",'SE.01.01.16'!$D$87&lt;&gt;""),Show!$B$17&amp; Show!$B$17&amp;"E.01.01.16.01 Rows{Z}@ForceFilingCode:false","")</f>
        <v/>
      </c>
    </row>
    <row r="1335" spans="1:2">
      <c r="A1335" t="str">
        <f>IF(AND(LEFT('SE.01.01.16'!$D$88,8)&lt;&gt;"Reported",'SE.01.01.16'!$D$88&lt;&gt;""),Show!$B$17 &amp; "E.02.01.16.01 Rows{Z}@ForceFilingCode:false","")</f>
        <v/>
      </c>
      <c r="B1335" t="str">
        <f>IF(AND(LEFT('SE.01.01.16'!$D$88,8)&lt;&gt;"Reported",'SE.01.01.16'!$D$88&lt;&gt;""),Show!$B$17&amp; Show!$B$17&amp;"E.02.01.16.01 Rows{Z}@ForceFilingCode:false","")</f>
        <v/>
      </c>
    </row>
    <row r="1336" spans="1:2">
      <c r="A1336" t="str">
        <f>IF(AND(LEFT('SE.01.01.16'!$D$89,8)&lt;&gt;"Reported",'SE.01.01.16'!$D$89&lt;&gt;""),Show!$B$17 &amp; "E.03.01.16.01 Rows{Z}@ForceFilingCode:false","")</f>
        <v/>
      </c>
      <c r="B1336" t="str">
        <f>IF(AND(LEFT('SE.01.01.16'!$D$89,8)&lt;&gt;"Reported",'SE.01.01.16'!$D$89&lt;&gt;""),Show!$B$17&amp; Show!$B$17&amp;"E.03.01.16.01 Rows{Z}@ForceFilingCode:false","")</f>
        <v/>
      </c>
    </row>
    <row r="1337" spans="1:2">
      <c r="A1337" t="str">
        <f>IF(AND(LEFT('SE.01.01.16'!$D$89,8)&lt;&gt;"Reported",'SE.01.01.16'!$D$89&lt;&gt;""),Show!$B$17 &amp; "E.03.01.16.02 Rows{Z}@ForceFilingCode:false","")</f>
        <v/>
      </c>
      <c r="B1337" t="str">
        <f>IF(AND(LEFT('SE.01.01.16'!$D$89,8)&lt;&gt;"Reported",'SE.01.01.16'!$D$89&lt;&gt;""),Show!$B$17&amp; Show!$B$17&amp;"E.03.01.16.02 Rows{Z}@ForceFilingCode:false","")</f>
        <v/>
      </c>
    </row>
    <row r="1338" spans="1:2">
      <c r="A1338" t="str">
        <f>IF(AND(LEFT('SE.01.01.17'!$D$16,8)&lt;&gt;"Reported",'SE.01.01.17'!$D$16&lt;&gt;""),Show!$B$18 &amp; "S.01.02.01.01 Rows{Z}@ForceFilingCode:false","")</f>
        <v/>
      </c>
      <c r="B1338" t="str">
        <f>IF(AND(LEFT('SE.01.01.17'!$D$16,8)&lt;&gt;"Reported",'SE.01.01.17'!$D$16&lt;&gt;""),Show!$B$18&amp; Show!$B$18&amp;"S.01.02.01.01 Rows{Z}@ForceFilingCode:false","")</f>
        <v/>
      </c>
    </row>
    <row r="1339" spans="1:2">
      <c r="A1339" t="str">
        <f>IF(AND(LEFT('SE.01.01.17'!$D$17,8)&lt;&gt;"Reported",'SE.01.01.17'!$D$17&lt;&gt;""),Show!$B$18 &amp; "SE.02.01.17.01 Rows{Z}@ForceFilingCode:false","")</f>
        <v/>
      </c>
      <c r="B1339" t="str">
        <f>IF(AND(LEFT('SE.01.01.17'!$D$17,8)&lt;&gt;"Reported",'SE.01.01.17'!$D$17&lt;&gt;""),Show!$B$18&amp; Show!$B$18&amp;"SE.02.01.17.01 Rows{Z}@ForceFilingCode:false","")</f>
        <v/>
      </c>
    </row>
    <row r="1340" spans="1:2">
      <c r="A1340" t="str">
        <f>IF(AND(LEFT('SE.01.01.17'!$D$18,8)&lt;&gt;"Reported",'SE.01.01.17'!$D$18&lt;&gt;""),Show!$B$18 &amp; "S.05.01.02.01 Rows{Z}@ForceFilingCode:false","")</f>
        <v/>
      </c>
      <c r="B1340" t="str">
        <f>IF(AND(LEFT('SE.01.01.17'!$D$18,8)&lt;&gt;"Reported",'SE.01.01.17'!$D$18&lt;&gt;""),Show!$B$18&amp; Show!$B$18&amp;"S.05.01.02.01 Rows{Z}@ForceFilingCode:false","")</f>
        <v/>
      </c>
    </row>
    <row r="1341" spans="1:2">
      <c r="A1341" t="str">
        <f>IF(AND(LEFT('SE.01.01.17'!$D$18,8)&lt;&gt;"Reported",'SE.01.01.17'!$D$18&lt;&gt;""),Show!$B$18 &amp; "S.05.01.02.02 Rows{Z}@ForceFilingCode:false","")</f>
        <v/>
      </c>
      <c r="B1341" t="str">
        <f>IF(AND(LEFT('SE.01.01.17'!$D$18,8)&lt;&gt;"Reported",'SE.01.01.17'!$D$18&lt;&gt;""),Show!$B$18&amp; Show!$B$18&amp;"S.05.01.02.02 Rows{Z}@ForceFilingCode:false","")</f>
        <v/>
      </c>
    </row>
    <row r="1342" spans="1:2">
      <c r="A1342" t="str">
        <f>IF(AND(LEFT('SE.01.01.17'!$D$19,8)&lt;&gt;"Reported",'SE.01.01.17'!$D$19&lt;&gt;""),Show!$B$18 &amp; "SE.06.02.16.01 Rows{Z}@ForceFilingCode:false","")</f>
        <v/>
      </c>
      <c r="B1342" t="str">
        <f>IF(AND(LEFT('SE.01.01.17'!$D$19,8)&lt;&gt;"Reported",'SE.01.01.17'!$D$19&lt;&gt;""),Show!$B$18&amp; Show!$B$18&amp;"SE.06.02.16.01 Rows{Z}@ForceFilingCode:false","")</f>
        <v/>
      </c>
    </row>
    <row r="1343" spans="1:2">
      <c r="A1343" t="str">
        <f>IF(AND(LEFT('SE.01.01.17'!$D$19,8)&lt;&gt;"Reported",'SE.01.01.17'!$D$19&lt;&gt;""),Show!$B$18 &amp; "SE.06.02.16.02 Rows{Z}@ForceFilingCode:false","")</f>
        <v/>
      </c>
      <c r="B1343" t="str">
        <f>IF(AND(LEFT('SE.01.01.17'!$D$19,8)&lt;&gt;"Reported",'SE.01.01.17'!$D$19&lt;&gt;""),Show!$B$18&amp; Show!$B$18&amp;"SE.06.02.16.02 Rows{Z}@ForceFilingCode:false","")</f>
        <v/>
      </c>
    </row>
    <row r="1344" spans="1:2">
      <c r="A1344" t="str">
        <f>IF(AND(LEFT('SE.01.01.17'!$D$20,8)&lt;&gt;"Reported",'SE.01.01.17'!$D$20&lt;&gt;""),Show!$B$18 &amp; "S.06.03.01.01 Rows{Z}@ForceFilingCode:false","")</f>
        <v/>
      </c>
      <c r="B1344" t="str">
        <f>IF(AND(LEFT('SE.01.01.17'!$D$20,8)&lt;&gt;"Reported",'SE.01.01.17'!$D$20&lt;&gt;""),Show!$B$18&amp; Show!$B$18&amp;"S.06.03.01.01 Rows{Z}@ForceFilingCode:false","")</f>
        <v/>
      </c>
    </row>
    <row r="1345" spans="1:2">
      <c r="A1345" t="str">
        <f>IF(AND(LEFT('SE.01.01.17'!$D$21,8)&lt;&gt;"Reported",'SE.01.01.17'!$D$21&lt;&gt;""),Show!$B$18 &amp; "S.08.01.01.01 Rows{Z}@ForceFilingCode:false","")</f>
        <v/>
      </c>
      <c r="B1345" t="str">
        <f>IF(AND(LEFT('SE.01.01.17'!$D$21,8)&lt;&gt;"Reported",'SE.01.01.17'!$D$21&lt;&gt;""),Show!$B$18&amp; Show!$B$18&amp;"S.08.01.01.01 Rows{Z}@ForceFilingCode:false","")</f>
        <v/>
      </c>
    </row>
    <row r="1346" spans="1:2">
      <c r="A1346" t="str">
        <f>IF(AND(LEFT('SE.01.01.17'!$D$21,8)&lt;&gt;"Reported",'SE.01.01.17'!$D$21&lt;&gt;""),Show!$B$18 &amp; "S.08.01.01.02 Rows{Z}@ForceFilingCode:false","")</f>
        <v/>
      </c>
      <c r="B1346" t="str">
        <f>IF(AND(LEFT('SE.01.01.17'!$D$21,8)&lt;&gt;"Reported",'SE.01.01.17'!$D$21&lt;&gt;""),Show!$B$18&amp; Show!$B$18&amp;"S.08.01.01.02 Rows{Z}@ForceFilingCode:false","")</f>
        <v/>
      </c>
    </row>
    <row r="1347" spans="1:2">
      <c r="A1347" t="str">
        <f>IF(AND(LEFT('SE.01.01.17'!$D$22,8)&lt;&gt;"Reported",'SE.01.01.17'!$D$22&lt;&gt;""),Show!$B$18 &amp; "S.08.02.01.01 Rows{Z}@ForceFilingCode:false","")</f>
        <v/>
      </c>
      <c r="B1347" t="str">
        <f>IF(AND(LEFT('SE.01.01.17'!$D$22,8)&lt;&gt;"Reported",'SE.01.01.17'!$D$22&lt;&gt;""),Show!$B$18&amp; Show!$B$18&amp;"S.08.02.01.01 Rows{Z}@ForceFilingCode:false","")</f>
        <v/>
      </c>
    </row>
    <row r="1348" spans="1:2">
      <c r="A1348" t="str">
        <f>IF(AND(LEFT('SE.01.01.17'!$D$22,8)&lt;&gt;"Reported",'SE.01.01.17'!$D$22&lt;&gt;""),Show!$B$18 &amp; "S.08.02.01.02 Rows{Z}@ForceFilingCode:false","")</f>
        <v/>
      </c>
      <c r="B1348" t="str">
        <f>IF(AND(LEFT('SE.01.01.17'!$D$22,8)&lt;&gt;"Reported",'SE.01.01.17'!$D$22&lt;&gt;""),Show!$B$18&amp; Show!$B$18&amp;"S.08.02.01.02 Rows{Z}@ForceFilingCode:false","")</f>
        <v/>
      </c>
    </row>
    <row r="1349" spans="1:2">
      <c r="A1349" t="str">
        <f>IF(AND(LEFT('SE.01.01.17'!$D$23,8)&lt;&gt;"Reported",'SE.01.01.17'!$D$23&lt;&gt;""),Show!$B$18 &amp; "S.12.01.02.01 Rows{Z}@ForceFilingCode:false","")</f>
        <v/>
      </c>
      <c r="B1349" t="str">
        <f>IF(AND(LEFT('SE.01.01.17'!$D$23,8)&lt;&gt;"Reported",'SE.01.01.17'!$D$23&lt;&gt;""),Show!$B$18&amp; Show!$B$18&amp;"S.12.01.02.01 Rows{Z}@ForceFilingCode:false","")</f>
        <v/>
      </c>
    </row>
    <row r="1350" spans="1:2">
      <c r="A1350" t="str">
        <f>IF(AND(LEFT('SE.01.01.17'!$D$24,8)&lt;&gt;"Reported",'SE.01.01.17'!$D$24&lt;&gt;""),Show!$B$18 &amp; "S.17.01.02.01 Rows{Z}@ForceFilingCode:false","")</f>
        <v/>
      </c>
      <c r="B1350" t="str">
        <f>IF(AND(LEFT('SE.01.01.17'!$D$24,8)&lt;&gt;"Reported",'SE.01.01.17'!$D$24&lt;&gt;""),Show!$B$18&amp; Show!$B$18&amp;"S.17.01.02.01 Rows{Z}@ForceFilingCode:false","")</f>
        <v/>
      </c>
    </row>
    <row r="1351" spans="1:2">
      <c r="A1351" t="str">
        <f>IF(AND(LEFT('SE.01.01.17'!$D$25,8)&lt;&gt;"Reported",'SE.01.01.17'!$D$25&lt;&gt;""),Show!$B$18 &amp; "S.23.01.01.01 Rows{Z}@ForceFilingCode:false","")</f>
        <v/>
      </c>
      <c r="B1351" t="str">
        <f>IF(AND(LEFT('SE.01.01.17'!$D$25,8)&lt;&gt;"Reported",'SE.01.01.17'!$D$25&lt;&gt;""),Show!$B$18&amp; Show!$B$18&amp;"S.23.01.01.01 Rows{Z}@ForceFilingCode:false","")</f>
        <v/>
      </c>
    </row>
    <row r="1352" spans="1:2">
      <c r="A1352" t="str">
        <f>IF(AND(LEFT('SE.01.01.17'!$D$25,8)&lt;&gt;"Reported",'SE.01.01.17'!$D$25&lt;&gt;""),Show!$B$18 &amp; "S.23.01.01.02 Rows{Z}@ForceFilingCode:false","")</f>
        <v/>
      </c>
      <c r="B1352" t="str">
        <f>IF(AND(LEFT('SE.01.01.17'!$D$25,8)&lt;&gt;"Reported",'SE.01.01.17'!$D$25&lt;&gt;""),Show!$B$18&amp; Show!$B$18&amp;"S.23.01.01.02 Rows{Z}@ForceFilingCode:false","")</f>
        <v/>
      </c>
    </row>
    <row r="1353" spans="1:2">
      <c r="A1353" t="str">
        <f>IF(AND(LEFT('SE.01.01.17'!$D$26,8)&lt;&gt;"Reported",'SE.01.01.17'!$D$26&lt;&gt;""),Show!$B$18 &amp; "S.28.01.01.01 Rows{Z}@ForceFilingCode:false","")</f>
        <v/>
      </c>
      <c r="B1353" t="str">
        <f>IF(AND(LEFT('SE.01.01.17'!$D$26,8)&lt;&gt;"Reported",'SE.01.01.17'!$D$26&lt;&gt;""),Show!$B$18&amp; Show!$B$18&amp;"S.28.01.01.01 Rows{Z}@ForceFilingCode:false","")</f>
        <v/>
      </c>
    </row>
    <row r="1354" spans="1:2">
      <c r="A1354" t="str">
        <f>IF(AND(LEFT('SE.01.01.17'!$D$26,8)&lt;&gt;"Reported",'SE.01.01.17'!$D$26&lt;&gt;""),Show!$B$18 &amp; "S.28.01.01.02 Rows{Z}@ForceFilingCode:false","")</f>
        <v/>
      </c>
      <c r="B1354" t="str">
        <f>IF(AND(LEFT('SE.01.01.17'!$D$26,8)&lt;&gt;"Reported",'SE.01.01.17'!$D$26&lt;&gt;""),Show!$B$18&amp; Show!$B$18&amp;"S.28.01.01.02 Rows{Z}@ForceFilingCode:false","")</f>
        <v/>
      </c>
    </row>
    <row r="1355" spans="1:2">
      <c r="A1355" t="str">
        <f>IF(AND(LEFT('SE.01.01.17'!$D$26,8)&lt;&gt;"Reported",'SE.01.01.17'!$D$26&lt;&gt;""),Show!$B$18 &amp; "S.28.01.01.03 Rows{Z}@ForceFilingCode:false","")</f>
        <v/>
      </c>
      <c r="B1355" t="str">
        <f>IF(AND(LEFT('SE.01.01.17'!$D$26,8)&lt;&gt;"Reported",'SE.01.01.17'!$D$26&lt;&gt;""),Show!$B$18&amp; Show!$B$18&amp;"S.28.01.01.03 Rows{Z}@ForceFilingCode:false","")</f>
        <v/>
      </c>
    </row>
    <row r="1356" spans="1:2">
      <c r="A1356" t="str">
        <f>IF(AND(LEFT('SE.01.01.17'!$D$26,8)&lt;&gt;"Reported",'SE.01.01.17'!$D$26&lt;&gt;""),Show!$B$18 &amp; "S.28.01.01.04 Rows{Z}@ForceFilingCode:false","")</f>
        <v/>
      </c>
      <c r="B1356" t="str">
        <f>IF(AND(LEFT('SE.01.01.17'!$D$26,8)&lt;&gt;"Reported",'SE.01.01.17'!$D$26&lt;&gt;""),Show!$B$18&amp; Show!$B$18&amp;"S.28.01.01.04 Rows{Z}@ForceFilingCode:false","")</f>
        <v/>
      </c>
    </row>
    <row r="1357" spans="1:2">
      <c r="A1357" t="str">
        <f>IF(AND(LEFT('SE.01.01.17'!$D$26,8)&lt;&gt;"Reported",'SE.01.01.17'!$D$26&lt;&gt;""),Show!$B$18 &amp; "S.28.01.01.05 Rows{Z}@ForceFilingCode:false","")</f>
        <v/>
      </c>
      <c r="B1357" t="str">
        <f>IF(AND(LEFT('SE.01.01.17'!$D$26,8)&lt;&gt;"Reported",'SE.01.01.17'!$D$26&lt;&gt;""),Show!$B$18&amp; Show!$B$18&amp;"S.28.01.01.05 Rows{Z}@ForceFilingCode:false","")</f>
        <v/>
      </c>
    </row>
    <row r="1358" spans="1:2">
      <c r="A1358" t="str">
        <f>IF(AND(LEFT('SE.01.01.17'!$D$27,8)&lt;&gt;"Reported",'SE.01.01.17'!$D$27&lt;&gt;""),Show!$B$18 &amp; "S.28.02.01.01 Rows{Z}@ForceFilingCode:false","")</f>
        <v/>
      </c>
      <c r="B1358" t="str">
        <f>IF(AND(LEFT('SE.01.01.17'!$D$27,8)&lt;&gt;"Reported",'SE.01.01.17'!$D$27&lt;&gt;""),Show!$B$18&amp; Show!$B$18&amp;"S.28.02.01.01 Rows{Z}@ForceFilingCode:false","")</f>
        <v/>
      </c>
    </row>
    <row r="1359" spans="1:2">
      <c r="A1359" t="str">
        <f>IF(AND(LEFT('SE.01.01.17'!$D$27,8)&lt;&gt;"Reported",'SE.01.01.17'!$D$27&lt;&gt;""),Show!$B$18 &amp; "S.28.02.01.02 Rows{Z}@ForceFilingCode:false","")</f>
        <v/>
      </c>
      <c r="B1359" t="str">
        <f>IF(AND(LEFT('SE.01.01.17'!$D$27,8)&lt;&gt;"Reported",'SE.01.01.17'!$D$27&lt;&gt;""),Show!$B$18&amp; Show!$B$18&amp;"S.28.02.01.02 Rows{Z}@ForceFilingCode:false","")</f>
        <v/>
      </c>
    </row>
    <row r="1360" spans="1:2">
      <c r="A1360" t="str">
        <f>IF(AND(LEFT('SE.01.01.17'!$D$27,8)&lt;&gt;"Reported",'SE.01.01.17'!$D$27&lt;&gt;""),Show!$B$18 &amp; "S.28.02.01.03 Rows{Z}@ForceFilingCode:false","")</f>
        <v/>
      </c>
      <c r="B1360" t="str">
        <f>IF(AND(LEFT('SE.01.01.17'!$D$27,8)&lt;&gt;"Reported",'SE.01.01.17'!$D$27&lt;&gt;""),Show!$B$18&amp; Show!$B$18&amp;"S.28.02.01.03 Rows{Z}@ForceFilingCode:false","")</f>
        <v/>
      </c>
    </row>
    <row r="1361" spans="1:2">
      <c r="A1361" t="str">
        <f>IF(AND(LEFT('SE.01.01.17'!$D$27,8)&lt;&gt;"Reported",'SE.01.01.17'!$D$27&lt;&gt;""),Show!$B$18 &amp; "S.28.02.01.04 Rows{Z}@ForceFilingCode:false","")</f>
        <v/>
      </c>
      <c r="B1361" t="str">
        <f>IF(AND(LEFT('SE.01.01.17'!$D$27,8)&lt;&gt;"Reported",'SE.01.01.17'!$D$27&lt;&gt;""),Show!$B$18&amp; Show!$B$18&amp;"S.28.02.01.04 Rows{Z}@ForceFilingCode:false","")</f>
        <v/>
      </c>
    </row>
    <row r="1362" spans="1:2">
      <c r="A1362" t="str">
        <f>IF(AND(LEFT('SE.01.01.17'!$D$27,8)&lt;&gt;"Reported",'SE.01.01.17'!$D$27&lt;&gt;""),Show!$B$18 &amp; "S.28.02.01.05 Rows{Z}@ForceFilingCode:false","")</f>
        <v/>
      </c>
      <c r="B1362" t="str">
        <f>IF(AND(LEFT('SE.01.01.17'!$D$27,8)&lt;&gt;"Reported",'SE.01.01.17'!$D$27&lt;&gt;""),Show!$B$18&amp; Show!$B$18&amp;"S.28.02.01.05 Rows{Z}@ForceFilingCode:false","")</f>
        <v/>
      </c>
    </row>
    <row r="1363" spans="1:2">
      <c r="A1363" t="str">
        <f>IF(AND(LEFT('SE.01.01.17'!$D$27,8)&lt;&gt;"Reported",'SE.01.01.17'!$D$27&lt;&gt;""),Show!$B$18 &amp; "S.28.02.01.06 Rows{Z}@ForceFilingCode:false","")</f>
        <v/>
      </c>
      <c r="B1363" t="str">
        <f>IF(AND(LEFT('SE.01.01.17'!$D$27,8)&lt;&gt;"Reported",'SE.01.01.17'!$D$27&lt;&gt;""),Show!$B$18&amp; Show!$B$18&amp;"S.28.02.01.06 Rows{Z}@ForceFilingCode:false","")</f>
        <v/>
      </c>
    </row>
    <row r="1364" spans="1:2">
      <c r="A1364" t="str">
        <f>IF(AND(LEFT('SE.01.01.17'!$D$28,8)&lt;&gt;"Reported",'SE.01.01.17'!$D$28&lt;&gt;""),Show!$B$18 &amp; "E.01.01.16.01 Rows{Z}@ForceFilingCode:false","")</f>
        <v/>
      </c>
      <c r="B1364" t="str">
        <f>IF(AND(LEFT('SE.01.01.17'!$D$28,8)&lt;&gt;"Reported",'SE.01.01.17'!$D$28&lt;&gt;""),Show!$B$18&amp; Show!$B$18&amp;"E.01.01.16.01 Rows{Z}@ForceFilingCode:false","")</f>
        <v/>
      </c>
    </row>
    <row r="1365" spans="1:2">
      <c r="A1365" t="str">
        <f>IF(AND(LEFT('SE.01.01.18'!$D$16,8)&lt;&gt;"Reported",'SE.01.01.18'!$D$16&lt;&gt;""),Show!$B$19 &amp; "S.01.02.07.01 Rows{Z}@ForceFilingCode:false","")</f>
        <v/>
      </c>
      <c r="B1365" t="str">
        <f>IF(AND(LEFT('SE.01.01.18'!$D$16,8)&lt;&gt;"Reported",'SE.01.01.18'!$D$16&lt;&gt;""),Show!$B$19&amp; Show!$B$19&amp;"S.01.02.07.01 Rows{Z}@ForceFilingCode:false","")</f>
        <v/>
      </c>
    </row>
    <row r="1366" spans="1:2">
      <c r="A1366" t="str">
        <f>IF(AND(LEFT('SE.01.01.18'!$D$16,8)&lt;&gt;"Reported",'SE.01.01.18'!$D$16&lt;&gt;""),Show!$B$19 &amp; "S.01.02.07.02 Rows{Z}@ForceFilingCode:false","")</f>
        <v/>
      </c>
      <c r="B1366" t="str">
        <f>IF(AND(LEFT('SE.01.01.18'!$D$16,8)&lt;&gt;"Reported",'SE.01.01.18'!$D$16&lt;&gt;""),Show!$B$19&amp; Show!$B$19&amp;"S.01.02.07.02 Rows{Z}@ForceFilingCode:false","")</f>
        <v/>
      </c>
    </row>
    <row r="1367" spans="1:2">
      <c r="A1367" t="str">
        <f>IF(AND(LEFT('SE.01.01.18'!$D$16,8)&lt;&gt;"Reported",'SE.01.01.18'!$D$16&lt;&gt;""),Show!$B$19 &amp; "S.01.02.07.03 Rows{Z}@ForceFilingCode:false","")</f>
        <v/>
      </c>
      <c r="B1367" t="str">
        <f>IF(AND(LEFT('SE.01.01.18'!$D$16,8)&lt;&gt;"Reported",'SE.01.01.18'!$D$16&lt;&gt;""),Show!$B$19&amp; Show!$B$19&amp;"S.01.02.07.03 Rows{Z}@ForceFilingCode:false","")</f>
        <v/>
      </c>
    </row>
    <row r="1368" spans="1:2">
      <c r="A1368" t="str">
        <f>IF(AND(LEFT('SE.01.01.18'!$D$17,8)&lt;&gt;"Reported",'SE.01.01.18'!$D$17&lt;&gt;""),Show!$B$19 &amp; "S.01.03.01.01 Rows{Z}@ForceFilingCode:false","")</f>
        <v/>
      </c>
      <c r="B1368" t="str">
        <f>IF(AND(LEFT('SE.01.01.18'!$D$17,8)&lt;&gt;"Reported",'SE.01.01.18'!$D$17&lt;&gt;""),Show!$B$19&amp; Show!$B$19&amp;"S.01.03.01.01 Rows{Z}@ForceFilingCode:false","")</f>
        <v/>
      </c>
    </row>
    <row r="1369" spans="1:2">
      <c r="A1369" t="str">
        <f>IF(AND(LEFT('SE.01.01.18'!$D$17,8)&lt;&gt;"Reported",'SE.01.01.18'!$D$17&lt;&gt;""),Show!$B$19 &amp; "S.01.03.01.02 Rows{Z}@ForceFilingCode:false","")</f>
        <v/>
      </c>
      <c r="B1369" t="str">
        <f>IF(AND(LEFT('SE.01.01.18'!$D$17,8)&lt;&gt;"Reported",'SE.01.01.18'!$D$17&lt;&gt;""),Show!$B$19&amp; Show!$B$19&amp;"S.01.03.01.02 Rows{Z}@ForceFilingCode:false","")</f>
        <v/>
      </c>
    </row>
    <row r="1370" spans="1:2">
      <c r="A1370" t="str">
        <f>IF(AND(LEFT('SE.01.01.18'!$D$18,8)&lt;&gt;"Reported",'SE.01.01.18'!$D$18&lt;&gt;""),Show!$B$19 &amp; "SE.02.01.18.01 Rows{Z}@ForceFilingCode:false","")</f>
        <v/>
      </c>
      <c r="B1370" t="str">
        <f>IF(AND(LEFT('SE.01.01.18'!$D$18,8)&lt;&gt;"Reported",'SE.01.01.18'!$D$18&lt;&gt;""),Show!$B$19&amp; Show!$B$19&amp;"SE.02.01.18.01 Rows{Z}@ForceFilingCode:false","")</f>
        <v/>
      </c>
    </row>
    <row r="1371" spans="1:2">
      <c r="A1371" t="str">
        <f>IF(AND(LEFT('SE.01.01.18'!$D$19,8)&lt;&gt;"Reported",'SE.01.01.18'!$D$19&lt;&gt;""),Show!$B$19 &amp; "S.02.02.01.01 Rows{Z}@ForceFilingCode:false","")</f>
        <v/>
      </c>
      <c r="B1371" t="str">
        <f>IF(AND(LEFT('SE.01.01.18'!$D$19,8)&lt;&gt;"Reported",'SE.01.01.18'!$D$19&lt;&gt;""),Show!$B$19&amp; Show!$B$19&amp;"S.02.02.01.01 Rows{Z}@ForceFilingCode:false","")</f>
        <v/>
      </c>
    </row>
    <row r="1372" spans="1:2">
      <c r="A1372" t="str">
        <f>IF(AND(LEFT('SE.01.01.18'!$D$19,8)&lt;&gt;"Reported",'SE.01.01.18'!$D$19&lt;&gt;""),Show!$B$19 &amp; "S.02.02.01.02 Rows{Z}@ForceFilingCode:false","")</f>
        <v/>
      </c>
      <c r="B1372" t="str">
        <f>IF(AND(LEFT('SE.01.01.18'!$D$19,8)&lt;&gt;"Reported",'SE.01.01.18'!$D$19&lt;&gt;""),Show!$B$19&amp; Show!$B$19&amp;"S.02.02.01.02 Rows{Z}@ForceFilingCode:false","")</f>
        <v/>
      </c>
    </row>
    <row r="1373" spans="1:2">
      <c r="A1373" t="str">
        <f>IF(AND(LEFT('SE.01.01.18'!$D$20,8)&lt;&gt;"Reported",'SE.01.01.18'!$D$20&lt;&gt;""),Show!$B$19 &amp; "S.02.03.07.01 Rows{Z}@ForceFilingCode:false","")</f>
        <v/>
      </c>
      <c r="B1373" t="str">
        <f>IF(AND(LEFT('SE.01.01.18'!$D$20,8)&lt;&gt;"Reported",'SE.01.01.18'!$D$20&lt;&gt;""),Show!$B$19&amp; Show!$B$19&amp;"S.02.03.07.01 Rows{Z}@ForceFilingCode:false","")</f>
        <v/>
      </c>
    </row>
    <row r="1374" spans="1:2">
      <c r="A1374" t="str">
        <f>IF(AND(LEFT('SE.01.01.18'!$D$20,8)&lt;&gt;"Reported",'SE.01.01.18'!$D$20&lt;&gt;""),Show!$B$19 &amp; "S.02.03.07.02 Rows{Z}@ForceFilingCode:false","")</f>
        <v/>
      </c>
      <c r="B1374" t="str">
        <f>IF(AND(LEFT('SE.01.01.18'!$D$20,8)&lt;&gt;"Reported",'SE.01.01.18'!$D$20&lt;&gt;""),Show!$B$19&amp; Show!$B$19&amp;"S.02.03.07.02 Rows{Z}@ForceFilingCode:false","")</f>
        <v/>
      </c>
    </row>
    <row r="1375" spans="1:2">
      <c r="A1375" t="str">
        <f>IF(AND(LEFT('SE.01.01.18'!$D$20,8)&lt;&gt;"Reported",'SE.01.01.18'!$D$20&lt;&gt;""),Show!$B$19 &amp; "S.02.03.07.03 Rows{Z}@ForceFilingCode:false","")</f>
        <v/>
      </c>
      <c r="B1375" t="str">
        <f>IF(AND(LEFT('SE.01.01.18'!$D$20,8)&lt;&gt;"Reported",'SE.01.01.18'!$D$20&lt;&gt;""),Show!$B$19&amp; Show!$B$19&amp;"S.02.03.07.03 Rows{Z}@ForceFilingCode:false","")</f>
        <v/>
      </c>
    </row>
    <row r="1376" spans="1:2">
      <c r="A1376" t="str">
        <f>IF(AND(LEFT('SE.01.01.18'!$D$21,8)&lt;&gt;"Reported",'SE.01.01.18'!$D$21&lt;&gt;""),Show!$B$19 &amp; "S.03.01.01.01 Rows{Z}@ForceFilingCode:false","")</f>
        <v/>
      </c>
      <c r="B1376" t="str">
        <f>IF(AND(LEFT('SE.01.01.18'!$D$21,8)&lt;&gt;"Reported",'SE.01.01.18'!$D$21&lt;&gt;""),Show!$B$19&amp; Show!$B$19&amp;"S.03.01.01.01 Rows{Z}@ForceFilingCode:false","")</f>
        <v/>
      </c>
    </row>
    <row r="1377" spans="1:2">
      <c r="A1377" t="str">
        <f>IF(AND(LEFT('SE.01.01.18'!$D$21,8)&lt;&gt;"Reported",'SE.01.01.18'!$D$21&lt;&gt;""),Show!$B$19 &amp; "S.03.01.01.02 Rows{Z}@ForceFilingCode:false","")</f>
        <v/>
      </c>
      <c r="B1377" t="str">
        <f>IF(AND(LEFT('SE.01.01.18'!$D$21,8)&lt;&gt;"Reported",'SE.01.01.18'!$D$21&lt;&gt;""),Show!$B$19&amp; Show!$B$19&amp;"S.03.01.01.02 Rows{Z}@ForceFilingCode:false","")</f>
        <v/>
      </c>
    </row>
    <row r="1378" spans="1:2">
      <c r="A1378" t="str">
        <f>IF(AND(LEFT('SE.01.01.18'!$D$22,8)&lt;&gt;"Reported",'SE.01.01.18'!$D$22&lt;&gt;""),Show!$B$19 &amp; "S.03.02.01.01 Rows{Z}@ForceFilingCode:false","")</f>
        <v/>
      </c>
      <c r="B1378" t="str">
        <f>IF(AND(LEFT('SE.01.01.18'!$D$22,8)&lt;&gt;"Reported",'SE.01.01.18'!$D$22&lt;&gt;""),Show!$B$19&amp; Show!$B$19&amp;"S.03.02.01.01 Rows{Z}@ForceFilingCode:false","")</f>
        <v/>
      </c>
    </row>
    <row r="1379" spans="1:2">
      <c r="A1379" t="str">
        <f>IF(AND(LEFT('SE.01.01.18'!$D$23,8)&lt;&gt;"Reported",'SE.01.01.18'!$D$23&lt;&gt;""),Show!$B$19 &amp; "S.03.03.01.01 Rows{Z}@ForceFilingCode:false","")</f>
        <v/>
      </c>
      <c r="B1379" t="str">
        <f>IF(AND(LEFT('SE.01.01.18'!$D$23,8)&lt;&gt;"Reported",'SE.01.01.18'!$D$23&lt;&gt;""),Show!$B$19&amp; Show!$B$19&amp;"S.03.03.01.01 Rows{Z}@ForceFilingCode:false","")</f>
        <v/>
      </c>
    </row>
    <row r="1380" spans="1:2">
      <c r="A1380" t="str">
        <f>IF(AND(LEFT('SE.01.01.18'!$D$24,8)&lt;&gt;"Reported",'SE.01.01.18'!$D$24&lt;&gt;""),Show!$B$19 &amp; "S.05.01.01.01 Rows{Z}@ForceFilingCode:false","")</f>
        <v/>
      </c>
      <c r="B1380" t="str">
        <f>IF(AND(LEFT('SE.01.01.18'!$D$24,8)&lt;&gt;"Reported",'SE.01.01.18'!$D$24&lt;&gt;""),Show!$B$19&amp; Show!$B$19&amp;"S.05.01.01.01 Rows{Z}@ForceFilingCode:false","")</f>
        <v/>
      </c>
    </row>
    <row r="1381" spans="1:2">
      <c r="A1381" t="str">
        <f>IF(AND(LEFT('SE.01.01.18'!$D$24,8)&lt;&gt;"Reported",'SE.01.01.18'!$D$24&lt;&gt;""),Show!$B$19 &amp; "S.05.01.01.02 Rows{Z}@ForceFilingCode:false","")</f>
        <v/>
      </c>
      <c r="B1381" t="str">
        <f>IF(AND(LEFT('SE.01.01.18'!$D$24,8)&lt;&gt;"Reported",'SE.01.01.18'!$D$24&lt;&gt;""),Show!$B$19&amp; Show!$B$19&amp;"S.05.01.01.02 Rows{Z}@ForceFilingCode:false","")</f>
        <v/>
      </c>
    </row>
    <row r="1382" spans="1:2">
      <c r="A1382" t="str">
        <f>IF(AND(LEFT('SE.01.01.18'!$D$25,8)&lt;&gt;"Reported",'SE.01.01.18'!$D$25&lt;&gt;""),Show!$B$19 &amp; "S.05.02.01.01 Rows{Z}@ForceFilingCode:false","")</f>
        <v/>
      </c>
      <c r="B1382" t="str">
        <f>IF(AND(LEFT('SE.01.01.18'!$D$25,8)&lt;&gt;"Reported",'SE.01.01.18'!$D$25&lt;&gt;""),Show!$B$19&amp; Show!$B$19&amp;"S.05.02.01.01 Rows{Z}@ForceFilingCode:false","")</f>
        <v/>
      </c>
    </row>
    <row r="1383" spans="1:2">
      <c r="A1383" t="str">
        <f>IF(AND(LEFT('SE.01.01.18'!$D$25,8)&lt;&gt;"Reported",'SE.01.01.18'!$D$25&lt;&gt;""),Show!$B$19 &amp; "S.05.02.01.02 Rows{Z}@ForceFilingCode:false","")</f>
        <v/>
      </c>
      <c r="B1383" t="str">
        <f>IF(AND(LEFT('SE.01.01.18'!$D$25,8)&lt;&gt;"Reported",'SE.01.01.18'!$D$25&lt;&gt;""),Show!$B$19&amp; Show!$B$19&amp;"S.05.02.01.02 Rows{Z}@ForceFilingCode:false","")</f>
        <v/>
      </c>
    </row>
    <row r="1384" spans="1:2">
      <c r="A1384" t="str">
        <f>IF(AND(LEFT('SE.01.01.18'!$D$25,8)&lt;&gt;"Reported",'SE.01.01.18'!$D$25&lt;&gt;""),Show!$B$19 &amp; "S.05.02.01.03 Rows{Z}@ForceFilingCode:false","")</f>
        <v/>
      </c>
      <c r="B1384" t="str">
        <f>IF(AND(LEFT('SE.01.01.18'!$D$25,8)&lt;&gt;"Reported",'SE.01.01.18'!$D$25&lt;&gt;""),Show!$B$19&amp; Show!$B$19&amp;"S.05.02.01.03 Rows{Z}@ForceFilingCode:false","")</f>
        <v/>
      </c>
    </row>
    <row r="1385" spans="1:2">
      <c r="A1385" t="str">
        <f>IF(AND(LEFT('SE.01.01.18'!$D$25,8)&lt;&gt;"Reported",'SE.01.01.18'!$D$25&lt;&gt;""),Show!$B$19 &amp; "S.05.02.01.04 Rows{Z}@ForceFilingCode:false","")</f>
        <v/>
      </c>
      <c r="B1385" t="str">
        <f>IF(AND(LEFT('SE.01.01.18'!$D$25,8)&lt;&gt;"Reported",'SE.01.01.18'!$D$25&lt;&gt;""),Show!$B$19&amp; Show!$B$19&amp;"S.05.02.01.04 Rows{Z}@ForceFilingCode:false","")</f>
        <v/>
      </c>
    </row>
    <row r="1386" spans="1:2">
      <c r="A1386" t="str">
        <f>IF(AND(LEFT('SE.01.01.18'!$D$25,8)&lt;&gt;"Reported",'SE.01.01.18'!$D$25&lt;&gt;""),Show!$B$19 &amp; "S.05.02.01.05 Rows{Z}@ForceFilingCode:false","")</f>
        <v/>
      </c>
      <c r="B1386" t="str">
        <f>IF(AND(LEFT('SE.01.01.18'!$D$25,8)&lt;&gt;"Reported",'SE.01.01.18'!$D$25&lt;&gt;""),Show!$B$19&amp; Show!$B$19&amp;"S.05.02.01.05 Rows{Z}@ForceFilingCode:false","")</f>
        <v/>
      </c>
    </row>
    <row r="1387" spans="1:2">
      <c r="A1387" t="str">
        <f>IF(AND(LEFT('SE.01.01.18'!$D$25,8)&lt;&gt;"Reported",'SE.01.01.18'!$D$25&lt;&gt;""),Show!$B$19 &amp; "S.05.02.01.06 Rows{Z}@ForceFilingCode:false","")</f>
        <v/>
      </c>
      <c r="B1387" t="str">
        <f>IF(AND(LEFT('SE.01.01.18'!$D$25,8)&lt;&gt;"Reported",'SE.01.01.18'!$D$25&lt;&gt;""),Show!$B$19&amp; Show!$B$19&amp;"S.05.02.01.06 Rows{Z}@ForceFilingCode:false","")</f>
        <v/>
      </c>
    </row>
    <row r="1388" spans="1:2">
      <c r="A1388" t="str">
        <f>IF(AND(LEFT('SE.01.01.18'!$D$26,8)&lt;&gt;"Reported",'SE.01.01.18'!$D$26&lt;&gt;""),Show!$B$19 &amp; "SE.06.02.18.01 Rows{Z}@ForceFilingCode:false","")</f>
        <v/>
      </c>
      <c r="B1388" t="str">
        <f>IF(AND(LEFT('SE.01.01.18'!$D$26,8)&lt;&gt;"Reported",'SE.01.01.18'!$D$26&lt;&gt;""),Show!$B$19&amp; Show!$B$19&amp;"SE.06.02.18.01 Rows{Z}@ForceFilingCode:false","")</f>
        <v/>
      </c>
    </row>
    <row r="1389" spans="1:2">
      <c r="A1389" t="str">
        <f>IF(AND(LEFT('SE.01.01.18'!$D$26,8)&lt;&gt;"Reported",'SE.01.01.18'!$D$26&lt;&gt;""),Show!$B$19 &amp; "SE.06.02.18.02 Rows{Z}@ForceFilingCode:false","")</f>
        <v/>
      </c>
      <c r="B1389" t="str">
        <f>IF(AND(LEFT('SE.01.01.18'!$D$26,8)&lt;&gt;"Reported",'SE.01.01.18'!$D$26&lt;&gt;""),Show!$B$19&amp; Show!$B$19&amp;"SE.06.02.18.02 Rows{Z}@ForceFilingCode:false","")</f>
        <v/>
      </c>
    </row>
    <row r="1390" spans="1:2">
      <c r="A1390" t="str">
        <f>IF(AND(LEFT('SE.01.01.18'!$D$27,8)&lt;&gt;"Reported",'SE.01.01.18'!$D$27&lt;&gt;""),Show!$B$19 &amp; "S.06.03.01.01 Rows{Z}@ForceFilingCode:false","")</f>
        <v/>
      </c>
      <c r="B1390" t="str">
        <f>IF(AND(LEFT('SE.01.01.18'!$D$27,8)&lt;&gt;"Reported",'SE.01.01.18'!$D$27&lt;&gt;""),Show!$B$19&amp; Show!$B$19&amp;"S.06.03.01.01 Rows{Z}@ForceFilingCode:false","")</f>
        <v/>
      </c>
    </row>
    <row r="1391" spans="1:2">
      <c r="A1391" t="str">
        <f>IF(AND(LEFT('SE.01.01.18'!$D$28,8)&lt;&gt;"Reported",'SE.01.01.18'!$D$28&lt;&gt;""),Show!$B$19 &amp; "S.07.01.01.01 Rows{Z}@ForceFilingCode:false","")</f>
        <v/>
      </c>
      <c r="B1391" t="str">
        <f>IF(AND(LEFT('SE.01.01.18'!$D$28,8)&lt;&gt;"Reported",'SE.01.01.18'!$D$28&lt;&gt;""),Show!$B$19&amp; Show!$B$19&amp;"S.07.01.01.01 Rows{Z}@ForceFilingCode:false","")</f>
        <v/>
      </c>
    </row>
    <row r="1392" spans="1:2">
      <c r="A1392" t="str">
        <f>IF(AND(LEFT('SE.01.01.18'!$D$29,8)&lt;&gt;"Reported",'SE.01.01.18'!$D$29&lt;&gt;""),Show!$B$19 &amp; "S.08.01.01.01 Rows{Z}@ForceFilingCode:false","")</f>
        <v/>
      </c>
      <c r="B1392" t="str">
        <f>IF(AND(LEFT('SE.01.01.18'!$D$29,8)&lt;&gt;"Reported",'SE.01.01.18'!$D$29&lt;&gt;""),Show!$B$19&amp; Show!$B$19&amp;"S.08.01.01.01 Rows{Z}@ForceFilingCode:false","")</f>
        <v/>
      </c>
    </row>
    <row r="1393" spans="1:2">
      <c r="A1393" t="str">
        <f>IF(AND(LEFT('SE.01.01.18'!$D$29,8)&lt;&gt;"Reported",'SE.01.01.18'!$D$29&lt;&gt;""),Show!$B$19 &amp; "S.08.01.01.02 Rows{Z}@ForceFilingCode:false","")</f>
        <v/>
      </c>
      <c r="B1393" t="str">
        <f>IF(AND(LEFT('SE.01.01.18'!$D$29,8)&lt;&gt;"Reported",'SE.01.01.18'!$D$29&lt;&gt;""),Show!$B$19&amp; Show!$B$19&amp;"S.08.01.01.02 Rows{Z}@ForceFilingCode:false","")</f>
        <v/>
      </c>
    </row>
    <row r="1394" spans="1:2">
      <c r="A1394" t="str">
        <f>IF(AND(LEFT('SE.01.01.18'!$D$30,8)&lt;&gt;"Reported",'SE.01.01.18'!$D$30&lt;&gt;""),Show!$B$19 &amp; "S.08.02.01.01 Rows{Z}@ForceFilingCode:false","")</f>
        <v/>
      </c>
      <c r="B1394" t="str">
        <f>IF(AND(LEFT('SE.01.01.18'!$D$30,8)&lt;&gt;"Reported",'SE.01.01.18'!$D$30&lt;&gt;""),Show!$B$19&amp; Show!$B$19&amp;"S.08.02.01.01 Rows{Z}@ForceFilingCode:false","")</f>
        <v/>
      </c>
    </row>
    <row r="1395" spans="1:2">
      <c r="A1395" t="str">
        <f>IF(AND(LEFT('SE.01.01.18'!$D$30,8)&lt;&gt;"Reported",'SE.01.01.18'!$D$30&lt;&gt;""),Show!$B$19 &amp; "S.08.02.01.02 Rows{Z}@ForceFilingCode:false","")</f>
        <v/>
      </c>
      <c r="B1395" t="str">
        <f>IF(AND(LEFT('SE.01.01.18'!$D$30,8)&lt;&gt;"Reported",'SE.01.01.18'!$D$30&lt;&gt;""),Show!$B$19&amp; Show!$B$19&amp;"S.08.02.01.02 Rows{Z}@ForceFilingCode:false","")</f>
        <v/>
      </c>
    </row>
    <row r="1396" spans="1:2">
      <c r="A1396" t="str">
        <f>IF(AND(LEFT('SE.01.01.18'!$D$31,8)&lt;&gt;"Reported",'SE.01.01.18'!$D$31&lt;&gt;""),Show!$B$19 &amp; "S.09.01.01.01 Rows{Z}@ForceFilingCode:false","")</f>
        <v/>
      </c>
      <c r="B1396" t="str">
        <f>IF(AND(LEFT('SE.01.01.18'!$D$31,8)&lt;&gt;"Reported",'SE.01.01.18'!$D$31&lt;&gt;""),Show!$B$19&amp; Show!$B$19&amp;"S.09.01.01.01 Rows{Z}@ForceFilingCode:false","")</f>
        <v/>
      </c>
    </row>
    <row r="1397" spans="1:2">
      <c r="A1397" t="str">
        <f>IF(AND(LEFT('SE.01.01.18'!$D$32,8)&lt;&gt;"Reported",'SE.01.01.18'!$D$32&lt;&gt;""),Show!$B$19 &amp; "S.10.01.01.01 Rows{Z}@ForceFilingCode:false","")</f>
        <v/>
      </c>
      <c r="B1397" t="str">
        <f>IF(AND(LEFT('SE.01.01.18'!$D$32,8)&lt;&gt;"Reported",'SE.01.01.18'!$D$32&lt;&gt;""),Show!$B$19&amp; Show!$B$19&amp;"S.10.01.01.01 Rows{Z}@ForceFilingCode:false","")</f>
        <v/>
      </c>
    </row>
    <row r="1398" spans="1:2">
      <c r="A1398" t="str">
        <f>IF(AND(LEFT('SE.01.01.18'!$D$33,8)&lt;&gt;"Reported",'SE.01.01.18'!$D$33&lt;&gt;""),Show!$B$19 &amp; "S.11.01.01.01 Rows{Z}@ForceFilingCode:false","")</f>
        <v/>
      </c>
      <c r="B1398" t="str">
        <f>IF(AND(LEFT('SE.01.01.18'!$D$33,8)&lt;&gt;"Reported",'SE.01.01.18'!$D$33&lt;&gt;""),Show!$B$19&amp; Show!$B$19&amp;"S.11.01.01.01 Rows{Z}@ForceFilingCode:false","")</f>
        <v/>
      </c>
    </row>
    <row r="1399" spans="1:2">
      <c r="A1399" t="str">
        <f>IF(AND(LEFT('SE.01.01.18'!$D$33,8)&lt;&gt;"Reported",'SE.01.01.18'!$D$33&lt;&gt;""),Show!$B$19 &amp; "S.11.01.01.02 Rows{Z}@ForceFilingCode:false","")</f>
        <v/>
      </c>
      <c r="B1399" t="str">
        <f>IF(AND(LEFT('SE.01.01.18'!$D$33,8)&lt;&gt;"Reported",'SE.01.01.18'!$D$33&lt;&gt;""),Show!$B$19&amp; Show!$B$19&amp;"S.11.01.01.02 Rows{Z}@ForceFilingCode:false","")</f>
        <v/>
      </c>
    </row>
    <row r="1400" spans="1:2">
      <c r="A1400" t="str">
        <f>IF(AND(LEFT('SE.01.01.18'!$D$34,8)&lt;&gt;"Reported",'SE.01.01.18'!$D$34&lt;&gt;""),Show!$B$19 &amp; "S.12.01.01.01 Rows{Z}@ForceFilingCode:false","")</f>
        <v/>
      </c>
      <c r="B1400" t="str">
        <f>IF(AND(LEFT('SE.01.01.18'!$D$34,8)&lt;&gt;"Reported",'SE.01.01.18'!$D$34&lt;&gt;""),Show!$B$19&amp; Show!$B$19&amp;"S.12.01.01.01 Rows{Z}@ForceFilingCode:false","")</f>
        <v/>
      </c>
    </row>
    <row r="1401" spans="1:2">
      <c r="A1401" t="str">
        <f>IF(AND(LEFT('SE.01.01.18'!$D$35,8)&lt;&gt;"Reported",'SE.01.01.18'!$D$35&lt;&gt;""),Show!$B$19 &amp; "S.12.02.01.01 Rows{Z}@ForceFilingCode:false","")</f>
        <v/>
      </c>
      <c r="B1401" t="str">
        <f>IF(AND(LEFT('SE.01.01.18'!$D$35,8)&lt;&gt;"Reported",'SE.01.01.18'!$D$35&lt;&gt;""),Show!$B$19&amp; Show!$B$19&amp;"S.12.02.01.01 Rows{Z}@ForceFilingCode:false","")</f>
        <v/>
      </c>
    </row>
    <row r="1402" spans="1:2">
      <c r="A1402" t="str">
        <f>IF(AND(LEFT('SE.01.01.18'!$D$35,8)&lt;&gt;"Reported",'SE.01.01.18'!$D$35&lt;&gt;""),Show!$B$19 &amp; "S.12.02.01.02 Rows{Z}@ForceFilingCode:false","")</f>
        <v/>
      </c>
      <c r="B1402" t="str">
        <f>IF(AND(LEFT('SE.01.01.18'!$D$35,8)&lt;&gt;"Reported",'SE.01.01.18'!$D$35&lt;&gt;""),Show!$B$19&amp; Show!$B$19&amp;"S.12.02.01.02 Rows{Z}@ForceFilingCode:false","")</f>
        <v/>
      </c>
    </row>
    <row r="1403" spans="1:2">
      <c r="A1403" t="str">
        <f>IF(AND(LEFT('SE.01.01.18'!$D$36,8)&lt;&gt;"Reported",'SE.01.01.18'!$D$36&lt;&gt;""),Show!$B$19 &amp; "S.13.01.01.01 Rows{Z}@ForceFilingCode:false","")</f>
        <v/>
      </c>
      <c r="B1403" t="str">
        <f>IF(AND(LEFT('SE.01.01.18'!$D$36,8)&lt;&gt;"Reported",'SE.01.01.18'!$D$36&lt;&gt;""),Show!$B$19&amp; Show!$B$19&amp;"S.13.01.01.01 Rows{Z}@ForceFilingCode:false","")</f>
        <v/>
      </c>
    </row>
    <row r="1404" spans="1:2">
      <c r="A1404" t="str">
        <f>IF(AND(LEFT('SE.01.01.18'!$D$37,8)&lt;&gt;"Reported",'SE.01.01.18'!$D$37&lt;&gt;""),Show!$B$19 &amp; "S.14.01.01.01 Rows{Z}@ForceFilingCode:false","")</f>
        <v/>
      </c>
      <c r="B1404" t="str">
        <f>IF(AND(LEFT('SE.01.01.18'!$D$37,8)&lt;&gt;"Reported",'SE.01.01.18'!$D$37&lt;&gt;""),Show!$B$19&amp; Show!$B$19&amp;"S.14.01.01.01 Rows{Z}@ForceFilingCode:false","")</f>
        <v/>
      </c>
    </row>
    <row r="1405" spans="1:2">
      <c r="A1405" t="str">
        <f>IF(AND(LEFT('SE.01.01.18'!$D$37,8)&lt;&gt;"Reported",'SE.01.01.18'!$D$37&lt;&gt;""),Show!$B$19 &amp; "S.14.01.01.02 Rows{Z}@ForceFilingCode:false","")</f>
        <v/>
      </c>
      <c r="B1405" t="str">
        <f>IF(AND(LEFT('SE.01.01.18'!$D$37,8)&lt;&gt;"Reported",'SE.01.01.18'!$D$37&lt;&gt;""),Show!$B$19&amp; Show!$B$19&amp;"S.14.01.01.02 Rows{Z}@ForceFilingCode:false","")</f>
        <v/>
      </c>
    </row>
    <row r="1406" spans="1:2">
      <c r="A1406" t="str">
        <f>IF(AND(LEFT('SE.01.01.18'!$D$37,8)&lt;&gt;"Reported",'SE.01.01.18'!$D$37&lt;&gt;""),Show!$B$19 &amp; "S.14.01.01.03 Rows{Z}@ForceFilingCode:false","")</f>
        <v/>
      </c>
      <c r="B1406" t="str">
        <f>IF(AND(LEFT('SE.01.01.18'!$D$37,8)&lt;&gt;"Reported",'SE.01.01.18'!$D$37&lt;&gt;""),Show!$B$19&amp; Show!$B$19&amp;"S.14.01.01.03 Rows{Z}@ForceFilingCode:false","")</f>
        <v/>
      </c>
    </row>
    <row r="1407" spans="1:2">
      <c r="A1407" t="str">
        <f>IF(AND(LEFT('SE.01.01.18'!$D$37,8)&lt;&gt;"Reported",'SE.01.01.18'!$D$37&lt;&gt;""),Show!$B$19 &amp; "S.14.01.01.04 Rows{Z}@ForceFilingCode:false","")</f>
        <v/>
      </c>
      <c r="B1407" t="str">
        <f>IF(AND(LEFT('SE.01.01.18'!$D$37,8)&lt;&gt;"Reported",'SE.01.01.18'!$D$37&lt;&gt;""),Show!$B$19&amp; Show!$B$19&amp;"S.14.01.01.04 Rows{Z}@ForceFilingCode:false","")</f>
        <v/>
      </c>
    </row>
    <row r="1408" spans="1:2">
      <c r="A1408" t="str">
        <f>IF(AND(LEFT('SE.01.01.18'!$D$38,8)&lt;&gt;"Reported",'SE.01.01.18'!$D$38&lt;&gt;""),Show!$B$19 &amp; "S.15.01.01.01 Rows{Z}@ForceFilingCode:false","")</f>
        <v/>
      </c>
      <c r="B1408" t="str">
        <f>IF(AND(LEFT('SE.01.01.18'!$D$38,8)&lt;&gt;"Reported",'SE.01.01.18'!$D$38&lt;&gt;""),Show!$B$19&amp; Show!$B$19&amp;"S.15.01.01.01 Rows{Z}@ForceFilingCode:false","")</f>
        <v/>
      </c>
    </row>
    <row r="1409" spans="1:2">
      <c r="A1409" t="str">
        <f>IF(AND(LEFT('SE.01.01.18'!$D$39,8)&lt;&gt;"Reported",'SE.01.01.18'!$D$39&lt;&gt;""),Show!$B$19 &amp; "S.15.02.01.01 Rows{Z}@ForceFilingCode:false","")</f>
        <v/>
      </c>
      <c r="B1409" t="str">
        <f>IF(AND(LEFT('SE.01.01.18'!$D$39,8)&lt;&gt;"Reported",'SE.01.01.18'!$D$39&lt;&gt;""),Show!$B$19&amp; Show!$B$19&amp;"S.15.02.01.01 Rows{Z}@ForceFilingCode:false","")</f>
        <v/>
      </c>
    </row>
    <row r="1410" spans="1:2">
      <c r="A1410" t="str">
        <f>IF(AND(LEFT('SE.01.01.18'!$D$40,8)&lt;&gt;"Reported",'SE.01.01.18'!$D$40&lt;&gt;""),Show!$B$19 &amp; "S.16.01.01.01 Rows{Z}@ForceFilingCode:false","")</f>
        <v/>
      </c>
      <c r="B1410" t="str">
        <f>IF(AND(LEFT('SE.01.01.18'!$D$40,8)&lt;&gt;"Reported",'SE.01.01.18'!$D$40&lt;&gt;""),Show!$B$19&amp; Show!$B$19&amp;"S.16.01.01.01 Rows{Z}@ForceFilingCode:false","")</f>
        <v/>
      </c>
    </row>
    <row r="1411" spans="1:2">
      <c r="A1411" t="str">
        <f>IF(AND(LEFT('SE.01.01.18'!$D$40,8)&lt;&gt;"Reported",'SE.01.01.18'!$D$40&lt;&gt;""),Show!$B$19 &amp; "S.16.01.01.02 Rows{Z}@ForceFilingCode:false","")</f>
        <v/>
      </c>
      <c r="B1411" t="str">
        <f>IF(AND(LEFT('SE.01.01.18'!$D$40,8)&lt;&gt;"Reported",'SE.01.01.18'!$D$40&lt;&gt;""),Show!$B$19&amp; Show!$B$19&amp;"S.16.01.01.02 Rows{Z}@ForceFilingCode:false","")</f>
        <v/>
      </c>
    </row>
    <row r="1412" spans="1:2">
      <c r="A1412" t="str">
        <f>IF(AND(LEFT('SE.01.01.18'!$D$41,8)&lt;&gt;"Reported",'SE.01.01.18'!$D$41&lt;&gt;""),Show!$B$19 &amp; "S.17.01.01.01 Rows{Z}@ForceFilingCode:false","")</f>
        <v/>
      </c>
      <c r="B1412" t="str">
        <f>IF(AND(LEFT('SE.01.01.18'!$D$41,8)&lt;&gt;"Reported",'SE.01.01.18'!$D$41&lt;&gt;""),Show!$B$19&amp; Show!$B$19&amp;"S.17.01.01.01 Rows{Z}@ForceFilingCode:false","")</f>
        <v/>
      </c>
    </row>
    <row r="1413" spans="1:2">
      <c r="A1413" t="str">
        <f>IF(AND(LEFT('SE.01.01.18'!$D$42,8)&lt;&gt;"Reported",'SE.01.01.18'!$D$42&lt;&gt;""),Show!$B$19 &amp; "S.17.02.01.01 Rows{Z}@ForceFilingCode:false","")</f>
        <v/>
      </c>
      <c r="B1413" t="str">
        <f>IF(AND(LEFT('SE.01.01.18'!$D$42,8)&lt;&gt;"Reported",'SE.01.01.18'!$D$42&lt;&gt;""),Show!$B$19&amp; Show!$B$19&amp;"S.17.02.01.01 Rows{Z}@ForceFilingCode:false","")</f>
        <v/>
      </c>
    </row>
    <row r="1414" spans="1:2">
      <c r="A1414" t="str">
        <f>IF(AND(LEFT('SE.01.01.18'!$D$42,8)&lt;&gt;"Reported",'SE.01.01.18'!$D$42&lt;&gt;""),Show!$B$19 &amp; "S.17.02.01.02 Rows{Z}@ForceFilingCode:false","")</f>
        <v/>
      </c>
      <c r="B1414" t="str">
        <f>IF(AND(LEFT('SE.01.01.18'!$D$42,8)&lt;&gt;"Reported",'SE.01.01.18'!$D$42&lt;&gt;""),Show!$B$19&amp; Show!$B$19&amp;"S.17.02.01.02 Rows{Z}@ForceFilingCode:false","")</f>
        <v/>
      </c>
    </row>
    <row r="1415" spans="1:2">
      <c r="A1415" t="str">
        <f>IF(AND(LEFT('SE.01.01.18'!$D$43,8)&lt;&gt;"Reported",'SE.01.01.18'!$D$43&lt;&gt;""),Show!$B$19 &amp; "S.18.01.01.01 Rows{Z}@ForceFilingCode:false","")</f>
        <v/>
      </c>
      <c r="B1415" t="str">
        <f>IF(AND(LEFT('SE.01.01.18'!$D$43,8)&lt;&gt;"Reported",'SE.01.01.18'!$D$43&lt;&gt;""),Show!$B$19&amp; Show!$B$19&amp;"S.18.01.01.01 Rows{Z}@ForceFilingCode:false","")</f>
        <v/>
      </c>
    </row>
    <row r="1416" spans="1:2">
      <c r="A1416" t="str">
        <f>IF(AND(LEFT('SE.01.01.18'!$D$44,8)&lt;&gt;"Reported",'SE.01.01.18'!$D$44&lt;&gt;""),Show!$B$19 &amp; "S.19.01.01.01 Rows{Z}@ForceFilingCode:false","")</f>
        <v/>
      </c>
      <c r="B1416" t="str">
        <f>IF(AND(LEFT('SE.01.01.18'!$D$44,8)&lt;&gt;"Reported",'SE.01.01.18'!$D$44&lt;&gt;""),Show!$B$19&amp; Show!$B$19&amp;"S.19.01.01.01 Rows{Z}@ForceFilingCode:false","")</f>
        <v/>
      </c>
    </row>
    <row r="1417" spans="1:2">
      <c r="A1417" t="str">
        <f>IF(AND(LEFT('SE.01.01.18'!$D$44,8)&lt;&gt;"Reported",'SE.01.01.18'!$D$44&lt;&gt;""),Show!$B$19 &amp; "S.19.01.01.02 Rows{Z}@ForceFilingCode:false","")</f>
        <v/>
      </c>
      <c r="B1417" t="str">
        <f>IF(AND(LEFT('SE.01.01.18'!$D$44,8)&lt;&gt;"Reported",'SE.01.01.18'!$D$44&lt;&gt;""),Show!$B$19&amp; Show!$B$19&amp;"S.19.01.01.02 Rows{Z}@ForceFilingCode:false","")</f>
        <v/>
      </c>
    </row>
    <row r="1418" spans="1:2">
      <c r="A1418" t="str">
        <f>IF(AND(LEFT('SE.01.01.18'!$D$44,8)&lt;&gt;"Reported",'SE.01.01.18'!$D$44&lt;&gt;""),Show!$B$19 &amp; "S.19.01.01.03 Rows{Z}@ForceFilingCode:false","")</f>
        <v/>
      </c>
      <c r="B1418" t="str">
        <f>IF(AND(LEFT('SE.01.01.18'!$D$44,8)&lt;&gt;"Reported",'SE.01.01.18'!$D$44&lt;&gt;""),Show!$B$19&amp; Show!$B$19&amp;"S.19.01.01.03 Rows{Z}@ForceFilingCode:false","")</f>
        <v/>
      </c>
    </row>
    <row r="1419" spans="1:2">
      <c r="A1419" t="str">
        <f>IF(AND(LEFT('SE.01.01.18'!$D$44,8)&lt;&gt;"Reported",'SE.01.01.18'!$D$44&lt;&gt;""),Show!$B$19 &amp; "S.19.01.01.04 Rows{Z}@ForceFilingCode:false","")</f>
        <v/>
      </c>
      <c r="B1419" t="str">
        <f>IF(AND(LEFT('SE.01.01.18'!$D$44,8)&lt;&gt;"Reported",'SE.01.01.18'!$D$44&lt;&gt;""),Show!$B$19&amp; Show!$B$19&amp;"S.19.01.01.04 Rows{Z}@ForceFilingCode:false","")</f>
        <v/>
      </c>
    </row>
    <row r="1420" spans="1:2">
      <c r="A1420" t="str">
        <f>IF(AND(LEFT('SE.01.01.18'!$D$44,8)&lt;&gt;"Reported",'SE.01.01.18'!$D$44&lt;&gt;""),Show!$B$19 &amp; "S.19.01.01.05 Rows{Z}@ForceFilingCode:false","")</f>
        <v/>
      </c>
      <c r="B1420" t="str">
        <f>IF(AND(LEFT('SE.01.01.18'!$D$44,8)&lt;&gt;"Reported",'SE.01.01.18'!$D$44&lt;&gt;""),Show!$B$19&amp; Show!$B$19&amp;"S.19.01.01.05 Rows{Z}@ForceFilingCode:false","")</f>
        <v/>
      </c>
    </row>
    <row r="1421" spans="1:2">
      <c r="A1421" t="str">
        <f>IF(AND(LEFT('SE.01.01.18'!$D$44,8)&lt;&gt;"Reported",'SE.01.01.18'!$D$44&lt;&gt;""),Show!$B$19 &amp; "S.19.01.01.06 Rows{Z}@ForceFilingCode:false","")</f>
        <v/>
      </c>
      <c r="B1421" t="str">
        <f>IF(AND(LEFT('SE.01.01.18'!$D$44,8)&lt;&gt;"Reported",'SE.01.01.18'!$D$44&lt;&gt;""),Show!$B$19&amp; Show!$B$19&amp;"S.19.01.01.06 Rows{Z}@ForceFilingCode:false","")</f>
        <v/>
      </c>
    </row>
    <row r="1422" spans="1:2">
      <c r="A1422" t="str">
        <f>IF(AND(LEFT('SE.01.01.18'!$D$44,8)&lt;&gt;"Reported",'SE.01.01.18'!$D$44&lt;&gt;""),Show!$B$19 &amp; "S.19.01.01.07 Rows{Z}@ForceFilingCode:false","")</f>
        <v/>
      </c>
      <c r="B1422" t="str">
        <f>IF(AND(LEFT('SE.01.01.18'!$D$44,8)&lt;&gt;"Reported",'SE.01.01.18'!$D$44&lt;&gt;""),Show!$B$19&amp; Show!$B$19&amp;"S.19.01.01.07 Rows{Z}@ForceFilingCode:false","")</f>
        <v/>
      </c>
    </row>
    <row r="1423" spans="1:2">
      <c r="A1423" t="str">
        <f>IF(AND(LEFT('SE.01.01.18'!$D$44,8)&lt;&gt;"Reported",'SE.01.01.18'!$D$44&lt;&gt;""),Show!$B$19 &amp; "S.19.01.01.08 Rows{Z}@ForceFilingCode:false","")</f>
        <v/>
      </c>
      <c r="B1423" t="str">
        <f>IF(AND(LEFT('SE.01.01.18'!$D$44,8)&lt;&gt;"Reported",'SE.01.01.18'!$D$44&lt;&gt;""),Show!$B$19&amp; Show!$B$19&amp;"S.19.01.01.08 Rows{Z}@ForceFilingCode:false","")</f>
        <v/>
      </c>
    </row>
    <row r="1424" spans="1:2">
      <c r="A1424" t="str">
        <f>IF(AND(LEFT('SE.01.01.18'!$D$44,8)&lt;&gt;"Reported",'SE.01.01.18'!$D$44&lt;&gt;""),Show!$B$19 &amp; "S.19.01.01.09 Rows{Z}@ForceFilingCode:false","")</f>
        <v/>
      </c>
      <c r="B1424" t="str">
        <f>IF(AND(LEFT('SE.01.01.18'!$D$44,8)&lt;&gt;"Reported",'SE.01.01.18'!$D$44&lt;&gt;""),Show!$B$19&amp; Show!$B$19&amp;"S.19.01.01.09 Rows{Z}@ForceFilingCode:false","")</f>
        <v/>
      </c>
    </row>
    <row r="1425" spans="1:2">
      <c r="A1425" t="str">
        <f>IF(AND(LEFT('SE.01.01.18'!$D$44,8)&lt;&gt;"Reported",'SE.01.01.18'!$D$44&lt;&gt;""),Show!$B$19 &amp; "S.19.01.01.10 Rows{Z}@ForceFilingCode:false","")</f>
        <v/>
      </c>
      <c r="B1425" t="str">
        <f>IF(AND(LEFT('SE.01.01.18'!$D$44,8)&lt;&gt;"Reported",'SE.01.01.18'!$D$44&lt;&gt;""),Show!$B$19&amp; Show!$B$19&amp;"S.19.01.01.10 Rows{Z}@ForceFilingCode:false","")</f>
        <v/>
      </c>
    </row>
    <row r="1426" spans="1:2">
      <c r="A1426" t="str">
        <f>IF(AND(LEFT('SE.01.01.18'!$D$44,8)&lt;&gt;"Reported",'SE.01.01.18'!$D$44&lt;&gt;""),Show!$B$19 &amp; "S.19.01.01.11 Rows{Z}@ForceFilingCode:false","")</f>
        <v/>
      </c>
      <c r="B1426" t="str">
        <f>IF(AND(LEFT('SE.01.01.18'!$D$44,8)&lt;&gt;"Reported",'SE.01.01.18'!$D$44&lt;&gt;""),Show!$B$19&amp; Show!$B$19&amp;"S.19.01.01.11 Rows{Z}@ForceFilingCode:false","")</f>
        <v/>
      </c>
    </row>
    <row r="1427" spans="1:2">
      <c r="A1427" t="str">
        <f>IF(AND(LEFT('SE.01.01.18'!$D$44,8)&lt;&gt;"Reported",'SE.01.01.18'!$D$44&lt;&gt;""),Show!$B$19 &amp; "S.19.01.01.12 Rows{Z}@ForceFilingCode:false","")</f>
        <v/>
      </c>
      <c r="B1427" t="str">
        <f>IF(AND(LEFT('SE.01.01.18'!$D$44,8)&lt;&gt;"Reported",'SE.01.01.18'!$D$44&lt;&gt;""),Show!$B$19&amp; Show!$B$19&amp;"S.19.01.01.12 Rows{Z}@ForceFilingCode:false","")</f>
        <v/>
      </c>
    </row>
    <row r="1428" spans="1:2">
      <c r="A1428" t="str">
        <f>IF(AND(LEFT('SE.01.01.18'!$D$44,8)&lt;&gt;"Reported",'SE.01.01.18'!$D$44&lt;&gt;""),Show!$B$19 &amp; "S.19.01.01.13 Rows{Z}@ForceFilingCode:false","")</f>
        <v/>
      </c>
      <c r="B1428" t="str">
        <f>IF(AND(LEFT('SE.01.01.18'!$D$44,8)&lt;&gt;"Reported",'SE.01.01.18'!$D$44&lt;&gt;""),Show!$B$19&amp; Show!$B$19&amp;"S.19.01.01.13 Rows{Z}@ForceFilingCode:false","")</f>
        <v/>
      </c>
    </row>
    <row r="1429" spans="1:2">
      <c r="A1429" t="str">
        <f>IF(AND(LEFT('SE.01.01.18'!$D$44,8)&lt;&gt;"Reported",'SE.01.01.18'!$D$44&lt;&gt;""),Show!$B$19 &amp; "S.19.01.01.14 Rows{Z}@ForceFilingCode:false","")</f>
        <v/>
      </c>
      <c r="B1429" t="str">
        <f>IF(AND(LEFT('SE.01.01.18'!$D$44,8)&lt;&gt;"Reported",'SE.01.01.18'!$D$44&lt;&gt;""),Show!$B$19&amp; Show!$B$19&amp;"S.19.01.01.14 Rows{Z}@ForceFilingCode:false","")</f>
        <v/>
      </c>
    </row>
    <row r="1430" spans="1:2">
      <c r="A1430" t="str">
        <f>IF(AND(LEFT('SE.01.01.18'!$D$44,8)&lt;&gt;"Reported",'SE.01.01.18'!$D$44&lt;&gt;""),Show!$B$19 &amp; "S.19.01.01.15 Rows{Z}@ForceFilingCode:false","")</f>
        <v/>
      </c>
      <c r="B1430" t="str">
        <f>IF(AND(LEFT('SE.01.01.18'!$D$44,8)&lt;&gt;"Reported",'SE.01.01.18'!$D$44&lt;&gt;""),Show!$B$19&amp; Show!$B$19&amp;"S.19.01.01.15 Rows{Z}@ForceFilingCode:false","")</f>
        <v/>
      </c>
    </row>
    <row r="1431" spans="1:2">
      <c r="A1431" t="str">
        <f>IF(AND(LEFT('SE.01.01.18'!$D$44,8)&lt;&gt;"Reported",'SE.01.01.18'!$D$44&lt;&gt;""),Show!$B$19 &amp; "S.19.01.01.16 Rows{Z}@ForceFilingCode:false","")</f>
        <v/>
      </c>
      <c r="B1431" t="str">
        <f>IF(AND(LEFT('SE.01.01.18'!$D$44,8)&lt;&gt;"Reported",'SE.01.01.18'!$D$44&lt;&gt;""),Show!$B$19&amp; Show!$B$19&amp;"S.19.01.01.16 Rows{Z}@ForceFilingCode:false","")</f>
        <v/>
      </c>
    </row>
    <row r="1432" spans="1:2">
      <c r="A1432" t="str">
        <f>IF(AND(LEFT('SE.01.01.18'!$D$44,8)&lt;&gt;"Reported",'SE.01.01.18'!$D$44&lt;&gt;""),Show!$B$19 &amp; "S.19.01.01.17 Rows{Z}@ForceFilingCode:false","")</f>
        <v/>
      </c>
      <c r="B1432" t="str">
        <f>IF(AND(LEFT('SE.01.01.18'!$D$44,8)&lt;&gt;"Reported",'SE.01.01.18'!$D$44&lt;&gt;""),Show!$B$19&amp; Show!$B$19&amp;"S.19.01.01.17 Rows{Z}@ForceFilingCode:false","")</f>
        <v/>
      </c>
    </row>
    <row r="1433" spans="1:2">
      <c r="A1433" t="str">
        <f>IF(AND(LEFT('SE.01.01.18'!$D$44,8)&lt;&gt;"Reported",'SE.01.01.18'!$D$44&lt;&gt;""),Show!$B$19 &amp; "S.19.01.01.18 Rows{Z}@ForceFilingCode:false","")</f>
        <v/>
      </c>
      <c r="B1433" t="str">
        <f>IF(AND(LEFT('SE.01.01.18'!$D$44,8)&lt;&gt;"Reported",'SE.01.01.18'!$D$44&lt;&gt;""),Show!$B$19&amp; Show!$B$19&amp;"S.19.01.01.18 Rows{Z}@ForceFilingCode:false","")</f>
        <v/>
      </c>
    </row>
    <row r="1434" spans="1:2">
      <c r="A1434" t="str">
        <f>IF(AND(LEFT('SE.01.01.18'!$D$44,8)&lt;&gt;"Reported",'SE.01.01.18'!$D$44&lt;&gt;""),Show!$B$19 &amp; "S.19.01.01.19 Rows{Z}@ForceFilingCode:false","")</f>
        <v/>
      </c>
      <c r="B1434" t="str">
        <f>IF(AND(LEFT('SE.01.01.18'!$D$44,8)&lt;&gt;"Reported",'SE.01.01.18'!$D$44&lt;&gt;""),Show!$B$19&amp; Show!$B$19&amp;"S.19.01.01.19 Rows{Z}@ForceFilingCode:false","")</f>
        <v/>
      </c>
    </row>
    <row r="1435" spans="1:2">
      <c r="A1435" t="str">
        <f>IF(AND(LEFT('SE.01.01.18'!$D$44,8)&lt;&gt;"Reported",'SE.01.01.18'!$D$44&lt;&gt;""),Show!$B$19 &amp; "S.19.01.01.20 Rows{Z}@ForceFilingCode:false","")</f>
        <v/>
      </c>
      <c r="B1435" t="str">
        <f>IF(AND(LEFT('SE.01.01.18'!$D$44,8)&lt;&gt;"Reported",'SE.01.01.18'!$D$44&lt;&gt;""),Show!$B$19&amp; Show!$B$19&amp;"S.19.01.01.20 Rows{Z}@ForceFilingCode:false","")</f>
        <v/>
      </c>
    </row>
    <row r="1436" spans="1:2">
      <c r="A1436" t="str">
        <f>IF(AND(LEFT('SE.01.01.18'!$D$44,8)&lt;&gt;"Reported",'SE.01.01.18'!$D$44&lt;&gt;""),Show!$B$19 &amp; "S.19.01.01.21 Rows{Z}@ForceFilingCode:false","")</f>
        <v/>
      </c>
      <c r="B1436" t="str">
        <f>IF(AND(LEFT('SE.01.01.18'!$D$44,8)&lt;&gt;"Reported",'SE.01.01.18'!$D$44&lt;&gt;""),Show!$B$19&amp; Show!$B$19&amp;"S.19.01.01.21 Rows{Z}@ForceFilingCode:false","")</f>
        <v/>
      </c>
    </row>
    <row r="1437" spans="1:2">
      <c r="A1437" t="str">
        <f>IF(AND(LEFT('SE.01.01.18'!$D$45,8)&lt;&gt;"Reported",'SE.01.01.18'!$D$45&lt;&gt;""),Show!$B$19 &amp; "S.20.01.01.01 Rows{Z}@ForceFilingCode:false","")</f>
        <v/>
      </c>
      <c r="B1437" t="str">
        <f>IF(AND(LEFT('SE.01.01.18'!$D$45,8)&lt;&gt;"Reported",'SE.01.01.18'!$D$45&lt;&gt;""),Show!$B$19&amp; Show!$B$19&amp;"S.20.01.01.01 Rows{Z}@ForceFilingCode:false","")</f>
        <v/>
      </c>
    </row>
    <row r="1438" spans="1:2">
      <c r="A1438" t="str">
        <f>IF(AND(LEFT('SE.01.01.18'!$D$46,8)&lt;&gt;"Reported",'SE.01.01.18'!$D$46&lt;&gt;""),Show!$B$19 &amp; "S.21.01.01.01 Rows{Z}@ForceFilingCode:false","")</f>
        <v/>
      </c>
      <c r="B1438" t="str">
        <f>IF(AND(LEFT('SE.01.01.18'!$D$46,8)&lt;&gt;"Reported",'SE.01.01.18'!$D$46&lt;&gt;""),Show!$B$19&amp; Show!$B$19&amp;"S.21.01.01.01 Rows{Z}@ForceFilingCode:false","")</f>
        <v/>
      </c>
    </row>
    <row r="1439" spans="1:2">
      <c r="A1439" t="str">
        <f>IF(AND(LEFT('SE.01.01.18'!$D$47,8)&lt;&gt;"Reported",'SE.01.01.18'!$D$47&lt;&gt;""),Show!$B$19 &amp; "S.21.02.01.01 Rows{Z}@ForceFilingCode:false","")</f>
        <v/>
      </c>
      <c r="B1439" t="str">
        <f>IF(AND(LEFT('SE.01.01.18'!$D$47,8)&lt;&gt;"Reported",'SE.01.01.18'!$D$47&lt;&gt;""),Show!$B$19&amp; Show!$B$19&amp;"S.21.02.01.01 Rows{Z}@ForceFilingCode:false","")</f>
        <v/>
      </c>
    </row>
    <row r="1440" spans="1:2">
      <c r="A1440" t="str">
        <f>IF(AND(LEFT('SE.01.01.18'!$D$48,8)&lt;&gt;"Reported",'SE.01.01.18'!$D$48&lt;&gt;""),Show!$B$19 &amp; "S.21.03.01.01 Rows{Z}@ForceFilingCode:false","")</f>
        <v/>
      </c>
      <c r="B1440" t="str">
        <f>IF(AND(LEFT('SE.01.01.18'!$D$48,8)&lt;&gt;"Reported",'SE.01.01.18'!$D$48&lt;&gt;""),Show!$B$19&amp; Show!$B$19&amp;"S.21.03.01.01 Rows{Z}@ForceFilingCode:false","")</f>
        <v/>
      </c>
    </row>
    <row r="1441" spans="1:2">
      <c r="A1441" t="str">
        <f>IF(AND(LEFT('SE.01.01.18'!$D$49,8)&lt;&gt;"Reported",'SE.01.01.18'!$D$49&lt;&gt;""),Show!$B$19 &amp; "S.22.01.01.01 Rows{Z}@ForceFilingCode:false","")</f>
        <v/>
      </c>
      <c r="B1441" t="str">
        <f>IF(AND(LEFT('SE.01.01.18'!$D$49,8)&lt;&gt;"Reported",'SE.01.01.18'!$D$49&lt;&gt;""),Show!$B$19&amp; Show!$B$19&amp;"S.22.01.01.01 Rows{Z}@ForceFilingCode:false","")</f>
        <v/>
      </c>
    </row>
    <row r="1442" spans="1:2">
      <c r="A1442" t="str">
        <f>IF(AND(LEFT('SE.01.01.18'!$D$50,8)&lt;&gt;"Reported",'SE.01.01.18'!$D$50&lt;&gt;""),Show!$B$19 &amp; "S.22.04.01.01 Rows{Z}@ForceFilingCode:false","")</f>
        <v/>
      </c>
      <c r="B1442" t="str">
        <f>IF(AND(LEFT('SE.01.01.18'!$D$50,8)&lt;&gt;"Reported",'SE.01.01.18'!$D$50&lt;&gt;""),Show!$B$19&amp; Show!$B$19&amp;"S.22.04.01.01 Rows{Z}@ForceFilingCode:false","")</f>
        <v/>
      </c>
    </row>
    <row r="1443" spans="1:2">
      <c r="A1443" t="str">
        <f>IF(AND(LEFT('SE.01.01.18'!$D$50,8)&lt;&gt;"Reported",'SE.01.01.18'!$D$50&lt;&gt;""),Show!$B$19 &amp; "S.22.04.01.02 Rows{Z}@ForceFilingCode:false","")</f>
        <v/>
      </c>
      <c r="B1443" t="str">
        <f>IF(AND(LEFT('SE.01.01.18'!$D$50,8)&lt;&gt;"Reported",'SE.01.01.18'!$D$50&lt;&gt;""),Show!$B$19&amp; Show!$B$19&amp;"S.22.04.01.02 Rows{Z}@ForceFilingCode:false","")</f>
        <v/>
      </c>
    </row>
    <row r="1444" spans="1:2">
      <c r="A1444" t="str">
        <f>IF(AND(LEFT('SE.01.01.18'!$D$51,8)&lt;&gt;"Reported",'SE.01.01.18'!$D$51&lt;&gt;""),Show!$B$19 &amp; "S.22.05.01.01 Rows{Z}@ForceFilingCode:false","")</f>
        <v/>
      </c>
      <c r="B1444" t="str">
        <f>IF(AND(LEFT('SE.01.01.18'!$D$51,8)&lt;&gt;"Reported",'SE.01.01.18'!$D$51&lt;&gt;""),Show!$B$19&amp; Show!$B$19&amp;"S.22.05.01.01 Rows{Z}@ForceFilingCode:false","")</f>
        <v/>
      </c>
    </row>
    <row r="1445" spans="1:2">
      <c r="A1445" t="str">
        <f>IF(AND(LEFT('SE.01.01.18'!$D$52,8)&lt;&gt;"Reported",'SE.01.01.18'!$D$52&lt;&gt;""),Show!$B$19 &amp; "S.22.06.01.01 Rows{Z}@ForceFilingCode:false","")</f>
        <v/>
      </c>
      <c r="B1445" t="str">
        <f>IF(AND(LEFT('SE.01.01.18'!$D$52,8)&lt;&gt;"Reported",'SE.01.01.18'!$D$52&lt;&gt;""),Show!$B$19&amp; Show!$B$19&amp;"S.22.06.01.01 Rows{Z}@ForceFilingCode:false","")</f>
        <v/>
      </c>
    </row>
    <row r="1446" spans="1:2">
      <c r="A1446" t="str">
        <f>IF(AND(LEFT('SE.01.01.18'!$D$52,8)&lt;&gt;"Reported",'SE.01.01.18'!$D$52&lt;&gt;""),Show!$B$19 &amp; "S.22.06.01.02 Rows{Z}@ForceFilingCode:false","")</f>
        <v/>
      </c>
      <c r="B1446" t="str">
        <f>IF(AND(LEFT('SE.01.01.18'!$D$52,8)&lt;&gt;"Reported",'SE.01.01.18'!$D$52&lt;&gt;""),Show!$B$19&amp; Show!$B$19&amp;"S.22.06.01.02 Rows{Z}@ForceFilingCode:false","")</f>
        <v/>
      </c>
    </row>
    <row r="1447" spans="1:2">
      <c r="A1447" t="str">
        <f>IF(AND(LEFT('SE.01.01.18'!$D$52,8)&lt;&gt;"Reported",'SE.01.01.18'!$D$52&lt;&gt;""),Show!$B$19 &amp; "S.22.06.01.03 Rows{Z}@ForceFilingCode:false","")</f>
        <v/>
      </c>
      <c r="B1447" t="str">
        <f>IF(AND(LEFT('SE.01.01.18'!$D$52,8)&lt;&gt;"Reported",'SE.01.01.18'!$D$52&lt;&gt;""),Show!$B$19&amp; Show!$B$19&amp;"S.22.06.01.03 Rows{Z}@ForceFilingCode:false","")</f>
        <v/>
      </c>
    </row>
    <row r="1448" spans="1:2">
      <c r="A1448" t="str">
        <f>IF(AND(LEFT('SE.01.01.18'!$D$52,8)&lt;&gt;"Reported",'SE.01.01.18'!$D$52&lt;&gt;""),Show!$B$19 &amp; "S.22.06.01.04 Rows{Z}@ForceFilingCode:false","")</f>
        <v/>
      </c>
      <c r="B1448" t="str">
        <f>IF(AND(LEFT('SE.01.01.18'!$D$52,8)&lt;&gt;"Reported",'SE.01.01.18'!$D$52&lt;&gt;""),Show!$B$19&amp; Show!$B$19&amp;"S.22.06.01.04 Rows{Z}@ForceFilingCode:false","")</f>
        <v/>
      </c>
    </row>
    <row r="1449" spans="1:2">
      <c r="A1449" t="str">
        <f>IF(AND(LEFT('SE.01.01.18'!$D$53,8)&lt;&gt;"Reported",'SE.01.01.18'!$D$53&lt;&gt;""),Show!$B$19 &amp; "S.23.01.07.01 Rows{Z}@ForceFilingCode:false","")</f>
        <v/>
      </c>
      <c r="B1449" t="str">
        <f>IF(AND(LEFT('SE.01.01.18'!$D$53,8)&lt;&gt;"Reported",'SE.01.01.18'!$D$53&lt;&gt;""),Show!$B$19&amp; Show!$B$19&amp;"S.23.01.07.01 Rows{Z}@ForceFilingCode:false","")</f>
        <v/>
      </c>
    </row>
    <row r="1450" spans="1:2">
      <c r="A1450" t="str">
        <f>IF(AND(LEFT('SE.01.01.18'!$D$53,8)&lt;&gt;"Reported",'SE.01.01.18'!$D$53&lt;&gt;""),Show!$B$19 &amp; "S.23.01.07.02 Rows{Z}@ForceFilingCode:false","")</f>
        <v/>
      </c>
      <c r="B1450" t="str">
        <f>IF(AND(LEFT('SE.01.01.18'!$D$53,8)&lt;&gt;"Reported",'SE.01.01.18'!$D$53&lt;&gt;""),Show!$B$19&amp; Show!$B$19&amp;"S.23.01.07.02 Rows{Z}@ForceFilingCode:false","")</f>
        <v/>
      </c>
    </row>
    <row r="1451" spans="1:2">
      <c r="A1451" t="str">
        <f>IF(AND(LEFT('SE.01.01.18'!$D$54,8)&lt;&gt;"Reported",'SE.01.01.18'!$D$54&lt;&gt;""),Show!$B$19 &amp; "S.23.03.07.01 Rows{Z}@ForceFilingCode:false","")</f>
        <v/>
      </c>
      <c r="B1451" t="str">
        <f>IF(AND(LEFT('SE.01.01.18'!$D$54,8)&lt;&gt;"Reported",'SE.01.01.18'!$D$54&lt;&gt;""),Show!$B$19&amp; Show!$B$19&amp;"S.23.03.07.01 Rows{Z}@ForceFilingCode:false","")</f>
        <v/>
      </c>
    </row>
    <row r="1452" spans="1:2">
      <c r="A1452" t="str">
        <f>IF(AND(LEFT('SE.01.01.18'!$D$54,8)&lt;&gt;"Reported",'SE.01.01.18'!$D$54&lt;&gt;""),Show!$B$19 &amp; "S.23.03.07.02 Rows{Z}@ForceFilingCode:false","")</f>
        <v/>
      </c>
      <c r="B1452" t="str">
        <f>IF(AND(LEFT('SE.01.01.18'!$D$54,8)&lt;&gt;"Reported",'SE.01.01.18'!$D$54&lt;&gt;""),Show!$B$19&amp; Show!$B$19&amp;"S.23.03.07.02 Rows{Z}@ForceFilingCode:false","")</f>
        <v/>
      </c>
    </row>
    <row r="1453" spans="1:2">
      <c r="A1453" t="str">
        <f>IF(AND(LEFT('SE.01.01.18'!$D$55,8)&lt;&gt;"Reported",'SE.01.01.18'!$D$55&lt;&gt;""),Show!$B$19 &amp; "S.24.01.01.01 Rows{Z}@ForceFilingCode:false","")</f>
        <v/>
      </c>
      <c r="B1453" t="str">
        <f>IF(AND(LEFT('SE.01.01.18'!$D$55,8)&lt;&gt;"Reported",'SE.01.01.18'!$D$55&lt;&gt;""),Show!$B$19&amp; Show!$B$19&amp;"S.24.01.01.01 Rows{Z}@ForceFilingCode:false","")</f>
        <v/>
      </c>
    </row>
    <row r="1454" spans="1:2">
      <c r="A1454" t="str">
        <f>IF(AND(LEFT('SE.01.01.18'!$D$55,8)&lt;&gt;"Reported",'SE.01.01.18'!$D$55&lt;&gt;""),Show!$B$19 &amp; "S.24.01.01.02 Rows{Z}@ForceFilingCode:false","")</f>
        <v/>
      </c>
      <c r="B1454" t="str">
        <f>IF(AND(LEFT('SE.01.01.18'!$D$55,8)&lt;&gt;"Reported",'SE.01.01.18'!$D$55&lt;&gt;""),Show!$B$19&amp; Show!$B$19&amp;"S.24.01.01.02 Rows{Z}@ForceFilingCode:false","")</f>
        <v/>
      </c>
    </row>
    <row r="1455" spans="1:2">
      <c r="A1455" t="str">
        <f>IF(AND(LEFT('SE.01.01.18'!$D$55,8)&lt;&gt;"Reported",'SE.01.01.18'!$D$55&lt;&gt;""),Show!$B$19 &amp; "S.24.01.01.03 Rows{Z}@ForceFilingCode:false","")</f>
        <v/>
      </c>
      <c r="B1455" t="str">
        <f>IF(AND(LEFT('SE.01.01.18'!$D$55,8)&lt;&gt;"Reported",'SE.01.01.18'!$D$55&lt;&gt;""),Show!$B$19&amp; Show!$B$19&amp;"S.24.01.01.03 Rows{Z}@ForceFilingCode:false","")</f>
        <v/>
      </c>
    </row>
    <row r="1456" spans="1:2">
      <c r="A1456" t="str">
        <f>IF(AND(LEFT('SE.01.01.18'!$D$55,8)&lt;&gt;"Reported",'SE.01.01.18'!$D$55&lt;&gt;""),Show!$B$19 &amp; "S.24.01.01.04 Rows{Z}@ForceFilingCode:false","")</f>
        <v/>
      </c>
      <c r="B1456" t="str">
        <f>IF(AND(LEFT('SE.01.01.18'!$D$55,8)&lt;&gt;"Reported",'SE.01.01.18'!$D$55&lt;&gt;""),Show!$B$19&amp; Show!$B$19&amp;"S.24.01.01.04 Rows{Z}@ForceFilingCode:false","")</f>
        <v/>
      </c>
    </row>
    <row r="1457" spans="1:2">
      <c r="A1457" t="str">
        <f>IF(AND(LEFT('SE.01.01.18'!$D$55,8)&lt;&gt;"Reported",'SE.01.01.18'!$D$55&lt;&gt;""),Show!$B$19 &amp; "S.24.01.01.05 Rows{Z}@ForceFilingCode:false","")</f>
        <v/>
      </c>
      <c r="B1457" t="str">
        <f>IF(AND(LEFT('SE.01.01.18'!$D$55,8)&lt;&gt;"Reported",'SE.01.01.18'!$D$55&lt;&gt;""),Show!$B$19&amp; Show!$B$19&amp;"S.24.01.01.05 Rows{Z}@ForceFilingCode:false","")</f>
        <v/>
      </c>
    </row>
    <row r="1458" spans="1:2">
      <c r="A1458" t="str">
        <f>IF(AND(LEFT('SE.01.01.18'!$D$55,8)&lt;&gt;"Reported",'SE.01.01.18'!$D$55&lt;&gt;""),Show!$B$19 &amp; "S.24.01.01.06 Rows{Z}@ForceFilingCode:false","")</f>
        <v/>
      </c>
      <c r="B1458" t="str">
        <f>IF(AND(LEFT('SE.01.01.18'!$D$55,8)&lt;&gt;"Reported",'SE.01.01.18'!$D$55&lt;&gt;""),Show!$B$19&amp; Show!$B$19&amp;"S.24.01.01.06 Rows{Z}@ForceFilingCode:false","")</f>
        <v/>
      </c>
    </row>
    <row r="1459" spans="1:2">
      <c r="A1459" t="str">
        <f>IF(AND(LEFT('SE.01.01.18'!$D$55,8)&lt;&gt;"Reported",'SE.01.01.18'!$D$55&lt;&gt;""),Show!$B$19 &amp; "S.24.01.01.07 Rows{Z}@ForceFilingCode:false","")</f>
        <v/>
      </c>
      <c r="B1459" t="str">
        <f>IF(AND(LEFT('SE.01.01.18'!$D$55,8)&lt;&gt;"Reported",'SE.01.01.18'!$D$55&lt;&gt;""),Show!$B$19&amp; Show!$B$19&amp;"S.24.01.01.07 Rows{Z}@ForceFilingCode:false","")</f>
        <v/>
      </c>
    </row>
    <row r="1460" spans="1:2">
      <c r="A1460" t="str">
        <f>IF(AND(LEFT('SE.01.01.18'!$D$55,8)&lt;&gt;"Reported",'SE.01.01.18'!$D$55&lt;&gt;""),Show!$B$19 &amp; "S.24.01.01.08 Rows{Z}@ForceFilingCode:false","")</f>
        <v/>
      </c>
      <c r="B1460" t="str">
        <f>IF(AND(LEFT('SE.01.01.18'!$D$55,8)&lt;&gt;"Reported",'SE.01.01.18'!$D$55&lt;&gt;""),Show!$B$19&amp; Show!$B$19&amp;"S.24.01.01.08 Rows{Z}@ForceFilingCode:false","")</f>
        <v/>
      </c>
    </row>
    <row r="1461" spans="1:2">
      <c r="A1461" t="str">
        <f>IF(AND(LEFT('SE.01.01.18'!$D$55,8)&lt;&gt;"Reported",'SE.01.01.18'!$D$55&lt;&gt;""),Show!$B$19 &amp; "S.24.01.01.09 Rows{Z}@ForceFilingCode:false","")</f>
        <v/>
      </c>
      <c r="B1461" t="str">
        <f>IF(AND(LEFT('SE.01.01.18'!$D$55,8)&lt;&gt;"Reported",'SE.01.01.18'!$D$55&lt;&gt;""),Show!$B$19&amp; Show!$B$19&amp;"S.24.01.01.09 Rows{Z}@ForceFilingCode:false","")</f>
        <v/>
      </c>
    </row>
    <row r="1462" spans="1:2">
      <c r="A1462" t="str">
        <f>IF(AND(LEFT('SE.01.01.18'!$D$55,8)&lt;&gt;"Reported",'SE.01.01.18'!$D$55&lt;&gt;""),Show!$B$19 &amp; "S.24.01.01.10 Rows{Z}@ForceFilingCode:false","")</f>
        <v/>
      </c>
      <c r="B1462" t="str">
        <f>IF(AND(LEFT('SE.01.01.18'!$D$55,8)&lt;&gt;"Reported",'SE.01.01.18'!$D$55&lt;&gt;""),Show!$B$19&amp; Show!$B$19&amp;"S.24.01.01.10 Rows{Z}@ForceFilingCode:false","")</f>
        <v/>
      </c>
    </row>
    <row r="1463" spans="1:2">
      <c r="A1463" t="str">
        <f>IF(AND(LEFT('SE.01.01.18'!$D$55,8)&lt;&gt;"Reported",'SE.01.01.18'!$D$55&lt;&gt;""),Show!$B$19 &amp; "S.24.01.01.11 Rows{Z}@ForceFilingCode:false","")</f>
        <v/>
      </c>
      <c r="B1463" t="str">
        <f>IF(AND(LEFT('SE.01.01.18'!$D$55,8)&lt;&gt;"Reported",'SE.01.01.18'!$D$55&lt;&gt;""),Show!$B$19&amp; Show!$B$19&amp;"S.24.01.01.11 Rows{Z}@ForceFilingCode:false","")</f>
        <v/>
      </c>
    </row>
    <row r="1464" spans="1:2">
      <c r="A1464" t="str">
        <f>IF(AND(LEFT('SE.01.01.18'!$D$56,8)&lt;&gt;"Reported",'SE.01.01.18'!$D$56&lt;&gt;""),Show!$B$19 &amp; "S.25.01.01.01 Rows{Z}@ForceFilingCode:false","")</f>
        <v/>
      </c>
      <c r="B1464" t="str">
        <f>IF(AND(LEFT('SE.01.01.18'!$D$56,8)&lt;&gt;"Reported",'SE.01.01.18'!$D$56&lt;&gt;""),Show!$B$19&amp; Show!$B$19&amp;"S.25.01.01.01 Rows{Z}@ForceFilingCode:false","")</f>
        <v/>
      </c>
    </row>
    <row r="1465" spans="1:2">
      <c r="A1465" t="str">
        <f>IF(AND(LEFT('SE.01.01.18'!$D$56,8)&lt;&gt;"Reported",'SE.01.01.18'!$D$56&lt;&gt;""),Show!$B$19 &amp; "S.25.01.01.02 Rows{Z}@ForceFilingCode:false","")</f>
        <v/>
      </c>
      <c r="B1465" t="str">
        <f>IF(AND(LEFT('SE.01.01.18'!$D$56,8)&lt;&gt;"Reported",'SE.01.01.18'!$D$56&lt;&gt;""),Show!$B$19&amp; Show!$B$19&amp;"S.25.01.01.02 Rows{Z}@ForceFilingCode:false","")</f>
        <v/>
      </c>
    </row>
    <row r="1466" spans="1:2">
      <c r="A1466" t="str">
        <f>IF(AND(LEFT('SE.01.01.18'!$D$56,8)&lt;&gt;"Reported",'SE.01.01.18'!$D$56&lt;&gt;""),Show!$B$19 &amp; "S.25.01.01.03 Rows{Z}@ForceFilingCode:false","")</f>
        <v/>
      </c>
      <c r="B1466" t="str">
        <f>IF(AND(LEFT('SE.01.01.18'!$D$56,8)&lt;&gt;"Reported",'SE.01.01.18'!$D$56&lt;&gt;""),Show!$B$19&amp; Show!$B$19&amp;"S.25.01.01.03 Rows{Z}@ForceFilingCode:false","")</f>
        <v/>
      </c>
    </row>
    <row r="1467" spans="1:2">
      <c r="A1467" t="str">
        <f>IF(AND(LEFT('SE.01.01.18'!$D$56,8)&lt;&gt;"Reported",'SE.01.01.18'!$D$56&lt;&gt;""),Show!$B$19 &amp; "S.25.01.01.04 Rows{Z}@ForceFilingCode:false","")</f>
        <v/>
      </c>
      <c r="B1467" t="str">
        <f>IF(AND(LEFT('SE.01.01.18'!$D$56,8)&lt;&gt;"Reported",'SE.01.01.18'!$D$56&lt;&gt;""),Show!$B$19&amp; Show!$B$19&amp;"S.25.01.01.04 Rows{Z}@ForceFilingCode:false","")</f>
        <v/>
      </c>
    </row>
    <row r="1468" spans="1:2">
      <c r="A1468" t="str">
        <f>IF(AND(LEFT('SE.01.01.18'!$D$56,8)&lt;&gt;"Reported",'SE.01.01.18'!$D$56&lt;&gt;""),Show!$B$19 &amp; "S.25.01.01.05 Rows{Z}@ForceFilingCode:false","")</f>
        <v/>
      </c>
      <c r="B1468" t="str">
        <f>IF(AND(LEFT('SE.01.01.18'!$D$56,8)&lt;&gt;"Reported",'SE.01.01.18'!$D$56&lt;&gt;""),Show!$B$19&amp; Show!$B$19&amp;"S.25.01.01.05 Rows{Z}@ForceFilingCode:false","")</f>
        <v/>
      </c>
    </row>
    <row r="1469" spans="1:2">
      <c r="A1469" t="str">
        <f>IF(AND(LEFT('SE.01.01.18'!$D$57,8)&lt;&gt;"Reported",'SE.01.01.18'!$D$57&lt;&gt;""),Show!$B$19 &amp; "S.25.02.01.01 Rows{Z}@ForceFilingCode:false","")</f>
        <v/>
      </c>
      <c r="B1469" t="str">
        <f>IF(AND(LEFT('SE.01.01.18'!$D$57,8)&lt;&gt;"Reported",'SE.01.01.18'!$D$57&lt;&gt;""),Show!$B$19&amp; Show!$B$19&amp;"S.25.02.01.01 Rows{Z}@ForceFilingCode:false","")</f>
        <v/>
      </c>
    </row>
    <row r="1470" spans="1:2">
      <c r="A1470" t="str">
        <f>IF(AND(LEFT('SE.01.01.18'!$D$57,8)&lt;&gt;"Reported",'SE.01.01.18'!$D$57&lt;&gt;""),Show!$B$19 &amp; "S.25.02.01.02 Rows{Z}@ForceFilingCode:false","")</f>
        <v/>
      </c>
      <c r="B1470" t="str">
        <f>IF(AND(LEFT('SE.01.01.18'!$D$57,8)&lt;&gt;"Reported",'SE.01.01.18'!$D$57&lt;&gt;""),Show!$B$19&amp; Show!$B$19&amp;"S.25.02.01.02 Rows{Z}@ForceFilingCode:false","")</f>
        <v/>
      </c>
    </row>
    <row r="1471" spans="1:2">
      <c r="A1471" t="str">
        <f>IF(AND(LEFT('SE.01.01.18'!$D$57,8)&lt;&gt;"Reported",'SE.01.01.18'!$D$57&lt;&gt;""),Show!$B$19 &amp; "S.25.02.01.03 Rows{Z}@ForceFilingCode:false","")</f>
        <v/>
      </c>
      <c r="B1471" t="str">
        <f>IF(AND(LEFT('SE.01.01.18'!$D$57,8)&lt;&gt;"Reported",'SE.01.01.18'!$D$57&lt;&gt;""),Show!$B$19&amp; Show!$B$19&amp;"S.25.02.01.03 Rows{Z}@ForceFilingCode:false","")</f>
        <v/>
      </c>
    </row>
    <row r="1472" spans="1:2">
      <c r="A1472" t="str">
        <f>IF(AND(LEFT('SE.01.01.18'!$D$57,8)&lt;&gt;"Reported",'SE.01.01.18'!$D$57&lt;&gt;""),Show!$B$19 &amp; "S.25.02.01.04 Rows{Z}@ForceFilingCode:false","")</f>
        <v/>
      </c>
      <c r="B1472" t="str">
        <f>IF(AND(LEFT('SE.01.01.18'!$D$57,8)&lt;&gt;"Reported",'SE.01.01.18'!$D$57&lt;&gt;""),Show!$B$19&amp; Show!$B$19&amp;"S.25.02.01.04 Rows{Z}@ForceFilingCode:false","")</f>
        <v/>
      </c>
    </row>
    <row r="1473" spans="1:2">
      <c r="A1473" t="str">
        <f>IF(AND(LEFT('SE.01.01.18'!$D$57,8)&lt;&gt;"Reported",'SE.01.01.18'!$D$57&lt;&gt;""),Show!$B$19 &amp; "S.25.02.01.05 Rows{Z}@ForceFilingCode:false","")</f>
        <v/>
      </c>
      <c r="B1473" t="str">
        <f>IF(AND(LEFT('SE.01.01.18'!$D$57,8)&lt;&gt;"Reported",'SE.01.01.18'!$D$57&lt;&gt;""),Show!$B$19&amp; Show!$B$19&amp;"S.25.02.01.05 Rows{Z}@ForceFilingCode:false","")</f>
        <v/>
      </c>
    </row>
    <row r="1474" spans="1:2">
      <c r="A1474" t="str">
        <f>IF(AND(LEFT('SE.01.01.18'!$D$58,8)&lt;&gt;"Reported",'SE.01.01.18'!$D$58&lt;&gt;""),Show!$B$19 &amp; "S.25.03.01.01 Rows{Z}@ForceFilingCode:false","")</f>
        <v/>
      </c>
      <c r="B1474" t="str">
        <f>IF(AND(LEFT('SE.01.01.18'!$D$58,8)&lt;&gt;"Reported",'SE.01.01.18'!$D$58&lt;&gt;""),Show!$B$19&amp; Show!$B$19&amp;"S.25.03.01.01 Rows{Z}@ForceFilingCode:false","")</f>
        <v/>
      </c>
    </row>
    <row r="1475" spans="1:2">
      <c r="A1475" t="str">
        <f>IF(AND(LEFT('SE.01.01.18'!$D$58,8)&lt;&gt;"Reported",'SE.01.01.18'!$D$58&lt;&gt;""),Show!$B$19 &amp; "S.25.03.01.02 Rows{Z}@ForceFilingCode:false","")</f>
        <v/>
      </c>
      <c r="B1475" t="str">
        <f>IF(AND(LEFT('SE.01.01.18'!$D$58,8)&lt;&gt;"Reported",'SE.01.01.18'!$D$58&lt;&gt;""),Show!$B$19&amp; Show!$B$19&amp;"S.25.03.01.02 Rows{Z}@ForceFilingCode:false","")</f>
        <v/>
      </c>
    </row>
    <row r="1476" spans="1:2">
      <c r="A1476" t="str">
        <f>IF(AND(LEFT('SE.01.01.18'!$D$58,8)&lt;&gt;"Reported",'SE.01.01.18'!$D$58&lt;&gt;""),Show!$B$19 &amp; "S.25.03.01.03 Rows{Z}@ForceFilingCode:false","")</f>
        <v/>
      </c>
      <c r="B1476" t="str">
        <f>IF(AND(LEFT('SE.01.01.18'!$D$58,8)&lt;&gt;"Reported",'SE.01.01.18'!$D$58&lt;&gt;""),Show!$B$19&amp; Show!$B$19&amp;"S.25.03.01.03 Rows{Z}@ForceFilingCode:false","")</f>
        <v/>
      </c>
    </row>
    <row r="1477" spans="1:2">
      <c r="A1477" t="str">
        <f>IF(AND(LEFT('SE.01.01.18'!$D$58,8)&lt;&gt;"Reported",'SE.01.01.18'!$D$58&lt;&gt;""),Show!$B$19 &amp; "S.25.03.01.04 Rows{Z}@ForceFilingCode:false","")</f>
        <v/>
      </c>
      <c r="B1477" t="str">
        <f>IF(AND(LEFT('SE.01.01.18'!$D$58,8)&lt;&gt;"Reported",'SE.01.01.18'!$D$58&lt;&gt;""),Show!$B$19&amp; Show!$B$19&amp;"S.25.03.01.04 Rows{Z}@ForceFilingCode:false","")</f>
        <v/>
      </c>
    </row>
    <row r="1478" spans="1:2">
      <c r="A1478" t="str">
        <f>IF(AND(LEFT('SE.01.01.18'!$D$58,8)&lt;&gt;"Reported",'SE.01.01.18'!$D$58&lt;&gt;""),Show!$B$19 &amp; "S.25.03.01.05 Rows{Z}@ForceFilingCode:false","")</f>
        <v/>
      </c>
      <c r="B1478" t="str">
        <f>IF(AND(LEFT('SE.01.01.18'!$D$58,8)&lt;&gt;"Reported",'SE.01.01.18'!$D$58&lt;&gt;""),Show!$B$19&amp; Show!$B$19&amp;"S.25.03.01.05 Rows{Z}@ForceFilingCode:false","")</f>
        <v/>
      </c>
    </row>
    <row r="1479" spans="1:2">
      <c r="A1479" t="str">
        <f>IF(AND(LEFT('SE.01.01.18'!$D$59,8)&lt;&gt;"Reported",'SE.01.01.18'!$D$59&lt;&gt;""),Show!$B$19 &amp; "S.26.01.01.01 Rows{Z}@ForceFilingCode:false","")</f>
        <v/>
      </c>
      <c r="B1479" t="str">
        <f>IF(AND(LEFT('SE.01.01.18'!$D$59,8)&lt;&gt;"Reported",'SE.01.01.18'!$D$59&lt;&gt;""),Show!$B$19&amp; Show!$B$19&amp;"S.26.01.01.01 Rows{Z}@ForceFilingCode:false","")</f>
        <v/>
      </c>
    </row>
    <row r="1480" spans="1:2">
      <c r="A1480" t="str">
        <f>IF(AND(LEFT('SE.01.01.18'!$D$59,8)&lt;&gt;"Reported",'SE.01.01.18'!$D$59&lt;&gt;""),Show!$B$19 &amp; "S.26.01.01.02 Rows{Z}@ForceFilingCode:false","")</f>
        <v/>
      </c>
      <c r="B1480" t="str">
        <f>IF(AND(LEFT('SE.01.01.18'!$D$59,8)&lt;&gt;"Reported",'SE.01.01.18'!$D$59&lt;&gt;""),Show!$B$19&amp; Show!$B$19&amp;"S.26.01.01.02 Rows{Z}@ForceFilingCode:false","")</f>
        <v/>
      </c>
    </row>
    <row r="1481" spans="1:2">
      <c r="A1481" t="str">
        <f>IF(AND(LEFT('SE.01.01.18'!$D$59,8)&lt;&gt;"Reported",'SE.01.01.18'!$D$59&lt;&gt;""),Show!$B$19 &amp; "S.26.01.01.03 Rows{Z}@ForceFilingCode:false","")</f>
        <v/>
      </c>
      <c r="B1481" t="str">
        <f>IF(AND(LEFT('SE.01.01.18'!$D$59,8)&lt;&gt;"Reported",'SE.01.01.18'!$D$59&lt;&gt;""),Show!$B$19&amp; Show!$B$19&amp;"S.26.01.01.03 Rows{Z}@ForceFilingCode:false","")</f>
        <v/>
      </c>
    </row>
    <row r="1482" spans="1:2">
      <c r="A1482" t="str">
        <f>IF(AND(LEFT('SE.01.01.18'!$D$60,8)&lt;&gt;"Reported",'SE.01.01.18'!$D$60&lt;&gt;""),Show!$B$19 &amp; "S.26.02.01.01 Rows{Z}@ForceFilingCode:false","")</f>
        <v/>
      </c>
      <c r="B1482" t="str">
        <f>IF(AND(LEFT('SE.01.01.18'!$D$60,8)&lt;&gt;"Reported",'SE.01.01.18'!$D$60&lt;&gt;""),Show!$B$19&amp; Show!$B$19&amp;"S.26.02.01.01 Rows{Z}@ForceFilingCode:false","")</f>
        <v/>
      </c>
    </row>
    <row r="1483" spans="1:2">
      <c r="A1483" t="str">
        <f>IF(AND(LEFT('SE.01.01.18'!$D$60,8)&lt;&gt;"Reported",'SE.01.01.18'!$D$60&lt;&gt;""),Show!$B$19 &amp; "S.26.02.01.02 Rows{Z}@ForceFilingCode:false","")</f>
        <v/>
      </c>
      <c r="B1483" t="str">
        <f>IF(AND(LEFT('SE.01.01.18'!$D$60,8)&lt;&gt;"Reported",'SE.01.01.18'!$D$60&lt;&gt;""),Show!$B$19&amp; Show!$B$19&amp;"S.26.02.01.02 Rows{Z}@ForceFilingCode:false","")</f>
        <v/>
      </c>
    </row>
    <row r="1484" spans="1:2">
      <c r="A1484" t="str">
        <f>IF(AND(LEFT('SE.01.01.18'!$D$60,8)&lt;&gt;"Reported",'SE.01.01.18'!$D$60&lt;&gt;""),Show!$B$19 &amp; "S.26.02.01.03 Rows{Z}@ForceFilingCode:false","")</f>
        <v/>
      </c>
      <c r="B1484" t="str">
        <f>IF(AND(LEFT('SE.01.01.18'!$D$60,8)&lt;&gt;"Reported",'SE.01.01.18'!$D$60&lt;&gt;""),Show!$B$19&amp; Show!$B$19&amp;"S.26.02.01.03 Rows{Z}@ForceFilingCode:false","")</f>
        <v/>
      </c>
    </row>
    <row r="1485" spans="1:2">
      <c r="A1485" t="str">
        <f>IF(AND(LEFT('SE.01.01.18'!$D$61,8)&lt;&gt;"Reported",'SE.01.01.18'!$D$61&lt;&gt;""),Show!$B$19 &amp; "S.26.03.01.01 Rows{Z}@ForceFilingCode:false","")</f>
        <v/>
      </c>
      <c r="B1485" t="str">
        <f>IF(AND(LEFT('SE.01.01.18'!$D$61,8)&lt;&gt;"Reported",'SE.01.01.18'!$D$61&lt;&gt;""),Show!$B$19&amp; Show!$B$19&amp;"S.26.03.01.01 Rows{Z}@ForceFilingCode:false","")</f>
        <v/>
      </c>
    </row>
    <row r="1486" spans="1:2">
      <c r="A1486" t="str">
        <f>IF(AND(LEFT('SE.01.01.18'!$D$61,8)&lt;&gt;"Reported",'SE.01.01.18'!$D$61&lt;&gt;""),Show!$B$19 &amp; "S.26.03.01.02 Rows{Z}@ForceFilingCode:false","")</f>
        <v/>
      </c>
      <c r="B1486" t="str">
        <f>IF(AND(LEFT('SE.01.01.18'!$D$61,8)&lt;&gt;"Reported",'SE.01.01.18'!$D$61&lt;&gt;""),Show!$B$19&amp; Show!$B$19&amp;"S.26.03.01.02 Rows{Z}@ForceFilingCode:false","")</f>
        <v/>
      </c>
    </row>
    <row r="1487" spans="1:2">
      <c r="A1487" t="str">
        <f>IF(AND(LEFT('SE.01.01.18'!$D$61,8)&lt;&gt;"Reported",'SE.01.01.18'!$D$61&lt;&gt;""),Show!$B$19 &amp; "S.26.03.01.03 Rows{Z}@ForceFilingCode:false","")</f>
        <v/>
      </c>
      <c r="B1487" t="str">
        <f>IF(AND(LEFT('SE.01.01.18'!$D$61,8)&lt;&gt;"Reported",'SE.01.01.18'!$D$61&lt;&gt;""),Show!$B$19&amp; Show!$B$19&amp;"S.26.03.01.03 Rows{Z}@ForceFilingCode:false","")</f>
        <v/>
      </c>
    </row>
    <row r="1488" spans="1:2">
      <c r="A1488" t="str">
        <f>IF(AND(LEFT('SE.01.01.18'!$D$61,8)&lt;&gt;"Reported",'SE.01.01.18'!$D$61&lt;&gt;""),Show!$B$19 &amp; "S.26.03.01.04 Rows{Z}@ForceFilingCode:false","")</f>
        <v/>
      </c>
      <c r="B1488" t="str">
        <f>IF(AND(LEFT('SE.01.01.18'!$D$61,8)&lt;&gt;"Reported",'SE.01.01.18'!$D$61&lt;&gt;""),Show!$B$19&amp; Show!$B$19&amp;"S.26.03.01.04 Rows{Z}@ForceFilingCode:false","")</f>
        <v/>
      </c>
    </row>
    <row r="1489" spans="1:2">
      <c r="A1489" t="str">
        <f>IF(AND(LEFT('SE.01.01.18'!$D$62,8)&lt;&gt;"Reported",'SE.01.01.18'!$D$62&lt;&gt;""),Show!$B$19 &amp; "S.26.04.01.01 Rows{Z}@ForceFilingCode:false","")</f>
        <v/>
      </c>
      <c r="B1489" t="str">
        <f>IF(AND(LEFT('SE.01.01.18'!$D$62,8)&lt;&gt;"Reported",'SE.01.01.18'!$D$62&lt;&gt;""),Show!$B$19&amp; Show!$B$19&amp;"S.26.04.01.01 Rows{Z}@ForceFilingCode:false","")</f>
        <v/>
      </c>
    </row>
    <row r="1490" spans="1:2">
      <c r="A1490" t="str">
        <f>IF(AND(LEFT('SE.01.01.18'!$D$62,8)&lt;&gt;"Reported",'SE.01.01.18'!$D$62&lt;&gt;""),Show!$B$19 &amp; "S.26.04.01.02 Rows{Z}@ForceFilingCode:false","")</f>
        <v/>
      </c>
      <c r="B1490" t="str">
        <f>IF(AND(LEFT('SE.01.01.18'!$D$62,8)&lt;&gt;"Reported",'SE.01.01.18'!$D$62&lt;&gt;""),Show!$B$19&amp; Show!$B$19&amp;"S.26.04.01.02 Rows{Z}@ForceFilingCode:false","")</f>
        <v/>
      </c>
    </row>
    <row r="1491" spans="1:2">
      <c r="A1491" t="str">
        <f>IF(AND(LEFT('SE.01.01.18'!$D$62,8)&lt;&gt;"Reported",'SE.01.01.18'!$D$62&lt;&gt;""),Show!$B$19 &amp; "S.26.04.01.03 Rows{Z}@ForceFilingCode:false","")</f>
        <v/>
      </c>
      <c r="B1491" t="str">
        <f>IF(AND(LEFT('SE.01.01.18'!$D$62,8)&lt;&gt;"Reported",'SE.01.01.18'!$D$62&lt;&gt;""),Show!$B$19&amp; Show!$B$19&amp;"S.26.04.01.03 Rows{Z}@ForceFilingCode:false","")</f>
        <v/>
      </c>
    </row>
    <row r="1492" spans="1:2">
      <c r="A1492" t="str">
        <f>IF(AND(LEFT('SE.01.01.18'!$D$62,8)&lt;&gt;"Reported",'SE.01.01.18'!$D$62&lt;&gt;""),Show!$B$19 &amp; "S.26.04.01.04 Rows{Z}@ForceFilingCode:false","")</f>
        <v/>
      </c>
      <c r="B1492" t="str">
        <f>IF(AND(LEFT('SE.01.01.18'!$D$62,8)&lt;&gt;"Reported",'SE.01.01.18'!$D$62&lt;&gt;""),Show!$B$19&amp; Show!$B$19&amp;"S.26.04.01.04 Rows{Z}@ForceFilingCode:false","")</f>
        <v/>
      </c>
    </row>
    <row r="1493" spans="1:2">
      <c r="A1493" t="str">
        <f>IF(AND(LEFT('SE.01.01.18'!$D$62,8)&lt;&gt;"Reported",'SE.01.01.18'!$D$62&lt;&gt;""),Show!$B$19 &amp; "S.26.04.01.05 Rows{Z}@ForceFilingCode:false","")</f>
        <v/>
      </c>
      <c r="B1493" t="str">
        <f>IF(AND(LEFT('SE.01.01.18'!$D$62,8)&lt;&gt;"Reported",'SE.01.01.18'!$D$62&lt;&gt;""),Show!$B$19&amp; Show!$B$19&amp;"S.26.04.01.05 Rows{Z}@ForceFilingCode:false","")</f>
        <v/>
      </c>
    </row>
    <row r="1494" spans="1:2">
      <c r="A1494" t="str">
        <f>IF(AND(LEFT('SE.01.01.18'!$D$62,8)&lt;&gt;"Reported",'SE.01.01.18'!$D$62&lt;&gt;""),Show!$B$19 &amp; "S.26.04.01.06 Rows{Z}@ForceFilingCode:false","")</f>
        <v/>
      </c>
      <c r="B1494" t="str">
        <f>IF(AND(LEFT('SE.01.01.18'!$D$62,8)&lt;&gt;"Reported",'SE.01.01.18'!$D$62&lt;&gt;""),Show!$B$19&amp; Show!$B$19&amp;"S.26.04.01.06 Rows{Z}@ForceFilingCode:false","")</f>
        <v/>
      </c>
    </row>
    <row r="1495" spans="1:2">
      <c r="A1495" t="str">
        <f>IF(AND(LEFT('SE.01.01.18'!$D$62,8)&lt;&gt;"Reported",'SE.01.01.18'!$D$62&lt;&gt;""),Show!$B$19 &amp; "S.26.04.01.07 Rows{Z}@ForceFilingCode:false","")</f>
        <v/>
      </c>
      <c r="B1495" t="str">
        <f>IF(AND(LEFT('SE.01.01.18'!$D$62,8)&lt;&gt;"Reported",'SE.01.01.18'!$D$62&lt;&gt;""),Show!$B$19&amp; Show!$B$19&amp;"S.26.04.01.07 Rows{Z}@ForceFilingCode:false","")</f>
        <v/>
      </c>
    </row>
    <row r="1496" spans="1:2">
      <c r="A1496" t="str">
        <f>IF(AND(LEFT('SE.01.01.18'!$D$62,8)&lt;&gt;"Reported",'SE.01.01.18'!$D$62&lt;&gt;""),Show!$B$19 &amp; "S.26.04.01.08 Rows{Z}@ForceFilingCode:false","")</f>
        <v/>
      </c>
      <c r="B1496" t="str">
        <f>IF(AND(LEFT('SE.01.01.18'!$D$62,8)&lt;&gt;"Reported",'SE.01.01.18'!$D$62&lt;&gt;""),Show!$B$19&amp; Show!$B$19&amp;"S.26.04.01.08 Rows{Z}@ForceFilingCode:false","")</f>
        <v/>
      </c>
    </row>
    <row r="1497" spans="1:2">
      <c r="A1497" t="str">
        <f>IF(AND(LEFT('SE.01.01.18'!$D$62,8)&lt;&gt;"Reported",'SE.01.01.18'!$D$62&lt;&gt;""),Show!$B$19 &amp; "S.26.04.01.09 Rows{Z}@ForceFilingCode:false","")</f>
        <v/>
      </c>
      <c r="B1497" t="str">
        <f>IF(AND(LEFT('SE.01.01.18'!$D$62,8)&lt;&gt;"Reported",'SE.01.01.18'!$D$62&lt;&gt;""),Show!$B$19&amp; Show!$B$19&amp;"S.26.04.01.09 Rows{Z}@ForceFilingCode:false","")</f>
        <v/>
      </c>
    </row>
    <row r="1498" spans="1:2">
      <c r="A1498" t="str">
        <f>IF(AND(LEFT('SE.01.01.18'!$D$63,8)&lt;&gt;"Reported",'SE.01.01.18'!$D$63&lt;&gt;""),Show!$B$19 &amp; "S.26.05.01.01 Rows{Z}@ForceFilingCode:false","")</f>
        <v/>
      </c>
      <c r="B1498" t="str">
        <f>IF(AND(LEFT('SE.01.01.18'!$D$63,8)&lt;&gt;"Reported",'SE.01.01.18'!$D$63&lt;&gt;""),Show!$B$19&amp; Show!$B$19&amp;"S.26.05.01.01 Rows{Z}@ForceFilingCode:false","")</f>
        <v/>
      </c>
    </row>
    <row r="1499" spans="1:2">
      <c r="A1499" t="str">
        <f>IF(AND(LEFT('SE.01.01.18'!$D$63,8)&lt;&gt;"Reported",'SE.01.01.18'!$D$63&lt;&gt;""),Show!$B$19 &amp; "S.26.05.01.02 Rows{Z}@ForceFilingCode:false","")</f>
        <v/>
      </c>
      <c r="B1499" t="str">
        <f>IF(AND(LEFT('SE.01.01.18'!$D$63,8)&lt;&gt;"Reported",'SE.01.01.18'!$D$63&lt;&gt;""),Show!$B$19&amp; Show!$B$19&amp;"S.26.05.01.02 Rows{Z}@ForceFilingCode:false","")</f>
        <v/>
      </c>
    </row>
    <row r="1500" spans="1:2">
      <c r="A1500" t="str">
        <f>IF(AND(LEFT('SE.01.01.18'!$D$63,8)&lt;&gt;"Reported",'SE.01.01.18'!$D$63&lt;&gt;""),Show!$B$19 &amp; "S.26.05.01.03 Rows{Z}@ForceFilingCode:false","")</f>
        <v/>
      </c>
      <c r="B1500" t="str">
        <f>IF(AND(LEFT('SE.01.01.18'!$D$63,8)&lt;&gt;"Reported",'SE.01.01.18'!$D$63&lt;&gt;""),Show!$B$19&amp; Show!$B$19&amp;"S.26.05.01.03 Rows{Z}@ForceFilingCode:false","")</f>
        <v/>
      </c>
    </row>
    <row r="1501" spans="1:2">
      <c r="A1501" t="str">
        <f>IF(AND(LEFT('SE.01.01.18'!$D$63,8)&lt;&gt;"Reported",'SE.01.01.18'!$D$63&lt;&gt;""),Show!$B$19 &amp; "S.26.05.01.04 Rows{Z}@ForceFilingCode:false","")</f>
        <v/>
      </c>
      <c r="B1501" t="str">
        <f>IF(AND(LEFT('SE.01.01.18'!$D$63,8)&lt;&gt;"Reported",'SE.01.01.18'!$D$63&lt;&gt;""),Show!$B$19&amp; Show!$B$19&amp;"S.26.05.01.04 Rows{Z}@ForceFilingCode:false","")</f>
        <v/>
      </c>
    </row>
    <row r="1502" spans="1:2">
      <c r="A1502" t="str">
        <f>IF(AND(LEFT('SE.01.01.18'!$D$63,8)&lt;&gt;"Reported",'SE.01.01.18'!$D$63&lt;&gt;""),Show!$B$19 &amp; "S.26.05.01.05 Rows{Z}@ForceFilingCode:false","")</f>
        <v/>
      </c>
      <c r="B1502" t="str">
        <f>IF(AND(LEFT('SE.01.01.18'!$D$63,8)&lt;&gt;"Reported",'SE.01.01.18'!$D$63&lt;&gt;""),Show!$B$19&amp; Show!$B$19&amp;"S.26.05.01.05 Rows{Z}@ForceFilingCode:false","")</f>
        <v/>
      </c>
    </row>
    <row r="1503" spans="1:2">
      <c r="A1503" t="str">
        <f>IF(AND(LEFT('SE.01.01.18'!$D$64,8)&lt;&gt;"Reported",'SE.01.01.18'!$D$64&lt;&gt;""),Show!$B$19 &amp; "S.26.06.01.01 Rows{Z}@ForceFilingCode:false","")</f>
        <v/>
      </c>
      <c r="B1503" t="str">
        <f>IF(AND(LEFT('SE.01.01.18'!$D$64,8)&lt;&gt;"Reported",'SE.01.01.18'!$D$64&lt;&gt;""),Show!$B$19&amp; Show!$B$19&amp;"S.26.06.01.01 Rows{Z}@ForceFilingCode:false","")</f>
        <v/>
      </c>
    </row>
    <row r="1504" spans="1:2">
      <c r="A1504" t="str">
        <f>IF(AND(LEFT('SE.01.01.18'!$D$65,8)&lt;&gt;"Reported",'SE.01.01.18'!$D$65&lt;&gt;""),Show!$B$19 &amp; "S.26.07.01.01 Rows{Z}@ForceFilingCode:false","")</f>
        <v/>
      </c>
      <c r="B1504" t="str">
        <f>IF(AND(LEFT('SE.01.01.18'!$D$65,8)&lt;&gt;"Reported",'SE.01.01.18'!$D$65&lt;&gt;""),Show!$B$19&amp; Show!$B$19&amp;"S.26.07.01.01 Rows{Z}@ForceFilingCode:false","")</f>
        <v/>
      </c>
    </row>
    <row r="1505" spans="1:2">
      <c r="A1505" t="str">
        <f>IF(AND(LEFT('SE.01.01.18'!$D$65,8)&lt;&gt;"Reported",'SE.01.01.18'!$D$65&lt;&gt;""),Show!$B$19 &amp; "S.26.07.01.02 Rows{Z}@ForceFilingCode:false","")</f>
        <v/>
      </c>
      <c r="B1505" t="str">
        <f>IF(AND(LEFT('SE.01.01.18'!$D$65,8)&lt;&gt;"Reported",'SE.01.01.18'!$D$65&lt;&gt;""),Show!$B$19&amp; Show!$B$19&amp;"S.26.07.01.02 Rows{Z}@ForceFilingCode:false","")</f>
        <v/>
      </c>
    </row>
    <row r="1506" spans="1:2">
      <c r="A1506" t="str">
        <f>IF(AND(LEFT('SE.01.01.18'!$D$65,8)&lt;&gt;"Reported",'SE.01.01.18'!$D$65&lt;&gt;""),Show!$B$19 &amp; "S.26.07.01.03 Rows{Z}@ForceFilingCode:false","")</f>
        <v/>
      </c>
      <c r="B1506" t="str">
        <f>IF(AND(LEFT('SE.01.01.18'!$D$65,8)&lt;&gt;"Reported",'SE.01.01.18'!$D$65&lt;&gt;""),Show!$B$19&amp; Show!$B$19&amp;"S.26.07.01.03 Rows{Z}@ForceFilingCode:false","")</f>
        <v/>
      </c>
    </row>
    <row r="1507" spans="1:2">
      <c r="A1507" t="str">
        <f>IF(AND(LEFT('SE.01.01.18'!$D$65,8)&lt;&gt;"Reported",'SE.01.01.18'!$D$65&lt;&gt;""),Show!$B$19 &amp; "S.26.07.01.04 Rows{Z}@ForceFilingCode:false","")</f>
        <v/>
      </c>
      <c r="B1507" t="str">
        <f>IF(AND(LEFT('SE.01.01.18'!$D$65,8)&lt;&gt;"Reported",'SE.01.01.18'!$D$65&lt;&gt;""),Show!$B$19&amp; Show!$B$19&amp;"S.26.07.01.04 Rows{Z}@ForceFilingCode:false","")</f>
        <v/>
      </c>
    </row>
    <row r="1508" spans="1:2">
      <c r="A1508" t="str">
        <f>IF(AND(LEFT('SE.01.01.18'!$D$65,8)&lt;&gt;"Reported",'SE.01.01.18'!$D$65&lt;&gt;""),Show!$B$19 &amp; "S.26.07.01.05 Rows{Z}@ForceFilingCode:false","")</f>
        <v/>
      </c>
      <c r="B1508" t="str">
        <f>IF(AND(LEFT('SE.01.01.18'!$D$65,8)&lt;&gt;"Reported",'SE.01.01.18'!$D$65&lt;&gt;""),Show!$B$19&amp; Show!$B$19&amp;"S.26.07.01.05 Rows{Z}@ForceFilingCode:false","")</f>
        <v/>
      </c>
    </row>
    <row r="1509" spans="1:2">
      <c r="A1509" t="str">
        <f>IF(AND(LEFT('SE.01.01.18'!$D$65,8)&lt;&gt;"Reported",'SE.01.01.18'!$D$65&lt;&gt;""),Show!$B$19 &amp; "S.26.07.01.06 Rows{Z}@ForceFilingCode:false","")</f>
        <v/>
      </c>
      <c r="B1509" t="str">
        <f>IF(AND(LEFT('SE.01.01.18'!$D$65,8)&lt;&gt;"Reported",'SE.01.01.18'!$D$65&lt;&gt;""),Show!$B$19&amp; Show!$B$19&amp;"S.26.07.01.06 Rows{Z}@ForceFilingCode:false","")</f>
        <v/>
      </c>
    </row>
    <row r="1510" spans="1:2">
      <c r="A1510" t="str">
        <f>IF(AND(LEFT('SE.01.01.18'!$D$66,8)&lt;&gt;"Reported",'SE.01.01.18'!$D$66&lt;&gt;""),Show!$B$19 &amp; "S.27.01.01.01 Rows{Z}@ForceFilingCode:false","")</f>
        <v/>
      </c>
      <c r="B1510" t="str">
        <f>IF(AND(LEFT('SE.01.01.18'!$D$66,8)&lt;&gt;"Reported",'SE.01.01.18'!$D$66&lt;&gt;""),Show!$B$19&amp; Show!$B$19&amp;"S.27.01.01.01 Rows{Z}@ForceFilingCode:false","")</f>
        <v/>
      </c>
    </row>
    <row r="1511" spans="1:2">
      <c r="A1511" t="str">
        <f>IF(AND(LEFT('SE.01.01.18'!$D$66,8)&lt;&gt;"Reported",'SE.01.01.18'!$D$66&lt;&gt;""),Show!$B$19 &amp; "S.27.01.01.02 Rows{Z}@ForceFilingCode:false","")</f>
        <v/>
      </c>
      <c r="B1511" t="str">
        <f>IF(AND(LEFT('SE.01.01.18'!$D$66,8)&lt;&gt;"Reported",'SE.01.01.18'!$D$66&lt;&gt;""),Show!$B$19&amp; Show!$B$19&amp;"S.27.01.01.02 Rows{Z}@ForceFilingCode:false","")</f>
        <v/>
      </c>
    </row>
    <row r="1512" spans="1:2">
      <c r="A1512" t="str">
        <f>IF(AND(LEFT('SE.01.01.18'!$D$66,8)&lt;&gt;"Reported",'SE.01.01.18'!$D$66&lt;&gt;""),Show!$B$19 &amp; "S.27.01.01.03 Rows{Z}@ForceFilingCode:false","")</f>
        <v/>
      </c>
      <c r="B1512" t="str">
        <f>IF(AND(LEFT('SE.01.01.18'!$D$66,8)&lt;&gt;"Reported",'SE.01.01.18'!$D$66&lt;&gt;""),Show!$B$19&amp; Show!$B$19&amp;"S.27.01.01.03 Rows{Z}@ForceFilingCode:false","")</f>
        <v/>
      </c>
    </row>
    <row r="1513" spans="1:2">
      <c r="A1513" t="str">
        <f>IF(AND(LEFT('SE.01.01.18'!$D$66,8)&lt;&gt;"Reported",'SE.01.01.18'!$D$66&lt;&gt;""),Show!$B$19 &amp; "S.27.01.01.04 Rows{Z}@ForceFilingCode:false","")</f>
        <v/>
      </c>
      <c r="B1513" t="str">
        <f>IF(AND(LEFT('SE.01.01.18'!$D$66,8)&lt;&gt;"Reported",'SE.01.01.18'!$D$66&lt;&gt;""),Show!$B$19&amp; Show!$B$19&amp;"S.27.01.01.04 Rows{Z}@ForceFilingCode:false","")</f>
        <v/>
      </c>
    </row>
    <row r="1514" spans="1:2">
      <c r="A1514" t="str">
        <f>IF(AND(LEFT('SE.01.01.18'!$D$66,8)&lt;&gt;"Reported",'SE.01.01.18'!$D$66&lt;&gt;""),Show!$B$19 &amp; "S.27.01.01.05 Rows{Z}@ForceFilingCode:false","")</f>
        <v/>
      </c>
      <c r="B1514" t="str">
        <f>IF(AND(LEFT('SE.01.01.18'!$D$66,8)&lt;&gt;"Reported",'SE.01.01.18'!$D$66&lt;&gt;""),Show!$B$19&amp; Show!$B$19&amp;"S.27.01.01.05 Rows{Z}@ForceFilingCode:false","")</f>
        <v/>
      </c>
    </row>
    <row r="1515" spans="1:2">
      <c r="A1515" t="str">
        <f>IF(AND(LEFT('SE.01.01.18'!$D$66,8)&lt;&gt;"Reported",'SE.01.01.18'!$D$66&lt;&gt;""),Show!$B$19 &amp; "S.27.01.01.06 Rows{Z}@ForceFilingCode:false","")</f>
        <v/>
      </c>
      <c r="B1515" t="str">
        <f>IF(AND(LEFT('SE.01.01.18'!$D$66,8)&lt;&gt;"Reported",'SE.01.01.18'!$D$66&lt;&gt;""),Show!$B$19&amp; Show!$B$19&amp;"S.27.01.01.06 Rows{Z}@ForceFilingCode:false","")</f>
        <v/>
      </c>
    </row>
    <row r="1516" spans="1:2">
      <c r="A1516" t="str">
        <f>IF(AND(LEFT('SE.01.01.18'!$D$66,8)&lt;&gt;"Reported",'SE.01.01.18'!$D$66&lt;&gt;""),Show!$B$19 &amp; "S.27.01.01.07 Rows{Z}@ForceFilingCode:false","")</f>
        <v/>
      </c>
      <c r="B1516" t="str">
        <f>IF(AND(LEFT('SE.01.01.18'!$D$66,8)&lt;&gt;"Reported",'SE.01.01.18'!$D$66&lt;&gt;""),Show!$B$19&amp; Show!$B$19&amp;"S.27.01.01.07 Rows{Z}@ForceFilingCode:false","")</f>
        <v/>
      </c>
    </row>
    <row r="1517" spans="1:2">
      <c r="A1517" t="str">
        <f>IF(AND(LEFT('SE.01.01.18'!$D$66,8)&lt;&gt;"Reported",'SE.01.01.18'!$D$66&lt;&gt;""),Show!$B$19 &amp; "S.27.01.01.08 Rows{Z}@ForceFilingCode:false","")</f>
        <v/>
      </c>
      <c r="B1517" t="str">
        <f>IF(AND(LEFT('SE.01.01.18'!$D$66,8)&lt;&gt;"Reported",'SE.01.01.18'!$D$66&lt;&gt;""),Show!$B$19&amp; Show!$B$19&amp;"S.27.01.01.08 Rows{Z}@ForceFilingCode:false","")</f>
        <v/>
      </c>
    </row>
    <row r="1518" spans="1:2">
      <c r="A1518" t="str">
        <f>IF(AND(LEFT('SE.01.01.18'!$D$66,8)&lt;&gt;"Reported",'SE.01.01.18'!$D$66&lt;&gt;""),Show!$B$19 &amp; "S.27.01.01.09 Rows{Z}@ForceFilingCode:false","")</f>
        <v/>
      </c>
      <c r="B1518" t="str">
        <f>IF(AND(LEFT('SE.01.01.18'!$D$66,8)&lt;&gt;"Reported",'SE.01.01.18'!$D$66&lt;&gt;""),Show!$B$19&amp; Show!$B$19&amp;"S.27.01.01.09 Rows{Z}@ForceFilingCode:false","")</f>
        <v/>
      </c>
    </row>
    <row r="1519" spans="1:2">
      <c r="A1519" t="str">
        <f>IF(AND(LEFT('SE.01.01.18'!$D$66,8)&lt;&gt;"Reported",'SE.01.01.18'!$D$66&lt;&gt;""),Show!$B$19 &amp; "S.27.01.01.10 Rows{Z}@ForceFilingCode:false","")</f>
        <v/>
      </c>
      <c r="B1519" t="str">
        <f>IF(AND(LEFT('SE.01.01.18'!$D$66,8)&lt;&gt;"Reported",'SE.01.01.18'!$D$66&lt;&gt;""),Show!$B$19&amp; Show!$B$19&amp;"S.27.01.01.10 Rows{Z}@ForceFilingCode:false","")</f>
        <v/>
      </c>
    </row>
    <row r="1520" spans="1:2">
      <c r="A1520" t="str">
        <f>IF(AND(LEFT('SE.01.01.18'!$D$66,8)&lt;&gt;"Reported",'SE.01.01.18'!$D$66&lt;&gt;""),Show!$B$19 &amp; "S.27.01.01.11 Rows{Z}@ForceFilingCode:false","")</f>
        <v/>
      </c>
      <c r="B1520" t="str">
        <f>IF(AND(LEFT('SE.01.01.18'!$D$66,8)&lt;&gt;"Reported",'SE.01.01.18'!$D$66&lt;&gt;""),Show!$B$19&amp; Show!$B$19&amp;"S.27.01.01.11 Rows{Z}@ForceFilingCode:false","")</f>
        <v/>
      </c>
    </row>
    <row r="1521" spans="1:2">
      <c r="A1521" t="str">
        <f>IF(AND(LEFT('SE.01.01.18'!$D$66,8)&lt;&gt;"Reported",'SE.01.01.18'!$D$66&lt;&gt;""),Show!$B$19 &amp; "S.27.01.01.12 Rows{Z}@ForceFilingCode:false","")</f>
        <v/>
      </c>
      <c r="B1521" t="str">
        <f>IF(AND(LEFT('SE.01.01.18'!$D$66,8)&lt;&gt;"Reported",'SE.01.01.18'!$D$66&lt;&gt;""),Show!$B$19&amp; Show!$B$19&amp;"S.27.01.01.12 Rows{Z}@ForceFilingCode:false","")</f>
        <v/>
      </c>
    </row>
    <row r="1522" spans="1:2">
      <c r="A1522" t="str">
        <f>IF(AND(LEFT('SE.01.01.18'!$D$66,8)&lt;&gt;"Reported",'SE.01.01.18'!$D$66&lt;&gt;""),Show!$B$19 &amp; "S.27.01.01.13 Rows{Z}@ForceFilingCode:false","")</f>
        <v/>
      </c>
      <c r="B1522" t="str">
        <f>IF(AND(LEFT('SE.01.01.18'!$D$66,8)&lt;&gt;"Reported",'SE.01.01.18'!$D$66&lt;&gt;""),Show!$B$19&amp; Show!$B$19&amp;"S.27.01.01.13 Rows{Z}@ForceFilingCode:false","")</f>
        <v/>
      </c>
    </row>
    <row r="1523" spans="1:2">
      <c r="A1523" t="str">
        <f>IF(AND(LEFT('SE.01.01.18'!$D$66,8)&lt;&gt;"Reported",'SE.01.01.18'!$D$66&lt;&gt;""),Show!$B$19 &amp; "S.27.01.01.14 Rows{Z}@ForceFilingCode:false","")</f>
        <v/>
      </c>
      <c r="B1523" t="str">
        <f>IF(AND(LEFT('SE.01.01.18'!$D$66,8)&lt;&gt;"Reported",'SE.01.01.18'!$D$66&lt;&gt;""),Show!$B$19&amp; Show!$B$19&amp;"S.27.01.01.14 Rows{Z}@ForceFilingCode:false","")</f>
        <v/>
      </c>
    </row>
    <row r="1524" spans="1:2">
      <c r="A1524" t="str">
        <f>IF(AND(LEFT('SE.01.01.18'!$D$66,8)&lt;&gt;"Reported",'SE.01.01.18'!$D$66&lt;&gt;""),Show!$B$19 &amp; "S.27.01.01.15 Rows{Z}@ForceFilingCode:false","")</f>
        <v/>
      </c>
      <c r="B1524" t="str">
        <f>IF(AND(LEFT('SE.01.01.18'!$D$66,8)&lt;&gt;"Reported",'SE.01.01.18'!$D$66&lt;&gt;""),Show!$B$19&amp; Show!$B$19&amp;"S.27.01.01.15 Rows{Z}@ForceFilingCode:false","")</f>
        <v/>
      </c>
    </row>
    <row r="1525" spans="1:2">
      <c r="A1525" t="str">
        <f>IF(AND(LEFT('SE.01.01.18'!$D$66,8)&lt;&gt;"Reported",'SE.01.01.18'!$D$66&lt;&gt;""),Show!$B$19 &amp; "S.27.01.01.16 Rows{Z}@ForceFilingCode:false","")</f>
        <v/>
      </c>
      <c r="B1525" t="str">
        <f>IF(AND(LEFT('SE.01.01.18'!$D$66,8)&lt;&gt;"Reported",'SE.01.01.18'!$D$66&lt;&gt;""),Show!$B$19&amp; Show!$B$19&amp;"S.27.01.01.16 Rows{Z}@ForceFilingCode:false","")</f>
        <v/>
      </c>
    </row>
    <row r="1526" spans="1:2">
      <c r="A1526" t="str">
        <f>IF(AND(LEFT('SE.01.01.18'!$D$66,8)&lt;&gt;"Reported",'SE.01.01.18'!$D$66&lt;&gt;""),Show!$B$19 &amp; "S.27.01.01.17 Rows{Z}@ForceFilingCode:false","")</f>
        <v/>
      </c>
      <c r="B1526" t="str">
        <f>IF(AND(LEFT('SE.01.01.18'!$D$66,8)&lt;&gt;"Reported",'SE.01.01.18'!$D$66&lt;&gt;""),Show!$B$19&amp; Show!$B$19&amp;"S.27.01.01.17 Rows{Z}@ForceFilingCode:false","")</f>
        <v/>
      </c>
    </row>
    <row r="1527" spans="1:2">
      <c r="A1527" t="str">
        <f>IF(AND(LEFT('SE.01.01.18'!$D$66,8)&lt;&gt;"Reported",'SE.01.01.18'!$D$66&lt;&gt;""),Show!$B$19 &amp; "S.27.01.01.18 Rows{Z}@ForceFilingCode:false","")</f>
        <v/>
      </c>
      <c r="B1527" t="str">
        <f>IF(AND(LEFT('SE.01.01.18'!$D$66,8)&lt;&gt;"Reported",'SE.01.01.18'!$D$66&lt;&gt;""),Show!$B$19&amp; Show!$B$19&amp;"S.27.01.01.18 Rows{Z}@ForceFilingCode:false","")</f>
        <v/>
      </c>
    </row>
    <row r="1528" spans="1:2">
      <c r="A1528" t="str">
        <f>IF(AND(LEFT('SE.01.01.18'!$D$66,8)&lt;&gt;"Reported",'SE.01.01.18'!$D$66&lt;&gt;""),Show!$B$19 &amp; "S.27.01.01.19 Rows{Z}@ForceFilingCode:false","")</f>
        <v/>
      </c>
      <c r="B1528" t="str">
        <f>IF(AND(LEFT('SE.01.01.18'!$D$66,8)&lt;&gt;"Reported",'SE.01.01.18'!$D$66&lt;&gt;""),Show!$B$19&amp; Show!$B$19&amp;"S.27.01.01.19 Rows{Z}@ForceFilingCode:false","")</f>
        <v/>
      </c>
    </row>
    <row r="1529" spans="1:2">
      <c r="A1529" t="str">
        <f>IF(AND(LEFT('SE.01.01.18'!$D$66,8)&lt;&gt;"Reported",'SE.01.01.18'!$D$66&lt;&gt;""),Show!$B$19 &amp; "S.27.01.01.20 Rows{Z}@ForceFilingCode:false","")</f>
        <v/>
      </c>
      <c r="B1529" t="str">
        <f>IF(AND(LEFT('SE.01.01.18'!$D$66,8)&lt;&gt;"Reported",'SE.01.01.18'!$D$66&lt;&gt;""),Show!$B$19&amp; Show!$B$19&amp;"S.27.01.01.20 Rows{Z}@ForceFilingCode:false","")</f>
        <v/>
      </c>
    </row>
    <row r="1530" spans="1:2">
      <c r="A1530" t="str">
        <f>IF(AND(LEFT('SE.01.01.18'!$D$66,8)&lt;&gt;"Reported",'SE.01.01.18'!$D$66&lt;&gt;""),Show!$B$19 &amp; "S.27.01.01.21 Rows{Z}@ForceFilingCode:false","")</f>
        <v/>
      </c>
      <c r="B1530" t="str">
        <f>IF(AND(LEFT('SE.01.01.18'!$D$66,8)&lt;&gt;"Reported",'SE.01.01.18'!$D$66&lt;&gt;""),Show!$B$19&amp; Show!$B$19&amp;"S.27.01.01.21 Rows{Z}@ForceFilingCode:false","")</f>
        <v/>
      </c>
    </row>
    <row r="1531" spans="1:2">
      <c r="A1531" t="str">
        <f>IF(AND(LEFT('SE.01.01.18'!$D$66,8)&lt;&gt;"Reported",'SE.01.01.18'!$D$66&lt;&gt;""),Show!$B$19 &amp; "S.27.01.01.22 Rows{Z}@ForceFilingCode:false","")</f>
        <v/>
      </c>
      <c r="B1531" t="str">
        <f>IF(AND(LEFT('SE.01.01.18'!$D$66,8)&lt;&gt;"Reported",'SE.01.01.18'!$D$66&lt;&gt;""),Show!$B$19&amp; Show!$B$19&amp;"S.27.01.01.22 Rows{Z}@ForceFilingCode:false","")</f>
        <v/>
      </c>
    </row>
    <row r="1532" spans="1:2">
      <c r="A1532" t="str">
        <f>IF(AND(LEFT('SE.01.01.18'!$D$66,8)&lt;&gt;"Reported",'SE.01.01.18'!$D$66&lt;&gt;""),Show!$B$19 &amp; "S.27.01.01.23 Rows{Z}@ForceFilingCode:false","")</f>
        <v/>
      </c>
      <c r="B1532" t="str">
        <f>IF(AND(LEFT('SE.01.01.18'!$D$66,8)&lt;&gt;"Reported",'SE.01.01.18'!$D$66&lt;&gt;""),Show!$B$19&amp; Show!$B$19&amp;"S.27.01.01.23 Rows{Z}@ForceFilingCode:false","")</f>
        <v/>
      </c>
    </row>
    <row r="1533" spans="1:2">
      <c r="A1533" t="str">
        <f>IF(AND(LEFT('SE.01.01.18'!$D$66,8)&lt;&gt;"Reported",'SE.01.01.18'!$D$66&lt;&gt;""),Show!$B$19 &amp; "S.27.01.01.24 Rows{Z}@ForceFilingCode:false","")</f>
        <v/>
      </c>
      <c r="B1533" t="str">
        <f>IF(AND(LEFT('SE.01.01.18'!$D$66,8)&lt;&gt;"Reported",'SE.01.01.18'!$D$66&lt;&gt;""),Show!$B$19&amp; Show!$B$19&amp;"S.27.01.01.24 Rows{Z}@ForceFilingCode:false","")</f>
        <v/>
      </c>
    </row>
    <row r="1534" spans="1:2">
      <c r="A1534" t="str">
        <f>IF(AND(LEFT('SE.01.01.18'!$D$66,8)&lt;&gt;"Reported",'SE.01.01.18'!$D$66&lt;&gt;""),Show!$B$19 &amp; "S.27.01.01.25 Rows{Z}@ForceFilingCode:false","")</f>
        <v/>
      </c>
      <c r="B1534" t="str">
        <f>IF(AND(LEFT('SE.01.01.18'!$D$66,8)&lt;&gt;"Reported",'SE.01.01.18'!$D$66&lt;&gt;""),Show!$B$19&amp; Show!$B$19&amp;"S.27.01.01.25 Rows{Z}@ForceFilingCode:false","")</f>
        <v/>
      </c>
    </row>
    <row r="1535" spans="1:2">
      <c r="A1535" t="str">
        <f>IF(AND(LEFT('SE.01.01.18'!$D$66,8)&lt;&gt;"Reported",'SE.01.01.18'!$D$66&lt;&gt;""),Show!$B$19 &amp; "S.27.01.01.26 Rows{Z}@ForceFilingCode:false","")</f>
        <v/>
      </c>
      <c r="B1535" t="str">
        <f>IF(AND(LEFT('SE.01.01.18'!$D$66,8)&lt;&gt;"Reported",'SE.01.01.18'!$D$66&lt;&gt;""),Show!$B$19&amp; Show!$B$19&amp;"S.27.01.01.26 Rows{Z}@ForceFilingCode:false","")</f>
        <v/>
      </c>
    </row>
    <row r="1536" spans="1:2">
      <c r="A1536" t="str">
        <f>IF(AND(LEFT('SE.01.01.18'!$D$66,8)&lt;&gt;"Reported",'SE.01.01.18'!$D$66&lt;&gt;""),Show!$B$19 &amp; "S.27.01.01.27 Rows{Z}@ForceFilingCode:false","")</f>
        <v/>
      </c>
      <c r="B1536" t="str">
        <f>IF(AND(LEFT('SE.01.01.18'!$D$66,8)&lt;&gt;"Reported",'SE.01.01.18'!$D$66&lt;&gt;""),Show!$B$19&amp; Show!$B$19&amp;"S.27.01.01.27 Rows{Z}@ForceFilingCode:false","")</f>
        <v/>
      </c>
    </row>
    <row r="1537" spans="1:2">
      <c r="A1537" t="str">
        <f>IF(AND(LEFT('SE.01.01.18'!$D$66,8)&lt;&gt;"Reported",'SE.01.01.18'!$D$66&lt;&gt;""),Show!$B$19 &amp; "S.27.01.01.28 Rows{Z}@ForceFilingCode:false","")</f>
        <v/>
      </c>
      <c r="B1537" t="str">
        <f>IF(AND(LEFT('SE.01.01.18'!$D$66,8)&lt;&gt;"Reported",'SE.01.01.18'!$D$66&lt;&gt;""),Show!$B$19&amp; Show!$B$19&amp;"S.27.01.01.28 Rows{Z}@ForceFilingCode:false","")</f>
        <v/>
      </c>
    </row>
    <row r="1538" spans="1:2">
      <c r="A1538" t="str">
        <f>IF(AND(LEFT('SE.01.01.18'!$D$67,8)&lt;&gt;"Reported",'SE.01.01.18'!$D$67&lt;&gt;""),Show!$B$19 &amp; "S.28.01.01.01 Rows{Z}@ForceFilingCode:false","")</f>
        <v/>
      </c>
      <c r="B1538" t="str">
        <f>IF(AND(LEFT('SE.01.01.18'!$D$67,8)&lt;&gt;"Reported",'SE.01.01.18'!$D$67&lt;&gt;""),Show!$B$19&amp; Show!$B$19&amp;"S.28.01.01.01 Rows{Z}@ForceFilingCode:false","")</f>
        <v/>
      </c>
    </row>
    <row r="1539" spans="1:2">
      <c r="A1539" t="str">
        <f>IF(AND(LEFT('SE.01.01.18'!$D$67,8)&lt;&gt;"Reported",'SE.01.01.18'!$D$67&lt;&gt;""),Show!$B$19 &amp; "S.28.01.01.02 Rows{Z}@ForceFilingCode:false","")</f>
        <v/>
      </c>
      <c r="B1539" t="str">
        <f>IF(AND(LEFT('SE.01.01.18'!$D$67,8)&lt;&gt;"Reported",'SE.01.01.18'!$D$67&lt;&gt;""),Show!$B$19&amp; Show!$B$19&amp;"S.28.01.01.02 Rows{Z}@ForceFilingCode:false","")</f>
        <v/>
      </c>
    </row>
    <row r="1540" spans="1:2">
      <c r="A1540" t="str">
        <f>IF(AND(LEFT('SE.01.01.18'!$D$67,8)&lt;&gt;"Reported",'SE.01.01.18'!$D$67&lt;&gt;""),Show!$B$19 &amp; "S.28.01.01.03 Rows{Z}@ForceFilingCode:false","")</f>
        <v/>
      </c>
      <c r="B1540" t="str">
        <f>IF(AND(LEFT('SE.01.01.18'!$D$67,8)&lt;&gt;"Reported",'SE.01.01.18'!$D$67&lt;&gt;""),Show!$B$19&amp; Show!$B$19&amp;"S.28.01.01.03 Rows{Z}@ForceFilingCode:false","")</f>
        <v/>
      </c>
    </row>
    <row r="1541" spans="1:2">
      <c r="A1541" t="str">
        <f>IF(AND(LEFT('SE.01.01.18'!$D$67,8)&lt;&gt;"Reported",'SE.01.01.18'!$D$67&lt;&gt;""),Show!$B$19 &amp; "S.28.01.01.04 Rows{Z}@ForceFilingCode:false","")</f>
        <v/>
      </c>
      <c r="B1541" t="str">
        <f>IF(AND(LEFT('SE.01.01.18'!$D$67,8)&lt;&gt;"Reported",'SE.01.01.18'!$D$67&lt;&gt;""),Show!$B$19&amp; Show!$B$19&amp;"S.28.01.01.04 Rows{Z}@ForceFilingCode:false","")</f>
        <v/>
      </c>
    </row>
    <row r="1542" spans="1:2">
      <c r="A1542" t="str">
        <f>IF(AND(LEFT('SE.01.01.18'!$D$67,8)&lt;&gt;"Reported",'SE.01.01.18'!$D$67&lt;&gt;""),Show!$B$19 &amp; "S.28.01.01.05 Rows{Z}@ForceFilingCode:false","")</f>
        <v/>
      </c>
      <c r="B1542" t="str">
        <f>IF(AND(LEFT('SE.01.01.18'!$D$67,8)&lt;&gt;"Reported",'SE.01.01.18'!$D$67&lt;&gt;""),Show!$B$19&amp; Show!$B$19&amp;"S.28.01.01.05 Rows{Z}@ForceFilingCode:false","")</f>
        <v/>
      </c>
    </row>
    <row r="1543" spans="1:2">
      <c r="A1543" t="str">
        <f>IF(AND(LEFT('SE.01.01.18'!$D$68,8)&lt;&gt;"Reported",'SE.01.01.18'!$D$68&lt;&gt;""),Show!$B$19 &amp; "S.28.02.01.01 Rows{Z}@ForceFilingCode:false","")</f>
        <v/>
      </c>
      <c r="B1543" t="str">
        <f>IF(AND(LEFT('SE.01.01.18'!$D$68,8)&lt;&gt;"Reported",'SE.01.01.18'!$D$68&lt;&gt;""),Show!$B$19&amp; Show!$B$19&amp;"S.28.02.01.01 Rows{Z}@ForceFilingCode:false","")</f>
        <v/>
      </c>
    </row>
    <row r="1544" spans="1:2">
      <c r="A1544" t="str">
        <f>IF(AND(LEFT('SE.01.01.18'!$D$68,8)&lt;&gt;"Reported",'SE.01.01.18'!$D$68&lt;&gt;""),Show!$B$19 &amp; "S.28.02.01.02 Rows{Z}@ForceFilingCode:false","")</f>
        <v/>
      </c>
      <c r="B1544" t="str">
        <f>IF(AND(LEFT('SE.01.01.18'!$D$68,8)&lt;&gt;"Reported",'SE.01.01.18'!$D$68&lt;&gt;""),Show!$B$19&amp; Show!$B$19&amp;"S.28.02.01.02 Rows{Z}@ForceFilingCode:false","")</f>
        <v/>
      </c>
    </row>
    <row r="1545" spans="1:2">
      <c r="A1545" t="str">
        <f>IF(AND(LEFT('SE.01.01.18'!$D$68,8)&lt;&gt;"Reported",'SE.01.01.18'!$D$68&lt;&gt;""),Show!$B$19 &amp; "S.28.02.01.03 Rows{Z}@ForceFilingCode:false","")</f>
        <v/>
      </c>
      <c r="B1545" t="str">
        <f>IF(AND(LEFT('SE.01.01.18'!$D$68,8)&lt;&gt;"Reported",'SE.01.01.18'!$D$68&lt;&gt;""),Show!$B$19&amp; Show!$B$19&amp;"S.28.02.01.03 Rows{Z}@ForceFilingCode:false","")</f>
        <v/>
      </c>
    </row>
    <row r="1546" spans="1:2">
      <c r="A1546" t="str">
        <f>IF(AND(LEFT('SE.01.01.18'!$D$68,8)&lt;&gt;"Reported",'SE.01.01.18'!$D$68&lt;&gt;""),Show!$B$19 &amp; "S.28.02.01.04 Rows{Z}@ForceFilingCode:false","")</f>
        <v/>
      </c>
      <c r="B1546" t="str">
        <f>IF(AND(LEFT('SE.01.01.18'!$D$68,8)&lt;&gt;"Reported",'SE.01.01.18'!$D$68&lt;&gt;""),Show!$B$19&amp; Show!$B$19&amp;"S.28.02.01.04 Rows{Z}@ForceFilingCode:false","")</f>
        <v/>
      </c>
    </row>
    <row r="1547" spans="1:2">
      <c r="A1547" t="str">
        <f>IF(AND(LEFT('SE.01.01.18'!$D$68,8)&lt;&gt;"Reported",'SE.01.01.18'!$D$68&lt;&gt;""),Show!$B$19 &amp; "S.28.02.01.05 Rows{Z}@ForceFilingCode:false","")</f>
        <v/>
      </c>
      <c r="B1547" t="str">
        <f>IF(AND(LEFT('SE.01.01.18'!$D$68,8)&lt;&gt;"Reported",'SE.01.01.18'!$D$68&lt;&gt;""),Show!$B$19&amp; Show!$B$19&amp;"S.28.02.01.05 Rows{Z}@ForceFilingCode:false","")</f>
        <v/>
      </c>
    </row>
    <row r="1548" spans="1:2">
      <c r="A1548" t="str">
        <f>IF(AND(LEFT('SE.01.01.18'!$D$68,8)&lt;&gt;"Reported",'SE.01.01.18'!$D$68&lt;&gt;""),Show!$B$19 &amp; "S.28.02.01.06 Rows{Z}@ForceFilingCode:false","")</f>
        <v/>
      </c>
      <c r="B1548" t="str">
        <f>IF(AND(LEFT('SE.01.01.18'!$D$68,8)&lt;&gt;"Reported",'SE.01.01.18'!$D$68&lt;&gt;""),Show!$B$19&amp; Show!$B$19&amp;"S.28.02.01.06 Rows{Z}@ForceFilingCode:false","")</f>
        <v/>
      </c>
    </row>
    <row r="1549" spans="1:2">
      <c r="A1549" t="str">
        <f>IF(AND(LEFT('SE.01.01.18'!$D$69,8)&lt;&gt;"Reported",'SE.01.01.18'!$D$69&lt;&gt;""),Show!$B$19 &amp; "S.29.01.07.01 Rows{Z}@ForceFilingCode:false","")</f>
        <v/>
      </c>
      <c r="B1549" t="str">
        <f>IF(AND(LEFT('SE.01.01.18'!$D$69,8)&lt;&gt;"Reported",'SE.01.01.18'!$D$69&lt;&gt;""),Show!$B$19&amp; Show!$B$19&amp;"S.29.01.07.01 Rows{Z}@ForceFilingCode:false","")</f>
        <v/>
      </c>
    </row>
    <row r="1550" spans="1:2">
      <c r="A1550" t="str">
        <f>IF(AND(LEFT('SE.01.01.18'!$D$70,8)&lt;&gt;"Reported",'SE.01.01.18'!$D$70&lt;&gt;""),Show!$B$19 &amp; "S.29.02.01.01 Rows{Z}@ForceFilingCode:false","")</f>
        <v/>
      </c>
      <c r="B1550" t="str">
        <f>IF(AND(LEFT('SE.01.01.18'!$D$70,8)&lt;&gt;"Reported",'SE.01.01.18'!$D$70&lt;&gt;""),Show!$B$19&amp; Show!$B$19&amp;"S.29.02.01.01 Rows{Z}@ForceFilingCode:false","")</f>
        <v/>
      </c>
    </row>
    <row r="1551" spans="1:2">
      <c r="A1551" t="str">
        <f>IF(AND(LEFT('SE.01.01.18'!$D$71,8)&lt;&gt;"Reported",'SE.01.01.18'!$D$71&lt;&gt;""),Show!$B$19 &amp; "S.29.03.01.01 Rows{Z}@ForceFilingCode:false","")</f>
        <v/>
      </c>
      <c r="B1551" t="str">
        <f>IF(AND(LEFT('SE.01.01.18'!$D$71,8)&lt;&gt;"Reported",'SE.01.01.18'!$D$71&lt;&gt;""),Show!$B$19&amp; Show!$B$19&amp;"S.29.03.01.01 Rows{Z}@ForceFilingCode:false","")</f>
        <v/>
      </c>
    </row>
    <row r="1552" spans="1:2">
      <c r="A1552" t="str">
        <f>IF(AND(LEFT('SE.01.01.18'!$D$71,8)&lt;&gt;"Reported",'SE.01.01.18'!$D$71&lt;&gt;""),Show!$B$19 &amp; "S.29.03.01.02 Rows{Z}@ForceFilingCode:false","")</f>
        <v/>
      </c>
      <c r="B1552" t="str">
        <f>IF(AND(LEFT('SE.01.01.18'!$D$71,8)&lt;&gt;"Reported",'SE.01.01.18'!$D$71&lt;&gt;""),Show!$B$19&amp; Show!$B$19&amp;"S.29.03.01.02 Rows{Z}@ForceFilingCode:false","")</f>
        <v/>
      </c>
    </row>
    <row r="1553" spans="1:2">
      <c r="A1553" t="str">
        <f>IF(AND(LEFT('SE.01.01.18'!$D$71,8)&lt;&gt;"Reported",'SE.01.01.18'!$D$71&lt;&gt;""),Show!$B$19 &amp; "S.29.03.01.03 Rows{Z}@ForceFilingCode:false","")</f>
        <v/>
      </c>
      <c r="B1553" t="str">
        <f>IF(AND(LEFT('SE.01.01.18'!$D$71,8)&lt;&gt;"Reported",'SE.01.01.18'!$D$71&lt;&gt;""),Show!$B$19&amp; Show!$B$19&amp;"S.29.03.01.03 Rows{Z}@ForceFilingCode:false","")</f>
        <v/>
      </c>
    </row>
    <row r="1554" spans="1:2">
      <c r="A1554" t="str">
        <f>IF(AND(LEFT('SE.01.01.18'!$D$71,8)&lt;&gt;"Reported",'SE.01.01.18'!$D$71&lt;&gt;""),Show!$B$19 &amp; "S.29.03.01.04 Rows{Z}@ForceFilingCode:false","")</f>
        <v/>
      </c>
      <c r="B1554" t="str">
        <f>IF(AND(LEFT('SE.01.01.18'!$D$71,8)&lt;&gt;"Reported",'SE.01.01.18'!$D$71&lt;&gt;""),Show!$B$19&amp; Show!$B$19&amp;"S.29.03.01.04 Rows{Z}@ForceFilingCode:false","")</f>
        <v/>
      </c>
    </row>
    <row r="1555" spans="1:2">
      <c r="A1555" t="str">
        <f>IF(AND(LEFT('SE.01.01.18'!$D$71,8)&lt;&gt;"Reported",'SE.01.01.18'!$D$71&lt;&gt;""),Show!$B$19 &amp; "S.29.03.01.05 Rows{Z}@ForceFilingCode:false","")</f>
        <v/>
      </c>
      <c r="B1555" t="str">
        <f>IF(AND(LEFT('SE.01.01.18'!$D$71,8)&lt;&gt;"Reported",'SE.01.01.18'!$D$71&lt;&gt;""),Show!$B$19&amp; Show!$B$19&amp;"S.29.03.01.05 Rows{Z}@ForceFilingCode:false","")</f>
        <v/>
      </c>
    </row>
    <row r="1556" spans="1:2">
      <c r="A1556" t="str">
        <f>IF(AND(LEFT('SE.01.01.18'!$D$71,8)&lt;&gt;"Reported",'SE.01.01.18'!$D$71&lt;&gt;""),Show!$B$19 &amp; "S.29.03.01.06 Rows{Z}@ForceFilingCode:false","")</f>
        <v/>
      </c>
      <c r="B1556" t="str">
        <f>IF(AND(LEFT('SE.01.01.18'!$D$71,8)&lt;&gt;"Reported",'SE.01.01.18'!$D$71&lt;&gt;""),Show!$B$19&amp; Show!$B$19&amp;"S.29.03.01.06 Rows{Z}@ForceFilingCode:false","")</f>
        <v/>
      </c>
    </row>
    <row r="1557" spans="1:2">
      <c r="A1557" t="str">
        <f>IF(AND(LEFT('SE.01.01.18'!$D$71,8)&lt;&gt;"Reported",'SE.01.01.18'!$D$71&lt;&gt;""),Show!$B$19 &amp; "S.29.03.01.07 Rows{Z}@ForceFilingCode:false","")</f>
        <v/>
      </c>
      <c r="B1557" t="str">
        <f>IF(AND(LEFT('SE.01.01.18'!$D$71,8)&lt;&gt;"Reported",'SE.01.01.18'!$D$71&lt;&gt;""),Show!$B$19&amp; Show!$B$19&amp;"S.29.03.01.07 Rows{Z}@ForceFilingCode:false","")</f>
        <v/>
      </c>
    </row>
    <row r="1558" spans="1:2">
      <c r="A1558" t="str">
        <f>IF(AND(LEFT('SE.01.01.18'!$D$72,8)&lt;&gt;"Reported",'SE.01.01.18'!$D$72&lt;&gt;""),Show!$B$19 &amp; "S.29.04.01.01 Rows{Z}@ForceFilingCode:false","")</f>
        <v/>
      </c>
      <c r="B1558" t="str">
        <f>IF(AND(LEFT('SE.01.01.18'!$D$72,8)&lt;&gt;"Reported",'SE.01.01.18'!$D$72&lt;&gt;""),Show!$B$19&amp; Show!$B$19&amp;"S.29.04.01.01 Rows{Z}@ForceFilingCode:false","")</f>
        <v/>
      </c>
    </row>
    <row r="1559" spans="1:2">
      <c r="A1559" t="str">
        <f>IF(AND(LEFT('SE.01.01.18'!$D$72,8)&lt;&gt;"Reported",'SE.01.01.18'!$D$72&lt;&gt;""),Show!$B$19 &amp; "S.29.04.01.02 Rows{Z}@ForceFilingCode:false","")</f>
        <v/>
      </c>
      <c r="B1559" t="str">
        <f>IF(AND(LEFT('SE.01.01.18'!$D$72,8)&lt;&gt;"Reported",'SE.01.01.18'!$D$72&lt;&gt;""),Show!$B$19&amp; Show!$B$19&amp;"S.29.04.01.02 Rows{Z}@ForceFilingCode:false","")</f>
        <v/>
      </c>
    </row>
    <row r="1560" spans="1:2">
      <c r="A1560" t="str">
        <f>IF(AND(LEFT('SE.01.01.18'!$D$73,8)&lt;&gt;"Reported",'SE.01.01.18'!$D$73&lt;&gt;""),Show!$B$19 &amp; "S.30.01.01.01 Rows{Z}@ForceFilingCode:false","")</f>
        <v/>
      </c>
      <c r="B1560" t="str">
        <f>IF(AND(LEFT('SE.01.01.18'!$D$73,8)&lt;&gt;"Reported",'SE.01.01.18'!$D$73&lt;&gt;""),Show!$B$19&amp; Show!$B$19&amp;"S.30.01.01.01 Rows{Z}@ForceFilingCode:false","")</f>
        <v/>
      </c>
    </row>
    <row r="1561" spans="1:2">
      <c r="A1561" t="str">
        <f>IF(AND(LEFT('SE.01.01.18'!$D$73,8)&lt;&gt;"Reported",'SE.01.01.18'!$D$73&lt;&gt;""),Show!$B$19 &amp; "S.30.01.01.02 Rows{Z}@ForceFilingCode:false","")</f>
        <v/>
      </c>
      <c r="B1561" t="str">
        <f>IF(AND(LEFT('SE.01.01.18'!$D$73,8)&lt;&gt;"Reported",'SE.01.01.18'!$D$73&lt;&gt;""),Show!$B$19&amp; Show!$B$19&amp;"S.30.01.01.02 Rows{Z}@ForceFilingCode:false","")</f>
        <v/>
      </c>
    </row>
    <row r="1562" spans="1:2">
      <c r="A1562" t="str">
        <f>IF(AND(LEFT('SE.01.01.18'!$D$74,8)&lt;&gt;"Reported",'SE.01.01.18'!$D$74&lt;&gt;""),Show!$B$19 &amp; "S.30.02.01.01 Rows{Z}@ForceFilingCode:false","")</f>
        <v/>
      </c>
      <c r="B1562" t="str">
        <f>IF(AND(LEFT('SE.01.01.18'!$D$74,8)&lt;&gt;"Reported",'SE.01.01.18'!$D$74&lt;&gt;""),Show!$B$19&amp; Show!$B$19&amp;"S.30.02.01.01 Rows{Z}@ForceFilingCode:false","")</f>
        <v/>
      </c>
    </row>
    <row r="1563" spans="1:2">
      <c r="A1563" t="str">
        <f>IF(AND(LEFT('SE.01.01.18'!$D$74,8)&lt;&gt;"Reported",'SE.01.01.18'!$D$74&lt;&gt;""),Show!$B$19 &amp; "S.30.02.01.02 Rows{Z}@ForceFilingCode:false","")</f>
        <v/>
      </c>
      <c r="B1563" t="str">
        <f>IF(AND(LEFT('SE.01.01.18'!$D$74,8)&lt;&gt;"Reported",'SE.01.01.18'!$D$74&lt;&gt;""),Show!$B$19&amp; Show!$B$19&amp;"S.30.02.01.02 Rows{Z}@ForceFilingCode:false","")</f>
        <v/>
      </c>
    </row>
    <row r="1564" spans="1:2">
      <c r="A1564" t="str">
        <f>IF(AND(LEFT('SE.01.01.18'!$D$74,8)&lt;&gt;"Reported",'SE.01.01.18'!$D$74&lt;&gt;""),Show!$B$19 &amp; "S.30.02.01.03 Rows{Z}@ForceFilingCode:false","")</f>
        <v/>
      </c>
      <c r="B1564" t="str">
        <f>IF(AND(LEFT('SE.01.01.18'!$D$74,8)&lt;&gt;"Reported",'SE.01.01.18'!$D$74&lt;&gt;""),Show!$B$19&amp; Show!$B$19&amp;"S.30.02.01.03 Rows{Z}@ForceFilingCode:false","")</f>
        <v/>
      </c>
    </row>
    <row r="1565" spans="1:2">
      <c r="A1565" t="str">
        <f>IF(AND(LEFT('SE.01.01.18'!$D$74,8)&lt;&gt;"Reported",'SE.01.01.18'!$D$74&lt;&gt;""),Show!$B$19 &amp; "S.30.02.01.04 Rows{Z}@ForceFilingCode:false","")</f>
        <v/>
      </c>
      <c r="B1565" t="str">
        <f>IF(AND(LEFT('SE.01.01.18'!$D$74,8)&lt;&gt;"Reported",'SE.01.01.18'!$D$74&lt;&gt;""),Show!$B$19&amp; Show!$B$19&amp;"S.30.02.01.04 Rows{Z}@ForceFilingCode:false","")</f>
        <v/>
      </c>
    </row>
    <row r="1566" spans="1:2">
      <c r="A1566" t="str">
        <f>IF(AND(LEFT('SE.01.01.18'!$D$75,8)&lt;&gt;"Reported",'SE.01.01.18'!$D$75&lt;&gt;""),Show!$B$19 &amp; "S.30.03.01.01 Rows{Z}@ForceFilingCode:false","")</f>
        <v/>
      </c>
      <c r="B1566" t="str">
        <f>IF(AND(LEFT('SE.01.01.18'!$D$75,8)&lt;&gt;"Reported",'SE.01.01.18'!$D$75&lt;&gt;""),Show!$B$19&amp; Show!$B$19&amp;"S.30.03.01.01 Rows{Z}@ForceFilingCode:false","")</f>
        <v/>
      </c>
    </row>
    <row r="1567" spans="1:2">
      <c r="A1567" t="str">
        <f>IF(AND(LEFT('SE.01.01.18'!$D$76,8)&lt;&gt;"Reported",'SE.01.01.18'!$D$76&lt;&gt;""),Show!$B$19 &amp; "S.30.04.01.01 Rows{Z}@ForceFilingCode:false","")</f>
        <v/>
      </c>
      <c r="B1567" t="str">
        <f>IF(AND(LEFT('SE.01.01.18'!$D$76,8)&lt;&gt;"Reported",'SE.01.01.18'!$D$76&lt;&gt;""),Show!$B$19&amp; Show!$B$19&amp;"S.30.04.01.01 Rows{Z}@ForceFilingCode:false","")</f>
        <v/>
      </c>
    </row>
    <row r="1568" spans="1:2">
      <c r="A1568" t="str">
        <f>IF(AND(LEFT('SE.01.01.18'!$D$76,8)&lt;&gt;"Reported",'SE.01.01.18'!$D$76&lt;&gt;""),Show!$B$19 &amp; "S.30.04.01.02 Rows{Z}@ForceFilingCode:false","")</f>
        <v/>
      </c>
      <c r="B1568" t="str">
        <f>IF(AND(LEFT('SE.01.01.18'!$D$76,8)&lt;&gt;"Reported",'SE.01.01.18'!$D$76&lt;&gt;""),Show!$B$19&amp; Show!$B$19&amp;"S.30.04.01.02 Rows{Z}@ForceFilingCode:false","")</f>
        <v/>
      </c>
    </row>
    <row r="1569" spans="1:2">
      <c r="A1569" t="str">
        <f>IF(AND(LEFT('SE.01.01.18'!$D$76,8)&lt;&gt;"Reported",'SE.01.01.18'!$D$76&lt;&gt;""),Show!$B$19 &amp; "S.30.04.01.03 Rows{Z}@ForceFilingCode:false","")</f>
        <v/>
      </c>
      <c r="B1569" t="str">
        <f>IF(AND(LEFT('SE.01.01.18'!$D$76,8)&lt;&gt;"Reported",'SE.01.01.18'!$D$76&lt;&gt;""),Show!$B$19&amp; Show!$B$19&amp;"S.30.04.01.03 Rows{Z}@ForceFilingCode:false","")</f>
        <v/>
      </c>
    </row>
    <row r="1570" spans="1:2">
      <c r="A1570" t="str">
        <f>IF(AND(LEFT('SE.01.01.18'!$D$77,8)&lt;&gt;"Reported",'SE.01.01.18'!$D$77&lt;&gt;""),Show!$B$19 &amp; "S.31.01.01.01 Rows{Z}@ForceFilingCode:false","")</f>
        <v/>
      </c>
      <c r="B1570" t="str">
        <f>IF(AND(LEFT('SE.01.01.18'!$D$77,8)&lt;&gt;"Reported",'SE.01.01.18'!$D$77&lt;&gt;""),Show!$B$19&amp; Show!$B$19&amp;"S.31.01.01.01 Rows{Z}@ForceFilingCode:false","")</f>
        <v/>
      </c>
    </row>
    <row r="1571" spans="1:2">
      <c r="A1571" t="str">
        <f>IF(AND(LEFT('SE.01.01.18'!$D$77,8)&lt;&gt;"Reported",'SE.01.01.18'!$D$77&lt;&gt;""),Show!$B$19 &amp; "S.31.01.01.02 Rows{Z}@ForceFilingCode:false","")</f>
        <v/>
      </c>
      <c r="B1571" t="str">
        <f>IF(AND(LEFT('SE.01.01.18'!$D$77,8)&lt;&gt;"Reported",'SE.01.01.18'!$D$77&lt;&gt;""),Show!$B$19&amp; Show!$B$19&amp;"S.31.01.01.02 Rows{Z}@ForceFilingCode:false","")</f>
        <v/>
      </c>
    </row>
    <row r="1572" spans="1:2">
      <c r="A1572" t="str">
        <f>IF(AND(LEFT('SE.01.01.18'!$D$78,8)&lt;&gt;"Reported",'SE.01.01.18'!$D$78&lt;&gt;""),Show!$B$19 &amp; "S.31.02.01.01 Rows{Z}@ForceFilingCode:false","")</f>
        <v/>
      </c>
      <c r="B1572" t="str">
        <f>IF(AND(LEFT('SE.01.01.18'!$D$78,8)&lt;&gt;"Reported",'SE.01.01.18'!$D$78&lt;&gt;""),Show!$B$19&amp; Show!$B$19&amp;"S.31.02.01.01 Rows{Z}@ForceFilingCode:false","")</f>
        <v/>
      </c>
    </row>
    <row r="1573" spans="1:2">
      <c r="A1573" t="str">
        <f>IF(AND(LEFT('SE.01.01.18'!$D$78,8)&lt;&gt;"Reported",'SE.01.01.18'!$D$78&lt;&gt;""),Show!$B$19 &amp; "S.31.02.01.02 Rows{Z}@ForceFilingCode:false","")</f>
        <v/>
      </c>
      <c r="B1573" t="str">
        <f>IF(AND(LEFT('SE.01.01.18'!$D$78,8)&lt;&gt;"Reported",'SE.01.01.18'!$D$78&lt;&gt;""),Show!$B$19&amp; Show!$B$19&amp;"S.31.02.01.02 Rows{Z}@ForceFilingCode:false","")</f>
        <v/>
      </c>
    </row>
    <row r="1574" spans="1:2">
      <c r="A1574" t="str">
        <f>IF(AND(LEFT('SE.01.01.18'!$D$79,8)&lt;&gt;"Reported",'SE.01.01.18'!$D$79&lt;&gt;""),Show!$B$19 &amp; "E.01.01.16.01 Rows{Z}@ForceFilingCode:false","")</f>
        <v/>
      </c>
      <c r="B1574" t="str">
        <f>IF(AND(LEFT('SE.01.01.18'!$D$79,8)&lt;&gt;"Reported",'SE.01.01.18'!$D$79&lt;&gt;""),Show!$B$19&amp; Show!$B$19&amp;"E.01.01.16.01 Rows{Z}@ForceFilingCode:false","")</f>
        <v/>
      </c>
    </row>
    <row r="1575" spans="1:2">
      <c r="A1575" t="str">
        <f>IF(AND(LEFT('SE.01.01.18'!$D$80,8)&lt;&gt;"Reported",'SE.01.01.18'!$D$80&lt;&gt;""),Show!$B$19 &amp; "E.02.01.16.01 Rows{Z}@ForceFilingCode:false","")</f>
        <v/>
      </c>
      <c r="B1575" t="str">
        <f>IF(AND(LEFT('SE.01.01.18'!$D$80,8)&lt;&gt;"Reported",'SE.01.01.18'!$D$80&lt;&gt;""),Show!$B$19&amp; Show!$B$19&amp;"E.02.01.16.01 Rows{Z}@ForceFilingCode:false","")</f>
        <v/>
      </c>
    </row>
    <row r="1576" spans="1:2">
      <c r="A1576" t="str">
        <f>IF(AND(LEFT('SE.01.01.18'!$D$81,8)&lt;&gt;"Reported",'SE.01.01.18'!$D$81&lt;&gt;""),Show!$B$19 &amp; "E.03.01.16.01 Rows{Z}@ForceFilingCode:false","")</f>
        <v/>
      </c>
      <c r="B1576" t="str">
        <f>IF(AND(LEFT('SE.01.01.18'!$D$81,8)&lt;&gt;"Reported",'SE.01.01.18'!$D$81&lt;&gt;""),Show!$B$19&amp; Show!$B$19&amp;"E.03.01.16.01 Rows{Z}@ForceFilingCode:false","")</f>
        <v/>
      </c>
    </row>
    <row r="1577" spans="1:2">
      <c r="A1577" t="str">
        <f>IF(AND(LEFT('SE.01.01.18'!$D$81,8)&lt;&gt;"Reported",'SE.01.01.18'!$D$81&lt;&gt;""),Show!$B$19 &amp; "E.03.01.16.02 Rows{Z}@ForceFilingCode:false","")</f>
        <v/>
      </c>
      <c r="B1577" t="str">
        <f>IF(AND(LEFT('SE.01.01.18'!$D$81,8)&lt;&gt;"Reported",'SE.01.01.18'!$D$81&lt;&gt;""),Show!$B$19&amp; Show!$B$19&amp;"E.03.01.16.02 Rows{Z}@ForceFilingCode:false","")</f>
        <v/>
      </c>
    </row>
    <row r="1578" spans="1:2">
      <c r="A1578" t="str">
        <f>IF(AND(LEFT('SE.01.01.19'!$D$16,8)&lt;&gt;"Reported",'SE.01.01.19'!$D$16&lt;&gt;""),Show!$B$20 &amp; "S.01.02.07.01 Rows{Z}@ForceFilingCode:false","")</f>
        <v/>
      </c>
      <c r="B1578" t="str">
        <f>IF(AND(LEFT('SE.01.01.19'!$D$16,8)&lt;&gt;"Reported",'SE.01.01.19'!$D$16&lt;&gt;""),Show!$B$20&amp; Show!$B$20&amp;"S.01.02.07.01 Rows{Z}@ForceFilingCode:false","")</f>
        <v/>
      </c>
    </row>
    <row r="1579" spans="1:2">
      <c r="A1579" t="str">
        <f>IF(AND(LEFT('SE.01.01.19'!$D$16,8)&lt;&gt;"Reported",'SE.01.01.19'!$D$16&lt;&gt;""),Show!$B$20 &amp; "S.01.02.07.02 Rows{Z}@ForceFilingCode:false","")</f>
        <v/>
      </c>
      <c r="B1579" t="str">
        <f>IF(AND(LEFT('SE.01.01.19'!$D$16,8)&lt;&gt;"Reported",'SE.01.01.19'!$D$16&lt;&gt;""),Show!$B$20&amp; Show!$B$20&amp;"S.01.02.07.02 Rows{Z}@ForceFilingCode:false","")</f>
        <v/>
      </c>
    </row>
    <row r="1580" spans="1:2">
      <c r="A1580" t="str">
        <f>IF(AND(LEFT('SE.01.01.19'!$D$16,8)&lt;&gt;"Reported",'SE.01.01.19'!$D$16&lt;&gt;""),Show!$B$20 &amp; "S.01.02.07.03 Rows{Z}@ForceFilingCode:false","")</f>
        <v/>
      </c>
      <c r="B1580" t="str">
        <f>IF(AND(LEFT('SE.01.01.19'!$D$16,8)&lt;&gt;"Reported",'SE.01.01.19'!$D$16&lt;&gt;""),Show!$B$20&amp; Show!$B$20&amp;"S.01.02.07.03 Rows{Z}@ForceFilingCode:false","")</f>
        <v/>
      </c>
    </row>
    <row r="1581" spans="1:2">
      <c r="A1581" t="str">
        <f>IF(AND(LEFT('SE.01.01.19'!$D$17,8)&lt;&gt;"Reported",'SE.01.01.19'!$D$17&lt;&gt;""),Show!$B$20 &amp; "SE.02.01.19.01 Rows{Z}@ForceFilingCode:false","")</f>
        <v/>
      </c>
      <c r="B1581" t="str">
        <f>IF(AND(LEFT('SE.01.01.19'!$D$17,8)&lt;&gt;"Reported",'SE.01.01.19'!$D$17&lt;&gt;""),Show!$B$20&amp; Show!$B$20&amp;"SE.02.01.19.01 Rows{Z}@ForceFilingCode:false","")</f>
        <v/>
      </c>
    </row>
    <row r="1582" spans="1:2">
      <c r="A1582" t="str">
        <f>IF(AND(LEFT('SE.01.01.19'!$D$18,8)&lt;&gt;"Reported",'SE.01.01.19'!$D$18&lt;&gt;""),Show!$B$20 &amp; "S.05.01.02.01 Rows{Z}@ForceFilingCode:false","")</f>
        <v/>
      </c>
      <c r="B1582" t="str">
        <f>IF(AND(LEFT('SE.01.01.19'!$D$18,8)&lt;&gt;"Reported",'SE.01.01.19'!$D$18&lt;&gt;""),Show!$B$20&amp; Show!$B$20&amp;"S.05.01.02.01 Rows{Z}@ForceFilingCode:false","")</f>
        <v/>
      </c>
    </row>
    <row r="1583" spans="1:2">
      <c r="A1583" t="str">
        <f>IF(AND(LEFT('SE.01.01.19'!$D$18,8)&lt;&gt;"Reported",'SE.01.01.19'!$D$18&lt;&gt;""),Show!$B$20 &amp; "S.05.01.02.02 Rows{Z}@ForceFilingCode:false","")</f>
        <v/>
      </c>
      <c r="B1583" t="str">
        <f>IF(AND(LEFT('SE.01.01.19'!$D$18,8)&lt;&gt;"Reported",'SE.01.01.19'!$D$18&lt;&gt;""),Show!$B$20&amp; Show!$B$20&amp;"S.05.01.02.02 Rows{Z}@ForceFilingCode:false","")</f>
        <v/>
      </c>
    </row>
    <row r="1584" spans="1:2">
      <c r="A1584" t="str">
        <f>IF(AND(LEFT('SE.01.01.19'!$D$19,8)&lt;&gt;"Reported",'SE.01.01.19'!$D$19&lt;&gt;""),Show!$B$20 &amp; "SE.06.02.18.01 Rows{Z}@ForceFilingCode:false","")</f>
        <v/>
      </c>
      <c r="B1584" t="str">
        <f>IF(AND(LEFT('SE.01.01.19'!$D$19,8)&lt;&gt;"Reported",'SE.01.01.19'!$D$19&lt;&gt;""),Show!$B$20&amp; Show!$B$20&amp;"SE.06.02.18.01 Rows{Z}@ForceFilingCode:false","")</f>
        <v/>
      </c>
    </row>
    <row r="1585" spans="1:2">
      <c r="A1585" t="str">
        <f>IF(AND(LEFT('SE.01.01.19'!$D$19,8)&lt;&gt;"Reported",'SE.01.01.19'!$D$19&lt;&gt;""),Show!$B$20 &amp; "SE.06.02.18.02 Rows{Z}@ForceFilingCode:false","")</f>
        <v/>
      </c>
      <c r="B1585" t="str">
        <f>IF(AND(LEFT('SE.01.01.19'!$D$19,8)&lt;&gt;"Reported",'SE.01.01.19'!$D$19&lt;&gt;""),Show!$B$20&amp; Show!$B$20&amp;"SE.06.02.18.02 Rows{Z}@ForceFilingCode:false","")</f>
        <v/>
      </c>
    </row>
    <row r="1586" spans="1:2">
      <c r="A1586" t="str">
        <f>IF(AND(LEFT('SE.01.01.19'!$D$20,8)&lt;&gt;"Reported",'SE.01.01.19'!$D$20&lt;&gt;""),Show!$B$20 &amp; "S.06.03.01.01 Rows{Z}@ForceFilingCode:false","")</f>
        <v/>
      </c>
      <c r="B1586" t="str">
        <f>IF(AND(LEFT('SE.01.01.19'!$D$20,8)&lt;&gt;"Reported",'SE.01.01.19'!$D$20&lt;&gt;""),Show!$B$20&amp; Show!$B$20&amp;"S.06.03.01.01 Rows{Z}@ForceFilingCode:false","")</f>
        <v/>
      </c>
    </row>
    <row r="1587" spans="1:2">
      <c r="A1587" t="str">
        <f>IF(AND(LEFT('SE.01.01.19'!$D$21,8)&lt;&gt;"Reported",'SE.01.01.19'!$D$21&lt;&gt;""),Show!$B$20 &amp; "S.08.01.01.01 Rows{Z}@ForceFilingCode:false","")</f>
        <v/>
      </c>
      <c r="B1587" t="str">
        <f>IF(AND(LEFT('SE.01.01.19'!$D$21,8)&lt;&gt;"Reported",'SE.01.01.19'!$D$21&lt;&gt;""),Show!$B$20&amp; Show!$B$20&amp;"S.08.01.01.01 Rows{Z}@ForceFilingCode:false","")</f>
        <v/>
      </c>
    </row>
    <row r="1588" spans="1:2">
      <c r="A1588" t="str">
        <f>IF(AND(LEFT('SE.01.01.19'!$D$21,8)&lt;&gt;"Reported",'SE.01.01.19'!$D$21&lt;&gt;""),Show!$B$20 &amp; "S.08.01.01.02 Rows{Z}@ForceFilingCode:false","")</f>
        <v/>
      </c>
      <c r="B1588" t="str">
        <f>IF(AND(LEFT('SE.01.01.19'!$D$21,8)&lt;&gt;"Reported",'SE.01.01.19'!$D$21&lt;&gt;""),Show!$B$20&amp; Show!$B$20&amp;"S.08.01.01.02 Rows{Z}@ForceFilingCode:false","")</f>
        <v/>
      </c>
    </row>
    <row r="1589" spans="1:2">
      <c r="A1589" t="str">
        <f>IF(AND(LEFT('SE.01.01.19'!$D$22,8)&lt;&gt;"Reported",'SE.01.01.19'!$D$22&lt;&gt;""),Show!$B$20 &amp; "S.08.02.01.01 Rows{Z}@ForceFilingCode:false","")</f>
        <v/>
      </c>
      <c r="B1589" t="str">
        <f>IF(AND(LEFT('SE.01.01.19'!$D$22,8)&lt;&gt;"Reported",'SE.01.01.19'!$D$22&lt;&gt;""),Show!$B$20&amp; Show!$B$20&amp;"S.08.02.01.01 Rows{Z}@ForceFilingCode:false","")</f>
        <v/>
      </c>
    </row>
    <row r="1590" spans="1:2">
      <c r="A1590" t="str">
        <f>IF(AND(LEFT('SE.01.01.19'!$D$22,8)&lt;&gt;"Reported",'SE.01.01.19'!$D$22&lt;&gt;""),Show!$B$20 &amp; "S.08.02.01.02 Rows{Z}@ForceFilingCode:false","")</f>
        <v/>
      </c>
      <c r="B1590" t="str">
        <f>IF(AND(LEFT('SE.01.01.19'!$D$22,8)&lt;&gt;"Reported",'SE.01.01.19'!$D$22&lt;&gt;""),Show!$B$20&amp; Show!$B$20&amp;"S.08.02.01.02 Rows{Z}@ForceFilingCode:false","")</f>
        <v/>
      </c>
    </row>
    <row r="1591" spans="1:2">
      <c r="A1591" t="str">
        <f>IF(AND(LEFT('SE.01.01.19'!$D$23,8)&lt;&gt;"Reported",'SE.01.01.19'!$D$23&lt;&gt;""),Show!$B$20 &amp; "S.12.01.02.01 Rows{Z}@ForceFilingCode:false","")</f>
        <v/>
      </c>
      <c r="B1591" t="str">
        <f>IF(AND(LEFT('SE.01.01.19'!$D$23,8)&lt;&gt;"Reported",'SE.01.01.19'!$D$23&lt;&gt;""),Show!$B$20&amp; Show!$B$20&amp;"S.12.01.02.01 Rows{Z}@ForceFilingCode:false","")</f>
        <v/>
      </c>
    </row>
    <row r="1592" spans="1:2">
      <c r="A1592" t="str">
        <f>IF(AND(LEFT('SE.01.01.19'!$D$24,8)&lt;&gt;"Reported",'SE.01.01.19'!$D$24&lt;&gt;""),Show!$B$20 &amp; "S.17.01.02.01 Rows{Z}@ForceFilingCode:false","")</f>
        <v/>
      </c>
      <c r="B1592" t="str">
        <f>IF(AND(LEFT('SE.01.01.19'!$D$24,8)&lt;&gt;"Reported",'SE.01.01.19'!$D$24&lt;&gt;""),Show!$B$20&amp; Show!$B$20&amp;"S.17.01.02.01 Rows{Z}@ForceFilingCode:false","")</f>
        <v/>
      </c>
    </row>
    <row r="1593" spans="1:2">
      <c r="A1593" t="str">
        <f>IF(AND(LEFT('SE.01.01.19'!$D$25,8)&lt;&gt;"Reported",'SE.01.01.19'!$D$25&lt;&gt;""),Show!$B$20 &amp; "S.23.01.07.01 Rows{Z}@ForceFilingCode:false","")</f>
        <v/>
      </c>
      <c r="B1593" t="str">
        <f>IF(AND(LEFT('SE.01.01.19'!$D$25,8)&lt;&gt;"Reported",'SE.01.01.19'!$D$25&lt;&gt;""),Show!$B$20&amp; Show!$B$20&amp;"S.23.01.07.01 Rows{Z}@ForceFilingCode:false","")</f>
        <v/>
      </c>
    </row>
    <row r="1594" spans="1:2">
      <c r="A1594" t="str">
        <f>IF(AND(LEFT('SE.01.01.19'!$D$25,8)&lt;&gt;"Reported",'SE.01.01.19'!$D$25&lt;&gt;""),Show!$B$20 &amp; "S.23.01.07.02 Rows{Z}@ForceFilingCode:false","")</f>
        <v/>
      </c>
      <c r="B1594" t="str">
        <f>IF(AND(LEFT('SE.01.01.19'!$D$25,8)&lt;&gt;"Reported",'SE.01.01.19'!$D$25&lt;&gt;""),Show!$B$20&amp; Show!$B$20&amp;"S.23.01.07.02 Rows{Z}@ForceFilingCode:false","")</f>
        <v/>
      </c>
    </row>
    <row r="1595" spans="1:2">
      <c r="A1595" t="str">
        <f>IF(AND(LEFT('SE.01.01.19'!$D$26,8)&lt;&gt;"Reported",'SE.01.01.19'!$D$26&lt;&gt;""),Show!$B$20 &amp; "S.28.01.01.01 Rows{Z}@ForceFilingCode:false","")</f>
        <v/>
      </c>
      <c r="B1595" t="str">
        <f>IF(AND(LEFT('SE.01.01.19'!$D$26,8)&lt;&gt;"Reported",'SE.01.01.19'!$D$26&lt;&gt;""),Show!$B$20&amp; Show!$B$20&amp;"S.28.01.01.01 Rows{Z}@ForceFilingCode:false","")</f>
        <v/>
      </c>
    </row>
    <row r="1596" spans="1:2">
      <c r="A1596" t="str">
        <f>IF(AND(LEFT('SE.01.01.19'!$D$26,8)&lt;&gt;"Reported",'SE.01.01.19'!$D$26&lt;&gt;""),Show!$B$20 &amp; "S.28.01.01.02 Rows{Z}@ForceFilingCode:false","")</f>
        <v/>
      </c>
      <c r="B1596" t="str">
        <f>IF(AND(LEFT('SE.01.01.19'!$D$26,8)&lt;&gt;"Reported",'SE.01.01.19'!$D$26&lt;&gt;""),Show!$B$20&amp; Show!$B$20&amp;"S.28.01.01.02 Rows{Z}@ForceFilingCode:false","")</f>
        <v/>
      </c>
    </row>
    <row r="1597" spans="1:2">
      <c r="A1597" t="str">
        <f>IF(AND(LEFT('SE.01.01.19'!$D$26,8)&lt;&gt;"Reported",'SE.01.01.19'!$D$26&lt;&gt;""),Show!$B$20 &amp; "S.28.01.01.03 Rows{Z}@ForceFilingCode:false","")</f>
        <v/>
      </c>
      <c r="B1597" t="str">
        <f>IF(AND(LEFT('SE.01.01.19'!$D$26,8)&lt;&gt;"Reported",'SE.01.01.19'!$D$26&lt;&gt;""),Show!$B$20&amp; Show!$B$20&amp;"S.28.01.01.03 Rows{Z}@ForceFilingCode:false","")</f>
        <v/>
      </c>
    </row>
    <row r="1598" spans="1:2">
      <c r="A1598" t="str">
        <f>IF(AND(LEFT('SE.01.01.19'!$D$26,8)&lt;&gt;"Reported",'SE.01.01.19'!$D$26&lt;&gt;""),Show!$B$20 &amp; "S.28.01.01.04 Rows{Z}@ForceFilingCode:false","")</f>
        <v/>
      </c>
      <c r="B1598" t="str">
        <f>IF(AND(LEFT('SE.01.01.19'!$D$26,8)&lt;&gt;"Reported",'SE.01.01.19'!$D$26&lt;&gt;""),Show!$B$20&amp; Show!$B$20&amp;"S.28.01.01.04 Rows{Z}@ForceFilingCode:false","")</f>
        <v/>
      </c>
    </row>
    <row r="1599" spans="1:2">
      <c r="A1599" t="str">
        <f>IF(AND(LEFT('SE.01.01.19'!$D$26,8)&lt;&gt;"Reported",'SE.01.01.19'!$D$26&lt;&gt;""),Show!$B$20 &amp; "S.28.01.01.05 Rows{Z}@ForceFilingCode:false","")</f>
        <v/>
      </c>
      <c r="B1599" t="str">
        <f>IF(AND(LEFT('SE.01.01.19'!$D$26,8)&lt;&gt;"Reported",'SE.01.01.19'!$D$26&lt;&gt;""),Show!$B$20&amp; Show!$B$20&amp;"S.28.01.01.05 Rows{Z}@ForceFilingCode:false","")</f>
        <v/>
      </c>
    </row>
    <row r="1600" spans="1:2">
      <c r="A1600" t="str">
        <f>IF(AND(LEFT('SE.01.01.19'!$D$27,8)&lt;&gt;"Reported",'SE.01.01.19'!$D$27&lt;&gt;""),Show!$B$20 &amp; "S.28.02.01.01 Rows{Z}@ForceFilingCode:false","")</f>
        <v/>
      </c>
      <c r="B1600" t="str">
        <f>IF(AND(LEFT('SE.01.01.19'!$D$27,8)&lt;&gt;"Reported",'SE.01.01.19'!$D$27&lt;&gt;""),Show!$B$20&amp; Show!$B$20&amp;"S.28.02.01.01 Rows{Z}@ForceFilingCode:false","")</f>
        <v/>
      </c>
    </row>
    <row r="1601" spans="1:2">
      <c r="A1601" t="str">
        <f>IF(AND(LEFT('SE.01.01.19'!$D$27,8)&lt;&gt;"Reported",'SE.01.01.19'!$D$27&lt;&gt;""),Show!$B$20 &amp; "S.28.02.01.02 Rows{Z}@ForceFilingCode:false","")</f>
        <v/>
      </c>
      <c r="B1601" t="str">
        <f>IF(AND(LEFT('SE.01.01.19'!$D$27,8)&lt;&gt;"Reported",'SE.01.01.19'!$D$27&lt;&gt;""),Show!$B$20&amp; Show!$B$20&amp;"S.28.02.01.02 Rows{Z}@ForceFilingCode:false","")</f>
        <v/>
      </c>
    </row>
    <row r="1602" spans="1:2">
      <c r="A1602" t="str">
        <f>IF(AND(LEFT('SE.01.01.19'!$D$27,8)&lt;&gt;"Reported",'SE.01.01.19'!$D$27&lt;&gt;""),Show!$B$20 &amp; "S.28.02.01.03 Rows{Z}@ForceFilingCode:false","")</f>
        <v/>
      </c>
      <c r="B1602" t="str">
        <f>IF(AND(LEFT('SE.01.01.19'!$D$27,8)&lt;&gt;"Reported",'SE.01.01.19'!$D$27&lt;&gt;""),Show!$B$20&amp; Show!$B$20&amp;"S.28.02.01.03 Rows{Z}@ForceFilingCode:false","")</f>
        <v/>
      </c>
    </row>
    <row r="1603" spans="1:2">
      <c r="A1603" t="str">
        <f>IF(AND(LEFT('SE.01.01.19'!$D$27,8)&lt;&gt;"Reported",'SE.01.01.19'!$D$27&lt;&gt;""),Show!$B$20 &amp; "S.28.02.01.04 Rows{Z}@ForceFilingCode:false","")</f>
        <v/>
      </c>
      <c r="B1603" t="str">
        <f>IF(AND(LEFT('SE.01.01.19'!$D$27,8)&lt;&gt;"Reported",'SE.01.01.19'!$D$27&lt;&gt;""),Show!$B$20&amp; Show!$B$20&amp;"S.28.02.01.04 Rows{Z}@ForceFilingCode:false","")</f>
        <v/>
      </c>
    </row>
    <row r="1604" spans="1:2">
      <c r="A1604" t="str">
        <f>IF(AND(LEFT('SE.01.01.19'!$D$27,8)&lt;&gt;"Reported",'SE.01.01.19'!$D$27&lt;&gt;""),Show!$B$20 &amp; "S.28.02.01.05 Rows{Z}@ForceFilingCode:false","")</f>
        <v/>
      </c>
      <c r="B1604" t="str">
        <f>IF(AND(LEFT('SE.01.01.19'!$D$27,8)&lt;&gt;"Reported",'SE.01.01.19'!$D$27&lt;&gt;""),Show!$B$20&amp; Show!$B$20&amp;"S.28.02.01.05 Rows{Z}@ForceFilingCode:false","")</f>
        <v/>
      </c>
    </row>
    <row r="1605" spans="1:2">
      <c r="A1605" t="str">
        <f>IF(AND(LEFT('SE.01.01.19'!$D$27,8)&lt;&gt;"Reported",'SE.01.01.19'!$D$27&lt;&gt;""),Show!$B$20 &amp; "S.28.02.01.06 Rows{Z}@ForceFilingCode:false","")</f>
        <v/>
      </c>
      <c r="B1605" t="str">
        <f>IF(AND(LEFT('SE.01.01.19'!$D$27,8)&lt;&gt;"Reported",'SE.01.01.19'!$D$27&lt;&gt;""),Show!$B$20&amp; Show!$B$20&amp;"S.28.02.01.06 Rows{Z}@ForceFilingCode:false","")</f>
        <v/>
      </c>
    </row>
    <row r="1606" spans="1:2">
      <c r="A1606" t="str">
        <f>IF(AND(LEFT('SE.01.01.19'!$D$28,8)&lt;&gt;"Reported",'SE.01.01.19'!$D$28&lt;&gt;""),Show!$B$20 &amp; "E.01.01.16.01 Rows{Z}@ForceFilingCode:false","")</f>
        <v/>
      </c>
      <c r="B1606" t="str">
        <f>IF(AND(LEFT('SE.01.01.19'!$D$28,8)&lt;&gt;"Reported",'SE.01.01.19'!$D$28&lt;&gt;""),Show!$B$20&amp; Show!$B$20&amp;"E.01.01.16.01 Rows{Z}@ForceFilingCode:false","")</f>
        <v/>
      </c>
    </row>
    <row r="1607" spans="1:2">
      <c r="A1607" t="str">
        <f>IF(AND(LEFT('SPV.01.01.20'!$D$16,8)&lt;&gt;"Reported",'SPV.01.01.20'!$D$16&lt;&gt;""),Show!$B$191 &amp; "SPV.01.02.20.01 Rows{Z}@ForceFilingCode:false","")</f>
        <v/>
      </c>
      <c r="B1607" t="str">
        <f>IF(AND(LEFT('SPV.01.01.20'!$D$16,8)&lt;&gt;"Reported",'SPV.01.01.20'!$D$16&lt;&gt;""),Show!$B$191&amp; Show!$B$191&amp;"SPV.01.02.20.01 Rows{Z}@ForceFilingCode:false","")</f>
        <v/>
      </c>
    </row>
    <row r="1608" spans="1:2">
      <c r="A1608" t="str">
        <f>IF(AND(LEFT('SPV.01.01.20'!$D$17,8)&lt;&gt;"Reported",'SPV.01.01.20'!$D$17&lt;&gt;""),Show!$B$191 &amp; "SPV.02.01.20.01 Rows{Z}@ForceFilingCode:false","")</f>
        <v/>
      </c>
      <c r="B1608" t="str">
        <f>IF(AND(LEFT('SPV.01.01.20'!$D$17,8)&lt;&gt;"Reported",'SPV.01.01.20'!$D$17&lt;&gt;""),Show!$B$191&amp; Show!$B$191&amp;"SPV.02.01.20.01 Rows{Z}@ForceFilingCode:false","")</f>
        <v/>
      </c>
    </row>
    <row r="1609" spans="1:2">
      <c r="A1609" t="str">
        <f>IF(AND(LEFT('SPV.01.01.20'!$D$17,8)&lt;&gt;"Reported",'SPV.01.01.20'!$D$17&lt;&gt;""),Show!$B$191 &amp; "SPV.02.01.20.02 Rows{Z}@ForceFilingCode:false","")</f>
        <v/>
      </c>
      <c r="B1609" t="str">
        <f>IF(AND(LEFT('SPV.01.01.20'!$D$17,8)&lt;&gt;"Reported",'SPV.01.01.20'!$D$17&lt;&gt;""),Show!$B$191&amp; Show!$B$191&amp;"SPV.02.01.20.02 Rows{Z}@ForceFilingCode:false","")</f>
        <v/>
      </c>
    </row>
    <row r="1610" spans="1:2">
      <c r="A1610" t="str">
        <f>IF(AND(LEFT('SPV.01.01.20'!$D$17,8)&lt;&gt;"Reported",'SPV.01.01.20'!$D$17&lt;&gt;""),Show!$B$191 &amp; "SPV.02.01.20.03 Rows{Z}@ForceFilingCode:false","")</f>
        <v/>
      </c>
      <c r="B1610" t="str">
        <f>IF(AND(LEFT('SPV.01.01.20'!$D$17,8)&lt;&gt;"Reported",'SPV.01.01.20'!$D$17&lt;&gt;""),Show!$B$191&amp; Show!$B$191&amp;"SPV.02.01.20.03 Rows{Z}@ForceFilingCode:false","")</f>
        <v/>
      </c>
    </row>
    <row r="1611" spans="1:2">
      <c r="A1611" t="str">
        <f>IF(AND(LEFT('SPV.01.01.20'!$D$17,8)&lt;&gt;"Reported",'SPV.01.01.20'!$D$17&lt;&gt;""),Show!$B$191 &amp; "SPV.02.01.20.04 Rows{Z}@ForceFilingCode:false","")</f>
        <v/>
      </c>
      <c r="B1611" t="str">
        <f>IF(AND(LEFT('SPV.01.01.20'!$D$17,8)&lt;&gt;"Reported",'SPV.01.01.20'!$D$17&lt;&gt;""),Show!$B$191&amp; Show!$B$191&amp;"SPV.02.01.20.04 Rows{Z}@ForceFilingCode:false","")</f>
        <v/>
      </c>
    </row>
    <row r="1612" spans="1:2">
      <c r="A1612" t="str">
        <f>IF(AND(LEFT('SPV.01.01.20'!$D$18,8)&lt;&gt;"Reported",'SPV.01.01.20'!$D$18&lt;&gt;""),Show!$B$191 &amp; "SPV.02.02.20.01 Rows{Z}@ForceFilingCode:false","")</f>
        <v/>
      </c>
      <c r="B1612" t="str">
        <f>IF(AND(LEFT('SPV.01.01.20'!$D$18,8)&lt;&gt;"Reported",'SPV.01.01.20'!$D$18&lt;&gt;""),Show!$B$191&amp; Show!$B$191&amp;"SPV.02.02.20.01 Rows{Z}@ForceFilingCode:false","")</f>
        <v/>
      </c>
    </row>
    <row r="1613" spans="1:2">
      <c r="A1613" t="str">
        <f>IF(AND(LEFT('SPV.01.01.20'!$D$18,8)&lt;&gt;"Reported",'SPV.01.01.20'!$D$18&lt;&gt;""),Show!$B$191 &amp; "SPV.02.02.20.02 Rows{Z}@ForceFilingCode:false","")</f>
        <v/>
      </c>
      <c r="B1613" t="str">
        <f>IF(AND(LEFT('SPV.01.01.20'!$D$18,8)&lt;&gt;"Reported",'SPV.01.01.20'!$D$18&lt;&gt;""),Show!$B$191&amp; Show!$B$191&amp;"SPV.02.02.20.02 Rows{Z}@ForceFilingCode:false","")</f>
        <v/>
      </c>
    </row>
    <row r="1614" spans="1:2">
      <c r="A1614" t="str">
        <f>IF(AND(LEFT('SPV.01.01.20'!$D$18,8)&lt;&gt;"Reported",'SPV.01.01.20'!$D$18&lt;&gt;""),Show!$B$191 &amp; "SPV.02.02.20.03 Rows{Z}@ForceFilingCode:false","")</f>
        <v/>
      </c>
      <c r="B1614" t="str">
        <f>IF(AND(LEFT('SPV.01.01.20'!$D$18,8)&lt;&gt;"Reported",'SPV.01.01.20'!$D$18&lt;&gt;""),Show!$B$191&amp; Show!$B$191&amp;"SPV.02.02.20.03 Rows{Z}@ForceFilingCode:false","")</f>
        <v/>
      </c>
    </row>
    <row r="1615" spans="1:2">
      <c r="A1615" t="str">
        <f>IF(AND(LEFT('SPV.01.01.20'!$D$19,8)&lt;&gt;"Reported",'SPV.01.01.20'!$D$19&lt;&gt;""),Show!$B$191 &amp; "SPV.03.01.20.01 Rows{Z}@ForceFilingCode:false","")</f>
        <v/>
      </c>
      <c r="B1615" t="str">
        <f>IF(AND(LEFT('SPV.01.01.20'!$D$19,8)&lt;&gt;"Reported",'SPV.01.01.20'!$D$19&lt;&gt;""),Show!$B$191&amp; Show!$B$191&amp;"SPV.03.01.20.01 Rows{Z}@ForceFilingCode:false","")</f>
        <v/>
      </c>
    </row>
    <row r="1616" spans="1:2">
      <c r="A1616" t="str">
        <f>IF(AND(LEFT('SPV.01.01.20'!$D$19,8)&lt;&gt;"Reported",'SPV.01.01.20'!$D$19&lt;&gt;""),Show!$B$191 &amp; "SPV.03.01.20.02 Rows{Z}@ForceFilingCode:false","")</f>
        <v/>
      </c>
      <c r="B1616" t="str">
        <f>IF(AND(LEFT('SPV.01.01.20'!$D$19,8)&lt;&gt;"Reported",'SPV.01.01.20'!$D$19&lt;&gt;""),Show!$B$191&amp; Show!$B$191&amp;"SPV.03.01.20.02 Rows{Z}@ForceFilingCode:false","")</f>
        <v/>
      </c>
    </row>
    <row r="1617" spans="1:2">
      <c r="A1617" t="str">
        <f>IF(AND(LEFT('SPV.01.01.20'!$D$20,8)&lt;&gt;"Reported",'SPV.01.01.20'!$D$20&lt;&gt;""),Show!$B$191 &amp; "SPV.03.02.20.01 Rows{Z}@ForceFilingCode:false","")</f>
        <v/>
      </c>
      <c r="B1617" t="str">
        <f>IF(AND(LEFT('SPV.01.01.20'!$D$20,8)&lt;&gt;"Reported",'SPV.01.01.20'!$D$20&lt;&gt;""),Show!$B$191&amp; Show!$B$191&amp;"SPV.03.02.20.01 Rows{Z}@ForceFilingCode:false","")</f>
        <v/>
      </c>
    </row>
    <row r="1618" spans="1:2">
      <c r="A1618" t="str">
        <f>IF(AND(LEFT('SPV.01.01.20'!$D$20,8)&lt;&gt;"Reported",'SPV.01.01.20'!$D$20&lt;&gt;""),Show!$B$191 &amp; "SPV.03.02.20.02 Rows{Z}@ForceFilingCode:false","")</f>
        <v/>
      </c>
      <c r="B1618" t="str">
        <f>IF(AND(LEFT('SPV.01.01.20'!$D$20,8)&lt;&gt;"Reported",'SPV.01.01.20'!$D$20&lt;&gt;""),Show!$B$191&amp; Show!$B$191&amp;"SPV.03.02.20.02 Rows{Z}@ForceFilingCode:false","")</f>
        <v/>
      </c>
    </row>
  </sheetData>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7DD3-3C84-4C1A-B90F-F8CC2D13B3FF}">
  <sheetPr codeName="Blad40"/>
  <dimension ref="B2:O64"/>
  <sheetViews>
    <sheetView showGridLines="0" workbookViewId="0"/>
  </sheetViews>
  <sheetFormatPr defaultRowHeight="15"/>
  <cols>
    <col min="2" max="2" width="84.7109375" bestFit="1" customWidth="1"/>
    <col min="4" max="6" width="15.7109375" customWidth="1"/>
  </cols>
  <sheetData>
    <row r="2" spans="2:15" ht="23.25">
      <c r="B2" s="95" t="s">
        <v>559</v>
      </c>
      <c r="C2" s="96"/>
      <c r="D2" s="96"/>
      <c r="E2" s="96"/>
      <c r="F2" s="96"/>
      <c r="G2" s="96"/>
      <c r="H2" s="96"/>
      <c r="I2" s="96"/>
      <c r="J2" s="96"/>
      <c r="K2" s="96"/>
      <c r="L2" s="96"/>
      <c r="M2" s="96"/>
      <c r="N2" s="96"/>
      <c r="O2" s="96"/>
    </row>
    <row r="5" spans="2:15" ht="18.75">
      <c r="B5" s="97" t="s">
        <v>3348</v>
      </c>
      <c r="C5" s="96"/>
      <c r="D5" s="96"/>
      <c r="E5" s="96"/>
      <c r="F5" s="96"/>
      <c r="G5" s="96"/>
      <c r="H5" s="96"/>
      <c r="I5" s="96"/>
      <c r="J5" s="96"/>
      <c r="K5" s="96"/>
      <c r="L5" s="96"/>
    </row>
    <row r="9" spans="2:15">
      <c r="D9" s="101" t="s">
        <v>2877</v>
      </c>
      <c r="E9" s="102"/>
      <c r="F9" s="103"/>
    </row>
    <row r="10" spans="2:15">
      <c r="D10" s="104"/>
      <c r="E10" s="105"/>
      <c r="F10" s="106"/>
    </row>
    <row r="11" spans="2:15">
      <c r="D11" s="98" t="s">
        <v>3349</v>
      </c>
      <c r="E11" s="98" t="s">
        <v>3350</v>
      </c>
      <c r="F11" s="98" t="s">
        <v>3351</v>
      </c>
    </row>
    <row r="12" spans="2:15">
      <c r="D12" s="100"/>
      <c r="E12" s="100"/>
      <c r="F12" s="100"/>
    </row>
    <row r="13" spans="2:15">
      <c r="D13" s="45" t="s">
        <v>3219</v>
      </c>
      <c r="E13" s="45" t="s">
        <v>3225</v>
      </c>
      <c r="F13" s="45" t="s">
        <v>3223</v>
      </c>
      <c r="K13" s="13" t="str">
        <f>Show!$B$36&amp;"S.02.02.01.01 Rows {"&amp;COLUMN($C$1)&amp;"}"&amp;"@ForceFilingCode:true"</f>
        <v>!S.02.02.01.01 Rows {3}@ForceFilingCode:true</v>
      </c>
      <c r="L13" s="13" t="str">
        <f>Show!$B$36&amp;"S.02.02.01.01 Columns {"&amp;COLUMN($D$1)&amp;"}"</f>
        <v>!S.02.02.01.01 Columns {4}</v>
      </c>
    </row>
    <row r="14" spans="2:15">
      <c r="B14" s="43" t="s">
        <v>2880</v>
      </c>
      <c r="C14" s="44" t="s">
        <v>2878</v>
      </c>
      <c r="D14" s="58"/>
      <c r="E14" s="67"/>
      <c r="F14" s="59"/>
    </row>
    <row r="15" spans="2:15">
      <c r="B15" s="47" t="s">
        <v>3252</v>
      </c>
      <c r="C15" s="44" t="s">
        <v>2878</v>
      </c>
      <c r="D15" s="56"/>
      <c r="E15" s="66"/>
      <c r="F15" s="57"/>
    </row>
    <row r="16" spans="2:15">
      <c r="B16" s="49" t="s">
        <v>3259</v>
      </c>
      <c r="C16" s="41" t="s">
        <v>2885</v>
      </c>
      <c r="D16" s="60"/>
      <c r="E16" s="60"/>
      <c r="F16" s="60"/>
    </row>
    <row r="17" spans="2:6" ht="45">
      <c r="B17" s="49" t="s">
        <v>3352</v>
      </c>
      <c r="C17" s="41" t="s">
        <v>2887</v>
      </c>
      <c r="D17" s="60"/>
      <c r="E17" s="60"/>
      <c r="F17" s="60"/>
    </row>
    <row r="18" spans="2:6">
      <c r="B18" s="49" t="s">
        <v>3267</v>
      </c>
      <c r="C18" s="41" t="s">
        <v>2889</v>
      </c>
      <c r="D18" s="60"/>
      <c r="E18" s="60"/>
      <c r="F18" s="60"/>
    </row>
    <row r="19" spans="2:6">
      <c r="B19" s="49" t="s">
        <v>3353</v>
      </c>
      <c r="C19" s="41" t="s">
        <v>3078</v>
      </c>
      <c r="D19" s="60"/>
      <c r="E19" s="60"/>
      <c r="F19" s="60"/>
    </row>
    <row r="20" spans="2:6" ht="30">
      <c r="B20" s="49" t="s">
        <v>3354</v>
      </c>
      <c r="C20" s="41" t="s">
        <v>2891</v>
      </c>
      <c r="D20" s="60"/>
      <c r="E20" s="60"/>
      <c r="F20" s="60"/>
    </row>
    <row r="21" spans="2:6">
      <c r="B21" s="49" t="s">
        <v>3355</v>
      </c>
      <c r="C21" s="41" t="s">
        <v>2893</v>
      </c>
      <c r="D21" s="60"/>
      <c r="E21" s="60"/>
      <c r="F21" s="60"/>
    </row>
    <row r="22" spans="2:6">
      <c r="B22" s="49" t="s">
        <v>3288</v>
      </c>
      <c r="C22" s="41" t="s">
        <v>2899</v>
      </c>
      <c r="D22" s="63"/>
      <c r="E22" s="63"/>
      <c r="F22" s="63"/>
    </row>
    <row r="23" spans="2:6">
      <c r="B23" s="47" t="s">
        <v>2389</v>
      </c>
      <c r="C23" s="44" t="s">
        <v>2878</v>
      </c>
      <c r="D23" s="56"/>
      <c r="E23" s="66"/>
      <c r="F23" s="57"/>
    </row>
    <row r="24" spans="2:6">
      <c r="B24" s="49" t="s">
        <v>3356</v>
      </c>
      <c r="C24" s="41" t="s">
        <v>2901</v>
      </c>
      <c r="D24" s="60"/>
      <c r="E24" s="60"/>
      <c r="F24" s="60"/>
    </row>
    <row r="25" spans="2:6">
      <c r="B25" s="49" t="s">
        <v>3357</v>
      </c>
      <c r="C25" s="41" t="s">
        <v>2903</v>
      </c>
      <c r="D25" s="60"/>
      <c r="E25" s="60"/>
      <c r="F25" s="60"/>
    </row>
    <row r="26" spans="2:6">
      <c r="B26" s="49" t="s">
        <v>3358</v>
      </c>
      <c r="C26" s="41" t="s">
        <v>2905</v>
      </c>
      <c r="D26" s="60"/>
      <c r="E26" s="60"/>
      <c r="F26" s="60"/>
    </row>
    <row r="27" spans="2:6">
      <c r="B27" s="49" t="s">
        <v>2481</v>
      </c>
      <c r="C27" s="41" t="s">
        <v>2907</v>
      </c>
      <c r="D27" s="60"/>
      <c r="E27" s="60"/>
      <c r="F27" s="60"/>
    </row>
    <row r="28" spans="2:6">
      <c r="B28" s="49" t="s">
        <v>3359</v>
      </c>
      <c r="C28" s="41" t="s">
        <v>2909</v>
      </c>
      <c r="D28" s="60"/>
      <c r="E28" s="60"/>
      <c r="F28" s="60"/>
    </row>
    <row r="29" spans="2:6">
      <c r="B29" s="49" t="s">
        <v>2698</v>
      </c>
      <c r="C29" s="41" t="s">
        <v>2911</v>
      </c>
      <c r="D29" s="60"/>
      <c r="E29" s="60"/>
      <c r="F29" s="60"/>
    </row>
    <row r="30" spans="2:6">
      <c r="B30" s="49" t="s">
        <v>3360</v>
      </c>
      <c r="C30" s="41" t="s">
        <v>2913</v>
      </c>
      <c r="D30" s="60"/>
      <c r="E30" s="60"/>
      <c r="F30" s="60"/>
    </row>
    <row r="31" spans="2:6">
      <c r="B31" s="49" t="s">
        <v>3313</v>
      </c>
      <c r="C31" s="41" t="s">
        <v>2919</v>
      </c>
      <c r="D31" s="60"/>
      <c r="E31" s="60"/>
      <c r="F31" s="60"/>
    </row>
    <row r="33" spans="2:12">
      <c r="K33" s="13" t="str">
        <f>Show!$B$36&amp;Show!$B$36&amp;"S.02.02.01.01 Rows {"&amp;COLUMN($C$1)&amp;"}"</f>
        <v>!!S.02.02.01.01 Rows {3}</v>
      </c>
      <c r="L33" s="13" t="str">
        <f>Show!$B$36&amp;Show!$B$36&amp;"S.02.02.01.01 Columns {"&amp;COLUMN($F$1)&amp;"}"</f>
        <v>!!S.02.02.01.01 Columns {6}</v>
      </c>
    </row>
    <row r="35" spans="2:12" ht="18.75">
      <c r="B35" s="97" t="s">
        <v>3361</v>
      </c>
      <c r="C35" s="96"/>
      <c r="D35" s="96"/>
      <c r="E35" s="96"/>
      <c r="F35" s="96"/>
      <c r="G35" s="96"/>
      <c r="H35" s="96"/>
      <c r="I35" s="96"/>
      <c r="J35" s="96"/>
      <c r="K35" s="96"/>
      <c r="L35" s="96"/>
    </row>
    <row r="39" spans="2:12">
      <c r="D39" s="98" t="s">
        <v>2877</v>
      </c>
    </row>
    <row r="40" spans="2:12">
      <c r="D40" s="100"/>
    </row>
    <row r="41" spans="2:12">
      <c r="D41" s="98" t="s">
        <v>3362</v>
      </c>
    </row>
    <row r="42" spans="2:12">
      <c r="D42" s="100"/>
    </row>
    <row r="43" spans="2:12">
      <c r="D43" s="42" t="s">
        <v>3229</v>
      </c>
      <c r="K43" s="13" t="str">
        <f>Show!$B$36&amp;"S.02.02.01.02 Rows {"&amp;COLUMN($C$1)&amp;"}"&amp;"@ForceFilingCode:true"</f>
        <v>!S.02.02.01.02 Rows {3}@ForceFilingCode:true</v>
      </c>
      <c r="L43" s="13" t="str">
        <f>Show!$B$36&amp;"S.02.02.01.02 Columns {"&amp;COLUMN($D$1)&amp;"}"</f>
        <v>!S.02.02.01.02 Columns {4}</v>
      </c>
    </row>
    <row r="44" spans="2:12">
      <c r="B44" s="43" t="s">
        <v>3363</v>
      </c>
      <c r="C44" s="41" t="s">
        <v>2883</v>
      </c>
      <c r="D44" s="68"/>
    </row>
    <row r="45" spans="2:12">
      <c r="B45" s="43" t="s">
        <v>2880</v>
      </c>
      <c r="C45" s="44" t="s">
        <v>2878</v>
      </c>
      <c r="D45" s="48"/>
    </row>
    <row r="46" spans="2:12">
      <c r="B46" s="47" t="s">
        <v>3252</v>
      </c>
      <c r="C46" s="44" t="s">
        <v>2878</v>
      </c>
      <c r="D46" s="46"/>
    </row>
    <row r="47" spans="2:12">
      <c r="B47" s="49" t="s">
        <v>3259</v>
      </c>
      <c r="C47" s="41" t="s">
        <v>2885</v>
      </c>
      <c r="D47" s="60"/>
    </row>
    <row r="48" spans="2:12" ht="45">
      <c r="B48" s="49" t="s">
        <v>3352</v>
      </c>
      <c r="C48" s="41" t="s">
        <v>2887</v>
      </c>
      <c r="D48" s="60"/>
    </row>
    <row r="49" spans="2:12">
      <c r="B49" s="49" t="s">
        <v>3267</v>
      </c>
      <c r="C49" s="41" t="s">
        <v>2889</v>
      </c>
      <c r="D49" s="60"/>
    </row>
    <row r="50" spans="2:12">
      <c r="B50" s="49" t="s">
        <v>3353</v>
      </c>
      <c r="C50" s="41" t="s">
        <v>3078</v>
      </c>
      <c r="D50" s="60"/>
    </row>
    <row r="51" spans="2:12" ht="30">
      <c r="B51" s="49" t="s">
        <v>3354</v>
      </c>
      <c r="C51" s="41" t="s">
        <v>2891</v>
      </c>
      <c r="D51" s="60"/>
    </row>
    <row r="52" spans="2:12">
      <c r="B52" s="49" t="s">
        <v>3355</v>
      </c>
      <c r="C52" s="41" t="s">
        <v>2893</v>
      </c>
      <c r="D52" s="60"/>
    </row>
    <row r="53" spans="2:12">
      <c r="B53" s="49" t="s">
        <v>3288</v>
      </c>
      <c r="C53" s="41" t="s">
        <v>2899</v>
      </c>
      <c r="D53" s="63"/>
    </row>
    <row r="54" spans="2:12">
      <c r="B54" s="47" t="s">
        <v>2389</v>
      </c>
      <c r="C54" s="44" t="s">
        <v>2878</v>
      </c>
      <c r="D54" s="46"/>
    </row>
    <row r="55" spans="2:12">
      <c r="B55" s="49" t="s">
        <v>3356</v>
      </c>
      <c r="C55" s="41" t="s">
        <v>2901</v>
      </c>
      <c r="D55" s="60"/>
    </row>
    <row r="56" spans="2:12">
      <c r="B56" s="49" t="s">
        <v>3357</v>
      </c>
      <c r="C56" s="41" t="s">
        <v>2903</v>
      </c>
      <c r="D56" s="60"/>
    </row>
    <row r="57" spans="2:12">
      <c r="B57" s="49" t="s">
        <v>3358</v>
      </c>
      <c r="C57" s="41" t="s">
        <v>2905</v>
      </c>
      <c r="D57" s="60"/>
    </row>
    <row r="58" spans="2:12">
      <c r="B58" s="49" t="s">
        <v>2481</v>
      </c>
      <c r="C58" s="41" t="s">
        <v>2907</v>
      </c>
      <c r="D58" s="60"/>
    </row>
    <row r="59" spans="2:12">
      <c r="B59" s="49" t="s">
        <v>3359</v>
      </c>
      <c r="C59" s="41" t="s">
        <v>2909</v>
      </c>
      <c r="D59" s="60"/>
    </row>
    <row r="60" spans="2:12">
      <c r="B60" s="49" t="s">
        <v>2698</v>
      </c>
      <c r="C60" s="41" t="s">
        <v>2911</v>
      </c>
      <c r="D60" s="60"/>
    </row>
    <row r="61" spans="2:12">
      <c r="B61" s="49" t="s">
        <v>3360</v>
      </c>
      <c r="C61" s="41" t="s">
        <v>2913</v>
      </c>
      <c r="D61" s="60"/>
    </row>
    <row r="62" spans="2:12">
      <c r="B62" s="49" t="s">
        <v>3313</v>
      </c>
      <c r="C62" s="41" t="s">
        <v>2919</v>
      </c>
      <c r="D62" s="60"/>
    </row>
    <row r="64" spans="2:12">
      <c r="K64" s="13" t="str">
        <f>Show!$B$36&amp;Show!$B$36&amp;"S.02.02.01.02 Rows {"&amp;COLUMN($C$1)&amp;"}"</f>
        <v>!!S.02.02.01.02 Rows {3}</v>
      </c>
      <c r="L64" s="13" t="str">
        <f>Show!$B$36&amp;Show!$B$36&amp;"S.02.02.01.02 Columns {"&amp;COLUMN($D$1)&amp;"}"</f>
        <v>!!S.02.02.01.02 Columns {4}</v>
      </c>
    </row>
  </sheetData>
  <sheetProtection sheet="1" objects="1" scenarios="1"/>
  <mergeCells count="9">
    <mergeCell ref="B35:L35"/>
    <mergeCell ref="D39:D40"/>
    <mergeCell ref="D41:D42"/>
    <mergeCell ref="B2:O2"/>
    <mergeCell ref="B5:L5"/>
    <mergeCell ref="D9:F10"/>
    <mergeCell ref="D11:D12"/>
    <mergeCell ref="E11:E12"/>
    <mergeCell ref="F11:F12"/>
  </mergeCells>
  <dataValidations count="1">
    <dataValidation type="list" errorStyle="warning" allowBlank="1" showInputMessage="1" showErrorMessage="1" sqref="D44" xr:uid="{31883697-ADD1-4B93-A254-22D7E0DA13B1}">
      <formula1>hier_CU_5</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E5C8A-E018-4681-BAD0-EBC5156BB7C6}">
  <sheetPr codeName="Blad41"/>
  <dimension ref="B2:P40"/>
  <sheetViews>
    <sheetView showGridLines="0" workbookViewId="0"/>
  </sheetViews>
  <sheetFormatPr defaultRowHeight="15"/>
  <cols>
    <col min="2" max="2" width="41.5703125" bestFit="1" customWidth="1"/>
    <col min="3" max="3" width="40.7109375" customWidth="1"/>
    <col min="4" max="6" width="15.7109375" customWidth="1"/>
    <col min="7" max="7" width="40.7109375" customWidth="1"/>
  </cols>
  <sheetData>
    <row r="2" spans="2:16" ht="23.25">
      <c r="B2" s="95" t="s">
        <v>561</v>
      </c>
      <c r="C2" s="96"/>
      <c r="D2" s="96"/>
      <c r="E2" s="96"/>
      <c r="F2" s="96"/>
      <c r="G2" s="96"/>
      <c r="H2" s="96"/>
      <c r="I2" s="96"/>
      <c r="J2" s="96"/>
      <c r="K2" s="96"/>
      <c r="L2" s="96"/>
      <c r="M2" s="96"/>
      <c r="N2" s="96"/>
      <c r="O2" s="96"/>
    </row>
    <row r="5" spans="2:16" ht="18.75">
      <c r="B5" s="97" t="s">
        <v>3364</v>
      </c>
      <c r="C5" s="96"/>
      <c r="D5" s="96"/>
      <c r="E5" s="96"/>
      <c r="F5" s="96"/>
      <c r="G5" s="96"/>
      <c r="H5" s="96"/>
      <c r="I5" s="96"/>
      <c r="J5" s="96"/>
      <c r="K5" s="96"/>
      <c r="L5" s="96"/>
    </row>
    <row r="9" spans="2:16">
      <c r="D9" s="98" t="s">
        <v>2877</v>
      </c>
    </row>
    <row r="10" spans="2:16">
      <c r="D10" s="100"/>
    </row>
    <row r="11" spans="2:16" ht="45">
      <c r="D11" s="55" t="s">
        <v>3365</v>
      </c>
    </row>
    <row r="12" spans="2:16">
      <c r="D12" s="45" t="s">
        <v>2879</v>
      </c>
      <c r="O12" s="13" t="str">
        <f>Show!$B$37&amp;"S.02.03.07.01 Rows {"&amp;COLUMN($C$1)&amp;"}"&amp;"@ForceFilingCode:true"</f>
        <v>!S.02.03.07.01 Rows {3}@ForceFilingCode:true</v>
      </c>
      <c r="P12" s="13" t="str">
        <f>Show!$B$37&amp;"S.02.03.07.01 Columns {"&amp;COLUMN($D$1)&amp;"}"</f>
        <v>!S.02.03.07.01 Columns {4}</v>
      </c>
    </row>
    <row r="13" spans="2:16">
      <c r="B13" s="43" t="s">
        <v>2880</v>
      </c>
      <c r="C13" s="44" t="s">
        <v>2878</v>
      </c>
      <c r="D13" s="46"/>
    </row>
    <row r="14" spans="2:16">
      <c r="B14" s="47" t="s">
        <v>3366</v>
      </c>
      <c r="C14" s="41" t="s">
        <v>2883</v>
      </c>
      <c r="D14" s="60"/>
    </row>
    <row r="16" spans="2:16">
      <c r="O16" s="13" t="str">
        <f>Show!$B$37&amp;Show!$B$37&amp;"S.02.03.07.01 Rows {"&amp;COLUMN($C$1)&amp;"}"</f>
        <v>!!S.02.03.07.01 Rows {3}</v>
      </c>
      <c r="P16" s="13" t="str">
        <f>Show!$B$37&amp;Show!$B$37&amp;"S.02.03.07.01 Columns {"&amp;COLUMN($D$1)&amp;"}"</f>
        <v>!!S.02.03.07.01 Columns {4}</v>
      </c>
    </row>
    <row r="18" spans="2:16" ht="18.75">
      <c r="B18" s="97" t="s">
        <v>3367</v>
      </c>
      <c r="C18" s="96"/>
      <c r="D18" s="96"/>
      <c r="E18" s="96"/>
      <c r="F18" s="96"/>
      <c r="G18" s="96"/>
      <c r="H18" s="96"/>
      <c r="I18" s="96"/>
      <c r="J18" s="96"/>
      <c r="K18" s="96"/>
      <c r="L18" s="96"/>
    </row>
    <row r="22" spans="2:16">
      <c r="B22" s="98" t="s">
        <v>3368</v>
      </c>
      <c r="C22" s="101" t="s">
        <v>2877</v>
      </c>
      <c r="D22" s="102"/>
      <c r="E22" s="102"/>
      <c r="F22" s="102"/>
      <c r="G22" s="103"/>
    </row>
    <row r="23" spans="2:16">
      <c r="B23" s="99"/>
      <c r="C23" s="104"/>
      <c r="D23" s="105"/>
      <c r="E23" s="105"/>
      <c r="F23" s="105"/>
      <c r="G23" s="106"/>
    </row>
    <row r="24" spans="2:16" ht="45">
      <c r="B24" s="100"/>
      <c r="C24" s="55" t="s">
        <v>3369</v>
      </c>
      <c r="D24" s="55" t="s">
        <v>3370</v>
      </c>
      <c r="E24" s="55" t="s">
        <v>3371</v>
      </c>
      <c r="F24" s="55" t="s">
        <v>3365</v>
      </c>
      <c r="G24" s="55" t="s">
        <v>3372</v>
      </c>
    </row>
    <row r="25" spans="2:16">
      <c r="B25" s="42" t="s">
        <v>3219</v>
      </c>
      <c r="C25" s="42" t="s">
        <v>3223</v>
      </c>
      <c r="D25" s="42" t="s">
        <v>3229</v>
      </c>
      <c r="E25" s="42" t="s">
        <v>3231</v>
      </c>
      <c r="F25" s="42" t="s">
        <v>3233</v>
      </c>
      <c r="G25" s="42" t="s">
        <v>3234</v>
      </c>
      <c r="O25" s="13" t="str">
        <f>Show!$B$37&amp;"S.02.03.07.02 Rows {"&amp;COLUMN($B$1)&amp;"}"&amp;"@ForceFilingCode:true"</f>
        <v>!S.02.03.07.02 Rows {2}@ForceFilingCode:true</v>
      </c>
      <c r="P25" s="13" t="str">
        <f>Show!$B$37&amp;"S.02.03.07.02 Columns {"&amp;COLUMN($B$1)&amp;"}"</f>
        <v>!S.02.03.07.02 Columns {2}</v>
      </c>
    </row>
    <row r="26" spans="2:16">
      <c r="B26" s="50"/>
      <c r="C26" s="51"/>
      <c r="D26" s="60"/>
      <c r="E26" s="60"/>
      <c r="F26" s="60"/>
      <c r="G26" s="51"/>
    </row>
    <row r="28" spans="2:16">
      <c r="O28" s="13" t="str">
        <f>Show!$B$37&amp;Show!$B$37&amp;"S.02.03.07.02 Rows {"&amp;COLUMN($B$1)&amp;"}"</f>
        <v>!!S.02.03.07.02 Rows {2}</v>
      </c>
      <c r="P28" s="13" t="str">
        <f>Show!$B$37&amp;Show!$B$37&amp;"S.02.03.07.02 Columns {"&amp;COLUMN($G$1)&amp;"}"</f>
        <v>!!S.02.03.07.02 Columns {7}</v>
      </c>
    </row>
    <row r="30" spans="2:16" ht="18.75">
      <c r="B30" s="97" t="s">
        <v>3373</v>
      </c>
      <c r="C30" s="96"/>
      <c r="D30" s="96"/>
      <c r="E30" s="96"/>
      <c r="F30" s="96"/>
      <c r="G30" s="96"/>
      <c r="H30" s="96"/>
      <c r="I30" s="96"/>
      <c r="J30" s="96"/>
      <c r="K30" s="96"/>
      <c r="L30" s="96"/>
    </row>
    <row r="34" spans="2:16">
      <c r="B34" s="98" t="s">
        <v>3374</v>
      </c>
      <c r="C34" s="101" t="s">
        <v>2877</v>
      </c>
      <c r="D34" s="102"/>
      <c r="E34" s="102"/>
      <c r="F34" s="103"/>
    </row>
    <row r="35" spans="2:16">
      <c r="B35" s="99"/>
      <c r="C35" s="104"/>
      <c r="D35" s="105"/>
      <c r="E35" s="105"/>
      <c r="F35" s="106"/>
    </row>
    <row r="36" spans="2:16" ht="30">
      <c r="B36" s="100"/>
      <c r="C36" s="55" t="s">
        <v>3376</v>
      </c>
      <c r="D36" s="55" t="s">
        <v>3377</v>
      </c>
      <c r="E36" s="55" t="s">
        <v>3378</v>
      </c>
      <c r="F36" s="55" t="s">
        <v>3379</v>
      </c>
    </row>
    <row r="37" spans="2:16">
      <c r="B37" s="42" t="s">
        <v>3375</v>
      </c>
      <c r="C37" s="42" t="s">
        <v>3236</v>
      </c>
      <c r="D37" s="42" t="s">
        <v>3239</v>
      </c>
      <c r="E37" s="42" t="s">
        <v>3241</v>
      </c>
      <c r="F37" s="42" t="s">
        <v>3243</v>
      </c>
      <c r="O37" s="13" t="str">
        <f>Show!$B$37&amp;"S.02.03.07.03 Rows {"&amp;COLUMN($B$1)&amp;"}"&amp;"@ForceFilingCode:true"</f>
        <v>!S.02.03.07.03 Rows {2}@ForceFilingCode:true</v>
      </c>
      <c r="P37" s="13" t="str">
        <f>Show!$B$37&amp;"S.02.03.07.03 Columns {"&amp;COLUMN($B$1)&amp;"}"</f>
        <v>!S.02.03.07.03 Columns {2}</v>
      </c>
    </row>
    <row r="38" spans="2:16">
      <c r="B38" s="50"/>
      <c r="C38" s="51"/>
      <c r="D38" s="60"/>
      <c r="E38" s="60"/>
      <c r="F38" s="60"/>
    </row>
    <row r="40" spans="2:16">
      <c r="O40" s="13" t="str">
        <f>Show!$B$37&amp;Show!$B$37&amp;"S.02.03.07.03 Rows {"&amp;COLUMN($B$1)&amp;"}"</f>
        <v>!!S.02.03.07.03 Rows {2}</v>
      </c>
      <c r="P40" s="13" t="str">
        <f>Show!$B$37&amp;Show!$B$37&amp;"S.02.03.07.03 Columns {"&amp;COLUMN($F$1)&amp;"}"</f>
        <v>!!S.02.03.07.03 Columns {6}</v>
      </c>
    </row>
  </sheetData>
  <sheetProtection sheet="1" objects="1" scenarios="1"/>
  <mergeCells count="9">
    <mergeCell ref="B30:L30"/>
    <mergeCell ref="B34:B36"/>
    <mergeCell ref="C34:F35"/>
    <mergeCell ref="B2:O2"/>
    <mergeCell ref="B5:L5"/>
    <mergeCell ref="D9:D10"/>
    <mergeCell ref="B18:L18"/>
    <mergeCell ref="B22:B24"/>
    <mergeCell ref="C22:G2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8E6BC-97CC-46DF-93FB-B5DB17AC87A2}">
  <sheetPr codeName="Blad42"/>
  <dimension ref="B2:O62"/>
  <sheetViews>
    <sheetView showGridLines="0" workbookViewId="0"/>
  </sheetViews>
  <sheetFormatPr defaultRowHeight="15"/>
  <cols>
    <col min="2" max="2" width="85.28515625" bestFit="1" customWidth="1"/>
    <col min="4" max="5" width="15.7109375" customWidth="1"/>
  </cols>
  <sheetData>
    <row r="2" spans="2:15" ht="23.25">
      <c r="B2" s="95" t="s">
        <v>563</v>
      </c>
      <c r="C2" s="96"/>
      <c r="D2" s="96"/>
      <c r="E2" s="96"/>
      <c r="F2" s="96"/>
      <c r="G2" s="96"/>
      <c r="H2" s="96"/>
      <c r="I2" s="96"/>
      <c r="J2" s="96"/>
      <c r="K2" s="96"/>
      <c r="L2" s="96"/>
      <c r="M2" s="96"/>
      <c r="N2" s="96"/>
      <c r="O2" s="96"/>
    </row>
    <row r="5" spans="2:15" ht="18.75">
      <c r="B5" s="97" t="s">
        <v>3380</v>
      </c>
      <c r="C5" s="96"/>
      <c r="D5" s="96"/>
      <c r="E5" s="96"/>
      <c r="F5" s="96"/>
      <c r="G5" s="96"/>
      <c r="H5" s="96"/>
      <c r="I5" s="96"/>
      <c r="J5" s="96"/>
      <c r="K5" s="96"/>
      <c r="L5" s="96"/>
    </row>
    <row r="9" spans="2:15">
      <c r="D9" s="101" t="s">
        <v>2877</v>
      </c>
      <c r="E9" s="103"/>
    </row>
    <row r="10" spans="2:15">
      <c r="D10" s="104"/>
      <c r="E10" s="106"/>
    </row>
    <row r="11" spans="2:15">
      <c r="D11" s="98" t="s">
        <v>3381</v>
      </c>
      <c r="E11" s="98" t="s">
        <v>3382</v>
      </c>
    </row>
    <row r="12" spans="2:15">
      <c r="D12" s="100"/>
      <c r="E12" s="100"/>
    </row>
    <row r="13" spans="2:15">
      <c r="D13" s="45" t="s">
        <v>2879</v>
      </c>
      <c r="E13" s="45" t="s">
        <v>3219</v>
      </c>
      <c r="J13" s="13" t="str">
        <f>Show!$B$38&amp;"S.03.01.01.01 Rows {"&amp;COLUMN($C$1)&amp;"}"&amp;"@ForceFilingCode:true"</f>
        <v>!S.03.01.01.01 Rows {3}@ForceFilingCode:true</v>
      </c>
      <c r="K13" s="13" t="str">
        <f>Show!$B$38&amp;"S.03.01.01.01 Columns {"&amp;COLUMN($D$1)&amp;"}"</f>
        <v>!S.03.01.01.01 Columns {4}</v>
      </c>
    </row>
    <row r="14" spans="2:15">
      <c r="B14" s="43" t="s">
        <v>2880</v>
      </c>
      <c r="C14" s="44" t="s">
        <v>2878</v>
      </c>
      <c r="D14" s="56"/>
      <c r="E14" s="57"/>
    </row>
    <row r="15" spans="2:15">
      <c r="B15" s="47" t="s">
        <v>3383</v>
      </c>
      <c r="C15" s="41" t="s">
        <v>2883</v>
      </c>
      <c r="D15" s="60"/>
      <c r="E15" s="60"/>
    </row>
    <row r="16" spans="2:15" ht="30">
      <c r="B16" s="49" t="s">
        <v>3384</v>
      </c>
      <c r="C16" s="41" t="s">
        <v>2885</v>
      </c>
      <c r="D16" s="60"/>
      <c r="E16" s="60"/>
    </row>
    <row r="17" spans="2:5">
      <c r="B17" s="47" t="s">
        <v>3385</v>
      </c>
      <c r="C17" s="41" t="s">
        <v>2887</v>
      </c>
      <c r="D17" s="60"/>
      <c r="E17" s="60"/>
    </row>
    <row r="18" spans="2:5" ht="30">
      <c r="B18" s="49" t="s">
        <v>3386</v>
      </c>
      <c r="C18" s="41" t="s">
        <v>2889</v>
      </c>
      <c r="D18" s="63"/>
      <c r="E18" s="63"/>
    </row>
    <row r="19" spans="2:5">
      <c r="B19" s="47" t="s">
        <v>3387</v>
      </c>
      <c r="C19" s="44" t="s">
        <v>2878</v>
      </c>
      <c r="D19" s="58"/>
      <c r="E19" s="57"/>
    </row>
    <row r="20" spans="2:5">
      <c r="B20" s="49" t="s">
        <v>3388</v>
      </c>
      <c r="C20" s="44" t="s">
        <v>2899</v>
      </c>
      <c r="D20" s="48"/>
      <c r="E20" s="60"/>
    </row>
    <row r="21" spans="2:5">
      <c r="B21" s="49" t="s">
        <v>3389</v>
      </c>
      <c r="C21" s="44" t="s">
        <v>2901</v>
      </c>
      <c r="D21" s="48"/>
      <c r="E21" s="60"/>
    </row>
    <row r="22" spans="2:5">
      <c r="B22" s="49" t="s">
        <v>3390</v>
      </c>
      <c r="C22" s="44" t="s">
        <v>2903</v>
      </c>
      <c r="D22" s="48"/>
      <c r="E22" s="60"/>
    </row>
    <row r="23" spans="2:5">
      <c r="B23" s="49" t="s">
        <v>3391</v>
      </c>
      <c r="C23" s="44" t="s">
        <v>2905</v>
      </c>
      <c r="D23" s="48"/>
      <c r="E23" s="60"/>
    </row>
    <row r="24" spans="2:5">
      <c r="B24" s="49" t="s">
        <v>3392</v>
      </c>
      <c r="C24" s="44" t="s">
        <v>2919</v>
      </c>
      <c r="D24" s="48"/>
      <c r="E24" s="63"/>
    </row>
    <row r="25" spans="2:5">
      <c r="B25" s="47" t="s">
        <v>3393</v>
      </c>
      <c r="C25" s="44" t="s">
        <v>2878</v>
      </c>
      <c r="D25" s="58"/>
      <c r="E25" s="57"/>
    </row>
    <row r="26" spans="2:5">
      <c r="B26" s="49" t="s">
        <v>3394</v>
      </c>
      <c r="C26" s="44" t="s">
        <v>2921</v>
      </c>
      <c r="D26" s="48"/>
      <c r="E26" s="60"/>
    </row>
    <row r="27" spans="2:5">
      <c r="B27" s="49" t="s">
        <v>3395</v>
      </c>
      <c r="C27" s="44" t="s">
        <v>2923</v>
      </c>
      <c r="D27" s="48"/>
      <c r="E27" s="60"/>
    </row>
    <row r="28" spans="2:5">
      <c r="B28" s="49" t="s">
        <v>3396</v>
      </c>
      <c r="C28" s="44" t="s">
        <v>2925</v>
      </c>
      <c r="D28" s="48"/>
      <c r="E28" s="60"/>
    </row>
    <row r="29" spans="2:5">
      <c r="B29" s="49" t="s">
        <v>3397</v>
      </c>
      <c r="C29" s="44" t="s">
        <v>2927</v>
      </c>
      <c r="D29" s="48"/>
      <c r="E29" s="60"/>
    </row>
    <row r="30" spans="2:5">
      <c r="B30" s="49" t="s">
        <v>3398</v>
      </c>
      <c r="C30" s="44" t="s">
        <v>2939</v>
      </c>
      <c r="D30" s="48"/>
      <c r="E30" s="63"/>
    </row>
    <row r="31" spans="2:5">
      <c r="B31" s="47" t="s">
        <v>2698</v>
      </c>
      <c r="C31" s="44" t="s">
        <v>2878</v>
      </c>
      <c r="D31" s="56"/>
      <c r="E31" s="57"/>
    </row>
    <row r="32" spans="2:5">
      <c r="B32" s="49" t="s">
        <v>3399</v>
      </c>
      <c r="C32" s="41" t="s">
        <v>2941</v>
      </c>
      <c r="D32" s="60"/>
      <c r="E32" s="63"/>
    </row>
    <row r="33" spans="2:12">
      <c r="B33" s="49" t="s">
        <v>3400</v>
      </c>
      <c r="C33" s="41" t="s">
        <v>2943</v>
      </c>
      <c r="D33" s="64"/>
      <c r="E33" s="46"/>
    </row>
    <row r="34" spans="2:12">
      <c r="B34" s="49" t="s">
        <v>3401</v>
      </c>
      <c r="C34" s="41" t="s">
        <v>2945</v>
      </c>
      <c r="D34" s="60"/>
      <c r="E34" s="63"/>
    </row>
    <row r="35" spans="2:12">
      <c r="B35" s="49" t="s">
        <v>3402</v>
      </c>
      <c r="C35" s="41" t="s">
        <v>2959</v>
      </c>
      <c r="D35" s="64"/>
      <c r="E35" s="46"/>
    </row>
    <row r="37" spans="2:12">
      <c r="J37" s="13" t="str">
        <f>Show!$B$38&amp;Show!$B$38&amp;"S.03.01.01.01 Rows {"&amp;COLUMN($C$1)&amp;"}"</f>
        <v>!!S.03.01.01.01 Rows {3}</v>
      </c>
      <c r="K37" s="13" t="str">
        <f>Show!$B$38&amp;Show!$B$38&amp;"S.03.01.01.01 Columns {"&amp;COLUMN($E$1)&amp;"}"</f>
        <v>!!S.03.01.01.01 Columns {5}</v>
      </c>
    </row>
    <row r="39" spans="2:12" ht="18.75">
      <c r="B39" s="97" t="s">
        <v>3403</v>
      </c>
      <c r="C39" s="96"/>
      <c r="D39" s="96"/>
      <c r="E39" s="96"/>
      <c r="F39" s="96"/>
      <c r="G39" s="96"/>
      <c r="H39" s="96"/>
      <c r="I39" s="96"/>
      <c r="J39" s="96"/>
      <c r="K39" s="96"/>
      <c r="L39" s="96"/>
    </row>
    <row r="43" spans="2:12">
      <c r="D43" s="101" t="s">
        <v>2877</v>
      </c>
      <c r="E43" s="103"/>
    </row>
    <row r="44" spans="2:12">
      <c r="D44" s="104"/>
      <c r="E44" s="106"/>
    </row>
    <row r="45" spans="2:12">
      <c r="D45" s="98" t="s">
        <v>3404</v>
      </c>
      <c r="E45" s="98" t="s">
        <v>3405</v>
      </c>
    </row>
    <row r="46" spans="2:12">
      <c r="D46" s="100"/>
      <c r="E46" s="100"/>
    </row>
    <row r="47" spans="2:12">
      <c r="D47" s="45" t="s">
        <v>3225</v>
      </c>
      <c r="E47" s="45" t="s">
        <v>3223</v>
      </c>
      <c r="J47" s="13" t="str">
        <f>Show!$B$38&amp;"S.03.01.01.02 Rows {"&amp;COLUMN($C$1)&amp;"}"&amp;"@ForceFilingCode:true"</f>
        <v>!S.03.01.01.02 Rows {3}@ForceFilingCode:true</v>
      </c>
      <c r="K47" s="13" t="str">
        <f>Show!$B$38&amp;"S.03.01.01.02 Columns {"&amp;COLUMN($D$1)&amp;"}"</f>
        <v>!S.03.01.01.02 Columns {4}</v>
      </c>
    </row>
    <row r="48" spans="2:12">
      <c r="B48" s="43" t="s">
        <v>2880</v>
      </c>
      <c r="C48" s="44" t="s">
        <v>2878</v>
      </c>
      <c r="D48" s="58"/>
      <c r="E48" s="59"/>
    </row>
    <row r="49" spans="2:11">
      <c r="B49" s="47" t="s">
        <v>3387</v>
      </c>
      <c r="C49" s="44" t="s">
        <v>2878</v>
      </c>
      <c r="D49" s="56"/>
      <c r="E49" s="59"/>
    </row>
    <row r="50" spans="2:11">
      <c r="B50" s="49" t="s">
        <v>3388</v>
      </c>
      <c r="C50" s="41" t="s">
        <v>2899</v>
      </c>
      <c r="D50" s="64"/>
      <c r="E50" s="48"/>
    </row>
    <row r="51" spans="2:11">
      <c r="B51" s="49" t="s">
        <v>3389</v>
      </c>
      <c r="C51" s="41" t="s">
        <v>2901</v>
      </c>
      <c r="D51" s="64"/>
      <c r="E51" s="48"/>
    </row>
    <row r="52" spans="2:11">
      <c r="B52" s="49" t="s">
        <v>3390</v>
      </c>
      <c r="C52" s="41" t="s">
        <v>2903</v>
      </c>
      <c r="D52" s="64"/>
      <c r="E52" s="48"/>
    </row>
    <row r="53" spans="2:11">
      <c r="B53" s="49" t="s">
        <v>3391</v>
      </c>
      <c r="C53" s="41" t="s">
        <v>2905</v>
      </c>
      <c r="D53" s="64"/>
      <c r="E53" s="48"/>
    </row>
    <row r="54" spans="2:11">
      <c r="B54" s="49" t="s">
        <v>3392</v>
      </c>
      <c r="C54" s="41" t="s">
        <v>2919</v>
      </c>
      <c r="D54" s="65"/>
      <c r="E54" s="48"/>
    </row>
    <row r="55" spans="2:11">
      <c r="B55" s="47" t="s">
        <v>3393</v>
      </c>
      <c r="C55" s="44" t="s">
        <v>2878</v>
      </c>
      <c r="D55" s="58"/>
      <c r="E55" s="57"/>
    </row>
    <row r="56" spans="2:11">
      <c r="B56" s="49" t="s">
        <v>3394</v>
      </c>
      <c r="C56" s="44" t="s">
        <v>2921</v>
      </c>
      <c r="D56" s="48"/>
      <c r="E56" s="60"/>
    </row>
    <row r="57" spans="2:11">
      <c r="B57" s="49" t="s">
        <v>3395</v>
      </c>
      <c r="C57" s="44" t="s">
        <v>2923</v>
      </c>
      <c r="D57" s="48"/>
      <c r="E57" s="60"/>
    </row>
    <row r="58" spans="2:11">
      <c r="B58" s="49" t="s">
        <v>3396</v>
      </c>
      <c r="C58" s="44" t="s">
        <v>2925</v>
      </c>
      <c r="D58" s="48"/>
      <c r="E58" s="60"/>
    </row>
    <row r="59" spans="2:11">
      <c r="B59" s="49" t="s">
        <v>3397</v>
      </c>
      <c r="C59" s="44" t="s">
        <v>2927</v>
      </c>
      <c r="D59" s="48"/>
      <c r="E59" s="60"/>
    </row>
    <row r="60" spans="2:11">
      <c r="B60" s="49" t="s">
        <v>3398</v>
      </c>
      <c r="C60" s="44" t="s">
        <v>2939</v>
      </c>
      <c r="D60" s="46"/>
      <c r="E60" s="60"/>
    </row>
    <row r="62" spans="2:11">
      <c r="J62" s="13" t="str">
        <f>Show!$B$38&amp;Show!$B$38&amp;"S.03.01.01.02 Rows {"&amp;COLUMN($C$1)&amp;"}"</f>
        <v>!!S.03.01.01.02 Rows {3}</v>
      </c>
      <c r="K62" s="13" t="str">
        <f>Show!$B$38&amp;Show!$B$38&amp;"S.03.01.01.02 Columns {"&amp;COLUMN($E$1)&amp;"}"</f>
        <v>!!S.03.01.01.02 Columns {5}</v>
      </c>
    </row>
  </sheetData>
  <sheetProtection sheet="1" objects="1" scenarios="1"/>
  <mergeCells count="9">
    <mergeCell ref="D43:E44"/>
    <mergeCell ref="D45:D46"/>
    <mergeCell ref="E45:E46"/>
    <mergeCell ref="B2:O2"/>
    <mergeCell ref="B5:L5"/>
    <mergeCell ref="D9:E10"/>
    <mergeCell ref="D11:D12"/>
    <mergeCell ref="E11:E12"/>
    <mergeCell ref="B39:L3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A611-5124-4742-878C-43DE32C0E1C3}">
  <sheetPr codeName="Blad43"/>
  <dimension ref="B2:O59"/>
  <sheetViews>
    <sheetView showGridLines="0" workbookViewId="0"/>
  </sheetViews>
  <sheetFormatPr defaultRowHeight="15"/>
  <cols>
    <col min="2" max="2" width="71.7109375" bestFit="1" customWidth="1"/>
    <col min="4" max="5" width="15.7109375" customWidth="1"/>
  </cols>
  <sheetData>
    <row r="2" spans="2:15" ht="23.25">
      <c r="B2" s="95" t="s">
        <v>563</v>
      </c>
      <c r="C2" s="96"/>
      <c r="D2" s="96"/>
      <c r="E2" s="96"/>
      <c r="F2" s="96"/>
      <c r="G2" s="96"/>
      <c r="H2" s="96"/>
      <c r="I2" s="96"/>
      <c r="J2" s="96"/>
      <c r="K2" s="96"/>
      <c r="L2" s="96"/>
      <c r="M2" s="96"/>
      <c r="N2" s="96"/>
      <c r="O2" s="96"/>
    </row>
    <row r="5" spans="2:15" ht="18.75">
      <c r="B5" s="97" t="s">
        <v>3406</v>
      </c>
      <c r="C5" s="96"/>
      <c r="D5" s="96"/>
      <c r="E5" s="96"/>
      <c r="F5" s="96"/>
      <c r="G5" s="96"/>
      <c r="H5" s="96"/>
      <c r="I5" s="96"/>
      <c r="J5" s="96"/>
      <c r="K5" s="96"/>
      <c r="L5" s="96"/>
    </row>
    <row r="9" spans="2:15">
      <c r="D9" s="101" t="s">
        <v>2877</v>
      </c>
      <c r="E9" s="103"/>
    </row>
    <row r="10" spans="2:15">
      <c r="D10" s="104"/>
      <c r="E10" s="106"/>
    </row>
    <row r="11" spans="2:15">
      <c r="D11" s="98" t="s">
        <v>3381</v>
      </c>
      <c r="E11" s="98" t="s">
        <v>3382</v>
      </c>
    </row>
    <row r="12" spans="2:15">
      <c r="D12" s="100"/>
      <c r="E12" s="100"/>
    </row>
    <row r="13" spans="2:15">
      <c r="D13" s="45" t="s">
        <v>2879</v>
      </c>
      <c r="E13" s="45" t="s">
        <v>3219</v>
      </c>
      <c r="J13" s="13" t="str">
        <f>Show!$B$39&amp;"S.03.01.04.01 Rows {"&amp;COLUMN($C$1)&amp;"}"&amp;"@ForceFilingCode:true"</f>
        <v>!S.03.01.04.01 Rows {3}@ForceFilingCode:true</v>
      </c>
      <c r="K13" s="13" t="str">
        <f>Show!$B$39&amp;"S.03.01.04.01 Columns {"&amp;COLUMN($D$1)&amp;"}"</f>
        <v>!S.03.01.04.01 Columns {4}</v>
      </c>
    </row>
    <row r="14" spans="2:15">
      <c r="B14" s="43" t="s">
        <v>2880</v>
      </c>
      <c r="C14" s="44" t="s">
        <v>2878</v>
      </c>
      <c r="D14" s="56"/>
      <c r="E14" s="57"/>
    </row>
    <row r="15" spans="2:15">
      <c r="B15" s="47" t="s">
        <v>3407</v>
      </c>
      <c r="C15" s="41" t="s">
        <v>2883</v>
      </c>
      <c r="D15" s="60"/>
      <c r="E15" s="60"/>
    </row>
    <row r="16" spans="2:15">
      <c r="B16" s="47" t="s">
        <v>3408</v>
      </c>
      <c r="C16" s="41" t="s">
        <v>2887</v>
      </c>
      <c r="D16" s="63"/>
      <c r="E16" s="63"/>
    </row>
    <row r="17" spans="2:5">
      <c r="B17" s="47" t="s">
        <v>3387</v>
      </c>
      <c r="C17" s="44" t="s">
        <v>2878</v>
      </c>
      <c r="D17" s="58"/>
      <c r="E17" s="57"/>
    </row>
    <row r="18" spans="2:5">
      <c r="B18" s="49" t="s">
        <v>3388</v>
      </c>
      <c r="C18" s="44" t="s">
        <v>2899</v>
      </c>
      <c r="D18" s="48"/>
      <c r="E18" s="60"/>
    </row>
    <row r="19" spans="2:5">
      <c r="B19" s="49" t="s">
        <v>3389</v>
      </c>
      <c r="C19" s="44" t="s">
        <v>2901</v>
      </c>
      <c r="D19" s="48"/>
      <c r="E19" s="60"/>
    </row>
    <row r="20" spans="2:5">
      <c r="B20" s="49" t="s">
        <v>3390</v>
      </c>
      <c r="C20" s="44" t="s">
        <v>2903</v>
      </c>
      <c r="D20" s="48"/>
      <c r="E20" s="60"/>
    </row>
    <row r="21" spans="2:5">
      <c r="B21" s="49" t="s">
        <v>3391</v>
      </c>
      <c r="C21" s="44" t="s">
        <v>2905</v>
      </c>
      <c r="D21" s="48"/>
      <c r="E21" s="60"/>
    </row>
    <row r="22" spans="2:5">
      <c r="B22" s="49" t="s">
        <v>3392</v>
      </c>
      <c r="C22" s="44" t="s">
        <v>2919</v>
      </c>
      <c r="D22" s="48"/>
      <c r="E22" s="63"/>
    </row>
    <row r="23" spans="2:5">
      <c r="B23" s="47" t="s">
        <v>3393</v>
      </c>
      <c r="C23" s="44" t="s">
        <v>2878</v>
      </c>
      <c r="D23" s="58"/>
      <c r="E23" s="57"/>
    </row>
    <row r="24" spans="2:5">
      <c r="B24" s="49" t="s">
        <v>3394</v>
      </c>
      <c r="C24" s="44" t="s">
        <v>2921</v>
      </c>
      <c r="D24" s="48"/>
      <c r="E24" s="60"/>
    </row>
    <row r="25" spans="2:5">
      <c r="B25" s="49" t="s">
        <v>3395</v>
      </c>
      <c r="C25" s="44" t="s">
        <v>2923</v>
      </c>
      <c r="D25" s="48"/>
      <c r="E25" s="60"/>
    </row>
    <row r="26" spans="2:5">
      <c r="B26" s="49" t="s">
        <v>3396</v>
      </c>
      <c r="C26" s="44" t="s">
        <v>2925</v>
      </c>
      <c r="D26" s="48"/>
      <c r="E26" s="60"/>
    </row>
    <row r="27" spans="2:5">
      <c r="B27" s="49" t="s">
        <v>3397</v>
      </c>
      <c r="C27" s="44" t="s">
        <v>2927</v>
      </c>
      <c r="D27" s="48"/>
      <c r="E27" s="60"/>
    </row>
    <row r="28" spans="2:5">
      <c r="B28" s="49" t="s">
        <v>3398</v>
      </c>
      <c r="C28" s="44" t="s">
        <v>2939</v>
      </c>
      <c r="D28" s="48"/>
      <c r="E28" s="63"/>
    </row>
    <row r="29" spans="2:5">
      <c r="B29" s="47" t="s">
        <v>2698</v>
      </c>
      <c r="C29" s="44" t="s">
        <v>2878</v>
      </c>
      <c r="D29" s="56"/>
      <c r="E29" s="57"/>
    </row>
    <row r="30" spans="2:5">
      <c r="B30" s="49" t="s">
        <v>3399</v>
      </c>
      <c r="C30" s="41" t="s">
        <v>2941</v>
      </c>
      <c r="D30" s="60"/>
      <c r="E30" s="60"/>
    </row>
    <row r="31" spans="2:5">
      <c r="B31" s="49" t="s">
        <v>3401</v>
      </c>
      <c r="C31" s="41" t="s">
        <v>2945</v>
      </c>
      <c r="D31" s="60"/>
      <c r="E31" s="63"/>
    </row>
    <row r="32" spans="2:5">
      <c r="B32" s="49" t="s">
        <v>3402</v>
      </c>
      <c r="C32" s="41" t="s">
        <v>2959</v>
      </c>
      <c r="D32" s="64"/>
      <c r="E32" s="46"/>
    </row>
    <row r="34" spans="2:12">
      <c r="J34" s="13" t="str">
        <f>Show!$B$39&amp;Show!$B$39&amp;"S.03.01.04.01 Rows {"&amp;COLUMN($C$1)&amp;"}"</f>
        <v>!!S.03.01.04.01 Rows {3}</v>
      </c>
      <c r="K34" s="13" t="str">
        <f>Show!$B$39&amp;Show!$B$39&amp;"S.03.01.04.01 Columns {"&amp;COLUMN($E$1)&amp;"}"</f>
        <v>!!S.03.01.04.01 Columns {5}</v>
      </c>
    </row>
    <row r="36" spans="2:12" ht="18.75">
      <c r="B36" s="97" t="s">
        <v>3409</v>
      </c>
      <c r="C36" s="96"/>
      <c r="D36" s="96"/>
      <c r="E36" s="96"/>
      <c r="F36" s="96"/>
      <c r="G36" s="96"/>
      <c r="H36" s="96"/>
      <c r="I36" s="96"/>
      <c r="J36" s="96"/>
      <c r="K36" s="96"/>
      <c r="L36" s="96"/>
    </row>
    <row r="40" spans="2:12">
      <c r="D40" s="101" t="s">
        <v>2877</v>
      </c>
      <c r="E40" s="103"/>
    </row>
    <row r="41" spans="2:12">
      <c r="D41" s="104"/>
      <c r="E41" s="106"/>
    </row>
    <row r="42" spans="2:12">
      <c r="D42" s="98" t="s">
        <v>3404</v>
      </c>
      <c r="E42" s="98" t="s">
        <v>3405</v>
      </c>
    </row>
    <row r="43" spans="2:12">
      <c r="D43" s="100"/>
      <c r="E43" s="100"/>
    </row>
    <row r="44" spans="2:12">
      <c r="D44" s="45" t="s">
        <v>3225</v>
      </c>
      <c r="E44" s="45" t="s">
        <v>3223</v>
      </c>
      <c r="J44" s="13" t="str">
        <f>Show!$B$39&amp;"S.03.01.04.02 Rows {"&amp;COLUMN($C$1)&amp;"}"&amp;"@ForceFilingCode:true"</f>
        <v>!S.03.01.04.02 Rows {3}@ForceFilingCode:true</v>
      </c>
      <c r="K44" s="13" t="str">
        <f>Show!$B$39&amp;"S.03.01.04.02 Columns {"&amp;COLUMN($D$1)&amp;"}"</f>
        <v>!S.03.01.04.02 Columns {4}</v>
      </c>
    </row>
    <row r="45" spans="2:12">
      <c r="B45" s="43" t="s">
        <v>2880</v>
      </c>
      <c r="C45" s="44" t="s">
        <v>2878</v>
      </c>
      <c r="D45" s="58"/>
      <c r="E45" s="59"/>
    </row>
    <row r="46" spans="2:12">
      <c r="B46" s="47" t="s">
        <v>3387</v>
      </c>
      <c r="C46" s="44" t="s">
        <v>2878</v>
      </c>
      <c r="D46" s="56"/>
      <c r="E46" s="59"/>
    </row>
    <row r="47" spans="2:12">
      <c r="B47" s="49" t="s">
        <v>3388</v>
      </c>
      <c r="C47" s="41" t="s">
        <v>2899</v>
      </c>
      <c r="D47" s="64"/>
      <c r="E47" s="48"/>
    </row>
    <row r="48" spans="2:12">
      <c r="B48" s="49" t="s">
        <v>3389</v>
      </c>
      <c r="C48" s="41" t="s">
        <v>2901</v>
      </c>
      <c r="D48" s="64"/>
      <c r="E48" s="48"/>
    </row>
    <row r="49" spans="2:11">
      <c r="B49" s="49" t="s">
        <v>3390</v>
      </c>
      <c r="C49" s="41" t="s">
        <v>2903</v>
      </c>
      <c r="D49" s="64"/>
      <c r="E49" s="48"/>
    </row>
    <row r="50" spans="2:11">
      <c r="B50" s="49" t="s">
        <v>3391</v>
      </c>
      <c r="C50" s="41" t="s">
        <v>2905</v>
      </c>
      <c r="D50" s="64"/>
      <c r="E50" s="48"/>
    </row>
    <row r="51" spans="2:11">
      <c r="B51" s="49" t="s">
        <v>3392</v>
      </c>
      <c r="C51" s="41" t="s">
        <v>2919</v>
      </c>
      <c r="D51" s="65"/>
      <c r="E51" s="48"/>
    </row>
    <row r="52" spans="2:11">
      <c r="B52" s="47" t="s">
        <v>3393</v>
      </c>
      <c r="C52" s="44" t="s">
        <v>2878</v>
      </c>
      <c r="D52" s="58"/>
      <c r="E52" s="57"/>
    </row>
    <row r="53" spans="2:11">
      <c r="B53" s="49" t="s">
        <v>3394</v>
      </c>
      <c r="C53" s="44" t="s">
        <v>2921</v>
      </c>
      <c r="D53" s="48"/>
      <c r="E53" s="60"/>
    </row>
    <row r="54" spans="2:11">
      <c r="B54" s="49" t="s">
        <v>3395</v>
      </c>
      <c r="C54" s="44" t="s">
        <v>2923</v>
      </c>
      <c r="D54" s="48"/>
      <c r="E54" s="60"/>
    </row>
    <row r="55" spans="2:11">
      <c r="B55" s="49" t="s">
        <v>3396</v>
      </c>
      <c r="C55" s="44" t="s">
        <v>2925</v>
      </c>
      <c r="D55" s="48"/>
      <c r="E55" s="60"/>
    </row>
    <row r="56" spans="2:11">
      <c r="B56" s="49" t="s">
        <v>3397</v>
      </c>
      <c r="C56" s="44" t="s">
        <v>2927</v>
      </c>
      <c r="D56" s="48"/>
      <c r="E56" s="60"/>
    </row>
    <row r="57" spans="2:11">
      <c r="B57" s="49" t="s">
        <v>3398</v>
      </c>
      <c r="C57" s="44" t="s">
        <v>2939</v>
      </c>
      <c r="D57" s="46"/>
      <c r="E57" s="60"/>
    </row>
    <row r="59" spans="2:11">
      <c r="J59" s="13" t="str">
        <f>Show!$B$39&amp;Show!$B$39&amp;"S.03.01.04.02 Rows {"&amp;COLUMN($C$1)&amp;"}"</f>
        <v>!!S.03.01.04.02 Rows {3}</v>
      </c>
      <c r="K59" s="13" t="str">
        <f>Show!$B$39&amp;Show!$B$39&amp;"S.03.01.04.02 Columns {"&amp;COLUMN($E$1)&amp;"}"</f>
        <v>!!S.03.01.04.02 Columns {5}</v>
      </c>
    </row>
  </sheetData>
  <sheetProtection sheet="1" objects="1" scenarios="1"/>
  <mergeCells count="9">
    <mergeCell ref="D40:E41"/>
    <mergeCell ref="D42:D43"/>
    <mergeCell ref="E42:E43"/>
    <mergeCell ref="B2:O2"/>
    <mergeCell ref="B5:L5"/>
    <mergeCell ref="D9:E10"/>
    <mergeCell ref="D11:D12"/>
    <mergeCell ref="E11:E12"/>
    <mergeCell ref="B36:L3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2D941-660C-4906-BD39-89B319B09F42}">
  <sheetPr codeName="Blad44"/>
  <dimension ref="B2:R15"/>
  <sheetViews>
    <sheetView showGridLines="0" workbookViewId="0"/>
  </sheetViews>
  <sheetFormatPr defaultRowHeight="15"/>
  <cols>
    <col min="2" max="2" width="17.5703125" bestFit="1" customWidth="1"/>
    <col min="3" max="7" width="40.7109375" customWidth="1"/>
    <col min="8" max="8" width="15.7109375" customWidth="1"/>
    <col min="9" max="9" width="40.7109375" customWidth="1"/>
  </cols>
  <sheetData>
    <row r="2" spans="2:18" ht="23.25">
      <c r="B2" s="95" t="s">
        <v>566</v>
      </c>
      <c r="C2" s="96"/>
      <c r="D2" s="96"/>
      <c r="E2" s="96"/>
      <c r="F2" s="96"/>
      <c r="G2" s="96"/>
      <c r="H2" s="96"/>
      <c r="I2" s="96"/>
      <c r="J2" s="96"/>
      <c r="K2" s="96"/>
      <c r="L2" s="96"/>
      <c r="M2" s="96"/>
      <c r="N2" s="96"/>
      <c r="O2" s="96"/>
    </row>
    <row r="5" spans="2:18" ht="18.75">
      <c r="B5" s="97" t="s">
        <v>3410</v>
      </c>
      <c r="C5" s="96"/>
      <c r="D5" s="96"/>
      <c r="E5" s="96"/>
      <c r="F5" s="96"/>
      <c r="G5" s="96"/>
      <c r="H5" s="96"/>
      <c r="I5" s="96"/>
      <c r="J5" s="96"/>
      <c r="K5" s="96"/>
      <c r="L5" s="96"/>
    </row>
    <row r="9" spans="2:18">
      <c r="B9" s="98" t="s">
        <v>3411</v>
      </c>
      <c r="C9" s="101" t="s">
        <v>2877</v>
      </c>
      <c r="D9" s="102"/>
      <c r="E9" s="102"/>
      <c r="F9" s="102"/>
      <c r="G9" s="102"/>
      <c r="H9" s="102"/>
      <c r="I9" s="103"/>
    </row>
    <row r="10" spans="2:18">
      <c r="B10" s="99"/>
      <c r="C10" s="104"/>
      <c r="D10" s="105"/>
      <c r="E10" s="105"/>
      <c r="F10" s="105"/>
      <c r="G10" s="105"/>
      <c r="H10" s="105"/>
      <c r="I10" s="106"/>
    </row>
    <row r="11" spans="2:18" ht="30">
      <c r="B11" s="100"/>
      <c r="C11" s="55" t="s">
        <v>3412</v>
      </c>
      <c r="D11" s="55" t="s">
        <v>3413</v>
      </c>
      <c r="E11" s="55" t="s">
        <v>3414</v>
      </c>
      <c r="F11" s="55" t="s">
        <v>3415</v>
      </c>
      <c r="G11" s="55" t="s">
        <v>3416</v>
      </c>
      <c r="H11" s="55" t="s">
        <v>3417</v>
      </c>
      <c r="I11" s="55" t="s">
        <v>3418</v>
      </c>
    </row>
    <row r="12" spans="2:18">
      <c r="B12" s="42" t="s">
        <v>2879</v>
      </c>
      <c r="C12" s="42" t="s">
        <v>3219</v>
      </c>
      <c r="D12" s="42" t="s">
        <v>3225</v>
      </c>
      <c r="E12" s="42" t="s">
        <v>3229</v>
      </c>
      <c r="F12" s="42" t="s">
        <v>3231</v>
      </c>
      <c r="G12" s="42" t="s">
        <v>3233</v>
      </c>
      <c r="H12" s="42" t="s">
        <v>3234</v>
      </c>
      <c r="I12" s="42" t="s">
        <v>3236</v>
      </c>
      <c r="Q12" s="13" t="str">
        <f>Show!$B$40&amp;"S.03.02.01.01 Rows {"&amp;COLUMN($B$1)&amp;"}"&amp;"@ForceFilingCode:true"</f>
        <v>!S.03.02.01.01 Rows {2}@ForceFilingCode:true</v>
      </c>
      <c r="R12" s="13" t="str">
        <f>Show!$B$40&amp;"S.03.02.01.01 Columns {"&amp;COLUMN($B$1)&amp;"}"</f>
        <v>!S.03.02.01.01 Columns {2}</v>
      </c>
    </row>
    <row r="13" spans="2:18">
      <c r="B13" s="50"/>
      <c r="C13" s="51"/>
      <c r="D13" s="51"/>
      <c r="E13" s="51"/>
      <c r="F13" s="51"/>
      <c r="G13" s="51"/>
      <c r="H13" s="54"/>
      <c r="I13" s="51"/>
    </row>
    <row r="15" spans="2:18">
      <c r="Q15" s="13" t="str">
        <f>Show!$B$40&amp;Show!$B$40&amp;"S.03.02.01.01 Rows {"&amp;COLUMN($B$1)&amp;"}"</f>
        <v>!!S.03.02.01.01 Rows {2}</v>
      </c>
      <c r="R15" s="13" t="str">
        <f>Show!$B$40&amp;Show!$B$40&amp;"S.03.02.01.01 Columns {"&amp;COLUMN($I$1)&amp;"}"</f>
        <v>!!S.03.02.01.01 Columns {9}</v>
      </c>
    </row>
  </sheetData>
  <sheetProtection sheet="1" objects="1" scenarios="1"/>
  <mergeCells count="4">
    <mergeCell ref="B2:O2"/>
    <mergeCell ref="B5:L5"/>
    <mergeCell ref="B9:B11"/>
    <mergeCell ref="C9:I10"/>
  </mergeCells>
  <dataValidations count="4">
    <dataValidation type="list" errorStyle="warning" allowBlank="1" showInputMessage="1" showErrorMessage="1" sqref="E13" xr:uid="{12ACD628-D9DA-4062-A118-1EE50054C5AE}">
      <formula1>hier_CS_11</formula1>
    </dataValidation>
    <dataValidation type="list" errorStyle="warning" allowBlank="1" showInputMessage="1" showErrorMessage="1" sqref="F13" xr:uid="{EB1D4427-CB46-4E85-800D-B8A2EDEBADFB}">
      <formula1>hier_LT_1</formula1>
    </dataValidation>
    <dataValidation type="date" operator="greaterThan" allowBlank="1" showInputMessage="1" showErrorMessage="1" errorTitle="Date value" error="This cell can only contain dates" sqref="H13" xr:uid="{67D99253-6C94-4931-8AB8-CEDEFA8453AE}">
      <formula1>1</formula1>
    </dataValidation>
    <dataValidation type="list" errorStyle="warning" allowBlank="1" showInputMessage="1" showErrorMessage="1" sqref="I13" xr:uid="{36926CC6-14CA-4623-9490-8853AE9AF549}">
      <formula1>hier_EL_7</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A3773-9D07-4864-8758-FCDD8641D7E0}">
  <sheetPr codeName="Blad45"/>
  <dimension ref="B2:Q15"/>
  <sheetViews>
    <sheetView showGridLines="0" workbookViewId="0"/>
  </sheetViews>
  <sheetFormatPr defaultRowHeight="15"/>
  <cols>
    <col min="2" max="2" width="17.5703125" bestFit="1" customWidth="1"/>
    <col min="3" max="6" width="40.7109375" customWidth="1"/>
    <col min="7" max="7" width="15.7109375" customWidth="1"/>
    <col min="8" max="8" width="40.7109375" customWidth="1"/>
  </cols>
  <sheetData>
    <row r="2" spans="2:17" ht="23.25">
      <c r="B2" s="95" t="s">
        <v>568</v>
      </c>
      <c r="C2" s="96"/>
      <c r="D2" s="96"/>
      <c r="E2" s="96"/>
      <c r="F2" s="96"/>
      <c r="G2" s="96"/>
      <c r="H2" s="96"/>
      <c r="I2" s="96"/>
      <c r="J2" s="96"/>
      <c r="K2" s="96"/>
      <c r="L2" s="96"/>
      <c r="M2" s="96"/>
      <c r="N2" s="96"/>
      <c r="O2" s="96"/>
    </row>
    <row r="5" spans="2:17" ht="18.75">
      <c r="B5" s="97" t="s">
        <v>3419</v>
      </c>
      <c r="C5" s="96"/>
      <c r="D5" s="96"/>
      <c r="E5" s="96"/>
      <c r="F5" s="96"/>
      <c r="G5" s="96"/>
      <c r="H5" s="96"/>
      <c r="I5" s="96"/>
      <c r="J5" s="96"/>
      <c r="K5" s="96"/>
      <c r="L5" s="96"/>
    </row>
    <row r="9" spans="2:17">
      <c r="B9" s="98" t="s">
        <v>3411</v>
      </c>
      <c r="C9" s="101" t="s">
        <v>2877</v>
      </c>
      <c r="D9" s="102"/>
      <c r="E9" s="102"/>
      <c r="F9" s="102"/>
      <c r="G9" s="102"/>
      <c r="H9" s="103"/>
    </row>
    <row r="10" spans="2:17">
      <c r="B10" s="99"/>
      <c r="C10" s="104"/>
      <c r="D10" s="105"/>
      <c r="E10" s="105"/>
      <c r="F10" s="105"/>
      <c r="G10" s="105"/>
      <c r="H10" s="106"/>
    </row>
    <row r="11" spans="2:17" ht="30">
      <c r="B11" s="100"/>
      <c r="C11" s="55" t="s">
        <v>3412</v>
      </c>
      <c r="D11" s="55" t="s">
        <v>3413</v>
      </c>
      <c r="E11" s="55" t="s">
        <v>3415</v>
      </c>
      <c r="F11" s="55" t="s">
        <v>3416</v>
      </c>
      <c r="G11" s="55" t="s">
        <v>3417</v>
      </c>
      <c r="H11" s="55" t="s">
        <v>3418</v>
      </c>
    </row>
    <row r="12" spans="2:17">
      <c r="B12" s="42" t="s">
        <v>2879</v>
      </c>
      <c r="C12" s="42" t="s">
        <v>3219</v>
      </c>
      <c r="D12" s="42" t="s">
        <v>3225</v>
      </c>
      <c r="E12" s="42" t="s">
        <v>3231</v>
      </c>
      <c r="F12" s="42" t="s">
        <v>3233</v>
      </c>
      <c r="G12" s="42" t="s">
        <v>3234</v>
      </c>
      <c r="H12" s="42" t="s">
        <v>3236</v>
      </c>
      <c r="P12" s="13" t="str">
        <f>Show!$B$41&amp;"S.03.02.04.01 Rows {"&amp;COLUMN($B$1)&amp;"}"&amp;"@ForceFilingCode:true"</f>
        <v>!S.03.02.04.01 Rows {2}@ForceFilingCode:true</v>
      </c>
      <c r="Q12" s="13" t="str">
        <f>Show!$B$41&amp;"S.03.02.04.01 Columns {"&amp;COLUMN($B$1)&amp;"}"</f>
        <v>!S.03.02.04.01 Columns {2}</v>
      </c>
    </row>
    <row r="13" spans="2:17">
      <c r="B13" s="50"/>
      <c r="C13" s="51"/>
      <c r="D13" s="51"/>
      <c r="E13" s="51"/>
      <c r="F13" s="51"/>
      <c r="G13" s="54"/>
      <c r="H13" s="51"/>
    </row>
    <row r="15" spans="2:17">
      <c r="P15" s="13" t="str">
        <f>Show!$B$41&amp;Show!$B$41&amp;"S.03.02.04.01 Rows {"&amp;COLUMN($B$1)&amp;"}"</f>
        <v>!!S.03.02.04.01 Rows {2}</v>
      </c>
      <c r="Q15" s="13" t="str">
        <f>Show!$B$41&amp;Show!$B$41&amp;"S.03.02.04.01 Columns {"&amp;COLUMN($H$1)&amp;"}"</f>
        <v>!!S.03.02.04.01 Columns {8}</v>
      </c>
    </row>
  </sheetData>
  <sheetProtection sheet="1" objects="1" scenarios="1"/>
  <mergeCells count="4">
    <mergeCell ref="B2:O2"/>
    <mergeCell ref="B5:L5"/>
    <mergeCell ref="B9:B11"/>
    <mergeCell ref="C9:H10"/>
  </mergeCells>
  <dataValidations count="3">
    <dataValidation type="list" errorStyle="warning" allowBlank="1" showInputMessage="1" showErrorMessage="1" sqref="E13" xr:uid="{B9917C2F-54FA-414B-9D05-5EBFF0333658}">
      <formula1>hier_LT_1</formula1>
    </dataValidation>
    <dataValidation type="date" operator="greaterThan" allowBlank="1" showInputMessage="1" showErrorMessage="1" errorTitle="Date value" error="This cell can only contain dates" sqref="G13" xr:uid="{FDD48DA7-BC1E-4836-95E6-2DE6EC9EA745}">
      <formula1>1</formula1>
    </dataValidation>
    <dataValidation type="list" errorStyle="warning" allowBlank="1" showInputMessage="1" showErrorMessage="1" sqref="H13" xr:uid="{BE5D4CAC-BE8E-4FF7-A2EB-5534A0F579F6}">
      <formula1>hier_EL_7</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BF49-AF82-4BAE-A6DA-6B988BC72385}">
  <sheetPr codeName="Blad46"/>
  <dimension ref="B2:R15"/>
  <sheetViews>
    <sheetView showGridLines="0" workbookViewId="0"/>
  </sheetViews>
  <sheetFormatPr defaultRowHeight="15"/>
  <cols>
    <col min="2" max="2" width="17.5703125" bestFit="1" customWidth="1"/>
    <col min="3" max="6" width="40.7109375" customWidth="1"/>
    <col min="7" max="7" width="15.7109375" customWidth="1"/>
    <col min="8" max="8" width="40.7109375" customWidth="1"/>
    <col min="9" max="9" width="15.7109375" customWidth="1"/>
  </cols>
  <sheetData>
    <row r="2" spans="2:18" ht="23.25">
      <c r="B2" s="95" t="s">
        <v>570</v>
      </c>
      <c r="C2" s="96"/>
      <c r="D2" s="96"/>
      <c r="E2" s="96"/>
      <c r="F2" s="96"/>
      <c r="G2" s="96"/>
      <c r="H2" s="96"/>
      <c r="I2" s="96"/>
      <c r="J2" s="96"/>
      <c r="K2" s="96"/>
      <c r="L2" s="96"/>
      <c r="M2" s="96"/>
      <c r="N2" s="96"/>
      <c r="O2" s="96"/>
    </row>
    <row r="5" spans="2:18" ht="18.75">
      <c r="B5" s="97" t="s">
        <v>3420</v>
      </c>
      <c r="C5" s="96"/>
      <c r="D5" s="96"/>
      <c r="E5" s="96"/>
      <c r="F5" s="96"/>
      <c r="G5" s="96"/>
      <c r="H5" s="96"/>
      <c r="I5" s="96"/>
      <c r="J5" s="96"/>
      <c r="K5" s="96"/>
      <c r="L5" s="96"/>
    </row>
    <row r="9" spans="2:18">
      <c r="B9" s="98" t="s">
        <v>3411</v>
      </c>
      <c r="C9" s="101" t="s">
        <v>2877</v>
      </c>
      <c r="D9" s="102"/>
      <c r="E9" s="102"/>
      <c r="F9" s="102"/>
      <c r="G9" s="102"/>
      <c r="H9" s="102"/>
      <c r="I9" s="103"/>
    </row>
    <row r="10" spans="2:18">
      <c r="B10" s="99"/>
      <c r="C10" s="104"/>
      <c r="D10" s="105"/>
      <c r="E10" s="105"/>
      <c r="F10" s="105"/>
      <c r="G10" s="105"/>
      <c r="H10" s="105"/>
      <c r="I10" s="106"/>
    </row>
    <row r="11" spans="2:18" ht="60">
      <c r="B11" s="100"/>
      <c r="C11" s="55" t="s">
        <v>3421</v>
      </c>
      <c r="D11" s="55" t="s">
        <v>3422</v>
      </c>
      <c r="E11" s="55" t="s">
        <v>3423</v>
      </c>
      <c r="F11" s="55" t="s">
        <v>3415</v>
      </c>
      <c r="G11" s="55" t="s">
        <v>3424</v>
      </c>
      <c r="H11" s="55" t="s">
        <v>3416</v>
      </c>
      <c r="I11" s="55" t="s">
        <v>3417</v>
      </c>
    </row>
    <row r="12" spans="2:18">
      <c r="B12" s="42" t="s">
        <v>2879</v>
      </c>
      <c r="C12" s="42" t="s">
        <v>3219</v>
      </c>
      <c r="D12" s="42" t="s">
        <v>3225</v>
      </c>
      <c r="E12" s="42" t="s">
        <v>3229</v>
      </c>
      <c r="F12" s="42" t="s">
        <v>3231</v>
      </c>
      <c r="G12" s="42" t="s">
        <v>3233</v>
      </c>
      <c r="H12" s="42" t="s">
        <v>3234</v>
      </c>
      <c r="I12" s="42" t="s">
        <v>3236</v>
      </c>
      <c r="Q12" s="13" t="str">
        <f>Show!$B$42&amp;"S.03.03.01.01 Rows {"&amp;COLUMN($B$1)&amp;"}"&amp;"@ForceFilingCode:true"</f>
        <v>!S.03.03.01.01 Rows {2}@ForceFilingCode:true</v>
      </c>
      <c r="R12" s="13" t="str">
        <f>Show!$B$42&amp;"S.03.03.01.01 Columns {"&amp;COLUMN($B$1)&amp;"}"</f>
        <v>!S.03.03.01.01 Columns {2}</v>
      </c>
    </row>
    <row r="13" spans="2:18">
      <c r="B13" s="50"/>
      <c r="C13" s="51"/>
      <c r="D13" s="51"/>
      <c r="E13" s="51"/>
      <c r="F13" s="51"/>
      <c r="G13" s="60"/>
      <c r="H13" s="51"/>
      <c r="I13" s="54"/>
    </row>
    <row r="15" spans="2:18">
      <c r="Q15" s="13" t="str">
        <f>Show!$B$42&amp;Show!$B$42&amp;"S.03.03.01.01 Rows {"&amp;COLUMN($B$1)&amp;"}"</f>
        <v>!!S.03.03.01.01 Rows {2}</v>
      </c>
      <c r="R15" s="13" t="str">
        <f>Show!$B$42&amp;Show!$B$42&amp;"S.03.03.01.01 Columns {"&amp;COLUMN($I$1)&amp;"}"</f>
        <v>!!S.03.03.01.01 Columns {9}</v>
      </c>
    </row>
  </sheetData>
  <sheetProtection sheet="1" objects="1" scenarios="1"/>
  <mergeCells count="4">
    <mergeCell ref="B2:O2"/>
    <mergeCell ref="B5:L5"/>
    <mergeCell ref="B9:B11"/>
    <mergeCell ref="C9:I10"/>
  </mergeCells>
  <dataValidations count="3">
    <dataValidation type="list" errorStyle="warning" allowBlank="1" showInputMessage="1" showErrorMessage="1" sqref="E13" xr:uid="{1BBD1FCA-1D9D-48A5-9E4B-E40CAB4F8D13}">
      <formula1>hier_CS_11</formula1>
    </dataValidation>
    <dataValidation type="list" errorStyle="warning" allowBlank="1" showInputMessage="1" showErrorMessage="1" sqref="F13" xr:uid="{2A0C4908-F74D-4DC3-964D-8490D42CEFF8}">
      <formula1>hier_LT_1</formula1>
    </dataValidation>
    <dataValidation type="date" operator="greaterThan" allowBlank="1" showInputMessage="1" showErrorMessage="1" errorTitle="Date value" error="This cell can only contain dates" sqref="I13" xr:uid="{E9035A69-F1E7-405D-BFDF-0E5E237F74F9}">
      <formula1>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1126-D093-42D2-8989-3E18487D369D}">
  <sheetPr codeName="Blad47"/>
  <dimension ref="B2:Q15"/>
  <sheetViews>
    <sheetView showGridLines="0" workbookViewId="0"/>
  </sheetViews>
  <sheetFormatPr defaultRowHeight="15"/>
  <cols>
    <col min="2" max="2" width="17.5703125" bestFit="1" customWidth="1"/>
    <col min="3" max="5" width="40.7109375" customWidth="1"/>
    <col min="6" max="6" width="15.7109375" customWidth="1"/>
    <col min="7" max="7" width="40.7109375" customWidth="1"/>
    <col min="8" max="8" width="15.7109375" customWidth="1"/>
  </cols>
  <sheetData>
    <row r="2" spans="2:17" ht="23.25">
      <c r="B2" s="95" t="s">
        <v>572</v>
      </c>
      <c r="C2" s="96"/>
      <c r="D2" s="96"/>
      <c r="E2" s="96"/>
      <c r="F2" s="96"/>
      <c r="G2" s="96"/>
      <c r="H2" s="96"/>
      <c r="I2" s="96"/>
      <c r="J2" s="96"/>
      <c r="K2" s="96"/>
      <c r="L2" s="96"/>
      <c r="M2" s="96"/>
      <c r="N2" s="96"/>
      <c r="O2" s="96"/>
    </row>
    <row r="5" spans="2:17" ht="18.75">
      <c r="B5" s="97" t="s">
        <v>3425</v>
      </c>
      <c r="C5" s="96"/>
      <c r="D5" s="96"/>
      <c r="E5" s="96"/>
      <c r="F5" s="96"/>
      <c r="G5" s="96"/>
      <c r="H5" s="96"/>
      <c r="I5" s="96"/>
      <c r="J5" s="96"/>
      <c r="K5" s="96"/>
      <c r="L5" s="96"/>
    </row>
    <row r="9" spans="2:17">
      <c r="B9" s="98" t="s">
        <v>3411</v>
      </c>
      <c r="C9" s="101" t="s">
        <v>2877</v>
      </c>
      <c r="D9" s="102"/>
      <c r="E9" s="102"/>
      <c r="F9" s="102"/>
      <c r="G9" s="102"/>
      <c r="H9" s="103"/>
    </row>
    <row r="10" spans="2:17">
      <c r="B10" s="99"/>
      <c r="C10" s="104"/>
      <c r="D10" s="105"/>
      <c r="E10" s="105"/>
      <c r="F10" s="105"/>
      <c r="G10" s="105"/>
      <c r="H10" s="106"/>
    </row>
    <row r="11" spans="2:17" ht="60">
      <c r="B11" s="100"/>
      <c r="C11" s="55" t="s">
        <v>3421</v>
      </c>
      <c r="D11" s="55" t="s">
        <v>3422</v>
      </c>
      <c r="E11" s="55" t="s">
        <v>3415</v>
      </c>
      <c r="F11" s="55" t="s">
        <v>3424</v>
      </c>
      <c r="G11" s="55" t="s">
        <v>3416</v>
      </c>
      <c r="H11" s="55" t="s">
        <v>3417</v>
      </c>
    </row>
    <row r="12" spans="2:17">
      <c r="B12" s="42" t="s">
        <v>2879</v>
      </c>
      <c r="C12" s="42" t="s">
        <v>3219</v>
      </c>
      <c r="D12" s="42" t="s">
        <v>3225</v>
      </c>
      <c r="E12" s="42" t="s">
        <v>3231</v>
      </c>
      <c r="F12" s="42" t="s">
        <v>3233</v>
      </c>
      <c r="G12" s="42" t="s">
        <v>3234</v>
      </c>
      <c r="H12" s="42" t="s">
        <v>3236</v>
      </c>
      <c r="P12" s="13" t="str">
        <f>Show!$B$43&amp;"S.03.03.04.01 Rows {"&amp;COLUMN($B$1)&amp;"}"&amp;"@ForceFilingCode:true"</f>
        <v>!S.03.03.04.01 Rows {2}@ForceFilingCode:true</v>
      </c>
      <c r="Q12" s="13" t="str">
        <f>Show!$B$43&amp;"S.03.03.04.01 Columns {"&amp;COLUMN($B$1)&amp;"}"</f>
        <v>!S.03.03.04.01 Columns {2}</v>
      </c>
    </row>
    <row r="13" spans="2:17">
      <c r="B13" s="50"/>
      <c r="C13" s="51"/>
      <c r="D13" s="51"/>
      <c r="E13" s="51"/>
      <c r="F13" s="60"/>
      <c r="G13" s="51"/>
      <c r="H13" s="54"/>
    </row>
    <row r="15" spans="2:17">
      <c r="P15" s="13" t="str">
        <f>Show!$B$43&amp;Show!$B$43&amp;"S.03.03.04.01 Rows {"&amp;COLUMN($B$1)&amp;"}"</f>
        <v>!!S.03.03.04.01 Rows {2}</v>
      </c>
      <c r="Q15" s="13" t="str">
        <f>Show!$B$43&amp;Show!$B$43&amp;"S.03.03.04.01 Columns {"&amp;COLUMN($H$1)&amp;"}"</f>
        <v>!!S.03.03.04.01 Columns {8}</v>
      </c>
    </row>
  </sheetData>
  <sheetProtection sheet="1" objects="1" scenarios="1"/>
  <mergeCells count="4">
    <mergeCell ref="B2:O2"/>
    <mergeCell ref="B5:L5"/>
    <mergeCell ref="B9:B11"/>
    <mergeCell ref="C9:H10"/>
  </mergeCells>
  <dataValidations count="2">
    <dataValidation type="list" errorStyle="warning" allowBlank="1" showInputMessage="1" showErrorMessage="1" sqref="E13" xr:uid="{D5717F79-445A-4519-A006-DCBB26BD8EB2}">
      <formula1>hier_LT_1</formula1>
    </dataValidation>
    <dataValidation type="date" operator="greaterThan" allowBlank="1" showInputMessage="1" showErrorMessage="1" errorTitle="Date value" error="This cell can only contain dates" sqref="H13" xr:uid="{CA3B23E8-4B0B-4A78-B15E-16F660145334}">
      <formula1>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268F-C75F-4639-BE78-2B7A78045CE7}">
  <sheetPr codeName="Blad48"/>
  <dimension ref="B2:R82"/>
  <sheetViews>
    <sheetView showGridLines="0" workbookViewId="0"/>
  </sheetViews>
  <sheetFormatPr defaultRowHeight="15"/>
  <cols>
    <col min="2" max="2" width="19.85546875" bestFit="1" customWidth="1"/>
    <col min="4" max="10" width="15.7109375" customWidth="1"/>
  </cols>
  <sheetData>
    <row r="2" spans="2:18" ht="23.25">
      <c r="B2" s="95" t="s">
        <v>574</v>
      </c>
      <c r="C2" s="96"/>
      <c r="D2" s="96"/>
      <c r="E2" s="96"/>
      <c r="F2" s="96"/>
      <c r="G2" s="96"/>
      <c r="H2" s="96"/>
      <c r="I2" s="96"/>
      <c r="J2" s="96"/>
      <c r="K2" s="96"/>
      <c r="L2" s="96"/>
      <c r="M2" s="96"/>
      <c r="N2" s="96"/>
      <c r="O2" s="96"/>
    </row>
    <row r="5" spans="2:18" ht="18.75">
      <c r="B5" s="97" t="s">
        <v>3426</v>
      </c>
      <c r="C5" s="96"/>
      <c r="D5" s="96"/>
      <c r="E5" s="96"/>
      <c r="F5" s="96"/>
      <c r="G5" s="96"/>
      <c r="H5" s="96"/>
      <c r="I5" s="96"/>
      <c r="J5" s="96"/>
      <c r="K5" s="96"/>
      <c r="L5" s="96"/>
    </row>
    <row r="7" spans="2:18">
      <c r="B7" t="s">
        <v>3110</v>
      </c>
      <c r="Q7" s="13" t="str">
        <f>Show!$B$44&amp;"S.04.01.01.01 Table label {"&amp;COLUMN($C$1)&amp;"}"</f>
        <v>!S.04.01.01.01 Table label {3}</v>
      </c>
      <c r="R7" s="13" t="str">
        <f>Show!$B$44&amp;"S.04.01.01.01 Table value {"&amp;COLUMN($D$1)&amp;"}"</f>
        <v>!S.04.01.01.01 Table value {4}</v>
      </c>
    </row>
    <row r="8" spans="2:18">
      <c r="B8" t="s">
        <v>3111</v>
      </c>
    </row>
    <row r="9" spans="2:18">
      <c r="B9" s="40" t="s">
        <v>3427</v>
      </c>
      <c r="C9" s="53" t="s">
        <v>3113</v>
      </c>
      <c r="D9" s="51"/>
    </row>
    <row r="10" spans="2:18">
      <c r="Q10" s="13" t="str">
        <f>Show!$B$44&amp;Show!$B$44&amp;"S.04.01.01.01 Table label {"&amp;COLUMN($C$1)&amp;"}"</f>
        <v>!!S.04.01.01.01 Table label {3}</v>
      </c>
      <c r="R10" s="13" t="str">
        <f>Show!$B$44&amp;Show!$B$44&amp;"S.04.01.01.01 Table value {"&amp;COLUMN($D$1)&amp;"}"</f>
        <v>!!S.04.01.01.01 Table value {4}</v>
      </c>
    </row>
    <row r="12" spans="2:18">
      <c r="D12" s="101" t="s">
        <v>2877</v>
      </c>
      <c r="E12" s="102"/>
      <c r="F12" s="102"/>
      <c r="G12" s="102"/>
      <c r="H12" s="102"/>
      <c r="I12" s="102"/>
      <c r="J12" s="103"/>
    </row>
    <row r="13" spans="2:18">
      <c r="D13" s="104"/>
      <c r="E13" s="105"/>
      <c r="F13" s="105"/>
      <c r="G13" s="105"/>
      <c r="H13" s="105"/>
      <c r="I13" s="105"/>
      <c r="J13" s="106"/>
    </row>
    <row r="14" spans="2:18">
      <c r="D14" s="107" t="s">
        <v>3428</v>
      </c>
      <c r="E14" s="108"/>
      <c r="F14" s="109"/>
      <c r="G14" s="107" t="s">
        <v>3432</v>
      </c>
      <c r="H14" s="108"/>
      <c r="I14" s="109"/>
      <c r="J14" s="98" t="s">
        <v>3436</v>
      </c>
    </row>
    <row r="15" spans="2:18" ht="135">
      <c r="D15" s="55" t="s">
        <v>3429</v>
      </c>
      <c r="E15" s="55" t="s">
        <v>3430</v>
      </c>
      <c r="F15" s="55" t="s">
        <v>3431</v>
      </c>
      <c r="G15" s="55" t="s">
        <v>3433</v>
      </c>
      <c r="H15" s="55" t="s">
        <v>3434</v>
      </c>
      <c r="I15" s="55" t="s">
        <v>3435</v>
      </c>
      <c r="J15" s="100"/>
    </row>
    <row r="16" spans="2:18">
      <c r="D16" s="45" t="s">
        <v>2879</v>
      </c>
      <c r="E16" s="45" t="s">
        <v>3219</v>
      </c>
      <c r="F16" s="45" t="s">
        <v>3225</v>
      </c>
      <c r="G16" s="45" t="s">
        <v>3223</v>
      </c>
      <c r="H16" s="45" t="s">
        <v>3229</v>
      </c>
      <c r="I16" s="45" t="s">
        <v>3231</v>
      </c>
      <c r="J16" s="45" t="s">
        <v>3233</v>
      </c>
      <c r="Q16" s="13" t="str">
        <f>Show!$B$44&amp;"S.04.01.01.01 Rows {"&amp;COLUMN($C$1)&amp;"}"&amp;"@ForceFilingCode:true"</f>
        <v>!S.04.01.01.01 Rows {3}@ForceFilingCode:true</v>
      </c>
      <c r="R16" s="13" t="str">
        <f>Show!$B$44&amp;"S.04.01.01.01 Columns {"&amp;COLUMN($D$1)&amp;"}"</f>
        <v>!S.04.01.01.01 Columns {4}</v>
      </c>
    </row>
    <row r="17" spans="2:18">
      <c r="B17" s="43" t="s">
        <v>2880</v>
      </c>
      <c r="C17" s="44" t="s">
        <v>2878</v>
      </c>
      <c r="D17" s="56"/>
      <c r="E17" s="66"/>
      <c r="F17" s="66"/>
      <c r="G17" s="66"/>
      <c r="H17" s="66"/>
      <c r="I17" s="66"/>
      <c r="J17" s="57"/>
    </row>
    <row r="18" spans="2:18">
      <c r="B18" s="47" t="s">
        <v>3437</v>
      </c>
      <c r="C18" s="41" t="s">
        <v>2885</v>
      </c>
      <c r="D18" s="60"/>
      <c r="E18" s="60"/>
      <c r="F18" s="63"/>
      <c r="G18" s="60"/>
      <c r="H18" s="60"/>
      <c r="I18" s="63"/>
      <c r="J18" s="60"/>
    </row>
    <row r="19" spans="2:18">
      <c r="B19" s="47" t="s">
        <v>3438</v>
      </c>
      <c r="C19" s="41" t="s">
        <v>2887</v>
      </c>
      <c r="D19" s="60"/>
      <c r="E19" s="64"/>
      <c r="F19" s="48"/>
      <c r="G19" s="60"/>
      <c r="H19" s="64"/>
      <c r="I19" s="48"/>
      <c r="J19" s="60"/>
    </row>
    <row r="20" spans="2:18">
      <c r="B20" s="47" t="s">
        <v>3439</v>
      </c>
      <c r="C20" s="41" t="s">
        <v>2889</v>
      </c>
      <c r="D20" s="60"/>
      <c r="E20" s="64"/>
      <c r="F20" s="46"/>
      <c r="G20" s="60"/>
      <c r="H20" s="64"/>
      <c r="I20" s="46"/>
      <c r="J20" s="60"/>
    </row>
    <row r="22" spans="2:18">
      <c r="Q22" s="13" t="str">
        <f>Show!$B$44&amp;Show!$B$44&amp;"S.04.01.01.01 Rows {"&amp;COLUMN($C$1)&amp;"}"</f>
        <v>!!S.04.01.01.01 Rows {3}</v>
      </c>
      <c r="R22" s="13" t="str">
        <f>Show!$B$44&amp;Show!$B$44&amp;"S.04.01.01.01 Columns {"&amp;COLUMN($J$1)&amp;"}"</f>
        <v>!!S.04.01.01.01 Columns {10}</v>
      </c>
    </row>
    <row r="24" spans="2:18" ht="18.75">
      <c r="B24" s="97" t="s">
        <v>3440</v>
      </c>
      <c r="C24" s="96"/>
      <c r="D24" s="96"/>
      <c r="E24" s="96"/>
      <c r="F24" s="96"/>
      <c r="G24" s="96"/>
      <c r="H24" s="96"/>
      <c r="I24" s="96"/>
      <c r="J24" s="96"/>
      <c r="K24" s="96"/>
      <c r="L24" s="96"/>
    </row>
    <row r="26" spans="2:18">
      <c r="B26" t="s">
        <v>3110</v>
      </c>
      <c r="Q26" s="13" t="str">
        <f>Show!$B$44&amp;"S.04.01.01.02 Table label {"&amp;COLUMN($C$1)&amp;"}"</f>
        <v>!S.04.01.01.02 Table label {3}</v>
      </c>
      <c r="R26" s="13" t="str">
        <f>Show!$B$44&amp;"S.04.01.01.02 Table value {"&amp;COLUMN($D$1)&amp;"}"</f>
        <v>!S.04.01.01.02 Table value {4}</v>
      </c>
    </row>
    <row r="27" spans="2:18">
      <c r="B27" t="s">
        <v>3111</v>
      </c>
    </row>
    <row r="28" spans="2:18">
      <c r="B28" s="40" t="s">
        <v>3427</v>
      </c>
      <c r="C28" s="53" t="s">
        <v>3113</v>
      </c>
      <c r="D28" s="51"/>
    </row>
    <row r="29" spans="2:18">
      <c r="Q29" s="13" t="str">
        <f>Show!$B$44&amp;Show!$B$44&amp;"S.04.01.01.02 Table label {"&amp;COLUMN($C$1)&amp;"}"</f>
        <v>!!S.04.01.01.02 Table label {3}</v>
      </c>
      <c r="R29" s="13" t="str">
        <f>Show!$B$44&amp;Show!$B$44&amp;"S.04.01.01.02 Table value {"&amp;COLUMN($D$1)&amp;"}"</f>
        <v>!!S.04.01.01.02 Table value {4}</v>
      </c>
    </row>
    <row r="31" spans="2:18">
      <c r="D31" s="101" t="s">
        <v>2877</v>
      </c>
      <c r="E31" s="103"/>
    </row>
    <row r="32" spans="2:18">
      <c r="D32" s="104"/>
      <c r="E32" s="106"/>
    </row>
    <row r="33" spans="2:18">
      <c r="D33" s="107" t="s">
        <v>3441</v>
      </c>
      <c r="E33" s="109"/>
    </row>
    <row r="34" spans="2:18" ht="105">
      <c r="D34" s="55" t="s">
        <v>3442</v>
      </c>
      <c r="E34" s="55" t="s">
        <v>3443</v>
      </c>
    </row>
    <row r="35" spans="2:18">
      <c r="D35" s="42" t="s">
        <v>3234</v>
      </c>
      <c r="E35" s="42" t="s">
        <v>3236</v>
      </c>
      <c r="Q35" s="13" t="str">
        <f>Show!$B$44&amp;"S.04.01.01.02 Rows {"&amp;COLUMN($C$1)&amp;"}"&amp;"@ForceFilingCode:true"</f>
        <v>!S.04.01.01.02 Rows {3}@ForceFilingCode:true</v>
      </c>
      <c r="R35" s="13" t="str">
        <f>Show!$B$44&amp;"S.04.01.01.02 Columns {"&amp;COLUMN($D$1)&amp;"}"</f>
        <v>!S.04.01.01.02 Columns {4}</v>
      </c>
    </row>
    <row r="36" spans="2:18">
      <c r="B36" s="43" t="s">
        <v>3444</v>
      </c>
      <c r="C36" s="41" t="s">
        <v>2883</v>
      </c>
      <c r="D36" s="68"/>
      <c r="E36" s="68"/>
    </row>
    <row r="37" spans="2:18">
      <c r="B37" s="43" t="s">
        <v>2880</v>
      </c>
      <c r="C37" s="44" t="s">
        <v>2878</v>
      </c>
      <c r="D37" s="56"/>
      <c r="E37" s="57"/>
    </row>
    <row r="38" spans="2:18">
      <c r="B38" s="47" t="s">
        <v>3437</v>
      </c>
      <c r="C38" s="41" t="s">
        <v>2885</v>
      </c>
      <c r="D38" s="60"/>
      <c r="E38" s="60"/>
    </row>
    <row r="39" spans="2:18">
      <c r="B39" s="47" t="s">
        <v>3438</v>
      </c>
      <c r="C39" s="41" t="s">
        <v>2887</v>
      </c>
      <c r="D39" s="60"/>
      <c r="E39" s="60"/>
    </row>
    <row r="40" spans="2:18">
      <c r="B40" s="47" t="s">
        <v>3439</v>
      </c>
      <c r="C40" s="41" t="s">
        <v>2889</v>
      </c>
      <c r="D40" s="60"/>
      <c r="E40" s="60"/>
    </row>
    <row r="42" spans="2:18">
      <c r="Q42" s="13" t="str">
        <f>Show!$B$44&amp;Show!$B$44&amp;"S.04.01.01.02 Rows {"&amp;COLUMN($C$1)&amp;"}"</f>
        <v>!!S.04.01.01.02 Rows {3}</v>
      </c>
      <c r="R42" s="13" t="str">
        <f>Show!$B$44&amp;Show!$B$44&amp;"S.04.01.01.02 Columns {"&amp;COLUMN($E$1)&amp;"}"</f>
        <v>!!S.04.01.01.02 Columns {5}</v>
      </c>
    </row>
    <row r="44" spans="2:18" ht="18.75">
      <c r="B44" s="97" t="s">
        <v>3445</v>
      </c>
      <c r="C44" s="96"/>
      <c r="D44" s="96"/>
      <c r="E44" s="96"/>
      <c r="F44" s="96"/>
      <c r="G44" s="96"/>
      <c r="H44" s="96"/>
      <c r="I44" s="96"/>
      <c r="J44" s="96"/>
      <c r="K44" s="96"/>
      <c r="L44" s="96"/>
    </row>
    <row r="46" spans="2:18">
      <c r="B46" t="s">
        <v>3110</v>
      </c>
      <c r="Q46" s="13" t="str">
        <f>Show!$B$44&amp;"S.04.01.01.03 Table label {"&amp;COLUMN($C$1)&amp;"}"</f>
        <v>!S.04.01.01.03 Table label {3}</v>
      </c>
      <c r="R46" s="13" t="str">
        <f>Show!$B$44&amp;"S.04.01.01.03 Table value {"&amp;COLUMN($D$1)&amp;"}"</f>
        <v>!S.04.01.01.03 Table value {4}</v>
      </c>
    </row>
    <row r="47" spans="2:18">
      <c r="B47" t="s">
        <v>3111</v>
      </c>
    </row>
    <row r="48" spans="2:18">
      <c r="B48" s="40" t="s">
        <v>3427</v>
      </c>
      <c r="C48" s="53" t="s">
        <v>3113</v>
      </c>
      <c r="D48" s="51"/>
    </row>
    <row r="49" spans="2:18">
      <c r="Q49" s="13" t="str">
        <f>Show!$B$44&amp;Show!$B$44&amp;"S.04.01.01.03 Table label {"&amp;COLUMN($C$1)&amp;"}"</f>
        <v>!!S.04.01.01.03 Table label {3}</v>
      </c>
      <c r="R49" s="13" t="str">
        <f>Show!$B$44&amp;Show!$B$44&amp;"S.04.01.01.03 Table value {"&amp;COLUMN($D$1)&amp;"}"</f>
        <v>!!S.04.01.01.03 Table value {4}</v>
      </c>
    </row>
    <row r="51" spans="2:18">
      <c r="D51" s="98" t="s">
        <v>2877</v>
      </c>
    </row>
    <row r="52" spans="2:18">
      <c r="D52" s="100"/>
    </row>
    <row r="53" spans="2:18">
      <c r="D53" s="55" t="s">
        <v>3441</v>
      </c>
    </row>
    <row r="54" spans="2:18" ht="105">
      <c r="D54" s="55" t="s">
        <v>3446</v>
      </c>
    </row>
    <row r="55" spans="2:18">
      <c r="D55" s="42" t="s">
        <v>3239</v>
      </c>
      <c r="Q55" s="13" t="str">
        <f>Show!$B$44&amp;"S.04.01.01.03 Rows {"&amp;COLUMN($C$1)&amp;"}"&amp;"@ForceFilingCode:true"</f>
        <v>!S.04.01.01.03 Rows {3}@ForceFilingCode:true</v>
      </c>
      <c r="R55" s="13" t="str">
        <f>Show!$B$44&amp;"S.04.01.01.03 Columns {"&amp;COLUMN($D$1)&amp;"}"</f>
        <v>!S.04.01.01.03 Columns {4}</v>
      </c>
    </row>
    <row r="56" spans="2:18">
      <c r="B56" s="43" t="s">
        <v>3444</v>
      </c>
      <c r="C56" s="41" t="s">
        <v>2883</v>
      </c>
      <c r="D56" s="68"/>
    </row>
    <row r="57" spans="2:18">
      <c r="B57" s="43" t="s">
        <v>2880</v>
      </c>
      <c r="C57" s="44" t="s">
        <v>2878</v>
      </c>
      <c r="D57" s="46"/>
    </row>
    <row r="58" spans="2:18">
      <c r="B58" s="47" t="s">
        <v>3437</v>
      </c>
      <c r="C58" s="41" t="s">
        <v>2885</v>
      </c>
      <c r="D58" s="63"/>
    </row>
    <row r="59" spans="2:18">
      <c r="B59" s="47" t="s">
        <v>3438</v>
      </c>
      <c r="C59" s="44" t="s">
        <v>2887</v>
      </c>
      <c r="D59" s="48"/>
    </row>
    <row r="60" spans="2:18">
      <c r="B60" s="47" t="s">
        <v>3439</v>
      </c>
      <c r="C60" s="44" t="s">
        <v>2889</v>
      </c>
      <c r="D60" s="46"/>
    </row>
    <row r="62" spans="2:18">
      <c r="Q62" s="13" t="str">
        <f>Show!$B$44&amp;Show!$B$44&amp;"S.04.01.01.03 Rows {"&amp;COLUMN($C$1)&amp;"}"</f>
        <v>!!S.04.01.01.03 Rows {3}</v>
      </c>
      <c r="R62" s="13" t="str">
        <f>Show!$B$44&amp;Show!$B$44&amp;"S.04.01.01.03 Columns {"&amp;COLUMN($D$1)&amp;"}"</f>
        <v>!!S.04.01.01.03 Columns {4}</v>
      </c>
    </row>
    <row r="64" spans="2:18" ht="18.75">
      <c r="B64" s="97" t="s">
        <v>3447</v>
      </c>
      <c r="C64" s="96"/>
      <c r="D64" s="96"/>
      <c r="E64" s="96"/>
      <c r="F64" s="96"/>
      <c r="G64" s="96"/>
      <c r="H64" s="96"/>
      <c r="I64" s="96"/>
      <c r="J64" s="96"/>
      <c r="K64" s="96"/>
      <c r="L64" s="96"/>
    </row>
    <row r="66" spans="2:18">
      <c r="B66" t="s">
        <v>3110</v>
      </c>
      <c r="Q66" s="13" t="str">
        <f>Show!$B$44&amp;"S.04.01.01.04 Table label {"&amp;COLUMN($C$1)&amp;"}"</f>
        <v>!S.04.01.01.04 Table label {3}</v>
      </c>
      <c r="R66" s="13" t="str">
        <f>Show!$B$44&amp;"S.04.01.01.04 Table value {"&amp;COLUMN($D$1)&amp;"}"</f>
        <v>!S.04.01.01.04 Table value {4}</v>
      </c>
    </row>
    <row r="67" spans="2:18">
      <c r="B67" t="s">
        <v>3111</v>
      </c>
    </row>
    <row r="68" spans="2:18">
      <c r="B68" s="40" t="s">
        <v>3427</v>
      </c>
      <c r="C68" s="53" t="s">
        <v>3113</v>
      </c>
      <c r="D68" s="51"/>
    </row>
    <row r="69" spans="2:18">
      <c r="Q69" s="13" t="str">
        <f>Show!$B$44&amp;Show!$B$44&amp;"S.04.01.01.04 Table label {"&amp;COLUMN($C$1)&amp;"}"</f>
        <v>!!S.04.01.01.04 Table label {3}</v>
      </c>
      <c r="R69" s="13" t="str">
        <f>Show!$B$44&amp;Show!$B$44&amp;"S.04.01.01.04 Table value {"&amp;COLUMN($D$1)&amp;"}"</f>
        <v>!!S.04.01.01.04 Table value {4}</v>
      </c>
    </row>
    <row r="71" spans="2:18">
      <c r="D71" s="98" t="s">
        <v>2877</v>
      </c>
    </row>
    <row r="72" spans="2:18">
      <c r="D72" s="100"/>
    </row>
    <row r="73" spans="2:18" ht="30">
      <c r="D73" s="55" t="s">
        <v>3448</v>
      </c>
    </row>
    <row r="74" spans="2:18" ht="75">
      <c r="D74" s="55" t="s">
        <v>3449</v>
      </c>
    </row>
    <row r="75" spans="2:18">
      <c r="D75" s="42" t="s">
        <v>3241</v>
      </c>
      <c r="Q75" s="13" t="str">
        <f>Show!$B$44&amp;"S.04.01.01.04 Rows {"&amp;COLUMN($C$1)&amp;"}"&amp;"@ForceFilingCode:true"</f>
        <v>!S.04.01.01.04 Rows {3}@ForceFilingCode:true</v>
      </c>
      <c r="R75" s="13" t="str">
        <f>Show!$B$44&amp;"S.04.01.01.04 Columns {"&amp;COLUMN($D$1)&amp;"}"</f>
        <v>!S.04.01.01.04 Columns {4}</v>
      </c>
    </row>
    <row r="76" spans="2:18">
      <c r="B76" s="43" t="s">
        <v>3450</v>
      </c>
      <c r="C76" s="41" t="s">
        <v>2883</v>
      </c>
      <c r="D76" s="68"/>
    </row>
    <row r="77" spans="2:18">
      <c r="B77" s="43" t="s">
        <v>2880</v>
      </c>
      <c r="C77" s="44" t="s">
        <v>2878</v>
      </c>
      <c r="D77" s="46"/>
    </row>
    <row r="78" spans="2:18">
      <c r="B78" s="47" t="s">
        <v>3437</v>
      </c>
      <c r="C78" s="41" t="s">
        <v>2885</v>
      </c>
      <c r="D78" s="60"/>
    </row>
    <row r="79" spans="2:18">
      <c r="B79" s="47" t="s">
        <v>3438</v>
      </c>
      <c r="C79" s="41" t="s">
        <v>2887</v>
      </c>
      <c r="D79" s="60"/>
    </row>
    <row r="80" spans="2:18">
      <c r="B80" s="47" t="s">
        <v>3439</v>
      </c>
      <c r="C80" s="41" t="s">
        <v>2889</v>
      </c>
      <c r="D80" s="60"/>
    </row>
    <row r="82" spans="17:18">
      <c r="Q82" s="13" t="str">
        <f>Show!$B$44&amp;Show!$B$44&amp;"S.04.01.01.04 Rows {"&amp;COLUMN($C$1)&amp;"}"</f>
        <v>!!S.04.01.01.04 Rows {3}</v>
      </c>
      <c r="R82" s="13" t="str">
        <f>Show!$B$44&amp;Show!$B$44&amp;"S.04.01.01.04 Columns {"&amp;COLUMN($D$1)&amp;"}"</f>
        <v>!!S.04.01.01.04 Columns {4}</v>
      </c>
    </row>
  </sheetData>
  <sheetProtection sheet="1" objects="1" scenarios="1"/>
  <mergeCells count="13">
    <mergeCell ref="D71:D72"/>
    <mergeCell ref="B24:L24"/>
    <mergeCell ref="D31:E32"/>
    <mergeCell ref="D33:E33"/>
    <mergeCell ref="B44:L44"/>
    <mergeCell ref="D51:D52"/>
    <mergeCell ref="B64:L64"/>
    <mergeCell ref="B2:O2"/>
    <mergeCell ref="B5:L5"/>
    <mergeCell ref="D12:J13"/>
    <mergeCell ref="D14:F14"/>
    <mergeCell ref="G14:I14"/>
    <mergeCell ref="J14:J15"/>
  </mergeCells>
  <dataValidations count="3">
    <dataValidation type="list" errorStyle="warning" allowBlank="1" showInputMessage="1" showErrorMessage="1" sqref="D9 D28 D48 D68" xr:uid="{8D759D2E-DE08-49D7-A380-3A96DDE63069}">
      <formula1>hier_LB_52</formula1>
    </dataValidation>
    <dataValidation type="list" errorStyle="warning" allowBlank="1" showInputMessage="1" showErrorMessage="1" sqref="D36 E36 D56" xr:uid="{EFF601DB-A58D-4A70-8AD6-A62AC52E293A}">
      <formula1>hier_GA_32</formula1>
    </dataValidation>
    <dataValidation type="list" errorStyle="warning" allowBlank="1" showInputMessage="1" showErrorMessage="1" sqref="D76" xr:uid="{3C5CE021-FB6F-46DD-9BB7-D08E5767B6EE}">
      <formula1>hier_GA_33</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D101-546D-482C-A026-A67647FC8F62}">
  <sheetPr codeName="Blad49"/>
  <dimension ref="B2:O34"/>
  <sheetViews>
    <sheetView showGridLines="0" workbookViewId="0"/>
  </sheetViews>
  <sheetFormatPr defaultRowHeight="15"/>
  <cols>
    <col min="2" max="2" width="71.140625" bestFit="1" customWidth="1"/>
    <col min="4" max="5" width="15.7109375" customWidth="1"/>
  </cols>
  <sheetData>
    <row r="2" spans="2:15" ht="23.25">
      <c r="B2" s="95" t="s">
        <v>576</v>
      </c>
      <c r="C2" s="96"/>
      <c r="D2" s="96"/>
      <c r="E2" s="96"/>
      <c r="F2" s="96"/>
      <c r="G2" s="96"/>
      <c r="H2" s="96"/>
      <c r="I2" s="96"/>
      <c r="J2" s="96"/>
      <c r="K2" s="96"/>
      <c r="L2" s="96"/>
      <c r="M2" s="96"/>
      <c r="N2" s="96"/>
      <c r="O2" s="96"/>
    </row>
    <row r="5" spans="2:15" ht="18.75">
      <c r="B5" s="97" t="s">
        <v>3451</v>
      </c>
      <c r="C5" s="96"/>
      <c r="D5" s="96"/>
      <c r="E5" s="96"/>
      <c r="F5" s="96"/>
      <c r="G5" s="96"/>
      <c r="H5" s="96"/>
      <c r="I5" s="96"/>
      <c r="J5" s="96"/>
      <c r="K5" s="96"/>
      <c r="L5" s="96"/>
    </row>
    <row r="9" spans="2:15">
      <c r="D9" s="98" t="s">
        <v>2877</v>
      </c>
    </row>
    <row r="10" spans="2:15">
      <c r="D10" s="100"/>
    </row>
    <row r="11" spans="2:15">
      <c r="D11" s="55" t="s">
        <v>3428</v>
      </c>
    </row>
    <row r="12" spans="2:15">
      <c r="D12" s="55" t="s">
        <v>3452</v>
      </c>
    </row>
    <row r="13" spans="2:15">
      <c r="D13" s="45" t="s">
        <v>2879</v>
      </c>
      <c r="K13" s="13" t="str">
        <f>Show!$B$45&amp;"S.04.02.01.01 Rows {"&amp;COLUMN($C$1)&amp;"}"&amp;"@ForceFilingCode:true"</f>
        <v>!S.04.02.01.01 Rows {3}@ForceFilingCode:true</v>
      </c>
      <c r="L13" s="13" t="str">
        <f>Show!$B$45&amp;"S.04.02.01.01 Columns {"&amp;COLUMN($D$1)&amp;"}"</f>
        <v>!S.04.02.01.01 Columns {4}</v>
      </c>
    </row>
    <row r="14" spans="2:15">
      <c r="B14" s="43" t="s">
        <v>2880</v>
      </c>
      <c r="C14" s="44" t="s">
        <v>2878</v>
      </c>
      <c r="D14" s="46"/>
    </row>
    <row r="15" spans="2:15">
      <c r="B15" s="47" t="s">
        <v>3453</v>
      </c>
      <c r="C15" s="41" t="s">
        <v>2885</v>
      </c>
      <c r="D15" s="69"/>
    </row>
    <row r="16" spans="2:15">
      <c r="B16" s="47" t="s">
        <v>3454</v>
      </c>
      <c r="C16" s="41" t="s">
        <v>2887</v>
      </c>
      <c r="D16" s="60"/>
    </row>
    <row r="18" spans="2:12">
      <c r="K18" s="13" t="str">
        <f>Show!$B$45&amp;Show!$B$45&amp;"S.04.02.01.01 Rows {"&amp;COLUMN($C$1)&amp;"}"</f>
        <v>!!S.04.02.01.01 Rows {3}</v>
      </c>
      <c r="L18" s="13" t="str">
        <f>Show!$B$45&amp;Show!$B$45&amp;"S.04.02.01.01 Columns {"&amp;COLUMN($D$1)&amp;"}"</f>
        <v>!!S.04.02.01.01 Columns {4}</v>
      </c>
    </row>
    <row r="20" spans="2:12" ht="18.75">
      <c r="B20" s="97" t="s">
        <v>3455</v>
      </c>
      <c r="C20" s="96"/>
      <c r="D20" s="96"/>
      <c r="E20" s="96"/>
      <c r="F20" s="96"/>
      <c r="G20" s="96"/>
      <c r="H20" s="96"/>
      <c r="I20" s="96"/>
      <c r="J20" s="96"/>
      <c r="K20" s="96"/>
      <c r="L20" s="96"/>
    </row>
    <row r="24" spans="2:12">
      <c r="D24" s="101" t="s">
        <v>2877</v>
      </c>
      <c r="E24" s="103"/>
    </row>
    <row r="25" spans="2:12">
      <c r="D25" s="104"/>
      <c r="E25" s="106"/>
    </row>
    <row r="26" spans="2:12">
      <c r="D26" s="107" t="s">
        <v>3456</v>
      </c>
      <c r="E26" s="109"/>
    </row>
    <row r="27" spans="2:12">
      <c r="D27" s="55" t="s">
        <v>3457</v>
      </c>
      <c r="E27" s="55" t="s">
        <v>3452</v>
      </c>
    </row>
    <row r="28" spans="2:12">
      <c r="D28" s="42" t="s">
        <v>3219</v>
      </c>
      <c r="E28" s="42" t="s">
        <v>3225</v>
      </c>
      <c r="K28" s="13" t="str">
        <f>Show!$B$45&amp;"S.04.02.01.02 Rows {"&amp;COLUMN($C$1)&amp;"}"&amp;"@ForceFilingCode:true"</f>
        <v>!S.04.02.01.02 Rows {3}@ForceFilingCode:true</v>
      </c>
      <c r="L28" s="13" t="str">
        <f>Show!$B$45&amp;"S.04.02.01.02 Columns {"&amp;COLUMN($D$1)&amp;"}"</f>
        <v>!S.04.02.01.02 Columns {4}</v>
      </c>
    </row>
    <row r="29" spans="2:12">
      <c r="B29" s="43" t="s">
        <v>3444</v>
      </c>
      <c r="C29" s="41" t="s">
        <v>2883</v>
      </c>
      <c r="D29" s="68"/>
      <c r="E29" s="68"/>
    </row>
    <row r="30" spans="2:12">
      <c r="B30" s="43" t="s">
        <v>2880</v>
      </c>
      <c r="C30" s="44" t="s">
        <v>2878</v>
      </c>
      <c r="D30" s="56"/>
      <c r="E30" s="57"/>
    </row>
    <row r="31" spans="2:12">
      <c r="B31" s="47" t="s">
        <v>3453</v>
      </c>
      <c r="C31" s="41" t="s">
        <v>2885</v>
      </c>
      <c r="D31" s="69"/>
      <c r="E31" s="69"/>
    </row>
    <row r="32" spans="2:12">
      <c r="B32" s="47" t="s">
        <v>3454</v>
      </c>
      <c r="C32" s="41" t="s">
        <v>2887</v>
      </c>
      <c r="D32" s="60"/>
      <c r="E32" s="60"/>
    </row>
    <row r="34" spans="11:12">
      <c r="K34" s="13" t="str">
        <f>Show!$B$45&amp;Show!$B$45&amp;"S.04.02.01.02 Rows {"&amp;COLUMN($C$1)&amp;"}"</f>
        <v>!!S.04.02.01.02 Rows {3}</v>
      </c>
      <c r="L34" s="13" t="str">
        <f>Show!$B$45&amp;Show!$B$45&amp;"S.04.02.01.02 Columns {"&amp;COLUMN($E$1)&amp;"}"</f>
        <v>!!S.04.02.01.02 Columns {5}</v>
      </c>
    </row>
  </sheetData>
  <sheetProtection sheet="1" objects="1" scenarios="1"/>
  <mergeCells count="6">
    <mergeCell ref="D26:E26"/>
    <mergeCell ref="B2:O2"/>
    <mergeCell ref="B5:L5"/>
    <mergeCell ref="D9:D10"/>
    <mergeCell ref="B20:L20"/>
    <mergeCell ref="D24:E25"/>
  </mergeCells>
  <dataValidations count="1">
    <dataValidation type="list" errorStyle="warning" allowBlank="1" showInputMessage="1" showErrorMessage="1" sqref="D29 E29" xr:uid="{CA3F0712-3BAF-4241-BF72-7062661F5BDE}">
      <formula1>hier_GA_32</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591C9-1CFC-4D28-8F5F-DFF04F14F8EE}">
  <sheetPr codeName="Blad5"/>
  <dimension ref="A1:MB984"/>
  <sheetViews>
    <sheetView workbookViewId="0"/>
  </sheetViews>
  <sheetFormatPr defaultRowHeight="15"/>
  <sheetData>
    <row r="1" spans="1:340">
      <c r="A1" t="s">
        <v>816</v>
      </c>
      <c r="B1" t="s">
        <v>818</v>
      </c>
      <c r="C1" t="s">
        <v>821</v>
      </c>
      <c r="D1" t="s">
        <v>823</v>
      </c>
      <c r="E1" t="s">
        <v>825</v>
      </c>
      <c r="F1" t="s">
        <v>827</v>
      </c>
      <c r="G1" t="s">
        <v>829</v>
      </c>
      <c r="H1" t="s">
        <v>831</v>
      </c>
      <c r="I1" t="s">
        <v>833</v>
      </c>
      <c r="J1" t="s">
        <v>836</v>
      </c>
      <c r="K1" t="s">
        <v>837</v>
      </c>
      <c r="L1" t="s">
        <v>838</v>
      </c>
      <c r="M1" t="s">
        <v>841</v>
      </c>
      <c r="N1" t="s">
        <v>843</v>
      </c>
      <c r="O1" t="s">
        <v>845</v>
      </c>
      <c r="P1" t="s">
        <v>847</v>
      </c>
      <c r="Q1" t="s">
        <v>849</v>
      </c>
      <c r="R1" t="s">
        <v>850</v>
      </c>
      <c r="S1" t="s">
        <v>852</v>
      </c>
      <c r="T1" t="s">
        <v>854</v>
      </c>
      <c r="U1" t="s">
        <v>856</v>
      </c>
      <c r="V1" t="s">
        <v>857</v>
      </c>
      <c r="W1" t="s">
        <v>858</v>
      </c>
      <c r="X1" t="s">
        <v>860</v>
      </c>
      <c r="Y1" t="s">
        <v>862</v>
      </c>
      <c r="Z1" t="s">
        <v>864</v>
      </c>
      <c r="AA1" t="s">
        <v>865</v>
      </c>
      <c r="AB1" t="s">
        <v>866</v>
      </c>
      <c r="AC1" t="s">
        <v>867</v>
      </c>
      <c r="AD1" t="s">
        <v>869</v>
      </c>
      <c r="AE1" t="s">
        <v>871</v>
      </c>
      <c r="AF1" t="s">
        <v>873</v>
      </c>
      <c r="AG1" t="s">
        <v>875</v>
      </c>
      <c r="AH1" t="s">
        <v>877</v>
      </c>
      <c r="AI1" t="s">
        <v>882</v>
      </c>
      <c r="AJ1" t="s">
        <v>884</v>
      </c>
      <c r="AK1" t="s">
        <v>885</v>
      </c>
      <c r="AL1" t="s">
        <v>889</v>
      </c>
      <c r="AM1" t="s">
        <v>890</v>
      </c>
      <c r="AN1" t="s">
        <v>892</v>
      </c>
      <c r="AO1" t="s">
        <v>893</v>
      </c>
      <c r="AP1" t="s">
        <v>895</v>
      </c>
      <c r="AQ1" t="s">
        <v>897</v>
      </c>
      <c r="AR1" t="s">
        <v>899</v>
      </c>
      <c r="AS1" t="s">
        <v>901</v>
      </c>
      <c r="AT1" t="s">
        <v>903</v>
      </c>
      <c r="AU1" t="s">
        <v>906</v>
      </c>
      <c r="AV1" t="s">
        <v>908</v>
      </c>
      <c r="AW1" t="s">
        <v>910</v>
      </c>
      <c r="AX1" t="s">
        <v>912</v>
      </c>
      <c r="AY1" t="s">
        <v>918</v>
      </c>
      <c r="AZ1" t="s">
        <v>934</v>
      </c>
      <c r="BA1" t="s">
        <v>1119</v>
      </c>
      <c r="BB1" t="s">
        <v>1124</v>
      </c>
      <c r="BC1" t="s">
        <v>1164</v>
      </c>
      <c r="BD1" t="s">
        <v>1167</v>
      </c>
      <c r="BE1" t="s">
        <v>1171</v>
      </c>
      <c r="BF1" t="s">
        <v>1174</v>
      </c>
      <c r="BG1" t="s">
        <v>1177</v>
      </c>
      <c r="BH1" t="s">
        <v>1180</v>
      </c>
      <c r="BI1" t="s">
        <v>1183</v>
      </c>
      <c r="BJ1" t="s">
        <v>1186</v>
      </c>
      <c r="BK1" t="s">
        <v>1189</v>
      </c>
      <c r="BL1" t="s">
        <v>1192</v>
      </c>
      <c r="BM1" t="s">
        <v>1200</v>
      </c>
      <c r="BN1" t="s">
        <v>1204</v>
      </c>
      <c r="BO1" t="s">
        <v>1207</v>
      </c>
      <c r="BP1" t="s">
        <v>1210</v>
      </c>
      <c r="BQ1" t="s">
        <v>1214</v>
      </c>
      <c r="BR1" t="s">
        <v>1215</v>
      </c>
      <c r="BS1" t="s">
        <v>1218</v>
      </c>
      <c r="BT1" t="s">
        <v>1230</v>
      </c>
      <c r="BU1" t="s">
        <v>1234</v>
      </c>
      <c r="BV1" t="s">
        <v>1234</v>
      </c>
      <c r="BW1" t="s">
        <v>1271</v>
      </c>
      <c r="BX1" t="s">
        <v>1271</v>
      </c>
      <c r="BY1" t="s">
        <v>1272</v>
      </c>
      <c r="BZ1" t="s">
        <v>1272</v>
      </c>
      <c r="CA1" t="s">
        <v>1273</v>
      </c>
      <c r="CB1" t="s">
        <v>1273</v>
      </c>
      <c r="CC1" t="s">
        <v>1274</v>
      </c>
      <c r="CD1" t="s">
        <v>1280</v>
      </c>
      <c r="CE1" t="s">
        <v>1282</v>
      </c>
      <c r="CF1" t="s">
        <v>1288</v>
      </c>
      <c r="CG1" t="s">
        <v>1295</v>
      </c>
      <c r="CH1" t="s">
        <v>2278</v>
      </c>
      <c r="CI1" t="s">
        <v>2281</v>
      </c>
      <c r="CJ1" t="s">
        <v>2282</v>
      </c>
      <c r="CK1" t="s">
        <v>2288</v>
      </c>
      <c r="CL1" t="s">
        <v>2299</v>
      </c>
      <c r="CM1" t="s">
        <v>2303</v>
      </c>
      <c r="CN1" t="s">
        <v>2359</v>
      </c>
      <c r="CO1" t="s">
        <v>2371</v>
      </c>
      <c r="CP1" t="s">
        <v>2390</v>
      </c>
      <c r="CQ1" t="s">
        <v>2392</v>
      </c>
      <c r="CR1" t="s">
        <v>2395</v>
      </c>
      <c r="CS1" t="s">
        <v>2398</v>
      </c>
      <c r="CT1" t="s">
        <v>2414</v>
      </c>
      <c r="CU1" t="s">
        <v>2418</v>
      </c>
      <c r="CV1" t="s">
        <v>2426</v>
      </c>
      <c r="CW1" t="s">
        <v>2432</v>
      </c>
      <c r="CX1" t="s">
        <v>2435</v>
      </c>
      <c r="CY1" t="s">
        <v>2438</v>
      </c>
      <c r="CZ1" t="s">
        <v>2441</v>
      </c>
      <c r="DA1" t="s">
        <v>2446</v>
      </c>
      <c r="DB1" t="s">
        <v>2453</v>
      </c>
      <c r="DC1" t="s">
        <v>2456</v>
      </c>
      <c r="DD1" t="s">
        <v>2457</v>
      </c>
      <c r="DE1" t="s">
        <v>2458</v>
      </c>
      <c r="DF1" t="s">
        <v>2466</v>
      </c>
      <c r="DG1" t="s">
        <v>2473</v>
      </c>
      <c r="DH1" t="s">
        <v>2474</v>
      </c>
      <c r="DI1" t="s">
        <v>2479</v>
      </c>
      <c r="DJ1" t="s">
        <v>2482</v>
      </c>
      <c r="DK1" t="s">
        <v>2483</v>
      </c>
      <c r="DL1" t="s">
        <v>2489</v>
      </c>
      <c r="DM1" t="s">
        <v>2492</v>
      </c>
      <c r="DN1" t="s">
        <v>2496</v>
      </c>
      <c r="DO1" t="s">
        <v>2500</v>
      </c>
      <c r="DP1" t="s">
        <v>2505</v>
      </c>
      <c r="DQ1" t="s">
        <v>2510</v>
      </c>
      <c r="DR1" t="s">
        <v>2515</v>
      </c>
      <c r="DS1" t="s">
        <v>2515</v>
      </c>
      <c r="DT1" t="s">
        <v>2528</v>
      </c>
      <c r="DU1" t="s">
        <v>2528</v>
      </c>
      <c r="DV1" t="s">
        <v>2531</v>
      </c>
      <c r="DW1" t="s">
        <v>2531</v>
      </c>
      <c r="DX1" t="s">
        <v>2534</v>
      </c>
      <c r="DY1" t="s">
        <v>2534</v>
      </c>
      <c r="DZ1" t="s">
        <v>2535</v>
      </c>
      <c r="EA1" t="s">
        <v>2541</v>
      </c>
      <c r="EB1" t="s">
        <v>2541</v>
      </c>
      <c r="EC1" t="s">
        <v>2544</v>
      </c>
      <c r="ED1" t="s">
        <v>2550</v>
      </c>
      <c r="EE1" t="s">
        <v>2553</v>
      </c>
      <c r="EF1" t="s">
        <v>2553</v>
      </c>
      <c r="EG1" t="s">
        <v>2556</v>
      </c>
      <c r="EH1" t="s">
        <v>2561</v>
      </c>
      <c r="EI1" t="s">
        <v>2565</v>
      </c>
      <c r="EJ1" t="s">
        <v>2570</v>
      </c>
      <c r="EK1" t="s">
        <v>2573</v>
      </c>
      <c r="EL1" t="s">
        <v>2575</v>
      </c>
      <c r="EM1" t="s">
        <v>2578</v>
      </c>
      <c r="EN1" t="s">
        <v>2580</v>
      </c>
      <c r="EO1" t="s">
        <v>2582</v>
      </c>
      <c r="EP1" t="s">
        <v>2585</v>
      </c>
      <c r="EQ1" t="s">
        <v>2585</v>
      </c>
      <c r="ER1" t="s">
        <v>2586</v>
      </c>
      <c r="ES1" t="s">
        <v>2588</v>
      </c>
      <c r="ET1" t="s">
        <v>2588</v>
      </c>
      <c r="EU1" t="s">
        <v>2590</v>
      </c>
      <c r="EV1" t="s">
        <v>2590</v>
      </c>
      <c r="EW1" t="s">
        <v>2591</v>
      </c>
      <c r="EX1" t="s">
        <v>2594</v>
      </c>
      <c r="EY1" t="s">
        <v>2597</v>
      </c>
      <c r="EZ1" t="s">
        <v>2608</v>
      </c>
      <c r="FA1" t="s">
        <v>2608</v>
      </c>
      <c r="FB1" t="s">
        <v>2610</v>
      </c>
      <c r="FC1" t="s">
        <v>2625</v>
      </c>
      <c r="FD1" t="s">
        <v>2628</v>
      </c>
      <c r="FE1" t="s">
        <v>2633</v>
      </c>
      <c r="FF1" t="s">
        <v>2639</v>
      </c>
      <c r="FG1" t="s">
        <v>2642</v>
      </c>
      <c r="FH1" t="s">
        <v>2649</v>
      </c>
      <c r="FI1" t="s">
        <v>2652</v>
      </c>
      <c r="FJ1" t="s">
        <v>2655</v>
      </c>
      <c r="FK1" t="s">
        <v>2661</v>
      </c>
      <c r="FL1" t="s">
        <v>2664</v>
      </c>
      <c r="FM1" t="s">
        <v>2670</v>
      </c>
      <c r="FN1" t="s">
        <v>2671</v>
      </c>
      <c r="FO1" t="s">
        <v>2676</v>
      </c>
      <c r="FP1" t="s">
        <v>2683</v>
      </c>
      <c r="FQ1" t="s">
        <v>2692</v>
      </c>
      <c r="FR1" t="s">
        <v>2692</v>
      </c>
      <c r="FS1" t="s">
        <v>2693</v>
      </c>
      <c r="FT1" t="s">
        <v>2697</v>
      </c>
      <c r="FU1" t="s">
        <v>2702</v>
      </c>
      <c r="FV1" t="s">
        <v>2702</v>
      </c>
      <c r="FW1" t="s">
        <v>2705</v>
      </c>
      <c r="FX1" t="s">
        <v>2707</v>
      </c>
      <c r="FY1" t="s">
        <v>2709</v>
      </c>
      <c r="FZ1" t="s">
        <v>2711</v>
      </c>
      <c r="GA1" t="s">
        <v>2714</v>
      </c>
      <c r="GB1" t="s">
        <v>2714</v>
      </c>
      <c r="GC1" t="s">
        <v>2716</v>
      </c>
      <c r="GD1" t="s">
        <v>2718</v>
      </c>
      <c r="GE1" t="s">
        <v>2720</v>
      </c>
      <c r="GF1" t="s">
        <v>2721</v>
      </c>
      <c r="GG1" t="s">
        <v>2722</v>
      </c>
      <c r="GH1" t="s">
        <v>2723</v>
      </c>
      <c r="GI1" t="s">
        <v>2724</v>
      </c>
      <c r="GJ1" t="s">
        <v>2725</v>
      </c>
      <c r="GK1" t="s">
        <v>2726</v>
      </c>
      <c r="GL1" t="s">
        <v>2727</v>
      </c>
      <c r="GM1" t="s">
        <v>2728</v>
      </c>
      <c r="GN1" t="s">
        <v>2729</v>
      </c>
      <c r="GO1" t="s">
        <v>2730</v>
      </c>
      <c r="GP1" t="s">
        <v>2731</v>
      </c>
      <c r="GQ1" t="s">
        <v>2732</v>
      </c>
      <c r="GR1" t="s">
        <v>2733</v>
      </c>
      <c r="GS1" t="s">
        <v>2734</v>
      </c>
      <c r="GT1" t="s">
        <v>2735</v>
      </c>
      <c r="GU1" t="s">
        <v>2736</v>
      </c>
      <c r="GV1" t="s">
        <v>2738</v>
      </c>
      <c r="GW1" t="s">
        <v>2739</v>
      </c>
      <c r="GX1" t="s">
        <v>2740</v>
      </c>
      <c r="GY1" t="s">
        <v>2741</v>
      </c>
      <c r="GZ1" t="s">
        <v>2742</v>
      </c>
      <c r="HA1" t="s">
        <v>2744</v>
      </c>
      <c r="HB1" t="s">
        <v>2747</v>
      </c>
      <c r="HC1" t="s">
        <v>2748</v>
      </c>
      <c r="HD1" t="s">
        <v>2751</v>
      </c>
      <c r="HE1" t="s">
        <v>2755</v>
      </c>
      <c r="HF1" t="s">
        <v>2763</v>
      </c>
      <c r="HG1" t="s">
        <v>2765</v>
      </c>
      <c r="HH1" t="s">
        <v>2766</v>
      </c>
      <c r="HI1" t="s">
        <v>2779</v>
      </c>
      <c r="HJ1" t="s">
        <v>2782</v>
      </c>
      <c r="HK1" t="s">
        <v>2785</v>
      </c>
      <c r="HL1" t="s">
        <v>2790</v>
      </c>
      <c r="HM1" t="s">
        <v>2801</v>
      </c>
      <c r="HN1" t="s">
        <v>2801</v>
      </c>
      <c r="HO1" t="s">
        <v>2803</v>
      </c>
      <c r="HP1" t="s">
        <v>2806</v>
      </c>
      <c r="HQ1" t="s">
        <v>2809</v>
      </c>
      <c r="HR1" t="s">
        <v>2813</v>
      </c>
      <c r="HS1" t="s">
        <v>2814</v>
      </c>
      <c r="HT1" t="s">
        <v>2825</v>
      </c>
      <c r="HU1" t="s">
        <v>2826</v>
      </c>
      <c r="HV1" t="s">
        <v>2828</v>
      </c>
      <c r="HW1" t="s">
        <v>2829</v>
      </c>
      <c r="HX1" t="s">
        <v>2830</v>
      </c>
      <c r="HY1" t="s">
        <v>2831</v>
      </c>
      <c r="HZ1" t="s">
        <v>2832</v>
      </c>
      <c r="IA1" t="s">
        <v>2833</v>
      </c>
      <c r="IB1" t="s">
        <v>2834</v>
      </c>
      <c r="IC1" t="s">
        <v>2835</v>
      </c>
      <c r="ID1" t="s">
        <v>2836</v>
      </c>
      <c r="IE1" t="s">
        <v>2837</v>
      </c>
      <c r="IF1" t="s">
        <v>2838</v>
      </c>
      <c r="IG1" t="s">
        <v>2839</v>
      </c>
      <c r="IH1" t="s">
        <v>2842</v>
      </c>
      <c r="II1" t="s">
        <v>2845</v>
      </c>
      <c r="IJ1" t="s">
        <v>2847</v>
      </c>
      <c r="IK1" t="s">
        <v>2848</v>
      </c>
      <c r="IL1" t="s">
        <v>2849</v>
      </c>
      <c r="IM1" t="s">
        <v>2851</v>
      </c>
      <c r="IN1" t="s">
        <v>2852</v>
      </c>
      <c r="IO1" t="s">
        <v>2864</v>
      </c>
      <c r="IP1" t="s">
        <v>2869</v>
      </c>
      <c r="IQ1" t="s">
        <v>2870</v>
      </c>
      <c r="IR1" t="s">
        <v>2873</v>
      </c>
      <c r="IS1" t="s">
        <v>3116</v>
      </c>
      <c r="IT1" t="s">
        <v>3116</v>
      </c>
      <c r="IU1" t="s">
        <v>3116</v>
      </c>
      <c r="IV1" t="s">
        <v>3116</v>
      </c>
      <c r="IW1" t="s">
        <v>3116</v>
      </c>
      <c r="IX1" t="s">
        <v>3116</v>
      </c>
      <c r="IY1" t="s">
        <v>3116</v>
      </c>
      <c r="IZ1" t="s">
        <v>3116</v>
      </c>
      <c r="JA1" t="s">
        <v>3116</v>
      </c>
      <c r="JB1" t="s">
        <v>3116</v>
      </c>
      <c r="JC1" t="s">
        <v>3116</v>
      </c>
      <c r="JD1" t="s">
        <v>3116</v>
      </c>
      <c r="JE1" t="s">
        <v>3116</v>
      </c>
      <c r="JF1" t="s">
        <v>3116</v>
      </c>
      <c r="JG1" t="s">
        <v>3116</v>
      </c>
      <c r="JH1" t="s">
        <v>3116</v>
      </c>
      <c r="JI1" t="s">
        <v>3116</v>
      </c>
      <c r="JJ1" t="s">
        <v>3116</v>
      </c>
      <c r="JK1" t="s">
        <v>3116</v>
      </c>
      <c r="JL1" t="s">
        <v>3116</v>
      </c>
      <c r="JM1" t="s">
        <v>3116</v>
      </c>
      <c r="JN1" t="s">
        <v>3116</v>
      </c>
      <c r="JO1" t="s">
        <v>3116</v>
      </c>
      <c r="JP1" t="s">
        <v>3116</v>
      </c>
      <c r="JQ1" t="s">
        <v>3116</v>
      </c>
      <c r="JR1" t="s">
        <v>3116</v>
      </c>
      <c r="JS1" t="s">
        <v>3116</v>
      </c>
      <c r="JT1" t="s">
        <v>3116</v>
      </c>
      <c r="JU1" t="s">
        <v>3116</v>
      </c>
      <c r="JV1" t="s">
        <v>3116</v>
      </c>
      <c r="JW1" t="s">
        <v>3116</v>
      </c>
      <c r="JX1" t="s">
        <v>3116</v>
      </c>
      <c r="JY1" t="s">
        <v>3116</v>
      </c>
      <c r="JZ1" t="s">
        <v>3116</v>
      </c>
      <c r="KA1" t="s">
        <v>3116</v>
      </c>
      <c r="KB1" t="s">
        <v>3116</v>
      </c>
      <c r="KC1" t="s">
        <v>3116</v>
      </c>
      <c r="KD1" t="s">
        <v>3116</v>
      </c>
      <c r="KE1" t="s">
        <v>3116</v>
      </c>
      <c r="KF1" t="s">
        <v>3116</v>
      </c>
      <c r="KG1" t="s">
        <v>3116</v>
      </c>
      <c r="KH1" t="s">
        <v>3116</v>
      </c>
      <c r="KI1" t="s">
        <v>3116</v>
      </c>
      <c r="KJ1" t="s">
        <v>3116</v>
      </c>
      <c r="KK1" t="s">
        <v>3116</v>
      </c>
      <c r="KL1" t="s">
        <v>3116</v>
      </c>
      <c r="KM1" t="s">
        <v>3116</v>
      </c>
      <c r="KN1" t="s">
        <v>3116</v>
      </c>
      <c r="KO1" t="s">
        <v>3116</v>
      </c>
      <c r="KP1" t="s">
        <v>3116</v>
      </c>
      <c r="KQ1" t="s">
        <v>3116</v>
      </c>
      <c r="KR1" t="s">
        <v>3116</v>
      </c>
      <c r="KS1" t="s">
        <v>3116</v>
      </c>
      <c r="KT1" t="s">
        <v>3116</v>
      </c>
      <c r="KU1" t="s">
        <v>3116</v>
      </c>
      <c r="KV1" t="s">
        <v>3116</v>
      </c>
      <c r="KW1" t="s">
        <v>3116</v>
      </c>
      <c r="KX1" t="s">
        <v>3116</v>
      </c>
      <c r="KY1" t="s">
        <v>3116</v>
      </c>
      <c r="KZ1" t="s">
        <v>3116</v>
      </c>
      <c r="LA1" t="s">
        <v>3116</v>
      </c>
      <c r="LB1" t="s">
        <v>3116</v>
      </c>
      <c r="LC1" t="s">
        <v>3116</v>
      </c>
      <c r="LD1" t="s">
        <v>3116</v>
      </c>
      <c r="LE1" t="s">
        <v>3116</v>
      </c>
      <c r="LF1" t="s">
        <v>3116</v>
      </c>
      <c r="LG1" t="s">
        <v>3116</v>
      </c>
      <c r="LH1" t="s">
        <v>3116</v>
      </c>
      <c r="LI1" t="s">
        <v>3116</v>
      </c>
      <c r="LJ1" t="s">
        <v>3116</v>
      </c>
      <c r="LK1" t="s">
        <v>3116</v>
      </c>
      <c r="LL1" t="s">
        <v>3116</v>
      </c>
      <c r="LM1" t="s">
        <v>3116</v>
      </c>
      <c r="LN1" t="s">
        <v>3116</v>
      </c>
      <c r="LO1" t="s">
        <v>3116</v>
      </c>
      <c r="LP1" t="s">
        <v>3116</v>
      </c>
      <c r="LQ1" t="s">
        <v>3116</v>
      </c>
      <c r="LR1" t="s">
        <v>3116</v>
      </c>
      <c r="LS1" t="s">
        <v>3116</v>
      </c>
      <c r="LT1" t="s">
        <v>3116</v>
      </c>
      <c r="LU1" t="s">
        <v>3116</v>
      </c>
      <c r="LV1" t="s">
        <v>3116</v>
      </c>
      <c r="LW1" t="s">
        <v>3116</v>
      </c>
      <c r="LX1" t="s">
        <v>3116</v>
      </c>
      <c r="LY1" t="s">
        <v>3116</v>
      </c>
      <c r="LZ1" t="s">
        <v>3116</v>
      </c>
      <c r="MA1" t="s">
        <v>3116</v>
      </c>
      <c r="MB1" t="s">
        <v>3116</v>
      </c>
    </row>
    <row r="2" spans="1:340">
      <c r="A2" t="s">
        <v>817</v>
      </c>
      <c r="B2" t="s">
        <v>817</v>
      </c>
      <c r="C2" t="s">
        <v>817</v>
      </c>
      <c r="D2" t="s">
        <v>817</v>
      </c>
      <c r="E2" t="s">
        <v>817</v>
      </c>
      <c r="F2" t="s">
        <v>817</v>
      </c>
      <c r="G2" t="s">
        <v>817</v>
      </c>
      <c r="H2" t="s">
        <v>817</v>
      </c>
      <c r="I2" t="s">
        <v>817</v>
      </c>
      <c r="J2" t="s">
        <v>817</v>
      </c>
      <c r="K2" t="s">
        <v>817</v>
      </c>
      <c r="L2" t="s">
        <v>817</v>
      </c>
      <c r="M2" t="s">
        <v>817</v>
      </c>
      <c r="N2" t="s">
        <v>817</v>
      </c>
      <c r="O2" t="s">
        <v>817</v>
      </c>
      <c r="P2" t="s">
        <v>817</v>
      </c>
      <c r="Q2" t="s">
        <v>817</v>
      </c>
      <c r="R2" t="s">
        <v>817</v>
      </c>
      <c r="S2" t="s">
        <v>817</v>
      </c>
      <c r="T2" t="s">
        <v>817</v>
      </c>
      <c r="U2" t="s">
        <v>817</v>
      </c>
      <c r="V2" t="s">
        <v>817</v>
      </c>
      <c r="W2" t="s">
        <v>817</v>
      </c>
      <c r="X2" t="s">
        <v>817</v>
      </c>
      <c r="Y2" t="s">
        <v>817</v>
      </c>
      <c r="Z2" t="s">
        <v>817</v>
      </c>
      <c r="AA2" t="s">
        <v>817</v>
      </c>
      <c r="AB2" t="s">
        <v>817</v>
      </c>
      <c r="AC2" t="s">
        <v>817</v>
      </c>
      <c r="AD2" t="s">
        <v>817</v>
      </c>
      <c r="AE2" t="s">
        <v>817</v>
      </c>
      <c r="AF2" t="s">
        <v>817</v>
      </c>
      <c r="AG2" t="s">
        <v>817</v>
      </c>
      <c r="AH2" t="s">
        <v>878</v>
      </c>
      <c r="AI2" t="s">
        <v>817</v>
      </c>
      <c r="AJ2" t="s">
        <v>817</v>
      </c>
      <c r="AK2" t="s">
        <v>817</v>
      </c>
      <c r="AL2" t="s">
        <v>817</v>
      </c>
      <c r="AM2" t="s">
        <v>817</v>
      </c>
      <c r="AN2" t="s">
        <v>817</v>
      </c>
      <c r="AO2" t="s">
        <v>817</v>
      </c>
      <c r="AP2" t="s">
        <v>817</v>
      </c>
      <c r="AQ2" t="s">
        <v>817</v>
      </c>
      <c r="AR2" t="s">
        <v>817</v>
      </c>
      <c r="AS2" t="s">
        <v>817</v>
      </c>
      <c r="AT2" t="s">
        <v>817</v>
      </c>
      <c r="AU2" t="s">
        <v>817</v>
      </c>
      <c r="AV2" t="s">
        <v>817</v>
      </c>
      <c r="AW2" t="s">
        <v>817</v>
      </c>
      <c r="AX2" t="s">
        <v>913</v>
      </c>
      <c r="AY2" t="s">
        <v>1</v>
      </c>
      <c r="AZ2" t="s">
        <v>935</v>
      </c>
      <c r="BA2" t="s">
        <v>1120</v>
      </c>
      <c r="BB2" t="s">
        <v>4</v>
      </c>
      <c r="BC2" t="s">
        <v>1165</v>
      </c>
      <c r="BD2" t="s">
        <v>1168</v>
      </c>
      <c r="BE2" t="s">
        <v>1172</v>
      </c>
      <c r="BF2" t="s">
        <v>1175</v>
      </c>
      <c r="BG2" t="s">
        <v>1178</v>
      </c>
      <c r="BH2" t="s">
        <v>1181</v>
      </c>
      <c r="BI2" t="s">
        <v>1184</v>
      </c>
      <c r="BJ2" t="s">
        <v>1187</v>
      </c>
      <c r="BK2" t="s">
        <v>1190</v>
      </c>
      <c r="BL2" t="s">
        <v>1193</v>
      </c>
      <c r="BM2" t="s">
        <v>1201</v>
      </c>
      <c r="BN2" t="s">
        <v>1205</v>
      </c>
      <c r="BO2" t="s">
        <v>1208</v>
      </c>
      <c r="BP2" t="s">
        <v>1211</v>
      </c>
      <c r="BQ2" t="s">
        <v>1201</v>
      </c>
      <c r="BR2" t="s">
        <v>1216</v>
      </c>
      <c r="BS2" t="s">
        <v>1219</v>
      </c>
      <c r="BT2" t="s">
        <v>1231</v>
      </c>
      <c r="BU2" t="s">
        <v>1235</v>
      </c>
      <c r="BV2" t="s">
        <v>1235</v>
      </c>
      <c r="BW2" t="s">
        <v>1</v>
      </c>
      <c r="BX2" t="s">
        <v>1</v>
      </c>
      <c r="BY2" t="s">
        <v>1</v>
      </c>
      <c r="BZ2" t="s">
        <v>1</v>
      </c>
      <c r="CA2" t="s">
        <v>5</v>
      </c>
      <c r="CB2" t="s">
        <v>5</v>
      </c>
      <c r="CC2" t="s">
        <v>1275</v>
      </c>
      <c r="CD2" t="s">
        <v>1231</v>
      </c>
      <c r="CE2" t="s">
        <v>1283</v>
      </c>
      <c r="CF2" t="s">
        <v>1289</v>
      </c>
      <c r="CG2" t="s">
        <v>1231</v>
      </c>
      <c r="CH2" t="s">
        <v>1</v>
      </c>
      <c r="CI2" t="s">
        <v>1231</v>
      </c>
      <c r="CJ2" t="s">
        <v>2283</v>
      </c>
      <c r="CK2" t="s">
        <v>2289</v>
      </c>
      <c r="CL2" t="s">
        <v>2300</v>
      </c>
      <c r="CM2" t="s">
        <v>2304</v>
      </c>
      <c r="CN2" t="s">
        <v>2360</v>
      </c>
      <c r="CO2" t="s">
        <v>2372</v>
      </c>
      <c r="CP2" t="s">
        <v>1</v>
      </c>
      <c r="CQ2" t="s">
        <v>1231</v>
      </c>
      <c r="CR2" t="s">
        <v>2372</v>
      </c>
      <c r="CS2" t="s">
        <v>2399</v>
      </c>
      <c r="CT2" t="s">
        <v>2415</v>
      </c>
      <c r="CU2" t="s">
        <v>2419</v>
      </c>
      <c r="CV2" t="s">
        <v>1231</v>
      </c>
      <c r="CW2" t="s">
        <v>2433</v>
      </c>
      <c r="CX2" t="s">
        <v>2436</v>
      </c>
      <c r="CY2" t="s">
        <v>2439</v>
      </c>
      <c r="CZ2" t="s">
        <v>2442</v>
      </c>
      <c r="DA2" t="s">
        <v>2447</v>
      </c>
      <c r="DB2" t="s">
        <v>2454</v>
      </c>
      <c r="DC2" t="s">
        <v>2304</v>
      </c>
      <c r="DD2" t="s">
        <v>2360</v>
      </c>
      <c r="DE2" t="s">
        <v>2459</v>
      </c>
      <c r="DF2" t="s">
        <v>2467</v>
      </c>
      <c r="DG2" t="s">
        <v>2372</v>
      </c>
      <c r="DH2" t="s">
        <v>2475</v>
      </c>
      <c r="DI2" t="s">
        <v>2372</v>
      </c>
      <c r="DJ2" t="s">
        <v>1263</v>
      </c>
      <c r="DK2" t="s">
        <v>2484</v>
      </c>
      <c r="DL2" t="s">
        <v>1231</v>
      </c>
      <c r="DM2" t="s">
        <v>2493</v>
      </c>
      <c r="DN2" t="s">
        <v>1231</v>
      </c>
      <c r="DO2" t="s">
        <v>2501</v>
      </c>
      <c r="DP2" t="s">
        <v>2506</v>
      </c>
      <c r="DQ2" t="s">
        <v>2511</v>
      </c>
      <c r="DR2" t="s">
        <v>2516</v>
      </c>
      <c r="DS2" t="s">
        <v>2516</v>
      </c>
      <c r="DT2" t="s">
        <v>2529</v>
      </c>
      <c r="DU2" t="s">
        <v>2529</v>
      </c>
      <c r="DV2" t="s">
        <v>2532</v>
      </c>
      <c r="DW2" t="s">
        <v>2532</v>
      </c>
      <c r="DX2" t="s">
        <v>1235</v>
      </c>
      <c r="DY2" t="s">
        <v>1235</v>
      </c>
      <c r="DZ2" t="s">
        <v>2536</v>
      </c>
      <c r="EA2" t="s">
        <v>2542</v>
      </c>
      <c r="EB2" t="s">
        <v>2542</v>
      </c>
      <c r="EC2" t="s">
        <v>2545</v>
      </c>
      <c r="ED2" t="s">
        <v>2551</v>
      </c>
      <c r="EE2" t="s">
        <v>2554</v>
      </c>
      <c r="EF2" t="s">
        <v>2554</v>
      </c>
      <c r="EG2" t="s">
        <v>2557</v>
      </c>
      <c r="EH2" t="s">
        <v>2562</v>
      </c>
      <c r="EI2" t="s">
        <v>2566</v>
      </c>
      <c r="EJ2" t="s">
        <v>2571</v>
      </c>
      <c r="EK2" t="s">
        <v>2574</v>
      </c>
      <c r="EL2" t="s">
        <v>2576</v>
      </c>
      <c r="EM2" t="s">
        <v>2579</v>
      </c>
      <c r="EN2" t="s">
        <v>2581</v>
      </c>
      <c r="EO2" t="s">
        <v>1231</v>
      </c>
      <c r="EP2" t="s">
        <v>5</v>
      </c>
      <c r="EQ2" t="s">
        <v>5</v>
      </c>
      <c r="ER2" t="s">
        <v>2587</v>
      </c>
      <c r="ES2" t="s">
        <v>2516</v>
      </c>
      <c r="ET2" t="s">
        <v>2516</v>
      </c>
      <c r="EU2" t="s">
        <v>1235</v>
      </c>
      <c r="EV2" t="s">
        <v>1235</v>
      </c>
      <c r="EW2" t="s">
        <v>1231</v>
      </c>
      <c r="EX2" t="s">
        <v>2595</v>
      </c>
      <c r="EY2" t="s">
        <v>2598</v>
      </c>
      <c r="EZ2" t="s">
        <v>1235</v>
      </c>
      <c r="FA2" t="s">
        <v>1235</v>
      </c>
      <c r="FB2" t="s">
        <v>2611</v>
      </c>
      <c r="FC2" t="s">
        <v>2626</v>
      </c>
      <c r="FD2" t="s">
        <v>2629</v>
      </c>
      <c r="FE2" t="s">
        <v>2634</v>
      </c>
      <c r="FF2" t="s">
        <v>2640</v>
      </c>
      <c r="FG2" t="s">
        <v>2643</v>
      </c>
      <c r="FH2" t="s">
        <v>2643</v>
      </c>
      <c r="FI2" t="s">
        <v>2653</v>
      </c>
      <c r="FJ2" t="s">
        <v>1231</v>
      </c>
      <c r="FK2" t="s">
        <v>2662</v>
      </c>
      <c r="FL2" t="s">
        <v>2665</v>
      </c>
      <c r="FM2" t="s">
        <v>1</v>
      </c>
      <c r="FN2" t="s">
        <v>2672</v>
      </c>
      <c r="FO2" t="s">
        <v>2677</v>
      </c>
      <c r="FP2" t="s">
        <v>2383</v>
      </c>
      <c r="FQ2" t="s">
        <v>1235</v>
      </c>
      <c r="FR2" t="s">
        <v>1235</v>
      </c>
      <c r="FS2" t="s">
        <v>2611</v>
      </c>
      <c r="FT2" t="s">
        <v>2698</v>
      </c>
      <c r="FU2" t="s">
        <v>2703</v>
      </c>
      <c r="FV2" t="s">
        <v>2703</v>
      </c>
      <c r="FW2" t="s">
        <v>817</v>
      </c>
      <c r="FX2" t="s">
        <v>817</v>
      </c>
      <c r="FY2" t="s">
        <v>817</v>
      </c>
      <c r="FZ2" t="s">
        <v>817</v>
      </c>
      <c r="GA2" t="s">
        <v>2715</v>
      </c>
      <c r="GB2" t="s">
        <v>2715</v>
      </c>
      <c r="GC2" t="s">
        <v>817</v>
      </c>
      <c r="GD2" t="s">
        <v>817</v>
      </c>
      <c r="GE2" t="s">
        <v>817</v>
      </c>
      <c r="GF2" t="s">
        <v>817</v>
      </c>
      <c r="GG2" t="s">
        <v>817</v>
      </c>
      <c r="GH2" t="s">
        <v>817</v>
      </c>
      <c r="GI2" t="s">
        <v>817</v>
      </c>
      <c r="GJ2" t="s">
        <v>817</v>
      </c>
      <c r="GK2" t="s">
        <v>817</v>
      </c>
      <c r="GL2" t="s">
        <v>817</v>
      </c>
      <c r="GM2" t="s">
        <v>817</v>
      </c>
      <c r="GN2" t="s">
        <v>878</v>
      </c>
      <c r="GO2" t="s">
        <v>817</v>
      </c>
      <c r="GP2" t="s">
        <v>817</v>
      </c>
      <c r="GQ2" t="s">
        <v>817</v>
      </c>
      <c r="GR2" t="s">
        <v>817</v>
      </c>
      <c r="GS2" t="s">
        <v>817</v>
      </c>
      <c r="GT2" t="s">
        <v>817</v>
      </c>
      <c r="GU2" t="s">
        <v>817</v>
      </c>
      <c r="GV2" t="s">
        <v>817</v>
      </c>
      <c r="GW2" t="s">
        <v>817</v>
      </c>
      <c r="GX2" t="s">
        <v>817</v>
      </c>
      <c r="GY2" t="s">
        <v>817</v>
      </c>
      <c r="GZ2" t="s">
        <v>817</v>
      </c>
      <c r="HA2" t="s">
        <v>2745</v>
      </c>
      <c r="HB2" t="s">
        <v>1120</v>
      </c>
      <c r="HC2" t="s">
        <v>2749</v>
      </c>
      <c r="HD2" t="s">
        <v>2752</v>
      </c>
      <c r="HE2" t="s">
        <v>2300</v>
      </c>
      <c r="HF2" t="s">
        <v>2304</v>
      </c>
      <c r="HG2" t="s">
        <v>2304</v>
      </c>
      <c r="HH2" t="s">
        <v>913</v>
      </c>
      <c r="HI2" t="s">
        <v>2780</v>
      </c>
      <c r="HJ2" t="s">
        <v>2783</v>
      </c>
      <c r="HK2" t="s">
        <v>2786</v>
      </c>
      <c r="HL2" t="s">
        <v>2791</v>
      </c>
      <c r="HM2" t="s">
        <v>1231</v>
      </c>
      <c r="HN2" t="s">
        <v>1231</v>
      </c>
      <c r="HO2" t="s">
        <v>2804</v>
      </c>
      <c r="HP2" t="s">
        <v>2807</v>
      </c>
      <c r="HQ2" t="s">
        <v>2810</v>
      </c>
      <c r="HR2" t="s">
        <v>2752</v>
      </c>
      <c r="HS2" t="s">
        <v>2815</v>
      </c>
      <c r="HT2" t="s">
        <v>817</v>
      </c>
      <c r="HU2" t="s">
        <v>817</v>
      </c>
      <c r="HV2" t="s">
        <v>817</v>
      </c>
      <c r="HW2" t="s">
        <v>817</v>
      </c>
      <c r="HX2" t="s">
        <v>817</v>
      </c>
      <c r="HY2" t="s">
        <v>817</v>
      </c>
      <c r="HZ2" t="s">
        <v>817</v>
      </c>
      <c r="IA2" t="s">
        <v>817</v>
      </c>
      <c r="IB2" t="s">
        <v>817</v>
      </c>
      <c r="IC2" t="s">
        <v>817</v>
      </c>
      <c r="ID2" t="s">
        <v>817</v>
      </c>
      <c r="IE2" t="s">
        <v>913</v>
      </c>
      <c r="IF2" t="s">
        <v>2555</v>
      </c>
      <c r="IG2" t="s">
        <v>2840</v>
      </c>
      <c r="IH2" t="s">
        <v>2843</v>
      </c>
      <c r="II2" t="s">
        <v>817</v>
      </c>
      <c r="IJ2" t="s">
        <v>817</v>
      </c>
      <c r="IK2" t="s">
        <v>817</v>
      </c>
      <c r="IL2" t="s">
        <v>817</v>
      </c>
      <c r="IM2" t="s">
        <v>817</v>
      </c>
      <c r="IN2" t="s">
        <v>2853</v>
      </c>
      <c r="IO2" t="s">
        <v>2865</v>
      </c>
      <c r="IP2" t="s">
        <v>817</v>
      </c>
      <c r="IQ2" t="s">
        <v>2871</v>
      </c>
      <c r="IR2" t="s">
        <v>2874</v>
      </c>
    </row>
    <row r="3" spans="1:340">
      <c r="B3" t="s">
        <v>819</v>
      </c>
      <c r="C3" t="s">
        <v>822</v>
      </c>
      <c r="D3" t="s">
        <v>824</v>
      </c>
      <c r="E3" t="s">
        <v>826</v>
      </c>
      <c r="F3" t="s">
        <v>828</v>
      </c>
      <c r="G3" t="s">
        <v>830</v>
      </c>
      <c r="H3" t="s">
        <v>832</v>
      </c>
      <c r="I3" t="s">
        <v>834</v>
      </c>
      <c r="J3" t="s">
        <v>822</v>
      </c>
      <c r="K3" t="s">
        <v>824</v>
      </c>
      <c r="L3" t="s">
        <v>839</v>
      </c>
      <c r="M3" t="s">
        <v>822</v>
      </c>
      <c r="N3" t="s">
        <v>844</v>
      </c>
      <c r="O3" t="s">
        <v>846</v>
      </c>
      <c r="P3" t="s">
        <v>848</v>
      </c>
      <c r="Q3" t="s">
        <v>820</v>
      </c>
      <c r="R3" t="s">
        <v>851</v>
      </c>
      <c r="S3" t="s">
        <v>853</v>
      </c>
      <c r="T3" t="s">
        <v>855</v>
      </c>
      <c r="U3" t="s">
        <v>855</v>
      </c>
      <c r="V3" t="s">
        <v>855</v>
      </c>
      <c r="W3" t="s">
        <v>859</v>
      </c>
      <c r="X3" t="s">
        <v>861</v>
      </c>
      <c r="Y3" t="s">
        <v>863</v>
      </c>
      <c r="Z3" t="s">
        <v>863</v>
      </c>
      <c r="AA3" t="s">
        <v>863</v>
      </c>
      <c r="AB3" t="s">
        <v>863</v>
      </c>
      <c r="AC3" t="s">
        <v>868</v>
      </c>
      <c r="AD3" t="s">
        <v>870</v>
      </c>
      <c r="AE3" t="s">
        <v>872</v>
      </c>
      <c r="AF3" t="s">
        <v>874</v>
      </c>
      <c r="AG3" t="s">
        <v>876</v>
      </c>
      <c r="AH3" t="s">
        <v>879</v>
      </c>
      <c r="AI3" t="s">
        <v>881</v>
      </c>
      <c r="AJ3" t="s">
        <v>880</v>
      </c>
      <c r="AK3" t="s">
        <v>886</v>
      </c>
      <c r="AL3" t="s">
        <v>880</v>
      </c>
      <c r="AM3" t="s">
        <v>891</v>
      </c>
      <c r="AN3" t="s">
        <v>886</v>
      </c>
      <c r="AO3" t="s">
        <v>894</v>
      </c>
      <c r="AP3" t="s">
        <v>896</v>
      </c>
      <c r="AQ3" t="s">
        <v>898</v>
      </c>
      <c r="AR3" t="s">
        <v>900</v>
      </c>
      <c r="AS3" t="s">
        <v>902</v>
      </c>
      <c r="AT3" t="s">
        <v>904</v>
      </c>
      <c r="AU3" t="s">
        <v>907</v>
      </c>
      <c r="AV3" t="s">
        <v>909</v>
      </c>
      <c r="AW3" t="s">
        <v>911</v>
      </c>
      <c r="AX3" t="s">
        <v>914</v>
      </c>
      <c r="AY3" t="s">
        <v>5</v>
      </c>
      <c r="AZ3" t="s">
        <v>936</v>
      </c>
      <c r="BA3" t="s">
        <v>1121</v>
      </c>
      <c r="BB3" t="s">
        <v>7</v>
      </c>
      <c r="BC3" t="s">
        <v>1166</v>
      </c>
      <c r="BD3" t="s">
        <v>1169</v>
      </c>
      <c r="BE3" t="s">
        <v>1173</v>
      </c>
      <c r="BF3" t="s">
        <v>1176</v>
      </c>
      <c r="BG3" t="s">
        <v>1179</v>
      </c>
      <c r="BH3" t="s">
        <v>1182</v>
      </c>
      <c r="BI3" t="s">
        <v>1185</v>
      </c>
      <c r="BJ3" t="s">
        <v>1188</v>
      </c>
      <c r="BK3" t="s">
        <v>1191</v>
      </c>
      <c r="BL3" t="s">
        <v>1194</v>
      </c>
      <c r="BM3" t="s">
        <v>1202</v>
      </c>
      <c r="BN3" t="s">
        <v>1206</v>
      </c>
      <c r="BO3" t="s">
        <v>1209</v>
      </c>
      <c r="BP3" t="s">
        <v>1212</v>
      </c>
      <c r="BQ3" t="s">
        <v>1202</v>
      </c>
      <c r="BR3" t="s">
        <v>1217</v>
      </c>
      <c r="BS3" t="s">
        <v>1220</v>
      </c>
      <c r="BT3" t="s">
        <v>1232</v>
      </c>
      <c r="BU3" t="s">
        <v>1236</v>
      </c>
      <c r="BV3" t="s">
        <v>1236</v>
      </c>
      <c r="BW3" t="s">
        <v>53</v>
      </c>
      <c r="BX3" t="s">
        <v>53</v>
      </c>
      <c r="BY3" t="s">
        <v>5</v>
      </c>
      <c r="BZ3" t="s">
        <v>5</v>
      </c>
      <c r="CA3" t="s">
        <v>462</v>
      </c>
      <c r="CB3" t="s">
        <v>462</v>
      </c>
      <c r="CC3" t="s">
        <v>1276</v>
      </c>
      <c r="CD3" t="s">
        <v>1265</v>
      </c>
      <c r="CE3" t="s">
        <v>1284</v>
      </c>
      <c r="CF3" t="s">
        <v>1290</v>
      </c>
      <c r="CG3" t="s">
        <v>1296</v>
      </c>
      <c r="CH3" t="s">
        <v>5</v>
      </c>
      <c r="CI3" t="s">
        <v>4</v>
      </c>
      <c r="CJ3" t="s">
        <v>2284</v>
      </c>
      <c r="CK3" t="s">
        <v>2290</v>
      </c>
      <c r="CL3" t="s">
        <v>2301</v>
      </c>
      <c r="CM3" t="s">
        <v>2305</v>
      </c>
      <c r="CN3" t="s">
        <v>2361</v>
      </c>
      <c r="CO3" t="s">
        <v>2373</v>
      </c>
      <c r="CP3" t="s">
        <v>5</v>
      </c>
      <c r="CQ3" t="s">
        <v>2393</v>
      </c>
      <c r="CR3" t="s">
        <v>2373</v>
      </c>
      <c r="CS3" t="s">
        <v>2400</v>
      </c>
      <c r="CT3" t="s">
        <v>2416</v>
      </c>
      <c r="CU3" t="s">
        <v>2420</v>
      </c>
      <c r="CV3" t="s">
        <v>2427</v>
      </c>
      <c r="CW3" t="s">
        <v>2434</v>
      </c>
      <c r="CX3" t="s">
        <v>2437</v>
      </c>
      <c r="CY3" t="s">
        <v>2440</v>
      </c>
      <c r="CZ3" t="s">
        <v>2443</v>
      </c>
      <c r="DA3" t="s">
        <v>2448</v>
      </c>
      <c r="DB3" t="s">
        <v>2455</v>
      </c>
      <c r="DC3" t="s">
        <v>2305</v>
      </c>
      <c r="DD3" t="s">
        <v>2361</v>
      </c>
      <c r="DE3" t="s">
        <v>2460</v>
      </c>
      <c r="DF3" t="s">
        <v>2468</v>
      </c>
      <c r="DG3" t="s">
        <v>2373</v>
      </c>
      <c r="DH3" t="s">
        <v>2476</v>
      </c>
      <c r="DI3" t="s">
        <v>2373</v>
      </c>
      <c r="DJ3" t="s">
        <v>1264</v>
      </c>
      <c r="DK3" t="s">
        <v>2485</v>
      </c>
      <c r="DL3" t="s">
        <v>2490</v>
      </c>
      <c r="DM3" t="s">
        <v>2494</v>
      </c>
      <c r="DN3" t="s">
        <v>2497</v>
      </c>
      <c r="DO3" t="s">
        <v>2502</v>
      </c>
      <c r="DP3" t="s">
        <v>2507</v>
      </c>
      <c r="DQ3" t="s">
        <v>2512</v>
      </c>
      <c r="DR3" t="s">
        <v>2517</v>
      </c>
      <c r="DS3" t="s">
        <v>2517</v>
      </c>
      <c r="DT3" t="s">
        <v>2530</v>
      </c>
      <c r="DU3" t="s">
        <v>2530</v>
      </c>
      <c r="DV3" t="s">
        <v>2533</v>
      </c>
      <c r="DW3" t="s">
        <v>2533</v>
      </c>
      <c r="DX3" t="s">
        <v>1236</v>
      </c>
      <c r="DY3" t="s">
        <v>1236</v>
      </c>
      <c r="DZ3" t="s">
        <v>2537</v>
      </c>
      <c r="EA3" t="s">
        <v>2543</v>
      </c>
      <c r="EB3" t="s">
        <v>2543</v>
      </c>
      <c r="EC3" t="s">
        <v>2546</v>
      </c>
      <c r="ED3" t="s">
        <v>2552</v>
      </c>
      <c r="EE3" t="s">
        <v>2555</v>
      </c>
      <c r="EF3" t="s">
        <v>2555</v>
      </c>
      <c r="EG3" t="s">
        <v>2558</v>
      </c>
      <c r="EH3" t="s">
        <v>2563</v>
      </c>
      <c r="EI3" t="s">
        <v>2567</v>
      </c>
      <c r="EJ3" t="s">
        <v>2572</v>
      </c>
      <c r="EK3" t="s">
        <v>2572</v>
      </c>
      <c r="EL3" t="s">
        <v>2577</v>
      </c>
      <c r="EM3" t="s">
        <v>2572</v>
      </c>
      <c r="EN3" t="s">
        <v>2572</v>
      </c>
      <c r="EO3" t="s">
        <v>2583</v>
      </c>
      <c r="EP3" t="s">
        <v>462</v>
      </c>
      <c r="EQ3" t="s">
        <v>462</v>
      </c>
      <c r="ER3" t="s">
        <v>2572</v>
      </c>
      <c r="ES3" t="s">
        <v>2517</v>
      </c>
      <c r="ET3" t="s">
        <v>2517</v>
      </c>
      <c r="EU3" t="s">
        <v>1236</v>
      </c>
      <c r="EV3" t="s">
        <v>1236</v>
      </c>
      <c r="EW3" t="s">
        <v>2592</v>
      </c>
      <c r="EX3" t="s">
        <v>2596</v>
      </c>
      <c r="EY3" t="s">
        <v>2599</v>
      </c>
      <c r="EZ3" t="s">
        <v>1236</v>
      </c>
      <c r="FA3" t="s">
        <v>1236</v>
      </c>
      <c r="FB3" t="s">
        <v>2612</v>
      </c>
      <c r="FC3" t="s">
        <v>2627</v>
      </c>
      <c r="FD3" t="s">
        <v>2630</v>
      </c>
      <c r="FE3" t="s">
        <v>2635</v>
      </c>
      <c r="FF3" t="s">
        <v>2641</v>
      </c>
      <c r="FG3" t="s">
        <v>2644</v>
      </c>
      <c r="FH3" t="s">
        <v>2650</v>
      </c>
      <c r="FI3" t="s">
        <v>2654</v>
      </c>
      <c r="FJ3" t="s">
        <v>2656</v>
      </c>
      <c r="FK3" t="s">
        <v>2663</v>
      </c>
      <c r="FL3" t="s">
        <v>2666</v>
      </c>
      <c r="FM3" t="s">
        <v>5</v>
      </c>
      <c r="FN3" t="s">
        <v>2673</v>
      </c>
      <c r="FO3" t="s">
        <v>2678</v>
      </c>
      <c r="FP3" t="s">
        <v>2387</v>
      </c>
      <c r="FQ3" t="s">
        <v>1236</v>
      </c>
      <c r="FR3" t="s">
        <v>1236</v>
      </c>
      <c r="FS3" t="s">
        <v>2612</v>
      </c>
      <c r="FT3" t="s">
        <v>2699</v>
      </c>
      <c r="FU3" t="s">
        <v>2704</v>
      </c>
      <c r="FV3" t="s">
        <v>2704</v>
      </c>
      <c r="FW3" t="s">
        <v>819</v>
      </c>
      <c r="FX3" t="s">
        <v>2708</v>
      </c>
      <c r="FY3" t="s">
        <v>2710</v>
      </c>
      <c r="FZ3" t="s">
        <v>2712</v>
      </c>
      <c r="GA3" t="s">
        <v>2704</v>
      </c>
      <c r="GB3" t="s">
        <v>2704</v>
      </c>
      <c r="GC3" t="s">
        <v>819</v>
      </c>
      <c r="GD3" t="s">
        <v>2719</v>
      </c>
      <c r="GE3" t="s">
        <v>824</v>
      </c>
      <c r="GF3" t="s">
        <v>2719</v>
      </c>
      <c r="GG3" t="s">
        <v>2719</v>
      </c>
      <c r="GH3" t="s">
        <v>844</v>
      </c>
      <c r="GI3" t="s">
        <v>846</v>
      </c>
      <c r="GJ3" t="s">
        <v>848</v>
      </c>
      <c r="GK3" t="s">
        <v>851</v>
      </c>
      <c r="GL3" t="s">
        <v>853</v>
      </c>
      <c r="GM3" t="s">
        <v>2717</v>
      </c>
      <c r="GN3" t="s">
        <v>879</v>
      </c>
      <c r="GO3" t="s">
        <v>881</v>
      </c>
      <c r="GP3" t="s">
        <v>880</v>
      </c>
      <c r="GQ3" t="s">
        <v>886</v>
      </c>
      <c r="GR3" t="s">
        <v>880</v>
      </c>
      <c r="GS3" t="s">
        <v>891</v>
      </c>
      <c r="GT3" t="s">
        <v>886</v>
      </c>
      <c r="GU3" t="s">
        <v>2737</v>
      </c>
      <c r="GV3" t="s">
        <v>904</v>
      </c>
      <c r="GW3" t="s">
        <v>907</v>
      </c>
      <c r="GX3" t="s">
        <v>909</v>
      </c>
      <c r="GY3" t="s">
        <v>911</v>
      </c>
      <c r="GZ3" t="s">
        <v>2743</v>
      </c>
      <c r="HA3" t="s">
        <v>2746</v>
      </c>
      <c r="HB3" t="s">
        <v>1121</v>
      </c>
      <c r="HC3" t="s">
        <v>2750</v>
      </c>
      <c r="HD3" t="s">
        <v>2753</v>
      </c>
      <c r="HE3" t="s">
        <v>2756</v>
      </c>
      <c r="HF3" t="s">
        <v>2305</v>
      </c>
      <c r="HG3" t="s">
        <v>2305</v>
      </c>
      <c r="HH3" t="s">
        <v>914</v>
      </c>
      <c r="HI3" t="s">
        <v>2781</v>
      </c>
      <c r="HJ3" t="s">
        <v>2784</v>
      </c>
      <c r="HK3" t="s">
        <v>2787</v>
      </c>
      <c r="HL3" t="s">
        <v>2792</v>
      </c>
      <c r="HM3" t="s">
        <v>2802</v>
      </c>
      <c r="HN3" t="s">
        <v>2802</v>
      </c>
      <c r="HO3" t="s">
        <v>2805</v>
      </c>
      <c r="HP3" t="s">
        <v>2808</v>
      </c>
      <c r="HQ3" t="s">
        <v>2811</v>
      </c>
      <c r="HR3" t="s">
        <v>2753</v>
      </c>
      <c r="HS3" t="s">
        <v>2816</v>
      </c>
      <c r="HT3" t="s">
        <v>819</v>
      </c>
      <c r="HU3" t="s">
        <v>2827</v>
      </c>
      <c r="HV3" t="s">
        <v>2827</v>
      </c>
      <c r="HW3" t="s">
        <v>2827</v>
      </c>
      <c r="HX3" t="s">
        <v>844</v>
      </c>
      <c r="HY3" t="s">
        <v>846</v>
      </c>
      <c r="HZ3" t="s">
        <v>848</v>
      </c>
      <c r="IA3" t="s">
        <v>851</v>
      </c>
      <c r="IB3" t="s">
        <v>853</v>
      </c>
      <c r="IC3" t="s">
        <v>855</v>
      </c>
      <c r="ID3" t="s">
        <v>863</v>
      </c>
      <c r="IE3" t="s">
        <v>914</v>
      </c>
      <c r="IF3" t="s">
        <v>2554</v>
      </c>
      <c r="IG3" t="s">
        <v>2841</v>
      </c>
      <c r="IH3" t="s">
        <v>2844</v>
      </c>
      <c r="II3" t="s">
        <v>2846</v>
      </c>
      <c r="IJ3" t="s">
        <v>2719</v>
      </c>
      <c r="IK3" t="s">
        <v>900</v>
      </c>
      <c r="IL3" t="s">
        <v>2850</v>
      </c>
      <c r="IM3" t="s">
        <v>900</v>
      </c>
      <c r="IN3" t="s">
        <v>2854</v>
      </c>
      <c r="IO3" t="s">
        <v>2866</v>
      </c>
      <c r="IP3" t="s">
        <v>900</v>
      </c>
      <c r="IQ3" t="s">
        <v>2872</v>
      </c>
      <c r="IR3" t="s">
        <v>2875</v>
      </c>
    </row>
    <row r="4" spans="1:340">
      <c r="B4" t="s">
        <v>820</v>
      </c>
      <c r="C4" t="s">
        <v>820</v>
      </c>
      <c r="D4" t="s">
        <v>820</v>
      </c>
      <c r="E4" t="s">
        <v>820</v>
      </c>
      <c r="F4" t="s">
        <v>820</v>
      </c>
      <c r="G4" t="s">
        <v>820</v>
      </c>
      <c r="H4" t="s">
        <v>820</v>
      </c>
      <c r="I4" t="s">
        <v>835</v>
      </c>
      <c r="J4" t="s">
        <v>820</v>
      </c>
      <c r="K4" t="s">
        <v>820</v>
      </c>
      <c r="L4" t="s">
        <v>840</v>
      </c>
      <c r="M4" t="s">
        <v>842</v>
      </c>
      <c r="N4" t="s">
        <v>824</v>
      </c>
      <c r="O4" t="s">
        <v>824</v>
      </c>
      <c r="P4" t="s">
        <v>822</v>
      </c>
      <c r="R4" t="s">
        <v>824</v>
      </c>
      <c r="S4" t="s">
        <v>822</v>
      </c>
      <c r="T4" t="s">
        <v>822</v>
      </c>
      <c r="U4" t="s">
        <v>824</v>
      </c>
      <c r="V4" t="s">
        <v>820</v>
      </c>
      <c r="W4" t="s">
        <v>835</v>
      </c>
      <c r="X4" t="s">
        <v>820</v>
      </c>
      <c r="Y4" t="s">
        <v>822</v>
      </c>
      <c r="Z4" t="s">
        <v>824</v>
      </c>
      <c r="AA4" t="s">
        <v>820</v>
      </c>
      <c r="AB4" t="s">
        <v>835</v>
      </c>
      <c r="AC4" t="s">
        <v>820</v>
      </c>
      <c r="AD4" t="s">
        <v>820</v>
      </c>
      <c r="AE4" t="s">
        <v>820</v>
      </c>
      <c r="AG4" t="s">
        <v>820</v>
      </c>
      <c r="AH4" t="s">
        <v>880</v>
      </c>
      <c r="AI4" t="s">
        <v>883</v>
      </c>
      <c r="AJ4" t="s">
        <v>883</v>
      </c>
      <c r="AK4" t="s">
        <v>880</v>
      </c>
      <c r="AL4" t="s">
        <v>881</v>
      </c>
      <c r="AM4" t="s">
        <v>880</v>
      </c>
      <c r="AN4" t="s">
        <v>880</v>
      </c>
      <c r="AO4" t="s">
        <v>820</v>
      </c>
      <c r="AP4" t="s">
        <v>820</v>
      </c>
      <c r="AQ4" t="s">
        <v>820</v>
      </c>
      <c r="AR4" t="s">
        <v>820</v>
      </c>
      <c r="AS4" t="s">
        <v>820</v>
      </c>
      <c r="AT4" t="s">
        <v>905</v>
      </c>
      <c r="AU4" t="s">
        <v>905</v>
      </c>
      <c r="AV4" t="s">
        <v>905</v>
      </c>
      <c r="AW4" t="s">
        <v>905</v>
      </c>
      <c r="AX4" t="s">
        <v>915</v>
      </c>
      <c r="AY4" t="s">
        <v>462</v>
      </c>
      <c r="AZ4" t="s">
        <v>937</v>
      </c>
      <c r="BA4" t="s">
        <v>1122</v>
      </c>
      <c r="BB4" t="s">
        <v>11</v>
      </c>
      <c r="BD4" t="s">
        <v>1170</v>
      </c>
      <c r="BL4" t="s">
        <v>1195</v>
      </c>
      <c r="BM4" t="s">
        <v>1203</v>
      </c>
      <c r="BP4" t="s">
        <v>1213</v>
      </c>
      <c r="BS4" t="s">
        <v>1221</v>
      </c>
      <c r="BT4" t="s">
        <v>1233</v>
      </c>
      <c r="BU4" t="s">
        <v>1237</v>
      </c>
      <c r="BV4" t="s">
        <v>1237</v>
      </c>
      <c r="BW4" t="s">
        <v>75</v>
      </c>
      <c r="BX4" t="s">
        <v>75</v>
      </c>
      <c r="BY4" t="s">
        <v>462</v>
      </c>
      <c r="BZ4" t="s">
        <v>462</v>
      </c>
      <c r="CA4" t="s">
        <v>9</v>
      </c>
      <c r="CB4" t="s">
        <v>9</v>
      </c>
      <c r="CC4" t="s">
        <v>1201</v>
      </c>
      <c r="CD4" t="s">
        <v>1281</v>
      </c>
      <c r="CE4" t="s">
        <v>1285</v>
      </c>
      <c r="CF4" t="s">
        <v>1291</v>
      </c>
      <c r="CG4" t="s">
        <v>1297</v>
      </c>
      <c r="CH4" t="s">
        <v>462</v>
      </c>
      <c r="CI4" t="s">
        <v>7</v>
      </c>
      <c r="CJ4" t="s">
        <v>2285</v>
      </c>
      <c r="CK4" t="s">
        <v>2291</v>
      </c>
      <c r="CL4" t="s">
        <v>2302</v>
      </c>
      <c r="CM4" t="s">
        <v>2306</v>
      </c>
      <c r="CN4" t="s">
        <v>2362</v>
      </c>
      <c r="CO4" t="s">
        <v>2374</v>
      </c>
      <c r="CP4" t="s">
        <v>462</v>
      </c>
      <c r="CQ4" t="s">
        <v>2394</v>
      </c>
      <c r="CR4" t="s">
        <v>2396</v>
      </c>
      <c r="CS4" t="s">
        <v>2401</v>
      </c>
      <c r="CT4" t="s">
        <v>2417</v>
      </c>
      <c r="CU4" t="s">
        <v>2421</v>
      </c>
      <c r="CV4" t="s">
        <v>2428</v>
      </c>
      <c r="CY4" t="s">
        <v>2397</v>
      </c>
      <c r="CZ4" t="s">
        <v>2444</v>
      </c>
      <c r="DA4" t="s">
        <v>2449</v>
      </c>
      <c r="DB4" t="s">
        <v>1291</v>
      </c>
      <c r="DC4" t="s">
        <v>2306</v>
      </c>
      <c r="DD4" t="s">
        <v>2362</v>
      </c>
      <c r="DE4" t="s">
        <v>2461</v>
      </c>
      <c r="DF4" t="s">
        <v>2469</v>
      </c>
      <c r="DG4" t="s">
        <v>2396</v>
      </c>
      <c r="DH4" t="s">
        <v>2477</v>
      </c>
      <c r="DI4" t="s">
        <v>2480</v>
      </c>
      <c r="DJ4" t="s">
        <v>1265</v>
      </c>
      <c r="DK4" t="s">
        <v>2486</v>
      </c>
      <c r="DL4" t="s">
        <v>2491</v>
      </c>
      <c r="DM4" t="s">
        <v>2495</v>
      </c>
      <c r="DN4" t="s">
        <v>2498</v>
      </c>
      <c r="DO4" t="s">
        <v>2503</v>
      </c>
      <c r="DP4" t="s">
        <v>2508</v>
      </c>
      <c r="DQ4" t="s">
        <v>2513</v>
      </c>
      <c r="DR4" t="s">
        <v>2518</v>
      </c>
      <c r="DS4" t="s">
        <v>2518</v>
      </c>
      <c r="DX4" t="s">
        <v>1237</v>
      </c>
      <c r="DY4" t="s">
        <v>1237</v>
      </c>
      <c r="DZ4" t="s">
        <v>2538</v>
      </c>
      <c r="EC4" t="s">
        <v>2547</v>
      </c>
      <c r="EG4" t="s">
        <v>2559</v>
      </c>
      <c r="EH4" t="s">
        <v>2564</v>
      </c>
      <c r="EI4" t="s">
        <v>2568</v>
      </c>
      <c r="EO4" t="s">
        <v>2584</v>
      </c>
      <c r="EP4" t="s">
        <v>9</v>
      </c>
      <c r="EQ4" t="s">
        <v>9</v>
      </c>
      <c r="ES4" t="s">
        <v>2518</v>
      </c>
      <c r="ET4" t="s">
        <v>2518</v>
      </c>
      <c r="EU4" t="s">
        <v>1237</v>
      </c>
      <c r="EV4" t="s">
        <v>1237</v>
      </c>
      <c r="EW4" t="s">
        <v>2593</v>
      </c>
      <c r="EY4" t="s">
        <v>2600</v>
      </c>
      <c r="EZ4" t="s">
        <v>1237</v>
      </c>
      <c r="FA4" t="s">
        <v>1237</v>
      </c>
      <c r="FB4" t="s">
        <v>2613</v>
      </c>
      <c r="FD4" t="s">
        <v>2631</v>
      </c>
      <c r="FE4" t="s">
        <v>2636</v>
      </c>
      <c r="FG4" t="s">
        <v>2645</v>
      </c>
      <c r="FH4" t="s">
        <v>2651</v>
      </c>
      <c r="FJ4" t="s">
        <v>2657</v>
      </c>
      <c r="FL4" t="s">
        <v>2667</v>
      </c>
      <c r="FM4" t="s">
        <v>462</v>
      </c>
      <c r="FN4" t="s">
        <v>2674</v>
      </c>
      <c r="FO4" t="s">
        <v>2679</v>
      </c>
      <c r="FP4" t="s">
        <v>2684</v>
      </c>
      <c r="FQ4" t="s">
        <v>1237</v>
      </c>
      <c r="FR4" t="s">
        <v>1237</v>
      </c>
      <c r="FS4" t="s">
        <v>2613</v>
      </c>
      <c r="FT4" t="s">
        <v>2700</v>
      </c>
      <c r="FW4" t="s">
        <v>2706</v>
      </c>
      <c r="FX4" t="s">
        <v>820</v>
      </c>
      <c r="FY4" t="s">
        <v>820</v>
      </c>
      <c r="FZ4" t="s">
        <v>2713</v>
      </c>
      <c r="GC4" t="s">
        <v>2717</v>
      </c>
      <c r="GD4" t="s">
        <v>2717</v>
      </c>
      <c r="GE4" t="s">
        <v>2717</v>
      </c>
      <c r="GF4" t="s">
        <v>820</v>
      </c>
      <c r="GG4" t="s">
        <v>842</v>
      </c>
      <c r="GH4" t="s">
        <v>824</v>
      </c>
      <c r="GI4" t="s">
        <v>824</v>
      </c>
      <c r="GJ4" t="s">
        <v>2719</v>
      </c>
      <c r="GK4" t="s">
        <v>824</v>
      </c>
      <c r="GL4" t="s">
        <v>2719</v>
      </c>
      <c r="GM4" t="s">
        <v>820</v>
      </c>
      <c r="GN4" t="s">
        <v>880</v>
      </c>
      <c r="GO4" t="s">
        <v>883</v>
      </c>
      <c r="GP4" t="s">
        <v>883</v>
      </c>
      <c r="GQ4" t="s">
        <v>880</v>
      </c>
      <c r="GR4" t="s">
        <v>881</v>
      </c>
      <c r="GS4" t="s">
        <v>880</v>
      </c>
      <c r="GT4" t="s">
        <v>880</v>
      </c>
      <c r="GU4" t="s">
        <v>820</v>
      </c>
      <c r="GV4" t="s">
        <v>820</v>
      </c>
      <c r="GW4" t="s">
        <v>820</v>
      </c>
      <c r="GX4" t="s">
        <v>820</v>
      </c>
      <c r="GY4" t="s">
        <v>820</v>
      </c>
      <c r="GZ4" t="s">
        <v>820</v>
      </c>
      <c r="HB4" t="s">
        <v>1123</v>
      </c>
      <c r="HD4" t="s">
        <v>2754</v>
      </c>
      <c r="HE4" t="s">
        <v>2757</v>
      </c>
      <c r="HF4" t="s">
        <v>2306</v>
      </c>
      <c r="HG4" t="s">
        <v>2306</v>
      </c>
      <c r="HH4" t="s">
        <v>917</v>
      </c>
      <c r="HK4" t="s">
        <v>2788</v>
      </c>
      <c r="HL4" t="s">
        <v>2793</v>
      </c>
      <c r="HM4" t="s">
        <v>2703</v>
      </c>
      <c r="HN4" t="s">
        <v>2703</v>
      </c>
      <c r="HQ4" t="s">
        <v>2812</v>
      </c>
      <c r="HS4" t="s">
        <v>2817</v>
      </c>
      <c r="HT4" t="s">
        <v>2717</v>
      </c>
      <c r="HU4" t="s">
        <v>820</v>
      </c>
      <c r="HV4" t="s">
        <v>820</v>
      </c>
      <c r="HW4" t="s">
        <v>842</v>
      </c>
      <c r="HX4" t="s">
        <v>824</v>
      </c>
      <c r="HY4" t="s">
        <v>824</v>
      </c>
      <c r="HZ4" t="s">
        <v>2827</v>
      </c>
      <c r="IA4" t="s">
        <v>824</v>
      </c>
      <c r="IB4" t="s">
        <v>2827</v>
      </c>
      <c r="IC4" t="s">
        <v>2827</v>
      </c>
      <c r="ID4" t="s">
        <v>2827</v>
      </c>
      <c r="IE4" t="s">
        <v>915</v>
      </c>
      <c r="II4" t="s">
        <v>820</v>
      </c>
      <c r="IJ4" t="s">
        <v>820</v>
      </c>
      <c r="IK4" t="s">
        <v>822</v>
      </c>
      <c r="IL4" t="s">
        <v>820</v>
      </c>
      <c r="IM4" t="s">
        <v>824</v>
      </c>
      <c r="IN4" t="s">
        <v>2855</v>
      </c>
      <c r="IO4" t="s">
        <v>2867</v>
      </c>
      <c r="IP4" t="s">
        <v>2827</v>
      </c>
    </row>
    <row r="5" spans="1:340">
      <c r="I5" t="s">
        <v>820</v>
      </c>
      <c r="L5" t="s">
        <v>820</v>
      </c>
      <c r="M5" t="s">
        <v>820</v>
      </c>
      <c r="N5" t="s">
        <v>822</v>
      </c>
      <c r="O5" t="s">
        <v>822</v>
      </c>
      <c r="P5" t="s">
        <v>842</v>
      </c>
      <c r="R5" t="s">
        <v>822</v>
      </c>
      <c r="S5" t="s">
        <v>820</v>
      </c>
      <c r="T5" t="s">
        <v>820</v>
      </c>
      <c r="U5" t="s">
        <v>820</v>
      </c>
      <c r="W5" t="s">
        <v>820</v>
      </c>
      <c r="Y5" t="s">
        <v>820</v>
      </c>
      <c r="Z5" t="s">
        <v>835</v>
      </c>
      <c r="AB5" t="s">
        <v>820</v>
      </c>
      <c r="AH5" t="s">
        <v>881</v>
      </c>
      <c r="AI5" t="s">
        <v>820</v>
      </c>
      <c r="AJ5" t="s">
        <v>820</v>
      </c>
      <c r="AK5" t="s">
        <v>881</v>
      </c>
      <c r="AL5" t="s">
        <v>887</v>
      </c>
      <c r="AM5" t="s">
        <v>881</v>
      </c>
      <c r="AN5" t="s">
        <v>881</v>
      </c>
      <c r="AT5" t="s">
        <v>820</v>
      </c>
      <c r="AU5" t="s">
        <v>820</v>
      </c>
      <c r="AV5" t="s">
        <v>820</v>
      </c>
      <c r="AW5" t="s">
        <v>820</v>
      </c>
      <c r="AX5" t="s">
        <v>916</v>
      </c>
      <c r="AY5" t="s">
        <v>9</v>
      </c>
      <c r="AZ5" t="s">
        <v>938</v>
      </c>
      <c r="BA5" t="s">
        <v>1123</v>
      </c>
      <c r="BB5" t="s">
        <v>14</v>
      </c>
      <c r="BL5" t="s">
        <v>1196</v>
      </c>
      <c r="BS5" t="s">
        <v>1222</v>
      </c>
      <c r="BU5" t="s">
        <v>1238</v>
      </c>
      <c r="BV5" t="s">
        <v>1238</v>
      </c>
      <c r="BW5" t="s">
        <v>98</v>
      </c>
      <c r="BX5" t="s">
        <v>98</v>
      </c>
      <c r="BY5" t="s">
        <v>9</v>
      </c>
      <c r="BZ5" t="s">
        <v>9</v>
      </c>
      <c r="CA5" t="s">
        <v>12</v>
      </c>
      <c r="CB5" t="s">
        <v>12</v>
      </c>
      <c r="CC5" t="s">
        <v>1277</v>
      </c>
      <c r="CE5" t="s">
        <v>1286</v>
      </c>
      <c r="CF5" t="s">
        <v>1292</v>
      </c>
      <c r="CG5" t="s">
        <v>1298</v>
      </c>
      <c r="CH5" t="s">
        <v>9</v>
      </c>
      <c r="CI5" t="s">
        <v>11</v>
      </c>
      <c r="CJ5" t="s">
        <v>2286</v>
      </c>
      <c r="CK5" t="s">
        <v>2292</v>
      </c>
      <c r="CM5" t="s">
        <v>2307</v>
      </c>
      <c r="CN5" t="s">
        <v>2363</v>
      </c>
      <c r="CO5" t="s">
        <v>2375</v>
      </c>
      <c r="CP5" t="s">
        <v>9</v>
      </c>
      <c r="CR5" t="s">
        <v>2376</v>
      </c>
      <c r="CS5" t="s">
        <v>2402</v>
      </c>
      <c r="CU5" t="s">
        <v>2422</v>
      </c>
      <c r="CV5" t="s">
        <v>2429</v>
      </c>
      <c r="CZ5" t="s">
        <v>2445</v>
      </c>
      <c r="DA5" t="s">
        <v>2450</v>
      </c>
      <c r="DB5" t="s">
        <v>1294</v>
      </c>
      <c r="DC5" t="s">
        <v>2307</v>
      </c>
      <c r="DD5" t="s">
        <v>2364</v>
      </c>
      <c r="DE5" t="s">
        <v>2462</v>
      </c>
      <c r="DF5" t="s">
        <v>2470</v>
      </c>
      <c r="DG5" t="s">
        <v>2376</v>
      </c>
      <c r="DH5" t="s">
        <v>2478</v>
      </c>
      <c r="DI5" t="s">
        <v>2376</v>
      </c>
      <c r="DJ5" t="s">
        <v>1266</v>
      </c>
      <c r="DK5" t="s">
        <v>2487</v>
      </c>
      <c r="DM5" t="s">
        <v>2425</v>
      </c>
      <c r="DN5" t="s">
        <v>2499</v>
      </c>
      <c r="DO5" t="s">
        <v>2504</v>
      </c>
      <c r="DP5" t="s">
        <v>2509</v>
      </c>
      <c r="DQ5" t="s">
        <v>2514</v>
      </c>
      <c r="DR5" t="s">
        <v>2519</v>
      </c>
      <c r="DS5" t="s">
        <v>2519</v>
      </c>
      <c r="DX5" t="s">
        <v>1238</v>
      </c>
      <c r="DY5" t="s">
        <v>1238</v>
      </c>
      <c r="DZ5" t="s">
        <v>2539</v>
      </c>
      <c r="EC5" t="s">
        <v>2548</v>
      </c>
      <c r="EG5" t="s">
        <v>2560</v>
      </c>
      <c r="EI5" t="s">
        <v>2569</v>
      </c>
      <c r="EP5" t="s">
        <v>12</v>
      </c>
      <c r="EQ5" t="s">
        <v>12</v>
      </c>
      <c r="ES5" t="s">
        <v>2519</v>
      </c>
      <c r="ET5" t="s">
        <v>2519</v>
      </c>
      <c r="EU5" t="s">
        <v>1238</v>
      </c>
      <c r="EV5" t="s">
        <v>1238</v>
      </c>
      <c r="EY5" t="s">
        <v>2601</v>
      </c>
      <c r="EZ5" t="s">
        <v>1238</v>
      </c>
      <c r="FA5" t="s">
        <v>1238</v>
      </c>
      <c r="FB5" t="s">
        <v>2614</v>
      </c>
      <c r="FD5" t="s">
        <v>2632</v>
      </c>
      <c r="FE5" t="s">
        <v>2637</v>
      </c>
      <c r="FG5" t="s">
        <v>2646</v>
      </c>
      <c r="FJ5" t="s">
        <v>2658</v>
      </c>
      <c r="FL5" t="s">
        <v>2668</v>
      </c>
      <c r="FM5" t="s">
        <v>9</v>
      </c>
      <c r="FN5" t="s">
        <v>2675</v>
      </c>
      <c r="FO5" t="s">
        <v>2680</v>
      </c>
      <c r="FP5" t="s">
        <v>2685</v>
      </c>
      <c r="FQ5" t="s">
        <v>1238</v>
      </c>
      <c r="FR5" t="s">
        <v>1238</v>
      </c>
      <c r="FS5" t="s">
        <v>2614</v>
      </c>
      <c r="FT5" t="s">
        <v>2701</v>
      </c>
      <c r="FW5" t="s">
        <v>820</v>
      </c>
      <c r="FZ5" t="s">
        <v>820</v>
      </c>
      <c r="GC5" t="s">
        <v>820</v>
      </c>
      <c r="GD5" t="s">
        <v>820</v>
      </c>
      <c r="GE5" t="s">
        <v>820</v>
      </c>
      <c r="GG5" t="s">
        <v>820</v>
      </c>
      <c r="GH5" t="s">
        <v>2719</v>
      </c>
      <c r="GI5" t="s">
        <v>2719</v>
      </c>
      <c r="GJ5" t="s">
        <v>842</v>
      </c>
      <c r="GK5" t="s">
        <v>2719</v>
      </c>
      <c r="GL5" t="s">
        <v>820</v>
      </c>
      <c r="GN5" t="s">
        <v>881</v>
      </c>
      <c r="GO5" t="s">
        <v>2717</v>
      </c>
      <c r="GP5" t="s">
        <v>2717</v>
      </c>
      <c r="GQ5" t="s">
        <v>881</v>
      </c>
      <c r="GR5" t="s">
        <v>887</v>
      </c>
      <c r="GS5" t="s">
        <v>881</v>
      </c>
      <c r="GT5" t="s">
        <v>881</v>
      </c>
      <c r="HE5" t="s">
        <v>2758</v>
      </c>
      <c r="HF5" t="s">
        <v>2307</v>
      </c>
      <c r="HG5" t="s">
        <v>2307</v>
      </c>
      <c r="HH5" t="s">
        <v>2767</v>
      </c>
      <c r="HK5" t="s">
        <v>2789</v>
      </c>
      <c r="HL5" t="s">
        <v>2794</v>
      </c>
      <c r="HM5" t="s">
        <v>2704</v>
      </c>
      <c r="HN5" t="s">
        <v>2704</v>
      </c>
      <c r="HS5" t="s">
        <v>2818</v>
      </c>
      <c r="HT5" t="s">
        <v>2706</v>
      </c>
      <c r="HW5" t="s">
        <v>820</v>
      </c>
      <c r="HX5" t="s">
        <v>2827</v>
      </c>
      <c r="HY5" t="s">
        <v>2827</v>
      </c>
      <c r="HZ5" t="s">
        <v>842</v>
      </c>
      <c r="IA5" t="s">
        <v>2827</v>
      </c>
      <c r="IB5" t="s">
        <v>820</v>
      </c>
      <c r="IC5" t="s">
        <v>820</v>
      </c>
      <c r="ID5" t="s">
        <v>820</v>
      </c>
      <c r="IE5" t="s">
        <v>916</v>
      </c>
      <c r="IK5" t="s">
        <v>842</v>
      </c>
      <c r="IM5" t="s">
        <v>820</v>
      </c>
      <c r="IN5" t="s">
        <v>2856</v>
      </c>
      <c r="IO5" t="s">
        <v>2868</v>
      </c>
      <c r="IP5" t="s">
        <v>842</v>
      </c>
    </row>
    <row r="6" spans="1:340">
      <c r="N6" t="s">
        <v>842</v>
      </c>
      <c r="O6" t="s">
        <v>820</v>
      </c>
      <c r="P6" t="s">
        <v>820</v>
      </c>
      <c r="R6" t="s">
        <v>820</v>
      </c>
      <c r="Z6" t="s">
        <v>820</v>
      </c>
      <c r="AH6" t="s">
        <v>820</v>
      </c>
      <c r="AK6" t="s">
        <v>887</v>
      </c>
      <c r="AL6" t="s">
        <v>879</v>
      </c>
      <c r="AM6" t="s">
        <v>887</v>
      </c>
      <c r="AN6" t="s">
        <v>887</v>
      </c>
      <c r="AX6" t="s">
        <v>917</v>
      </c>
      <c r="AY6" t="s">
        <v>12</v>
      </c>
      <c r="AZ6" t="s">
        <v>939</v>
      </c>
      <c r="BB6" t="s">
        <v>17</v>
      </c>
      <c r="BL6" t="s">
        <v>1197</v>
      </c>
      <c r="BS6" t="s">
        <v>1223</v>
      </c>
      <c r="BU6" t="s">
        <v>1239</v>
      </c>
      <c r="BV6" t="s">
        <v>1239</v>
      </c>
      <c r="BW6" t="s">
        <v>163</v>
      </c>
      <c r="BX6" t="s">
        <v>163</v>
      </c>
      <c r="BY6" t="s">
        <v>12</v>
      </c>
      <c r="BZ6" t="s">
        <v>12</v>
      </c>
      <c r="CA6" t="s">
        <v>15</v>
      </c>
      <c r="CB6" t="s">
        <v>15</v>
      </c>
      <c r="CC6" t="s">
        <v>1278</v>
      </c>
      <c r="CE6" t="s">
        <v>1287</v>
      </c>
      <c r="CF6" t="s">
        <v>1293</v>
      </c>
      <c r="CG6" t="s">
        <v>1299</v>
      </c>
      <c r="CH6" t="s">
        <v>12</v>
      </c>
      <c r="CI6" t="s">
        <v>14</v>
      </c>
      <c r="CJ6" t="s">
        <v>2287</v>
      </c>
      <c r="CK6" t="s">
        <v>2293</v>
      </c>
      <c r="CM6" t="s">
        <v>2308</v>
      </c>
      <c r="CN6" t="s">
        <v>2364</v>
      </c>
      <c r="CO6" t="s">
        <v>2376</v>
      </c>
      <c r="CP6" t="s">
        <v>12</v>
      </c>
      <c r="CR6" t="s">
        <v>2377</v>
      </c>
      <c r="CS6" t="s">
        <v>2403</v>
      </c>
      <c r="CU6" t="s">
        <v>2423</v>
      </c>
      <c r="CV6" t="s">
        <v>2430</v>
      </c>
      <c r="DA6" t="s">
        <v>2451</v>
      </c>
      <c r="DC6" t="s">
        <v>2308</v>
      </c>
      <c r="DD6" t="s">
        <v>2367</v>
      </c>
      <c r="DE6" t="s">
        <v>2463</v>
      </c>
      <c r="DF6" t="s">
        <v>2471</v>
      </c>
      <c r="DG6" t="s">
        <v>2377</v>
      </c>
      <c r="DI6" t="s">
        <v>2377</v>
      </c>
      <c r="DJ6" t="s">
        <v>1267</v>
      </c>
      <c r="DK6" t="s">
        <v>2488</v>
      </c>
      <c r="DO6" t="s">
        <v>2488</v>
      </c>
      <c r="DR6" t="s">
        <v>2520</v>
      </c>
      <c r="DS6" t="s">
        <v>2520</v>
      </c>
      <c r="DX6" t="s">
        <v>1239</v>
      </c>
      <c r="DY6" t="s">
        <v>1239</v>
      </c>
      <c r="DZ6" t="s">
        <v>2540</v>
      </c>
      <c r="EC6" t="s">
        <v>2549</v>
      </c>
      <c r="EP6" t="s">
        <v>15</v>
      </c>
      <c r="EQ6" t="s">
        <v>15</v>
      </c>
      <c r="ES6" t="s">
        <v>2520</v>
      </c>
      <c r="ET6" t="s">
        <v>2520</v>
      </c>
      <c r="EU6" t="s">
        <v>1239</v>
      </c>
      <c r="EV6" t="s">
        <v>1239</v>
      </c>
      <c r="EY6" t="s">
        <v>2602</v>
      </c>
      <c r="EZ6" t="s">
        <v>1239</v>
      </c>
      <c r="FA6" t="s">
        <v>1239</v>
      </c>
      <c r="FB6" t="s">
        <v>2615</v>
      </c>
      <c r="FD6" t="s">
        <v>1231</v>
      </c>
      <c r="FE6" t="s">
        <v>2638</v>
      </c>
      <c r="FG6" t="s">
        <v>2647</v>
      </c>
      <c r="FJ6" t="s">
        <v>2659</v>
      </c>
      <c r="FL6" t="s">
        <v>2669</v>
      </c>
      <c r="FM6" t="s">
        <v>12</v>
      </c>
      <c r="FO6" t="s">
        <v>2681</v>
      </c>
      <c r="FP6" t="s">
        <v>2686</v>
      </c>
      <c r="FQ6" t="s">
        <v>1239</v>
      </c>
      <c r="FR6" t="s">
        <v>1239</v>
      </c>
      <c r="FS6" t="s">
        <v>2615</v>
      </c>
      <c r="GH6" t="s">
        <v>842</v>
      </c>
      <c r="GI6" t="s">
        <v>820</v>
      </c>
      <c r="GJ6" t="s">
        <v>820</v>
      </c>
      <c r="GK6" t="s">
        <v>820</v>
      </c>
      <c r="GN6" t="s">
        <v>2717</v>
      </c>
      <c r="GO6" t="s">
        <v>820</v>
      </c>
      <c r="GP6" t="s">
        <v>820</v>
      </c>
      <c r="GQ6" t="s">
        <v>887</v>
      </c>
      <c r="GR6" t="s">
        <v>2717</v>
      </c>
      <c r="GS6" t="s">
        <v>887</v>
      </c>
      <c r="GT6" t="s">
        <v>887</v>
      </c>
      <c r="HE6" t="s">
        <v>2759</v>
      </c>
      <c r="HF6" t="s">
        <v>2308</v>
      </c>
      <c r="HG6" t="s">
        <v>2308</v>
      </c>
      <c r="HH6" t="s">
        <v>2768</v>
      </c>
      <c r="HL6" t="s">
        <v>2795</v>
      </c>
      <c r="HS6" t="s">
        <v>2819</v>
      </c>
      <c r="HT6" t="s">
        <v>820</v>
      </c>
      <c r="HX6" t="s">
        <v>842</v>
      </c>
      <c r="HY6" t="s">
        <v>820</v>
      </c>
      <c r="HZ6" t="s">
        <v>820</v>
      </c>
      <c r="IA6" t="s">
        <v>820</v>
      </c>
      <c r="IK6" t="s">
        <v>820</v>
      </c>
      <c r="IN6" t="s">
        <v>2857</v>
      </c>
      <c r="IP6" t="s">
        <v>820</v>
      </c>
    </row>
    <row r="7" spans="1:340">
      <c r="N7" t="s">
        <v>820</v>
      </c>
      <c r="AK7" t="s">
        <v>879</v>
      </c>
      <c r="AL7" t="s">
        <v>888</v>
      </c>
      <c r="AM7" t="s">
        <v>879</v>
      </c>
      <c r="AN7" t="s">
        <v>820</v>
      </c>
      <c r="AY7" t="s">
        <v>15</v>
      </c>
      <c r="AZ7" t="s">
        <v>940</v>
      </c>
      <c r="BB7" t="s">
        <v>20</v>
      </c>
      <c r="BL7" t="s">
        <v>1198</v>
      </c>
      <c r="BS7" t="s">
        <v>1224</v>
      </c>
      <c r="BU7" t="s">
        <v>1240</v>
      </c>
      <c r="BV7" t="s">
        <v>1240</v>
      </c>
      <c r="BW7" t="s">
        <v>923</v>
      </c>
      <c r="BX7" t="s">
        <v>923</v>
      </c>
      <c r="BY7" t="s">
        <v>15</v>
      </c>
      <c r="BZ7" t="s">
        <v>15</v>
      </c>
      <c r="CA7" t="s">
        <v>18</v>
      </c>
      <c r="CB7" t="s">
        <v>18</v>
      </c>
      <c r="CC7" t="s">
        <v>1279</v>
      </c>
      <c r="CF7" t="s">
        <v>1294</v>
      </c>
      <c r="CG7" t="s">
        <v>1300</v>
      </c>
      <c r="CH7" t="s">
        <v>15</v>
      </c>
      <c r="CI7" t="s">
        <v>17</v>
      </c>
      <c r="CK7" t="s">
        <v>2294</v>
      </c>
      <c r="CM7" t="s">
        <v>2309</v>
      </c>
      <c r="CN7" t="s">
        <v>2365</v>
      </c>
      <c r="CO7" t="s">
        <v>2377</v>
      </c>
      <c r="CP7" t="s">
        <v>15</v>
      </c>
      <c r="CR7" t="s">
        <v>2378</v>
      </c>
      <c r="CS7" t="s">
        <v>2404</v>
      </c>
      <c r="CU7" t="s">
        <v>2424</v>
      </c>
      <c r="CV7" t="s">
        <v>2431</v>
      </c>
      <c r="DA7" t="s">
        <v>2452</v>
      </c>
      <c r="DC7" t="s">
        <v>2309</v>
      </c>
      <c r="DD7" t="s">
        <v>2368</v>
      </c>
      <c r="DE7" t="s">
        <v>2464</v>
      </c>
      <c r="DF7" t="s">
        <v>2472</v>
      </c>
      <c r="DG7" t="s">
        <v>2378</v>
      </c>
      <c r="DI7" t="s">
        <v>2378</v>
      </c>
      <c r="DJ7" t="s">
        <v>1268</v>
      </c>
      <c r="DR7" t="s">
        <v>2521</v>
      </c>
      <c r="DS7" t="s">
        <v>2521</v>
      </c>
      <c r="DX7" t="s">
        <v>1240</v>
      </c>
      <c r="DY7" t="s">
        <v>1240</v>
      </c>
      <c r="EP7" t="s">
        <v>18</v>
      </c>
      <c r="EQ7" t="s">
        <v>18</v>
      </c>
      <c r="ES7" t="s">
        <v>2521</v>
      </c>
      <c r="ET7" t="s">
        <v>2521</v>
      </c>
      <c r="EU7" t="s">
        <v>1240</v>
      </c>
      <c r="EV7" t="s">
        <v>1240</v>
      </c>
      <c r="EY7" t="s">
        <v>2603</v>
      </c>
      <c r="EZ7" t="s">
        <v>1240</v>
      </c>
      <c r="FA7" t="s">
        <v>1240</v>
      </c>
      <c r="FB7" t="s">
        <v>2616</v>
      </c>
      <c r="FG7" t="s">
        <v>2648</v>
      </c>
      <c r="FJ7" t="s">
        <v>2660</v>
      </c>
      <c r="FM7" t="s">
        <v>15</v>
      </c>
      <c r="FO7" t="s">
        <v>2682</v>
      </c>
      <c r="FP7" t="s">
        <v>2687</v>
      </c>
      <c r="FQ7" t="s">
        <v>1240</v>
      </c>
      <c r="FR7" t="s">
        <v>1240</v>
      </c>
      <c r="FS7" t="s">
        <v>2616</v>
      </c>
      <c r="GH7" t="s">
        <v>820</v>
      </c>
      <c r="GN7" t="s">
        <v>820</v>
      </c>
      <c r="GQ7" t="s">
        <v>2717</v>
      </c>
      <c r="GR7" t="s">
        <v>879</v>
      </c>
      <c r="GS7" t="s">
        <v>2717</v>
      </c>
      <c r="GT7" t="s">
        <v>2717</v>
      </c>
      <c r="HE7" t="s">
        <v>2760</v>
      </c>
      <c r="HF7" t="s">
        <v>2309</v>
      </c>
      <c r="HG7" t="s">
        <v>2309</v>
      </c>
      <c r="HH7" t="s">
        <v>2769</v>
      </c>
      <c r="HL7" t="s">
        <v>2796</v>
      </c>
      <c r="HS7" t="s">
        <v>2820</v>
      </c>
      <c r="HX7" t="s">
        <v>820</v>
      </c>
      <c r="IN7" t="s">
        <v>2858</v>
      </c>
    </row>
    <row r="8" spans="1:340">
      <c r="AK8" t="s">
        <v>888</v>
      </c>
      <c r="AL8" t="s">
        <v>820</v>
      </c>
      <c r="AM8" t="s">
        <v>888</v>
      </c>
      <c r="AY8" t="s">
        <v>18</v>
      </c>
      <c r="AZ8" t="s">
        <v>941</v>
      </c>
      <c r="BB8" t="s">
        <v>23</v>
      </c>
      <c r="BL8" t="s">
        <v>1199</v>
      </c>
      <c r="BS8" t="s">
        <v>1225</v>
      </c>
      <c r="BU8" t="s">
        <v>1241</v>
      </c>
      <c r="BV8" t="s">
        <v>1241</v>
      </c>
      <c r="BW8" t="s">
        <v>167</v>
      </c>
      <c r="BX8" t="s">
        <v>167</v>
      </c>
      <c r="BY8" t="s">
        <v>18</v>
      </c>
      <c r="BZ8" t="s">
        <v>18</v>
      </c>
      <c r="CA8" t="s">
        <v>21</v>
      </c>
      <c r="CB8" t="s">
        <v>21</v>
      </c>
      <c r="CG8" t="s">
        <v>1301</v>
      </c>
      <c r="CH8" t="s">
        <v>18</v>
      </c>
      <c r="CI8" t="s">
        <v>20</v>
      </c>
      <c r="CK8" t="s">
        <v>2295</v>
      </c>
      <c r="CM8" t="s">
        <v>2310</v>
      </c>
      <c r="CN8" t="s">
        <v>2366</v>
      </c>
      <c r="CO8" t="s">
        <v>2378</v>
      </c>
      <c r="CP8" t="s">
        <v>18</v>
      </c>
      <c r="CR8" t="s">
        <v>2379</v>
      </c>
      <c r="CS8" t="s">
        <v>2405</v>
      </c>
      <c r="CU8" t="s">
        <v>2425</v>
      </c>
      <c r="DC8" t="s">
        <v>2310</v>
      </c>
      <c r="DD8" t="s">
        <v>2369</v>
      </c>
      <c r="DE8" t="s">
        <v>2465</v>
      </c>
      <c r="DG8" t="s">
        <v>2379</v>
      </c>
      <c r="DI8" t="s">
        <v>2379</v>
      </c>
      <c r="DJ8" t="s">
        <v>1269</v>
      </c>
      <c r="DR8" t="s">
        <v>2522</v>
      </c>
      <c r="DS8" t="s">
        <v>2522</v>
      </c>
      <c r="DX8" t="s">
        <v>1241</v>
      </c>
      <c r="DY8" t="s">
        <v>1241</v>
      </c>
      <c r="EP8" t="s">
        <v>21</v>
      </c>
      <c r="EQ8" t="s">
        <v>21</v>
      </c>
      <c r="ES8" t="s">
        <v>2522</v>
      </c>
      <c r="ET8" t="s">
        <v>2522</v>
      </c>
      <c r="EU8" t="s">
        <v>1241</v>
      </c>
      <c r="EV8" t="s">
        <v>1241</v>
      </c>
      <c r="EY8" t="s">
        <v>2604</v>
      </c>
      <c r="EZ8" t="s">
        <v>1241</v>
      </c>
      <c r="FA8" t="s">
        <v>1241</v>
      </c>
      <c r="FB8" t="s">
        <v>2617</v>
      </c>
      <c r="FJ8" t="s">
        <v>2488</v>
      </c>
      <c r="FM8" t="s">
        <v>18</v>
      </c>
      <c r="FP8" t="s">
        <v>2688</v>
      </c>
      <c r="FQ8" t="s">
        <v>1241</v>
      </c>
      <c r="FR8" t="s">
        <v>1241</v>
      </c>
      <c r="FS8" t="s">
        <v>2617</v>
      </c>
      <c r="GQ8" t="s">
        <v>879</v>
      </c>
      <c r="GR8" t="s">
        <v>888</v>
      </c>
      <c r="GS8" t="s">
        <v>879</v>
      </c>
      <c r="GT8" t="s">
        <v>820</v>
      </c>
      <c r="HE8" t="s">
        <v>2761</v>
      </c>
      <c r="HF8" t="s">
        <v>2310</v>
      </c>
      <c r="HG8" t="s">
        <v>2310</v>
      </c>
      <c r="HH8" t="s">
        <v>2770</v>
      </c>
      <c r="HL8" t="s">
        <v>2797</v>
      </c>
      <c r="HS8" t="s">
        <v>2821</v>
      </c>
      <c r="IN8" t="s">
        <v>2859</v>
      </c>
    </row>
    <row r="9" spans="1:340">
      <c r="AK9" t="s">
        <v>820</v>
      </c>
      <c r="AM9" t="s">
        <v>820</v>
      </c>
      <c r="AY9" t="s">
        <v>21</v>
      </c>
      <c r="AZ9" t="s">
        <v>942</v>
      </c>
      <c r="BB9" t="s">
        <v>29</v>
      </c>
      <c r="BS9" t="s">
        <v>1226</v>
      </c>
      <c r="BU9" t="s">
        <v>1242</v>
      </c>
      <c r="BV9" t="s">
        <v>1242</v>
      </c>
      <c r="BW9" t="s">
        <v>185</v>
      </c>
      <c r="BX9" t="s">
        <v>185</v>
      </c>
      <c r="BY9" t="s">
        <v>21</v>
      </c>
      <c r="BZ9" t="s">
        <v>21</v>
      </c>
      <c r="CA9" t="s">
        <v>27</v>
      </c>
      <c r="CB9" t="s">
        <v>27</v>
      </c>
      <c r="CG9" t="s">
        <v>1302</v>
      </c>
      <c r="CH9" t="s">
        <v>21</v>
      </c>
      <c r="CI9" t="s">
        <v>23</v>
      </c>
      <c r="CK9" t="s">
        <v>2296</v>
      </c>
      <c r="CM9" t="s">
        <v>2311</v>
      </c>
      <c r="CN9" t="s">
        <v>2367</v>
      </c>
      <c r="CO9" t="s">
        <v>2379</v>
      </c>
      <c r="CP9" t="s">
        <v>21</v>
      </c>
      <c r="CR9" t="s">
        <v>2380</v>
      </c>
      <c r="CS9" t="s">
        <v>2406</v>
      </c>
      <c r="DC9" t="s">
        <v>2311</v>
      </c>
      <c r="DD9" t="s">
        <v>2370</v>
      </c>
      <c r="DG9" t="s">
        <v>2380</v>
      </c>
      <c r="DI9" t="s">
        <v>2380</v>
      </c>
      <c r="DJ9" t="s">
        <v>1270</v>
      </c>
      <c r="DR9" t="s">
        <v>2523</v>
      </c>
      <c r="DS9" t="s">
        <v>2523</v>
      </c>
      <c r="DX9" t="s">
        <v>1242</v>
      </c>
      <c r="DY9" t="s">
        <v>1242</v>
      </c>
      <c r="EP9" t="s">
        <v>27</v>
      </c>
      <c r="EQ9" t="s">
        <v>27</v>
      </c>
      <c r="ES9" t="s">
        <v>2523</v>
      </c>
      <c r="ET9" t="s">
        <v>2523</v>
      </c>
      <c r="EU9" t="s">
        <v>1242</v>
      </c>
      <c r="EV9" t="s">
        <v>1242</v>
      </c>
      <c r="EY9" t="s">
        <v>2605</v>
      </c>
      <c r="EZ9" t="s">
        <v>1242</v>
      </c>
      <c r="FA9" t="s">
        <v>1242</v>
      </c>
      <c r="FB9" t="s">
        <v>2618</v>
      </c>
      <c r="FM9" t="s">
        <v>21</v>
      </c>
      <c r="FP9" t="s">
        <v>2689</v>
      </c>
      <c r="FQ9" t="s">
        <v>1242</v>
      </c>
      <c r="FR9" t="s">
        <v>1242</v>
      </c>
      <c r="FS9" t="s">
        <v>2618</v>
      </c>
      <c r="GQ9" t="s">
        <v>888</v>
      </c>
      <c r="GR9" t="s">
        <v>820</v>
      </c>
      <c r="GS9" t="s">
        <v>888</v>
      </c>
      <c r="HE9" t="s">
        <v>2762</v>
      </c>
      <c r="HF9" t="s">
        <v>2311</v>
      </c>
      <c r="HG9" t="s">
        <v>2311</v>
      </c>
      <c r="HH9" t="s">
        <v>2771</v>
      </c>
      <c r="HL9" t="s">
        <v>2798</v>
      </c>
      <c r="HS9" t="s">
        <v>2822</v>
      </c>
      <c r="IN9" t="s">
        <v>2860</v>
      </c>
    </row>
    <row r="10" spans="1:340">
      <c r="AY10" t="s">
        <v>30</v>
      </c>
      <c r="AZ10" t="s">
        <v>943</v>
      </c>
      <c r="BB10" t="s">
        <v>32</v>
      </c>
      <c r="BS10" t="s">
        <v>1227</v>
      </c>
      <c r="BU10" t="s">
        <v>1243</v>
      </c>
      <c r="BV10" t="s">
        <v>1243</v>
      </c>
      <c r="BW10" t="s">
        <v>195</v>
      </c>
      <c r="BX10" t="s">
        <v>195</v>
      </c>
      <c r="BY10" t="s">
        <v>27</v>
      </c>
      <c r="BZ10" t="s">
        <v>27</v>
      </c>
      <c r="CA10" t="s">
        <v>30</v>
      </c>
      <c r="CB10" t="s">
        <v>30</v>
      </c>
      <c r="CG10" t="s">
        <v>1303</v>
      </c>
      <c r="CH10" t="s">
        <v>27</v>
      </c>
      <c r="CI10" t="s">
        <v>29</v>
      </c>
      <c r="CK10" t="s">
        <v>2297</v>
      </c>
      <c r="CM10" t="s">
        <v>2312</v>
      </c>
      <c r="CN10" t="s">
        <v>2368</v>
      </c>
      <c r="CO10" t="s">
        <v>2380</v>
      </c>
      <c r="CP10" t="s">
        <v>27</v>
      </c>
      <c r="CR10" t="s">
        <v>2381</v>
      </c>
      <c r="CS10" t="s">
        <v>2407</v>
      </c>
      <c r="DC10" t="s">
        <v>2312</v>
      </c>
      <c r="DG10" t="s">
        <v>2381</v>
      </c>
      <c r="DI10" t="s">
        <v>2381</v>
      </c>
      <c r="DR10" t="s">
        <v>2524</v>
      </c>
      <c r="DS10" t="s">
        <v>2524</v>
      </c>
      <c r="DX10" t="s">
        <v>1243</v>
      </c>
      <c r="DY10" t="s">
        <v>1243</v>
      </c>
      <c r="EP10" t="s">
        <v>30</v>
      </c>
      <c r="EQ10" t="s">
        <v>30</v>
      </c>
      <c r="ES10" t="s">
        <v>2524</v>
      </c>
      <c r="ET10" t="s">
        <v>2524</v>
      </c>
      <c r="EU10" t="s">
        <v>1243</v>
      </c>
      <c r="EV10" t="s">
        <v>1243</v>
      </c>
      <c r="EY10" t="s">
        <v>2606</v>
      </c>
      <c r="EZ10" t="s">
        <v>1243</v>
      </c>
      <c r="FA10" t="s">
        <v>1243</v>
      </c>
      <c r="FB10" t="s">
        <v>2619</v>
      </c>
      <c r="FM10" t="s">
        <v>27</v>
      </c>
      <c r="FP10" t="s">
        <v>2690</v>
      </c>
      <c r="FQ10" t="s">
        <v>1243</v>
      </c>
      <c r="FR10" t="s">
        <v>1243</v>
      </c>
      <c r="FS10" t="s">
        <v>2619</v>
      </c>
      <c r="GQ10" t="s">
        <v>820</v>
      </c>
      <c r="GS10" t="s">
        <v>820</v>
      </c>
      <c r="HF10" t="s">
        <v>2312</v>
      </c>
      <c r="HG10" t="s">
        <v>2312</v>
      </c>
      <c r="HH10" t="s">
        <v>2772</v>
      </c>
      <c r="HL10" t="s">
        <v>2799</v>
      </c>
      <c r="HS10" t="s">
        <v>2823</v>
      </c>
      <c r="IN10" t="s">
        <v>2861</v>
      </c>
    </row>
    <row r="11" spans="1:340">
      <c r="AY11" t="s">
        <v>36</v>
      </c>
      <c r="AZ11" t="s">
        <v>944</v>
      </c>
      <c r="BB11" t="s">
        <v>38</v>
      </c>
      <c r="BS11" t="s">
        <v>1228</v>
      </c>
      <c r="BU11" t="s">
        <v>1244</v>
      </c>
      <c r="BV11" t="s">
        <v>1244</v>
      </c>
      <c r="BW11" t="s">
        <v>197</v>
      </c>
      <c r="BX11" t="s">
        <v>197</v>
      </c>
      <c r="BY11" t="s">
        <v>30</v>
      </c>
      <c r="BZ11" t="s">
        <v>30</v>
      </c>
      <c r="CA11" t="s">
        <v>36</v>
      </c>
      <c r="CB11" t="s">
        <v>36</v>
      </c>
      <c r="CG11" t="s">
        <v>1304</v>
      </c>
      <c r="CH11" t="s">
        <v>30</v>
      </c>
      <c r="CI11" t="s">
        <v>32</v>
      </c>
      <c r="CK11" t="s">
        <v>2298</v>
      </c>
      <c r="CM11" t="s">
        <v>2313</v>
      </c>
      <c r="CN11" t="s">
        <v>2369</v>
      </c>
      <c r="CO11" t="s">
        <v>2381</v>
      </c>
      <c r="CP11" t="s">
        <v>30</v>
      </c>
      <c r="CR11" t="s">
        <v>2382</v>
      </c>
      <c r="CS11" t="s">
        <v>2408</v>
      </c>
      <c r="DC11" t="s">
        <v>2313</v>
      </c>
      <c r="DG11" t="s">
        <v>2382</v>
      </c>
      <c r="DI11" t="s">
        <v>2382</v>
      </c>
      <c r="DR11" t="s">
        <v>2525</v>
      </c>
      <c r="DS11" t="s">
        <v>2525</v>
      </c>
      <c r="DX11" t="s">
        <v>1244</v>
      </c>
      <c r="DY11" t="s">
        <v>1244</v>
      </c>
      <c r="EP11" t="s">
        <v>36</v>
      </c>
      <c r="EQ11" t="s">
        <v>36</v>
      </c>
      <c r="ES11" t="s">
        <v>2525</v>
      </c>
      <c r="ET11" t="s">
        <v>2525</v>
      </c>
      <c r="EU11" t="s">
        <v>1244</v>
      </c>
      <c r="EV11" t="s">
        <v>1244</v>
      </c>
      <c r="EY11" t="s">
        <v>2607</v>
      </c>
      <c r="EZ11" t="s">
        <v>1244</v>
      </c>
      <c r="FA11" t="s">
        <v>1244</v>
      </c>
      <c r="FB11" t="s">
        <v>2620</v>
      </c>
      <c r="FM11" t="s">
        <v>30</v>
      </c>
      <c r="FP11" t="s">
        <v>2691</v>
      </c>
      <c r="FQ11" t="s">
        <v>1244</v>
      </c>
      <c r="FR11" t="s">
        <v>1244</v>
      </c>
      <c r="FS11" t="s">
        <v>2620</v>
      </c>
      <c r="HF11" t="s">
        <v>2313</v>
      </c>
      <c r="HG11" t="s">
        <v>2313</v>
      </c>
      <c r="HH11" t="s">
        <v>2773</v>
      </c>
      <c r="HL11" t="s">
        <v>2800</v>
      </c>
      <c r="HS11" t="s">
        <v>2824</v>
      </c>
      <c r="IN11" t="s">
        <v>2862</v>
      </c>
    </row>
    <row r="12" spans="1:340">
      <c r="AY12" t="s">
        <v>39</v>
      </c>
      <c r="AZ12" t="s">
        <v>945</v>
      </c>
      <c r="BB12" t="s">
        <v>41</v>
      </c>
      <c r="BS12" t="s">
        <v>1229</v>
      </c>
      <c r="BU12" t="s">
        <v>1245</v>
      </c>
      <c r="BV12" t="s">
        <v>1245</v>
      </c>
      <c r="BW12" t="s">
        <v>211</v>
      </c>
      <c r="BX12" t="s">
        <v>211</v>
      </c>
      <c r="BY12" t="s">
        <v>36</v>
      </c>
      <c r="BZ12" t="s">
        <v>36</v>
      </c>
      <c r="CA12" t="s">
        <v>39</v>
      </c>
      <c r="CB12" t="s">
        <v>39</v>
      </c>
      <c r="CG12" t="s">
        <v>1305</v>
      </c>
      <c r="CH12" t="s">
        <v>36</v>
      </c>
      <c r="CI12" t="s">
        <v>38</v>
      </c>
      <c r="CM12" t="s">
        <v>2314</v>
      </c>
      <c r="CN12" t="s">
        <v>2370</v>
      </c>
      <c r="CO12" t="s">
        <v>2382</v>
      </c>
      <c r="CP12" t="s">
        <v>36</v>
      </c>
      <c r="CR12" t="s">
        <v>2397</v>
      </c>
      <c r="CS12" t="s">
        <v>2409</v>
      </c>
      <c r="DC12" t="s">
        <v>2314</v>
      </c>
      <c r="DG12" t="s">
        <v>2383</v>
      </c>
      <c r="DI12" t="s">
        <v>2481</v>
      </c>
      <c r="DR12" t="s">
        <v>2526</v>
      </c>
      <c r="DS12" t="s">
        <v>2526</v>
      </c>
      <c r="DX12" t="s">
        <v>1245</v>
      </c>
      <c r="DY12" t="s">
        <v>1245</v>
      </c>
      <c r="EP12" t="s">
        <v>39</v>
      </c>
      <c r="EQ12" t="s">
        <v>39</v>
      </c>
      <c r="ES12" t="s">
        <v>2526</v>
      </c>
      <c r="ET12" t="s">
        <v>2526</v>
      </c>
      <c r="EU12" t="s">
        <v>1245</v>
      </c>
      <c r="EV12" t="s">
        <v>1245</v>
      </c>
      <c r="EZ12" t="s">
        <v>1245</v>
      </c>
      <c r="FA12" t="s">
        <v>1245</v>
      </c>
      <c r="FB12" t="s">
        <v>2621</v>
      </c>
      <c r="FM12" t="s">
        <v>36</v>
      </c>
      <c r="FQ12" t="s">
        <v>1245</v>
      </c>
      <c r="FR12" t="s">
        <v>1245</v>
      </c>
      <c r="FS12" t="s">
        <v>2621</v>
      </c>
      <c r="HF12" t="s">
        <v>2314</v>
      </c>
      <c r="HG12" t="s">
        <v>2314</v>
      </c>
      <c r="HH12" t="s">
        <v>2774</v>
      </c>
      <c r="IN12" t="s">
        <v>2863</v>
      </c>
    </row>
    <row r="13" spans="1:340">
      <c r="AY13" t="s">
        <v>43</v>
      </c>
      <c r="AZ13" t="s">
        <v>946</v>
      </c>
      <c r="BB13" t="s">
        <v>45</v>
      </c>
      <c r="BU13" t="s">
        <v>1246</v>
      </c>
      <c r="BV13" t="s">
        <v>1246</v>
      </c>
      <c r="BW13" t="s">
        <v>217</v>
      </c>
      <c r="BX13" t="s">
        <v>217</v>
      </c>
      <c r="BY13" t="s">
        <v>39</v>
      </c>
      <c r="BZ13" t="s">
        <v>39</v>
      </c>
      <c r="CA13" t="s">
        <v>43</v>
      </c>
      <c r="CB13" t="s">
        <v>43</v>
      </c>
      <c r="CG13" t="s">
        <v>1306</v>
      </c>
      <c r="CH13" t="s">
        <v>39</v>
      </c>
      <c r="CI13" t="s">
        <v>41</v>
      </c>
      <c r="CM13" t="s">
        <v>2315</v>
      </c>
      <c r="CO13" t="s">
        <v>2383</v>
      </c>
      <c r="CP13" t="s">
        <v>39</v>
      </c>
      <c r="CS13" t="s">
        <v>2410</v>
      </c>
      <c r="DC13" t="s">
        <v>2315</v>
      </c>
      <c r="DG13" t="s">
        <v>2384</v>
      </c>
      <c r="DR13" t="s">
        <v>2527</v>
      </c>
      <c r="DS13" t="s">
        <v>2527</v>
      </c>
      <c r="DX13" t="s">
        <v>1246</v>
      </c>
      <c r="DY13" t="s">
        <v>1246</v>
      </c>
      <c r="EP13" t="s">
        <v>43</v>
      </c>
      <c r="EQ13" t="s">
        <v>43</v>
      </c>
      <c r="ES13" t="s">
        <v>2527</v>
      </c>
      <c r="ET13" t="s">
        <v>2527</v>
      </c>
      <c r="EU13" t="s">
        <v>1246</v>
      </c>
      <c r="EV13" t="s">
        <v>1246</v>
      </c>
      <c r="EZ13" t="s">
        <v>1246</v>
      </c>
      <c r="FA13" t="s">
        <v>1246</v>
      </c>
      <c r="FB13" t="s">
        <v>2622</v>
      </c>
      <c r="FM13" t="s">
        <v>39</v>
      </c>
      <c r="FQ13" t="s">
        <v>1246</v>
      </c>
      <c r="FR13" t="s">
        <v>1246</v>
      </c>
      <c r="FS13" t="s">
        <v>2622</v>
      </c>
      <c r="HF13" t="s">
        <v>2315</v>
      </c>
      <c r="HG13" t="s">
        <v>2315</v>
      </c>
      <c r="HH13" t="s">
        <v>2775</v>
      </c>
    </row>
    <row r="14" spans="1:340">
      <c r="AY14" t="s">
        <v>46</v>
      </c>
      <c r="AZ14" t="s">
        <v>947</v>
      </c>
      <c r="BB14" t="s">
        <v>48</v>
      </c>
      <c r="BU14" t="s">
        <v>1247</v>
      </c>
      <c r="BV14" t="s">
        <v>1247</v>
      </c>
      <c r="BW14" t="s">
        <v>155</v>
      </c>
      <c r="BX14" t="s">
        <v>155</v>
      </c>
      <c r="BY14" t="s">
        <v>43</v>
      </c>
      <c r="BZ14" t="s">
        <v>43</v>
      </c>
      <c r="CA14" t="s">
        <v>46</v>
      </c>
      <c r="CB14" t="s">
        <v>46</v>
      </c>
      <c r="CG14" t="s">
        <v>1307</v>
      </c>
      <c r="CH14" t="s">
        <v>43</v>
      </c>
      <c r="CI14" t="s">
        <v>45</v>
      </c>
      <c r="CM14" t="s">
        <v>2316</v>
      </c>
      <c r="CO14" t="s">
        <v>2384</v>
      </c>
      <c r="CP14" t="s">
        <v>43</v>
      </c>
      <c r="CS14" t="s">
        <v>2411</v>
      </c>
      <c r="DC14" t="s">
        <v>2316</v>
      </c>
      <c r="DG14" t="s">
        <v>2385</v>
      </c>
      <c r="DR14" t="s">
        <v>1259</v>
      </c>
      <c r="DS14" t="s">
        <v>1259</v>
      </c>
      <c r="EP14" t="s">
        <v>46</v>
      </c>
      <c r="EQ14" t="s">
        <v>46</v>
      </c>
      <c r="ES14" t="s">
        <v>1259</v>
      </c>
      <c r="ET14" t="s">
        <v>1259</v>
      </c>
      <c r="EU14" t="s">
        <v>1247</v>
      </c>
      <c r="EV14" t="s">
        <v>1247</v>
      </c>
      <c r="EZ14" t="s">
        <v>1247</v>
      </c>
      <c r="FA14" t="s">
        <v>1247</v>
      </c>
      <c r="FB14" t="s">
        <v>2623</v>
      </c>
      <c r="FM14" t="s">
        <v>43</v>
      </c>
      <c r="FQ14" t="s">
        <v>1247</v>
      </c>
      <c r="FR14" t="s">
        <v>1247</v>
      </c>
      <c r="FS14" t="s">
        <v>2623</v>
      </c>
      <c r="HF14" t="s">
        <v>2316</v>
      </c>
      <c r="HG14" t="s">
        <v>2316</v>
      </c>
      <c r="HH14" t="s">
        <v>2776</v>
      </c>
    </row>
    <row r="15" spans="1:340">
      <c r="AY15" t="s">
        <v>50</v>
      </c>
      <c r="AZ15" t="s">
        <v>948</v>
      </c>
      <c r="BB15" t="s">
        <v>52</v>
      </c>
      <c r="BU15" t="s">
        <v>1248</v>
      </c>
      <c r="BV15" t="s">
        <v>1248</v>
      </c>
      <c r="BW15" t="s">
        <v>247</v>
      </c>
      <c r="BX15" t="s">
        <v>247</v>
      </c>
      <c r="BY15" t="s">
        <v>46</v>
      </c>
      <c r="BZ15" t="s">
        <v>46</v>
      </c>
      <c r="CA15" t="s">
        <v>50</v>
      </c>
      <c r="CB15" t="s">
        <v>50</v>
      </c>
      <c r="CG15" t="s">
        <v>1308</v>
      </c>
      <c r="CH15" t="s">
        <v>46</v>
      </c>
      <c r="CI15" t="s">
        <v>48</v>
      </c>
      <c r="CM15" t="s">
        <v>2317</v>
      </c>
      <c r="CO15" t="s">
        <v>2385</v>
      </c>
      <c r="CP15" t="s">
        <v>46</v>
      </c>
      <c r="CS15" t="s">
        <v>2412</v>
      </c>
      <c r="DC15" t="s">
        <v>2317</v>
      </c>
      <c r="DG15" t="s">
        <v>2386</v>
      </c>
      <c r="DR15" t="s">
        <v>1260</v>
      </c>
      <c r="DS15" t="s">
        <v>1260</v>
      </c>
      <c r="EP15" t="s">
        <v>50</v>
      </c>
      <c r="EQ15" t="s">
        <v>50</v>
      </c>
      <c r="ES15" t="s">
        <v>1262</v>
      </c>
      <c r="ET15" t="s">
        <v>1262</v>
      </c>
      <c r="EU15" t="s">
        <v>1248</v>
      </c>
      <c r="EV15" t="s">
        <v>1248</v>
      </c>
      <c r="EZ15" t="s">
        <v>1248</v>
      </c>
      <c r="FA15" t="s">
        <v>1248</v>
      </c>
      <c r="FB15" t="s">
        <v>2624</v>
      </c>
      <c r="FM15" t="s">
        <v>46</v>
      </c>
      <c r="FQ15" t="s">
        <v>1248</v>
      </c>
      <c r="FR15" t="s">
        <v>1248</v>
      </c>
      <c r="FS15" t="s">
        <v>2624</v>
      </c>
      <c r="HF15" t="s">
        <v>2317</v>
      </c>
      <c r="HG15" t="s">
        <v>2317</v>
      </c>
      <c r="HH15" t="s">
        <v>2777</v>
      </c>
    </row>
    <row r="16" spans="1:340">
      <c r="AY16" t="s">
        <v>53</v>
      </c>
      <c r="AZ16" t="s">
        <v>949</v>
      </c>
      <c r="BB16" t="s">
        <v>55</v>
      </c>
      <c r="BU16" t="s">
        <v>1249</v>
      </c>
      <c r="BV16" t="s">
        <v>1249</v>
      </c>
      <c r="BW16" t="s">
        <v>249</v>
      </c>
      <c r="BX16" t="s">
        <v>249</v>
      </c>
      <c r="BY16" t="s">
        <v>50</v>
      </c>
      <c r="BZ16" t="s">
        <v>50</v>
      </c>
      <c r="CA16" t="s">
        <v>53</v>
      </c>
      <c r="CB16" t="s">
        <v>53</v>
      </c>
      <c r="CG16" t="s">
        <v>1309</v>
      </c>
      <c r="CH16" t="s">
        <v>50</v>
      </c>
      <c r="CI16" t="s">
        <v>52</v>
      </c>
      <c r="CM16" t="s">
        <v>2318</v>
      </c>
      <c r="CO16" t="s">
        <v>2386</v>
      </c>
      <c r="CP16" t="s">
        <v>50</v>
      </c>
      <c r="CS16" t="s">
        <v>2413</v>
      </c>
      <c r="DC16" t="s">
        <v>2318</v>
      </c>
      <c r="DG16" t="s">
        <v>2387</v>
      </c>
      <c r="DR16" t="s">
        <v>1262</v>
      </c>
      <c r="DS16" t="s">
        <v>1262</v>
      </c>
      <c r="EP16" t="s">
        <v>57</v>
      </c>
      <c r="EQ16" t="s">
        <v>57</v>
      </c>
      <c r="ES16" t="s">
        <v>1261</v>
      </c>
      <c r="ET16" t="s">
        <v>1261</v>
      </c>
      <c r="EU16" t="s">
        <v>1249</v>
      </c>
      <c r="EV16" t="s">
        <v>1249</v>
      </c>
      <c r="EZ16" t="s">
        <v>1249</v>
      </c>
      <c r="FA16" t="s">
        <v>1249</v>
      </c>
      <c r="FM16" t="s">
        <v>50</v>
      </c>
      <c r="FQ16" t="s">
        <v>1249</v>
      </c>
      <c r="FR16" t="s">
        <v>1249</v>
      </c>
      <c r="FS16" t="s">
        <v>2694</v>
      </c>
      <c r="HF16" t="s">
        <v>2318</v>
      </c>
      <c r="HG16" t="s">
        <v>2318</v>
      </c>
      <c r="HH16" t="s">
        <v>2778</v>
      </c>
    </row>
    <row r="17" spans="51:216">
      <c r="AY17" t="s">
        <v>57</v>
      </c>
      <c r="AZ17" t="s">
        <v>950</v>
      </c>
      <c r="BB17" t="s">
        <v>59</v>
      </c>
      <c r="BU17" t="s">
        <v>1250</v>
      </c>
      <c r="BV17" t="s">
        <v>1250</v>
      </c>
      <c r="BW17" t="s">
        <v>259</v>
      </c>
      <c r="BX17" t="s">
        <v>259</v>
      </c>
      <c r="BY17" t="s">
        <v>57</v>
      </c>
      <c r="BZ17" t="s">
        <v>57</v>
      </c>
      <c r="CA17" t="s">
        <v>57</v>
      </c>
      <c r="CB17" t="s">
        <v>57</v>
      </c>
      <c r="CG17" t="s">
        <v>1310</v>
      </c>
      <c r="CH17" t="s">
        <v>53</v>
      </c>
      <c r="CI17" t="s">
        <v>55</v>
      </c>
      <c r="CM17" t="s">
        <v>2319</v>
      </c>
      <c r="CO17" t="s">
        <v>2387</v>
      </c>
      <c r="CP17" t="s">
        <v>53</v>
      </c>
      <c r="DC17" t="s">
        <v>2319</v>
      </c>
      <c r="DG17" t="s">
        <v>2388</v>
      </c>
      <c r="DR17" t="s">
        <v>1261</v>
      </c>
      <c r="DS17" t="s">
        <v>1261</v>
      </c>
      <c r="EP17" t="s">
        <v>60</v>
      </c>
      <c r="EQ17" t="s">
        <v>60</v>
      </c>
      <c r="ES17" t="s">
        <v>1260</v>
      </c>
      <c r="ET17" t="s">
        <v>1260</v>
      </c>
      <c r="EU17" t="s">
        <v>1250</v>
      </c>
      <c r="EV17" t="s">
        <v>1250</v>
      </c>
      <c r="EZ17" t="s">
        <v>1250</v>
      </c>
      <c r="FA17" t="s">
        <v>1250</v>
      </c>
      <c r="FM17" t="s">
        <v>53</v>
      </c>
      <c r="FQ17" t="s">
        <v>1250</v>
      </c>
      <c r="FR17" t="s">
        <v>1250</v>
      </c>
      <c r="FS17" t="s">
        <v>2695</v>
      </c>
      <c r="HF17" t="s">
        <v>2319</v>
      </c>
      <c r="HG17" t="s">
        <v>2319</v>
      </c>
      <c r="HH17" t="s">
        <v>2488</v>
      </c>
    </row>
    <row r="18" spans="51:216">
      <c r="AY18" t="s">
        <v>60</v>
      </c>
      <c r="AZ18" t="s">
        <v>951</v>
      </c>
      <c r="BB18" t="s">
        <v>62</v>
      </c>
      <c r="BU18" t="s">
        <v>1251</v>
      </c>
      <c r="BV18" t="s">
        <v>1251</v>
      </c>
      <c r="BW18" t="s">
        <v>265</v>
      </c>
      <c r="BX18" t="s">
        <v>265</v>
      </c>
      <c r="BY18" t="s">
        <v>60</v>
      </c>
      <c r="BZ18" t="s">
        <v>60</v>
      </c>
      <c r="CA18" t="s">
        <v>60</v>
      </c>
      <c r="CB18" t="s">
        <v>60</v>
      </c>
      <c r="CG18" t="s">
        <v>1311</v>
      </c>
      <c r="CH18" t="s">
        <v>57</v>
      </c>
      <c r="CI18" t="s">
        <v>59</v>
      </c>
      <c r="CM18" t="s">
        <v>2320</v>
      </c>
      <c r="CO18" t="s">
        <v>2388</v>
      </c>
      <c r="CP18" t="s">
        <v>57</v>
      </c>
      <c r="DC18" t="s">
        <v>2320</v>
      </c>
      <c r="EP18" t="s">
        <v>64</v>
      </c>
      <c r="EQ18" t="s">
        <v>64</v>
      </c>
      <c r="ES18" t="s">
        <v>2589</v>
      </c>
      <c r="ET18" t="s">
        <v>2589</v>
      </c>
      <c r="EU18" t="s">
        <v>1251</v>
      </c>
      <c r="EV18" t="s">
        <v>1251</v>
      </c>
      <c r="EZ18" t="s">
        <v>1251</v>
      </c>
      <c r="FA18" t="s">
        <v>1251</v>
      </c>
      <c r="FM18" t="s">
        <v>57</v>
      </c>
      <c r="FQ18" t="s">
        <v>1251</v>
      </c>
      <c r="FR18" t="s">
        <v>1251</v>
      </c>
      <c r="FS18" t="s">
        <v>2696</v>
      </c>
      <c r="HF18" t="s">
        <v>2320</v>
      </c>
      <c r="HG18" t="s">
        <v>2320</v>
      </c>
    </row>
    <row r="19" spans="51:216">
      <c r="AY19" t="s">
        <v>64</v>
      </c>
      <c r="AZ19" t="s">
        <v>952</v>
      </c>
      <c r="BB19" t="s">
        <v>66</v>
      </c>
      <c r="BU19" t="s">
        <v>1252</v>
      </c>
      <c r="BV19" t="s">
        <v>1252</v>
      </c>
      <c r="BW19" t="s">
        <v>291</v>
      </c>
      <c r="BX19" t="s">
        <v>291</v>
      </c>
      <c r="BY19" t="s">
        <v>64</v>
      </c>
      <c r="BZ19" t="s">
        <v>64</v>
      </c>
      <c r="CA19" t="s">
        <v>64</v>
      </c>
      <c r="CB19" t="s">
        <v>64</v>
      </c>
      <c r="CG19" t="s">
        <v>1312</v>
      </c>
      <c r="CH19" t="s">
        <v>60</v>
      </c>
      <c r="CI19" t="s">
        <v>62</v>
      </c>
      <c r="CM19" t="s">
        <v>2321</v>
      </c>
      <c r="CO19" t="s">
        <v>2389</v>
      </c>
      <c r="CP19" t="s">
        <v>60</v>
      </c>
      <c r="DC19" t="s">
        <v>2321</v>
      </c>
      <c r="EP19" t="s">
        <v>67</v>
      </c>
      <c r="EQ19" t="s">
        <v>67</v>
      </c>
      <c r="ES19" t="s">
        <v>1263</v>
      </c>
      <c r="ET19" t="s">
        <v>1263</v>
      </c>
      <c r="EU19" t="s">
        <v>1252</v>
      </c>
      <c r="EV19" t="s">
        <v>1252</v>
      </c>
      <c r="EZ19" t="s">
        <v>1252</v>
      </c>
      <c r="FA19" t="s">
        <v>1252</v>
      </c>
      <c r="FM19" t="s">
        <v>60</v>
      </c>
      <c r="FQ19" t="s">
        <v>1252</v>
      </c>
      <c r="FR19" t="s">
        <v>1252</v>
      </c>
      <c r="HF19" t="s">
        <v>2321</v>
      </c>
      <c r="HG19" t="s">
        <v>2321</v>
      </c>
    </row>
    <row r="20" spans="51:216">
      <c r="AY20" t="s">
        <v>67</v>
      </c>
      <c r="AZ20" t="s">
        <v>953</v>
      </c>
      <c r="BB20" t="s">
        <v>68</v>
      </c>
      <c r="BU20" t="s">
        <v>1253</v>
      </c>
      <c r="BV20" t="s">
        <v>1253</v>
      </c>
      <c r="BW20" t="s">
        <v>301</v>
      </c>
      <c r="BX20" t="s">
        <v>301</v>
      </c>
      <c r="BY20" t="s">
        <v>67</v>
      </c>
      <c r="BZ20" t="s">
        <v>67</v>
      </c>
      <c r="CA20" t="s">
        <v>67</v>
      </c>
      <c r="CB20" t="s">
        <v>67</v>
      </c>
      <c r="CG20" t="s">
        <v>1313</v>
      </c>
      <c r="CH20" t="s">
        <v>64</v>
      </c>
      <c r="CI20" t="s">
        <v>66</v>
      </c>
      <c r="CM20" t="s">
        <v>2322</v>
      </c>
      <c r="CP20" t="s">
        <v>64</v>
      </c>
      <c r="DC20" t="s">
        <v>2322</v>
      </c>
      <c r="EP20" t="s">
        <v>70</v>
      </c>
      <c r="EQ20" t="s">
        <v>70</v>
      </c>
      <c r="EU20" t="s">
        <v>1253</v>
      </c>
      <c r="EV20" t="s">
        <v>1253</v>
      </c>
      <c r="EZ20" t="s">
        <v>1253</v>
      </c>
      <c r="FA20" t="s">
        <v>1253</v>
      </c>
      <c r="FM20" t="s">
        <v>64</v>
      </c>
      <c r="FQ20" t="s">
        <v>1253</v>
      </c>
      <c r="FR20" t="s">
        <v>1253</v>
      </c>
      <c r="HF20" t="s">
        <v>2322</v>
      </c>
      <c r="HG20" t="s">
        <v>2322</v>
      </c>
    </row>
    <row r="21" spans="51:216">
      <c r="AY21" t="s">
        <v>70</v>
      </c>
      <c r="AZ21" t="s">
        <v>954</v>
      </c>
      <c r="BB21" t="s">
        <v>71</v>
      </c>
      <c r="BU21" t="s">
        <v>1254</v>
      </c>
      <c r="BV21" t="s">
        <v>1254</v>
      </c>
      <c r="BW21" t="s">
        <v>303</v>
      </c>
      <c r="BX21" t="s">
        <v>303</v>
      </c>
      <c r="BY21" t="s">
        <v>70</v>
      </c>
      <c r="BZ21" t="s">
        <v>70</v>
      </c>
      <c r="CA21" t="s">
        <v>70</v>
      </c>
      <c r="CB21" t="s">
        <v>70</v>
      </c>
      <c r="CG21" t="s">
        <v>1314</v>
      </c>
      <c r="CH21" t="s">
        <v>67</v>
      </c>
      <c r="CI21" t="s">
        <v>68</v>
      </c>
      <c r="CM21" t="s">
        <v>2323</v>
      </c>
      <c r="CP21" t="s">
        <v>67</v>
      </c>
      <c r="DC21" t="s">
        <v>2323</v>
      </c>
      <c r="EP21" t="s">
        <v>72</v>
      </c>
      <c r="EQ21" t="s">
        <v>72</v>
      </c>
      <c r="EU21" t="s">
        <v>1254</v>
      </c>
      <c r="EV21" t="s">
        <v>1254</v>
      </c>
      <c r="EZ21" t="s">
        <v>1254</v>
      </c>
      <c r="FA21" t="s">
        <v>1254</v>
      </c>
      <c r="FM21" t="s">
        <v>67</v>
      </c>
      <c r="FQ21" t="s">
        <v>1254</v>
      </c>
      <c r="FR21" t="s">
        <v>1254</v>
      </c>
      <c r="HF21" t="s">
        <v>2323</v>
      </c>
      <c r="HG21" t="s">
        <v>2323</v>
      </c>
    </row>
    <row r="22" spans="51:216">
      <c r="AY22" t="s">
        <v>72</v>
      </c>
      <c r="AZ22" t="s">
        <v>955</v>
      </c>
      <c r="BB22" t="s">
        <v>1125</v>
      </c>
      <c r="BU22" t="s">
        <v>1255</v>
      </c>
      <c r="BV22" t="s">
        <v>1255</v>
      </c>
      <c r="BW22" t="s">
        <v>305</v>
      </c>
      <c r="BX22" t="s">
        <v>305</v>
      </c>
      <c r="BY22" t="s">
        <v>72</v>
      </c>
      <c r="BZ22" t="s">
        <v>72</v>
      </c>
      <c r="CA22" t="s">
        <v>72</v>
      </c>
      <c r="CB22" t="s">
        <v>72</v>
      </c>
      <c r="CG22" t="s">
        <v>1315</v>
      </c>
      <c r="CH22" t="s">
        <v>70</v>
      </c>
      <c r="CI22" t="s">
        <v>71</v>
      </c>
      <c r="CM22" t="s">
        <v>2324</v>
      </c>
      <c r="CP22" t="s">
        <v>70</v>
      </c>
      <c r="DC22" t="s">
        <v>2324</v>
      </c>
      <c r="EP22" t="s">
        <v>78</v>
      </c>
      <c r="EQ22" t="s">
        <v>78</v>
      </c>
      <c r="EU22" t="s">
        <v>1255</v>
      </c>
      <c r="EV22" t="s">
        <v>1255</v>
      </c>
      <c r="EZ22" t="s">
        <v>1255</v>
      </c>
      <c r="FA22" t="s">
        <v>1255</v>
      </c>
      <c r="FM22" t="s">
        <v>70</v>
      </c>
      <c r="FQ22" t="s">
        <v>1255</v>
      </c>
      <c r="FR22" t="s">
        <v>1255</v>
      </c>
      <c r="HF22" t="s">
        <v>2324</v>
      </c>
      <c r="HG22" t="s">
        <v>2324</v>
      </c>
    </row>
    <row r="23" spans="51:216">
      <c r="AY23" t="s">
        <v>75</v>
      </c>
      <c r="AZ23" t="s">
        <v>956</v>
      </c>
      <c r="BB23" t="s">
        <v>73</v>
      </c>
      <c r="BU23" t="s">
        <v>1256</v>
      </c>
      <c r="BV23" t="s">
        <v>1256</v>
      </c>
      <c r="BW23" t="s">
        <v>322</v>
      </c>
      <c r="BX23" t="s">
        <v>322</v>
      </c>
      <c r="BY23" t="s">
        <v>78</v>
      </c>
      <c r="BZ23" t="s">
        <v>78</v>
      </c>
      <c r="CA23" t="s">
        <v>75</v>
      </c>
      <c r="CB23" t="s">
        <v>75</v>
      </c>
      <c r="CG23" t="s">
        <v>1316</v>
      </c>
      <c r="CH23" t="s">
        <v>72</v>
      </c>
      <c r="CI23" t="s">
        <v>1125</v>
      </c>
      <c r="CM23" t="s">
        <v>2325</v>
      </c>
      <c r="CP23" t="s">
        <v>72</v>
      </c>
      <c r="DC23" t="s">
        <v>2325</v>
      </c>
      <c r="EP23" t="s">
        <v>80</v>
      </c>
      <c r="EQ23" t="s">
        <v>80</v>
      </c>
      <c r="EU23" t="s">
        <v>1256</v>
      </c>
      <c r="EV23" t="s">
        <v>1256</v>
      </c>
      <c r="EZ23" t="s">
        <v>1256</v>
      </c>
      <c r="FA23" t="s">
        <v>1256</v>
      </c>
      <c r="FM23" t="s">
        <v>72</v>
      </c>
      <c r="FQ23" t="s">
        <v>1256</v>
      </c>
      <c r="FR23" t="s">
        <v>1256</v>
      </c>
      <c r="HF23" t="s">
        <v>2325</v>
      </c>
      <c r="HG23" t="s">
        <v>2325</v>
      </c>
    </row>
    <row r="24" spans="51:216">
      <c r="AY24" t="s">
        <v>78</v>
      </c>
      <c r="AZ24" t="s">
        <v>957</v>
      </c>
      <c r="BB24" t="s">
        <v>77</v>
      </c>
      <c r="BU24" t="s">
        <v>1257</v>
      </c>
      <c r="BV24" t="s">
        <v>1257</v>
      </c>
      <c r="BW24" t="s">
        <v>360</v>
      </c>
      <c r="BX24" t="s">
        <v>360</v>
      </c>
      <c r="BY24" t="s">
        <v>80</v>
      </c>
      <c r="BZ24" t="s">
        <v>80</v>
      </c>
      <c r="CA24" t="s">
        <v>78</v>
      </c>
      <c r="CB24" t="s">
        <v>78</v>
      </c>
      <c r="CG24" t="s">
        <v>1317</v>
      </c>
      <c r="CH24" t="s">
        <v>75</v>
      </c>
      <c r="CI24" t="s">
        <v>73</v>
      </c>
      <c r="CM24" t="s">
        <v>2326</v>
      </c>
      <c r="CP24" t="s">
        <v>75</v>
      </c>
      <c r="DC24" t="s">
        <v>2326</v>
      </c>
      <c r="EP24" t="s">
        <v>83</v>
      </c>
      <c r="EQ24" t="s">
        <v>83</v>
      </c>
      <c r="EU24" t="s">
        <v>1257</v>
      </c>
      <c r="EV24" t="s">
        <v>1257</v>
      </c>
      <c r="EZ24" t="s">
        <v>1257</v>
      </c>
      <c r="FA24" t="s">
        <v>1257</v>
      </c>
      <c r="FM24" t="s">
        <v>75</v>
      </c>
      <c r="FQ24" t="s">
        <v>1257</v>
      </c>
      <c r="FR24" t="s">
        <v>1257</v>
      </c>
      <c r="HF24" t="s">
        <v>2326</v>
      </c>
      <c r="HG24" t="s">
        <v>2326</v>
      </c>
    </row>
    <row r="25" spans="51:216">
      <c r="AY25" t="s">
        <v>80</v>
      </c>
      <c r="AZ25" t="s">
        <v>958</v>
      </c>
      <c r="BB25" t="s">
        <v>79</v>
      </c>
      <c r="BU25" t="s">
        <v>1258</v>
      </c>
      <c r="BV25" t="s">
        <v>1258</v>
      </c>
      <c r="BW25" t="s">
        <v>376</v>
      </c>
      <c r="BX25" t="s">
        <v>376</v>
      </c>
      <c r="BY25" t="s">
        <v>83</v>
      </c>
      <c r="BZ25" t="s">
        <v>83</v>
      </c>
      <c r="CA25" t="s">
        <v>80</v>
      </c>
      <c r="CB25" t="s">
        <v>80</v>
      </c>
      <c r="CG25" t="s">
        <v>1318</v>
      </c>
      <c r="CH25" t="s">
        <v>78</v>
      </c>
      <c r="CI25" t="s">
        <v>77</v>
      </c>
      <c r="CM25" t="s">
        <v>2327</v>
      </c>
      <c r="CP25" t="s">
        <v>78</v>
      </c>
      <c r="DC25" t="s">
        <v>2327</v>
      </c>
      <c r="EP25" t="s">
        <v>85</v>
      </c>
      <c r="EQ25" t="s">
        <v>85</v>
      </c>
      <c r="EU25" t="s">
        <v>1258</v>
      </c>
      <c r="EV25" t="s">
        <v>1258</v>
      </c>
      <c r="EZ25" t="s">
        <v>1258</v>
      </c>
      <c r="FA25" t="s">
        <v>1258</v>
      </c>
      <c r="FM25" t="s">
        <v>78</v>
      </c>
      <c r="FQ25" t="s">
        <v>1258</v>
      </c>
      <c r="FR25" t="s">
        <v>1258</v>
      </c>
      <c r="HF25" t="s">
        <v>2327</v>
      </c>
      <c r="HG25" t="s">
        <v>2327</v>
      </c>
    </row>
    <row r="26" spans="51:216">
      <c r="AY26" t="s">
        <v>85</v>
      </c>
      <c r="AZ26" t="s">
        <v>959</v>
      </c>
      <c r="BB26" t="s">
        <v>81</v>
      </c>
      <c r="BU26" t="s">
        <v>1259</v>
      </c>
      <c r="BV26" t="s">
        <v>1259</v>
      </c>
      <c r="BW26" t="s">
        <v>388</v>
      </c>
      <c r="BX26" t="s">
        <v>388</v>
      </c>
      <c r="BY26" t="s">
        <v>85</v>
      </c>
      <c r="BZ26" t="s">
        <v>85</v>
      </c>
      <c r="CA26" t="s">
        <v>83</v>
      </c>
      <c r="CB26" t="s">
        <v>83</v>
      </c>
      <c r="CG26" t="s">
        <v>1319</v>
      </c>
      <c r="CH26" t="s">
        <v>80</v>
      </c>
      <c r="CI26" t="s">
        <v>79</v>
      </c>
      <c r="CM26" t="s">
        <v>2328</v>
      </c>
      <c r="CP26" t="s">
        <v>80</v>
      </c>
      <c r="DC26" t="s">
        <v>2328</v>
      </c>
      <c r="EP26" t="s">
        <v>88</v>
      </c>
      <c r="EQ26" t="s">
        <v>88</v>
      </c>
      <c r="EU26" t="s">
        <v>1259</v>
      </c>
      <c r="EV26" t="s">
        <v>1259</v>
      </c>
      <c r="EZ26" t="s">
        <v>1259</v>
      </c>
      <c r="FA26" t="s">
        <v>1259</v>
      </c>
      <c r="FM26" t="s">
        <v>80</v>
      </c>
      <c r="FQ26" t="s">
        <v>1259</v>
      </c>
      <c r="FR26" t="s">
        <v>1259</v>
      </c>
      <c r="HF26" t="s">
        <v>2328</v>
      </c>
      <c r="HG26" t="s">
        <v>2328</v>
      </c>
    </row>
    <row r="27" spans="51:216">
      <c r="AY27" t="s">
        <v>88</v>
      </c>
      <c r="AZ27" t="s">
        <v>960</v>
      </c>
      <c r="BB27" t="s">
        <v>84</v>
      </c>
      <c r="BU27" t="s">
        <v>1260</v>
      </c>
      <c r="BV27" t="s">
        <v>1260</v>
      </c>
      <c r="BW27" t="s">
        <v>389</v>
      </c>
      <c r="BX27" t="s">
        <v>389</v>
      </c>
      <c r="BY27" t="s">
        <v>88</v>
      </c>
      <c r="BZ27" t="s">
        <v>88</v>
      </c>
      <c r="CA27" t="s">
        <v>85</v>
      </c>
      <c r="CB27" t="s">
        <v>85</v>
      </c>
      <c r="CG27" t="s">
        <v>1320</v>
      </c>
      <c r="CH27" t="s">
        <v>83</v>
      </c>
      <c r="CI27" t="s">
        <v>81</v>
      </c>
      <c r="CM27" t="s">
        <v>2329</v>
      </c>
      <c r="CP27" t="s">
        <v>83</v>
      </c>
      <c r="DC27" t="s">
        <v>2329</v>
      </c>
      <c r="EP27" t="s">
        <v>919</v>
      </c>
      <c r="EQ27" t="s">
        <v>919</v>
      </c>
      <c r="EU27" t="s">
        <v>1260</v>
      </c>
      <c r="EV27" t="s">
        <v>1260</v>
      </c>
      <c r="EZ27" t="s">
        <v>1260</v>
      </c>
      <c r="FA27" t="s">
        <v>1260</v>
      </c>
      <c r="FM27" t="s">
        <v>83</v>
      </c>
      <c r="FQ27" t="s">
        <v>1260</v>
      </c>
      <c r="FR27" t="s">
        <v>1260</v>
      </c>
      <c r="HF27" t="s">
        <v>2329</v>
      </c>
      <c r="HG27" t="s">
        <v>2329</v>
      </c>
    </row>
    <row r="28" spans="51:216">
      <c r="AY28" t="s">
        <v>919</v>
      </c>
      <c r="AZ28" t="s">
        <v>961</v>
      </c>
      <c r="BB28" t="s">
        <v>1126</v>
      </c>
      <c r="BU28" t="s">
        <v>1261</v>
      </c>
      <c r="BV28" t="s">
        <v>1261</v>
      </c>
      <c r="BW28" t="s">
        <v>393</v>
      </c>
      <c r="BX28" t="s">
        <v>393</v>
      </c>
      <c r="BY28" t="s">
        <v>919</v>
      </c>
      <c r="BZ28" t="s">
        <v>919</v>
      </c>
      <c r="CA28" t="s">
        <v>88</v>
      </c>
      <c r="CB28" t="s">
        <v>88</v>
      </c>
      <c r="CG28" t="s">
        <v>1321</v>
      </c>
      <c r="CH28" t="s">
        <v>85</v>
      </c>
      <c r="CI28" t="s">
        <v>84</v>
      </c>
      <c r="CM28" t="s">
        <v>2330</v>
      </c>
      <c r="CP28" t="s">
        <v>85</v>
      </c>
      <c r="DC28" t="s">
        <v>2330</v>
      </c>
      <c r="EP28" t="s">
        <v>920</v>
      </c>
      <c r="EQ28" t="s">
        <v>920</v>
      </c>
      <c r="EU28" t="s">
        <v>1261</v>
      </c>
      <c r="EV28" t="s">
        <v>1261</v>
      </c>
      <c r="EZ28" t="s">
        <v>1261</v>
      </c>
      <c r="FA28" t="s">
        <v>1261</v>
      </c>
      <c r="FM28" t="s">
        <v>85</v>
      </c>
      <c r="FQ28" t="s">
        <v>1261</v>
      </c>
      <c r="FR28" t="s">
        <v>1261</v>
      </c>
      <c r="HF28" t="s">
        <v>2330</v>
      </c>
      <c r="HG28" t="s">
        <v>2330</v>
      </c>
    </row>
    <row r="29" spans="51:216">
      <c r="AY29" t="s">
        <v>920</v>
      </c>
      <c r="AZ29" t="s">
        <v>962</v>
      </c>
      <c r="BB29" t="s">
        <v>86</v>
      </c>
      <c r="BU29" t="s">
        <v>1262</v>
      </c>
      <c r="BV29" t="s">
        <v>1262</v>
      </c>
      <c r="BW29" t="s">
        <v>413</v>
      </c>
      <c r="BX29" t="s">
        <v>413</v>
      </c>
      <c r="BY29" t="s">
        <v>920</v>
      </c>
      <c r="BZ29" t="s">
        <v>920</v>
      </c>
      <c r="CA29" t="s">
        <v>919</v>
      </c>
      <c r="CB29" t="s">
        <v>919</v>
      </c>
      <c r="CG29" t="s">
        <v>1322</v>
      </c>
      <c r="CH29" t="s">
        <v>88</v>
      </c>
      <c r="CI29" t="s">
        <v>1126</v>
      </c>
      <c r="CM29" t="s">
        <v>2331</v>
      </c>
      <c r="CP29" t="s">
        <v>88</v>
      </c>
      <c r="DC29" t="s">
        <v>2331</v>
      </c>
      <c r="EP29" t="s">
        <v>921</v>
      </c>
      <c r="EQ29" t="s">
        <v>921</v>
      </c>
      <c r="EU29" t="s">
        <v>1262</v>
      </c>
      <c r="EV29" t="s">
        <v>1262</v>
      </c>
      <c r="EZ29" t="s">
        <v>1262</v>
      </c>
      <c r="FA29" t="s">
        <v>1262</v>
      </c>
      <c r="FM29" t="s">
        <v>88</v>
      </c>
      <c r="FQ29" t="s">
        <v>1262</v>
      </c>
      <c r="FR29" t="s">
        <v>1262</v>
      </c>
      <c r="HF29" t="s">
        <v>2331</v>
      </c>
      <c r="HG29" t="s">
        <v>2331</v>
      </c>
    </row>
    <row r="30" spans="51:216">
      <c r="AY30" t="s">
        <v>921</v>
      </c>
      <c r="AZ30" t="s">
        <v>963</v>
      </c>
      <c r="BB30" t="s">
        <v>89</v>
      </c>
      <c r="BU30" t="s">
        <v>1263</v>
      </c>
      <c r="BV30" t="s">
        <v>1263</v>
      </c>
      <c r="BW30" t="s">
        <v>414</v>
      </c>
      <c r="BX30" t="s">
        <v>414</v>
      </c>
      <c r="BY30" t="s">
        <v>921</v>
      </c>
      <c r="BZ30" t="s">
        <v>921</v>
      </c>
      <c r="CA30" t="s">
        <v>920</v>
      </c>
      <c r="CB30" t="s">
        <v>920</v>
      </c>
      <c r="CG30" t="s">
        <v>1323</v>
      </c>
      <c r="CH30" t="s">
        <v>919</v>
      </c>
      <c r="CI30" t="s">
        <v>86</v>
      </c>
      <c r="CM30" t="s">
        <v>2332</v>
      </c>
      <c r="CP30" t="s">
        <v>919</v>
      </c>
      <c r="DC30" t="s">
        <v>2332</v>
      </c>
      <c r="EP30" t="s">
        <v>922</v>
      </c>
      <c r="EQ30" t="s">
        <v>922</v>
      </c>
      <c r="EZ30" t="s">
        <v>1263</v>
      </c>
      <c r="FA30" t="s">
        <v>1263</v>
      </c>
      <c r="FM30" t="s">
        <v>919</v>
      </c>
      <c r="FQ30" t="s">
        <v>1264</v>
      </c>
      <c r="FR30" t="s">
        <v>1264</v>
      </c>
      <c r="HF30" t="s">
        <v>2332</v>
      </c>
      <c r="HG30" t="s">
        <v>2332</v>
      </c>
    </row>
    <row r="31" spans="51:216">
      <c r="AY31" t="s">
        <v>922</v>
      </c>
      <c r="AZ31" t="s">
        <v>964</v>
      </c>
      <c r="BB31" t="s">
        <v>1127</v>
      </c>
      <c r="BU31" t="s">
        <v>1264</v>
      </c>
      <c r="BV31" t="s">
        <v>1264</v>
      </c>
      <c r="BW31" t="s">
        <v>420</v>
      </c>
      <c r="BX31" t="s">
        <v>420</v>
      </c>
      <c r="BY31" t="s">
        <v>922</v>
      </c>
      <c r="BZ31" t="s">
        <v>922</v>
      </c>
      <c r="CA31" t="s">
        <v>921</v>
      </c>
      <c r="CB31" t="s">
        <v>921</v>
      </c>
      <c r="CG31" t="s">
        <v>1324</v>
      </c>
      <c r="CH31" t="s">
        <v>920</v>
      </c>
      <c r="CI31" t="s">
        <v>89</v>
      </c>
      <c r="CM31" t="s">
        <v>2333</v>
      </c>
      <c r="CP31" t="s">
        <v>920</v>
      </c>
      <c r="DC31" t="s">
        <v>2333</v>
      </c>
      <c r="EP31" t="s">
        <v>90</v>
      </c>
      <c r="EQ31" t="s">
        <v>90</v>
      </c>
      <c r="EZ31" t="s">
        <v>1264</v>
      </c>
      <c r="FA31" t="s">
        <v>1264</v>
      </c>
      <c r="FM31" t="s">
        <v>920</v>
      </c>
      <c r="FQ31" t="s">
        <v>1265</v>
      </c>
      <c r="FR31" t="s">
        <v>1265</v>
      </c>
      <c r="HF31" t="s">
        <v>2333</v>
      </c>
      <c r="HG31" t="s">
        <v>2333</v>
      </c>
    </row>
    <row r="32" spans="51:216">
      <c r="AY32" t="s">
        <v>90</v>
      </c>
      <c r="AZ32" t="s">
        <v>965</v>
      </c>
      <c r="BB32" t="s">
        <v>1128</v>
      </c>
      <c r="BU32" t="s">
        <v>1265</v>
      </c>
      <c r="BV32" t="s">
        <v>1265</v>
      </c>
      <c r="BW32" t="s">
        <v>426</v>
      </c>
      <c r="BX32" t="s">
        <v>426</v>
      </c>
      <c r="BY32" t="s">
        <v>90</v>
      </c>
      <c r="BZ32" t="s">
        <v>90</v>
      </c>
      <c r="CA32" t="s">
        <v>922</v>
      </c>
      <c r="CB32" t="s">
        <v>922</v>
      </c>
      <c r="CG32" t="s">
        <v>1325</v>
      </c>
      <c r="CH32" t="s">
        <v>921</v>
      </c>
      <c r="CI32" t="s">
        <v>1127</v>
      </c>
      <c r="CM32" t="s">
        <v>2334</v>
      </c>
      <c r="CP32" t="s">
        <v>921</v>
      </c>
      <c r="DC32" t="s">
        <v>2334</v>
      </c>
      <c r="EP32" t="s">
        <v>93</v>
      </c>
      <c r="EQ32" t="s">
        <v>93</v>
      </c>
      <c r="EZ32" t="s">
        <v>1265</v>
      </c>
      <c r="FA32" t="s">
        <v>1265</v>
      </c>
      <c r="FM32" t="s">
        <v>921</v>
      </c>
      <c r="FQ32" t="s">
        <v>1266</v>
      </c>
      <c r="FR32" t="s">
        <v>1266</v>
      </c>
      <c r="HF32" t="s">
        <v>2334</v>
      </c>
      <c r="HG32" t="s">
        <v>2334</v>
      </c>
    </row>
    <row r="33" spans="51:215">
      <c r="AY33" t="s">
        <v>95</v>
      </c>
      <c r="AZ33" t="s">
        <v>966</v>
      </c>
      <c r="BB33" t="s">
        <v>1129</v>
      </c>
      <c r="BU33" t="s">
        <v>1266</v>
      </c>
      <c r="BV33" t="s">
        <v>1266</v>
      </c>
      <c r="BY33" t="s">
        <v>93</v>
      </c>
      <c r="BZ33" t="s">
        <v>93</v>
      </c>
      <c r="CA33" t="s">
        <v>90</v>
      </c>
      <c r="CB33" t="s">
        <v>90</v>
      </c>
      <c r="CG33" t="s">
        <v>1326</v>
      </c>
      <c r="CH33" t="s">
        <v>922</v>
      </c>
      <c r="CI33" t="s">
        <v>1128</v>
      </c>
      <c r="CM33" t="s">
        <v>2335</v>
      </c>
      <c r="CP33" t="s">
        <v>922</v>
      </c>
      <c r="DC33" t="s">
        <v>2335</v>
      </c>
      <c r="EP33" t="s">
        <v>95</v>
      </c>
      <c r="EQ33" t="s">
        <v>95</v>
      </c>
      <c r="EZ33" t="s">
        <v>1266</v>
      </c>
      <c r="FA33" t="s">
        <v>1266</v>
      </c>
      <c r="FM33" t="s">
        <v>922</v>
      </c>
      <c r="FQ33" t="s">
        <v>1267</v>
      </c>
      <c r="FR33" t="s">
        <v>1267</v>
      </c>
      <c r="HF33" t="s">
        <v>2335</v>
      </c>
      <c r="HG33" t="s">
        <v>2335</v>
      </c>
    </row>
    <row r="34" spans="51:215">
      <c r="AY34" t="s">
        <v>98</v>
      </c>
      <c r="AZ34" t="s">
        <v>967</v>
      </c>
      <c r="BB34" t="s">
        <v>1130</v>
      </c>
      <c r="BU34" t="s">
        <v>1267</v>
      </c>
      <c r="BV34" t="s">
        <v>1267</v>
      </c>
      <c r="BY34" t="s">
        <v>95</v>
      </c>
      <c r="BZ34" t="s">
        <v>95</v>
      </c>
      <c r="CA34" t="s">
        <v>93</v>
      </c>
      <c r="CB34" t="s">
        <v>93</v>
      </c>
      <c r="CG34" t="s">
        <v>1327</v>
      </c>
      <c r="CH34" t="s">
        <v>90</v>
      </c>
      <c r="CI34" t="s">
        <v>1129</v>
      </c>
      <c r="CM34" t="s">
        <v>2336</v>
      </c>
      <c r="CP34" t="s">
        <v>90</v>
      </c>
      <c r="DC34" t="s">
        <v>2336</v>
      </c>
      <c r="EP34" t="s">
        <v>100</v>
      </c>
      <c r="EQ34" t="s">
        <v>100</v>
      </c>
      <c r="EZ34" t="s">
        <v>1267</v>
      </c>
      <c r="FA34" t="s">
        <v>1267</v>
      </c>
      <c r="FM34" t="s">
        <v>90</v>
      </c>
      <c r="FQ34" t="s">
        <v>1268</v>
      </c>
      <c r="FR34" t="s">
        <v>1268</v>
      </c>
      <c r="HF34" t="s">
        <v>2336</v>
      </c>
      <c r="HG34" t="s">
        <v>2336</v>
      </c>
    </row>
    <row r="35" spans="51:215">
      <c r="AY35" t="s">
        <v>100</v>
      </c>
      <c r="AZ35" t="s">
        <v>968</v>
      </c>
      <c r="BB35" t="s">
        <v>1131</v>
      </c>
      <c r="BU35" t="s">
        <v>1268</v>
      </c>
      <c r="BV35" t="s">
        <v>1268</v>
      </c>
      <c r="BY35" t="s">
        <v>100</v>
      </c>
      <c r="BZ35" t="s">
        <v>100</v>
      </c>
      <c r="CA35" t="s">
        <v>95</v>
      </c>
      <c r="CB35" t="s">
        <v>95</v>
      </c>
      <c r="CG35" t="s">
        <v>1328</v>
      </c>
      <c r="CH35" t="s">
        <v>93</v>
      </c>
      <c r="CI35" t="s">
        <v>1130</v>
      </c>
      <c r="CM35" t="s">
        <v>2337</v>
      </c>
      <c r="CP35" t="s">
        <v>93</v>
      </c>
      <c r="DC35" t="s">
        <v>2337</v>
      </c>
      <c r="EP35" t="s">
        <v>103</v>
      </c>
      <c r="EQ35" t="s">
        <v>103</v>
      </c>
      <c r="EZ35" t="s">
        <v>1268</v>
      </c>
      <c r="FA35" t="s">
        <v>1268</v>
      </c>
      <c r="FM35" t="s">
        <v>93</v>
      </c>
      <c r="FQ35" t="s">
        <v>1270</v>
      </c>
      <c r="FR35" t="s">
        <v>1270</v>
      </c>
      <c r="HF35" t="s">
        <v>2337</v>
      </c>
      <c r="HG35" t="s">
        <v>2337</v>
      </c>
    </row>
    <row r="36" spans="51:215">
      <c r="AY36" t="s">
        <v>103</v>
      </c>
      <c r="AZ36" t="s">
        <v>969</v>
      </c>
      <c r="BB36" t="s">
        <v>1132</v>
      </c>
      <c r="BU36" t="s">
        <v>1269</v>
      </c>
      <c r="BV36" t="s">
        <v>1269</v>
      </c>
      <c r="BY36" t="s">
        <v>103</v>
      </c>
      <c r="BZ36" t="s">
        <v>103</v>
      </c>
      <c r="CA36" t="s">
        <v>98</v>
      </c>
      <c r="CB36" t="s">
        <v>98</v>
      </c>
      <c r="CG36" t="s">
        <v>1329</v>
      </c>
      <c r="CH36" t="s">
        <v>95</v>
      </c>
      <c r="CI36" t="s">
        <v>1131</v>
      </c>
      <c r="CM36" t="s">
        <v>2338</v>
      </c>
      <c r="CP36" t="s">
        <v>95</v>
      </c>
      <c r="DC36" t="s">
        <v>2338</v>
      </c>
      <c r="EP36" t="s">
        <v>105</v>
      </c>
      <c r="EQ36" t="s">
        <v>105</v>
      </c>
      <c r="EZ36" t="s">
        <v>1269</v>
      </c>
      <c r="FA36" t="s">
        <v>1269</v>
      </c>
      <c r="FM36" t="s">
        <v>95</v>
      </c>
      <c r="FQ36" t="s">
        <v>1269</v>
      </c>
      <c r="FR36" t="s">
        <v>1269</v>
      </c>
      <c r="HF36" t="s">
        <v>2338</v>
      </c>
      <c r="HG36" t="s">
        <v>2338</v>
      </c>
    </row>
    <row r="37" spans="51:215">
      <c r="AY37" t="s">
        <v>105</v>
      </c>
      <c r="AZ37" t="s">
        <v>970</v>
      </c>
      <c r="BB37" t="s">
        <v>1133</v>
      </c>
      <c r="BU37" t="s">
        <v>1270</v>
      </c>
      <c r="BV37" t="s">
        <v>1270</v>
      </c>
      <c r="BY37" t="s">
        <v>105</v>
      </c>
      <c r="BZ37" t="s">
        <v>105</v>
      </c>
      <c r="CA37" t="s">
        <v>100</v>
      </c>
      <c r="CB37" t="s">
        <v>100</v>
      </c>
      <c r="CG37" t="s">
        <v>1330</v>
      </c>
      <c r="CH37" t="s">
        <v>98</v>
      </c>
      <c r="CI37" t="s">
        <v>1132</v>
      </c>
      <c r="CM37" t="s">
        <v>2339</v>
      </c>
      <c r="CP37" t="s">
        <v>98</v>
      </c>
      <c r="DC37" t="s">
        <v>2339</v>
      </c>
      <c r="EP37" t="s">
        <v>109</v>
      </c>
      <c r="EQ37" t="s">
        <v>109</v>
      </c>
      <c r="EZ37" t="s">
        <v>1270</v>
      </c>
      <c r="FA37" t="s">
        <v>1270</v>
      </c>
      <c r="FM37" t="s">
        <v>98</v>
      </c>
      <c r="FQ37" t="s">
        <v>1263</v>
      </c>
      <c r="FR37" t="s">
        <v>1263</v>
      </c>
      <c r="HF37" t="s">
        <v>2339</v>
      </c>
      <c r="HG37" t="s">
        <v>2339</v>
      </c>
    </row>
    <row r="38" spans="51:215">
      <c r="AY38" t="s">
        <v>109</v>
      </c>
      <c r="AZ38" t="s">
        <v>971</v>
      </c>
      <c r="BB38" t="s">
        <v>91</v>
      </c>
      <c r="BY38" t="s">
        <v>109</v>
      </c>
      <c r="BZ38" t="s">
        <v>109</v>
      </c>
      <c r="CA38" t="s">
        <v>103</v>
      </c>
      <c r="CB38" t="s">
        <v>103</v>
      </c>
      <c r="CG38" t="s">
        <v>1331</v>
      </c>
      <c r="CH38" t="s">
        <v>100</v>
      </c>
      <c r="CI38" t="s">
        <v>1133</v>
      </c>
      <c r="CM38" t="s">
        <v>2340</v>
      </c>
      <c r="CP38" t="s">
        <v>100</v>
      </c>
      <c r="DC38" t="s">
        <v>2340</v>
      </c>
      <c r="EP38" t="s">
        <v>111</v>
      </c>
      <c r="EQ38" t="s">
        <v>111</v>
      </c>
      <c r="EZ38" t="s">
        <v>2609</v>
      </c>
      <c r="FA38" t="s">
        <v>2609</v>
      </c>
      <c r="FM38" t="s">
        <v>100</v>
      </c>
      <c r="HF38" t="s">
        <v>2340</v>
      </c>
      <c r="HG38" t="s">
        <v>2340</v>
      </c>
    </row>
    <row r="39" spans="51:215">
      <c r="AY39" t="s">
        <v>111</v>
      </c>
      <c r="AZ39" t="s">
        <v>972</v>
      </c>
      <c r="BB39" t="s">
        <v>1134</v>
      </c>
      <c r="BY39" t="s">
        <v>111</v>
      </c>
      <c r="BZ39" t="s">
        <v>111</v>
      </c>
      <c r="CA39" t="s">
        <v>105</v>
      </c>
      <c r="CB39" t="s">
        <v>105</v>
      </c>
      <c r="CG39" t="s">
        <v>1332</v>
      </c>
      <c r="CH39" t="s">
        <v>103</v>
      </c>
      <c r="CI39" t="s">
        <v>91</v>
      </c>
      <c r="CM39" t="s">
        <v>2341</v>
      </c>
      <c r="CP39" t="s">
        <v>103</v>
      </c>
      <c r="DC39" t="s">
        <v>2341</v>
      </c>
      <c r="EP39" t="s">
        <v>114</v>
      </c>
      <c r="EQ39" t="s">
        <v>114</v>
      </c>
      <c r="FM39" t="s">
        <v>103</v>
      </c>
      <c r="HF39" t="s">
        <v>2341</v>
      </c>
      <c r="HG39" t="s">
        <v>2341</v>
      </c>
    </row>
    <row r="40" spans="51:215">
      <c r="AY40" t="s">
        <v>114</v>
      </c>
      <c r="AZ40" t="s">
        <v>973</v>
      </c>
      <c r="BB40" t="s">
        <v>94</v>
      </c>
      <c r="BY40" t="s">
        <v>114</v>
      </c>
      <c r="BZ40" t="s">
        <v>114</v>
      </c>
      <c r="CA40" t="s">
        <v>109</v>
      </c>
      <c r="CB40" t="s">
        <v>109</v>
      </c>
      <c r="CG40" t="s">
        <v>1333</v>
      </c>
      <c r="CH40" t="s">
        <v>105</v>
      </c>
      <c r="CI40" t="s">
        <v>1134</v>
      </c>
      <c r="CM40" t="s">
        <v>2342</v>
      </c>
      <c r="CP40" t="s">
        <v>105</v>
      </c>
      <c r="DC40" t="s">
        <v>2342</v>
      </c>
      <c r="EP40" t="s">
        <v>117</v>
      </c>
      <c r="EQ40" t="s">
        <v>117</v>
      </c>
      <c r="FM40" t="s">
        <v>105</v>
      </c>
      <c r="HF40" t="s">
        <v>2342</v>
      </c>
      <c r="HG40" t="s">
        <v>2342</v>
      </c>
    </row>
    <row r="41" spans="51:215">
      <c r="AY41" t="s">
        <v>119</v>
      </c>
      <c r="AZ41" t="s">
        <v>974</v>
      </c>
      <c r="BB41" t="s">
        <v>96</v>
      </c>
      <c r="BY41" t="s">
        <v>117</v>
      </c>
      <c r="BZ41" t="s">
        <v>117</v>
      </c>
      <c r="CA41" t="s">
        <v>111</v>
      </c>
      <c r="CB41" t="s">
        <v>111</v>
      </c>
      <c r="CG41" t="s">
        <v>1334</v>
      </c>
      <c r="CH41" t="s">
        <v>109</v>
      </c>
      <c r="CI41" t="s">
        <v>94</v>
      </c>
      <c r="CM41" t="s">
        <v>2343</v>
      </c>
      <c r="CP41" t="s">
        <v>109</v>
      </c>
      <c r="DC41" t="s">
        <v>2343</v>
      </c>
      <c r="EP41" t="s">
        <v>119</v>
      </c>
      <c r="EQ41" t="s">
        <v>119</v>
      </c>
      <c r="FM41" t="s">
        <v>109</v>
      </c>
      <c r="HF41" t="s">
        <v>2343</v>
      </c>
      <c r="HG41" t="s">
        <v>2343</v>
      </c>
    </row>
    <row r="42" spans="51:215">
      <c r="AY42" t="s">
        <v>122</v>
      </c>
      <c r="AZ42" t="s">
        <v>975</v>
      </c>
      <c r="BB42" t="s">
        <v>99</v>
      </c>
      <c r="BY42" t="s">
        <v>119</v>
      </c>
      <c r="BZ42" t="s">
        <v>119</v>
      </c>
      <c r="CA42" t="s">
        <v>114</v>
      </c>
      <c r="CB42" t="s">
        <v>114</v>
      </c>
      <c r="CG42" t="s">
        <v>1335</v>
      </c>
      <c r="CH42" t="s">
        <v>111</v>
      </c>
      <c r="CI42" t="s">
        <v>96</v>
      </c>
      <c r="CM42" t="s">
        <v>2344</v>
      </c>
      <c r="CP42" t="s">
        <v>111</v>
      </c>
      <c r="DC42" t="s">
        <v>2344</v>
      </c>
      <c r="EP42" t="s">
        <v>122</v>
      </c>
      <c r="EQ42" t="s">
        <v>122</v>
      </c>
      <c r="FM42" t="s">
        <v>111</v>
      </c>
      <c r="HF42" t="s">
        <v>2344</v>
      </c>
      <c r="HG42" t="s">
        <v>2344</v>
      </c>
    </row>
    <row r="43" spans="51:215">
      <c r="AY43" t="s">
        <v>124</v>
      </c>
      <c r="AZ43" t="s">
        <v>976</v>
      </c>
      <c r="BB43" t="s">
        <v>101</v>
      </c>
      <c r="BY43" t="s">
        <v>122</v>
      </c>
      <c r="BZ43" t="s">
        <v>122</v>
      </c>
      <c r="CA43" t="s">
        <v>117</v>
      </c>
      <c r="CB43" t="s">
        <v>117</v>
      </c>
      <c r="CG43" t="s">
        <v>1336</v>
      </c>
      <c r="CH43" t="s">
        <v>114</v>
      </c>
      <c r="CI43" t="s">
        <v>99</v>
      </c>
      <c r="CM43" t="s">
        <v>2345</v>
      </c>
      <c r="CP43" t="s">
        <v>114</v>
      </c>
      <c r="DC43" t="s">
        <v>2345</v>
      </c>
      <c r="EP43" t="s">
        <v>124</v>
      </c>
      <c r="EQ43" t="s">
        <v>124</v>
      </c>
      <c r="FM43" t="s">
        <v>114</v>
      </c>
      <c r="HF43" t="s">
        <v>2345</v>
      </c>
      <c r="HG43" t="s">
        <v>2345</v>
      </c>
    </row>
    <row r="44" spans="51:215">
      <c r="AY44" t="s">
        <v>126</v>
      </c>
      <c r="AZ44" t="s">
        <v>977</v>
      </c>
      <c r="BB44" t="s">
        <v>104</v>
      </c>
      <c r="BY44" t="s">
        <v>124</v>
      </c>
      <c r="BZ44" t="s">
        <v>124</v>
      </c>
      <c r="CA44" t="s">
        <v>119</v>
      </c>
      <c r="CB44" t="s">
        <v>119</v>
      </c>
      <c r="CG44" t="s">
        <v>1337</v>
      </c>
      <c r="CH44" t="s">
        <v>117</v>
      </c>
      <c r="CI44" t="s">
        <v>101</v>
      </c>
      <c r="CM44" t="s">
        <v>2346</v>
      </c>
      <c r="CP44" t="s">
        <v>117</v>
      </c>
      <c r="DC44" t="s">
        <v>2346</v>
      </c>
      <c r="EP44" t="s">
        <v>126</v>
      </c>
      <c r="EQ44" t="s">
        <v>126</v>
      </c>
      <c r="FM44" t="s">
        <v>117</v>
      </c>
      <c r="HF44" t="s">
        <v>2346</v>
      </c>
      <c r="HG44" t="s">
        <v>2346</v>
      </c>
    </row>
    <row r="45" spans="51:215">
      <c r="AY45" t="s">
        <v>128</v>
      </c>
      <c r="AZ45" t="s">
        <v>978</v>
      </c>
      <c r="BB45" t="s">
        <v>106</v>
      </c>
      <c r="BY45" t="s">
        <v>126</v>
      </c>
      <c r="BZ45" t="s">
        <v>126</v>
      </c>
      <c r="CA45" t="s">
        <v>122</v>
      </c>
      <c r="CB45" t="s">
        <v>122</v>
      </c>
      <c r="CG45" t="s">
        <v>1338</v>
      </c>
      <c r="CH45" t="s">
        <v>119</v>
      </c>
      <c r="CI45" t="s">
        <v>104</v>
      </c>
      <c r="CM45" t="s">
        <v>2347</v>
      </c>
      <c r="CP45" t="s">
        <v>119</v>
      </c>
      <c r="DC45" t="s">
        <v>2347</v>
      </c>
      <c r="EP45" t="s">
        <v>128</v>
      </c>
      <c r="EQ45" t="s">
        <v>128</v>
      </c>
      <c r="FM45" t="s">
        <v>119</v>
      </c>
      <c r="HF45" t="s">
        <v>2347</v>
      </c>
      <c r="HG45" t="s">
        <v>2347</v>
      </c>
    </row>
    <row r="46" spans="51:215">
      <c r="AY46" t="s">
        <v>131</v>
      </c>
      <c r="AZ46" t="s">
        <v>979</v>
      </c>
      <c r="BB46" t="s">
        <v>110</v>
      </c>
      <c r="BY46" t="s">
        <v>128</v>
      </c>
      <c r="BZ46" t="s">
        <v>128</v>
      </c>
      <c r="CA46" t="s">
        <v>124</v>
      </c>
      <c r="CB46" t="s">
        <v>124</v>
      </c>
      <c r="CG46" t="s">
        <v>1339</v>
      </c>
      <c r="CH46" t="s">
        <v>122</v>
      </c>
      <c r="CI46" t="s">
        <v>106</v>
      </c>
      <c r="CM46" t="s">
        <v>2348</v>
      </c>
      <c r="CP46" t="s">
        <v>122</v>
      </c>
      <c r="DC46" t="s">
        <v>2348</v>
      </c>
      <c r="EP46" t="s">
        <v>131</v>
      </c>
      <c r="EQ46" t="s">
        <v>131</v>
      </c>
      <c r="FM46" t="s">
        <v>122</v>
      </c>
      <c r="HF46" t="s">
        <v>2348</v>
      </c>
      <c r="HG46" t="s">
        <v>2348</v>
      </c>
    </row>
    <row r="47" spans="51:215">
      <c r="AY47" t="s">
        <v>133</v>
      </c>
      <c r="AZ47" t="s">
        <v>980</v>
      </c>
      <c r="BB47" t="s">
        <v>112</v>
      </c>
      <c r="BY47" t="s">
        <v>131</v>
      </c>
      <c r="BZ47" t="s">
        <v>131</v>
      </c>
      <c r="CA47" t="s">
        <v>126</v>
      </c>
      <c r="CB47" t="s">
        <v>126</v>
      </c>
      <c r="CG47" t="s">
        <v>1340</v>
      </c>
      <c r="CH47" t="s">
        <v>124</v>
      </c>
      <c r="CI47" t="s">
        <v>110</v>
      </c>
      <c r="CM47" t="s">
        <v>2349</v>
      </c>
      <c r="CP47" t="s">
        <v>124</v>
      </c>
      <c r="DC47" t="s">
        <v>2349</v>
      </c>
      <c r="EP47" t="s">
        <v>133</v>
      </c>
      <c r="EQ47" t="s">
        <v>133</v>
      </c>
      <c r="FM47" t="s">
        <v>124</v>
      </c>
      <c r="HF47" t="s">
        <v>2349</v>
      </c>
      <c r="HG47" t="s">
        <v>2349</v>
      </c>
    </row>
    <row r="48" spans="51:215">
      <c r="AY48" t="s">
        <v>136</v>
      </c>
      <c r="AZ48" t="s">
        <v>981</v>
      </c>
      <c r="BB48" t="s">
        <v>115</v>
      </c>
      <c r="BY48" t="s">
        <v>133</v>
      </c>
      <c r="BZ48" t="s">
        <v>133</v>
      </c>
      <c r="CA48" t="s">
        <v>128</v>
      </c>
      <c r="CB48" t="s">
        <v>128</v>
      </c>
      <c r="CG48" t="s">
        <v>1341</v>
      </c>
      <c r="CH48" t="s">
        <v>126</v>
      </c>
      <c r="CI48" t="s">
        <v>112</v>
      </c>
      <c r="CM48" t="s">
        <v>2350</v>
      </c>
      <c r="CP48" t="s">
        <v>126</v>
      </c>
      <c r="DC48" t="s">
        <v>2350</v>
      </c>
      <c r="EP48" t="s">
        <v>136</v>
      </c>
      <c r="EQ48" t="s">
        <v>136</v>
      </c>
      <c r="FM48" t="s">
        <v>126</v>
      </c>
      <c r="HF48" t="s">
        <v>2350</v>
      </c>
      <c r="HG48" t="s">
        <v>2350</v>
      </c>
    </row>
    <row r="49" spans="51:215">
      <c r="AY49" t="s">
        <v>138</v>
      </c>
      <c r="AZ49" t="s">
        <v>982</v>
      </c>
      <c r="BB49" t="s">
        <v>1135</v>
      </c>
      <c r="BY49" t="s">
        <v>136</v>
      </c>
      <c r="BZ49" t="s">
        <v>136</v>
      </c>
      <c r="CA49" t="s">
        <v>131</v>
      </c>
      <c r="CB49" t="s">
        <v>131</v>
      </c>
      <c r="CG49" t="s">
        <v>1342</v>
      </c>
      <c r="CH49" t="s">
        <v>128</v>
      </c>
      <c r="CI49" t="s">
        <v>115</v>
      </c>
      <c r="CM49" t="s">
        <v>2351</v>
      </c>
      <c r="CP49" t="s">
        <v>128</v>
      </c>
      <c r="DC49" t="s">
        <v>2351</v>
      </c>
      <c r="EP49" t="s">
        <v>138</v>
      </c>
      <c r="EQ49" t="s">
        <v>138</v>
      </c>
      <c r="FM49" t="s">
        <v>128</v>
      </c>
      <c r="HF49" t="s">
        <v>2351</v>
      </c>
      <c r="HG49" t="s">
        <v>2351</v>
      </c>
    </row>
    <row r="50" spans="51:215">
      <c r="AY50" t="s">
        <v>142</v>
      </c>
      <c r="AZ50" t="s">
        <v>983</v>
      </c>
      <c r="BB50" t="s">
        <v>118</v>
      </c>
      <c r="BY50" t="s">
        <v>138</v>
      </c>
      <c r="BZ50" t="s">
        <v>138</v>
      </c>
      <c r="CA50" t="s">
        <v>133</v>
      </c>
      <c r="CB50" t="s">
        <v>133</v>
      </c>
      <c r="CG50" t="s">
        <v>1343</v>
      </c>
      <c r="CH50" t="s">
        <v>131</v>
      </c>
      <c r="CI50" t="s">
        <v>1135</v>
      </c>
      <c r="CM50" t="s">
        <v>2352</v>
      </c>
      <c r="CP50" t="s">
        <v>131</v>
      </c>
      <c r="DC50" t="s">
        <v>2352</v>
      </c>
      <c r="EP50" t="s">
        <v>142</v>
      </c>
      <c r="EQ50" t="s">
        <v>142</v>
      </c>
      <c r="FM50" t="s">
        <v>131</v>
      </c>
      <c r="HF50" t="s">
        <v>2352</v>
      </c>
      <c r="HG50" t="s">
        <v>2352</v>
      </c>
    </row>
    <row r="51" spans="51:215">
      <c r="AY51" t="s">
        <v>145</v>
      </c>
      <c r="AZ51" t="s">
        <v>984</v>
      </c>
      <c r="BB51" t="s">
        <v>120</v>
      </c>
      <c r="BY51" t="s">
        <v>142</v>
      </c>
      <c r="BZ51" t="s">
        <v>142</v>
      </c>
      <c r="CA51" t="s">
        <v>136</v>
      </c>
      <c r="CB51" t="s">
        <v>136</v>
      </c>
      <c r="CG51" t="s">
        <v>1344</v>
      </c>
      <c r="CH51" t="s">
        <v>133</v>
      </c>
      <c r="CI51" t="s">
        <v>118</v>
      </c>
      <c r="CM51" t="s">
        <v>2353</v>
      </c>
      <c r="CP51" t="s">
        <v>133</v>
      </c>
      <c r="DC51" t="s">
        <v>2353</v>
      </c>
      <c r="EP51" t="s">
        <v>145</v>
      </c>
      <c r="EQ51" t="s">
        <v>145</v>
      </c>
      <c r="FM51" t="s">
        <v>133</v>
      </c>
      <c r="HF51" t="s">
        <v>2353</v>
      </c>
      <c r="HG51" t="s">
        <v>2353</v>
      </c>
    </row>
    <row r="52" spans="51:215">
      <c r="AY52" t="s">
        <v>149</v>
      </c>
      <c r="AZ52" t="s">
        <v>985</v>
      </c>
      <c r="BB52" t="s">
        <v>123</v>
      </c>
      <c r="BY52" t="s">
        <v>145</v>
      </c>
      <c r="BZ52" t="s">
        <v>145</v>
      </c>
      <c r="CA52" t="s">
        <v>138</v>
      </c>
      <c r="CB52" t="s">
        <v>138</v>
      </c>
      <c r="CG52" t="s">
        <v>1345</v>
      </c>
      <c r="CH52" t="s">
        <v>136</v>
      </c>
      <c r="CI52" t="s">
        <v>120</v>
      </c>
      <c r="CM52" t="s">
        <v>2354</v>
      </c>
      <c r="CP52" t="s">
        <v>136</v>
      </c>
      <c r="DC52" t="s">
        <v>2354</v>
      </c>
      <c r="EP52" t="s">
        <v>149</v>
      </c>
      <c r="EQ52" t="s">
        <v>149</v>
      </c>
      <c r="FM52" t="s">
        <v>136</v>
      </c>
      <c r="HF52" t="s">
        <v>2354</v>
      </c>
      <c r="HG52" t="s">
        <v>2354</v>
      </c>
    </row>
    <row r="53" spans="51:215">
      <c r="AY53" t="s">
        <v>152</v>
      </c>
      <c r="AZ53" t="s">
        <v>986</v>
      </c>
      <c r="BB53" t="s">
        <v>127</v>
      </c>
      <c r="BY53" t="s">
        <v>149</v>
      </c>
      <c r="BZ53" t="s">
        <v>149</v>
      </c>
      <c r="CA53" t="s">
        <v>142</v>
      </c>
      <c r="CB53" t="s">
        <v>142</v>
      </c>
      <c r="CG53" t="s">
        <v>1346</v>
      </c>
      <c r="CH53" t="s">
        <v>138</v>
      </c>
      <c r="CI53" t="s">
        <v>123</v>
      </c>
      <c r="CM53" t="s">
        <v>2355</v>
      </c>
      <c r="CP53" t="s">
        <v>138</v>
      </c>
      <c r="DC53" t="s">
        <v>2355</v>
      </c>
      <c r="EP53" t="s">
        <v>152</v>
      </c>
      <c r="EQ53" t="s">
        <v>152</v>
      </c>
      <c r="FM53" t="s">
        <v>138</v>
      </c>
      <c r="HF53" t="s">
        <v>2355</v>
      </c>
      <c r="HG53" t="s">
        <v>2355</v>
      </c>
    </row>
    <row r="54" spans="51:215">
      <c r="AY54" t="s">
        <v>155</v>
      </c>
      <c r="AZ54" t="s">
        <v>987</v>
      </c>
      <c r="BB54" t="s">
        <v>129</v>
      </c>
      <c r="BY54" t="s">
        <v>152</v>
      </c>
      <c r="BZ54" t="s">
        <v>152</v>
      </c>
      <c r="CA54" t="s">
        <v>145</v>
      </c>
      <c r="CB54" t="s">
        <v>145</v>
      </c>
      <c r="CG54" t="s">
        <v>1347</v>
      </c>
      <c r="CH54" t="s">
        <v>142</v>
      </c>
      <c r="CI54" t="s">
        <v>127</v>
      </c>
      <c r="CM54" t="s">
        <v>2356</v>
      </c>
      <c r="CP54" t="s">
        <v>142</v>
      </c>
      <c r="DC54" t="s">
        <v>2356</v>
      </c>
      <c r="EP54" t="s">
        <v>159</v>
      </c>
      <c r="EQ54" t="s">
        <v>159</v>
      </c>
      <c r="FM54" t="s">
        <v>142</v>
      </c>
      <c r="HF54" t="s">
        <v>2356</v>
      </c>
      <c r="HG54" t="s">
        <v>2356</v>
      </c>
    </row>
    <row r="55" spans="51:215">
      <c r="AY55" t="s">
        <v>159</v>
      </c>
      <c r="AZ55" t="s">
        <v>988</v>
      </c>
      <c r="BB55" t="s">
        <v>132</v>
      </c>
      <c r="BY55" t="s">
        <v>159</v>
      </c>
      <c r="BZ55" t="s">
        <v>159</v>
      </c>
      <c r="CA55" t="s">
        <v>149</v>
      </c>
      <c r="CB55" t="s">
        <v>149</v>
      </c>
      <c r="CG55" t="s">
        <v>1348</v>
      </c>
      <c r="CH55" t="s">
        <v>145</v>
      </c>
      <c r="CI55" t="s">
        <v>129</v>
      </c>
      <c r="CM55" t="s">
        <v>2357</v>
      </c>
      <c r="CP55" t="s">
        <v>145</v>
      </c>
      <c r="DC55" t="s">
        <v>2357</v>
      </c>
      <c r="EP55" t="s">
        <v>161</v>
      </c>
      <c r="EQ55" t="s">
        <v>161</v>
      </c>
      <c r="FM55" t="s">
        <v>145</v>
      </c>
      <c r="HF55" t="s">
        <v>2357</v>
      </c>
      <c r="HG55" t="s">
        <v>2357</v>
      </c>
    </row>
    <row r="56" spans="51:215">
      <c r="AY56" t="s">
        <v>161</v>
      </c>
      <c r="AZ56" t="s">
        <v>989</v>
      </c>
      <c r="BB56" t="s">
        <v>134</v>
      </c>
      <c r="BY56" t="s">
        <v>161</v>
      </c>
      <c r="BZ56" t="s">
        <v>161</v>
      </c>
      <c r="CA56" t="s">
        <v>152</v>
      </c>
      <c r="CB56" t="s">
        <v>152</v>
      </c>
      <c r="CG56" t="s">
        <v>1349</v>
      </c>
      <c r="CH56" t="s">
        <v>149</v>
      </c>
      <c r="CI56" t="s">
        <v>132</v>
      </c>
      <c r="CM56" t="s">
        <v>2358</v>
      </c>
      <c r="CP56" t="s">
        <v>149</v>
      </c>
      <c r="EP56" t="s">
        <v>169</v>
      </c>
      <c r="EQ56" t="s">
        <v>169</v>
      </c>
      <c r="FM56" t="s">
        <v>149</v>
      </c>
      <c r="HF56" t="s">
        <v>2358</v>
      </c>
      <c r="HG56" t="s">
        <v>2764</v>
      </c>
    </row>
    <row r="57" spans="51:215">
      <c r="AY57" t="s">
        <v>163</v>
      </c>
      <c r="AZ57" t="s">
        <v>990</v>
      </c>
      <c r="BB57" t="s">
        <v>139</v>
      </c>
      <c r="BY57" t="s">
        <v>169</v>
      </c>
      <c r="BZ57" t="s">
        <v>169</v>
      </c>
      <c r="CA57" t="s">
        <v>155</v>
      </c>
      <c r="CB57" t="s">
        <v>155</v>
      </c>
      <c r="CG57" t="s">
        <v>1350</v>
      </c>
      <c r="CH57" t="s">
        <v>152</v>
      </c>
      <c r="CI57" t="s">
        <v>134</v>
      </c>
      <c r="CP57" t="s">
        <v>152</v>
      </c>
      <c r="EP57" t="s">
        <v>171</v>
      </c>
      <c r="EQ57" t="s">
        <v>171</v>
      </c>
      <c r="FM57" t="s">
        <v>152</v>
      </c>
      <c r="HF57" t="s">
        <v>2764</v>
      </c>
    </row>
    <row r="58" spans="51:215">
      <c r="AY58" t="s">
        <v>923</v>
      </c>
      <c r="AZ58" t="s">
        <v>991</v>
      </c>
      <c r="BB58" t="s">
        <v>143</v>
      </c>
      <c r="BY58" t="s">
        <v>171</v>
      </c>
      <c r="BZ58" t="s">
        <v>171</v>
      </c>
      <c r="CA58" t="s">
        <v>159</v>
      </c>
      <c r="CB58" t="s">
        <v>159</v>
      </c>
      <c r="CG58" t="s">
        <v>1351</v>
      </c>
      <c r="CH58" t="s">
        <v>155</v>
      </c>
      <c r="CI58" t="s">
        <v>139</v>
      </c>
      <c r="CP58" t="s">
        <v>155</v>
      </c>
      <c r="EP58" t="s">
        <v>173</v>
      </c>
      <c r="EQ58" t="s">
        <v>173</v>
      </c>
      <c r="FM58" t="s">
        <v>155</v>
      </c>
    </row>
    <row r="59" spans="51:215">
      <c r="AY59" t="s">
        <v>167</v>
      </c>
      <c r="AZ59" t="s">
        <v>992</v>
      </c>
      <c r="BB59" t="s">
        <v>146</v>
      </c>
      <c r="BY59" t="s">
        <v>173</v>
      </c>
      <c r="BZ59" t="s">
        <v>173</v>
      </c>
      <c r="CA59" t="s">
        <v>161</v>
      </c>
      <c r="CB59" t="s">
        <v>161</v>
      </c>
      <c r="CG59" t="s">
        <v>1352</v>
      </c>
      <c r="CH59" t="s">
        <v>159</v>
      </c>
      <c r="CI59" t="s">
        <v>143</v>
      </c>
      <c r="CP59" t="s">
        <v>159</v>
      </c>
      <c r="EP59" t="s">
        <v>175</v>
      </c>
      <c r="EQ59" t="s">
        <v>175</v>
      </c>
      <c r="FM59" t="s">
        <v>159</v>
      </c>
    </row>
    <row r="60" spans="51:215">
      <c r="AY60" t="s">
        <v>169</v>
      </c>
      <c r="AZ60" t="s">
        <v>993</v>
      </c>
      <c r="BB60" t="s">
        <v>150</v>
      </c>
      <c r="BY60" t="s">
        <v>175</v>
      </c>
      <c r="BZ60" t="s">
        <v>175</v>
      </c>
      <c r="CA60" t="s">
        <v>163</v>
      </c>
      <c r="CB60" t="s">
        <v>163</v>
      </c>
      <c r="CG60" t="s">
        <v>1353</v>
      </c>
      <c r="CH60" t="s">
        <v>161</v>
      </c>
      <c r="CI60" t="s">
        <v>146</v>
      </c>
      <c r="CP60" t="s">
        <v>161</v>
      </c>
      <c r="EP60" t="s">
        <v>177</v>
      </c>
      <c r="EQ60" t="s">
        <v>177</v>
      </c>
      <c r="FM60" t="s">
        <v>161</v>
      </c>
    </row>
    <row r="61" spans="51:215">
      <c r="AY61" t="s">
        <v>171</v>
      </c>
      <c r="AZ61" t="s">
        <v>994</v>
      </c>
      <c r="BB61" t="s">
        <v>153</v>
      </c>
      <c r="BY61" t="s">
        <v>177</v>
      </c>
      <c r="BZ61" t="s">
        <v>177</v>
      </c>
      <c r="CA61" t="s">
        <v>923</v>
      </c>
      <c r="CB61" t="s">
        <v>923</v>
      </c>
      <c r="CG61" t="s">
        <v>1354</v>
      </c>
      <c r="CH61" t="s">
        <v>163</v>
      </c>
      <c r="CI61" t="s">
        <v>150</v>
      </c>
      <c r="CP61" t="s">
        <v>163</v>
      </c>
      <c r="EP61" t="s">
        <v>179</v>
      </c>
      <c r="EQ61" t="s">
        <v>179</v>
      </c>
      <c r="FM61" t="s">
        <v>163</v>
      </c>
    </row>
    <row r="62" spans="51:215">
      <c r="AY62" t="s">
        <v>173</v>
      </c>
      <c r="AZ62" t="s">
        <v>995</v>
      </c>
      <c r="BB62" t="s">
        <v>156</v>
      </c>
      <c r="BY62" t="s">
        <v>179</v>
      </c>
      <c r="BZ62" t="s">
        <v>179</v>
      </c>
      <c r="CA62" t="s">
        <v>167</v>
      </c>
      <c r="CB62" t="s">
        <v>167</v>
      </c>
      <c r="CG62" t="s">
        <v>1355</v>
      </c>
      <c r="CH62" t="s">
        <v>923</v>
      </c>
      <c r="CI62" t="s">
        <v>153</v>
      </c>
      <c r="CP62" t="s">
        <v>923</v>
      </c>
      <c r="EP62" t="s">
        <v>181</v>
      </c>
      <c r="EQ62" t="s">
        <v>181</v>
      </c>
      <c r="FM62" t="s">
        <v>923</v>
      </c>
    </row>
    <row r="63" spans="51:215">
      <c r="AY63" t="s">
        <v>175</v>
      </c>
      <c r="AZ63" t="s">
        <v>996</v>
      </c>
      <c r="BB63" t="s">
        <v>160</v>
      </c>
      <c r="BY63" t="s">
        <v>181</v>
      </c>
      <c r="BZ63" t="s">
        <v>181</v>
      </c>
      <c r="CA63" t="s">
        <v>169</v>
      </c>
      <c r="CB63" t="s">
        <v>169</v>
      </c>
      <c r="CG63" t="s">
        <v>1356</v>
      </c>
      <c r="CH63" t="s">
        <v>167</v>
      </c>
      <c r="CI63" t="s">
        <v>156</v>
      </c>
      <c r="CP63" t="s">
        <v>167</v>
      </c>
      <c r="EP63" t="s">
        <v>183</v>
      </c>
      <c r="EQ63" t="s">
        <v>183</v>
      </c>
      <c r="FM63" t="s">
        <v>167</v>
      </c>
    </row>
    <row r="64" spans="51:215">
      <c r="AY64" t="s">
        <v>177</v>
      </c>
      <c r="AZ64" t="s">
        <v>997</v>
      </c>
      <c r="BB64" t="s">
        <v>162</v>
      </c>
      <c r="BY64" t="s">
        <v>183</v>
      </c>
      <c r="BZ64" t="s">
        <v>183</v>
      </c>
      <c r="CA64" t="s">
        <v>171</v>
      </c>
      <c r="CB64" t="s">
        <v>171</v>
      </c>
      <c r="CG64" t="s">
        <v>1357</v>
      </c>
      <c r="CH64" t="s">
        <v>169</v>
      </c>
      <c r="CI64" t="s">
        <v>160</v>
      </c>
      <c r="CP64" t="s">
        <v>169</v>
      </c>
      <c r="EP64" t="s">
        <v>187</v>
      </c>
      <c r="EQ64" t="s">
        <v>187</v>
      </c>
      <c r="FM64" t="s">
        <v>169</v>
      </c>
    </row>
    <row r="65" spans="51:169">
      <c r="AY65" t="s">
        <v>179</v>
      </c>
      <c r="AZ65" t="s">
        <v>998</v>
      </c>
      <c r="BB65" t="s">
        <v>164</v>
      </c>
      <c r="BY65" t="s">
        <v>187</v>
      </c>
      <c r="BZ65" t="s">
        <v>187</v>
      </c>
      <c r="CA65" t="s">
        <v>173</v>
      </c>
      <c r="CB65" t="s">
        <v>173</v>
      </c>
      <c r="CG65" t="s">
        <v>1358</v>
      </c>
      <c r="CH65" t="s">
        <v>171</v>
      </c>
      <c r="CI65" t="s">
        <v>162</v>
      </c>
      <c r="CP65" t="s">
        <v>171</v>
      </c>
      <c r="EP65" t="s">
        <v>189</v>
      </c>
      <c r="EQ65" t="s">
        <v>189</v>
      </c>
      <c r="FM65" t="s">
        <v>171</v>
      </c>
    </row>
    <row r="66" spans="51:169">
      <c r="AY66" t="s">
        <v>181</v>
      </c>
      <c r="AZ66" t="s">
        <v>999</v>
      </c>
      <c r="BB66" t="s">
        <v>166</v>
      </c>
      <c r="BY66" t="s">
        <v>189</v>
      </c>
      <c r="BZ66" t="s">
        <v>189</v>
      </c>
      <c r="CA66" t="s">
        <v>175</v>
      </c>
      <c r="CB66" t="s">
        <v>175</v>
      </c>
      <c r="CG66" t="s">
        <v>1359</v>
      </c>
      <c r="CH66" t="s">
        <v>173</v>
      </c>
      <c r="CI66" t="s">
        <v>164</v>
      </c>
      <c r="CP66" t="s">
        <v>173</v>
      </c>
      <c r="EP66" t="s">
        <v>191</v>
      </c>
      <c r="EQ66" t="s">
        <v>191</v>
      </c>
      <c r="FM66" t="s">
        <v>173</v>
      </c>
    </row>
    <row r="67" spans="51:169">
      <c r="AY67" t="s">
        <v>183</v>
      </c>
      <c r="AZ67" t="s">
        <v>1000</v>
      </c>
      <c r="BB67" t="s">
        <v>168</v>
      </c>
      <c r="BY67" t="s">
        <v>191</v>
      </c>
      <c r="BZ67" t="s">
        <v>191</v>
      </c>
      <c r="CA67" t="s">
        <v>177</v>
      </c>
      <c r="CB67" t="s">
        <v>177</v>
      </c>
      <c r="CG67" t="s">
        <v>1360</v>
      </c>
      <c r="CH67" t="s">
        <v>175</v>
      </c>
      <c r="CI67" t="s">
        <v>166</v>
      </c>
      <c r="CP67" t="s">
        <v>175</v>
      </c>
      <c r="EP67" t="s">
        <v>193</v>
      </c>
      <c r="EQ67" t="s">
        <v>193</v>
      </c>
      <c r="FM67" t="s">
        <v>175</v>
      </c>
    </row>
    <row r="68" spans="51:169">
      <c r="AY68" t="s">
        <v>185</v>
      </c>
      <c r="AZ68" t="s">
        <v>1001</v>
      </c>
      <c r="BB68" t="s">
        <v>170</v>
      </c>
      <c r="BY68" t="s">
        <v>193</v>
      </c>
      <c r="BZ68" t="s">
        <v>193</v>
      </c>
      <c r="CA68" t="s">
        <v>179</v>
      </c>
      <c r="CB68" t="s">
        <v>179</v>
      </c>
      <c r="CG68" t="s">
        <v>1361</v>
      </c>
      <c r="CH68" t="s">
        <v>177</v>
      </c>
      <c r="CI68" t="s">
        <v>168</v>
      </c>
      <c r="CP68" t="s">
        <v>177</v>
      </c>
      <c r="EP68" t="s">
        <v>199</v>
      </c>
      <c r="EQ68" t="s">
        <v>199</v>
      </c>
      <c r="FM68" t="s">
        <v>177</v>
      </c>
    </row>
    <row r="69" spans="51:169">
      <c r="AY69" t="s">
        <v>187</v>
      </c>
      <c r="AZ69" t="s">
        <v>1002</v>
      </c>
      <c r="BB69" t="s">
        <v>172</v>
      </c>
      <c r="BY69" t="s">
        <v>199</v>
      </c>
      <c r="BZ69" t="s">
        <v>199</v>
      </c>
      <c r="CA69" t="s">
        <v>181</v>
      </c>
      <c r="CB69" t="s">
        <v>181</v>
      </c>
      <c r="CG69" t="s">
        <v>1362</v>
      </c>
      <c r="CH69" t="s">
        <v>179</v>
      </c>
      <c r="CI69" t="s">
        <v>170</v>
      </c>
      <c r="CP69" t="s">
        <v>179</v>
      </c>
      <c r="EP69" t="s">
        <v>201</v>
      </c>
      <c r="EQ69" t="s">
        <v>201</v>
      </c>
      <c r="FM69" t="s">
        <v>179</v>
      </c>
    </row>
    <row r="70" spans="51:169">
      <c r="AY70" t="s">
        <v>191</v>
      </c>
      <c r="AZ70" t="s">
        <v>1003</v>
      </c>
      <c r="BB70" t="s">
        <v>176</v>
      </c>
      <c r="BY70" t="s">
        <v>201</v>
      </c>
      <c r="BZ70" t="s">
        <v>201</v>
      </c>
      <c r="CA70" t="s">
        <v>183</v>
      </c>
      <c r="CB70" t="s">
        <v>183</v>
      </c>
      <c r="CG70" t="s">
        <v>1363</v>
      </c>
      <c r="CH70" t="s">
        <v>181</v>
      </c>
      <c r="CI70" t="s">
        <v>172</v>
      </c>
      <c r="CP70" t="s">
        <v>181</v>
      </c>
      <c r="EP70" t="s">
        <v>203</v>
      </c>
      <c r="EQ70" t="s">
        <v>203</v>
      </c>
      <c r="FM70" t="s">
        <v>181</v>
      </c>
    </row>
    <row r="71" spans="51:169">
      <c r="AY71" t="s">
        <v>193</v>
      </c>
      <c r="AZ71" t="s">
        <v>1004</v>
      </c>
      <c r="BB71" t="s">
        <v>178</v>
      </c>
      <c r="BY71" t="s">
        <v>203</v>
      </c>
      <c r="BZ71" t="s">
        <v>203</v>
      </c>
      <c r="CA71" t="s">
        <v>185</v>
      </c>
      <c r="CB71" t="s">
        <v>185</v>
      </c>
      <c r="CG71" t="s">
        <v>1364</v>
      </c>
      <c r="CH71" t="s">
        <v>183</v>
      </c>
      <c r="CI71" t="s">
        <v>176</v>
      </c>
      <c r="CP71" t="s">
        <v>183</v>
      </c>
      <c r="EP71" t="s">
        <v>205</v>
      </c>
      <c r="EQ71" t="s">
        <v>205</v>
      </c>
      <c r="FM71" t="s">
        <v>183</v>
      </c>
    </row>
    <row r="72" spans="51:169">
      <c r="AY72" t="s">
        <v>195</v>
      </c>
      <c r="AZ72" t="s">
        <v>1005</v>
      </c>
      <c r="BB72" t="s">
        <v>180</v>
      </c>
      <c r="BY72" t="s">
        <v>205</v>
      </c>
      <c r="BZ72" t="s">
        <v>205</v>
      </c>
      <c r="CA72" t="s">
        <v>187</v>
      </c>
      <c r="CB72" t="s">
        <v>187</v>
      </c>
      <c r="CG72" t="s">
        <v>1365</v>
      </c>
      <c r="CH72" t="s">
        <v>185</v>
      </c>
      <c r="CI72" t="s">
        <v>178</v>
      </c>
      <c r="CP72" t="s">
        <v>185</v>
      </c>
      <c r="EP72" t="s">
        <v>207</v>
      </c>
      <c r="EQ72" t="s">
        <v>207</v>
      </c>
      <c r="FM72" t="s">
        <v>185</v>
      </c>
    </row>
    <row r="73" spans="51:169">
      <c r="AY73" t="s">
        <v>197</v>
      </c>
      <c r="AZ73" t="s">
        <v>1006</v>
      </c>
      <c r="BB73" t="s">
        <v>182</v>
      </c>
      <c r="BY73" t="s">
        <v>207</v>
      </c>
      <c r="BZ73" t="s">
        <v>207</v>
      </c>
      <c r="CA73" t="s">
        <v>189</v>
      </c>
      <c r="CB73" t="s">
        <v>189</v>
      </c>
      <c r="CG73" t="s">
        <v>1366</v>
      </c>
      <c r="CH73" t="s">
        <v>187</v>
      </c>
      <c r="CI73" t="s">
        <v>180</v>
      </c>
      <c r="CP73" t="s">
        <v>187</v>
      </c>
      <c r="EP73" t="s">
        <v>209</v>
      </c>
      <c r="EQ73" t="s">
        <v>209</v>
      </c>
      <c r="FM73" t="s">
        <v>187</v>
      </c>
    </row>
    <row r="74" spans="51:169">
      <c r="AY74" t="s">
        <v>199</v>
      </c>
      <c r="AZ74" t="s">
        <v>1007</v>
      </c>
      <c r="BB74" t="s">
        <v>186</v>
      </c>
      <c r="BY74" t="s">
        <v>209</v>
      </c>
      <c r="BZ74" t="s">
        <v>209</v>
      </c>
      <c r="CA74" t="s">
        <v>191</v>
      </c>
      <c r="CB74" t="s">
        <v>191</v>
      </c>
      <c r="CG74" t="s">
        <v>1367</v>
      </c>
      <c r="CH74" t="s">
        <v>189</v>
      </c>
      <c r="CI74" t="s">
        <v>182</v>
      </c>
      <c r="CP74" t="s">
        <v>189</v>
      </c>
      <c r="EP74" t="s">
        <v>213</v>
      </c>
      <c r="EQ74" t="s">
        <v>213</v>
      </c>
      <c r="FM74" t="s">
        <v>189</v>
      </c>
    </row>
    <row r="75" spans="51:169">
      <c r="AY75" t="s">
        <v>201</v>
      </c>
      <c r="AZ75" t="s">
        <v>1008</v>
      </c>
      <c r="BB75" t="s">
        <v>188</v>
      </c>
      <c r="BY75" t="s">
        <v>213</v>
      </c>
      <c r="BZ75" t="s">
        <v>213</v>
      </c>
      <c r="CA75" t="s">
        <v>193</v>
      </c>
      <c r="CB75" t="s">
        <v>193</v>
      </c>
      <c r="CG75" t="s">
        <v>1368</v>
      </c>
      <c r="CH75" t="s">
        <v>191</v>
      </c>
      <c r="CI75" t="s">
        <v>186</v>
      </c>
      <c r="CP75" t="s">
        <v>191</v>
      </c>
      <c r="EP75" t="s">
        <v>928</v>
      </c>
      <c r="EQ75" t="s">
        <v>928</v>
      </c>
      <c r="FM75" t="s">
        <v>191</v>
      </c>
    </row>
    <row r="76" spans="51:169">
      <c r="AY76" t="s">
        <v>203</v>
      </c>
      <c r="AZ76" t="s">
        <v>1009</v>
      </c>
      <c r="BB76" t="s">
        <v>190</v>
      </c>
      <c r="BY76" t="s">
        <v>219</v>
      </c>
      <c r="BZ76" t="s">
        <v>219</v>
      </c>
      <c r="CA76" t="s">
        <v>195</v>
      </c>
      <c r="CB76" t="s">
        <v>195</v>
      </c>
      <c r="CG76" t="s">
        <v>1369</v>
      </c>
      <c r="CH76" t="s">
        <v>193</v>
      </c>
      <c r="CI76" t="s">
        <v>188</v>
      </c>
      <c r="CP76" t="s">
        <v>193</v>
      </c>
      <c r="EP76" t="s">
        <v>219</v>
      </c>
      <c r="EQ76" t="s">
        <v>219</v>
      </c>
      <c r="FM76" t="s">
        <v>193</v>
      </c>
    </row>
    <row r="77" spans="51:169">
      <c r="AY77" t="s">
        <v>205</v>
      </c>
      <c r="AZ77" t="s">
        <v>1010</v>
      </c>
      <c r="BB77" t="s">
        <v>192</v>
      </c>
      <c r="BY77" t="s">
        <v>221</v>
      </c>
      <c r="BZ77" t="s">
        <v>221</v>
      </c>
      <c r="CA77" t="s">
        <v>197</v>
      </c>
      <c r="CB77" t="s">
        <v>197</v>
      </c>
      <c r="CG77" t="s">
        <v>1370</v>
      </c>
      <c r="CH77" t="s">
        <v>195</v>
      </c>
      <c r="CI77" t="s">
        <v>190</v>
      </c>
      <c r="CP77" t="s">
        <v>195</v>
      </c>
      <c r="EP77" t="s">
        <v>221</v>
      </c>
      <c r="EQ77" t="s">
        <v>221</v>
      </c>
      <c r="FM77" t="s">
        <v>195</v>
      </c>
    </row>
    <row r="78" spans="51:169">
      <c r="AY78" t="s">
        <v>207</v>
      </c>
      <c r="AZ78" t="s">
        <v>1011</v>
      </c>
      <c r="BB78" t="s">
        <v>194</v>
      </c>
      <c r="BY78" t="s">
        <v>223</v>
      </c>
      <c r="BZ78" t="s">
        <v>223</v>
      </c>
      <c r="CA78" t="s">
        <v>199</v>
      </c>
      <c r="CB78" t="s">
        <v>199</v>
      </c>
      <c r="CG78" t="s">
        <v>1371</v>
      </c>
      <c r="CH78" t="s">
        <v>197</v>
      </c>
      <c r="CI78" t="s">
        <v>192</v>
      </c>
      <c r="CP78" t="s">
        <v>197</v>
      </c>
      <c r="EP78" t="s">
        <v>223</v>
      </c>
      <c r="EQ78" t="s">
        <v>223</v>
      </c>
      <c r="FM78" t="s">
        <v>197</v>
      </c>
    </row>
    <row r="79" spans="51:169">
      <c r="AY79" t="s">
        <v>209</v>
      </c>
      <c r="AZ79" t="s">
        <v>1012</v>
      </c>
      <c r="BB79" t="s">
        <v>196</v>
      </c>
      <c r="BY79" t="s">
        <v>225</v>
      </c>
      <c r="BZ79" t="s">
        <v>225</v>
      </c>
      <c r="CA79" t="s">
        <v>201</v>
      </c>
      <c r="CB79" t="s">
        <v>201</v>
      </c>
      <c r="CG79" t="s">
        <v>1372</v>
      </c>
      <c r="CH79" t="s">
        <v>199</v>
      </c>
      <c r="CI79" t="s">
        <v>194</v>
      </c>
      <c r="CP79" t="s">
        <v>199</v>
      </c>
      <c r="EP79" t="s">
        <v>225</v>
      </c>
      <c r="EQ79" t="s">
        <v>225</v>
      </c>
      <c r="FM79" t="s">
        <v>199</v>
      </c>
    </row>
    <row r="80" spans="51:169">
      <c r="AY80" t="s">
        <v>211</v>
      </c>
      <c r="AZ80" t="s">
        <v>1013</v>
      </c>
      <c r="BB80" t="s">
        <v>198</v>
      </c>
      <c r="BY80" t="s">
        <v>227</v>
      </c>
      <c r="BZ80" t="s">
        <v>227</v>
      </c>
      <c r="CA80" t="s">
        <v>203</v>
      </c>
      <c r="CB80" t="s">
        <v>203</v>
      </c>
      <c r="CG80" t="s">
        <v>1373</v>
      </c>
      <c r="CH80" t="s">
        <v>201</v>
      </c>
      <c r="CI80" t="s">
        <v>196</v>
      </c>
      <c r="CP80" t="s">
        <v>201</v>
      </c>
      <c r="EP80" t="s">
        <v>227</v>
      </c>
      <c r="EQ80" t="s">
        <v>227</v>
      </c>
      <c r="FM80" t="s">
        <v>201</v>
      </c>
    </row>
    <row r="81" spans="51:169">
      <c r="AY81" t="s">
        <v>213</v>
      </c>
      <c r="AZ81" t="s">
        <v>1014</v>
      </c>
      <c r="BB81" t="s">
        <v>200</v>
      </c>
      <c r="BY81" t="s">
        <v>229</v>
      </c>
      <c r="BZ81" t="s">
        <v>229</v>
      </c>
      <c r="CA81" t="s">
        <v>205</v>
      </c>
      <c r="CB81" t="s">
        <v>205</v>
      </c>
      <c r="CG81" t="s">
        <v>1374</v>
      </c>
      <c r="CH81" t="s">
        <v>203</v>
      </c>
      <c r="CI81" t="s">
        <v>198</v>
      </c>
      <c r="CP81" t="s">
        <v>203</v>
      </c>
      <c r="EP81" t="s">
        <v>229</v>
      </c>
      <c r="EQ81" t="s">
        <v>229</v>
      </c>
      <c r="FM81" t="s">
        <v>203</v>
      </c>
    </row>
    <row r="82" spans="51:169">
      <c r="AY82" t="s">
        <v>217</v>
      </c>
      <c r="AZ82" t="s">
        <v>1015</v>
      </c>
      <c r="BB82" t="s">
        <v>202</v>
      </c>
      <c r="BY82" t="s">
        <v>231</v>
      </c>
      <c r="BZ82" t="s">
        <v>231</v>
      </c>
      <c r="CA82" t="s">
        <v>207</v>
      </c>
      <c r="CB82" t="s">
        <v>207</v>
      </c>
      <c r="CG82" t="s">
        <v>1375</v>
      </c>
      <c r="CH82" t="s">
        <v>205</v>
      </c>
      <c r="CI82" t="s">
        <v>200</v>
      </c>
      <c r="CP82" t="s">
        <v>205</v>
      </c>
      <c r="EP82" t="s">
        <v>231</v>
      </c>
      <c r="EQ82" t="s">
        <v>231</v>
      </c>
      <c r="FM82" t="s">
        <v>205</v>
      </c>
    </row>
    <row r="83" spans="51:169">
      <c r="AY83" t="s">
        <v>219</v>
      </c>
      <c r="AZ83" t="s">
        <v>1016</v>
      </c>
      <c r="BB83" t="s">
        <v>204</v>
      </c>
      <c r="BY83" t="s">
        <v>233</v>
      </c>
      <c r="BZ83" t="s">
        <v>233</v>
      </c>
      <c r="CA83" t="s">
        <v>209</v>
      </c>
      <c r="CB83" t="s">
        <v>209</v>
      </c>
      <c r="CG83" t="s">
        <v>1376</v>
      </c>
      <c r="CH83" t="s">
        <v>207</v>
      </c>
      <c r="CI83" t="s">
        <v>202</v>
      </c>
      <c r="CP83" t="s">
        <v>207</v>
      </c>
      <c r="EP83" t="s">
        <v>233</v>
      </c>
      <c r="EQ83" t="s">
        <v>233</v>
      </c>
      <c r="FM83" t="s">
        <v>207</v>
      </c>
    </row>
    <row r="84" spans="51:169">
      <c r="AY84" t="s">
        <v>221</v>
      </c>
      <c r="AZ84" t="s">
        <v>1017</v>
      </c>
      <c r="BB84" t="s">
        <v>206</v>
      </c>
      <c r="BY84" t="s">
        <v>235</v>
      </c>
      <c r="BZ84" t="s">
        <v>235</v>
      </c>
      <c r="CA84" t="s">
        <v>211</v>
      </c>
      <c r="CB84" t="s">
        <v>211</v>
      </c>
      <c r="CG84" t="s">
        <v>1377</v>
      </c>
      <c r="CH84" t="s">
        <v>209</v>
      </c>
      <c r="CI84" t="s">
        <v>204</v>
      </c>
      <c r="CP84" t="s">
        <v>209</v>
      </c>
      <c r="EP84" t="s">
        <v>235</v>
      </c>
      <c r="EQ84" t="s">
        <v>235</v>
      </c>
      <c r="FM84" t="s">
        <v>209</v>
      </c>
    </row>
    <row r="85" spans="51:169">
      <c r="AY85" t="s">
        <v>223</v>
      </c>
      <c r="AZ85" t="s">
        <v>1018</v>
      </c>
      <c r="BB85" t="s">
        <v>208</v>
      </c>
      <c r="BY85" t="s">
        <v>237</v>
      </c>
      <c r="BZ85" t="s">
        <v>237</v>
      </c>
      <c r="CA85" t="s">
        <v>213</v>
      </c>
      <c r="CB85" t="s">
        <v>213</v>
      </c>
      <c r="CG85" t="s">
        <v>1378</v>
      </c>
      <c r="CH85" t="s">
        <v>211</v>
      </c>
      <c r="CI85" t="s">
        <v>206</v>
      </c>
      <c r="CP85" t="s">
        <v>211</v>
      </c>
      <c r="EP85" t="s">
        <v>237</v>
      </c>
      <c r="EQ85" t="s">
        <v>237</v>
      </c>
      <c r="FM85" t="s">
        <v>211</v>
      </c>
    </row>
    <row r="86" spans="51:169">
      <c r="AY86" t="s">
        <v>225</v>
      </c>
      <c r="AZ86" t="s">
        <v>1019</v>
      </c>
      <c r="BB86" t="s">
        <v>210</v>
      </c>
      <c r="BY86" t="s">
        <v>239</v>
      </c>
      <c r="BZ86" t="s">
        <v>239</v>
      </c>
      <c r="CA86" t="s">
        <v>217</v>
      </c>
      <c r="CB86" t="s">
        <v>217</v>
      </c>
      <c r="CG86" t="s">
        <v>1379</v>
      </c>
      <c r="CH86" t="s">
        <v>213</v>
      </c>
      <c r="CI86" t="s">
        <v>208</v>
      </c>
      <c r="CP86" t="s">
        <v>213</v>
      </c>
      <c r="EP86" t="s">
        <v>239</v>
      </c>
      <c r="EQ86" t="s">
        <v>239</v>
      </c>
      <c r="FM86" t="s">
        <v>213</v>
      </c>
    </row>
    <row r="87" spans="51:169">
      <c r="AY87" t="s">
        <v>227</v>
      </c>
      <c r="AZ87" t="s">
        <v>1020</v>
      </c>
      <c r="BB87" t="s">
        <v>212</v>
      </c>
      <c r="BY87" t="s">
        <v>241</v>
      </c>
      <c r="BZ87" t="s">
        <v>241</v>
      </c>
      <c r="CA87" t="s">
        <v>219</v>
      </c>
      <c r="CB87" t="s">
        <v>219</v>
      </c>
      <c r="CG87" t="s">
        <v>1380</v>
      </c>
      <c r="CH87" t="s">
        <v>928</v>
      </c>
      <c r="CI87" t="s">
        <v>210</v>
      </c>
      <c r="CP87" t="s">
        <v>447</v>
      </c>
      <c r="EP87" t="s">
        <v>241</v>
      </c>
      <c r="EQ87" t="s">
        <v>241</v>
      </c>
      <c r="FM87" t="s">
        <v>928</v>
      </c>
    </row>
    <row r="88" spans="51:169">
      <c r="AY88" t="s">
        <v>229</v>
      </c>
      <c r="AZ88" t="s">
        <v>1021</v>
      </c>
      <c r="BB88" t="s">
        <v>214</v>
      </c>
      <c r="BY88" t="s">
        <v>243</v>
      </c>
      <c r="BZ88" t="s">
        <v>243</v>
      </c>
      <c r="CA88" t="s">
        <v>221</v>
      </c>
      <c r="CB88" t="s">
        <v>221</v>
      </c>
      <c r="CG88" t="s">
        <v>1381</v>
      </c>
      <c r="CH88" t="s">
        <v>217</v>
      </c>
      <c r="CI88" t="s">
        <v>212</v>
      </c>
      <c r="CP88" t="s">
        <v>928</v>
      </c>
      <c r="EP88" t="s">
        <v>243</v>
      </c>
      <c r="EQ88" t="s">
        <v>243</v>
      </c>
      <c r="FM88" t="s">
        <v>217</v>
      </c>
    </row>
    <row r="89" spans="51:169">
      <c r="AY89" t="s">
        <v>231</v>
      </c>
      <c r="AZ89" t="s">
        <v>1022</v>
      </c>
      <c r="BB89" t="s">
        <v>216</v>
      </c>
      <c r="BY89" t="s">
        <v>245</v>
      </c>
      <c r="BZ89" t="s">
        <v>245</v>
      </c>
      <c r="CA89" t="s">
        <v>223</v>
      </c>
      <c r="CB89" t="s">
        <v>223</v>
      </c>
      <c r="CG89" t="s">
        <v>1382</v>
      </c>
      <c r="CH89" t="s">
        <v>219</v>
      </c>
      <c r="CI89" t="s">
        <v>214</v>
      </c>
      <c r="CP89" t="s">
        <v>217</v>
      </c>
      <c r="EP89" t="s">
        <v>245</v>
      </c>
      <c r="EQ89" t="s">
        <v>245</v>
      </c>
      <c r="FM89" t="s">
        <v>219</v>
      </c>
    </row>
    <row r="90" spans="51:169">
      <c r="AY90" t="s">
        <v>233</v>
      </c>
      <c r="AZ90" t="s">
        <v>1023</v>
      </c>
      <c r="BB90" t="s">
        <v>218</v>
      </c>
      <c r="BY90" t="s">
        <v>251</v>
      </c>
      <c r="BZ90" t="s">
        <v>251</v>
      </c>
      <c r="CA90" t="s">
        <v>225</v>
      </c>
      <c r="CB90" t="s">
        <v>225</v>
      </c>
      <c r="CG90" t="s">
        <v>1383</v>
      </c>
      <c r="CH90" t="s">
        <v>221</v>
      </c>
      <c r="CI90" t="s">
        <v>216</v>
      </c>
      <c r="CP90" t="s">
        <v>219</v>
      </c>
      <c r="EP90" t="s">
        <v>251</v>
      </c>
      <c r="EQ90" t="s">
        <v>251</v>
      </c>
      <c r="FM90" t="s">
        <v>221</v>
      </c>
    </row>
    <row r="91" spans="51:169">
      <c r="AY91" t="s">
        <v>235</v>
      </c>
      <c r="AZ91" t="s">
        <v>1024</v>
      </c>
      <c r="BB91" t="s">
        <v>1136</v>
      </c>
      <c r="BY91" t="s">
        <v>253</v>
      </c>
      <c r="BZ91" t="s">
        <v>253</v>
      </c>
      <c r="CA91" t="s">
        <v>227</v>
      </c>
      <c r="CB91" t="s">
        <v>227</v>
      </c>
      <c r="CG91" t="s">
        <v>1384</v>
      </c>
      <c r="CH91" t="s">
        <v>223</v>
      </c>
      <c r="CI91" t="s">
        <v>218</v>
      </c>
      <c r="CP91" t="s">
        <v>221</v>
      </c>
      <c r="EP91" t="s">
        <v>253</v>
      </c>
      <c r="EQ91" t="s">
        <v>253</v>
      </c>
      <c r="FM91" t="s">
        <v>223</v>
      </c>
    </row>
    <row r="92" spans="51:169">
      <c r="AY92" t="s">
        <v>237</v>
      </c>
      <c r="AZ92" t="s">
        <v>1025</v>
      </c>
      <c r="BB92" t="s">
        <v>1137</v>
      </c>
      <c r="BY92" t="s">
        <v>255</v>
      </c>
      <c r="BZ92" t="s">
        <v>255</v>
      </c>
      <c r="CA92" t="s">
        <v>229</v>
      </c>
      <c r="CB92" t="s">
        <v>229</v>
      </c>
      <c r="CG92" t="s">
        <v>1385</v>
      </c>
      <c r="CH92" t="s">
        <v>225</v>
      </c>
      <c r="CI92" t="s">
        <v>1136</v>
      </c>
      <c r="CP92" t="s">
        <v>223</v>
      </c>
      <c r="EP92" t="s">
        <v>255</v>
      </c>
      <c r="EQ92" t="s">
        <v>255</v>
      </c>
      <c r="FM92" t="s">
        <v>225</v>
      </c>
    </row>
    <row r="93" spans="51:169">
      <c r="AY93" t="s">
        <v>239</v>
      </c>
      <c r="AZ93" t="s">
        <v>1026</v>
      </c>
      <c r="BB93" t="s">
        <v>220</v>
      </c>
      <c r="BY93" t="s">
        <v>257</v>
      </c>
      <c r="BZ93" t="s">
        <v>257</v>
      </c>
      <c r="CA93" t="s">
        <v>231</v>
      </c>
      <c r="CB93" t="s">
        <v>231</v>
      </c>
      <c r="CG93" t="s">
        <v>1386</v>
      </c>
      <c r="CH93" t="s">
        <v>227</v>
      </c>
      <c r="CI93" t="s">
        <v>1137</v>
      </c>
      <c r="CP93" t="s">
        <v>225</v>
      </c>
      <c r="EP93" t="s">
        <v>257</v>
      </c>
      <c r="EQ93" t="s">
        <v>257</v>
      </c>
      <c r="FM93" t="s">
        <v>227</v>
      </c>
    </row>
    <row r="94" spans="51:169">
      <c r="AY94" t="s">
        <v>241</v>
      </c>
      <c r="AZ94" t="s">
        <v>1027</v>
      </c>
      <c r="BB94" t="s">
        <v>222</v>
      </c>
      <c r="BY94" t="s">
        <v>261</v>
      </c>
      <c r="BZ94" t="s">
        <v>261</v>
      </c>
      <c r="CA94" t="s">
        <v>233</v>
      </c>
      <c r="CB94" t="s">
        <v>233</v>
      </c>
      <c r="CG94" t="s">
        <v>1387</v>
      </c>
      <c r="CH94" t="s">
        <v>229</v>
      </c>
      <c r="CI94" t="s">
        <v>220</v>
      </c>
      <c r="CP94" t="s">
        <v>227</v>
      </c>
      <c r="EP94" t="s">
        <v>261</v>
      </c>
      <c r="EQ94" t="s">
        <v>261</v>
      </c>
      <c r="FM94" t="s">
        <v>229</v>
      </c>
    </row>
    <row r="95" spans="51:169">
      <c r="AY95" t="s">
        <v>243</v>
      </c>
      <c r="AZ95" t="s">
        <v>1028</v>
      </c>
      <c r="BB95" t="s">
        <v>224</v>
      </c>
      <c r="BY95" t="s">
        <v>263</v>
      </c>
      <c r="BZ95" t="s">
        <v>263</v>
      </c>
      <c r="CA95" t="s">
        <v>235</v>
      </c>
      <c r="CB95" t="s">
        <v>235</v>
      </c>
      <c r="CG95" t="s">
        <v>1388</v>
      </c>
      <c r="CH95" t="s">
        <v>231</v>
      </c>
      <c r="CI95" t="s">
        <v>222</v>
      </c>
      <c r="CP95" t="s">
        <v>229</v>
      </c>
      <c r="EP95" t="s">
        <v>263</v>
      </c>
      <c r="EQ95" t="s">
        <v>263</v>
      </c>
      <c r="FM95" t="s">
        <v>231</v>
      </c>
    </row>
    <row r="96" spans="51:169">
      <c r="AY96" t="s">
        <v>245</v>
      </c>
      <c r="AZ96" t="s">
        <v>1029</v>
      </c>
      <c r="BB96" t="s">
        <v>226</v>
      </c>
      <c r="BY96" t="s">
        <v>267</v>
      </c>
      <c r="BZ96" t="s">
        <v>267</v>
      </c>
      <c r="CA96" t="s">
        <v>237</v>
      </c>
      <c r="CB96" t="s">
        <v>237</v>
      </c>
      <c r="CG96" t="s">
        <v>1389</v>
      </c>
      <c r="CH96" t="s">
        <v>233</v>
      </c>
      <c r="CI96" t="s">
        <v>224</v>
      </c>
      <c r="CP96" t="s">
        <v>231</v>
      </c>
      <c r="EP96" t="s">
        <v>267</v>
      </c>
      <c r="EQ96" t="s">
        <v>267</v>
      </c>
      <c r="FM96" t="s">
        <v>233</v>
      </c>
    </row>
    <row r="97" spans="51:169">
      <c r="AY97" t="s">
        <v>247</v>
      </c>
      <c r="AZ97" t="s">
        <v>1030</v>
      </c>
      <c r="BB97" t="s">
        <v>228</v>
      </c>
      <c r="BY97" t="s">
        <v>269</v>
      </c>
      <c r="BZ97" t="s">
        <v>269</v>
      </c>
      <c r="CA97" t="s">
        <v>239</v>
      </c>
      <c r="CB97" t="s">
        <v>239</v>
      </c>
      <c r="CG97" t="s">
        <v>1390</v>
      </c>
      <c r="CH97" t="s">
        <v>235</v>
      </c>
      <c r="CI97" t="s">
        <v>226</v>
      </c>
      <c r="CP97" t="s">
        <v>233</v>
      </c>
      <c r="EP97" t="s">
        <v>269</v>
      </c>
      <c r="EQ97" t="s">
        <v>269</v>
      </c>
      <c r="FM97" t="s">
        <v>235</v>
      </c>
    </row>
    <row r="98" spans="51:169">
      <c r="AY98" t="s">
        <v>249</v>
      </c>
      <c r="AZ98" t="s">
        <v>1031</v>
      </c>
      <c r="BB98" t="s">
        <v>230</v>
      </c>
      <c r="BY98" t="s">
        <v>271</v>
      </c>
      <c r="BZ98" t="s">
        <v>271</v>
      </c>
      <c r="CA98" t="s">
        <v>241</v>
      </c>
      <c r="CB98" t="s">
        <v>241</v>
      </c>
      <c r="CG98" t="s">
        <v>1391</v>
      </c>
      <c r="CH98" t="s">
        <v>237</v>
      </c>
      <c r="CI98" t="s">
        <v>228</v>
      </c>
      <c r="CP98" t="s">
        <v>235</v>
      </c>
      <c r="EP98" t="s">
        <v>271</v>
      </c>
      <c r="EQ98" t="s">
        <v>271</v>
      </c>
      <c r="FM98" t="s">
        <v>237</v>
      </c>
    </row>
    <row r="99" spans="51:169">
      <c r="AY99" t="s">
        <v>251</v>
      </c>
      <c r="AZ99" t="s">
        <v>1032</v>
      </c>
      <c r="BB99" t="s">
        <v>232</v>
      </c>
      <c r="BY99" t="s">
        <v>273</v>
      </c>
      <c r="BZ99" t="s">
        <v>273</v>
      </c>
      <c r="CA99" t="s">
        <v>243</v>
      </c>
      <c r="CB99" t="s">
        <v>243</v>
      </c>
      <c r="CG99" t="s">
        <v>1392</v>
      </c>
      <c r="CH99" t="s">
        <v>239</v>
      </c>
      <c r="CI99" t="s">
        <v>230</v>
      </c>
      <c r="CP99" t="s">
        <v>237</v>
      </c>
      <c r="EP99" t="s">
        <v>273</v>
      </c>
      <c r="EQ99" t="s">
        <v>273</v>
      </c>
      <c r="FM99" t="s">
        <v>239</v>
      </c>
    </row>
    <row r="100" spans="51:169">
      <c r="AY100" t="s">
        <v>253</v>
      </c>
      <c r="AZ100" t="s">
        <v>1033</v>
      </c>
      <c r="BB100" t="s">
        <v>234</v>
      </c>
      <c r="BY100" t="s">
        <v>275</v>
      </c>
      <c r="BZ100" t="s">
        <v>275</v>
      </c>
      <c r="CA100" t="s">
        <v>245</v>
      </c>
      <c r="CB100" t="s">
        <v>245</v>
      </c>
      <c r="CG100" t="s">
        <v>1393</v>
      </c>
      <c r="CH100" t="s">
        <v>241</v>
      </c>
      <c r="CI100" t="s">
        <v>232</v>
      </c>
      <c r="CP100" t="s">
        <v>239</v>
      </c>
      <c r="EP100" t="s">
        <v>275</v>
      </c>
      <c r="EQ100" t="s">
        <v>275</v>
      </c>
      <c r="FM100" t="s">
        <v>241</v>
      </c>
    </row>
    <row r="101" spans="51:169">
      <c r="AY101" t="s">
        <v>255</v>
      </c>
      <c r="AZ101" t="s">
        <v>1034</v>
      </c>
      <c r="BB101" t="s">
        <v>236</v>
      </c>
      <c r="BY101" t="s">
        <v>277</v>
      </c>
      <c r="BZ101" t="s">
        <v>277</v>
      </c>
      <c r="CA101" t="s">
        <v>247</v>
      </c>
      <c r="CB101" t="s">
        <v>247</v>
      </c>
      <c r="CG101" t="s">
        <v>1394</v>
      </c>
      <c r="CH101" t="s">
        <v>243</v>
      </c>
      <c r="CI101" t="s">
        <v>234</v>
      </c>
      <c r="CP101" t="s">
        <v>241</v>
      </c>
      <c r="EP101" t="s">
        <v>277</v>
      </c>
      <c r="EQ101" t="s">
        <v>277</v>
      </c>
      <c r="FM101" t="s">
        <v>243</v>
      </c>
    </row>
    <row r="102" spans="51:169">
      <c r="AY102" t="s">
        <v>257</v>
      </c>
      <c r="AZ102" t="s">
        <v>1035</v>
      </c>
      <c r="BB102" t="s">
        <v>1138</v>
      </c>
      <c r="BY102" t="s">
        <v>279</v>
      </c>
      <c r="BZ102" t="s">
        <v>279</v>
      </c>
      <c r="CA102" t="s">
        <v>249</v>
      </c>
      <c r="CB102" t="s">
        <v>249</v>
      </c>
      <c r="CG102" t="s">
        <v>1395</v>
      </c>
      <c r="CH102" t="s">
        <v>245</v>
      </c>
      <c r="CI102" t="s">
        <v>236</v>
      </c>
      <c r="CP102" t="s">
        <v>243</v>
      </c>
      <c r="EP102" t="s">
        <v>279</v>
      </c>
      <c r="EQ102" t="s">
        <v>279</v>
      </c>
      <c r="FM102" t="s">
        <v>245</v>
      </c>
    </row>
    <row r="103" spans="51:169">
      <c r="AY103" t="s">
        <v>259</v>
      </c>
      <c r="AZ103" t="s">
        <v>1036</v>
      </c>
      <c r="BB103" t="s">
        <v>238</v>
      </c>
      <c r="BY103" t="s">
        <v>281</v>
      </c>
      <c r="BZ103" t="s">
        <v>281</v>
      </c>
      <c r="CA103" t="s">
        <v>251</v>
      </c>
      <c r="CB103" t="s">
        <v>251</v>
      </c>
      <c r="CG103" t="s">
        <v>1396</v>
      </c>
      <c r="CH103" t="s">
        <v>247</v>
      </c>
      <c r="CI103" t="s">
        <v>1138</v>
      </c>
      <c r="CP103" t="s">
        <v>245</v>
      </c>
      <c r="EP103" t="s">
        <v>281</v>
      </c>
      <c r="EQ103" t="s">
        <v>281</v>
      </c>
      <c r="FM103" t="s">
        <v>247</v>
      </c>
    </row>
    <row r="104" spans="51:169">
      <c r="AY104" t="s">
        <v>261</v>
      </c>
      <c r="AZ104" t="s">
        <v>1037</v>
      </c>
      <c r="BB104" t="s">
        <v>240</v>
      </c>
      <c r="BY104" t="s">
        <v>283</v>
      </c>
      <c r="BZ104" t="s">
        <v>283</v>
      </c>
      <c r="CA104" t="s">
        <v>253</v>
      </c>
      <c r="CB104" t="s">
        <v>253</v>
      </c>
      <c r="CG104" t="s">
        <v>1397</v>
      </c>
      <c r="CH104" t="s">
        <v>249</v>
      </c>
      <c r="CI104" t="s">
        <v>238</v>
      </c>
      <c r="CP104" t="s">
        <v>247</v>
      </c>
      <c r="EP104" t="s">
        <v>283</v>
      </c>
      <c r="EQ104" t="s">
        <v>283</v>
      </c>
      <c r="FM104" t="s">
        <v>249</v>
      </c>
    </row>
    <row r="105" spans="51:169">
      <c r="AY105" t="s">
        <v>263</v>
      </c>
      <c r="AZ105" t="s">
        <v>1038</v>
      </c>
      <c r="BB105" t="s">
        <v>242</v>
      </c>
      <c r="BY105" t="s">
        <v>924</v>
      </c>
      <c r="BZ105" t="s">
        <v>924</v>
      </c>
      <c r="CA105" t="s">
        <v>255</v>
      </c>
      <c r="CB105" t="s">
        <v>255</v>
      </c>
      <c r="CG105" t="s">
        <v>1398</v>
      </c>
      <c r="CH105" t="s">
        <v>251</v>
      </c>
      <c r="CI105" t="s">
        <v>240</v>
      </c>
      <c r="CP105" t="s">
        <v>249</v>
      </c>
      <c r="EP105" t="s">
        <v>924</v>
      </c>
      <c r="EQ105" t="s">
        <v>924</v>
      </c>
      <c r="FM105" t="s">
        <v>251</v>
      </c>
    </row>
    <row r="106" spans="51:169">
      <c r="AY106" t="s">
        <v>265</v>
      </c>
      <c r="AZ106" t="s">
        <v>1039</v>
      </c>
      <c r="BB106" t="s">
        <v>244</v>
      </c>
      <c r="BY106" t="s">
        <v>285</v>
      </c>
      <c r="BZ106" t="s">
        <v>285</v>
      </c>
      <c r="CA106" t="s">
        <v>257</v>
      </c>
      <c r="CB106" t="s">
        <v>257</v>
      </c>
      <c r="CG106" t="s">
        <v>1399</v>
      </c>
      <c r="CH106" t="s">
        <v>253</v>
      </c>
      <c r="CI106" t="s">
        <v>242</v>
      </c>
      <c r="CP106" t="s">
        <v>251</v>
      </c>
      <c r="EP106" t="s">
        <v>285</v>
      </c>
      <c r="EQ106" t="s">
        <v>285</v>
      </c>
      <c r="FM106" t="s">
        <v>253</v>
      </c>
    </row>
    <row r="107" spans="51:169">
      <c r="AY107" t="s">
        <v>267</v>
      </c>
      <c r="AZ107" t="s">
        <v>1040</v>
      </c>
      <c r="BB107" t="s">
        <v>1139</v>
      </c>
      <c r="BY107" t="s">
        <v>287</v>
      </c>
      <c r="BZ107" t="s">
        <v>287</v>
      </c>
      <c r="CA107" t="s">
        <v>259</v>
      </c>
      <c r="CB107" t="s">
        <v>259</v>
      </c>
      <c r="CG107" t="s">
        <v>1400</v>
      </c>
      <c r="CH107" t="s">
        <v>255</v>
      </c>
      <c r="CI107" t="s">
        <v>244</v>
      </c>
      <c r="CP107" t="s">
        <v>253</v>
      </c>
      <c r="EP107" t="s">
        <v>287</v>
      </c>
      <c r="EQ107" t="s">
        <v>287</v>
      </c>
      <c r="FM107" t="s">
        <v>255</v>
      </c>
    </row>
    <row r="108" spans="51:169">
      <c r="AY108" t="s">
        <v>269</v>
      </c>
      <c r="AZ108" t="s">
        <v>1041</v>
      </c>
      <c r="BB108" t="s">
        <v>246</v>
      </c>
      <c r="BY108" t="s">
        <v>289</v>
      </c>
      <c r="BZ108" t="s">
        <v>289</v>
      </c>
      <c r="CA108" t="s">
        <v>261</v>
      </c>
      <c r="CB108" t="s">
        <v>261</v>
      </c>
      <c r="CG108" t="s">
        <v>1401</v>
      </c>
      <c r="CH108" t="s">
        <v>257</v>
      </c>
      <c r="CI108" t="s">
        <v>1139</v>
      </c>
      <c r="CP108" t="s">
        <v>255</v>
      </c>
      <c r="EP108" t="s">
        <v>289</v>
      </c>
      <c r="EQ108" t="s">
        <v>289</v>
      </c>
      <c r="FM108" t="s">
        <v>257</v>
      </c>
    </row>
    <row r="109" spans="51:169">
      <c r="AY109" t="s">
        <v>271</v>
      </c>
      <c r="AZ109" t="s">
        <v>1042</v>
      </c>
      <c r="BB109" t="s">
        <v>248</v>
      </c>
      <c r="BY109" t="s">
        <v>293</v>
      </c>
      <c r="BZ109" t="s">
        <v>293</v>
      </c>
      <c r="CA109" t="s">
        <v>263</v>
      </c>
      <c r="CB109" t="s">
        <v>263</v>
      </c>
      <c r="CG109" t="s">
        <v>1402</v>
      </c>
      <c r="CH109" t="s">
        <v>259</v>
      </c>
      <c r="CI109" t="s">
        <v>246</v>
      </c>
      <c r="CP109" t="s">
        <v>257</v>
      </c>
      <c r="EP109" t="s">
        <v>293</v>
      </c>
      <c r="EQ109" t="s">
        <v>293</v>
      </c>
      <c r="FM109" t="s">
        <v>259</v>
      </c>
    </row>
    <row r="110" spans="51:169">
      <c r="AY110" t="s">
        <v>273</v>
      </c>
      <c r="AZ110" t="s">
        <v>1043</v>
      </c>
      <c r="BB110" t="s">
        <v>250</v>
      </c>
      <c r="BY110" t="s">
        <v>295</v>
      </c>
      <c r="BZ110" t="s">
        <v>295</v>
      </c>
      <c r="CA110" t="s">
        <v>265</v>
      </c>
      <c r="CB110" t="s">
        <v>265</v>
      </c>
      <c r="CG110" t="s">
        <v>1403</v>
      </c>
      <c r="CH110" t="s">
        <v>261</v>
      </c>
      <c r="CI110" t="s">
        <v>248</v>
      </c>
      <c r="CP110" t="s">
        <v>259</v>
      </c>
      <c r="EP110" t="s">
        <v>295</v>
      </c>
      <c r="EQ110" t="s">
        <v>295</v>
      </c>
      <c r="FM110" t="s">
        <v>261</v>
      </c>
    </row>
    <row r="111" spans="51:169">
      <c r="AY111" t="s">
        <v>275</v>
      </c>
      <c r="AZ111" t="s">
        <v>1044</v>
      </c>
      <c r="BB111" t="s">
        <v>252</v>
      </c>
      <c r="BY111" t="s">
        <v>297</v>
      </c>
      <c r="BZ111" t="s">
        <v>297</v>
      </c>
      <c r="CA111" t="s">
        <v>267</v>
      </c>
      <c r="CB111" t="s">
        <v>267</v>
      </c>
      <c r="CG111" t="s">
        <v>1404</v>
      </c>
      <c r="CH111" t="s">
        <v>263</v>
      </c>
      <c r="CI111" t="s">
        <v>250</v>
      </c>
      <c r="CP111" t="s">
        <v>261</v>
      </c>
      <c r="EP111" t="s">
        <v>297</v>
      </c>
      <c r="EQ111" t="s">
        <v>297</v>
      </c>
      <c r="FM111" t="s">
        <v>263</v>
      </c>
    </row>
    <row r="112" spans="51:169">
      <c r="AY112" t="s">
        <v>277</v>
      </c>
      <c r="AZ112" t="s">
        <v>1045</v>
      </c>
      <c r="BB112" t="s">
        <v>254</v>
      </c>
      <c r="BY112" t="s">
        <v>299</v>
      </c>
      <c r="BZ112" t="s">
        <v>299</v>
      </c>
      <c r="CA112" t="s">
        <v>269</v>
      </c>
      <c r="CB112" t="s">
        <v>269</v>
      </c>
      <c r="CG112" t="s">
        <v>1405</v>
      </c>
      <c r="CH112" t="s">
        <v>265</v>
      </c>
      <c r="CI112" t="s">
        <v>252</v>
      </c>
      <c r="CP112" t="s">
        <v>263</v>
      </c>
      <c r="EP112" t="s">
        <v>299</v>
      </c>
      <c r="EQ112" t="s">
        <v>299</v>
      </c>
      <c r="FM112" t="s">
        <v>265</v>
      </c>
    </row>
    <row r="113" spans="51:169">
      <c r="AY113" t="s">
        <v>279</v>
      </c>
      <c r="AZ113" t="s">
        <v>1046</v>
      </c>
      <c r="BB113" t="s">
        <v>256</v>
      </c>
      <c r="BY113" t="s">
        <v>308</v>
      </c>
      <c r="BZ113" t="s">
        <v>308</v>
      </c>
      <c r="CA113" t="s">
        <v>271</v>
      </c>
      <c r="CB113" t="s">
        <v>271</v>
      </c>
      <c r="CG113" t="s">
        <v>1406</v>
      </c>
      <c r="CH113" t="s">
        <v>267</v>
      </c>
      <c r="CI113" t="s">
        <v>254</v>
      </c>
      <c r="CP113" t="s">
        <v>265</v>
      </c>
      <c r="EP113" t="s">
        <v>301</v>
      </c>
      <c r="EQ113" t="s">
        <v>301</v>
      </c>
      <c r="FM113" t="s">
        <v>267</v>
      </c>
    </row>
    <row r="114" spans="51:169">
      <c r="AY114" t="s">
        <v>281</v>
      </c>
      <c r="AZ114" t="s">
        <v>1047</v>
      </c>
      <c r="BB114" t="s">
        <v>258</v>
      </c>
      <c r="BY114" t="s">
        <v>925</v>
      </c>
      <c r="BZ114" t="s">
        <v>925</v>
      </c>
      <c r="CA114" t="s">
        <v>273</v>
      </c>
      <c r="CB114" t="s">
        <v>273</v>
      </c>
      <c r="CG114" t="s">
        <v>1407</v>
      </c>
      <c r="CH114" t="s">
        <v>269</v>
      </c>
      <c r="CI114" t="s">
        <v>256</v>
      </c>
      <c r="CP114" t="s">
        <v>267</v>
      </c>
      <c r="EP114" t="s">
        <v>308</v>
      </c>
      <c r="EQ114" t="s">
        <v>308</v>
      </c>
      <c r="FM114" t="s">
        <v>269</v>
      </c>
    </row>
    <row r="115" spans="51:169">
      <c r="AY115" t="s">
        <v>283</v>
      </c>
      <c r="AZ115" t="s">
        <v>1048</v>
      </c>
      <c r="BB115" t="s">
        <v>260</v>
      </c>
      <c r="BY115" t="s">
        <v>312</v>
      </c>
      <c r="BZ115" t="s">
        <v>312</v>
      </c>
      <c r="CA115" t="s">
        <v>275</v>
      </c>
      <c r="CB115" t="s">
        <v>275</v>
      </c>
      <c r="CG115" t="s">
        <v>1408</v>
      </c>
      <c r="CH115" t="s">
        <v>271</v>
      </c>
      <c r="CI115" t="s">
        <v>258</v>
      </c>
      <c r="CP115" t="s">
        <v>269</v>
      </c>
      <c r="EP115" t="s">
        <v>925</v>
      </c>
      <c r="EQ115" t="s">
        <v>925</v>
      </c>
      <c r="FM115" t="s">
        <v>271</v>
      </c>
    </row>
    <row r="116" spans="51:169">
      <c r="AY116" t="s">
        <v>924</v>
      </c>
      <c r="AZ116" t="s">
        <v>1049</v>
      </c>
      <c r="BB116" t="s">
        <v>262</v>
      </c>
      <c r="BY116" t="s">
        <v>314</v>
      </c>
      <c r="BZ116" t="s">
        <v>314</v>
      </c>
      <c r="CA116" t="s">
        <v>277</v>
      </c>
      <c r="CB116" t="s">
        <v>277</v>
      </c>
      <c r="CG116" t="s">
        <v>1409</v>
      </c>
      <c r="CH116" t="s">
        <v>273</v>
      </c>
      <c r="CI116" t="s">
        <v>260</v>
      </c>
      <c r="CP116" t="s">
        <v>271</v>
      </c>
      <c r="EP116" t="s">
        <v>312</v>
      </c>
      <c r="EQ116" t="s">
        <v>312</v>
      </c>
      <c r="FM116" t="s">
        <v>273</v>
      </c>
    </row>
    <row r="117" spans="51:169">
      <c r="AY117" t="s">
        <v>285</v>
      </c>
      <c r="AZ117" t="s">
        <v>1050</v>
      </c>
      <c r="BB117" t="s">
        <v>264</v>
      </c>
      <c r="BY117" t="s">
        <v>316</v>
      </c>
      <c r="BZ117" t="s">
        <v>316</v>
      </c>
      <c r="CA117" t="s">
        <v>279</v>
      </c>
      <c r="CB117" t="s">
        <v>279</v>
      </c>
      <c r="CG117" t="s">
        <v>1410</v>
      </c>
      <c r="CH117" t="s">
        <v>275</v>
      </c>
      <c r="CI117" t="s">
        <v>262</v>
      </c>
      <c r="CP117" t="s">
        <v>273</v>
      </c>
      <c r="EP117" t="s">
        <v>314</v>
      </c>
      <c r="EQ117" t="s">
        <v>314</v>
      </c>
      <c r="FM117" t="s">
        <v>275</v>
      </c>
    </row>
    <row r="118" spans="51:169">
      <c r="AY118" t="s">
        <v>287</v>
      </c>
      <c r="AZ118" t="s">
        <v>1051</v>
      </c>
      <c r="BB118" t="s">
        <v>266</v>
      </c>
      <c r="BY118" t="s">
        <v>318</v>
      </c>
      <c r="BZ118" t="s">
        <v>318</v>
      </c>
      <c r="CA118" t="s">
        <v>281</v>
      </c>
      <c r="CB118" t="s">
        <v>281</v>
      </c>
      <c r="CG118" t="s">
        <v>1411</v>
      </c>
      <c r="CH118" t="s">
        <v>277</v>
      </c>
      <c r="CI118" t="s">
        <v>264</v>
      </c>
      <c r="CP118" t="s">
        <v>275</v>
      </c>
      <c r="EP118" t="s">
        <v>316</v>
      </c>
      <c r="EQ118" t="s">
        <v>316</v>
      </c>
      <c r="FM118" t="s">
        <v>277</v>
      </c>
    </row>
    <row r="119" spans="51:169">
      <c r="AY119" t="s">
        <v>289</v>
      </c>
      <c r="AZ119" t="s">
        <v>1052</v>
      </c>
      <c r="BB119" t="s">
        <v>268</v>
      </c>
      <c r="BY119" t="s">
        <v>320</v>
      </c>
      <c r="BZ119" t="s">
        <v>320</v>
      </c>
      <c r="CA119" t="s">
        <v>283</v>
      </c>
      <c r="CB119" t="s">
        <v>283</v>
      </c>
      <c r="CG119" t="s">
        <v>1412</v>
      </c>
      <c r="CH119" t="s">
        <v>279</v>
      </c>
      <c r="CI119" t="s">
        <v>266</v>
      </c>
      <c r="CP119" t="s">
        <v>277</v>
      </c>
      <c r="EP119" t="s">
        <v>318</v>
      </c>
      <c r="EQ119" t="s">
        <v>318</v>
      </c>
      <c r="FM119" t="s">
        <v>279</v>
      </c>
    </row>
    <row r="120" spans="51:169">
      <c r="AY120" t="s">
        <v>291</v>
      </c>
      <c r="AZ120" t="s">
        <v>1053</v>
      </c>
      <c r="BB120" t="s">
        <v>270</v>
      </c>
      <c r="BY120" t="s">
        <v>324</v>
      </c>
      <c r="BZ120" t="s">
        <v>324</v>
      </c>
      <c r="CA120" t="s">
        <v>924</v>
      </c>
      <c r="CB120" t="s">
        <v>924</v>
      </c>
      <c r="CG120" t="s">
        <v>1413</v>
      </c>
      <c r="CH120" t="s">
        <v>281</v>
      </c>
      <c r="CI120" t="s">
        <v>268</v>
      </c>
      <c r="CP120" t="s">
        <v>279</v>
      </c>
      <c r="EP120" t="s">
        <v>320</v>
      </c>
      <c r="EQ120" t="s">
        <v>320</v>
      </c>
      <c r="FM120" t="s">
        <v>281</v>
      </c>
    </row>
    <row r="121" spans="51:169">
      <c r="AY121" t="s">
        <v>293</v>
      </c>
      <c r="AZ121" t="s">
        <v>1054</v>
      </c>
      <c r="BB121" t="s">
        <v>272</v>
      </c>
      <c r="BY121" t="s">
        <v>326</v>
      </c>
      <c r="BZ121" t="s">
        <v>326</v>
      </c>
      <c r="CA121" t="s">
        <v>285</v>
      </c>
      <c r="CB121" t="s">
        <v>285</v>
      </c>
      <c r="CG121" t="s">
        <v>1414</v>
      </c>
      <c r="CH121" t="s">
        <v>283</v>
      </c>
      <c r="CI121" t="s">
        <v>270</v>
      </c>
      <c r="CP121" t="s">
        <v>281</v>
      </c>
      <c r="EP121" t="s">
        <v>324</v>
      </c>
      <c r="EQ121" t="s">
        <v>324</v>
      </c>
      <c r="FM121" t="s">
        <v>283</v>
      </c>
    </row>
    <row r="122" spans="51:169">
      <c r="AY122" t="s">
        <v>295</v>
      </c>
      <c r="AZ122" t="s">
        <v>1055</v>
      </c>
      <c r="BB122" t="s">
        <v>274</v>
      </c>
      <c r="BY122" t="s">
        <v>328</v>
      </c>
      <c r="BZ122" t="s">
        <v>328</v>
      </c>
      <c r="CA122" t="s">
        <v>287</v>
      </c>
      <c r="CB122" t="s">
        <v>287</v>
      </c>
      <c r="CG122" t="s">
        <v>1415</v>
      </c>
      <c r="CH122" t="s">
        <v>924</v>
      </c>
      <c r="CI122" t="s">
        <v>272</v>
      </c>
      <c r="CP122" t="s">
        <v>283</v>
      </c>
      <c r="EP122" t="s">
        <v>326</v>
      </c>
      <c r="EQ122" t="s">
        <v>326</v>
      </c>
      <c r="FM122" t="s">
        <v>924</v>
      </c>
    </row>
    <row r="123" spans="51:169">
      <c r="AY123" t="s">
        <v>297</v>
      </c>
      <c r="AZ123" t="s">
        <v>1056</v>
      </c>
      <c r="BB123" t="s">
        <v>276</v>
      </c>
      <c r="BY123" t="s">
        <v>330</v>
      </c>
      <c r="BZ123" t="s">
        <v>330</v>
      </c>
      <c r="CA123" t="s">
        <v>289</v>
      </c>
      <c r="CB123" t="s">
        <v>289</v>
      </c>
      <c r="CG123" t="s">
        <v>1416</v>
      </c>
      <c r="CH123" t="s">
        <v>285</v>
      </c>
      <c r="CI123" t="s">
        <v>274</v>
      </c>
      <c r="CP123" t="s">
        <v>924</v>
      </c>
      <c r="EP123" t="s">
        <v>328</v>
      </c>
      <c r="EQ123" t="s">
        <v>328</v>
      </c>
      <c r="FM123" t="s">
        <v>285</v>
      </c>
    </row>
    <row r="124" spans="51:169">
      <c r="AY124" t="s">
        <v>299</v>
      </c>
      <c r="AZ124" t="s">
        <v>1057</v>
      </c>
      <c r="BB124" t="s">
        <v>278</v>
      </c>
      <c r="BY124" t="s">
        <v>332</v>
      </c>
      <c r="BZ124" t="s">
        <v>332</v>
      </c>
      <c r="CA124" t="s">
        <v>291</v>
      </c>
      <c r="CB124" t="s">
        <v>291</v>
      </c>
      <c r="CG124" t="s">
        <v>1417</v>
      </c>
      <c r="CH124" t="s">
        <v>287</v>
      </c>
      <c r="CI124" t="s">
        <v>276</v>
      </c>
      <c r="CP124" t="s">
        <v>285</v>
      </c>
      <c r="EP124" t="s">
        <v>330</v>
      </c>
      <c r="EQ124" t="s">
        <v>330</v>
      </c>
      <c r="FM124" t="s">
        <v>287</v>
      </c>
    </row>
    <row r="125" spans="51:169">
      <c r="AY125" t="s">
        <v>301</v>
      </c>
      <c r="AZ125" t="s">
        <v>1058</v>
      </c>
      <c r="BB125" t="s">
        <v>280</v>
      </c>
      <c r="BY125" t="s">
        <v>334</v>
      </c>
      <c r="BZ125" t="s">
        <v>334</v>
      </c>
      <c r="CA125" t="s">
        <v>293</v>
      </c>
      <c r="CB125" t="s">
        <v>293</v>
      </c>
      <c r="CG125" t="s">
        <v>1418</v>
      </c>
      <c r="CH125" t="s">
        <v>289</v>
      </c>
      <c r="CI125" t="s">
        <v>278</v>
      </c>
      <c r="CP125" t="s">
        <v>287</v>
      </c>
      <c r="EP125" t="s">
        <v>332</v>
      </c>
      <c r="EQ125" t="s">
        <v>332</v>
      </c>
      <c r="FM125" t="s">
        <v>289</v>
      </c>
    </row>
    <row r="126" spans="51:169">
      <c r="AY126" t="s">
        <v>303</v>
      </c>
      <c r="AZ126" t="s">
        <v>1059</v>
      </c>
      <c r="BB126" t="s">
        <v>282</v>
      </c>
      <c r="BY126" t="s">
        <v>336</v>
      </c>
      <c r="BZ126" t="s">
        <v>336</v>
      </c>
      <c r="CA126" t="s">
        <v>295</v>
      </c>
      <c r="CB126" t="s">
        <v>295</v>
      </c>
      <c r="CG126" t="s">
        <v>1419</v>
      </c>
      <c r="CH126" t="s">
        <v>291</v>
      </c>
      <c r="CI126" t="s">
        <v>280</v>
      </c>
      <c r="CP126" t="s">
        <v>289</v>
      </c>
      <c r="EP126" t="s">
        <v>334</v>
      </c>
      <c r="EQ126" t="s">
        <v>334</v>
      </c>
      <c r="FM126" t="s">
        <v>291</v>
      </c>
    </row>
    <row r="127" spans="51:169">
      <c r="AY127" t="s">
        <v>305</v>
      </c>
      <c r="AZ127" t="s">
        <v>1060</v>
      </c>
      <c r="BB127" t="s">
        <v>284</v>
      </c>
      <c r="BY127" t="s">
        <v>338</v>
      </c>
      <c r="BZ127" t="s">
        <v>338</v>
      </c>
      <c r="CA127" t="s">
        <v>297</v>
      </c>
      <c r="CB127" t="s">
        <v>297</v>
      </c>
      <c r="CG127" t="s">
        <v>1420</v>
      </c>
      <c r="CH127" t="s">
        <v>293</v>
      </c>
      <c r="CI127" t="s">
        <v>282</v>
      </c>
      <c r="CP127" t="s">
        <v>291</v>
      </c>
      <c r="EP127" t="s">
        <v>336</v>
      </c>
      <c r="EQ127" t="s">
        <v>336</v>
      </c>
      <c r="FM127" t="s">
        <v>293</v>
      </c>
    </row>
    <row r="128" spans="51:169">
      <c r="AY128" t="s">
        <v>308</v>
      </c>
      <c r="AZ128" t="s">
        <v>1061</v>
      </c>
      <c r="BB128" t="s">
        <v>286</v>
      </c>
      <c r="BY128" t="s">
        <v>340</v>
      </c>
      <c r="BZ128" t="s">
        <v>340</v>
      </c>
      <c r="CA128" t="s">
        <v>299</v>
      </c>
      <c r="CB128" t="s">
        <v>299</v>
      </c>
      <c r="CG128" t="s">
        <v>1421</v>
      </c>
      <c r="CH128" t="s">
        <v>295</v>
      </c>
      <c r="CI128" t="s">
        <v>284</v>
      </c>
      <c r="CP128" t="s">
        <v>293</v>
      </c>
      <c r="EP128" t="s">
        <v>338</v>
      </c>
      <c r="EQ128" t="s">
        <v>338</v>
      </c>
      <c r="FM128" t="s">
        <v>295</v>
      </c>
    </row>
    <row r="129" spans="51:169">
      <c r="AY129" t="s">
        <v>925</v>
      </c>
      <c r="AZ129" t="s">
        <v>1062</v>
      </c>
      <c r="BB129" t="s">
        <v>288</v>
      </c>
      <c r="BY129" t="s">
        <v>342</v>
      </c>
      <c r="BZ129" t="s">
        <v>342</v>
      </c>
      <c r="CA129" t="s">
        <v>301</v>
      </c>
      <c r="CB129" t="s">
        <v>301</v>
      </c>
      <c r="CG129" t="s">
        <v>1422</v>
      </c>
      <c r="CH129" t="s">
        <v>297</v>
      </c>
      <c r="CI129" t="s">
        <v>286</v>
      </c>
      <c r="CP129" t="s">
        <v>295</v>
      </c>
      <c r="EP129" t="s">
        <v>340</v>
      </c>
      <c r="EQ129" t="s">
        <v>340</v>
      </c>
      <c r="FM129" t="s">
        <v>297</v>
      </c>
    </row>
    <row r="130" spans="51:169">
      <c r="AY130" t="s">
        <v>312</v>
      </c>
      <c r="AZ130" t="s">
        <v>1063</v>
      </c>
      <c r="BB130" t="s">
        <v>290</v>
      </c>
      <c r="BY130" t="s">
        <v>344</v>
      </c>
      <c r="BZ130" t="s">
        <v>344</v>
      </c>
      <c r="CA130" t="s">
        <v>303</v>
      </c>
      <c r="CB130" t="s">
        <v>303</v>
      </c>
      <c r="CG130" t="s">
        <v>1423</v>
      </c>
      <c r="CH130" t="s">
        <v>299</v>
      </c>
      <c r="CI130" t="s">
        <v>288</v>
      </c>
      <c r="CP130" t="s">
        <v>297</v>
      </c>
      <c r="EP130" t="s">
        <v>342</v>
      </c>
      <c r="EQ130" t="s">
        <v>342</v>
      </c>
      <c r="FM130" t="s">
        <v>299</v>
      </c>
    </row>
    <row r="131" spans="51:169">
      <c r="AY131" t="s">
        <v>314</v>
      </c>
      <c r="AZ131" t="s">
        <v>1064</v>
      </c>
      <c r="BB131" t="s">
        <v>292</v>
      </c>
      <c r="BY131" t="s">
        <v>346</v>
      </c>
      <c r="BZ131" t="s">
        <v>346</v>
      </c>
      <c r="CA131" t="s">
        <v>305</v>
      </c>
      <c r="CB131" t="s">
        <v>305</v>
      </c>
      <c r="CG131" t="s">
        <v>1424</v>
      </c>
      <c r="CH131" t="s">
        <v>301</v>
      </c>
      <c r="CI131" t="s">
        <v>290</v>
      </c>
      <c r="CP131" t="s">
        <v>299</v>
      </c>
      <c r="EP131" t="s">
        <v>344</v>
      </c>
      <c r="EQ131" t="s">
        <v>344</v>
      </c>
      <c r="FM131" t="s">
        <v>301</v>
      </c>
    </row>
    <row r="132" spans="51:169">
      <c r="AY132" t="s">
        <v>316</v>
      </c>
      <c r="AZ132" t="s">
        <v>1065</v>
      </c>
      <c r="BB132" t="s">
        <v>294</v>
      </c>
      <c r="BY132" t="s">
        <v>348</v>
      </c>
      <c r="BZ132" t="s">
        <v>348</v>
      </c>
      <c r="CA132" t="s">
        <v>308</v>
      </c>
      <c r="CB132" t="s">
        <v>308</v>
      </c>
      <c r="CG132" t="s">
        <v>1425</v>
      </c>
      <c r="CH132" t="s">
        <v>303</v>
      </c>
      <c r="CI132" t="s">
        <v>292</v>
      </c>
      <c r="CP132" t="s">
        <v>301</v>
      </c>
      <c r="EP132" t="s">
        <v>346</v>
      </c>
      <c r="EQ132" t="s">
        <v>346</v>
      </c>
      <c r="FM132" t="s">
        <v>303</v>
      </c>
    </row>
    <row r="133" spans="51:169">
      <c r="AY133" t="s">
        <v>318</v>
      </c>
      <c r="AZ133" t="s">
        <v>1066</v>
      </c>
      <c r="BB133" t="s">
        <v>296</v>
      </c>
      <c r="BY133" t="s">
        <v>350</v>
      </c>
      <c r="BZ133" t="s">
        <v>350</v>
      </c>
      <c r="CA133" t="s">
        <v>925</v>
      </c>
      <c r="CB133" t="s">
        <v>925</v>
      </c>
      <c r="CG133" t="s">
        <v>1426</v>
      </c>
      <c r="CH133" t="s">
        <v>305</v>
      </c>
      <c r="CI133" t="s">
        <v>294</v>
      </c>
      <c r="CP133" t="s">
        <v>303</v>
      </c>
      <c r="EP133" t="s">
        <v>348</v>
      </c>
      <c r="EQ133" t="s">
        <v>348</v>
      </c>
      <c r="FM133" t="s">
        <v>305</v>
      </c>
    </row>
    <row r="134" spans="51:169">
      <c r="AY134" t="s">
        <v>320</v>
      </c>
      <c r="AZ134" t="s">
        <v>1067</v>
      </c>
      <c r="BB134" t="s">
        <v>298</v>
      </c>
      <c r="BY134" t="s">
        <v>352</v>
      </c>
      <c r="BZ134" t="s">
        <v>352</v>
      </c>
      <c r="CA134" t="s">
        <v>312</v>
      </c>
      <c r="CB134" t="s">
        <v>312</v>
      </c>
      <c r="CG134" t="s">
        <v>1427</v>
      </c>
      <c r="CH134" t="s">
        <v>308</v>
      </c>
      <c r="CI134" t="s">
        <v>296</v>
      </c>
      <c r="CP134" t="s">
        <v>305</v>
      </c>
      <c r="EP134" t="s">
        <v>350</v>
      </c>
      <c r="EQ134" t="s">
        <v>350</v>
      </c>
      <c r="FM134" t="s">
        <v>308</v>
      </c>
    </row>
    <row r="135" spans="51:169">
      <c r="AY135" t="s">
        <v>322</v>
      </c>
      <c r="AZ135" t="s">
        <v>1068</v>
      </c>
      <c r="BB135" t="s">
        <v>300</v>
      </c>
      <c r="BY135" t="s">
        <v>354</v>
      </c>
      <c r="BZ135" t="s">
        <v>354</v>
      </c>
      <c r="CA135" t="s">
        <v>314</v>
      </c>
      <c r="CB135" t="s">
        <v>314</v>
      </c>
      <c r="CG135" t="s">
        <v>1428</v>
      </c>
      <c r="CH135" t="s">
        <v>925</v>
      </c>
      <c r="CI135" t="s">
        <v>298</v>
      </c>
      <c r="CP135" t="s">
        <v>308</v>
      </c>
      <c r="EP135" t="s">
        <v>352</v>
      </c>
      <c r="EQ135" t="s">
        <v>352</v>
      </c>
      <c r="FM135" t="s">
        <v>925</v>
      </c>
    </row>
    <row r="136" spans="51:169">
      <c r="AY136" t="s">
        <v>324</v>
      </c>
      <c r="AZ136" t="s">
        <v>1069</v>
      </c>
      <c r="BB136" t="s">
        <v>302</v>
      </c>
      <c r="BY136" t="s">
        <v>356</v>
      </c>
      <c r="BZ136" t="s">
        <v>356</v>
      </c>
      <c r="CA136" t="s">
        <v>316</v>
      </c>
      <c r="CB136" t="s">
        <v>316</v>
      </c>
      <c r="CG136" t="s">
        <v>1429</v>
      </c>
      <c r="CH136" t="s">
        <v>312</v>
      </c>
      <c r="CI136" t="s">
        <v>300</v>
      </c>
      <c r="CP136" t="s">
        <v>925</v>
      </c>
      <c r="EP136" t="s">
        <v>354</v>
      </c>
      <c r="EQ136" t="s">
        <v>354</v>
      </c>
      <c r="FM136" t="s">
        <v>312</v>
      </c>
    </row>
    <row r="137" spans="51:169">
      <c r="AY137" t="s">
        <v>326</v>
      </c>
      <c r="AZ137" t="s">
        <v>1070</v>
      </c>
      <c r="BB137" t="s">
        <v>304</v>
      </c>
      <c r="BY137" t="s">
        <v>358</v>
      </c>
      <c r="BZ137" t="s">
        <v>358</v>
      </c>
      <c r="CA137" t="s">
        <v>318</v>
      </c>
      <c r="CB137" t="s">
        <v>318</v>
      </c>
      <c r="CG137" t="s">
        <v>1430</v>
      </c>
      <c r="CH137" t="s">
        <v>314</v>
      </c>
      <c r="CI137" t="s">
        <v>302</v>
      </c>
      <c r="CP137" t="s">
        <v>312</v>
      </c>
      <c r="EP137" t="s">
        <v>356</v>
      </c>
      <c r="EQ137" t="s">
        <v>356</v>
      </c>
      <c r="FM137" t="s">
        <v>314</v>
      </c>
    </row>
    <row r="138" spans="51:169">
      <c r="AY138" t="s">
        <v>328</v>
      </c>
      <c r="AZ138" t="s">
        <v>1071</v>
      </c>
      <c r="BB138" t="s">
        <v>309</v>
      </c>
      <c r="BY138" t="s">
        <v>362</v>
      </c>
      <c r="BZ138" t="s">
        <v>362</v>
      </c>
      <c r="CA138" t="s">
        <v>320</v>
      </c>
      <c r="CB138" t="s">
        <v>320</v>
      </c>
      <c r="CG138" t="s">
        <v>1431</v>
      </c>
      <c r="CH138" t="s">
        <v>316</v>
      </c>
      <c r="CI138" t="s">
        <v>304</v>
      </c>
      <c r="CP138" t="s">
        <v>314</v>
      </c>
      <c r="EP138" t="s">
        <v>358</v>
      </c>
      <c r="EQ138" t="s">
        <v>358</v>
      </c>
      <c r="FM138" t="s">
        <v>316</v>
      </c>
    </row>
    <row r="139" spans="51:169">
      <c r="AY139" t="s">
        <v>330</v>
      </c>
      <c r="AZ139" t="s">
        <v>1072</v>
      </c>
      <c r="BB139" t="s">
        <v>1140</v>
      </c>
      <c r="BY139" t="s">
        <v>364</v>
      </c>
      <c r="BZ139" t="s">
        <v>364</v>
      </c>
      <c r="CA139" t="s">
        <v>322</v>
      </c>
      <c r="CB139" t="s">
        <v>322</v>
      </c>
      <c r="CG139" t="s">
        <v>1432</v>
      </c>
      <c r="CH139" t="s">
        <v>318</v>
      </c>
      <c r="CI139" t="s">
        <v>309</v>
      </c>
      <c r="CP139" t="s">
        <v>316</v>
      </c>
      <c r="EP139" t="s">
        <v>362</v>
      </c>
      <c r="EQ139" t="s">
        <v>362</v>
      </c>
      <c r="FM139" t="s">
        <v>318</v>
      </c>
    </row>
    <row r="140" spans="51:169">
      <c r="AY140" t="s">
        <v>332</v>
      </c>
      <c r="AZ140" t="s">
        <v>1073</v>
      </c>
      <c r="BB140" t="s">
        <v>311</v>
      </c>
      <c r="BY140" t="s">
        <v>366</v>
      </c>
      <c r="BZ140" t="s">
        <v>366</v>
      </c>
      <c r="CA140" t="s">
        <v>324</v>
      </c>
      <c r="CB140" t="s">
        <v>324</v>
      </c>
      <c r="CG140" t="s">
        <v>1433</v>
      </c>
      <c r="CH140" t="s">
        <v>320</v>
      </c>
      <c r="CI140" t="s">
        <v>1140</v>
      </c>
      <c r="CP140" t="s">
        <v>318</v>
      </c>
      <c r="EP140" t="s">
        <v>364</v>
      </c>
      <c r="EQ140" t="s">
        <v>364</v>
      </c>
      <c r="FM140" t="s">
        <v>320</v>
      </c>
    </row>
    <row r="141" spans="51:169">
      <c r="AY141" t="s">
        <v>334</v>
      </c>
      <c r="AZ141" t="s">
        <v>1074</v>
      </c>
      <c r="BB141" t="s">
        <v>1141</v>
      </c>
      <c r="BY141" t="s">
        <v>368</v>
      </c>
      <c r="BZ141" t="s">
        <v>368</v>
      </c>
      <c r="CA141" t="s">
        <v>326</v>
      </c>
      <c r="CB141" t="s">
        <v>326</v>
      </c>
      <c r="CG141" t="s">
        <v>1434</v>
      </c>
      <c r="CH141" t="s">
        <v>322</v>
      </c>
      <c r="CI141" t="s">
        <v>311</v>
      </c>
      <c r="CP141" t="s">
        <v>320</v>
      </c>
      <c r="EP141" t="s">
        <v>366</v>
      </c>
      <c r="EQ141" t="s">
        <v>366</v>
      </c>
      <c r="FM141" t="s">
        <v>322</v>
      </c>
    </row>
    <row r="142" spans="51:169">
      <c r="AY142" t="s">
        <v>336</v>
      </c>
      <c r="AZ142" t="s">
        <v>1075</v>
      </c>
      <c r="BB142" t="s">
        <v>313</v>
      </c>
      <c r="BY142" t="s">
        <v>370</v>
      </c>
      <c r="BZ142" t="s">
        <v>370</v>
      </c>
      <c r="CA142" t="s">
        <v>328</v>
      </c>
      <c r="CB142" t="s">
        <v>328</v>
      </c>
      <c r="CG142" t="s">
        <v>1435</v>
      </c>
      <c r="CH142" t="s">
        <v>324</v>
      </c>
      <c r="CI142" t="s">
        <v>1141</v>
      </c>
      <c r="CP142" t="s">
        <v>322</v>
      </c>
      <c r="EP142" t="s">
        <v>368</v>
      </c>
      <c r="EQ142" t="s">
        <v>368</v>
      </c>
      <c r="FM142" t="s">
        <v>324</v>
      </c>
    </row>
    <row r="143" spans="51:169">
      <c r="AY143" t="s">
        <v>338</v>
      </c>
      <c r="AZ143" t="s">
        <v>1076</v>
      </c>
      <c r="BB143" t="s">
        <v>315</v>
      </c>
      <c r="BY143" t="s">
        <v>372</v>
      </c>
      <c r="BZ143" t="s">
        <v>372</v>
      </c>
      <c r="CA143" t="s">
        <v>330</v>
      </c>
      <c r="CB143" t="s">
        <v>330</v>
      </c>
      <c r="CG143" t="s">
        <v>1436</v>
      </c>
      <c r="CH143" t="s">
        <v>326</v>
      </c>
      <c r="CI143" t="s">
        <v>313</v>
      </c>
      <c r="CP143" t="s">
        <v>324</v>
      </c>
      <c r="EP143" t="s">
        <v>370</v>
      </c>
      <c r="EQ143" t="s">
        <v>370</v>
      </c>
      <c r="FM143" t="s">
        <v>326</v>
      </c>
    </row>
    <row r="144" spans="51:169">
      <c r="AY144" t="s">
        <v>340</v>
      </c>
      <c r="AZ144" t="s">
        <v>1077</v>
      </c>
      <c r="BB144" t="s">
        <v>317</v>
      </c>
      <c r="BY144" t="s">
        <v>374</v>
      </c>
      <c r="BZ144" t="s">
        <v>374</v>
      </c>
      <c r="CA144" t="s">
        <v>332</v>
      </c>
      <c r="CB144" t="s">
        <v>332</v>
      </c>
      <c r="CG144" t="s">
        <v>1437</v>
      </c>
      <c r="CH144" t="s">
        <v>328</v>
      </c>
      <c r="CI144" t="s">
        <v>315</v>
      </c>
      <c r="CP144" t="s">
        <v>326</v>
      </c>
      <c r="EP144" t="s">
        <v>372</v>
      </c>
      <c r="EQ144" t="s">
        <v>372</v>
      </c>
      <c r="FM144" t="s">
        <v>328</v>
      </c>
    </row>
    <row r="145" spans="51:169">
      <c r="AY145" t="s">
        <v>342</v>
      </c>
      <c r="AZ145" t="s">
        <v>1078</v>
      </c>
      <c r="BB145" t="s">
        <v>319</v>
      </c>
      <c r="BY145" t="s">
        <v>375</v>
      </c>
      <c r="BZ145" t="s">
        <v>375</v>
      </c>
      <c r="CA145" t="s">
        <v>334</v>
      </c>
      <c r="CB145" t="s">
        <v>334</v>
      </c>
      <c r="CG145" t="s">
        <v>1438</v>
      </c>
      <c r="CH145" t="s">
        <v>330</v>
      </c>
      <c r="CI145" t="s">
        <v>317</v>
      </c>
      <c r="CP145" t="s">
        <v>328</v>
      </c>
      <c r="EP145" t="s">
        <v>374</v>
      </c>
      <c r="EQ145" t="s">
        <v>374</v>
      </c>
      <c r="FM145" t="s">
        <v>330</v>
      </c>
    </row>
    <row r="146" spans="51:169">
      <c r="AY146" t="s">
        <v>344</v>
      </c>
      <c r="AZ146" t="s">
        <v>1079</v>
      </c>
      <c r="BB146" t="s">
        <v>321</v>
      </c>
      <c r="BY146" t="s">
        <v>378</v>
      </c>
      <c r="BZ146" t="s">
        <v>378</v>
      </c>
      <c r="CA146" t="s">
        <v>336</v>
      </c>
      <c r="CB146" t="s">
        <v>336</v>
      </c>
      <c r="CG146" t="s">
        <v>1439</v>
      </c>
      <c r="CH146" t="s">
        <v>332</v>
      </c>
      <c r="CI146" t="s">
        <v>319</v>
      </c>
      <c r="CP146" t="s">
        <v>330</v>
      </c>
      <c r="EP146" t="s">
        <v>375</v>
      </c>
      <c r="EQ146" t="s">
        <v>375</v>
      </c>
      <c r="FM146" t="s">
        <v>332</v>
      </c>
    </row>
    <row r="147" spans="51:169">
      <c r="AY147" t="s">
        <v>348</v>
      </c>
      <c r="AZ147" t="s">
        <v>1080</v>
      </c>
      <c r="BB147" t="s">
        <v>323</v>
      </c>
      <c r="BY147" t="s">
        <v>379</v>
      </c>
      <c r="BZ147" t="s">
        <v>379</v>
      </c>
      <c r="CA147" t="s">
        <v>338</v>
      </c>
      <c r="CB147" t="s">
        <v>338</v>
      </c>
      <c r="CG147" t="s">
        <v>1440</v>
      </c>
      <c r="CH147" t="s">
        <v>334</v>
      </c>
      <c r="CI147" t="s">
        <v>321</v>
      </c>
      <c r="CP147" t="s">
        <v>332</v>
      </c>
      <c r="EP147" t="s">
        <v>378</v>
      </c>
      <c r="EQ147" t="s">
        <v>378</v>
      </c>
      <c r="FM147" t="s">
        <v>334</v>
      </c>
    </row>
    <row r="148" spans="51:169">
      <c r="AY148" t="s">
        <v>350</v>
      </c>
      <c r="AZ148" t="s">
        <v>1081</v>
      </c>
      <c r="BB148" t="s">
        <v>325</v>
      </c>
      <c r="BY148" t="s">
        <v>380</v>
      </c>
      <c r="BZ148" t="s">
        <v>380</v>
      </c>
      <c r="CA148" t="s">
        <v>340</v>
      </c>
      <c r="CB148" t="s">
        <v>340</v>
      </c>
      <c r="CG148" t="s">
        <v>1441</v>
      </c>
      <c r="CH148" t="s">
        <v>336</v>
      </c>
      <c r="CI148" t="s">
        <v>323</v>
      </c>
      <c r="CP148" t="s">
        <v>334</v>
      </c>
      <c r="EP148" t="s">
        <v>379</v>
      </c>
      <c r="EQ148" t="s">
        <v>379</v>
      </c>
      <c r="FM148" t="s">
        <v>336</v>
      </c>
    </row>
    <row r="149" spans="51:169">
      <c r="AY149" t="s">
        <v>352</v>
      </c>
      <c r="AZ149" t="s">
        <v>1082</v>
      </c>
      <c r="BB149" t="s">
        <v>327</v>
      </c>
      <c r="BY149" t="s">
        <v>926</v>
      </c>
      <c r="BZ149" t="s">
        <v>926</v>
      </c>
      <c r="CA149" t="s">
        <v>342</v>
      </c>
      <c r="CB149" t="s">
        <v>342</v>
      </c>
      <c r="CG149" t="s">
        <v>1442</v>
      </c>
      <c r="CH149" t="s">
        <v>338</v>
      </c>
      <c r="CI149" t="s">
        <v>325</v>
      </c>
      <c r="CP149" t="s">
        <v>336</v>
      </c>
      <c r="EP149" t="s">
        <v>380</v>
      </c>
      <c r="EQ149" t="s">
        <v>380</v>
      </c>
      <c r="FM149" t="s">
        <v>338</v>
      </c>
    </row>
    <row r="150" spans="51:169">
      <c r="AY150" t="s">
        <v>354</v>
      </c>
      <c r="AZ150" t="s">
        <v>1083</v>
      </c>
      <c r="BB150" t="s">
        <v>329</v>
      </c>
      <c r="BY150" t="s">
        <v>382</v>
      </c>
      <c r="BZ150" t="s">
        <v>382</v>
      </c>
      <c r="CA150" t="s">
        <v>344</v>
      </c>
      <c r="CB150" t="s">
        <v>344</v>
      </c>
      <c r="CG150" t="s">
        <v>1443</v>
      </c>
      <c r="CH150" t="s">
        <v>340</v>
      </c>
      <c r="CI150" t="s">
        <v>327</v>
      </c>
      <c r="CP150" t="s">
        <v>338</v>
      </c>
      <c r="EP150" t="s">
        <v>926</v>
      </c>
      <c r="EQ150" t="s">
        <v>926</v>
      </c>
      <c r="FM150" t="s">
        <v>340</v>
      </c>
    </row>
    <row r="151" spans="51:169">
      <c r="AY151" t="s">
        <v>356</v>
      </c>
      <c r="AZ151" t="s">
        <v>1084</v>
      </c>
      <c r="BB151" t="s">
        <v>331</v>
      </c>
      <c r="BY151" t="s">
        <v>383</v>
      </c>
      <c r="BZ151" t="s">
        <v>383</v>
      </c>
      <c r="CA151" t="s">
        <v>346</v>
      </c>
      <c r="CB151" t="s">
        <v>346</v>
      </c>
      <c r="CG151" t="s">
        <v>1444</v>
      </c>
      <c r="CH151" t="s">
        <v>342</v>
      </c>
      <c r="CI151" t="s">
        <v>329</v>
      </c>
      <c r="CP151" t="s">
        <v>340</v>
      </c>
      <c r="EP151" t="s">
        <v>382</v>
      </c>
      <c r="EQ151" t="s">
        <v>382</v>
      </c>
      <c r="FM151" t="s">
        <v>342</v>
      </c>
    </row>
    <row r="152" spans="51:169">
      <c r="AY152" t="s">
        <v>358</v>
      </c>
      <c r="AZ152" t="s">
        <v>1085</v>
      </c>
      <c r="BB152" t="s">
        <v>335</v>
      </c>
      <c r="BY152" t="s">
        <v>384</v>
      </c>
      <c r="BZ152" t="s">
        <v>384</v>
      </c>
      <c r="CA152" t="s">
        <v>348</v>
      </c>
      <c r="CB152" t="s">
        <v>348</v>
      </c>
      <c r="CG152" t="s">
        <v>1445</v>
      </c>
      <c r="CH152" t="s">
        <v>344</v>
      </c>
      <c r="CI152" t="s">
        <v>331</v>
      </c>
      <c r="CP152" t="s">
        <v>342</v>
      </c>
      <c r="EP152" t="s">
        <v>383</v>
      </c>
      <c r="EQ152" t="s">
        <v>383</v>
      </c>
      <c r="FM152" t="s">
        <v>344</v>
      </c>
    </row>
    <row r="153" spans="51:169">
      <c r="AY153" t="s">
        <v>360</v>
      </c>
      <c r="AZ153" t="s">
        <v>1086</v>
      </c>
      <c r="BB153" t="s">
        <v>337</v>
      </c>
      <c r="BY153" t="s">
        <v>385</v>
      </c>
      <c r="BZ153" t="s">
        <v>385</v>
      </c>
      <c r="CA153" t="s">
        <v>350</v>
      </c>
      <c r="CB153" t="s">
        <v>350</v>
      </c>
      <c r="CG153" t="s">
        <v>1446</v>
      </c>
      <c r="CH153" t="s">
        <v>346</v>
      </c>
      <c r="CI153" t="s">
        <v>335</v>
      </c>
      <c r="CP153" t="s">
        <v>344</v>
      </c>
      <c r="EP153" t="s">
        <v>384</v>
      </c>
      <c r="EQ153" t="s">
        <v>384</v>
      </c>
      <c r="FM153" t="s">
        <v>346</v>
      </c>
    </row>
    <row r="154" spans="51:169">
      <c r="AY154" t="s">
        <v>362</v>
      </c>
      <c r="AZ154" t="s">
        <v>1087</v>
      </c>
      <c r="BB154" t="s">
        <v>339</v>
      </c>
      <c r="BY154" t="s">
        <v>386</v>
      </c>
      <c r="BZ154" t="s">
        <v>386</v>
      </c>
      <c r="CA154" t="s">
        <v>352</v>
      </c>
      <c r="CB154" t="s">
        <v>352</v>
      </c>
      <c r="CG154" t="s">
        <v>1447</v>
      </c>
      <c r="CH154" t="s">
        <v>348</v>
      </c>
      <c r="CI154" t="s">
        <v>337</v>
      </c>
      <c r="CP154" t="s">
        <v>346</v>
      </c>
      <c r="EP154" t="s">
        <v>385</v>
      </c>
      <c r="EQ154" t="s">
        <v>385</v>
      </c>
      <c r="FM154" t="s">
        <v>348</v>
      </c>
    </row>
    <row r="155" spans="51:169">
      <c r="AY155" t="s">
        <v>364</v>
      </c>
      <c r="AZ155" t="s">
        <v>1088</v>
      </c>
      <c r="BB155" t="s">
        <v>341</v>
      </c>
      <c r="BY155" t="s">
        <v>387</v>
      </c>
      <c r="BZ155" t="s">
        <v>387</v>
      </c>
      <c r="CA155" t="s">
        <v>354</v>
      </c>
      <c r="CB155" t="s">
        <v>354</v>
      </c>
      <c r="CG155" t="s">
        <v>1448</v>
      </c>
      <c r="CH155" t="s">
        <v>350</v>
      </c>
      <c r="CI155" t="s">
        <v>339</v>
      </c>
      <c r="CP155" t="s">
        <v>348</v>
      </c>
      <c r="EP155" t="s">
        <v>386</v>
      </c>
      <c r="EQ155" t="s">
        <v>386</v>
      </c>
      <c r="FM155" t="s">
        <v>350</v>
      </c>
    </row>
    <row r="156" spans="51:169">
      <c r="AY156" t="s">
        <v>366</v>
      </c>
      <c r="AZ156" t="s">
        <v>1089</v>
      </c>
      <c r="BB156" t="s">
        <v>343</v>
      </c>
      <c r="BY156" t="s">
        <v>390</v>
      </c>
      <c r="BZ156" t="s">
        <v>390</v>
      </c>
      <c r="CA156" t="s">
        <v>356</v>
      </c>
      <c r="CB156" t="s">
        <v>356</v>
      </c>
      <c r="CG156" t="s">
        <v>1449</v>
      </c>
      <c r="CH156" t="s">
        <v>352</v>
      </c>
      <c r="CI156" t="s">
        <v>341</v>
      </c>
      <c r="CP156" t="s">
        <v>350</v>
      </c>
      <c r="EP156" t="s">
        <v>387</v>
      </c>
      <c r="EQ156" t="s">
        <v>387</v>
      </c>
      <c r="FM156" t="s">
        <v>352</v>
      </c>
    </row>
    <row r="157" spans="51:169">
      <c r="AY157" t="s">
        <v>368</v>
      </c>
      <c r="AZ157" t="s">
        <v>1090</v>
      </c>
      <c r="BB157" t="s">
        <v>1142</v>
      </c>
      <c r="BY157" t="s">
        <v>391</v>
      </c>
      <c r="BZ157" t="s">
        <v>391</v>
      </c>
      <c r="CA157" t="s">
        <v>358</v>
      </c>
      <c r="CB157" t="s">
        <v>358</v>
      </c>
      <c r="CG157" t="s">
        <v>1450</v>
      </c>
      <c r="CH157" t="s">
        <v>354</v>
      </c>
      <c r="CI157" t="s">
        <v>343</v>
      </c>
      <c r="CP157" t="s">
        <v>352</v>
      </c>
      <c r="EP157" t="s">
        <v>390</v>
      </c>
      <c r="EQ157" t="s">
        <v>390</v>
      </c>
      <c r="FM157" t="s">
        <v>354</v>
      </c>
    </row>
    <row r="158" spans="51:169">
      <c r="AY158" t="s">
        <v>370</v>
      </c>
      <c r="AZ158" t="s">
        <v>1091</v>
      </c>
      <c r="BB158" t="s">
        <v>1143</v>
      </c>
      <c r="BY158" t="s">
        <v>392</v>
      </c>
      <c r="BZ158" t="s">
        <v>392</v>
      </c>
      <c r="CA158" t="s">
        <v>360</v>
      </c>
      <c r="CB158" t="s">
        <v>360</v>
      </c>
      <c r="CG158" t="s">
        <v>1451</v>
      </c>
      <c r="CH158" t="s">
        <v>356</v>
      </c>
      <c r="CI158" t="s">
        <v>1142</v>
      </c>
      <c r="CP158" t="s">
        <v>354</v>
      </c>
      <c r="EP158" t="s">
        <v>391</v>
      </c>
      <c r="EQ158" t="s">
        <v>391</v>
      </c>
      <c r="FM158" t="s">
        <v>356</v>
      </c>
    </row>
    <row r="159" spans="51:169">
      <c r="AY159" t="s">
        <v>372</v>
      </c>
      <c r="AZ159" t="s">
        <v>1092</v>
      </c>
      <c r="BB159" t="s">
        <v>1144</v>
      </c>
      <c r="BY159" t="s">
        <v>394</v>
      </c>
      <c r="BZ159" t="s">
        <v>394</v>
      </c>
      <c r="CA159" t="s">
        <v>362</v>
      </c>
      <c r="CB159" t="s">
        <v>362</v>
      </c>
      <c r="CG159" t="s">
        <v>1452</v>
      </c>
      <c r="CH159" t="s">
        <v>358</v>
      </c>
      <c r="CI159" t="s">
        <v>1143</v>
      </c>
      <c r="CP159" t="s">
        <v>356</v>
      </c>
      <c r="EP159" t="s">
        <v>392</v>
      </c>
      <c r="EQ159" t="s">
        <v>392</v>
      </c>
      <c r="FM159" t="s">
        <v>358</v>
      </c>
    </row>
    <row r="160" spans="51:169">
      <c r="AY160" t="s">
        <v>374</v>
      </c>
      <c r="AZ160" t="s">
        <v>1093</v>
      </c>
      <c r="BB160" t="s">
        <v>345</v>
      </c>
      <c r="BY160" t="s">
        <v>395</v>
      </c>
      <c r="BZ160" t="s">
        <v>395</v>
      </c>
      <c r="CA160" t="s">
        <v>364</v>
      </c>
      <c r="CB160" t="s">
        <v>364</v>
      </c>
      <c r="CG160" t="s">
        <v>1453</v>
      </c>
      <c r="CH160" t="s">
        <v>360</v>
      </c>
      <c r="CI160" t="s">
        <v>1144</v>
      </c>
      <c r="CP160" t="s">
        <v>358</v>
      </c>
      <c r="EP160" t="s">
        <v>394</v>
      </c>
      <c r="EQ160" t="s">
        <v>394</v>
      </c>
      <c r="FM160" t="s">
        <v>360</v>
      </c>
    </row>
    <row r="161" spans="51:169">
      <c r="AY161" t="s">
        <v>375</v>
      </c>
      <c r="AZ161" t="s">
        <v>1094</v>
      </c>
      <c r="BB161" t="s">
        <v>1145</v>
      </c>
      <c r="BY161" t="s">
        <v>396</v>
      </c>
      <c r="BZ161" t="s">
        <v>396</v>
      </c>
      <c r="CA161" t="s">
        <v>366</v>
      </c>
      <c r="CB161" t="s">
        <v>366</v>
      </c>
      <c r="CG161" t="s">
        <v>1454</v>
      </c>
      <c r="CH161" t="s">
        <v>362</v>
      </c>
      <c r="CI161" t="s">
        <v>345</v>
      </c>
      <c r="CP161" t="s">
        <v>360</v>
      </c>
      <c r="EP161" t="s">
        <v>395</v>
      </c>
      <c r="EQ161" t="s">
        <v>395</v>
      </c>
      <c r="FM161" t="s">
        <v>362</v>
      </c>
    </row>
    <row r="162" spans="51:169">
      <c r="AY162" t="s">
        <v>376</v>
      </c>
      <c r="AZ162" t="s">
        <v>1095</v>
      </c>
      <c r="BB162" t="s">
        <v>347</v>
      </c>
      <c r="BY162" t="s">
        <v>397</v>
      </c>
      <c r="BZ162" t="s">
        <v>397</v>
      </c>
      <c r="CA162" t="s">
        <v>368</v>
      </c>
      <c r="CB162" t="s">
        <v>368</v>
      </c>
      <c r="CG162" t="s">
        <v>1455</v>
      </c>
      <c r="CH162" t="s">
        <v>364</v>
      </c>
      <c r="CI162" t="s">
        <v>1145</v>
      </c>
      <c r="CP162" t="s">
        <v>362</v>
      </c>
      <c r="EP162" t="s">
        <v>396</v>
      </c>
      <c r="EQ162" t="s">
        <v>396</v>
      </c>
      <c r="FM162" t="s">
        <v>364</v>
      </c>
    </row>
    <row r="163" spans="51:169">
      <c r="AY163" t="s">
        <v>378</v>
      </c>
      <c r="AZ163" t="s">
        <v>1096</v>
      </c>
      <c r="BB163" t="s">
        <v>349</v>
      </c>
      <c r="BY163" t="s">
        <v>398</v>
      </c>
      <c r="BZ163" t="s">
        <v>398</v>
      </c>
      <c r="CA163" t="s">
        <v>370</v>
      </c>
      <c r="CB163" t="s">
        <v>370</v>
      </c>
      <c r="CG163" t="s">
        <v>1456</v>
      </c>
      <c r="CH163" t="s">
        <v>366</v>
      </c>
      <c r="CI163" t="s">
        <v>347</v>
      </c>
      <c r="CP163" t="s">
        <v>364</v>
      </c>
      <c r="EP163" t="s">
        <v>397</v>
      </c>
      <c r="EQ163" t="s">
        <v>397</v>
      </c>
      <c r="FM163" t="s">
        <v>366</v>
      </c>
    </row>
    <row r="164" spans="51:169">
      <c r="AY164" t="s">
        <v>379</v>
      </c>
      <c r="AZ164" t="s">
        <v>1097</v>
      </c>
      <c r="BB164" t="s">
        <v>1146</v>
      </c>
      <c r="BY164" t="s">
        <v>399</v>
      </c>
      <c r="BZ164" t="s">
        <v>399</v>
      </c>
      <c r="CA164" t="s">
        <v>372</v>
      </c>
      <c r="CB164" t="s">
        <v>372</v>
      </c>
      <c r="CG164" t="s">
        <v>1457</v>
      </c>
      <c r="CH164" t="s">
        <v>368</v>
      </c>
      <c r="CI164" t="s">
        <v>349</v>
      </c>
      <c r="CP164" t="s">
        <v>366</v>
      </c>
      <c r="EP164" t="s">
        <v>398</v>
      </c>
      <c r="EQ164" t="s">
        <v>398</v>
      </c>
      <c r="FM164" t="s">
        <v>368</v>
      </c>
    </row>
    <row r="165" spans="51:169">
      <c r="AY165" t="s">
        <v>380</v>
      </c>
      <c r="AZ165" t="s">
        <v>1098</v>
      </c>
      <c r="BB165" t="s">
        <v>351</v>
      </c>
      <c r="BY165" t="s">
        <v>400</v>
      </c>
      <c r="BZ165" t="s">
        <v>400</v>
      </c>
      <c r="CA165" t="s">
        <v>374</v>
      </c>
      <c r="CB165" t="s">
        <v>374</v>
      </c>
      <c r="CG165" t="s">
        <v>1458</v>
      </c>
      <c r="CH165" t="s">
        <v>370</v>
      </c>
      <c r="CI165" t="s">
        <v>1146</v>
      </c>
      <c r="CP165" t="s">
        <v>368</v>
      </c>
      <c r="EP165" t="s">
        <v>399</v>
      </c>
      <c r="EQ165" t="s">
        <v>399</v>
      </c>
      <c r="FM165" t="s">
        <v>370</v>
      </c>
    </row>
    <row r="166" spans="51:169">
      <c r="AY166" t="s">
        <v>926</v>
      </c>
      <c r="AZ166" t="s">
        <v>1099</v>
      </c>
      <c r="BB166" t="s">
        <v>353</v>
      </c>
      <c r="BY166" t="s">
        <v>401</v>
      </c>
      <c r="BZ166" t="s">
        <v>401</v>
      </c>
      <c r="CA166" t="s">
        <v>375</v>
      </c>
      <c r="CB166" t="s">
        <v>375</v>
      </c>
      <c r="CG166" t="s">
        <v>1459</v>
      </c>
      <c r="CH166" t="s">
        <v>372</v>
      </c>
      <c r="CI166" t="s">
        <v>351</v>
      </c>
      <c r="CP166" t="s">
        <v>370</v>
      </c>
      <c r="EP166" t="s">
        <v>400</v>
      </c>
      <c r="EQ166" t="s">
        <v>400</v>
      </c>
      <c r="FM166" t="s">
        <v>372</v>
      </c>
    </row>
    <row r="167" spans="51:169">
      <c r="AY167" t="s">
        <v>382</v>
      </c>
      <c r="AZ167" t="s">
        <v>1100</v>
      </c>
      <c r="BB167" t="s">
        <v>355</v>
      </c>
      <c r="BY167" t="s">
        <v>402</v>
      </c>
      <c r="BZ167" t="s">
        <v>402</v>
      </c>
      <c r="CA167" t="s">
        <v>376</v>
      </c>
      <c r="CB167" t="s">
        <v>376</v>
      </c>
      <c r="CG167" t="s">
        <v>1460</v>
      </c>
      <c r="CH167" t="s">
        <v>374</v>
      </c>
      <c r="CI167" t="s">
        <v>353</v>
      </c>
      <c r="CP167" t="s">
        <v>372</v>
      </c>
      <c r="EP167" t="s">
        <v>401</v>
      </c>
      <c r="EQ167" t="s">
        <v>401</v>
      </c>
      <c r="FM167" t="s">
        <v>374</v>
      </c>
    </row>
    <row r="168" spans="51:169">
      <c r="AY168" t="s">
        <v>383</v>
      </c>
      <c r="AZ168" t="s">
        <v>1101</v>
      </c>
      <c r="BB168" t="s">
        <v>357</v>
      </c>
      <c r="BY168" t="s">
        <v>403</v>
      </c>
      <c r="BZ168" t="s">
        <v>403</v>
      </c>
      <c r="CA168" t="s">
        <v>378</v>
      </c>
      <c r="CB168" t="s">
        <v>378</v>
      </c>
      <c r="CG168" t="s">
        <v>1461</v>
      </c>
      <c r="CH168" t="s">
        <v>375</v>
      </c>
      <c r="CI168" t="s">
        <v>355</v>
      </c>
      <c r="CP168" t="s">
        <v>374</v>
      </c>
      <c r="EP168" t="s">
        <v>402</v>
      </c>
      <c r="EQ168" t="s">
        <v>402</v>
      </c>
      <c r="FM168" t="s">
        <v>375</v>
      </c>
    </row>
    <row r="169" spans="51:169">
      <c r="AY169" t="s">
        <v>384</v>
      </c>
      <c r="AZ169" t="s">
        <v>1102</v>
      </c>
      <c r="BB169" t="s">
        <v>1147</v>
      </c>
      <c r="BY169" t="s">
        <v>404</v>
      </c>
      <c r="BZ169" t="s">
        <v>404</v>
      </c>
      <c r="CA169" t="s">
        <v>379</v>
      </c>
      <c r="CB169" t="s">
        <v>379</v>
      </c>
      <c r="CG169" t="s">
        <v>1462</v>
      </c>
      <c r="CH169" t="s">
        <v>376</v>
      </c>
      <c r="CI169" t="s">
        <v>357</v>
      </c>
      <c r="CP169" t="s">
        <v>375</v>
      </c>
      <c r="EP169" t="s">
        <v>403</v>
      </c>
      <c r="EQ169" t="s">
        <v>403</v>
      </c>
      <c r="FM169" t="s">
        <v>376</v>
      </c>
    </row>
    <row r="170" spans="51:169">
      <c r="AY170" t="s">
        <v>385</v>
      </c>
      <c r="AZ170" t="s">
        <v>1103</v>
      </c>
      <c r="BB170" t="s">
        <v>1148</v>
      </c>
      <c r="BY170" t="s">
        <v>405</v>
      </c>
      <c r="BZ170" t="s">
        <v>405</v>
      </c>
      <c r="CA170" t="s">
        <v>380</v>
      </c>
      <c r="CB170" t="s">
        <v>380</v>
      </c>
      <c r="CG170" t="s">
        <v>1463</v>
      </c>
      <c r="CH170" t="s">
        <v>378</v>
      </c>
      <c r="CI170" t="s">
        <v>1147</v>
      </c>
      <c r="CP170" t="s">
        <v>376</v>
      </c>
      <c r="EP170" t="s">
        <v>404</v>
      </c>
      <c r="EQ170" t="s">
        <v>404</v>
      </c>
      <c r="FM170" t="s">
        <v>378</v>
      </c>
    </row>
    <row r="171" spans="51:169">
      <c r="AY171" t="s">
        <v>386</v>
      </c>
      <c r="AZ171" t="s">
        <v>1104</v>
      </c>
      <c r="BB171" t="s">
        <v>1149</v>
      </c>
      <c r="BY171" t="s">
        <v>406</v>
      </c>
      <c r="BZ171" t="s">
        <v>406</v>
      </c>
      <c r="CA171" t="s">
        <v>926</v>
      </c>
      <c r="CB171" t="s">
        <v>926</v>
      </c>
      <c r="CG171" t="s">
        <v>1464</v>
      </c>
      <c r="CH171" t="s">
        <v>379</v>
      </c>
      <c r="CI171" t="s">
        <v>1148</v>
      </c>
      <c r="CP171" t="s">
        <v>378</v>
      </c>
      <c r="EP171" t="s">
        <v>405</v>
      </c>
      <c r="EQ171" t="s">
        <v>405</v>
      </c>
      <c r="FM171" t="s">
        <v>379</v>
      </c>
    </row>
    <row r="172" spans="51:169">
      <c r="AY172" t="s">
        <v>388</v>
      </c>
      <c r="AZ172" t="s">
        <v>1105</v>
      </c>
      <c r="BB172" t="s">
        <v>1150</v>
      </c>
      <c r="BY172" t="s">
        <v>407</v>
      </c>
      <c r="BZ172" t="s">
        <v>407</v>
      </c>
      <c r="CA172" t="s">
        <v>382</v>
      </c>
      <c r="CB172" t="s">
        <v>382</v>
      </c>
      <c r="CG172" t="s">
        <v>1465</v>
      </c>
      <c r="CH172" t="s">
        <v>380</v>
      </c>
      <c r="CI172" t="s">
        <v>1149</v>
      </c>
      <c r="CP172" t="s">
        <v>379</v>
      </c>
      <c r="EP172" t="s">
        <v>406</v>
      </c>
      <c r="EQ172" t="s">
        <v>406</v>
      </c>
      <c r="FM172" t="s">
        <v>380</v>
      </c>
    </row>
    <row r="173" spans="51:169">
      <c r="AY173" t="s">
        <v>389</v>
      </c>
      <c r="AZ173" t="s">
        <v>1106</v>
      </c>
      <c r="BB173" t="s">
        <v>1151</v>
      </c>
      <c r="BY173" t="s">
        <v>408</v>
      </c>
      <c r="BZ173" t="s">
        <v>408</v>
      </c>
      <c r="CA173" t="s">
        <v>383</v>
      </c>
      <c r="CB173" t="s">
        <v>383</v>
      </c>
      <c r="CG173" t="s">
        <v>1466</v>
      </c>
      <c r="CH173" t="s">
        <v>926</v>
      </c>
      <c r="CI173" t="s">
        <v>1150</v>
      </c>
      <c r="CP173" t="s">
        <v>380</v>
      </c>
      <c r="EP173" t="s">
        <v>407</v>
      </c>
      <c r="EQ173" t="s">
        <v>407</v>
      </c>
      <c r="FM173" t="s">
        <v>926</v>
      </c>
    </row>
    <row r="174" spans="51:169">
      <c r="AY174" t="s">
        <v>390</v>
      </c>
      <c r="AZ174" t="s">
        <v>1107</v>
      </c>
      <c r="BB174" t="s">
        <v>1152</v>
      </c>
      <c r="BY174" t="s">
        <v>409</v>
      </c>
      <c r="BZ174" t="s">
        <v>409</v>
      </c>
      <c r="CA174" t="s">
        <v>384</v>
      </c>
      <c r="CB174" t="s">
        <v>384</v>
      </c>
      <c r="CG174" t="s">
        <v>1467</v>
      </c>
      <c r="CH174" t="s">
        <v>382</v>
      </c>
      <c r="CI174" t="s">
        <v>1151</v>
      </c>
      <c r="CP174" t="s">
        <v>926</v>
      </c>
      <c r="EP174" t="s">
        <v>408</v>
      </c>
      <c r="EQ174" t="s">
        <v>408</v>
      </c>
      <c r="FM174" t="s">
        <v>382</v>
      </c>
    </row>
    <row r="175" spans="51:169">
      <c r="AY175" t="s">
        <v>391</v>
      </c>
      <c r="AZ175" t="s">
        <v>1108</v>
      </c>
      <c r="BB175" t="s">
        <v>359</v>
      </c>
      <c r="BY175" t="s">
        <v>410</v>
      </c>
      <c r="BZ175" t="s">
        <v>410</v>
      </c>
      <c r="CA175" t="s">
        <v>385</v>
      </c>
      <c r="CB175" t="s">
        <v>385</v>
      </c>
      <c r="CG175" t="s">
        <v>1468</v>
      </c>
      <c r="CH175" t="s">
        <v>383</v>
      </c>
      <c r="CI175" t="s">
        <v>1152</v>
      </c>
      <c r="CP175" t="s">
        <v>382</v>
      </c>
      <c r="EP175" t="s">
        <v>409</v>
      </c>
      <c r="EQ175" t="s">
        <v>409</v>
      </c>
      <c r="FM175" t="s">
        <v>383</v>
      </c>
    </row>
    <row r="176" spans="51:169">
      <c r="AY176" t="s">
        <v>392</v>
      </c>
      <c r="AZ176" t="s">
        <v>1109</v>
      </c>
      <c r="BB176" t="s">
        <v>361</v>
      </c>
      <c r="BY176" t="s">
        <v>411</v>
      </c>
      <c r="BZ176" t="s">
        <v>411</v>
      </c>
      <c r="CA176" t="s">
        <v>386</v>
      </c>
      <c r="CB176" t="s">
        <v>386</v>
      </c>
      <c r="CG176" t="s">
        <v>1469</v>
      </c>
      <c r="CH176" t="s">
        <v>384</v>
      </c>
      <c r="CI176" t="s">
        <v>359</v>
      </c>
      <c r="CP176" t="s">
        <v>383</v>
      </c>
      <c r="EP176" t="s">
        <v>410</v>
      </c>
      <c r="EQ176" t="s">
        <v>410</v>
      </c>
      <c r="FM176" t="s">
        <v>384</v>
      </c>
    </row>
    <row r="177" spans="51:169">
      <c r="AY177" t="s">
        <v>393</v>
      </c>
      <c r="AZ177" t="s">
        <v>1110</v>
      </c>
      <c r="BB177" t="s">
        <v>1153</v>
      </c>
      <c r="BY177" t="s">
        <v>412</v>
      </c>
      <c r="BZ177" t="s">
        <v>412</v>
      </c>
      <c r="CA177" t="s">
        <v>387</v>
      </c>
      <c r="CB177" t="s">
        <v>387</v>
      </c>
      <c r="CG177" t="s">
        <v>1470</v>
      </c>
      <c r="CH177" t="s">
        <v>385</v>
      </c>
      <c r="CI177" t="s">
        <v>361</v>
      </c>
      <c r="CP177" t="s">
        <v>384</v>
      </c>
      <c r="EP177" t="s">
        <v>411</v>
      </c>
      <c r="EQ177" t="s">
        <v>411</v>
      </c>
      <c r="FM177" t="s">
        <v>385</v>
      </c>
    </row>
    <row r="178" spans="51:169">
      <c r="AY178" t="s">
        <v>394</v>
      </c>
      <c r="AZ178" t="s">
        <v>1111</v>
      </c>
      <c r="BB178" t="s">
        <v>363</v>
      </c>
      <c r="BY178" t="s">
        <v>415</v>
      </c>
      <c r="BZ178" t="s">
        <v>415</v>
      </c>
      <c r="CA178" t="s">
        <v>388</v>
      </c>
      <c r="CB178" t="s">
        <v>388</v>
      </c>
      <c r="CG178" t="s">
        <v>1471</v>
      </c>
      <c r="CH178" t="s">
        <v>386</v>
      </c>
      <c r="CI178" t="s">
        <v>1153</v>
      </c>
      <c r="CP178" t="s">
        <v>385</v>
      </c>
      <c r="EP178" t="s">
        <v>412</v>
      </c>
      <c r="EQ178" t="s">
        <v>412</v>
      </c>
      <c r="FM178" t="s">
        <v>386</v>
      </c>
    </row>
    <row r="179" spans="51:169">
      <c r="AY179" t="s">
        <v>395</v>
      </c>
      <c r="AZ179" t="s">
        <v>1112</v>
      </c>
      <c r="BB179" t="s">
        <v>1154</v>
      </c>
      <c r="BY179" t="s">
        <v>416</v>
      </c>
      <c r="BZ179" t="s">
        <v>416</v>
      </c>
      <c r="CA179" t="s">
        <v>389</v>
      </c>
      <c r="CB179" t="s">
        <v>389</v>
      </c>
      <c r="CG179" t="s">
        <v>1472</v>
      </c>
      <c r="CH179" t="s">
        <v>387</v>
      </c>
      <c r="CI179" t="s">
        <v>363</v>
      </c>
      <c r="CP179" t="s">
        <v>386</v>
      </c>
      <c r="EP179" t="s">
        <v>415</v>
      </c>
      <c r="EQ179" t="s">
        <v>415</v>
      </c>
      <c r="FM179" t="s">
        <v>387</v>
      </c>
    </row>
    <row r="180" spans="51:169">
      <c r="AY180" t="s">
        <v>396</v>
      </c>
      <c r="AZ180" t="s">
        <v>1113</v>
      </c>
      <c r="BB180" t="s">
        <v>365</v>
      </c>
      <c r="BY180" t="s">
        <v>417</v>
      </c>
      <c r="BZ180" t="s">
        <v>417</v>
      </c>
      <c r="CA180" t="s">
        <v>390</v>
      </c>
      <c r="CB180" t="s">
        <v>390</v>
      </c>
      <c r="CG180" t="s">
        <v>1473</v>
      </c>
      <c r="CH180" t="s">
        <v>388</v>
      </c>
      <c r="CI180" t="s">
        <v>1154</v>
      </c>
      <c r="CP180" t="s">
        <v>387</v>
      </c>
      <c r="EP180" t="s">
        <v>416</v>
      </c>
      <c r="EQ180" t="s">
        <v>416</v>
      </c>
      <c r="FM180" t="s">
        <v>388</v>
      </c>
    </row>
    <row r="181" spans="51:169">
      <c r="AY181" t="s">
        <v>398</v>
      </c>
      <c r="AZ181" t="s">
        <v>1114</v>
      </c>
      <c r="BB181" t="s">
        <v>1155</v>
      </c>
      <c r="BY181" t="s">
        <v>418</v>
      </c>
      <c r="BZ181" t="s">
        <v>418</v>
      </c>
      <c r="CA181" t="s">
        <v>391</v>
      </c>
      <c r="CB181" t="s">
        <v>391</v>
      </c>
      <c r="CG181" t="s">
        <v>1474</v>
      </c>
      <c r="CH181" t="s">
        <v>389</v>
      </c>
      <c r="CI181" t="s">
        <v>365</v>
      </c>
      <c r="CP181" t="s">
        <v>388</v>
      </c>
      <c r="EP181" t="s">
        <v>417</v>
      </c>
      <c r="EQ181" t="s">
        <v>417</v>
      </c>
      <c r="FM181" t="s">
        <v>389</v>
      </c>
    </row>
    <row r="182" spans="51:169">
      <c r="AY182" t="s">
        <v>399</v>
      </c>
      <c r="AZ182" t="s">
        <v>1115</v>
      </c>
      <c r="BB182" t="s">
        <v>1156</v>
      </c>
      <c r="BY182" t="s">
        <v>421</v>
      </c>
      <c r="BZ182" t="s">
        <v>421</v>
      </c>
      <c r="CA182" t="s">
        <v>392</v>
      </c>
      <c r="CB182" t="s">
        <v>392</v>
      </c>
      <c r="CG182" t="s">
        <v>1475</v>
      </c>
      <c r="CH182" t="s">
        <v>390</v>
      </c>
      <c r="CI182" t="s">
        <v>1155</v>
      </c>
      <c r="CP182" t="s">
        <v>389</v>
      </c>
      <c r="EP182" t="s">
        <v>418</v>
      </c>
      <c r="EQ182" t="s">
        <v>418</v>
      </c>
      <c r="FM182" t="s">
        <v>390</v>
      </c>
    </row>
    <row r="183" spans="51:169">
      <c r="AY183" t="s">
        <v>400</v>
      </c>
      <c r="AZ183" t="s">
        <v>1116</v>
      </c>
      <c r="BB183" t="s">
        <v>1157</v>
      </c>
      <c r="BY183" t="s">
        <v>422</v>
      </c>
      <c r="BZ183" t="s">
        <v>422</v>
      </c>
      <c r="CA183" t="s">
        <v>393</v>
      </c>
      <c r="CB183" t="s">
        <v>393</v>
      </c>
      <c r="CG183" t="s">
        <v>1476</v>
      </c>
      <c r="CH183" t="s">
        <v>391</v>
      </c>
      <c r="CI183" t="s">
        <v>1156</v>
      </c>
      <c r="CP183" t="s">
        <v>390</v>
      </c>
      <c r="EP183" t="s">
        <v>419</v>
      </c>
      <c r="EQ183" t="s">
        <v>419</v>
      </c>
      <c r="FM183" t="s">
        <v>391</v>
      </c>
    </row>
    <row r="184" spans="51:169">
      <c r="AY184" t="s">
        <v>401</v>
      </c>
      <c r="AZ184" t="s">
        <v>1117</v>
      </c>
      <c r="BB184" t="s">
        <v>1158</v>
      </c>
      <c r="BY184" t="s">
        <v>423</v>
      </c>
      <c r="BZ184" t="s">
        <v>423</v>
      </c>
      <c r="CA184" t="s">
        <v>394</v>
      </c>
      <c r="CB184" t="s">
        <v>394</v>
      </c>
      <c r="CG184" t="s">
        <v>1477</v>
      </c>
      <c r="CH184" t="s">
        <v>392</v>
      </c>
      <c r="CI184" t="s">
        <v>1157</v>
      </c>
      <c r="CP184" t="s">
        <v>391</v>
      </c>
      <c r="EP184" t="s">
        <v>421</v>
      </c>
      <c r="EQ184" t="s">
        <v>421</v>
      </c>
      <c r="FM184" t="s">
        <v>392</v>
      </c>
    </row>
    <row r="185" spans="51:169">
      <c r="AY185" t="s">
        <v>402</v>
      </c>
      <c r="AZ185" t="s">
        <v>1118</v>
      </c>
      <c r="BB185" t="s">
        <v>367</v>
      </c>
      <c r="BY185" t="s">
        <v>424</v>
      </c>
      <c r="BZ185" t="s">
        <v>424</v>
      </c>
      <c r="CA185" t="s">
        <v>395</v>
      </c>
      <c r="CB185" t="s">
        <v>395</v>
      </c>
      <c r="CG185" t="s">
        <v>1478</v>
      </c>
      <c r="CH185" t="s">
        <v>393</v>
      </c>
      <c r="CI185" t="s">
        <v>1158</v>
      </c>
      <c r="CP185" t="s">
        <v>392</v>
      </c>
      <c r="EP185" t="s">
        <v>422</v>
      </c>
      <c r="EQ185" t="s">
        <v>422</v>
      </c>
      <c r="FM185" t="s">
        <v>393</v>
      </c>
    </row>
    <row r="186" spans="51:169">
      <c r="AY186" t="s">
        <v>403</v>
      </c>
      <c r="BB186" t="s">
        <v>369</v>
      </c>
      <c r="BY186" t="s">
        <v>927</v>
      </c>
      <c r="BZ186" t="s">
        <v>927</v>
      </c>
      <c r="CA186" t="s">
        <v>396</v>
      </c>
      <c r="CB186" t="s">
        <v>396</v>
      </c>
      <c r="CG186" t="s">
        <v>1479</v>
      </c>
      <c r="CH186" t="s">
        <v>394</v>
      </c>
      <c r="CI186" t="s">
        <v>367</v>
      </c>
      <c r="CP186" t="s">
        <v>393</v>
      </c>
      <c r="EP186" t="s">
        <v>423</v>
      </c>
      <c r="EQ186" t="s">
        <v>423</v>
      </c>
      <c r="FM186" t="s">
        <v>394</v>
      </c>
    </row>
    <row r="187" spans="51:169">
      <c r="AY187" t="s">
        <v>404</v>
      </c>
      <c r="BB187" t="s">
        <v>1159</v>
      </c>
      <c r="BY187" t="s">
        <v>428</v>
      </c>
      <c r="BZ187" t="s">
        <v>428</v>
      </c>
      <c r="CA187" t="s">
        <v>397</v>
      </c>
      <c r="CB187" t="s">
        <v>397</v>
      </c>
      <c r="CG187" t="s">
        <v>1480</v>
      </c>
      <c r="CH187" t="s">
        <v>395</v>
      </c>
      <c r="CI187" t="s">
        <v>369</v>
      </c>
      <c r="CP187" t="s">
        <v>394</v>
      </c>
      <c r="EP187" t="s">
        <v>424</v>
      </c>
      <c r="EQ187" t="s">
        <v>424</v>
      </c>
      <c r="FM187" t="s">
        <v>395</v>
      </c>
    </row>
    <row r="188" spans="51:169">
      <c r="AY188" t="s">
        <v>405</v>
      </c>
      <c r="BB188" t="s">
        <v>371</v>
      </c>
      <c r="BY188" t="s">
        <v>429</v>
      </c>
      <c r="BZ188" t="s">
        <v>429</v>
      </c>
      <c r="CA188" t="s">
        <v>398</v>
      </c>
      <c r="CB188" t="s">
        <v>398</v>
      </c>
      <c r="CG188" t="s">
        <v>1481</v>
      </c>
      <c r="CH188" t="s">
        <v>396</v>
      </c>
      <c r="CI188" t="s">
        <v>1159</v>
      </c>
      <c r="CP188" t="s">
        <v>395</v>
      </c>
      <c r="EP188" t="s">
        <v>927</v>
      </c>
      <c r="EQ188" t="s">
        <v>927</v>
      </c>
      <c r="FM188" t="s">
        <v>396</v>
      </c>
    </row>
    <row r="189" spans="51:169">
      <c r="AY189" t="s">
        <v>406</v>
      </c>
      <c r="BB189" t="s">
        <v>1160</v>
      </c>
      <c r="BY189" t="s">
        <v>430</v>
      </c>
      <c r="BZ189" t="s">
        <v>430</v>
      </c>
      <c r="CA189" t="s">
        <v>399</v>
      </c>
      <c r="CB189" t="s">
        <v>399</v>
      </c>
      <c r="CG189" t="s">
        <v>1482</v>
      </c>
      <c r="CH189" t="s">
        <v>397</v>
      </c>
      <c r="CI189" t="s">
        <v>371</v>
      </c>
      <c r="CP189" t="s">
        <v>396</v>
      </c>
      <c r="EP189" t="s">
        <v>429</v>
      </c>
      <c r="EQ189" t="s">
        <v>429</v>
      </c>
      <c r="FM189" t="s">
        <v>397</v>
      </c>
    </row>
    <row r="190" spans="51:169">
      <c r="AY190" t="s">
        <v>407</v>
      </c>
      <c r="BB190" t="s">
        <v>1161</v>
      </c>
      <c r="BY190" t="s">
        <v>431</v>
      </c>
      <c r="BZ190" t="s">
        <v>431</v>
      </c>
      <c r="CA190" t="s">
        <v>400</v>
      </c>
      <c r="CB190" t="s">
        <v>400</v>
      </c>
      <c r="CG190" t="s">
        <v>1483</v>
      </c>
      <c r="CH190" t="s">
        <v>398</v>
      </c>
      <c r="CI190" t="s">
        <v>1160</v>
      </c>
      <c r="CP190" t="s">
        <v>397</v>
      </c>
      <c r="EP190" t="s">
        <v>430</v>
      </c>
      <c r="EQ190" t="s">
        <v>430</v>
      </c>
      <c r="FM190" t="s">
        <v>398</v>
      </c>
    </row>
    <row r="191" spans="51:169">
      <c r="AY191" t="s">
        <v>408</v>
      </c>
      <c r="BB191" t="s">
        <v>1162</v>
      </c>
      <c r="BY191" t="s">
        <v>432</v>
      </c>
      <c r="BZ191" t="s">
        <v>432</v>
      </c>
      <c r="CA191" t="s">
        <v>401</v>
      </c>
      <c r="CB191" t="s">
        <v>401</v>
      </c>
      <c r="CG191" t="s">
        <v>1484</v>
      </c>
      <c r="CH191" t="s">
        <v>399</v>
      </c>
      <c r="CI191" t="s">
        <v>1161</v>
      </c>
      <c r="CP191" t="s">
        <v>398</v>
      </c>
      <c r="EP191" t="s">
        <v>431</v>
      </c>
      <c r="EQ191" t="s">
        <v>431</v>
      </c>
      <c r="FM191" t="s">
        <v>399</v>
      </c>
    </row>
    <row r="192" spans="51:169">
      <c r="AY192" t="s">
        <v>409</v>
      </c>
      <c r="BB192" t="s">
        <v>1163</v>
      </c>
      <c r="BY192" t="s">
        <v>433</v>
      </c>
      <c r="BZ192" t="s">
        <v>433</v>
      </c>
      <c r="CA192" t="s">
        <v>402</v>
      </c>
      <c r="CB192" t="s">
        <v>402</v>
      </c>
      <c r="CG192" t="s">
        <v>1485</v>
      </c>
      <c r="CH192" t="s">
        <v>400</v>
      </c>
      <c r="CI192" t="s">
        <v>1162</v>
      </c>
      <c r="CP192" t="s">
        <v>399</v>
      </c>
      <c r="EP192" t="s">
        <v>432</v>
      </c>
      <c r="EQ192" t="s">
        <v>432</v>
      </c>
      <c r="FM192" t="s">
        <v>400</v>
      </c>
    </row>
    <row r="193" spans="51:169">
      <c r="AY193" t="s">
        <v>410</v>
      </c>
      <c r="BY193" t="s">
        <v>434</v>
      </c>
      <c r="BZ193" t="s">
        <v>434</v>
      </c>
      <c r="CA193" t="s">
        <v>403</v>
      </c>
      <c r="CB193" t="s">
        <v>403</v>
      </c>
      <c r="CG193" t="s">
        <v>1486</v>
      </c>
      <c r="CH193" t="s">
        <v>401</v>
      </c>
      <c r="CI193" t="s">
        <v>1163</v>
      </c>
      <c r="CP193" t="s">
        <v>400</v>
      </c>
      <c r="EP193" t="s">
        <v>433</v>
      </c>
      <c r="EQ193" t="s">
        <v>433</v>
      </c>
      <c r="FM193" t="s">
        <v>401</v>
      </c>
    </row>
    <row r="194" spans="51:169">
      <c r="AY194" t="s">
        <v>411</v>
      </c>
      <c r="BY194" t="s">
        <v>435</v>
      </c>
      <c r="BZ194" t="s">
        <v>435</v>
      </c>
      <c r="CA194" t="s">
        <v>404</v>
      </c>
      <c r="CB194" t="s">
        <v>404</v>
      </c>
      <c r="CG194" t="s">
        <v>1487</v>
      </c>
      <c r="CH194" t="s">
        <v>402</v>
      </c>
      <c r="CP194" t="s">
        <v>401</v>
      </c>
      <c r="EP194" t="s">
        <v>434</v>
      </c>
      <c r="EQ194" t="s">
        <v>434</v>
      </c>
      <c r="FM194" t="s">
        <v>402</v>
      </c>
    </row>
    <row r="195" spans="51:169">
      <c r="AY195" t="s">
        <v>412</v>
      </c>
      <c r="BY195" t="s">
        <v>436</v>
      </c>
      <c r="BZ195" t="s">
        <v>436</v>
      </c>
      <c r="CA195" t="s">
        <v>405</v>
      </c>
      <c r="CB195" t="s">
        <v>405</v>
      </c>
      <c r="CG195" t="s">
        <v>1488</v>
      </c>
      <c r="CH195" t="s">
        <v>403</v>
      </c>
      <c r="CP195" t="s">
        <v>402</v>
      </c>
      <c r="EP195" t="s">
        <v>435</v>
      </c>
      <c r="EQ195" t="s">
        <v>435</v>
      </c>
      <c r="FM195" t="s">
        <v>403</v>
      </c>
    </row>
    <row r="196" spans="51:169">
      <c r="AY196" t="s">
        <v>413</v>
      </c>
      <c r="BY196" t="s">
        <v>437</v>
      </c>
      <c r="BZ196" t="s">
        <v>437</v>
      </c>
      <c r="CA196" t="s">
        <v>406</v>
      </c>
      <c r="CB196" t="s">
        <v>406</v>
      </c>
      <c r="CG196" t="s">
        <v>1489</v>
      </c>
      <c r="CH196" t="s">
        <v>404</v>
      </c>
      <c r="CP196" t="s">
        <v>403</v>
      </c>
      <c r="EP196" t="s">
        <v>436</v>
      </c>
      <c r="EQ196" t="s">
        <v>436</v>
      </c>
      <c r="FM196" t="s">
        <v>404</v>
      </c>
    </row>
    <row r="197" spans="51:169">
      <c r="AY197" t="s">
        <v>414</v>
      </c>
      <c r="BY197" t="s">
        <v>438</v>
      </c>
      <c r="BZ197" t="s">
        <v>438</v>
      </c>
      <c r="CA197" t="s">
        <v>407</v>
      </c>
      <c r="CB197" t="s">
        <v>407</v>
      </c>
      <c r="CG197" t="s">
        <v>1490</v>
      </c>
      <c r="CH197" t="s">
        <v>405</v>
      </c>
      <c r="CP197" t="s">
        <v>404</v>
      </c>
      <c r="EP197" t="s">
        <v>437</v>
      </c>
      <c r="EQ197" t="s">
        <v>437</v>
      </c>
      <c r="FM197" t="s">
        <v>405</v>
      </c>
    </row>
    <row r="198" spans="51:169">
      <c r="AY198" t="s">
        <v>415</v>
      </c>
      <c r="BY198" t="s">
        <v>439</v>
      </c>
      <c r="BZ198" t="s">
        <v>439</v>
      </c>
      <c r="CA198" t="s">
        <v>408</v>
      </c>
      <c r="CB198" t="s">
        <v>408</v>
      </c>
      <c r="CG198" t="s">
        <v>1491</v>
      </c>
      <c r="CH198" t="s">
        <v>406</v>
      </c>
      <c r="CP198" t="s">
        <v>405</v>
      </c>
      <c r="EP198" t="s">
        <v>438</v>
      </c>
      <c r="EQ198" t="s">
        <v>438</v>
      </c>
      <c r="FM198" t="s">
        <v>406</v>
      </c>
    </row>
    <row r="199" spans="51:169">
      <c r="AY199" t="s">
        <v>416</v>
      </c>
      <c r="BY199" t="s">
        <v>440</v>
      </c>
      <c r="BZ199" t="s">
        <v>440</v>
      </c>
      <c r="CA199" t="s">
        <v>409</v>
      </c>
      <c r="CB199" t="s">
        <v>409</v>
      </c>
      <c r="CG199" t="s">
        <v>1492</v>
      </c>
      <c r="CH199" t="s">
        <v>407</v>
      </c>
      <c r="CP199" t="s">
        <v>406</v>
      </c>
      <c r="EP199" t="s">
        <v>439</v>
      </c>
      <c r="EQ199" t="s">
        <v>439</v>
      </c>
      <c r="FM199" t="s">
        <v>407</v>
      </c>
    </row>
    <row r="200" spans="51:169">
      <c r="AY200" t="s">
        <v>417</v>
      </c>
      <c r="BY200" t="s">
        <v>441</v>
      </c>
      <c r="BZ200" t="s">
        <v>441</v>
      </c>
      <c r="CA200" t="s">
        <v>410</v>
      </c>
      <c r="CB200" t="s">
        <v>410</v>
      </c>
      <c r="CG200" t="s">
        <v>1493</v>
      </c>
      <c r="CH200" t="s">
        <v>408</v>
      </c>
      <c r="CP200" t="s">
        <v>407</v>
      </c>
      <c r="EP200" t="s">
        <v>440</v>
      </c>
      <c r="EQ200" t="s">
        <v>440</v>
      </c>
      <c r="FM200" t="s">
        <v>408</v>
      </c>
    </row>
    <row r="201" spans="51:169">
      <c r="AY201" t="s">
        <v>420</v>
      </c>
      <c r="BY201" t="s">
        <v>442</v>
      </c>
      <c r="BZ201" t="s">
        <v>442</v>
      </c>
      <c r="CA201" t="s">
        <v>411</v>
      </c>
      <c r="CB201" t="s">
        <v>411</v>
      </c>
      <c r="CG201" t="s">
        <v>1494</v>
      </c>
      <c r="CH201" t="s">
        <v>409</v>
      </c>
      <c r="CP201" t="s">
        <v>408</v>
      </c>
      <c r="EP201" t="s">
        <v>441</v>
      </c>
      <c r="EQ201" t="s">
        <v>441</v>
      </c>
      <c r="FM201" t="s">
        <v>409</v>
      </c>
    </row>
    <row r="202" spans="51:169">
      <c r="AY202" t="s">
        <v>421</v>
      </c>
      <c r="BY202" t="s">
        <v>443</v>
      </c>
      <c r="BZ202" t="s">
        <v>443</v>
      </c>
      <c r="CA202" t="s">
        <v>412</v>
      </c>
      <c r="CB202" t="s">
        <v>412</v>
      </c>
      <c r="CG202" t="s">
        <v>1495</v>
      </c>
      <c r="CH202" t="s">
        <v>410</v>
      </c>
      <c r="CP202" t="s">
        <v>409</v>
      </c>
      <c r="EP202" t="s">
        <v>442</v>
      </c>
      <c r="EQ202" t="s">
        <v>442</v>
      </c>
      <c r="FM202" t="s">
        <v>410</v>
      </c>
    </row>
    <row r="203" spans="51:169">
      <c r="AY203" t="s">
        <v>422</v>
      </c>
      <c r="BY203" t="s">
        <v>444</v>
      </c>
      <c r="BZ203" t="s">
        <v>444</v>
      </c>
      <c r="CA203" t="s">
        <v>413</v>
      </c>
      <c r="CB203" t="s">
        <v>413</v>
      </c>
      <c r="CG203" t="s">
        <v>1496</v>
      </c>
      <c r="CH203" t="s">
        <v>411</v>
      </c>
      <c r="CP203" t="s">
        <v>410</v>
      </c>
      <c r="EP203" t="s">
        <v>443</v>
      </c>
      <c r="EQ203" t="s">
        <v>443</v>
      </c>
      <c r="FM203" t="s">
        <v>411</v>
      </c>
    </row>
    <row r="204" spans="51:169">
      <c r="AY204" t="s">
        <v>423</v>
      </c>
      <c r="BY204" t="s">
        <v>445</v>
      </c>
      <c r="BZ204" t="s">
        <v>445</v>
      </c>
      <c r="CA204" t="s">
        <v>414</v>
      </c>
      <c r="CB204" t="s">
        <v>414</v>
      </c>
      <c r="CG204" t="s">
        <v>1497</v>
      </c>
      <c r="CH204" t="s">
        <v>412</v>
      </c>
      <c r="CP204" t="s">
        <v>411</v>
      </c>
      <c r="EP204" t="s">
        <v>444</v>
      </c>
      <c r="EQ204" t="s">
        <v>444</v>
      </c>
      <c r="FM204" t="s">
        <v>412</v>
      </c>
    </row>
    <row r="205" spans="51:169">
      <c r="AY205" t="s">
        <v>424</v>
      </c>
      <c r="BY205" t="s">
        <v>446</v>
      </c>
      <c r="BZ205" t="s">
        <v>446</v>
      </c>
      <c r="CA205" t="s">
        <v>415</v>
      </c>
      <c r="CB205" t="s">
        <v>415</v>
      </c>
      <c r="CG205" t="s">
        <v>1498</v>
      </c>
      <c r="CH205" t="s">
        <v>413</v>
      </c>
      <c r="CP205" t="s">
        <v>412</v>
      </c>
      <c r="EP205" t="s">
        <v>445</v>
      </c>
      <c r="EQ205" t="s">
        <v>445</v>
      </c>
      <c r="FM205" t="s">
        <v>413</v>
      </c>
    </row>
    <row r="206" spans="51:169">
      <c r="AY206" t="s">
        <v>927</v>
      </c>
      <c r="BY206" t="s">
        <v>448</v>
      </c>
      <c r="BZ206" t="s">
        <v>448</v>
      </c>
      <c r="CA206" t="s">
        <v>416</v>
      </c>
      <c r="CB206" t="s">
        <v>416</v>
      </c>
      <c r="CG206" t="s">
        <v>1499</v>
      </c>
      <c r="CH206" t="s">
        <v>414</v>
      </c>
      <c r="CP206" t="s">
        <v>413</v>
      </c>
      <c r="EP206" t="s">
        <v>446</v>
      </c>
      <c r="EQ206" t="s">
        <v>446</v>
      </c>
      <c r="FM206" t="s">
        <v>414</v>
      </c>
    </row>
    <row r="207" spans="51:169">
      <c r="AY207" t="s">
        <v>426</v>
      </c>
      <c r="BY207" t="s">
        <v>449</v>
      </c>
      <c r="BZ207" t="s">
        <v>449</v>
      </c>
      <c r="CA207" t="s">
        <v>417</v>
      </c>
      <c r="CB207" t="s">
        <v>417</v>
      </c>
      <c r="CG207" t="s">
        <v>1500</v>
      </c>
      <c r="CH207" t="s">
        <v>415</v>
      </c>
      <c r="CP207" t="s">
        <v>414</v>
      </c>
      <c r="EP207" t="s">
        <v>448</v>
      </c>
      <c r="EQ207" t="s">
        <v>448</v>
      </c>
      <c r="FM207" t="s">
        <v>415</v>
      </c>
    </row>
    <row r="208" spans="51:169">
      <c r="AY208" t="s">
        <v>428</v>
      </c>
      <c r="BY208" t="s">
        <v>450</v>
      </c>
      <c r="BZ208" t="s">
        <v>450</v>
      </c>
      <c r="CA208" t="s">
        <v>418</v>
      </c>
      <c r="CB208" t="s">
        <v>418</v>
      </c>
      <c r="CG208" t="s">
        <v>1501</v>
      </c>
      <c r="CH208" t="s">
        <v>416</v>
      </c>
      <c r="CP208" t="s">
        <v>415</v>
      </c>
      <c r="EP208" t="s">
        <v>449</v>
      </c>
      <c r="EQ208" t="s">
        <v>449</v>
      </c>
      <c r="FM208" t="s">
        <v>416</v>
      </c>
    </row>
    <row r="209" spans="51:169">
      <c r="AY209" t="s">
        <v>429</v>
      </c>
      <c r="BY209" t="s">
        <v>451</v>
      </c>
      <c r="BZ209" t="s">
        <v>451</v>
      </c>
      <c r="CA209" t="s">
        <v>420</v>
      </c>
      <c r="CB209" t="s">
        <v>420</v>
      </c>
      <c r="CG209" t="s">
        <v>1502</v>
      </c>
      <c r="CH209" t="s">
        <v>417</v>
      </c>
      <c r="CP209" t="s">
        <v>416</v>
      </c>
      <c r="EP209" t="s">
        <v>450</v>
      </c>
      <c r="EQ209" t="s">
        <v>450</v>
      </c>
      <c r="FM209" t="s">
        <v>417</v>
      </c>
    </row>
    <row r="210" spans="51:169">
      <c r="AY210" t="s">
        <v>430</v>
      </c>
      <c r="BY210" t="s">
        <v>452</v>
      </c>
      <c r="BZ210" t="s">
        <v>452</v>
      </c>
      <c r="CA210" t="s">
        <v>421</v>
      </c>
      <c r="CB210" t="s">
        <v>421</v>
      </c>
      <c r="CG210" t="s">
        <v>1503</v>
      </c>
      <c r="CH210" t="s">
        <v>418</v>
      </c>
      <c r="CP210" t="s">
        <v>417</v>
      </c>
      <c r="EP210" t="s">
        <v>451</v>
      </c>
      <c r="EQ210" t="s">
        <v>451</v>
      </c>
      <c r="FM210" t="s">
        <v>418</v>
      </c>
    </row>
    <row r="211" spans="51:169">
      <c r="AY211" t="s">
        <v>431</v>
      </c>
      <c r="BY211" t="s">
        <v>453</v>
      </c>
      <c r="BZ211" t="s">
        <v>453</v>
      </c>
      <c r="CA211" t="s">
        <v>422</v>
      </c>
      <c r="CB211" t="s">
        <v>422</v>
      </c>
      <c r="CG211" t="s">
        <v>1504</v>
      </c>
      <c r="CH211" t="s">
        <v>419</v>
      </c>
      <c r="CP211" t="s">
        <v>418</v>
      </c>
      <c r="EP211" t="s">
        <v>452</v>
      </c>
      <c r="EQ211" t="s">
        <v>452</v>
      </c>
      <c r="FM211" t="s">
        <v>420</v>
      </c>
    </row>
    <row r="212" spans="51:169">
      <c r="AY212" t="s">
        <v>432</v>
      </c>
      <c r="BY212" t="s">
        <v>454</v>
      </c>
      <c r="BZ212" t="s">
        <v>454</v>
      </c>
      <c r="CA212" t="s">
        <v>423</v>
      </c>
      <c r="CB212" t="s">
        <v>423</v>
      </c>
      <c r="CG212" t="s">
        <v>1505</v>
      </c>
      <c r="CH212" t="s">
        <v>420</v>
      </c>
      <c r="CP212" t="s">
        <v>420</v>
      </c>
      <c r="EP212" t="s">
        <v>453</v>
      </c>
      <c r="EQ212" t="s">
        <v>453</v>
      </c>
      <c r="FM212" t="s">
        <v>421</v>
      </c>
    </row>
    <row r="213" spans="51:169">
      <c r="AY213" t="s">
        <v>433</v>
      </c>
      <c r="BY213" t="s">
        <v>455</v>
      </c>
      <c r="BZ213" t="s">
        <v>455</v>
      </c>
      <c r="CA213" t="s">
        <v>424</v>
      </c>
      <c r="CB213" t="s">
        <v>424</v>
      </c>
      <c r="CG213" t="s">
        <v>1506</v>
      </c>
      <c r="CH213" t="s">
        <v>421</v>
      </c>
      <c r="CP213" t="s">
        <v>421</v>
      </c>
      <c r="EP213" t="s">
        <v>454</v>
      </c>
      <c r="EQ213" t="s">
        <v>454</v>
      </c>
      <c r="FM213" t="s">
        <v>422</v>
      </c>
    </row>
    <row r="214" spans="51:169">
      <c r="AY214" t="s">
        <v>434</v>
      </c>
      <c r="BY214" t="s">
        <v>456</v>
      </c>
      <c r="BZ214" t="s">
        <v>456</v>
      </c>
      <c r="CA214" t="s">
        <v>927</v>
      </c>
      <c r="CB214" t="s">
        <v>927</v>
      </c>
      <c r="CG214" t="s">
        <v>1507</v>
      </c>
      <c r="CH214" t="s">
        <v>422</v>
      </c>
      <c r="CP214" t="s">
        <v>422</v>
      </c>
      <c r="EP214" t="s">
        <v>455</v>
      </c>
      <c r="EQ214" t="s">
        <v>455</v>
      </c>
      <c r="FM214" t="s">
        <v>423</v>
      </c>
    </row>
    <row r="215" spans="51:169">
      <c r="AY215" t="s">
        <v>435</v>
      </c>
      <c r="BY215" t="s">
        <v>457</v>
      </c>
      <c r="BZ215" t="s">
        <v>457</v>
      </c>
      <c r="CA215" t="s">
        <v>426</v>
      </c>
      <c r="CB215" t="s">
        <v>426</v>
      </c>
      <c r="CG215" t="s">
        <v>1508</v>
      </c>
      <c r="CH215" t="s">
        <v>423</v>
      </c>
      <c r="CP215" t="s">
        <v>423</v>
      </c>
      <c r="EP215" t="s">
        <v>456</v>
      </c>
      <c r="EQ215" t="s">
        <v>456</v>
      </c>
      <c r="FM215" t="s">
        <v>424</v>
      </c>
    </row>
    <row r="216" spans="51:169">
      <c r="AY216" t="s">
        <v>436</v>
      </c>
      <c r="BY216" t="s">
        <v>458</v>
      </c>
      <c r="BZ216" t="s">
        <v>458</v>
      </c>
      <c r="CA216" t="s">
        <v>428</v>
      </c>
      <c r="CB216" t="s">
        <v>428</v>
      </c>
      <c r="CG216" t="s">
        <v>1509</v>
      </c>
      <c r="CH216" t="s">
        <v>424</v>
      </c>
      <c r="CP216" t="s">
        <v>424</v>
      </c>
      <c r="EP216" t="s">
        <v>457</v>
      </c>
      <c r="EQ216" t="s">
        <v>457</v>
      </c>
      <c r="FM216" t="s">
        <v>927</v>
      </c>
    </row>
    <row r="217" spans="51:169">
      <c r="AY217" t="s">
        <v>437</v>
      </c>
      <c r="BY217" t="s">
        <v>459</v>
      </c>
      <c r="BZ217" t="s">
        <v>459</v>
      </c>
      <c r="CA217" t="s">
        <v>429</v>
      </c>
      <c r="CB217" t="s">
        <v>429</v>
      </c>
      <c r="CG217" t="s">
        <v>1510</v>
      </c>
      <c r="CH217" t="s">
        <v>927</v>
      </c>
      <c r="CP217" t="s">
        <v>927</v>
      </c>
      <c r="EP217" t="s">
        <v>458</v>
      </c>
      <c r="EQ217" t="s">
        <v>458</v>
      </c>
      <c r="FM217" t="s">
        <v>426</v>
      </c>
    </row>
    <row r="218" spans="51:169">
      <c r="AY218" t="s">
        <v>438</v>
      </c>
      <c r="BY218" t="s">
        <v>460</v>
      </c>
      <c r="BZ218" t="s">
        <v>460</v>
      </c>
      <c r="CA218" t="s">
        <v>430</v>
      </c>
      <c r="CB218" t="s">
        <v>430</v>
      </c>
      <c r="CG218" t="s">
        <v>1511</v>
      </c>
      <c r="CH218" t="s">
        <v>426</v>
      </c>
      <c r="CP218" t="s">
        <v>426</v>
      </c>
      <c r="EP218" t="s">
        <v>459</v>
      </c>
      <c r="EQ218" t="s">
        <v>459</v>
      </c>
      <c r="FM218" t="s">
        <v>428</v>
      </c>
    </row>
    <row r="219" spans="51:169">
      <c r="AY219" t="s">
        <v>439</v>
      </c>
      <c r="BY219" t="s">
        <v>461</v>
      </c>
      <c r="BZ219" t="s">
        <v>461</v>
      </c>
      <c r="CA219" t="s">
        <v>431</v>
      </c>
      <c r="CB219" t="s">
        <v>431</v>
      </c>
      <c r="CG219" t="s">
        <v>1512</v>
      </c>
      <c r="CH219" t="s">
        <v>428</v>
      </c>
      <c r="CP219" t="s">
        <v>428</v>
      </c>
      <c r="EP219" t="s">
        <v>460</v>
      </c>
      <c r="EQ219" t="s">
        <v>460</v>
      </c>
      <c r="FM219" t="s">
        <v>429</v>
      </c>
    </row>
    <row r="220" spans="51:169">
      <c r="AY220" t="s">
        <v>440</v>
      </c>
      <c r="BY220" t="s">
        <v>419</v>
      </c>
      <c r="BZ220" t="s">
        <v>419</v>
      </c>
      <c r="CA220" t="s">
        <v>432</v>
      </c>
      <c r="CB220" t="s">
        <v>432</v>
      </c>
      <c r="CG220" t="s">
        <v>1513</v>
      </c>
      <c r="CH220" t="s">
        <v>429</v>
      </c>
      <c r="CP220" t="s">
        <v>429</v>
      </c>
      <c r="EP220" t="s">
        <v>461</v>
      </c>
      <c r="EQ220" t="s">
        <v>461</v>
      </c>
      <c r="FM220" t="s">
        <v>430</v>
      </c>
    </row>
    <row r="221" spans="51:169">
      <c r="AY221" t="s">
        <v>441</v>
      </c>
      <c r="BY221" t="s">
        <v>447</v>
      </c>
      <c r="BZ221" t="s">
        <v>447</v>
      </c>
      <c r="CA221" t="s">
        <v>433</v>
      </c>
      <c r="CB221" t="s">
        <v>433</v>
      </c>
      <c r="CG221" t="s">
        <v>1514</v>
      </c>
      <c r="CH221" t="s">
        <v>430</v>
      </c>
      <c r="CP221" t="s">
        <v>430</v>
      </c>
      <c r="EP221" t="s">
        <v>931</v>
      </c>
      <c r="EQ221" t="s">
        <v>931</v>
      </c>
      <c r="FM221" t="s">
        <v>431</v>
      </c>
    </row>
    <row r="222" spans="51:169">
      <c r="AY222" t="s">
        <v>443</v>
      </c>
      <c r="BY222" t="s">
        <v>928</v>
      </c>
      <c r="BZ222" t="s">
        <v>928</v>
      </c>
      <c r="CA222" t="s">
        <v>434</v>
      </c>
      <c r="CB222" t="s">
        <v>434</v>
      </c>
      <c r="CG222" t="s">
        <v>1515</v>
      </c>
      <c r="CH222" t="s">
        <v>431</v>
      </c>
      <c r="CP222" t="s">
        <v>431</v>
      </c>
      <c r="EP222" t="s">
        <v>932</v>
      </c>
      <c r="EQ222" t="s">
        <v>932</v>
      </c>
      <c r="FM222" t="s">
        <v>432</v>
      </c>
    </row>
    <row r="223" spans="51:169">
      <c r="AY223" t="s">
        <v>444</v>
      </c>
      <c r="BY223" t="s">
        <v>931</v>
      </c>
      <c r="BZ223" t="s">
        <v>931</v>
      </c>
      <c r="CA223" t="s">
        <v>435</v>
      </c>
      <c r="CB223" t="s">
        <v>435</v>
      </c>
      <c r="CG223" t="s">
        <v>1516</v>
      </c>
      <c r="CH223" t="s">
        <v>432</v>
      </c>
      <c r="CP223" t="s">
        <v>432</v>
      </c>
      <c r="EP223" t="s">
        <v>933</v>
      </c>
      <c r="EQ223" t="s">
        <v>933</v>
      </c>
      <c r="FM223" t="s">
        <v>433</v>
      </c>
    </row>
    <row r="224" spans="51:169">
      <c r="AY224" t="s">
        <v>445</v>
      </c>
      <c r="BY224" t="s">
        <v>932</v>
      </c>
      <c r="BZ224" t="s">
        <v>932</v>
      </c>
      <c r="CA224" t="s">
        <v>436</v>
      </c>
      <c r="CB224" t="s">
        <v>436</v>
      </c>
      <c r="CG224" t="s">
        <v>1517</v>
      </c>
      <c r="CH224" t="s">
        <v>433</v>
      </c>
      <c r="CP224" t="s">
        <v>433</v>
      </c>
      <c r="FM224" t="s">
        <v>434</v>
      </c>
    </row>
    <row r="225" spans="51:169">
      <c r="AY225" t="s">
        <v>446</v>
      </c>
      <c r="BY225" t="s">
        <v>933</v>
      </c>
      <c r="BZ225" t="s">
        <v>933</v>
      </c>
      <c r="CA225" t="s">
        <v>437</v>
      </c>
      <c r="CB225" t="s">
        <v>437</v>
      </c>
      <c r="CG225" t="s">
        <v>1518</v>
      </c>
      <c r="CH225" t="s">
        <v>434</v>
      </c>
      <c r="CP225" t="s">
        <v>434</v>
      </c>
      <c r="FM225" t="s">
        <v>435</v>
      </c>
    </row>
    <row r="226" spans="51:169">
      <c r="AY226" t="s">
        <v>447</v>
      </c>
      <c r="CA226" t="s">
        <v>438</v>
      </c>
      <c r="CB226" t="s">
        <v>438</v>
      </c>
      <c r="CG226" t="s">
        <v>1519</v>
      </c>
      <c r="CH226" t="s">
        <v>435</v>
      </c>
      <c r="CP226" t="s">
        <v>435</v>
      </c>
      <c r="FM226" t="s">
        <v>436</v>
      </c>
    </row>
    <row r="227" spans="51:169">
      <c r="AY227" t="s">
        <v>27</v>
      </c>
      <c r="CA227" t="s">
        <v>439</v>
      </c>
      <c r="CB227" t="s">
        <v>439</v>
      </c>
      <c r="CG227" t="s">
        <v>1520</v>
      </c>
      <c r="CH227" t="s">
        <v>436</v>
      </c>
      <c r="CP227" t="s">
        <v>436</v>
      </c>
      <c r="FM227" t="s">
        <v>437</v>
      </c>
    </row>
    <row r="228" spans="51:169">
      <c r="AY228" t="s">
        <v>83</v>
      </c>
      <c r="CA228" t="s">
        <v>440</v>
      </c>
      <c r="CB228" t="s">
        <v>440</v>
      </c>
      <c r="CG228" t="s">
        <v>1521</v>
      </c>
      <c r="CH228" t="s">
        <v>437</v>
      </c>
      <c r="CP228" t="s">
        <v>437</v>
      </c>
      <c r="FM228" t="s">
        <v>438</v>
      </c>
    </row>
    <row r="229" spans="51:169">
      <c r="AY229" t="s">
        <v>93</v>
      </c>
      <c r="CA229" t="s">
        <v>441</v>
      </c>
      <c r="CB229" t="s">
        <v>441</v>
      </c>
      <c r="CG229" t="s">
        <v>1522</v>
      </c>
      <c r="CH229" t="s">
        <v>438</v>
      </c>
      <c r="CP229" t="s">
        <v>438</v>
      </c>
      <c r="FM229" t="s">
        <v>439</v>
      </c>
    </row>
    <row r="230" spans="51:169">
      <c r="AY230" t="s">
        <v>455</v>
      </c>
      <c r="CA230" t="s">
        <v>442</v>
      </c>
      <c r="CB230" t="s">
        <v>442</v>
      </c>
      <c r="CG230" t="s">
        <v>1523</v>
      </c>
      <c r="CH230" t="s">
        <v>439</v>
      </c>
      <c r="CP230" t="s">
        <v>439</v>
      </c>
      <c r="FM230" t="s">
        <v>440</v>
      </c>
    </row>
    <row r="231" spans="51:169">
      <c r="AY231" t="s">
        <v>117</v>
      </c>
      <c r="CA231" t="s">
        <v>443</v>
      </c>
      <c r="CB231" t="s">
        <v>443</v>
      </c>
      <c r="CG231" t="s">
        <v>1524</v>
      </c>
      <c r="CH231" t="s">
        <v>440</v>
      </c>
      <c r="CP231" t="s">
        <v>440</v>
      </c>
      <c r="FM231" t="s">
        <v>441</v>
      </c>
    </row>
    <row r="232" spans="51:169">
      <c r="AY232" t="s">
        <v>189</v>
      </c>
      <c r="CA232" t="s">
        <v>444</v>
      </c>
      <c r="CB232" t="s">
        <v>444</v>
      </c>
      <c r="CG232" t="s">
        <v>1525</v>
      </c>
      <c r="CH232" t="s">
        <v>441</v>
      </c>
      <c r="CP232" t="s">
        <v>441</v>
      </c>
      <c r="FM232" t="s">
        <v>442</v>
      </c>
    </row>
    <row r="233" spans="51:169">
      <c r="AY233" t="s">
        <v>928</v>
      </c>
      <c r="CA233" t="s">
        <v>445</v>
      </c>
      <c r="CB233" t="s">
        <v>445</v>
      </c>
      <c r="CG233" t="s">
        <v>1526</v>
      </c>
      <c r="CH233" t="s">
        <v>442</v>
      </c>
      <c r="CP233" t="s">
        <v>442</v>
      </c>
      <c r="FM233" t="s">
        <v>443</v>
      </c>
    </row>
    <row r="234" spans="51:169">
      <c r="AY234" t="s">
        <v>346</v>
      </c>
      <c r="CA234" t="s">
        <v>446</v>
      </c>
      <c r="CB234" t="s">
        <v>446</v>
      </c>
      <c r="CG234" t="s">
        <v>1527</v>
      </c>
      <c r="CH234" t="s">
        <v>443</v>
      </c>
      <c r="CP234" t="s">
        <v>443</v>
      </c>
      <c r="FM234" t="s">
        <v>444</v>
      </c>
    </row>
    <row r="235" spans="51:169">
      <c r="AY235" t="s">
        <v>387</v>
      </c>
      <c r="CA235" t="s">
        <v>447</v>
      </c>
      <c r="CB235" t="s">
        <v>447</v>
      </c>
      <c r="CG235" t="s">
        <v>1528</v>
      </c>
      <c r="CH235" t="s">
        <v>444</v>
      </c>
      <c r="CP235" t="s">
        <v>444</v>
      </c>
      <c r="FM235" t="s">
        <v>445</v>
      </c>
    </row>
    <row r="236" spans="51:169">
      <c r="AY236" t="s">
        <v>397</v>
      </c>
      <c r="CA236" t="s">
        <v>928</v>
      </c>
      <c r="CB236" t="s">
        <v>928</v>
      </c>
      <c r="CG236" t="s">
        <v>1529</v>
      </c>
      <c r="CH236" t="s">
        <v>445</v>
      </c>
      <c r="CP236" t="s">
        <v>445</v>
      </c>
      <c r="FM236" t="s">
        <v>446</v>
      </c>
    </row>
    <row r="237" spans="51:169">
      <c r="AY237" t="s">
        <v>418</v>
      </c>
      <c r="CA237" t="s">
        <v>448</v>
      </c>
      <c r="CB237" t="s">
        <v>448</v>
      </c>
      <c r="CG237" t="s">
        <v>1530</v>
      </c>
      <c r="CH237" t="s">
        <v>446</v>
      </c>
      <c r="CP237" t="s">
        <v>446</v>
      </c>
      <c r="FM237" t="s">
        <v>447</v>
      </c>
    </row>
    <row r="238" spans="51:169">
      <c r="AY238" t="s">
        <v>442</v>
      </c>
      <c r="CA238" t="s">
        <v>449</v>
      </c>
      <c r="CB238" t="s">
        <v>449</v>
      </c>
      <c r="CG238" t="s">
        <v>1531</v>
      </c>
      <c r="CH238" t="s">
        <v>447</v>
      </c>
      <c r="CP238" t="s">
        <v>448</v>
      </c>
      <c r="FM238" t="s">
        <v>448</v>
      </c>
    </row>
    <row r="239" spans="51:169">
      <c r="AY239" t="s">
        <v>448</v>
      </c>
      <c r="CA239" t="s">
        <v>450</v>
      </c>
      <c r="CB239" t="s">
        <v>450</v>
      </c>
      <c r="CG239" t="s">
        <v>1532</v>
      </c>
      <c r="CH239" t="s">
        <v>448</v>
      </c>
      <c r="CP239" t="s">
        <v>449</v>
      </c>
      <c r="FM239" t="s">
        <v>449</v>
      </c>
    </row>
    <row r="240" spans="51:169">
      <c r="AY240" t="s">
        <v>449</v>
      </c>
      <c r="CA240" t="s">
        <v>451</v>
      </c>
      <c r="CB240" t="s">
        <v>451</v>
      </c>
      <c r="CG240" t="s">
        <v>1533</v>
      </c>
      <c r="CH240" t="s">
        <v>449</v>
      </c>
      <c r="CP240" t="s">
        <v>450</v>
      </c>
      <c r="FM240" t="s">
        <v>450</v>
      </c>
    </row>
    <row r="241" spans="51:169">
      <c r="AY241" t="s">
        <v>450</v>
      </c>
      <c r="CA241" t="s">
        <v>452</v>
      </c>
      <c r="CB241" t="s">
        <v>452</v>
      </c>
      <c r="CG241" t="s">
        <v>1534</v>
      </c>
      <c r="CH241" t="s">
        <v>450</v>
      </c>
      <c r="CP241" t="s">
        <v>451</v>
      </c>
      <c r="FM241" t="s">
        <v>451</v>
      </c>
    </row>
    <row r="242" spans="51:169">
      <c r="AY242" t="s">
        <v>451</v>
      </c>
      <c r="CA242" t="s">
        <v>453</v>
      </c>
      <c r="CB242" t="s">
        <v>453</v>
      </c>
      <c r="CG242" t="s">
        <v>1535</v>
      </c>
      <c r="CH242" t="s">
        <v>451</v>
      </c>
      <c r="CP242" t="s">
        <v>452</v>
      </c>
      <c r="FM242" t="s">
        <v>452</v>
      </c>
    </row>
    <row r="243" spans="51:169">
      <c r="AY243" t="s">
        <v>452</v>
      </c>
      <c r="CA243" t="s">
        <v>454</v>
      </c>
      <c r="CB243" t="s">
        <v>454</v>
      </c>
      <c r="CG243" t="s">
        <v>1536</v>
      </c>
      <c r="CH243" t="s">
        <v>452</v>
      </c>
      <c r="CP243" t="s">
        <v>453</v>
      </c>
      <c r="FM243" t="s">
        <v>453</v>
      </c>
    </row>
    <row r="244" spans="51:169">
      <c r="AY244" t="s">
        <v>453</v>
      </c>
      <c r="CA244" t="s">
        <v>455</v>
      </c>
      <c r="CB244" t="s">
        <v>455</v>
      </c>
      <c r="CG244" t="s">
        <v>1537</v>
      </c>
      <c r="CH244" t="s">
        <v>453</v>
      </c>
      <c r="CP244" t="s">
        <v>454</v>
      </c>
      <c r="FM244" t="s">
        <v>454</v>
      </c>
    </row>
    <row r="245" spans="51:169">
      <c r="AY245" t="s">
        <v>454</v>
      </c>
      <c r="CA245" t="s">
        <v>456</v>
      </c>
      <c r="CB245" t="s">
        <v>456</v>
      </c>
      <c r="CG245" t="s">
        <v>1538</v>
      </c>
      <c r="CH245" t="s">
        <v>454</v>
      </c>
      <c r="CP245" t="s">
        <v>455</v>
      </c>
      <c r="FM245" t="s">
        <v>455</v>
      </c>
    </row>
    <row r="246" spans="51:169">
      <c r="AY246" t="s">
        <v>456</v>
      </c>
      <c r="CA246" t="s">
        <v>457</v>
      </c>
      <c r="CB246" t="s">
        <v>457</v>
      </c>
      <c r="CG246" t="s">
        <v>1539</v>
      </c>
      <c r="CH246" t="s">
        <v>455</v>
      </c>
      <c r="CP246" t="s">
        <v>456</v>
      </c>
      <c r="FM246" t="s">
        <v>456</v>
      </c>
    </row>
    <row r="247" spans="51:169">
      <c r="AY247" t="s">
        <v>457</v>
      </c>
      <c r="CA247" t="s">
        <v>458</v>
      </c>
      <c r="CB247" t="s">
        <v>458</v>
      </c>
      <c r="CG247" t="s">
        <v>1540</v>
      </c>
      <c r="CH247" t="s">
        <v>456</v>
      </c>
      <c r="CP247" t="s">
        <v>457</v>
      </c>
      <c r="FM247" t="s">
        <v>457</v>
      </c>
    </row>
    <row r="248" spans="51:169">
      <c r="AY248" t="s">
        <v>458</v>
      </c>
      <c r="CA248" t="s">
        <v>459</v>
      </c>
      <c r="CB248" t="s">
        <v>459</v>
      </c>
      <c r="CG248" t="s">
        <v>1541</v>
      </c>
      <c r="CH248" t="s">
        <v>457</v>
      </c>
      <c r="CP248" t="s">
        <v>458</v>
      </c>
      <c r="FM248" t="s">
        <v>458</v>
      </c>
    </row>
    <row r="249" spans="51:169">
      <c r="AY249" t="s">
        <v>459</v>
      </c>
      <c r="CA249" t="s">
        <v>460</v>
      </c>
      <c r="CB249" t="s">
        <v>460</v>
      </c>
      <c r="CG249" t="s">
        <v>1542</v>
      </c>
      <c r="CH249" t="s">
        <v>458</v>
      </c>
      <c r="CP249" t="s">
        <v>459</v>
      </c>
      <c r="FM249" t="s">
        <v>459</v>
      </c>
    </row>
    <row r="250" spans="51:169">
      <c r="AY250" t="s">
        <v>460</v>
      </c>
      <c r="CA250" t="s">
        <v>461</v>
      </c>
      <c r="CB250" t="s">
        <v>461</v>
      </c>
      <c r="CG250" t="s">
        <v>1543</v>
      </c>
      <c r="CH250" t="s">
        <v>459</v>
      </c>
      <c r="CP250" t="s">
        <v>460</v>
      </c>
      <c r="FM250" t="s">
        <v>460</v>
      </c>
    </row>
    <row r="251" spans="51:169">
      <c r="AY251" t="s">
        <v>461</v>
      </c>
      <c r="CA251" t="s">
        <v>419</v>
      </c>
      <c r="CB251" t="s">
        <v>419</v>
      </c>
      <c r="CG251" t="s">
        <v>1544</v>
      </c>
      <c r="CH251" t="s">
        <v>460</v>
      </c>
      <c r="CP251" t="s">
        <v>461</v>
      </c>
      <c r="FM251" t="s">
        <v>461</v>
      </c>
    </row>
    <row r="252" spans="51:169">
      <c r="AY252" t="s">
        <v>419</v>
      </c>
      <c r="CA252" t="s">
        <v>929</v>
      </c>
      <c r="CB252" t="s">
        <v>929</v>
      </c>
      <c r="CG252" t="s">
        <v>1545</v>
      </c>
      <c r="CH252" t="s">
        <v>461</v>
      </c>
      <c r="CP252" t="s">
        <v>2279</v>
      </c>
      <c r="FM252" t="s">
        <v>419</v>
      </c>
    </row>
    <row r="253" spans="51:169">
      <c r="AY253" t="s">
        <v>929</v>
      </c>
      <c r="CA253" t="s">
        <v>930</v>
      </c>
      <c r="CB253" t="s">
        <v>930</v>
      </c>
      <c r="CG253" t="s">
        <v>1546</v>
      </c>
      <c r="CH253" t="s">
        <v>2279</v>
      </c>
      <c r="CP253" t="s">
        <v>2280</v>
      </c>
      <c r="FM253" t="s">
        <v>929</v>
      </c>
    </row>
    <row r="254" spans="51:169">
      <c r="AY254" t="s">
        <v>930</v>
      </c>
      <c r="CA254" t="s">
        <v>931</v>
      </c>
      <c r="CB254" t="s">
        <v>931</v>
      </c>
      <c r="CG254" t="s">
        <v>1547</v>
      </c>
      <c r="CH254" t="s">
        <v>2280</v>
      </c>
      <c r="CP254" t="s">
        <v>419</v>
      </c>
      <c r="FM254" t="s">
        <v>930</v>
      </c>
    </row>
    <row r="255" spans="51:169">
      <c r="AY255" t="s">
        <v>931</v>
      </c>
      <c r="CA255" t="s">
        <v>932</v>
      </c>
      <c r="CB255" t="s">
        <v>932</v>
      </c>
      <c r="CG255" t="s">
        <v>1548</v>
      </c>
      <c r="CH255" t="s">
        <v>929</v>
      </c>
      <c r="CP255" t="s">
        <v>2391</v>
      </c>
      <c r="FM255" t="s">
        <v>931</v>
      </c>
    </row>
    <row r="256" spans="51:169">
      <c r="AY256" t="s">
        <v>932</v>
      </c>
      <c r="CA256" t="s">
        <v>933</v>
      </c>
      <c r="CB256" t="s">
        <v>933</v>
      </c>
      <c r="CG256" t="s">
        <v>1549</v>
      </c>
      <c r="CH256" t="s">
        <v>930</v>
      </c>
      <c r="CP256" t="s">
        <v>931</v>
      </c>
      <c r="FM256" t="s">
        <v>932</v>
      </c>
    </row>
    <row r="257" spans="51:169">
      <c r="AY257" t="s">
        <v>933</v>
      </c>
      <c r="CG257" t="s">
        <v>1550</v>
      </c>
      <c r="CH257" t="s">
        <v>931</v>
      </c>
      <c r="CP257" t="s">
        <v>932</v>
      </c>
      <c r="FM257" t="s">
        <v>933</v>
      </c>
    </row>
    <row r="258" spans="51:169">
      <c r="CG258" t="s">
        <v>1551</v>
      </c>
      <c r="CH258" t="s">
        <v>932</v>
      </c>
      <c r="CP258" t="s">
        <v>933</v>
      </c>
    </row>
    <row r="259" spans="51:169">
      <c r="CG259" t="s">
        <v>1552</v>
      </c>
      <c r="CH259" t="s">
        <v>933</v>
      </c>
    </row>
    <row r="260" spans="51:169">
      <c r="CG260" t="s">
        <v>1553</v>
      </c>
    </row>
    <row r="261" spans="51:169">
      <c r="CG261" t="s">
        <v>1554</v>
      </c>
    </row>
    <row r="262" spans="51:169">
      <c r="CG262" t="s">
        <v>1555</v>
      </c>
    </row>
    <row r="263" spans="51:169">
      <c r="CG263" t="s">
        <v>1556</v>
      </c>
    </row>
    <row r="264" spans="51:169">
      <c r="CG264" t="s">
        <v>1557</v>
      </c>
    </row>
    <row r="265" spans="51:169">
      <c r="CG265" t="s">
        <v>1558</v>
      </c>
    </row>
    <row r="266" spans="51:169">
      <c r="CG266" t="s">
        <v>1559</v>
      </c>
    </row>
    <row r="267" spans="51:169">
      <c r="CG267" t="s">
        <v>1560</v>
      </c>
    </row>
    <row r="268" spans="51:169">
      <c r="CG268" t="s">
        <v>1561</v>
      </c>
    </row>
    <row r="269" spans="51:169">
      <c r="CG269" t="s">
        <v>1562</v>
      </c>
    </row>
    <row r="270" spans="51:169">
      <c r="CG270" t="s">
        <v>1563</v>
      </c>
    </row>
    <row r="271" spans="51:169">
      <c r="CG271" t="s">
        <v>1564</v>
      </c>
    </row>
    <row r="272" spans="51:169">
      <c r="CG272" t="s">
        <v>1565</v>
      </c>
    </row>
    <row r="273" spans="85:85">
      <c r="CG273" t="s">
        <v>1566</v>
      </c>
    </row>
    <row r="274" spans="85:85">
      <c r="CG274" t="s">
        <v>1567</v>
      </c>
    </row>
    <row r="275" spans="85:85">
      <c r="CG275" t="s">
        <v>1568</v>
      </c>
    </row>
    <row r="276" spans="85:85">
      <c r="CG276" t="s">
        <v>1569</v>
      </c>
    </row>
    <row r="277" spans="85:85">
      <c r="CG277" t="s">
        <v>1570</v>
      </c>
    </row>
    <row r="278" spans="85:85">
      <c r="CG278" t="s">
        <v>1571</v>
      </c>
    </row>
    <row r="279" spans="85:85">
      <c r="CG279" t="s">
        <v>1572</v>
      </c>
    </row>
    <row r="280" spans="85:85">
      <c r="CG280" t="s">
        <v>1573</v>
      </c>
    </row>
    <row r="281" spans="85:85">
      <c r="CG281" t="s">
        <v>1574</v>
      </c>
    </row>
    <row r="282" spans="85:85">
      <c r="CG282" t="s">
        <v>1575</v>
      </c>
    </row>
    <row r="283" spans="85:85">
      <c r="CG283" t="s">
        <v>1576</v>
      </c>
    </row>
    <row r="284" spans="85:85">
      <c r="CG284" t="s">
        <v>1577</v>
      </c>
    </row>
    <row r="285" spans="85:85">
      <c r="CG285" t="s">
        <v>1578</v>
      </c>
    </row>
    <row r="286" spans="85:85">
      <c r="CG286" t="s">
        <v>1579</v>
      </c>
    </row>
    <row r="287" spans="85:85">
      <c r="CG287" t="s">
        <v>1580</v>
      </c>
    </row>
    <row r="288" spans="85:85">
      <c r="CG288" t="s">
        <v>1581</v>
      </c>
    </row>
    <row r="289" spans="85:85">
      <c r="CG289" t="s">
        <v>1582</v>
      </c>
    </row>
    <row r="290" spans="85:85">
      <c r="CG290" t="s">
        <v>1583</v>
      </c>
    </row>
    <row r="291" spans="85:85">
      <c r="CG291" t="s">
        <v>1584</v>
      </c>
    </row>
    <row r="292" spans="85:85">
      <c r="CG292" t="s">
        <v>1585</v>
      </c>
    </row>
    <row r="293" spans="85:85">
      <c r="CG293" t="s">
        <v>1586</v>
      </c>
    </row>
    <row r="294" spans="85:85">
      <c r="CG294" t="s">
        <v>1587</v>
      </c>
    </row>
    <row r="295" spans="85:85">
      <c r="CG295" t="s">
        <v>1588</v>
      </c>
    </row>
    <row r="296" spans="85:85">
      <c r="CG296" t="s">
        <v>1589</v>
      </c>
    </row>
    <row r="297" spans="85:85">
      <c r="CG297" t="s">
        <v>1590</v>
      </c>
    </row>
    <row r="298" spans="85:85">
      <c r="CG298" t="s">
        <v>1591</v>
      </c>
    </row>
    <row r="299" spans="85:85">
      <c r="CG299" t="s">
        <v>1592</v>
      </c>
    </row>
    <row r="300" spans="85:85">
      <c r="CG300" t="s">
        <v>1593</v>
      </c>
    </row>
    <row r="301" spans="85:85">
      <c r="CG301" t="s">
        <v>1594</v>
      </c>
    </row>
    <row r="302" spans="85:85">
      <c r="CG302" t="s">
        <v>1595</v>
      </c>
    </row>
    <row r="303" spans="85:85">
      <c r="CG303" t="s">
        <v>1596</v>
      </c>
    </row>
    <row r="304" spans="85:85">
      <c r="CG304" t="s">
        <v>1597</v>
      </c>
    </row>
    <row r="305" spans="85:85">
      <c r="CG305" t="s">
        <v>1598</v>
      </c>
    </row>
    <row r="306" spans="85:85">
      <c r="CG306" t="s">
        <v>1599</v>
      </c>
    </row>
    <row r="307" spans="85:85">
      <c r="CG307" t="s">
        <v>1600</v>
      </c>
    </row>
    <row r="308" spans="85:85">
      <c r="CG308" t="s">
        <v>1601</v>
      </c>
    </row>
    <row r="309" spans="85:85">
      <c r="CG309" t="s">
        <v>1602</v>
      </c>
    </row>
    <row r="310" spans="85:85">
      <c r="CG310" t="s">
        <v>1603</v>
      </c>
    </row>
    <row r="311" spans="85:85">
      <c r="CG311" t="s">
        <v>1604</v>
      </c>
    </row>
    <row r="312" spans="85:85">
      <c r="CG312" t="s">
        <v>1605</v>
      </c>
    </row>
    <row r="313" spans="85:85">
      <c r="CG313" t="s">
        <v>1606</v>
      </c>
    </row>
    <row r="314" spans="85:85">
      <c r="CG314" t="s">
        <v>1607</v>
      </c>
    </row>
    <row r="315" spans="85:85">
      <c r="CG315" t="s">
        <v>1608</v>
      </c>
    </row>
    <row r="316" spans="85:85">
      <c r="CG316" t="s">
        <v>1609</v>
      </c>
    </row>
    <row r="317" spans="85:85">
      <c r="CG317" t="s">
        <v>1610</v>
      </c>
    </row>
    <row r="318" spans="85:85">
      <c r="CG318" t="s">
        <v>1611</v>
      </c>
    </row>
    <row r="319" spans="85:85">
      <c r="CG319" t="s">
        <v>1612</v>
      </c>
    </row>
    <row r="320" spans="85:85">
      <c r="CG320" t="s">
        <v>1613</v>
      </c>
    </row>
    <row r="321" spans="85:85">
      <c r="CG321" t="s">
        <v>1614</v>
      </c>
    </row>
    <row r="322" spans="85:85">
      <c r="CG322" t="s">
        <v>1615</v>
      </c>
    </row>
    <row r="323" spans="85:85">
      <c r="CG323" t="s">
        <v>1616</v>
      </c>
    </row>
    <row r="324" spans="85:85">
      <c r="CG324" t="s">
        <v>1617</v>
      </c>
    </row>
    <row r="325" spans="85:85">
      <c r="CG325" t="s">
        <v>1618</v>
      </c>
    </row>
    <row r="326" spans="85:85">
      <c r="CG326" t="s">
        <v>1619</v>
      </c>
    </row>
    <row r="327" spans="85:85">
      <c r="CG327" t="s">
        <v>1620</v>
      </c>
    </row>
    <row r="328" spans="85:85">
      <c r="CG328" t="s">
        <v>1621</v>
      </c>
    </row>
    <row r="329" spans="85:85">
      <c r="CG329" t="s">
        <v>1622</v>
      </c>
    </row>
    <row r="330" spans="85:85">
      <c r="CG330" t="s">
        <v>1623</v>
      </c>
    </row>
    <row r="331" spans="85:85">
      <c r="CG331" t="s">
        <v>1624</v>
      </c>
    </row>
    <row r="332" spans="85:85">
      <c r="CG332" t="s">
        <v>1625</v>
      </c>
    </row>
    <row r="333" spans="85:85">
      <c r="CG333" t="s">
        <v>1626</v>
      </c>
    </row>
    <row r="334" spans="85:85">
      <c r="CG334" t="s">
        <v>1627</v>
      </c>
    </row>
    <row r="335" spans="85:85">
      <c r="CG335" t="s">
        <v>1628</v>
      </c>
    </row>
    <row r="336" spans="85:85">
      <c r="CG336" t="s">
        <v>1629</v>
      </c>
    </row>
    <row r="337" spans="85:85">
      <c r="CG337" t="s">
        <v>1630</v>
      </c>
    </row>
    <row r="338" spans="85:85">
      <c r="CG338" t="s">
        <v>1631</v>
      </c>
    </row>
    <row r="339" spans="85:85">
      <c r="CG339" t="s">
        <v>1632</v>
      </c>
    </row>
    <row r="340" spans="85:85">
      <c r="CG340" t="s">
        <v>1633</v>
      </c>
    </row>
    <row r="341" spans="85:85">
      <c r="CG341" t="s">
        <v>1634</v>
      </c>
    </row>
    <row r="342" spans="85:85">
      <c r="CG342" t="s">
        <v>1635</v>
      </c>
    </row>
    <row r="343" spans="85:85">
      <c r="CG343" t="s">
        <v>1636</v>
      </c>
    </row>
    <row r="344" spans="85:85">
      <c r="CG344" t="s">
        <v>1637</v>
      </c>
    </row>
    <row r="345" spans="85:85">
      <c r="CG345" t="s">
        <v>1638</v>
      </c>
    </row>
    <row r="346" spans="85:85">
      <c r="CG346" t="s">
        <v>1639</v>
      </c>
    </row>
    <row r="347" spans="85:85">
      <c r="CG347" t="s">
        <v>1640</v>
      </c>
    </row>
    <row r="348" spans="85:85">
      <c r="CG348" t="s">
        <v>1641</v>
      </c>
    </row>
    <row r="349" spans="85:85">
      <c r="CG349" t="s">
        <v>1642</v>
      </c>
    </row>
    <row r="350" spans="85:85">
      <c r="CG350" t="s">
        <v>1643</v>
      </c>
    </row>
    <row r="351" spans="85:85">
      <c r="CG351" t="s">
        <v>1644</v>
      </c>
    </row>
    <row r="352" spans="85:85">
      <c r="CG352" t="s">
        <v>1645</v>
      </c>
    </row>
    <row r="353" spans="85:85">
      <c r="CG353" t="s">
        <v>1646</v>
      </c>
    </row>
    <row r="354" spans="85:85">
      <c r="CG354" t="s">
        <v>1647</v>
      </c>
    </row>
    <row r="355" spans="85:85">
      <c r="CG355" t="s">
        <v>1648</v>
      </c>
    </row>
    <row r="356" spans="85:85">
      <c r="CG356" t="s">
        <v>1649</v>
      </c>
    </row>
    <row r="357" spans="85:85">
      <c r="CG357" t="s">
        <v>1650</v>
      </c>
    </row>
    <row r="358" spans="85:85">
      <c r="CG358" t="s">
        <v>1651</v>
      </c>
    </row>
    <row r="359" spans="85:85">
      <c r="CG359" t="s">
        <v>1652</v>
      </c>
    </row>
    <row r="360" spans="85:85">
      <c r="CG360" t="s">
        <v>1653</v>
      </c>
    </row>
    <row r="361" spans="85:85">
      <c r="CG361" t="s">
        <v>1654</v>
      </c>
    </row>
    <row r="362" spans="85:85">
      <c r="CG362" t="s">
        <v>1655</v>
      </c>
    </row>
    <row r="363" spans="85:85">
      <c r="CG363" t="s">
        <v>1656</v>
      </c>
    </row>
    <row r="364" spans="85:85">
      <c r="CG364" t="s">
        <v>1657</v>
      </c>
    </row>
    <row r="365" spans="85:85">
      <c r="CG365" t="s">
        <v>1658</v>
      </c>
    </row>
    <row r="366" spans="85:85">
      <c r="CG366" t="s">
        <v>1659</v>
      </c>
    </row>
    <row r="367" spans="85:85">
      <c r="CG367" t="s">
        <v>1660</v>
      </c>
    </row>
    <row r="368" spans="85:85">
      <c r="CG368" t="s">
        <v>1661</v>
      </c>
    </row>
    <row r="369" spans="85:85">
      <c r="CG369" t="s">
        <v>1662</v>
      </c>
    </row>
    <row r="370" spans="85:85">
      <c r="CG370" t="s">
        <v>1663</v>
      </c>
    </row>
    <row r="371" spans="85:85">
      <c r="CG371" t="s">
        <v>1664</v>
      </c>
    </row>
    <row r="372" spans="85:85">
      <c r="CG372" t="s">
        <v>1665</v>
      </c>
    </row>
    <row r="373" spans="85:85">
      <c r="CG373" t="s">
        <v>1666</v>
      </c>
    </row>
    <row r="374" spans="85:85">
      <c r="CG374" t="s">
        <v>1667</v>
      </c>
    </row>
    <row r="375" spans="85:85">
      <c r="CG375" t="s">
        <v>1668</v>
      </c>
    </row>
    <row r="376" spans="85:85">
      <c r="CG376" t="s">
        <v>1669</v>
      </c>
    </row>
    <row r="377" spans="85:85">
      <c r="CG377" t="s">
        <v>1670</v>
      </c>
    </row>
    <row r="378" spans="85:85">
      <c r="CG378" t="s">
        <v>1671</v>
      </c>
    </row>
    <row r="379" spans="85:85">
      <c r="CG379" t="s">
        <v>1672</v>
      </c>
    </row>
    <row r="380" spans="85:85">
      <c r="CG380" t="s">
        <v>1673</v>
      </c>
    </row>
    <row r="381" spans="85:85">
      <c r="CG381" t="s">
        <v>1674</v>
      </c>
    </row>
    <row r="382" spans="85:85">
      <c r="CG382" t="s">
        <v>1675</v>
      </c>
    </row>
    <row r="383" spans="85:85">
      <c r="CG383" t="s">
        <v>1676</v>
      </c>
    </row>
    <row r="384" spans="85:85">
      <c r="CG384" t="s">
        <v>1677</v>
      </c>
    </row>
    <row r="385" spans="85:85">
      <c r="CG385" t="s">
        <v>1678</v>
      </c>
    </row>
    <row r="386" spans="85:85">
      <c r="CG386" t="s">
        <v>1679</v>
      </c>
    </row>
    <row r="387" spans="85:85">
      <c r="CG387" t="s">
        <v>1680</v>
      </c>
    </row>
    <row r="388" spans="85:85">
      <c r="CG388" t="s">
        <v>1681</v>
      </c>
    </row>
    <row r="389" spans="85:85">
      <c r="CG389" t="s">
        <v>1682</v>
      </c>
    </row>
    <row r="390" spans="85:85">
      <c r="CG390" t="s">
        <v>1683</v>
      </c>
    </row>
    <row r="391" spans="85:85">
      <c r="CG391" t="s">
        <v>1684</v>
      </c>
    </row>
    <row r="392" spans="85:85">
      <c r="CG392" t="s">
        <v>1685</v>
      </c>
    </row>
    <row r="393" spans="85:85">
      <c r="CG393" t="s">
        <v>1686</v>
      </c>
    </row>
    <row r="394" spans="85:85">
      <c r="CG394" t="s">
        <v>1687</v>
      </c>
    </row>
    <row r="395" spans="85:85">
      <c r="CG395" t="s">
        <v>1688</v>
      </c>
    </row>
    <row r="396" spans="85:85">
      <c r="CG396" t="s">
        <v>1689</v>
      </c>
    </row>
    <row r="397" spans="85:85">
      <c r="CG397" t="s">
        <v>1690</v>
      </c>
    </row>
    <row r="398" spans="85:85">
      <c r="CG398" t="s">
        <v>1691</v>
      </c>
    </row>
    <row r="399" spans="85:85">
      <c r="CG399" t="s">
        <v>1692</v>
      </c>
    </row>
    <row r="400" spans="85:85">
      <c r="CG400" t="s">
        <v>1693</v>
      </c>
    </row>
    <row r="401" spans="85:85">
      <c r="CG401" t="s">
        <v>1694</v>
      </c>
    </row>
    <row r="402" spans="85:85">
      <c r="CG402" t="s">
        <v>1695</v>
      </c>
    </row>
    <row r="403" spans="85:85">
      <c r="CG403" t="s">
        <v>1696</v>
      </c>
    </row>
    <row r="404" spans="85:85">
      <c r="CG404" t="s">
        <v>1697</v>
      </c>
    </row>
    <row r="405" spans="85:85">
      <c r="CG405" t="s">
        <v>1698</v>
      </c>
    </row>
    <row r="406" spans="85:85">
      <c r="CG406" t="s">
        <v>1699</v>
      </c>
    </row>
    <row r="407" spans="85:85">
      <c r="CG407" t="s">
        <v>1700</v>
      </c>
    </row>
    <row r="408" spans="85:85">
      <c r="CG408" t="s">
        <v>1701</v>
      </c>
    </row>
    <row r="409" spans="85:85">
      <c r="CG409" t="s">
        <v>1702</v>
      </c>
    </row>
    <row r="410" spans="85:85">
      <c r="CG410" t="s">
        <v>1703</v>
      </c>
    </row>
    <row r="411" spans="85:85">
      <c r="CG411" t="s">
        <v>1704</v>
      </c>
    </row>
    <row r="412" spans="85:85">
      <c r="CG412" t="s">
        <v>1705</v>
      </c>
    </row>
    <row r="413" spans="85:85">
      <c r="CG413" t="s">
        <v>1706</v>
      </c>
    </row>
    <row r="414" spans="85:85">
      <c r="CG414" t="s">
        <v>1707</v>
      </c>
    </row>
    <row r="415" spans="85:85">
      <c r="CG415" t="s">
        <v>1708</v>
      </c>
    </row>
    <row r="416" spans="85:85">
      <c r="CG416" t="s">
        <v>1709</v>
      </c>
    </row>
    <row r="417" spans="85:85">
      <c r="CG417" t="s">
        <v>1710</v>
      </c>
    </row>
    <row r="418" spans="85:85">
      <c r="CG418" t="s">
        <v>1711</v>
      </c>
    </row>
    <row r="419" spans="85:85">
      <c r="CG419" t="s">
        <v>1712</v>
      </c>
    </row>
    <row r="420" spans="85:85">
      <c r="CG420" t="s">
        <v>1713</v>
      </c>
    </row>
    <row r="421" spans="85:85">
      <c r="CG421" t="s">
        <v>1714</v>
      </c>
    </row>
    <row r="422" spans="85:85">
      <c r="CG422" t="s">
        <v>1715</v>
      </c>
    </row>
    <row r="423" spans="85:85">
      <c r="CG423" t="s">
        <v>1716</v>
      </c>
    </row>
    <row r="424" spans="85:85">
      <c r="CG424" t="s">
        <v>1717</v>
      </c>
    </row>
    <row r="425" spans="85:85">
      <c r="CG425" t="s">
        <v>1718</v>
      </c>
    </row>
    <row r="426" spans="85:85">
      <c r="CG426" t="s">
        <v>1719</v>
      </c>
    </row>
    <row r="427" spans="85:85">
      <c r="CG427" t="s">
        <v>1720</v>
      </c>
    </row>
    <row r="428" spans="85:85">
      <c r="CG428" t="s">
        <v>1721</v>
      </c>
    </row>
    <row r="429" spans="85:85">
      <c r="CG429" t="s">
        <v>1722</v>
      </c>
    </row>
    <row r="430" spans="85:85">
      <c r="CG430" t="s">
        <v>1723</v>
      </c>
    </row>
    <row r="431" spans="85:85">
      <c r="CG431" t="s">
        <v>1724</v>
      </c>
    </row>
    <row r="432" spans="85:85">
      <c r="CG432" t="s">
        <v>1725</v>
      </c>
    </row>
    <row r="433" spans="85:85">
      <c r="CG433" t="s">
        <v>1726</v>
      </c>
    </row>
    <row r="434" spans="85:85">
      <c r="CG434" t="s">
        <v>1727</v>
      </c>
    </row>
    <row r="435" spans="85:85">
      <c r="CG435" t="s">
        <v>1728</v>
      </c>
    </row>
    <row r="436" spans="85:85">
      <c r="CG436" t="s">
        <v>1729</v>
      </c>
    </row>
    <row r="437" spans="85:85">
      <c r="CG437" t="s">
        <v>1730</v>
      </c>
    </row>
    <row r="438" spans="85:85">
      <c r="CG438" t="s">
        <v>1731</v>
      </c>
    </row>
    <row r="439" spans="85:85">
      <c r="CG439" t="s">
        <v>1732</v>
      </c>
    </row>
    <row r="440" spans="85:85">
      <c r="CG440" t="s">
        <v>1733</v>
      </c>
    </row>
    <row r="441" spans="85:85">
      <c r="CG441" t="s">
        <v>1734</v>
      </c>
    </row>
    <row r="442" spans="85:85">
      <c r="CG442" t="s">
        <v>1735</v>
      </c>
    </row>
    <row r="443" spans="85:85">
      <c r="CG443" t="s">
        <v>1736</v>
      </c>
    </row>
    <row r="444" spans="85:85">
      <c r="CG444" t="s">
        <v>1737</v>
      </c>
    </row>
    <row r="445" spans="85:85">
      <c r="CG445" t="s">
        <v>1738</v>
      </c>
    </row>
    <row r="446" spans="85:85">
      <c r="CG446" t="s">
        <v>1739</v>
      </c>
    </row>
    <row r="447" spans="85:85">
      <c r="CG447" t="s">
        <v>1740</v>
      </c>
    </row>
    <row r="448" spans="85:85">
      <c r="CG448" t="s">
        <v>1741</v>
      </c>
    </row>
    <row r="449" spans="85:85">
      <c r="CG449" t="s">
        <v>1742</v>
      </c>
    </row>
    <row r="450" spans="85:85">
      <c r="CG450" t="s">
        <v>1743</v>
      </c>
    </row>
    <row r="451" spans="85:85">
      <c r="CG451" t="s">
        <v>1744</v>
      </c>
    </row>
    <row r="452" spans="85:85">
      <c r="CG452" t="s">
        <v>1745</v>
      </c>
    </row>
    <row r="453" spans="85:85">
      <c r="CG453" t="s">
        <v>1746</v>
      </c>
    </row>
    <row r="454" spans="85:85">
      <c r="CG454" t="s">
        <v>1747</v>
      </c>
    </row>
    <row r="455" spans="85:85">
      <c r="CG455" t="s">
        <v>1748</v>
      </c>
    </row>
    <row r="456" spans="85:85">
      <c r="CG456" t="s">
        <v>1749</v>
      </c>
    </row>
    <row r="457" spans="85:85">
      <c r="CG457" t="s">
        <v>1750</v>
      </c>
    </row>
    <row r="458" spans="85:85">
      <c r="CG458" t="s">
        <v>1751</v>
      </c>
    </row>
    <row r="459" spans="85:85">
      <c r="CG459" t="s">
        <v>1752</v>
      </c>
    </row>
    <row r="460" spans="85:85">
      <c r="CG460" t="s">
        <v>1753</v>
      </c>
    </row>
    <row r="461" spans="85:85">
      <c r="CG461" t="s">
        <v>1754</v>
      </c>
    </row>
    <row r="462" spans="85:85">
      <c r="CG462" t="s">
        <v>1755</v>
      </c>
    </row>
    <row r="463" spans="85:85">
      <c r="CG463" t="s">
        <v>1756</v>
      </c>
    </row>
    <row r="464" spans="85:85">
      <c r="CG464" t="s">
        <v>1757</v>
      </c>
    </row>
    <row r="465" spans="85:85">
      <c r="CG465" t="s">
        <v>1758</v>
      </c>
    </row>
    <row r="466" spans="85:85">
      <c r="CG466" t="s">
        <v>1759</v>
      </c>
    </row>
    <row r="467" spans="85:85">
      <c r="CG467" t="s">
        <v>1760</v>
      </c>
    </row>
    <row r="468" spans="85:85">
      <c r="CG468" t="s">
        <v>1761</v>
      </c>
    </row>
    <row r="469" spans="85:85">
      <c r="CG469" t="s">
        <v>1762</v>
      </c>
    </row>
    <row r="470" spans="85:85">
      <c r="CG470" t="s">
        <v>1763</v>
      </c>
    </row>
    <row r="471" spans="85:85">
      <c r="CG471" t="s">
        <v>1764</v>
      </c>
    </row>
    <row r="472" spans="85:85">
      <c r="CG472" t="s">
        <v>1765</v>
      </c>
    </row>
    <row r="473" spans="85:85">
      <c r="CG473" t="s">
        <v>1766</v>
      </c>
    </row>
    <row r="474" spans="85:85">
      <c r="CG474" t="s">
        <v>1767</v>
      </c>
    </row>
    <row r="475" spans="85:85">
      <c r="CG475" t="s">
        <v>1768</v>
      </c>
    </row>
    <row r="476" spans="85:85">
      <c r="CG476" t="s">
        <v>1769</v>
      </c>
    </row>
    <row r="477" spans="85:85">
      <c r="CG477" t="s">
        <v>1770</v>
      </c>
    </row>
    <row r="478" spans="85:85">
      <c r="CG478" t="s">
        <v>1771</v>
      </c>
    </row>
    <row r="479" spans="85:85">
      <c r="CG479" t="s">
        <v>1772</v>
      </c>
    </row>
    <row r="480" spans="85:85">
      <c r="CG480" t="s">
        <v>1773</v>
      </c>
    </row>
    <row r="481" spans="85:85">
      <c r="CG481" t="s">
        <v>1774</v>
      </c>
    </row>
    <row r="482" spans="85:85">
      <c r="CG482" t="s">
        <v>1775</v>
      </c>
    </row>
    <row r="483" spans="85:85">
      <c r="CG483" t="s">
        <v>1776</v>
      </c>
    </row>
    <row r="484" spans="85:85">
      <c r="CG484" t="s">
        <v>1777</v>
      </c>
    </row>
    <row r="485" spans="85:85">
      <c r="CG485" t="s">
        <v>1778</v>
      </c>
    </row>
    <row r="486" spans="85:85">
      <c r="CG486" t="s">
        <v>1779</v>
      </c>
    </row>
    <row r="487" spans="85:85">
      <c r="CG487" t="s">
        <v>1780</v>
      </c>
    </row>
    <row r="488" spans="85:85">
      <c r="CG488" t="s">
        <v>1781</v>
      </c>
    </row>
    <row r="489" spans="85:85">
      <c r="CG489" t="s">
        <v>1782</v>
      </c>
    </row>
    <row r="490" spans="85:85">
      <c r="CG490" t="s">
        <v>1783</v>
      </c>
    </row>
    <row r="491" spans="85:85">
      <c r="CG491" t="s">
        <v>1784</v>
      </c>
    </row>
    <row r="492" spans="85:85">
      <c r="CG492" t="s">
        <v>1785</v>
      </c>
    </row>
    <row r="493" spans="85:85">
      <c r="CG493" t="s">
        <v>1786</v>
      </c>
    </row>
    <row r="494" spans="85:85">
      <c r="CG494" t="s">
        <v>1787</v>
      </c>
    </row>
    <row r="495" spans="85:85">
      <c r="CG495" t="s">
        <v>1788</v>
      </c>
    </row>
    <row r="496" spans="85:85">
      <c r="CG496" t="s">
        <v>1789</v>
      </c>
    </row>
    <row r="497" spans="85:85">
      <c r="CG497" t="s">
        <v>1790</v>
      </c>
    </row>
    <row r="498" spans="85:85">
      <c r="CG498" t="s">
        <v>1791</v>
      </c>
    </row>
    <row r="499" spans="85:85">
      <c r="CG499" t="s">
        <v>1792</v>
      </c>
    </row>
    <row r="500" spans="85:85">
      <c r="CG500" t="s">
        <v>1793</v>
      </c>
    </row>
    <row r="501" spans="85:85">
      <c r="CG501" t="s">
        <v>1794</v>
      </c>
    </row>
    <row r="502" spans="85:85">
      <c r="CG502" t="s">
        <v>1795</v>
      </c>
    </row>
    <row r="503" spans="85:85">
      <c r="CG503" t="s">
        <v>1796</v>
      </c>
    </row>
    <row r="504" spans="85:85">
      <c r="CG504" t="s">
        <v>1797</v>
      </c>
    </row>
    <row r="505" spans="85:85">
      <c r="CG505" t="s">
        <v>1798</v>
      </c>
    </row>
    <row r="506" spans="85:85">
      <c r="CG506" t="s">
        <v>1799</v>
      </c>
    </row>
    <row r="507" spans="85:85">
      <c r="CG507" t="s">
        <v>1800</v>
      </c>
    </row>
    <row r="508" spans="85:85">
      <c r="CG508" t="s">
        <v>1801</v>
      </c>
    </row>
    <row r="509" spans="85:85">
      <c r="CG509" t="s">
        <v>1802</v>
      </c>
    </row>
    <row r="510" spans="85:85">
      <c r="CG510" t="s">
        <v>1803</v>
      </c>
    </row>
    <row r="511" spans="85:85">
      <c r="CG511" t="s">
        <v>1804</v>
      </c>
    </row>
    <row r="512" spans="85:85">
      <c r="CG512" t="s">
        <v>1805</v>
      </c>
    </row>
    <row r="513" spans="85:85">
      <c r="CG513" t="s">
        <v>1806</v>
      </c>
    </row>
    <row r="514" spans="85:85">
      <c r="CG514" t="s">
        <v>1807</v>
      </c>
    </row>
    <row r="515" spans="85:85">
      <c r="CG515" t="s">
        <v>1808</v>
      </c>
    </row>
    <row r="516" spans="85:85">
      <c r="CG516" t="s">
        <v>1809</v>
      </c>
    </row>
    <row r="517" spans="85:85">
      <c r="CG517" t="s">
        <v>1810</v>
      </c>
    </row>
    <row r="518" spans="85:85">
      <c r="CG518" t="s">
        <v>1811</v>
      </c>
    </row>
    <row r="519" spans="85:85">
      <c r="CG519" t="s">
        <v>1812</v>
      </c>
    </row>
    <row r="520" spans="85:85">
      <c r="CG520" t="s">
        <v>1813</v>
      </c>
    </row>
    <row r="521" spans="85:85">
      <c r="CG521" t="s">
        <v>1814</v>
      </c>
    </row>
    <row r="522" spans="85:85">
      <c r="CG522" t="s">
        <v>1815</v>
      </c>
    </row>
    <row r="523" spans="85:85">
      <c r="CG523" t="s">
        <v>1816</v>
      </c>
    </row>
    <row r="524" spans="85:85">
      <c r="CG524" t="s">
        <v>1817</v>
      </c>
    </row>
    <row r="525" spans="85:85">
      <c r="CG525" t="s">
        <v>1818</v>
      </c>
    </row>
    <row r="526" spans="85:85">
      <c r="CG526" t="s">
        <v>1819</v>
      </c>
    </row>
    <row r="527" spans="85:85">
      <c r="CG527" t="s">
        <v>1820</v>
      </c>
    </row>
    <row r="528" spans="85:85">
      <c r="CG528" t="s">
        <v>1821</v>
      </c>
    </row>
    <row r="529" spans="85:85">
      <c r="CG529" t="s">
        <v>1822</v>
      </c>
    </row>
    <row r="530" spans="85:85">
      <c r="CG530" t="s">
        <v>1823</v>
      </c>
    </row>
    <row r="531" spans="85:85">
      <c r="CG531" t="s">
        <v>1824</v>
      </c>
    </row>
    <row r="532" spans="85:85">
      <c r="CG532" t="s">
        <v>1825</v>
      </c>
    </row>
    <row r="533" spans="85:85">
      <c r="CG533" t="s">
        <v>1826</v>
      </c>
    </row>
    <row r="534" spans="85:85">
      <c r="CG534" t="s">
        <v>1827</v>
      </c>
    </row>
    <row r="535" spans="85:85">
      <c r="CG535" t="s">
        <v>1828</v>
      </c>
    </row>
    <row r="536" spans="85:85">
      <c r="CG536" t="s">
        <v>1829</v>
      </c>
    </row>
    <row r="537" spans="85:85">
      <c r="CG537" t="s">
        <v>1830</v>
      </c>
    </row>
    <row r="538" spans="85:85">
      <c r="CG538" t="s">
        <v>1831</v>
      </c>
    </row>
    <row r="539" spans="85:85">
      <c r="CG539" t="s">
        <v>1832</v>
      </c>
    </row>
    <row r="540" spans="85:85">
      <c r="CG540" t="s">
        <v>1833</v>
      </c>
    </row>
    <row r="541" spans="85:85">
      <c r="CG541" t="s">
        <v>1834</v>
      </c>
    </row>
    <row r="542" spans="85:85">
      <c r="CG542" t="s">
        <v>1835</v>
      </c>
    </row>
    <row r="543" spans="85:85">
      <c r="CG543" t="s">
        <v>1836</v>
      </c>
    </row>
    <row r="544" spans="85:85">
      <c r="CG544" t="s">
        <v>1837</v>
      </c>
    </row>
    <row r="545" spans="85:85">
      <c r="CG545" t="s">
        <v>1838</v>
      </c>
    </row>
    <row r="546" spans="85:85">
      <c r="CG546" t="s">
        <v>1839</v>
      </c>
    </row>
    <row r="547" spans="85:85">
      <c r="CG547" t="s">
        <v>1840</v>
      </c>
    </row>
    <row r="548" spans="85:85">
      <c r="CG548" t="s">
        <v>1841</v>
      </c>
    </row>
    <row r="549" spans="85:85">
      <c r="CG549" t="s">
        <v>1842</v>
      </c>
    </row>
    <row r="550" spans="85:85">
      <c r="CG550" t="s">
        <v>1843</v>
      </c>
    </row>
    <row r="551" spans="85:85">
      <c r="CG551" t="s">
        <v>1844</v>
      </c>
    </row>
    <row r="552" spans="85:85">
      <c r="CG552" t="s">
        <v>1845</v>
      </c>
    </row>
    <row r="553" spans="85:85">
      <c r="CG553" t="s">
        <v>1846</v>
      </c>
    </row>
    <row r="554" spans="85:85">
      <c r="CG554" t="s">
        <v>1847</v>
      </c>
    </row>
    <row r="555" spans="85:85">
      <c r="CG555" t="s">
        <v>1848</v>
      </c>
    </row>
    <row r="556" spans="85:85">
      <c r="CG556" t="s">
        <v>1849</v>
      </c>
    </row>
    <row r="557" spans="85:85">
      <c r="CG557" t="s">
        <v>1850</v>
      </c>
    </row>
    <row r="558" spans="85:85">
      <c r="CG558" t="s">
        <v>1851</v>
      </c>
    </row>
    <row r="559" spans="85:85">
      <c r="CG559" t="s">
        <v>1852</v>
      </c>
    </row>
    <row r="560" spans="85:85">
      <c r="CG560" t="s">
        <v>1853</v>
      </c>
    </row>
    <row r="561" spans="85:85">
      <c r="CG561" t="s">
        <v>1854</v>
      </c>
    </row>
    <row r="562" spans="85:85">
      <c r="CG562" t="s">
        <v>1855</v>
      </c>
    </row>
    <row r="563" spans="85:85">
      <c r="CG563" t="s">
        <v>1856</v>
      </c>
    </row>
    <row r="564" spans="85:85">
      <c r="CG564" t="s">
        <v>1857</v>
      </c>
    </row>
    <row r="565" spans="85:85">
      <c r="CG565" t="s">
        <v>1858</v>
      </c>
    </row>
    <row r="566" spans="85:85">
      <c r="CG566" t="s">
        <v>1859</v>
      </c>
    </row>
    <row r="567" spans="85:85">
      <c r="CG567" t="s">
        <v>1860</v>
      </c>
    </row>
    <row r="568" spans="85:85">
      <c r="CG568" t="s">
        <v>1861</v>
      </c>
    </row>
    <row r="569" spans="85:85">
      <c r="CG569" t="s">
        <v>1862</v>
      </c>
    </row>
    <row r="570" spans="85:85">
      <c r="CG570" t="s">
        <v>1863</v>
      </c>
    </row>
    <row r="571" spans="85:85">
      <c r="CG571" t="s">
        <v>1864</v>
      </c>
    </row>
    <row r="572" spans="85:85">
      <c r="CG572" t="s">
        <v>1865</v>
      </c>
    </row>
    <row r="573" spans="85:85">
      <c r="CG573" t="s">
        <v>1866</v>
      </c>
    </row>
    <row r="574" spans="85:85">
      <c r="CG574" t="s">
        <v>1867</v>
      </c>
    </row>
    <row r="575" spans="85:85">
      <c r="CG575" t="s">
        <v>1868</v>
      </c>
    </row>
    <row r="576" spans="85:85">
      <c r="CG576" t="s">
        <v>1869</v>
      </c>
    </row>
    <row r="577" spans="85:85">
      <c r="CG577" t="s">
        <v>1870</v>
      </c>
    </row>
    <row r="578" spans="85:85">
      <c r="CG578" t="s">
        <v>1871</v>
      </c>
    </row>
    <row r="579" spans="85:85">
      <c r="CG579" t="s">
        <v>1872</v>
      </c>
    </row>
    <row r="580" spans="85:85">
      <c r="CG580" t="s">
        <v>1873</v>
      </c>
    </row>
    <row r="581" spans="85:85">
      <c r="CG581" t="s">
        <v>1874</v>
      </c>
    </row>
    <row r="582" spans="85:85">
      <c r="CG582" t="s">
        <v>1875</v>
      </c>
    </row>
    <row r="583" spans="85:85">
      <c r="CG583" t="s">
        <v>1876</v>
      </c>
    </row>
    <row r="584" spans="85:85">
      <c r="CG584" t="s">
        <v>1877</v>
      </c>
    </row>
    <row r="585" spans="85:85">
      <c r="CG585" t="s">
        <v>1878</v>
      </c>
    </row>
    <row r="586" spans="85:85">
      <c r="CG586" t="s">
        <v>1879</v>
      </c>
    </row>
    <row r="587" spans="85:85">
      <c r="CG587" t="s">
        <v>1880</v>
      </c>
    </row>
    <row r="588" spans="85:85">
      <c r="CG588" t="s">
        <v>1881</v>
      </c>
    </row>
    <row r="589" spans="85:85">
      <c r="CG589" t="s">
        <v>1882</v>
      </c>
    </row>
    <row r="590" spans="85:85">
      <c r="CG590" t="s">
        <v>1883</v>
      </c>
    </row>
    <row r="591" spans="85:85">
      <c r="CG591" t="s">
        <v>1884</v>
      </c>
    </row>
    <row r="592" spans="85:85">
      <c r="CG592" t="s">
        <v>1885</v>
      </c>
    </row>
    <row r="593" spans="85:85">
      <c r="CG593" t="s">
        <v>1886</v>
      </c>
    </row>
    <row r="594" spans="85:85">
      <c r="CG594" t="s">
        <v>1887</v>
      </c>
    </row>
    <row r="595" spans="85:85">
      <c r="CG595" t="s">
        <v>1888</v>
      </c>
    </row>
    <row r="596" spans="85:85">
      <c r="CG596" t="s">
        <v>1889</v>
      </c>
    </row>
    <row r="597" spans="85:85">
      <c r="CG597" t="s">
        <v>1890</v>
      </c>
    </row>
    <row r="598" spans="85:85">
      <c r="CG598" t="s">
        <v>1891</v>
      </c>
    </row>
    <row r="599" spans="85:85">
      <c r="CG599" t="s">
        <v>1892</v>
      </c>
    </row>
    <row r="600" spans="85:85">
      <c r="CG600" t="s">
        <v>1893</v>
      </c>
    </row>
    <row r="601" spans="85:85">
      <c r="CG601" t="s">
        <v>1894</v>
      </c>
    </row>
    <row r="602" spans="85:85">
      <c r="CG602" t="s">
        <v>1895</v>
      </c>
    </row>
    <row r="603" spans="85:85">
      <c r="CG603" t="s">
        <v>1896</v>
      </c>
    </row>
    <row r="604" spans="85:85">
      <c r="CG604" t="s">
        <v>1897</v>
      </c>
    </row>
    <row r="605" spans="85:85">
      <c r="CG605" t="s">
        <v>1898</v>
      </c>
    </row>
    <row r="606" spans="85:85">
      <c r="CG606" t="s">
        <v>1899</v>
      </c>
    </row>
    <row r="607" spans="85:85">
      <c r="CG607" t="s">
        <v>1900</v>
      </c>
    </row>
    <row r="608" spans="85:85">
      <c r="CG608" t="s">
        <v>1901</v>
      </c>
    </row>
    <row r="609" spans="85:85">
      <c r="CG609" t="s">
        <v>1902</v>
      </c>
    </row>
    <row r="610" spans="85:85">
      <c r="CG610" t="s">
        <v>1903</v>
      </c>
    </row>
    <row r="611" spans="85:85">
      <c r="CG611" t="s">
        <v>1904</v>
      </c>
    </row>
    <row r="612" spans="85:85">
      <c r="CG612" t="s">
        <v>1905</v>
      </c>
    </row>
    <row r="613" spans="85:85">
      <c r="CG613" t="s">
        <v>1906</v>
      </c>
    </row>
    <row r="614" spans="85:85">
      <c r="CG614" t="s">
        <v>1907</v>
      </c>
    </row>
    <row r="615" spans="85:85">
      <c r="CG615" t="s">
        <v>1908</v>
      </c>
    </row>
    <row r="616" spans="85:85">
      <c r="CG616" t="s">
        <v>1909</v>
      </c>
    </row>
    <row r="617" spans="85:85">
      <c r="CG617" t="s">
        <v>1910</v>
      </c>
    </row>
    <row r="618" spans="85:85">
      <c r="CG618" t="s">
        <v>1911</v>
      </c>
    </row>
    <row r="619" spans="85:85">
      <c r="CG619" t="s">
        <v>1912</v>
      </c>
    </row>
    <row r="620" spans="85:85">
      <c r="CG620" t="s">
        <v>1913</v>
      </c>
    </row>
    <row r="621" spans="85:85">
      <c r="CG621" t="s">
        <v>1914</v>
      </c>
    </row>
    <row r="622" spans="85:85">
      <c r="CG622" t="s">
        <v>1915</v>
      </c>
    </row>
    <row r="623" spans="85:85">
      <c r="CG623" t="s">
        <v>1916</v>
      </c>
    </row>
    <row r="624" spans="85:85">
      <c r="CG624" t="s">
        <v>1917</v>
      </c>
    </row>
    <row r="625" spans="85:85">
      <c r="CG625" t="s">
        <v>1918</v>
      </c>
    </row>
    <row r="626" spans="85:85">
      <c r="CG626" t="s">
        <v>1919</v>
      </c>
    </row>
    <row r="627" spans="85:85">
      <c r="CG627" t="s">
        <v>1920</v>
      </c>
    </row>
    <row r="628" spans="85:85">
      <c r="CG628" t="s">
        <v>1921</v>
      </c>
    </row>
    <row r="629" spans="85:85">
      <c r="CG629" t="s">
        <v>1922</v>
      </c>
    </row>
    <row r="630" spans="85:85">
      <c r="CG630" t="s">
        <v>1923</v>
      </c>
    </row>
    <row r="631" spans="85:85">
      <c r="CG631" t="s">
        <v>1924</v>
      </c>
    </row>
    <row r="632" spans="85:85">
      <c r="CG632" t="s">
        <v>1925</v>
      </c>
    </row>
    <row r="633" spans="85:85">
      <c r="CG633" t="s">
        <v>1926</v>
      </c>
    </row>
    <row r="634" spans="85:85">
      <c r="CG634" t="s">
        <v>1927</v>
      </c>
    </row>
    <row r="635" spans="85:85">
      <c r="CG635" t="s">
        <v>1928</v>
      </c>
    </row>
    <row r="636" spans="85:85">
      <c r="CG636" t="s">
        <v>1929</v>
      </c>
    </row>
    <row r="637" spans="85:85">
      <c r="CG637" t="s">
        <v>1930</v>
      </c>
    </row>
    <row r="638" spans="85:85">
      <c r="CG638" t="s">
        <v>1931</v>
      </c>
    </row>
    <row r="639" spans="85:85">
      <c r="CG639" t="s">
        <v>1932</v>
      </c>
    </row>
    <row r="640" spans="85:85">
      <c r="CG640" t="s">
        <v>1933</v>
      </c>
    </row>
    <row r="641" spans="85:85">
      <c r="CG641" t="s">
        <v>1934</v>
      </c>
    </row>
    <row r="642" spans="85:85">
      <c r="CG642" t="s">
        <v>1935</v>
      </c>
    </row>
    <row r="643" spans="85:85">
      <c r="CG643" t="s">
        <v>1936</v>
      </c>
    </row>
    <row r="644" spans="85:85">
      <c r="CG644" t="s">
        <v>1937</v>
      </c>
    </row>
    <row r="645" spans="85:85">
      <c r="CG645" t="s">
        <v>1938</v>
      </c>
    </row>
    <row r="646" spans="85:85">
      <c r="CG646" t="s">
        <v>1939</v>
      </c>
    </row>
    <row r="647" spans="85:85">
      <c r="CG647" t="s">
        <v>1940</v>
      </c>
    </row>
    <row r="648" spans="85:85">
      <c r="CG648" t="s">
        <v>1941</v>
      </c>
    </row>
    <row r="649" spans="85:85">
      <c r="CG649" t="s">
        <v>1942</v>
      </c>
    </row>
    <row r="650" spans="85:85">
      <c r="CG650" t="s">
        <v>1943</v>
      </c>
    </row>
    <row r="651" spans="85:85">
      <c r="CG651" t="s">
        <v>1944</v>
      </c>
    </row>
    <row r="652" spans="85:85">
      <c r="CG652" t="s">
        <v>1945</v>
      </c>
    </row>
    <row r="653" spans="85:85">
      <c r="CG653" t="s">
        <v>1946</v>
      </c>
    </row>
    <row r="654" spans="85:85">
      <c r="CG654" t="s">
        <v>1947</v>
      </c>
    </row>
    <row r="655" spans="85:85">
      <c r="CG655" t="s">
        <v>1948</v>
      </c>
    </row>
    <row r="656" spans="85:85">
      <c r="CG656" t="s">
        <v>1949</v>
      </c>
    </row>
    <row r="657" spans="85:85">
      <c r="CG657" t="s">
        <v>1950</v>
      </c>
    </row>
    <row r="658" spans="85:85">
      <c r="CG658" t="s">
        <v>1951</v>
      </c>
    </row>
    <row r="659" spans="85:85">
      <c r="CG659" t="s">
        <v>1952</v>
      </c>
    </row>
    <row r="660" spans="85:85">
      <c r="CG660" t="s">
        <v>1953</v>
      </c>
    </row>
    <row r="661" spans="85:85">
      <c r="CG661" t="s">
        <v>1954</v>
      </c>
    </row>
    <row r="662" spans="85:85">
      <c r="CG662" t="s">
        <v>1955</v>
      </c>
    </row>
    <row r="663" spans="85:85">
      <c r="CG663" t="s">
        <v>1956</v>
      </c>
    </row>
    <row r="664" spans="85:85">
      <c r="CG664" t="s">
        <v>1957</v>
      </c>
    </row>
    <row r="665" spans="85:85">
      <c r="CG665" t="s">
        <v>1958</v>
      </c>
    </row>
    <row r="666" spans="85:85">
      <c r="CG666" t="s">
        <v>1959</v>
      </c>
    </row>
    <row r="667" spans="85:85">
      <c r="CG667" t="s">
        <v>1960</v>
      </c>
    </row>
    <row r="668" spans="85:85">
      <c r="CG668" t="s">
        <v>1961</v>
      </c>
    </row>
    <row r="669" spans="85:85">
      <c r="CG669" t="s">
        <v>1962</v>
      </c>
    </row>
    <row r="670" spans="85:85">
      <c r="CG670" t="s">
        <v>1963</v>
      </c>
    </row>
    <row r="671" spans="85:85">
      <c r="CG671" t="s">
        <v>1964</v>
      </c>
    </row>
    <row r="672" spans="85:85">
      <c r="CG672" t="s">
        <v>1965</v>
      </c>
    </row>
    <row r="673" spans="85:85">
      <c r="CG673" t="s">
        <v>1966</v>
      </c>
    </row>
    <row r="674" spans="85:85">
      <c r="CG674" t="s">
        <v>1967</v>
      </c>
    </row>
    <row r="675" spans="85:85">
      <c r="CG675" t="s">
        <v>1968</v>
      </c>
    </row>
    <row r="676" spans="85:85">
      <c r="CG676" t="s">
        <v>1969</v>
      </c>
    </row>
    <row r="677" spans="85:85">
      <c r="CG677" t="s">
        <v>1970</v>
      </c>
    </row>
    <row r="678" spans="85:85">
      <c r="CG678" t="s">
        <v>1971</v>
      </c>
    </row>
    <row r="679" spans="85:85">
      <c r="CG679" t="s">
        <v>1972</v>
      </c>
    </row>
    <row r="680" spans="85:85">
      <c r="CG680" t="s">
        <v>1973</v>
      </c>
    </row>
    <row r="681" spans="85:85">
      <c r="CG681" t="s">
        <v>1974</v>
      </c>
    </row>
    <row r="682" spans="85:85">
      <c r="CG682" t="s">
        <v>1975</v>
      </c>
    </row>
    <row r="683" spans="85:85">
      <c r="CG683" t="s">
        <v>1976</v>
      </c>
    </row>
    <row r="684" spans="85:85">
      <c r="CG684" t="s">
        <v>1977</v>
      </c>
    </row>
    <row r="685" spans="85:85">
      <c r="CG685" t="s">
        <v>1978</v>
      </c>
    </row>
    <row r="686" spans="85:85">
      <c r="CG686" t="s">
        <v>1979</v>
      </c>
    </row>
    <row r="687" spans="85:85">
      <c r="CG687" t="s">
        <v>1980</v>
      </c>
    </row>
    <row r="688" spans="85:85">
      <c r="CG688" t="s">
        <v>1981</v>
      </c>
    </row>
    <row r="689" spans="85:85">
      <c r="CG689" t="s">
        <v>1982</v>
      </c>
    </row>
    <row r="690" spans="85:85">
      <c r="CG690" t="s">
        <v>1983</v>
      </c>
    </row>
    <row r="691" spans="85:85">
      <c r="CG691" t="s">
        <v>1984</v>
      </c>
    </row>
    <row r="692" spans="85:85">
      <c r="CG692" t="s">
        <v>1985</v>
      </c>
    </row>
    <row r="693" spans="85:85">
      <c r="CG693" t="s">
        <v>1986</v>
      </c>
    </row>
    <row r="694" spans="85:85">
      <c r="CG694" t="s">
        <v>1987</v>
      </c>
    </row>
    <row r="695" spans="85:85">
      <c r="CG695" t="s">
        <v>1988</v>
      </c>
    </row>
    <row r="696" spans="85:85">
      <c r="CG696" t="s">
        <v>1989</v>
      </c>
    </row>
    <row r="697" spans="85:85">
      <c r="CG697" t="s">
        <v>1990</v>
      </c>
    </row>
    <row r="698" spans="85:85">
      <c r="CG698" t="s">
        <v>1991</v>
      </c>
    </row>
    <row r="699" spans="85:85">
      <c r="CG699" t="s">
        <v>1992</v>
      </c>
    </row>
    <row r="700" spans="85:85">
      <c r="CG700" t="s">
        <v>1993</v>
      </c>
    </row>
    <row r="701" spans="85:85">
      <c r="CG701" t="s">
        <v>1994</v>
      </c>
    </row>
    <row r="702" spans="85:85">
      <c r="CG702" t="s">
        <v>1995</v>
      </c>
    </row>
    <row r="703" spans="85:85">
      <c r="CG703" t="s">
        <v>1996</v>
      </c>
    </row>
    <row r="704" spans="85:85">
      <c r="CG704" t="s">
        <v>1997</v>
      </c>
    </row>
    <row r="705" spans="85:85">
      <c r="CG705" t="s">
        <v>1998</v>
      </c>
    </row>
    <row r="706" spans="85:85">
      <c r="CG706" t="s">
        <v>1999</v>
      </c>
    </row>
    <row r="707" spans="85:85">
      <c r="CG707" t="s">
        <v>2000</v>
      </c>
    </row>
    <row r="708" spans="85:85">
      <c r="CG708" t="s">
        <v>2001</v>
      </c>
    </row>
    <row r="709" spans="85:85">
      <c r="CG709" t="s">
        <v>2002</v>
      </c>
    </row>
    <row r="710" spans="85:85">
      <c r="CG710" t="s">
        <v>2003</v>
      </c>
    </row>
    <row r="711" spans="85:85">
      <c r="CG711" t="s">
        <v>2004</v>
      </c>
    </row>
    <row r="712" spans="85:85">
      <c r="CG712" t="s">
        <v>2005</v>
      </c>
    </row>
    <row r="713" spans="85:85">
      <c r="CG713" t="s">
        <v>2006</v>
      </c>
    </row>
    <row r="714" spans="85:85">
      <c r="CG714" t="s">
        <v>2007</v>
      </c>
    </row>
    <row r="715" spans="85:85">
      <c r="CG715" t="s">
        <v>2008</v>
      </c>
    </row>
    <row r="716" spans="85:85">
      <c r="CG716" t="s">
        <v>2009</v>
      </c>
    </row>
    <row r="717" spans="85:85">
      <c r="CG717" t="s">
        <v>2010</v>
      </c>
    </row>
    <row r="718" spans="85:85">
      <c r="CG718" t="s">
        <v>2011</v>
      </c>
    </row>
    <row r="719" spans="85:85">
      <c r="CG719" t="s">
        <v>2012</v>
      </c>
    </row>
    <row r="720" spans="85:85">
      <c r="CG720" t="s">
        <v>2013</v>
      </c>
    </row>
    <row r="721" spans="85:85">
      <c r="CG721" t="s">
        <v>2014</v>
      </c>
    </row>
    <row r="722" spans="85:85">
      <c r="CG722" t="s">
        <v>2015</v>
      </c>
    </row>
    <row r="723" spans="85:85">
      <c r="CG723" t="s">
        <v>2016</v>
      </c>
    </row>
    <row r="724" spans="85:85">
      <c r="CG724" t="s">
        <v>2017</v>
      </c>
    </row>
    <row r="725" spans="85:85">
      <c r="CG725" t="s">
        <v>2018</v>
      </c>
    </row>
    <row r="726" spans="85:85">
      <c r="CG726" t="s">
        <v>2019</v>
      </c>
    </row>
    <row r="727" spans="85:85">
      <c r="CG727" t="s">
        <v>2020</v>
      </c>
    </row>
    <row r="728" spans="85:85">
      <c r="CG728" t="s">
        <v>2021</v>
      </c>
    </row>
    <row r="729" spans="85:85">
      <c r="CG729" t="s">
        <v>2022</v>
      </c>
    </row>
    <row r="730" spans="85:85">
      <c r="CG730" t="s">
        <v>2023</v>
      </c>
    </row>
    <row r="731" spans="85:85">
      <c r="CG731" t="s">
        <v>2024</v>
      </c>
    </row>
    <row r="732" spans="85:85">
      <c r="CG732" t="s">
        <v>2025</v>
      </c>
    </row>
    <row r="733" spans="85:85">
      <c r="CG733" t="s">
        <v>2026</v>
      </c>
    </row>
    <row r="734" spans="85:85">
      <c r="CG734" t="s">
        <v>2027</v>
      </c>
    </row>
    <row r="735" spans="85:85">
      <c r="CG735" t="s">
        <v>2028</v>
      </c>
    </row>
    <row r="736" spans="85:85">
      <c r="CG736" t="s">
        <v>2029</v>
      </c>
    </row>
    <row r="737" spans="85:85">
      <c r="CG737" t="s">
        <v>2030</v>
      </c>
    </row>
    <row r="738" spans="85:85">
      <c r="CG738" t="s">
        <v>2031</v>
      </c>
    </row>
    <row r="739" spans="85:85">
      <c r="CG739" t="s">
        <v>2032</v>
      </c>
    </row>
    <row r="740" spans="85:85">
      <c r="CG740" t="s">
        <v>2033</v>
      </c>
    </row>
    <row r="741" spans="85:85">
      <c r="CG741" t="s">
        <v>2034</v>
      </c>
    </row>
    <row r="742" spans="85:85">
      <c r="CG742" t="s">
        <v>2035</v>
      </c>
    </row>
    <row r="743" spans="85:85">
      <c r="CG743" t="s">
        <v>2036</v>
      </c>
    </row>
    <row r="744" spans="85:85">
      <c r="CG744" t="s">
        <v>2037</v>
      </c>
    </row>
    <row r="745" spans="85:85">
      <c r="CG745" t="s">
        <v>2038</v>
      </c>
    </row>
    <row r="746" spans="85:85">
      <c r="CG746" t="s">
        <v>2039</v>
      </c>
    </row>
    <row r="747" spans="85:85">
      <c r="CG747" t="s">
        <v>2040</v>
      </c>
    </row>
    <row r="748" spans="85:85">
      <c r="CG748" t="s">
        <v>2041</v>
      </c>
    </row>
    <row r="749" spans="85:85">
      <c r="CG749" t="s">
        <v>2042</v>
      </c>
    </row>
    <row r="750" spans="85:85">
      <c r="CG750" t="s">
        <v>2043</v>
      </c>
    </row>
    <row r="751" spans="85:85">
      <c r="CG751" t="s">
        <v>2044</v>
      </c>
    </row>
    <row r="752" spans="85:85">
      <c r="CG752" t="s">
        <v>2045</v>
      </c>
    </row>
    <row r="753" spans="85:85">
      <c r="CG753" t="s">
        <v>2046</v>
      </c>
    </row>
    <row r="754" spans="85:85">
      <c r="CG754" t="s">
        <v>2047</v>
      </c>
    </row>
    <row r="755" spans="85:85">
      <c r="CG755" t="s">
        <v>2048</v>
      </c>
    </row>
    <row r="756" spans="85:85">
      <c r="CG756" t="s">
        <v>2049</v>
      </c>
    </row>
    <row r="757" spans="85:85">
      <c r="CG757" t="s">
        <v>2050</v>
      </c>
    </row>
    <row r="758" spans="85:85">
      <c r="CG758" t="s">
        <v>2051</v>
      </c>
    </row>
    <row r="759" spans="85:85">
      <c r="CG759" t="s">
        <v>2052</v>
      </c>
    </row>
    <row r="760" spans="85:85">
      <c r="CG760" t="s">
        <v>2053</v>
      </c>
    </row>
    <row r="761" spans="85:85">
      <c r="CG761" t="s">
        <v>2054</v>
      </c>
    </row>
    <row r="762" spans="85:85">
      <c r="CG762" t="s">
        <v>2055</v>
      </c>
    </row>
    <row r="763" spans="85:85">
      <c r="CG763" t="s">
        <v>2056</v>
      </c>
    </row>
    <row r="764" spans="85:85">
      <c r="CG764" t="s">
        <v>2057</v>
      </c>
    </row>
    <row r="765" spans="85:85">
      <c r="CG765" t="s">
        <v>2058</v>
      </c>
    </row>
    <row r="766" spans="85:85">
      <c r="CG766" t="s">
        <v>2059</v>
      </c>
    </row>
    <row r="767" spans="85:85">
      <c r="CG767" t="s">
        <v>2060</v>
      </c>
    </row>
    <row r="768" spans="85:85">
      <c r="CG768" t="s">
        <v>2061</v>
      </c>
    </row>
    <row r="769" spans="85:85">
      <c r="CG769" t="s">
        <v>2062</v>
      </c>
    </row>
    <row r="770" spans="85:85">
      <c r="CG770" t="s">
        <v>2063</v>
      </c>
    </row>
    <row r="771" spans="85:85">
      <c r="CG771" t="s">
        <v>2064</v>
      </c>
    </row>
    <row r="772" spans="85:85">
      <c r="CG772" t="s">
        <v>2065</v>
      </c>
    </row>
    <row r="773" spans="85:85">
      <c r="CG773" t="s">
        <v>2066</v>
      </c>
    </row>
    <row r="774" spans="85:85">
      <c r="CG774" t="s">
        <v>2067</v>
      </c>
    </row>
    <row r="775" spans="85:85">
      <c r="CG775" t="s">
        <v>2068</v>
      </c>
    </row>
    <row r="776" spans="85:85">
      <c r="CG776" t="s">
        <v>2069</v>
      </c>
    </row>
    <row r="777" spans="85:85">
      <c r="CG777" t="s">
        <v>2070</v>
      </c>
    </row>
    <row r="778" spans="85:85">
      <c r="CG778" t="s">
        <v>2071</v>
      </c>
    </row>
    <row r="779" spans="85:85">
      <c r="CG779" t="s">
        <v>2072</v>
      </c>
    </row>
    <row r="780" spans="85:85">
      <c r="CG780" t="s">
        <v>2073</v>
      </c>
    </row>
    <row r="781" spans="85:85">
      <c r="CG781" t="s">
        <v>2074</v>
      </c>
    </row>
    <row r="782" spans="85:85">
      <c r="CG782" t="s">
        <v>2075</v>
      </c>
    </row>
    <row r="783" spans="85:85">
      <c r="CG783" t="s">
        <v>2076</v>
      </c>
    </row>
    <row r="784" spans="85:85">
      <c r="CG784" t="s">
        <v>2077</v>
      </c>
    </row>
    <row r="785" spans="85:85">
      <c r="CG785" t="s">
        <v>2078</v>
      </c>
    </row>
    <row r="786" spans="85:85">
      <c r="CG786" t="s">
        <v>2079</v>
      </c>
    </row>
    <row r="787" spans="85:85">
      <c r="CG787" t="s">
        <v>2080</v>
      </c>
    </row>
    <row r="788" spans="85:85">
      <c r="CG788" t="s">
        <v>2081</v>
      </c>
    </row>
    <row r="789" spans="85:85">
      <c r="CG789" t="s">
        <v>2082</v>
      </c>
    </row>
    <row r="790" spans="85:85">
      <c r="CG790" t="s">
        <v>2083</v>
      </c>
    </row>
    <row r="791" spans="85:85">
      <c r="CG791" t="s">
        <v>2084</v>
      </c>
    </row>
    <row r="792" spans="85:85">
      <c r="CG792" t="s">
        <v>2085</v>
      </c>
    </row>
    <row r="793" spans="85:85">
      <c r="CG793" t="s">
        <v>2086</v>
      </c>
    </row>
    <row r="794" spans="85:85">
      <c r="CG794" t="s">
        <v>2087</v>
      </c>
    </row>
    <row r="795" spans="85:85">
      <c r="CG795" t="s">
        <v>2088</v>
      </c>
    </row>
    <row r="796" spans="85:85">
      <c r="CG796" t="s">
        <v>2089</v>
      </c>
    </row>
    <row r="797" spans="85:85">
      <c r="CG797" t="s">
        <v>2090</v>
      </c>
    </row>
    <row r="798" spans="85:85">
      <c r="CG798" t="s">
        <v>2091</v>
      </c>
    </row>
    <row r="799" spans="85:85">
      <c r="CG799" t="s">
        <v>2092</v>
      </c>
    </row>
    <row r="800" spans="85:85">
      <c r="CG800" t="s">
        <v>2093</v>
      </c>
    </row>
    <row r="801" spans="85:85">
      <c r="CG801" t="s">
        <v>2094</v>
      </c>
    </row>
    <row r="802" spans="85:85">
      <c r="CG802" t="s">
        <v>2095</v>
      </c>
    </row>
    <row r="803" spans="85:85">
      <c r="CG803" t="s">
        <v>2096</v>
      </c>
    </row>
    <row r="804" spans="85:85">
      <c r="CG804" t="s">
        <v>2097</v>
      </c>
    </row>
    <row r="805" spans="85:85">
      <c r="CG805" t="s">
        <v>2098</v>
      </c>
    </row>
    <row r="806" spans="85:85">
      <c r="CG806" t="s">
        <v>2099</v>
      </c>
    </row>
    <row r="807" spans="85:85">
      <c r="CG807" t="s">
        <v>2100</v>
      </c>
    </row>
    <row r="808" spans="85:85">
      <c r="CG808" t="s">
        <v>2101</v>
      </c>
    </row>
    <row r="809" spans="85:85">
      <c r="CG809" t="s">
        <v>2102</v>
      </c>
    </row>
    <row r="810" spans="85:85">
      <c r="CG810" t="s">
        <v>2103</v>
      </c>
    </row>
    <row r="811" spans="85:85">
      <c r="CG811" t="s">
        <v>2104</v>
      </c>
    </row>
    <row r="812" spans="85:85">
      <c r="CG812" t="s">
        <v>2105</v>
      </c>
    </row>
    <row r="813" spans="85:85">
      <c r="CG813" t="s">
        <v>2106</v>
      </c>
    </row>
    <row r="814" spans="85:85">
      <c r="CG814" t="s">
        <v>2107</v>
      </c>
    </row>
    <row r="815" spans="85:85">
      <c r="CG815" t="s">
        <v>2108</v>
      </c>
    </row>
    <row r="816" spans="85:85">
      <c r="CG816" t="s">
        <v>2109</v>
      </c>
    </row>
    <row r="817" spans="85:85">
      <c r="CG817" t="s">
        <v>2110</v>
      </c>
    </row>
    <row r="818" spans="85:85">
      <c r="CG818" t="s">
        <v>2111</v>
      </c>
    </row>
    <row r="819" spans="85:85">
      <c r="CG819" t="s">
        <v>2112</v>
      </c>
    </row>
    <row r="820" spans="85:85">
      <c r="CG820" t="s">
        <v>2113</v>
      </c>
    </row>
    <row r="821" spans="85:85">
      <c r="CG821" t="s">
        <v>2114</v>
      </c>
    </row>
    <row r="822" spans="85:85">
      <c r="CG822" t="s">
        <v>2115</v>
      </c>
    </row>
    <row r="823" spans="85:85">
      <c r="CG823" t="s">
        <v>2116</v>
      </c>
    </row>
    <row r="824" spans="85:85">
      <c r="CG824" t="s">
        <v>2117</v>
      </c>
    </row>
    <row r="825" spans="85:85">
      <c r="CG825" t="s">
        <v>2118</v>
      </c>
    </row>
    <row r="826" spans="85:85">
      <c r="CG826" t="s">
        <v>2119</v>
      </c>
    </row>
    <row r="827" spans="85:85">
      <c r="CG827" t="s">
        <v>2120</v>
      </c>
    </row>
    <row r="828" spans="85:85">
      <c r="CG828" t="s">
        <v>2121</v>
      </c>
    </row>
    <row r="829" spans="85:85">
      <c r="CG829" t="s">
        <v>2122</v>
      </c>
    </row>
    <row r="830" spans="85:85">
      <c r="CG830" t="s">
        <v>2123</v>
      </c>
    </row>
    <row r="831" spans="85:85">
      <c r="CG831" t="s">
        <v>2124</v>
      </c>
    </row>
    <row r="832" spans="85:85">
      <c r="CG832" t="s">
        <v>2125</v>
      </c>
    </row>
    <row r="833" spans="85:85">
      <c r="CG833" t="s">
        <v>2126</v>
      </c>
    </row>
    <row r="834" spans="85:85">
      <c r="CG834" t="s">
        <v>2127</v>
      </c>
    </row>
    <row r="835" spans="85:85">
      <c r="CG835" t="s">
        <v>2128</v>
      </c>
    </row>
    <row r="836" spans="85:85">
      <c r="CG836" t="s">
        <v>2129</v>
      </c>
    </row>
    <row r="837" spans="85:85">
      <c r="CG837" t="s">
        <v>2130</v>
      </c>
    </row>
    <row r="838" spans="85:85">
      <c r="CG838" t="s">
        <v>2131</v>
      </c>
    </row>
    <row r="839" spans="85:85">
      <c r="CG839" t="s">
        <v>2132</v>
      </c>
    </row>
    <row r="840" spans="85:85">
      <c r="CG840" t="s">
        <v>2133</v>
      </c>
    </row>
    <row r="841" spans="85:85">
      <c r="CG841" t="s">
        <v>2134</v>
      </c>
    </row>
    <row r="842" spans="85:85">
      <c r="CG842" t="s">
        <v>2135</v>
      </c>
    </row>
    <row r="843" spans="85:85">
      <c r="CG843" t="s">
        <v>2136</v>
      </c>
    </row>
    <row r="844" spans="85:85">
      <c r="CG844" t="s">
        <v>2137</v>
      </c>
    </row>
    <row r="845" spans="85:85">
      <c r="CG845" t="s">
        <v>2138</v>
      </c>
    </row>
    <row r="846" spans="85:85">
      <c r="CG846" t="s">
        <v>2139</v>
      </c>
    </row>
    <row r="847" spans="85:85">
      <c r="CG847" t="s">
        <v>2140</v>
      </c>
    </row>
    <row r="848" spans="85:85">
      <c r="CG848" t="s">
        <v>2141</v>
      </c>
    </row>
    <row r="849" spans="85:85">
      <c r="CG849" t="s">
        <v>2142</v>
      </c>
    </row>
    <row r="850" spans="85:85">
      <c r="CG850" t="s">
        <v>2143</v>
      </c>
    </row>
    <row r="851" spans="85:85">
      <c r="CG851" t="s">
        <v>2144</v>
      </c>
    </row>
    <row r="852" spans="85:85">
      <c r="CG852" t="s">
        <v>2145</v>
      </c>
    </row>
    <row r="853" spans="85:85">
      <c r="CG853" t="s">
        <v>2146</v>
      </c>
    </row>
    <row r="854" spans="85:85">
      <c r="CG854" t="s">
        <v>2147</v>
      </c>
    </row>
    <row r="855" spans="85:85">
      <c r="CG855" t="s">
        <v>2148</v>
      </c>
    </row>
    <row r="856" spans="85:85">
      <c r="CG856" t="s">
        <v>2149</v>
      </c>
    </row>
    <row r="857" spans="85:85">
      <c r="CG857" t="s">
        <v>2150</v>
      </c>
    </row>
    <row r="858" spans="85:85">
      <c r="CG858" t="s">
        <v>2151</v>
      </c>
    </row>
    <row r="859" spans="85:85">
      <c r="CG859" t="s">
        <v>2152</v>
      </c>
    </row>
    <row r="860" spans="85:85">
      <c r="CG860" t="s">
        <v>2153</v>
      </c>
    </row>
    <row r="861" spans="85:85">
      <c r="CG861" t="s">
        <v>2154</v>
      </c>
    </row>
    <row r="862" spans="85:85">
      <c r="CG862" t="s">
        <v>2155</v>
      </c>
    </row>
    <row r="863" spans="85:85">
      <c r="CG863" t="s">
        <v>2156</v>
      </c>
    </row>
    <row r="864" spans="85:85">
      <c r="CG864" t="s">
        <v>2157</v>
      </c>
    </row>
    <row r="865" spans="85:85">
      <c r="CG865" t="s">
        <v>2158</v>
      </c>
    </row>
    <row r="866" spans="85:85">
      <c r="CG866" t="s">
        <v>2159</v>
      </c>
    </row>
    <row r="867" spans="85:85">
      <c r="CG867" t="s">
        <v>2160</v>
      </c>
    </row>
    <row r="868" spans="85:85">
      <c r="CG868" t="s">
        <v>2161</v>
      </c>
    </row>
    <row r="869" spans="85:85">
      <c r="CG869" t="s">
        <v>2162</v>
      </c>
    </row>
    <row r="870" spans="85:85">
      <c r="CG870" t="s">
        <v>2163</v>
      </c>
    </row>
    <row r="871" spans="85:85">
      <c r="CG871" t="s">
        <v>2164</v>
      </c>
    </row>
    <row r="872" spans="85:85">
      <c r="CG872" t="s">
        <v>2165</v>
      </c>
    </row>
    <row r="873" spans="85:85">
      <c r="CG873" t="s">
        <v>2166</v>
      </c>
    </row>
    <row r="874" spans="85:85">
      <c r="CG874" t="s">
        <v>2167</v>
      </c>
    </row>
    <row r="875" spans="85:85">
      <c r="CG875" t="s">
        <v>2168</v>
      </c>
    </row>
    <row r="876" spans="85:85">
      <c r="CG876" t="s">
        <v>2169</v>
      </c>
    </row>
    <row r="877" spans="85:85">
      <c r="CG877" t="s">
        <v>2170</v>
      </c>
    </row>
    <row r="878" spans="85:85">
      <c r="CG878" t="s">
        <v>2171</v>
      </c>
    </row>
    <row r="879" spans="85:85">
      <c r="CG879" t="s">
        <v>2172</v>
      </c>
    </row>
    <row r="880" spans="85:85">
      <c r="CG880" t="s">
        <v>2173</v>
      </c>
    </row>
    <row r="881" spans="85:85">
      <c r="CG881" t="s">
        <v>2174</v>
      </c>
    </row>
    <row r="882" spans="85:85">
      <c r="CG882" t="s">
        <v>2175</v>
      </c>
    </row>
    <row r="883" spans="85:85">
      <c r="CG883" t="s">
        <v>2176</v>
      </c>
    </row>
    <row r="884" spans="85:85">
      <c r="CG884" t="s">
        <v>2177</v>
      </c>
    </row>
    <row r="885" spans="85:85">
      <c r="CG885" t="s">
        <v>2178</v>
      </c>
    </row>
    <row r="886" spans="85:85">
      <c r="CG886" t="s">
        <v>2179</v>
      </c>
    </row>
    <row r="887" spans="85:85">
      <c r="CG887" t="s">
        <v>2180</v>
      </c>
    </row>
    <row r="888" spans="85:85">
      <c r="CG888" t="s">
        <v>2181</v>
      </c>
    </row>
    <row r="889" spans="85:85">
      <c r="CG889" t="s">
        <v>2182</v>
      </c>
    </row>
    <row r="890" spans="85:85">
      <c r="CG890" t="s">
        <v>2183</v>
      </c>
    </row>
    <row r="891" spans="85:85">
      <c r="CG891" t="s">
        <v>2184</v>
      </c>
    </row>
    <row r="892" spans="85:85">
      <c r="CG892" t="s">
        <v>2185</v>
      </c>
    </row>
    <row r="893" spans="85:85">
      <c r="CG893" t="s">
        <v>2186</v>
      </c>
    </row>
    <row r="894" spans="85:85">
      <c r="CG894" t="s">
        <v>2187</v>
      </c>
    </row>
    <row r="895" spans="85:85">
      <c r="CG895" t="s">
        <v>2188</v>
      </c>
    </row>
    <row r="896" spans="85:85">
      <c r="CG896" t="s">
        <v>2189</v>
      </c>
    </row>
    <row r="897" spans="85:85">
      <c r="CG897" t="s">
        <v>2190</v>
      </c>
    </row>
    <row r="898" spans="85:85">
      <c r="CG898" t="s">
        <v>2191</v>
      </c>
    </row>
    <row r="899" spans="85:85">
      <c r="CG899" t="s">
        <v>2192</v>
      </c>
    </row>
    <row r="900" spans="85:85">
      <c r="CG900" t="s">
        <v>2193</v>
      </c>
    </row>
    <row r="901" spans="85:85">
      <c r="CG901" t="s">
        <v>2194</v>
      </c>
    </row>
    <row r="902" spans="85:85">
      <c r="CG902" t="s">
        <v>2195</v>
      </c>
    </row>
    <row r="903" spans="85:85">
      <c r="CG903" t="s">
        <v>2196</v>
      </c>
    </row>
    <row r="904" spans="85:85">
      <c r="CG904" t="s">
        <v>2197</v>
      </c>
    </row>
    <row r="905" spans="85:85">
      <c r="CG905" t="s">
        <v>2198</v>
      </c>
    </row>
    <row r="906" spans="85:85">
      <c r="CG906" t="s">
        <v>2199</v>
      </c>
    </row>
    <row r="907" spans="85:85">
      <c r="CG907" t="s">
        <v>2200</v>
      </c>
    </row>
    <row r="908" spans="85:85">
      <c r="CG908" t="s">
        <v>2201</v>
      </c>
    </row>
    <row r="909" spans="85:85">
      <c r="CG909" t="s">
        <v>2202</v>
      </c>
    </row>
    <row r="910" spans="85:85">
      <c r="CG910" t="s">
        <v>2203</v>
      </c>
    </row>
    <row r="911" spans="85:85">
      <c r="CG911" t="s">
        <v>2204</v>
      </c>
    </row>
    <row r="912" spans="85:85">
      <c r="CG912" t="s">
        <v>2205</v>
      </c>
    </row>
    <row r="913" spans="85:85">
      <c r="CG913" t="s">
        <v>2206</v>
      </c>
    </row>
    <row r="914" spans="85:85">
      <c r="CG914" t="s">
        <v>2207</v>
      </c>
    </row>
    <row r="915" spans="85:85">
      <c r="CG915" t="s">
        <v>2208</v>
      </c>
    </row>
    <row r="916" spans="85:85">
      <c r="CG916" t="s">
        <v>2209</v>
      </c>
    </row>
    <row r="917" spans="85:85">
      <c r="CG917" t="s">
        <v>2210</v>
      </c>
    </row>
    <row r="918" spans="85:85">
      <c r="CG918" t="s">
        <v>2211</v>
      </c>
    </row>
    <row r="919" spans="85:85">
      <c r="CG919" t="s">
        <v>2212</v>
      </c>
    </row>
    <row r="920" spans="85:85">
      <c r="CG920" t="s">
        <v>2213</v>
      </c>
    </row>
    <row r="921" spans="85:85">
      <c r="CG921" t="s">
        <v>2214</v>
      </c>
    </row>
    <row r="922" spans="85:85">
      <c r="CG922" t="s">
        <v>2215</v>
      </c>
    </row>
    <row r="923" spans="85:85">
      <c r="CG923" t="s">
        <v>2216</v>
      </c>
    </row>
    <row r="924" spans="85:85">
      <c r="CG924" t="s">
        <v>2217</v>
      </c>
    </row>
    <row r="925" spans="85:85">
      <c r="CG925" t="s">
        <v>2218</v>
      </c>
    </row>
    <row r="926" spans="85:85">
      <c r="CG926" t="s">
        <v>2219</v>
      </c>
    </row>
    <row r="927" spans="85:85">
      <c r="CG927" t="s">
        <v>2220</v>
      </c>
    </row>
    <row r="928" spans="85:85">
      <c r="CG928" t="s">
        <v>2221</v>
      </c>
    </row>
    <row r="929" spans="85:85">
      <c r="CG929" t="s">
        <v>2222</v>
      </c>
    </row>
    <row r="930" spans="85:85">
      <c r="CG930" t="s">
        <v>2223</v>
      </c>
    </row>
    <row r="931" spans="85:85">
      <c r="CG931" t="s">
        <v>2224</v>
      </c>
    </row>
    <row r="932" spans="85:85">
      <c r="CG932" t="s">
        <v>2225</v>
      </c>
    </row>
    <row r="933" spans="85:85">
      <c r="CG933" t="s">
        <v>2226</v>
      </c>
    </row>
    <row r="934" spans="85:85">
      <c r="CG934" t="s">
        <v>2227</v>
      </c>
    </row>
    <row r="935" spans="85:85">
      <c r="CG935" t="s">
        <v>2228</v>
      </c>
    </row>
    <row r="936" spans="85:85">
      <c r="CG936" t="s">
        <v>2229</v>
      </c>
    </row>
    <row r="937" spans="85:85">
      <c r="CG937" t="s">
        <v>2230</v>
      </c>
    </row>
    <row r="938" spans="85:85">
      <c r="CG938" t="s">
        <v>2231</v>
      </c>
    </row>
    <row r="939" spans="85:85">
      <c r="CG939" t="s">
        <v>2232</v>
      </c>
    </row>
    <row r="940" spans="85:85">
      <c r="CG940" t="s">
        <v>2233</v>
      </c>
    </row>
    <row r="941" spans="85:85">
      <c r="CG941" t="s">
        <v>2234</v>
      </c>
    </row>
    <row r="942" spans="85:85">
      <c r="CG942" t="s">
        <v>2235</v>
      </c>
    </row>
    <row r="943" spans="85:85">
      <c r="CG943" t="s">
        <v>2236</v>
      </c>
    </row>
    <row r="944" spans="85:85">
      <c r="CG944" t="s">
        <v>2237</v>
      </c>
    </row>
    <row r="945" spans="85:85">
      <c r="CG945" t="s">
        <v>2238</v>
      </c>
    </row>
    <row r="946" spans="85:85">
      <c r="CG946" t="s">
        <v>2239</v>
      </c>
    </row>
    <row r="947" spans="85:85">
      <c r="CG947" t="s">
        <v>2240</v>
      </c>
    </row>
    <row r="948" spans="85:85">
      <c r="CG948" t="s">
        <v>2241</v>
      </c>
    </row>
    <row r="949" spans="85:85">
      <c r="CG949" t="s">
        <v>2242</v>
      </c>
    </row>
    <row r="950" spans="85:85">
      <c r="CG950" t="s">
        <v>2243</v>
      </c>
    </row>
    <row r="951" spans="85:85">
      <c r="CG951" t="s">
        <v>2244</v>
      </c>
    </row>
    <row r="952" spans="85:85">
      <c r="CG952" t="s">
        <v>2245</v>
      </c>
    </row>
    <row r="953" spans="85:85">
      <c r="CG953" t="s">
        <v>2246</v>
      </c>
    </row>
    <row r="954" spans="85:85">
      <c r="CG954" t="s">
        <v>2247</v>
      </c>
    </row>
    <row r="955" spans="85:85">
      <c r="CG955" t="s">
        <v>2248</v>
      </c>
    </row>
    <row r="956" spans="85:85">
      <c r="CG956" t="s">
        <v>2249</v>
      </c>
    </row>
    <row r="957" spans="85:85">
      <c r="CG957" t="s">
        <v>2250</v>
      </c>
    </row>
    <row r="958" spans="85:85">
      <c r="CG958" t="s">
        <v>2251</v>
      </c>
    </row>
    <row r="959" spans="85:85">
      <c r="CG959" t="s">
        <v>2252</v>
      </c>
    </row>
    <row r="960" spans="85:85">
      <c r="CG960" t="s">
        <v>2253</v>
      </c>
    </row>
    <row r="961" spans="85:85">
      <c r="CG961" t="s">
        <v>2254</v>
      </c>
    </row>
    <row r="962" spans="85:85">
      <c r="CG962" t="s">
        <v>2255</v>
      </c>
    </row>
    <row r="963" spans="85:85">
      <c r="CG963" t="s">
        <v>2256</v>
      </c>
    </row>
    <row r="964" spans="85:85">
      <c r="CG964" t="s">
        <v>2257</v>
      </c>
    </row>
    <row r="965" spans="85:85">
      <c r="CG965" t="s">
        <v>2258</v>
      </c>
    </row>
    <row r="966" spans="85:85">
      <c r="CG966" t="s">
        <v>2259</v>
      </c>
    </row>
    <row r="967" spans="85:85">
      <c r="CG967" t="s">
        <v>2260</v>
      </c>
    </row>
    <row r="968" spans="85:85">
      <c r="CG968" t="s">
        <v>2261</v>
      </c>
    </row>
    <row r="969" spans="85:85">
      <c r="CG969" t="s">
        <v>2262</v>
      </c>
    </row>
    <row r="970" spans="85:85">
      <c r="CG970" t="s">
        <v>2263</v>
      </c>
    </row>
    <row r="971" spans="85:85">
      <c r="CG971" t="s">
        <v>2264</v>
      </c>
    </row>
    <row r="972" spans="85:85">
      <c r="CG972" t="s">
        <v>2265</v>
      </c>
    </row>
    <row r="973" spans="85:85">
      <c r="CG973" t="s">
        <v>2266</v>
      </c>
    </row>
    <row r="974" spans="85:85">
      <c r="CG974" t="s">
        <v>2267</v>
      </c>
    </row>
    <row r="975" spans="85:85">
      <c r="CG975" t="s">
        <v>2268</v>
      </c>
    </row>
    <row r="976" spans="85:85">
      <c r="CG976" t="s">
        <v>2269</v>
      </c>
    </row>
    <row r="977" spans="85:85">
      <c r="CG977" t="s">
        <v>2270</v>
      </c>
    </row>
    <row r="978" spans="85:85">
      <c r="CG978" t="s">
        <v>2271</v>
      </c>
    </row>
    <row r="979" spans="85:85">
      <c r="CG979" t="s">
        <v>2272</v>
      </c>
    </row>
    <row r="980" spans="85:85">
      <c r="CG980" t="s">
        <v>2273</v>
      </c>
    </row>
    <row r="981" spans="85:85">
      <c r="CG981" t="s">
        <v>2274</v>
      </c>
    </row>
    <row r="982" spans="85:85">
      <c r="CG982" t="s">
        <v>2275</v>
      </c>
    </row>
    <row r="983" spans="85:85">
      <c r="CG983" t="s">
        <v>2276</v>
      </c>
    </row>
    <row r="984" spans="85:85">
      <c r="CG984" t="s">
        <v>2277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EA928-89A7-44CC-978E-439F67CB311F}">
  <sheetPr codeName="Blad50"/>
  <dimension ref="B2:AB128"/>
  <sheetViews>
    <sheetView showGridLines="0" workbookViewId="0"/>
  </sheetViews>
  <sheetFormatPr defaultRowHeight="15"/>
  <cols>
    <col min="2" max="2" width="48.7109375" bestFit="1" customWidth="1"/>
    <col min="4" max="20" width="15.7109375" customWidth="1"/>
  </cols>
  <sheetData>
    <row r="2" spans="2:28" ht="23.25">
      <c r="B2" s="95" t="s">
        <v>578</v>
      </c>
      <c r="C2" s="96"/>
      <c r="D2" s="96"/>
      <c r="E2" s="96"/>
      <c r="F2" s="96"/>
      <c r="G2" s="96"/>
      <c r="H2" s="96"/>
      <c r="I2" s="96"/>
      <c r="J2" s="96"/>
      <c r="K2" s="96"/>
      <c r="L2" s="96"/>
      <c r="M2" s="96"/>
      <c r="N2" s="96"/>
      <c r="O2" s="96"/>
    </row>
    <row r="5" spans="2:28" ht="18.75">
      <c r="B5" s="97" t="s">
        <v>3458</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2"/>
      <c r="T9" s="103"/>
    </row>
    <row r="10" spans="2:28">
      <c r="D10" s="104"/>
      <c r="E10" s="105"/>
      <c r="F10" s="105"/>
      <c r="G10" s="105"/>
      <c r="H10" s="105"/>
      <c r="I10" s="105"/>
      <c r="J10" s="105"/>
      <c r="K10" s="105"/>
      <c r="L10" s="105"/>
      <c r="M10" s="105"/>
      <c r="N10" s="105"/>
      <c r="O10" s="105"/>
      <c r="P10" s="105"/>
      <c r="Q10" s="105"/>
      <c r="R10" s="105"/>
      <c r="S10" s="105"/>
      <c r="T10" s="106"/>
    </row>
    <row r="11" spans="2:28">
      <c r="D11" s="107" t="s">
        <v>3459</v>
      </c>
      <c r="E11" s="108"/>
      <c r="F11" s="108"/>
      <c r="G11" s="108"/>
      <c r="H11" s="108"/>
      <c r="I11" s="108"/>
      <c r="J11" s="108"/>
      <c r="K11" s="108"/>
      <c r="L11" s="108"/>
      <c r="M11" s="108"/>
      <c r="N11" s="108"/>
      <c r="O11" s="109"/>
      <c r="P11" s="107" t="s">
        <v>3472</v>
      </c>
      <c r="Q11" s="108"/>
      <c r="R11" s="108"/>
      <c r="S11" s="109"/>
      <c r="T11" s="98" t="s">
        <v>3480</v>
      </c>
    </row>
    <row r="12" spans="2:28">
      <c r="D12" s="98" t="s">
        <v>3460</v>
      </c>
      <c r="E12" s="98" t="s">
        <v>3461</v>
      </c>
      <c r="F12" s="98" t="s">
        <v>3462</v>
      </c>
      <c r="G12" s="98" t="s">
        <v>3463</v>
      </c>
      <c r="H12" s="98" t="s">
        <v>3464</v>
      </c>
      <c r="I12" s="98" t="s">
        <v>3465</v>
      </c>
      <c r="J12" s="98" t="s">
        <v>3466</v>
      </c>
      <c r="K12" s="98" t="s">
        <v>3467</v>
      </c>
      <c r="L12" s="98" t="s">
        <v>3468</v>
      </c>
      <c r="M12" s="98" t="s">
        <v>3469</v>
      </c>
      <c r="N12" s="98" t="s">
        <v>3470</v>
      </c>
      <c r="O12" s="98" t="s">
        <v>3471</v>
      </c>
      <c r="P12" s="98" t="s">
        <v>3473</v>
      </c>
      <c r="Q12" s="98" t="s">
        <v>3474</v>
      </c>
      <c r="R12" s="98" t="s">
        <v>3476</v>
      </c>
      <c r="S12" s="98" t="s">
        <v>3478</v>
      </c>
      <c r="T12" s="99"/>
    </row>
    <row r="13" spans="2:28">
      <c r="D13" s="100"/>
      <c r="E13" s="100"/>
      <c r="F13" s="100"/>
      <c r="G13" s="100"/>
      <c r="H13" s="100"/>
      <c r="I13" s="100"/>
      <c r="J13" s="100"/>
      <c r="K13" s="100"/>
      <c r="L13" s="100"/>
      <c r="M13" s="100"/>
      <c r="N13" s="100"/>
      <c r="O13" s="100"/>
      <c r="P13" s="100"/>
      <c r="Q13" s="100"/>
      <c r="R13" s="100"/>
      <c r="S13" s="100"/>
      <c r="T13" s="100"/>
    </row>
    <row r="14" spans="2:28">
      <c r="D14" s="45" t="s">
        <v>2879</v>
      </c>
      <c r="E14" s="45" t="s">
        <v>3219</v>
      </c>
      <c r="F14" s="45" t="s">
        <v>3225</v>
      </c>
      <c r="G14" s="45" t="s">
        <v>3223</v>
      </c>
      <c r="H14" s="45" t="s">
        <v>3229</v>
      </c>
      <c r="I14" s="45" t="s">
        <v>3231</v>
      </c>
      <c r="J14" s="45" t="s">
        <v>3233</v>
      </c>
      <c r="K14" s="45" t="s">
        <v>3234</v>
      </c>
      <c r="L14" s="45" t="s">
        <v>3236</v>
      </c>
      <c r="M14" s="45" t="s">
        <v>3239</v>
      </c>
      <c r="N14" s="45" t="s">
        <v>3241</v>
      </c>
      <c r="O14" s="45" t="s">
        <v>3243</v>
      </c>
      <c r="P14" s="45" t="s">
        <v>3375</v>
      </c>
      <c r="Q14" s="45" t="s">
        <v>3475</v>
      </c>
      <c r="R14" s="45" t="s">
        <v>3477</v>
      </c>
      <c r="S14" s="45" t="s">
        <v>3479</v>
      </c>
      <c r="T14" s="45" t="s">
        <v>3481</v>
      </c>
      <c r="AA14" s="13" t="str">
        <f>Show!$B$46&amp;"S.05.01.01.01 Rows {"&amp;COLUMN($C$1)&amp;"}"&amp;"@ForceFilingCode:true"</f>
        <v>!S.05.01.01.01 Rows {3}@ForceFilingCode:true</v>
      </c>
      <c r="AB14" s="13" t="str">
        <f>Show!$B$46&amp;"S.05.01.01.01 Columns {"&amp;COLUMN($D$1)&amp;"}"</f>
        <v>!S.05.01.01.01 Columns {4}</v>
      </c>
    </row>
    <row r="15" spans="2:28">
      <c r="B15" s="43" t="s">
        <v>2880</v>
      </c>
      <c r="C15" s="44" t="s">
        <v>2878</v>
      </c>
      <c r="D15" s="58"/>
      <c r="E15" s="67"/>
      <c r="F15" s="67"/>
      <c r="G15" s="67"/>
      <c r="H15" s="67"/>
      <c r="I15" s="67"/>
      <c r="J15" s="67"/>
      <c r="K15" s="67"/>
      <c r="L15" s="67"/>
      <c r="M15" s="67"/>
      <c r="N15" s="67"/>
      <c r="O15" s="67"/>
      <c r="P15" s="67"/>
      <c r="Q15" s="67"/>
      <c r="R15" s="67"/>
      <c r="S15" s="67"/>
      <c r="T15" s="59"/>
    </row>
    <row r="16" spans="2:28">
      <c r="B16" s="47" t="s">
        <v>3437</v>
      </c>
      <c r="C16" s="44" t="s">
        <v>2878</v>
      </c>
      <c r="D16" s="56"/>
      <c r="E16" s="66"/>
      <c r="F16" s="66"/>
      <c r="G16" s="66"/>
      <c r="H16" s="66"/>
      <c r="I16" s="66"/>
      <c r="J16" s="66"/>
      <c r="K16" s="66"/>
      <c r="L16" s="66"/>
      <c r="M16" s="66"/>
      <c r="N16" s="66"/>
      <c r="O16" s="66"/>
      <c r="P16" s="67"/>
      <c r="Q16" s="67"/>
      <c r="R16" s="67"/>
      <c r="S16" s="67"/>
      <c r="T16" s="57"/>
    </row>
    <row r="17" spans="2:20">
      <c r="B17" s="49" t="s">
        <v>3482</v>
      </c>
      <c r="C17" s="41" t="s">
        <v>2901</v>
      </c>
      <c r="D17" s="60"/>
      <c r="E17" s="60"/>
      <c r="F17" s="60"/>
      <c r="G17" s="60"/>
      <c r="H17" s="60"/>
      <c r="I17" s="60"/>
      <c r="J17" s="60"/>
      <c r="K17" s="60"/>
      <c r="L17" s="60"/>
      <c r="M17" s="60"/>
      <c r="N17" s="60"/>
      <c r="O17" s="64"/>
      <c r="P17" s="58"/>
      <c r="Q17" s="58"/>
      <c r="R17" s="58"/>
      <c r="S17" s="48"/>
      <c r="T17" s="60"/>
    </row>
    <row r="18" spans="2:20">
      <c r="B18" s="49" t="s">
        <v>3483</v>
      </c>
      <c r="C18" s="41" t="s">
        <v>2903</v>
      </c>
      <c r="D18" s="63"/>
      <c r="E18" s="63"/>
      <c r="F18" s="63"/>
      <c r="G18" s="63"/>
      <c r="H18" s="63"/>
      <c r="I18" s="63"/>
      <c r="J18" s="63"/>
      <c r="K18" s="63"/>
      <c r="L18" s="63"/>
      <c r="M18" s="63"/>
      <c r="N18" s="63"/>
      <c r="O18" s="65"/>
      <c r="P18" s="56"/>
      <c r="Q18" s="56"/>
      <c r="R18" s="56"/>
      <c r="S18" s="46"/>
      <c r="T18" s="60"/>
    </row>
    <row r="19" spans="2:20">
      <c r="B19" s="49" t="s">
        <v>3484</v>
      </c>
      <c r="C19" s="44" t="s">
        <v>2905</v>
      </c>
      <c r="D19" s="56"/>
      <c r="E19" s="56"/>
      <c r="F19" s="56"/>
      <c r="G19" s="56"/>
      <c r="H19" s="56"/>
      <c r="I19" s="56"/>
      <c r="J19" s="56"/>
      <c r="K19" s="56"/>
      <c r="L19" s="56"/>
      <c r="M19" s="56"/>
      <c r="N19" s="56"/>
      <c r="O19" s="46"/>
      <c r="P19" s="60"/>
      <c r="Q19" s="60"/>
      <c r="R19" s="60"/>
      <c r="S19" s="60"/>
      <c r="T19" s="60"/>
    </row>
    <row r="20" spans="2:20">
      <c r="B20" s="49" t="s">
        <v>3485</v>
      </c>
      <c r="C20" s="41" t="s">
        <v>2907</v>
      </c>
      <c r="D20" s="60"/>
      <c r="E20" s="60"/>
      <c r="F20" s="60"/>
      <c r="G20" s="60"/>
      <c r="H20" s="60"/>
      <c r="I20" s="60"/>
      <c r="J20" s="60"/>
      <c r="K20" s="60"/>
      <c r="L20" s="60"/>
      <c r="M20" s="60"/>
      <c r="N20" s="60"/>
      <c r="O20" s="60"/>
      <c r="P20" s="60"/>
      <c r="Q20" s="60"/>
      <c r="R20" s="60"/>
      <c r="S20" s="60"/>
      <c r="T20" s="60"/>
    </row>
    <row r="21" spans="2:20">
      <c r="B21" s="49" t="s">
        <v>3486</v>
      </c>
      <c r="C21" s="41" t="s">
        <v>2919</v>
      </c>
      <c r="D21" s="63"/>
      <c r="E21" s="63"/>
      <c r="F21" s="63"/>
      <c r="G21" s="63"/>
      <c r="H21" s="63"/>
      <c r="I21" s="63"/>
      <c r="J21" s="63"/>
      <c r="K21" s="63"/>
      <c r="L21" s="63"/>
      <c r="M21" s="63"/>
      <c r="N21" s="63"/>
      <c r="O21" s="63"/>
      <c r="P21" s="63"/>
      <c r="Q21" s="63"/>
      <c r="R21" s="63"/>
      <c r="S21" s="63"/>
      <c r="T21" s="63"/>
    </row>
    <row r="22" spans="2:20">
      <c r="B22" s="47" t="s">
        <v>3487</v>
      </c>
      <c r="C22" s="44" t="s">
        <v>2878</v>
      </c>
      <c r="D22" s="56"/>
      <c r="E22" s="66"/>
      <c r="F22" s="66"/>
      <c r="G22" s="66"/>
      <c r="H22" s="66"/>
      <c r="I22" s="66"/>
      <c r="J22" s="66"/>
      <c r="K22" s="66"/>
      <c r="L22" s="66"/>
      <c r="M22" s="66"/>
      <c r="N22" s="66"/>
      <c r="O22" s="66"/>
      <c r="P22" s="67"/>
      <c r="Q22" s="67"/>
      <c r="R22" s="67"/>
      <c r="S22" s="67"/>
      <c r="T22" s="57"/>
    </row>
    <row r="23" spans="2:20">
      <c r="B23" s="49" t="s">
        <v>3482</v>
      </c>
      <c r="C23" s="41" t="s">
        <v>2921</v>
      </c>
      <c r="D23" s="60"/>
      <c r="E23" s="60"/>
      <c r="F23" s="60"/>
      <c r="G23" s="60"/>
      <c r="H23" s="60"/>
      <c r="I23" s="60"/>
      <c r="J23" s="60"/>
      <c r="K23" s="60"/>
      <c r="L23" s="60"/>
      <c r="M23" s="60"/>
      <c r="N23" s="60"/>
      <c r="O23" s="64"/>
      <c r="P23" s="58"/>
      <c r="Q23" s="58"/>
      <c r="R23" s="58"/>
      <c r="S23" s="48"/>
      <c r="T23" s="60"/>
    </row>
    <row r="24" spans="2:20">
      <c r="B24" s="49" t="s">
        <v>3483</v>
      </c>
      <c r="C24" s="41" t="s">
        <v>2923</v>
      </c>
      <c r="D24" s="63"/>
      <c r="E24" s="63"/>
      <c r="F24" s="63"/>
      <c r="G24" s="63"/>
      <c r="H24" s="63"/>
      <c r="I24" s="63"/>
      <c r="J24" s="63"/>
      <c r="K24" s="63"/>
      <c r="L24" s="63"/>
      <c r="M24" s="63"/>
      <c r="N24" s="63"/>
      <c r="O24" s="65"/>
      <c r="P24" s="56"/>
      <c r="Q24" s="56"/>
      <c r="R24" s="56"/>
      <c r="S24" s="46"/>
      <c r="T24" s="60"/>
    </row>
    <row r="25" spans="2:20">
      <c r="B25" s="49" t="s">
        <v>3484</v>
      </c>
      <c r="C25" s="44" t="s">
        <v>2925</v>
      </c>
      <c r="D25" s="56"/>
      <c r="E25" s="56"/>
      <c r="F25" s="56"/>
      <c r="G25" s="56"/>
      <c r="H25" s="56"/>
      <c r="I25" s="56"/>
      <c r="J25" s="56"/>
      <c r="K25" s="56"/>
      <c r="L25" s="56"/>
      <c r="M25" s="56"/>
      <c r="N25" s="56"/>
      <c r="O25" s="46"/>
      <c r="P25" s="60"/>
      <c r="Q25" s="60"/>
      <c r="R25" s="60"/>
      <c r="S25" s="60"/>
      <c r="T25" s="60"/>
    </row>
    <row r="26" spans="2:20">
      <c r="B26" s="49" t="s">
        <v>3485</v>
      </c>
      <c r="C26" s="41" t="s">
        <v>2927</v>
      </c>
      <c r="D26" s="60"/>
      <c r="E26" s="60"/>
      <c r="F26" s="60"/>
      <c r="G26" s="60"/>
      <c r="H26" s="60"/>
      <c r="I26" s="60"/>
      <c r="J26" s="60"/>
      <c r="K26" s="60"/>
      <c r="L26" s="60"/>
      <c r="M26" s="60"/>
      <c r="N26" s="60"/>
      <c r="O26" s="60"/>
      <c r="P26" s="60"/>
      <c r="Q26" s="60"/>
      <c r="R26" s="60"/>
      <c r="S26" s="60"/>
      <c r="T26" s="60"/>
    </row>
    <row r="27" spans="2:20">
      <c r="B27" s="49" t="s">
        <v>3486</v>
      </c>
      <c r="C27" s="41" t="s">
        <v>2939</v>
      </c>
      <c r="D27" s="63"/>
      <c r="E27" s="63"/>
      <c r="F27" s="63"/>
      <c r="G27" s="63"/>
      <c r="H27" s="63"/>
      <c r="I27" s="63"/>
      <c r="J27" s="63"/>
      <c r="K27" s="63"/>
      <c r="L27" s="63"/>
      <c r="M27" s="63"/>
      <c r="N27" s="63"/>
      <c r="O27" s="63"/>
      <c r="P27" s="63"/>
      <c r="Q27" s="63"/>
      <c r="R27" s="63"/>
      <c r="S27" s="63"/>
      <c r="T27" s="63"/>
    </row>
    <row r="28" spans="2:20">
      <c r="B28" s="47" t="s">
        <v>3438</v>
      </c>
      <c r="C28" s="44" t="s">
        <v>2878</v>
      </c>
      <c r="D28" s="56"/>
      <c r="E28" s="66"/>
      <c r="F28" s="66"/>
      <c r="G28" s="66"/>
      <c r="H28" s="66"/>
      <c r="I28" s="66"/>
      <c r="J28" s="66"/>
      <c r="K28" s="66"/>
      <c r="L28" s="66"/>
      <c r="M28" s="66"/>
      <c r="N28" s="66"/>
      <c r="O28" s="66"/>
      <c r="P28" s="67"/>
      <c r="Q28" s="67"/>
      <c r="R28" s="67"/>
      <c r="S28" s="67"/>
      <c r="T28" s="57"/>
    </row>
    <row r="29" spans="2:20">
      <c r="B29" s="49" t="s">
        <v>3482</v>
      </c>
      <c r="C29" s="41" t="s">
        <v>2941</v>
      </c>
      <c r="D29" s="60"/>
      <c r="E29" s="60"/>
      <c r="F29" s="60"/>
      <c r="G29" s="60"/>
      <c r="H29" s="60"/>
      <c r="I29" s="60"/>
      <c r="J29" s="60"/>
      <c r="K29" s="60"/>
      <c r="L29" s="60"/>
      <c r="M29" s="60"/>
      <c r="N29" s="60"/>
      <c r="O29" s="64"/>
      <c r="P29" s="58"/>
      <c r="Q29" s="58"/>
      <c r="R29" s="58"/>
      <c r="S29" s="48"/>
      <c r="T29" s="60"/>
    </row>
    <row r="30" spans="2:20">
      <c r="B30" s="49" t="s">
        <v>3483</v>
      </c>
      <c r="C30" s="41" t="s">
        <v>2943</v>
      </c>
      <c r="D30" s="63"/>
      <c r="E30" s="63"/>
      <c r="F30" s="63"/>
      <c r="G30" s="63"/>
      <c r="H30" s="63"/>
      <c r="I30" s="63"/>
      <c r="J30" s="63"/>
      <c r="K30" s="63"/>
      <c r="L30" s="63"/>
      <c r="M30" s="63"/>
      <c r="N30" s="63"/>
      <c r="O30" s="65"/>
      <c r="P30" s="56"/>
      <c r="Q30" s="56"/>
      <c r="R30" s="56"/>
      <c r="S30" s="46"/>
      <c r="T30" s="60"/>
    </row>
    <row r="31" spans="2:20">
      <c r="B31" s="49" t="s">
        <v>3484</v>
      </c>
      <c r="C31" s="44" t="s">
        <v>2945</v>
      </c>
      <c r="D31" s="56"/>
      <c r="E31" s="56"/>
      <c r="F31" s="56"/>
      <c r="G31" s="56"/>
      <c r="H31" s="56"/>
      <c r="I31" s="56"/>
      <c r="J31" s="56"/>
      <c r="K31" s="56"/>
      <c r="L31" s="56"/>
      <c r="M31" s="56"/>
      <c r="N31" s="56"/>
      <c r="O31" s="46"/>
      <c r="P31" s="60"/>
      <c r="Q31" s="60"/>
      <c r="R31" s="60"/>
      <c r="S31" s="60"/>
      <c r="T31" s="60"/>
    </row>
    <row r="32" spans="2:20">
      <c r="B32" s="49" t="s">
        <v>3485</v>
      </c>
      <c r="C32" s="41" t="s">
        <v>2947</v>
      </c>
      <c r="D32" s="60"/>
      <c r="E32" s="60"/>
      <c r="F32" s="60"/>
      <c r="G32" s="60"/>
      <c r="H32" s="60"/>
      <c r="I32" s="60"/>
      <c r="J32" s="60"/>
      <c r="K32" s="60"/>
      <c r="L32" s="60"/>
      <c r="M32" s="60"/>
      <c r="N32" s="60"/>
      <c r="O32" s="60"/>
      <c r="P32" s="60"/>
      <c r="Q32" s="60"/>
      <c r="R32" s="60"/>
      <c r="S32" s="60"/>
      <c r="T32" s="60"/>
    </row>
    <row r="33" spans="2:20">
      <c r="B33" s="49" t="s">
        <v>3486</v>
      </c>
      <c r="C33" s="41" t="s">
        <v>2959</v>
      </c>
      <c r="D33" s="63"/>
      <c r="E33" s="63"/>
      <c r="F33" s="63"/>
      <c r="G33" s="63"/>
      <c r="H33" s="63"/>
      <c r="I33" s="63"/>
      <c r="J33" s="63"/>
      <c r="K33" s="63"/>
      <c r="L33" s="63"/>
      <c r="M33" s="63"/>
      <c r="N33" s="63"/>
      <c r="O33" s="63"/>
      <c r="P33" s="63"/>
      <c r="Q33" s="63"/>
      <c r="R33" s="63"/>
      <c r="S33" s="63"/>
      <c r="T33" s="63"/>
    </row>
    <row r="34" spans="2:20">
      <c r="B34" s="47" t="s">
        <v>3488</v>
      </c>
      <c r="C34" s="44" t="s">
        <v>2878</v>
      </c>
      <c r="D34" s="56"/>
      <c r="E34" s="66"/>
      <c r="F34" s="66"/>
      <c r="G34" s="66"/>
      <c r="H34" s="66"/>
      <c r="I34" s="66"/>
      <c r="J34" s="66"/>
      <c r="K34" s="66"/>
      <c r="L34" s="66"/>
      <c r="M34" s="66"/>
      <c r="N34" s="66"/>
      <c r="O34" s="66"/>
      <c r="P34" s="67"/>
      <c r="Q34" s="67"/>
      <c r="R34" s="67"/>
      <c r="S34" s="67"/>
      <c r="T34" s="57"/>
    </row>
    <row r="35" spans="2:20">
      <c r="B35" s="49" t="s">
        <v>3482</v>
      </c>
      <c r="C35" s="41" t="s">
        <v>2961</v>
      </c>
      <c r="D35" s="60"/>
      <c r="E35" s="60"/>
      <c r="F35" s="60"/>
      <c r="G35" s="60"/>
      <c r="H35" s="60"/>
      <c r="I35" s="60"/>
      <c r="J35" s="60"/>
      <c r="K35" s="60"/>
      <c r="L35" s="60"/>
      <c r="M35" s="60"/>
      <c r="N35" s="60"/>
      <c r="O35" s="64"/>
      <c r="P35" s="58"/>
      <c r="Q35" s="58"/>
      <c r="R35" s="58"/>
      <c r="S35" s="48"/>
      <c r="T35" s="60"/>
    </row>
    <row r="36" spans="2:20">
      <c r="B36" s="49" t="s">
        <v>3483</v>
      </c>
      <c r="C36" s="41" t="s">
        <v>2963</v>
      </c>
      <c r="D36" s="63"/>
      <c r="E36" s="63"/>
      <c r="F36" s="63"/>
      <c r="G36" s="63"/>
      <c r="H36" s="63"/>
      <c r="I36" s="63"/>
      <c r="J36" s="63"/>
      <c r="K36" s="63"/>
      <c r="L36" s="63"/>
      <c r="M36" s="63"/>
      <c r="N36" s="63"/>
      <c r="O36" s="65"/>
      <c r="P36" s="56"/>
      <c r="Q36" s="56"/>
      <c r="R36" s="56"/>
      <c r="S36" s="46"/>
      <c r="T36" s="60"/>
    </row>
    <row r="37" spans="2:20">
      <c r="B37" s="49" t="s">
        <v>3489</v>
      </c>
      <c r="C37" s="44" t="s">
        <v>2965</v>
      </c>
      <c r="D37" s="56"/>
      <c r="E37" s="56"/>
      <c r="F37" s="56"/>
      <c r="G37" s="56"/>
      <c r="H37" s="56"/>
      <c r="I37" s="56"/>
      <c r="J37" s="56"/>
      <c r="K37" s="56"/>
      <c r="L37" s="56"/>
      <c r="M37" s="56"/>
      <c r="N37" s="56"/>
      <c r="O37" s="46"/>
      <c r="P37" s="60"/>
      <c r="Q37" s="60"/>
      <c r="R37" s="60"/>
      <c r="S37" s="60"/>
      <c r="T37" s="60"/>
    </row>
    <row r="38" spans="2:20">
      <c r="B38" s="49" t="s">
        <v>3485</v>
      </c>
      <c r="C38" s="41" t="s">
        <v>2967</v>
      </c>
      <c r="D38" s="60"/>
      <c r="E38" s="60"/>
      <c r="F38" s="60"/>
      <c r="G38" s="60"/>
      <c r="H38" s="60"/>
      <c r="I38" s="60"/>
      <c r="J38" s="60"/>
      <c r="K38" s="60"/>
      <c r="L38" s="60"/>
      <c r="M38" s="60"/>
      <c r="N38" s="60"/>
      <c r="O38" s="60"/>
      <c r="P38" s="60"/>
      <c r="Q38" s="60"/>
      <c r="R38" s="60"/>
      <c r="S38" s="60"/>
      <c r="T38" s="60"/>
    </row>
    <row r="39" spans="2:20">
      <c r="B39" s="49" t="s">
        <v>3486</v>
      </c>
      <c r="C39" s="41" t="s">
        <v>2977</v>
      </c>
      <c r="D39" s="60"/>
      <c r="E39" s="60"/>
      <c r="F39" s="60"/>
      <c r="G39" s="60"/>
      <c r="H39" s="60"/>
      <c r="I39" s="60"/>
      <c r="J39" s="60"/>
      <c r="K39" s="60"/>
      <c r="L39" s="60"/>
      <c r="M39" s="60"/>
      <c r="N39" s="60"/>
      <c r="O39" s="60"/>
      <c r="P39" s="60"/>
      <c r="Q39" s="60"/>
      <c r="R39" s="60"/>
      <c r="S39" s="60"/>
      <c r="T39" s="60"/>
    </row>
    <row r="40" spans="2:20">
      <c r="B40" s="47" t="s">
        <v>3490</v>
      </c>
      <c r="C40" s="41" t="s">
        <v>2987</v>
      </c>
      <c r="D40" s="63"/>
      <c r="E40" s="63"/>
      <c r="F40" s="63"/>
      <c r="G40" s="63"/>
      <c r="H40" s="63"/>
      <c r="I40" s="63"/>
      <c r="J40" s="63"/>
      <c r="K40" s="63"/>
      <c r="L40" s="63"/>
      <c r="M40" s="63"/>
      <c r="N40" s="63"/>
      <c r="O40" s="63"/>
      <c r="P40" s="63"/>
      <c r="Q40" s="63"/>
      <c r="R40" s="63"/>
      <c r="S40" s="63"/>
      <c r="T40" s="63"/>
    </row>
    <row r="41" spans="2:20">
      <c r="B41" s="49" t="s">
        <v>3491</v>
      </c>
      <c r="C41" s="44" t="s">
        <v>2878</v>
      </c>
      <c r="D41" s="56"/>
      <c r="E41" s="66"/>
      <c r="F41" s="66"/>
      <c r="G41" s="66"/>
      <c r="H41" s="66"/>
      <c r="I41" s="66"/>
      <c r="J41" s="66"/>
      <c r="K41" s="66"/>
      <c r="L41" s="66"/>
      <c r="M41" s="66"/>
      <c r="N41" s="66"/>
      <c r="O41" s="66"/>
      <c r="P41" s="67"/>
      <c r="Q41" s="67"/>
      <c r="R41" s="67"/>
      <c r="S41" s="67"/>
      <c r="T41" s="57"/>
    </row>
    <row r="42" spans="2:20">
      <c r="B42" s="61" t="s">
        <v>3482</v>
      </c>
      <c r="C42" s="41" t="s">
        <v>2999</v>
      </c>
      <c r="D42" s="60"/>
      <c r="E42" s="60"/>
      <c r="F42" s="60"/>
      <c r="G42" s="60"/>
      <c r="H42" s="60"/>
      <c r="I42" s="60"/>
      <c r="J42" s="60"/>
      <c r="K42" s="60"/>
      <c r="L42" s="60"/>
      <c r="M42" s="60"/>
      <c r="N42" s="60"/>
      <c r="O42" s="64"/>
      <c r="P42" s="58"/>
      <c r="Q42" s="58"/>
      <c r="R42" s="58"/>
      <c r="S42" s="48"/>
      <c r="T42" s="60"/>
    </row>
    <row r="43" spans="2:20">
      <c r="B43" s="61" t="s">
        <v>3483</v>
      </c>
      <c r="C43" s="41" t="s">
        <v>3001</v>
      </c>
      <c r="D43" s="63"/>
      <c r="E43" s="63"/>
      <c r="F43" s="63"/>
      <c r="G43" s="63"/>
      <c r="H43" s="63"/>
      <c r="I43" s="63"/>
      <c r="J43" s="63"/>
      <c r="K43" s="63"/>
      <c r="L43" s="63"/>
      <c r="M43" s="63"/>
      <c r="N43" s="63"/>
      <c r="O43" s="65"/>
      <c r="P43" s="56"/>
      <c r="Q43" s="56"/>
      <c r="R43" s="56"/>
      <c r="S43" s="46"/>
      <c r="T43" s="60"/>
    </row>
    <row r="44" spans="2:20">
      <c r="B44" s="61" t="s">
        <v>3484</v>
      </c>
      <c r="C44" s="44" t="s">
        <v>3003</v>
      </c>
      <c r="D44" s="56"/>
      <c r="E44" s="56"/>
      <c r="F44" s="56"/>
      <c r="G44" s="56"/>
      <c r="H44" s="56"/>
      <c r="I44" s="56"/>
      <c r="J44" s="56"/>
      <c r="K44" s="56"/>
      <c r="L44" s="56"/>
      <c r="M44" s="56"/>
      <c r="N44" s="56"/>
      <c r="O44" s="46"/>
      <c r="P44" s="60"/>
      <c r="Q44" s="60"/>
      <c r="R44" s="60"/>
      <c r="S44" s="60"/>
      <c r="T44" s="60"/>
    </row>
    <row r="45" spans="2:20">
      <c r="B45" s="61" t="s">
        <v>3485</v>
      </c>
      <c r="C45" s="41" t="s">
        <v>3005</v>
      </c>
      <c r="D45" s="60"/>
      <c r="E45" s="60"/>
      <c r="F45" s="60"/>
      <c r="G45" s="60"/>
      <c r="H45" s="60"/>
      <c r="I45" s="60"/>
      <c r="J45" s="60"/>
      <c r="K45" s="60"/>
      <c r="L45" s="60"/>
      <c r="M45" s="60"/>
      <c r="N45" s="60"/>
      <c r="O45" s="60"/>
      <c r="P45" s="60"/>
      <c r="Q45" s="60"/>
      <c r="R45" s="60"/>
      <c r="S45" s="60"/>
      <c r="T45" s="60"/>
    </row>
    <row r="46" spans="2:20">
      <c r="B46" s="61" t="s">
        <v>3486</v>
      </c>
      <c r="C46" s="41" t="s">
        <v>3064</v>
      </c>
      <c r="D46" s="63"/>
      <c r="E46" s="63"/>
      <c r="F46" s="63"/>
      <c r="G46" s="63"/>
      <c r="H46" s="63"/>
      <c r="I46" s="63"/>
      <c r="J46" s="63"/>
      <c r="K46" s="63"/>
      <c r="L46" s="63"/>
      <c r="M46" s="63"/>
      <c r="N46" s="63"/>
      <c r="O46" s="63"/>
      <c r="P46" s="63"/>
      <c r="Q46" s="63"/>
      <c r="R46" s="63"/>
      <c r="S46" s="63"/>
      <c r="T46" s="63"/>
    </row>
    <row r="47" spans="2:20">
      <c r="B47" s="49" t="s">
        <v>3492</v>
      </c>
      <c r="C47" s="44" t="s">
        <v>2878</v>
      </c>
      <c r="D47" s="56"/>
      <c r="E47" s="66"/>
      <c r="F47" s="66"/>
      <c r="G47" s="66"/>
      <c r="H47" s="66"/>
      <c r="I47" s="66"/>
      <c r="J47" s="66"/>
      <c r="K47" s="66"/>
      <c r="L47" s="66"/>
      <c r="M47" s="66"/>
      <c r="N47" s="66"/>
      <c r="O47" s="66"/>
      <c r="P47" s="67"/>
      <c r="Q47" s="67"/>
      <c r="R47" s="67"/>
      <c r="S47" s="67"/>
      <c r="T47" s="57"/>
    </row>
    <row r="48" spans="2:20">
      <c r="B48" s="61" t="s">
        <v>3482</v>
      </c>
      <c r="C48" s="41" t="s">
        <v>3066</v>
      </c>
      <c r="D48" s="60"/>
      <c r="E48" s="60"/>
      <c r="F48" s="60"/>
      <c r="G48" s="60"/>
      <c r="H48" s="60"/>
      <c r="I48" s="60"/>
      <c r="J48" s="60"/>
      <c r="K48" s="60"/>
      <c r="L48" s="60"/>
      <c r="M48" s="60"/>
      <c r="N48" s="60"/>
      <c r="O48" s="64"/>
      <c r="P48" s="58"/>
      <c r="Q48" s="58"/>
      <c r="R48" s="58"/>
      <c r="S48" s="48"/>
      <c r="T48" s="60"/>
    </row>
    <row r="49" spans="2:20">
      <c r="B49" s="61" t="s">
        <v>3483</v>
      </c>
      <c r="C49" s="41" t="s">
        <v>3068</v>
      </c>
      <c r="D49" s="63"/>
      <c r="E49" s="63"/>
      <c r="F49" s="63"/>
      <c r="G49" s="63"/>
      <c r="H49" s="63"/>
      <c r="I49" s="63"/>
      <c r="J49" s="63"/>
      <c r="K49" s="63"/>
      <c r="L49" s="63"/>
      <c r="M49" s="63"/>
      <c r="N49" s="63"/>
      <c r="O49" s="65"/>
      <c r="P49" s="56"/>
      <c r="Q49" s="56"/>
      <c r="R49" s="56"/>
      <c r="S49" s="46"/>
      <c r="T49" s="60"/>
    </row>
    <row r="50" spans="2:20">
      <c r="B50" s="61" t="s">
        <v>3484</v>
      </c>
      <c r="C50" s="44" t="s">
        <v>3070</v>
      </c>
      <c r="D50" s="56"/>
      <c r="E50" s="56"/>
      <c r="F50" s="56"/>
      <c r="G50" s="56"/>
      <c r="H50" s="56"/>
      <c r="I50" s="56"/>
      <c r="J50" s="56"/>
      <c r="K50" s="56"/>
      <c r="L50" s="56"/>
      <c r="M50" s="56"/>
      <c r="N50" s="56"/>
      <c r="O50" s="46"/>
      <c r="P50" s="60"/>
      <c r="Q50" s="60"/>
      <c r="R50" s="60"/>
      <c r="S50" s="60"/>
      <c r="T50" s="60"/>
    </row>
    <row r="51" spans="2:20">
      <c r="B51" s="61" t="s">
        <v>3485</v>
      </c>
      <c r="C51" s="41" t="s">
        <v>3017</v>
      </c>
      <c r="D51" s="60"/>
      <c r="E51" s="60"/>
      <c r="F51" s="60"/>
      <c r="G51" s="60"/>
      <c r="H51" s="60"/>
      <c r="I51" s="60"/>
      <c r="J51" s="60"/>
      <c r="K51" s="60"/>
      <c r="L51" s="60"/>
      <c r="M51" s="60"/>
      <c r="N51" s="60"/>
      <c r="O51" s="60"/>
      <c r="P51" s="60"/>
      <c r="Q51" s="60"/>
      <c r="R51" s="60"/>
      <c r="S51" s="60"/>
      <c r="T51" s="60"/>
    </row>
    <row r="52" spans="2:20">
      <c r="B52" s="61" t="s">
        <v>3486</v>
      </c>
      <c r="C52" s="41" t="s">
        <v>3120</v>
      </c>
      <c r="D52" s="63"/>
      <c r="E52" s="63"/>
      <c r="F52" s="63"/>
      <c r="G52" s="63"/>
      <c r="H52" s="63"/>
      <c r="I52" s="63"/>
      <c r="J52" s="63"/>
      <c r="K52" s="63"/>
      <c r="L52" s="63"/>
      <c r="M52" s="63"/>
      <c r="N52" s="63"/>
      <c r="O52" s="63"/>
      <c r="P52" s="63"/>
      <c r="Q52" s="63"/>
      <c r="R52" s="63"/>
      <c r="S52" s="63"/>
      <c r="T52" s="63"/>
    </row>
    <row r="53" spans="2:20">
      <c r="B53" s="49" t="s">
        <v>3493</v>
      </c>
      <c r="C53" s="44" t="s">
        <v>2878</v>
      </c>
      <c r="D53" s="56"/>
      <c r="E53" s="66"/>
      <c r="F53" s="66"/>
      <c r="G53" s="66"/>
      <c r="H53" s="66"/>
      <c r="I53" s="66"/>
      <c r="J53" s="66"/>
      <c r="K53" s="66"/>
      <c r="L53" s="66"/>
      <c r="M53" s="66"/>
      <c r="N53" s="66"/>
      <c r="O53" s="66"/>
      <c r="P53" s="67"/>
      <c r="Q53" s="67"/>
      <c r="R53" s="67"/>
      <c r="S53" s="67"/>
      <c r="T53" s="57"/>
    </row>
    <row r="54" spans="2:20">
      <c r="B54" s="61" t="s">
        <v>3482</v>
      </c>
      <c r="C54" s="41" t="s">
        <v>3122</v>
      </c>
      <c r="D54" s="60"/>
      <c r="E54" s="60"/>
      <c r="F54" s="60"/>
      <c r="G54" s="60"/>
      <c r="H54" s="60"/>
      <c r="I54" s="60"/>
      <c r="J54" s="60"/>
      <c r="K54" s="60"/>
      <c r="L54" s="60"/>
      <c r="M54" s="60"/>
      <c r="N54" s="60"/>
      <c r="O54" s="64"/>
      <c r="P54" s="58"/>
      <c r="Q54" s="58"/>
      <c r="R54" s="58"/>
      <c r="S54" s="48"/>
      <c r="T54" s="60"/>
    </row>
    <row r="55" spans="2:20">
      <c r="B55" s="61" t="s">
        <v>3483</v>
      </c>
      <c r="C55" s="41" t="s">
        <v>3124</v>
      </c>
      <c r="D55" s="63"/>
      <c r="E55" s="63"/>
      <c r="F55" s="63"/>
      <c r="G55" s="63"/>
      <c r="H55" s="63"/>
      <c r="I55" s="63"/>
      <c r="J55" s="63"/>
      <c r="K55" s="63"/>
      <c r="L55" s="63"/>
      <c r="M55" s="63"/>
      <c r="N55" s="63"/>
      <c r="O55" s="65"/>
      <c r="P55" s="56"/>
      <c r="Q55" s="56"/>
      <c r="R55" s="56"/>
      <c r="S55" s="46"/>
      <c r="T55" s="60"/>
    </row>
    <row r="56" spans="2:20">
      <c r="B56" s="61" t="s">
        <v>3484</v>
      </c>
      <c r="C56" s="44" t="s">
        <v>3126</v>
      </c>
      <c r="D56" s="56"/>
      <c r="E56" s="56"/>
      <c r="F56" s="56"/>
      <c r="G56" s="56"/>
      <c r="H56" s="56"/>
      <c r="I56" s="56"/>
      <c r="J56" s="56"/>
      <c r="K56" s="56"/>
      <c r="L56" s="56"/>
      <c r="M56" s="56"/>
      <c r="N56" s="56"/>
      <c r="O56" s="46"/>
      <c r="P56" s="60"/>
      <c r="Q56" s="60"/>
      <c r="R56" s="60"/>
      <c r="S56" s="60"/>
      <c r="T56" s="60"/>
    </row>
    <row r="57" spans="2:20">
      <c r="B57" s="61" t="s">
        <v>3485</v>
      </c>
      <c r="C57" s="41" t="s">
        <v>3128</v>
      </c>
      <c r="D57" s="60"/>
      <c r="E57" s="60"/>
      <c r="F57" s="60"/>
      <c r="G57" s="60"/>
      <c r="H57" s="60"/>
      <c r="I57" s="60"/>
      <c r="J57" s="60"/>
      <c r="K57" s="60"/>
      <c r="L57" s="60"/>
      <c r="M57" s="60"/>
      <c r="N57" s="60"/>
      <c r="O57" s="60"/>
      <c r="P57" s="60"/>
      <c r="Q57" s="60"/>
      <c r="R57" s="60"/>
      <c r="S57" s="60"/>
      <c r="T57" s="60"/>
    </row>
    <row r="58" spans="2:20">
      <c r="B58" s="61" t="s">
        <v>3486</v>
      </c>
      <c r="C58" s="41" t="s">
        <v>3140</v>
      </c>
      <c r="D58" s="63"/>
      <c r="E58" s="63"/>
      <c r="F58" s="63"/>
      <c r="G58" s="63"/>
      <c r="H58" s="63"/>
      <c r="I58" s="63"/>
      <c r="J58" s="63"/>
      <c r="K58" s="63"/>
      <c r="L58" s="63"/>
      <c r="M58" s="63"/>
      <c r="N58" s="63"/>
      <c r="O58" s="63"/>
      <c r="P58" s="63"/>
      <c r="Q58" s="63"/>
      <c r="R58" s="63"/>
      <c r="S58" s="63"/>
      <c r="T58" s="63"/>
    </row>
    <row r="59" spans="2:20">
      <c r="B59" s="49" t="s">
        <v>3494</v>
      </c>
      <c r="C59" s="44" t="s">
        <v>2878</v>
      </c>
      <c r="D59" s="56"/>
      <c r="E59" s="66"/>
      <c r="F59" s="66"/>
      <c r="G59" s="66"/>
      <c r="H59" s="66"/>
      <c r="I59" s="66"/>
      <c r="J59" s="66"/>
      <c r="K59" s="66"/>
      <c r="L59" s="66"/>
      <c r="M59" s="66"/>
      <c r="N59" s="66"/>
      <c r="O59" s="66"/>
      <c r="P59" s="67"/>
      <c r="Q59" s="67"/>
      <c r="R59" s="67"/>
      <c r="S59" s="67"/>
      <c r="T59" s="57"/>
    </row>
    <row r="60" spans="2:20">
      <c r="B60" s="61" t="s">
        <v>3482</v>
      </c>
      <c r="C60" s="41" t="s">
        <v>3142</v>
      </c>
      <c r="D60" s="60"/>
      <c r="E60" s="60"/>
      <c r="F60" s="60"/>
      <c r="G60" s="60"/>
      <c r="H60" s="60"/>
      <c r="I60" s="60"/>
      <c r="J60" s="60"/>
      <c r="K60" s="60"/>
      <c r="L60" s="60"/>
      <c r="M60" s="60"/>
      <c r="N60" s="60"/>
      <c r="O60" s="64"/>
      <c r="P60" s="58"/>
      <c r="Q60" s="58"/>
      <c r="R60" s="58"/>
      <c r="S60" s="48"/>
      <c r="T60" s="60"/>
    </row>
    <row r="61" spans="2:20">
      <c r="B61" s="61" t="s">
        <v>3483</v>
      </c>
      <c r="C61" s="41" t="s">
        <v>3144</v>
      </c>
      <c r="D61" s="63"/>
      <c r="E61" s="63"/>
      <c r="F61" s="63"/>
      <c r="G61" s="63"/>
      <c r="H61" s="63"/>
      <c r="I61" s="63"/>
      <c r="J61" s="63"/>
      <c r="K61" s="63"/>
      <c r="L61" s="63"/>
      <c r="M61" s="63"/>
      <c r="N61" s="63"/>
      <c r="O61" s="65"/>
      <c r="P61" s="56"/>
      <c r="Q61" s="56"/>
      <c r="R61" s="56"/>
      <c r="S61" s="46"/>
      <c r="T61" s="60"/>
    </row>
    <row r="62" spans="2:20">
      <c r="B62" s="61" t="s">
        <v>3484</v>
      </c>
      <c r="C62" s="44" t="s">
        <v>3146</v>
      </c>
      <c r="D62" s="56"/>
      <c r="E62" s="56"/>
      <c r="F62" s="56"/>
      <c r="G62" s="56"/>
      <c r="H62" s="56"/>
      <c r="I62" s="56"/>
      <c r="J62" s="56"/>
      <c r="K62" s="56"/>
      <c r="L62" s="56"/>
      <c r="M62" s="56"/>
      <c r="N62" s="56"/>
      <c r="O62" s="46"/>
      <c r="P62" s="60"/>
      <c r="Q62" s="60"/>
      <c r="R62" s="60"/>
      <c r="S62" s="60"/>
      <c r="T62" s="60"/>
    </row>
    <row r="63" spans="2:20">
      <c r="B63" s="61" t="s">
        <v>3485</v>
      </c>
      <c r="C63" s="41" t="s">
        <v>3148</v>
      </c>
      <c r="D63" s="60"/>
      <c r="E63" s="60"/>
      <c r="F63" s="60"/>
      <c r="G63" s="60"/>
      <c r="H63" s="60"/>
      <c r="I63" s="60"/>
      <c r="J63" s="60"/>
      <c r="K63" s="60"/>
      <c r="L63" s="60"/>
      <c r="M63" s="60"/>
      <c r="N63" s="60"/>
      <c r="O63" s="60"/>
      <c r="P63" s="60"/>
      <c r="Q63" s="60"/>
      <c r="R63" s="60"/>
      <c r="S63" s="60"/>
      <c r="T63" s="60"/>
    </row>
    <row r="64" spans="2:20">
      <c r="B64" s="61" t="s">
        <v>3486</v>
      </c>
      <c r="C64" s="41" t="s">
        <v>3315</v>
      </c>
      <c r="D64" s="63"/>
      <c r="E64" s="63"/>
      <c r="F64" s="63"/>
      <c r="G64" s="63"/>
      <c r="H64" s="63"/>
      <c r="I64" s="63"/>
      <c r="J64" s="63"/>
      <c r="K64" s="63"/>
      <c r="L64" s="63"/>
      <c r="M64" s="63"/>
      <c r="N64" s="63"/>
      <c r="O64" s="63"/>
      <c r="P64" s="63"/>
      <c r="Q64" s="63"/>
      <c r="R64" s="63"/>
      <c r="S64" s="63"/>
      <c r="T64" s="63"/>
    </row>
    <row r="65" spans="2:28">
      <c r="B65" s="49" t="s">
        <v>3495</v>
      </c>
      <c r="C65" s="44" t="s">
        <v>2878</v>
      </c>
      <c r="D65" s="56"/>
      <c r="E65" s="66"/>
      <c r="F65" s="66"/>
      <c r="G65" s="66"/>
      <c r="H65" s="66"/>
      <c r="I65" s="66"/>
      <c r="J65" s="66"/>
      <c r="K65" s="66"/>
      <c r="L65" s="66"/>
      <c r="M65" s="66"/>
      <c r="N65" s="66"/>
      <c r="O65" s="66"/>
      <c r="P65" s="67"/>
      <c r="Q65" s="67"/>
      <c r="R65" s="67"/>
      <c r="S65" s="67"/>
      <c r="T65" s="57"/>
    </row>
    <row r="66" spans="2:28">
      <c r="B66" s="61" t="s">
        <v>3482</v>
      </c>
      <c r="C66" s="41" t="s">
        <v>3496</v>
      </c>
      <c r="D66" s="60"/>
      <c r="E66" s="60"/>
      <c r="F66" s="60"/>
      <c r="G66" s="60"/>
      <c r="H66" s="60"/>
      <c r="I66" s="60"/>
      <c r="J66" s="60"/>
      <c r="K66" s="60"/>
      <c r="L66" s="60"/>
      <c r="M66" s="60"/>
      <c r="N66" s="60"/>
      <c r="O66" s="64"/>
      <c r="P66" s="58"/>
      <c r="Q66" s="58"/>
      <c r="R66" s="58"/>
      <c r="S66" s="48"/>
      <c r="T66" s="60"/>
    </row>
    <row r="67" spans="2:28">
      <c r="B67" s="61" t="s">
        <v>3483</v>
      </c>
      <c r="C67" s="41" t="s">
        <v>3497</v>
      </c>
      <c r="D67" s="63"/>
      <c r="E67" s="63"/>
      <c r="F67" s="63"/>
      <c r="G67" s="63"/>
      <c r="H67" s="63"/>
      <c r="I67" s="63"/>
      <c r="J67" s="63"/>
      <c r="K67" s="63"/>
      <c r="L67" s="63"/>
      <c r="M67" s="63"/>
      <c r="N67" s="63"/>
      <c r="O67" s="65"/>
      <c r="P67" s="56"/>
      <c r="Q67" s="56"/>
      <c r="R67" s="56"/>
      <c r="S67" s="46"/>
      <c r="T67" s="60"/>
    </row>
    <row r="68" spans="2:28">
      <c r="B68" s="61" t="s">
        <v>3484</v>
      </c>
      <c r="C68" s="44" t="s">
        <v>3498</v>
      </c>
      <c r="D68" s="56"/>
      <c r="E68" s="56"/>
      <c r="F68" s="56"/>
      <c r="G68" s="56"/>
      <c r="H68" s="56"/>
      <c r="I68" s="56"/>
      <c r="J68" s="56"/>
      <c r="K68" s="56"/>
      <c r="L68" s="56"/>
      <c r="M68" s="56"/>
      <c r="N68" s="56"/>
      <c r="O68" s="46"/>
      <c r="P68" s="60"/>
      <c r="Q68" s="60"/>
      <c r="R68" s="60"/>
      <c r="S68" s="60"/>
      <c r="T68" s="60"/>
    </row>
    <row r="69" spans="2:28">
      <c r="B69" s="61" t="s">
        <v>3485</v>
      </c>
      <c r="C69" s="41" t="s">
        <v>3499</v>
      </c>
      <c r="D69" s="60"/>
      <c r="E69" s="60"/>
      <c r="F69" s="60"/>
      <c r="G69" s="60"/>
      <c r="H69" s="60"/>
      <c r="I69" s="60"/>
      <c r="J69" s="60"/>
      <c r="K69" s="60"/>
      <c r="L69" s="60"/>
      <c r="M69" s="60"/>
      <c r="N69" s="60"/>
      <c r="O69" s="60"/>
      <c r="P69" s="60"/>
      <c r="Q69" s="60"/>
      <c r="R69" s="60"/>
      <c r="S69" s="60"/>
      <c r="T69" s="60"/>
    </row>
    <row r="70" spans="2:28">
      <c r="B70" s="61" t="s">
        <v>3486</v>
      </c>
      <c r="C70" s="41" t="s">
        <v>3500</v>
      </c>
      <c r="D70" s="63"/>
      <c r="E70" s="63"/>
      <c r="F70" s="63"/>
      <c r="G70" s="63"/>
      <c r="H70" s="63"/>
      <c r="I70" s="63"/>
      <c r="J70" s="63"/>
      <c r="K70" s="63"/>
      <c r="L70" s="63"/>
      <c r="M70" s="63"/>
      <c r="N70" s="63"/>
      <c r="O70" s="63"/>
      <c r="P70" s="63"/>
      <c r="Q70" s="63"/>
      <c r="R70" s="63"/>
      <c r="S70" s="63"/>
      <c r="T70" s="60"/>
    </row>
    <row r="71" spans="2:28">
      <c r="B71" s="47" t="s">
        <v>3501</v>
      </c>
      <c r="C71" s="44" t="s">
        <v>3502</v>
      </c>
      <c r="D71" s="58"/>
      <c r="E71" s="58"/>
      <c r="F71" s="58"/>
      <c r="G71" s="58"/>
      <c r="H71" s="58"/>
      <c r="I71" s="58"/>
      <c r="J71" s="58"/>
      <c r="K71" s="58"/>
      <c r="L71" s="58"/>
      <c r="M71" s="58"/>
      <c r="N71" s="58"/>
      <c r="O71" s="58"/>
      <c r="P71" s="58"/>
      <c r="Q71" s="58"/>
      <c r="R71" s="58"/>
      <c r="S71" s="48"/>
      <c r="T71" s="60"/>
    </row>
    <row r="72" spans="2:28">
      <c r="B72" s="47" t="s">
        <v>3503</v>
      </c>
      <c r="C72" s="44" t="s">
        <v>3504</v>
      </c>
      <c r="D72" s="56"/>
      <c r="E72" s="56"/>
      <c r="F72" s="56"/>
      <c r="G72" s="56"/>
      <c r="H72" s="56"/>
      <c r="I72" s="56"/>
      <c r="J72" s="56"/>
      <c r="K72" s="56"/>
      <c r="L72" s="56"/>
      <c r="M72" s="56"/>
      <c r="N72" s="56"/>
      <c r="O72" s="56"/>
      <c r="P72" s="56"/>
      <c r="Q72" s="56"/>
      <c r="R72" s="56"/>
      <c r="S72" s="46"/>
      <c r="T72" s="60"/>
    </row>
    <row r="74" spans="2:28">
      <c r="AA74" s="13" t="str">
        <f>Show!$B$46&amp;Show!$B$46&amp;"S.05.01.01.01 Rows {"&amp;COLUMN($C$1)&amp;"}"</f>
        <v>!!S.05.01.01.01 Rows {3}</v>
      </c>
      <c r="AB74" s="13" t="str">
        <f>Show!$B$46&amp;Show!$B$46&amp;"S.05.01.01.01 Columns {"&amp;COLUMN($T$1)&amp;"}"</f>
        <v>!!S.05.01.01.01 Columns {20}</v>
      </c>
    </row>
    <row r="76" spans="2:28" ht="18.75">
      <c r="B76" s="97" t="s">
        <v>3505</v>
      </c>
      <c r="C76" s="96"/>
      <c r="D76" s="96"/>
      <c r="E76" s="96"/>
      <c r="F76" s="96"/>
      <c r="G76" s="96"/>
      <c r="H76" s="96"/>
      <c r="I76" s="96"/>
      <c r="J76" s="96"/>
      <c r="K76" s="96"/>
      <c r="L76" s="96"/>
    </row>
    <row r="80" spans="2:28">
      <c r="D80" s="101" t="s">
        <v>2877</v>
      </c>
      <c r="E80" s="102"/>
      <c r="F80" s="102"/>
      <c r="G80" s="102"/>
      <c r="H80" s="102"/>
      <c r="I80" s="102"/>
      <c r="J80" s="102"/>
      <c r="K80" s="102"/>
      <c r="L80" s="103"/>
    </row>
    <row r="81" spans="2:28">
      <c r="D81" s="104"/>
      <c r="E81" s="105"/>
      <c r="F81" s="105"/>
      <c r="G81" s="105"/>
      <c r="H81" s="105"/>
      <c r="I81" s="105"/>
      <c r="J81" s="105"/>
      <c r="K81" s="105"/>
      <c r="L81" s="106"/>
    </row>
    <row r="82" spans="2:28">
      <c r="D82" s="107" t="s">
        <v>3506</v>
      </c>
      <c r="E82" s="108"/>
      <c r="F82" s="108"/>
      <c r="G82" s="108"/>
      <c r="H82" s="108"/>
      <c r="I82" s="109"/>
      <c r="J82" s="107" t="s">
        <v>3516</v>
      </c>
      <c r="K82" s="109"/>
      <c r="L82" s="98" t="s">
        <v>3480</v>
      </c>
    </row>
    <row r="83" spans="2:28">
      <c r="D83" s="98" t="s">
        <v>3507</v>
      </c>
      <c r="E83" s="98" t="s">
        <v>1264</v>
      </c>
      <c r="F83" s="98" t="s">
        <v>3510</v>
      </c>
      <c r="G83" s="98" t="s">
        <v>3512</v>
      </c>
      <c r="H83" s="98" t="s">
        <v>1267</v>
      </c>
      <c r="I83" s="98" t="s">
        <v>1268</v>
      </c>
      <c r="J83" s="98" t="s">
        <v>1269</v>
      </c>
      <c r="K83" s="98" t="s">
        <v>1270</v>
      </c>
      <c r="L83" s="99"/>
    </row>
    <row r="84" spans="2:28">
      <c r="D84" s="100"/>
      <c r="E84" s="100"/>
      <c r="F84" s="100"/>
      <c r="G84" s="100"/>
      <c r="H84" s="100"/>
      <c r="I84" s="100"/>
      <c r="J84" s="100"/>
      <c r="K84" s="100"/>
      <c r="L84" s="100"/>
    </row>
    <row r="85" spans="2:28">
      <c r="D85" s="45" t="s">
        <v>3508</v>
      </c>
      <c r="E85" s="45" t="s">
        <v>3509</v>
      </c>
      <c r="F85" s="45" t="s">
        <v>3511</v>
      </c>
      <c r="G85" s="45" t="s">
        <v>3513</v>
      </c>
      <c r="H85" s="45" t="s">
        <v>3514</v>
      </c>
      <c r="I85" s="45" t="s">
        <v>3515</v>
      </c>
      <c r="J85" s="45" t="s">
        <v>3517</v>
      </c>
      <c r="K85" s="45" t="s">
        <v>3518</v>
      </c>
      <c r="L85" s="45" t="s">
        <v>3519</v>
      </c>
      <c r="AA85" s="13" t="str">
        <f>Show!$B$46&amp;"S.05.01.01.02 Rows {"&amp;COLUMN($C$1)&amp;"}"&amp;"@ForceFilingCode:true"</f>
        <v>!S.05.01.01.02 Rows {3}@ForceFilingCode:true</v>
      </c>
      <c r="AB85" s="13" t="str">
        <f>Show!$B$46&amp;"S.05.01.01.02 Columns {"&amp;COLUMN($D$1)&amp;"}"</f>
        <v>!S.05.01.01.02 Columns {4}</v>
      </c>
    </row>
    <row r="86" spans="2:28">
      <c r="B86" s="43" t="s">
        <v>2880</v>
      </c>
      <c r="C86" s="44" t="s">
        <v>2878</v>
      </c>
      <c r="D86" s="58"/>
      <c r="E86" s="67"/>
      <c r="F86" s="67"/>
      <c r="G86" s="67"/>
      <c r="H86" s="67"/>
      <c r="I86" s="67"/>
      <c r="J86" s="67"/>
      <c r="K86" s="67"/>
      <c r="L86" s="59"/>
    </row>
    <row r="87" spans="2:28">
      <c r="B87" s="47" t="s">
        <v>3437</v>
      </c>
      <c r="C87" s="44" t="s">
        <v>2878</v>
      </c>
      <c r="D87" s="56"/>
      <c r="E87" s="66"/>
      <c r="F87" s="66"/>
      <c r="G87" s="66"/>
      <c r="H87" s="66"/>
      <c r="I87" s="66"/>
      <c r="J87" s="66"/>
      <c r="K87" s="66"/>
      <c r="L87" s="57"/>
    </row>
    <row r="88" spans="2:28">
      <c r="B88" s="49" t="s">
        <v>3520</v>
      </c>
      <c r="C88" s="41" t="s">
        <v>3521</v>
      </c>
      <c r="D88" s="60"/>
      <c r="E88" s="60"/>
      <c r="F88" s="60"/>
      <c r="G88" s="60"/>
      <c r="H88" s="60"/>
      <c r="I88" s="60"/>
      <c r="J88" s="60"/>
      <c r="K88" s="60"/>
      <c r="L88" s="60"/>
    </row>
    <row r="89" spans="2:28">
      <c r="B89" s="49" t="s">
        <v>3485</v>
      </c>
      <c r="C89" s="41" t="s">
        <v>3522</v>
      </c>
      <c r="D89" s="60"/>
      <c r="E89" s="60"/>
      <c r="F89" s="60"/>
      <c r="G89" s="60"/>
      <c r="H89" s="60"/>
      <c r="I89" s="60"/>
      <c r="J89" s="60"/>
      <c r="K89" s="60"/>
      <c r="L89" s="60"/>
    </row>
    <row r="90" spans="2:28">
      <c r="B90" s="49" t="s">
        <v>3486</v>
      </c>
      <c r="C90" s="41" t="s">
        <v>3523</v>
      </c>
      <c r="D90" s="63"/>
      <c r="E90" s="63"/>
      <c r="F90" s="63"/>
      <c r="G90" s="63"/>
      <c r="H90" s="63"/>
      <c r="I90" s="63"/>
      <c r="J90" s="63"/>
      <c r="K90" s="63"/>
      <c r="L90" s="63"/>
    </row>
    <row r="91" spans="2:28">
      <c r="B91" s="47" t="s">
        <v>3487</v>
      </c>
      <c r="C91" s="44" t="s">
        <v>2878</v>
      </c>
      <c r="D91" s="56"/>
      <c r="E91" s="66"/>
      <c r="F91" s="66"/>
      <c r="G91" s="66"/>
      <c r="H91" s="66"/>
      <c r="I91" s="66"/>
      <c r="J91" s="66"/>
      <c r="K91" s="66"/>
      <c r="L91" s="57"/>
    </row>
    <row r="92" spans="2:28">
      <c r="B92" s="49" t="s">
        <v>3520</v>
      </c>
      <c r="C92" s="41" t="s">
        <v>3524</v>
      </c>
      <c r="D92" s="60"/>
      <c r="E92" s="60"/>
      <c r="F92" s="60"/>
      <c r="G92" s="60"/>
      <c r="H92" s="60"/>
      <c r="I92" s="60"/>
      <c r="J92" s="60"/>
      <c r="K92" s="60"/>
      <c r="L92" s="60"/>
    </row>
    <row r="93" spans="2:28">
      <c r="B93" s="49" t="s">
        <v>3485</v>
      </c>
      <c r="C93" s="41" t="s">
        <v>3525</v>
      </c>
      <c r="D93" s="60"/>
      <c r="E93" s="60"/>
      <c r="F93" s="60"/>
      <c r="G93" s="60"/>
      <c r="H93" s="60"/>
      <c r="I93" s="60"/>
      <c r="J93" s="60"/>
      <c r="K93" s="60"/>
      <c r="L93" s="60"/>
    </row>
    <row r="94" spans="2:28">
      <c r="B94" s="49" t="s">
        <v>3486</v>
      </c>
      <c r="C94" s="41" t="s">
        <v>3526</v>
      </c>
      <c r="D94" s="63"/>
      <c r="E94" s="63"/>
      <c r="F94" s="63"/>
      <c r="G94" s="63"/>
      <c r="H94" s="63"/>
      <c r="I94" s="63"/>
      <c r="J94" s="63"/>
      <c r="K94" s="63"/>
      <c r="L94" s="63"/>
    </row>
    <row r="95" spans="2:28">
      <c r="B95" s="47" t="s">
        <v>3438</v>
      </c>
      <c r="C95" s="44" t="s">
        <v>2878</v>
      </c>
      <c r="D95" s="56"/>
      <c r="E95" s="66"/>
      <c r="F95" s="66"/>
      <c r="G95" s="66"/>
      <c r="H95" s="66"/>
      <c r="I95" s="66"/>
      <c r="J95" s="66"/>
      <c r="K95" s="66"/>
      <c r="L95" s="57"/>
    </row>
    <row r="96" spans="2:28">
      <c r="B96" s="49" t="s">
        <v>3520</v>
      </c>
      <c r="C96" s="41" t="s">
        <v>3527</v>
      </c>
      <c r="D96" s="60"/>
      <c r="E96" s="60"/>
      <c r="F96" s="60"/>
      <c r="G96" s="60"/>
      <c r="H96" s="60"/>
      <c r="I96" s="60"/>
      <c r="J96" s="60"/>
      <c r="K96" s="60"/>
      <c r="L96" s="60"/>
    </row>
    <row r="97" spans="2:12">
      <c r="B97" s="49" t="s">
        <v>3485</v>
      </c>
      <c r="C97" s="41" t="s">
        <v>3528</v>
      </c>
      <c r="D97" s="60"/>
      <c r="E97" s="60"/>
      <c r="F97" s="60"/>
      <c r="G97" s="60"/>
      <c r="H97" s="60"/>
      <c r="I97" s="60"/>
      <c r="J97" s="60"/>
      <c r="K97" s="60"/>
      <c r="L97" s="60"/>
    </row>
    <row r="98" spans="2:12">
      <c r="B98" s="49" t="s">
        <v>3486</v>
      </c>
      <c r="C98" s="41" t="s">
        <v>3529</v>
      </c>
      <c r="D98" s="63"/>
      <c r="E98" s="63"/>
      <c r="F98" s="63"/>
      <c r="G98" s="63"/>
      <c r="H98" s="63"/>
      <c r="I98" s="63"/>
      <c r="J98" s="63"/>
      <c r="K98" s="63"/>
      <c r="L98" s="63"/>
    </row>
    <row r="99" spans="2:12">
      <c r="B99" s="47" t="s">
        <v>3488</v>
      </c>
      <c r="C99" s="44" t="s">
        <v>2878</v>
      </c>
      <c r="D99" s="56"/>
      <c r="E99" s="66"/>
      <c r="F99" s="66"/>
      <c r="G99" s="66"/>
      <c r="H99" s="66"/>
      <c r="I99" s="66"/>
      <c r="J99" s="66"/>
      <c r="K99" s="66"/>
      <c r="L99" s="57"/>
    </row>
    <row r="100" spans="2:12">
      <c r="B100" s="49" t="s">
        <v>3520</v>
      </c>
      <c r="C100" s="41" t="s">
        <v>3530</v>
      </c>
      <c r="D100" s="60"/>
      <c r="E100" s="60"/>
      <c r="F100" s="60"/>
      <c r="G100" s="60"/>
      <c r="H100" s="60"/>
      <c r="I100" s="60"/>
      <c r="J100" s="60"/>
      <c r="K100" s="60"/>
      <c r="L100" s="60"/>
    </row>
    <row r="101" spans="2:12">
      <c r="B101" s="49" t="s">
        <v>3485</v>
      </c>
      <c r="C101" s="41" t="s">
        <v>3531</v>
      </c>
      <c r="D101" s="60"/>
      <c r="E101" s="60"/>
      <c r="F101" s="60"/>
      <c r="G101" s="60"/>
      <c r="H101" s="60"/>
      <c r="I101" s="60"/>
      <c r="J101" s="60"/>
      <c r="K101" s="60"/>
      <c r="L101" s="60"/>
    </row>
    <row r="102" spans="2:12">
      <c r="B102" s="49" t="s">
        <v>3486</v>
      </c>
      <c r="C102" s="41" t="s">
        <v>3532</v>
      </c>
      <c r="D102" s="60"/>
      <c r="E102" s="60"/>
      <c r="F102" s="60"/>
      <c r="G102" s="60"/>
      <c r="H102" s="60"/>
      <c r="I102" s="60"/>
      <c r="J102" s="60"/>
      <c r="K102" s="60"/>
      <c r="L102" s="60"/>
    </row>
    <row r="103" spans="2:12">
      <c r="B103" s="47" t="s">
        <v>3490</v>
      </c>
      <c r="C103" s="41" t="s">
        <v>3533</v>
      </c>
      <c r="D103" s="63"/>
      <c r="E103" s="63"/>
      <c r="F103" s="63"/>
      <c r="G103" s="63"/>
      <c r="H103" s="63"/>
      <c r="I103" s="63"/>
      <c r="J103" s="63"/>
      <c r="K103" s="63"/>
      <c r="L103" s="63"/>
    </row>
    <row r="104" spans="2:12">
      <c r="B104" s="49" t="s">
        <v>3491</v>
      </c>
      <c r="C104" s="44" t="s">
        <v>2878</v>
      </c>
      <c r="D104" s="56"/>
      <c r="E104" s="66"/>
      <c r="F104" s="66"/>
      <c r="G104" s="66"/>
      <c r="H104" s="66"/>
      <c r="I104" s="66"/>
      <c r="J104" s="66"/>
      <c r="K104" s="66"/>
      <c r="L104" s="57"/>
    </row>
    <row r="105" spans="2:12">
      <c r="B105" s="61" t="s">
        <v>3520</v>
      </c>
      <c r="C105" s="41" t="s">
        <v>3534</v>
      </c>
      <c r="D105" s="60"/>
      <c r="E105" s="60"/>
      <c r="F105" s="60"/>
      <c r="G105" s="60"/>
      <c r="H105" s="60"/>
      <c r="I105" s="60"/>
      <c r="J105" s="60"/>
      <c r="K105" s="60"/>
      <c r="L105" s="60"/>
    </row>
    <row r="106" spans="2:12">
      <c r="B106" s="61" t="s">
        <v>3485</v>
      </c>
      <c r="C106" s="41" t="s">
        <v>3535</v>
      </c>
      <c r="D106" s="60"/>
      <c r="E106" s="60"/>
      <c r="F106" s="60"/>
      <c r="G106" s="60"/>
      <c r="H106" s="60"/>
      <c r="I106" s="60"/>
      <c r="J106" s="60"/>
      <c r="K106" s="60"/>
      <c r="L106" s="60"/>
    </row>
    <row r="107" spans="2:12">
      <c r="B107" s="61" t="s">
        <v>3486</v>
      </c>
      <c r="C107" s="41" t="s">
        <v>3536</v>
      </c>
      <c r="D107" s="63"/>
      <c r="E107" s="63"/>
      <c r="F107" s="63"/>
      <c r="G107" s="63"/>
      <c r="H107" s="63"/>
      <c r="I107" s="63"/>
      <c r="J107" s="63"/>
      <c r="K107" s="63"/>
      <c r="L107" s="63"/>
    </row>
    <row r="108" spans="2:12">
      <c r="B108" s="49" t="s">
        <v>3492</v>
      </c>
      <c r="C108" s="44" t="s">
        <v>2878</v>
      </c>
      <c r="D108" s="56"/>
      <c r="E108" s="66"/>
      <c r="F108" s="66"/>
      <c r="G108" s="66"/>
      <c r="H108" s="66"/>
      <c r="I108" s="66"/>
      <c r="J108" s="66"/>
      <c r="K108" s="66"/>
      <c r="L108" s="57"/>
    </row>
    <row r="109" spans="2:12">
      <c r="B109" s="61" t="s">
        <v>3520</v>
      </c>
      <c r="C109" s="41" t="s">
        <v>3537</v>
      </c>
      <c r="D109" s="60"/>
      <c r="E109" s="60"/>
      <c r="F109" s="60"/>
      <c r="G109" s="60"/>
      <c r="H109" s="60"/>
      <c r="I109" s="60"/>
      <c r="J109" s="60"/>
      <c r="K109" s="60"/>
      <c r="L109" s="60"/>
    </row>
    <row r="110" spans="2:12">
      <c r="B110" s="61" t="s">
        <v>3485</v>
      </c>
      <c r="C110" s="41" t="s">
        <v>3538</v>
      </c>
      <c r="D110" s="60"/>
      <c r="E110" s="60"/>
      <c r="F110" s="60"/>
      <c r="G110" s="60"/>
      <c r="H110" s="60"/>
      <c r="I110" s="60"/>
      <c r="J110" s="60"/>
      <c r="K110" s="60"/>
      <c r="L110" s="60"/>
    </row>
    <row r="111" spans="2:12">
      <c r="B111" s="61" t="s">
        <v>3486</v>
      </c>
      <c r="C111" s="41" t="s">
        <v>3539</v>
      </c>
      <c r="D111" s="63"/>
      <c r="E111" s="63"/>
      <c r="F111" s="63"/>
      <c r="G111" s="63"/>
      <c r="H111" s="63"/>
      <c r="I111" s="63"/>
      <c r="J111" s="63"/>
      <c r="K111" s="63"/>
      <c r="L111" s="63"/>
    </row>
    <row r="112" spans="2:12">
      <c r="B112" s="49" t="s">
        <v>3493</v>
      </c>
      <c r="C112" s="44" t="s">
        <v>2878</v>
      </c>
      <c r="D112" s="56"/>
      <c r="E112" s="66"/>
      <c r="F112" s="66"/>
      <c r="G112" s="66"/>
      <c r="H112" s="66"/>
      <c r="I112" s="66"/>
      <c r="J112" s="66"/>
      <c r="K112" s="66"/>
      <c r="L112" s="57"/>
    </row>
    <row r="113" spans="2:28">
      <c r="B113" s="61" t="s">
        <v>3520</v>
      </c>
      <c r="C113" s="41" t="s">
        <v>3540</v>
      </c>
      <c r="D113" s="60"/>
      <c r="E113" s="60"/>
      <c r="F113" s="60"/>
      <c r="G113" s="60"/>
      <c r="H113" s="60"/>
      <c r="I113" s="60"/>
      <c r="J113" s="60"/>
      <c r="K113" s="60"/>
      <c r="L113" s="60"/>
    </row>
    <row r="114" spans="2:28">
      <c r="B114" s="61" t="s">
        <v>3485</v>
      </c>
      <c r="C114" s="41" t="s">
        <v>3541</v>
      </c>
      <c r="D114" s="60"/>
      <c r="E114" s="60"/>
      <c r="F114" s="60"/>
      <c r="G114" s="60"/>
      <c r="H114" s="60"/>
      <c r="I114" s="60"/>
      <c r="J114" s="60"/>
      <c r="K114" s="60"/>
      <c r="L114" s="60"/>
    </row>
    <row r="115" spans="2:28">
      <c r="B115" s="61" t="s">
        <v>3486</v>
      </c>
      <c r="C115" s="41" t="s">
        <v>3542</v>
      </c>
      <c r="D115" s="63"/>
      <c r="E115" s="63"/>
      <c r="F115" s="63"/>
      <c r="G115" s="63"/>
      <c r="H115" s="63"/>
      <c r="I115" s="63"/>
      <c r="J115" s="63"/>
      <c r="K115" s="63"/>
      <c r="L115" s="63"/>
    </row>
    <row r="116" spans="2:28">
      <c r="B116" s="49" t="s">
        <v>3494</v>
      </c>
      <c r="C116" s="44" t="s">
        <v>2878</v>
      </c>
      <c r="D116" s="56"/>
      <c r="E116" s="66"/>
      <c r="F116" s="66"/>
      <c r="G116" s="66"/>
      <c r="H116" s="66"/>
      <c r="I116" s="66"/>
      <c r="J116" s="66"/>
      <c r="K116" s="66"/>
      <c r="L116" s="57"/>
    </row>
    <row r="117" spans="2:28">
      <c r="B117" s="61" t="s">
        <v>3520</v>
      </c>
      <c r="C117" s="41" t="s">
        <v>3543</v>
      </c>
      <c r="D117" s="60"/>
      <c r="E117" s="60"/>
      <c r="F117" s="60"/>
      <c r="G117" s="60"/>
      <c r="H117" s="60"/>
      <c r="I117" s="60"/>
      <c r="J117" s="60"/>
      <c r="K117" s="60"/>
      <c r="L117" s="60"/>
    </row>
    <row r="118" spans="2:28">
      <c r="B118" s="61" t="s">
        <v>3485</v>
      </c>
      <c r="C118" s="41" t="s">
        <v>3544</v>
      </c>
      <c r="D118" s="60"/>
      <c r="E118" s="60"/>
      <c r="F118" s="60"/>
      <c r="G118" s="60"/>
      <c r="H118" s="60"/>
      <c r="I118" s="60"/>
      <c r="J118" s="60"/>
      <c r="K118" s="60"/>
      <c r="L118" s="60"/>
    </row>
    <row r="119" spans="2:28">
      <c r="B119" s="61" t="s">
        <v>3486</v>
      </c>
      <c r="C119" s="41" t="s">
        <v>3545</v>
      </c>
      <c r="D119" s="63"/>
      <c r="E119" s="63"/>
      <c r="F119" s="63"/>
      <c r="G119" s="63"/>
      <c r="H119" s="63"/>
      <c r="I119" s="63"/>
      <c r="J119" s="63"/>
      <c r="K119" s="63"/>
      <c r="L119" s="63"/>
    </row>
    <row r="120" spans="2:28">
      <c r="B120" s="49" t="s">
        <v>3495</v>
      </c>
      <c r="C120" s="44" t="s">
        <v>2878</v>
      </c>
      <c r="D120" s="56"/>
      <c r="E120" s="66"/>
      <c r="F120" s="66"/>
      <c r="G120" s="66"/>
      <c r="H120" s="66"/>
      <c r="I120" s="66"/>
      <c r="J120" s="66"/>
      <c r="K120" s="66"/>
      <c r="L120" s="57"/>
    </row>
    <row r="121" spans="2:28">
      <c r="B121" s="61" t="s">
        <v>3520</v>
      </c>
      <c r="C121" s="41" t="s">
        <v>3546</v>
      </c>
      <c r="D121" s="60"/>
      <c r="E121" s="60"/>
      <c r="F121" s="60"/>
      <c r="G121" s="60"/>
      <c r="H121" s="60"/>
      <c r="I121" s="60"/>
      <c r="J121" s="60"/>
      <c r="K121" s="60"/>
      <c r="L121" s="60"/>
    </row>
    <row r="122" spans="2:28">
      <c r="B122" s="61" t="s">
        <v>3485</v>
      </c>
      <c r="C122" s="41" t="s">
        <v>3547</v>
      </c>
      <c r="D122" s="60"/>
      <c r="E122" s="60"/>
      <c r="F122" s="60"/>
      <c r="G122" s="60"/>
      <c r="H122" s="60"/>
      <c r="I122" s="60"/>
      <c r="J122" s="60"/>
      <c r="K122" s="60"/>
      <c r="L122" s="60"/>
    </row>
    <row r="123" spans="2:28">
      <c r="B123" s="61" t="s">
        <v>3486</v>
      </c>
      <c r="C123" s="41" t="s">
        <v>3548</v>
      </c>
      <c r="D123" s="63"/>
      <c r="E123" s="63"/>
      <c r="F123" s="63"/>
      <c r="G123" s="63"/>
      <c r="H123" s="63"/>
      <c r="I123" s="63"/>
      <c r="J123" s="63"/>
      <c r="K123" s="63"/>
      <c r="L123" s="60"/>
    </row>
    <row r="124" spans="2:28">
      <c r="B124" s="47" t="s">
        <v>3501</v>
      </c>
      <c r="C124" s="44" t="s">
        <v>3549</v>
      </c>
      <c r="D124" s="58"/>
      <c r="E124" s="58"/>
      <c r="F124" s="58"/>
      <c r="G124" s="58"/>
      <c r="H124" s="58"/>
      <c r="I124" s="58"/>
      <c r="J124" s="58"/>
      <c r="K124" s="48"/>
      <c r="L124" s="60"/>
    </row>
    <row r="125" spans="2:28">
      <c r="B125" s="47" t="s">
        <v>3503</v>
      </c>
      <c r="C125" s="44" t="s">
        <v>3550</v>
      </c>
      <c r="D125" s="56"/>
      <c r="E125" s="56"/>
      <c r="F125" s="56"/>
      <c r="G125" s="56"/>
      <c r="H125" s="56"/>
      <c r="I125" s="56"/>
      <c r="J125" s="56"/>
      <c r="K125" s="46"/>
      <c r="L125" s="60"/>
    </row>
    <row r="126" spans="2:28">
      <c r="B126" s="47" t="s">
        <v>3551</v>
      </c>
      <c r="C126" s="41" t="s">
        <v>3552</v>
      </c>
      <c r="D126" s="60"/>
      <c r="E126" s="60"/>
      <c r="F126" s="60"/>
      <c r="G126" s="60"/>
      <c r="H126" s="60"/>
      <c r="I126" s="60"/>
      <c r="J126" s="60"/>
      <c r="K126" s="60"/>
      <c r="L126" s="60"/>
    </row>
    <row r="128" spans="2:28">
      <c r="AA128" s="13" t="str">
        <f>Show!$B$46&amp;Show!$B$46&amp;"S.05.01.01.02 Rows {"&amp;COLUMN($C$1)&amp;"}"</f>
        <v>!!S.05.01.01.02 Rows {3}</v>
      </c>
      <c r="AB128" s="13" t="str">
        <f>Show!$B$46&amp;Show!$B$46&amp;"S.05.01.01.02 Columns {"&amp;COLUMN($L$1)&amp;"}"</f>
        <v>!!S.05.01.01.02 Columns {12}</v>
      </c>
    </row>
  </sheetData>
  <sheetProtection sheet="1" objects="1" scenarios="1"/>
  <mergeCells count="35">
    <mergeCell ref="I83:I84"/>
    <mergeCell ref="J83:J84"/>
    <mergeCell ref="K83:K84"/>
    <mergeCell ref="B76:L76"/>
    <mergeCell ref="D80:L81"/>
    <mergeCell ref="D82:I82"/>
    <mergeCell ref="J82:K82"/>
    <mergeCell ref="L82:L84"/>
    <mergeCell ref="D83:D84"/>
    <mergeCell ref="E83:E84"/>
    <mergeCell ref="F83:F84"/>
    <mergeCell ref="G83:G84"/>
    <mergeCell ref="H83:H84"/>
    <mergeCell ref="Q12:Q13"/>
    <mergeCell ref="B2:O2"/>
    <mergeCell ref="B5:L5"/>
    <mergeCell ref="D9:T10"/>
    <mergeCell ref="D11:O11"/>
    <mergeCell ref="P11:S11"/>
    <mergeCell ref="T11:T13"/>
    <mergeCell ref="D12:D13"/>
    <mergeCell ref="E12:E13"/>
    <mergeCell ref="F12:F13"/>
    <mergeCell ref="G12:G13"/>
    <mergeCell ref="S12:S13"/>
    <mergeCell ref="H12:H13"/>
    <mergeCell ref="I12:I13"/>
    <mergeCell ref="R12:R13"/>
    <mergeCell ref="M12:M13"/>
    <mergeCell ref="J12:J13"/>
    <mergeCell ref="K12:K13"/>
    <mergeCell ref="L12:L13"/>
    <mergeCell ref="O12:O13"/>
    <mergeCell ref="P12:P13"/>
    <mergeCell ref="N12:N1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5321A-36E6-473F-ACD5-B86C85DDD029}">
  <sheetPr codeName="Blad51"/>
  <dimension ref="B2:AB75"/>
  <sheetViews>
    <sheetView showGridLines="0" topLeftCell="B12" workbookViewId="0">
      <selection activeCell="G17" sqref="G17"/>
    </sheetView>
  </sheetViews>
  <sheetFormatPr defaultRowHeight="15"/>
  <cols>
    <col min="2" max="2" width="47.42578125" bestFit="1" customWidth="1"/>
    <col min="4" max="20" width="15.7109375" customWidth="1"/>
  </cols>
  <sheetData>
    <row r="2" spans="2:28" ht="23.25">
      <c r="B2" s="95" t="s">
        <v>578</v>
      </c>
      <c r="C2" s="96"/>
      <c r="D2" s="96"/>
      <c r="E2" s="96"/>
      <c r="F2" s="96"/>
      <c r="G2" s="96"/>
      <c r="H2" s="96"/>
      <c r="I2" s="96"/>
      <c r="J2" s="96"/>
      <c r="K2" s="96"/>
      <c r="L2" s="96"/>
      <c r="M2" s="96"/>
      <c r="N2" s="96"/>
      <c r="O2" s="96"/>
    </row>
    <row r="5" spans="2:28" ht="18.75">
      <c r="B5" s="97" t="s">
        <v>3553</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2"/>
      <c r="T9" s="103"/>
    </row>
    <row r="10" spans="2:28">
      <c r="D10" s="104"/>
      <c r="E10" s="105"/>
      <c r="F10" s="105"/>
      <c r="G10" s="105"/>
      <c r="H10" s="105"/>
      <c r="I10" s="105"/>
      <c r="J10" s="105"/>
      <c r="K10" s="105"/>
      <c r="L10" s="105"/>
      <c r="M10" s="105"/>
      <c r="N10" s="105"/>
      <c r="O10" s="105"/>
      <c r="P10" s="105"/>
      <c r="Q10" s="105"/>
      <c r="R10" s="105"/>
      <c r="S10" s="105"/>
      <c r="T10" s="106"/>
    </row>
    <row r="11" spans="2:28">
      <c r="D11" s="107" t="s">
        <v>3459</v>
      </c>
      <c r="E11" s="108"/>
      <c r="F11" s="108"/>
      <c r="G11" s="108"/>
      <c r="H11" s="108"/>
      <c r="I11" s="108"/>
      <c r="J11" s="108"/>
      <c r="K11" s="108"/>
      <c r="L11" s="108"/>
      <c r="M11" s="108"/>
      <c r="N11" s="108"/>
      <c r="O11" s="109"/>
      <c r="P11" s="107" t="s">
        <v>3472</v>
      </c>
      <c r="Q11" s="108"/>
      <c r="R11" s="108"/>
      <c r="S11" s="109"/>
      <c r="T11" s="98" t="s">
        <v>3480</v>
      </c>
    </row>
    <row r="12" spans="2:28"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c r="P12" s="55" t="s">
        <v>3473</v>
      </c>
      <c r="Q12" s="55" t="s">
        <v>3474</v>
      </c>
      <c r="R12" s="55" t="s">
        <v>3476</v>
      </c>
      <c r="S12" s="55" t="s">
        <v>3478</v>
      </c>
      <c r="T12" s="100"/>
    </row>
    <row r="13" spans="2:28">
      <c r="D13" s="45" t="s">
        <v>2879</v>
      </c>
      <c r="E13" s="45" t="s">
        <v>3219</v>
      </c>
      <c r="F13" s="45" t="s">
        <v>3225</v>
      </c>
      <c r="G13" s="45" t="s">
        <v>3223</v>
      </c>
      <c r="H13" s="45" t="s">
        <v>3229</v>
      </c>
      <c r="I13" s="45" t="s">
        <v>3231</v>
      </c>
      <c r="J13" s="45" t="s">
        <v>3233</v>
      </c>
      <c r="K13" s="45" t="s">
        <v>3234</v>
      </c>
      <c r="L13" s="45" t="s">
        <v>3236</v>
      </c>
      <c r="M13" s="45" t="s">
        <v>3239</v>
      </c>
      <c r="N13" s="45" t="s">
        <v>3241</v>
      </c>
      <c r="O13" s="45" t="s">
        <v>3243</v>
      </c>
      <c r="P13" s="45" t="s">
        <v>3375</v>
      </c>
      <c r="Q13" s="45" t="s">
        <v>3475</v>
      </c>
      <c r="R13" s="45" t="s">
        <v>3477</v>
      </c>
      <c r="S13" s="45" t="s">
        <v>3479</v>
      </c>
      <c r="T13" s="45" t="s">
        <v>3481</v>
      </c>
      <c r="AA13" s="13"/>
      <c r="AB13" s="13"/>
    </row>
    <row r="14" spans="2:28">
      <c r="B14" s="43" t="s">
        <v>2880</v>
      </c>
      <c r="C14" s="44" t="s">
        <v>2878</v>
      </c>
      <c r="D14" s="58"/>
      <c r="E14" s="67"/>
      <c r="F14" s="67"/>
      <c r="G14" s="67"/>
      <c r="H14" s="67"/>
      <c r="I14" s="67"/>
      <c r="J14" s="67"/>
      <c r="K14" s="67"/>
      <c r="L14" s="67"/>
      <c r="M14" s="67"/>
      <c r="N14" s="67"/>
      <c r="O14" s="67"/>
      <c r="P14" s="67"/>
      <c r="Q14" s="67"/>
      <c r="R14" s="67"/>
      <c r="S14" s="67"/>
      <c r="T14" s="59"/>
    </row>
    <row r="15" spans="2:28">
      <c r="B15" s="47" t="s">
        <v>3437</v>
      </c>
      <c r="C15" s="44" t="s">
        <v>2878</v>
      </c>
      <c r="D15" s="56"/>
      <c r="E15" s="66"/>
      <c r="F15" s="66"/>
      <c r="G15" s="66"/>
      <c r="H15" s="66"/>
      <c r="I15" s="66"/>
      <c r="J15" s="66"/>
      <c r="K15" s="66"/>
      <c r="L15" s="66"/>
      <c r="M15" s="66"/>
      <c r="N15" s="66"/>
      <c r="O15" s="66"/>
      <c r="P15" s="67"/>
      <c r="Q15" s="67"/>
      <c r="R15" s="67"/>
      <c r="S15" s="67"/>
      <c r="T15" s="57"/>
    </row>
    <row r="16" spans="2:28">
      <c r="B16" s="49" t="s">
        <v>3482</v>
      </c>
      <c r="C16" s="41" t="s">
        <v>2901</v>
      </c>
      <c r="D16" s="60">
        <f>'[1]S.05.01.01'!D10</f>
        <v>0</v>
      </c>
      <c r="E16" s="60">
        <f>'[1]S.05.01.01'!E10</f>
        <v>0</v>
      </c>
      <c r="F16" s="60">
        <f>'[1]S.05.01.01'!F10</f>
        <v>0</v>
      </c>
      <c r="G16" s="60">
        <f>'[1]S.05.01.01'!G10</f>
        <v>0</v>
      </c>
      <c r="H16" s="60">
        <f>'[1]S.05.01.01'!H10</f>
        <v>0</v>
      </c>
      <c r="I16" s="60">
        <f>'[1]S.05.01.01'!I10</f>
        <v>0</v>
      </c>
      <c r="J16" s="60">
        <f>'[1]S.05.01.01'!J10</f>
        <v>0</v>
      </c>
      <c r="K16" s="60">
        <f>'[1]S.05.01.01'!K10</f>
        <v>0</v>
      </c>
      <c r="L16" s="60">
        <f>'[1]S.05.01.01'!L10</f>
        <v>0</v>
      </c>
      <c r="M16" s="60">
        <f>'[1]S.05.01.01'!M10</f>
        <v>0</v>
      </c>
      <c r="N16" s="60">
        <f>'[1]S.05.01.01'!N10</f>
        <v>0</v>
      </c>
      <c r="O16" s="60">
        <f>'[1]S.05.01.01'!O10</f>
        <v>0</v>
      </c>
      <c r="P16" s="58"/>
      <c r="Q16" s="58"/>
      <c r="R16" s="58"/>
      <c r="S16" s="48"/>
      <c r="T16" s="60">
        <f>'[1]S.05.01.01'!T10</f>
        <v>0</v>
      </c>
    </row>
    <row r="17" spans="2:20">
      <c r="B17" s="49" t="s">
        <v>3483</v>
      </c>
      <c r="C17" s="41" t="s">
        <v>2903</v>
      </c>
      <c r="D17" s="60">
        <f>'[1]S.05.01.01'!D11</f>
        <v>205356856.12</v>
      </c>
      <c r="E17" s="60">
        <f>'[1]S.05.01.01'!E11</f>
        <v>25642091.747407947</v>
      </c>
      <c r="F17" s="60">
        <f>'[1]S.05.01.01'!F11</f>
        <v>128160029.965</v>
      </c>
      <c r="G17" s="60">
        <f>'[1]S.05.01.01'!G11</f>
        <v>1211263391.1344831</v>
      </c>
      <c r="H17" s="60">
        <f>'[1]S.05.01.01'!H11</f>
        <v>268126458.68353063</v>
      </c>
      <c r="I17" s="60">
        <f>'[1]S.05.01.01'!I11</f>
        <v>2166390.4525000001</v>
      </c>
      <c r="J17" s="60">
        <f>'[1]S.05.01.01'!J11</f>
        <v>565285452.86264324</v>
      </c>
      <c r="K17" s="60">
        <f>'[1]S.05.01.01'!K11</f>
        <v>62821640.599645577</v>
      </c>
      <c r="L17" s="60">
        <f>'[1]S.05.01.01'!L11</f>
        <v>12625090.300000001</v>
      </c>
      <c r="M17" s="60">
        <f>'[1]S.05.01.01'!M11</f>
        <v>34840641.652499996</v>
      </c>
      <c r="N17" s="60">
        <f>'[1]S.05.01.01'!N11</f>
        <v>31860066.564999998</v>
      </c>
      <c r="O17" s="60">
        <f>'[1]S.05.01.01'!O11</f>
        <v>8161281.2417995799</v>
      </c>
      <c r="P17" s="56"/>
      <c r="Q17" s="56"/>
      <c r="R17" s="56"/>
      <c r="S17" s="46"/>
      <c r="T17" s="60">
        <f>'[1]S.05.01.01'!T11</f>
        <v>2556309391.3245101</v>
      </c>
    </row>
    <row r="18" spans="2:20">
      <c r="B18" s="49" t="s">
        <v>3484</v>
      </c>
      <c r="C18" s="44" t="s">
        <v>2905</v>
      </c>
      <c r="D18" s="56"/>
      <c r="E18" s="56"/>
      <c r="F18" s="56"/>
      <c r="G18" s="56"/>
      <c r="H18" s="56"/>
      <c r="I18" s="56"/>
      <c r="J18" s="56"/>
      <c r="K18" s="56"/>
      <c r="L18" s="56"/>
      <c r="M18" s="56"/>
      <c r="N18" s="56"/>
      <c r="O18" s="46"/>
      <c r="P18" s="60">
        <f>'[1]S.05.01.01'!P12</f>
        <v>635531.25999999989</v>
      </c>
      <c r="Q18" s="60">
        <f>'[1]S.05.01.01'!Q12</f>
        <v>119365402.97999999</v>
      </c>
      <c r="R18" s="60">
        <f>'[1]S.05.01.01'!R12</f>
        <v>26475.199999999993</v>
      </c>
      <c r="S18" s="60">
        <f>'[1]S.05.01.01'!S12</f>
        <v>184100047.16999996</v>
      </c>
      <c r="T18" s="60">
        <f>'[1]S.05.01.01'!T12</f>
        <v>304127456.60999995</v>
      </c>
    </row>
    <row r="19" spans="2:20">
      <c r="B19" s="49" t="s">
        <v>3485</v>
      </c>
      <c r="C19" s="41" t="s">
        <v>2907</v>
      </c>
      <c r="D19" s="60">
        <f>'[1]S.05.01.01'!D13</f>
        <v>0</v>
      </c>
      <c r="E19" s="60">
        <f>'[1]S.05.01.01'!E13</f>
        <v>0</v>
      </c>
      <c r="F19" s="60">
        <f>'[1]S.05.01.01'!F13</f>
        <v>0</v>
      </c>
      <c r="G19" s="60">
        <f>'[1]S.05.01.01'!G13</f>
        <v>0</v>
      </c>
      <c r="H19" s="60">
        <f>'[1]S.05.01.01'!H13</f>
        <v>0</v>
      </c>
      <c r="I19" s="60">
        <f>'[1]S.05.01.01'!I13</f>
        <v>0</v>
      </c>
      <c r="J19" s="60">
        <f>'[1]S.05.01.01'!J13</f>
        <v>0</v>
      </c>
      <c r="K19" s="60">
        <f>'[1]S.05.01.01'!K13</f>
        <v>0</v>
      </c>
      <c r="L19" s="60">
        <f>'[1]S.05.01.01'!L13</f>
        <v>0</v>
      </c>
      <c r="M19" s="60">
        <f>'[1]S.05.01.01'!M13</f>
        <v>0</v>
      </c>
      <c r="N19" s="60">
        <f>'[1]S.05.01.01'!N13</f>
        <v>0</v>
      </c>
      <c r="O19" s="60">
        <f>'[1]S.05.01.01'!O13</f>
        <v>0</v>
      </c>
      <c r="P19" s="60">
        <f>'[1]S.05.01.01'!P13</f>
        <v>-404.34000000000015</v>
      </c>
      <c r="Q19" s="60">
        <f>'[1]S.05.01.01'!Q13</f>
        <v>45544368.690000005</v>
      </c>
      <c r="R19" s="60">
        <f>'[1]S.05.01.01'!R13</f>
        <v>0</v>
      </c>
      <c r="S19" s="60">
        <f>'[1]S.05.01.01'!S13</f>
        <v>113866783.14999993</v>
      </c>
      <c r="T19" s="60">
        <f>'[1]S.05.01.01'!T13</f>
        <v>159410747.49999994</v>
      </c>
    </row>
    <row r="20" spans="2:20">
      <c r="B20" s="49" t="s">
        <v>3486</v>
      </c>
      <c r="C20" s="41" t="s">
        <v>2919</v>
      </c>
      <c r="D20" s="60">
        <f>'[1]S.05.01.01'!D14</f>
        <v>205356856.12</v>
      </c>
      <c r="E20" s="60">
        <f>'[1]S.05.01.01'!E14</f>
        <v>25642091.747407947</v>
      </c>
      <c r="F20" s="60">
        <f>'[1]S.05.01.01'!F14</f>
        <v>128160029.965</v>
      </c>
      <c r="G20" s="60">
        <f>'[1]S.05.01.01'!G14</f>
        <v>1211263391.1344831</v>
      </c>
      <c r="H20" s="60">
        <f>'[1]S.05.01.01'!H14</f>
        <v>268126458.68353063</v>
      </c>
      <c r="I20" s="60">
        <f>'[1]S.05.01.01'!I14</f>
        <v>2166390.4525000001</v>
      </c>
      <c r="J20" s="60">
        <f>'[1]S.05.01.01'!J14</f>
        <v>565285452.86264324</v>
      </c>
      <c r="K20" s="60">
        <f>'[1]S.05.01.01'!K14</f>
        <v>62821640.599645577</v>
      </c>
      <c r="L20" s="60">
        <f>'[1]S.05.01.01'!L14</f>
        <v>12625090.300000001</v>
      </c>
      <c r="M20" s="60">
        <f>'[1]S.05.01.01'!M14</f>
        <v>34840641.652499996</v>
      </c>
      <c r="N20" s="60">
        <f>'[1]S.05.01.01'!N14</f>
        <v>31860066.564999998</v>
      </c>
      <c r="O20" s="60">
        <f>'[1]S.05.01.01'!O14</f>
        <v>8161281.2417995799</v>
      </c>
      <c r="P20" s="60">
        <f>'[1]S.05.01.01'!P14</f>
        <v>635935.59999999986</v>
      </c>
      <c r="Q20" s="60">
        <f>'[1]S.05.01.01'!Q14</f>
        <v>73821034.289999977</v>
      </c>
      <c r="R20" s="60">
        <f>'[1]S.05.01.01'!R14</f>
        <v>26475.199999999993</v>
      </c>
      <c r="S20" s="60">
        <f>'[1]S.05.01.01'!S14</f>
        <v>70233264.020000011</v>
      </c>
      <c r="T20" s="60">
        <f>'[1]S.05.01.01'!T14</f>
        <v>2701026100.4345098</v>
      </c>
    </row>
    <row r="21" spans="2:20">
      <c r="B21" s="47" t="s">
        <v>3487</v>
      </c>
      <c r="C21" s="44" t="s">
        <v>2878</v>
      </c>
      <c r="D21" s="56"/>
      <c r="E21" s="66"/>
      <c r="F21" s="66"/>
      <c r="G21" s="66"/>
      <c r="H21" s="66"/>
      <c r="I21" s="66"/>
      <c r="J21" s="66"/>
      <c r="K21" s="66"/>
      <c r="L21" s="66"/>
      <c r="M21" s="66"/>
      <c r="N21" s="66"/>
      <c r="O21" s="66"/>
      <c r="P21" s="67"/>
      <c r="Q21" s="67"/>
      <c r="R21" s="67"/>
      <c r="S21" s="67"/>
      <c r="T21" s="57"/>
    </row>
    <row r="22" spans="2:20">
      <c r="B22" s="49" t="s">
        <v>3482</v>
      </c>
      <c r="C22" s="41" t="s">
        <v>2921</v>
      </c>
      <c r="D22" s="60">
        <f>'[1]S.05.01.01'!D16</f>
        <v>0</v>
      </c>
      <c r="E22" s="60">
        <f>'[1]S.05.01.01'!E16</f>
        <v>0</v>
      </c>
      <c r="F22" s="60">
        <f>'[1]S.05.01.01'!F16</f>
        <v>0</v>
      </c>
      <c r="G22" s="60">
        <f>'[1]S.05.01.01'!G16</f>
        <v>0</v>
      </c>
      <c r="H22" s="60">
        <f>'[1]S.05.01.01'!H16</f>
        <v>0</v>
      </c>
      <c r="I22" s="60">
        <f>'[1]S.05.01.01'!I16</f>
        <v>0</v>
      </c>
      <c r="J22" s="60">
        <f>'[1]S.05.01.01'!J16</f>
        <v>0</v>
      </c>
      <c r="K22" s="60">
        <f>'[1]S.05.01.01'!K16</f>
        <v>0</v>
      </c>
      <c r="L22" s="60">
        <f>'[1]S.05.01.01'!L16</f>
        <v>0</v>
      </c>
      <c r="M22" s="60">
        <f>'[1]S.05.01.01'!M16</f>
        <v>0</v>
      </c>
      <c r="N22" s="60">
        <f>'[1]S.05.01.01'!N16</f>
        <v>0</v>
      </c>
      <c r="O22" s="60">
        <f>'[1]S.05.01.01'!O16</f>
        <v>0</v>
      </c>
      <c r="P22" s="58"/>
      <c r="Q22" s="58"/>
      <c r="R22" s="58"/>
      <c r="S22" s="48"/>
      <c r="T22" s="60">
        <f>'[1]S.05.01.01'!T16</f>
        <v>0</v>
      </c>
    </row>
    <row r="23" spans="2:20">
      <c r="B23" s="49" t="s">
        <v>3483</v>
      </c>
      <c r="C23" s="41" t="s">
        <v>2923</v>
      </c>
      <c r="D23" s="60">
        <f>'[1]S.05.01.01'!D17</f>
        <v>204166951.47999996</v>
      </c>
      <c r="E23" s="60">
        <f>'[1]S.05.01.01'!E17</f>
        <v>25375399.913531236</v>
      </c>
      <c r="F23" s="60">
        <f>'[1]S.05.01.01'!F17</f>
        <v>127959611.965</v>
      </c>
      <c r="G23" s="60">
        <f>'[1]S.05.01.01'!G17</f>
        <v>748152942.12750947</v>
      </c>
      <c r="H23" s="60">
        <f>'[1]S.05.01.01'!H17</f>
        <v>279347438.54865944</v>
      </c>
      <c r="I23" s="60">
        <f>'[1]S.05.01.01'!I17</f>
        <v>2120833.8618520498</v>
      </c>
      <c r="J23" s="60">
        <f>'[1]S.05.01.01'!J17</f>
        <v>551599326.59281504</v>
      </c>
      <c r="K23" s="60">
        <f>'[1]S.05.01.01'!K17</f>
        <v>61013351.852971688</v>
      </c>
      <c r="L23" s="60">
        <f>'[1]S.05.01.01'!L17</f>
        <v>5916144.6530912127</v>
      </c>
      <c r="M23" s="60">
        <f>'[1]S.05.01.01'!M17</f>
        <v>34727281.417499997</v>
      </c>
      <c r="N23" s="60">
        <f>'[1]S.05.01.01'!N17</f>
        <v>31135811.785</v>
      </c>
      <c r="O23" s="60">
        <f>'[1]S.05.01.01'!O17</f>
        <v>9993519.1905403938</v>
      </c>
      <c r="P23" s="56"/>
      <c r="Q23" s="56"/>
      <c r="R23" s="56"/>
      <c r="S23" s="46"/>
      <c r="T23" s="60">
        <f>'[1]S.05.01.01'!T17</f>
        <v>2081508613.3884704</v>
      </c>
    </row>
    <row r="24" spans="2:20">
      <c r="B24" s="49" t="s">
        <v>3484</v>
      </c>
      <c r="C24" s="44" t="s">
        <v>2925</v>
      </c>
      <c r="D24" s="56"/>
      <c r="E24" s="56"/>
      <c r="F24" s="56"/>
      <c r="G24" s="56"/>
      <c r="H24" s="56"/>
      <c r="I24" s="56"/>
      <c r="J24" s="56"/>
      <c r="K24" s="56"/>
      <c r="L24" s="56"/>
      <c r="M24" s="56"/>
      <c r="N24" s="56"/>
      <c r="O24" s="46"/>
      <c r="P24" s="60">
        <f>'[1]S.05.01.01'!P18</f>
        <v>653681.36060126801</v>
      </c>
      <c r="Q24" s="60">
        <f>'[1]S.05.01.01'!Q18</f>
        <v>117778266.49516463</v>
      </c>
      <c r="R24" s="60">
        <f>'[1]S.05.01.01'!R18</f>
        <v>43737.36914552276</v>
      </c>
      <c r="S24" s="60">
        <f>'[1]S.05.01.01'!S18</f>
        <v>184082451.94808802</v>
      </c>
      <c r="T24" s="60">
        <f>'[1]S.05.01.01'!T18</f>
        <v>302558137.17299944</v>
      </c>
    </row>
    <row r="25" spans="2:20">
      <c r="B25" s="49" t="s">
        <v>3485</v>
      </c>
      <c r="C25" s="41" t="s">
        <v>2927</v>
      </c>
      <c r="D25" s="60">
        <f>'[1]S.05.01.01'!D19</f>
        <v>0</v>
      </c>
      <c r="E25" s="60">
        <f>'[1]S.05.01.01'!E19</f>
        <v>0</v>
      </c>
      <c r="F25" s="60">
        <f>'[1]S.05.01.01'!F19</f>
        <v>0</v>
      </c>
      <c r="G25" s="60">
        <f>'[1]S.05.01.01'!G19</f>
        <v>0</v>
      </c>
      <c r="H25" s="60">
        <f>'[1]S.05.01.01'!H19</f>
        <v>0</v>
      </c>
      <c r="I25" s="60">
        <f>'[1]S.05.01.01'!I19</f>
        <v>0</v>
      </c>
      <c r="J25" s="60">
        <f>'[1]S.05.01.01'!J19</f>
        <v>0</v>
      </c>
      <c r="K25" s="60">
        <f>'[1]S.05.01.01'!K19</f>
        <v>0</v>
      </c>
      <c r="L25" s="60">
        <f>'[1]S.05.01.01'!L19</f>
        <v>0</v>
      </c>
      <c r="M25" s="60">
        <f>'[1]S.05.01.01'!M19</f>
        <v>0</v>
      </c>
      <c r="N25" s="60">
        <f>'[1]S.05.01.01'!N19</f>
        <v>0</v>
      </c>
      <c r="O25" s="60">
        <f>'[1]S.05.01.01'!O19</f>
        <v>0</v>
      </c>
      <c r="P25" s="60">
        <f>'[1]S.05.01.01'!P19</f>
        <v>-409.48128200329313</v>
      </c>
      <c r="Q25" s="60">
        <f>'[1]S.05.01.01'!Q19</f>
        <v>40736889.655579872</v>
      </c>
      <c r="R25" s="60">
        <f>'[1]S.05.01.01'!R19</f>
        <v>0</v>
      </c>
      <c r="S25" s="60">
        <f>'[1]S.05.01.01'!S19</f>
        <v>111223265.11570212</v>
      </c>
      <c r="T25" s="60">
        <f>'[1]S.05.01.01'!T19</f>
        <v>151959745.28999999</v>
      </c>
    </row>
    <row r="26" spans="2:20">
      <c r="B26" s="49" t="s">
        <v>3486</v>
      </c>
      <c r="C26" s="41" t="s">
        <v>2939</v>
      </c>
      <c r="D26" s="60">
        <f>'[1]S.05.01.01'!D20</f>
        <v>204166951.47999996</v>
      </c>
      <c r="E26" s="60">
        <f>'[1]S.05.01.01'!E20</f>
        <v>25375399.913531236</v>
      </c>
      <c r="F26" s="60">
        <f>'[1]S.05.01.01'!F20</f>
        <v>127959611.965</v>
      </c>
      <c r="G26" s="60">
        <f>'[1]S.05.01.01'!G20</f>
        <v>748152942.12750947</v>
      </c>
      <c r="H26" s="60">
        <f>'[1]S.05.01.01'!H20</f>
        <v>279347438.54865944</v>
      </c>
      <c r="I26" s="60">
        <f>'[1]S.05.01.01'!I20</f>
        <v>2120833.8618520498</v>
      </c>
      <c r="J26" s="60">
        <f>'[1]S.05.01.01'!J20</f>
        <v>551599326.59281504</v>
      </c>
      <c r="K26" s="60">
        <f>'[1]S.05.01.01'!K20</f>
        <v>61013351.852971688</v>
      </c>
      <c r="L26" s="60">
        <f>'[1]S.05.01.01'!L20</f>
        <v>5916144.6530912127</v>
      </c>
      <c r="M26" s="60">
        <f>'[1]S.05.01.01'!M20</f>
        <v>34727281.417499997</v>
      </c>
      <c r="N26" s="60">
        <f>'[1]S.05.01.01'!N20</f>
        <v>31135811.785</v>
      </c>
      <c r="O26" s="60">
        <f>'[1]S.05.01.01'!O20</f>
        <v>9993519.1905403938</v>
      </c>
      <c r="P26" s="60">
        <f>'[1]S.05.01.01'!P20</f>
        <v>654090.84188327135</v>
      </c>
      <c r="Q26" s="60">
        <f>'[1]S.05.01.01'!Q20</f>
        <v>77041376.839584768</v>
      </c>
      <c r="R26" s="60">
        <f>'[1]S.05.01.01'!R20</f>
        <v>43737.36914552276</v>
      </c>
      <c r="S26" s="60">
        <f>'[1]S.05.01.01'!S20</f>
        <v>72859186.832385898</v>
      </c>
      <c r="T26" s="60">
        <f>'[1]S.05.01.01'!T20</f>
        <v>2232107005.2714696</v>
      </c>
    </row>
    <row r="27" spans="2:20">
      <c r="B27" s="47" t="s">
        <v>3438</v>
      </c>
      <c r="C27" s="44" t="s">
        <v>2878</v>
      </c>
      <c r="D27" s="56"/>
      <c r="E27" s="66"/>
      <c r="F27" s="66"/>
      <c r="G27" s="66"/>
      <c r="H27" s="66"/>
      <c r="I27" s="66"/>
      <c r="J27" s="66"/>
      <c r="K27" s="66"/>
      <c r="L27" s="66"/>
      <c r="M27" s="66"/>
      <c r="N27" s="66"/>
      <c r="O27" s="66"/>
      <c r="P27" s="67"/>
      <c r="Q27" s="67"/>
      <c r="R27" s="67"/>
      <c r="S27" s="67"/>
      <c r="T27" s="57"/>
    </row>
    <row r="28" spans="2:20">
      <c r="B28" s="49" t="s">
        <v>3482</v>
      </c>
      <c r="C28" s="41" t="s">
        <v>2941</v>
      </c>
      <c r="D28" s="60">
        <f>'[1]S.05.01.01'!D22</f>
        <v>0</v>
      </c>
      <c r="E28" s="60">
        <f>'[1]S.05.01.01'!E22</f>
        <v>0</v>
      </c>
      <c r="F28" s="60">
        <f>'[1]S.05.01.01'!F22</f>
        <v>0</v>
      </c>
      <c r="G28" s="60">
        <f>'[1]S.05.01.01'!G22</f>
        <v>0</v>
      </c>
      <c r="H28" s="60">
        <f>'[1]S.05.01.01'!H22</f>
        <v>0</v>
      </c>
      <c r="I28" s="60">
        <f>'[1]S.05.01.01'!I22</f>
        <v>0</v>
      </c>
      <c r="J28" s="60">
        <f>'[1]S.05.01.01'!J22</f>
        <v>0</v>
      </c>
      <c r="K28" s="60">
        <f>'[1]S.05.01.01'!K22</f>
        <v>0</v>
      </c>
      <c r="L28" s="60">
        <f>'[1]S.05.01.01'!L22</f>
        <v>0</v>
      </c>
      <c r="M28" s="60">
        <f>'[1]S.05.01.01'!M22</f>
        <v>0</v>
      </c>
      <c r="N28" s="60">
        <f>'[1]S.05.01.01'!N22</f>
        <v>0</v>
      </c>
      <c r="O28" s="60">
        <f>'[1]S.05.01.01'!O22</f>
        <v>0</v>
      </c>
      <c r="P28" s="58"/>
      <c r="Q28" s="58"/>
      <c r="R28" s="58"/>
      <c r="S28" s="48"/>
      <c r="T28" s="60">
        <f>'[1]S.05.01.01'!T22</f>
        <v>0</v>
      </c>
    </row>
    <row r="29" spans="2:20">
      <c r="B29" s="49" t="s">
        <v>3483</v>
      </c>
      <c r="C29" s="41" t="s">
        <v>2943</v>
      </c>
      <c r="D29" s="60">
        <f>'[1]S.05.01.01'!D23</f>
        <v>135735167.2899999</v>
      </c>
      <c r="E29" s="60">
        <f>'[1]S.05.01.01'!E23</f>
        <v>8097250.059673124</v>
      </c>
      <c r="F29" s="60">
        <f>'[1]S.05.01.01'!F23</f>
        <v>76446637.289999932</v>
      </c>
      <c r="G29" s="60">
        <f>'[1]S.05.01.01'!G23</f>
        <v>628754188.58638895</v>
      </c>
      <c r="H29" s="60">
        <f>'[1]S.05.01.01'!H23</f>
        <v>93668889.117200151</v>
      </c>
      <c r="I29" s="60">
        <f>'[1]S.05.01.01'!I23</f>
        <v>1349795.0997329545</v>
      </c>
      <c r="J29" s="60">
        <f>'[1]S.05.01.01'!J23</f>
        <v>254271876.27892214</v>
      </c>
      <c r="K29" s="60">
        <f>'[1]S.05.01.01'!K23</f>
        <v>44171031.033096187</v>
      </c>
      <c r="L29" s="60">
        <f>'[1]S.05.01.01'!L23</f>
        <v>12753.404199001954</v>
      </c>
      <c r="M29" s="60">
        <f>'[1]S.05.01.01'!M23</f>
        <v>15720286.889999993</v>
      </c>
      <c r="N29" s="60">
        <f>'[1]S.05.01.01'!N23</f>
        <v>19464911.675211679</v>
      </c>
      <c r="O29" s="60">
        <f>'[1]S.05.01.01'!O23</f>
        <v>4398863.6447248068</v>
      </c>
      <c r="P29" s="56"/>
      <c r="Q29" s="56"/>
      <c r="R29" s="56"/>
      <c r="S29" s="46"/>
      <c r="T29" s="60">
        <f>'[1]S.05.01.01'!T23</f>
        <v>1282091650.3691487</v>
      </c>
    </row>
    <row r="30" spans="2:20">
      <c r="B30" s="49" t="s">
        <v>3484</v>
      </c>
      <c r="C30" s="44" t="s">
        <v>2945</v>
      </c>
      <c r="D30" s="56"/>
      <c r="E30" s="56"/>
      <c r="F30" s="56"/>
      <c r="G30" s="56"/>
      <c r="H30" s="56"/>
      <c r="I30" s="56"/>
      <c r="J30" s="56"/>
      <c r="K30" s="56"/>
      <c r="L30" s="56"/>
      <c r="M30" s="56"/>
      <c r="N30" s="56"/>
      <c r="O30" s="46"/>
      <c r="P30" s="60">
        <f>'[1]S.05.01.01'!P24</f>
        <v>-2182998.3381742993</v>
      </c>
      <c r="Q30" s="60">
        <f>'[1]S.05.01.01'!Q24</f>
        <v>34265907.370690912</v>
      </c>
      <c r="R30" s="60">
        <f>'[1]S.05.01.01'!R24</f>
        <v>-214885.28359634054</v>
      </c>
      <c r="S30" s="60">
        <f>'[1]S.05.01.01'!S24</f>
        <v>37682398.338283636</v>
      </c>
      <c r="T30" s="60">
        <f>'[1]S.05.01.01'!T24</f>
        <v>69550422.087203905</v>
      </c>
    </row>
    <row r="31" spans="2:20">
      <c r="B31" s="49" t="s">
        <v>3485</v>
      </c>
      <c r="C31" s="41" t="s">
        <v>2947</v>
      </c>
      <c r="D31" s="60">
        <f>'[1]S.05.01.01'!D25</f>
        <v>0</v>
      </c>
      <c r="E31" s="60">
        <f>'[1]S.05.01.01'!E25</f>
        <v>0</v>
      </c>
      <c r="F31" s="60">
        <f>'[1]S.05.01.01'!F25</f>
        <v>0</v>
      </c>
      <c r="G31" s="60">
        <f>'[1]S.05.01.01'!G25</f>
        <v>0</v>
      </c>
      <c r="H31" s="60">
        <f>'[1]S.05.01.01'!H25</f>
        <v>0</v>
      </c>
      <c r="I31" s="60">
        <f>'[1]S.05.01.01'!I25</f>
        <v>0</v>
      </c>
      <c r="J31" s="60">
        <f>'[1]S.05.01.01'!J25</f>
        <v>0</v>
      </c>
      <c r="K31" s="60">
        <f>'[1]S.05.01.01'!K25</f>
        <v>0</v>
      </c>
      <c r="L31" s="60">
        <f>'[1]S.05.01.01'!L25</f>
        <v>0</v>
      </c>
      <c r="M31" s="60">
        <f>'[1]S.05.01.01'!M25</f>
        <v>0</v>
      </c>
      <c r="N31" s="60">
        <f>'[1]S.05.01.01'!N25</f>
        <v>0</v>
      </c>
      <c r="O31" s="60">
        <f>'[1]S.05.01.01'!O25</f>
        <v>0</v>
      </c>
      <c r="P31" s="60">
        <f>'[1]S.05.01.01'!P25</f>
        <v>0</v>
      </c>
      <c r="Q31" s="60">
        <f>'[1]S.05.01.01'!Q25</f>
        <v>3466188.6950577032</v>
      </c>
      <c r="R31" s="60">
        <f>'[1]S.05.01.01'!R25</f>
        <v>0</v>
      </c>
      <c r="S31" s="60">
        <f>'[1]S.05.01.01'!S25</f>
        <v>6526775.5249422975</v>
      </c>
      <c r="T31" s="60">
        <f>'[1]S.05.01.01'!T25</f>
        <v>9992964.2200000007</v>
      </c>
    </row>
    <row r="32" spans="2:20">
      <c r="B32" s="49" t="s">
        <v>3486</v>
      </c>
      <c r="C32" s="41" t="s">
        <v>2959</v>
      </c>
      <c r="D32" s="60">
        <f>'[1]S.05.01.01'!D26</f>
        <v>135735167.2899999</v>
      </c>
      <c r="E32" s="60">
        <f>'[1]S.05.01.01'!E26</f>
        <v>8097250.059673124</v>
      </c>
      <c r="F32" s="60">
        <f>'[1]S.05.01.01'!F26</f>
        <v>76446637.289999932</v>
      </c>
      <c r="G32" s="60">
        <f>'[1]S.05.01.01'!G26</f>
        <v>628754188.58638895</v>
      </c>
      <c r="H32" s="60">
        <f>'[1]S.05.01.01'!H26</f>
        <v>93668889.117200151</v>
      </c>
      <c r="I32" s="60">
        <f>'[1]S.05.01.01'!I26</f>
        <v>1349795.0997329545</v>
      </c>
      <c r="J32" s="60">
        <f>'[1]S.05.01.01'!J26</f>
        <v>254271876.27892214</v>
      </c>
      <c r="K32" s="60">
        <f>'[1]S.05.01.01'!K26</f>
        <v>44171031.033096187</v>
      </c>
      <c r="L32" s="60">
        <f>'[1]S.05.01.01'!L26</f>
        <v>12753.404199001954</v>
      </c>
      <c r="M32" s="60">
        <f>'[1]S.05.01.01'!M26</f>
        <v>15720286.889999993</v>
      </c>
      <c r="N32" s="60">
        <f>'[1]S.05.01.01'!N26</f>
        <v>19464911.675211679</v>
      </c>
      <c r="O32" s="60">
        <f>'[1]S.05.01.01'!O26</f>
        <v>4398863.6447248068</v>
      </c>
      <c r="P32" s="60">
        <f>'[1]S.05.01.01'!P26</f>
        <v>-2182998.3381742993</v>
      </c>
      <c r="Q32" s="60">
        <f>'[1]S.05.01.01'!Q26</f>
        <v>30799718.675633207</v>
      </c>
      <c r="R32" s="60">
        <f>'[1]S.05.01.01'!R26</f>
        <v>-214885.28359634054</v>
      </c>
      <c r="S32" s="60">
        <f>'[1]S.05.01.01'!S26</f>
        <v>31155622.813341338</v>
      </c>
      <c r="T32" s="60">
        <f>'[1]S.05.01.01'!T26</f>
        <v>1341649108.2363527</v>
      </c>
    </row>
    <row r="33" spans="2:28">
      <c r="B33" s="47" t="s">
        <v>3488</v>
      </c>
      <c r="C33" s="44" t="s">
        <v>2878</v>
      </c>
      <c r="D33" s="56"/>
      <c r="E33" s="66"/>
      <c r="F33" s="66"/>
      <c r="G33" s="66"/>
      <c r="H33" s="66"/>
      <c r="I33" s="66"/>
      <c r="J33" s="66"/>
      <c r="K33" s="66"/>
      <c r="L33" s="66"/>
      <c r="M33" s="66"/>
      <c r="N33" s="66"/>
      <c r="O33" s="66"/>
      <c r="P33" s="67"/>
      <c r="Q33" s="67"/>
      <c r="R33" s="67"/>
      <c r="S33" s="67"/>
      <c r="T33" s="57"/>
    </row>
    <row r="34" spans="2:28">
      <c r="B34" s="49" t="s">
        <v>3482</v>
      </c>
      <c r="C34" s="41" t="s">
        <v>2961</v>
      </c>
      <c r="D34" s="60"/>
      <c r="E34" s="60"/>
      <c r="F34" s="60"/>
      <c r="G34" s="60"/>
      <c r="H34" s="60"/>
      <c r="I34" s="60"/>
      <c r="J34" s="60"/>
      <c r="K34" s="60"/>
      <c r="L34" s="60"/>
      <c r="M34" s="60"/>
      <c r="N34" s="60"/>
      <c r="O34" s="60"/>
      <c r="P34" s="58"/>
      <c r="Q34" s="58"/>
      <c r="R34" s="58"/>
      <c r="S34" s="48"/>
      <c r="T34" s="60"/>
    </row>
    <row r="35" spans="2:28">
      <c r="B35" s="49" t="s">
        <v>3483</v>
      </c>
      <c r="C35" s="41" t="s">
        <v>2963</v>
      </c>
      <c r="D35" s="60"/>
      <c r="E35" s="60"/>
      <c r="F35" s="60"/>
      <c r="G35" s="60"/>
      <c r="H35" s="60"/>
      <c r="I35" s="60"/>
      <c r="J35" s="60"/>
      <c r="K35" s="60"/>
      <c r="L35" s="60"/>
      <c r="M35" s="60"/>
      <c r="N35" s="60"/>
      <c r="O35" s="60"/>
      <c r="P35" s="56"/>
      <c r="Q35" s="56"/>
      <c r="R35" s="56"/>
      <c r="S35" s="46"/>
      <c r="T35" s="60"/>
    </row>
    <row r="36" spans="2:28">
      <c r="B36" s="49" t="s">
        <v>3484</v>
      </c>
      <c r="C36" s="44" t="s">
        <v>2965</v>
      </c>
      <c r="D36" s="56"/>
      <c r="E36" s="56"/>
      <c r="F36" s="56"/>
      <c r="G36" s="56"/>
      <c r="H36" s="56"/>
      <c r="I36" s="56"/>
      <c r="J36" s="56"/>
      <c r="K36" s="56"/>
      <c r="L36" s="56"/>
      <c r="M36" s="56"/>
      <c r="N36" s="56"/>
      <c r="O36" s="46"/>
      <c r="P36" s="60"/>
      <c r="Q36" s="60"/>
      <c r="R36" s="60"/>
      <c r="S36" s="60"/>
      <c r="T36" s="60"/>
    </row>
    <row r="37" spans="2:28">
      <c r="B37" s="49" t="s">
        <v>3485</v>
      </c>
      <c r="C37" s="41" t="s">
        <v>2967</v>
      </c>
      <c r="D37" s="60"/>
      <c r="E37" s="60"/>
      <c r="F37" s="60"/>
      <c r="G37" s="60"/>
      <c r="H37" s="60"/>
      <c r="I37" s="60"/>
      <c r="J37" s="60"/>
      <c r="K37" s="60"/>
      <c r="L37" s="60"/>
      <c r="M37" s="60"/>
      <c r="N37" s="60"/>
      <c r="O37" s="60"/>
      <c r="P37" s="60"/>
      <c r="Q37" s="60"/>
      <c r="R37" s="60"/>
      <c r="S37" s="60"/>
      <c r="T37" s="60"/>
    </row>
    <row r="38" spans="2:28">
      <c r="B38" s="49" t="s">
        <v>3486</v>
      </c>
      <c r="C38" s="41" t="s">
        <v>2977</v>
      </c>
      <c r="D38" s="60"/>
      <c r="E38" s="60"/>
      <c r="F38" s="60"/>
      <c r="G38" s="60"/>
      <c r="H38" s="60"/>
      <c r="I38" s="60"/>
      <c r="J38" s="60"/>
      <c r="K38" s="60"/>
      <c r="L38" s="60"/>
      <c r="M38" s="60"/>
      <c r="N38" s="60"/>
      <c r="O38" s="60"/>
      <c r="P38" s="60"/>
      <c r="Q38" s="60"/>
      <c r="R38" s="60"/>
      <c r="S38" s="60"/>
      <c r="T38" s="60"/>
    </row>
    <row r="39" spans="2:28">
      <c r="B39" s="47" t="s">
        <v>3490</v>
      </c>
      <c r="C39" s="41" t="s">
        <v>2987</v>
      </c>
      <c r="D39" s="60">
        <f>'[1]S.05.01.01'!D27</f>
        <v>53220296.604422972</v>
      </c>
      <c r="E39" s="60">
        <f>'[1]S.05.01.01'!E27</f>
        <v>12753679.702320637</v>
      </c>
      <c r="F39" s="60">
        <f>'[1]S.05.01.01'!F27</f>
        <v>38478048.749264523</v>
      </c>
      <c r="G39" s="60">
        <f>'[1]S.05.01.01'!G27</f>
        <v>224613944.48215562</v>
      </c>
      <c r="H39" s="60">
        <f>'[1]S.05.01.01'!H27</f>
        <v>90004402.612257957</v>
      </c>
      <c r="I39" s="60">
        <f>'[1]S.05.01.01'!I27</f>
        <v>852079.77410119958</v>
      </c>
      <c r="J39" s="60">
        <f>'[1]S.05.01.01'!J27</f>
        <v>211799767.3946512</v>
      </c>
      <c r="K39" s="60">
        <f>'[1]S.05.01.01'!K27</f>
        <v>27790340.301005933</v>
      </c>
      <c r="L39" s="60">
        <f>'[1]S.05.01.01'!L27</f>
        <v>2642690.1474667857</v>
      </c>
      <c r="M39" s="60">
        <f>'[1]S.05.01.01'!M27</f>
        <v>18631770.631888274</v>
      </c>
      <c r="N39" s="60">
        <f>'[1]S.05.01.01'!N27</f>
        <v>13765653.441889226</v>
      </c>
      <c r="O39" s="60">
        <f>'[1]S.05.01.01'!O27</f>
        <v>3754892.5708740735</v>
      </c>
      <c r="P39" s="60">
        <f>'[1]S.05.01.01'!P27</f>
        <v>30510.441113370649</v>
      </c>
      <c r="Q39" s="60">
        <f>'[1]S.05.01.01'!Q27</f>
        <v>12573313.562883325</v>
      </c>
      <c r="R39" s="60">
        <f>'[1]S.05.01.01'!R27</f>
        <v>2009.3616082019375</v>
      </c>
      <c r="S39" s="60">
        <f>'[1]S.05.01.01'!S27</f>
        <v>16389438.524442688</v>
      </c>
      <c r="T39" s="60">
        <f>'[1]S.05.01.01'!T27</f>
        <v>727302838.30234611</v>
      </c>
    </row>
    <row r="40" spans="2:28">
      <c r="B40" s="47" t="s">
        <v>3501</v>
      </c>
      <c r="C40" s="44" t="s">
        <v>3502</v>
      </c>
      <c r="D40" s="58"/>
      <c r="E40" s="58"/>
      <c r="F40" s="58"/>
      <c r="G40" s="58"/>
      <c r="H40" s="58"/>
      <c r="I40" s="58"/>
      <c r="J40" s="58"/>
      <c r="K40" s="58"/>
      <c r="L40" s="58"/>
      <c r="M40" s="58"/>
      <c r="N40" s="58"/>
      <c r="O40" s="58"/>
      <c r="P40" s="58"/>
      <c r="Q40" s="58"/>
      <c r="R40" s="58"/>
      <c r="S40" s="48"/>
      <c r="T40" s="60">
        <f>'[1]S.05.01.01'!T58</f>
        <v>0</v>
      </c>
    </row>
    <row r="41" spans="2:28">
      <c r="B41" s="47" t="s">
        <v>3503</v>
      </c>
      <c r="C41" s="44" t="s">
        <v>3504</v>
      </c>
      <c r="D41" s="56"/>
      <c r="E41" s="56"/>
      <c r="F41" s="56"/>
      <c r="G41" s="56"/>
      <c r="H41" s="56"/>
      <c r="I41" s="56"/>
      <c r="J41" s="56"/>
      <c r="K41" s="56"/>
      <c r="L41" s="56"/>
      <c r="M41" s="56"/>
      <c r="N41" s="56"/>
      <c r="O41" s="56"/>
      <c r="P41" s="56"/>
      <c r="Q41" s="56"/>
      <c r="R41" s="56"/>
      <c r="S41" s="46"/>
      <c r="T41" s="60">
        <f>'[1]S.05.01.01'!T59</f>
        <v>727302838.30234611</v>
      </c>
    </row>
    <row r="43" spans="2:28">
      <c r="AA43" s="13"/>
      <c r="AB43" s="13"/>
    </row>
    <row r="44" spans="2:28">
      <c r="T44" s="82"/>
    </row>
    <row r="45" spans="2:28" ht="18.75">
      <c r="B45" s="97" t="s">
        <v>3554</v>
      </c>
      <c r="C45" s="96"/>
      <c r="D45" s="96"/>
      <c r="E45" s="96"/>
      <c r="F45" s="96"/>
      <c r="G45" s="96"/>
      <c r="H45" s="96"/>
      <c r="I45" s="96"/>
      <c r="J45" s="96"/>
      <c r="K45" s="96"/>
      <c r="L45" s="96"/>
    </row>
    <row r="49" spans="2:28">
      <c r="D49" s="101" t="s">
        <v>2877</v>
      </c>
      <c r="E49" s="102"/>
      <c r="F49" s="102"/>
      <c r="G49" s="102"/>
      <c r="H49" s="102"/>
      <c r="I49" s="102"/>
      <c r="J49" s="102"/>
      <c r="K49" s="102"/>
      <c r="L49" s="103"/>
    </row>
    <row r="50" spans="2:28">
      <c r="D50" s="104"/>
      <c r="E50" s="105"/>
      <c r="F50" s="105"/>
      <c r="G50" s="105"/>
      <c r="H50" s="105"/>
      <c r="I50" s="105"/>
      <c r="J50" s="105"/>
      <c r="K50" s="105"/>
      <c r="L50" s="106"/>
    </row>
    <row r="51" spans="2:28">
      <c r="D51" s="107" t="s">
        <v>3506</v>
      </c>
      <c r="E51" s="108"/>
      <c r="F51" s="108"/>
      <c r="G51" s="108"/>
      <c r="H51" s="108"/>
      <c r="I51" s="109"/>
      <c r="J51" s="107" t="s">
        <v>3516</v>
      </c>
      <c r="K51" s="109"/>
      <c r="L51" s="98" t="s">
        <v>3480</v>
      </c>
    </row>
    <row r="52" spans="2:28" ht="180">
      <c r="D52" s="55" t="s">
        <v>3507</v>
      </c>
      <c r="E52" s="55" t="s">
        <v>1264</v>
      </c>
      <c r="F52" s="55" t="s">
        <v>3510</v>
      </c>
      <c r="G52" s="55" t="s">
        <v>3512</v>
      </c>
      <c r="H52" s="55" t="s">
        <v>1267</v>
      </c>
      <c r="I52" s="55" t="s">
        <v>1268</v>
      </c>
      <c r="J52" s="55" t="s">
        <v>1269</v>
      </c>
      <c r="K52" s="55" t="s">
        <v>1270</v>
      </c>
      <c r="L52" s="100"/>
    </row>
    <row r="53" spans="2:28">
      <c r="D53" s="45" t="s">
        <v>3508</v>
      </c>
      <c r="E53" s="45" t="s">
        <v>3509</v>
      </c>
      <c r="F53" s="45" t="s">
        <v>3511</v>
      </c>
      <c r="G53" s="45" t="s">
        <v>3513</v>
      </c>
      <c r="H53" s="45" t="s">
        <v>3514</v>
      </c>
      <c r="I53" s="45" t="s">
        <v>3515</v>
      </c>
      <c r="J53" s="45" t="s">
        <v>3517</v>
      </c>
      <c r="K53" s="45" t="s">
        <v>3518</v>
      </c>
      <c r="L53" s="45" t="s">
        <v>3519</v>
      </c>
      <c r="AA53" s="13"/>
      <c r="AB53" s="13"/>
    </row>
    <row r="54" spans="2:28">
      <c r="B54" s="43" t="s">
        <v>2880</v>
      </c>
      <c r="C54" s="44" t="s">
        <v>2878</v>
      </c>
      <c r="D54" s="58"/>
      <c r="E54" s="67"/>
      <c r="F54" s="67"/>
      <c r="G54" s="67"/>
      <c r="H54" s="67"/>
      <c r="I54" s="67"/>
      <c r="J54" s="67"/>
      <c r="K54" s="67"/>
      <c r="L54" s="59"/>
    </row>
    <row r="55" spans="2:28">
      <c r="B55" s="47" t="s">
        <v>3437</v>
      </c>
      <c r="C55" s="44" t="s">
        <v>2878</v>
      </c>
      <c r="D55" s="56"/>
      <c r="E55" s="66"/>
      <c r="F55" s="66"/>
      <c r="G55" s="66"/>
      <c r="H55" s="66"/>
      <c r="I55" s="66"/>
      <c r="J55" s="66"/>
      <c r="K55" s="66"/>
      <c r="L55" s="57"/>
    </row>
    <row r="56" spans="2:28">
      <c r="B56" s="49" t="s">
        <v>3520</v>
      </c>
      <c r="C56" s="41" t="s">
        <v>3521</v>
      </c>
      <c r="D56" s="60"/>
      <c r="E56" s="60"/>
      <c r="F56" s="60"/>
      <c r="G56" s="60"/>
      <c r="H56" s="60"/>
      <c r="I56" s="60"/>
      <c r="J56" s="60"/>
      <c r="K56" s="60">
        <f>'[1]S.05.01.01'!K73</f>
        <v>81285.11</v>
      </c>
      <c r="L56" s="60">
        <f>'[1]S.05.01.01'!L73</f>
        <v>81285.11</v>
      </c>
    </row>
    <row r="57" spans="2:28">
      <c r="B57" s="49" t="s">
        <v>3485</v>
      </c>
      <c r="C57" s="41" t="s">
        <v>3522</v>
      </c>
      <c r="D57" s="60"/>
      <c r="E57" s="60"/>
      <c r="F57" s="60"/>
      <c r="G57" s="60"/>
      <c r="H57" s="60"/>
      <c r="I57" s="60"/>
      <c r="J57" s="60"/>
      <c r="K57" s="60">
        <f>'[1]S.05.01.01'!K74</f>
        <v>0</v>
      </c>
      <c r="L57" s="60">
        <f>'[1]S.05.01.01'!L74</f>
        <v>0</v>
      </c>
    </row>
    <row r="58" spans="2:28">
      <c r="B58" s="49" t="s">
        <v>3486</v>
      </c>
      <c r="C58" s="41" t="s">
        <v>3523</v>
      </c>
      <c r="D58" s="60"/>
      <c r="E58" s="60"/>
      <c r="F58" s="60"/>
      <c r="G58" s="60"/>
      <c r="H58" s="60"/>
      <c r="I58" s="60"/>
      <c r="J58" s="60"/>
      <c r="K58" s="60">
        <f>'[1]S.05.01.01'!K75</f>
        <v>81285.11</v>
      </c>
      <c r="L58" s="60">
        <f>'[1]S.05.01.01'!L75</f>
        <v>81285.11</v>
      </c>
    </row>
    <row r="59" spans="2:28">
      <c r="B59" s="47" t="s">
        <v>3487</v>
      </c>
      <c r="C59" s="44" t="s">
        <v>2878</v>
      </c>
      <c r="D59" s="56"/>
      <c r="E59" s="66"/>
      <c r="F59" s="66"/>
      <c r="G59" s="66"/>
      <c r="H59" s="66"/>
      <c r="I59" s="66"/>
      <c r="J59" s="66"/>
      <c r="K59" s="66"/>
      <c r="L59" s="57"/>
    </row>
    <row r="60" spans="2:28">
      <c r="B60" s="49" t="s">
        <v>3520</v>
      </c>
      <c r="C60" s="41" t="s">
        <v>3524</v>
      </c>
      <c r="D60" s="60"/>
      <c r="E60" s="60"/>
      <c r="F60" s="60"/>
      <c r="G60" s="60"/>
      <c r="H60" s="60"/>
      <c r="I60" s="60"/>
      <c r="J60" s="60"/>
      <c r="K60" s="60">
        <f>'[1]S.05.01.01'!K77</f>
        <v>81285.14</v>
      </c>
      <c r="L60" s="60">
        <f>'[1]S.05.01.01'!L77</f>
        <v>81285.14</v>
      </c>
    </row>
    <row r="61" spans="2:28">
      <c r="B61" s="49" t="s">
        <v>3485</v>
      </c>
      <c r="C61" s="41" t="s">
        <v>3525</v>
      </c>
      <c r="D61" s="60"/>
      <c r="E61" s="60"/>
      <c r="F61" s="60"/>
      <c r="G61" s="60"/>
      <c r="H61" s="60"/>
      <c r="I61" s="60"/>
      <c r="J61" s="60"/>
      <c r="K61" s="60">
        <f>'[1]S.05.01.01'!K78</f>
        <v>0</v>
      </c>
      <c r="L61" s="60">
        <f>'[1]S.05.01.01'!L78</f>
        <v>0</v>
      </c>
    </row>
    <row r="62" spans="2:28">
      <c r="B62" s="49" t="s">
        <v>3486</v>
      </c>
      <c r="C62" s="41" t="s">
        <v>3526</v>
      </c>
      <c r="D62" s="60"/>
      <c r="E62" s="60"/>
      <c r="F62" s="60"/>
      <c r="G62" s="60"/>
      <c r="H62" s="60"/>
      <c r="I62" s="60"/>
      <c r="J62" s="60"/>
      <c r="K62" s="60">
        <f>'[1]S.05.01.01'!K79</f>
        <v>81285.14</v>
      </c>
      <c r="L62" s="60">
        <f>'[1]S.05.01.01'!L79</f>
        <v>81285.14</v>
      </c>
    </row>
    <row r="63" spans="2:28">
      <c r="B63" s="47" t="s">
        <v>3438</v>
      </c>
      <c r="C63" s="44" t="s">
        <v>2878</v>
      </c>
      <c r="D63" s="56"/>
      <c r="E63" s="66"/>
      <c r="F63" s="66"/>
      <c r="G63" s="66"/>
      <c r="H63" s="66"/>
      <c r="I63" s="66"/>
      <c r="J63" s="66"/>
      <c r="K63" s="66"/>
      <c r="L63" s="57"/>
    </row>
    <row r="64" spans="2:28">
      <c r="B64" s="49" t="s">
        <v>3520</v>
      </c>
      <c r="C64" s="41" t="s">
        <v>3527</v>
      </c>
      <c r="D64" s="60"/>
      <c r="E64" s="60"/>
      <c r="F64" s="60"/>
      <c r="G64" s="60"/>
      <c r="H64" s="60"/>
      <c r="I64" s="60"/>
      <c r="J64" s="60"/>
      <c r="K64" s="60">
        <f>'[1]S.05.01.01'!K81</f>
        <v>145145.89999999994</v>
      </c>
      <c r="L64" s="60">
        <f>'[1]S.05.01.01'!L81</f>
        <v>145145.89999999994</v>
      </c>
    </row>
    <row r="65" spans="2:28">
      <c r="B65" s="49" t="s">
        <v>3485</v>
      </c>
      <c r="C65" s="41" t="s">
        <v>3528</v>
      </c>
      <c r="D65" s="60"/>
      <c r="E65" s="60"/>
      <c r="F65" s="60"/>
      <c r="G65" s="60"/>
      <c r="H65" s="60"/>
      <c r="I65" s="60"/>
      <c r="J65" s="60"/>
      <c r="K65" s="60">
        <f>'[1]S.05.01.01'!K82</f>
        <v>0</v>
      </c>
      <c r="L65" s="60">
        <f>'[1]S.05.01.01'!L82</f>
        <v>0</v>
      </c>
    </row>
    <row r="66" spans="2:28">
      <c r="B66" s="49" t="s">
        <v>3486</v>
      </c>
      <c r="C66" s="41" t="s">
        <v>3529</v>
      </c>
      <c r="D66" s="60"/>
      <c r="E66" s="60"/>
      <c r="F66" s="60"/>
      <c r="G66" s="60"/>
      <c r="H66" s="60"/>
      <c r="I66" s="60"/>
      <c r="J66" s="60"/>
      <c r="K66" s="60">
        <f>'[1]S.05.01.01'!K83</f>
        <v>145145.89999999994</v>
      </c>
      <c r="L66" s="60">
        <f>'[1]S.05.01.01'!L83</f>
        <v>145145.89999999994</v>
      </c>
    </row>
    <row r="67" spans="2:28">
      <c r="B67" s="47" t="s">
        <v>3488</v>
      </c>
      <c r="C67" s="44" t="s">
        <v>2878</v>
      </c>
      <c r="D67" s="56"/>
      <c r="E67" s="66"/>
      <c r="F67" s="66"/>
      <c r="G67" s="66"/>
      <c r="H67" s="66"/>
      <c r="I67" s="66"/>
      <c r="J67" s="66"/>
      <c r="K67" s="66"/>
      <c r="L67" s="57"/>
    </row>
    <row r="68" spans="2:28">
      <c r="B68" s="49" t="s">
        <v>3520</v>
      </c>
      <c r="C68" s="41" t="s">
        <v>3530</v>
      </c>
      <c r="D68" s="60"/>
      <c r="E68" s="60"/>
      <c r="F68" s="60"/>
      <c r="G68" s="60"/>
      <c r="H68" s="60"/>
      <c r="I68" s="60"/>
      <c r="J68" s="60"/>
      <c r="K68" s="60"/>
      <c r="L68" s="60"/>
    </row>
    <row r="69" spans="2:28">
      <c r="B69" s="49" t="s">
        <v>3485</v>
      </c>
      <c r="C69" s="41" t="s">
        <v>3531</v>
      </c>
      <c r="D69" s="60"/>
      <c r="E69" s="60"/>
      <c r="F69" s="60"/>
      <c r="G69" s="60"/>
      <c r="H69" s="60"/>
      <c r="I69" s="60"/>
      <c r="J69" s="60"/>
      <c r="K69" s="60"/>
      <c r="L69" s="60"/>
    </row>
    <row r="70" spans="2:28">
      <c r="B70" s="49" t="s">
        <v>3486</v>
      </c>
      <c r="C70" s="41" t="s">
        <v>3532</v>
      </c>
      <c r="D70" s="60"/>
      <c r="E70" s="60"/>
      <c r="F70" s="60"/>
      <c r="G70" s="60"/>
      <c r="H70" s="60"/>
      <c r="I70" s="60"/>
      <c r="J70" s="60"/>
      <c r="K70" s="60"/>
      <c r="L70" s="60"/>
    </row>
    <row r="71" spans="2:28">
      <c r="B71" s="47" t="s">
        <v>3490</v>
      </c>
      <c r="C71" s="41" t="s">
        <v>3533</v>
      </c>
      <c r="D71" s="60"/>
      <c r="E71" s="60"/>
      <c r="F71" s="60"/>
      <c r="G71" s="60"/>
      <c r="H71" s="60"/>
      <c r="I71" s="60"/>
      <c r="J71" s="60"/>
      <c r="K71" s="60">
        <f>'[1]S.05.01.01'!K84</f>
        <v>0</v>
      </c>
      <c r="L71" s="60">
        <f>'[1]S.05.01.01'!L84</f>
        <v>0</v>
      </c>
    </row>
    <row r="72" spans="2:28">
      <c r="B72" s="47" t="s">
        <v>3501</v>
      </c>
      <c r="C72" s="44" t="s">
        <v>3549</v>
      </c>
      <c r="D72" s="58"/>
      <c r="E72" s="58"/>
      <c r="F72" s="58"/>
      <c r="G72" s="58"/>
      <c r="H72" s="58"/>
      <c r="I72" s="58"/>
      <c r="J72" s="58"/>
      <c r="K72" s="48"/>
      <c r="L72" s="60"/>
    </row>
    <row r="73" spans="2:28">
      <c r="B73" s="47" t="s">
        <v>3503</v>
      </c>
      <c r="C73" s="44" t="s">
        <v>3550</v>
      </c>
      <c r="D73" s="56"/>
      <c r="E73" s="56"/>
      <c r="F73" s="56"/>
      <c r="G73" s="56"/>
      <c r="H73" s="56"/>
      <c r="I73" s="56"/>
      <c r="J73" s="56"/>
      <c r="K73" s="46"/>
      <c r="L73" s="60">
        <f>'[1]S.05.01.01'!$L$107</f>
        <v>0</v>
      </c>
    </row>
    <row r="75" spans="2:28">
      <c r="AA75" s="13"/>
      <c r="AB75" s="13"/>
    </row>
  </sheetData>
  <mergeCells count="11">
    <mergeCell ref="B45:L45"/>
    <mergeCell ref="D49:L50"/>
    <mergeCell ref="D51:I51"/>
    <mergeCell ref="J51:K51"/>
    <mergeCell ref="L51:L52"/>
    <mergeCell ref="B2:O2"/>
    <mergeCell ref="B5:L5"/>
    <mergeCell ref="D9:T10"/>
    <mergeCell ref="D11:O11"/>
    <mergeCell ref="P11:S11"/>
    <mergeCell ref="T11:T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2C11-4B9F-4E54-9F19-368DF1BC7744}">
  <sheetPr codeName="Blad52"/>
  <dimension ref="B2:AB47"/>
  <sheetViews>
    <sheetView showGridLines="0" workbookViewId="0"/>
  </sheetViews>
  <sheetFormatPr defaultRowHeight="15"/>
  <cols>
    <col min="2" max="2" width="47.42578125" bestFit="1" customWidth="1"/>
    <col min="4" max="20" width="15.7109375" customWidth="1"/>
  </cols>
  <sheetData>
    <row r="2" spans="2:28" ht="23.25">
      <c r="B2" s="95" t="s">
        <v>578</v>
      </c>
      <c r="C2" s="96"/>
      <c r="D2" s="96"/>
      <c r="E2" s="96"/>
      <c r="F2" s="96"/>
      <c r="G2" s="96"/>
      <c r="H2" s="96"/>
      <c r="I2" s="96"/>
      <c r="J2" s="96"/>
      <c r="K2" s="96"/>
      <c r="L2" s="96"/>
      <c r="M2" s="96"/>
      <c r="N2" s="96"/>
      <c r="O2" s="96"/>
    </row>
    <row r="5" spans="2:28" ht="18.75">
      <c r="B5" s="97" t="s">
        <v>3555</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2"/>
      <c r="T9" s="103"/>
    </row>
    <row r="10" spans="2:28">
      <c r="D10" s="104"/>
      <c r="E10" s="105"/>
      <c r="F10" s="105"/>
      <c r="G10" s="105"/>
      <c r="H10" s="105"/>
      <c r="I10" s="105"/>
      <c r="J10" s="105"/>
      <c r="K10" s="105"/>
      <c r="L10" s="105"/>
      <c r="M10" s="105"/>
      <c r="N10" s="105"/>
      <c r="O10" s="105"/>
      <c r="P10" s="105"/>
      <c r="Q10" s="105"/>
      <c r="R10" s="105"/>
      <c r="S10" s="105"/>
      <c r="T10" s="106"/>
    </row>
    <row r="11" spans="2:28">
      <c r="D11" s="107" t="s">
        <v>3459</v>
      </c>
      <c r="E11" s="108"/>
      <c r="F11" s="108"/>
      <c r="G11" s="108"/>
      <c r="H11" s="108"/>
      <c r="I11" s="108"/>
      <c r="J11" s="108"/>
      <c r="K11" s="108"/>
      <c r="L11" s="108"/>
      <c r="M11" s="108"/>
      <c r="N11" s="108"/>
      <c r="O11" s="109"/>
      <c r="P11" s="107" t="s">
        <v>3556</v>
      </c>
      <c r="Q11" s="108"/>
      <c r="R11" s="108"/>
      <c r="S11" s="109"/>
      <c r="T11" s="98" t="s">
        <v>3480</v>
      </c>
    </row>
    <row r="12" spans="2:28"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c r="P12" s="55" t="s">
        <v>3473</v>
      </c>
      <c r="Q12" s="55" t="s">
        <v>3474</v>
      </c>
      <c r="R12" s="55" t="s">
        <v>3476</v>
      </c>
      <c r="S12" s="55" t="s">
        <v>3478</v>
      </c>
      <c r="T12" s="100"/>
    </row>
    <row r="13" spans="2:28">
      <c r="D13" s="45" t="s">
        <v>2879</v>
      </c>
      <c r="E13" s="45" t="s">
        <v>3219</v>
      </c>
      <c r="F13" s="45" t="s">
        <v>3225</v>
      </c>
      <c r="G13" s="45" t="s">
        <v>3223</v>
      </c>
      <c r="H13" s="45" t="s">
        <v>3229</v>
      </c>
      <c r="I13" s="45" t="s">
        <v>3231</v>
      </c>
      <c r="J13" s="45" t="s">
        <v>3233</v>
      </c>
      <c r="K13" s="45" t="s">
        <v>3234</v>
      </c>
      <c r="L13" s="45" t="s">
        <v>3236</v>
      </c>
      <c r="M13" s="45" t="s">
        <v>3239</v>
      </c>
      <c r="N13" s="45" t="s">
        <v>3241</v>
      </c>
      <c r="O13" s="45" t="s">
        <v>3243</v>
      </c>
      <c r="P13" s="45" t="s">
        <v>3375</v>
      </c>
      <c r="Q13" s="45" t="s">
        <v>3475</v>
      </c>
      <c r="R13" s="45" t="s">
        <v>3477</v>
      </c>
      <c r="S13" s="45" t="s">
        <v>3479</v>
      </c>
      <c r="T13" s="45" t="s">
        <v>3481</v>
      </c>
      <c r="AA13" s="13" t="str">
        <f>Show!$B$48&amp;"S.05.01.13.01 Rows {"&amp;COLUMN($C$1)&amp;"}"&amp;"@ForceFilingCode:true"</f>
        <v>!S.05.01.13.01 Rows {3}@ForceFilingCode:true</v>
      </c>
      <c r="AB13" s="13" t="str">
        <f>Show!$B$48&amp;"S.05.01.13.01 Columns {"&amp;COLUMN($D$1)&amp;"}"</f>
        <v>!S.05.01.13.01 Columns {4}</v>
      </c>
    </row>
    <row r="14" spans="2:28">
      <c r="B14" s="43" t="s">
        <v>2880</v>
      </c>
      <c r="C14" s="44" t="s">
        <v>2878</v>
      </c>
      <c r="D14" s="58"/>
      <c r="E14" s="67"/>
      <c r="F14" s="67"/>
      <c r="G14" s="67"/>
      <c r="H14" s="67"/>
      <c r="I14" s="67"/>
      <c r="J14" s="67"/>
      <c r="K14" s="67"/>
      <c r="L14" s="67"/>
      <c r="M14" s="67"/>
      <c r="N14" s="67"/>
      <c r="O14" s="67"/>
      <c r="P14" s="67"/>
      <c r="Q14" s="67"/>
      <c r="R14" s="67"/>
      <c r="S14" s="67"/>
      <c r="T14" s="59"/>
    </row>
    <row r="15" spans="2:28">
      <c r="B15" s="47" t="s">
        <v>3437</v>
      </c>
      <c r="C15" s="44" t="s">
        <v>2878</v>
      </c>
      <c r="D15" s="56"/>
      <c r="E15" s="66"/>
      <c r="F15" s="66"/>
      <c r="G15" s="66"/>
      <c r="H15" s="66"/>
      <c r="I15" s="66"/>
      <c r="J15" s="66"/>
      <c r="K15" s="66"/>
      <c r="L15" s="66"/>
      <c r="M15" s="66"/>
      <c r="N15" s="66"/>
      <c r="O15" s="66"/>
      <c r="P15" s="67"/>
      <c r="Q15" s="67"/>
      <c r="R15" s="67"/>
      <c r="S15" s="67"/>
      <c r="T15" s="57"/>
    </row>
    <row r="16" spans="2:28">
      <c r="B16" s="49" t="s">
        <v>3482</v>
      </c>
      <c r="C16" s="41" t="s">
        <v>2901</v>
      </c>
      <c r="D16" s="60"/>
      <c r="E16" s="60"/>
      <c r="F16" s="60"/>
      <c r="G16" s="60"/>
      <c r="H16" s="60"/>
      <c r="I16" s="60"/>
      <c r="J16" s="60"/>
      <c r="K16" s="60"/>
      <c r="L16" s="60"/>
      <c r="M16" s="60"/>
      <c r="N16" s="60"/>
      <c r="O16" s="64"/>
      <c r="P16" s="58"/>
      <c r="Q16" s="58"/>
      <c r="R16" s="58"/>
      <c r="S16" s="48"/>
      <c r="T16" s="60"/>
    </row>
    <row r="17" spans="2:28">
      <c r="B17" s="49" t="s">
        <v>3483</v>
      </c>
      <c r="C17" s="41" t="s">
        <v>2903</v>
      </c>
      <c r="D17" s="63"/>
      <c r="E17" s="63"/>
      <c r="F17" s="63"/>
      <c r="G17" s="63"/>
      <c r="H17" s="63"/>
      <c r="I17" s="63"/>
      <c r="J17" s="63"/>
      <c r="K17" s="63"/>
      <c r="L17" s="63"/>
      <c r="M17" s="63"/>
      <c r="N17" s="63"/>
      <c r="O17" s="65"/>
      <c r="P17" s="56"/>
      <c r="Q17" s="56"/>
      <c r="R17" s="56"/>
      <c r="S17" s="46"/>
      <c r="T17" s="60"/>
    </row>
    <row r="18" spans="2:28">
      <c r="B18" s="49" t="s">
        <v>3484</v>
      </c>
      <c r="C18" s="44" t="s">
        <v>2905</v>
      </c>
      <c r="D18" s="56"/>
      <c r="E18" s="56"/>
      <c r="F18" s="56"/>
      <c r="G18" s="56"/>
      <c r="H18" s="56"/>
      <c r="I18" s="56"/>
      <c r="J18" s="56"/>
      <c r="K18" s="56"/>
      <c r="L18" s="56"/>
      <c r="M18" s="56"/>
      <c r="N18" s="56"/>
      <c r="O18" s="46"/>
      <c r="P18" s="60"/>
      <c r="Q18" s="60"/>
      <c r="R18" s="60"/>
      <c r="S18" s="60"/>
      <c r="T18" s="60"/>
    </row>
    <row r="19" spans="2:28">
      <c r="B19" s="49" t="s">
        <v>3486</v>
      </c>
      <c r="C19" s="41" t="s">
        <v>2919</v>
      </c>
      <c r="D19" s="63"/>
      <c r="E19" s="63"/>
      <c r="F19" s="63"/>
      <c r="G19" s="63"/>
      <c r="H19" s="63"/>
      <c r="I19" s="63"/>
      <c r="J19" s="63"/>
      <c r="K19" s="63"/>
      <c r="L19" s="63"/>
      <c r="M19" s="63"/>
      <c r="N19" s="63"/>
      <c r="O19" s="63"/>
      <c r="P19" s="63"/>
      <c r="Q19" s="63"/>
      <c r="R19" s="63"/>
      <c r="S19" s="63"/>
      <c r="T19" s="63"/>
    </row>
    <row r="20" spans="2:28">
      <c r="B20" s="47" t="s">
        <v>3438</v>
      </c>
      <c r="C20" s="44" t="s">
        <v>2878</v>
      </c>
      <c r="D20" s="56"/>
      <c r="E20" s="66"/>
      <c r="F20" s="66"/>
      <c r="G20" s="66"/>
      <c r="H20" s="66"/>
      <c r="I20" s="66"/>
      <c r="J20" s="66"/>
      <c r="K20" s="66"/>
      <c r="L20" s="66"/>
      <c r="M20" s="66"/>
      <c r="N20" s="66"/>
      <c r="O20" s="66"/>
      <c r="P20" s="66"/>
      <c r="Q20" s="66"/>
      <c r="R20" s="66"/>
      <c r="S20" s="66"/>
      <c r="T20" s="57"/>
    </row>
    <row r="21" spans="2:28">
      <c r="B21" s="49" t="s">
        <v>3486</v>
      </c>
      <c r="C21" s="41" t="s">
        <v>2959</v>
      </c>
      <c r="D21" s="60"/>
      <c r="E21" s="60"/>
      <c r="F21" s="60"/>
      <c r="G21" s="60"/>
      <c r="H21" s="60"/>
      <c r="I21" s="60"/>
      <c r="J21" s="60"/>
      <c r="K21" s="60"/>
      <c r="L21" s="60"/>
      <c r="M21" s="60"/>
      <c r="N21" s="60"/>
      <c r="O21" s="60"/>
      <c r="P21" s="60"/>
      <c r="Q21" s="60"/>
      <c r="R21" s="60"/>
      <c r="S21" s="60"/>
      <c r="T21" s="60"/>
    </row>
    <row r="22" spans="2:28">
      <c r="B22" s="47" t="s">
        <v>3490</v>
      </c>
      <c r="C22" s="41" t="s">
        <v>2987</v>
      </c>
      <c r="D22" s="63"/>
      <c r="E22" s="63"/>
      <c r="F22" s="63"/>
      <c r="G22" s="63"/>
      <c r="H22" s="63"/>
      <c r="I22" s="63"/>
      <c r="J22" s="63"/>
      <c r="K22" s="63"/>
      <c r="L22" s="63"/>
      <c r="M22" s="63"/>
      <c r="N22" s="63"/>
      <c r="O22" s="63"/>
      <c r="P22" s="63"/>
      <c r="Q22" s="63"/>
      <c r="R22" s="63"/>
      <c r="S22" s="63"/>
      <c r="T22" s="60"/>
    </row>
    <row r="23" spans="2:28">
      <c r="B23" s="47" t="s">
        <v>3501</v>
      </c>
      <c r="C23" s="44" t="s">
        <v>3502</v>
      </c>
      <c r="D23" s="58"/>
      <c r="E23" s="58"/>
      <c r="F23" s="58"/>
      <c r="G23" s="58"/>
      <c r="H23" s="58"/>
      <c r="I23" s="58"/>
      <c r="J23" s="58"/>
      <c r="K23" s="58"/>
      <c r="L23" s="58"/>
      <c r="M23" s="58"/>
      <c r="N23" s="58"/>
      <c r="O23" s="58"/>
      <c r="P23" s="58"/>
      <c r="Q23" s="58"/>
      <c r="R23" s="58"/>
      <c r="S23" s="48"/>
      <c r="T23" s="60"/>
    </row>
    <row r="24" spans="2:28">
      <c r="B24" s="47" t="s">
        <v>3503</v>
      </c>
      <c r="C24" s="44" t="s">
        <v>3504</v>
      </c>
      <c r="D24" s="56"/>
      <c r="E24" s="56"/>
      <c r="F24" s="56"/>
      <c r="G24" s="56"/>
      <c r="H24" s="56"/>
      <c r="I24" s="56"/>
      <c r="J24" s="56"/>
      <c r="K24" s="56"/>
      <c r="L24" s="56"/>
      <c r="M24" s="56"/>
      <c r="N24" s="56"/>
      <c r="O24" s="56"/>
      <c r="P24" s="56"/>
      <c r="Q24" s="56"/>
      <c r="R24" s="56"/>
      <c r="S24" s="46"/>
      <c r="T24" s="60"/>
    </row>
    <row r="26" spans="2:28">
      <c r="AA26" s="13" t="str">
        <f>Show!$B$48&amp;Show!$B$48&amp;"S.05.01.13.01 Rows {"&amp;COLUMN($C$1)&amp;"}"</f>
        <v>!!S.05.01.13.01 Rows {3}</v>
      </c>
      <c r="AB26" s="13" t="str">
        <f>Show!$B$48&amp;Show!$B$48&amp;"S.05.01.13.01 Columns {"&amp;COLUMN($T$1)&amp;"}"</f>
        <v>!!S.05.01.13.01 Columns {20}</v>
      </c>
    </row>
    <row r="28" spans="2:28" ht="18.75">
      <c r="B28" s="97" t="s">
        <v>3557</v>
      </c>
      <c r="C28" s="96"/>
      <c r="D28" s="96"/>
      <c r="E28" s="96"/>
      <c r="F28" s="96"/>
      <c r="G28" s="96"/>
      <c r="H28" s="96"/>
      <c r="I28" s="96"/>
      <c r="J28" s="96"/>
      <c r="K28" s="96"/>
      <c r="L28" s="96"/>
    </row>
    <row r="32" spans="2:28">
      <c r="D32" s="101" t="s">
        <v>2877</v>
      </c>
      <c r="E32" s="102"/>
      <c r="F32" s="102"/>
      <c r="G32" s="102"/>
      <c r="H32" s="102"/>
      <c r="I32" s="102"/>
      <c r="J32" s="102"/>
      <c r="K32" s="102"/>
      <c r="L32" s="103"/>
    </row>
    <row r="33" spans="2:28">
      <c r="D33" s="104"/>
      <c r="E33" s="105"/>
      <c r="F33" s="105"/>
      <c r="G33" s="105"/>
      <c r="H33" s="105"/>
      <c r="I33" s="105"/>
      <c r="J33" s="105"/>
      <c r="K33" s="105"/>
      <c r="L33" s="106"/>
    </row>
    <row r="34" spans="2:28">
      <c r="D34" s="107" t="s">
        <v>3506</v>
      </c>
      <c r="E34" s="108"/>
      <c r="F34" s="108"/>
      <c r="G34" s="108"/>
      <c r="H34" s="108"/>
      <c r="I34" s="109"/>
      <c r="J34" s="107" t="s">
        <v>3516</v>
      </c>
      <c r="K34" s="109"/>
      <c r="L34" s="98" t="s">
        <v>3480</v>
      </c>
    </row>
    <row r="35" spans="2:28" ht="180">
      <c r="D35" s="55" t="s">
        <v>3507</v>
      </c>
      <c r="E35" s="55" t="s">
        <v>1264</v>
      </c>
      <c r="F35" s="55" t="s">
        <v>3510</v>
      </c>
      <c r="G35" s="55" t="s">
        <v>3512</v>
      </c>
      <c r="H35" s="55" t="s">
        <v>1267</v>
      </c>
      <c r="I35" s="55" t="s">
        <v>1268</v>
      </c>
      <c r="J35" s="55" t="s">
        <v>1269</v>
      </c>
      <c r="K35" s="55" t="s">
        <v>1270</v>
      </c>
      <c r="L35" s="100"/>
    </row>
    <row r="36" spans="2:28">
      <c r="D36" s="45" t="s">
        <v>3508</v>
      </c>
      <c r="E36" s="45" t="s">
        <v>3509</v>
      </c>
      <c r="F36" s="45" t="s">
        <v>3511</v>
      </c>
      <c r="G36" s="45" t="s">
        <v>3513</v>
      </c>
      <c r="H36" s="45" t="s">
        <v>3514</v>
      </c>
      <c r="I36" s="45" t="s">
        <v>3515</v>
      </c>
      <c r="J36" s="45" t="s">
        <v>3517</v>
      </c>
      <c r="K36" s="45" t="s">
        <v>3518</v>
      </c>
      <c r="L36" s="45" t="s">
        <v>3519</v>
      </c>
      <c r="AA36" s="13" t="str">
        <f>Show!$B$48&amp;"S.05.01.13.02 Rows {"&amp;COLUMN($C$1)&amp;"}"&amp;"@ForceFilingCode:true"</f>
        <v>!S.05.01.13.02 Rows {3}@ForceFilingCode:true</v>
      </c>
      <c r="AB36" s="13" t="str">
        <f>Show!$B$48&amp;"S.05.01.13.02 Columns {"&amp;COLUMN($D$1)&amp;"}"</f>
        <v>!S.05.01.13.02 Columns {4}</v>
      </c>
    </row>
    <row r="37" spans="2:28">
      <c r="B37" s="43" t="s">
        <v>2880</v>
      </c>
      <c r="C37" s="44" t="s">
        <v>2878</v>
      </c>
      <c r="D37" s="58"/>
      <c r="E37" s="67"/>
      <c r="F37" s="67"/>
      <c r="G37" s="67"/>
      <c r="H37" s="67"/>
      <c r="I37" s="67"/>
      <c r="J37" s="67"/>
      <c r="K37" s="67"/>
      <c r="L37" s="59"/>
    </row>
    <row r="38" spans="2:28">
      <c r="B38" s="47" t="s">
        <v>3437</v>
      </c>
      <c r="C38" s="44" t="s">
        <v>2878</v>
      </c>
      <c r="D38" s="56"/>
      <c r="E38" s="66"/>
      <c r="F38" s="66"/>
      <c r="G38" s="66"/>
      <c r="H38" s="66"/>
      <c r="I38" s="66"/>
      <c r="J38" s="66"/>
      <c r="K38" s="66"/>
      <c r="L38" s="57"/>
    </row>
    <row r="39" spans="2:28">
      <c r="B39" s="49" t="s">
        <v>3520</v>
      </c>
      <c r="C39" s="41" t="s">
        <v>3521</v>
      </c>
      <c r="D39" s="60"/>
      <c r="E39" s="60"/>
      <c r="F39" s="60"/>
      <c r="G39" s="60"/>
      <c r="H39" s="60"/>
      <c r="I39" s="60"/>
      <c r="J39" s="60"/>
      <c r="K39" s="60"/>
      <c r="L39" s="60"/>
    </row>
    <row r="40" spans="2:28">
      <c r="B40" s="49" t="s">
        <v>3486</v>
      </c>
      <c r="C40" s="41" t="s">
        <v>3523</v>
      </c>
      <c r="D40" s="63"/>
      <c r="E40" s="63"/>
      <c r="F40" s="63"/>
      <c r="G40" s="63"/>
      <c r="H40" s="63"/>
      <c r="I40" s="63"/>
      <c r="J40" s="63"/>
      <c r="K40" s="63"/>
      <c r="L40" s="63"/>
    </row>
    <row r="41" spans="2:28">
      <c r="B41" s="47" t="s">
        <v>3438</v>
      </c>
      <c r="C41" s="44" t="s">
        <v>2878</v>
      </c>
      <c r="D41" s="56"/>
      <c r="E41" s="66"/>
      <c r="F41" s="66"/>
      <c r="G41" s="66"/>
      <c r="H41" s="66"/>
      <c r="I41" s="66"/>
      <c r="J41" s="66"/>
      <c r="K41" s="66"/>
      <c r="L41" s="57"/>
    </row>
    <row r="42" spans="2:28">
      <c r="B42" s="49" t="s">
        <v>3486</v>
      </c>
      <c r="C42" s="41" t="s">
        <v>3529</v>
      </c>
      <c r="D42" s="60"/>
      <c r="E42" s="60"/>
      <c r="F42" s="60"/>
      <c r="G42" s="60"/>
      <c r="H42" s="60"/>
      <c r="I42" s="60"/>
      <c r="J42" s="60"/>
      <c r="K42" s="60"/>
      <c r="L42" s="60"/>
    </row>
    <row r="43" spans="2:28">
      <c r="B43" s="47" t="s">
        <v>3490</v>
      </c>
      <c r="C43" s="41" t="s">
        <v>3533</v>
      </c>
      <c r="D43" s="63"/>
      <c r="E43" s="63"/>
      <c r="F43" s="63"/>
      <c r="G43" s="63"/>
      <c r="H43" s="63"/>
      <c r="I43" s="63"/>
      <c r="J43" s="63"/>
      <c r="K43" s="63"/>
      <c r="L43" s="60"/>
    </row>
    <row r="44" spans="2:28">
      <c r="B44" s="47" t="s">
        <v>3501</v>
      </c>
      <c r="C44" s="44" t="s">
        <v>3549</v>
      </c>
      <c r="D44" s="58"/>
      <c r="E44" s="58"/>
      <c r="F44" s="58"/>
      <c r="G44" s="58"/>
      <c r="H44" s="58"/>
      <c r="I44" s="58"/>
      <c r="J44" s="58"/>
      <c r="K44" s="48"/>
      <c r="L44" s="60"/>
    </row>
    <row r="45" spans="2:28">
      <c r="B45" s="47" t="s">
        <v>3503</v>
      </c>
      <c r="C45" s="44" t="s">
        <v>3550</v>
      </c>
      <c r="D45" s="56"/>
      <c r="E45" s="56"/>
      <c r="F45" s="56"/>
      <c r="G45" s="56"/>
      <c r="H45" s="56"/>
      <c r="I45" s="56"/>
      <c r="J45" s="56"/>
      <c r="K45" s="46"/>
      <c r="L45" s="60"/>
    </row>
    <row r="47" spans="2:28">
      <c r="AA47" s="13" t="str">
        <f>Show!$B$48&amp;Show!$B$48&amp;"S.05.01.13.02 Rows {"&amp;COLUMN($C$1)&amp;"}"</f>
        <v>!!S.05.01.13.02 Rows {3}</v>
      </c>
      <c r="AB47" s="13" t="str">
        <f>Show!$B$48&amp;Show!$B$48&amp;"S.05.01.13.02 Columns {"&amp;COLUMN($L$1)&amp;"}"</f>
        <v>!!S.05.01.13.02 Columns {12}</v>
      </c>
    </row>
  </sheetData>
  <sheetProtection sheet="1" objects="1" scenarios="1"/>
  <mergeCells count="11">
    <mergeCell ref="B28:L28"/>
    <mergeCell ref="D32:L33"/>
    <mergeCell ref="D34:I34"/>
    <mergeCell ref="J34:K34"/>
    <mergeCell ref="L34:L35"/>
    <mergeCell ref="B2:O2"/>
    <mergeCell ref="B5:L5"/>
    <mergeCell ref="D9:T10"/>
    <mergeCell ref="D11:O11"/>
    <mergeCell ref="P11:S11"/>
    <mergeCell ref="T11:T1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83D4-AD5F-4A36-9FC9-662A43B40113}">
  <sheetPr codeName="Blad53"/>
  <dimension ref="B2:O230"/>
  <sheetViews>
    <sheetView showGridLines="0" topLeftCell="B18" workbookViewId="0">
      <selection activeCell="K53" sqref="K53"/>
    </sheetView>
  </sheetViews>
  <sheetFormatPr defaultRowHeight="15"/>
  <cols>
    <col min="2" max="2" width="47.42578125" bestFit="1" customWidth="1"/>
    <col min="4" max="4" width="18.42578125" style="85" customWidth="1"/>
    <col min="5" max="8" width="18.42578125" customWidth="1"/>
    <col min="11" max="11" width="16.140625" bestFit="1" customWidth="1"/>
    <col min="12" max="12" width="9.85546875" bestFit="1" customWidth="1"/>
    <col min="13" max="13" width="9.5703125" bestFit="1" customWidth="1"/>
    <col min="14" max="14" width="11.5703125" bestFit="1" customWidth="1"/>
    <col min="15" max="15" width="13.7109375" bestFit="1" customWidth="1"/>
  </cols>
  <sheetData>
    <row r="2" spans="2:15" ht="23.25">
      <c r="B2" s="95" t="s">
        <v>582</v>
      </c>
      <c r="C2" s="96"/>
      <c r="D2" s="96"/>
      <c r="E2" s="96"/>
      <c r="F2" s="96"/>
      <c r="G2" s="96"/>
      <c r="H2" s="96"/>
      <c r="I2" s="96"/>
      <c r="J2" s="96"/>
      <c r="K2" s="96"/>
      <c r="L2" s="96"/>
      <c r="M2" s="96"/>
      <c r="N2" s="96"/>
      <c r="O2" s="96"/>
    </row>
    <row r="5" spans="2:15" ht="18.75">
      <c r="B5" s="97" t="s">
        <v>3558</v>
      </c>
      <c r="C5" s="96"/>
      <c r="D5" s="96"/>
      <c r="E5" s="96"/>
      <c r="F5" s="96"/>
      <c r="G5" s="96"/>
      <c r="H5" s="96"/>
      <c r="I5" s="96"/>
      <c r="J5" s="96"/>
      <c r="K5" s="96"/>
      <c r="L5" s="96"/>
    </row>
    <row r="9" spans="2:15">
      <c r="D9" s="110" t="s">
        <v>2877</v>
      </c>
    </row>
    <row r="10" spans="2:15">
      <c r="D10" s="111"/>
    </row>
    <row r="11" spans="2:15">
      <c r="D11" s="110" t="s">
        <v>3559</v>
      </c>
    </row>
    <row r="12" spans="2:15">
      <c r="D12" s="111"/>
    </row>
    <row r="13" spans="2:15">
      <c r="D13" s="87" t="s">
        <v>3234</v>
      </c>
      <c r="I13" s="13"/>
      <c r="J13" s="13"/>
      <c r="K13" t="s">
        <v>75</v>
      </c>
    </row>
    <row r="14" spans="2:15">
      <c r="B14" s="43" t="s">
        <v>2880</v>
      </c>
      <c r="C14" s="44" t="s">
        <v>2878</v>
      </c>
      <c r="D14" s="88"/>
    </row>
    <row r="15" spans="2:15">
      <c r="B15" s="47" t="s">
        <v>3437</v>
      </c>
      <c r="C15" s="44" t="s">
        <v>2878</v>
      </c>
      <c r="D15" s="84"/>
    </row>
    <row r="16" spans="2:15">
      <c r="B16" s="49" t="s">
        <v>3482</v>
      </c>
      <c r="C16" s="41" t="s">
        <v>2901</v>
      </c>
      <c r="D16" s="83"/>
    </row>
    <row r="17" spans="2:11">
      <c r="B17" s="49" t="s">
        <v>3483</v>
      </c>
      <c r="C17" s="41" t="s">
        <v>2903</v>
      </c>
      <c r="D17" s="83" t="e">
        <f>'[2]Apollo Belgium'!S16+K17</f>
        <v>#VALUE!</v>
      </c>
      <c r="K17" s="85" t="e">
        <f>-SUMIFS('[3]P&amp;L Protection'!$S:$S,'[3]P&amp;L Protection'!$X:$X,"GWP - gross",'[3]P&amp;L Protection'!$Y:$Y,K$13,'[3]P&amp;L Protection'!$L:$L,"Proportional")
-SUMIFS('[3]P&amp;L ASBZ'!$S:$S,'[3]P&amp;L ASBZ'!$X:$X,"GWP - gross",'[3]P&amp;L ASBZ'!$Y:$Y,K$13,'[3]P&amp;L ASBZ'!$L:$L,"Proportional")</f>
        <v>#VALUE!</v>
      </c>
    </row>
    <row r="18" spans="2:11">
      <c r="B18" s="49" t="s">
        <v>3484</v>
      </c>
      <c r="C18" s="41" t="s">
        <v>2905</v>
      </c>
      <c r="D18" s="83" t="e">
        <f>'[2]Apollo Belgium'!S17+K18</f>
        <v>#VALUE!</v>
      </c>
      <c r="K18" s="85" t="e">
        <f>-SUMIFS('[3]P&amp;L Protection'!$S:$S,'[3]P&amp;L Protection'!$X:$X,"GWP - gross",'[3]P&amp;L Protection'!$Y:$Y,K$13,'[3]P&amp;L Protection'!$L:$L,"Non-Proportional")
-SUMIFS('[3]P&amp;L ASBZ'!$S:$S,'[3]P&amp;L ASBZ'!$X:$X,"GWP - gross",'[3]P&amp;L ASBZ'!$Y:$Y,K$13,'[3]P&amp;L ASBZ'!$L:$L,"Non-Proportional")</f>
        <v>#VALUE!</v>
      </c>
    </row>
    <row r="19" spans="2:11">
      <c r="B19" s="49" t="s">
        <v>3485</v>
      </c>
      <c r="C19" s="41" t="s">
        <v>2907</v>
      </c>
      <c r="D19" s="83">
        <f>'[2]Apollo Belgium'!S18+K19</f>
        <v>69963808.413667947</v>
      </c>
      <c r="K19" s="85">
        <f>'[4]GWP Share RI'!$AF$1322</f>
        <v>69963808.413667947</v>
      </c>
    </row>
    <row r="20" spans="2:11">
      <c r="B20" s="49" t="s">
        <v>3486</v>
      </c>
      <c r="C20" s="41" t="s">
        <v>2919</v>
      </c>
      <c r="D20" s="83" t="e">
        <f>D17+D18-D19</f>
        <v>#VALUE!</v>
      </c>
      <c r="K20" s="85" t="e">
        <f>K17+K18-K19</f>
        <v>#VALUE!</v>
      </c>
    </row>
    <row r="21" spans="2:11">
      <c r="B21" s="47" t="s">
        <v>3487</v>
      </c>
      <c r="C21" s="44" t="s">
        <v>2878</v>
      </c>
      <c r="D21" s="84"/>
    </row>
    <row r="22" spans="2:11">
      <c r="B22" s="49" t="s">
        <v>3482</v>
      </c>
      <c r="C22" s="41" t="s">
        <v>2921</v>
      </c>
      <c r="D22" s="83"/>
    </row>
    <row r="23" spans="2:11">
      <c r="B23" s="49" t="s">
        <v>3483</v>
      </c>
      <c r="C23" s="41" t="s">
        <v>2923</v>
      </c>
      <c r="D23" s="83" t="e">
        <f>'[2]Apollo Belgium'!S22+K23</f>
        <v>#VALUE!</v>
      </c>
      <c r="K23" s="85" t="e">
        <f>-SUMIFS('[3]P&amp;L Protection'!$S:$S,'[3]P&amp;L Protection'!$X:$X,"GWP - gross",'[3]P&amp;L Protection'!$Y:$Y,K$13,'[3]P&amp;L Protection'!$L:$L,"Proportional")
-SUMIFS('[3]P&amp;L ASBZ'!$S:$S,'[3]P&amp;L ASBZ'!$X:$X,"GWP - gross",'[3]P&amp;L ASBZ'!$Y:$Y,K$13,'[3]P&amp;L ASBZ'!$L:$L,"Proportional")
-SUMIFS('[3]P&amp;L Protection'!$S:$S,'[3]P&amp;L Protection'!$X:$X,"Variation UPR - gross",'[3]P&amp;L Protection'!$Y:$Y,K$13,'[3]P&amp;L Protection'!$L:$L,"Proportional")
-SUMIFS('[3]P&amp;L ASBZ'!$S:$S,'[3]P&amp;L ASBZ'!$X:$X,"Variation UPR - gross",'[3]P&amp;L ASBZ'!$Y:$Y,K$13,'[3]P&amp;L ASBZ'!$L:$L,"Proportional")</f>
        <v>#VALUE!</v>
      </c>
    </row>
    <row r="24" spans="2:11">
      <c r="B24" s="49" t="s">
        <v>3484</v>
      </c>
      <c r="C24" s="41" t="s">
        <v>2925</v>
      </c>
      <c r="D24" s="83" t="e">
        <f>'[2]Apollo Belgium'!S23+K24</f>
        <v>#VALUE!</v>
      </c>
      <c r="K24" s="85" t="e">
        <f>-SUMIFS('[3]P&amp;L Protection'!$S:$S,'[3]P&amp;L Protection'!$X:$X,"GWP - gross",'[3]P&amp;L Protection'!$Y:$Y,K$13,'[3]P&amp;L Protection'!$L:$L,"Non-Proportional")
-SUMIFS('[3]P&amp;L ASBZ'!$S:$S,'[3]P&amp;L ASBZ'!$X:$X,"GWP - gross",'[3]P&amp;L ASBZ'!$Y:$Y,K$13,'[3]P&amp;L ASBZ'!$L:$L,"Non-Proportional")
-SUMIFS('[3]P&amp;L Protection'!$S:$S,'[3]P&amp;L Protection'!$X:$X,"Variation UPR - gross",'[3]P&amp;L Protection'!$Y:$Y,K$13,'[3]P&amp;L Protection'!$L:$L,"Non-Proportional")
-SUMIFS('[3]P&amp;L ASBZ'!$S:$S,'[3]P&amp;L ASBZ'!$X:$X,"Variation UPR - gross",'[3]P&amp;L ASBZ'!$Y:$Y,K$13,'[3]P&amp;L ASBZ'!$L:$L,"Non-Proportional")</f>
        <v>#VALUE!</v>
      </c>
    </row>
    <row r="25" spans="2:11">
      <c r="B25" s="49" t="s">
        <v>3485</v>
      </c>
      <c r="C25" s="41" t="s">
        <v>2927</v>
      </c>
      <c r="D25" s="83">
        <f>'[2]Apollo Belgium'!S24+K25</f>
        <v>71379661.334955335</v>
      </c>
      <c r="K25" s="85">
        <f>'[4]GWP Share RI'!$AF$1322+'[4]Variation UPR share RI'!$AF$524</f>
        <v>71379661.334955335</v>
      </c>
    </row>
    <row r="26" spans="2:11">
      <c r="B26" s="49" t="s">
        <v>3486</v>
      </c>
      <c r="C26" s="41" t="s">
        <v>2939</v>
      </c>
      <c r="D26" s="83" t="e">
        <f>D23+D24-D25</f>
        <v>#VALUE!</v>
      </c>
      <c r="K26" s="85" t="e">
        <f>K23+K24-K25</f>
        <v>#VALUE!</v>
      </c>
    </row>
    <row r="27" spans="2:11">
      <c r="B27" s="47" t="s">
        <v>3438</v>
      </c>
      <c r="C27" s="44" t="s">
        <v>2878</v>
      </c>
      <c r="D27" s="84"/>
    </row>
    <row r="28" spans="2:11">
      <c r="B28" s="49" t="s">
        <v>3482</v>
      </c>
      <c r="C28" s="41" t="s">
        <v>2941</v>
      </c>
      <c r="D28" s="83"/>
    </row>
    <row r="29" spans="2:11">
      <c r="B29" s="49" t="s">
        <v>3483</v>
      </c>
      <c r="C29" s="41" t="s">
        <v>2943</v>
      </c>
      <c r="D29" s="83" t="e">
        <f>'[2]Apollo Belgium'!S28+K29</f>
        <v>#VALUE!</v>
      </c>
      <c r="K29" s="85" t="e">
        <f>SUMIFS('[3]P&amp;L Protection'!$S:$S,'[3]P&amp;L Protection'!$X:$X,"claims - gross",'[3]P&amp;L Protection'!$Y:$Y,K$13,'[3]P&amp;L Protection'!$L:$L,"Proportional")
+SUMIFS('[3]P&amp;L ASBZ'!$S:$S,'[3]P&amp;L ASBZ'!$X:$X,"claims - gross",'[3]P&amp;L ASBZ'!$Y:$Y,K$13,'[3]P&amp;L ASBZ'!$L:$L,"Proportional")</f>
        <v>#VALUE!</v>
      </c>
    </row>
    <row r="30" spans="2:11">
      <c r="B30" s="49" t="s">
        <v>3484</v>
      </c>
      <c r="C30" s="41" t="s">
        <v>2945</v>
      </c>
      <c r="D30" s="83" t="e">
        <f>'[2]Apollo Belgium'!S29+K30</f>
        <v>#VALUE!</v>
      </c>
      <c r="K30" s="85" t="e">
        <f>SUMIFS('[3]P&amp;L Protection'!$S:$S,'[3]P&amp;L Protection'!$X:$X,"claims - gross",'[3]P&amp;L Protection'!$Y:$Y,K$13,'[3]P&amp;L Protection'!$L:$L,"Non-Proportional")
+SUMIFS('[3]P&amp;L ASBZ'!$S:$S,'[3]P&amp;L ASBZ'!$X:$X,"claims - gross",'[3]P&amp;L ASBZ'!$Y:$Y,K$13,'[3]P&amp;L ASBZ'!$L:$L,"Non-Proportional")</f>
        <v>#VALUE!</v>
      </c>
    </row>
    <row r="31" spans="2:11">
      <c r="B31" s="49" t="s">
        <v>3485</v>
      </c>
      <c r="C31" s="41" t="s">
        <v>2947</v>
      </c>
      <c r="D31" s="83">
        <f>'[2]Apollo Belgium'!S30+K31</f>
        <v>810682.22000000277</v>
      </c>
      <c r="K31" s="85">
        <f>-'[4]Claims share RI'!$AF$451</f>
        <v>810682.22000000277</v>
      </c>
    </row>
    <row r="32" spans="2:11">
      <c r="B32" s="49" t="s">
        <v>3486</v>
      </c>
      <c r="C32" s="41" t="s">
        <v>2959</v>
      </c>
      <c r="D32" s="83" t="e">
        <f>D29+D30-D31</f>
        <v>#VALUE!</v>
      </c>
      <c r="F32" s="85"/>
    </row>
    <row r="33" spans="2:12">
      <c r="B33" s="47" t="s">
        <v>3488</v>
      </c>
      <c r="C33" s="44" t="s">
        <v>2878</v>
      </c>
      <c r="D33" s="84"/>
    </row>
    <row r="34" spans="2:12">
      <c r="B34" s="49" t="s">
        <v>3482</v>
      </c>
      <c r="C34" s="41" t="s">
        <v>2961</v>
      </c>
      <c r="D34" s="83"/>
    </row>
    <row r="35" spans="2:12">
      <c r="B35" s="49" t="s">
        <v>3483</v>
      </c>
      <c r="C35" s="41" t="s">
        <v>2963</v>
      </c>
      <c r="D35" s="83"/>
    </row>
    <row r="36" spans="2:12">
      <c r="B36" s="49" t="s">
        <v>3484</v>
      </c>
      <c r="C36" s="41" t="s">
        <v>2965</v>
      </c>
      <c r="D36" s="83"/>
    </row>
    <row r="37" spans="2:12">
      <c r="B37" s="49" t="s">
        <v>3485</v>
      </c>
      <c r="C37" s="41" t="s">
        <v>2967</v>
      </c>
      <c r="D37" s="83"/>
    </row>
    <row r="38" spans="2:12">
      <c r="B38" s="49" t="s">
        <v>3486</v>
      </c>
      <c r="C38" s="41" t="s">
        <v>2977</v>
      </c>
      <c r="D38" s="83"/>
    </row>
    <row r="39" spans="2:12">
      <c r="B39" s="47" t="s">
        <v>3490</v>
      </c>
      <c r="C39" s="41" t="s">
        <v>2987</v>
      </c>
      <c r="D39" s="84"/>
      <c r="E39" s="82"/>
    </row>
    <row r="40" spans="2:12">
      <c r="B40" s="47" t="s">
        <v>6109</v>
      </c>
      <c r="C40" s="44"/>
      <c r="D40" s="89"/>
      <c r="E40" s="82"/>
    </row>
    <row r="41" spans="2:12" ht="30">
      <c r="B41" s="47" t="s">
        <v>6110</v>
      </c>
      <c r="C41" s="44"/>
      <c r="D41" s="83" t="e">
        <f>'[2]Apollo Belgium'!S38+K41</f>
        <v>#VALUE!</v>
      </c>
      <c r="E41" s="82"/>
      <c r="K41" s="85" t="e">
        <f>SUMIFS('[3]P&amp;L Protection'!$S:$S,'[3]P&amp;L Protection'!$X:$X,"commissions - gross",'[3]P&amp;L Protection'!$Y:$Y,K$13,'[3]P&amp;L Protection'!$L:$L,"Proportional")
+SUMIFS('[3]P&amp;L ASBZ'!$S:$S,'[3]P&amp;L ASBZ'!$X:$X,"commissions - gross",'[3]P&amp;L ASBZ'!$Y:$Y,K$13,'[3]P&amp;L ASBZ'!$L:$L,"Proportional")</f>
        <v>#VALUE!</v>
      </c>
    </row>
    <row r="42" spans="2:12" ht="30">
      <c r="B42" s="47" t="s">
        <v>6111</v>
      </c>
      <c r="C42" s="44"/>
      <c r="D42" s="83" t="e">
        <f>+K42</f>
        <v>#VALUE!</v>
      </c>
      <c r="E42" s="82"/>
      <c r="K42" s="86" t="e">
        <f>SUMIFS('[3]P&amp;L Protection'!$S:$S,'[3]P&amp;L Protection'!$X:$X,"commissions - gross",'[3]P&amp;L Protection'!$Y:$Y,K$13,'[3]P&amp;L Protection'!$L:$L,"Non-Proportional")
+SUMIFS('[3]P&amp;L ASBZ'!$S:$S,'[3]P&amp;L ASBZ'!$X:$X,"commissions - gross",'[3]P&amp;L ASBZ'!$Y:$Y,K$13,'[3]P&amp;L ASBZ'!$L:$L,"Non-Proportional")
+[4]summary!$C$4</f>
        <v>#VALUE!</v>
      </c>
    </row>
    <row r="43" spans="2:12">
      <c r="B43" s="47" t="s">
        <v>3501</v>
      </c>
      <c r="C43" s="44" t="s">
        <v>3502</v>
      </c>
      <c r="D43" s="88"/>
    </row>
    <row r="44" spans="2:12">
      <c r="B44" s="47" t="s">
        <v>3503</v>
      </c>
      <c r="C44" s="44" t="s">
        <v>3504</v>
      </c>
      <c r="D44" s="84"/>
    </row>
    <row r="46" spans="2:12">
      <c r="I46" s="13"/>
      <c r="J46" s="13"/>
    </row>
    <row r="48" spans="2:12" ht="18.75">
      <c r="B48" s="97" t="s">
        <v>3560</v>
      </c>
      <c r="C48" s="96"/>
      <c r="D48" s="96"/>
      <c r="E48" s="96"/>
      <c r="F48" s="96"/>
      <c r="G48" s="96"/>
      <c r="H48" s="96"/>
      <c r="I48" s="96"/>
      <c r="J48" s="96"/>
      <c r="K48" s="96"/>
      <c r="L48" s="96"/>
    </row>
    <row r="52" spans="2:15">
      <c r="D52" s="110" t="s">
        <v>2877</v>
      </c>
      <c r="E52" s="98" t="s">
        <v>2877</v>
      </c>
      <c r="F52" s="98" t="s">
        <v>2877</v>
      </c>
      <c r="G52" s="98" t="s">
        <v>2877</v>
      </c>
      <c r="H52" s="98" t="s">
        <v>2877</v>
      </c>
    </row>
    <row r="53" spans="2:15">
      <c r="D53" s="111"/>
      <c r="E53" s="100"/>
      <c r="F53" s="100"/>
      <c r="G53" s="100"/>
      <c r="H53" s="100"/>
    </row>
    <row r="54" spans="2:15" ht="15" customHeight="1">
      <c r="D54" s="110" t="s">
        <v>3561</v>
      </c>
      <c r="E54" s="98" t="s">
        <v>3561</v>
      </c>
      <c r="F54" s="98" t="s">
        <v>3561</v>
      </c>
      <c r="G54" s="98" t="s">
        <v>3561</v>
      </c>
      <c r="H54" s="98" t="s">
        <v>3561</v>
      </c>
    </row>
    <row r="55" spans="2:15">
      <c r="D55" s="111"/>
      <c r="E55" s="100"/>
      <c r="F55" s="100"/>
      <c r="G55" s="100"/>
      <c r="H55" s="100"/>
    </row>
    <row r="56" spans="2:15">
      <c r="D56" s="90" t="s">
        <v>3236</v>
      </c>
      <c r="E56" s="42" t="s">
        <v>3236</v>
      </c>
      <c r="F56" s="42" t="s">
        <v>3236</v>
      </c>
      <c r="G56" s="42" t="s">
        <v>3236</v>
      </c>
      <c r="H56" s="42" t="s">
        <v>3236</v>
      </c>
      <c r="K56" s="96" t="s">
        <v>6112</v>
      </c>
      <c r="L56" s="96"/>
      <c r="M56" s="96"/>
      <c r="N56" s="96"/>
      <c r="O56" s="96"/>
    </row>
    <row r="57" spans="2:15">
      <c r="B57" s="43" t="s">
        <v>56</v>
      </c>
      <c r="C57" s="41" t="s">
        <v>2883</v>
      </c>
      <c r="D57" s="91" t="s">
        <v>447</v>
      </c>
      <c r="E57" s="68" t="s">
        <v>389</v>
      </c>
      <c r="F57" s="68" t="s">
        <v>433</v>
      </c>
      <c r="G57" s="68" t="s">
        <v>245</v>
      </c>
      <c r="H57" s="68" t="s">
        <v>265</v>
      </c>
      <c r="K57" t="s">
        <v>447</v>
      </c>
      <c r="L57" t="s">
        <v>389</v>
      </c>
      <c r="M57" t="s">
        <v>433</v>
      </c>
      <c r="N57" t="s">
        <v>245</v>
      </c>
      <c r="O57" t="s">
        <v>265</v>
      </c>
    </row>
    <row r="58" spans="2:15">
      <c r="B58" s="43" t="s">
        <v>2880</v>
      </c>
      <c r="C58" s="44" t="s">
        <v>2878</v>
      </c>
      <c r="D58" s="88"/>
      <c r="E58" s="48"/>
      <c r="F58" s="48"/>
      <c r="G58" s="48"/>
      <c r="H58" s="48"/>
    </row>
    <row r="59" spans="2:15">
      <c r="B59" s="47" t="s">
        <v>3437</v>
      </c>
      <c r="C59" s="44" t="s">
        <v>2878</v>
      </c>
      <c r="D59" s="84"/>
      <c r="E59" s="46"/>
      <c r="F59" s="46"/>
      <c r="G59" s="46"/>
      <c r="H59" s="46"/>
    </row>
    <row r="60" spans="2:15">
      <c r="B60" s="49" t="s">
        <v>3482</v>
      </c>
      <c r="C60" s="41" t="s">
        <v>2901</v>
      </c>
      <c r="D60" s="83"/>
      <c r="E60" s="60"/>
      <c r="F60" s="60"/>
      <c r="G60" s="60"/>
      <c r="H60" s="60"/>
    </row>
    <row r="61" spans="2:15">
      <c r="B61" s="49" t="s">
        <v>3483</v>
      </c>
      <c r="C61" s="41" t="s">
        <v>2903</v>
      </c>
      <c r="D61" s="83" t="e">
        <f>'[2]Apollo UK'!S16+K61</f>
        <v>#VALUE!</v>
      </c>
      <c r="E61" s="60" t="e">
        <f>'[2]Apollo Portugal'!S16+L61</f>
        <v>#VALUE!</v>
      </c>
      <c r="F61" s="60" t="e">
        <f>M61</f>
        <v>#VALUE!</v>
      </c>
      <c r="G61" s="60" t="e">
        <f t="shared" ref="G61:G63" si="0">N61</f>
        <v>#VALUE!</v>
      </c>
      <c r="H61" s="60" t="e">
        <f t="shared" ref="H61:H63" si="1">O61</f>
        <v>#VALUE!</v>
      </c>
      <c r="K61" s="85" t="e">
        <f>-SUMIFS('[3]P&amp;L Protection'!$S:$S,'[3]P&amp;L Protection'!$X:$X,"GWP - gross",'[3]P&amp;L Protection'!$Y:$Y,K$57,'[3]P&amp;L Protection'!$L:$L,"Proportional")
-SUMIFS('[3]P&amp;L ASBZ'!$S:$S,'[3]P&amp;L ASBZ'!$X:$X,"GWP - gross",'[3]P&amp;L ASBZ'!$Y:$Y,K$57,'[3]P&amp;L ASBZ'!$L:$L,"Proportional")</f>
        <v>#VALUE!</v>
      </c>
      <c r="L61" s="85" t="e">
        <f>-SUMIFS('[3]P&amp;L Protection'!$S:$S,'[3]P&amp;L Protection'!$X:$X,"GWP - gross",'[3]P&amp;L Protection'!$Y:$Y,L$57,'[3]P&amp;L Protection'!$L:$L,"Proportional")
-SUMIFS('[3]P&amp;L ASBZ'!$S:$S,'[3]P&amp;L ASBZ'!$X:$X,"GWP - gross",'[3]P&amp;L ASBZ'!$Y:$Y,L$57,'[3]P&amp;L ASBZ'!$L:$L,"Proportional")</f>
        <v>#VALUE!</v>
      </c>
      <c r="M61" s="85" t="e">
        <f>-SUMIFS('[3]P&amp;L Protection'!$S:$S,'[3]P&amp;L Protection'!$X:$X,"GWP - gross",'[3]P&amp;L Protection'!$Y:$Y,M$57,'[3]P&amp;L Protection'!$L:$L,"Proportional")
-SUMIFS('[3]P&amp;L ASBZ'!$S:$S,'[3]P&amp;L ASBZ'!$X:$X,"GWP - gross",'[3]P&amp;L ASBZ'!$Y:$Y,M$57,'[3]P&amp;L ASBZ'!$L:$L,"Proportional")</f>
        <v>#VALUE!</v>
      </c>
      <c r="N61" s="85" t="e">
        <f>-SUMIFS('[3]P&amp;L Protection'!$S:$S,'[3]P&amp;L Protection'!$X:$X,"GWP - gross",'[3]P&amp;L Protection'!$Y:$Y,N$57,'[3]P&amp;L Protection'!$L:$L,"Proportional")
-SUMIFS('[3]P&amp;L ASBZ'!$S:$S,'[3]P&amp;L ASBZ'!$X:$X,"GWP - gross",'[3]P&amp;L ASBZ'!$Y:$Y,N$57,'[3]P&amp;L ASBZ'!$L:$L,"Proportional")</f>
        <v>#VALUE!</v>
      </c>
      <c r="O61" s="92" t="e">
        <f>-SUMIFS('[3]P&amp;L Protection'!$S:$S,'[3]P&amp;L Protection'!$X:$X,"GWP - gross",'[3]P&amp;L Protection'!$Y:$Y,O$57,'[3]P&amp;L Protection'!$L:$L,"Proportional")
-SUMIFS('[3]P&amp;L ASBZ'!$S:$S,'[3]P&amp;L ASBZ'!$X:$X,"GWP - gross",'[3]P&amp;L ASBZ'!$Y:$Y,O$57,'[3]P&amp;L ASBZ'!$L:$L,"Proportional")
+ 36571428.57</f>
        <v>#VALUE!</v>
      </c>
    </row>
    <row r="62" spans="2:15">
      <c r="B62" s="49" t="s">
        <v>3484</v>
      </c>
      <c r="C62" s="41" t="s">
        <v>2905</v>
      </c>
      <c r="D62" s="83" t="e">
        <f>'[2]Apollo UK'!S17+K62</f>
        <v>#VALUE!</v>
      </c>
      <c r="E62" s="60" t="e">
        <f>'[2]Apollo Portugal'!S17+L62</f>
        <v>#VALUE!</v>
      </c>
      <c r="F62" s="60" t="e">
        <f t="shared" ref="F62:F63" si="2">M62</f>
        <v>#VALUE!</v>
      </c>
      <c r="G62" s="60" t="e">
        <f t="shared" si="0"/>
        <v>#VALUE!</v>
      </c>
      <c r="H62" s="60" t="e">
        <f t="shared" si="1"/>
        <v>#VALUE!</v>
      </c>
      <c r="K62" s="85" t="e">
        <f>-SUMIFS('[3]P&amp;L Protection'!$S:$S,'[3]P&amp;L Protection'!$X:$X,"GWP - gross",'[3]P&amp;L Protection'!$Y:$Y,K$57,'[3]P&amp;L Protection'!$L:$L,"Non-Proportional")
-SUMIFS('[3]P&amp;L ASBZ'!$S:$S,'[3]P&amp;L ASBZ'!$X:$X,"GWP - gross",'[3]P&amp;L ASBZ'!$Y:$Y,K$57,'[3]P&amp;L ASBZ'!$L:$L,"Non-Proportional")</f>
        <v>#VALUE!</v>
      </c>
      <c r="L62" s="85" t="e">
        <f>-SUMIFS('[3]P&amp;L Protection'!$S:$S,'[3]P&amp;L Protection'!$X:$X,"GWP - gross",'[3]P&amp;L Protection'!$Y:$Y,L$57,'[3]P&amp;L Protection'!$L:$L,"Non-Proportional")
-SUMIFS('[3]P&amp;L ASBZ'!$S:$S,'[3]P&amp;L ASBZ'!$X:$X,"GWP - gross",'[3]P&amp;L ASBZ'!$Y:$Y,L$57,'[3]P&amp;L ASBZ'!$L:$L,"Non-Proportional")</f>
        <v>#VALUE!</v>
      </c>
      <c r="M62" s="85" t="e">
        <f>-SUMIFS('[3]P&amp;L Protection'!$S:$S,'[3]P&amp;L Protection'!$X:$X,"GWP - gross",'[3]P&amp;L Protection'!$Y:$Y,M$57,'[3]P&amp;L Protection'!$L:$L,"Non-Proportional")
-SUMIFS('[3]P&amp;L ASBZ'!$S:$S,'[3]P&amp;L ASBZ'!$X:$X,"GWP - gross",'[3]P&amp;L ASBZ'!$Y:$Y,M$57,'[3]P&amp;L ASBZ'!$L:$L,"Non-Proportional")</f>
        <v>#VALUE!</v>
      </c>
      <c r="N62" s="85" t="e">
        <f>-SUMIFS('[3]P&amp;L Protection'!$S:$S,'[3]P&amp;L Protection'!$X:$X,"GWP - gross",'[3]P&amp;L Protection'!$Y:$Y,N$57,'[3]P&amp;L Protection'!$L:$L,"Non-Proportional")
-SUMIFS('[3]P&amp;L ASBZ'!$S:$S,'[3]P&amp;L ASBZ'!$X:$X,"GWP - gross",'[3]P&amp;L ASBZ'!$Y:$Y,N$57,'[3]P&amp;L ASBZ'!$L:$L,"Non-Proportional")</f>
        <v>#VALUE!</v>
      </c>
      <c r="O62" s="85" t="e">
        <f>-SUMIFS('[3]P&amp;L Protection'!$S:$S,'[3]P&amp;L Protection'!$X:$X,"GWP - gross",'[3]P&amp;L Protection'!$Y:$Y,O$57,'[3]P&amp;L Protection'!$L:$L,"Non-Proportional")
-SUMIFS('[3]P&amp;L ASBZ'!$S:$S,'[3]P&amp;L ASBZ'!$X:$X,"GWP - gross",'[3]P&amp;L ASBZ'!$Y:$Y,O$57,'[3]P&amp;L ASBZ'!$L:$L,"Non-Proportional")</f>
        <v>#VALUE!</v>
      </c>
    </row>
    <row r="63" spans="2:15">
      <c r="B63" s="49" t="s">
        <v>3485</v>
      </c>
      <c r="C63" s="41" t="s">
        <v>2907</v>
      </c>
      <c r="D63" s="83">
        <f>'[2]Apollo UK'!S18+K63</f>
        <v>64620552.557974845</v>
      </c>
      <c r="E63" s="60">
        <f>'[2]Apollo Portugal'!S18+L63</f>
        <v>13483538.628357232</v>
      </c>
      <c r="F63" s="60">
        <f t="shared" si="2"/>
        <v>0</v>
      </c>
      <c r="G63" s="60">
        <f t="shared" si="0"/>
        <v>0</v>
      </c>
      <c r="H63" s="60">
        <f t="shared" si="1"/>
        <v>0</v>
      </c>
      <c r="K63" s="85">
        <f>'[4]GWP Share RI'!$AH$1322</f>
        <v>64620552.557974845</v>
      </c>
      <c r="L63" s="85">
        <f>'[4]GWP Share RI'!$AG$1322</f>
        <v>13483538.628357232</v>
      </c>
    </row>
    <row r="64" spans="2:15">
      <c r="B64" s="49" t="s">
        <v>3486</v>
      </c>
      <c r="C64" s="41" t="s">
        <v>2919</v>
      </c>
      <c r="D64" s="83" t="e">
        <f>D61+D62-D63</f>
        <v>#VALUE!</v>
      </c>
      <c r="E64" s="60" t="e">
        <f>E61+E62-E63</f>
        <v>#VALUE!</v>
      </c>
      <c r="F64" s="60" t="e">
        <f>F61+F62-F63</f>
        <v>#VALUE!</v>
      </c>
      <c r="G64" s="60" t="e">
        <f>G61+G62-G63</f>
        <v>#VALUE!</v>
      </c>
      <c r="H64" s="60" t="e">
        <f>H61+H62-H63</f>
        <v>#VALUE!</v>
      </c>
      <c r="K64" s="85" t="e">
        <f t="shared" ref="K64:O64" si="3">K61+K62-K63</f>
        <v>#VALUE!</v>
      </c>
      <c r="L64" s="85" t="e">
        <f t="shared" si="3"/>
        <v>#VALUE!</v>
      </c>
      <c r="M64" s="85" t="e">
        <f t="shared" si="3"/>
        <v>#VALUE!</v>
      </c>
      <c r="N64" s="85" t="e">
        <f t="shared" si="3"/>
        <v>#VALUE!</v>
      </c>
      <c r="O64" s="85" t="e">
        <f t="shared" si="3"/>
        <v>#VALUE!</v>
      </c>
    </row>
    <row r="65" spans="2:15">
      <c r="B65" s="47" t="s">
        <v>3487</v>
      </c>
      <c r="C65" s="44" t="s">
        <v>2878</v>
      </c>
      <c r="D65" s="84"/>
      <c r="E65" s="46"/>
      <c r="F65" s="46"/>
      <c r="G65" s="46"/>
      <c r="H65" s="46"/>
    </row>
    <row r="66" spans="2:15">
      <c r="B66" s="49" t="s">
        <v>3482</v>
      </c>
      <c r="C66" s="41" t="s">
        <v>2921</v>
      </c>
      <c r="D66" s="83"/>
      <c r="E66" s="60"/>
      <c r="F66" s="60"/>
      <c r="G66" s="60"/>
      <c r="H66" s="60"/>
    </row>
    <row r="67" spans="2:15">
      <c r="B67" s="49" t="s">
        <v>3483</v>
      </c>
      <c r="C67" s="41" t="s">
        <v>2923</v>
      </c>
      <c r="D67" s="83" t="e">
        <f>'[2]Apollo UK'!S22+K67</f>
        <v>#VALUE!</v>
      </c>
      <c r="E67" s="60" t="e">
        <f>'[2]Apollo Portugal'!S22+L67</f>
        <v>#VALUE!</v>
      </c>
      <c r="F67" s="60" t="e">
        <f>M67</f>
        <v>#VALUE!</v>
      </c>
      <c r="G67" s="60" t="e">
        <f t="shared" ref="G67:H69" si="4">N67</f>
        <v>#VALUE!</v>
      </c>
      <c r="H67" s="60" t="e">
        <f t="shared" si="4"/>
        <v>#VALUE!</v>
      </c>
      <c r="K67" s="85" t="e">
        <f>-SUMIFS('[3]P&amp;L Protection'!$S:$S,'[3]P&amp;L Protection'!$X:$X,"GWP - gross",'[3]P&amp;L Protection'!$Y:$Y,K$57,'[3]P&amp;L Protection'!$L:$L,"Proportional")
-SUMIFS('[3]P&amp;L ASBZ'!$S:$S,'[3]P&amp;L ASBZ'!$X:$X,"GWP - gross",'[3]P&amp;L ASBZ'!$Y:$Y,K$57,'[3]P&amp;L ASBZ'!$L:$L,"Proportional")
-SUMIFS('[3]P&amp;L Protection'!$S:$S,'[3]P&amp;L Protection'!$X:$X,"Variation UPR - gross",'[3]P&amp;L Protection'!$Y:$Y,K$57,'[3]P&amp;L Protection'!$L:$L,"Proportional")
-SUMIFS('[3]P&amp;L ASBZ'!$S:$S,'[3]P&amp;L ASBZ'!$X:$X,"Variation UPR - gross",'[3]P&amp;L ASBZ'!$Y:$Y,K$57,'[3]P&amp;L ASBZ'!$L:$L,"Proportional")</f>
        <v>#VALUE!</v>
      </c>
      <c r="L67" s="85" t="e">
        <f>-SUMIFS('[3]P&amp;L Protection'!$S:$S,'[3]P&amp;L Protection'!$X:$X,"GWP - gross",'[3]P&amp;L Protection'!$Y:$Y,L$57,'[3]P&amp;L Protection'!$L:$L,"Proportional")
-SUMIFS('[3]P&amp;L ASBZ'!$S:$S,'[3]P&amp;L ASBZ'!$X:$X,"GWP - gross",'[3]P&amp;L ASBZ'!$Y:$Y,L$57,'[3]P&amp;L ASBZ'!$L:$L,"Proportional")
-SUMIFS('[3]P&amp;L Protection'!$S:$S,'[3]P&amp;L Protection'!$X:$X,"Variation UPR - gross",'[3]P&amp;L Protection'!$Y:$Y,L$57,'[3]P&amp;L Protection'!$L:$L,"Proportional")
-SUMIFS('[3]P&amp;L ASBZ'!$S:$S,'[3]P&amp;L ASBZ'!$X:$X,"Variation UPR - gross",'[3]P&amp;L ASBZ'!$Y:$Y,L$57,'[3]P&amp;L ASBZ'!$L:$L,"Proportional")</f>
        <v>#VALUE!</v>
      </c>
      <c r="M67" s="85" t="e">
        <f>-SUMIFS('[3]P&amp;L Protection'!$S:$S,'[3]P&amp;L Protection'!$X:$X,"GWP - gross",'[3]P&amp;L Protection'!$Y:$Y,M$57,'[3]P&amp;L Protection'!$L:$L,"Proportional")
-SUMIFS('[3]P&amp;L ASBZ'!$S:$S,'[3]P&amp;L ASBZ'!$X:$X,"GWP - gross",'[3]P&amp;L ASBZ'!$Y:$Y,M$57,'[3]P&amp;L ASBZ'!$L:$L,"Proportional")
-SUMIFS('[3]P&amp;L Protection'!$S:$S,'[3]P&amp;L Protection'!$X:$X,"Variation UPR - gross",'[3]P&amp;L Protection'!$Y:$Y,M$57,'[3]P&amp;L Protection'!$L:$L,"Proportional")
-SUMIFS('[3]P&amp;L ASBZ'!$S:$S,'[3]P&amp;L ASBZ'!$X:$X,"Variation UPR - gross",'[3]P&amp;L ASBZ'!$Y:$Y,M$57,'[3]P&amp;L ASBZ'!$L:$L,"Proportional")</f>
        <v>#VALUE!</v>
      </c>
      <c r="N67" s="85" t="e">
        <f>-SUMIFS('[3]P&amp;L Protection'!$S:$S,'[3]P&amp;L Protection'!$X:$X,"GWP - gross",'[3]P&amp;L Protection'!$Y:$Y,N$57,'[3]P&amp;L Protection'!$L:$L,"Proportional")
-SUMIFS('[3]P&amp;L ASBZ'!$S:$S,'[3]P&amp;L ASBZ'!$X:$X,"GWP - gross",'[3]P&amp;L ASBZ'!$Y:$Y,N$57,'[3]P&amp;L ASBZ'!$L:$L,"Proportional")
-SUMIFS('[3]P&amp;L Protection'!$S:$S,'[3]P&amp;L Protection'!$X:$X,"Variation UPR - gross",'[3]P&amp;L Protection'!$Y:$Y,N$57,'[3]P&amp;L Protection'!$L:$L,"Proportional")
-SUMIFS('[3]P&amp;L ASBZ'!$S:$S,'[3]P&amp;L ASBZ'!$X:$X,"Variation UPR - gross",'[3]P&amp;L ASBZ'!$Y:$Y,N$57,'[3]P&amp;L ASBZ'!$L:$L,"Proportional")</f>
        <v>#VALUE!</v>
      </c>
      <c r="O67" s="85" t="e">
        <f>-SUMIFS('[3]P&amp;L Protection'!$S:$S,'[3]P&amp;L Protection'!$X:$X,"GWP - gross",'[3]P&amp;L Protection'!$Y:$Y,O$57,'[3]P&amp;L Protection'!$L:$L,"Proportional")
-SUMIFS('[3]P&amp;L ASBZ'!$S:$S,'[3]P&amp;L ASBZ'!$X:$X,"GWP - gross",'[3]P&amp;L ASBZ'!$Y:$Y,O$57,'[3]P&amp;L ASBZ'!$L:$L,"Proportional")
-SUMIFS('[3]P&amp;L Protection'!$S:$S,'[3]P&amp;L Protection'!$X:$X,"Variation UPR - gross",'[3]P&amp;L Protection'!$Y:$Y,O$57,'[3]P&amp;L Protection'!$L:$L,"Proportional")
-SUMIFS('[3]P&amp;L ASBZ'!$S:$S,'[3]P&amp;L ASBZ'!$X:$X,"Variation UPR - gross",'[3]P&amp;L ASBZ'!$Y:$Y,O$57,'[3]P&amp;L ASBZ'!$L:$L,"Proportional")</f>
        <v>#VALUE!</v>
      </c>
    </row>
    <row r="68" spans="2:15">
      <c r="B68" s="49" t="s">
        <v>3484</v>
      </c>
      <c r="C68" s="41" t="s">
        <v>2925</v>
      </c>
      <c r="D68" s="83" t="e">
        <f>'[2]Apollo UK'!S23+K68</f>
        <v>#VALUE!</v>
      </c>
      <c r="E68" s="60" t="e">
        <f>'[2]Apollo Portugal'!S23+L68</f>
        <v>#VALUE!</v>
      </c>
      <c r="F68" s="60" t="e">
        <f t="shared" ref="F68:F69" si="5">M68</f>
        <v>#VALUE!</v>
      </c>
      <c r="G68" s="60" t="e">
        <f t="shared" si="4"/>
        <v>#VALUE!</v>
      </c>
      <c r="H68" s="60" t="e">
        <f t="shared" si="4"/>
        <v>#VALUE!</v>
      </c>
      <c r="K68" s="85" t="e">
        <f>-SUMIFS('[3]P&amp;L Protection'!$S:$S,'[3]P&amp;L Protection'!$X:$X,"GWP - gross",'[3]P&amp;L Protection'!$Y:$Y,K$57,'[3]P&amp;L Protection'!$L:$L,"Non-Proportional")
-SUMIFS('[3]P&amp;L ASBZ'!$S:$S,'[3]P&amp;L ASBZ'!$X:$X,"GWP - gross",'[3]P&amp;L ASBZ'!$Y:$Y,K$57,'[3]P&amp;L ASBZ'!$L:$L,"Non-Proportional")
-SUMIFS('[3]P&amp;L Protection'!$S:$S,'[3]P&amp;L Protection'!$X:$X,"Variation UPR - gross",'[3]P&amp;L Protection'!$Y:$Y,K$57,'[3]P&amp;L Protection'!$L:$L,"Non-Proportional")
-SUMIFS('[3]P&amp;L ASBZ'!$S:$S,'[3]P&amp;L ASBZ'!$X:$X,"Variation UPR - gross",'[3]P&amp;L ASBZ'!$Y:$Y,K$57,'[3]P&amp;L ASBZ'!$L:$L,"Non-Proportional")</f>
        <v>#VALUE!</v>
      </c>
      <c r="L68" s="85" t="e">
        <f>-SUMIFS('[3]P&amp;L Protection'!$S:$S,'[3]P&amp;L Protection'!$X:$X,"GWP - gross",'[3]P&amp;L Protection'!$Y:$Y,L$57,'[3]P&amp;L Protection'!$L:$L,"Non-Proportional")
-SUMIFS('[3]P&amp;L ASBZ'!$S:$S,'[3]P&amp;L ASBZ'!$X:$X,"GWP - gross",'[3]P&amp;L ASBZ'!$Y:$Y,L$57,'[3]P&amp;L ASBZ'!$L:$L,"Non-Proportional")
-SUMIFS('[3]P&amp;L Protection'!$S:$S,'[3]P&amp;L Protection'!$X:$X,"Variation UPR - gross",'[3]P&amp;L Protection'!$Y:$Y,L$57,'[3]P&amp;L Protection'!$L:$L,"Non-Proportional")
-SUMIFS('[3]P&amp;L ASBZ'!$S:$S,'[3]P&amp;L ASBZ'!$X:$X,"Variation UPR - gross",'[3]P&amp;L ASBZ'!$Y:$Y,L$57,'[3]P&amp;L ASBZ'!$L:$L,"Non-Proportional")</f>
        <v>#VALUE!</v>
      </c>
      <c r="M68" s="85" t="e">
        <f>-SUMIFS('[3]P&amp;L Protection'!$S:$S,'[3]P&amp;L Protection'!$X:$X,"GWP - gross",'[3]P&amp;L Protection'!$Y:$Y,M$57,'[3]P&amp;L Protection'!$L:$L,"Non-Proportional")
-SUMIFS('[3]P&amp;L ASBZ'!$S:$S,'[3]P&amp;L ASBZ'!$X:$X,"GWP - gross",'[3]P&amp;L ASBZ'!$Y:$Y,M$57,'[3]P&amp;L ASBZ'!$L:$L,"Non-Proportional")
-SUMIFS('[3]P&amp;L Protection'!$S:$S,'[3]P&amp;L Protection'!$X:$X,"Variation UPR - gross",'[3]P&amp;L Protection'!$Y:$Y,M$57,'[3]P&amp;L Protection'!$L:$L,"Non-Proportional")
-SUMIFS('[3]P&amp;L ASBZ'!$S:$S,'[3]P&amp;L ASBZ'!$X:$X,"Variation UPR - gross",'[3]P&amp;L ASBZ'!$Y:$Y,M$57,'[3]P&amp;L ASBZ'!$L:$L,"Non-Proportional")</f>
        <v>#VALUE!</v>
      </c>
      <c r="N68" s="85" t="e">
        <f>-SUMIFS('[3]P&amp;L Protection'!$S:$S,'[3]P&amp;L Protection'!$X:$X,"GWP - gross",'[3]P&amp;L Protection'!$Y:$Y,N$57,'[3]P&amp;L Protection'!$L:$L,"Non-Proportional")
-SUMIFS('[3]P&amp;L ASBZ'!$S:$S,'[3]P&amp;L ASBZ'!$X:$X,"GWP - gross",'[3]P&amp;L ASBZ'!$Y:$Y,N$57,'[3]P&amp;L ASBZ'!$L:$L,"Non-Proportional")
-SUMIFS('[3]P&amp;L Protection'!$S:$S,'[3]P&amp;L Protection'!$X:$X,"Variation UPR - gross",'[3]P&amp;L Protection'!$Y:$Y,N$57,'[3]P&amp;L Protection'!$L:$L,"Non-Proportional")
-SUMIFS('[3]P&amp;L ASBZ'!$S:$S,'[3]P&amp;L ASBZ'!$X:$X,"Variation UPR - gross",'[3]P&amp;L ASBZ'!$Y:$Y,N$57,'[3]P&amp;L ASBZ'!$L:$L,"Non-Proportional")</f>
        <v>#VALUE!</v>
      </c>
      <c r="O68" s="85" t="e">
        <f>-SUMIFS('[3]P&amp;L Protection'!$S:$S,'[3]P&amp;L Protection'!$X:$X,"GWP - gross",'[3]P&amp;L Protection'!$Y:$Y,O$57,'[3]P&amp;L Protection'!$L:$L,"Non-Proportional")
-SUMIFS('[3]P&amp;L ASBZ'!$S:$S,'[3]P&amp;L ASBZ'!$X:$X,"GWP - gross",'[3]P&amp;L ASBZ'!$Y:$Y,O$57,'[3]P&amp;L ASBZ'!$L:$L,"Non-Proportional")
-SUMIFS('[3]P&amp;L Protection'!$S:$S,'[3]P&amp;L Protection'!$X:$X,"Variation UPR - gross",'[3]P&amp;L Protection'!$Y:$Y,O$57,'[3]P&amp;L Protection'!$L:$L,"Non-Proportional")
-SUMIFS('[3]P&amp;L ASBZ'!$S:$S,'[3]P&amp;L ASBZ'!$X:$X,"Variation UPR - gross",'[3]P&amp;L ASBZ'!$Y:$Y,O$57,'[3]P&amp;L ASBZ'!$L:$L,"Non-Proportional")</f>
        <v>#VALUE!</v>
      </c>
    </row>
    <row r="69" spans="2:15">
      <c r="B69" s="49" t="s">
        <v>3485</v>
      </c>
      <c r="C69" s="41" t="s">
        <v>2927</v>
      </c>
      <c r="D69" s="83">
        <f>'[2]Apollo UK'!S24+K69</f>
        <v>59136025.470833831</v>
      </c>
      <c r="E69" s="60">
        <f>'[2]Apollo Portugal'!S24+L69</f>
        <v>13439510.784210838</v>
      </c>
      <c r="F69" s="60">
        <f t="shared" si="5"/>
        <v>0</v>
      </c>
      <c r="G69" s="60">
        <f t="shared" si="4"/>
        <v>0</v>
      </c>
      <c r="H69" s="60">
        <f t="shared" si="4"/>
        <v>0</v>
      </c>
      <c r="K69" s="85">
        <f>'[4]GWP Share RI'!$AH$1322+'[4]Variation UPR share RI'!$AH$524</f>
        <v>59136025.470833831</v>
      </c>
      <c r="L69" s="85">
        <f>'[4]GWP Share RI'!$AG$1322+'[4]Variation UPR share RI'!$AG$524</f>
        <v>13439510.784210838</v>
      </c>
    </row>
    <row r="70" spans="2:15">
      <c r="B70" s="49" t="s">
        <v>3486</v>
      </c>
      <c r="C70" s="41" t="s">
        <v>2939</v>
      </c>
      <c r="D70" s="83" t="e">
        <f>D67+D68-D69</f>
        <v>#VALUE!</v>
      </c>
      <c r="E70" s="60" t="e">
        <f t="shared" ref="E70:G70" si="6">E67+E68-E69</f>
        <v>#VALUE!</v>
      </c>
      <c r="F70" s="60" t="e">
        <f t="shared" si="6"/>
        <v>#VALUE!</v>
      </c>
      <c r="G70" s="60" t="e">
        <f t="shared" si="6"/>
        <v>#VALUE!</v>
      </c>
      <c r="H70" s="60" t="e">
        <f>H67+H68-H69</f>
        <v>#VALUE!</v>
      </c>
      <c r="K70" s="85" t="e">
        <f t="shared" ref="K70" si="7">K67+K68-K69</f>
        <v>#VALUE!</v>
      </c>
      <c r="L70" s="85" t="e">
        <f t="shared" ref="L70" si="8">L67+L68-L69</f>
        <v>#VALUE!</v>
      </c>
      <c r="M70" s="85" t="e">
        <f t="shared" ref="M70" si="9">M67+M68-M69</f>
        <v>#VALUE!</v>
      </c>
      <c r="N70" s="85" t="e">
        <f t="shared" ref="N70" si="10">N67+N68-N69</f>
        <v>#VALUE!</v>
      </c>
      <c r="O70" s="85" t="e">
        <f t="shared" ref="O70" si="11">O67+O68-O69</f>
        <v>#VALUE!</v>
      </c>
    </row>
    <row r="71" spans="2:15">
      <c r="B71" s="47" t="s">
        <v>3438</v>
      </c>
      <c r="C71" s="44" t="s">
        <v>2878</v>
      </c>
      <c r="D71" s="84"/>
      <c r="E71" s="46"/>
      <c r="F71" s="46"/>
      <c r="G71" s="46"/>
      <c r="H71" s="46"/>
    </row>
    <row r="72" spans="2:15">
      <c r="B72" s="49" t="s">
        <v>3482</v>
      </c>
      <c r="C72" s="41" t="s">
        <v>2941</v>
      </c>
      <c r="D72" s="83"/>
      <c r="E72" s="60"/>
      <c r="F72" s="60"/>
      <c r="G72" s="60"/>
      <c r="H72" s="60"/>
    </row>
    <row r="73" spans="2:15">
      <c r="B73" s="49" t="s">
        <v>3483</v>
      </c>
      <c r="C73" s="41" t="s">
        <v>2943</v>
      </c>
      <c r="D73" s="83" t="e">
        <f>'[2]Apollo UK'!S28+K73</f>
        <v>#VALUE!</v>
      </c>
      <c r="E73" s="60" t="e">
        <f>'[2]Apollo Portugal'!S28+L73</f>
        <v>#VALUE!</v>
      </c>
      <c r="F73" s="60" t="e">
        <f>M73</f>
        <v>#VALUE!</v>
      </c>
      <c r="G73" s="60" t="e">
        <f t="shared" ref="G73:H75" si="12">N73</f>
        <v>#VALUE!</v>
      </c>
      <c r="H73" s="60" t="e">
        <f t="shared" si="12"/>
        <v>#VALUE!</v>
      </c>
      <c r="K73" s="85" t="e">
        <f>SUMIFS('[3]P&amp;L Protection'!$S:$S,'[3]P&amp;L Protection'!$X:$X,"claims - gross",'[3]P&amp;L Protection'!$Y:$Y,K$57,'[3]P&amp;L Protection'!$L:$L,"Proportional")
+SUMIFS('[3]P&amp;L ASBZ'!$S:$S,'[3]P&amp;L ASBZ'!$X:$X,"claims - gross",'[3]P&amp;L ASBZ'!$Y:$Y,K$57,'[3]P&amp;L ASBZ'!$L:$L,"Proportional")</f>
        <v>#VALUE!</v>
      </c>
      <c r="L73" s="85" t="e">
        <f>SUMIFS('[3]P&amp;L Protection'!$S:$S,'[3]P&amp;L Protection'!$X:$X,"claims - gross",'[3]P&amp;L Protection'!$Y:$Y,L$57,'[3]P&amp;L Protection'!$L:$L,"Proportional")
+SUMIFS('[3]P&amp;L ASBZ'!$S:$S,'[3]P&amp;L ASBZ'!$X:$X,"claims - gross",'[3]P&amp;L ASBZ'!$Y:$Y,L$57,'[3]P&amp;L ASBZ'!$L:$L,"Proportional")</f>
        <v>#VALUE!</v>
      </c>
      <c r="M73" s="85" t="e">
        <f>SUMIFS('[3]P&amp;L Protection'!$S:$S,'[3]P&amp;L Protection'!$X:$X,"claims - gross",'[3]P&amp;L Protection'!$Y:$Y,M$57,'[3]P&amp;L Protection'!$L:$L,"Proportional")
+SUMIFS('[3]P&amp;L ASBZ'!$S:$S,'[3]P&amp;L ASBZ'!$X:$X,"claims - gross",'[3]P&amp;L ASBZ'!$Y:$Y,M$57,'[3]P&amp;L ASBZ'!$L:$L,"Proportional")</f>
        <v>#VALUE!</v>
      </c>
      <c r="N73" s="85" t="e">
        <f>SUMIFS('[3]P&amp;L Protection'!$S:$S,'[3]P&amp;L Protection'!$X:$X,"claims - gross",'[3]P&amp;L Protection'!$Y:$Y,N$57,'[3]P&amp;L Protection'!$L:$L,"Proportional")
+SUMIFS('[3]P&amp;L ASBZ'!$S:$S,'[3]P&amp;L ASBZ'!$X:$X,"claims - gross",'[3]P&amp;L ASBZ'!$Y:$Y,N$57,'[3]P&amp;L ASBZ'!$L:$L,"Proportional")</f>
        <v>#VALUE!</v>
      </c>
      <c r="O73" s="85" t="e">
        <f>SUMIFS('[3]P&amp;L Protection'!$S:$S,'[3]P&amp;L Protection'!$X:$X,"claims - gross",'[3]P&amp;L Protection'!$Y:$Y,O$57,'[3]P&amp;L Protection'!$L:$L,"Proportional")
+SUMIFS('[3]P&amp;L ASBZ'!$S:$S,'[3]P&amp;L ASBZ'!$X:$X,"claims - gross",'[3]P&amp;L ASBZ'!$Y:$Y,O$57,'[3]P&amp;L ASBZ'!$L:$L,"Proportional")</f>
        <v>#VALUE!</v>
      </c>
    </row>
    <row r="74" spans="2:15">
      <c r="B74" s="49" t="s">
        <v>3484</v>
      </c>
      <c r="C74" s="41" t="s">
        <v>2945</v>
      </c>
      <c r="D74" s="83" t="e">
        <f>'[2]Apollo UK'!S29+K74</f>
        <v>#VALUE!</v>
      </c>
      <c r="E74" s="60" t="e">
        <f>'[2]Apollo Portugal'!S29+L74</f>
        <v>#VALUE!</v>
      </c>
      <c r="F74" s="60" t="e">
        <f t="shared" ref="F74:F75" si="13">M74</f>
        <v>#VALUE!</v>
      </c>
      <c r="G74" s="60" t="e">
        <f t="shared" si="12"/>
        <v>#VALUE!</v>
      </c>
      <c r="H74" s="60" t="e">
        <f t="shared" si="12"/>
        <v>#VALUE!</v>
      </c>
      <c r="K74" s="85" t="e">
        <f>SUMIFS('[3]P&amp;L Protection'!$S:$S,'[3]P&amp;L Protection'!$X:$X,"claims - gross",'[3]P&amp;L Protection'!$Y:$Y,K$57,'[3]P&amp;L Protection'!$L:$L,"Non-Proportional")
+SUMIFS('[3]P&amp;L ASBZ'!$S:$S,'[3]P&amp;L ASBZ'!$X:$X,"claims - gross",'[3]P&amp;L ASBZ'!$Y:$Y,K$57,'[3]P&amp;L ASBZ'!$L:$L,"Non-Proportional")</f>
        <v>#VALUE!</v>
      </c>
      <c r="L74" s="85" t="e">
        <f>SUMIFS('[3]P&amp;L Protection'!$S:$S,'[3]P&amp;L Protection'!$X:$X,"claims - gross",'[3]P&amp;L Protection'!$Y:$Y,L$57,'[3]P&amp;L Protection'!$L:$L,"Non-Proportional")
+SUMIFS('[3]P&amp;L ASBZ'!$S:$S,'[3]P&amp;L ASBZ'!$X:$X,"claims - gross",'[3]P&amp;L ASBZ'!$Y:$Y,L$57,'[3]P&amp;L ASBZ'!$L:$L,"Non-Proportional")</f>
        <v>#VALUE!</v>
      </c>
      <c r="M74" s="85" t="e">
        <f>SUMIFS('[3]P&amp;L Protection'!$S:$S,'[3]P&amp;L Protection'!$X:$X,"claims - gross",'[3]P&amp;L Protection'!$Y:$Y,M$57,'[3]P&amp;L Protection'!$L:$L,"Non-Proportional")
+SUMIFS('[3]P&amp;L ASBZ'!$S:$S,'[3]P&amp;L ASBZ'!$X:$X,"claims - gross",'[3]P&amp;L ASBZ'!$Y:$Y,M$57,'[3]P&amp;L ASBZ'!$L:$L,"Non-Proportional")</f>
        <v>#VALUE!</v>
      </c>
      <c r="N74" s="85" t="e">
        <f>SUMIFS('[3]P&amp;L Protection'!$S:$S,'[3]P&amp;L Protection'!$X:$X,"claims - gross",'[3]P&amp;L Protection'!$Y:$Y,N$57,'[3]P&amp;L Protection'!$L:$L,"Non-Proportional")
+SUMIFS('[3]P&amp;L ASBZ'!$S:$S,'[3]P&amp;L ASBZ'!$X:$X,"claims - gross",'[3]P&amp;L ASBZ'!$Y:$Y,N$57,'[3]P&amp;L ASBZ'!$L:$L,"Non-Proportional")</f>
        <v>#VALUE!</v>
      </c>
      <c r="O74" s="85" t="e">
        <f>SUMIFS('[3]P&amp;L Protection'!$S:$S,'[3]P&amp;L Protection'!$X:$X,"claims - gross",'[3]P&amp;L Protection'!$Y:$Y,O$57,'[3]P&amp;L Protection'!$L:$L,"Non-Proportional")
+SUMIFS('[3]P&amp;L ASBZ'!$S:$S,'[3]P&amp;L ASBZ'!$X:$X,"claims - gross",'[3]P&amp;L ASBZ'!$Y:$Y,O$57,'[3]P&amp;L ASBZ'!$L:$L,"Non-Proportional")</f>
        <v>#VALUE!</v>
      </c>
    </row>
    <row r="75" spans="2:15">
      <c r="B75" s="49" t="s">
        <v>3485</v>
      </c>
      <c r="C75" s="41" t="s">
        <v>2947</v>
      </c>
      <c r="D75" s="83">
        <f>'[2]Apollo UK'!S30+K75</f>
        <v>2998698.3600000096</v>
      </c>
      <c r="E75" s="60">
        <f>'[2]Apollo Portugal'!S30+L75</f>
        <v>3910818.67</v>
      </c>
      <c r="F75" s="60">
        <f t="shared" si="13"/>
        <v>0</v>
      </c>
      <c r="G75" s="60">
        <f t="shared" si="12"/>
        <v>0</v>
      </c>
      <c r="H75" s="60">
        <f t="shared" si="12"/>
        <v>0</v>
      </c>
      <c r="K75" s="85">
        <f>-'[4]Claims share RI'!$AH$451</f>
        <v>2998698.3600000096</v>
      </c>
      <c r="L75" s="85">
        <f>-'[4]Claims share RI'!$AG$451</f>
        <v>3910818.67</v>
      </c>
    </row>
    <row r="76" spans="2:15">
      <c r="B76" s="49" t="s">
        <v>3486</v>
      </c>
      <c r="C76" s="41" t="s">
        <v>2959</v>
      </c>
      <c r="D76" s="83" t="e">
        <f t="shared" ref="D76:G76" si="14">D73+D74-D75</f>
        <v>#VALUE!</v>
      </c>
      <c r="E76" s="60" t="e">
        <f t="shared" si="14"/>
        <v>#VALUE!</v>
      </c>
      <c r="F76" s="60" t="e">
        <f t="shared" si="14"/>
        <v>#VALUE!</v>
      </c>
      <c r="G76" s="60" t="e">
        <f t="shared" si="14"/>
        <v>#VALUE!</v>
      </c>
      <c r="H76" s="60" t="e">
        <f>H73+H74-H75</f>
        <v>#VALUE!</v>
      </c>
      <c r="K76" s="85" t="e">
        <f t="shared" ref="K76" si="15">K73+K74-K75</f>
        <v>#VALUE!</v>
      </c>
      <c r="L76" s="85" t="e">
        <f t="shared" ref="L76" si="16">L73+L74-L75</f>
        <v>#VALUE!</v>
      </c>
      <c r="M76" s="85" t="e">
        <f t="shared" ref="M76" si="17">M73+M74-M75</f>
        <v>#VALUE!</v>
      </c>
      <c r="N76" s="85" t="e">
        <f t="shared" ref="N76" si="18">N73+N74-N75</f>
        <v>#VALUE!</v>
      </c>
      <c r="O76" s="85" t="e">
        <f t="shared" ref="O76" si="19">O73+O74-O75</f>
        <v>#VALUE!</v>
      </c>
    </row>
    <row r="77" spans="2:15">
      <c r="B77" s="47" t="s">
        <v>3488</v>
      </c>
      <c r="C77" s="44" t="s">
        <v>2878</v>
      </c>
      <c r="D77" s="84"/>
      <c r="E77" s="46"/>
      <c r="F77" s="46"/>
      <c r="G77" s="46"/>
      <c r="H77" s="46"/>
    </row>
    <row r="78" spans="2:15">
      <c r="B78" s="49" t="s">
        <v>3482</v>
      </c>
      <c r="C78" s="41" t="s">
        <v>2961</v>
      </c>
      <c r="D78" s="83"/>
      <c r="E78" s="60"/>
      <c r="F78" s="60"/>
      <c r="G78" s="60"/>
      <c r="H78" s="60"/>
    </row>
    <row r="79" spans="2:15">
      <c r="B79" s="49" t="s">
        <v>3483</v>
      </c>
      <c r="C79" s="41" t="s">
        <v>2963</v>
      </c>
      <c r="D79" s="83"/>
      <c r="E79" s="60"/>
      <c r="F79" s="60"/>
      <c r="G79" s="60"/>
      <c r="H79" s="60"/>
    </row>
    <row r="80" spans="2:15">
      <c r="B80" s="49" t="s">
        <v>3484</v>
      </c>
      <c r="C80" s="41" t="s">
        <v>2965</v>
      </c>
      <c r="D80" s="83"/>
      <c r="E80" s="60"/>
      <c r="F80" s="60"/>
      <c r="G80" s="60"/>
      <c r="H80" s="60"/>
    </row>
    <row r="81" spans="2:15">
      <c r="B81" s="49" t="s">
        <v>3485</v>
      </c>
      <c r="C81" s="41" t="s">
        <v>2967</v>
      </c>
      <c r="D81" s="83"/>
      <c r="E81" s="60"/>
      <c r="F81" s="60"/>
      <c r="G81" s="60"/>
      <c r="H81" s="60"/>
    </row>
    <row r="82" spans="2:15">
      <c r="B82" s="49" t="s">
        <v>3486</v>
      </c>
      <c r="C82" s="41" t="s">
        <v>2977</v>
      </c>
      <c r="D82" s="83"/>
      <c r="E82" s="60"/>
      <c r="F82" s="60"/>
      <c r="G82" s="60"/>
      <c r="H82" s="60"/>
    </row>
    <row r="83" spans="2:15">
      <c r="B83" s="47" t="s">
        <v>3490</v>
      </c>
      <c r="C83" s="41" t="s">
        <v>2987</v>
      </c>
      <c r="D83" s="84"/>
      <c r="E83" s="46"/>
      <c r="F83" s="46"/>
      <c r="G83" s="46"/>
      <c r="H83" s="46"/>
    </row>
    <row r="84" spans="2:15">
      <c r="B84" s="47" t="s">
        <v>6109</v>
      </c>
      <c r="C84" s="44"/>
      <c r="D84" s="89"/>
      <c r="E84" s="63"/>
      <c r="F84" s="63"/>
      <c r="G84" s="63"/>
      <c r="H84" s="63"/>
    </row>
    <row r="85" spans="2:15" ht="30">
      <c r="B85" s="47" t="s">
        <v>6110</v>
      </c>
      <c r="C85" s="44"/>
      <c r="D85" s="83" t="e">
        <f>'[2]Apollo UK'!S38+K85</f>
        <v>#VALUE!</v>
      </c>
      <c r="E85" s="60" t="e">
        <f>'[2]Apollo Portugal'!S38+L85</f>
        <v>#VALUE!</v>
      </c>
      <c r="F85" s="60" t="e">
        <f t="shared" ref="F85:F86" si="20">M85</f>
        <v>#VALUE!</v>
      </c>
      <c r="G85" s="60" t="e">
        <f t="shared" ref="G85:H86" si="21">N85</f>
        <v>#VALUE!</v>
      </c>
      <c r="H85" s="60" t="e">
        <f t="shared" si="21"/>
        <v>#VALUE!</v>
      </c>
      <c r="K85" s="85" t="e">
        <f>SUMIFS('[3]P&amp;L Protection'!$S:$S,'[3]P&amp;L Protection'!$X:$X,"commissions - gross",'[3]P&amp;L Protection'!$Y:$Y,K$57,'[3]P&amp;L Protection'!$L:$L,"Proportional")
+SUMIFS('[3]P&amp;L ASBZ'!$S:$S,'[3]P&amp;L ASBZ'!$X:$X,"commissions - gross",'[3]P&amp;L ASBZ'!$Y:$Y,K$57,'[3]P&amp;L ASBZ'!$L:$L,"Proportional")</f>
        <v>#VALUE!</v>
      </c>
      <c r="L85" s="86" t="e">
        <f>SUMIFS('[3]P&amp;L Protection'!$S:$S,'[3]P&amp;L Protection'!$X:$X,"commissions - gross",'[3]P&amp;L Protection'!$Y:$Y,L$57,'[3]P&amp;L Protection'!$L:$L,"Proportional")
+SUMIFS('[3]P&amp;L ASBZ'!$S:$S,'[3]P&amp;L ASBZ'!$X:$X,"commissions - gross",'[3]P&amp;L ASBZ'!$Y:$Y,L$57,'[3]P&amp;L ASBZ'!$L:$L,"Proportional")
+[4]summary!$D$4</f>
        <v>#VALUE!</v>
      </c>
      <c r="M85" s="85" t="e">
        <f>SUMIFS('[3]P&amp;L Protection'!$S:$S,'[3]P&amp;L Protection'!$X:$X,"commissions - gross",'[3]P&amp;L Protection'!$Y:$Y,M$57,'[3]P&amp;L Protection'!$L:$L,"Proportional")
+SUMIFS('[3]P&amp;L ASBZ'!$S:$S,'[3]P&amp;L ASBZ'!$X:$X,"commissions - gross",'[3]P&amp;L ASBZ'!$Y:$Y,M$57,'[3]P&amp;L ASBZ'!$L:$L,"Proportional")</f>
        <v>#VALUE!</v>
      </c>
      <c r="N85" s="85" t="e">
        <f>SUMIFS('[3]P&amp;L Protection'!$S:$S,'[3]P&amp;L Protection'!$X:$X,"commissions - gross",'[3]P&amp;L Protection'!$Y:$Y,N$57,'[3]P&amp;L Protection'!$L:$L,"Proportional")
+SUMIFS('[3]P&amp;L ASBZ'!$S:$S,'[3]P&amp;L ASBZ'!$X:$X,"commissions - gross",'[3]P&amp;L ASBZ'!$Y:$Y,N$57,'[3]P&amp;L ASBZ'!$L:$L,"Proportional")</f>
        <v>#VALUE!</v>
      </c>
      <c r="O85" s="85" t="e">
        <f>SUMIFS('[3]P&amp;L Protection'!$S:$S,'[3]P&amp;L Protection'!$X:$X,"commissions - gross",'[3]P&amp;L Protection'!$Y:$Y,O$57,'[3]P&amp;L Protection'!$L:$L,"Proportional")
+SUMIFS('[3]P&amp;L ASBZ'!$S:$S,'[3]P&amp;L ASBZ'!$X:$X,"commissions - gross",'[3]P&amp;L ASBZ'!$Y:$Y,O$57,'[3]P&amp;L ASBZ'!$L:$L,"Proportional")</f>
        <v>#VALUE!</v>
      </c>
    </row>
    <row r="86" spans="2:15" ht="30">
      <c r="B86" s="47" t="s">
        <v>6111</v>
      </c>
      <c r="C86" s="44"/>
      <c r="D86" s="89" t="e">
        <f>K86</f>
        <v>#VALUE!</v>
      </c>
      <c r="E86" s="63" t="e">
        <f>L86</f>
        <v>#VALUE!</v>
      </c>
      <c r="F86" s="60" t="e">
        <f t="shared" si="20"/>
        <v>#VALUE!</v>
      </c>
      <c r="G86" s="60" t="e">
        <f t="shared" si="21"/>
        <v>#VALUE!</v>
      </c>
      <c r="H86" s="60" t="e">
        <f t="shared" si="21"/>
        <v>#VALUE!</v>
      </c>
      <c r="K86" s="86" t="e">
        <f>SUMIFS('[3]P&amp;L Protection'!$S:$S,'[3]P&amp;L Protection'!$X:$X,"commissions - gross",'[3]P&amp;L Protection'!$Y:$Y,K$57,'[3]P&amp;L Protection'!$L:$L,"Non-Proportional")
+SUMIFS('[3]P&amp;L ASBZ'!$S:$S,'[3]P&amp;L ASBZ'!$X:$X,"commissions - gross",'[3]P&amp;L ASBZ'!$Y:$Y,K$57,'[3]P&amp;L ASBZ'!$L:$L,"Non-Proportional")
+[4]summary!$E$4</f>
        <v>#VALUE!</v>
      </c>
      <c r="L86" s="85" t="e">
        <f>SUMIFS('[3]P&amp;L Protection'!$S:$S,'[3]P&amp;L Protection'!$X:$X,"commissions - gross",'[3]P&amp;L Protection'!$Y:$Y,L$57,'[3]P&amp;L Protection'!$L:$L,"Non-Proportional")
+SUMIFS('[3]P&amp;L ASBZ'!$S:$S,'[3]P&amp;L ASBZ'!$X:$X,"commissions - gross",'[3]P&amp;L ASBZ'!$Y:$Y,L$57,'[3]P&amp;L ASBZ'!$L:$L,"Non-Proportional")</f>
        <v>#VALUE!</v>
      </c>
      <c r="M86" s="85" t="e">
        <f>SUMIFS('[3]P&amp;L Protection'!$S:$S,'[3]P&amp;L Protection'!$X:$X,"commissions - gross",'[3]P&amp;L Protection'!$Y:$Y,M$57,'[3]P&amp;L Protection'!$L:$L,"Non-Proportional")
+SUMIFS('[3]P&amp;L ASBZ'!$S:$S,'[3]P&amp;L ASBZ'!$X:$X,"commissions - gross",'[3]P&amp;L ASBZ'!$Y:$Y,M$57,'[3]P&amp;L ASBZ'!$L:$L,"Non-Proportional")</f>
        <v>#VALUE!</v>
      </c>
      <c r="N86" s="85" t="e">
        <f>SUMIFS('[3]P&amp;L Protection'!$S:$S,'[3]P&amp;L Protection'!$X:$X,"commissions - gross",'[3]P&amp;L Protection'!$Y:$Y,N$57,'[3]P&amp;L Protection'!$L:$L,"Non-Proportional")
+SUMIFS('[3]P&amp;L ASBZ'!$S:$S,'[3]P&amp;L ASBZ'!$X:$X,"commissions - gross",'[3]P&amp;L ASBZ'!$Y:$Y,N$57,'[3]P&amp;L ASBZ'!$L:$L,"Non-Proportional")</f>
        <v>#VALUE!</v>
      </c>
      <c r="O86" s="85" t="e">
        <f>SUMIFS('[3]P&amp;L Protection'!$S:$S,'[3]P&amp;L Protection'!$X:$X,"commissions - gross",'[3]P&amp;L Protection'!$Y:$Y,O$57,'[3]P&amp;L Protection'!$L:$L,"Non-Proportional")
+SUMIFS('[3]P&amp;L ASBZ'!$S:$S,'[3]P&amp;L ASBZ'!$X:$X,"commissions - gross",'[3]P&amp;L ASBZ'!$Y:$Y,O$57,'[3]P&amp;L ASBZ'!$L:$L,"Non-Proportional")</f>
        <v>#VALUE!</v>
      </c>
    </row>
    <row r="87" spans="2:15">
      <c r="B87" s="47" t="s">
        <v>3501</v>
      </c>
      <c r="C87" s="44" t="s">
        <v>3502</v>
      </c>
      <c r="D87" s="88"/>
      <c r="E87" s="48"/>
      <c r="F87" s="48"/>
      <c r="G87" s="48"/>
      <c r="H87" s="48"/>
    </row>
    <row r="88" spans="2:15">
      <c r="B88" s="47" t="s">
        <v>3503</v>
      </c>
      <c r="C88" s="44" t="s">
        <v>3504</v>
      </c>
      <c r="D88" s="84"/>
      <c r="E88" s="46"/>
      <c r="F88" s="46"/>
      <c r="G88" s="46"/>
      <c r="H88" s="46"/>
    </row>
    <row r="90" spans="2:15">
      <c r="E90" s="85"/>
      <c r="F90" s="85"/>
      <c r="G90" s="85"/>
      <c r="H90" s="85"/>
      <c r="I90" s="13"/>
      <c r="J90" s="13"/>
      <c r="K90" s="85"/>
    </row>
    <row r="92" spans="2:15" ht="18.75">
      <c r="B92" s="97" t="s">
        <v>3562</v>
      </c>
      <c r="C92" s="96"/>
      <c r="D92" s="96"/>
      <c r="E92" s="96"/>
      <c r="F92" s="96"/>
      <c r="G92" s="96"/>
      <c r="H92" s="96"/>
      <c r="I92" s="96"/>
      <c r="J92" s="96"/>
      <c r="K92" s="96"/>
      <c r="L92" s="96"/>
    </row>
    <row r="96" spans="2:15">
      <c r="D96" s="110" t="s">
        <v>2877</v>
      </c>
    </row>
    <row r="97" spans="2:10">
      <c r="D97" s="111"/>
    </row>
    <row r="98" spans="2:10">
      <c r="D98" s="110" t="s">
        <v>3563</v>
      </c>
    </row>
    <row r="99" spans="2:10">
      <c r="D99" s="111"/>
    </row>
    <row r="100" spans="2:10">
      <c r="D100" s="87" t="s">
        <v>3475</v>
      </c>
      <c r="I100" s="13"/>
      <c r="J100" s="13"/>
    </row>
    <row r="101" spans="2:10">
      <c r="B101" s="43" t="s">
        <v>2880</v>
      </c>
      <c r="C101" s="44" t="s">
        <v>2878</v>
      </c>
      <c r="D101" s="88"/>
    </row>
    <row r="102" spans="2:10">
      <c r="B102" s="47" t="s">
        <v>3437</v>
      </c>
      <c r="C102" s="44" t="s">
        <v>2878</v>
      </c>
      <c r="D102" s="84"/>
    </row>
    <row r="103" spans="2:10">
      <c r="B103" s="49" t="s">
        <v>3482</v>
      </c>
      <c r="C103" s="41" t="s">
        <v>2901</v>
      </c>
      <c r="D103" s="83">
        <f>SUM(D16,D60:H60)</f>
        <v>0</v>
      </c>
    </row>
    <row r="104" spans="2:10">
      <c r="B104" s="49" t="s">
        <v>3483</v>
      </c>
      <c r="C104" s="41" t="s">
        <v>2903</v>
      </c>
      <c r="D104" s="83" t="e">
        <f>SUM(D17,D61:H61)</f>
        <v>#VALUE!</v>
      </c>
    </row>
    <row r="105" spans="2:10">
      <c r="B105" s="49" t="s">
        <v>3484</v>
      </c>
      <c r="C105" s="41" t="s">
        <v>2905</v>
      </c>
      <c r="D105" s="83" t="e">
        <f>SUM(D18,D62:H62)</f>
        <v>#VALUE!</v>
      </c>
    </row>
    <row r="106" spans="2:10">
      <c r="B106" s="49" t="s">
        <v>3485</v>
      </c>
      <c r="C106" s="41" t="s">
        <v>2907</v>
      </c>
      <c r="D106" s="83">
        <f>SUM(D19,D63:H63)</f>
        <v>148067899.60000002</v>
      </c>
    </row>
    <row r="107" spans="2:10">
      <c r="B107" s="49" t="s">
        <v>3486</v>
      </c>
      <c r="C107" s="41" t="s">
        <v>2919</v>
      </c>
      <c r="D107" s="83" t="e">
        <f>SUM(D20,D64:H64)</f>
        <v>#VALUE!</v>
      </c>
    </row>
    <row r="108" spans="2:10">
      <c r="B108" s="47" t="s">
        <v>3487</v>
      </c>
      <c r="C108" s="44" t="s">
        <v>2878</v>
      </c>
      <c r="D108" s="84"/>
    </row>
    <row r="109" spans="2:10">
      <c r="B109" s="49" t="s">
        <v>3482</v>
      </c>
      <c r="C109" s="41" t="s">
        <v>2921</v>
      </c>
      <c r="D109" s="83">
        <f>SUM(D22,D66:H66)</f>
        <v>0</v>
      </c>
    </row>
    <row r="110" spans="2:10">
      <c r="B110" s="49" t="s">
        <v>3483</v>
      </c>
      <c r="C110" s="41" t="s">
        <v>2923</v>
      </c>
      <c r="D110" s="83" t="e">
        <f>SUM(D23,D67:H67)</f>
        <v>#VALUE!</v>
      </c>
    </row>
    <row r="111" spans="2:10">
      <c r="B111" s="49" t="s">
        <v>3484</v>
      </c>
      <c r="C111" s="41" t="s">
        <v>2925</v>
      </c>
      <c r="D111" s="83" t="e">
        <f>SUM(D24,D68:H68)</f>
        <v>#VALUE!</v>
      </c>
    </row>
    <row r="112" spans="2:10">
      <c r="B112" s="49" t="s">
        <v>3485</v>
      </c>
      <c r="C112" s="41" t="s">
        <v>2927</v>
      </c>
      <c r="D112" s="83">
        <f>SUM(D25,D69:H69)</f>
        <v>143955197.59</v>
      </c>
    </row>
    <row r="113" spans="2:4">
      <c r="B113" s="49" t="s">
        <v>3486</v>
      </c>
      <c r="C113" s="41" t="s">
        <v>2939</v>
      </c>
      <c r="D113" s="83" t="e">
        <f>SUM(D26,D70:H70)</f>
        <v>#VALUE!</v>
      </c>
    </row>
    <row r="114" spans="2:4">
      <c r="B114" s="47" t="s">
        <v>3438</v>
      </c>
      <c r="C114" s="44" t="s">
        <v>2878</v>
      </c>
      <c r="D114" s="84"/>
    </row>
    <row r="115" spans="2:4">
      <c r="B115" s="49" t="s">
        <v>3482</v>
      </c>
      <c r="C115" s="41" t="s">
        <v>2941</v>
      </c>
      <c r="D115" s="83">
        <f>SUM(D28,D72:H72)</f>
        <v>0</v>
      </c>
    </row>
    <row r="116" spans="2:4">
      <c r="B116" s="49" t="s">
        <v>3483</v>
      </c>
      <c r="C116" s="41" t="s">
        <v>2943</v>
      </c>
      <c r="D116" s="83" t="e">
        <f>SUM(D29,D73:H73)</f>
        <v>#VALUE!</v>
      </c>
    </row>
    <row r="117" spans="2:4">
      <c r="B117" s="49" t="s">
        <v>3484</v>
      </c>
      <c r="C117" s="41" t="s">
        <v>2945</v>
      </c>
      <c r="D117" s="83" t="e">
        <f>SUM(D30,D74:H74)</f>
        <v>#VALUE!</v>
      </c>
    </row>
    <row r="118" spans="2:4">
      <c r="B118" s="49" t="s">
        <v>3485</v>
      </c>
      <c r="C118" s="41" t="s">
        <v>2947</v>
      </c>
      <c r="D118" s="83">
        <f>SUM(D31,D75:H75)</f>
        <v>7720199.2500000121</v>
      </c>
    </row>
    <row r="119" spans="2:4">
      <c r="B119" s="49" t="s">
        <v>3486</v>
      </c>
      <c r="C119" s="41" t="s">
        <v>2959</v>
      </c>
      <c r="D119" s="83" t="e">
        <f>SUM(D32,D76:H76)</f>
        <v>#VALUE!</v>
      </c>
    </row>
    <row r="120" spans="2:4">
      <c r="B120" s="47" t="s">
        <v>3488</v>
      </c>
      <c r="C120" s="44" t="s">
        <v>2878</v>
      </c>
      <c r="D120" s="84"/>
    </row>
    <row r="121" spans="2:4">
      <c r="B121" s="49" t="s">
        <v>3482</v>
      </c>
      <c r="C121" s="41" t="s">
        <v>2961</v>
      </c>
      <c r="D121" s="83"/>
    </row>
    <row r="122" spans="2:4">
      <c r="B122" s="49" t="s">
        <v>3483</v>
      </c>
      <c r="C122" s="41" t="s">
        <v>2963</v>
      </c>
      <c r="D122" s="83"/>
    </row>
    <row r="123" spans="2:4">
      <c r="B123" s="49" t="s">
        <v>3484</v>
      </c>
      <c r="C123" s="41" t="s">
        <v>2965</v>
      </c>
      <c r="D123" s="83"/>
    </row>
    <row r="124" spans="2:4">
      <c r="B124" s="49" t="s">
        <v>3485</v>
      </c>
      <c r="C124" s="41" t="s">
        <v>2967</v>
      </c>
      <c r="D124" s="83"/>
    </row>
    <row r="125" spans="2:4">
      <c r="B125" s="49" t="s">
        <v>3486</v>
      </c>
      <c r="C125" s="41" t="s">
        <v>2977</v>
      </c>
      <c r="D125" s="83"/>
    </row>
    <row r="126" spans="2:4">
      <c r="B126" s="47" t="s">
        <v>3490</v>
      </c>
      <c r="C126" s="41" t="s">
        <v>2987</v>
      </c>
      <c r="D126" s="84"/>
    </row>
    <row r="127" spans="2:4">
      <c r="B127" s="47" t="s">
        <v>6109</v>
      </c>
      <c r="C127" s="41"/>
      <c r="D127" s="83">
        <f t="shared" ref="D127:D129" si="22">SUM(D40,D84:H84)</f>
        <v>0</v>
      </c>
    </row>
    <row r="128" spans="2:4" ht="30">
      <c r="B128" s="47" t="s">
        <v>6110</v>
      </c>
      <c r="C128" s="41"/>
      <c r="D128" s="83" t="e">
        <f t="shared" si="22"/>
        <v>#VALUE!</v>
      </c>
    </row>
    <row r="129" spans="2:12" ht="30">
      <c r="B129" s="47" t="s">
        <v>6111</v>
      </c>
      <c r="C129" s="41"/>
      <c r="D129" s="83" t="e">
        <f t="shared" si="22"/>
        <v>#VALUE!</v>
      </c>
    </row>
    <row r="130" spans="2:12">
      <c r="B130" s="47" t="s">
        <v>3501</v>
      </c>
      <c r="C130" s="41" t="s">
        <v>3502</v>
      </c>
      <c r="D130" s="83"/>
    </row>
    <row r="131" spans="2:12">
      <c r="B131" s="47" t="s">
        <v>3503</v>
      </c>
      <c r="C131" s="41" t="s">
        <v>3504</v>
      </c>
      <c r="D131" s="83">
        <f>D126+D130</f>
        <v>0</v>
      </c>
    </row>
    <row r="133" spans="2:12">
      <c r="I133" s="13"/>
      <c r="J133" s="13"/>
    </row>
    <row r="135" spans="2:12" ht="18.75">
      <c r="B135" s="97" t="s">
        <v>3564</v>
      </c>
      <c r="C135" s="96"/>
      <c r="D135" s="96"/>
      <c r="E135" s="96"/>
      <c r="F135" s="96"/>
      <c r="G135" s="96"/>
      <c r="H135" s="96"/>
      <c r="I135" s="96"/>
      <c r="J135" s="96"/>
      <c r="K135" s="96"/>
      <c r="L135" s="96"/>
    </row>
    <row r="139" spans="2:12">
      <c r="D139" s="110" t="s">
        <v>2877</v>
      </c>
    </row>
    <row r="140" spans="2:12">
      <c r="D140" s="111"/>
    </row>
    <row r="141" spans="2:12">
      <c r="D141" s="110" t="s">
        <v>3559</v>
      </c>
    </row>
    <row r="142" spans="2:12">
      <c r="D142" s="111"/>
    </row>
    <row r="143" spans="2:12">
      <c r="D143" s="87" t="s">
        <v>3509</v>
      </c>
      <c r="I143" s="13"/>
      <c r="J143" s="13"/>
    </row>
    <row r="144" spans="2:12">
      <c r="B144" s="43" t="s">
        <v>2880</v>
      </c>
      <c r="C144" s="44" t="s">
        <v>2878</v>
      </c>
      <c r="D144" s="88"/>
    </row>
    <row r="145" spans="2:4">
      <c r="B145" s="47" t="s">
        <v>3437</v>
      </c>
      <c r="C145" s="44" t="s">
        <v>2878</v>
      </c>
      <c r="D145" s="84"/>
    </row>
    <row r="146" spans="2:4">
      <c r="B146" s="49" t="s">
        <v>3520</v>
      </c>
      <c r="C146" s="41" t="s">
        <v>3521</v>
      </c>
      <c r="D146" s="83"/>
    </row>
    <row r="147" spans="2:4">
      <c r="B147" s="49" t="s">
        <v>3485</v>
      </c>
      <c r="C147" s="41" t="s">
        <v>3522</v>
      </c>
      <c r="D147" s="83"/>
    </row>
    <row r="148" spans="2:4">
      <c r="B148" s="49" t="s">
        <v>3486</v>
      </c>
      <c r="C148" s="41" t="s">
        <v>3523</v>
      </c>
      <c r="D148" s="89"/>
    </row>
    <row r="149" spans="2:4">
      <c r="B149" s="47" t="s">
        <v>3487</v>
      </c>
      <c r="C149" s="44" t="s">
        <v>2878</v>
      </c>
      <c r="D149" s="84"/>
    </row>
    <row r="150" spans="2:4">
      <c r="B150" s="49" t="s">
        <v>3520</v>
      </c>
      <c r="C150" s="41" t="s">
        <v>3524</v>
      </c>
      <c r="D150" s="83"/>
    </row>
    <row r="151" spans="2:4">
      <c r="B151" s="49" t="s">
        <v>3485</v>
      </c>
      <c r="C151" s="41" t="s">
        <v>3525</v>
      </c>
      <c r="D151" s="83"/>
    </row>
    <row r="152" spans="2:4">
      <c r="B152" s="49" t="s">
        <v>3486</v>
      </c>
      <c r="C152" s="41" t="s">
        <v>3526</v>
      </c>
      <c r="D152" s="89"/>
    </row>
    <row r="153" spans="2:4">
      <c r="B153" s="47" t="s">
        <v>3438</v>
      </c>
      <c r="C153" s="44" t="s">
        <v>2878</v>
      </c>
      <c r="D153" s="84"/>
    </row>
    <row r="154" spans="2:4">
      <c r="B154" s="49" t="s">
        <v>3520</v>
      </c>
      <c r="C154" s="41" t="s">
        <v>3527</v>
      </c>
      <c r="D154" s="83"/>
    </row>
    <row r="155" spans="2:4">
      <c r="B155" s="49" t="s">
        <v>3485</v>
      </c>
      <c r="C155" s="41" t="s">
        <v>3528</v>
      </c>
      <c r="D155" s="83"/>
    </row>
    <row r="156" spans="2:4">
      <c r="B156" s="49" t="s">
        <v>3486</v>
      </c>
      <c r="C156" s="41" t="s">
        <v>3529</v>
      </c>
      <c r="D156" s="89"/>
    </row>
    <row r="157" spans="2:4">
      <c r="B157" s="47" t="s">
        <v>3488</v>
      </c>
      <c r="C157" s="44" t="s">
        <v>2878</v>
      </c>
      <c r="D157" s="84"/>
    </row>
    <row r="158" spans="2:4">
      <c r="B158" s="49" t="s">
        <v>3520</v>
      </c>
      <c r="C158" s="41" t="s">
        <v>3530</v>
      </c>
      <c r="D158" s="83"/>
    </row>
    <row r="159" spans="2:4">
      <c r="B159" s="49" t="s">
        <v>3485</v>
      </c>
      <c r="C159" s="41" t="s">
        <v>3531</v>
      </c>
      <c r="D159" s="83"/>
    </row>
    <row r="160" spans="2:4">
      <c r="B160" s="49" t="s">
        <v>3486</v>
      </c>
      <c r="C160" s="41" t="s">
        <v>3532</v>
      </c>
      <c r="D160" s="83"/>
    </row>
    <row r="161" spans="2:12">
      <c r="B161" s="47" t="s">
        <v>3490</v>
      </c>
      <c r="C161" s="41" t="s">
        <v>3533</v>
      </c>
      <c r="D161" s="89"/>
    </row>
    <row r="162" spans="2:12">
      <c r="B162" s="47" t="s">
        <v>3501</v>
      </c>
      <c r="C162" s="44" t="s">
        <v>3549</v>
      </c>
      <c r="D162" s="88"/>
    </row>
    <row r="163" spans="2:12">
      <c r="B163" s="47" t="s">
        <v>3503</v>
      </c>
      <c r="C163" s="44" t="s">
        <v>3550</v>
      </c>
      <c r="D163" s="84"/>
    </row>
    <row r="165" spans="2:12">
      <c r="I165" s="13"/>
      <c r="J165" s="13"/>
    </row>
    <row r="167" spans="2:12" ht="18.75">
      <c r="B167" s="97" t="s">
        <v>3565</v>
      </c>
      <c r="C167" s="96"/>
      <c r="D167" s="96"/>
      <c r="E167" s="96"/>
      <c r="F167" s="96"/>
      <c r="G167" s="96"/>
      <c r="H167" s="96"/>
      <c r="I167" s="96"/>
      <c r="J167" s="96"/>
      <c r="K167" s="96"/>
      <c r="L167" s="96"/>
    </row>
    <row r="171" spans="2:12">
      <c r="D171" s="110" t="s">
        <v>2877</v>
      </c>
      <c r="E171" s="98" t="s">
        <v>2877</v>
      </c>
    </row>
    <row r="172" spans="2:12">
      <c r="D172" s="111"/>
      <c r="E172" s="100"/>
    </row>
    <row r="173" spans="2:12">
      <c r="D173" s="110" t="s">
        <v>3566</v>
      </c>
      <c r="E173" s="98" t="s">
        <v>3566</v>
      </c>
    </row>
    <row r="174" spans="2:12">
      <c r="D174" s="111"/>
      <c r="E174" s="100"/>
    </row>
    <row r="175" spans="2:12">
      <c r="D175" s="90" t="s">
        <v>3511</v>
      </c>
      <c r="E175" s="42" t="s">
        <v>3511</v>
      </c>
      <c r="J175" s="13"/>
      <c r="K175" s="13"/>
    </row>
    <row r="176" spans="2:12">
      <c r="B176" s="43" t="s">
        <v>56</v>
      </c>
      <c r="C176" s="41" t="s">
        <v>2883</v>
      </c>
      <c r="D176" s="91" t="s">
        <v>389</v>
      </c>
      <c r="E176" s="68"/>
    </row>
    <row r="177" spans="2:5">
      <c r="B177" s="43" t="s">
        <v>2880</v>
      </c>
      <c r="C177" s="44" t="s">
        <v>2878</v>
      </c>
      <c r="D177" s="88"/>
      <c r="E177" s="48"/>
    </row>
    <row r="178" spans="2:5">
      <c r="B178" s="47" t="s">
        <v>3437</v>
      </c>
      <c r="C178" s="44" t="s">
        <v>2878</v>
      </c>
      <c r="D178" s="84"/>
      <c r="E178" s="46"/>
    </row>
    <row r="179" spans="2:5">
      <c r="B179" s="49" t="s">
        <v>3520</v>
      </c>
      <c r="C179" s="41" t="s">
        <v>3521</v>
      </c>
      <c r="D179" s="83">
        <f>[2]Total!L55</f>
        <v>81285.11</v>
      </c>
      <c r="E179" s="60"/>
    </row>
    <row r="180" spans="2:5">
      <c r="B180" s="49" t="s">
        <v>3485</v>
      </c>
      <c r="C180" s="41" t="s">
        <v>3522</v>
      </c>
      <c r="D180" s="83">
        <f>[2]Total!L56</f>
        <v>0</v>
      </c>
      <c r="E180" s="60"/>
    </row>
    <row r="181" spans="2:5">
      <c r="B181" s="49" t="s">
        <v>3486</v>
      </c>
      <c r="C181" s="41" t="s">
        <v>3523</v>
      </c>
      <c r="D181" s="83">
        <f>[2]Total!L57</f>
        <v>81285.11</v>
      </c>
      <c r="E181" s="60"/>
    </row>
    <row r="182" spans="2:5">
      <c r="B182" s="47" t="s">
        <v>3487</v>
      </c>
      <c r="C182" s="44" t="s">
        <v>2878</v>
      </c>
      <c r="D182" s="84"/>
      <c r="E182" s="46"/>
    </row>
    <row r="183" spans="2:5">
      <c r="B183" s="49" t="s">
        <v>3520</v>
      </c>
      <c r="C183" s="41" t="s">
        <v>3524</v>
      </c>
      <c r="D183" s="83">
        <f>[2]Total!L59</f>
        <v>81285.14</v>
      </c>
      <c r="E183" s="60"/>
    </row>
    <row r="184" spans="2:5">
      <c r="B184" s="49" t="s">
        <v>3485</v>
      </c>
      <c r="C184" s="41" t="s">
        <v>3525</v>
      </c>
      <c r="D184" s="83">
        <f>[2]Total!L60</f>
        <v>0</v>
      </c>
      <c r="E184" s="60"/>
    </row>
    <row r="185" spans="2:5">
      <c r="B185" s="49" t="s">
        <v>3486</v>
      </c>
      <c r="C185" s="41" t="s">
        <v>3526</v>
      </c>
      <c r="D185" s="83">
        <f>[2]Total!L61</f>
        <v>81285.14</v>
      </c>
      <c r="E185" s="60"/>
    </row>
    <row r="186" spans="2:5">
      <c r="B186" s="47" t="s">
        <v>3438</v>
      </c>
      <c r="C186" s="44" t="s">
        <v>2878</v>
      </c>
      <c r="D186" s="84"/>
      <c r="E186" s="46"/>
    </row>
    <row r="187" spans="2:5">
      <c r="B187" s="49" t="s">
        <v>3520</v>
      </c>
      <c r="C187" s="41" t="s">
        <v>3527</v>
      </c>
      <c r="D187" s="83">
        <f>[2]Total!L63</f>
        <v>145145.89999999994</v>
      </c>
      <c r="E187" s="60"/>
    </row>
    <row r="188" spans="2:5">
      <c r="B188" s="49" t="s">
        <v>3485</v>
      </c>
      <c r="C188" s="41" t="s">
        <v>3528</v>
      </c>
      <c r="D188" s="83">
        <f>[2]Total!L64</f>
        <v>0</v>
      </c>
      <c r="E188" s="60"/>
    </row>
    <row r="189" spans="2:5">
      <c r="B189" s="49" t="s">
        <v>3486</v>
      </c>
      <c r="C189" s="41" t="s">
        <v>3529</v>
      </c>
      <c r="D189" s="83">
        <f>[2]Total!L65</f>
        <v>145145.89999999994</v>
      </c>
      <c r="E189" s="60"/>
    </row>
    <row r="190" spans="2:5">
      <c r="B190" s="47" t="s">
        <v>3488</v>
      </c>
      <c r="C190" s="44" t="s">
        <v>2878</v>
      </c>
      <c r="D190" s="84"/>
      <c r="E190" s="46"/>
    </row>
    <row r="191" spans="2:5">
      <c r="B191" s="49" t="s">
        <v>3520</v>
      </c>
      <c r="C191" s="41" t="s">
        <v>3530</v>
      </c>
      <c r="D191" s="83"/>
      <c r="E191" s="60"/>
    </row>
    <row r="192" spans="2:5">
      <c r="B192" s="49" t="s">
        <v>3485</v>
      </c>
      <c r="C192" s="41" t="s">
        <v>3531</v>
      </c>
      <c r="D192" s="83"/>
      <c r="E192" s="60"/>
    </row>
    <row r="193" spans="2:12">
      <c r="B193" s="49" t="s">
        <v>3486</v>
      </c>
      <c r="C193" s="41" t="s">
        <v>3532</v>
      </c>
      <c r="D193" s="83"/>
      <c r="E193" s="60"/>
    </row>
    <row r="194" spans="2:12">
      <c r="B194" s="47" t="s">
        <v>3490</v>
      </c>
      <c r="C194" s="41" t="s">
        <v>3533</v>
      </c>
      <c r="D194" s="83">
        <f>[2]Total!L70</f>
        <v>0</v>
      </c>
      <c r="E194" s="60"/>
    </row>
    <row r="195" spans="2:12">
      <c r="B195" s="47" t="s">
        <v>3501</v>
      </c>
      <c r="C195" s="44" t="s">
        <v>3549</v>
      </c>
      <c r="D195" s="88"/>
      <c r="E195" s="48"/>
    </row>
    <row r="196" spans="2:12">
      <c r="B196" s="47" t="s">
        <v>3503</v>
      </c>
      <c r="C196" s="44" t="s">
        <v>3550</v>
      </c>
      <c r="D196" s="84"/>
      <c r="E196" s="46"/>
    </row>
    <row r="198" spans="2:12">
      <c r="I198" s="13"/>
      <c r="J198" s="13"/>
    </row>
    <row r="200" spans="2:12" ht="18.75">
      <c r="B200" s="97" t="s">
        <v>3567</v>
      </c>
      <c r="C200" s="96"/>
      <c r="D200" s="96"/>
      <c r="E200" s="96"/>
      <c r="F200" s="96"/>
      <c r="G200" s="96"/>
      <c r="H200" s="96"/>
      <c r="I200" s="96"/>
      <c r="J200" s="96"/>
      <c r="K200" s="96"/>
      <c r="L200" s="96"/>
    </row>
    <row r="204" spans="2:12">
      <c r="D204" s="110" t="s">
        <v>2877</v>
      </c>
    </row>
    <row r="205" spans="2:12">
      <c r="D205" s="111"/>
    </row>
    <row r="206" spans="2:12">
      <c r="D206" s="110" t="s">
        <v>3563</v>
      </c>
    </row>
    <row r="207" spans="2:12">
      <c r="D207" s="111"/>
    </row>
    <row r="208" spans="2:12">
      <c r="D208" s="87" t="s">
        <v>3518</v>
      </c>
      <c r="I208" s="13"/>
      <c r="J208" s="13"/>
    </row>
    <row r="209" spans="2:4">
      <c r="B209" s="43" t="s">
        <v>2880</v>
      </c>
      <c r="C209" s="44" t="s">
        <v>2878</v>
      </c>
      <c r="D209" s="88"/>
    </row>
    <row r="210" spans="2:4">
      <c r="B210" s="47" t="s">
        <v>3437</v>
      </c>
      <c r="C210" s="44" t="s">
        <v>2878</v>
      </c>
      <c r="D210" s="84"/>
    </row>
    <row r="211" spans="2:4">
      <c r="B211" s="49" t="s">
        <v>3520</v>
      </c>
      <c r="C211" s="41" t="s">
        <v>3521</v>
      </c>
      <c r="D211" s="83">
        <f>SUM(D179:E179,D146)</f>
        <v>81285.11</v>
      </c>
    </row>
    <row r="212" spans="2:4">
      <c r="B212" s="49" t="s">
        <v>3485</v>
      </c>
      <c r="C212" s="41" t="s">
        <v>3522</v>
      </c>
      <c r="D212" s="83">
        <f t="shared" ref="D212:D213" si="23">SUM(D180:E180,D147)</f>
        <v>0</v>
      </c>
    </row>
    <row r="213" spans="2:4">
      <c r="B213" s="49" t="s">
        <v>3486</v>
      </c>
      <c r="C213" s="41" t="s">
        <v>3523</v>
      </c>
      <c r="D213" s="83">
        <f t="shared" si="23"/>
        <v>81285.11</v>
      </c>
    </row>
    <row r="214" spans="2:4">
      <c r="B214" s="47" t="s">
        <v>3487</v>
      </c>
      <c r="C214" s="44" t="s">
        <v>2878</v>
      </c>
      <c r="D214" s="84"/>
    </row>
    <row r="215" spans="2:4">
      <c r="B215" s="49" t="s">
        <v>3520</v>
      </c>
      <c r="C215" s="41" t="s">
        <v>3524</v>
      </c>
      <c r="D215" s="83">
        <f t="shared" ref="D215:D217" si="24">SUM(D183:E183,D150)</f>
        <v>81285.14</v>
      </c>
    </row>
    <row r="216" spans="2:4">
      <c r="B216" s="49" t="s">
        <v>3485</v>
      </c>
      <c r="C216" s="41" t="s">
        <v>3525</v>
      </c>
      <c r="D216" s="83">
        <f t="shared" si="24"/>
        <v>0</v>
      </c>
    </row>
    <row r="217" spans="2:4">
      <c r="B217" s="49" t="s">
        <v>3486</v>
      </c>
      <c r="C217" s="41" t="s">
        <v>3526</v>
      </c>
      <c r="D217" s="83">
        <f t="shared" si="24"/>
        <v>81285.14</v>
      </c>
    </row>
    <row r="218" spans="2:4">
      <c r="B218" s="47" t="s">
        <v>3438</v>
      </c>
      <c r="C218" s="44" t="s">
        <v>2878</v>
      </c>
      <c r="D218" s="84"/>
    </row>
    <row r="219" spans="2:4">
      <c r="B219" s="49" t="s">
        <v>3520</v>
      </c>
      <c r="C219" s="41" t="s">
        <v>3527</v>
      </c>
      <c r="D219" s="83">
        <f t="shared" ref="D219:D221" si="25">SUM(D187:E187,D154)</f>
        <v>145145.89999999994</v>
      </c>
    </row>
    <row r="220" spans="2:4">
      <c r="B220" s="49" t="s">
        <v>3485</v>
      </c>
      <c r="C220" s="41" t="s">
        <v>3528</v>
      </c>
      <c r="D220" s="83">
        <f t="shared" si="25"/>
        <v>0</v>
      </c>
    </row>
    <row r="221" spans="2:4">
      <c r="B221" s="49" t="s">
        <v>3486</v>
      </c>
      <c r="C221" s="41" t="s">
        <v>3529</v>
      </c>
      <c r="D221" s="83">
        <f t="shared" si="25"/>
        <v>145145.89999999994</v>
      </c>
    </row>
    <row r="222" spans="2:4">
      <c r="B222" s="47" t="s">
        <v>3488</v>
      </c>
      <c r="C222" s="44" t="s">
        <v>2878</v>
      </c>
      <c r="D222" s="84"/>
    </row>
    <row r="223" spans="2:4">
      <c r="B223" s="49" t="s">
        <v>3520</v>
      </c>
      <c r="C223" s="41" t="s">
        <v>3530</v>
      </c>
      <c r="D223" s="83"/>
    </row>
    <row r="224" spans="2:4">
      <c r="B224" s="49" t="s">
        <v>3485</v>
      </c>
      <c r="C224" s="41" t="s">
        <v>3531</v>
      </c>
      <c r="D224" s="83"/>
    </row>
    <row r="225" spans="2:10">
      <c r="B225" s="49" t="s">
        <v>3486</v>
      </c>
      <c r="C225" s="41" t="s">
        <v>3532</v>
      </c>
      <c r="D225" s="83"/>
    </row>
    <row r="226" spans="2:10">
      <c r="B226" s="47" t="s">
        <v>3490</v>
      </c>
      <c r="C226" s="41" t="s">
        <v>3533</v>
      </c>
      <c r="D226" s="83">
        <f>SUM(D194:E194,D161)</f>
        <v>0</v>
      </c>
    </row>
    <row r="227" spans="2:10">
      <c r="B227" s="47" t="s">
        <v>3501</v>
      </c>
      <c r="C227" s="41" t="s">
        <v>3549</v>
      </c>
      <c r="D227" s="83"/>
    </row>
    <row r="228" spans="2:10">
      <c r="B228" s="47" t="s">
        <v>3503</v>
      </c>
      <c r="C228" s="41" t="s">
        <v>3550</v>
      </c>
      <c r="D228" s="83">
        <f>D226+D227</f>
        <v>0</v>
      </c>
    </row>
    <row r="230" spans="2:10">
      <c r="I230" s="13"/>
      <c r="J230" s="13"/>
    </row>
  </sheetData>
  <mergeCells count="30">
    <mergeCell ref="D139:D140"/>
    <mergeCell ref="B135:L135"/>
    <mergeCell ref="E171:E172"/>
    <mergeCell ref="D206:D207"/>
    <mergeCell ref="D141:D142"/>
    <mergeCell ref="B167:L167"/>
    <mergeCell ref="D171:D172"/>
    <mergeCell ref="D173:D174"/>
    <mergeCell ref="B200:L200"/>
    <mergeCell ref="D204:D205"/>
    <mergeCell ref="E173:E174"/>
    <mergeCell ref="B2:O2"/>
    <mergeCell ref="B5:L5"/>
    <mergeCell ref="D9:D10"/>
    <mergeCell ref="D11:D12"/>
    <mergeCell ref="B48:L48"/>
    <mergeCell ref="D52:D53"/>
    <mergeCell ref="D54:D55"/>
    <mergeCell ref="B92:L92"/>
    <mergeCell ref="D96:D97"/>
    <mergeCell ref="D98:D99"/>
    <mergeCell ref="E52:E53"/>
    <mergeCell ref="E54:E55"/>
    <mergeCell ref="F52:F53"/>
    <mergeCell ref="G52:G53"/>
    <mergeCell ref="H52:H53"/>
    <mergeCell ref="F54:F55"/>
    <mergeCell ref="G54:G55"/>
    <mergeCell ref="H54:H55"/>
    <mergeCell ref="K56:O56"/>
  </mergeCells>
  <dataValidations count="1">
    <dataValidation type="list" errorStyle="warning" allowBlank="1" showInputMessage="1" showErrorMessage="1" sqref="D57:H57 D176:E176" xr:uid="{DA4A1C1B-F2E5-4696-86E9-492EB3FAC661}">
      <formula1>hier_GA_18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ED23-0BD1-4855-8094-33EF94FA62F4}">
  <sheetPr codeName="Blad54"/>
  <dimension ref="B2:O37"/>
  <sheetViews>
    <sheetView showGridLines="0" workbookViewId="0"/>
  </sheetViews>
  <sheetFormatPr defaultRowHeight="15"/>
  <cols>
    <col min="2" max="2" width="45.28515625" bestFit="1" customWidth="1"/>
    <col min="4" max="9" width="15.7109375" customWidth="1"/>
  </cols>
  <sheetData>
    <row r="2" spans="2:15" ht="23.25">
      <c r="B2" s="95" t="s">
        <v>584</v>
      </c>
      <c r="C2" s="96"/>
      <c r="D2" s="96"/>
      <c r="E2" s="96"/>
      <c r="F2" s="96"/>
      <c r="G2" s="96"/>
      <c r="H2" s="96"/>
      <c r="I2" s="96"/>
      <c r="J2" s="96"/>
      <c r="K2" s="96"/>
      <c r="L2" s="96"/>
      <c r="M2" s="96"/>
      <c r="N2" s="96"/>
      <c r="O2" s="96"/>
    </row>
    <row r="5" spans="2:15" ht="18.75">
      <c r="B5" s="97" t="s">
        <v>3568</v>
      </c>
      <c r="C5" s="96"/>
      <c r="D5" s="96"/>
      <c r="E5" s="96"/>
      <c r="F5" s="96"/>
      <c r="G5" s="96"/>
      <c r="H5" s="96"/>
      <c r="I5" s="96"/>
      <c r="J5" s="96"/>
      <c r="K5" s="96"/>
      <c r="L5" s="96"/>
    </row>
    <row r="9" spans="2:15">
      <c r="D9" s="101" t="s">
        <v>2877</v>
      </c>
      <c r="E9" s="102"/>
      <c r="F9" s="102"/>
      <c r="G9" s="102"/>
      <c r="H9" s="102"/>
      <c r="I9" s="103"/>
    </row>
    <row r="10" spans="2:15">
      <c r="D10" s="104"/>
      <c r="E10" s="105"/>
      <c r="F10" s="105"/>
      <c r="G10" s="105"/>
      <c r="H10" s="105"/>
      <c r="I10" s="106"/>
    </row>
    <row r="11" spans="2:15">
      <c r="D11" s="98" t="s">
        <v>2589</v>
      </c>
      <c r="E11" s="98" t="s">
        <v>3569</v>
      </c>
      <c r="F11" s="98" t="s">
        <v>3189</v>
      </c>
      <c r="G11" s="98" t="s">
        <v>1277</v>
      </c>
      <c r="H11" s="98" t="s">
        <v>1278</v>
      </c>
      <c r="I11" s="98" t="s">
        <v>3570</v>
      </c>
    </row>
    <row r="12" spans="2:15">
      <c r="D12" s="100"/>
      <c r="E12" s="100"/>
      <c r="F12" s="100"/>
      <c r="G12" s="100"/>
      <c r="H12" s="100"/>
      <c r="I12" s="100"/>
    </row>
    <row r="13" spans="2:15">
      <c r="D13" s="45" t="s">
        <v>2879</v>
      </c>
      <c r="E13" s="45" t="s">
        <v>3219</v>
      </c>
      <c r="F13" s="45" t="s">
        <v>3225</v>
      </c>
      <c r="G13" s="45" t="s">
        <v>3223</v>
      </c>
      <c r="H13" s="45" t="s">
        <v>3229</v>
      </c>
      <c r="I13" s="45" t="s">
        <v>3231</v>
      </c>
      <c r="N13" s="13" t="str">
        <f>Show!$B$50&amp;"S.06.01.01.01 Rows {"&amp;COLUMN($C$1)&amp;"}"&amp;"@ForceFilingCode:true"</f>
        <v>!S.06.01.01.01 Rows {3}@ForceFilingCode:true</v>
      </c>
      <c r="O13" s="13" t="str">
        <f>Show!$B$50&amp;"S.06.01.01.01 Columns {"&amp;COLUMN($D$1)&amp;"}"</f>
        <v>!S.06.01.01.01 Columns {4}</v>
      </c>
    </row>
    <row r="14" spans="2:15">
      <c r="B14" s="43" t="s">
        <v>2880</v>
      </c>
      <c r="C14" s="44" t="s">
        <v>2878</v>
      </c>
      <c r="D14" s="58"/>
      <c r="E14" s="67"/>
      <c r="F14" s="67"/>
      <c r="G14" s="67"/>
      <c r="H14" s="67"/>
      <c r="I14" s="59"/>
    </row>
    <row r="15" spans="2:15">
      <c r="B15" s="47" t="s">
        <v>3571</v>
      </c>
      <c r="C15" s="44" t="s">
        <v>2878</v>
      </c>
      <c r="D15" s="56"/>
      <c r="E15" s="66"/>
      <c r="F15" s="66"/>
      <c r="G15" s="66"/>
      <c r="H15" s="66"/>
      <c r="I15" s="57"/>
    </row>
    <row r="16" spans="2:15">
      <c r="B16" s="49" t="s">
        <v>3572</v>
      </c>
      <c r="C16" s="41" t="s">
        <v>2883</v>
      </c>
      <c r="D16" s="60"/>
      <c r="E16" s="60"/>
      <c r="F16" s="60"/>
      <c r="G16" s="60"/>
      <c r="H16" s="60"/>
      <c r="I16" s="60"/>
    </row>
    <row r="17" spans="2:9">
      <c r="B17" s="49" t="s">
        <v>3573</v>
      </c>
      <c r="C17" s="41" t="s">
        <v>2885</v>
      </c>
      <c r="D17" s="60"/>
      <c r="E17" s="60"/>
      <c r="F17" s="60"/>
      <c r="G17" s="60"/>
      <c r="H17" s="60"/>
      <c r="I17" s="60"/>
    </row>
    <row r="18" spans="2:9">
      <c r="B18" s="49" t="s">
        <v>3574</v>
      </c>
      <c r="C18" s="41" t="s">
        <v>2887</v>
      </c>
      <c r="D18" s="63"/>
      <c r="E18" s="63"/>
      <c r="F18" s="63"/>
      <c r="G18" s="63"/>
      <c r="H18" s="63"/>
      <c r="I18" s="63"/>
    </row>
    <row r="19" spans="2:9">
      <c r="B19" s="47" t="s">
        <v>3575</v>
      </c>
      <c r="C19" s="44" t="s">
        <v>2878</v>
      </c>
      <c r="D19" s="56"/>
      <c r="E19" s="66"/>
      <c r="F19" s="66"/>
      <c r="G19" s="66"/>
      <c r="H19" s="66"/>
      <c r="I19" s="57"/>
    </row>
    <row r="20" spans="2:9">
      <c r="B20" s="49" t="s">
        <v>3576</v>
      </c>
      <c r="C20" s="41" t="s">
        <v>2889</v>
      </c>
      <c r="D20" s="60"/>
      <c r="E20" s="60"/>
      <c r="F20" s="60"/>
      <c r="G20" s="60"/>
      <c r="H20" s="60"/>
      <c r="I20" s="60"/>
    </row>
    <row r="21" spans="2:9">
      <c r="B21" s="49" t="s">
        <v>3577</v>
      </c>
      <c r="C21" s="41" t="s">
        <v>3078</v>
      </c>
      <c r="D21" s="60"/>
      <c r="E21" s="60"/>
      <c r="F21" s="60"/>
      <c r="G21" s="60"/>
      <c r="H21" s="60"/>
      <c r="I21" s="60"/>
    </row>
    <row r="22" spans="2:9">
      <c r="B22" s="49" t="s">
        <v>3578</v>
      </c>
      <c r="C22" s="41" t="s">
        <v>2891</v>
      </c>
      <c r="D22" s="60"/>
      <c r="E22" s="60"/>
      <c r="F22" s="60"/>
      <c r="G22" s="60"/>
      <c r="H22" s="60"/>
      <c r="I22" s="60"/>
    </row>
    <row r="23" spans="2:9">
      <c r="B23" s="49" t="s">
        <v>3579</v>
      </c>
      <c r="C23" s="41" t="s">
        <v>2893</v>
      </c>
      <c r="D23" s="60"/>
      <c r="E23" s="60"/>
      <c r="F23" s="60"/>
      <c r="G23" s="60"/>
      <c r="H23" s="60"/>
      <c r="I23" s="60"/>
    </row>
    <row r="24" spans="2:9">
      <c r="B24" s="49" t="s">
        <v>2377</v>
      </c>
      <c r="C24" s="41" t="s">
        <v>2895</v>
      </c>
      <c r="D24" s="60"/>
      <c r="E24" s="60"/>
      <c r="F24" s="60"/>
      <c r="G24" s="60"/>
      <c r="H24" s="60"/>
      <c r="I24" s="60"/>
    </row>
    <row r="25" spans="2:9">
      <c r="B25" s="49" t="s">
        <v>2378</v>
      </c>
      <c r="C25" s="41" t="s">
        <v>2897</v>
      </c>
      <c r="D25" s="60"/>
      <c r="E25" s="60"/>
      <c r="F25" s="60"/>
      <c r="G25" s="60"/>
      <c r="H25" s="60"/>
      <c r="I25" s="60"/>
    </row>
    <row r="26" spans="2:9">
      <c r="B26" s="49" t="s">
        <v>2379</v>
      </c>
      <c r="C26" s="41" t="s">
        <v>2899</v>
      </c>
      <c r="D26" s="60"/>
      <c r="E26" s="60"/>
      <c r="F26" s="60"/>
      <c r="G26" s="60"/>
      <c r="H26" s="60"/>
      <c r="I26" s="60"/>
    </row>
    <row r="27" spans="2:9">
      <c r="B27" s="49" t="s">
        <v>2380</v>
      </c>
      <c r="C27" s="41" t="s">
        <v>2901</v>
      </c>
      <c r="D27" s="60"/>
      <c r="E27" s="60"/>
      <c r="F27" s="60"/>
      <c r="G27" s="60"/>
      <c r="H27" s="60"/>
      <c r="I27" s="60"/>
    </row>
    <row r="28" spans="2:9">
      <c r="B28" s="49" t="s">
        <v>3478</v>
      </c>
      <c r="C28" s="41" t="s">
        <v>2903</v>
      </c>
      <c r="D28" s="60"/>
      <c r="E28" s="60"/>
      <c r="F28" s="60"/>
      <c r="G28" s="60"/>
      <c r="H28" s="60"/>
      <c r="I28" s="60"/>
    </row>
    <row r="29" spans="2:9">
      <c r="B29" s="49" t="s">
        <v>2382</v>
      </c>
      <c r="C29" s="41" t="s">
        <v>2905</v>
      </c>
      <c r="D29" s="60"/>
      <c r="E29" s="60"/>
      <c r="F29" s="60"/>
      <c r="G29" s="60"/>
      <c r="H29" s="60"/>
      <c r="I29" s="60"/>
    </row>
    <row r="30" spans="2:9">
      <c r="B30" s="49" t="s">
        <v>2383</v>
      </c>
      <c r="C30" s="41" t="s">
        <v>2907</v>
      </c>
      <c r="D30" s="60"/>
      <c r="E30" s="60"/>
      <c r="F30" s="60"/>
      <c r="G30" s="60"/>
      <c r="H30" s="60"/>
      <c r="I30" s="60"/>
    </row>
    <row r="31" spans="2:9">
      <c r="B31" s="49" t="s">
        <v>2384</v>
      </c>
      <c r="C31" s="41" t="s">
        <v>2909</v>
      </c>
      <c r="D31" s="60"/>
      <c r="E31" s="60"/>
      <c r="F31" s="60"/>
      <c r="G31" s="60"/>
      <c r="H31" s="60"/>
      <c r="I31" s="60"/>
    </row>
    <row r="32" spans="2:9">
      <c r="B32" s="49" t="s">
        <v>2385</v>
      </c>
      <c r="C32" s="41" t="s">
        <v>2911</v>
      </c>
      <c r="D32" s="60"/>
      <c r="E32" s="60"/>
      <c r="F32" s="60"/>
      <c r="G32" s="60"/>
      <c r="H32" s="60"/>
      <c r="I32" s="60"/>
    </row>
    <row r="33" spans="2:15">
      <c r="B33" s="49" t="s">
        <v>2386</v>
      </c>
      <c r="C33" s="41" t="s">
        <v>2913</v>
      </c>
      <c r="D33" s="60"/>
      <c r="E33" s="60"/>
      <c r="F33" s="60"/>
      <c r="G33" s="60"/>
      <c r="H33" s="60"/>
      <c r="I33" s="60"/>
    </row>
    <row r="34" spans="2:15">
      <c r="B34" s="49" t="s">
        <v>2387</v>
      </c>
      <c r="C34" s="41" t="s">
        <v>2915</v>
      </c>
      <c r="D34" s="60"/>
      <c r="E34" s="60"/>
      <c r="F34" s="60"/>
      <c r="G34" s="60"/>
      <c r="H34" s="60"/>
      <c r="I34" s="60"/>
    </row>
    <row r="35" spans="2:15">
      <c r="B35" s="49" t="s">
        <v>2388</v>
      </c>
      <c r="C35" s="41" t="s">
        <v>2917</v>
      </c>
      <c r="D35" s="60"/>
      <c r="E35" s="60"/>
      <c r="F35" s="60"/>
      <c r="G35" s="60"/>
      <c r="H35" s="60"/>
      <c r="I35" s="60"/>
    </row>
    <row r="37" spans="2:15">
      <c r="N37" s="13" t="str">
        <f>Show!$B$50&amp;Show!$B$50&amp;"S.06.01.01.01 Rows {"&amp;COLUMN($C$1)&amp;"}"</f>
        <v>!!S.06.01.01.01 Rows {3}</v>
      </c>
      <c r="O37" s="13" t="str">
        <f>Show!$B$50&amp;Show!$B$50&amp;"S.06.01.01.01 Columns {"&amp;COLUMN($I$1)&amp;"}"</f>
        <v>!!S.06.01.01.01 Columns {9}</v>
      </c>
    </row>
  </sheetData>
  <sheetProtection sheet="1" objects="1" scenarios="1"/>
  <mergeCells count="9">
    <mergeCell ref="B2:O2"/>
    <mergeCell ref="B5:L5"/>
    <mergeCell ref="D9:I10"/>
    <mergeCell ref="D11:D12"/>
    <mergeCell ref="E11:E12"/>
    <mergeCell ref="F11:F12"/>
    <mergeCell ref="G11:G12"/>
    <mergeCell ref="H11:H12"/>
    <mergeCell ref="I11:I1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2827F-CB08-4C8C-B233-A4F45B51924E}">
  <sheetPr codeName="Blad55"/>
  <dimension ref="B2:AE27"/>
  <sheetViews>
    <sheetView showGridLines="0" workbookViewId="0"/>
  </sheetViews>
  <sheetFormatPr defaultRowHeight="15"/>
  <cols>
    <col min="2" max="2" width="29.140625" bestFit="1" customWidth="1"/>
    <col min="3" max="18" width="40.7109375" customWidth="1"/>
    <col min="19" max="22" width="15.7109375" customWidth="1"/>
  </cols>
  <sheetData>
    <row r="2" spans="2:31" ht="23.25">
      <c r="B2" s="95" t="s">
        <v>586</v>
      </c>
      <c r="C2" s="96"/>
      <c r="D2" s="96"/>
      <c r="E2" s="96"/>
      <c r="F2" s="96"/>
      <c r="G2" s="96"/>
      <c r="H2" s="96"/>
      <c r="I2" s="96"/>
      <c r="J2" s="96"/>
      <c r="K2" s="96"/>
      <c r="L2" s="96"/>
      <c r="M2" s="96"/>
      <c r="N2" s="96"/>
      <c r="O2" s="96"/>
    </row>
    <row r="5" spans="2:31" ht="18.75">
      <c r="B5" s="97" t="s">
        <v>3580</v>
      </c>
      <c r="C5" s="96"/>
      <c r="D5" s="96"/>
      <c r="E5" s="96"/>
      <c r="F5" s="96"/>
      <c r="G5" s="96"/>
      <c r="H5" s="96"/>
      <c r="I5" s="96"/>
      <c r="J5" s="96"/>
      <c r="K5" s="96"/>
      <c r="L5" s="96"/>
    </row>
    <row r="9" spans="2:31">
      <c r="B9" s="98" t="s">
        <v>3374</v>
      </c>
      <c r="C9" s="98" t="s">
        <v>3582</v>
      </c>
      <c r="D9" s="98" t="s">
        <v>3322</v>
      </c>
      <c r="E9" s="98" t="s">
        <v>3583</v>
      </c>
      <c r="F9" s="101" t="s">
        <v>2877</v>
      </c>
      <c r="G9" s="102"/>
      <c r="H9" s="102"/>
      <c r="I9" s="102"/>
      <c r="J9" s="102"/>
      <c r="K9" s="102"/>
      <c r="L9" s="102"/>
      <c r="M9" s="102"/>
      <c r="N9" s="102"/>
      <c r="O9" s="102"/>
      <c r="P9" s="103"/>
    </row>
    <row r="10" spans="2:31">
      <c r="B10" s="99"/>
      <c r="C10" s="99"/>
      <c r="D10" s="99"/>
      <c r="E10" s="99"/>
      <c r="F10" s="104"/>
      <c r="G10" s="105"/>
      <c r="H10" s="105"/>
      <c r="I10" s="105"/>
      <c r="J10" s="105"/>
      <c r="K10" s="105"/>
      <c r="L10" s="105"/>
      <c r="M10" s="105"/>
      <c r="N10" s="105"/>
      <c r="O10" s="105"/>
      <c r="P10" s="106"/>
    </row>
    <row r="11" spans="2:31" ht="30">
      <c r="B11" s="100"/>
      <c r="C11" s="100"/>
      <c r="D11" s="100"/>
      <c r="E11" s="100"/>
      <c r="F11" s="55" t="s">
        <v>3584</v>
      </c>
      <c r="G11" s="55" t="s">
        <v>3585</v>
      </c>
      <c r="H11" s="55" t="s">
        <v>3586</v>
      </c>
      <c r="I11" s="55" t="s">
        <v>3587</v>
      </c>
      <c r="J11" s="55" t="s">
        <v>3588</v>
      </c>
      <c r="K11" s="55" t="s">
        <v>3589</v>
      </c>
      <c r="L11" s="55" t="s">
        <v>3590</v>
      </c>
      <c r="M11" s="55" t="s">
        <v>3591</v>
      </c>
      <c r="N11" s="55" t="s">
        <v>3592</v>
      </c>
      <c r="O11" s="55" t="s">
        <v>3593</v>
      </c>
      <c r="P11" s="55" t="s">
        <v>3595</v>
      </c>
    </row>
    <row r="12" spans="2:31">
      <c r="B12" s="42" t="s">
        <v>3581</v>
      </c>
      <c r="C12" s="42" t="s">
        <v>3223</v>
      </c>
      <c r="D12" s="42" t="s">
        <v>3233</v>
      </c>
      <c r="E12" s="42" t="s">
        <v>3234</v>
      </c>
      <c r="F12" s="42" t="s">
        <v>3231</v>
      </c>
      <c r="G12" s="42" t="s">
        <v>3236</v>
      </c>
      <c r="H12" s="42" t="s">
        <v>3239</v>
      </c>
      <c r="I12" s="42" t="s">
        <v>3241</v>
      </c>
      <c r="J12" s="42" t="s">
        <v>3243</v>
      </c>
      <c r="K12" s="42" t="s">
        <v>3375</v>
      </c>
      <c r="L12" s="42" t="s">
        <v>3475</v>
      </c>
      <c r="M12" s="42" t="s">
        <v>3477</v>
      </c>
      <c r="N12" s="42" t="s">
        <v>3479</v>
      </c>
      <c r="O12" s="42" t="s">
        <v>3594</v>
      </c>
      <c r="P12" s="42" t="s">
        <v>3596</v>
      </c>
      <c r="AD12" s="13" t="str">
        <f>Show!$B$51&amp;"S.06.02.01.01 Rows {"&amp;COLUMN($B$1)&amp;"}"&amp;"@ForceFilingCode:true"</f>
        <v>!S.06.02.01.01 Rows {2}@ForceFilingCode:true</v>
      </c>
      <c r="AE12" s="13" t="str">
        <f>Show!$B$51&amp;"S.06.02.01.01 Columns {"&amp;COLUMN($B$1)&amp;"}"</f>
        <v>!S.06.02.01.01 Columns {2}</v>
      </c>
    </row>
    <row r="13" spans="2:31">
      <c r="B13" s="50"/>
      <c r="C13" s="50"/>
      <c r="D13" s="50"/>
      <c r="E13" s="50"/>
      <c r="F13" s="51"/>
      <c r="G13" s="51"/>
      <c r="H13" s="51"/>
      <c r="I13" s="51"/>
      <c r="J13" s="51"/>
      <c r="K13" s="69"/>
      <c r="L13" s="60"/>
      <c r="M13" s="51"/>
      <c r="N13" s="60"/>
      <c r="O13" s="60"/>
      <c r="P13" s="60"/>
    </row>
    <row r="15" spans="2:31">
      <c r="AD15" s="13" t="str">
        <f>Show!$B$51&amp;Show!$B$51&amp;"S.06.02.01.01 Rows {"&amp;COLUMN($B$1)&amp;"}"</f>
        <v>!!S.06.02.01.01 Rows {2}</v>
      </c>
      <c r="AE15" s="13" t="str">
        <f>Show!$B$51&amp;Show!$B$51&amp;"S.06.02.01.01 Columns {"&amp;COLUMN($P$1)&amp;"}"</f>
        <v>!!S.06.02.01.01 Columns {16}</v>
      </c>
    </row>
    <row r="17" spans="2:31" ht="18.75">
      <c r="B17" s="97" t="s">
        <v>3597</v>
      </c>
      <c r="C17" s="96"/>
      <c r="D17" s="96"/>
      <c r="E17" s="96"/>
      <c r="F17" s="96"/>
      <c r="G17" s="96"/>
      <c r="H17" s="96"/>
      <c r="I17" s="96"/>
      <c r="J17" s="96"/>
      <c r="K17" s="96"/>
      <c r="L17" s="96"/>
    </row>
    <row r="21" spans="2:31">
      <c r="B21" s="98" t="s">
        <v>3582</v>
      </c>
      <c r="C21" s="101" t="s">
        <v>2877</v>
      </c>
      <c r="D21" s="102"/>
      <c r="E21" s="102"/>
      <c r="F21" s="102"/>
      <c r="G21" s="102"/>
      <c r="H21" s="102"/>
      <c r="I21" s="102"/>
      <c r="J21" s="102"/>
      <c r="K21" s="102"/>
      <c r="L21" s="102"/>
      <c r="M21" s="102"/>
      <c r="N21" s="102"/>
      <c r="O21" s="102"/>
      <c r="P21" s="102"/>
      <c r="Q21" s="102"/>
      <c r="R21" s="102"/>
      <c r="S21" s="102"/>
      <c r="T21" s="102"/>
      <c r="U21" s="102"/>
      <c r="V21" s="103"/>
    </row>
    <row r="22" spans="2:31">
      <c r="B22" s="99"/>
      <c r="C22" s="104"/>
      <c r="D22" s="105"/>
      <c r="E22" s="105"/>
      <c r="F22" s="105"/>
      <c r="G22" s="105"/>
      <c r="H22" s="105"/>
      <c r="I22" s="105"/>
      <c r="J22" s="105"/>
      <c r="K22" s="105"/>
      <c r="L22" s="105"/>
      <c r="M22" s="105"/>
      <c r="N22" s="105"/>
      <c r="O22" s="105"/>
      <c r="P22" s="105"/>
      <c r="Q22" s="105"/>
      <c r="R22" s="105"/>
      <c r="S22" s="105"/>
      <c r="T22" s="105"/>
      <c r="U22" s="105"/>
      <c r="V22" s="106"/>
    </row>
    <row r="23" spans="2:31" ht="45">
      <c r="B23" s="100"/>
      <c r="C23" s="55" t="s">
        <v>3598</v>
      </c>
      <c r="D23" s="55" t="s">
        <v>3600</v>
      </c>
      <c r="E23" s="55" t="s">
        <v>3601</v>
      </c>
      <c r="F23" s="55" t="s">
        <v>3602</v>
      </c>
      <c r="G23" s="55" t="s">
        <v>3603</v>
      </c>
      <c r="H23" s="55" t="s">
        <v>3604</v>
      </c>
      <c r="I23" s="55" t="s">
        <v>3605</v>
      </c>
      <c r="J23" s="55" t="s">
        <v>3606</v>
      </c>
      <c r="K23" s="55" t="s">
        <v>3607</v>
      </c>
      <c r="L23" s="55" t="s">
        <v>3609</v>
      </c>
      <c r="M23" s="55" t="s">
        <v>3611</v>
      </c>
      <c r="N23" s="55" t="s">
        <v>3261</v>
      </c>
      <c r="O23" s="55" t="s">
        <v>3613</v>
      </c>
      <c r="P23" s="55" t="s">
        <v>3615</v>
      </c>
      <c r="Q23" s="55" t="s">
        <v>3617</v>
      </c>
      <c r="R23" s="55" t="s">
        <v>3619</v>
      </c>
      <c r="S23" s="55" t="s">
        <v>3621</v>
      </c>
      <c r="T23" s="55" t="s">
        <v>3623</v>
      </c>
      <c r="U23" s="55" t="s">
        <v>3625</v>
      </c>
      <c r="V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3610</v>
      </c>
      <c r="M24" s="42" t="s">
        <v>3519</v>
      </c>
      <c r="N24" s="42" t="s">
        <v>3612</v>
      </c>
      <c r="O24" s="42" t="s">
        <v>3614</v>
      </c>
      <c r="P24" s="42" t="s">
        <v>3616</v>
      </c>
      <c r="Q24" s="42" t="s">
        <v>3618</v>
      </c>
      <c r="R24" s="42" t="s">
        <v>3620</v>
      </c>
      <c r="S24" s="42" t="s">
        <v>3622</v>
      </c>
      <c r="T24" s="42" t="s">
        <v>3624</v>
      </c>
      <c r="U24" s="42" t="s">
        <v>3626</v>
      </c>
      <c r="V24" s="42" t="s">
        <v>3628</v>
      </c>
      <c r="AD24" s="13" t="str">
        <f>Show!$B$51&amp;"S.06.02.01.02 Rows {"&amp;COLUMN($B$1)&amp;"}"&amp;"@ForceFilingCode:true"</f>
        <v>!S.06.02.01.02 Rows {2}@ForceFilingCode:true</v>
      </c>
      <c r="AE24" s="13" t="str">
        <f>Show!$B$51&amp;"S.06.02.01.02 Columns {"&amp;COLUMN($B$1)&amp;"}"</f>
        <v>!S.06.02.01.02 Columns {2}</v>
      </c>
    </row>
    <row r="25" spans="2:31">
      <c r="B25" s="50"/>
      <c r="C25" s="51"/>
      <c r="D25" s="51"/>
      <c r="E25" s="51"/>
      <c r="F25" s="51"/>
      <c r="G25" s="51"/>
      <c r="H25" s="51"/>
      <c r="I25" s="51"/>
      <c r="J25" s="51"/>
      <c r="K25" s="51"/>
      <c r="L25" s="51"/>
      <c r="M25" s="51"/>
      <c r="N25" s="51"/>
      <c r="O25" s="51"/>
      <c r="P25" s="51"/>
      <c r="Q25" s="51"/>
      <c r="R25" s="51"/>
      <c r="S25" s="69"/>
      <c r="T25" s="60"/>
      <c r="U25" s="70"/>
      <c r="V25" s="54"/>
    </row>
    <row r="27" spans="2:31">
      <c r="AD27" s="13" t="str">
        <f>Show!$B$51&amp;Show!$B$51&amp;"S.06.02.01.02 Rows {"&amp;COLUMN($B$1)&amp;"}"</f>
        <v>!!S.06.02.01.02 Rows {2}</v>
      </c>
      <c r="AE27" s="13" t="str">
        <f>Show!$B$51&amp;Show!$B$51&amp;"S.06.02.01.02 Columns {"&amp;COLUMN($V$1)&amp;"}"</f>
        <v>!!S.06.02.01.02 Columns {22}</v>
      </c>
    </row>
  </sheetData>
  <sheetProtection sheet="1" objects="1" scenarios="1"/>
  <mergeCells count="10">
    <mergeCell ref="B17:L17"/>
    <mergeCell ref="B21:B23"/>
    <mergeCell ref="C21:V22"/>
    <mergeCell ref="B2:O2"/>
    <mergeCell ref="B5:L5"/>
    <mergeCell ref="B9:B11"/>
    <mergeCell ref="C9:C11"/>
    <mergeCell ref="D9:D11"/>
    <mergeCell ref="E9:E11"/>
    <mergeCell ref="F9:P10"/>
  </mergeCells>
  <dataValidations count="14">
    <dataValidation type="list" errorStyle="warning" allowBlank="1" showInputMessage="1" showErrorMessage="1" sqref="F13" xr:uid="{35330806-B94B-4014-A197-2BDD2665DB9C}">
      <formula1>hier_PU_33</formula1>
    </dataValidation>
    <dataValidation type="list" errorStyle="warning" allowBlank="1" showInputMessage="1" showErrorMessage="1" sqref="G13" xr:uid="{1C39D17D-A41A-479B-82F0-6357D3157EBD}">
      <formula1>hier_LB_4</formula1>
    </dataValidation>
    <dataValidation type="list" errorStyle="warning" allowBlank="1" showInputMessage="1" showErrorMessage="1" sqref="H13" xr:uid="{6E62EE20-F56E-4547-8D41-BF08ACC39E94}">
      <formula1>hier_CG_2</formula1>
    </dataValidation>
    <dataValidation type="list" errorStyle="warning" allowBlank="1" showInputMessage="1" showErrorMessage="1" sqref="I13" xr:uid="{25F29845-8DB1-4671-911A-DE0755E7E09D}">
      <formula1>hier_GA_1</formula1>
    </dataValidation>
    <dataValidation type="list" errorStyle="warning" allowBlank="1" showInputMessage="1" showErrorMessage="1" sqref="M13" xr:uid="{4CFF1C83-DC5F-4B53-9B56-E8ADF70EFB89}">
      <formula1>hier_VM_23</formula1>
    </dataValidation>
    <dataValidation type="list" errorStyle="warning" allowBlank="1" showInputMessage="1" showErrorMessage="1" sqref="F25" xr:uid="{C05D0AE1-0296-4F3F-AB39-DBB3877EE956}">
      <formula1>hier_NC_1</formula1>
    </dataValidation>
    <dataValidation type="list" errorStyle="warning" allowBlank="1" showInputMessage="1" showErrorMessage="1" sqref="I25" xr:uid="{BA7FDEC1-A546-4C3A-9D46-58BC2E38476A}">
      <formula1>hier_GA_4</formula1>
    </dataValidation>
    <dataValidation type="list" errorStyle="warning" allowBlank="1" showInputMessage="1" showErrorMessage="1" sqref="J25" xr:uid="{BB00CB35-B7DB-450A-ACEA-6D9A765E0631}">
      <formula1>hier_CU_1</formula1>
    </dataValidation>
    <dataValidation type="list" errorStyle="warning" allowBlank="1" showInputMessage="1" showErrorMessage="1" sqref="L25" xr:uid="{D2962D2E-9DE4-4183-B17A-01969A0339AC}">
      <formula1>hier_AP_23</formula1>
    </dataValidation>
    <dataValidation type="list" errorStyle="warning" allowBlank="1" showInputMessage="1" showErrorMessage="1" sqref="M25" xr:uid="{7148677A-1EF9-45CF-8ED9-C2FF301269C2}">
      <formula1>hier_MC_50</formula1>
    </dataValidation>
    <dataValidation type="list" errorStyle="warning" allowBlank="1" showInputMessage="1" showErrorMessage="1" sqref="N25" xr:uid="{A12480AE-2DE9-4371-8DDD-5E033D73B161}">
      <formula1>hier_PU_39</formula1>
    </dataValidation>
    <dataValidation type="list" errorStyle="warning" allowBlank="1" showInputMessage="1" showErrorMessage="1" sqref="P25" xr:uid="{59BCEFF6-7B6B-44F5-AD11-431755E58DE4}">
      <formula1>hier_SE_26</formula1>
    </dataValidation>
    <dataValidation type="list" errorStyle="warning" allowBlank="1" showInputMessage="1" showErrorMessage="1" sqref="Q25" xr:uid="{1D870C81-83C4-4BE5-A83E-D20203143DED}">
      <formula1>hier_BR_4</formula1>
    </dataValidation>
    <dataValidation type="date" operator="greaterThan" allowBlank="1" showInputMessage="1" showErrorMessage="1" errorTitle="Date value" error="This cell can only contain dates" sqref="V25" xr:uid="{EB8B449C-5112-42B9-9053-92DA5B4E39FF}">
      <formula1>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A3F1-3A08-460F-B359-84F3E9CB8EC4}">
  <sheetPr codeName="Blad56"/>
  <dimension ref="B2:AE27"/>
  <sheetViews>
    <sheetView showGridLines="0" workbookViewId="0"/>
  </sheetViews>
  <sheetFormatPr defaultRowHeight="15"/>
  <cols>
    <col min="2" max="2" width="29.140625" bestFit="1" customWidth="1"/>
    <col min="3" max="17" width="40.7109375" customWidth="1"/>
    <col min="18" max="21" width="15.7109375" customWidth="1"/>
  </cols>
  <sheetData>
    <row r="2" spans="2:31" ht="23.25">
      <c r="B2" s="95" t="s">
        <v>586</v>
      </c>
      <c r="C2" s="96"/>
      <c r="D2" s="96"/>
      <c r="E2" s="96"/>
      <c r="F2" s="96"/>
      <c r="G2" s="96"/>
      <c r="H2" s="96"/>
      <c r="I2" s="96"/>
      <c r="J2" s="96"/>
      <c r="K2" s="96"/>
      <c r="L2" s="96"/>
      <c r="M2" s="96"/>
      <c r="N2" s="96"/>
      <c r="O2" s="96"/>
    </row>
    <row r="5" spans="2:31" ht="18.75">
      <c r="B5" s="97" t="s">
        <v>3629</v>
      </c>
      <c r="C5" s="96"/>
      <c r="D5" s="96"/>
      <c r="E5" s="96"/>
      <c r="F5" s="96"/>
      <c r="G5" s="96"/>
      <c r="H5" s="96"/>
      <c r="I5" s="96"/>
      <c r="J5" s="96"/>
      <c r="K5" s="96"/>
      <c r="L5" s="96"/>
    </row>
    <row r="9" spans="2:31">
      <c r="B9" s="98" t="s">
        <v>3374</v>
      </c>
      <c r="C9" s="98" t="s">
        <v>3245</v>
      </c>
      <c r="D9" s="98" t="s">
        <v>3582</v>
      </c>
      <c r="E9" s="98" t="s">
        <v>3322</v>
      </c>
      <c r="F9" s="98" t="s">
        <v>3583</v>
      </c>
      <c r="G9" s="101" t="s">
        <v>2877</v>
      </c>
      <c r="H9" s="102"/>
      <c r="I9" s="102"/>
      <c r="J9" s="102"/>
      <c r="K9" s="102"/>
      <c r="L9" s="102"/>
      <c r="M9" s="102"/>
      <c r="N9" s="102"/>
      <c r="O9" s="102"/>
      <c r="P9" s="102"/>
      <c r="Q9" s="102"/>
      <c r="R9" s="103"/>
    </row>
    <row r="10" spans="2:31">
      <c r="B10" s="99"/>
      <c r="C10" s="99"/>
      <c r="D10" s="99"/>
      <c r="E10" s="99"/>
      <c r="F10" s="99"/>
      <c r="G10" s="104"/>
      <c r="H10" s="105"/>
      <c r="I10" s="105"/>
      <c r="J10" s="105"/>
      <c r="K10" s="105"/>
      <c r="L10" s="105"/>
      <c r="M10" s="105"/>
      <c r="N10" s="105"/>
      <c r="O10" s="105"/>
      <c r="P10" s="105"/>
      <c r="Q10" s="105"/>
      <c r="R10" s="106"/>
    </row>
    <row r="11" spans="2:31" ht="30">
      <c r="B11" s="100"/>
      <c r="C11" s="100"/>
      <c r="D11" s="100"/>
      <c r="E11" s="100"/>
      <c r="F11" s="100"/>
      <c r="G11" s="55" t="s">
        <v>3246</v>
      </c>
      <c r="H11" s="55" t="s">
        <v>3584</v>
      </c>
      <c r="I11" s="55" t="s">
        <v>3585</v>
      </c>
      <c r="J11" s="55" t="s">
        <v>3586</v>
      </c>
      <c r="K11" s="55" t="s">
        <v>3587</v>
      </c>
      <c r="L11" s="55" t="s">
        <v>3588</v>
      </c>
      <c r="M11" s="55" t="s">
        <v>3589</v>
      </c>
      <c r="N11" s="55" t="s">
        <v>3590</v>
      </c>
      <c r="O11" s="55" t="s">
        <v>3591</v>
      </c>
      <c r="P11" s="55" t="s">
        <v>3592</v>
      </c>
      <c r="Q11" s="55" t="s">
        <v>3593</v>
      </c>
      <c r="R11" s="55" t="s">
        <v>3595</v>
      </c>
    </row>
    <row r="12" spans="2:31">
      <c r="B12" s="42" t="s">
        <v>3581</v>
      </c>
      <c r="C12" s="42" t="s">
        <v>3219</v>
      </c>
      <c r="D12" s="42" t="s">
        <v>3223</v>
      </c>
      <c r="E12" s="42" t="s">
        <v>3233</v>
      </c>
      <c r="F12" s="42" t="s">
        <v>3234</v>
      </c>
      <c r="G12" s="42" t="s">
        <v>2879</v>
      </c>
      <c r="H12" s="42" t="s">
        <v>3231</v>
      </c>
      <c r="I12" s="42" t="s">
        <v>3236</v>
      </c>
      <c r="J12" s="42" t="s">
        <v>3239</v>
      </c>
      <c r="K12" s="42" t="s">
        <v>3241</v>
      </c>
      <c r="L12" s="42" t="s">
        <v>3243</v>
      </c>
      <c r="M12" s="42" t="s">
        <v>3375</v>
      </c>
      <c r="N12" s="42" t="s">
        <v>3475</v>
      </c>
      <c r="O12" s="42" t="s">
        <v>3477</v>
      </c>
      <c r="P12" s="42" t="s">
        <v>3479</v>
      </c>
      <c r="Q12" s="42" t="s">
        <v>3594</v>
      </c>
      <c r="R12" s="42" t="s">
        <v>3596</v>
      </c>
      <c r="AD12" s="13" t="str">
        <f>Show!$B$52&amp;"S.06.02.04.01 Rows {"&amp;COLUMN($B$1)&amp;"}"&amp;"@ForceFilingCode:true"</f>
        <v>!S.06.02.04.01 Rows {2}@ForceFilingCode:true</v>
      </c>
      <c r="AE12" s="13" t="str">
        <f>Show!$B$52&amp;"S.06.02.04.01 Columns {"&amp;COLUMN($B$1)&amp;"}"</f>
        <v>!S.06.02.04.01 Columns {2}</v>
      </c>
    </row>
    <row r="13" spans="2:31">
      <c r="B13" s="50"/>
      <c r="C13" s="50"/>
      <c r="D13" s="50"/>
      <c r="E13" s="50"/>
      <c r="F13" s="50"/>
      <c r="G13" s="51"/>
      <c r="H13" s="51"/>
      <c r="I13" s="51"/>
      <c r="J13" s="51"/>
      <c r="K13" s="51"/>
      <c r="L13" s="51"/>
      <c r="M13" s="69"/>
      <c r="N13" s="60"/>
      <c r="O13" s="51"/>
      <c r="P13" s="60"/>
      <c r="Q13" s="60"/>
      <c r="R13" s="60"/>
    </row>
    <row r="15" spans="2:31">
      <c r="AD15" s="13" t="str">
        <f>Show!$B$52&amp;Show!$B$52&amp;"S.06.02.04.01 Rows {"&amp;COLUMN($B$1)&amp;"}"</f>
        <v>!!S.06.02.04.01 Rows {2}</v>
      </c>
      <c r="AE15" s="13" t="str">
        <f>Show!$B$52&amp;Show!$B$52&amp;"S.06.02.04.01 Columns {"&amp;COLUMN($R$1)&amp;"}"</f>
        <v>!!S.06.02.04.01 Columns {18}</v>
      </c>
    </row>
    <row r="17" spans="2:31" ht="18.75">
      <c r="B17" s="97" t="s">
        <v>3630</v>
      </c>
      <c r="C17" s="96"/>
      <c r="D17" s="96"/>
      <c r="E17" s="96"/>
      <c r="F17" s="96"/>
      <c r="G17" s="96"/>
      <c r="H17" s="96"/>
      <c r="I17" s="96"/>
      <c r="J17" s="96"/>
      <c r="K17" s="96"/>
      <c r="L17" s="96"/>
    </row>
    <row r="21" spans="2:31">
      <c r="B21" s="98" t="s">
        <v>3582</v>
      </c>
      <c r="C21" s="101" t="s">
        <v>2877</v>
      </c>
      <c r="D21" s="102"/>
      <c r="E21" s="102"/>
      <c r="F21" s="102"/>
      <c r="G21" s="102"/>
      <c r="H21" s="102"/>
      <c r="I21" s="102"/>
      <c r="J21" s="102"/>
      <c r="K21" s="102"/>
      <c r="L21" s="102"/>
      <c r="M21" s="102"/>
      <c r="N21" s="102"/>
      <c r="O21" s="102"/>
      <c r="P21" s="102"/>
      <c r="Q21" s="102"/>
      <c r="R21" s="102"/>
      <c r="S21" s="102"/>
      <c r="T21" s="102"/>
      <c r="U21" s="103"/>
    </row>
    <row r="22" spans="2:31">
      <c r="B22" s="99"/>
      <c r="C22" s="104"/>
      <c r="D22" s="105"/>
      <c r="E22" s="105"/>
      <c r="F22" s="105"/>
      <c r="G22" s="105"/>
      <c r="H22" s="105"/>
      <c r="I22" s="105"/>
      <c r="J22" s="105"/>
      <c r="K22" s="105"/>
      <c r="L22" s="105"/>
      <c r="M22" s="105"/>
      <c r="N22" s="105"/>
      <c r="O22" s="105"/>
      <c r="P22" s="105"/>
      <c r="Q22" s="105"/>
      <c r="R22" s="105"/>
      <c r="S22" s="105"/>
      <c r="T22" s="105"/>
      <c r="U22" s="106"/>
    </row>
    <row r="23" spans="2:31" ht="45">
      <c r="B23" s="100"/>
      <c r="C23" s="55" t="s">
        <v>3598</v>
      </c>
      <c r="D23" s="55" t="s">
        <v>3600</v>
      </c>
      <c r="E23" s="55" t="s">
        <v>3601</v>
      </c>
      <c r="F23" s="55" t="s">
        <v>3602</v>
      </c>
      <c r="G23" s="55" t="s">
        <v>3603</v>
      </c>
      <c r="H23" s="55" t="s">
        <v>3604</v>
      </c>
      <c r="I23" s="55" t="s">
        <v>3605</v>
      </c>
      <c r="J23" s="55" t="s">
        <v>3606</v>
      </c>
      <c r="K23" s="55" t="s">
        <v>3607</v>
      </c>
      <c r="L23" s="55" t="s">
        <v>3611</v>
      </c>
      <c r="M23" s="55" t="s">
        <v>3631</v>
      </c>
      <c r="N23" s="55" t="s">
        <v>3613</v>
      </c>
      <c r="O23" s="55" t="s">
        <v>3615</v>
      </c>
      <c r="P23" s="55" t="s">
        <v>3617</v>
      </c>
      <c r="Q23" s="55" t="s">
        <v>3619</v>
      </c>
      <c r="R23" s="55" t="s">
        <v>3621</v>
      </c>
      <c r="S23" s="55" t="s">
        <v>3623</v>
      </c>
      <c r="T23" s="55" t="s">
        <v>3625</v>
      </c>
      <c r="U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3519</v>
      </c>
      <c r="M24" s="42" t="s">
        <v>3612</v>
      </c>
      <c r="N24" s="42" t="s">
        <v>3614</v>
      </c>
      <c r="O24" s="42" t="s">
        <v>3616</v>
      </c>
      <c r="P24" s="42" t="s">
        <v>3618</v>
      </c>
      <c r="Q24" s="42" t="s">
        <v>3620</v>
      </c>
      <c r="R24" s="42" t="s">
        <v>3622</v>
      </c>
      <c r="S24" s="42" t="s">
        <v>3624</v>
      </c>
      <c r="T24" s="42" t="s">
        <v>3626</v>
      </c>
      <c r="U24" s="42" t="s">
        <v>3628</v>
      </c>
      <c r="AD24" s="13" t="str">
        <f>Show!$B$52&amp;"S.06.02.04.02 Rows {"&amp;COLUMN($B$1)&amp;"}"&amp;"@ForceFilingCode:true"</f>
        <v>!S.06.02.04.02 Rows {2}@ForceFilingCode:true</v>
      </c>
      <c r="AE24" s="13" t="str">
        <f>Show!$B$52&amp;"S.06.02.04.02 Columns {"&amp;COLUMN($B$1)&amp;"}"</f>
        <v>!S.06.02.04.02 Columns {2}</v>
      </c>
    </row>
    <row r="25" spans="2:31">
      <c r="B25" s="50"/>
      <c r="C25" s="51"/>
      <c r="D25" s="51"/>
      <c r="E25" s="51"/>
      <c r="F25" s="51"/>
      <c r="G25" s="51"/>
      <c r="H25" s="51"/>
      <c r="I25" s="51"/>
      <c r="J25" s="51"/>
      <c r="K25" s="51"/>
      <c r="L25" s="51"/>
      <c r="M25" s="51"/>
      <c r="N25" s="51"/>
      <c r="O25" s="51"/>
      <c r="P25" s="51"/>
      <c r="Q25" s="51"/>
      <c r="R25" s="69"/>
      <c r="S25" s="60"/>
      <c r="T25" s="70"/>
      <c r="U25" s="54"/>
    </row>
    <row r="27" spans="2:31">
      <c r="AD27" s="13" t="str">
        <f>Show!$B$52&amp;Show!$B$52&amp;"S.06.02.04.02 Rows {"&amp;COLUMN($B$1)&amp;"}"</f>
        <v>!!S.06.02.04.02 Rows {2}</v>
      </c>
      <c r="AE27" s="13" t="str">
        <f>Show!$B$52&amp;Show!$B$52&amp;"S.06.02.04.02 Columns {"&amp;COLUMN($U$1)&amp;"}"</f>
        <v>!!S.06.02.04.02 Columns {21}</v>
      </c>
    </row>
  </sheetData>
  <sheetProtection sheet="1" objects="1" scenarios="1"/>
  <mergeCells count="11">
    <mergeCell ref="B17:L17"/>
    <mergeCell ref="B21:B23"/>
    <mergeCell ref="C21:U22"/>
    <mergeCell ref="B2:O2"/>
    <mergeCell ref="B5:L5"/>
    <mergeCell ref="B9:B11"/>
    <mergeCell ref="C9:C11"/>
    <mergeCell ref="D9:D11"/>
    <mergeCell ref="E9:E11"/>
    <mergeCell ref="F9:F11"/>
    <mergeCell ref="G9:R10"/>
  </mergeCells>
  <dataValidations count="13">
    <dataValidation type="list" errorStyle="warning" allowBlank="1" showInputMessage="1" showErrorMessage="1" sqref="H13" xr:uid="{BEFC22CC-82C0-411F-96D0-ABC49247CEA4}">
      <formula1>hier_PU_33</formula1>
    </dataValidation>
    <dataValidation type="list" errorStyle="warning" allowBlank="1" showInputMessage="1" showErrorMessage="1" sqref="I13" xr:uid="{F0BF793A-E29B-4A3A-B690-C6C856C6CFDE}">
      <formula1>hier_LB_4</formula1>
    </dataValidation>
    <dataValidation type="list" errorStyle="warning" allowBlank="1" showInputMessage="1" showErrorMessage="1" sqref="J13" xr:uid="{58E0167B-E974-4C01-B6D8-D08F54058B3B}">
      <formula1>hier_CG_2</formula1>
    </dataValidation>
    <dataValidation type="list" errorStyle="warning" allowBlank="1" showInputMessage="1" showErrorMessage="1" sqref="K13" xr:uid="{A27E219D-043C-4B2E-A4D9-A1ED68408F57}">
      <formula1>hier_GA_1</formula1>
    </dataValidation>
    <dataValidation type="list" errorStyle="warning" allowBlank="1" showInputMessage="1" showErrorMessage="1" sqref="O13" xr:uid="{E0461AC4-407C-4261-A2DA-703B37063D45}">
      <formula1>hier_VM_23</formula1>
    </dataValidation>
    <dataValidation type="list" errorStyle="warning" allowBlank="1" showInputMessage="1" showErrorMessage="1" sqref="F25" xr:uid="{AF1BC915-68E6-4D90-AA56-81C02BB9F320}">
      <formula1>hier_NC_1</formula1>
    </dataValidation>
    <dataValidation type="list" errorStyle="warning" allowBlank="1" showInputMessage="1" showErrorMessage="1" sqref="I25" xr:uid="{6D93BDEE-F617-4CE6-92A8-9B7C1430B6CB}">
      <formula1>hier_GA_4</formula1>
    </dataValidation>
    <dataValidation type="list" errorStyle="warning" allowBlank="1" showInputMessage="1" showErrorMessage="1" sqref="J25" xr:uid="{FD1F9650-AD3F-415F-BFA9-DAB4004569B3}">
      <formula1>hier_CU_1</formula1>
    </dataValidation>
    <dataValidation type="list" errorStyle="warning" allowBlank="1" showInputMessage="1" showErrorMessage="1" sqref="L25" xr:uid="{5996117C-9DC7-4790-9A46-B86DB7B0C777}">
      <formula1>hier_MC_50</formula1>
    </dataValidation>
    <dataValidation type="list" errorStyle="warning" allowBlank="1" showInputMessage="1" showErrorMessage="1" sqref="M25" xr:uid="{F8E65550-0D34-4CD0-9BA3-623649B58C85}">
      <formula1>hier_PU_27</formula1>
    </dataValidation>
    <dataValidation type="list" errorStyle="warning" allowBlank="1" showInputMessage="1" showErrorMessage="1" sqref="O25" xr:uid="{6F835DBD-6A93-4954-8F55-80CABEDA8E44}">
      <formula1>hier_SE_29</formula1>
    </dataValidation>
    <dataValidation type="list" errorStyle="warning" allowBlank="1" showInputMessage="1" showErrorMessage="1" sqref="P25" xr:uid="{E07FF528-968B-455D-B7DD-657F123DE040}">
      <formula1>hier_BR_4</formula1>
    </dataValidation>
    <dataValidation type="date" operator="greaterThan" allowBlank="1" showInputMessage="1" showErrorMessage="1" errorTitle="Date value" error="This cell can only contain dates" sqref="U25" xr:uid="{AB31616F-254E-43BA-8B51-665B94229A03}">
      <formula1>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2A24-A754-4D09-A49A-33A03F3E2BA8}">
  <sheetPr codeName="Blad57"/>
  <dimension ref="B2:AE27"/>
  <sheetViews>
    <sheetView showGridLines="0" workbookViewId="0"/>
  </sheetViews>
  <sheetFormatPr defaultRowHeight="15"/>
  <cols>
    <col min="2" max="2" width="29.140625" bestFit="1" customWidth="1"/>
    <col min="3" max="18" width="40.7109375" customWidth="1"/>
    <col min="19" max="22" width="15.7109375" customWidth="1"/>
  </cols>
  <sheetData>
    <row r="2" spans="2:31" ht="23.25">
      <c r="B2" s="95" t="s">
        <v>586</v>
      </c>
      <c r="C2" s="96"/>
      <c r="D2" s="96"/>
      <c r="E2" s="96"/>
      <c r="F2" s="96"/>
      <c r="G2" s="96"/>
      <c r="H2" s="96"/>
      <c r="I2" s="96"/>
      <c r="J2" s="96"/>
      <c r="K2" s="96"/>
      <c r="L2" s="96"/>
      <c r="M2" s="96"/>
      <c r="N2" s="96"/>
      <c r="O2" s="96"/>
    </row>
    <row r="5" spans="2:31" ht="18.75">
      <c r="B5" s="97" t="s">
        <v>3632</v>
      </c>
      <c r="C5" s="96"/>
      <c r="D5" s="96"/>
      <c r="E5" s="96"/>
      <c r="F5" s="96"/>
      <c r="G5" s="96"/>
      <c r="H5" s="96"/>
      <c r="I5" s="96"/>
      <c r="J5" s="96"/>
      <c r="K5" s="96"/>
      <c r="L5" s="96"/>
    </row>
    <row r="9" spans="2:31">
      <c r="B9" s="98" t="s">
        <v>3374</v>
      </c>
      <c r="C9" s="98" t="s">
        <v>3582</v>
      </c>
      <c r="D9" s="98" t="s">
        <v>3322</v>
      </c>
      <c r="E9" s="98" t="s">
        <v>3583</v>
      </c>
      <c r="F9" s="101" t="s">
        <v>2877</v>
      </c>
      <c r="G9" s="102"/>
      <c r="H9" s="102"/>
      <c r="I9" s="102"/>
      <c r="J9" s="102"/>
      <c r="K9" s="102"/>
      <c r="L9" s="102"/>
      <c r="M9" s="102"/>
      <c r="N9" s="102"/>
      <c r="O9" s="102"/>
      <c r="P9" s="102"/>
      <c r="Q9" s="102"/>
      <c r="R9" s="103"/>
    </row>
    <row r="10" spans="2:31">
      <c r="B10" s="99"/>
      <c r="C10" s="99"/>
      <c r="D10" s="99"/>
      <c r="E10" s="99"/>
      <c r="F10" s="104"/>
      <c r="G10" s="105"/>
      <c r="H10" s="105"/>
      <c r="I10" s="105"/>
      <c r="J10" s="105"/>
      <c r="K10" s="105"/>
      <c r="L10" s="105"/>
      <c r="M10" s="105"/>
      <c r="N10" s="105"/>
      <c r="O10" s="105"/>
      <c r="P10" s="105"/>
      <c r="Q10" s="105"/>
      <c r="R10" s="106"/>
    </row>
    <row r="11" spans="2:31" ht="30">
      <c r="B11" s="100"/>
      <c r="C11" s="100"/>
      <c r="D11" s="100"/>
      <c r="E11" s="100"/>
      <c r="F11" s="55" t="s">
        <v>3584</v>
      </c>
      <c r="G11" s="55" t="s">
        <v>3585</v>
      </c>
      <c r="H11" s="55" t="s">
        <v>3586</v>
      </c>
      <c r="I11" s="55" t="s">
        <v>3587</v>
      </c>
      <c r="J11" s="55" t="s">
        <v>3588</v>
      </c>
      <c r="K11" s="55" t="s">
        <v>3589</v>
      </c>
      <c r="L11" s="55" t="s">
        <v>3590</v>
      </c>
      <c r="M11" s="55" t="s">
        <v>3591</v>
      </c>
      <c r="N11" s="55" t="s">
        <v>3592</v>
      </c>
      <c r="O11" s="55" t="s">
        <v>3593</v>
      </c>
      <c r="P11" s="55" t="s">
        <v>3595</v>
      </c>
      <c r="Q11" s="55" t="s">
        <v>3633</v>
      </c>
      <c r="R11" s="55" t="s">
        <v>3635</v>
      </c>
    </row>
    <row r="12" spans="2:31">
      <c r="B12" s="42" t="s">
        <v>3581</v>
      </c>
      <c r="C12" s="42" t="s">
        <v>3223</v>
      </c>
      <c r="D12" s="42" t="s">
        <v>3233</v>
      </c>
      <c r="E12" s="42" t="s">
        <v>3234</v>
      </c>
      <c r="F12" s="42" t="s">
        <v>3231</v>
      </c>
      <c r="G12" s="42" t="s">
        <v>3236</v>
      </c>
      <c r="H12" s="42" t="s">
        <v>3239</v>
      </c>
      <c r="I12" s="42" t="s">
        <v>3241</v>
      </c>
      <c r="J12" s="42" t="s">
        <v>3243</v>
      </c>
      <c r="K12" s="42" t="s">
        <v>3375</v>
      </c>
      <c r="L12" s="42" t="s">
        <v>3475</v>
      </c>
      <c r="M12" s="42" t="s">
        <v>3477</v>
      </c>
      <c r="N12" s="42" t="s">
        <v>3479</v>
      </c>
      <c r="O12" s="42" t="s">
        <v>3594</v>
      </c>
      <c r="P12" s="42" t="s">
        <v>3596</v>
      </c>
      <c r="Q12" s="42" t="s">
        <v>3634</v>
      </c>
      <c r="R12" s="42" t="s">
        <v>3636</v>
      </c>
      <c r="AD12" s="13" t="str">
        <f>Show!$B$53&amp;"S.06.02.07.01 Rows {"&amp;COLUMN($B$1)&amp;"}"&amp;"@ForceFilingCode:true"</f>
        <v>!S.06.02.07.01 Rows {2}@ForceFilingCode:true</v>
      </c>
      <c r="AE12" s="13" t="str">
        <f>Show!$B$53&amp;"S.06.02.07.01 Columns {"&amp;COLUMN($B$1)&amp;"}"</f>
        <v>!S.06.02.07.01 Columns {2}</v>
      </c>
    </row>
    <row r="13" spans="2:31">
      <c r="B13" s="50"/>
      <c r="C13" s="50"/>
      <c r="D13" s="50"/>
      <c r="E13" s="50"/>
      <c r="F13" s="51"/>
      <c r="G13" s="51"/>
      <c r="H13" s="51"/>
      <c r="I13" s="51"/>
      <c r="J13" s="51"/>
      <c r="K13" s="69"/>
      <c r="L13" s="60"/>
      <c r="M13" s="51"/>
      <c r="N13" s="60"/>
      <c r="O13" s="60"/>
      <c r="P13" s="60"/>
      <c r="Q13" s="51"/>
      <c r="R13" s="51"/>
    </row>
    <row r="15" spans="2:31">
      <c r="AD15" s="13" t="str">
        <f>Show!$B$53&amp;Show!$B$53&amp;"S.06.02.07.01 Rows {"&amp;COLUMN($B$1)&amp;"}"</f>
        <v>!!S.06.02.07.01 Rows {2}</v>
      </c>
      <c r="AE15" s="13" t="str">
        <f>Show!$B$53&amp;Show!$B$53&amp;"S.06.02.07.01 Columns {"&amp;COLUMN($R$1)&amp;"}"</f>
        <v>!!S.06.02.07.01 Columns {18}</v>
      </c>
    </row>
    <row r="17" spans="2:31" ht="18.75">
      <c r="B17" s="97" t="s">
        <v>3637</v>
      </c>
      <c r="C17" s="96"/>
      <c r="D17" s="96"/>
      <c r="E17" s="96"/>
      <c r="F17" s="96"/>
      <c r="G17" s="96"/>
      <c r="H17" s="96"/>
      <c r="I17" s="96"/>
      <c r="J17" s="96"/>
      <c r="K17" s="96"/>
      <c r="L17" s="96"/>
    </row>
    <row r="21" spans="2:31">
      <c r="B21" s="98" t="s">
        <v>3582</v>
      </c>
      <c r="C21" s="101" t="s">
        <v>2877</v>
      </c>
      <c r="D21" s="102"/>
      <c r="E21" s="102"/>
      <c r="F21" s="102"/>
      <c r="G21" s="102"/>
      <c r="H21" s="102"/>
      <c r="I21" s="102"/>
      <c r="J21" s="102"/>
      <c r="K21" s="102"/>
      <c r="L21" s="102"/>
      <c r="M21" s="102"/>
      <c r="N21" s="102"/>
      <c r="O21" s="102"/>
      <c r="P21" s="102"/>
      <c r="Q21" s="102"/>
      <c r="R21" s="102"/>
      <c r="S21" s="102"/>
      <c r="T21" s="102"/>
      <c r="U21" s="102"/>
      <c r="V21" s="103"/>
    </row>
    <row r="22" spans="2:31">
      <c r="B22" s="99"/>
      <c r="C22" s="104"/>
      <c r="D22" s="105"/>
      <c r="E22" s="105"/>
      <c r="F22" s="105"/>
      <c r="G22" s="105"/>
      <c r="H22" s="105"/>
      <c r="I22" s="105"/>
      <c r="J22" s="105"/>
      <c r="K22" s="105"/>
      <c r="L22" s="105"/>
      <c r="M22" s="105"/>
      <c r="N22" s="105"/>
      <c r="O22" s="105"/>
      <c r="P22" s="105"/>
      <c r="Q22" s="105"/>
      <c r="R22" s="105"/>
      <c r="S22" s="105"/>
      <c r="T22" s="105"/>
      <c r="U22" s="105"/>
      <c r="V22" s="106"/>
    </row>
    <row r="23" spans="2:31" ht="45">
      <c r="B23" s="100"/>
      <c r="C23" s="55" t="s">
        <v>3598</v>
      </c>
      <c r="D23" s="55" t="s">
        <v>3600</v>
      </c>
      <c r="E23" s="55" t="s">
        <v>3601</v>
      </c>
      <c r="F23" s="55" t="s">
        <v>3602</v>
      </c>
      <c r="G23" s="55" t="s">
        <v>3603</v>
      </c>
      <c r="H23" s="55" t="s">
        <v>3604</v>
      </c>
      <c r="I23" s="55" t="s">
        <v>3605</v>
      </c>
      <c r="J23" s="55" t="s">
        <v>3606</v>
      </c>
      <c r="K23" s="55" t="s">
        <v>3607</v>
      </c>
      <c r="L23" s="55" t="s">
        <v>3609</v>
      </c>
      <c r="M23" s="55" t="s">
        <v>3611</v>
      </c>
      <c r="N23" s="55" t="s">
        <v>3261</v>
      </c>
      <c r="O23" s="55" t="s">
        <v>3613</v>
      </c>
      <c r="P23" s="55" t="s">
        <v>3615</v>
      </c>
      <c r="Q23" s="55" t="s">
        <v>3617</v>
      </c>
      <c r="R23" s="55" t="s">
        <v>3619</v>
      </c>
      <c r="S23" s="55" t="s">
        <v>3621</v>
      </c>
      <c r="T23" s="55" t="s">
        <v>3623</v>
      </c>
      <c r="U23" s="55" t="s">
        <v>3625</v>
      </c>
      <c r="V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3610</v>
      </c>
      <c r="M24" s="42" t="s">
        <v>3519</v>
      </c>
      <c r="N24" s="42" t="s">
        <v>3612</v>
      </c>
      <c r="O24" s="42" t="s">
        <v>3614</v>
      </c>
      <c r="P24" s="42" t="s">
        <v>3616</v>
      </c>
      <c r="Q24" s="42" t="s">
        <v>3618</v>
      </c>
      <c r="R24" s="42" t="s">
        <v>3620</v>
      </c>
      <c r="S24" s="42" t="s">
        <v>3622</v>
      </c>
      <c r="T24" s="42" t="s">
        <v>3624</v>
      </c>
      <c r="U24" s="42" t="s">
        <v>3626</v>
      </c>
      <c r="V24" s="42" t="s">
        <v>3628</v>
      </c>
      <c r="AD24" s="13" t="str">
        <f>Show!$B$53&amp;"S.06.02.07.02 Rows {"&amp;COLUMN($B$1)&amp;"}"&amp;"@ForceFilingCode:true"</f>
        <v>!S.06.02.07.02 Rows {2}@ForceFilingCode:true</v>
      </c>
      <c r="AE24" s="13" t="str">
        <f>Show!$B$53&amp;"S.06.02.07.02 Columns {"&amp;COLUMN($B$1)&amp;"}"</f>
        <v>!S.06.02.07.02 Columns {2}</v>
      </c>
    </row>
    <row r="25" spans="2:31">
      <c r="B25" s="50"/>
      <c r="C25" s="51"/>
      <c r="D25" s="51"/>
      <c r="E25" s="51"/>
      <c r="F25" s="51"/>
      <c r="G25" s="51"/>
      <c r="H25" s="51"/>
      <c r="I25" s="51"/>
      <c r="J25" s="51"/>
      <c r="K25" s="51"/>
      <c r="L25" s="51"/>
      <c r="M25" s="51"/>
      <c r="N25" s="51"/>
      <c r="O25" s="51"/>
      <c r="P25" s="51"/>
      <c r="Q25" s="51"/>
      <c r="R25" s="51"/>
      <c r="S25" s="69"/>
      <c r="T25" s="60"/>
      <c r="U25" s="70"/>
      <c r="V25" s="54"/>
    </row>
    <row r="27" spans="2:31">
      <c r="AD27" s="13" t="str">
        <f>Show!$B$53&amp;Show!$B$53&amp;"S.06.02.07.02 Rows {"&amp;COLUMN($B$1)&amp;"}"</f>
        <v>!!S.06.02.07.02 Rows {2}</v>
      </c>
      <c r="AE27" s="13" t="str">
        <f>Show!$B$53&amp;Show!$B$53&amp;"S.06.02.07.02 Columns {"&amp;COLUMN($V$1)&amp;"}"</f>
        <v>!!S.06.02.07.02 Columns {22}</v>
      </c>
    </row>
  </sheetData>
  <sheetProtection sheet="1" objects="1" scenarios="1"/>
  <mergeCells count="10">
    <mergeCell ref="B17:L17"/>
    <mergeCell ref="B21:B23"/>
    <mergeCell ref="C21:V22"/>
    <mergeCell ref="B2:O2"/>
    <mergeCell ref="B5:L5"/>
    <mergeCell ref="B9:B11"/>
    <mergeCell ref="C9:C11"/>
    <mergeCell ref="D9:D11"/>
    <mergeCell ref="E9:E11"/>
    <mergeCell ref="F9:R10"/>
  </mergeCells>
  <dataValidations count="16">
    <dataValidation type="list" errorStyle="warning" allowBlank="1" showInputMessage="1" showErrorMessage="1" sqref="F13" xr:uid="{BD2ADE52-31BA-4A63-B683-008C7DDB977B}">
      <formula1>hier_PU_33</formula1>
    </dataValidation>
    <dataValidation type="list" errorStyle="warning" allowBlank="1" showInputMessage="1" showErrorMessage="1" sqref="G13" xr:uid="{846FEC73-E9C1-4613-B971-A30F388AB87B}">
      <formula1>hier_LB_4</formula1>
    </dataValidation>
    <dataValidation type="list" errorStyle="warning" allowBlank="1" showInputMessage="1" showErrorMessage="1" sqref="H13" xr:uid="{1ABA1D4B-61A3-471D-A3ED-910BAC4F1D4F}">
      <formula1>hier_CG_2</formula1>
    </dataValidation>
    <dataValidation type="list" errorStyle="warning" allowBlank="1" showInputMessage="1" showErrorMessage="1" sqref="I13" xr:uid="{AE448551-D35F-4C82-B468-3AB07ED35EDD}">
      <formula1>hier_GA_1</formula1>
    </dataValidation>
    <dataValidation type="list" errorStyle="warning" allowBlank="1" showInputMessage="1" showErrorMessage="1" sqref="M13" xr:uid="{9A74EDE4-81B8-43F3-99CD-B67802B42B77}">
      <formula1>hier_VM_23</formula1>
    </dataValidation>
    <dataValidation type="list" errorStyle="warning" allowBlank="1" showInputMessage="1" showErrorMessage="1" sqref="Q13" xr:uid="{05E2FDF6-4F34-477B-8273-19DB8E3966DD}">
      <formula1>hier_PU_24</formula1>
    </dataValidation>
    <dataValidation type="list" errorStyle="warning" allowBlank="1" showInputMessage="1" showErrorMessage="1" sqref="R13" xr:uid="{010BFDA3-92F4-4E35-9585-0A4E2E09A35D}">
      <formula1>hier_PU_25</formula1>
    </dataValidation>
    <dataValidation type="list" errorStyle="warning" allowBlank="1" showInputMessage="1" showErrorMessage="1" sqref="F25" xr:uid="{37086580-1BD8-4ACA-903A-423D2EB0F544}">
      <formula1>hier_NC_1</formula1>
    </dataValidation>
    <dataValidation type="list" errorStyle="warning" allowBlank="1" showInputMessage="1" showErrorMessage="1" sqref="I25" xr:uid="{AB032833-3841-4963-93BD-9069BCEBCE62}">
      <formula1>hier_GA_4</formula1>
    </dataValidation>
    <dataValidation type="list" errorStyle="warning" allowBlank="1" showInputMessage="1" showErrorMessage="1" sqref="J25" xr:uid="{93519DFD-E56D-4D3C-BF12-9FBD3C886FEF}">
      <formula1>hier_CU_1</formula1>
    </dataValidation>
    <dataValidation type="list" errorStyle="warning" allowBlank="1" showInputMessage="1" showErrorMessage="1" sqref="L25" xr:uid="{7AD122C3-98B9-44E5-830B-8F2D3CAFFDBC}">
      <formula1>hier_AP_23</formula1>
    </dataValidation>
    <dataValidation type="list" errorStyle="warning" allowBlank="1" showInputMessage="1" showErrorMessage="1" sqref="M25" xr:uid="{E1D08B0E-D570-495D-AD2A-E11D62945CE8}">
      <formula1>hier_MC_50</formula1>
    </dataValidation>
    <dataValidation type="list" errorStyle="warning" allowBlank="1" showInputMessage="1" showErrorMessage="1" sqref="N25" xr:uid="{7007F1F5-DE9E-4FD6-B302-85E71576A98D}">
      <formula1>hier_PU_39</formula1>
    </dataValidation>
    <dataValidation type="list" errorStyle="warning" allowBlank="1" showInputMessage="1" showErrorMessage="1" sqref="P25" xr:uid="{87EB74D4-5204-4E83-8116-A43A12CCD660}">
      <formula1>hier_SE_26</formula1>
    </dataValidation>
    <dataValidation type="list" errorStyle="warning" allowBlank="1" showInputMessage="1" showErrorMessage="1" sqref="Q25" xr:uid="{E9B5295B-D35B-4D7C-8781-5BF92155E50C}">
      <formula1>hier_BR_4</formula1>
    </dataValidation>
    <dataValidation type="date" operator="greaterThan" allowBlank="1" showInputMessage="1" showErrorMessage="1" errorTitle="Date value" error="This cell can only contain dates" sqref="V25" xr:uid="{4CE107AB-423C-4028-ABE5-F7D873E1D598}">
      <formula1>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1DEA-399F-46FD-BD17-1C6970BF158A}">
  <sheetPr codeName="Blad58"/>
  <dimension ref="B2:AI27"/>
  <sheetViews>
    <sheetView showGridLines="0" workbookViewId="0"/>
  </sheetViews>
  <sheetFormatPr defaultRowHeight="15"/>
  <cols>
    <col min="2" max="2" width="29.140625" bestFit="1" customWidth="1"/>
    <col min="3" max="21" width="40.7109375" customWidth="1"/>
    <col min="22" max="26" width="15.7109375" customWidth="1"/>
  </cols>
  <sheetData>
    <row r="2" spans="2:35" ht="23.25">
      <c r="B2" s="95" t="s">
        <v>590</v>
      </c>
      <c r="C2" s="96"/>
      <c r="D2" s="96"/>
      <c r="E2" s="96"/>
      <c r="F2" s="96"/>
      <c r="G2" s="96"/>
      <c r="H2" s="96"/>
      <c r="I2" s="96"/>
      <c r="J2" s="96"/>
      <c r="K2" s="96"/>
      <c r="L2" s="96"/>
      <c r="M2" s="96"/>
      <c r="N2" s="96"/>
      <c r="O2" s="96"/>
    </row>
    <row r="5" spans="2:35" ht="18.75">
      <c r="B5" s="97" t="s">
        <v>3638</v>
      </c>
      <c r="C5" s="96"/>
      <c r="D5" s="96"/>
      <c r="E5" s="96"/>
      <c r="F5" s="96"/>
      <c r="G5" s="96"/>
      <c r="H5" s="96"/>
      <c r="I5" s="96"/>
      <c r="J5" s="96"/>
      <c r="K5" s="96"/>
      <c r="L5" s="96"/>
    </row>
    <row r="9" spans="2:35">
      <c r="B9" s="98" t="s">
        <v>3374</v>
      </c>
      <c r="C9" s="98" t="s">
        <v>3582</v>
      </c>
      <c r="D9" s="98" t="s">
        <v>3322</v>
      </c>
      <c r="E9" s="98" t="s">
        <v>3583</v>
      </c>
      <c r="F9" s="101" t="s">
        <v>2877</v>
      </c>
      <c r="G9" s="102"/>
      <c r="H9" s="102"/>
      <c r="I9" s="102"/>
      <c r="J9" s="102"/>
      <c r="K9" s="102"/>
      <c r="L9" s="102"/>
      <c r="M9" s="102"/>
      <c r="N9" s="102"/>
      <c r="O9" s="102"/>
      <c r="P9" s="102"/>
      <c r="Q9" s="103"/>
    </row>
    <row r="10" spans="2:35">
      <c r="B10" s="99"/>
      <c r="C10" s="99"/>
      <c r="D10" s="99"/>
      <c r="E10" s="99"/>
      <c r="F10" s="104"/>
      <c r="G10" s="105"/>
      <c r="H10" s="105"/>
      <c r="I10" s="105"/>
      <c r="J10" s="105"/>
      <c r="K10" s="105"/>
      <c r="L10" s="105"/>
      <c r="M10" s="105"/>
      <c r="N10" s="105"/>
      <c r="O10" s="105"/>
      <c r="P10" s="105"/>
      <c r="Q10" s="106"/>
    </row>
    <row r="11" spans="2:35" ht="30">
      <c r="B11" s="100"/>
      <c r="C11" s="100"/>
      <c r="D11" s="100"/>
      <c r="E11" s="100"/>
      <c r="F11" s="55" t="s">
        <v>3584</v>
      </c>
      <c r="G11" s="55" t="s">
        <v>3585</v>
      </c>
      <c r="H11" s="55" t="s">
        <v>3586</v>
      </c>
      <c r="I11" s="55" t="s">
        <v>3587</v>
      </c>
      <c r="J11" s="55" t="s">
        <v>3588</v>
      </c>
      <c r="K11" s="55" t="s">
        <v>3589</v>
      </c>
      <c r="L11" s="55" t="s">
        <v>3590</v>
      </c>
      <c r="M11" s="55" t="s">
        <v>3639</v>
      </c>
      <c r="N11" s="55" t="s">
        <v>3591</v>
      </c>
      <c r="O11" s="55" t="s">
        <v>3592</v>
      </c>
      <c r="P11" s="55" t="s">
        <v>3593</v>
      </c>
      <c r="Q11" s="55" t="s">
        <v>3595</v>
      </c>
    </row>
    <row r="12" spans="2:35">
      <c r="B12" s="42" t="s">
        <v>3581</v>
      </c>
      <c r="C12" s="42" t="s">
        <v>3223</v>
      </c>
      <c r="D12" s="42" t="s">
        <v>3233</v>
      </c>
      <c r="E12" s="42" t="s">
        <v>3234</v>
      </c>
      <c r="F12" s="42" t="s">
        <v>3231</v>
      </c>
      <c r="G12" s="42" t="s">
        <v>3236</v>
      </c>
      <c r="H12" s="42" t="s">
        <v>3239</v>
      </c>
      <c r="I12" s="42" t="s">
        <v>3241</v>
      </c>
      <c r="J12" s="42" t="s">
        <v>3243</v>
      </c>
      <c r="K12" s="42" t="s">
        <v>3375</v>
      </c>
      <c r="L12" s="42" t="s">
        <v>3475</v>
      </c>
      <c r="M12" s="42" t="s">
        <v>3640</v>
      </c>
      <c r="N12" s="42" t="s">
        <v>3477</v>
      </c>
      <c r="O12" s="42" t="s">
        <v>3479</v>
      </c>
      <c r="P12" s="42" t="s">
        <v>3594</v>
      </c>
      <c r="Q12" s="42" t="s">
        <v>3596</v>
      </c>
      <c r="AH12" s="13" t="str">
        <f>Show!$B$54&amp;"SE.06.02.16.01 Rows {"&amp;COLUMN($B$1)&amp;"}"&amp;"@ForceFilingCode:true"</f>
        <v>!SE.06.02.16.01 Rows {2}@ForceFilingCode:true</v>
      </c>
      <c r="AI12" s="13" t="str">
        <f>Show!$B$54&amp;"SE.06.02.16.01 Columns {"&amp;COLUMN($B$1)&amp;"}"</f>
        <v>!SE.06.02.16.01 Columns {2}</v>
      </c>
    </row>
    <row r="13" spans="2:35">
      <c r="B13" s="50"/>
      <c r="C13" s="50"/>
      <c r="D13" s="50"/>
      <c r="E13" s="50"/>
      <c r="F13" s="51"/>
      <c r="G13" s="51"/>
      <c r="H13" s="51"/>
      <c r="I13" s="51"/>
      <c r="J13" s="51"/>
      <c r="K13" s="69"/>
      <c r="L13" s="60"/>
      <c r="M13" s="60"/>
      <c r="N13" s="51"/>
      <c r="O13" s="60"/>
      <c r="P13" s="60"/>
      <c r="Q13" s="60"/>
    </row>
    <row r="15" spans="2:35">
      <c r="AH15" s="13" t="str">
        <f>Show!$B$54&amp;Show!$B$54&amp;"SE.06.02.16.01 Rows {"&amp;COLUMN($B$1)&amp;"}"</f>
        <v>!!SE.06.02.16.01 Rows {2}</v>
      </c>
      <c r="AI15" s="13" t="str">
        <f>Show!$B$54&amp;Show!$B$54&amp;"SE.06.02.16.01 Columns {"&amp;COLUMN($Q$1)&amp;"}"</f>
        <v>!!SE.06.02.16.01 Columns {17}</v>
      </c>
    </row>
    <row r="17" spans="2:35" ht="18.75">
      <c r="B17" s="97" t="s">
        <v>3641</v>
      </c>
      <c r="C17" s="96"/>
      <c r="D17" s="96"/>
      <c r="E17" s="96"/>
      <c r="F17" s="96"/>
      <c r="G17" s="96"/>
      <c r="H17" s="96"/>
      <c r="I17" s="96"/>
      <c r="J17" s="96"/>
      <c r="K17" s="96"/>
      <c r="L17" s="96"/>
    </row>
    <row r="21" spans="2:35">
      <c r="B21" s="98" t="s">
        <v>3582</v>
      </c>
      <c r="C21" s="101" t="s">
        <v>2877</v>
      </c>
      <c r="D21" s="102"/>
      <c r="E21" s="102"/>
      <c r="F21" s="102"/>
      <c r="G21" s="102"/>
      <c r="H21" s="102"/>
      <c r="I21" s="102"/>
      <c r="J21" s="102"/>
      <c r="K21" s="102"/>
      <c r="L21" s="102"/>
      <c r="M21" s="102"/>
      <c r="N21" s="102"/>
      <c r="O21" s="102"/>
      <c r="P21" s="102"/>
      <c r="Q21" s="102"/>
      <c r="R21" s="102"/>
      <c r="S21" s="102"/>
      <c r="T21" s="102"/>
      <c r="U21" s="102"/>
      <c r="V21" s="102"/>
      <c r="W21" s="102"/>
      <c r="X21" s="102"/>
      <c r="Y21" s="102"/>
      <c r="Z21" s="103"/>
    </row>
    <row r="22" spans="2:35">
      <c r="B22" s="99"/>
      <c r="C22" s="104"/>
      <c r="D22" s="105"/>
      <c r="E22" s="105"/>
      <c r="F22" s="105"/>
      <c r="G22" s="105"/>
      <c r="H22" s="105"/>
      <c r="I22" s="105"/>
      <c r="J22" s="105"/>
      <c r="K22" s="105"/>
      <c r="L22" s="105"/>
      <c r="M22" s="105"/>
      <c r="N22" s="105"/>
      <c r="O22" s="105"/>
      <c r="P22" s="105"/>
      <c r="Q22" s="105"/>
      <c r="R22" s="105"/>
      <c r="S22" s="105"/>
      <c r="T22" s="105"/>
      <c r="U22" s="105"/>
      <c r="V22" s="105"/>
      <c r="W22" s="105"/>
      <c r="X22" s="105"/>
      <c r="Y22" s="105"/>
      <c r="Z22" s="106"/>
    </row>
    <row r="23" spans="2:35" ht="45">
      <c r="B23" s="100"/>
      <c r="C23" s="55" t="s">
        <v>3598</v>
      </c>
      <c r="D23" s="55" t="s">
        <v>3600</v>
      </c>
      <c r="E23" s="55" t="s">
        <v>3601</v>
      </c>
      <c r="F23" s="55" t="s">
        <v>3602</v>
      </c>
      <c r="G23" s="55" t="s">
        <v>3642</v>
      </c>
      <c r="H23" s="55" t="s">
        <v>3603</v>
      </c>
      <c r="I23" s="55" t="s">
        <v>3604</v>
      </c>
      <c r="J23" s="55" t="s">
        <v>3605</v>
      </c>
      <c r="K23" s="55" t="s">
        <v>3644</v>
      </c>
      <c r="L23" s="55" t="s">
        <v>3606</v>
      </c>
      <c r="M23" s="55" t="s">
        <v>3607</v>
      </c>
      <c r="N23" s="55" t="s">
        <v>3646</v>
      </c>
      <c r="O23" s="55" t="s">
        <v>3609</v>
      </c>
      <c r="P23" s="55" t="s">
        <v>3611</v>
      </c>
      <c r="Q23" s="55" t="s">
        <v>3261</v>
      </c>
      <c r="R23" s="55" t="s">
        <v>3613</v>
      </c>
      <c r="S23" s="55" t="s">
        <v>3615</v>
      </c>
      <c r="T23" s="55" t="s">
        <v>3617</v>
      </c>
      <c r="U23" s="55" t="s">
        <v>3619</v>
      </c>
      <c r="V23" s="55" t="s">
        <v>3621</v>
      </c>
      <c r="W23" s="55" t="s">
        <v>3623</v>
      </c>
      <c r="X23" s="55" t="s">
        <v>3625</v>
      </c>
      <c r="Y23" s="55" t="s">
        <v>3648</v>
      </c>
      <c r="Z23" s="55" t="s">
        <v>3627</v>
      </c>
    </row>
    <row r="24" spans="2:35">
      <c r="B24" s="42" t="s">
        <v>3223</v>
      </c>
      <c r="C24" s="42" t="s">
        <v>3599</v>
      </c>
      <c r="D24" s="42" t="s">
        <v>3481</v>
      </c>
      <c r="E24" s="42" t="s">
        <v>3508</v>
      </c>
      <c r="F24" s="42" t="s">
        <v>3511</v>
      </c>
      <c r="G24" s="42" t="s">
        <v>3643</v>
      </c>
      <c r="H24" s="42" t="s">
        <v>3513</v>
      </c>
      <c r="I24" s="42" t="s">
        <v>3514</v>
      </c>
      <c r="J24" s="42" t="s">
        <v>3517</v>
      </c>
      <c r="K24" s="42" t="s">
        <v>3645</v>
      </c>
      <c r="L24" s="42" t="s">
        <v>3518</v>
      </c>
      <c r="M24" s="42" t="s">
        <v>3608</v>
      </c>
      <c r="N24" s="42" t="s">
        <v>3647</v>
      </c>
      <c r="O24" s="42" t="s">
        <v>3610</v>
      </c>
      <c r="P24" s="42" t="s">
        <v>3519</v>
      </c>
      <c r="Q24" s="42" t="s">
        <v>3612</v>
      </c>
      <c r="R24" s="42" t="s">
        <v>3614</v>
      </c>
      <c r="S24" s="42" t="s">
        <v>3616</v>
      </c>
      <c r="T24" s="42" t="s">
        <v>3618</v>
      </c>
      <c r="U24" s="42" t="s">
        <v>3620</v>
      </c>
      <c r="V24" s="42" t="s">
        <v>3622</v>
      </c>
      <c r="W24" s="42" t="s">
        <v>3624</v>
      </c>
      <c r="X24" s="42" t="s">
        <v>3626</v>
      </c>
      <c r="Y24" s="42" t="s">
        <v>3649</v>
      </c>
      <c r="Z24" s="42" t="s">
        <v>3628</v>
      </c>
      <c r="AH24" s="13" t="str">
        <f>Show!$B$54&amp;"SE.06.02.16.02 Rows {"&amp;COLUMN($B$1)&amp;"}"&amp;"@ForceFilingCode:true"</f>
        <v>!SE.06.02.16.02 Rows {2}@ForceFilingCode:true</v>
      </c>
      <c r="AI24" s="13" t="str">
        <f>Show!$B$54&amp;"SE.06.02.16.02 Columns {"&amp;COLUMN($B$1)&amp;"}"</f>
        <v>!SE.06.02.16.02 Columns {2}</v>
      </c>
    </row>
    <row r="25" spans="2:35">
      <c r="B25" s="50"/>
      <c r="C25" s="51"/>
      <c r="D25" s="51"/>
      <c r="E25" s="51"/>
      <c r="F25" s="51"/>
      <c r="G25" s="51"/>
      <c r="H25" s="51"/>
      <c r="I25" s="51"/>
      <c r="J25" s="51"/>
      <c r="K25" s="51"/>
      <c r="L25" s="51"/>
      <c r="M25" s="51"/>
      <c r="N25" s="51"/>
      <c r="O25" s="51"/>
      <c r="P25" s="51"/>
      <c r="Q25" s="51"/>
      <c r="R25" s="51"/>
      <c r="S25" s="51"/>
      <c r="T25" s="51"/>
      <c r="U25" s="51"/>
      <c r="V25" s="69"/>
      <c r="W25" s="60"/>
      <c r="X25" s="70"/>
      <c r="Y25" s="54"/>
      <c r="Z25" s="54"/>
    </row>
    <row r="27" spans="2:35">
      <c r="AH27" s="13" t="str">
        <f>Show!$B$54&amp;Show!$B$54&amp;"SE.06.02.16.02 Rows {"&amp;COLUMN($B$1)&amp;"}"</f>
        <v>!!SE.06.02.16.02 Rows {2}</v>
      </c>
      <c r="AI27" s="13" t="str">
        <f>Show!$B$54&amp;Show!$B$54&amp;"SE.06.02.16.02 Columns {"&amp;COLUMN($Z$1)&amp;"}"</f>
        <v>!!SE.06.02.16.02 Columns {26}</v>
      </c>
    </row>
  </sheetData>
  <sheetProtection sheet="1" objects="1" scenarios="1"/>
  <mergeCells count="10">
    <mergeCell ref="B17:L17"/>
    <mergeCell ref="B21:B23"/>
    <mergeCell ref="C21:Z22"/>
    <mergeCell ref="B2:O2"/>
    <mergeCell ref="B5:L5"/>
    <mergeCell ref="B9:B11"/>
    <mergeCell ref="C9:C11"/>
    <mergeCell ref="D9:D11"/>
    <mergeCell ref="E9:E11"/>
    <mergeCell ref="F9:Q10"/>
  </mergeCells>
  <dataValidations count="17">
    <dataValidation type="list" errorStyle="warning" allowBlank="1" showInputMessage="1" showErrorMessage="1" sqref="F13" xr:uid="{92F404BB-98C2-4055-9C50-CF274DE18E79}">
      <formula1>hier_PU_33</formula1>
    </dataValidation>
    <dataValidation type="list" errorStyle="warning" allowBlank="1" showInputMessage="1" showErrorMessage="1" sqref="G13" xr:uid="{A440F800-1273-4E2C-BA81-9547A78C04B5}">
      <formula1>hier_LB_4</formula1>
    </dataValidation>
    <dataValidation type="list" errorStyle="warning" allowBlank="1" showInputMessage="1" showErrorMessage="1" sqref="H13" xr:uid="{ED318C6A-0E6B-43A4-B58A-E4F6B8F129D2}">
      <formula1>hier_CG_2</formula1>
    </dataValidation>
    <dataValidation type="list" errorStyle="warning" allowBlank="1" showInputMessage="1" showErrorMessage="1" sqref="I13" xr:uid="{B22E74F8-A584-4EDC-BADF-20A250FF5761}">
      <formula1>hier_GA_1</formula1>
    </dataValidation>
    <dataValidation type="list" errorStyle="warning" allowBlank="1" showInputMessage="1" showErrorMessage="1" sqref="N13" xr:uid="{1355AE90-DD4E-42A0-8669-6A6F942096FC}">
      <formula1>hier_VM_23</formula1>
    </dataValidation>
    <dataValidation type="list" errorStyle="warning" allowBlank="1" showInputMessage="1" showErrorMessage="1" sqref="F25" xr:uid="{B238698E-DBFD-4066-AECC-F6EEFDFBDE03}">
      <formula1>hier_NC_1</formula1>
    </dataValidation>
    <dataValidation type="list" errorStyle="warning" allowBlank="1" showInputMessage="1" showErrorMessage="1" sqref="G25" xr:uid="{E0D10F39-FE56-4F94-85FA-06914E180ACF}">
      <formula1>hier_SE_18</formula1>
    </dataValidation>
    <dataValidation type="list" errorStyle="warning" allowBlank="1" showInputMessage="1" showErrorMessage="1" sqref="J25" xr:uid="{F7EC70BF-82B1-4CC5-A85F-2D76017ED1C6}">
      <formula1>hier_GA_4</formula1>
    </dataValidation>
    <dataValidation type="list" errorStyle="warning" allowBlank="1" showInputMessage="1" showErrorMessage="1" sqref="K25" xr:uid="{A4FE14BE-F623-4060-88B3-3949270BC5A5}">
      <formula1>hier_GA_18</formula1>
    </dataValidation>
    <dataValidation type="list" errorStyle="warning" allowBlank="1" showInputMessage="1" showErrorMessage="1" sqref="L25" xr:uid="{1C837DFA-1099-42F8-B4B8-9A514F1728A5}">
      <formula1>hier_CU_1</formula1>
    </dataValidation>
    <dataValidation type="list" errorStyle="warning" allowBlank="1" showInputMessage="1" showErrorMessage="1" sqref="N25" xr:uid="{C31E0C23-0106-4AC9-888C-50FAA8094E5C}">
      <formula1>hier_MC_48</formula1>
    </dataValidation>
    <dataValidation type="list" errorStyle="warning" allowBlank="1" showInputMessage="1" showErrorMessage="1" sqref="O25" xr:uid="{345CAE5B-01C3-48BF-BA8D-45589A25B355}">
      <formula1>hier_AP_23</formula1>
    </dataValidation>
    <dataValidation type="list" errorStyle="warning" allowBlank="1" showInputMessage="1" showErrorMessage="1" sqref="P25" xr:uid="{F2DCE02E-6E2E-498D-A889-9D9E853F955E}">
      <formula1>hier_MC_50</formula1>
    </dataValidation>
    <dataValidation type="list" errorStyle="warning" allowBlank="1" showInputMessage="1" showErrorMessage="1" sqref="Q25" xr:uid="{0AFB1928-5409-4B43-9AE4-D67A2D6964F4}">
      <formula1>hier_PU_39</formula1>
    </dataValidation>
    <dataValidation type="list" errorStyle="warning" allowBlank="1" showInputMessage="1" showErrorMessage="1" sqref="S25" xr:uid="{6A0E74B7-FD6F-4A4A-BFA4-C788AE60D369}">
      <formula1>hier_SE_26</formula1>
    </dataValidation>
    <dataValidation type="list" errorStyle="warning" allowBlank="1" showInputMessage="1" showErrorMessage="1" sqref="T25" xr:uid="{249DC3DA-6151-400E-94EC-B7BBB5398CB1}">
      <formula1>hier_BR_4</formula1>
    </dataValidation>
    <dataValidation type="date" operator="greaterThan" allowBlank="1" showInputMessage="1" showErrorMessage="1" errorTitle="Date value" error="This cell can only contain dates" sqref="Y25:Z25" xr:uid="{CCBDBFBF-6FAA-4657-9E40-9E44B2DCF952}">
      <formula1>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AE9D-72A2-47AD-86A6-26841E0743F9}">
  <sheetPr codeName="Blad59"/>
  <dimension ref="B2:AI27"/>
  <sheetViews>
    <sheetView showGridLines="0" workbookViewId="0"/>
  </sheetViews>
  <sheetFormatPr defaultRowHeight="15"/>
  <cols>
    <col min="2" max="2" width="29.140625" bestFit="1" customWidth="1"/>
    <col min="3" max="21" width="40.7109375" customWidth="1"/>
    <col min="22" max="26" width="15.7109375" customWidth="1"/>
  </cols>
  <sheetData>
    <row r="2" spans="2:35" ht="23.25">
      <c r="B2" s="95" t="s">
        <v>592</v>
      </c>
      <c r="C2" s="96"/>
      <c r="D2" s="96"/>
      <c r="E2" s="96"/>
      <c r="F2" s="96"/>
      <c r="G2" s="96"/>
      <c r="H2" s="96"/>
      <c r="I2" s="96"/>
      <c r="J2" s="96"/>
      <c r="K2" s="96"/>
      <c r="L2" s="96"/>
      <c r="M2" s="96"/>
      <c r="N2" s="96"/>
      <c r="O2" s="96"/>
    </row>
    <row r="5" spans="2:35" ht="18.75">
      <c r="B5" s="97" t="s">
        <v>3650</v>
      </c>
      <c r="C5" s="96"/>
      <c r="D5" s="96"/>
      <c r="E5" s="96"/>
      <c r="F5" s="96"/>
      <c r="G5" s="96"/>
      <c r="H5" s="96"/>
      <c r="I5" s="96"/>
      <c r="J5" s="96"/>
      <c r="K5" s="96"/>
      <c r="L5" s="96"/>
    </row>
    <row r="9" spans="2:35">
      <c r="B9" s="98" t="s">
        <v>3374</v>
      </c>
      <c r="C9" s="98" t="s">
        <v>3582</v>
      </c>
      <c r="D9" s="98" t="s">
        <v>3322</v>
      </c>
      <c r="E9" s="98" t="s">
        <v>3583</v>
      </c>
      <c r="F9" s="101" t="s">
        <v>2877</v>
      </c>
      <c r="G9" s="102"/>
      <c r="H9" s="102"/>
      <c r="I9" s="102"/>
      <c r="J9" s="102"/>
      <c r="K9" s="102"/>
      <c r="L9" s="102"/>
      <c r="M9" s="102"/>
      <c r="N9" s="102"/>
      <c r="O9" s="102"/>
      <c r="P9" s="102"/>
      <c r="Q9" s="102"/>
      <c r="R9" s="102"/>
      <c r="S9" s="103"/>
    </row>
    <row r="10" spans="2:35">
      <c r="B10" s="99"/>
      <c r="C10" s="99"/>
      <c r="D10" s="99"/>
      <c r="E10" s="99"/>
      <c r="F10" s="104"/>
      <c r="G10" s="105"/>
      <c r="H10" s="105"/>
      <c r="I10" s="105"/>
      <c r="J10" s="105"/>
      <c r="K10" s="105"/>
      <c r="L10" s="105"/>
      <c r="M10" s="105"/>
      <c r="N10" s="105"/>
      <c r="O10" s="105"/>
      <c r="P10" s="105"/>
      <c r="Q10" s="105"/>
      <c r="R10" s="105"/>
      <c r="S10" s="106"/>
    </row>
    <row r="11" spans="2:35" ht="30">
      <c r="B11" s="100"/>
      <c r="C11" s="100"/>
      <c r="D11" s="100"/>
      <c r="E11" s="100"/>
      <c r="F11" s="55" t="s">
        <v>3584</v>
      </c>
      <c r="G11" s="55" t="s">
        <v>3585</v>
      </c>
      <c r="H11" s="55" t="s">
        <v>3586</v>
      </c>
      <c r="I11" s="55" t="s">
        <v>3587</v>
      </c>
      <c r="J11" s="55" t="s">
        <v>3588</v>
      </c>
      <c r="K11" s="55" t="s">
        <v>3589</v>
      </c>
      <c r="L11" s="55" t="s">
        <v>3590</v>
      </c>
      <c r="M11" s="55" t="s">
        <v>3639</v>
      </c>
      <c r="N11" s="55" t="s">
        <v>3591</v>
      </c>
      <c r="O11" s="55" t="s">
        <v>3592</v>
      </c>
      <c r="P11" s="55" t="s">
        <v>3593</v>
      </c>
      <c r="Q11" s="55" t="s">
        <v>3595</v>
      </c>
      <c r="R11" s="55" t="s">
        <v>3633</v>
      </c>
      <c r="S11" s="55" t="s">
        <v>3635</v>
      </c>
    </row>
    <row r="12" spans="2:35">
      <c r="B12" s="42" t="s">
        <v>3581</v>
      </c>
      <c r="C12" s="42" t="s">
        <v>3223</v>
      </c>
      <c r="D12" s="42" t="s">
        <v>3233</v>
      </c>
      <c r="E12" s="42" t="s">
        <v>3234</v>
      </c>
      <c r="F12" s="42" t="s">
        <v>3231</v>
      </c>
      <c r="G12" s="42" t="s">
        <v>3236</v>
      </c>
      <c r="H12" s="42" t="s">
        <v>3239</v>
      </c>
      <c r="I12" s="42" t="s">
        <v>3241</v>
      </c>
      <c r="J12" s="42" t="s">
        <v>3243</v>
      </c>
      <c r="K12" s="42" t="s">
        <v>3375</v>
      </c>
      <c r="L12" s="42" t="s">
        <v>3475</v>
      </c>
      <c r="M12" s="42" t="s">
        <v>3640</v>
      </c>
      <c r="N12" s="42" t="s">
        <v>3477</v>
      </c>
      <c r="O12" s="42" t="s">
        <v>3479</v>
      </c>
      <c r="P12" s="42" t="s">
        <v>3594</v>
      </c>
      <c r="Q12" s="42" t="s">
        <v>3596</v>
      </c>
      <c r="R12" s="42" t="s">
        <v>3634</v>
      </c>
      <c r="S12" s="42" t="s">
        <v>3636</v>
      </c>
      <c r="AH12" s="13" t="str">
        <f>Show!$B$55&amp;"SE.06.02.18.01 Rows {"&amp;COLUMN($B$1)&amp;"}"&amp;"@ForceFilingCode:true"</f>
        <v>!SE.06.02.18.01 Rows {2}@ForceFilingCode:true</v>
      </c>
      <c r="AI12" s="13" t="str">
        <f>Show!$B$55&amp;"SE.06.02.18.01 Columns {"&amp;COLUMN($B$1)&amp;"}"</f>
        <v>!SE.06.02.18.01 Columns {2}</v>
      </c>
    </row>
    <row r="13" spans="2:35">
      <c r="B13" s="50"/>
      <c r="C13" s="50"/>
      <c r="D13" s="50"/>
      <c r="E13" s="50"/>
      <c r="F13" s="51"/>
      <c r="G13" s="51"/>
      <c r="H13" s="51"/>
      <c r="I13" s="51"/>
      <c r="J13" s="51"/>
      <c r="K13" s="69"/>
      <c r="L13" s="60"/>
      <c r="M13" s="60"/>
      <c r="N13" s="51"/>
      <c r="O13" s="60"/>
      <c r="P13" s="60"/>
      <c r="Q13" s="60"/>
      <c r="R13" s="51"/>
      <c r="S13" s="51"/>
    </row>
    <row r="15" spans="2:35">
      <c r="AH15" s="13" t="str">
        <f>Show!$B$55&amp;Show!$B$55&amp;"SE.06.02.18.01 Rows {"&amp;COLUMN($B$1)&amp;"}"</f>
        <v>!!SE.06.02.18.01 Rows {2}</v>
      </c>
      <c r="AI15" s="13" t="str">
        <f>Show!$B$55&amp;Show!$B$55&amp;"SE.06.02.18.01 Columns {"&amp;COLUMN($S$1)&amp;"}"</f>
        <v>!!SE.06.02.18.01 Columns {19}</v>
      </c>
    </row>
    <row r="17" spans="2:35" ht="18.75">
      <c r="B17" s="97" t="s">
        <v>3651</v>
      </c>
      <c r="C17" s="96"/>
      <c r="D17" s="96"/>
      <c r="E17" s="96"/>
      <c r="F17" s="96"/>
      <c r="G17" s="96"/>
      <c r="H17" s="96"/>
      <c r="I17" s="96"/>
      <c r="J17" s="96"/>
      <c r="K17" s="96"/>
      <c r="L17" s="96"/>
    </row>
    <row r="21" spans="2:35">
      <c r="B21" s="98" t="s">
        <v>3582</v>
      </c>
      <c r="C21" s="101" t="s">
        <v>2877</v>
      </c>
      <c r="D21" s="102"/>
      <c r="E21" s="102"/>
      <c r="F21" s="102"/>
      <c r="G21" s="102"/>
      <c r="H21" s="102"/>
      <c r="I21" s="102"/>
      <c r="J21" s="102"/>
      <c r="K21" s="102"/>
      <c r="L21" s="102"/>
      <c r="M21" s="102"/>
      <c r="N21" s="102"/>
      <c r="O21" s="102"/>
      <c r="P21" s="102"/>
      <c r="Q21" s="102"/>
      <c r="R21" s="102"/>
      <c r="S21" s="102"/>
      <c r="T21" s="102"/>
      <c r="U21" s="102"/>
      <c r="V21" s="102"/>
      <c r="W21" s="102"/>
      <c r="X21" s="102"/>
      <c r="Y21" s="102"/>
      <c r="Z21" s="103"/>
    </row>
    <row r="22" spans="2:35">
      <c r="B22" s="99"/>
      <c r="C22" s="104"/>
      <c r="D22" s="105"/>
      <c r="E22" s="105"/>
      <c r="F22" s="105"/>
      <c r="G22" s="105"/>
      <c r="H22" s="105"/>
      <c r="I22" s="105"/>
      <c r="J22" s="105"/>
      <c r="K22" s="105"/>
      <c r="L22" s="105"/>
      <c r="M22" s="105"/>
      <c r="N22" s="105"/>
      <c r="O22" s="105"/>
      <c r="P22" s="105"/>
      <c r="Q22" s="105"/>
      <c r="R22" s="105"/>
      <c r="S22" s="105"/>
      <c r="T22" s="105"/>
      <c r="U22" s="105"/>
      <c r="V22" s="105"/>
      <c r="W22" s="105"/>
      <c r="X22" s="105"/>
      <c r="Y22" s="105"/>
      <c r="Z22" s="106"/>
    </row>
    <row r="23" spans="2:35" ht="45">
      <c r="B23" s="100"/>
      <c r="C23" s="55" t="s">
        <v>3598</v>
      </c>
      <c r="D23" s="55" t="s">
        <v>3600</v>
      </c>
      <c r="E23" s="55" t="s">
        <v>3601</v>
      </c>
      <c r="F23" s="55" t="s">
        <v>3602</v>
      </c>
      <c r="G23" s="55" t="s">
        <v>3642</v>
      </c>
      <c r="H23" s="55" t="s">
        <v>3603</v>
      </c>
      <c r="I23" s="55" t="s">
        <v>3604</v>
      </c>
      <c r="J23" s="55" t="s">
        <v>3605</v>
      </c>
      <c r="K23" s="55" t="s">
        <v>3644</v>
      </c>
      <c r="L23" s="55" t="s">
        <v>3606</v>
      </c>
      <c r="M23" s="55" t="s">
        <v>3607</v>
      </c>
      <c r="N23" s="55" t="s">
        <v>3646</v>
      </c>
      <c r="O23" s="55" t="s">
        <v>3609</v>
      </c>
      <c r="P23" s="55" t="s">
        <v>3611</v>
      </c>
      <c r="Q23" s="55" t="s">
        <v>3261</v>
      </c>
      <c r="R23" s="55" t="s">
        <v>3613</v>
      </c>
      <c r="S23" s="55" t="s">
        <v>3615</v>
      </c>
      <c r="T23" s="55" t="s">
        <v>3617</v>
      </c>
      <c r="U23" s="55" t="s">
        <v>3619</v>
      </c>
      <c r="V23" s="55" t="s">
        <v>3621</v>
      </c>
      <c r="W23" s="55" t="s">
        <v>3623</v>
      </c>
      <c r="X23" s="55" t="s">
        <v>3625</v>
      </c>
      <c r="Y23" s="55" t="s">
        <v>3648</v>
      </c>
      <c r="Z23" s="55" t="s">
        <v>3627</v>
      </c>
    </row>
    <row r="24" spans="2:35">
      <c r="B24" s="42" t="s">
        <v>3223</v>
      </c>
      <c r="C24" s="42" t="s">
        <v>3599</v>
      </c>
      <c r="D24" s="42" t="s">
        <v>3481</v>
      </c>
      <c r="E24" s="42" t="s">
        <v>3508</v>
      </c>
      <c r="F24" s="42" t="s">
        <v>3511</v>
      </c>
      <c r="G24" s="42" t="s">
        <v>3643</v>
      </c>
      <c r="H24" s="42" t="s">
        <v>3513</v>
      </c>
      <c r="I24" s="42" t="s">
        <v>3514</v>
      </c>
      <c r="J24" s="42" t="s">
        <v>3517</v>
      </c>
      <c r="K24" s="42" t="s">
        <v>3645</v>
      </c>
      <c r="L24" s="42" t="s">
        <v>3518</v>
      </c>
      <c r="M24" s="42" t="s">
        <v>3608</v>
      </c>
      <c r="N24" s="42" t="s">
        <v>3647</v>
      </c>
      <c r="O24" s="42" t="s">
        <v>3610</v>
      </c>
      <c r="P24" s="42" t="s">
        <v>3519</v>
      </c>
      <c r="Q24" s="42" t="s">
        <v>3612</v>
      </c>
      <c r="R24" s="42" t="s">
        <v>3614</v>
      </c>
      <c r="S24" s="42" t="s">
        <v>3616</v>
      </c>
      <c r="T24" s="42" t="s">
        <v>3618</v>
      </c>
      <c r="U24" s="42" t="s">
        <v>3620</v>
      </c>
      <c r="V24" s="42" t="s">
        <v>3622</v>
      </c>
      <c r="W24" s="42" t="s">
        <v>3624</v>
      </c>
      <c r="X24" s="42" t="s">
        <v>3626</v>
      </c>
      <c r="Y24" s="42" t="s">
        <v>3649</v>
      </c>
      <c r="Z24" s="42" t="s">
        <v>3628</v>
      </c>
      <c r="AH24" s="13" t="str">
        <f>Show!$B$55&amp;"SE.06.02.18.02 Rows {"&amp;COLUMN($B$1)&amp;"}"&amp;"@ForceFilingCode:true"</f>
        <v>!SE.06.02.18.02 Rows {2}@ForceFilingCode:true</v>
      </c>
      <c r="AI24" s="13" t="str">
        <f>Show!$B$55&amp;"SE.06.02.18.02 Columns {"&amp;COLUMN($B$1)&amp;"}"</f>
        <v>!SE.06.02.18.02 Columns {2}</v>
      </c>
    </row>
    <row r="25" spans="2:35">
      <c r="B25" s="50"/>
      <c r="C25" s="51"/>
      <c r="D25" s="51"/>
      <c r="E25" s="51"/>
      <c r="F25" s="51"/>
      <c r="G25" s="51"/>
      <c r="H25" s="51"/>
      <c r="I25" s="51"/>
      <c r="J25" s="51"/>
      <c r="K25" s="51"/>
      <c r="L25" s="51"/>
      <c r="M25" s="51"/>
      <c r="N25" s="51"/>
      <c r="O25" s="51"/>
      <c r="P25" s="51"/>
      <c r="Q25" s="51"/>
      <c r="R25" s="51"/>
      <c r="S25" s="51"/>
      <c r="T25" s="51"/>
      <c r="U25" s="51"/>
      <c r="V25" s="69"/>
      <c r="W25" s="60"/>
      <c r="X25" s="70"/>
      <c r="Y25" s="54"/>
      <c r="Z25" s="54"/>
    </row>
    <row r="27" spans="2:35">
      <c r="AH27" s="13" t="str">
        <f>Show!$B$55&amp;Show!$B$55&amp;"SE.06.02.18.02 Rows {"&amp;COLUMN($B$1)&amp;"}"</f>
        <v>!!SE.06.02.18.02 Rows {2}</v>
      </c>
      <c r="AI27" s="13" t="str">
        <f>Show!$B$55&amp;Show!$B$55&amp;"SE.06.02.18.02 Columns {"&amp;COLUMN($Z$1)&amp;"}"</f>
        <v>!!SE.06.02.18.02 Columns {26}</v>
      </c>
    </row>
  </sheetData>
  <sheetProtection sheet="1" objects="1" scenarios="1"/>
  <mergeCells count="10">
    <mergeCell ref="B17:L17"/>
    <mergeCell ref="B21:B23"/>
    <mergeCell ref="C21:Z22"/>
    <mergeCell ref="B2:O2"/>
    <mergeCell ref="B5:L5"/>
    <mergeCell ref="B9:B11"/>
    <mergeCell ref="C9:C11"/>
    <mergeCell ref="D9:D11"/>
    <mergeCell ref="E9:E11"/>
    <mergeCell ref="F9:S10"/>
  </mergeCells>
  <dataValidations count="19">
    <dataValidation type="list" errorStyle="warning" allowBlank="1" showInputMessage="1" showErrorMessage="1" sqref="F13" xr:uid="{C48E5153-1FF5-4613-B1B4-B2635398DB35}">
      <formula1>hier_PU_33</formula1>
    </dataValidation>
    <dataValidation type="list" errorStyle="warning" allowBlank="1" showInputMessage="1" showErrorMessage="1" sqref="G13" xr:uid="{1209730F-81B1-4655-900C-E7CD794DB576}">
      <formula1>hier_LB_4</formula1>
    </dataValidation>
    <dataValidation type="list" errorStyle="warning" allowBlank="1" showInputMessage="1" showErrorMessage="1" sqref="H13" xr:uid="{24D0936D-B878-4A68-9388-7F8A6DE128C8}">
      <formula1>hier_CG_2</formula1>
    </dataValidation>
    <dataValidation type="list" errorStyle="warning" allowBlank="1" showInputMessage="1" showErrorMessage="1" sqref="I13" xr:uid="{C1905919-E3C1-4C89-B5EA-BBB622E8BF09}">
      <formula1>hier_GA_1</formula1>
    </dataValidation>
    <dataValidation type="list" errorStyle="warning" allowBlank="1" showInputMessage="1" showErrorMessage="1" sqref="N13" xr:uid="{7B0E0902-0A7E-44A1-BE9E-8ED15DE60652}">
      <formula1>hier_VM_23</formula1>
    </dataValidation>
    <dataValidation type="list" errorStyle="warning" allowBlank="1" showInputMessage="1" showErrorMessage="1" sqref="R13" xr:uid="{089DF48E-FF54-4940-BB9E-8B750B65BB63}">
      <formula1>hier_PU_24</formula1>
    </dataValidation>
    <dataValidation type="list" errorStyle="warning" allowBlank="1" showInputMessage="1" showErrorMessage="1" sqref="S13" xr:uid="{E547940B-50E4-4C9C-AD9E-CE1F7BC49DB0}">
      <formula1>hier_PU_25</formula1>
    </dataValidation>
    <dataValidation type="list" errorStyle="warning" allowBlank="1" showInputMessage="1" showErrorMessage="1" sqref="F25" xr:uid="{C381EF8C-B974-4264-B5C3-BA9BC040382A}">
      <formula1>hier_NC_1</formula1>
    </dataValidation>
    <dataValidation type="list" errorStyle="warning" allowBlank="1" showInputMessage="1" showErrorMessage="1" sqref="G25" xr:uid="{30CC24DD-0CB0-4CE4-A508-930A34F35FBB}">
      <formula1>hier_SE_18</formula1>
    </dataValidation>
    <dataValidation type="list" errorStyle="warning" allowBlank="1" showInputMessage="1" showErrorMessage="1" sqref="J25" xr:uid="{541851BC-5702-418A-BB38-D98DE05645CB}">
      <formula1>hier_GA_4</formula1>
    </dataValidation>
    <dataValidation type="list" errorStyle="warning" allowBlank="1" showInputMessage="1" showErrorMessage="1" sqref="K25" xr:uid="{2A72664A-1354-49BF-856A-1A7E9ECBEA7B}">
      <formula1>hier_GA_18</formula1>
    </dataValidation>
    <dataValidation type="list" errorStyle="warning" allowBlank="1" showInputMessage="1" showErrorMessage="1" sqref="L25" xr:uid="{B4350132-E977-45C4-9052-0B79344108C0}">
      <formula1>hier_CU_1</formula1>
    </dataValidation>
    <dataValidation type="list" errorStyle="warning" allowBlank="1" showInputMessage="1" showErrorMessage="1" sqref="N25" xr:uid="{1AF2755A-D6DE-4643-9CE0-B73CFD22A673}">
      <formula1>hier_MC_48</formula1>
    </dataValidation>
    <dataValidation type="list" errorStyle="warning" allowBlank="1" showInputMessage="1" showErrorMessage="1" sqref="O25" xr:uid="{676A7C07-F8F1-4206-B66D-D0DE7EABB08B}">
      <formula1>hier_AP_23</formula1>
    </dataValidation>
    <dataValidation type="list" errorStyle="warning" allowBlank="1" showInputMessage="1" showErrorMessage="1" sqref="P25" xr:uid="{FDB4295E-B265-4E99-A4A3-37DB2B87DF1D}">
      <formula1>hier_MC_50</formula1>
    </dataValidation>
    <dataValidation type="list" errorStyle="warning" allowBlank="1" showInputMessage="1" showErrorMessage="1" sqref="Q25" xr:uid="{ADACB60E-5D8F-4F93-8A14-B312E8E00933}">
      <formula1>hier_PU_39</formula1>
    </dataValidation>
    <dataValidation type="list" errorStyle="warning" allowBlank="1" showInputMessage="1" showErrorMessage="1" sqref="S25" xr:uid="{08B65E4C-CCBB-4B3A-B7A7-4FDAB8987764}">
      <formula1>hier_SE_26</formula1>
    </dataValidation>
    <dataValidation type="list" errorStyle="warning" allowBlank="1" showInputMessage="1" showErrorMessage="1" sqref="T25" xr:uid="{5B199626-7FC1-41CA-AC99-3CDBD6A76C5D}">
      <formula1>hier_BR_4</formula1>
    </dataValidation>
    <dataValidation type="date" operator="greaterThan" allowBlank="1" showInputMessage="1" showErrorMessage="1" errorTitle="Date value" error="This cell can only contain dates" sqref="Y25:Z25" xr:uid="{E5450EFE-7221-4BA5-82B3-15E4E3035C2D}">
      <formula1>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813E-FE52-4762-982D-3192D1CC743F}">
  <sheetPr codeName="Blad6"/>
  <dimension ref="B2:O87"/>
  <sheetViews>
    <sheetView showGridLines="0" workbookViewId="0"/>
  </sheetViews>
  <sheetFormatPr defaultRowHeight="15"/>
  <cols>
    <col min="2" max="2" width="85.425781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2876</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IF(COUNTIF(D:D,"Reported")&gt;0,Show!$B$2,"!")&amp;"S.01.01.01.01 Rows {"&amp;COLUMN($C$1)&amp;"}"&amp;"@ForceFilingCode:true"</f>
        <v>!S.01.01.01.01 Rows {3}@ForceFilingCode:true</v>
      </c>
      <c r="J13" s="13" t="str">
        <f>IF(COUNTIF(D:D,"Reported")&gt;0,Show!$B$2,"!")&amp;"S.01.01.01.01 Columns {"&amp;COLUMN($D$1)&amp;"}"</f>
        <v>!S.01.01.01.01 Columns {4}</v>
      </c>
    </row>
    <row r="14" spans="2:15">
      <c r="B14" s="43" t="s">
        <v>2880</v>
      </c>
      <c r="C14" s="44" t="s">
        <v>2878</v>
      </c>
      <c r="D14" s="48"/>
    </row>
    <row r="15" spans="2:15">
      <c r="B15" s="47" t="s">
        <v>2881</v>
      </c>
      <c r="C15" s="44" t="s">
        <v>2878</v>
      </c>
      <c r="D15" s="46"/>
    </row>
    <row r="16" spans="2:15">
      <c r="B16" s="52" t="s">
        <v>2882</v>
      </c>
      <c r="C16" s="41" t="s">
        <v>2883</v>
      </c>
      <c r="D16" s="51"/>
    </row>
    <row r="17" spans="2:4">
      <c r="B17" s="52" t="s">
        <v>2884</v>
      </c>
      <c r="C17" s="41" t="s">
        <v>2885</v>
      </c>
      <c r="D17" s="51"/>
    </row>
    <row r="18" spans="2:4">
      <c r="B18" s="52" t="s">
        <v>2886</v>
      </c>
      <c r="C18" s="41" t="s">
        <v>2887</v>
      </c>
      <c r="D18" s="51"/>
    </row>
    <row r="19" spans="2:4">
      <c r="B19" s="52" t="s">
        <v>2888</v>
      </c>
      <c r="C19" s="41" t="s">
        <v>2889</v>
      </c>
      <c r="D19" s="51"/>
    </row>
    <row r="20" spans="2:4">
      <c r="B20" s="52" t="s">
        <v>2890</v>
      </c>
      <c r="C20" s="41" t="s">
        <v>2891</v>
      </c>
      <c r="D20" s="51"/>
    </row>
    <row r="21" spans="2:4" ht="30">
      <c r="B21" s="52" t="s">
        <v>2892</v>
      </c>
      <c r="C21" s="41" t="s">
        <v>2893</v>
      </c>
      <c r="D21" s="51"/>
    </row>
    <row r="22" spans="2:4" ht="30">
      <c r="B22" s="52" t="s">
        <v>2894</v>
      </c>
      <c r="C22" s="41" t="s">
        <v>2895</v>
      </c>
      <c r="D22" s="51"/>
    </row>
    <row r="23" spans="2:4">
      <c r="B23" s="52" t="s">
        <v>2896</v>
      </c>
      <c r="C23" s="41" t="s">
        <v>2897</v>
      </c>
      <c r="D23" s="51"/>
    </row>
    <row r="24" spans="2:4" ht="30">
      <c r="B24" s="52" t="s">
        <v>2898</v>
      </c>
      <c r="C24" s="41" t="s">
        <v>2899</v>
      </c>
      <c r="D24" s="51"/>
    </row>
    <row r="25" spans="2:4">
      <c r="B25" s="52" t="s">
        <v>2900</v>
      </c>
      <c r="C25" s="41" t="s">
        <v>2901</v>
      </c>
      <c r="D25" s="51"/>
    </row>
    <row r="26" spans="2:4">
      <c r="B26" s="52" t="s">
        <v>2902</v>
      </c>
      <c r="C26" s="41" t="s">
        <v>2903</v>
      </c>
      <c r="D26" s="51"/>
    </row>
    <row r="27" spans="2:4">
      <c r="B27" s="52" t="s">
        <v>2904</v>
      </c>
      <c r="C27" s="41" t="s">
        <v>2905</v>
      </c>
      <c r="D27" s="51"/>
    </row>
    <row r="28" spans="2:4">
      <c r="B28" s="52" t="s">
        <v>2906</v>
      </c>
      <c r="C28" s="41" t="s">
        <v>2907</v>
      </c>
      <c r="D28" s="51"/>
    </row>
    <row r="29" spans="2:4">
      <c r="B29" s="52" t="s">
        <v>2908</v>
      </c>
      <c r="C29" s="41" t="s">
        <v>2909</v>
      </c>
      <c r="D29" s="51"/>
    </row>
    <row r="30" spans="2:4">
      <c r="B30" s="52" t="s">
        <v>2910</v>
      </c>
      <c r="C30" s="41" t="s">
        <v>2911</v>
      </c>
      <c r="D30" s="51"/>
    </row>
    <row r="31" spans="2:4">
      <c r="B31" s="52" t="s">
        <v>2912</v>
      </c>
      <c r="C31" s="41" t="s">
        <v>2913</v>
      </c>
      <c r="D31" s="51"/>
    </row>
    <row r="32" spans="2:4">
      <c r="B32" s="52" t="s">
        <v>2914</v>
      </c>
      <c r="C32" s="41" t="s">
        <v>2915</v>
      </c>
      <c r="D32" s="51"/>
    </row>
    <row r="33" spans="2:4">
      <c r="B33" s="52" t="s">
        <v>2916</v>
      </c>
      <c r="C33" s="41" t="s">
        <v>2917</v>
      </c>
      <c r="D33" s="51"/>
    </row>
    <row r="34" spans="2:4">
      <c r="B34" s="52" t="s">
        <v>2918</v>
      </c>
      <c r="C34" s="41" t="s">
        <v>2919</v>
      </c>
      <c r="D34" s="51"/>
    </row>
    <row r="35" spans="2:4">
      <c r="B35" s="52" t="s">
        <v>2920</v>
      </c>
      <c r="C35" s="41" t="s">
        <v>2921</v>
      </c>
      <c r="D35" s="51"/>
    </row>
    <row r="36" spans="2:4">
      <c r="B36" s="52" t="s">
        <v>2922</v>
      </c>
      <c r="C36" s="41" t="s">
        <v>2923</v>
      </c>
      <c r="D36" s="51"/>
    </row>
    <row r="37" spans="2:4">
      <c r="B37" s="52" t="s">
        <v>2924</v>
      </c>
      <c r="C37" s="41" t="s">
        <v>2925</v>
      </c>
      <c r="D37" s="51"/>
    </row>
    <row r="38" spans="2:4">
      <c r="B38" s="52" t="s">
        <v>2926</v>
      </c>
      <c r="C38" s="41" t="s">
        <v>2927</v>
      </c>
      <c r="D38" s="51"/>
    </row>
    <row r="39" spans="2:4">
      <c r="B39" s="52" t="s">
        <v>2928</v>
      </c>
      <c r="C39" s="41" t="s">
        <v>2929</v>
      </c>
      <c r="D39" s="51"/>
    </row>
    <row r="40" spans="2:4">
      <c r="B40" s="52" t="s">
        <v>2930</v>
      </c>
      <c r="C40" s="41" t="s">
        <v>2931</v>
      </c>
      <c r="D40" s="51"/>
    </row>
    <row r="41" spans="2:4">
      <c r="B41" s="52" t="s">
        <v>2932</v>
      </c>
      <c r="C41" s="41" t="s">
        <v>2933</v>
      </c>
      <c r="D41" s="51"/>
    </row>
    <row r="42" spans="2:4">
      <c r="B42" s="52" t="s">
        <v>2934</v>
      </c>
      <c r="C42" s="41" t="s">
        <v>2935</v>
      </c>
      <c r="D42" s="51"/>
    </row>
    <row r="43" spans="2:4">
      <c r="B43" s="52" t="s">
        <v>2936</v>
      </c>
      <c r="C43" s="41" t="s">
        <v>2937</v>
      </c>
      <c r="D43" s="51"/>
    </row>
    <row r="44" spans="2:4">
      <c r="B44" s="52" t="s">
        <v>2938</v>
      </c>
      <c r="C44" s="41" t="s">
        <v>2939</v>
      </c>
      <c r="D44" s="51"/>
    </row>
    <row r="45" spans="2:4">
      <c r="B45" s="52" t="s">
        <v>2940</v>
      </c>
      <c r="C45" s="41" t="s">
        <v>2941</v>
      </c>
      <c r="D45" s="51"/>
    </row>
    <row r="46" spans="2:4">
      <c r="B46" s="52" t="s">
        <v>2942</v>
      </c>
      <c r="C46" s="41" t="s">
        <v>2943</v>
      </c>
      <c r="D46" s="51"/>
    </row>
    <row r="47" spans="2:4">
      <c r="B47" s="52" t="s">
        <v>2944</v>
      </c>
      <c r="C47" s="41" t="s">
        <v>2945</v>
      </c>
      <c r="D47" s="51"/>
    </row>
    <row r="48" spans="2:4">
      <c r="B48" s="52" t="s">
        <v>2946</v>
      </c>
      <c r="C48" s="41" t="s">
        <v>2947</v>
      </c>
      <c r="D48" s="51"/>
    </row>
    <row r="49" spans="2:4">
      <c r="B49" s="52" t="s">
        <v>2948</v>
      </c>
      <c r="C49" s="41" t="s">
        <v>2949</v>
      </c>
      <c r="D49" s="51"/>
    </row>
    <row r="50" spans="2:4">
      <c r="B50" s="52" t="s">
        <v>2950</v>
      </c>
      <c r="C50" s="41" t="s">
        <v>2951</v>
      </c>
      <c r="D50" s="51"/>
    </row>
    <row r="51" spans="2:4">
      <c r="B51" s="52" t="s">
        <v>2952</v>
      </c>
      <c r="C51" s="41" t="s">
        <v>2953</v>
      </c>
      <c r="D51" s="51"/>
    </row>
    <row r="52" spans="2:4">
      <c r="B52" s="52" t="s">
        <v>2954</v>
      </c>
      <c r="C52" s="41" t="s">
        <v>2955</v>
      </c>
      <c r="D52" s="51"/>
    </row>
    <row r="53" spans="2:4">
      <c r="B53" s="52" t="s">
        <v>2956</v>
      </c>
      <c r="C53" s="41" t="s">
        <v>2957</v>
      </c>
      <c r="D53" s="51"/>
    </row>
    <row r="54" spans="2:4">
      <c r="B54" s="52" t="s">
        <v>2958</v>
      </c>
      <c r="C54" s="41" t="s">
        <v>2959</v>
      </c>
      <c r="D54" s="51"/>
    </row>
    <row r="55" spans="2:4">
      <c r="B55" s="52" t="s">
        <v>2960</v>
      </c>
      <c r="C55" s="41" t="s">
        <v>2961</v>
      </c>
      <c r="D55" s="51"/>
    </row>
    <row r="56" spans="2:4">
      <c r="B56" s="52" t="s">
        <v>2962</v>
      </c>
      <c r="C56" s="41" t="s">
        <v>2963</v>
      </c>
      <c r="D56" s="51"/>
    </row>
    <row r="57" spans="2:4">
      <c r="B57" s="52" t="s">
        <v>2964</v>
      </c>
      <c r="C57" s="41" t="s">
        <v>2965</v>
      </c>
      <c r="D57" s="51"/>
    </row>
    <row r="58" spans="2:4">
      <c r="B58" s="52" t="s">
        <v>2966</v>
      </c>
      <c r="C58" s="41" t="s">
        <v>2967</v>
      </c>
      <c r="D58" s="51"/>
    </row>
    <row r="59" spans="2:4">
      <c r="B59" s="52" t="s">
        <v>2968</v>
      </c>
      <c r="C59" s="41" t="s">
        <v>2969</v>
      </c>
      <c r="D59" s="51"/>
    </row>
    <row r="60" spans="2:4">
      <c r="B60" s="52" t="s">
        <v>2970</v>
      </c>
      <c r="C60" s="41" t="s">
        <v>2971</v>
      </c>
      <c r="D60" s="51"/>
    </row>
    <row r="61" spans="2:4" ht="30">
      <c r="B61" s="52" t="s">
        <v>2972</v>
      </c>
      <c r="C61" s="41" t="s">
        <v>2973</v>
      </c>
      <c r="D61" s="51"/>
    </row>
    <row r="62" spans="2:4">
      <c r="B62" s="52" t="s">
        <v>2974</v>
      </c>
      <c r="C62" s="41" t="s">
        <v>2975</v>
      </c>
      <c r="D62" s="51"/>
    </row>
    <row r="63" spans="2:4">
      <c r="B63" s="52" t="s">
        <v>2976</v>
      </c>
      <c r="C63" s="41" t="s">
        <v>2977</v>
      </c>
      <c r="D63" s="51"/>
    </row>
    <row r="64" spans="2:4">
      <c r="B64" s="52" t="s">
        <v>2978</v>
      </c>
      <c r="C64" s="41" t="s">
        <v>2979</v>
      </c>
      <c r="D64" s="51"/>
    </row>
    <row r="65" spans="2:4">
      <c r="B65" s="52" t="s">
        <v>2980</v>
      </c>
      <c r="C65" s="41" t="s">
        <v>2981</v>
      </c>
      <c r="D65" s="51"/>
    </row>
    <row r="66" spans="2:4">
      <c r="B66" s="52" t="s">
        <v>2982</v>
      </c>
      <c r="C66" s="41" t="s">
        <v>2983</v>
      </c>
      <c r="D66" s="51"/>
    </row>
    <row r="67" spans="2:4">
      <c r="B67" s="52" t="s">
        <v>2984</v>
      </c>
      <c r="C67" s="41" t="s">
        <v>2985</v>
      </c>
      <c r="D67" s="51"/>
    </row>
    <row r="68" spans="2:4">
      <c r="B68" s="52" t="s">
        <v>2986</v>
      </c>
      <c r="C68" s="41" t="s">
        <v>2987</v>
      </c>
      <c r="D68" s="51"/>
    </row>
    <row r="69" spans="2:4">
      <c r="B69" s="52" t="s">
        <v>2988</v>
      </c>
      <c r="C69" s="41" t="s">
        <v>2989</v>
      </c>
      <c r="D69" s="51"/>
    </row>
    <row r="70" spans="2:4">
      <c r="B70" s="52" t="s">
        <v>2990</v>
      </c>
      <c r="C70" s="41" t="s">
        <v>2991</v>
      </c>
      <c r="D70" s="51"/>
    </row>
    <row r="71" spans="2:4" ht="30">
      <c r="B71" s="52" t="s">
        <v>2992</v>
      </c>
      <c r="C71" s="41" t="s">
        <v>2993</v>
      </c>
      <c r="D71" s="51"/>
    </row>
    <row r="72" spans="2:4">
      <c r="B72" s="52" t="s">
        <v>2994</v>
      </c>
      <c r="C72" s="41" t="s">
        <v>2995</v>
      </c>
      <c r="D72" s="51"/>
    </row>
    <row r="73" spans="2:4">
      <c r="B73" s="52" t="s">
        <v>2996</v>
      </c>
      <c r="C73" s="41" t="s">
        <v>2997</v>
      </c>
      <c r="D73" s="51"/>
    </row>
    <row r="74" spans="2:4" ht="30">
      <c r="B74" s="52" t="s">
        <v>2998</v>
      </c>
      <c r="C74" s="41" t="s">
        <v>2999</v>
      </c>
      <c r="D74" s="51"/>
    </row>
    <row r="75" spans="2:4">
      <c r="B75" s="52" t="s">
        <v>3000</v>
      </c>
      <c r="C75" s="41" t="s">
        <v>3001</v>
      </c>
      <c r="D75" s="51"/>
    </row>
    <row r="76" spans="2:4">
      <c r="B76" s="52" t="s">
        <v>3002</v>
      </c>
      <c r="C76" s="41" t="s">
        <v>3003</v>
      </c>
      <c r="D76" s="51"/>
    </row>
    <row r="77" spans="2:4">
      <c r="B77" s="52" t="s">
        <v>3004</v>
      </c>
      <c r="C77" s="41" t="s">
        <v>3005</v>
      </c>
      <c r="D77" s="51"/>
    </row>
    <row r="78" spans="2:4">
      <c r="B78" s="52" t="s">
        <v>3006</v>
      </c>
      <c r="C78" s="41" t="s">
        <v>3007</v>
      </c>
      <c r="D78" s="51"/>
    </row>
    <row r="79" spans="2:4">
      <c r="B79" s="52" t="s">
        <v>3008</v>
      </c>
      <c r="C79" s="41" t="s">
        <v>3009</v>
      </c>
      <c r="D79" s="51"/>
    </row>
    <row r="80" spans="2:4">
      <c r="B80" s="52" t="s">
        <v>3010</v>
      </c>
      <c r="C80" s="41" t="s">
        <v>3011</v>
      </c>
      <c r="D80" s="51"/>
    </row>
    <row r="81" spans="2:10">
      <c r="B81" s="52" t="s">
        <v>3012</v>
      </c>
      <c r="C81" s="41" t="s">
        <v>3013</v>
      </c>
      <c r="D81" s="51"/>
    </row>
    <row r="82" spans="2:10">
      <c r="B82" s="52" t="s">
        <v>3014</v>
      </c>
      <c r="C82" s="41" t="s">
        <v>3015</v>
      </c>
      <c r="D82" s="51"/>
    </row>
    <row r="83" spans="2:10">
      <c r="B83" s="52" t="s">
        <v>3016</v>
      </c>
      <c r="C83" s="41" t="s">
        <v>3017</v>
      </c>
      <c r="D83" s="51"/>
    </row>
    <row r="84" spans="2:10">
      <c r="B84" s="52" t="s">
        <v>3018</v>
      </c>
      <c r="C84" s="41" t="s">
        <v>3019</v>
      </c>
      <c r="D84" s="51"/>
    </row>
    <row r="85" spans="2:10">
      <c r="B85" s="52" t="s">
        <v>3020</v>
      </c>
      <c r="C85" s="41" t="s">
        <v>3021</v>
      </c>
      <c r="D85" s="51"/>
    </row>
    <row r="86" spans="2:10">
      <c r="B86" s="52" t="s">
        <v>3022</v>
      </c>
      <c r="C86" s="41" t="s">
        <v>3023</v>
      </c>
      <c r="D86" s="51"/>
    </row>
    <row r="87" spans="2:10">
      <c r="I87" s="13" t="str">
        <f>IF(COUNTIF(D:D,"Reported")&gt;0,Show!$B$2&amp;Show!$B$2,"!!")&amp;"S.01.01.01.01 Rows {"&amp;COLUMN($C$1)&amp;"}"</f>
        <v>!!S.01.01.01.01 Rows {3}</v>
      </c>
      <c r="J87" s="13" t="str">
        <f>IF(COUNTIF(D:D,"Reported")&gt;0,Show!$B$2&amp;Show!$B$2,"!!")&amp;"S.01.01.01.01 Columns {"&amp;COLUMN($D$1)&amp;"}"</f>
        <v>!!S.01.01.01.01 Columns {4}</v>
      </c>
    </row>
  </sheetData>
  <sheetProtection sheet="1" objects="1" scenarios="1"/>
  <mergeCells count="3">
    <mergeCell ref="B2:O2"/>
    <mergeCell ref="B5:L5"/>
    <mergeCell ref="D9:D12"/>
  </mergeCells>
  <dataValidations count="49">
    <dataValidation type="list" errorStyle="warning" allowBlank="1" showInputMessage="1" showErrorMessage="1" sqref="D16" xr:uid="{317EC25B-40FF-46A2-BDF1-E641AE093E7D}">
      <formula1>hier_CN_2</formula1>
    </dataValidation>
    <dataValidation type="list" errorStyle="warning" allowBlank="1" showInputMessage="1" showErrorMessage="1" sqref="D17" xr:uid="{612F8BCE-C351-4324-A9D1-E4E469D39DF3}">
      <formula1>hier_CN_14</formula1>
    </dataValidation>
    <dataValidation type="list" errorStyle="warning" allowBlank="1" showInputMessage="1" showErrorMessage="1" sqref="D18" xr:uid="{1AC1CF5C-EC8F-41BD-B9B5-E08827FF601A}">
      <formula1>hier_CN_81</formula1>
    </dataValidation>
    <dataValidation type="list" errorStyle="warning" allowBlank="1" showInputMessage="1" showErrorMessage="1" sqref="D19" xr:uid="{054F0F1E-D757-42B9-AC33-CA83F719A2D7}">
      <formula1>hier_CN_18</formula1>
    </dataValidation>
    <dataValidation type="list" errorStyle="warning" allowBlank="1" showInputMessage="1" showErrorMessage="1" sqref="D20" xr:uid="{3DBCCB08-4832-47F1-B23F-006302D30B21}">
      <formula1>hier_CN_20</formula1>
    </dataValidation>
    <dataValidation type="list" errorStyle="warning" allowBlank="1" showInputMessage="1" showErrorMessage="1" sqref="D21" xr:uid="{967F9597-955E-485A-8239-4B617BB533E8}">
      <formula1>hier_CN_34</formula1>
    </dataValidation>
    <dataValidation type="list" errorStyle="warning" allowBlank="1" showInputMessage="1" showErrorMessage="1" sqref="D22" xr:uid="{8FBB0445-32BA-4091-8FA5-1D936660B27C}">
      <formula1>hier_CN_35</formula1>
    </dataValidation>
    <dataValidation type="list" errorStyle="warning" allowBlank="1" showInputMessage="1" showErrorMessage="1" sqref="D23" xr:uid="{119A0438-878A-470F-BB3E-23BD0DCEF25B}">
      <formula1>hier_CN_36</formula1>
    </dataValidation>
    <dataValidation type="list" errorStyle="warning" allowBlank="1" showInputMessage="1" showErrorMessage="1" sqref="D24" xr:uid="{03239312-AC45-4E45-88FD-F6407CC365FF}">
      <formula1>hier_CN_37</formula1>
    </dataValidation>
    <dataValidation type="list" errorStyle="warning" allowBlank="1" showInputMessage="1" showErrorMessage="1" sqref="D25 D55" xr:uid="{37E0650C-901E-4F30-A249-3ED1D432481C}">
      <formula1>hier_CN_113</formula1>
    </dataValidation>
    <dataValidation type="list" errorStyle="warning" allowBlank="1" showInputMessage="1" showErrorMessage="1" sqref="D26" xr:uid="{CD62D6E1-9F00-47E8-BA43-B5E116301204}">
      <formula1>hier_CN_116</formula1>
    </dataValidation>
    <dataValidation type="list" errorStyle="warning" allowBlank="1" showInputMessage="1" showErrorMessage="1" sqref="D27" xr:uid="{662915A8-52EE-45EC-93C9-F43FCC50567D}">
      <formula1>hier_CN_27</formula1>
    </dataValidation>
    <dataValidation type="list" errorStyle="warning" allowBlank="1" showInputMessage="1" showErrorMessage="1" sqref="D28" xr:uid="{1F1CF812-DBC9-4135-A218-E71A34349B0F}">
      <formula1>hier_CN_23</formula1>
    </dataValidation>
    <dataValidation type="list" errorStyle="warning" allowBlank="1" showInputMessage="1" showErrorMessage="1" sqref="D29" xr:uid="{23950E9B-46C4-40D9-BB89-32B1150057D5}">
      <formula1>hier_CN_117</formula1>
    </dataValidation>
    <dataValidation type="list" errorStyle="warning" allowBlank="1" showInputMessage="1" showErrorMessage="1" sqref="D30" xr:uid="{273977B9-45C2-442B-A4E1-8BBF87E5CCD4}">
      <formula1>hier_CN_120</formula1>
    </dataValidation>
    <dataValidation type="list" errorStyle="warning" allowBlank="1" showInputMessage="1" showErrorMessage="1" sqref="D31 D32" xr:uid="{EC7DA74B-F4ED-428D-938E-7F62CF400A2B}">
      <formula1>hier_CN_28</formula1>
    </dataValidation>
    <dataValidation type="list" errorStyle="warning" allowBlank="1" showInputMessage="1" showErrorMessage="1" sqref="D33 D73 D74 D75 D76" xr:uid="{20F09DF9-FA00-492A-A0D4-82F35214BA22}">
      <formula1>hier_CN_15</formula1>
    </dataValidation>
    <dataValidation type="list" errorStyle="warning" allowBlank="1" showInputMessage="1" showErrorMessage="1" sqref="D34" xr:uid="{F7E54283-2B69-4C76-B164-2FFB652C26F4}">
      <formula1>hier_CN_39</formula1>
    </dataValidation>
    <dataValidation type="list" errorStyle="warning" allowBlank="1" showInputMessage="1" showErrorMessage="1" sqref="D35" xr:uid="{92B27C3E-8996-4B67-8FB8-49E65DA123B2}">
      <formula1>hier_CN_40</formula1>
    </dataValidation>
    <dataValidation type="list" errorStyle="warning" allowBlank="1" showInputMessage="1" showErrorMessage="1" sqref="D36" xr:uid="{9A53535B-25D6-4712-894F-3EB55F234562}">
      <formula1>hier_CN_83</formula1>
    </dataValidation>
    <dataValidation type="list" errorStyle="warning" allowBlank="1" showInputMessage="1" showErrorMessage="1" sqref="D37" xr:uid="{C4E34240-E1C2-4EB9-8509-914A00F55E5F}">
      <formula1>hier_CN_31</formula1>
    </dataValidation>
    <dataValidation type="list" errorStyle="warning" allowBlank="1" showInputMessage="1" showErrorMessage="1" sqref="D38 D39" xr:uid="{801FA6F2-4C80-412D-86F8-611F5559F07C}">
      <formula1>hier_CN_30</formula1>
    </dataValidation>
    <dataValidation type="list" errorStyle="warning" allowBlank="1" showInputMessage="1" showErrorMessage="1" sqref="D40 D41" xr:uid="{B049420D-2AE4-4191-B4A1-8657FFD785C1}">
      <formula1>hier_CN_41</formula1>
    </dataValidation>
    <dataValidation type="list" errorStyle="warning" allowBlank="1" showInputMessage="1" showErrorMessage="1" sqref="D42" xr:uid="{F8D02C5A-D371-4660-8C73-F1D8546666AD}">
      <formula1>hier_CN_42</formula1>
    </dataValidation>
    <dataValidation type="list" errorStyle="warning" allowBlank="1" showInputMessage="1" showErrorMessage="1" sqref="D43" xr:uid="{AD643B7B-F249-431B-9232-48646B27BDB6}">
      <formula1>hier_CN_84</formula1>
    </dataValidation>
    <dataValidation type="list" errorStyle="warning" allowBlank="1" showInputMessage="1" showErrorMessage="1" sqref="D44" xr:uid="{096083DD-F21B-46D7-B454-AC6C627B7284}">
      <formula1>hier_CN_33</formula1>
    </dataValidation>
    <dataValidation type="list" errorStyle="warning" allowBlank="1" showInputMessage="1" showErrorMessage="1" sqref="D45 D46" xr:uid="{69210D07-23BE-4F3F-948B-70A083B11376}">
      <formula1>hier_CN_32</formula1>
    </dataValidation>
    <dataValidation type="list" errorStyle="warning" allowBlank="1" showInputMessage="1" showErrorMessage="1" sqref="D47 D48 D49 D50" xr:uid="{60667CF8-15C9-44B0-99DD-25355A27745C}">
      <formula1>hier_CN_123</formula1>
    </dataValidation>
    <dataValidation type="list" errorStyle="warning" allowBlank="1" showInputMessage="1" showErrorMessage="1" sqref="D51" xr:uid="{44F19F73-38F5-4814-8D93-2C7DF8592B40}">
      <formula1>hier_CN_43</formula1>
    </dataValidation>
    <dataValidation type="list" errorStyle="warning" allowBlank="1" showInputMessage="1" showErrorMessage="1" sqref="D52 D53" xr:uid="{D53E4744-E785-416E-90B6-CF9255C105DC}">
      <formula1>hier_CN_45</formula1>
    </dataValidation>
    <dataValidation type="list" errorStyle="warning" allowBlank="1" showInputMessage="1" showErrorMessage="1" sqref="D54" xr:uid="{6E2722EF-479E-4C68-A405-815204F30FC7}">
      <formula1>hier_CN_112</formula1>
    </dataValidation>
    <dataValidation type="list" errorStyle="warning" allowBlank="1" showInputMessage="1" showErrorMessage="1" sqref="D56 D57 D58" xr:uid="{AB44A0FD-5C42-494F-A0FB-0A4F9A810DB4}">
      <formula1>hier_CN_1</formula1>
    </dataValidation>
    <dataValidation type="list" errorStyle="warning" allowBlank="1" showInputMessage="1" showErrorMessage="1" sqref="D59" xr:uid="{3FFB0F01-3CB6-4C54-9F3A-DA0EFA74A325}">
      <formula1>hier_CN_46</formula1>
    </dataValidation>
    <dataValidation type="list" errorStyle="warning" allowBlank="1" showInputMessage="1" showErrorMessage="1" sqref="D60" xr:uid="{95F5A69A-9C39-4C6B-B272-68C351C158DE}">
      <formula1>hier_CN_108</formula1>
    </dataValidation>
    <dataValidation type="list" errorStyle="warning" allowBlank="1" showInputMessage="1" showErrorMessage="1" sqref="D61" xr:uid="{DAB5D6FD-28E3-4A86-A413-FC19E8889B19}">
      <formula1>hier_CN_8</formula1>
    </dataValidation>
    <dataValidation type="list" errorStyle="warning" allowBlank="1" showInputMessage="1" showErrorMessage="1" sqref="D62" xr:uid="{05D54991-DFDC-40C6-B0B8-6047627A8937}">
      <formula1>hier_CN_9</formula1>
    </dataValidation>
    <dataValidation type="list" errorStyle="warning" allowBlank="1" showInputMessage="1" showErrorMessage="1" sqref="D63 D64 D65 D66 D67" xr:uid="{DC027AB1-82BF-438A-A877-85AA2478C57F}">
      <formula1>hier_CN_124</formula1>
    </dataValidation>
    <dataValidation type="list" errorStyle="warning" allowBlank="1" showInputMessage="1" showErrorMessage="1" sqref="D68" xr:uid="{7004439F-AF26-42BC-8D71-072D19580E3B}">
      <formula1>hier_CN_53</formula1>
    </dataValidation>
    <dataValidation type="list" errorStyle="warning" allowBlank="1" showInputMessage="1" showErrorMessage="1" sqref="D69" xr:uid="{0FD4EDD5-B260-4B9C-9A64-5B0FF2021A8E}">
      <formula1>hier_CN_55</formula1>
    </dataValidation>
    <dataValidation type="list" errorStyle="warning" allowBlank="1" showInputMessage="1" showErrorMessage="1" sqref="D70" xr:uid="{CF0FFF12-FCCD-4367-B86C-E3F3480CBE74}">
      <formula1>hier_CN_51</formula1>
    </dataValidation>
    <dataValidation type="list" errorStyle="warning" allowBlank="1" showInputMessage="1" showErrorMessage="1" sqref="D71" xr:uid="{044984D0-9F19-45EC-9392-7DE1555F691B}">
      <formula1>hier_CN_85</formula1>
    </dataValidation>
    <dataValidation type="list" errorStyle="warning" allowBlank="1" showInputMessage="1" showErrorMessage="1" sqref="D72" xr:uid="{A81D1319-97D8-4D69-9761-ED088905C210}">
      <formula1>hier_CN_86</formula1>
    </dataValidation>
    <dataValidation type="list" errorStyle="warning" allowBlank="1" showInputMessage="1" showErrorMessage="1" sqref="D77 D78" xr:uid="{5B9B2D56-C3E4-47EC-B104-7CD0710F4FD9}">
      <formula1>hier_CN_57</formula1>
    </dataValidation>
    <dataValidation type="list" errorStyle="warning" allowBlank="1" showInputMessage="1" showErrorMessage="1" sqref="D79 D80 D81" xr:uid="{7023777B-A02E-4DE5-9AB4-E8C8F3C58B7D}">
      <formula1>hier_CN_58</formula1>
    </dataValidation>
    <dataValidation type="list" errorStyle="warning" allowBlank="1" showInputMessage="1" showErrorMessage="1" sqref="D82" xr:uid="{ECF485C5-D9DA-4019-920B-7F161550D6FE}">
      <formula1>hier_CN_59</formula1>
    </dataValidation>
    <dataValidation type="list" errorStyle="warning" allowBlank="1" showInputMessage="1" showErrorMessage="1" sqref="D83" xr:uid="{6FF7F657-6F93-490C-B4B5-14B2201BDAC0}">
      <formula1>hier_CN_60</formula1>
    </dataValidation>
    <dataValidation type="list" errorStyle="warning" allowBlank="1" showInputMessage="1" showErrorMessage="1" sqref="D84" xr:uid="{8960E8DC-91A3-4EA1-80EC-FD9685E53618}">
      <formula1>hier_CN_62</formula1>
    </dataValidation>
    <dataValidation type="list" errorStyle="warning" allowBlank="1" showInputMessage="1" showErrorMessage="1" sqref="D85" xr:uid="{8528CE26-D29C-42C6-859D-D7DE58EF46F8}">
      <formula1>hier_CN_64</formula1>
    </dataValidation>
    <dataValidation type="list" errorStyle="warning" allowBlank="1" showInputMessage="1" showErrorMessage="1" sqref="D86" xr:uid="{FBE1CA3B-F14A-4529-BD15-36D84F48AC6F}">
      <formula1>hier_CN_66</formula1>
    </dataValidation>
  </dataValidations>
  <hyperlinks>
    <hyperlink ref="B16" location="'S.01.02.01'!A1" display="S.01.02.01 - Basic Information - General" xr:uid="{A311167D-E62C-4166-A118-9A989BF6B32E}"/>
    <hyperlink ref="B17" location="'S.01.03.01'!A1" display="S.01.03.01 - Basic Information - RFF and matching adjustment portfolios" xr:uid="{AD475D1D-C92C-4F99-B6BB-66030A58354D}"/>
    <hyperlink ref="B18" location="'S.02.01.01'!A1" display="S.02.01.01 - Balance sheet" xr:uid="{981ACC8B-1581-476C-919A-E7E6940B31B7}"/>
    <hyperlink ref="B19" location="'S.02.02.01'!A1" display="S.02.02.01 - Assets and liabilities by currency" xr:uid="{4A20772F-C9AB-4F31-B083-D34673BC9A6C}"/>
    <hyperlink ref="B20" location="'S.03.01.01'!A1" display="S.03.01.01 - Off-balance sheet items - general" xr:uid="{308756C8-29B2-44B1-9440-6C8F532D48B4}"/>
    <hyperlink ref="B21" location="'S.03.02.01'!A1" display="S.03.02.01 - Off-balance sheet items - List of unlimited guarantees received by the undertaking" xr:uid="{FC659677-ECD4-45B9-8688-4D49B2AD1A0B}"/>
    <hyperlink ref="B22" location="'S.03.03.01'!A1" display="S.03.03.01 - Off-balance sheet items - List of unlimited guarantees provided by the undertaking" xr:uid="{A731BDD2-702A-4318-A2CF-F9C7E71777A2}"/>
    <hyperlink ref="B23" location="'S.04.01.01'!A1" display="S.04.01.01 - Activity by country" xr:uid="{8E2C4287-93DB-4623-BAFD-D8A441A04134}"/>
    <hyperlink ref="B24" location="'S.04.02.01'!A1" display="S.04.02.01 - Information on class 10 in Part A of Annex I of Solvency II Directive, excluding carrier's liability" xr:uid="{D3E53AFA-1FB1-4D04-98F7-047266E68A75}"/>
    <hyperlink ref="B25" location="'S.05.01.01'!A1" display="S.05.01.01 - Premiums, claims and expenses by line of business" xr:uid="{6F8C9583-B72C-422D-9207-C8B34DECD642}"/>
    <hyperlink ref="B26" location="'S.05.02.01'!A1" display="S.05.02.01 - Premiums, claims and expenses by country" xr:uid="{AB277D97-ADEA-4827-860A-CA4F7F439687}"/>
    <hyperlink ref="B27" location="'S.06.01.01'!A1" display="S.06.01.01 - Summary of assets" xr:uid="{AE7B29C4-6F18-41B2-B187-69A09C126F40}"/>
    <hyperlink ref="B28" location="'S.06.02.01'!A1" display="S.06.02.01 - List of assets" xr:uid="{A2985AAE-5221-4B07-B9DB-348DD12BA4A8}"/>
    <hyperlink ref="B29" location="'S.06.03.01'!A1" display="S.06.03.01 - Collective investment undertakings - look-through approach" xr:uid="{2F2454E1-7CAF-4019-8E98-DF37835E7A5C}"/>
    <hyperlink ref="B30" location="'S.07.01.01'!A1" display="S.07.01.01 - Structured products" xr:uid="{9A69482C-5B50-4B72-9061-F986D16FA43D}"/>
    <hyperlink ref="B31" location="'S.08.01.01'!A1" display="S.08.01.01 - Open derivatives" xr:uid="{226C6402-9D10-460C-ADB4-F782D5D8839C}"/>
    <hyperlink ref="B32" location="'S.08.02.01'!A1" display="S.08.02.01 - Derivatives Transactions" xr:uid="{1380B9ED-D962-45C0-A1F2-E9F4CEB05E02}"/>
    <hyperlink ref="B33" location="'S.09.01.01'!A1" display="S.09.01.01 - Income/gains and losses in the period" xr:uid="{7311D75E-495C-48B4-90D7-B8FDD2403285}"/>
    <hyperlink ref="B34" location="'S.10.01.01'!A1" display="S.10.01.01 - Securities lending and repos" xr:uid="{E417CD8E-AD3B-4154-8FEA-C2CB54B66657}"/>
    <hyperlink ref="B35" location="'S.11.01.01'!A1" display="S.11.01.01 - Assets held as collateral" xr:uid="{0172A090-0F30-47B2-B03A-C9C0C3D683AF}"/>
    <hyperlink ref="B36" location="'S.12.01.01'!A1" display="S.12.01.01 - Life and Health SLT Technical Provisions" xr:uid="{798E12E7-FEAB-45EF-8791-D5D0B62286EF}"/>
    <hyperlink ref="B37" location="'S.12.02.01'!A1" display="S.12.02.01 - Life and Health SLT Technical Provisions - by country" xr:uid="{73D463DA-E4BC-4729-88B9-ED8EF5C701DF}"/>
    <hyperlink ref="B38" location="'S.13.01.01'!A1" display="S.13.01.01 - Projection of future gross cash flows" xr:uid="{28395E22-14B5-4B30-A333-EF1791A67E23}"/>
    <hyperlink ref="B39" location="'S.14.01.01'!A1" display="S.14.01.01 - Life obligations analysis" xr:uid="{40A677D4-AB46-40EC-9AB0-FBA2ACA23AD3}"/>
    <hyperlink ref="B40" location="'S.15.01.01'!A1" display="S.15.01.01 - Description of the guarantees of variable annuities" xr:uid="{FEBC90C9-C39E-44A5-B9B3-6F20645BE058}"/>
    <hyperlink ref="B41" location="'S.15.02.01'!A1" display="S.15.02.01 - Hedging of guarantees of variable annuities" xr:uid="{8E2A37F8-F9AC-476B-8666-987E59F4A47C}"/>
    <hyperlink ref="B42" location="'S.16.01.01'!A1" display="S.16.01.01 - Information on annuities stemming from Non-Life Insurance obligations" xr:uid="{5386A661-526E-4F6B-9BB0-A59A89A99A1F}"/>
    <hyperlink ref="B43" location="'S.17.01.01'!A1" display="S.17.01.01 - Non-Life Technical Provisions" xr:uid="{89B68BE8-3036-4A14-BA54-C6F350904F2D}"/>
    <hyperlink ref="B44" location="'S.17.02.01'!A1" display="S.17.02.01 - Non-Life Technical Provisions - By country" xr:uid="{0948D356-FFEE-4668-9DA4-7691121813E0}"/>
    <hyperlink ref="B45" location="'S.18.01.01'!A1" display="S.18.01.01 - Projection of future cash flows (Best Estimate - Non Life)" xr:uid="{9798A538-3EDB-414B-BD77-A8B8DFADD062}"/>
    <hyperlink ref="B46" location="'S.19.01.01'!A1" display="S.19.01.01 - Non-life insurance claims" xr:uid="{7E42538F-D549-41FC-B1F4-898D1E4BA155}"/>
    <hyperlink ref="B47" location="'S.20.01.01'!A1" display="S.20.01.01 - Development of the distribution of the claims incurred" xr:uid="{5E616CF5-BA82-4167-9E0A-12181E96DD65}"/>
    <hyperlink ref="B48" location="'S.21.01.01'!A1" display="S.21.01.01 - Loss distribution risk profile" xr:uid="{45F9D287-928B-4D4E-8AAD-D36ACD721657}"/>
    <hyperlink ref="B49" location="'S.21.02.01'!A1" display="S.21.02.01 - Underwriting risks non-life" xr:uid="{8F32B6D1-A5E9-46D4-A220-7BE1844E3688}"/>
    <hyperlink ref="B50" location="'S.21.03.01'!A1" display="S.21.03.01 - Non-life distribution of underwriting risks - by sum insured" xr:uid="{0ABA5E0F-EB88-425A-9278-9219B5A3C6A3}"/>
    <hyperlink ref="B51" location="'S.22.01.01'!A1" display="S.22.01.01 - Impact of long term guarantees measures and transitionals" xr:uid="{6FE9098F-BB3D-4CFD-B18E-134028DDD348}"/>
    <hyperlink ref="B52" location="'S.22.04.01'!A1" display="S.22.04.01 - Information on the transitional on interest rates calculation" xr:uid="{9BD8D23B-E249-4D44-AE3C-8D32F69A546F}"/>
    <hyperlink ref="B53" location="'S.22.05.01'!A1" display="S.22.05.01 - Overall calculation of the transitional on technical provisions" xr:uid="{10D06AE7-E949-4395-84BD-B8C80DBB5CC0}"/>
    <hyperlink ref="B54" location="'S.22.06.01'!A1" display="S.22.06.01 - Best estimate subject to volatility adjustment by country and currency" xr:uid="{01B71CAB-5679-46F4-A30F-842ED1C2CBC4}"/>
    <hyperlink ref="B55" location="'S.23.01.01'!A1" display="S.23.01.01 - Own funds" xr:uid="{2A470030-FDFD-4859-9926-71D80122BE91}"/>
    <hyperlink ref="B56" location="'S.23.02.01'!A1" display="S.23.02.01 - Detailed information by tiers on own funds" xr:uid="{A339379F-F384-4ACA-B2FF-773452C46547}"/>
    <hyperlink ref="B57" location="'S.23.03.01'!A1" display="S.23.03.01 - Annual movements on own funds" xr:uid="{0290D7D8-7E4A-4866-9621-B947B61EA685}"/>
    <hyperlink ref="B58" location="'S.23.04.01'!A1" display="S.23.04.01 - List of items on own funds" xr:uid="{A5FA5945-FA3D-490F-B7CE-739D457EB697}"/>
    <hyperlink ref="B59" location="'S.24.01.01'!A1" display="S.24.01.01 - Participations held" xr:uid="{C34DD07E-3D80-4B14-92CE-EE3DBC8CA3AA}"/>
    <hyperlink ref="B60" location="'S.25.01.01'!A1" display="S.25.01.01 - Solvency Capital Requirement - for undertakings on Standard Formula" xr:uid="{E0D3438D-3DE6-4015-93E2-27AA7798B449}"/>
    <hyperlink ref="B61" location="'S.25.02.01'!A1" display="S.25.02.01 - Solvency Capital Requirement - for undertakings using the standard formula and partial internal model" xr:uid="{7D71DDB5-D93A-4ABA-9B31-8F6E087DBFB8}"/>
    <hyperlink ref="B62" location="'S.25.03.01'!A1" display="S.25.03.01 - Solvency Capital Requirement - for undertakings on Full Internal Models" xr:uid="{DE902D61-4F53-4316-8B78-082AC4779972}"/>
    <hyperlink ref="B63" location="'S.26.01.01'!A1" display="S.26.01.01 - Solvency Capital Requirement - Market risk" xr:uid="{38290FC1-5953-433B-A36A-7F45FC8CBDAA}"/>
    <hyperlink ref="B64" location="'S.26.02.01'!A1" display="S.26.02.01 - Solvency Capital Requirement - Counterparty default risk" xr:uid="{F107B75C-9F27-4122-9E78-CD07D60F855B}"/>
    <hyperlink ref="B65" location="'S.26.03.01'!A1" display="S.26.03.01 - Solvency Capital Requirement - Life underwriting risk" xr:uid="{B606DF3D-304F-4817-AA99-B67A99C5DDBB}"/>
    <hyperlink ref="B66" location="'S.26.04.01'!A1" display="S.26.04.01 - Solvency Capital Requirement - Health underwriting risk" xr:uid="{AD924F1B-EEB2-40B0-A727-C1D015AB838F}"/>
    <hyperlink ref="B67" location="'S.26.05.01'!A1" display="S.26.05.01 - Solvency Capital Requirement - Non-Life underwriting risk" xr:uid="{9A1A001D-CC9D-4CE5-8324-BD178111CE06}"/>
    <hyperlink ref="B68" location="'S.26.06.01'!A1" display="S.26.06.01 - Solvency Capital Requirement - Operational risk" xr:uid="{25627D49-A67E-4551-8287-E95F8D7DAD07}"/>
    <hyperlink ref="B69" location="'S.26.07.01'!A1" display="S.26.07.01 - Solvency Capital Requirement - Simplifications" xr:uid="{682B1487-6357-4173-9332-0EA4FE70A434}"/>
    <hyperlink ref="B70" location="'S.27.01.01'!A1" display="S.27.01.01 - Solvency Capital Requirement - Non-life and Health catastrophe risk" xr:uid="{74EEF02B-EF02-4892-A357-21FFFCDACA75}"/>
    <hyperlink ref="B71" location="'S.28.01.01'!A1" display="S.28.01.01 - Minimum Capital Requirement - Only life or only non-life insurance or reinsurance activity" xr:uid="{457CCD11-6BE1-4857-A493-ED21A93F5651}"/>
    <hyperlink ref="B72" location="'S.28.02.01'!A1" display="S.28.02.01 - Minimum Capital Requirement - Both life and non-life insurance activity" xr:uid="{94A8F1B5-83BE-439A-A3D6-BF4E0404EEEB}"/>
    <hyperlink ref="B73" location="'S.29.01.01'!A1" display="S.29.01.01 - Excess of Assets over Liabilities" xr:uid="{E545F063-ED9C-47BE-B024-7697EEFA7E6E}"/>
    <hyperlink ref="B74" location="'S.29.02.01'!A1" display="S.29.02.01 - Excess of Assets over Liabilities - explained by investments and financial liabilities" xr:uid="{D50345DC-5C90-4572-981A-AB24FC40EBFB}"/>
    <hyperlink ref="B75" location="'S.29.03.01'!A1" display="S.29.03.01 - Excess of Assets over Liabilities - explained by technical provisions" xr:uid="{07E02012-E423-4004-9D02-29E999D97CCB}"/>
    <hyperlink ref="B76" location="'S.29.04.01'!A1" display="S.29.04.01 - Detailed analysis per period - Technical flows versus Technical provisions" xr:uid="{35E5062B-11A0-45DD-8325-173A20B3D090}"/>
    <hyperlink ref="B77" location="'S.30.01.01'!A1" display="S.30.01.01 - Facultative covers for non-life and life business basic data" xr:uid="{12D31383-7953-41A4-82DD-07408114C60C}"/>
    <hyperlink ref="B78" location="'S.30.02.01'!A1" display="S.30.02.01 - Facultative covers for non-life and life business shares data" xr:uid="{E04E5145-43B8-4DD5-8C65-B6D247480039}"/>
    <hyperlink ref="B79" location="'S.30.03.01'!A1" display="S.30.03.01 - Outgoing Reinsurance Program basic data" xr:uid="{8B866240-2EE1-486B-A04E-93F842745CF7}"/>
    <hyperlink ref="B80" location="'S.30.04.01'!A1" display="S.30.04.01 - Outgoing Reinsurance Program shares data" xr:uid="{8152060D-9EAE-432B-B5CE-9D648B0426F2}"/>
    <hyperlink ref="B81" location="'S.31.01.01'!A1" display="S.31.01.01 - Share of reinsurers (including Finite Reinsurance and SPV's)" xr:uid="{4C864916-C4F3-4468-9428-95B2EC38EA75}"/>
    <hyperlink ref="B82" location="'S.31.02.01'!A1" display="S.31.02.01 - Special Purpose Vehicles" xr:uid="{8BAED6B3-F175-4093-BAC6-B54A6E512122}"/>
    <hyperlink ref="B83" location="'S.36.01.01'!A1" display="S.36.01.01 - IGT - Equity-type transactions, debt and asset transfer" xr:uid="{921AA0B8-17B1-4F93-9E6D-D0E806E5A881}"/>
    <hyperlink ref="B84" location="'S.36.02.01'!A1" display="S.36.02.01 - IGT - Derivatives" xr:uid="{B3C77B4C-2E5F-4B39-868F-B4AC34CBAAA3}"/>
    <hyperlink ref="B85" location="'S.36.03.01'!A1" display="S.36.03.01 - IGT - Internal reinsurance" xr:uid="{620C51F5-8F86-481A-A8CE-7E980C66C625}"/>
    <hyperlink ref="B86" location="'S.36.04.01'!A1" display="S.36.04.01 - IGT - Cost Sharing, contingent liabilities, off BS and other items" xr:uid="{60F7037E-CC48-4C28-9A87-FA5C7BA2B29E}"/>
  </hyperlink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C5B6-D8F8-4393-B40D-F47C90300EC3}">
  <sheetPr codeName="Blad60"/>
  <dimension ref="B2:Q15"/>
  <sheetViews>
    <sheetView showGridLines="0" workbookViewId="0"/>
  </sheetViews>
  <sheetFormatPr defaultRowHeight="15"/>
  <cols>
    <col min="2" max="2" width="17.42578125" bestFit="1" customWidth="1"/>
    <col min="3" max="3" width="15.7109375" customWidth="1"/>
    <col min="4" max="6" width="40.7109375" customWidth="1"/>
    <col min="7" max="7" width="15.7109375" customWidth="1"/>
  </cols>
  <sheetData>
    <row r="2" spans="2:17" ht="23.25">
      <c r="B2" s="95" t="s">
        <v>594</v>
      </c>
      <c r="C2" s="96"/>
      <c r="D2" s="96"/>
      <c r="E2" s="96"/>
      <c r="F2" s="96"/>
      <c r="G2" s="96"/>
      <c r="H2" s="96"/>
      <c r="I2" s="96"/>
      <c r="J2" s="96"/>
      <c r="K2" s="96"/>
      <c r="L2" s="96"/>
      <c r="M2" s="96"/>
      <c r="N2" s="96"/>
      <c r="O2" s="96"/>
    </row>
    <row r="5" spans="2:17" ht="18.75">
      <c r="B5" s="97" t="s">
        <v>3652</v>
      </c>
      <c r="C5" s="96"/>
      <c r="D5" s="96"/>
      <c r="E5" s="96"/>
      <c r="F5" s="96"/>
      <c r="G5" s="96"/>
      <c r="H5" s="96"/>
      <c r="I5" s="96"/>
      <c r="J5" s="96"/>
      <c r="K5" s="96"/>
      <c r="L5" s="96"/>
    </row>
    <row r="9" spans="2:17">
      <c r="B9" s="98" t="s">
        <v>3374</v>
      </c>
      <c r="C9" s="98" t="s">
        <v>3653</v>
      </c>
      <c r="D9" s="101" t="s">
        <v>2877</v>
      </c>
      <c r="E9" s="102"/>
      <c r="F9" s="102"/>
      <c r="G9" s="103"/>
    </row>
    <row r="10" spans="2:17">
      <c r="B10" s="99"/>
      <c r="C10" s="99"/>
      <c r="D10" s="104"/>
      <c r="E10" s="105"/>
      <c r="F10" s="105"/>
      <c r="G10" s="106"/>
    </row>
    <row r="11" spans="2:17">
      <c r="B11" s="100"/>
      <c r="C11" s="100"/>
      <c r="D11" s="55" t="s">
        <v>3654</v>
      </c>
      <c r="E11" s="55" t="s">
        <v>3655</v>
      </c>
      <c r="F11" s="55" t="s">
        <v>3606</v>
      </c>
      <c r="G11" s="55" t="s">
        <v>3656</v>
      </c>
    </row>
    <row r="12" spans="2:17">
      <c r="B12" s="42" t="s">
        <v>3239</v>
      </c>
      <c r="C12" s="42" t="s">
        <v>2879</v>
      </c>
      <c r="D12" s="42" t="s">
        <v>3225</v>
      </c>
      <c r="E12" s="42" t="s">
        <v>3223</v>
      </c>
      <c r="F12" s="42" t="s">
        <v>3229</v>
      </c>
      <c r="G12" s="42" t="s">
        <v>3231</v>
      </c>
      <c r="P12" s="13" t="str">
        <f>Show!$B$56&amp;"S.06.03.01.01 Rows {"&amp;COLUMN($B$1)&amp;"}"&amp;"@ForceFilingCode:true"</f>
        <v>!S.06.03.01.01 Rows {2}@ForceFilingCode:true</v>
      </c>
      <c r="Q12" s="13" t="str">
        <f>Show!$B$56&amp;"S.06.03.01.01 Columns {"&amp;COLUMN($B$1)&amp;"}"</f>
        <v>!S.06.03.01.01 Columns {2}</v>
      </c>
    </row>
    <row r="13" spans="2:17">
      <c r="B13" s="50"/>
      <c r="C13" s="50"/>
      <c r="D13" s="51"/>
      <c r="E13" s="51"/>
      <c r="F13" s="51"/>
      <c r="G13" s="60"/>
    </row>
    <row r="15" spans="2:17">
      <c r="P15" s="13" t="str">
        <f>Show!$B$56&amp;Show!$B$56&amp;"S.06.03.01.01 Rows {"&amp;COLUMN($B$1)&amp;"}"</f>
        <v>!!S.06.03.01.01 Rows {2}</v>
      </c>
      <c r="Q15" s="13" t="str">
        <f>Show!$B$56&amp;Show!$B$56&amp;"S.06.03.01.01 Columns {"&amp;COLUMN($G$1)&amp;"}"</f>
        <v>!!S.06.03.01.01 Columns {7}</v>
      </c>
    </row>
  </sheetData>
  <sheetProtection sheet="1" objects="1" scenarios="1"/>
  <mergeCells count="5">
    <mergeCell ref="B2:O2"/>
    <mergeCell ref="B5:L5"/>
    <mergeCell ref="B9:B11"/>
    <mergeCell ref="C9:C11"/>
    <mergeCell ref="D9:G10"/>
  </mergeCells>
  <dataValidations count="3">
    <dataValidation type="list" errorStyle="warning" allowBlank="1" showInputMessage="1" showErrorMessage="1" sqref="D13" xr:uid="{CB3A8131-BCF0-4233-AAD1-DA5363E52C98}">
      <formula1>hier_MC_26</formula1>
    </dataValidation>
    <dataValidation type="list" errorStyle="warning" allowBlank="1" showInputMessage="1" showErrorMessage="1" sqref="E13" xr:uid="{842F20EE-787F-4310-BEA8-5C2EAC945ECE}">
      <formula1>hier_GA_35</formula1>
    </dataValidation>
    <dataValidation type="list" errorStyle="warning" allowBlank="1" showInputMessage="1" showErrorMessage="1" sqref="F13" xr:uid="{2C35A0BF-E7E9-41DE-AD20-BF3E5CB34F30}">
      <formula1>hier_CU_4</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564D-8E9E-42AF-8288-22C6C2B70BED}">
  <sheetPr codeName="Blad61"/>
  <dimension ref="B2:Q15"/>
  <sheetViews>
    <sheetView showGridLines="0" workbookViewId="0"/>
  </sheetViews>
  <sheetFormatPr defaultRowHeight="15"/>
  <cols>
    <col min="2" max="2" width="17.42578125" bestFit="1" customWidth="1"/>
    <col min="3" max="3" width="15.7109375" customWidth="1"/>
    <col min="4" max="6" width="40.7109375" customWidth="1"/>
    <col min="7" max="7" width="15.7109375" customWidth="1"/>
  </cols>
  <sheetData>
    <row r="2" spans="2:17" ht="23.25">
      <c r="B2" s="95" t="s">
        <v>594</v>
      </c>
      <c r="C2" s="96"/>
      <c r="D2" s="96"/>
      <c r="E2" s="96"/>
      <c r="F2" s="96"/>
      <c r="G2" s="96"/>
      <c r="H2" s="96"/>
      <c r="I2" s="96"/>
      <c r="J2" s="96"/>
      <c r="K2" s="96"/>
      <c r="L2" s="96"/>
      <c r="M2" s="96"/>
      <c r="N2" s="96"/>
      <c r="O2" s="96"/>
    </row>
    <row r="5" spans="2:17" ht="18.75">
      <c r="B5" s="97" t="s">
        <v>3657</v>
      </c>
      <c r="C5" s="96"/>
      <c r="D5" s="96"/>
      <c r="E5" s="96"/>
      <c r="F5" s="96"/>
      <c r="G5" s="96"/>
      <c r="H5" s="96"/>
      <c r="I5" s="96"/>
      <c r="J5" s="96"/>
      <c r="K5" s="96"/>
      <c r="L5" s="96"/>
    </row>
    <row r="9" spans="2:17">
      <c r="B9" s="98" t="s">
        <v>3374</v>
      </c>
      <c r="C9" s="98" t="s">
        <v>3653</v>
      </c>
      <c r="D9" s="101" t="s">
        <v>2877</v>
      </c>
      <c r="E9" s="102"/>
      <c r="F9" s="102"/>
      <c r="G9" s="103"/>
    </row>
    <row r="10" spans="2:17">
      <c r="B10" s="99"/>
      <c r="C10" s="99"/>
      <c r="D10" s="104"/>
      <c r="E10" s="105"/>
      <c r="F10" s="105"/>
      <c r="G10" s="106"/>
    </row>
    <row r="11" spans="2:17">
      <c r="B11" s="100"/>
      <c r="C11" s="100"/>
      <c r="D11" s="55" t="s">
        <v>3654</v>
      </c>
      <c r="E11" s="55" t="s">
        <v>3655</v>
      </c>
      <c r="F11" s="55" t="s">
        <v>3606</v>
      </c>
      <c r="G11" s="55" t="s">
        <v>3656</v>
      </c>
    </row>
    <row r="12" spans="2:17">
      <c r="B12" s="42" t="s">
        <v>3239</v>
      </c>
      <c r="C12" s="42" t="s">
        <v>2879</v>
      </c>
      <c r="D12" s="42" t="s">
        <v>3225</v>
      </c>
      <c r="E12" s="42" t="s">
        <v>3223</v>
      </c>
      <c r="F12" s="42" t="s">
        <v>3229</v>
      </c>
      <c r="G12" s="42" t="s">
        <v>3231</v>
      </c>
      <c r="P12" s="13" t="str">
        <f>Show!$B$57&amp;"S.06.03.04.01 Rows {"&amp;COLUMN($B$1)&amp;"}"&amp;"@ForceFilingCode:true"</f>
        <v>!S.06.03.04.01 Rows {2}@ForceFilingCode:true</v>
      </c>
      <c r="Q12" s="13" t="str">
        <f>Show!$B$57&amp;"S.06.03.04.01 Columns {"&amp;COLUMN($B$1)&amp;"}"</f>
        <v>!S.06.03.04.01 Columns {2}</v>
      </c>
    </row>
    <row r="13" spans="2:17">
      <c r="B13" s="50"/>
      <c r="C13" s="50"/>
      <c r="D13" s="51"/>
      <c r="E13" s="51"/>
      <c r="F13" s="51"/>
      <c r="G13" s="60"/>
    </row>
    <row r="15" spans="2:17">
      <c r="P15" s="13" t="str">
        <f>Show!$B$57&amp;Show!$B$57&amp;"S.06.03.04.01 Rows {"&amp;COLUMN($B$1)&amp;"}"</f>
        <v>!!S.06.03.04.01 Rows {2}</v>
      </c>
      <c r="Q15" s="13" t="str">
        <f>Show!$B$57&amp;Show!$B$57&amp;"S.06.03.04.01 Columns {"&amp;COLUMN($G$1)&amp;"}"</f>
        <v>!!S.06.03.04.01 Columns {7}</v>
      </c>
    </row>
  </sheetData>
  <sheetProtection sheet="1" objects="1" scenarios="1"/>
  <mergeCells count="5">
    <mergeCell ref="B2:O2"/>
    <mergeCell ref="B5:L5"/>
    <mergeCell ref="B9:B11"/>
    <mergeCell ref="C9:C11"/>
    <mergeCell ref="D9:G10"/>
  </mergeCells>
  <dataValidations count="3">
    <dataValidation type="list" errorStyle="warning" allowBlank="1" showInputMessage="1" showErrorMessage="1" sqref="D13" xr:uid="{FB00BEC5-33FC-4450-BCC5-2565FBE96D2D}">
      <formula1>hier_MC_26</formula1>
    </dataValidation>
    <dataValidation type="list" errorStyle="warning" allowBlank="1" showInputMessage="1" showErrorMessage="1" sqref="E13" xr:uid="{E5A465B9-7C4A-4108-B23B-261B100B954F}">
      <formula1>hier_GA_35</formula1>
    </dataValidation>
    <dataValidation type="list" errorStyle="warning" allowBlank="1" showInputMessage="1" showErrorMessage="1" sqref="F13" xr:uid="{3FFB99BD-E064-4755-B264-4B221F957869}">
      <formula1>hier_CU_4</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4711-DD6F-4E61-ABB7-C1FF278439A3}">
  <sheetPr codeName="Blad62"/>
  <dimension ref="B2:AA15"/>
  <sheetViews>
    <sheetView showGridLines="0" workbookViewId="0"/>
  </sheetViews>
  <sheetFormatPr defaultRowHeight="15"/>
  <cols>
    <col min="2" max="2" width="17.42578125" bestFit="1" customWidth="1"/>
    <col min="3" max="3" width="15.7109375" customWidth="1"/>
    <col min="4" max="10" width="40.7109375" customWidth="1"/>
    <col min="11" max="11" width="15.7109375" customWidth="1"/>
    <col min="12" max="12" width="40.7109375" customWidth="1"/>
    <col min="13" max="13" width="15.7109375" customWidth="1"/>
    <col min="14" max="14" width="40.7109375" customWidth="1"/>
    <col min="15" max="17" width="15.7109375" customWidth="1"/>
  </cols>
  <sheetData>
    <row r="2" spans="2:27" ht="23.25">
      <c r="B2" s="95" t="s">
        <v>597</v>
      </c>
      <c r="C2" s="96"/>
      <c r="D2" s="96"/>
      <c r="E2" s="96"/>
      <c r="F2" s="96"/>
      <c r="G2" s="96"/>
      <c r="H2" s="96"/>
      <c r="I2" s="96"/>
      <c r="J2" s="96"/>
      <c r="K2" s="96"/>
      <c r="L2" s="96"/>
      <c r="M2" s="96"/>
      <c r="N2" s="96"/>
      <c r="O2" s="96"/>
    </row>
    <row r="5" spans="2:27" ht="18.75">
      <c r="B5" s="97" t="s">
        <v>3658</v>
      </c>
      <c r="C5" s="96"/>
      <c r="D5" s="96"/>
      <c r="E5" s="96"/>
      <c r="F5" s="96"/>
      <c r="G5" s="96"/>
      <c r="H5" s="96"/>
      <c r="I5" s="96"/>
      <c r="J5" s="96"/>
      <c r="K5" s="96"/>
      <c r="L5" s="96"/>
    </row>
    <row r="9" spans="2:27">
      <c r="B9" s="98" t="s">
        <v>3374</v>
      </c>
      <c r="C9" s="98" t="s">
        <v>3582</v>
      </c>
      <c r="D9" s="101" t="s">
        <v>2877</v>
      </c>
      <c r="E9" s="102"/>
      <c r="F9" s="102"/>
      <c r="G9" s="102"/>
      <c r="H9" s="102"/>
      <c r="I9" s="102"/>
      <c r="J9" s="102"/>
      <c r="K9" s="102"/>
      <c r="L9" s="102"/>
      <c r="M9" s="102"/>
      <c r="N9" s="102"/>
      <c r="O9" s="102"/>
      <c r="P9" s="102"/>
      <c r="Q9" s="103"/>
    </row>
    <row r="10" spans="2:27">
      <c r="B10" s="99"/>
      <c r="C10" s="99"/>
      <c r="D10" s="104"/>
      <c r="E10" s="105"/>
      <c r="F10" s="105"/>
      <c r="G10" s="105"/>
      <c r="H10" s="105"/>
      <c r="I10" s="105"/>
      <c r="J10" s="105"/>
      <c r="K10" s="105"/>
      <c r="L10" s="105"/>
      <c r="M10" s="105"/>
      <c r="N10" s="105"/>
      <c r="O10" s="105"/>
      <c r="P10" s="105"/>
      <c r="Q10" s="106"/>
    </row>
    <row r="11" spans="2:27" ht="30">
      <c r="B11" s="100"/>
      <c r="C11" s="100"/>
      <c r="D11" s="55" t="s">
        <v>3659</v>
      </c>
      <c r="E11" s="55" t="s">
        <v>3660</v>
      </c>
      <c r="F11" s="55" t="s">
        <v>3661</v>
      </c>
      <c r="G11" s="55" t="s">
        <v>3662</v>
      </c>
      <c r="H11" s="55" t="s">
        <v>3663</v>
      </c>
      <c r="I11" s="55" t="s">
        <v>3664</v>
      </c>
      <c r="J11" s="55" t="s">
        <v>3665</v>
      </c>
      <c r="K11" s="55" t="s">
        <v>3666</v>
      </c>
      <c r="L11" s="55" t="s">
        <v>3667</v>
      </c>
      <c r="M11" s="55" t="s">
        <v>3668</v>
      </c>
      <c r="N11" s="55" t="s">
        <v>3669</v>
      </c>
      <c r="O11" s="55" t="s">
        <v>3670</v>
      </c>
      <c r="P11" s="55" t="s">
        <v>3671</v>
      </c>
      <c r="Q11" s="55" t="s">
        <v>3672</v>
      </c>
    </row>
    <row r="12" spans="2:27">
      <c r="B12" s="42" t="s">
        <v>3481</v>
      </c>
      <c r="C12" s="42" t="s">
        <v>3223</v>
      </c>
      <c r="D12" s="42" t="s">
        <v>3231</v>
      </c>
      <c r="E12" s="42" t="s">
        <v>3233</v>
      </c>
      <c r="F12" s="42" t="s">
        <v>3234</v>
      </c>
      <c r="G12" s="42" t="s">
        <v>3236</v>
      </c>
      <c r="H12" s="42" t="s">
        <v>3239</v>
      </c>
      <c r="I12" s="42" t="s">
        <v>3241</v>
      </c>
      <c r="J12" s="42" t="s">
        <v>3243</v>
      </c>
      <c r="K12" s="42" t="s">
        <v>3375</v>
      </c>
      <c r="L12" s="42" t="s">
        <v>3475</v>
      </c>
      <c r="M12" s="42" t="s">
        <v>3477</v>
      </c>
      <c r="N12" s="42" t="s">
        <v>3479</v>
      </c>
      <c r="O12" s="42" t="s">
        <v>3594</v>
      </c>
      <c r="P12" s="42" t="s">
        <v>3596</v>
      </c>
      <c r="Q12" s="42" t="s">
        <v>3599</v>
      </c>
      <c r="Z12" s="13" t="str">
        <f>Show!$B$58&amp;"S.07.01.01.01 Rows {"&amp;COLUMN($B$1)&amp;"}"&amp;"@ForceFilingCode:true"</f>
        <v>!S.07.01.01.01 Rows {2}@ForceFilingCode:true</v>
      </c>
      <c r="AA12" s="13" t="str">
        <f>Show!$B$58&amp;"S.07.01.01.01 Columns {"&amp;COLUMN($B$1)&amp;"}"</f>
        <v>!S.07.01.01.01 Columns {2}</v>
      </c>
    </row>
    <row r="13" spans="2:27">
      <c r="B13" s="50"/>
      <c r="C13" s="50"/>
      <c r="D13" s="51"/>
      <c r="E13" s="51"/>
      <c r="F13" s="51"/>
      <c r="G13" s="51"/>
      <c r="H13" s="51"/>
      <c r="I13" s="51"/>
      <c r="J13" s="51"/>
      <c r="K13" s="60"/>
      <c r="L13" s="51"/>
      <c r="M13" s="70"/>
      <c r="N13" s="51"/>
      <c r="O13" s="70"/>
      <c r="P13" s="70"/>
      <c r="Q13" s="70"/>
    </row>
    <row r="15" spans="2:27">
      <c r="Z15" s="13" t="str">
        <f>Show!$B$58&amp;Show!$B$58&amp;"S.07.01.01.01 Rows {"&amp;COLUMN($B$1)&amp;"}"</f>
        <v>!!S.07.01.01.01 Rows {2}</v>
      </c>
      <c r="AA15" s="13" t="str">
        <f>Show!$B$58&amp;Show!$B$58&amp;"S.07.01.01.01 Columns {"&amp;COLUMN($Q$1)&amp;"}"</f>
        <v>!!S.07.01.01.01 Columns {17}</v>
      </c>
    </row>
  </sheetData>
  <sheetProtection sheet="1" objects="1" scenarios="1"/>
  <mergeCells count="5">
    <mergeCell ref="B2:O2"/>
    <mergeCell ref="B5:L5"/>
    <mergeCell ref="B9:B11"/>
    <mergeCell ref="C9:C11"/>
    <mergeCell ref="D9:Q10"/>
  </mergeCells>
  <dataValidations count="8">
    <dataValidation type="list" errorStyle="warning" allowBlank="1" showInputMessage="1" showErrorMessage="1" sqref="D13" xr:uid="{05F5D987-7770-4823-94F2-AE0481564A95}">
      <formula1>hier_MC_29</formula1>
    </dataValidation>
    <dataValidation type="list" errorStyle="warning" allowBlank="1" showInputMessage="1" showErrorMessage="1" sqref="E13" xr:uid="{CE284037-A8BE-47C7-869D-5E1D536652F2}">
      <formula1>hier_LB_51</formula1>
    </dataValidation>
    <dataValidation type="list" errorStyle="warning" allowBlank="1" showInputMessage="1" showErrorMessage="1" sqref="F13" xr:uid="{CAABA1FB-8374-41B8-8AA0-4E7928F2772E}">
      <formula1>hier_CG_5</formula1>
    </dataValidation>
    <dataValidation type="list" errorStyle="warning" allowBlank="1" showInputMessage="1" showErrorMessage="1" sqref="G13" xr:uid="{FACA0B73-2334-4CFF-A1A6-A5B090286353}">
      <formula1>hier_PC_2</formula1>
    </dataValidation>
    <dataValidation type="list" errorStyle="warning" allowBlank="1" showInputMessage="1" showErrorMessage="1" sqref="H13" xr:uid="{09ED48EC-B123-4695-9F1C-CD9FF9838BBA}">
      <formula1>hier_PC_1</formula1>
    </dataValidation>
    <dataValidation type="list" errorStyle="warning" allowBlank="1" showInputMessage="1" showErrorMessage="1" sqref="I13" xr:uid="{A30AC9C6-4AB2-48AE-98EA-7AD6A1BBAD66}">
      <formula1>hier_MC_30</formula1>
    </dataValidation>
    <dataValidation type="list" errorStyle="warning" allowBlank="1" showInputMessage="1" showErrorMessage="1" sqref="J13" xr:uid="{3DFFF00F-29BF-4432-B6B6-80F2A2892A0B}">
      <formula1>hier_PC_3</formula1>
    </dataValidation>
    <dataValidation type="list" errorStyle="warning" allowBlank="1" showInputMessage="1" showErrorMessage="1" sqref="L13" xr:uid="{9EF97982-7046-4333-AF24-5651A2912E84}">
      <formula1>hier_CG_11</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5F59-E82C-4D31-80FF-215FB1D59001}">
  <sheetPr codeName="Blad63"/>
  <dimension ref="B2:AD15"/>
  <sheetViews>
    <sheetView showGridLines="0" workbookViewId="0"/>
  </sheetViews>
  <sheetFormatPr defaultRowHeight="15"/>
  <cols>
    <col min="2" max="2" width="17.42578125" bestFit="1" customWidth="1"/>
    <col min="3" max="4" width="15.7109375" customWidth="1"/>
    <col min="5" max="12" width="40.7109375" customWidth="1"/>
    <col min="13" max="13" width="15.7109375" customWidth="1"/>
    <col min="14" max="14" width="40.7109375" customWidth="1"/>
    <col min="15" max="15" width="15.7109375" customWidth="1"/>
    <col min="16" max="16" width="40.7109375" customWidth="1"/>
    <col min="17" max="19" width="15.7109375" customWidth="1"/>
  </cols>
  <sheetData>
    <row r="2" spans="2:30" ht="23.25">
      <c r="B2" s="95" t="s">
        <v>597</v>
      </c>
      <c r="C2" s="96"/>
      <c r="D2" s="96"/>
      <c r="E2" s="96"/>
      <c r="F2" s="96"/>
      <c r="G2" s="96"/>
      <c r="H2" s="96"/>
      <c r="I2" s="96"/>
      <c r="J2" s="96"/>
      <c r="K2" s="96"/>
      <c r="L2" s="96"/>
      <c r="M2" s="96"/>
      <c r="N2" s="96"/>
      <c r="O2" s="96"/>
    </row>
    <row r="5" spans="2:30" ht="18.75">
      <c r="B5" s="97" t="s">
        <v>3673</v>
      </c>
      <c r="C5" s="96"/>
      <c r="D5" s="96"/>
      <c r="E5" s="96"/>
      <c r="F5" s="96"/>
      <c r="G5" s="96"/>
      <c r="H5" s="96"/>
      <c r="I5" s="96"/>
      <c r="J5" s="96"/>
      <c r="K5" s="96"/>
      <c r="L5" s="96"/>
    </row>
    <row r="9" spans="2:30">
      <c r="B9" s="98" t="s">
        <v>3374</v>
      </c>
      <c r="C9" s="98" t="s">
        <v>3245</v>
      </c>
      <c r="D9" s="98" t="s">
        <v>3582</v>
      </c>
      <c r="E9" s="101" t="s">
        <v>2877</v>
      </c>
      <c r="F9" s="102"/>
      <c r="G9" s="102"/>
      <c r="H9" s="102"/>
      <c r="I9" s="102"/>
      <c r="J9" s="102"/>
      <c r="K9" s="102"/>
      <c r="L9" s="102"/>
      <c r="M9" s="102"/>
      <c r="N9" s="102"/>
      <c r="O9" s="102"/>
      <c r="P9" s="102"/>
      <c r="Q9" s="102"/>
      <c r="R9" s="102"/>
      <c r="S9" s="103"/>
    </row>
    <row r="10" spans="2:30">
      <c r="B10" s="99"/>
      <c r="C10" s="99"/>
      <c r="D10" s="99"/>
      <c r="E10" s="104"/>
      <c r="F10" s="105"/>
      <c r="G10" s="105"/>
      <c r="H10" s="105"/>
      <c r="I10" s="105"/>
      <c r="J10" s="105"/>
      <c r="K10" s="105"/>
      <c r="L10" s="105"/>
      <c r="M10" s="105"/>
      <c r="N10" s="105"/>
      <c r="O10" s="105"/>
      <c r="P10" s="105"/>
      <c r="Q10" s="105"/>
      <c r="R10" s="105"/>
      <c r="S10" s="106"/>
    </row>
    <row r="11" spans="2:30" ht="30">
      <c r="B11" s="100"/>
      <c r="C11" s="100"/>
      <c r="D11" s="100"/>
      <c r="E11" s="55" t="s">
        <v>3246</v>
      </c>
      <c r="F11" s="55" t="s">
        <v>3659</v>
      </c>
      <c r="G11" s="55" t="s">
        <v>3660</v>
      </c>
      <c r="H11" s="55" t="s">
        <v>3661</v>
      </c>
      <c r="I11" s="55" t="s">
        <v>3662</v>
      </c>
      <c r="J11" s="55" t="s">
        <v>3663</v>
      </c>
      <c r="K11" s="55" t="s">
        <v>3664</v>
      </c>
      <c r="L11" s="55" t="s">
        <v>3665</v>
      </c>
      <c r="M11" s="55" t="s">
        <v>3666</v>
      </c>
      <c r="N11" s="55" t="s">
        <v>3667</v>
      </c>
      <c r="O11" s="55" t="s">
        <v>3668</v>
      </c>
      <c r="P11" s="55" t="s">
        <v>3669</v>
      </c>
      <c r="Q11" s="55" t="s">
        <v>3670</v>
      </c>
      <c r="R11" s="55" t="s">
        <v>3671</v>
      </c>
      <c r="S11" s="55" t="s">
        <v>3672</v>
      </c>
    </row>
    <row r="12" spans="2:30">
      <c r="B12" s="42" t="s">
        <v>3481</v>
      </c>
      <c r="C12" s="42" t="s">
        <v>3219</v>
      </c>
      <c r="D12" s="42" t="s">
        <v>3223</v>
      </c>
      <c r="E12" s="42" t="s">
        <v>2879</v>
      </c>
      <c r="F12" s="42" t="s">
        <v>3231</v>
      </c>
      <c r="G12" s="42" t="s">
        <v>3233</v>
      </c>
      <c r="H12" s="42" t="s">
        <v>3234</v>
      </c>
      <c r="I12" s="42" t="s">
        <v>3236</v>
      </c>
      <c r="J12" s="42" t="s">
        <v>3239</v>
      </c>
      <c r="K12" s="42" t="s">
        <v>3241</v>
      </c>
      <c r="L12" s="42" t="s">
        <v>3243</v>
      </c>
      <c r="M12" s="42" t="s">
        <v>3375</v>
      </c>
      <c r="N12" s="42" t="s">
        <v>3475</v>
      </c>
      <c r="O12" s="42" t="s">
        <v>3477</v>
      </c>
      <c r="P12" s="42" t="s">
        <v>3479</v>
      </c>
      <c r="Q12" s="42" t="s">
        <v>3594</v>
      </c>
      <c r="R12" s="42" t="s">
        <v>3596</v>
      </c>
      <c r="S12" s="42" t="s">
        <v>3599</v>
      </c>
      <c r="AC12" s="13" t="str">
        <f>Show!$B$59&amp;"S.07.01.04.01 Rows {"&amp;COLUMN($B$1)&amp;"}"&amp;"@ForceFilingCode:true"</f>
        <v>!S.07.01.04.01 Rows {2}@ForceFilingCode:true</v>
      </c>
      <c r="AD12" s="13" t="str">
        <f>Show!$B$59&amp;"S.07.01.04.01 Columns {"&amp;COLUMN($B$1)&amp;"}"</f>
        <v>!S.07.01.04.01 Columns {2}</v>
      </c>
    </row>
    <row r="13" spans="2:30">
      <c r="B13" s="50"/>
      <c r="C13" s="50"/>
      <c r="D13" s="50"/>
      <c r="E13" s="51"/>
      <c r="F13" s="51"/>
      <c r="G13" s="51"/>
      <c r="H13" s="51"/>
      <c r="I13" s="51"/>
      <c r="J13" s="51"/>
      <c r="K13" s="51"/>
      <c r="L13" s="51"/>
      <c r="M13" s="60"/>
      <c r="N13" s="51"/>
      <c r="O13" s="70"/>
      <c r="P13" s="51"/>
      <c r="Q13" s="70"/>
      <c r="R13" s="70"/>
      <c r="S13" s="70"/>
    </row>
    <row r="15" spans="2:30">
      <c r="AC15" s="13" t="str">
        <f>Show!$B$59&amp;Show!$B$59&amp;"S.07.01.04.01 Rows {"&amp;COLUMN($B$1)&amp;"}"</f>
        <v>!!S.07.01.04.01 Rows {2}</v>
      </c>
      <c r="AD15" s="13" t="str">
        <f>Show!$B$59&amp;Show!$B$59&amp;"S.07.01.04.01 Columns {"&amp;COLUMN($S$1)&amp;"}"</f>
        <v>!!S.07.01.04.01 Columns {19}</v>
      </c>
    </row>
  </sheetData>
  <sheetProtection sheet="1" objects="1" scenarios="1"/>
  <mergeCells count="6">
    <mergeCell ref="B2:O2"/>
    <mergeCell ref="B5:L5"/>
    <mergeCell ref="B9:B11"/>
    <mergeCell ref="C9:C11"/>
    <mergeCell ref="D9:D11"/>
    <mergeCell ref="E9:S10"/>
  </mergeCells>
  <dataValidations count="8">
    <dataValidation type="list" errorStyle="warning" allowBlank="1" showInputMessage="1" showErrorMessage="1" sqref="F13" xr:uid="{C2D65EE0-BD2E-4C05-9399-6EE055C36C05}">
      <formula1>hier_MC_29</formula1>
    </dataValidation>
    <dataValidation type="list" errorStyle="warning" allowBlank="1" showInputMessage="1" showErrorMessage="1" sqref="G13" xr:uid="{63770B4D-74EC-4298-A388-731719CC96B0}">
      <formula1>hier_LB_51</formula1>
    </dataValidation>
    <dataValidation type="list" errorStyle="warning" allowBlank="1" showInputMessage="1" showErrorMessage="1" sqref="H13" xr:uid="{0FB4BFC3-9000-442A-95C6-3A34BE408B82}">
      <formula1>hier_CG_5</formula1>
    </dataValidation>
    <dataValidation type="list" errorStyle="warning" allowBlank="1" showInputMessage="1" showErrorMessage="1" sqref="I13" xr:uid="{1F82725B-1F7B-41EC-AAA4-4BB8A52CDCB5}">
      <formula1>hier_PC_2</formula1>
    </dataValidation>
    <dataValidation type="list" errorStyle="warning" allowBlank="1" showInputMessage="1" showErrorMessage="1" sqref="J13" xr:uid="{F551F1D6-30F2-4837-9978-5CF4591C1E42}">
      <formula1>hier_PC_1</formula1>
    </dataValidation>
    <dataValidation type="list" errorStyle="warning" allowBlank="1" showInputMessage="1" showErrorMessage="1" sqref="K13" xr:uid="{4F1E6EC1-3E48-490B-8B37-2FFFE68EA9A5}">
      <formula1>hier_MC_30</formula1>
    </dataValidation>
    <dataValidation type="list" errorStyle="warning" allowBlank="1" showInputMessage="1" showErrorMessage="1" sqref="L13" xr:uid="{425626CA-2F36-41DF-BAFA-3FB450B76050}">
      <formula1>hier_PC_3</formula1>
    </dataValidation>
    <dataValidation type="list" errorStyle="warning" allowBlank="1" showInputMessage="1" showErrorMessage="1" sqref="N13" xr:uid="{334C6008-16E3-453D-AA4D-D29218FD248D}">
      <formula1>hier_CG_11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A0EA-8C91-4793-A50C-D898484AF069}">
  <sheetPr codeName="Blad64"/>
  <dimension ref="B2:AH27"/>
  <sheetViews>
    <sheetView showGridLines="0" workbookViewId="0"/>
  </sheetViews>
  <sheetFormatPr defaultRowHeight="15"/>
  <cols>
    <col min="2" max="2" width="33.5703125" bestFit="1" customWidth="1"/>
    <col min="3" max="17" width="40.7109375" customWidth="1"/>
    <col min="18" max="21" width="15.7109375" customWidth="1"/>
    <col min="22" max="22" width="40.7109375" customWidth="1"/>
  </cols>
  <sheetData>
    <row r="2" spans="2:34" ht="23.25">
      <c r="B2" s="95" t="s">
        <v>600</v>
      </c>
      <c r="C2" s="96"/>
      <c r="D2" s="96"/>
      <c r="E2" s="96"/>
      <c r="F2" s="96"/>
      <c r="G2" s="96"/>
      <c r="H2" s="96"/>
      <c r="I2" s="96"/>
      <c r="J2" s="96"/>
      <c r="K2" s="96"/>
      <c r="L2" s="96"/>
      <c r="M2" s="96"/>
      <c r="N2" s="96"/>
      <c r="O2" s="96"/>
    </row>
    <row r="5" spans="2:34" ht="18.75">
      <c r="B5" s="97" t="s">
        <v>3674</v>
      </c>
      <c r="C5" s="96"/>
      <c r="D5" s="96"/>
      <c r="E5" s="96"/>
      <c r="F5" s="96"/>
      <c r="G5" s="96"/>
      <c r="H5" s="96"/>
      <c r="I5" s="96"/>
      <c r="J5" s="96"/>
      <c r="K5" s="96"/>
      <c r="L5" s="96"/>
    </row>
    <row r="9" spans="2:34">
      <c r="B9" s="98" t="s">
        <v>3374</v>
      </c>
      <c r="C9" s="98" t="s">
        <v>3676</v>
      </c>
      <c r="D9" s="98" t="s">
        <v>3322</v>
      </c>
      <c r="E9" s="98" t="s">
        <v>3677</v>
      </c>
      <c r="F9" s="101" t="s">
        <v>2877</v>
      </c>
      <c r="G9" s="102"/>
      <c r="H9" s="102"/>
      <c r="I9" s="102"/>
      <c r="J9" s="102"/>
      <c r="K9" s="102"/>
      <c r="L9" s="102"/>
      <c r="M9" s="102"/>
      <c r="N9" s="102"/>
      <c r="O9" s="102"/>
      <c r="P9" s="102"/>
      <c r="Q9" s="102"/>
      <c r="R9" s="102"/>
      <c r="S9" s="102"/>
      <c r="T9" s="102"/>
      <c r="U9" s="102"/>
      <c r="V9" s="103"/>
    </row>
    <row r="10" spans="2:34">
      <c r="B10" s="99"/>
      <c r="C10" s="99"/>
      <c r="D10" s="99"/>
      <c r="E10" s="99"/>
      <c r="F10" s="104"/>
      <c r="G10" s="105"/>
      <c r="H10" s="105"/>
      <c r="I10" s="105"/>
      <c r="J10" s="105"/>
      <c r="K10" s="105"/>
      <c r="L10" s="105"/>
      <c r="M10" s="105"/>
      <c r="N10" s="105"/>
      <c r="O10" s="105"/>
      <c r="P10" s="105"/>
      <c r="Q10" s="105"/>
      <c r="R10" s="105"/>
      <c r="S10" s="105"/>
      <c r="T10" s="105"/>
      <c r="U10" s="105"/>
      <c r="V10" s="106"/>
    </row>
    <row r="11" spans="2:34" ht="30">
      <c r="B11" s="100"/>
      <c r="C11" s="100"/>
      <c r="D11" s="100"/>
      <c r="E11" s="100"/>
      <c r="F11" s="55" t="s">
        <v>3584</v>
      </c>
      <c r="G11" s="55" t="s">
        <v>3678</v>
      </c>
      <c r="H11" s="55" t="s">
        <v>3679</v>
      </c>
      <c r="I11" s="55" t="s">
        <v>3680</v>
      </c>
      <c r="J11" s="55" t="s">
        <v>3681</v>
      </c>
      <c r="K11" s="55" t="s">
        <v>3682</v>
      </c>
      <c r="L11" s="55" t="s">
        <v>3683</v>
      </c>
      <c r="M11" s="55" t="s">
        <v>3684</v>
      </c>
      <c r="N11" s="55" t="s">
        <v>3685</v>
      </c>
      <c r="O11" s="55" t="s">
        <v>3686</v>
      </c>
      <c r="P11" s="55" t="s">
        <v>3687</v>
      </c>
      <c r="Q11" s="55" t="s">
        <v>3688</v>
      </c>
      <c r="R11" s="55" t="s">
        <v>3689</v>
      </c>
      <c r="S11" s="55" t="s">
        <v>3690</v>
      </c>
      <c r="T11" s="55" t="s">
        <v>3621</v>
      </c>
      <c r="U11" s="55" t="s">
        <v>3250</v>
      </c>
      <c r="V11" s="55" t="s">
        <v>3591</v>
      </c>
    </row>
    <row r="12" spans="2:34">
      <c r="B12" s="42" t="s">
        <v>3675</v>
      </c>
      <c r="C12" s="42" t="s">
        <v>3223</v>
      </c>
      <c r="D12" s="42" t="s">
        <v>3233</v>
      </c>
      <c r="E12" s="42" t="s">
        <v>3236</v>
      </c>
      <c r="F12" s="42" t="s">
        <v>3231</v>
      </c>
      <c r="G12" s="42" t="s">
        <v>3234</v>
      </c>
      <c r="H12" s="42" t="s">
        <v>3241</v>
      </c>
      <c r="I12" s="42" t="s">
        <v>3243</v>
      </c>
      <c r="J12" s="42" t="s">
        <v>3375</v>
      </c>
      <c r="K12" s="42" t="s">
        <v>3475</v>
      </c>
      <c r="L12" s="42" t="s">
        <v>3477</v>
      </c>
      <c r="M12" s="42" t="s">
        <v>3479</v>
      </c>
      <c r="N12" s="42" t="s">
        <v>3594</v>
      </c>
      <c r="O12" s="42" t="s">
        <v>3596</v>
      </c>
      <c r="P12" s="42" t="s">
        <v>3599</v>
      </c>
      <c r="Q12" s="42" t="s">
        <v>3481</v>
      </c>
      <c r="R12" s="42" t="s">
        <v>3508</v>
      </c>
      <c r="S12" s="42" t="s">
        <v>3509</v>
      </c>
      <c r="T12" s="42" t="s">
        <v>3511</v>
      </c>
      <c r="U12" s="42" t="s">
        <v>3513</v>
      </c>
      <c r="V12" s="42" t="s">
        <v>3514</v>
      </c>
      <c r="AG12" s="13" t="str">
        <f>Show!$B$60&amp;"S.08.01.01.01 Rows {"&amp;COLUMN($B$1)&amp;"}"&amp;"@ForceFilingCode:true"</f>
        <v>!S.08.01.01.01 Rows {2}@ForceFilingCode:true</v>
      </c>
      <c r="AH12" s="13" t="str">
        <f>Show!$B$60&amp;"S.08.01.01.01 Columns {"&amp;COLUMN($B$1)&amp;"}"</f>
        <v>!S.08.01.01.01 Columns {2}</v>
      </c>
    </row>
    <row r="13" spans="2:34">
      <c r="B13" s="50"/>
      <c r="C13" s="50"/>
      <c r="D13" s="50"/>
      <c r="E13" s="50"/>
      <c r="F13" s="51"/>
      <c r="G13" s="51"/>
      <c r="H13" s="51"/>
      <c r="I13" s="69"/>
      <c r="J13" s="60"/>
      <c r="K13" s="51"/>
      <c r="L13" s="60"/>
      <c r="M13" s="60"/>
      <c r="N13" s="50"/>
      <c r="O13" s="50"/>
      <c r="P13" s="60"/>
      <c r="Q13" s="60"/>
      <c r="R13" s="60"/>
      <c r="S13" s="54"/>
      <c r="T13" s="69"/>
      <c r="U13" s="60"/>
      <c r="V13" s="51"/>
    </row>
    <row r="15" spans="2:34">
      <c r="AG15" s="13" t="str">
        <f>Show!$B$60&amp;Show!$B$60&amp;"S.08.01.01.01 Rows {"&amp;COLUMN($B$1)&amp;"}"</f>
        <v>!!S.08.01.01.01 Rows {2}</v>
      </c>
      <c r="AH15" s="13" t="str">
        <f>Show!$B$60&amp;Show!$B$60&amp;"S.08.01.01.01 Columns {"&amp;COLUMN($V$1)&amp;"}"</f>
        <v>!!S.08.01.01.01 Columns {22}</v>
      </c>
    </row>
    <row r="17" spans="2:34" ht="18.75">
      <c r="B17" s="97" t="s">
        <v>3691</v>
      </c>
      <c r="C17" s="96"/>
      <c r="D17" s="96"/>
      <c r="E17" s="96"/>
      <c r="F17" s="96"/>
      <c r="G17" s="96"/>
      <c r="H17" s="96"/>
      <c r="I17" s="96"/>
      <c r="J17" s="96"/>
      <c r="K17" s="96"/>
      <c r="L17" s="96"/>
    </row>
    <row r="21" spans="2:34">
      <c r="B21" s="98" t="s">
        <v>3676</v>
      </c>
      <c r="C21" s="101" t="s">
        <v>2877</v>
      </c>
      <c r="D21" s="102"/>
      <c r="E21" s="102"/>
      <c r="F21" s="102"/>
      <c r="G21" s="102"/>
      <c r="H21" s="102"/>
      <c r="I21" s="102"/>
      <c r="J21" s="102"/>
      <c r="K21" s="102"/>
      <c r="L21" s="102"/>
      <c r="M21" s="102"/>
      <c r="N21" s="102"/>
      <c r="O21" s="102"/>
      <c r="P21" s="102"/>
      <c r="Q21" s="102"/>
      <c r="R21" s="103"/>
    </row>
    <row r="22" spans="2:34">
      <c r="B22" s="99"/>
      <c r="C22" s="104"/>
      <c r="D22" s="105"/>
      <c r="E22" s="105"/>
      <c r="F22" s="105"/>
      <c r="G22" s="105"/>
      <c r="H22" s="105"/>
      <c r="I22" s="105"/>
      <c r="J22" s="105"/>
      <c r="K22" s="105"/>
      <c r="L22" s="105"/>
      <c r="M22" s="105"/>
      <c r="N22" s="105"/>
      <c r="O22" s="105"/>
      <c r="P22" s="105"/>
      <c r="Q22" s="105"/>
      <c r="R22" s="106"/>
    </row>
    <row r="23" spans="2:34">
      <c r="B23" s="100"/>
      <c r="C23" s="55" t="s">
        <v>3692</v>
      </c>
      <c r="D23" s="55" t="s">
        <v>3693</v>
      </c>
      <c r="E23" s="55" t="s">
        <v>3613</v>
      </c>
      <c r="F23" s="55" t="s">
        <v>3615</v>
      </c>
      <c r="G23" s="55" t="s">
        <v>3617</v>
      </c>
      <c r="H23" s="55" t="s">
        <v>3619</v>
      </c>
      <c r="I23" s="55" t="s">
        <v>3694</v>
      </c>
      <c r="J23" s="55" t="s">
        <v>3695</v>
      </c>
      <c r="K23" s="55" t="s">
        <v>3696</v>
      </c>
      <c r="L23" s="55" t="s">
        <v>3606</v>
      </c>
      <c r="M23" s="55" t="s">
        <v>3607</v>
      </c>
      <c r="N23" s="55" t="s">
        <v>3697</v>
      </c>
      <c r="O23" s="55" t="s">
        <v>3698</v>
      </c>
      <c r="P23" s="55" t="s">
        <v>3699</v>
      </c>
      <c r="Q23" s="55" t="s">
        <v>3700</v>
      </c>
      <c r="R23" s="55" t="s">
        <v>3627</v>
      </c>
    </row>
    <row r="24" spans="2:34">
      <c r="B24" s="42" t="s">
        <v>3223</v>
      </c>
      <c r="C24" s="42" t="s">
        <v>3515</v>
      </c>
      <c r="D24" s="42" t="s">
        <v>3517</v>
      </c>
      <c r="E24" s="42" t="s">
        <v>3608</v>
      </c>
      <c r="F24" s="42" t="s">
        <v>3519</v>
      </c>
      <c r="G24" s="42" t="s">
        <v>3612</v>
      </c>
      <c r="H24" s="42" t="s">
        <v>3614</v>
      </c>
      <c r="I24" s="42" t="s">
        <v>3616</v>
      </c>
      <c r="J24" s="42" t="s">
        <v>3618</v>
      </c>
      <c r="K24" s="42" t="s">
        <v>3622</v>
      </c>
      <c r="L24" s="42" t="s">
        <v>3624</v>
      </c>
      <c r="M24" s="42" t="s">
        <v>3626</v>
      </c>
      <c r="N24" s="42" t="s">
        <v>3628</v>
      </c>
      <c r="O24" s="42" t="s">
        <v>3634</v>
      </c>
      <c r="P24" s="42" t="s">
        <v>3636</v>
      </c>
      <c r="Q24" s="42" t="s">
        <v>3701</v>
      </c>
      <c r="R24" s="42" t="s">
        <v>3702</v>
      </c>
      <c r="AG24" s="13" t="str">
        <f>Show!$B$60&amp;"S.08.01.01.02 Rows {"&amp;COLUMN($B$1)&amp;"}"&amp;"@ForceFilingCode:true"</f>
        <v>!S.08.01.01.02 Rows {2}@ForceFilingCode:true</v>
      </c>
      <c r="AH24" s="13" t="str">
        <f>Show!$B$60&amp;"S.08.01.01.02 Columns {"&amp;COLUMN($B$1)&amp;"}"</f>
        <v>!S.08.01.01.02 Columns {2}</v>
      </c>
    </row>
    <row r="25" spans="2:34">
      <c r="B25" s="50"/>
      <c r="C25" s="51"/>
      <c r="D25" s="51"/>
      <c r="E25" s="51"/>
      <c r="F25" s="51"/>
      <c r="G25" s="51"/>
      <c r="H25" s="51"/>
      <c r="I25" s="51"/>
      <c r="J25" s="51"/>
      <c r="K25" s="51"/>
      <c r="L25" s="51"/>
      <c r="M25" s="51"/>
      <c r="N25" s="51"/>
      <c r="O25" s="51"/>
      <c r="P25" s="51"/>
      <c r="Q25" s="51"/>
      <c r="R25" s="54"/>
    </row>
    <row r="27" spans="2:34">
      <c r="AG27" s="13" t="str">
        <f>Show!$B$60&amp;Show!$B$60&amp;"S.08.01.01.02 Rows {"&amp;COLUMN($B$1)&amp;"}"</f>
        <v>!!S.08.01.01.02 Rows {2}</v>
      </c>
      <c r="AH27" s="13" t="str">
        <f>Show!$B$60&amp;Show!$B$60&amp;"S.08.01.01.02 Columns {"&amp;COLUMN($R$1)&amp;"}"</f>
        <v>!!S.08.01.01.02 Columns {18}</v>
      </c>
    </row>
  </sheetData>
  <sheetProtection sheet="1" objects="1" scenarios="1"/>
  <mergeCells count="10">
    <mergeCell ref="B17:L17"/>
    <mergeCell ref="B21:B23"/>
    <mergeCell ref="C21:R22"/>
    <mergeCell ref="B2:O2"/>
    <mergeCell ref="B5:L5"/>
    <mergeCell ref="B9:B11"/>
    <mergeCell ref="C9:C11"/>
    <mergeCell ref="D9:D11"/>
    <mergeCell ref="E9:E11"/>
    <mergeCell ref="F9:V10"/>
  </mergeCells>
  <dataValidations count="10">
    <dataValidation type="list" errorStyle="warning" allowBlank="1" showInputMessage="1" showErrorMessage="1" sqref="F13" xr:uid="{EEBE65E5-FE9A-40A7-B984-7521D183B565}">
      <formula1>hier_PU_33</formula1>
    </dataValidation>
    <dataValidation type="list" errorStyle="warning" allowBlank="1" showInputMessage="1" showErrorMessage="1" sqref="G13" xr:uid="{DAE2C99A-C5B6-4CE5-8D62-789561FBE2B8}">
      <formula1>hier_LB_4</formula1>
    </dataValidation>
    <dataValidation type="list" errorStyle="warning" allowBlank="1" showInputMessage="1" showErrorMessage="1" sqref="H13" xr:uid="{EE34C687-4DB3-41E3-B969-501DAAAEB98D}">
      <formula1>hier_PU_19</formula1>
    </dataValidation>
    <dataValidation type="list" errorStyle="warning" allowBlank="1" showInputMessage="1" showErrorMessage="1" sqref="K13" xr:uid="{E7943F0A-2773-4488-88A1-4ED9FF308DFD}">
      <formula1>hier_MC_32</formula1>
    </dataValidation>
    <dataValidation type="date" operator="greaterThan" allowBlank="1" showInputMessage="1" showErrorMessage="1" errorTitle="Date value" error="This cell can only contain dates" sqref="S13 R25" xr:uid="{602D6489-B397-4032-98D2-F3D3E2BE9324}">
      <formula1>1</formula1>
    </dataValidation>
    <dataValidation type="list" errorStyle="warning" allowBlank="1" showInputMessage="1" showErrorMessage="1" sqref="V13" xr:uid="{8B10E61E-7C86-49C1-9402-389B63896E62}">
      <formula1>hier_VM_24</formula1>
    </dataValidation>
    <dataValidation type="list" errorStyle="warning" allowBlank="1" showInputMessage="1" showErrorMessage="1" sqref="F25" xr:uid="{9BE5DEE4-088F-4F59-9774-D3988772F403}">
      <formula1>hier_SE_27</formula1>
    </dataValidation>
    <dataValidation type="list" errorStyle="warning" allowBlank="1" showInputMessage="1" showErrorMessage="1" sqref="G25" xr:uid="{C88ECBB3-FF1D-45D3-90B9-AD7FF53EAE6C}">
      <formula1>hier_BR_3</formula1>
    </dataValidation>
    <dataValidation type="list" errorStyle="warning" allowBlank="1" showInputMessage="1" showErrorMessage="1" sqref="L25 P25 Q25" xr:uid="{A6C8744E-AD4C-4726-9EDC-00E924FF532B}">
      <formula1>hier_CU_1</formula1>
    </dataValidation>
    <dataValidation type="list" errorStyle="warning" allowBlank="1" showInputMessage="1" showErrorMessage="1" sqref="O25" xr:uid="{78B4E879-BF21-42F4-8EDB-0C9992FB489C}">
      <formula1>hier_LT_5</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1AB6-FB4D-4CB4-9EAF-979915E97C15}">
  <sheetPr codeName="Blad65"/>
  <dimension ref="B2:AK27"/>
  <sheetViews>
    <sheetView showGridLines="0" workbookViewId="0"/>
  </sheetViews>
  <sheetFormatPr defaultRowHeight="15"/>
  <cols>
    <col min="2" max="2" width="33.5703125" bestFit="1" customWidth="1"/>
    <col min="3" max="17" width="40.7109375" customWidth="1"/>
    <col min="18" max="23" width="15.7109375" customWidth="1"/>
    <col min="24" max="24" width="40.7109375" customWidth="1"/>
  </cols>
  <sheetData>
    <row r="2" spans="2:37" ht="23.25">
      <c r="B2" s="95" t="s">
        <v>600</v>
      </c>
      <c r="C2" s="96"/>
      <c r="D2" s="96"/>
      <c r="E2" s="96"/>
      <c r="F2" s="96"/>
      <c r="G2" s="96"/>
      <c r="H2" s="96"/>
      <c r="I2" s="96"/>
      <c r="J2" s="96"/>
      <c r="K2" s="96"/>
      <c r="L2" s="96"/>
      <c r="M2" s="96"/>
      <c r="N2" s="96"/>
      <c r="O2" s="96"/>
    </row>
    <row r="5" spans="2:37" ht="18.75">
      <c r="B5" s="97" t="s">
        <v>3703</v>
      </c>
      <c r="C5" s="96"/>
      <c r="D5" s="96"/>
      <c r="E5" s="96"/>
      <c r="F5" s="96"/>
      <c r="G5" s="96"/>
      <c r="H5" s="96"/>
      <c r="I5" s="96"/>
      <c r="J5" s="96"/>
      <c r="K5" s="96"/>
      <c r="L5" s="96"/>
    </row>
    <row r="9" spans="2:37">
      <c r="B9" s="98" t="s">
        <v>3374</v>
      </c>
      <c r="C9" s="98" t="s">
        <v>3245</v>
      </c>
      <c r="D9" s="98" t="s">
        <v>3676</v>
      </c>
      <c r="E9" s="98" t="s">
        <v>3322</v>
      </c>
      <c r="F9" s="98" t="s">
        <v>3677</v>
      </c>
      <c r="G9" s="101" t="s">
        <v>2877</v>
      </c>
      <c r="H9" s="102"/>
      <c r="I9" s="102"/>
      <c r="J9" s="102"/>
      <c r="K9" s="102"/>
      <c r="L9" s="102"/>
      <c r="M9" s="102"/>
      <c r="N9" s="102"/>
      <c r="O9" s="102"/>
      <c r="P9" s="102"/>
      <c r="Q9" s="102"/>
      <c r="R9" s="102"/>
      <c r="S9" s="102"/>
      <c r="T9" s="102"/>
      <c r="U9" s="102"/>
      <c r="V9" s="102"/>
      <c r="W9" s="102"/>
      <c r="X9" s="103"/>
    </row>
    <row r="10" spans="2:37">
      <c r="B10" s="99"/>
      <c r="C10" s="99"/>
      <c r="D10" s="99"/>
      <c r="E10" s="99"/>
      <c r="F10" s="99"/>
      <c r="G10" s="104"/>
      <c r="H10" s="105"/>
      <c r="I10" s="105"/>
      <c r="J10" s="105"/>
      <c r="K10" s="105"/>
      <c r="L10" s="105"/>
      <c r="M10" s="105"/>
      <c r="N10" s="105"/>
      <c r="O10" s="105"/>
      <c r="P10" s="105"/>
      <c r="Q10" s="105"/>
      <c r="R10" s="105"/>
      <c r="S10" s="105"/>
      <c r="T10" s="105"/>
      <c r="U10" s="105"/>
      <c r="V10" s="105"/>
      <c r="W10" s="105"/>
      <c r="X10" s="106"/>
    </row>
    <row r="11" spans="2:37" ht="60">
      <c r="B11" s="100"/>
      <c r="C11" s="100"/>
      <c r="D11" s="100"/>
      <c r="E11" s="100"/>
      <c r="F11" s="100"/>
      <c r="G11" s="55" t="s">
        <v>3246</v>
      </c>
      <c r="H11" s="55" t="s">
        <v>3584</v>
      </c>
      <c r="I11" s="55" t="s">
        <v>3678</v>
      </c>
      <c r="J11" s="55" t="s">
        <v>3679</v>
      </c>
      <c r="K11" s="55" t="s">
        <v>3680</v>
      </c>
      <c r="L11" s="55" t="s">
        <v>3681</v>
      </c>
      <c r="M11" s="55" t="s">
        <v>3682</v>
      </c>
      <c r="N11" s="55" t="s">
        <v>3683</v>
      </c>
      <c r="O11" s="55" t="s">
        <v>3684</v>
      </c>
      <c r="P11" s="55" t="s">
        <v>3685</v>
      </c>
      <c r="Q11" s="55" t="s">
        <v>3686</v>
      </c>
      <c r="R11" s="55" t="s">
        <v>3687</v>
      </c>
      <c r="S11" s="55" t="s">
        <v>3688</v>
      </c>
      <c r="T11" s="55" t="s">
        <v>3689</v>
      </c>
      <c r="U11" s="55" t="s">
        <v>3690</v>
      </c>
      <c r="V11" s="55" t="s">
        <v>3621</v>
      </c>
      <c r="W11" s="55" t="s">
        <v>3250</v>
      </c>
      <c r="X11" s="55" t="s">
        <v>3591</v>
      </c>
    </row>
    <row r="12" spans="2:37">
      <c r="B12" s="42" t="s">
        <v>3675</v>
      </c>
      <c r="C12" s="42" t="s">
        <v>3219</v>
      </c>
      <c r="D12" s="42" t="s">
        <v>3223</v>
      </c>
      <c r="E12" s="42" t="s">
        <v>3233</v>
      </c>
      <c r="F12" s="42" t="s">
        <v>3236</v>
      </c>
      <c r="G12" s="42" t="s">
        <v>2879</v>
      </c>
      <c r="H12" s="42" t="s">
        <v>3231</v>
      </c>
      <c r="I12" s="42" t="s">
        <v>3234</v>
      </c>
      <c r="J12" s="42" t="s">
        <v>3241</v>
      </c>
      <c r="K12" s="42" t="s">
        <v>3243</v>
      </c>
      <c r="L12" s="42" t="s">
        <v>3375</v>
      </c>
      <c r="M12" s="42" t="s">
        <v>3475</v>
      </c>
      <c r="N12" s="42" t="s">
        <v>3477</v>
      </c>
      <c r="O12" s="42" t="s">
        <v>3479</v>
      </c>
      <c r="P12" s="42" t="s">
        <v>3594</v>
      </c>
      <c r="Q12" s="42" t="s">
        <v>3596</v>
      </c>
      <c r="R12" s="42" t="s">
        <v>3599</v>
      </c>
      <c r="S12" s="42" t="s">
        <v>3481</v>
      </c>
      <c r="T12" s="42" t="s">
        <v>3508</v>
      </c>
      <c r="U12" s="42" t="s">
        <v>3509</v>
      </c>
      <c r="V12" s="42" t="s">
        <v>3511</v>
      </c>
      <c r="W12" s="42" t="s">
        <v>3513</v>
      </c>
      <c r="X12" s="42" t="s">
        <v>3514</v>
      </c>
      <c r="AJ12" s="13" t="str">
        <f>Show!$B$61&amp;"S.08.01.04.01 Rows {"&amp;COLUMN($B$1)&amp;"}"&amp;"@ForceFilingCode:true"</f>
        <v>!S.08.01.04.01 Rows {2}@ForceFilingCode:true</v>
      </c>
      <c r="AK12" s="13" t="str">
        <f>Show!$B$61&amp;"S.08.01.04.01 Columns {"&amp;COLUMN($B$1)&amp;"}"</f>
        <v>!S.08.01.04.01 Columns {2}</v>
      </c>
    </row>
    <row r="13" spans="2:37">
      <c r="B13" s="50"/>
      <c r="C13" s="50"/>
      <c r="D13" s="50"/>
      <c r="E13" s="50"/>
      <c r="F13" s="50"/>
      <c r="G13" s="51"/>
      <c r="H13" s="51"/>
      <c r="I13" s="51"/>
      <c r="J13" s="51"/>
      <c r="K13" s="69"/>
      <c r="L13" s="60"/>
      <c r="M13" s="51"/>
      <c r="N13" s="60"/>
      <c r="O13" s="60"/>
      <c r="P13" s="50"/>
      <c r="Q13" s="50"/>
      <c r="R13" s="60"/>
      <c r="S13" s="60"/>
      <c r="T13" s="60"/>
      <c r="U13" s="54"/>
      <c r="V13" s="69"/>
      <c r="W13" s="60"/>
      <c r="X13" s="51"/>
    </row>
    <row r="15" spans="2:37">
      <c r="AJ15" s="13" t="str">
        <f>Show!$B$61&amp;Show!$B$61&amp;"S.08.01.04.01 Rows {"&amp;COLUMN($B$1)&amp;"}"</f>
        <v>!!S.08.01.04.01 Rows {2}</v>
      </c>
      <c r="AK15" s="13" t="str">
        <f>Show!$B$61&amp;Show!$B$61&amp;"S.08.01.04.01 Columns {"&amp;COLUMN($X$1)&amp;"}"</f>
        <v>!!S.08.01.04.01 Columns {24}</v>
      </c>
    </row>
    <row r="17" spans="2:37" ht="18.75">
      <c r="B17" s="97" t="s">
        <v>3704</v>
      </c>
      <c r="C17" s="96"/>
      <c r="D17" s="96"/>
      <c r="E17" s="96"/>
      <c r="F17" s="96"/>
      <c r="G17" s="96"/>
      <c r="H17" s="96"/>
      <c r="I17" s="96"/>
      <c r="J17" s="96"/>
      <c r="K17" s="96"/>
      <c r="L17" s="96"/>
    </row>
    <row r="21" spans="2:37">
      <c r="B21" s="98" t="s">
        <v>3676</v>
      </c>
      <c r="C21" s="101" t="s">
        <v>2877</v>
      </c>
      <c r="D21" s="102"/>
      <c r="E21" s="102"/>
      <c r="F21" s="102"/>
      <c r="G21" s="102"/>
      <c r="H21" s="102"/>
      <c r="I21" s="102"/>
      <c r="J21" s="102"/>
      <c r="K21" s="102"/>
      <c r="L21" s="102"/>
      <c r="M21" s="102"/>
      <c r="N21" s="102"/>
      <c r="O21" s="102"/>
      <c r="P21" s="102"/>
      <c r="Q21" s="102"/>
      <c r="R21" s="103"/>
    </row>
    <row r="22" spans="2:37">
      <c r="B22" s="99"/>
      <c r="C22" s="104"/>
      <c r="D22" s="105"/>
      <c r="E22" s="105"/>
      <c r="F22" s="105"/>
      <c r="G22" s="105"/>
      <c r="H22" s="105"/>
      <c r="I22" s="105"/>
      <c r="J22" s="105"/>
      <c r="K22" s="105"/>
      <c r="L22" s="105"/>
      <c r="M22" s="105"/>
      <c r="N22" s="105"/>
      <c r="O22" s="105"/>
      <c r="P22" s="105"/>
      <c r="Q22" s="105"/>
      <c r="R22" s="106"/>
    </row>
    <row r="23" spans="2:37">
      <c r="B23" s="100"/>
      <c r="C23" s="55" t="s">
        <v>3692</v>
      </c>
      <c r="D23" s="55" t="s">
        <v>3693</v>
      </c>
      <c r="E23" s="55" t="s">
        <v>3613</v>
      </c>
      <c r="F23" s="55" t="s">
        <v>3615</v>
      </c>
      <c r="G23" s="55" t="s">
        <v>3617</v>
      </c>
      <c r="H23" s="55" t="s">
        <v>3619</v>
      </c>
      <c r="I23" s="55" t="s">
        <v>3694</v>
      </c>
      <c r="J23" s="55" t="s">
        <v>3695</v>
      </c>
      <c r="K23" s="55" t="s">
        <v>3696</v>
      </c>
      <c r="L23" s="55" t="s">
        <v>3606</v>
      </c>
      <c r="M23" s="55" t="s">
        <v>3607</v>
      </c>
      <c r="N23" s="55" t="s">
        <v>3697</v>
      </c>
      <c r="O23" s="55" t="s">
        <v>3698</v>
      </c>
      <c r="P23" s="55" t="s">
        <v>3699</v>
      </c>
      <c r="Q23" s="55" t="s">
        <v>3700</v>
      </c>
      <c r="R23" s="55" t="s">
        <v>3627</v>
      </c>
    </row>
    <row r="24" spans="2:37">
      <c r="B24" s="42" t="s">
        <v>3223</v>
      </c>
      <c r="C24" s="42" t="s">
        <v>3515</v>
      </c>
      <c r="D24" s="42" t="s">
        <v>3517</v>
      </c>
      <c r="E24" s="42" t="s">
        <v>3608</v>
      </c>
      <c r="F24" s="42" t="s">
        <v>3519</v>
      </c>
      <c r="G24" s="42" t="s">
        <v>3612</v>
      </c>
      <c r="H24" s="42" t="s">
        <v>3614</v>
      </c>
      <c r="I24" s="42" t="s">
        <v>3616</v>
      </c>
      <c r="J24" s="42" t="s">
        <v>3618</v>
      </c>
      <c r="K24" s="42" t="s">
        <v>3622</v>
      </c>
      <c r="L24" s="42" t="s">
        <v>3624</v>
      </c>
      <c r="M24" s="42" t="s">
        <v>3626</v>
      </c>
      <c r="N24" s="42" t="s">
        <v>3628</v>
      </c>
      <c r="O24" s="42" t="s">
        <v>3634</v>
      </c>
      <c r="P24" s="42" t="s">
        <v>3636</v>
      </c>
      <c r="Q24" s="42" t="s">
        <v>3701</v>
      </c>
      <c r="R24" s="42" t="s">
        <v>3702</v>
      </c>
      <c r="AJ24" s="13" t="str">
        <f>Show!$B$61&amp;"S.08.01.04.02 Rows {"&amp;COLUMN($B$1)&amp;"}"&amp;"@ForceFilingCode:true"</f>
        <v>!S.08.01.04.02 Rows {2}@ForceFilingCode:true</v>
      </c>
      <c r="AK24" s="13" t="str">
        <f>Show!$B$61&amp;"S.08.01.04.02 Columns {"&amp;COLUMN($B$1)&amp;"}"</f>
        <v>!S.08.01.04.02 Columns {2}</v>
      </c>
    </row>
    <row r="25" spans="2:37">
      <c r="B25" s="50"/>
      <c r="C25" s="51"/>
      <c r="D25" s="51"/>
      <c r="E25" s="51"/>
      <c r="F25" s="51"/>
      <c r="G25" s="51"/>
      <c r="H25" s="51"/>
      <c r="I25" s="51"/>
      <c r="J25" s="51"/>
      <c r="K25" s="51"/>
      <c r="L25" s="51"/>
      <c r="M25" s="51"/>
      <c r="N25" s="51"/>
      <c r="O25" s="51"/>
      <c r="P25" s="51"/>
      <c r="Q25" s="51"/>
      <c r="R25" s="54"/>
    </row>
    <row r="27" spans="2:37">
      <c r="AJ27" s="13" t="str">
        <f>Show!$B$61&amp;Show!$B$61&amp;"S.08.01.04.02 Rows {"&amp;COLUMN($B$1)&amp;"}"</f>
        <v>!!S.08.01.04.02 Rows {2}</v>
      </c>
      <c r="AK27" s="13" t="str">
        <f>Show!$B$61&amp;Show!$B$61&amp;"S.08.01.04.02 Columns {"&amp;COLUMN($R$1)&amp;"}"</f>
        <v>!!S.08.01.04.02 Columns {18}</v>
      </c>
    </row>
  </sheetData>
  <sheetProtection sheet="1" objects="1" scenarios="1"/>
  <mergeCells count="11">
    <mergeCell ref="B17:L17"/>
    <mergeCell ref="B21:B23"/>
    <mergeCell ref="C21:R22"/>
    <mergeCell ref="B2:O2"/>
    <mergeCell ref="B5:L5"/>
    <mergeCell ref="B9:B11"/>
    <mergeCell ref="C9:C11"/>
    <mergeCell ref="D9:D11"/>
    <mergeCell ref="E9:E11"/>
    <mergeCell ref="F9:F11"/>
    <mergeCell ref="G9:X10"/>
  </mergeCells>
  <dataValidations count="10">
    <dataValidation type="list" errorStyle="warning" allowBlank="1" showInputMessage="1" showErrorMessage="1" sqref="H13" xr:uid="{EAE9DBF3-6043-47D9-A935-8807127EC08B}">
      <formula1>hier_PU_33</formula1>
    </dataValidation>
    <dataValidation type="list" errorStyle="warning" allowBlank="1" showInputMessage="1" showErrorMessage="1" sqref="I13" xr:uid="{B65FCAB5-A30D-419C-9E23-91EB18F8279B}">
      <formula1>hier_LB_4</formula1>
    </dataValidation>
    <dataValidation type="list" errorStyle="warning" allowBlank="1" showInputMessage="1" showErrorMessage="1" sqref="J13" xr:uid="{AE331BCC-D7CE-47A3-B6B7-DEFE8E229AD7}">
      <formula1>hier_PU_19</formula1>
    </dataValidation>
    <dataValidation type="list" errorStyle="warning" allowBlank="1" showInputMessage="1" showErrorMessage="1" sqref="M13" xr:uid="{195E5970-7092-414D-ACB8-8249AF7C3A9F}">
      <formula1>hier_MC_32</formula1>
    </dataValidation>
    <dataValidation type="date" operator="greaterThan" allowBlank="1" showInputMessage="1" showErrorMessage="1" errorTitle="Date value" error="This cell can only contain dates" sqref="U13 R25" xr:uid="{4F130328-4112-4A9A-BBBE-6A28E17FC25E}">
      <formula1>1</formula1>
    </dataValidation>
    <dataValidation type="list" errorStyle="warning" allowBlank="1" showInputMessage="1" showErrorMessage="1" sqref="X13" xr:uid="{3096F6E2-1D39-4DDC-8DBE-3D79C54FC39A}">
      <formula1>hier_VM_24</formula1>
    </dataValidation>
    <dataValidation type="list" errorStyle="warning" allowBlank="1" showInputMessage="1" showErrorMessage="1" sqref="F25" xr:uid="{884C789C-AAA5-47E2-99B7-31B29AD72C82}">
      <formula1>hier_SE_28</formula1>
    </dataValidation>
    <dataValidation type="list" errorStyle="warning" allowBlank="1" showInputMessage="1" showErrorMessage="1" sqref="G25" xr:uid="{9D8658A9-D6C1-482C-9962-2262E7C283F8}">
      <formula1>hier_BR_3</formula1>
    </dataValidation>
    <dataValidation type="list" errorStyle="warning" allowBlank="1" showInputMessage="1" showErrorMessage="1" sqref="L25 P25 Q25" xr:uid="{F3E8C2A0-EB4B-41B6-B424-5163FF6741A6}">
      <formula1>hier_CU_1</formula1>
    </dataValidation>
    <dataValidation type="list" errorStyle="warning" allowBlank="1" showInputMessage="1" showErrorMessage="1" sqref="O25" xr:uid="{40C704C5-76FB-400D-92B4-4C3A09096DAF}">
      <formula1>hier_LT_5</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412E-A8BA-4248-A65E-8ECDB551B664}">
  <sheetPr codeName="Blad66"/>
  <dimension ref="B2:AF27"/>
  <sheetViews>
    <sheetView showGridLines="0" workbookViewId="0"/>
  </sheetViews>
  <sheetFormatPr defaultRowHeight="15"/>
  <cols>
    <col min="2" max="2" width="33.5703125" bestFit="1" customWidth="1"/>
    <col min="3" max="13" width="40.7109375" customWidth="1"/>
    <col min="14" max="20" width="15.7109375" customWidth="1"/>
  </cols>
  <sheetData>
    <row r="2" spans="2:32" ht="23.25">
      <c r="B2" s="95" t="s">
        <v>603</v>
      </c>
      <c r="C2" s="96"/>
      <c r="D2" s="96"/>
      <c r="E2" s="96"/>
      <c r="F2" s="96"/>
      <c r="G2" s="96"/>
      <c r="H2" s="96"/>
      <c r="I2" s="96"/>
      <c r="J2" s="96"/>
      <c r="K2" s="96"/>
      <c r="L2" s="96"/>
      <c r="M2" s="96"/>
      <c r="N2" s="96"/>
      <c r="O2" s="96"/>
    </row>
    <row r="5" spans="2:32" ht="18.75">
      <c r="B5" s="97" t="s">
        <v>3705</v>
      </c>
      <c r="C5" s="96"/>
      <c r="D5" s="96"/>
      <c r="E5" s="96"/>
      <c r="F5" s="96"/>
      <c r="G5" s="96"/>
      <c r="H5" s="96"/>
      <c r="I5" s="96"/>
      <c r="J5" s="96"/>
      <c r="K5" s="96"/>
      <c r="L5" s="96"/>
    </row>
    <row r="9" spans="2:32">
      <c r="B9" s="98" t="s">
        <v>3374</v>
      </c>
      <c r="C9" s="98" t="s">
        <v>3676</v>
      </c>
      <c r="D9" s="98" t="s">
        <v>3322</v>
      </c>
      <c r="E9" s="98" t="s">
        <v>3677</v>
      </c>
      <c r="F9" s="101" t="s">
        <v>2877</v>
      </c>
      <c r="G9" s="102"/>
      <c r="H9" s="102"/>
      <c r="I9" s="102"/>
      <c r="J9" s="102"/>
      <c r="K9" s="102"/>
      <c r="L9" s="102"/>
      <c r="M9" s="102"/>
      <c r="N9" s="102"/>
      <c r="O9" s="102"/>
      <c r="P9" s="102"/>
      <c r="Q9" s="102"/>
      <c r="R9" s="102"/>
      <c r="S9" s="102"/>
      <c r="T9" s="103"/>
    </row>
    <row r="10" spans="2:32">
      <c r="B10" s="99"/>
      <c r="C10" s="99"/>
      <c r="D10" s="99"/>
      <c r="E10" s="99"/>
      <c r="F10" s="104"/>
      <c r="G10" s="105"/>
      <c r="H10" s="105"/>
      <c r="I10" s="105"/>
      <c r="J10" s="105"/>
      <c r="K10" s="105"/>
      <c r="L10" s="105"/>
      <c r="M10" s="105"/>
      <c r="N10" s="105"/>
      <c r="O10" s="105"/>
      <c r="P10" s="105"/>
      <c r="Q10" s="105"/>
      <c r="R10" s="105"/>
      <c r="S10" s="105"/>
      <c r="T10" s="106"/>
    </row>
    <row r="11" spans="2:32" ht="60">
      <c r="B11" s="100"/>
      <c r="C11" s="100"/>
      <c r="D11" s="100"/>
      <c r="E11" s="100"/>
      <c r="F11" s="55" t="s">
        <v>3584</v>
      </c>
      <c r="G11" s="55" t="s">
        <v>3678</v>
      </c>
      <c r="H11" s="55" t="s">
        <v>3679</v>
      </c>
      <c r="I11" s="55" t="s">
        <v>3681</v>
      </c>
      <c r="J11" s="55" t="s">
        <v>3682</v>
      </c>
      <c r="K11" s="55" t="s">
        <v>3683</v>
      </c>
      <c r="L11" s="55" t="s">
        <v>3684</v>
      </c>
      <c r="M11" s="55" t="s">
        <v>3706</v>
      </c>
      <c r="N11" s="55" t="s">
        <v>3685</v>
      </c>
      <c r="O11" s="55" t="s">
        <v>3686</v>
      </c>
      <c r="P11" s="55" t="s">
        <v>3687</v>
      </c>
      <c r="Q11" s="55" t="s">
        <v>3688</v>
      </c>
      <c r="R11" s="55" t="s">
        <v>3689</v>
      </c>
      <c r="S11" s="55" t="s">
        <v>3690</v>
      </c>
      <c r="T11" s="55" t="s">
        <v>3250</v>
      </c>
    </row>
    <row r="12" spans="2:32">
      <c r="B12" s="42" t="s">
        <v>3675</v>
      </c>
      <c r="C12" s="42" t="s">
        <v>3223</v>
      </c>
      <c r="D12" s="42" t="s">
        <v>3233</v>
      </c>
      <c r="E12" s="42" t="s">
        <v>3236</v>
      </c>
      <c r="F12" s="42" t="s">
        <v>3231</v>
      </c>
      <c r="G12" s="42" t="s">
        <v>3234</v>
      </c>
      <c r="H12" s="42" t="s">
        <v>3241</v>
      </c>
      <c r="I12" s="42" t="s">
        <v>3243</v>
      </c>
      <c r="J12" s="42" t="s">
        <v>3375</v>
      </c>
      <c r="K12" s="42" t="s">
        <v>3475</v>
      </c>
      <c r="L12" s="42" t="s">
        <v>3477</v>
      </c>
      <c r="M12" s="42" t="s">
        <v>3479</v>
      </c>
      <c r="N12" s="42" t="s">
        <v>3594</v>
      </c>
      <c r="O12" s="42" t="s">
        <v>3596</v>
      </c>
      <c r="P12" s="42" t="s">
        <v>3599</v>
      </c>
      <c r="Q12" s="42" t="s">
        <v>3481</v>
      </c>
      <c r="R12" s="42" t="s">
        <v>3508</v>
      </c>
      <c r="S12" s="42" t="s">
        <v>3509</v>
      </c>
      <c r="T12" s="42" t="s">
        <v>3511</v>
      </c>
      <c r="AE12" s="13" t="str">
        <f>Show!$B$62&amp;"S.08.02.01.01 Rows {"&amp;COLUMN($B$1)&amp;"}"&amp;"@ForceFilingCode:true"</f>
        <v>!S.08.02.01.01 Rows {2}@ForceFilingCode:true</v>
      </c>
      <c r="AF12" s="13" t="str">
        <f>Show!$B$62&amp;"S.08.02.01.01 Columns {"&amp;COLUMN($B$1)&amp;"}"</f>
        <v>!S.08.02.01.01 Columns {2}</v>
      </c>
    </row>
    <row r="13" spans="2:32">
      <c r="B13" s="50"/>
      <c r="C13" s="50"/>
      <c r="D13" s="50"/>
      <c r="E13" s="50"/>
      <c r="F13" s="51"/>
      <c r="G13" s="51"/>
      <c r="H13" s="51"/>
      <c r="I13" s="60"/>
      <c r="J13" s="51"/>
      <c r="K13" s="60"/>
      <c r="L13" s="60"/>
      <c r="M13" s="60"/>
      <c r="N13" s="50"/>
      <c r="O13" s="50"/>
      <c r="P13" s="60"/>
      <c r="Q13" s="60"/>
      <c r="R13" s="60"/>
      <c r="S13" s="54"/>
      <c r="T13" s="60"/>
    </row>
    <row r="15" spans="2:32">
      <c r="AE15" s="13" t="str">
        <f>Show!$B$62&amp;Show!$B$62&amp;"S.08.02.01.01 Rows {"&amp;COLUMN($B$1)&amp;"}"</f>
        <v>!!S.08.02.01.01 Rows {2}</v>
      </c>
      <c r="AF15" s="13" t="str">
        <f>Show!$B$62&amp;Show!$B$62&amp;"S.08.02.01.01 Columns {"&amp;COLUMN($T$1)&amp;"}"</f>
        <v>!!S.08.02.01.01 Columns {20}</v>
      </c>
    </row>
    <row r="17" spans="2:32" ht="18.75">
      <c r="B17" s="97" t="s">
        <v>3707</v>
      </c>
      <c r="C17" s="96"/>
      <c r="D17" s="96"/>
      <c r="E17" s="96"/>
      <c r="F17" s="96"/>
      <c r="G17" s="96"/>
      <c r="H17" s="96"/>
      <c r="I17" s="96"/>
      <c r="J17" s="96"/>
      <c r="K17" s="96"/>
      <c r="L17" s="96"/>
    </row>
    <row r="21" spans="2:32">
      <c r="B21" s="98" t="s">
        <v>3676</v>
      </c>
      <c r="C21" s="101" t="s">
        <v>2877</v>
      </c>
      <c r="D21" s="102"/>
      <c r="E21" s="102"/>
      <c r="F21" s="102"/>
      <c r="G21" s="102"/>
      <c r="H21" s="102"/>
      <c r="I21" s="102"/>
      <c r="J21" s="102"/>
      <c r="K21" s="102"/>
      <c r="L21" s="102"/>
      <c r="M21" s="102"/>
      <c r="N21" s="103"/>
    </row>
    <row r="22" spans="2:32">
      <c r="B22" s="99"/>
      <c r="C22" s="104"/>
      <c r="D22" s="105"/>
      <c r="E22" s="105"/>
      <c r="F22" s="105"/>
      <c r="G22" s="105"/>
      <c r="H22" s="105"/>
      <c r="I22" s="105"/>
      <c r="J22" s="105"/>
      <c r="K22" s="105"/>
      <c r="L22" s="105"/>
      <c r="M22" s="105"/>
      <c r="N22" s="106"/>
    </row>
    <row r="23" spans="2:32">
      <c r="B23" s="100"/>
      <c r="C23" s="55" t="s">
        <v>3692</v>
      </c>
      <c r="D23" s="55" t="s">
        <v>3693</v>
      </c>
      <c r="E23" s="55" t="s">
        <v>3708</v>
      </c>
      <c r="F23" s="55" t="s">
        <v>3709</v>
      </c>
      <c r="G23" s="55" t="s">
        <v>3696</v>
      </c>
      <c r="H23" s="55" t="s">
        <v>3606</v>
      </c>
      <c r="I23" s="55" t="s">
        <v>3607</v>
      </c>
      <c r="J23" s="55" t="s">
        <v>3697</v>
      </c>
      <c r="K23" s="55" t="s">
        <v>3698</v>
      </c>
      <c r="L23" s="55" t="s">
        <v>3699</v>
      </c>
      <c r="M23" s="55" t="s">
        <v>3700</v>
      </c>
      <c r="N23" s="55" t="s">
        <v>3627</v>
      </c>
    </row>
    <row r="24" spans="2:32">
      <c r="B24" s="42" t="s">
        <v>3223</v>
      </c>
      <c r="C24" s="42" t="s">
        <v>3513</v>
      </c>
      <c r="D24" s="42" t="s">
        <v>3514</v>
      </c>
      <c r="E24" s="42" t="s">
        <v>3517</v>
      </c>
      <c r="F24" s="42" t="s">
        <v>3518</v>
      </c>
      <c r="G24" s="42" t="s">
        <v>3519</v>
      </c>
      <c r="H24" s="42" t="s">
        <v>3612</v>
      </c>
      <c r="I24" s="42" t="s">
        <v>3614</v>
      </c>
      <c r="J24" s="42" t="s">
        <v>3616</v>
      </c>
      <c r="K24" s="42" t="s">
        <v>3618</v>
      </c>
      <c r="L24" s="42" t="s">
        <v>3620</v>
      </c>
      <c r="M24" s="42" t="s">
        <v>3622</v>
      </c>
      <c r="N24" s="42" t="s">
        <v>3624</v>
      </c>
      <c r="AE24" s="13" t="str">
        <f>Show!$B$62&amp;"S.08.02.01.02 Rows {"&amp;COLUMN($B$1)&amp;"}"&amp;"@ForceFilingCode:true"</f>
        <v>!S.08.02.01.02 Rows {2}@ForceFilingCode:true</v>
      </c>
      <c r="AF24" s="13" t="str">
        <f>Show!$B$62&amp;"S.08.02.01.02 Columns {"&amp;COLUMN($B$1)&amp;"}"</f>
        <v>!S.08.02.01.02 Columns {2}</v>
      </c>
    </row>
    <row r="25" spans="2:32">
      <c r="B25" s="50"/>
      <c r="C25" s="51"/>
      <c r="D25" s="51"/>
      <c r="E25" s="51"/>
      <c r="F25" s="51"/>
      <c r="G25" s="51"/>
      <c r="H25" s="51"/>
      <c r="I25" s="51"/>
      <c r="J25" s="51"/>
      <c r="K25" s="51"/>
      <c r="L25" s="51"/>
      <c r="M25" s="51"/>
      <c r="N25" s="54"/>
    </row>
    <row r="27" spans="2:32">
      <c r="AE27" s="13" t="str">
        <f>Show!$B$62&amp;Show!$B$62&amp;"S.08.02.01.02 Rows {"&amp;COLUMN($B$1)&amp;"}"</f>
        <v>!!S.08.02.01.02 Rows {2}</v>
      </c>
      <c r="AF27" s="13" t="str">
        <f>Show!$B$62&amp;Show!$B$62&amp;"S.08.02.01.02 Columns {"&amp;COLUMN($N$1)&amp;"}"</f>
        <v>!!S.08.02.01.02 Columns {14}</v>
      </c>
    </row>
  </sheetData>
  <sheetProtection sheet="1" objects="1" scenarios="1"/>
  <mergeCells count="10">
    <mergeCell ref="B17:L17"/>
    <mergeCell ref="B21:B23"/>
    <mergeCell ref="C21:N22"/>
    <mergeCell ref="B2:O2"/>
    <mergeCell ref="B5:L5"/>
    <mergeCell ref="B9:B11"/>
    <mergeCell ref="C9:C11"/>
    <mergeCell ref="D9:D11"/>
    <mergeCell ref="E9:E11"/>
    <mergeCell ref="F9:T10"/>
  </mergeCells>
  <dataValidations count="7">
    <dataValidation type="list" errorStyle="warning" allowBlank="1" showInputMessage="1" showErrorMessage="1" sqref="F13" xr:uid="{5D660E7C-6C9A-4B79-A048-3AF68BB3D5C6}">
      <formula1>hier_PU_33</formula1>
    </dataValidation>
    <dataValidation type="list" errorStyle="warning" allowBlank="1" showInputMessage="1" showErrorMessage="1" sqref="G13" xr:uid="{63BA5D7E-E90C-435B-86A1-0DAC2D20826F}">
      <formula1>hier_LB_4</formula1>
    </dataValidation>
    <dataValidation type="list" errorStyle="warning" allowBlank="1" showInputMessage="1" showErrorMessage="1" sqref="H13" xr:uid="{68E8DAEA-EE28-41F8-911E-662134C500EB}">
      <formula1>hier_PU_19</formula1>
    </dataValidation>
    <dataValidation type="list" errorStyle="warning" allowBlank="1" showInputMessage="1" showErrorMessage="1" sqref="J13" xr:uid="{E08FC76B-0B55-44B0-8749-187DA0F90E55}">
      <formula1>hier_MC_33</formula1>
    </dataValidation>
    <dataValidation type="date" operator="greaterThan" allowBlank="1" showInputMessage="1" showErrorMessage="1" errorTitle="Date value" error="This cell can only contain dates" sqref="S13 N25" xr:uid="{60323247-9859-4727-843A-DA501BC8D507}">
      <formula1>1</formula1>
    </dataValidation>
    <dataValidation type="list" errorStyle="warning" allowBlank="1" showInputMessage="1" showErrorMessage="1" sqref="H25 L25 M25" xr:uid="{5EC88213-02C9-4F9A-8E62-507211195953}">
      <formula1>hier_CU_1</formula1>
    </dataValidation>
    <dataValidation type="list" errorStyle="warning" allowBlank="1" showInputMessage="1" showErrorMessage="1" sqref="K25" xr:uid="{36965112-8700-475D-98CE-8159A48A9D32}">
      <formula1>hier_LT_5</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9FF23-9652-4DDB-91A0-21E4D1E19804}">
  <sheetPr codeName="Blad67"/>
  <dimension ref="B2:AI27"/>
  <sheetViews>
    <sheetView showGridLines="0" workbookViewId="0"/>
  </sheetViews>
  <sheetFormatPr defaultRowHeight="15"/>
  <cols>
    <col min="2" max="2" width="33.5703125" bestFit="1" customWidth="1"/>
    <col min="3" max="13" width="40.7109375" customWidth="1"/>
    <col min="14" max="22" width="15.7109375" customWidth="1"/>
  </cols>
  <sheetData>
    <row r="2" spans="2:35" ht="23.25">
      <c r="B2" s="95" t="s">
        <v>603</v>
      </c>
      <c r="C2" s="96"/>
      <c r="D2" s="96"/>
      <c r="E2" s="96"/>
      <c r="F2" s="96"/>
      <c r="G2" s="96"/>
      <c r="H2" s="96"/>
      <c r="I2" s="96"/>
      <c r="J2" s="96"/>
      <c r="K2" s="96"/>
      <c r="L2" s="96"/>
      <c r="M2" s="96"/>
      <c r="N2" s="96"/>
      <c r="O2" s="96"/>
    </row>
    <row r="5" spans="2:35" ht="18.75">
      <c r="B5" s="97" t="s">
        <v>3710</v>
      </c>
      <c r="C5" s="96"/>
      <c r="D5" s="96"/>
      <c r="E5" s="96"/>
      <c r="F5" s="96"/>
      <c r="G5" s="96"/>
      <c r="H5" s="96"/>
      <c r="I5" s="96"/>
      <c r="J5" s="96"/>
      <c r="K5" s="96"/>
      <c r="L5" s="96"/>
    </row>
    <row r="9" spans="2:35">
      <c r="B9" s="98" t="s">
        <v>3374</v>
      </c>
      <c r="C9" s="98" t="s">
        <v>3245</v>
      </c>
      <c r="D9" s="98" t="s">
        <v>3676</v>
      </c>
      <c r="E9" s="98" t="s">
        <v>3322</v>
      </c>
      <c r="F9" s="98" t="s">
        <v>3677</v>
      </c>
      <c r="G9" s="101" t="s">
        <v>2877</v>
      </c>
      <c r="H9" s="102"/>
      <c r="I9" s="102"/>
      <c r="J9" s="102"/>
      <c r="K9" s="102"/>
      <c r="L9" s="102"/>
      <c r="M9" s="102"/>
      <c r="N9" s="102"/>
      <c r="O9" s="102"/>
      <c r="P9" s="102"/>
      <c r="Q9" s="102"/>
      <c r="R9" s="102"/>
      <c r="S9" s="102"/>
      <c r="T9" s="102"/>
      <c r="U9" s="102"/>
      <c r="V9" s="103"/>
    </row>
    <row r="10" spans="2:35">
      <c r="B10" s="99"/>
      <c r="C10" s="99"/>
      <c r="D10" s="99"/>
      <c r="E10" s="99"/>
      <c r="F10" s="99"/>
      <c r="G10" s="104"/>
      <c r="H10" s="105"/>
      <c r="I10" s="105"/>
      <c r="J10" s="105"/>
      <c r="K10" s="105"/>
      <c r="L10" s="105"/>
      <c r="M10" s="105"/>
      <c r="N10" s="105"/>
      <c r="O10" s="105"/>
      <c r="P10" s="105"/>
      <c r="Q10" s="105"/>
      <c r="R10" s="105"/>
      <c r="S10" s="105"/>
      <c r="T10" s="105"/>
      <c r="U10" s="105"/>
      <c r="V10" s="106"/>
    </row>
    <row r="11" spans="2:35" ht="60">
      <c r="B11" s="100"/>
      <c r="C11" s="100"/>
      <c r="D11" s="100"/>
      <c r="E11" s="100"/>
      <c r="F11" s="100"/>
      <c r="G11" s="55" t="s">
        <v>3246</v>
      </c>
      <c r="H11" s="55" t="s">
        <v>3584</v>
      </c>
      <c r="I11" s="55" t="s">
        <v>3678</v>
      </c>
      <c r="J11" s="55" t="s">
        <v>3679</v>
      </c>
      <c r="K11" s="55" t="s">
        <v>3681</v>
      </c>
      <c r="L11" s="55" t="s">
        <v>3682</v>
      </c>
      <c r="M11" s="55" t="s">
        <v>3683</v>
      </c>
      <c r="N11" s="55" t="s">
        <v>3684</v>
      </c>
      <c r="O11" s="55" t="s">
        <v>3706</v>
      </c>
      <c r="P11" s="55" t="s">
        <v>3685</v>
      </c>
      <c r="Q11" s="55" t="s">
        <v>3686</v>
      </c>
      <c r="R11" s="55" t="s">
        <v>3687</v>
      </c>
      <c r="S11" s="55" t="s">
        <v>3688</v>
      </c>
      <c r="T11" s="55" t="s">
        <v>3689</v>
      </c>
      <c r="U11" s="55" t="s">
        <v>3690</v>
      </c>
      <c r="V11" s="55" t="s">
        <v>3250</v>
      </c>
    </row>
    <row r="12" spans="2:35">
      <c r="B12" s="42" t="s">
        <v>3675</v>
      </c>
      <c r="C12" s="42" t="s">
        <v>3219</v>
      </c>
      <c r="D12" s="42" t="s">
        <v>3223</v>
      </c>
      <c r="E12" s="42" t="s">
        <v>3233</v>
      </c>
      <c r="F12" s="42" t="s">
        <v>3236</v>
      </c>
      <c r="G12" s="42" t="s">
        <v>2879</v>
      </c>
      <c r="H12" s="42" t="s">
        <v>3231</v>
      </c>
      <c r="I12" s="42" t="s">
        <v>3234</v>
      </c>
      <c r="J12" s="42" t="s">
        <v>3241</v>
      </c>
      <c r="K12" s="42" t="s">
        <v>3243</v>
      </c>
      <c r="L12" s="42" t="s">
        <v>3375</v>
      </c>
      <c r="M12" s="42" t="s">
        <v>3475</v>
      </c>
      <c r="N12" s="42" t="s">
        <v>3477</v>
      </c>
      <c r="O12" s="42" t="s">
        <v>3479</v>
      </c>
      <c r="P12" s="42" t="s">
        <v>3594</v>
      </c>
      <c r="Q12" s="42" t="s">
        <v>3596</v>
      </c>
      <c r="R12" s="42" t="s">
        <v>3599</v>
      </c>
      <c r="S12" s="42" t="s">
        <v>3481</v>
      </c>
      <c r="T12" s="42" t="s">
        <v>3508</v>
      </c>
      <c r="U12" s="42" t="s">
        <v>3509</v>
      </c>
      <c r="V12" s="42" t="s">
        <v>3511</v>
      </c>
      <c r="AH12" s="13" t="str">
        <f>Show!$B$63&amp;"S.08.02.04.01 Rows {"&amp;COLUMN($B$1)&amp;"}"&amp;"@ForceFilingCode:true"</f>
        <v>!S.08.02.04.01 Rows {2}@ForceFilingCode:true</v>
      </c>
      <c r="AI12" s="13" t="str">
        <f>Show!$B$63&amp;"S.08.02.04.01 Columns {"&amp;COLUMN($B$1)&amp;"}"</f>
        <v>!S.08.02.04.01 Columns {2}</v>
      </c>
    </row>
    <row r="13" spans="2:35">
      <c r="B13" s="50"/>
      <c r="C13" s="50"/>
      <c r="D13" s="50"/>
      <c r="E13" s="50"/>
      <c r="F13" s="50"/>
      <c r="G13" s="51"/>
      <c r="H13" s="51"/>
      <c r="I13" s="51"/>
      <c r="J13" s="51"/>
      <c r="K13" s="60"/>
      <c r="L13" s="51"/>
      <c r="M13" s="60"/>
      <c r="N13" s="60"/>
      <c r="O13" s="60"/>
      <c r="P13" s="50"/>
      <c r="Q13" s="50"/>
      <c r="R13" s="60"/>
      <c r="S13" s="60"/>
      <c r="T13" s="60"/>
      <c r="U13" s="54"/>
      <c r="V13" s="60"/>
    </row>
    <row r="15" spans="2:35">
      <c r="AH15" s="13" t="str">
        <f>Show!$B$63&amp;Show!$B$63&amp;"S.08.02.04.01 Rows {"&amp;COLUMN($B$1)&amp;"}"</f>
        <v>!!S.08.02.04.01 Rows {2}</v>
      </c>
      <c r="AI15" s="13" t="str">
        <f>Show!$B$63&amp;Show!$B$63&amp;"S.08.02.04.01 Columns {"&amp;COLUMN($V$1)&amp;"}"</f>
        <v>!!S.08.02.04.01 Columns {22}</v>
      </c>
    </row>
    <row r="17" spans="2:35" ht="18.75">
      <c r="B17" s="97" t="s">
        <v>3711</v>
      </c>
      <c r="C17" s="96"/>
      <c r="D17" s="96"/>
      <c r="E17" s="96"/>
      <c r="F17" s="96"/>
      <c r="G17" s="96"/>
      <c r="H17" s="96"/>
      <c r="I17" s="96"/>
      <c r="J17" s="96"/>
      <c r="K17" s="96"/>
      <c r="L17" s="96"/>
    </row>
    <row r="21" spans="2:35">
      <c r="B21" s="98" t="s">
        <v>3676</v>
      </c>
      <c r="C21" s="101" t="s">
        <v>2877</v>
      </c>
      <c r="D21" s="102"/>
      <c r="E21" s="102"/>
      <c r="F21" s="102"/>
      <c r="G21" s="102"/>
      <c r="H21" s="102"/>
      <c r="I21" s="102"/>
      <c r="J21" s="102"/>
      <c r="K21" s="102"/>
      <c r="L21" s="102"/>
      <c r="M21" s="102"/>
      <c r="N21" s="103"/>
    </row>
    <row r="22" spans="2:35">
      <c r="B22" s="99"/>
      <c r="C22" s="104"/>
      <c r="D22" s="105"/>
      <c r="E22" s="105"/>
      <c r="F22" s="105"/>
      <c r="G22" s="105"/>
      <c r="H22" s="105"/>
      <c r="I22" s="105"/>
      <c r="J22" s="105"/>
      <c r="K22" s="105"/>
      <c r="L22" s="105"/>
      <c r="M22" s="105"/>
      <c r="N22" s="106"/>
    </row>
    <row r="23" spans="2:35">
      <c r="B23" s="100"/>
      <c r="C23" s="55" t="s">
        <v>3692</v>
      </c>
      <c r="D23" s="55" t="s">
        <v>3693</v>
      </c>
      <c r="E23" s="55" t="s">
        <v>3708</v>
      </c>
      <c r="F23" s="55" t="s">
        <v>3709</v>
      </c>
      <c r="G23" s="55" t="s">
        <v>3696</v>
      </c>
      <c r="H23" s="55" t="s">
        <v>3606</v>
      </c>
      <c r="I23" s="55" t="s">
        <v>3607</v>
      </c>
      <c r="J23" s="55" t="s">
        <v>3697</v>
      </c>
      <c r="K23" s="55" t="s">
        <v>3698</v>
      </c>
      <c r="L23" s="55" t="s">
        <v>3699</v>
      </c>
      <c r="M23" s="55" t="s">
        <v>3700</v>
      </c>
      <c r="N23" s="55" t="s">
        <v>3627</v>
      </c>
    </row>
    <row r="24" spans="2:35">
      <c r="B24" s="42" t="s">
        <v>3223</v>
      </c>
      <c r="C24" s="42" t="s">
        <v>3513</v>
      </c>
      <c r="D24" s="42" t="s">
        <v>3514</v>
      </c>
      <c r="E24" s="42" t="s">
        <v>3517</v>
      </c>
      <c r="F24" s="42" t="s">
        <v>3518</v>
      </c>
      <c r="G24" s="42" t="s">
        <v>3519</v>
      </c>
      <c r="H24" s="42" t="s">
        <v>3612</v>
      </c>
      <c r="I24" s="42" t="s">
        <v>3614</v>
      </c>
      <c r="J24" s="42" t="s">
        <v>3616</v>
      </c>
      <c r="K24" s="42" t="s">
        <v>3618</v>
      </c>
      <c r="L24" s="42" t="s">
        <v>3620</v>
      </c>
      <c r="M24" s="42" t="s">
        <v>3622</v>
      </c>
      <c r="N24" s="42" t="s">
        <v>3624</v>
      </c>
      <c r="AH24" s="13" t="str">
        <f>Show!$B$63&amp;"S.08.02.04.02 Rows {"&amp;COLUMN($B$1)&amp;"}"&amp;"@ForceFilingCode:true"</f>
        <v>!S.08.02.04.02 Rows {2}@ForceFilingCode:true</v>
      </c>
      <c r="AI24" s="13" t="str">
        <f>Show!$B$63&amp;"S.08.02.04.02 Columns {"&amp;COLUMN($B$1)&amp;"}"</f>
        <v>!S.08.02.04.02 Columns {2}</v>
      </c>
    </row>
    <row r="25" spans="2:35">
      <c r="B25" s="50"/>
      <c r="C25" s="51"/>
      <c r="D25" s="51"/>
      <c r="E25" s="51"/>
      <c r="F25" s="51"/>
      <c r="G25" s="51"/>
      <c r="H25" s="51"/>
      <c r="I25" s="51"/>
      <c r="J25" s="51"/>
      <c r="K25" s="51"/>
      <c r="L25" s="51"/>
      <c r="M25" s="51"/>
      <c r="N25" s="54"/>
    </row>
    <row r="27" spans="2:35">
      <c r="AH27" s="13" t="str">
        <f>Show!$B$63&amp;Show!$B$63&amp;"S.08.02.04.02 Rows {"&amp;COLUMN($B$1)&amp;"}"</f>
        <v>!!S.08.02.04.02 Rows {2}</v>
      </c>
      <c r="AI27" s="13" t="str">
        <f>Show!$B$63&amp;Show!$B$63&amp;"S.08.02.04.02 Columns {"&amp;COLUMN($N$1)&amp;"}"</f>
        <v>!!S.08.02.04.02 Columns {14}</v>
      </c>
    </row>
  </sheetData>
  <sheetProtection sheet="1" objects="1" scenarios="1"/>
  <mergeCells count="11">
    <mergeCell ref="B17:L17"/>
    <mergeCell ref="B21:B23"/>
    <mergeCell ref="C21:N22"/>
    <mergeCell ref="B2:O2"/>
    <mergeCell ref="B5:L5"/>
    <mergeCell ref="B9:B11"/>
    <mergeCell ref="C9:C11"/>
    <mergeCell ref="D9:D11"/>
    <mergeCell ref="E9:E11"/>
    <mergeCell ref="F9:F11"/>
    <mergeCell ref="G9:V10"/>
  </mergeCells>
  <dataValidations count="7">
    <dataValidation type="list" errorStyle="warning" allowBlank="1" showInputMessage="1" showErrorMessage="1" sqref="H13" xr:uid="{694B6116-A93B-4229-9605-2ACCD914E305}">
      <formula1>hier_PU_33</formula1>
    </dataValidation>
    <dataValidation type="list" errorStyle="warning" allowBlank="1" showInputMessage="1" showErrorMessage="1" sqref="I13" xr:uid="{B572363A-BE8C-4286-B976-216CE504CA1E}">
      <formula1>hier_LB_4</formula1>
    </dataValidation>
    <dataValidation type="list" errorStyle="warning" allowBlank="1" showInputMessage="1" showErrorMessage="1" sqref="J13" xr:uid="{93149F75-00F4-40DE-B1DD-8C158435259F}">
      <formula1>hier_PU_19</formula1>
    </dataValidation>
    <dataValidation type="list" errorStyle="warning" allowBlank="1" showInputMessage="1" showErrorMessage="1" sqref="L13" xr:uid="{CC7AB278-2AF6-4B41-88D9-F09EA7C524AD}">
      <formula1>hier_MC_33</formula1>
    </dataValidation>
    <dataValidation type="date" operator="greaterThan" allowBlank="1" showInputMessage="1" showErrorMessage="1" errorTitle="Date value" error="This cell can only contain dates" sqref="U13 N25" xr:uid="{2B078FBE-61A0-4E6A-858B-4A84C3C65705}">
      <formula1>1</formula1>
    </dataValidation>
    <dataValidation type="list" errorStyle="warning" allowBlank="1" showInputMessage="1" showErrorMessage="1" sqref="H25 L25 M25" xr:uid="{8184DE53-F551-44D8-BA9D-FBF4E1B4D11E}">
      <formula1>hier_CU_1</formula1>
    </dataValidation>
    <dataValidation type="list" errorStyle="warning" allowBlank="1" showInputMessage="1" showErrorMessage="1" sqref="K25" xr:uid="{5DABA333-3705-4646-BD0E-1950512F882A}">
      <formula1>hier_LT_5</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AC66-4838-4079-9320-FD535767360A}">
  <sheetPr codeName="Blad68"/>
  <dimension ref="B2:S15"/>
  <sheetViews>
    <sheetView showGridLines="0" workbookViewId="0"/>
  </sheetViews>
  <sheetFormatPr defaultRowHeight="15"/>
  <cols>
    <col min="2" max="2" width="17.42578125" bestFit="1" customWidth="1"/>
    <col min="3" max="5" width="40.7109375" customWidth="1"/>
    <col min="6" max="10" width="15.7109375" customWidth="1"/>
  </cols>
  <sheetData>
    <row r="2" spans="2:19" ht="23.25">
      <c r="B2" s="95" t="s">
        <v>606</v>
      </c>
      <c r="C2" s="96"/>
      <c r="D2" s="96"/>
      <c r="E2" s="96"/>
      <c r="F2" s="96"/>
      <c r="G2" s="96"/>
      <c r="H2" s="96"/>
      <c r="I2" s="96"/>
      <c r="J2" s="96"/>
      <c r="K2" s="96"/>
      <c r="L2" s="96"/>
      <c r="M2" s="96"/>
      <c r="N2" s="96"/>
      <c r="O2" s="96"/>
    </row>
    <row r="5" spans="2:19" ht="18.75">
      <c r="B5" s="97" t="s">
        <v>3712</v>
      </c>
      <c r="C5" s="96"/>
      <c r="D5" s="96"/>
      <c r="E5" s="96"/>
      <c r="F5" s="96"/>
      <c r="G5" s="96"/>
      <c r="H5" s="96"/>
      <c r="I5" s="96"/>
      <c r="J5" s="96"/>
      <c r="K5" s="96"/>
      <c r="L5" s="96"/>
    </row>
    <row r="9" spans="2:19">
      <c r="B9" s="98" t="s">
        <v>3374</v>
      </c>
      <c r="C9" s="101" t="s">
        <v>2877</v>
      </c>
      <c r="D9" s="102"/>
      <c r="E9" s="102"/>
      <c r="F9" s="102"/>
      <c r="G9" s="102"/>
      <c r="H9" s="102"/>
      <c r="I9" s="102"/>
      <c r="J9" s="103"/>
    </row>
    <row r="10" spans="2:19">
      <c r="B10" s="99"/>
      <c r="C10" s="104"/>
      <c r="D10" s="105"/>
      <c r="E10" s="105"/>
      <c r="F10" s="105"/>
      <c r="G10" s="105"/>
      <c r="H10" s="105"/>
      <c r="I10" s="105"/>
      <c r="J10" s="106"/>
    </row>
    <row r="11" spans="2:19" ht="30">
      <c r="B11" s="100"/>
      <c r="C11" s="55" t="s">
        <v>3713</v>
      </c>
      <c r="D11" s="55" t="s">
        <v>3584</v>
      </c>
      <c r="E11" s="55" t="s">
        <v>3714</v>
      </c>
      <c r="F11" s="55" t="s">
        <v>3715</v>
      </c>
      <c r="G11" s="55" t="s">
        <v>3716</v>
      </c>
      <c r="H11" s="55" t="s">
        <v>3717</v>
      </c>
      <c r="I11" s="55" t="s">
        <v>3718</v>
      </c>
      <c r="J11" s="55" t="s">
        <v>3719</v>
      </c>
    </row>
    <row r="12" spans="2:19">
      <c r="B12" s="42" t="s">
        <v>3581</v>
      </c>
      <c r="C12" s="42" t="s">
        <v>3223</v>
      </c>
      <c r="D12" s="42" t="s">
        <v>3229</v>
      </c>
      <c r="E12" s="42" t="s">
        <v>3231</v>
      </c>
      <c r="F12" s="42" t="s">
        <v>3233</v>
      </c>
      <c r="G12" s="42" t="s">
        <v>3234</v>
      </c>
      <c r="H12" s="42" t="s">
        <v>3236</v>
      </c>
      <c r="I12" s="42" t="s">
        <v>3239</v>
      </c>
      <c r="J12" s="42" t="s">
        <v>3241</v>
      </c>
      <c r="R12" s="13" t="str">
        <f>Show!$B$64&amp;"S.09.01.01.01 Rows {"&amp;COLUMN($B$1)&amp;"}"&amp;"@ForceFilingCode:true"</f>
        <v>!S.09.01.01.01 Rows {2}@ForceFilingCode:true</v>
      </c>
      <c r="S12" s="13" t="str">
        <f>Show!$B$64&amp;"S.09.01.01.01 Columns {"&amp;COLUMN($B$1)&amp;"}"</f>
        <v>!S.09.01.01.01 Columns {2}</v>
      </c>
    </row>
    <row r="13" spans="2:19">
      <c r="B13" s="50"/>
      <c r="C13" s="51"/>
      <c r="D13" s="51"/>
      <c r="E13" s="51"/>
      <c r="F13" s="60"/>
      <c r="G13" s="60"/>
      <c r="H13" s="60"/>
      <c r="I13" s="60"/>
      <c r="J13" s="60"/>
    </row>
    <row r="15" spans="2:19">
      <c r="R15" s="13" t="str">
        <f>Show!$B$64&amp;Show!$B$64&amp;"S.09.01.01.01 Rows {"&amp;COLUMN($B$1)&amp;"}"</f>
        <v>!!S.09.01.01.01 Rows {2}</v>
      </c>
      <c r="S15" s="13" t="str">
        <f>Show!$B$64&amp;Show!$B$64&amp;"S.09.01.01.01 Columns {"&amp;COLUMN($J$1)&amp;"}"</f>
        <v>!!S.09.01.01.01 Columns {10}</v>
      </c>
    </row>
  </sheetData>
  <sheetProtection sheet="1" objects="1" scenarios="1"/>
  <mergeCells count="4">
    <mergeCell ref="B2:O2"/>
    <mergeCell ref="B5:L5"/>
    <mergeCell ref="B9:B11"/>
    <mergeCell ref="C9:J10"/>
  </mergeCells>
  <dataValidations count="3">
    <dataValidation type="list" errorStyle="warning" allowBlank="1" showInputMessage="1" showErrorMessage="1" sqref="C13" xr:uid="{1FCB86FB-7341-4134-A348-0B68694B1D5B}">
      <formula1>hier_MC_28</formula1>
    </dataValidation>
    <dataValidation type="list" errorStyle="warning" allowBlank="1" showInputMessage="1" showErrorMessage="1" sqref="D13" xr:uid="{E2793F5F-1DE0-4E5A-8570-207BE5A7E99F}">
      <formula1>hier_PU_33</formula1>
    </dataValidation>
    <dataValidation type="list" errorStyle="warning" allowBlank="1" showInputMessage="1" showErrorMessage="1" sqref="E13" xr:uid="{1EF99D09-3789-4124-AEE3-5943EDAF0566}">
      <formula1>hier_LB_4</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95C8B-8592-4E8C-9DE3-6118ABF962A6}">
  <sheetPr codeName="Blad69"/>
  <dimension ref="B2:V15"/>
  <sheetViews>
    <sheetView showGridLines="0" workbookViewId="0"/>
  </sheetViews>
  <sheetFormatPr defaultRowHeight="15"/>
  <cols>
    <col min="2" max="2" width="17.42578125" bestFit="1" customWidth="1"/>
    <col min="3" max="3" width="15.7109375" customWidth="1"/>
    <col min="4" max="7" width="40.7109375" customWidth="1"/>
    <col min="8" max="12" width="15.7109375" customWidth="1"/>
  </cols>
  <sheetData>
    <row r="2" spans="2:22" ht="23.25">
      <c r="B2" s="95" t="s">
        <v>606</v>
      </c>
      <c r="C2" s="96"/>
      <c r="D2" s="96"/>
      <c r="E2" s="96"/>
      <c r="F2" s="96"/>
      <c r="G2" s="96"/>
      <c r="H2" s="96"/>
      <c r="I2" s="96"/>
      <c r="J2" s="96"/>
      <c r="K2" s="96"/>
      <c r="L2" s="96"/>
      <c r="M2" s="96"/>
      <c r="N2" s="96"/>
      <c r="O2" s="96"/>
    </row>
    <row r="5" spans="2:22" ht="18.75">
      <c r="B5" s="97" t="s">
        <v>3720</v>
      </c>
      <c r="C5" s="96"/>
      <c r="D5" s="96"/>
      <c r="E5" s="96"/>
      <c r="F5" s="96"/>
      <c r="G5" s="96"/>
      <c r="H5" s="96"/>
      <c r="I5" s="96"/>
      <c r="J5" s="96"/>
      <c r="K5" s="96"/>
      <c r="L5" s="96"/>
    </row>
    <row r="9" spans="2:22">
      <c r="B9" s="98" t="s">
        <v>3374</v>
      </c>
      <c r="C9" s="98" t="s">
        <v>3245</v>
      </c>
      <c r="D9" s="101" t="s">
        <v>2877</v>
      </c>
      <c r="E9" s="102"/>
      <c r="F9" s="102"/>
      <c r="G9" s="102"/>
      <c r="H9" s="102"/>
      <c r="I9" s="102"/>
      <c r="J9" s="102"/>
      <c r="K9" s="102"/>
      <c r="L9" s="103"/>
    </row>
    <row r="10" spans="2:22">
      <c r="B10" s="99"/>
      <c r="C10" s="99"/>
      <c r="D10" s="104"/>
      <c r="E10" s="105"/>
      <c r="F10" s="105"/>
      <c r="G10" s="105"/>
      <c r="H10" s="105"/>
      <c r="I10" s="105"/>
      <c r="J10" s="105"/>
      <c r="K10" s="105"/>
      <c r="L10" s="106"/>
    </row>
    <row r="11" spans="2:22" ht="30">
      <c r="B11" s="100"/>
      <c r="C11" s="100"/>
      <c r="D11" s="55" t="s">
        <v>3246</v>
      </c>
      <c r="E11" s="55" t="s">
        <v>3713</v>
      </c>
      <c r="F11" s="55" t="s">
        <v>3584</v>
      </c>
      <c r="G11" s="55" t="s">
        <v>3714</v>
      </c>
      <c r="H11" s="55" t="s">
        <v>3715</v>
      </c>
      <c r="I11" s="55" t="s">
        <v>3716</v>
      </c>
      <c r="J11" s="55" t="s">
        <v>3717</v>
      </c>
      <c r="K11" s="55" t="s">
        <v>3718</v>
      </c>
      <c r="L11" s="55" t="s">
        <v>3719</v>
      </c>
    </row>
    <row r="12" spans="2:22">
      <c r="B12" s="42" t="s">
        <v>3581</v>
      </c>
      <c r="C12" s="42" t="s">
        <v>3219</v>
      </c>
      <c r="D12" s="42" t="s">
        <v>2879</v>
      </c>
      <c r="E12" s="42" t="s">
        <v>3223</v>
      </c>
      <c r="F12" s="42" t="s">
        <v>3229</v>
      </c>
      <c r="G12" s="42" t="s">
        <v>3231</v>
      </c>
      <c r="H12" s="42" t="s">
        <v>3233</v>
      </c>
      <c r="I12" s="42" t="s">
        <v>3234</v>
      </c>
      <c r="J12" s="42" t="s">
        <v>3236</v>
      </c>
      <c r="K12" s="42" t="s">
        <v>3239</v>
      </c>
      <c r="L12" s="42" t="s">
        <v>3241</v>
      </c>
      <c r="U12" s="13" t="str">
        <f>Show!$B$65&amp;"S.09.01.04.01 Rows {"&amp;COLUMN($B$1)&amp;"}"&amp;"@ForceFilingCode:true"</f>
        <v>!S.09.01.04.01 Rows {2}@ForceFilingCode:true</v>
      </c>
      <c r="V12" s="13" t="str">
        <f>Show!$B$65&amp;"S.09.01.04.01 Columns {"&amp;COLUMN($B$1)&amp;"}"</f>
        <v>!S.09.01.04.01 Columns {2}</v>
      </c>
    </row>
    <row r="13" spans="2:22">
      <c r="B13" s="50"/>
      <c r="C13" s="50"/>
      <c r="D13" s="51"/>
      <c r="E13" s="51"/>
      <c r="F13" s="51"/>
      <c r="G13" s="51"/>
      <c r="H13" s="60"/>
      <c r="I13" s="60"/>
      <c r="J13" s="60"/>
      <c r="K13" s="60"/>
      <c r="L13" s="60"/>
    </row>
    <row r="15" spans="2:22">
      <c r="U15" s="13" t="str">
        <f>Show!$B$65&amp;Show!$B$65&amp;"S.09.01.04.01 Rows {"&amp;COLUMN($B$1)&amp;"}"</f>
        <v>!!S.09.01.04.01 Rows {2}</v>
      </c>
      <c r="V15" s="13" t="str">
        <f>Show!$B$65&amp;Show!$B$65&amp;"S.09.01.04.01 Columns {"&amp;COLUMN($L$1)&amp;"}"</f>
        <v>!!S.09.01.04.01 Columns {12}</v>
      </c>
    </row>
  </sheetData>
  <sheetProtection sheet="1" objects="1" scenarios="1"/>
  <mergeCells count="5">
    <mergeCell ref="B2:O2"/>
    <mergeCell ref="B5:L5"/>
    <mergeCell ref="B9:B11"/>
    <mergeCell ref="C9:C11"/>
    <mergeCell ref="D9:L10"/>
  </mergeCells>
  <dataValidations count="3">
    <dataValidation type="list" errorStyle="warning" allowBlank="1" showInputMessage="1" showErrorMessage="1" sqref="E13" xr:uid="{50AB93C3-ECEB-4411-82C6-CC06CE0027A8}">
      <formula1>hier_MC_28</formula1>
    </dataValidation>
    <dataValidation type="list" errorStyle="warning" allowBlank="1" showInputMessage="1" showErrorMessage="1" sqref="F13" xr:uid="{09D5604F-9063-475F-89BB-49071DEAF18F}">
      <formula1>hier_PU_33</formula1>
    </dataValidation>
    <dataValidation type="list" errorStyle="warning" allowBlank="1" showInputMessage="1" showErrorMessage="1" sqref="G13" xr:uid="{3AE81AAC-148A-46D7-B5C2-1E63CCF35B7A}">
      <formula1>hier_LB_4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00E43-141E-4261-91B7-72B96A91F49E}">
  <sheetPr codeName="Blad7"/>
  <dimension ref="B2:O28"/>
  <sheetViews>
    <sheetView showGridLines="0" workbookViewId="0"/>
  </sheetViews>
  <sheetFormatPr defaultRowHeight="15"/>
  <cols>
    <col min="2" max="2" width="81.140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3024</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IF(COUNTIF(D:D,"Reported")&gt;0,Show!$B$3,"!")&amp;"S.01.01.02.01 Rows {"&amp;COLUMN($C$1)&amp;"}"&amp;"@ForceFilingCode:true"</f>
        <v>!S.01.01.02.01 Rows {3}@ForceFilingCode:true</v>
      </c>
      <c r="J13" s="13" t="str">
        <f>IF(COUNTIF(D:D,"Reported")&gt;0,Show!$B$3,"!")&amp;"S.01.01.02.01 Columns {"&amp;COLUMN($D$1)&amp;"}"</f>
        <v>!S.01.01.02.01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3025</v>
      </c>
      <c r="C17" s="41" t="s">
        <v>2887</v>
      </c>
      <c r="D17" s="51"/>
    </row>
    <row r="18" spans="2:10">
      <c r="B18" s="52" t="s">
        <v>3026</v>
      </c>
      <c r="C18" s="41" t="s">
        <v>2901</v>
      </c>
      <c r="D18" s="51"/>
    </row>
    <row r="19" spans="2:10">
      <c r="B19" s="52" t="s">
        <v>2906</v>
      </c>
      <c r="C19" s="41" t="s">
        <v>2907</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2960</v>
      </c>
      <c r="C25" s="41" t="s">
        <v>2961</v>
      </c>
      <c r="D25" s="51"/>
    </row>
    <row r="26" spans="2:10" ht="30">
      <c r="B26" s="52" t="s">
        <v>2992</v>
      </c>
      <c r="C26" s="41" t="s">
        <v>2993</v>
      </c>
      <c r="D26" s="51"/>
    </row>
    <row r="27" spans="2:10">
      <c r="B27" s="52" t="s">
        <v>2994</v>
      </c>
      <c r="C27" s="41" t="s">
        <v>2995</v>
      </c>
      <c r="D27" s="51"/>
    </row>
    <row r="28" spans="2:10">
      <c r="I28" s="13" t="str">
        <f>IF(COUNTIF(D:D,"Reported")&gt;0,Show!$B$3&amp;Show!$B$3,"!!")&amp;"S.01.01.02.01 Rows {"&amp;COLUMN($C$1)&amp;"}"</f>
        <v>!!S.01.01.02.01 Rows {3}</v>
      </c>
      <c r="J28" s="13" t="str">
        <f>IF(COUNTIF(D:D,"Reported")&gt;0,Show!$B$3&amp;Show!$B$3,"!!")&amp;"S.01.01.02.01 Columns {"&amp;COLUMN($D$1)&amp;"}"</f>
        <v>!!S.01.01.02.01 Columns {4}</v>
      </c>
    </row>
  </sheetData>
  <sheetProtection sheet="1" objects="1" scenarios="1"/>
  <mergeCells count="3">
    <mergeCell ref="B2:O2"/>
    <mergeCell ref="B5:L5"/>
    <mergeCell ref="D9:D12"/>
  </mergeCells>
  <dataValidations count="10">
    <dataValidation type="list" errorStyle="warning" allowBlank="1" showInputMessage="1" showErrorMessage="1" sqref="D16" xr:uid="{2D7B58B1-4709-434F-9407-13EF4F518003}">
      <formula1>hier_CN_2</formula1>
    </dataValidation>
    <dataValidation type="list" errorStyle="warning" allowBlank="1" showInputMessage="1" showErrorMessage="1" sqref="D17" xr:uid="{EDB0F75F-9578-452E-96FA-F08063EF3602}">
      <formula1>hier_CN_81</formula1>
    </dataValidation>
    <dataValidation type="list" errorStyle="warning" allowBlank="1" showInputMessage="1" showErrorMessage="1" sqref="D18 D25" xr:uid="{41E73B53-79E8-4B6A-BD3C-57721634AADF}">
      <formula1>hier_CN_113</formula1>
    </dataValidation>
    <dataValidation type="list" errorStyle="warning" allowBlank="1" showInputMessage="1" showErrorMessage="1" sqref="D19" xr:uid="{13E51DFA-8D26-4955-9559-672D332EDF28}">
      <formula1>hier_CN_23</formula1>
    </dataValidation>
    <dataValidation type="list" errorStyle="warning" allowBlank="1" showInputMessage="1" showErrorMessage="1" sqref="D20" xr:uid="{417257F9-67E9-450C-8B1D-428ED8AAB00E}">
      <formula1>hier_CN_117</formula1>
    </dataValidation>
    <dataValidation type="list" errorStyle="warning" allowBlank="1" showInputMessage="1" showErrorMessage="1" sqref="D21 D22" xr:uid="{2920C162-2436-41D3-A4B7-349A64E152E7}">
      <formula1>hier_CN_28</formula1>
    </dataValidation>
    <dataValidation type="list" errorStyle="warning" allowBlank="1" showInputMessage="1" showErrorMessage="1" sqref="D23" xr:uid="{F81B1B61-31BA-4D3C-962D-84A62D2D6A2F}">
      <formula1>hier_CN_83</formula1>
    </dataValidation>
    <dataValidation type="list" errorStyle="warning" allowBlank="1" showInputMessage="1" showErrorMessage="1" sqref="D24" xr:uid="{06B62CF6-9D5D-4789-9F78-0FFB4F062358}">
      <formula1>hier_CN_84</formula1>
    </dataValidation>
    <dataValidation type="list" errorStyle="warning" allowBlank="1" showInputMessage="1" showErrorMessage="1" sqref="D26" xr:uid="{B8051715-0784-455E-AE93-DA6F375A0F8C}">
      <formula1>hier_CN_85</formula1>
    </dataValidation>
    <dataValidation type="list" errorStyle="warning" allowBlank="1" showInputMessage="1" showErrorMessage="1" sqref="D27" xr:uid="{82F791AE-18E2-4273-8A7E-0DE54BD85474}">
      <formula1>hier_CN_86</formula1>
    </dataValidation>
  </dataValidations>
  <hyperlinks>
    <hyperlink ref="B16" location="'S.01.02.01'!A1" display="S.01.02.01 - Basic Information - General" xr:uid="{389F128B-FEA4-43C9-BCC2-280FEC320BD3}"/>
    <hyperlink ref="B17" location="'S.02.01.02'!A1" display="S.02.01.02 - Balance sheet" xr:uid="{5724787C-BAFD-4D75-8AAA-9A0275385EB5}"/>
    <hyperlink ref="B18" location="'S.05.01.02'!A1" display="S.05.01.02 - Premiums, claims and expenses by line of business" xr:uid="{338C41CD-21CA-496C-B419-28752B712CC5}"/>
    <hyperlink ref="B19" location="'S.06.02.01'!A1" display="S.06.02.01 - List of assets" xr:uid="{89822D6A-A64C-4237-AEC3-7465BE477E83}"/>
    <hyperlink ref="B20" location="'S.06.03.01'!A1" display="S.06.03.01 - Collective investment undertakings - look-through approach" xr:uid="{C7C7834E-B612-4CC6-80D0-C42FC994A41E}"/>
    <hyperlink ref="B21" location="'S.08.01.01'!A1" display="S.08.01.01 - Open derivatives" xr:uid="{153AAF06-1C0D-47D2-9290-3E88CBA1CDF7}"/>
    <hyperlink ref="B22" location="'S.08.02.01'!A1" display="S.08.02.01 - Derivatives Transactions" xr:uid="{502D2BD0-E69C-4285-8357-A300AC648C57}"/>
    <hyperlink ref="B23" location="'S.12.01.02'!A1" display="S.12.01.02 - Life and Health SLT Technical Provisions" xr:uid="{51DF177C-20B5-4817-984F-DCF656DD502E}"/>
    <hyperlink ref="B24" location="'S.17.01.02'!A1" display="S.17.01.02 - Non-Life Technical Provisions" xr:uid="{05D8A8F4-F249-487B-87E7-D2355B55C37A}"/>
    <hyperlink ref="B25" location="'S.23.01.01'!A1" display="S.23.01.01 - Own funds" xr:uid="{F3521BCA-AEAC-475C-88A5-256F22074888}"/>
    <hyperlink ref="B26" location="'S.28.01.01'!A1" display="S.28.01.01 - Minimum Capital Requirement - Only life or only non-life insurance or reinsurance activity" xr:uid="{4943B7CC-0648-4E4E-BC3B-6DDFCAE97872}"/>
    <hyperlink ref="B27" location="'S.28.02.01'!A1" display="S.28.02.01 - Minimum Capital Requirement - Both life and non-life insurance activity" xr:uid="{BA66055E-3ADB-4387-A896-F43FB488163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5462-797B-44ED-A3FD-28CA0911351D}">
  <sheetPr codeName="Blad70"/>
  <dimension ref="B2:Y15"/>
  <sheetViews>
    <sheetView showGridLines="0" workbookViewId="0"/>
  </sheetViews>
  <sheetFormatPr defaultRowHeight="15"/>
  <cols>
    <col min="2" max="2" width="17.42578125" bestFit="1" customWidth="1"/>
    <col min="3" max="3" width="15.7109375" customWidth="1"/>
    <col min="4" max="10" width="40.7109375" customWidth="1"/>
    <col min="11" max="15" width="15.7109375" customWidth="1"/>
  </cols>
  <sheetData>
    <row r="2" spans="2:25" ht="23.25">
      <c r="B2" s="95" t="s">
        <v>609</v>
      </c>
      <c r="C2" s="96"/>
      <c r="D2" s="96"/>
      <c r="E2" s="96"/>
      <c r="F2" s="96"/>
      <c r="G2" s="96"/>
      <c r="H2" s="96"/>
      <c r="I2" s="96"/>
      <c r="J2" s="96"/>
      <c r="K2" s="96"/>
      <c r="L2" s="96"/>
      <c r="M2" s="96"/>
      <c r="N2" s="96"/>
      <c r="O2" s="96"/>
    </row>
    <row r="5" spans="2:25" ht="18.75">
      <c r="B5" s="97" t="s">
        <v>3721</v>
      </c>
      <c r="C5" s="96"/>
      <c r="D5" s="96"/>
      <c r="E5" s="96"/>
      <c r="F5" s="96"/>
      <c r="G5" s="96"/>
      <c r="H5" s="96"/>
      <c r="I5" s="96"/>
      <c r="J5" s="96"/>
      <c r="K5" s="96"/>
      <c r="L5" s="96"/>
    </row>
    <row r="9" spans="2:25">
      <c r="B9" s="98" t="s">
        <v>3374</v>
      </c>
      <c r="C9" s="98" t="s">
        <v>3322</v>
      </c>
      <c r="D9" s="101" t="s">
        <v>2877</v>
      </c>
      <c r="E9" s="102"/>
      <c r="F9" s="102"/>
      <c r="G9" s="102"/>
      <c r="H9" s="102"/>
      <c r="I9" s="102"/>
      <c r="J9" s="102"/>
      <c r="K9" s="102"/>
      <c r="L9" s="102"/>
      <c r="M9" s="102"/>
      <c r="N9" s="102"/>
      <c r="O9" s="103"/>
    </row>
    <row r="10" spans="2:25">
      <c r="B10" s="99"/>
      <c r="C10" s="99"/>
      <c r="D10" s="104"/>
      <c r="E10" s="105"/>
      <c r="F10" s="105"/>
      <c r="G10" s="105"/>
      <c r="H10" s="105"/>
      <c r="I10" s="105"/>
      <c r="J10" s="105"/>
      <c r="K10" s="105"/>
      <c r="L10" s="105"/>
      <c r="M10" s="105"/>
      <c r="N10" s="105"/>
      <c r="O10" s="106"/>
    </row>
    <row r="11" spans="2:25" ht="30">
      <c r="B11" s="100"/>
      <c r="C11" s="100"/>
      <c r="D11" s="55" t="s">
        <v>3584</v>
      </c>
      <c r="E11" s="55" t="s">
        <v>3713</v>
      </c>
      <c r="F11" s="55" t="s">
        <v>3692</v>
      </c>
      <c r="G11" s="55" t="s">
        <v>3722</v>
      </c>
      <c r="H11" s="55" t="s">
        <v>3723</v>
      </c>
      <c r="I11" s="55" t="s">
        <v>3724</v>
      </c>
      <c r="J11" s="55" t="s">
        <v>3725</v>
      </c>
      <c r="K11" s="55" t="s">
        <v>3726</v>
      </c>
      <c r="L11" s="55" t="s">
        <v>3727</v>
      </c>
      <c r="M11" s="55" t="s">
        <v>3728</v>
      </c>
      <c r="N11" s="55" t="s">
        <v>3627</v>
      </c>
      <c r="O11" s="55" t="s">
        <v>3729</v>
      </c>
    </row>
    <row r="12" spans="2:25">
      <c r="B12" s="42" t="s">
        <v>3596</v>
      </c>
      <c r="C12" s="42" t="s">
        <v>3229</v>
      </c>
      <c r="D12" s="42" t="s">
        <v>3223</v>
      </c>
      <c r="E12" s="42" t="s">
        <v>3231</v>
      </c>
      <c r="F12" s="42" t="s">
        <v>3233</v>
      </c>
      <c r="G12" s="42" t="s">
        <v>3234</v>
      </c>
      <c r="H12" s="42" t="s">
        <v>3239</v>
      </c>
      <c r="I12" s="42" t="s">
        <v>3241</v>
      </c>
      <c r="J12" s="42" t="s">
        <v>3243</v>
      </c>
      <c r="K12" s="42" t="s">
        <v>3375</v>
      </c>
      <c r="L12" s="42" t="s">
        <v>3475</v>
      </c>
      <c r="M12" s="42" t="s">
        <v>3477</v>
      </c>
      <c r="N12" s="42" t="s">
        <v>3479</v>
      </c>
      <c r="O12" s="42" t="s">
        <v>3594</v>
      </c>
      <c r="X12" s="13" t="str">
        <f>Show!$B$66&amp;"S.10.01.01.01 Rows {"&amp;COLUMN($B$1)&amp;"}"&amp;"@ForceFilingCode:true"</f>
        <v>!S.10.01.01.01 Rows {2}@ForceFilingCode:true</v>
      </c>
      <c r="Y12" s="13" t="str">
        <f>Show!$B$66&amp;"S.10.01.01.01 Columns {"&amp;COLUMN($B$1)&amp;"}"</f>
        <v>!S.10.01.01.01 Columns {2}</v>
      </c>
    </row>
    <row r="13" spans="2:25">
      <c r="B13" s="50"/>
      <c r="C13" s="50"/>
      <c r="D13" s="51"/>
      <c r="E13" s="51"/>
      <c r="F13" s="51"/>
      <c r="G13" s="51"/>
      <c r="H13" s="51"/>
      <c r="I13" s="51"/>
      <c r="J13" s="51"/>
      <c r="K13" s="60"/>
      <c r="L13" s="60"/>
      <c r="M13" s="54"/>
      <c r="N13" s="54"/>
      <c r="O13" s="60"/>
    </row>
    <row r="15" spans="2:25">
      <c r="X15" s="13" t="str">
        <f>Show!$B$66&amp;Show!$B$66&amp;"S.10.01.01.01 Rows {"&amp;COLUMN($B$1)&amp;"}"</f>
        <v>!!S.10.01.01.01 Rows {2}</v>
      </c>
      <c r="Y15" s="13" t="str">
        <f>Show!$B$66&amp;Show!$B$66&amp;"S.10.01.01.01 Columns {"&amp;COLUMN($O$1)&amp;"}"</f>
        <v>!!S.10.01.01.01 Columns {15}</v>
      </c>
    </row>
  </sheetData>
  <sheetProtection sheet="1" objects="1" scenarios="1"/>
  <mergeCells count="5">
    <mergeCell ref="B2:O2"/>
    <mergeCell ref="B5:L5"/>
    <mergeCell ref="B9:B11"/>
    <mergeCell ref="C9:C11"/>
    <mergeCell ref="D9:O10"/>
  </mergeCells>
  <dataValidations count="6">
    <dataValidation type="list" errorStyle="warning" allowBlank="1" showInputMessage="1" showErrorMessage="1" sqref="D13" xr:uid="{05EC395E-5203-4895-ABD3-44132232A056}">
      <formula1>hier_PU_33</formula1>
    </dataValidation>
    <dataValidation type="list" errorStyle="warning" allowBlank="1" showInputMessage="1" showErrorMessage="1" sqref="E13" xr:uid="{2AB6802B-F82D-4E57-BE7F-666FC321D591}">
      <formula1>hier_MC_28</formula1>
    </dataValidation>
    <dataValidation type="list" errorStyle="warning" allowBlank="1" showInputMessage="1" showErrorMessage="1" sqref="H13" xr:uid="{3FB274E0-F165-47C1-BA20-D6E77CB2D313}">
      <formula1>hier_MC_29</formula1>
    </dataValidation>
    <dataValidation type="list" errorStyle="warning" allowBlank="1" showInputMessage="1" showErrorMessage="1" sqref="I13" xr:uid="{665D6683-7D13-43CD-8D90-8DB0D0339094}">
      <formula1>hier_LB_4</formula1>
    </dataValidation>
    <dataValidation type="list" errorStyle="warning" allowBlank="1" showInputMessage="1" showErrorMessage="1" sqref="J13" xr:uid="{CBE377D6-0BA8-4B0F-8D69-1B3F04DA50CE}">
      <formula1>hier_TB_8</formula1>
    </dataValidation>
    <dataValidation type="date" operator="greaterThan" allowBlank="1" showInputMessage="1" showErrorMessage="1" errorTitle="Date value" error="This cell can only contain dates" sqref="M13:N13" xr:uid="{CC32D4B5-888D-4D3F-88A0-534626BE7308}">
      <formula1>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FCF9-02EE-48B8-A8DC-3E425D52EE2F}">
  <sheetPr codeName="Blad71"/>
  <dimension ref="B2:AB15"/>
  <sheetViews>
    <sheetView showGridLines="0" workbookViewId="0"/>
  </sheetViews>
  <sheetFormatPr defaultRowHeight="15"/>
  <cols>
    <col min="2" max="2" width="17.42578125" bestFit="1" customWidth="1"/>
    <col min="3" max="4" width="15.7109375" customWidth="1"/>
    <col min="5" max="12" width="40.7109375" customWidth="1"/>
    <col min="13" max="17" width="15.7109375" customWidth="1"/>
  </cols>
  <sheetData>
    <row r="2" spans="2:28" ht="23.25">
      <c r="B2" s="95" t="s">
        <v>609</v>
      </c>
      <c r="C2" s="96"/>
      <c r="D2" s="96"/>
      <c r="E2" s="96"/>
      <c r="F2" s="96"/>
      <c r="G2" s="96"/>
      <c r="H2" s="96"/>
      <c r="I2" s="96"/>
      <c r="J2" s="96"/>
      <c r="K2" s="96"/>
      <c r="L2" s="96"/>
      <c r="M2" s="96"/>
      <c r="N2" s="96"/>
      <c r="O2" s="96"/>
    </row>
    <row r="5" spans="2:28" ht="18.75">
      <c r="B5" s="97" t="s">
        <v>3730</v>
      </c>
      <c r="C5" s="96"/>
      <c r="D5" s="96"/>
      <c r="E5" s="96"/>
      <c r="F5" s="96"/>
      <c r="G5" s="96"/>
      <c r="H5" s="96"/>
      <c r="I5" s="96"/>
      <c r="J5" s="96"/>
      <c r="K5" s="96"/>
      <c r="L5" s="96"/>
    </row>
    <row r="9" spans="2:28">
      <c r="B9" s="98" t="s">
        <v>3374</v>
      </c>
      <c r="C9" s="98" t="s">
        <v>3245</v>
      </c>
      <c r="D9" s="98" t="s">
        <v>3322</v>
      </c>
      <c r="E9" s="101" t="s">
        <v>2877</v>
      </c>
      <c r="F9" s="102"/>
      <c r="G9" s="102"/>
      <c r="H9" s="102"/>
      <c r="I9" s="102"/>
      <c r="J9" s="102"/>
      <c r="K9" s="102"/>
      <c r="L9" s="102"/>
      <c r="M9" s="102"/>
      <c r="N9" s="102"/>
      <c r="O9" s="102"/>
      <c r="P9" s="102"/>
      <c r="Q9" s="103"/>
    </row>
    <row r="10" spans="2:28">
      <c r="B10" s="99"/>
      <c r="C10" s="99"/>
      <c r="D10" s="99"/>
      <c r="E10" s="104"/>
      <c r="F10" s="105"/>
      <c r="G10" s="105"/>
      <c r="H10" s="105"/>
      <c r="I10" s="105"/>
      <c r="J10" s="105"/>
      <c r="K10" s="105"/>
      <c r="L10" s="105"/>
      <c r="M10" s="105"/>
      <c r="N10" s="105"/>
      <c r="O10" s="105"/>
      <c r="P10" s="105"/>
      <c r="Q10" s="106"/>
    </row>
    <row r="11" spans="2:28" ht="30">
      <c r="B11" s="100"/>
      <c r="C11" s="100"/>
      <c r="D11" s="100"/>
      <c r="E11" s="55" t="s">
        <v>3246</v>
      </c>
      <c r="F11" s="55" t="s">
        <v>3584</v>
      </c>
      <c r="G11" s="55" t="s">
        <v>3713</v>
      </c>
      <c r="H11" s="55" t="s">
        <v>3692</v>
      </c>
      <c r="I11" s="55" t="s">
        <v>3722</v>
      </c>
      <c r="J11" s="55" t="s">
        <v>3723</v>
      </c>
      <c r="K11" s="55" t="s">
        <v>3724</v>
      </c>
      <c r="L11" s="55" t="s">
        <v>3725</v>
      </c>
      <c r="M11" s="55" t="s">
        <v>3726</v>
      </c>
      <c r="N11" s="55" t="s">
        <v>3727</v>
      </c>
      <c r="O11" s="55" t="s">
        <v>3728</v>
      </c>
      <c r="P11" s="55" t="s">
        <v>3627</v>
      </c>
      <c r="Q11" s="55" t="s">
        <v>3729</v>
      </c>
    </row>
    <row r="12" spans="2:28">
      <c r="B12" s="42" t="s">
        <v>3596</v>
      </c>
      <c r="C12" s="42" t="s">
        <v>3219</v>
      </c>
      <c r="D12" s="42" t="s">
        <v>3229</v>
      </c>
      <c r="E12" s="42" t="s">
        <v>2879</v>
      </c>
      <c r="F12" s="42" t="s">
        <v>3223</v>
      </c>
      <c r="G12" s="42" t="s">
        <v>3231</v>
      </c>
      <c r="H12" s="42" t="s">
        <v>3233</v>
      </c>
      <c r="I12" s="42" t="s">
        <v>3234</v>
      </c>
      <c r="J12" s="42" t="s">
        <v>3239</v>
      </c>
      <c r="K12" s="42" t="s">
        <v>3241</v>
      </c>
      <c r="L12" s="42" t="s">
        <v>3243</v>
      </c>
      <c r="M12" s="42" t="s">
        <v>3375</v>
      </c>
      <c r="N12" s="42" t="s">
        <v>3475</v>
      </c>
      <c r="O12" s="42" t="s">
        <v>3477</v>
      </c>
      <c r="P12" s="42" t="s">
        <v>3479</v>
      </c>
      <c r="Q12" s="42" t="s">
        <v>3594</v>
      </c>
      <c r="AA12" s="13" t="str">
        <f>Show!$B$67&amp;"S.10.01.04.01 Rows {"&amp;COLUMN($B$1)&amp;"}"&amp;"@ForceFilingCode:true"</f>
        <v>!S.10.01.04.01 Rows {2}@ForceFilingCode:true</v>
      </c>
      <c r="AB12" s="13" t="str">
        <f>Show!$B$67&amp;"S.10.01.04.01 Columns {"&amp;COLUMN($B$1)&amp;"}"</f>
        <v>!S.10.01.04.01 Columns {2}</v>
      </c>
    </row>
    <row r="13" spans="2:28">
      <c r="B13" s="50"/>
      <c r="C13" s="50"/>
      <c r="D13" s="50"/>
      <c r="E13" s="51"/>
      <c r="F13" s="51"/>
      <c r="G13" s="51"/>
      <c r="H13" s="51"/>
      <c r="I13" s="51"/>
      <c r="J13" s="51"/>
      <c r="K13" s="51"/>
      <c r="L13" s="51"/>
      <c r="M13" s="60"/>
      <c r="N13" s="60"/>
      <c r="O13" s="54"/>
      <c r="P13" s="54"/>
      <c r="Q13" s="60"/>
    </row>
    <row r="15" spans="2:28">
      <c r="AA15" s="13" t="str">
        <f>Show!$B$67&amp;Show!$B$67&amp;"S.10.01.04.01 Rows {"&amp;COLUMN($B$1)&amp;"}"</f>
        <v>!!S.10.01.04.01 Rows {2}</v>
      </c>
      <c r="AB15" s="13" t="str">
        <f>Show!$B$67&amp;Show!$B$67&amp;"S.10.01.04.01 Columns {"&amp;COLUMN($Q$1)&amp;"}"</f>
        <v>!!S.10.01.04.01 Columns {17}</v>
      </c>
    </row>
  </sheetData>
  <sheetProtection sheet="1" objects="1" scenarios="1"/>
  <mergeCells count="6">
    <mergeCell ref="B2:O2"/>
    <mergeCell ref="B5:L5"/>
    <mergeCell ref="B9:B11"/>
    <mergeCell ref="C9:C11"/>
    <mergeCell ref="D9:D11"/>
    <mergeCell ref="E9:Q10"/>
  </mergeCells>
  <dataValidations count="6">
    <dataValidation type="list" errorStyle="warning" allowBlank="1" showInputMessage="1" showErrorMessage="1" sqref="F13" xr:uid="{BF452B59-292F-47B6-AA7F-034BB7E922FB}">
      <formula1>hier_PU_33</formula1>
    </dataValidation>
    <dataValidation type="list" errorStyle="warning" allowBlank="1" showInputMessage="1" showErrorMessage="1" sqref="G13" xr:uid="{7B274989-5E9B-43C3-B99B-45501ACB667F}">
      <formula1>hier_MC_28</formula1>
    </dataValidation>
    <dataValidation type="list" errorStyle="warning" allowBlank="1" showInputMessage="1" showErrorMessage="1" sqref="J13" xr:uid="{86023211-15B5-4A4D-9234-AE9FC9D56327}">
      <formula1>hier_MC_29</formula1>
    </dataValidation>
    <dataValidation type="list" errorStyle="warning" allowBlank="1" showInputMessage="1" showErrorMessage="1" sqref="K13" xr:uid="{AAA0034B-8103-4D61-8BEB-7FD4504E1CEB}">
      <formula1>hier_LB_4</formula1>
    </dataValidation>
    <dataValidation type="list" errorStyle="warning" allowBlank="1" showInputMessage="1" showErrorMessage="1" sqref="L13" xr:uid="{A91A8DA9-3C6C-4512-A621-DB10267EDC39}">
      <formula1>hier_TB_8</formula1>
    </dataValidation>
    <dataValidation type="date" operator="greaterThan" allowBlank="1" showInputMessage="1" showErrorMessage="1" errorTitle="Date value" error="This cell can only contain dates" sqref="O13:P13" xr:uid="{95D6C1A7-94ED-4541-9A8A-30595EE6CD6D}">
      <formula1>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14204-C964-4BBF-8C86-FDC34237BB1A}">
  <sheetPr codeName="Blad72"/>
  <dimension ref="B2:X29"/>
  <sheetViews>
    <sheetView showGridLines="0" workbookViewId="0"/>
  </sheetViews>
  <sheetFormatPr defaultRowHeight="15"/>
  <cols>
    <col min="2" max="2" width="29.140625" bestFit="1" customWidth="1"/>
    <col min="3" max="11" width="40.7109375" customWidth="1"/>
    <col min="12" max="14" width="15.7109375" customWidth="1"/>
  </cols>
  <sheetData>
    <row r="2" spans="2:24" ht="23.25">
      <c r="B2" s="95" t="s">
        <v>612</v>
      </c>
      <c r="C2" s="96"/>
      <c r="D2" s="96"/>
      <c r="E2" s="96"/>
      <c r="F2" s="96"/>
      <c r="G2" s="96"/>
      <c r="H2" s="96"/>
      <c r="I2" s="96"/>
      <c r="J2" s="96"/>
      <c r="K2" s="96"/>
      <c r="L2" s="96"/>
      <c r="M2" s="96"/>
      <c r="N2" s="96"/>
      <c r="O2" s="96"/>
    </row>
    <row r="5" spans="2:24" ht="18.75">
      <c r="B5" s="97" t="s">
        <v>3731</v>
      </c>
      <c r="C5" s="96"/>
      <c r="D5" s="96"/>
      <c r="E5" s="96"/>
      <c r="F5" s="96"/>
      <c r="G5" s="96"/>
      <c r="H5" s="96"/>
      <c r="I5" s="96"/>
      <c r="J5" s="96"/>
      <c r="K5" s="96"/>
      <c r="L5" s="96"/>
    </row>
    <row r="9" spans="2:24">
      <c r="B9" s="98" t="s">
        <v>3374</v>
      </c>
      <c r="C9" s="98" t="s">
        <v>3582</v>
      </c>
      <c r="D9" s="101" t="s">
        <v>2877</v>
      </c>
      <c r="E9" s="102"/>
      <c r="F9" s="102"/>
      <c r="G9" s="102"/>
      <c r="H9" s="102"/>
      <c r="I9" s="102"/>
      <c r="J9" s="102"/>
      <c r="K9" s="102"/>
      <c r="L9" s="103"/>
    </row>
    <row r="10" spans="2:24">
      <c r="B10" s="99"/>
      <c r="C10" s="99"/>
      <c r="D10" s="104"/>
      <c r="E10" s="105"/>
      <c r="F10" s="105"/>
      <c r="G10" s="105"/>
      <c r="H10" s="105"/>
      <c r="I10" s="105"/>
      <c r="J10" s="105"/>
      <c r="K10" s="105"/>
      <c r="L10" s="106"/>
    </row>
    <row r="11" spans="2:24" ht="60">
      <c r="B11" s="99"/>
      <c r="C11" s="99"/>
      <c r="D11" s="107" t="s">
        <v>3732</v>
      </c>
      <c r="E11" s="108"/>
      <c r="F11" s="108"/>
      <c r="G11" s="108"/>
      <c r="H11" s="108"/>
      <c r="I11" s="108"/>
      <c r="J11" s="108"/>
      <c r="K11" s="109"/>
      <c r="L11" s="55" t="s">
        <v>3735</v>
      </c>
    </row>
    <row r="12" spans="2:24" ht="45">
      <c r="B12" s="100"/>
      <c r="C12" s="100"/>
      <c r="D12" s="55" t="s">
        <v>3733</v>
      </c>
      <c r="E12" s="55" t="s">
        <v>3734</v>
      </c>
      <c r="F12" s="55" t="s">
        <v>3587</v>
      </c>
      <c r="G12" s="55" t="s">
        <v>3589</v>
      </c>
      <c r="H12" s="55" t="s">
        <v>3590</v>
      </c>
      <c r="I12" s="55" t="s">
        <v>3591</v>
      </c>
      <c r="J12" s="55" t="s">
        <v>3656</v>
      </c>
      <c r="K12" s="55" t="s">
        <v>3595</v>
      </c>
      <c r="L12" s="55" t="s">
        <v>3736</v>
      </c>
    </row>
    <row r="13" spans="2:24">
      <c r="B13" s="42" t="s">
        <v>3608</v>
      </c>
      <c r="C13" s="42" t="s">
        <v>3223</v>
      </c>
      <c r="D13" s="42" t="s">
        <v>3231</v>
      </c>
      <c r="E13" s="42" t="s">
        <v>3233</v>
      </c>
      <c r="F13" s="42" t="s">
        <v>3234</v>
      </c>
      <c r="G13" s="42" t="s">
        <v>3236</v>
      </c>
      <c r="H13" s="42" t="s">
        <v>3239</v>
      </c>
      <c r="I13" s="42" t="s">
        <v>3241</v>
      </c>
      <c r="J13" s="42" t="s">
        <v>3243</v>
      </c>
      <c r="K13" s="42" t="s">
        <v>3375</v>
      </c>
      <c r="L13" s="42" t="s">
        <v>3475</v>
      </c>
      <c r="W13" s="13" t="str">
        <f>Show!$B$68&amp;"S.11.01.01.01 Rows {"&amp;COLUMN($B$1)&amp;"}"&amp;"@ForceFilingCode:true"</f>
        <v>!S.11.01.01.01 Rows {2}@ForceFilingCode:true</v>
      </c>
      <c r="X13" s="13" t="str">
        <f>Show!$B$68&amp;"S.11.01.01.01 Columns {"&amp;COLUMN($B$1)&amp;"}"</f>
        <v>!S.11.01.01.01 Columns {2}</v>
      </c>
    </row>
    <row r="14" spans="2:24">
      <c r="B14" s="50"/>
      <c r="C14" s="50"/>
      <c r="D14" s="51"/>
      <c r="E14" s="51"/>
      <c r="F14" s="51"/>
      <c r="G14" s="69"/>
      <c r="H14" s="60"/>
      <c r="I14" s="51"/>
      <c r="J14" s="60"/>
      <c r="K14" s="60"/>
      <c r="L14" s="51"/>
    </row>
    <row r="16" spans="2:24">
      <c r="W16" s="13" t="str">
        <f>Show!$B$68&amp;Show!$B$68&amp;"S.11.01.01.01 Rows {"&amp;COLUMN($B$1)&amp;"}"</f>
        <v>!!S.11.01.01.01 Rows {2}</v>
      </c>
      <c r="X16" s="13" t="str">
        <f>Show!$B$68&amp;Show!$B$68&amp;"S.11.01.01.01 Columns {"&amp;COLUMN($L$1)&amp;"}"</f>
        <v>!!S.11.01.01.01 Columns {12}</v>
      </c>
    </row>
    <row r="18" spans="2:24" ht="18.75">
      <c r="B18" s="97" t="s">
        <v>3737</v>
      </c>
      <c r="C18" s="96"/>
      <c r="D18" s="96"/>
      <c r="E18" s="96"/>
      <c r="F18" s="96"/>
      <c r="G18" s="96"/>
      <c r="H18" s="96"/>
      <c r="I18" s="96"/>
      <c r="J18" s="96"/>
      <c r="K18" s="96"/>
      <c r="L18" s="96"/>
    </row>
    <row r="22" spans="2:24">
      <c r="B22" s="98" t="s">
        <v>3582</v>
      </c>
      <c r="C22" s="101" t="s">
        <v>2877</v>
      </c>
      <c r="D22" s="102"/>
      <c r="E22" s="102"/>
      <c r="F22" s="102"/>
      <c r="G22" s="102"/>
      <c r="H22" s="102"/>
      <c r="I22" s="102"/>
      <c r="J22" s="102"/>
      <c r="K22" s="102"/>
      <c r="L22" s="102"/>
      <c r="M22" s="102"/>
      <c r="N22" s="103"/>
    </row>
    <row r="23" spans="2:24">
      <c r="B23" s="99"/>
      <c r="C23" s="104"/>
      <c r="D23" s="105"/>
      <c r="E23" s="105"/>
      <c r="F23" s="105"/>
      <c r="G23" s="105"/>
      <c r="H23" s="105"/>
      <c r="I23" s="105"/>
      <c r="J23" s="105"/>
      <c r="K23" s="105"/>
      <c r="L23" s="105"/>
      <c r="M23" s="105"/>
      <c r="N23" s="106"/>
    </row>
    <row r="24" spans="2:24">
      <c r="B24" s="99"/>
      <c r="C24" s="107" t="s">
        <v>3732</v>
      </c>
      <c r="D24" s="108"/>
      <c r="E24" s="108"/>
      <c r="F24" s="108"/>
      <c r="G24" s="108"/>
      <c r="H24" s="108"/>
      <c r="I24" s="108"/>
      <c r="J24" s="108"/>
      <c r="K24" s="108"/>
      <c r="L24" s="108"/>
      <c r="M24" s="108"/>
      <c r="N24" s="109"/>
    </row>
    <row r="25" spans="2:24" ht="45">
      <c r="B25" s="100"/>
      <c r="C25" s="55" t="s">
        <v>3598</v>
      </c>
      <c r="D25" s="55" t="s">
        <v>3600</v>
      </c>
      <c r="E25" s="55" t="s">
        <v>3601</v>
      </c>
      <c r="F25" s="55" t="s">
        <v>3602</v>
      </c>
      <c r="G25" s="55" t="s">
        <v>3738</v>
      </c>
      <c r="H25" s="55" t="s">
        <v>3604</v>
      </c>
      <c r="I25" s="55" t="s">
        <v>3605</v>
      </c>
      <c r="J25" s="55" t="s">
        <v>3606</v>
      </c>
      <c r="K25" s="55" t="s">
        <v>3607</v>
      </c>
      <c r="L25" s="55" t="s">
        <v>3739</v>
      </c>
      <c r="M25" s="55" t="s">
        <v>3625</v>
      </c>
      <c r="N25" s="55" t="s">
        <v>3627</v>
      </c>
    </row>
    <row r="26" spans="2:24">
      <c r="B26" s="42" t="s">
        <v>3223</v>
      </c>
      <c r="C26" s="42" t="s">
        <v>3477</v>
      </c>
      <c r="D26" s="42" t="s">
        <v>3479</v>
      </c>
      <c r="E26" s="42" t="s">
        <v>3594</v>
      </c>
      <c r="F26" s="42" t="s">
        <v>3599</v>
      </c>
      <c r="G26" s="42" t="s">
        <v>3481</v>
      </c>
      <c r="H26" s="42" t="s">
        <v>3508</v>
      </c>
      <c r="I26" s="42" t="s">
        <v>3511</v>
      </c>
      <c r="J26" s="42" t="s">
        <v>3513</v>
      </c>
      <c r="K26" s="42" t="s">
        <v>3514</v>
      </c>
      <c r="L26" s="42" t="s">
        <v>3515</v>
      </c>
      <c r="M26" s="42" t="s">
        <v>3517</v>
      </c>
      <c r="N26" s="42" t="s">
        <v>3518</v>
      </c>
      <c r="W26" s="13" t="str">
        <f>Show!$B$68&amp;"S.11.01.01.02 Rows {"&amp;COLUMN($B$1)&amp;"}"&amp;"@ForceFilingCode:true"</f>
        <v>!S.11.01.01.02 Rows {2}@ForceFilingCode:true</v>
      </c>
      <c r="X26" s="13" t="str">
        <f>Show!$B$68&amp;"S.11.01.01.02 Columns {"&amp;COLUMN($B$1)&amp;"}"</f>
        <v>!S.11.01.01.02 Columns {2}</v>
      </c>
    </row>
    <row r="27" spans="2:24">
      <c r="B27" s="50"/>
      <c r="C27" s="51"/>
      <c r="D27" s="51"/>
      <c r="E27" s="51"/>
      <c r="F27" s="51"/>
      <c r="G27" s="51"/>
      <c r="H27" s="51"/>
      <c r="I27" s="51"/>
      <c r="J27" s="51"/>
      <c r="K27" s="51"/>
      <c r="L27" s="60"/>
      <c r="M27" s="70"/>
      <c r="N27" s="54"/>
    </row>
    <row r="29" spans="2:24">
      <c r="W29" s="13" t="str">
        <f>Show!$B$68&amp;Show!$B$68&amp;"S.11.01.01.02 Rows {"&amp;COLUMN($B$1)&amp;"}"</f>
        <v>!!S.11.01.01.02 Rows {2}</v>
      </c>
      <c r="X29" s="13" t="str">
        <f>Show!$B$68&amp;Show!$B$68&amp;"S.11.01.01.02 Columns {"&amp;COLUMN($N$1)&amp;"}"</f>
        <v>!!S.11.01.01.02 Columns {14}</v>
      </c>
    </row>
  </sheetData>
  <sheetProtection sheet="1" objects="1" scenarios="1"/>
  <mergeCells count="10">
    <mergeCell ref="B18:L18"/>
    <mergeCell ref="B22:B25"/>
    <mergeCell ref="C22:N23"/>
    <mergeCell ref="C24:N24"/>
    <mergeCell ref="B2:O2"/>
    <mergeCell ref="B5:L5"/>
    <mergeCell ref="B9:B12"/>
    <mergeCell ref="C9:C12"/>
    <mergeCell ref="D9:L10"/>
    <mergeCell ref="D11:K11"/>
  </mergeCells>
  <dataValidations count="7">
    <dataValidation type="list" errorStyle="warning" allowBlank="1" showInputMessage="1" showErrorMessage="1" sqref="F14" xr:uid="{3BB77303-FA1A-44FD-83C0-D8BE90818424}">
      <formula1>hier_GA_1</formula1>
    </dataValidation>
    <dataValidation type="list" errorStyle="warning" allowBlank="1" showInputMessage="1" showErrorMessage="1" sqref="I14" xr:uid="{3C1569B1-A392-453C-A3B7-EC137BF7209C}">
      <formula1>hier_VM_23</formula1>
    </dataValidation>
    <dataValidation type="list" errorStyle="warning" allowBlank="1" showInputMessage="1" showErrorMessage="1" sqref="L14" xr:uid="{F041C1CF-3278-40E1-946D-54385867473E}">
      <formula1>hier_MC_31</formula1>
    </dataValidation>
    <dataValidation type="list" errorStyle="warning" allowBlank="1" showInputMessage="1" showErrorMessage="1" sqref="F27" xr:uid="{CDC8E602-B4AA-43DF-91C3-46D4A5A6CEED}">
      <formula1>hier_NC_1</formula1>
    </dataValidation>
    <dataValidation type="list" errorStyle="warning" allowBlank="1" showInputMessage="1" showErrorMessage="1" sqref="I27" xr:uid="{70C0E519-A6F4-45DA-8F71-B42A000428F4}">
      <formula1>hier_GA_4</formula1>
    </dataValidation>
    <dataValidation type="list" errorStyle="warning" allowBlank="1" showInputMessage="1" showErrorMessage="1" sqref="J27" xr:uid="{21928956-E236-4E43-B755-7F03EF290E34}">
      <formula1>hier_CU_1</formula1>
    </dataValidation>
    <dataValidation type="date" operator="greaterThan" allowBlank="1" showInputMessage="1" showErrorMessage="1" errorTitle="Date value" error="This cell can only contain dates" sqref="N27" xr:uid="{4BA79E89-A323-44B7-84F4-14640AF48CF7}">
      <formula1>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5DA9-58B0-4513-B430-287099768B1F}">
  <sheetPr codeName="Blad73"/>
  <dimension ref="B2:AA29"/>
  <sheetViews>
    <sheetView showGridLines="0" workbookViewId="0"/>
  </sheetViews>
  <sheetFormatPr defaultRowHeight="15"/>
  <cols>
    <col min="2" max="2" width="29.140625" bestFit="1" customWidth="1"/>
    <col min="3" max="11" width="40.7109375" customWidth="1"/>
    <col min="12" max="14" width="15.7109375" customWidth="1"/>
  </cols>
  <sheetData>
    <row r="2" spans="2:27" ht="23.25">
      <c r="B2" s="95" t="s">
        <v>612</v>
      </c>
      <c r="C2" s="96"/>
      <c r="D2" s="96"/>
      <c r="E2" s="96"/>
      <c r="F2" s="96"/>
      <c r="G2" s="96"/>
      <c r="H2" s="96"/>
      <c r="I2" s="96"/>
      <c r="J2" s="96"/>
      <c r="K2" s="96"/>
      <c r="L2" s="96"/>
      <c r="M2" s="96"/>
      <c r="N2" s="96"/>
      <c r="O2" s="96"/>
    </row>
    <row r="5" spans="2:27" ht="18.75">
      <c r="B5" s="97" t="s">
        <v>3740</v>
      </c>
      <c r="C5" s="96"/>
      <c r="D5" s="96"/>
      <c r="E5" s="96"/>
      <c r="F5" s="96"/>
      <c r="G5" s="96"/>
      <c r="H5" s="96"/>
      <c r="I5" s="96"/>
      <c r="J5" s="96"/>
      <c r="K5" s="96"/>
      <c r="L5" s="96"/>
    </row>
    <row r="9" spans="2:27">
      <c r="B9" s="98" t="s">
        <v>3374</v>
      </c>
      <c r="C9" s="98" t="s">
        <v>3245</v>
      </c>
      <c r="D9" s="98" t="s">
        <v>3582</v>
      </c>
      <c r="E9" s="101" t="s">
        <v>2877</v>
      </c>
      <c r="F9" s="102"/>
      <c r="G9" s="102"/>
      <c r="H9" s="102"/>
      <c r="I9" s="102"/>
      <c r="J9" s="102"/>
      <c r="K9" s="102"/>
      <c r="L9" s="102"/>
      <c r="M9" s="102"/>
      <c r="N9" s="103"/>
    </row>
    <row r="10" spans="2:27">
      <c r="B10" s="99"/>
      <c r="C10" s="99"/>
      <c r="D10" s="99"/>
      <c r="E10" s="104"/>
      <c r="F10" s="105"/>
      <c r="G10" s="105"/>
      <c r="H10" s="105"/>
      <c r="I10" s="105"/>
      <c r="J10" s="105"/>
      <c r="K10" s="105"/>
      <c r="L10" s="105"/>
      <c r="M10" s="105"/>
      <c r="N10" s="106"/>
    </row>
    <row r="11" spans="2:27" ht="60">
      <c r="B11" s="99"/>
      <c r="C11" s="99"/>
      <c r="D11" s="99"/>
      <c r="E11" s="107" t="s">
        <v>3732</v>
      </c>
      <c r="F11" s="108"/>
      <c r="G11" s="108"/>
      <c r="H11" s="108"/>
      <c r="I11" s="108"/>
      <c r="J11" s="108"/>
      <c r="K11" s="108"/>
      <c r="L11" s="108"/>
      <c r="M11" s="109"/>
      <c r="N11" s="55" t="s">
        <v>3735</v>
      </c>
    </row>
    <row r="12" spans="2:27" ht="45">
      <c r="B12" s="100"/>
      <c r="C12" s="100"/>
      <c r="D12" s="100"/>
      <c r="E12" s="55" t="s">
        <v>3246</v>
      </c>
      <c r="F12" s="55" t="s">
        <v>3733</v>
      </c>
      <c r="G12" s="55" t="s">
        <v>3734</v>
      </c>
      <c r="H12" s="55" t="s">
        <v>3587</v>
      </c>
      <c r="I12" s="55" t="s">
        <v>3589</v>
      </c>
      <c r="J12" s="55" t="s">
        <v>3590</v>
      </c>
      <c r="K12" s="55" t="s">
        <v>3591</v>
      </c>
      <c r="L12" s="55" t="s">
        <v>3656</v>
      </c>
      <c r="M12" s="55" t="s">
        <v>3595</v>
      </c>
      <c r="N12" s="55" t="s">
        <v>3736</v>
      </c>
    </row>
    <row r="13" spans="2:27">
      <c r="B13" s="42" t="s">
        <v>3608</v>
      </c>
      <c r="C13" s="42" t="s">
        <v>3219</v>
      </c>
      <c r="D13" s="42" t="s">
        <v>3223</v>
      </c>
      <c r="E13" s="42" t="s">
        <v>2879</v>
      </c>
      <c r="F13" s="42" t="s">
        <v>3231</v>
      </c>
      <c r="G13" s="42" t="s">
        <v>3233</v>
      </c>
      <c r="H13" s="42" t="s">
        <v>3234</v>
      </c>
      <c r="I13" s="42" t="s">
        <v>3236</v>
      </c>
      <c r="J13" s="42" t="s">
        <v>3239</v>
      </c>
      <c r="K13" s="42" t="s">
        <v>3241</v>
      </c>
      <c r="L13" s="42" t="s">
        <v>3243</v>
      </c>
      <c r="M13" s="42" t="s">
        <v>3375</v>
      </c>
      <c r="N13" s="42" t="s">
        <v>3475</v>
      </c>
      <c r="Z13" s="13" t="str">
        <f>Show!$B$69&amp;"S.11.01.04.01 Rows {"&amp;COLUMN($B$1)&amp;"}"&amp;"@ForceFilingCode:true"</f>
        <v>!S.11.01.04.01 Rows {2}@ForceFilingCode:true</v>
      </c>
      <c r="AA13" s="13" t="str">
        <f>Show!$B$69&amp;"S.11.01.04.01 Columns {"&amp;COLUMN($B$1)&amp;"}"</f>
        <v>!S.11.01.04.01 Columns {2}</v>
      </c>
    </row>
    <row r="14" spans="2:27">
      <c r="B14" s="50"/>
      <c r="C14" s="50"/>
      <c r="D14" s="50"/>
      <c r="E14" s="51"/>
      <c r="F14" s="51"/>
      <c r="G14" s="51"/>
      <c r="H14" s="51"/>
      <c r="I14" s="69"/>
      <c r="J14" s="60"/>
      <c r="K14" s="51"/>
      <c r="L14" s="60"/>
      <c r="M14" s="60"/>
      <c r="N14" s="51"/>
    </row>
    <row r="16" spans="2:27">
      <c r="Z16" s="13" t="str">
        <f>Show!$B$69&amp;Show!$B$69&amp;"S.11.01.04.01 Rows {"&amp;COLUMN($B$1)&amp;"}"</f>
        <v>!!S.11.01.04.01 Rows {2}</v>
      </c>
      <c r="AA16" s="13" t="str">
        <f>Show!$B$69&amp;Show!$B$69&amp;"S.11.01.04.01 Columns {"&amp;COLUMN($N$1)&amp;"}"</f>
        <v>!!S.11.01.04.01 Columns {14}</v>
      </c>
    </row>
    <row r="18" spans="2:27" ht="18.75">
      <c r="B18" s="97" t="s">
        <v>3741</v>
      </c>
      <c r="C18" s="96"/>
      <c r="D18" s="96"/>
      <c r="E18" s="96"/>
      <c r="F18" s="96"/>
      <c r="G18" s="96"/>
      <c r="H18" s="96"/>
      <c r="I18" s="96"/>
      <c r="J18" s="96"/>
      <c r="K18" s="96"/>
      <c r="L18" s="96"/>
    </row>
    <row r="22" spans="2:27">
      <c r="B22" s="98" t="s">
        <v>3582</v>
      </c>
      <c r="C22" s="101" t="s">
        <v>2877</v>
      </c>
      <c r="D22" s="102"/>
      <c r="E22" s="102"/>
      <c r="F22" s="102"/>
      <c r="G22" s="102"/>
      <c r="H22" s="102"/>
      <c r="I22" s="102"/>
      <c r="J22" s="102"/>
      <c r="K22" s="102"/>
      <c r="L22" s="102"/>
      <c r="M22" s="102"/>
      <c r="N22" s="103"/>
    </row>
    <row r="23" spans="2:27">
      <c r="B23" s="99"/>
      <c r="C23" s="104"/>
      <c r="D23" s="105"/>
      <c r="E23" s="105"/>
      <c r="F23" s="105"/>
      <c r="G23" s="105"/>
      <c r="H23" s="105"/>
      <c r="I23" s="105"/>
      <c r="J23" s="105"/>
      <c r="K23" s="105"/>
      <c r="L23" s="105"/>
      <c r="M23" s="105"/>
      <c r="N23" s="106"/>
    </row>
    <row r="24" spans="2:27">
      <c r="B24" s="99"/>
      <c r="C24" s="107" t="s">
        <v>3732</v>
      </c>
      <c r="D24" s="108"/>
      <c r="E24" s="108"/>
      <c r="F24" s="108"/>
      <c r="G24" s="108"/>
      <c r="H24" s="108"/>
      <c r="I24" s="108"/>
      <c r="J24" s="108"/>
      <c r="K24" s="108"/>
      <c r="L24" s="108"/>
      <c r="M24" s="108"/>
      <c r="N24" s="109"/>
    </row>
    <row r="25" spans="2:27" ht="45">
      <c r="B25" s="100"/>
      <c r="C25" s="55" t="s">
        <v>3598</v>
      </c>
      <c r="D25" s="55" t="s">
        <v>3600</v>
      </c>
      <c r="E25" s="55" t="s">
        <v>3601</v>
      </c>
      <c r="F25" s="55" t="s">
        <v>3602</v>
      </c>
      <c r="G25" s="55" t="s">
        <v>3738</v>
      </c>
      <c r="H25" s="55" t="s">
        <v>3604</v>
      </c>
      <c r="I25" s="55" t="s">
        <v>3605</v>
      </c>
      <c r="J25" s="55" t="s">
        <v>3606</v>
      </c>
      <c r="K25" s="55" t="s">
        <v>3607</v>
      </c>
      <c r="L25" s="55" t="s">
        <v>3739</v>
      </c>
      <c r="M25" s="55" t="s">
        <v>3625</v>
      </c>
      <c r="N25" s="55" t="s">
        <v>3627</v>
      </c>
    </row>
    <row r="26" spans="2:27">
      <c r="B26" s="42" t="s">
        <v>3223</v>
      </c>
      <c r="C26" s="42" t="s">
        <v>3477</v>
      </c>
      <c r="D26" s="42" t="s">
        <v>3479</v>
      </c>
      <c r="E26" s="42" t="s">
        <v>3594</v>
      </c>
      <c r="F26" s="42" t="s">
        <v>3599</v>
      </c>
      <c r="G26" s="42" t="s">
        <v>3481</v>
      </c>
      <c r="H26" s="42" t="s">
        <v>3508</v>
      </c>
      <c r="I26" s="42" t="s">
        <v>3511</v>
      </c>
      <c r="J26" s="42" t="s">
        <v>3513</v>
      </c>
      <c r="K26" s="42" t="s">
        <v>3514</v>
      </c>
      <c r="L26" s="42" t="s">
        <v>3515</v>
      </c>
      <c r="M26" s="42" t="s">
        <v>3517</v>
      </c>
      <c r="N26" s="42" t="s">
        <v>3518</v>
      </c>
      <c r="Z26" s="13" t="str">
        <f>Show!$B$69&amp;"S.11.01.04.02 Rows {"&amp;COLUMN($B$1)&amp;"}"&amp;"@ForceFilingCode:true"</f>
        <v>!S.11.01.04.02 Rows {2}@ForceFilingCode:true</v>
      </c>
      <c r="AA26" s="13" t="str">
        <f>Show!$B$69&amp;"S.11.01.04.02 Columns {"&amp;COLUMN($B$1)&amp;"}"</f>
        <v>!S.11.01.04.02 Columns {2}</v>
      </c>
    </row>
    <row r="27" spans="2:27">
      <c r="B27" s="50"/>
      <c r="C27" s="51"/>
      <c r="D27" s="51"/>
      <c r="E27" s="51"/>
      <c r="F27" s="51"/>
      <c r="G27" s="51"/>
      <c r="H27" s="51"/>
      <c r="I27" s="51"/>
      <c r="J27" s="51"/>
      <c r="K27" s="51"/>
      <c r="L27" s="60"/>
      <c r="M27" s="70"/>
      <c r="N27" s="54"/>
    </row>
    <row r="29" spans="2:27">
      <c r="Z29" s="13" t="str">
        <f>Show!$B$69&amp;Show!$B$69&amp;"S.11.01.04.02 Rows {"&amp;COLUMN($B$1)&amp;"}"</f>
        <v>!!S.11.01.04.02 Rows {2}</v>
      </c>
      <c r="AA29" s="13" t="str">
        <f>Show!$B$69&amp;Show!$B$69&amp;"S.11.01.04.02 Columns {"&amp;COLUMN($N$1)&amp;"}"</f>
        <v>!!S.11.01.04.02 Columns {14}</v>
      </c>
    </row>
  </sheetData>
  <sheetProtection sheet="1" objects="1" scenarios="1"/>
  <mergeCells count="11">
    <mergeCell ref="B18:L18"/>
    <mergeCell ref="B22:B25"/>
    <mergeCell ref="C22:N23"/>
    <mergeCell ref="C24:N24"/>
    <mergeCell ref="B2:O2"/>
    <mergeCell ref="B5:L5"/>
    <mergeCell ref="B9:B12"/>
    <mergeCell ref="C9:C12"/>
    <mergeCell ref="D9:D12"/>
    <mergeCell ref="E9:N10"/>
    <mergeCell ref="E11:M11"/>
  </mergeCells>
  <dataValidations count="7">
    <dataValidation type="list" errorStyle="warning" allowBlank="1" showInputMessage="1" showErrorMessage="1" sqref="H14" xr:uid="{85EFD6CC-B5B2-46B7-ABD9-387B5F698879}">
      <formula1>hier_GA_1</formula1>
    </dataValidation>
    <dataValidation type="list" errorStyle="warning" allowBlank="1" showInputMessage="1" showErrorMessage="1" sqref="K14" xr:uid="{F18B043D-4363-4FB5-96E4-7483F939F1D0}">
      <formula1>hier_VM_23</formula1>
    </dataValidation>
    <dataValidation type="list" errorStyle="warning" allowBlank="1" showInputMessage="1" showErrorMessage="1" sqref="N14" xr:uid="{C30572F6-2C21-4158-8E30-E1083100AD28}">
      <formula1>hier_MC_31</formula1>
    </dataValidation>
    <dataValidation type="list" errorStyle="warning" allowBlank="1" showInputMessage="1" showErrorMessage="1" sqref="F27" xr:uid="{0DCDF5D6-AA17-430E-BFC6-AE2EB1A1DEDC}">
      <formula1>hier_NC_1</formula1>
    </dataValidation>
    <dataValidation type="list" errorStyle="warning" allowBlank="1" showInputMessage="1" showErrorMessage="1" sqref="I27" xr:uid="{21CC30ED-3FFF-4C88-84FC-304B51457045}">
      <formula1>hier_GA_4</formula1>
    </dataValidation>
    <dataValidation type="list" errorStyle="warning" allowBlank="1" showInputMessage="1" showErrorMessage="1" sqref="J27" xr:uid="{68E70046-8904-409C-8C0F-72311649DB5D}">
      <formula1>hier_CU_1</formula1>
    </dataValidation>
    <dataValidation type="date" operator="greaterThan" allowBlank="1" showInputMessage="1" showErrorMessage="1" errorTitle="Date value" error="This cell can only contain dates" sqref="N27" xr:uid="{56C998E0-4888-4C19-B404-EB4F5BA10154}">
      <formula1>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3CA5E-DA4B-4D9F-A120-0AD59177AB7A}">
  <sheetPr codeName="Blad74"/>
  <dimension ref="B2:AG54"/>
  <sheetViews>
    <sheetView showGridLines="0" workbookViewId="0"/>
  </sheetViews>
  <sheetFormatPr defaultRowHeight="15"/>
  <cols>
    <col min="2" max="2" width="85.140625" bestFit="1" customWidth="1"/>
    <col min="4" max="23" width="15.7109375" customWidth="1"/>
  </cols>
  <sheetData>
    <row r="2" spans="2:33" ht="23.25">
      <c r="B2" s="95" t="s">
        <v>615</v>
      </c>
      <c r="C2" s="96"/>
      <c r="D2" s="96"/>
      <c r="E2" s="96"/>
      <c r="F2" s="96"/>
      <c r="G2" s="96"/>
      <c r="H2" s="96"/>
      <c r="I2" s="96"/>
      <c r="J2" s="96"/>
      <c r="K2" s="96"/>
      <c r="L2" s="96"/>
      <c r="M2" s="96"/>
      <c r="N2" s="96"/>
      <c r="O2" s="96"/>
    </row>
    <row r="5" spans="2:33" ht="18.75">
      <c r="B5" s="97" t="s">
        <v>3742</v>
      </c>
      <c r="C5" s="96"/>
      <c r="D5" s="96"/>
      <c r="E5" s="96"/>
      <c r="F5" s="96"/>
      <c r="G5" s="96"/>
      <c r="H5" s="96"/>
      <c r="I5" s="96"/>
      <c r="J5" s="96"/>
      <c r="K5" s="96"/>
      <c r="L5" s="96"/>
    </row>
    <row r="9" spans="2:33">
      <c r="D9" s="101" t="s">
        <v>2877</v>
      </c>
      <c r="E9" s="102"/>
      <c r="F9" s="102"/>
      <c r="G9" s="102"/>
      <c r="H9" s="102"/>
      <c r="I9" s="102"/>
      <c r="J9" s="102"/>
      <c r="K9" s="102"/>
      <c r="L9" s="102"/>
      <c r="M9" s="102"/>
      <c r="N9" s="102"/>
      <c r="O9" s="102"/>
      <c r="P9" s="102"/>
      <c r="Q9" s="102"/>
      <c r="R9" s="102"/>
      <c r="S9" s="102"/>
      <c r="T9" s="102"/>
      <c r="U9" s="102"/>
      <c r="V9" s="102"/>
      <c r="W9" s="103"/>
    </row>
    <row r="10" spans="2:33">
      <c r="D10" s="104"/>
      <c r="E10" s="105"/>
      <c r="F10" s="105"/>
      <c r="G10" s="105"/>
      <c r="H10" s="105"/>
      <c r="I10" s="105"/>
      <c r="J10" s="105"/>
      <c r="K10" s="105"/>
      <c r="L10" s="105"/>
      <c r="M10" s="105"/>
      <c r="N10" s="105"/>
      <c r="O10" s="105"/>
      <c r="P10" s="105"/>
      <c r="Q10" s="105"/>
      <c r="R10" s="105"/>
      <c r="S10" s="105"/>
      <c r="T10" s="105"/>
      <c r="U10" s="105"/>
      <c r="V10" s="105"/>
      <c r="W10" s="106"/>
    </row>
    <row r="11" spans="2:33">
      <c r="D11" s="98" t="s">
        <v>1264</v>
      </c>
      <c r="E11" s="101" t="s">
        <v>3510</v>
      </c>
      <c r="F11" s="108"/>
      <c r="G11" s="109"/>
      <c r="H11" s="101" t="s">
        <v>3512</v>
      </c>
      <c r="I11" s="108"/>
      <c r="J11" s="109"/>
      <c r="K11" s="98" t="s">
        <v>3745</v>
      </c>
      <c r="L11" s="101" t="s">
        <v>3746</v>
      </c>
      <c r="M11" s="108"/>
      <c r="N11" s="108"/>
      <c r="O11" s="108"/>
      <c r="P11" s="109"/>
      <c r="Q11" s="98" t="s">
        <v>3748</v>
      </c>
      <c r="R11" s="101" t="s">
        <v>3749</v>
      </c>
      <c r="S11" s="108"/>
      <c r="T11" s="109"/>
      <c r="U11" s="98" t="s">
        <v>1267</v>
      </c>
      <c r="V11" s="98" t="s">
        <v>3750</v>
      </c>
      <c r="W11" s="98" t="s">
        <v>3751</v>
      </c>
    </row>
    <row r="12" spans="2:33">
      <c r="D12" s="99"/>
      <c r="E12" s="99"/>
      <c r="F12" s="98" t="s">
        <v>3743</v>
      </c>
      <c r="G12" s="98" t="s">
        <v>3744</v>
      </c>
      <c r="H12" s="99"/>
      <c r="I12" s="98" t="s">
        <v>3743</v>
      </c>
      <c r="J12" s="98" t="s">
        <v>3744</v>
      </c>
      <c r="K12" s="99"/>
      <c r="L12" s="99"/>
      <c r="M12" s="98" t="s">
        <v>1264</v>
      </c>
      <c r="N12" s="98" t="s">
        <v>3510</v>
      </c>
      <c r="O12" s="98" t="s">
        <v>3512</v>
      </c>
      <c r="P12" s="98" t="s">
        <v>3747</v>
      </c>
      <c r="Q12" s="99"/>
      <c r="R12" s="99"/>
      <c r="S12" s="98" t="s">
        <v>3743</v>
      </c>
      <c r="T12" s="98" t="s">
        <v>3744</v>
      </c>
      <c r="U12" s="99"/>
      <c r="V12" s="99"/>
      <c r="W12" s="99"/>
    </row>
    <row r="13" spans="2:33">
      <c r="D13" s="99"/>
      <c r="E13" s="99"/>
      <c r="F13" s="99"/>
      <c r="G13" s="99"/>
      <c r="H13" s="99"/>
      <c r="I13" s="99"/>
      <c r="J13" s="99"/>
      <c r="K13" s="99"/>
      <c r="L13" s="99"/>
      <c r="M13" s="99"/>
      <c r="N13" s="99"/>
      <c r="O13" s="99"/>
      <c r="P13" s="99"/>
      <c r="Q13" s="99"/>
      <c r="R13" s="99"/>
      <c r="S13" s="99"/>
      <c r="T13" s="99"/>
      <c r="U13" s="99"/>
      <c r="V13" s="99"/>
      <c r="W13" s="99"/>
    </row>
    <row r="14" spans="2:33">
      <c r="D14" s="100"/>
      <c r="E14" s="100"/>
      <c r="F14" s="100"/>
      <c r="G14" s="100"/>
      <c r="H14" s="100"/>
      <c r="I14" s="100"/>
      <c r="J14" s="100"/>
      <c r="K14" s="100"/>
      <c r="L14" s="100"/>
      <c r="M14" s="100"/>
      <c r="N14" s="100"/>
      <c r="O14" s="100"/>
      <c r="P14" s="100"/>
      <c r="Q14" s="100"/>
      <c r="R14" s="100"/>
      <c r="S14" s="100"/>
      <c r="T14" s="100"/>
      <c r="U14" s="100"/>
      <c r="V14" s="100"/>
      <c r="W14" s="100"/>
    </row>
    <row r="15" spans="2:33">
      <c r="D15" s="45" t="s">
        <v>3219</v>
      </c>
      <c r="E15" s="45" t="s">
        <v>3225</v>
      </c>
      <c r="F15" s="45" t="s">
        <v>3223</v>
      </c>
      <c r="G15" s="45" t="s">
        <v>3229</v>
      </c>
      <c r="H15" s="45" t="s">
        <v>3231</v>
      </c>
      <c r="I15" s="45" t="s">
        <v>3233</v>
      </c>
      <c r="J15" s="45" t="s">
        <v>3234</v>
      </c>
      <c r="K15" s="45" t="s">
        <v>3236</v>
      </c>
      <c r="L15" s="45" t="s">
        <v>3239</v>
      </c>
      <c r="M15" s="45" t="s">
        <v>3241</v>
      </c>
      <c r="N15" s="45" t="s">
        <v>3243</v>
      </c>
      <c r="O15" s="45" t="s">
        <v>3375</v>
      </c>
      <c r="P15" s="45" t="s">
        <v>3475</v>
      </c>
      <c r="Q15" s="45" t="s">
        <v>3477</v>
      </c>
      <c r="R15" s="45" t="s">
        <v>3479</v>
      </c>
      <c r="S15" s="45" t="s">
        <v>3594</v>
      </c>
      <c r="T15" s="45" t="s">
        <v>3596</v>
      </c>
      <c r="U15" s="45" t="s">
        <v>3599</v>
      </c>
      <c r="V15" s="45" t="s">
        <v>3481</v>
      </c>
      <c r="W15" s="45" t="s">
        <v>3508</v>
      </c>
      <c r="AF15" s="13" t="str">
        <f>Show!$B$70&amp;"S.12.01.01.01 Rows {"&amp;COLUMN($C$1)&amp;"}"&amp;"@ForceFilingCode:true"</f>
        <v>!S.12.01.01.01 Rows {3}@ForceFilingCode:true</v>
      </c>
      <c r="AG15" s="13" t="str">
        <f>Show!$B$70&amp;"S.12.01.01.01 Columns {"&amp;COLUMN($D$1)&amp;"}"</f>
        <v>!S.12.01.01.01 Columns {4}</v>
      </c>
    </row>
    <row r="16" spans="2:33">
      <c r="B16" s="43" t="s">
        <v>2880</v>
      </c>
      <c r="C16" s="44" t="s">
        <v>2878</v>
      </c>
      <c r="D16" s="56"/>
      <c r="E16" s="66"/>
      <c r="F16" s="67"/>
      <c r="G16" s="67"/>
      <c r="H16" s="66"/>
      <c r="I16" s="67"/>
      <c r="J16" s="67"/>
      <c r="K16" s="66"/>
      <c r="L16" s="66"/>
      <c r="M16" s="66"/>
      <c r="N16" s="66"/>
      <c r="O16" s="66"/>
      <c r="P16" s="66"/>
      <c r="Q16" s="66"/>
      <c r="R16" s="66"/>
      <c r="S16" s="67"/>
      <c r="T16" s="67"/>
      <c r="U16" s="66"/>
      <c r="V16" s="66"/>
      <c r="W16" s="57"/>
    </row>
    <row r="17" spans="2:23">
      <c r="B17" s="47" t="s">
        <v>3291</v>
      </c>
      <c r="C17" s="41" t="s">
        <v>2883</v>
      </c>
      <c r="D17" s="60"/>
      <c r="E17" s="64"/>
      <c r="F17" s="58"/>
      <c r="G17" s="48"/>
      <c r="H17" s="64"/>
      <c r="I17" s="58"/>
      <c r="J17" s="48"/>
      <c r="K17" s="60"/>
      <c r="L17" s="60"/>
      <c r="M17" s="60"/>
      <c r="N17" s="60"/>
      <c r="O17" s="60"/>
      <c r="P17" s="60"/>
      <c r="Q17" s="60"/>
      <c r="R17" s="64"/>
      <c r="S17" s="58"/>
      <c r="T17" s="48"/>
      <c r="U17" s="60"/>
      <c r="V17" s="60"/>
      <c r="W17" s="60"/>
    </row>
    <row r="18" spans="2:23" ht="30">
      <c r="B18" s="47" t="s">
        <v>3752</v>
      </c>
      <c r="C18" s="41" t="s">
        <v>2885</v>
      </c>
      <c r="D18" s="63"/>
      <c r="E18" s="65"/>
      <c r="F18" s="58"/>
      <c r="G18" s="48"/>
      <c r="H18" s="65"/>
      <c r="I18" s="58"/>
      <c r="J18" s="48"/>
      <c r="K18" s="63"/>
      <c r="L18" s="63"/>
      <c r="M18" s="63"/>
      <c r="N18" s="63"/>
      <c r="O18" s="63"/>
      <c r="P18" s="63"/>
      <c r="Q18" s="63"/>
      <c r="R18" s="65"/>
      <c r="S18" s="58"/>
      <c r="T18" s="48"/>
      <c r="U18" s="63"/>
      <c r="V18" s="63"/>
      <c r="W18" s="63"/>
    </row>
    <row r="19" spans="2:23">
      <c r="B19" s="47" t="s">
        <v>3753</v>
      </c>
      <c r="C19" s="44" t="s">
        <v>2878</v>
      </c>
      <c r="D19" s="58"/>
      <c r="E19" s="67"/>
      <c r="F19" s="67"/>
      <c r="G19" s="67"/>
      <c r="H19" s="67"/>
      <c r="I19" s="67"/>
      <c r="J19" s="67"/>
      <c r="K19" s="67"/>
      <c r="L19" s="67"/>
      <c r="M19" s="67"/>
      <c r="N19" s="67"/>
      <c r="O19" s="67"/>
      <c r="P19" s="67"/>
      <c r="Q19" s="67"/>
      <c r="R19" s="67"/>
      <c r="S19" s="67"/>
      <c r="T19" s="67"/>
      <c r="U19" s="67"/>
      <c r="V19" s="67"/>
      <c r="W19" s="59"/>
    </row>
    <row r="20" spans="2:23">
      <c r="B20" s="49" t="s">
        <v>3292</v>
      </c>
      <c r="C20" s="44" t="s">
        <v>2878</v>
      </c>
      <c r="D20" s="56"/>
      <c r="E20" s="67"/>
      <c r="F20" s="66"/>
      <c r="G20" s="66"/>
      <c r="H20" s="67"/>
      <c r="I20" s="66"/>
      <c r="J20" s="66"/>
      <c r="K20" s="66"/>
      <c r="L20" s="66"/>
      <c r="M20" s="66"/>
      <c r="N20" s="66"/>
      <c r="O20" s="66"/>
      <c r="P20" s="66"/>
      <c r="Q20" s="66"/>
      <c r="R20" s="67"/>
      <c r="S20" s="66"/>
      <c r="T20" s="66"/>
      <c r="U20" s="66"/>
      <c r="V20" s="66"/>
      <c r="W20" s="57"/>
    </row>
    <row r="21" spans="2:23">
      <c r="B21" s="61" t="s">
        <v>3754</v>
      </c>
      <c r="C21" s="41" t="s">
        <v>2887</v>
      </c>
      <c r="D21" s="64"/>
      <c r="E21" s="48"/>
      <c r="F21" s="60"/>
      <c r="G21" s="64"/>
      <c r="H21" s="48"/>
      <c r="I21" s="60"/>
      <c r="J21" s="60"/>
      <c r="K21" s="60"/>
      <c r="L21" s="60"/>
      <c r="M21" s="63"/>
      <c r="N21" s="63"/>
      <c r="O21" s="63"/>
      <c r="P21" s="63"/>
      <c r="Q21" s="64"/>
      <c r="R21" s="48"/>
      <c r="S21" s="60"/>
      <c r="T21" s="60"/>
      <c r="U21" s="60"/>
      <c r="V21" s="60"/>
      <c r="W21" s="60"/>
    </row>
    <row r="22" spans="2:23" ht="30">
      <c r="B22" s="61" t="s">
        <v>3755</v>
      </c>
      <c r="C22" s="41" t="s">
        <v>2889</v>
      </c>
      <c r="D22" s="64"/>
      <c r="E22" s="48"/>
      <c r="F22" s="60"/>
      <c r="G22" s="64"/>
      <c r="H22" s="48"/>
      <c r="I22" s="60"/>
      <c r="J22" s="60"/>
      <c r="K22" s="60"/>
      <c r="L22" s="64"/>
      <c r="M22" s="58"/>
      <c r="N22" s="58"/>
      <c r="O22" s="58"/>
      <c r="P22" s="48"/>
      <c r="Q22" s="64"/>
      <c r="R22" s="48"/>
      <c r="S22" s="60"/>
      <c r="T22" s="60"/>
      <c r="U22" s="60"/>
      <c r="V22" s="60"/>
      <c r="W22" s="60"/>
    </row>
    <row r="23" spans="2:23" ht="30">
      <c r="B23" s="62" t="s">
        <v>3756</v>
      </c>
      <c r="C23" s="41" t="s">
        <v>3078</v>
      </c>
      <c r="D23" s="64"/>
      <c r="E23" s="48"/>
      <c r="F23" s="60"/>
      <c r="G23" s="64"/>
      <c r="H23" s="48"/>
      <c r="I23" s="60"/>
      <c r="J23" s="60"/>
      <c r="K23" s="60"/>
      <c r="L23" s="64"/>
      <c r="M23" s="58"/>
      <c r="N23" s="58"/>
      <c r="O23" s="58"/>
      <c r="P23" s="48"/>
      <c r="Q23" s="64"/>
      <c r="R23" s="48"/>
      <c r="S23" s="60"/>
      <c r="T23" s="60"/>
      <c r="U23" s="60"/>
      <c r="V23" s="60"/>
      <c r="W23" s="60"/>
    </row>
    <row r="24" spans="2:23">
      <c r="B24" s="62" t="s">
        <v>3757</v>
      </c>
      <c r="C24" s="41" t="s">
        <v>2891</v>
      </c>
      <c r="D24" s="64"/>
      <c r="E24" s="48"/>
      <c r="F24" s="60"/>
      <c r="G24" s="64"/>
      <c r="H24" s="48"/>
      <c r="I24" s="60"/>
      <c r="J24" s="60"/>
      <c r="K24" s="60"/>
      <c r="L24" s="64"/>
      <c r="M24" s="58"/>
      <c r="N24" s="58"/>
      <c r="O24" s="58"/>
      <c r="P24" s="48"/>
      <c r="Q24" s="64"/>
      <c r="R24" s="48"/>
      <c r="S24" s="60"/>
      <c r="T24" s="60"/>
      <c r="U24" s="60"/>
      <c r="V24" s="60"/>
      <c r="W24" s="60"/>
    </row>
    <row r="25" spans="2:23">
      <c r="B25" s="62" t="s">
        <v>3758</v>
      </c>
      <c r="C25" s="41" t="s">
        <v>2893</v>
      </c>
      <c r="D25" s="64"/>
      <c r="E25" s="48"/>
      <c r="F25" s="60"/>
      <c r="G25" s="64"/>
      <c r="H25" s="48"/>
      <c r="I25" s="60"/>
      <c r="J25" s="60"/>
      <c r="K25" s="60"/>
      <c r="L25" s="64"/>
      <c r="M25" s="56"/>
      <c r="N25" s="56"/>
      <c r="O25" s="56"/>
      <c r="P25" s="46"/>
      <c r="Q25" s="64"/>
      <c r="R25" s="48"/>
      <c r="S25" s="60"/>
      <c r="T25" s="60"/>
      <c r="U25" s="60"/>
      <c r="V25" s="60"/>
      <c r="W25" s="60"/>
    </row>
    <row r="26" spans="2:23" ht="30">
      <c r="B26" s="61" t="s">
        <v>3759</v>
      </c>
      <c r="C26" s="41" t="s">
        <v>2895</v>
      </c>
      <c r="D26" s="64"/>
      <c r="E26" s="48"/>
      <c r="F26" s="60"/>
      <c r="G26" s="64"/>
      <c r="H26" s="48"/>
      <c r="I26" s="60"/>
      <c r="J26" s="60"/>
      <c r="K26" s="60"/>
      <c r="L26" s="60"/>
      <c r="M26" s="63"/>
      <c r="N26" s="63"/>
      <c r="O26" s="63"/>
      <c r="P26" s="63"/>
      <c r="Q26" s="64"/>
      <c r="R26" s="48"/>
      <c r="S26" s="60"/>
      <c r="T26" s="60"/>
      <c r="U26" s="60"/>
      <c r="V26" s="60"/>
      <c r="W26" s="60"/>
    </row>
    <row r="27" spans="2:23">
      <c r="B27" s="61" t="s">
        <v>3760</v>
      </c>
      <c r="C27" s="41" t="s">
        <v>2897</v>
      </c>
      <c r="D27" s="64"/>
      <c r="E27" s="46"/>
      <c r="F27" s="63"/>
      <c r="G27" s="65"/>
      <c r="H27" s="46"/>
      <c r="I27" s="63"/>
      <c r="J27" s="63"/>
      <c r="K27" s="60"/>
      <c r="L27" s="64"/>
      <c r="M27" s="56"/>
      <c r="N27" s="56"/>
      <c r="O27" s="56"/>
      <c r="P27" s="46"/>
      <c r="Q27" s="64"/>
      <c r="R27" s="46"/>
      <c r="S27" s="63"/>
      <c r="T27" s="63"/>
      <c r="U27" s="60"/>
      <c r="V27" s="60"/>
      <c r="W27" s="60"/>
    </row>
    <row r="28" spans="2:23">
      <c r="B28" s="49" t="s">
        <v>3761</v>
      </c>
      <c r="C28" s="41" t="s">
        <v>2899</v>
      </c>
      <c r="D28" s="63"/>
      <c r="E28" s="65"/>
      <c r="F28" s="58"/>
      <c r="G28" s="48"/>
      <c r="H28" s="65"/>
      <c r="I28" s="58"/>
      <c r="J28" s="48"/>
      <c r="K28" s="63"/>
      <c r="L28" s="63"/>
      <c r="M28" s="63"/>
      <c r="N28" s="63"/>
      <c r="O28" s="63"/>
      <c r="P28" s="63"/>
      <c r="Q28" s="63"/>
      <c r="R28" s="65"/>
      <c r="S28" s="58"/>
      <c r="T28" s="48"/>
      <c r="U28" s="63"/>
      <c r="V28" s="63"/>
      <c r="W28" s="63"/>
    </row>
    <row r="29" spans="2:23">
      <c r="B29" s="47" t="s">
        <v>3762</v>
      </c>
      <c r="C29" s="44" t="s">
        <v>2878</v>
      </c>
      <c r="D29" s="56"/>
      <c r="E29" s="66"/>
      <c r="F29" s="67"/>
      <c r="G29" s="67"/>
      <c r="H29" s="66"/>
      <c r="I29" s="67"/>
      <c r="J29" s="67"/>
      <c r="K29" s="66"/>
      <c r="L29" s="66"/>
      <c r="M29" s="67"/>
      <c r="N29" s="67"/>
      <c r="O29" s="67"/>
      <c r="P29" s="67"/>
      <c r="Q29" s="66"/>
      <c r="R29" s="66"/>
      <c r="S29" s="67"/>
      <c r="T29" s="67"/>
      <c r="U29" s="66"/>
      <c r="V29" s="66"/>
      <c r="W29" s="57"/>
    </row>
    <row r="30" spans="2:23">
      <c r="B30" s="49" t="s">
        <v>3763</v>
      </c>
      <c r="C30" s="41" t="s">
        <v>2901</v>
      </c>
      <c r="D30" s="60"/>
      <c r="E30" s="65"/>
      <c r="F30" s="56"/>
      <c r="G30" s="46"/>
      <c r="H30" s="65"/>
      <c r="I30" s="56"/>
      <c r="J30" s="46"/>
      <c r="K30" s="60"/>
      <c r="L30" s="64"/>
      <c r="M30" s="58"/>
      <c r="N30" s="58"/>
      <c r="O30" s="58"/>
      <c r="P30" s="48"/>
      <c r="Q30" s="60"/>
      <c r="R30" s="65"/>
      <c r="S30" s="56"/>
      <c r="T30" s="46"/>
      <c r="U30" s="60"/>
      <c r="V30" s="60"/>
      <c r="W30" s="60"/>
    </row>
    <row r="31" spans="2:23">
      <c r="B31" s="49" t="s">
        <v>3764</v>
      </c>
      <c r="C31" s="41" t="s">
        <v>2903</v>
      </c>
      <c r="D31" s="64"/>
      <c r="E31" s="46"/>
      <c r="F31" s="63"/>
      <c r="G31" s="65"/>
      <c r="H31" s="46"/>
      <c r="I31" s="63"/>
      <c r="J31" s="63"/>
      <c r="K31" s="60"/>
      <c r="L31" s="64"/>
      <c r="M31" s="58"/>
      <c r="N31" s="58"/>
      <c r="O31" s="58"/>
      <c r="P31" s="48"/>
      <c r="Q31" s="64"/>
      <c r="R31" s="46"/>
      <c r="S31" s="63"/>
      <c r="T31" s="63"/>
      <c r="U31" s="60"/>
      <c r="V31" s="60"/>
      <c r="W31" s="60"/>
    </row>
    <row r="32" spans="2:23">
      <c r="B32" s="49" t="s">
        <v>3293</v>
      </c>
      <c r="C32" s="41" t="s">
        <v>2905</v>
      </c>
      <c r="D32" s="60"/>
      <c r="E32" s="64"/>
      <c r="F32" s="58"/>
      <c r="G32" s="48"/>
      <c r="H32" s="64"/>
      <c r="I32" s="58"/>
      <c r="J32" s="48"/>
      <c r="K32" s="60"/>
      <c r="L32" s="64"/>
      <c r="M32" s="58"/>
      <c r="N32" s="58"/>
      <c r="O32" s="58"/>
      <c r="P32" s="48"/>
      <c r="Q32" s="60"/>
      <c r="R32" s="64"/>
      <c r="S32" s="58"/>
      <c r="T32" s="48"/>
      <c r="U32" s="60"/>
      <c r="V32" s="60"/>
      <c r="W32" s="60"/>
    </row>
    <row r="33" spans="2:23">
      <c r="B33" s="47" t="s">
        <v>3765</v>
      </c>
      <c r="C33" s="41" t="s">
        <v>2919</v>
      </c>
      <c r="D33" s="60"/>
      <c r="E33" s="64"/>
      <c r="F33" s="58"/>
      <c r="G33" s="48"/>
      <c r="H33" s="64"/>
      <c r="I33" s="58"/>
      <c r="J33" s="48"/>
      <c r="K33" s="60"/>
      <c r="L33" s="64"/>
      <c r="M33" s="56"/>
      <c r="N33" s="56"/>
      <c r="O33" s="56"/>
      <c r="P33" s="46"/>
      <c r="Q33" s="60"/>
      <c r="R33" s="64"/>
      <c r="S33" s="58"/>
      <c r="T33" s="48"/>
      <c r="U33" s="60"/>
      <c r="V33" s="60"/>
      <c r="W33" s="60"/>
    </row>
    <row r="34" spans="2:23">
      <c r="B34" s="47" t="s">
        <v>3766</v>
      </c>
      <c r="C34" s="41" t="s">
        <v>2921</v>
      </c>
      <c r="D34" s="60"/>
      <c r="E34" s="64"/>
      <c r="F34" s="58"/>
      <c r="G34" s="48"/>
      <c r="H34" s="64"/>
      <c r="I34" s="58"/>
      <c r="J34" s="48"/>
      <c r="K34" s="60"/>
      <c r="L34" s="60"/>
      <c r="M34" s="63"/>
      <c r="N34" s="63"/>
      <c r="O34" s="63"/>
      <c r="P34" s="63"/>
      <c r="Q34" s="60"/>
      <c r="R34" s="64"/>
      <c r="S34" s="58"/>
      <c r="T34" s="48"/>
      <c r="U34" s="60"/>
      <c r="V34" s="63"/>
      <c r="W34" s="60"/>
    </row>
    <row r="35" spans="2:23">
      <c r="B35" s="47" t="s">
        <v>3767</v>
      </c>
      <c r="C35" s="41" t="s">
        <v>2923</v>
      </c>
      <c r="D35" s="63"/>
      <c r="E35" s="65"/>
      <c r="F35" s="58"/>
      <c r="G35" s="48"/>
      <c r="H35" s="65"/>
      <c r="I35" s="58"/>
      <c r="J35" s="48"/>
      <c r="K35" s="63"/>
      <c r="L35" s="65"/>
      <c r="M35" s="58"/>
      <c r="N35" s="58"/>
      <c r="O35" s="58"/>
      <c r="P35" s="48"/>
      <c r="Q35" s="63"/>
      <c r="R35" s="65"/>
      <c r="S35" s="58"/>
      <c r="T35" s="48"/>
      <c r="U35" s="65"/>
      <c r="V35" s="48"/>
      <c r="W35" s="63"/>
    </row>
    <row r="36" spans="2:23">
      <c r="B36" s="47" t="s">
        <v>3768</v>
      </c>
      <c r="C36" s="44" t="s">
        <v>2878</v>
      </c>
      <c r="D36" s="58"/>
      <c r="E36" s="67"/>
      <c r="F36" s="67"/>
      <c r="G36" s="67"/>
      <c r="H36" s="67"/>
      <c r="I36" s="67"/>
      <c r="J36" s="67"/>
      <c r="K36" s="67"/>
      <c r="L36" s="67"/>
      <c r="M36" s="67"/>
      <c r="N36" s="67"/>
      <c r="O36" s="67"/>
      <c r="P36" s="67"/>
      <c r="Q36" s="67"/>
      <c r="R36" s="67"/>
      <c r="S36" s="67"/>
      <c r="T36" s="67"/>
      <c r="U36" s="67"/>
      <c r="V36" s="67"/>
      <c r="W36" s="59"/>
    </row>
    <row r="37" spans="2:23">
      <c r="B37" s="49" t="s">
        <v>3769</v>
      </c>
      <c r="C37" s="44" t="s">
        <v>2878</v>
      </c>
      <c r="D37" s="58"/>
      <c r="E37" s="66"/>
      <c r="F37" s="67"/>
      <c r="G37" s="67"/>
      <c r="H37" s="66"/>
      <c r="I37" s="67"/>
      <c r="J37" s="67"/>
      <c r="K37" s="66"/>
      <c r="L37" s="67"/>
      <c r="M37" s="67"/>
      <c r="N37" s="67"/>
      <c r="O37" s="67"/>
      <c r="P37" s="67"/>
      <c r="Q37" s="66"/>
      <c r="R37" s="66"/>
      <c r="S37" s="67"/>
      <c r="T37" s="67"/>
      <c r="U37" s="66"/>
      <c r="V37" s="66"/>
      <c r="W37" s="57"/>
    </row>
    <row r="38" spans="2:23">
      <c r="B38" s="61" t="s">
        <v>3770</v>
      </c>
      <c r="C38" s="44" t="s">
        <v>2925</v>
      </c>
      <c r="D38" s="46"/>
      <c r="E38" s="65"/>
      <c r="F38" s="58"/>
      <c r="G38" s="48"/>
      <c r="H38" s="65"/>
      <c r="I38" s="58"/>
      <c r="J38" s="48"/>
      <c r="K38" s="65"/>
      <c r="L38" s="56"/>
      <c r="M38" s="58"/>
      <c r="N38" s="58"/>
      <c r="O38" s="58"/>
      <c r="P38" s="48"/>
      <c r="Q38" s="60"/>
      <c r="R38" s="65"/>
      <c r="S38" s="58"/>
      <c r="T38" s="48"/>
      <c r="U38" s="63"/>
      <c r="V38" s="63"/>
      <c r="W38" s="63"/>
    </row>
    <row r="39" spans="2:23">
      <c r="B39" s="62" t="s">
        <v>3771</v>
      </c>
      <c r="C39" s="41" t="s">
        <v>2927</v>
      </c>
      <c r="D39" s="64"/>
      <c r="E39" s="58"/>
      <c r="F39" s="58"/>
      <c r="G39" s="58"/>
      <c r="H39" s="58"/>
      <c r="I39" s="58"/>
      <c r="J39" s="58"/>
      <c r="K39" s="48"/>
      <c r="L39" s="64"/>
      <c r="M39" s="58"/>
      <c r="N39" s="58"/>
      <c r="O39" s="58"/>
      <c r="P39" s="48"/>
      <c r="Q39" s="64"/>
      <c r="R39" s="58"/>
      <c r="S39" s="58"/>
      <c r="T39" s="58"/>
      <c r="U39" s="58"/>
      <c r="V39" s="58"/>
      <c r="W39" s="48"/>
    </row>
    <row r="40" spans="2:23">
      <c r="B40" s="62" t="s">
        <v>3772</v>
      </c>
      <c r="C40" s="41" t="s">
        <v>2929</v>
      </c>
      <c r="D40" s="64"/>
      <c r="E40" s="56"/>
      <c r="F40" s="58"/>
      <c r="G40" s="58"/>
      <c r="H40" s="56"/>
      <c r="I40" s="58"/>
      <c r="J40" s="58"/>
      <c r="K40" s="46"/>
      <c r="L40" s="64"/>
      <c r="M40" s="58"/>
      <c r="N40" s="58"/>
      <c r="O40" s="58"/>
      <c r="P40" s="48"/>
      <c r="Q40" s="64"/>
      <c r="R40" s="56"/>
      <c r="S40" s="58"/>
      <c r="T40" s="58"/>
      <c r="U40" s="56"/>
      <c r="V40" s="56"/>
      <c r="W40" s="46"/>
    </row>
    <row r="41" spans="2:23">
      <c r="B41" s="61" t="s">
        <v>3773</v>
      </c>
      <c r="C41" s="41" t="s">
        <v>2931</v>
      </c>
      <c r="D41" s="63"/>
      <c r="E41" s="65"/>
      <c r="F41" s="58"/>
      <c r="G41" s="48"/>
      <c r="H41" s="65"/>
      <c r="I41" s="58"/>
      <c r="J41" s="48"/>
      <c r="K41" s="63"/>
      <c r="L41" s="65"/>
      <c r="M41" s="58"/>
      <c r="N41" s="58"/>
      <c r="O41" s="58"/>
      <c r="P41" s="48"/>
      <c r="Q41" s="63"/>
      <c r="R41" s="65"/>
      <c r="S41" s="58"/>
      <c r="T41" s="48"/>
      <c r="U41" s="63"/>
      <c r="V41" s="63"/>
      <c r="W41" s="63"/>
    </row>
    <row r="42" spans="2:23">
      <c r="B42" s="49" t="s">
        <v>3774</v>
      </c>
      <c r="C42" s="44" t="s">
        <v>2878</v>
      </c>
      <c r="D42" s="56"/>
      <c r="E42" s="66"/>
      <c r="F42" s="67"/>
      <c r="G42" s="67"/>
      <c r="H42" s="66"/>
      <c r="I42" s="67"/>
      <c r="J42" s="67"/>
      <c r="K42" s="66"/>
      <c r="L42" s="66"/>
      <c r="M42" s="67"/>
      <c r="N42" s="67"/>
      <c r="O42" s="67"/>
      <c r="P42" s="67"/>
      <c r="Q42" s="66"/>
      <c r="R42" s="66"/>
      <c r="S42" s="67"/>
      <c r="T42" s="67"/>
      <c r="U42" s="66"/>
      <c r="V42" s="66"/>
      <c r="W42" s="57"/>
    </row>
    <row r="43" spans="2:23">
      <c r="B43" s="61" t="s">
        <v>3775</v>
      </c>
      <c r="C43" s="41" t="s">
        <v>2933</v>
      </c>
      <c r="D43" s="60"/>
      <c r="E43" s="64"/>
      <c r="F43" s="58"/>
      <c r="G43" s="48"/>
      <c r="H43" s="64"/>
      <c r="I43" s="58"/>
      <c r="J43" s="48"/>
      <c r="K43" s="60"/>
      <c r="L43" s="64"/>
      <c r="M43" s="58"/>
      <c r="N43" s="58"/>
      <c r="O43" s="58"/>
      <c r="P43" s="48"/>
      <c r="Q43" s="60"/>
      <c r="R43" s="64"/>
      <c r="S43" s="58"/>
      <c r="T43" s="48"/>
      <c r="U43" s="60"/>
      <c r="V43" s="60"/>
      <c r="W43" s="60"/>
    </row>
    <row r="44" spans="2:23">
      <c r="B44" s="61" t="s">
        <v>3776</v>
      </c>
      <c r="C44" s="41" t="s">
        <v>2935</v>
      </c>
      <c r="D44" s="60"/>
      <c r="E44" s="64"/>
      <c r="F44" s="58"/>
      <c r="G44" s="48"/>
      <c r="H44" s="64"/>
      <c r="I44" s="58"/>
      <c r="J44" s="48"/>
      <c r="K44" s="60"/>
      <c r="L44" s="64"/>
      <c r="M44" s="58"/>
      <c r="N44" s="58"/>
      <c r="O44" s="58"/>
      <c r="P44" s="48"/>
      <c r="Q44" s="63"/>
      <c r="R44" s="64"/>
      <c r="S44" s="58"/>
      <c r="T44" s="48"/>
      <c r="U44" s="60"/>
      <c r="V44" s="60"/>
      <c r="W44" s="63"/>
    </row>
    <row r="45" spans="2:23">
      <c r="B45" s="47" t="s">
        <v>3777</v>
      </c>
      <c r="C45" s="41" t="s">
        <v>2937</v>
      </c>
      <c r="D45" s="70"/>
      <c r="E45" s="71"/>
      <c r="F45" s="58"/>
      <c r="G45" s="48"/>
      <c r="H45" s="71"/>
      <c r="I45" s="58"/>
      <c r="J45" s="48"/>
      <c r="K45" s="70"/>
      <c r="L45" s="71"/>
      <c r="M45" s="58"/>
      <c r="N45" s="58"/>
      <c r="O45" s="58"/>
      <c r="P45" s="58"/>
      <c r="Q45" s="46"/>
      <c r="R45" s="71"/>
      <c r="S45" s="58"/>
      <c r="T45" s="48"/>
      <c r="U45" s="70"/>
      <c r="V45" s="71"/>
      <c r="W45" s="46"/>
    </row>
    <row r="46" spans="2:23">
      <c r="B46" s="47" t="s">
        <v>3778</v>
      </c>
      <c r="C46" s="41" t="s">
        <v>2939</v>
      </c>
      <c r="D46" s="60"/>
      <c r="E46" s="64"/>
      <c r="F46" s="58"/>
      <c r="G46" s="48"/>
      <c r="H46" s="64"/>
      <c r="I46" s="58"/>
      <c r="J46" s="48"/>
      <c r="K46" s="60"/>
      <c r="L46" s="64"/>
      <c r="M46" s="58"/>
      <c r="N46" s="58"/>
      <c r="O46" s="58"/>
      <c r="P46" s="48"/>
      <c r="Q46" s="60"/>
      <c r="R46" s="64"/>
      <c r="S46" s="58"/>
      <c r="T46" s="48"/>
      <c r="U46" s="60"/>
      <c r="V46" s="60"/>
      <c r="W46" s="60"/>
    </row>
    <row r="47" spans="2:23">
      <c r="B47" s="47" t="s">
        <v>3779</v>
      </c>
      <c r="C47" s="41" t="s">
        <v>2941</v>
      </c>
      <c r="D47" s="60"/>
      <c r="E47" s="64"/>
      <c r="F47" s="58"/>
      <c r="G47" s="48"/>
      <c r="H47" s="64"/>
      <c r="I47" s="58"/>
      <c r="J47" s="48"/>
      <c r="K47" s="60"/>
      <c r="L47" s="64"/>
      <c r="M47" s="58"/>
      <c r="N47" s="58"/>
      <c r="O47" s="58"/>
      <c r="P47" s="48"/>
      <c r="Q47" s="60"/>
      <c r="R47" s="64"/>
      <c r="S47" s="58"/>
      <c r="T47" s="48"/>
      <c r="U47" s="60"/>
      <c r="V47" s="60"/>
      <c r="W47" s="60"/>
    </row>
    <row r="48" spans="2:23">
      <c r="B48" s="47" t="s">
        <v>3780</v>
      </c>
      <c r="C48" s="41" t="s">
        <v>2943</v>
      </c>
      <c r="D48" s="60"/>
      <c r="E48" s="64"/>
      <c r="F48" s="58"/>
      <c r="G48" s="48"/>
      <c r="H48" s="64"/>
      <c r="I48" s="58"/>
      <c r="J48" s="48"/>
      <c r="K48" s="60"/>
      <c r="L48" s="64"/>
      <c r="M48" s="58"/>
      <c r="N48" s="58"/>
      <c r="O48" s="58"/>
      <c r="P48" s="48"/>
      <c r="Q48" s="60"/>
      <c r="R48" s="64"/>
      <c r="S48" s="58"/>
      <c r="T48" s="48"/>
      <c r="U48" s="60"/>
      <c r="V48" s="60"/>
      <c r="W48" s="60"/>
    </row>
    <row r="49" spans="2:33">
      <c r="B49" s="47" t="s">
        <v>3781</v>
      </c>
      <c r="C49" s="41" t="s">
        <v>2945</v>
      </c>
      <c r="D49" s="60"/>
      <c r="E49" s="64"/>
      <c r="F49" s="58"/>
      <c r="G49" s="48"/>
      <c r="H49" s="64"/>
      <c r="I49" s="58"/>
      <c r="J49" s="48"/>
      <c r="K49" s="60"/>
      <c r="L49" s="64"/>
      <c r="M49" s="58"/>
      <c r="N49" s="58"/>
      <c r="O49" s="58"/>
      <c r="P49" s="48"/>
      <c r="Q49" s="60"/>
      <c r="R49" s="64"/>
      <c r="S49" s="58"/>
      <c r="T49" s="48"/>
      <c r="U49" s="60"/>
      <c r="V49" s="60"/>
      <c r="W49" s="60"/>
    </row>
    <row r="50" spans="2:33" ht="30">
      <c r="B50" s="47" t="s">
        <v>3782</v>
      </c>
      <c r="C50" s="41" t="s">
        <v>2947</v>
      </c>
      <c r="D50" s="60"/>
      <c r="E50" s="64"/>
      <c r="F50" s="58"/>
      <c r="G50" s="48"/>
      <c r="H50" s="64"/>
      <c r="I50" s="58"/>
      <c r="J50" s="48"/>
      <c r="K50" s="60"/>
      <c r="L50" s="64"/>
      <c r="M50" s="58"/>
      <c r="N50" s="58"/>
      <c r="O50" s="58"/>
      <c r="P50" s="48"/>
      <c r="Q50" s="60"/>
      <c r="R50" s="64"/>
      <c r="S50" s="58"/>
      <c r="T50" s="48"/>
      <c r="U50" s="60"/>
      <c r="V50" s="60"/>
      <c r="W50" s="60"/>
    </row>
    <row r="51" spans="2:33">
      <c r="B51" s="47" t="s">
        <v>3783</v>
      </c>
      <c r="C51" s="41" t="s">
        <v>2949</v>
      </c>
      <c r="D51" s="60"/>
      <c r="E51" s="64"/>
      <c r="F51" s="58"/>
      <c r="G51" s="48"/>
      <c r="H51" s="64"/>
      <c r="I51" s="58"/>
      <c r="J51" s="48"/>
      <c r="K51" s="60"/>
      <c r="L51" s="64"/>
      <c r="M51" s="58"/>
      <c r="N51" s="58"/>
      <c r="O51" s="58"/>
      <c r="P51" s="48"/>
      <c r="Q51" s="60"/>
      <c r="R51" s="64"/>
      <c r="S51" s="58"/>
      <c r="T51" s="48"/>
      <c r="U51" s="60"/>
      <c r="V51" s="60"/>
      <c r="W51" s="60"/>
    </row>
    <row r="52" spans="2:33">
      <c r="B52" s="47" t="s">
        <v>3784</v>
      </c>
      <c r="C52" s="41" t="s">
        <v>2951</v>
      </c>
      <c r="D52" s="60"/>
      <c r="E52" s="64"/>
      <c r="F52" s="56"/>
      <c r="G52" s="46"/>
      <c r="H52" s="64"/>
      <c r="I52" s="56"/>
      <c r="J52" s="46"/>
      <c r="K52" s="60"/>
      <c r="L52" s="64"/>
      <c r="M52" s="56"/>
      <c r="N52" s="56"/>
      <c r="O52" s="56"/>
      <c r="P52" s="46"/>
      <c r="Q52" s="60"/>
      <c r="R52" s="64"/>
      <c r="S52" s="56"/>
      <c r="T52" s="46"/>
      <c r="U52" s="60"/>
      <c r="V52" s="60"/>
      <c r="W52" s="60"/>
    </row>
    <row r="54" spans="2:33">
      <c r="AF54" s="13" t="str">
        <f>Show!$B$70&amp;Show!$B$70&amp;"S.12.01.01.01 Rows {"&amp;COLUMN($C$1)&amp;"}"</f>
        <v>!!S.12.01.01.01 Rows {3}</v>
      </c>
      <c r="AG54" s="13" t="str">
        <f>Show!$B$70&amp;Show!$B$70&amp;"S.12.01.01.01 Columns {"&amp;COLUMN($W$1)&amp;"}"</f>
        <v>!!S.12.01.01.01 Columns {23}</v>
      </c>
    </row>
  </sheetData>
  <sheetProtection sheet="1" objects="1" scenarios="1"/>
  <mergeCells count="27">
    <mergeCell ref="L12:L14"/>
    <mergeCell ref="Q11:Q14"/>
    <mergeCell ref="R11:T11"/>
    <mergeCell ref="R12:R14"/>
    <mergeCell ref="U11:U14"/>
    <mergeCell ref="M12:M14"/>
    <mergeCell ref="N12:N14"/>
    <mergeCell ref="O12:O14"/>
    <mergeCell ref="P12:P14"/>
    <mergeCell ref="S12:S14"/>
    <mergeCell ref="T12:T14"/>
    <mergeCell ref="B2:O2"/>
    <mergeCell ref="B5:L5"/>
    <mergeCell ref="D9:W10"/>
    <mergeCell ref="D11:D14"/>
    <mergeCell ref="E11:G11"/>
    <mergeCell ref="E12:E14"/>
    <mergeCell ref="H11:J11"/>
    <mergeCell ref="H12:H14"/>
    <mergeCell ref="K11:K14"/>
    <mergeCell ref="L11:P11"/>
    <mergeCell ref="W11:W14"/>
    <mergeCell ref="F12:F14"/>
    <mergeCell ref="G12:G14"/>
    <mergeCell ref="I12:I14"/>
    <mergeCell ref="J12:J14"/>
    <mergeCell ref="V11:V1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D2D5-EC29-4670-AD78-9682E327B384}">
  <sheetPr codeName="Blad75"/>
  <dimension ref="B2:AB30"/>
  <sheetViews>
    <sheetView showGridLines="0" topLeftCell="A6" workbookViewId="0">
      <selection activeCell="A20" sqref="A20"/>
    </sheetView>
  </sheetViews>
  <sheetFormatPr defaultRowHeight="15"/>
  <cols>
    <col min="2" max="2" width="85.140625" bestFit="1" customWidth="1"/>
    <col min="4" max="19" width="15.7109375" customWidth="1"/>
  </cols>
  <sheetData>
    <row r="2" spans="2:28" ht="23.25">
      <c r="B2" s="95" t="s">
        <v>615</v>
      </c>
      <c r="C2" s="96"/>
      <c r="D2" s="96"/>
      <c r="E2" s="96"/>
      <c r="F2" s="96"/>
      <c r="G2" s="96"/>
      <c r="H2" s="96"/>
      <c r="I2" s="96"/>
      <c r="J2" s="96"/>
      <c r="K2" s="96"/>
      <c r="L2" s="96"/>
      <c r="M2" s="96"/>
      <c r="N2" s="96"/>
      <c r="O2" s="96"/>
    </row>
    <row r="5" spans="2:28" ht="18.75">
      <c r="B5" s="97" t="s">
        <v>3785</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3"/>
    </row>
    <row r="10" spans="2:28">
      <c r="D10" s="104"/>
      <c r="E10" s="105"/>
      <c r="F10" s="105"/>
      <c r="G10" s="105"/>
      <c r="H10" s="105"/>
      <c r="I10" s="105"/>
      <c r="J10" s="105"/>
      <c r="K10" s="105"/>
      <c r="L10" s="105"/>
      <c r="M10" s="105"/>
      <c r="N10" s="105"/>
      <c r="O10" s="105"/>
      <c r="P10" s="105"/>
      <c r="Q10" s="105"/>
      <c r="R10" s="105"/>
      <c r="S10" s="106"/>
    </row>
    <row r="11" spans="2:28">
      <c r="D11" s="98" t="s">
        <v>1264</v>
      </c>
      <c r="E11" s="101" t="s">
        <v>3510</v>
      </c>
      <c r="F11" s="108"/>
      <c r="G11" s="109"/>
      <c r="H11" s="101" t="s">
        <v>3512</v>
      </c>
      <c r="I11" s="108"/>
      <c r="J11" s="109"/>
      <c r="K11" s="98" t="s">
        <v>3745</v>
      </c>
      <c r="L11" s="98" t="s">
        <v>3746</v>
      </c>
      <c r="M11" s="98" t="s">
        <v>3748</v>
      </c>
      <c r="N11" s="101" t="s">
        <v>3749</v>
      </c>
      <c r="O11" s="108"/>
      <c r="P11" s="109"/>
      <c r="Q11" s="98" t="s">
        <v>1267</v>
      </c>
      <c r="R11" s="98" t="s">
        <v>3750</v>
      </c>
      <c r="S11" s="98" t="s">
        <v>3751</v>
      </c>
    </row>
    <row r="12" spans="2:28">
      <c r="D12" s="99"/>
      <c r="E12" s="99"/>
      <c r="F12" s="98" t="s">
        <v>3743</v>
      </c>
      <c r="G12" s="98" t="s">
        <v>3744</v>
      </c>
      <c r="H12" s="99"/>
      <c r="I12" s="98" t="s">
        <v>3743</v>
      </c>
      <c r="J12" s="98" t="s">
        <v>3744</v>
      </c>
      <c r="K12" s="99"/>
      <c r="L12" s="99"/>
      <c r="M12" s="99"/>
      <c r="N12" s="99"/>
      <c r="O12" s="98" t="s">
        <v>3743</v>
      </c>
      <c r="P12" s="98" t="s">
        <v>3744</v>
      </c>
      <c r="Q12" s="99"/>
      <c r="R12" s="99"/>
      <c r="S12" s="99"/>
    </row>
    <row r="13" spans="2:28">
      <c r="D13" s="100"/>
      <c r="E13" s="100"/>
      <c r="F13" s="100"/>
      <c r="G13" s="100"/>
      <c r="H13" s="100"/>
      <c r="I13" s="100"/>
      <c r="J13" s="100"/>
      <c r="K13" s="100"/>
      <c r="L13" s="100"/>
      <c r="M13" s="100"/>
      <c r="N13" s="100"/>
      <c r="O13" s="100"/>
      <c r="P13" s="100"/>
      <c r="Q13" s="100"/>
      <c r="R13" s="100"/>
      <c r="S13" s="100"/>
    </row>
    <row r="14" spans="2:28">
      <c r="D14" s="45" t="s">
        <v>3219</v>
      </c>
      <c r="E14" s="45" t="s">
        <v>3225</v>
      </c>
      <c r="F14" s="45" t="s">
        <v>3223</v>
      </c>
      <c r="G14" s="45" t="s">
        <v>3229</v>
      </c>
      <c r="H14" s="45" t="s">
        <v>3231</v>
      </c>
      <c r="I14" s="45" t="s">
        <v>3233</v>
      </c>
      <c r="J14" s="45" t="s">
        <v>3234</v>
      </c>
      <c r="K14" s="45" t="s">
        <v>3236</v>
      </c>
      <c r="L14" s="45" t="s">
        <v>3239</v>
      </c>
      <c r="M14" s="45" t="s">
        <v>3477</v>
      </c>
      <c r="N14" s="45" t="s">
        <v>3479</v>
      </c>
      <c r="O14" s="45" t="s">
        <v>3594</v>
      </c>
      <c r="P14" s="45" t="s">
        <v>3596</v>
      </c>
      <c r="Q14" s="45" t="s">
        <v>3599</v>
      </c>
      <c r="R14" s="45" t="s">
        <v>3481</v>
      </c>
      <c r="S14" s="45" t="s">
        <v>3508</v>
      </c>
      <c r="AA14" s="13"/>
      <c r="AB14" s="13"/>
    </row>
    <row r="15" spans="2:28">
      <c r="B15" s="43" t="s">
        <v>2880</v>
      </c>
      <c r="C15" s="44" t="s">
        <v>2878</v>
      </c>
      <c r="D15" s="56"/>
      <c r="E15" s="66"/>
      <c r="F15" s="67"/>
      <c r="G15" s="67"/>
      <c r="H15" s="66"/>
      <c r="I15" s="67"/>
      <c r="J15" s="67"/>
      <c r="K15" s="66"/>
      <c r="L15" s="66"/>
      <c r="M15" s="66"/>
      <c r="N15" s="66"/>
      <c r="O15" s="67"/>
      <c r="P15" s="67"/>
      <c r="Q15" s="66"/>
      <c r="R15" s="66"/>
      <c r="S15" s="57"/>
    </row>
    <row r="16" spans="2:28">
      <c r="B16" s="47" t="s">
        <v>3291</v>
      </c>
      <c r="C16" s="41" t="s">
        <v>2883</v>
      </c>
      <c r="D16" s="60">
        <f>'[5]S.12.01.02'!D9</f>
        <v>0</v>
      </c>
      <c r="E16" s="60">
        <f>'[5]S.12.01.02'!E9</f>
        <v>0</v>
      </c>
      <c r="F16" s="58"/>
      <c r="G16" s="48"/>
      <c r="H16" s="60">
        <f>'[5]S.12.01.02'!H9</f>
        <v>0</v>
      </c>
      <c r="I16" s="58"/>
      <c r="J16" s="48"/>
      <c r="K16" s="60">
        <f>'[5]S.12.01.02'!K9</f>
        <v>0</v>
      </c>
      <c r="L16" s="60">
        <f>'[5]S.12.01.02'!L9</f>
        <v>0</v>
      </c>
      <c r="M16" s="60">
        <f>'[5]S.12.01.02'!M9</f>
        <v>0</v>
      </c>
      <c r="N16" s="60">
        <f>'[5]S.12.01.02'!N9</f>
        <v>0</v>
      </c>
      <c r="O16" s="58"/>
      <c r="P16" s="48"/>
      <c r="Q16" s="60">
        <f>'[5]S.12.01.02'!Q9</f>
        <v>0</v>
      </c>
      <c r="R16" s="60">
        <f>'[5]S.12.01.02'!R9</f>
        <v>0</v>
      </c>
      <c r="S16" s="60">
        <f>'[5]S.12.01.02'!S9</f>
        <v>0</v>
      </c>
    </row>
    <row r="17" spans="2:28" ht="30">
      <c r="B17" s="47" t="s">
        <v>3752</v>
      </c>
      <c r="C17" s="41" t="s">
        <v>2885</v>
      </c>
      <c r="D17" s="60">
        <f>'[5]S.12.01.02'!D10</f>
        <v>0</v>
      </c>
      <c r="E17" s="60">
        <f>'[5]S.12.01.02'!E10</f>
        <v>0</v>
      </c>
      <c r="F17" s="58"/>
      <c r="G17" s="48"/>
      <c r="H17" s="60">
        <f>'[5]S.12.01.02'!H10</f>
        <v>0</v>
      </c>
      <c r="I17" s="58"/>
      <c r="J17" s="48"/>
      <c r="K17" s="60">
        <f>'[5]S.12.01.02'!K10</f>
        <v>0</v>
      </c>
      <c r="L17" s="60">
        <f>'[5]S.12.01.02'!L10</f>
        <v>0</v>
      </c>
      <c r="M17" s="60">
        <f>'[5]S.12.01.02'!M10</f>
        <v>0</v>
      </c>
      <c r="N17" s="60">
        <f>'[5]S.12.01.02'!N10</f>
        <v>0</v>
      </c>
      <c r="O17" s="58"/>
      <c r="P17" s="48"/>
      <c r="Q17" s="60">
        <f>'[5]S.12.01.02'!Q10</f>
        <v>0</v>
      </c>
      <c r="R17" s="60">
        <f>'[5]S.12.01.02'!R10</f>
        <v>0</v>
      </c>
      <c r="S17" s="60">
        <f>'[5]S.12.01.02'!S10</f>
        <v>0</v>
      </c>
    </row>
    <row r="18" spans="2:28">
      <c r="B18" s="47" t="s">
        <v>3753</v>
      </c>
      <c r="C18" s="44" t="s">
        <v>2878</v>
      </c>
      <c r="D18" s="58"/>
      <c r="E18" s="67"/>
      <c r="F18" s="67"/>
      <c r="G18" s="67"/>
      <c r="H18" s="67"/>
      <c r="I18" s="67"/>
      <c r="J18" s="67"/>
      <c r="K18" s="67"/>
      <c r="L18" s="67"/>
      <c r="M18" s="67"/>
      <c r="N18" s="67"/>
      <c r="O18" s="67"/>
      <c r="P18" s="67"/>
      <c r="Q18" s="67"/>
      <c r="R18" s="67"/>
      <c r="S18" s="59"/>
    </row>
    <row r="19" spans="2:28">
      <c r="B19" s="49" t="s">
        <v>3292</v>
      </c>
      <c r="C19" s="44" t="s">
        <v>2878</v>
      </c>
      <c r="D19" s="56"/>
      <c r="E19" s="67"/>
      <c r="F19" s="66"/>
      <c r="G19" s="66"/>
      <c r="H19" s="67"/>
      <c r="I19" s="66"/>
      <c r="J19" s="66"/>
      <c r="K19" s="66"/>
      <c r="L19" s="66"/>
      <c r="M19" s="66"/>
      <c r="N19" s="67"/>
      <c r="O19" s="66"/>
      <c r="P19" s="66"/>
      <c r="Q19" s="66"/>
      <c r="R19" s="66"/>
      <c r="S19" s="57"/>
    </row>
    <row r="20" spans="2:28">
      <c r="B20" s="61" t="s">
        <v>3754</v>
      </c>
      <c r="C20" s="41" t="s">
        <v>2887</v>
      </c>
      <c r="D20" s="60">
        <f>'[5]S.12.01.02'!D13</f>
        <v>0</v>
      </c>
      <c r="E20" s="48"/>
      <c r="F20" s="60">
        <f>'[5]S.12.01.02'!F13</f>
        <v>0</v>
      </c>
      <c r="G20" s="60">
        <f>'[5]S.12.01.02'!G13</f>
        <v>0</v>
      </c>
      <c r="H20" s="48"/>
      <c r="I20" s="60">
        <f>'[5]S.12.01.02'!I13</f>
        <v>0</v>
      </c>
      <c r="J20" s="60">
        <f>'[5]S.12.01.02'!J13</f>
        <v>0</v>
      </c>
      <c r="K20" s="60">
        <f>'[5]S.12.01.02'!K13</f>
        <v>0</v>
      </c>
      <c r="L20" s="60">
        <f>'[5]S.12.01.02'!L13</f>
        <v>15257046.568822</v>
      </c>
      <c r="M20" s="60">
        <f>'[5]S.12.01.02'!M13</f>
        <v>15257046.568822</v>
      </c>
      <c r="N20" s="48"/>
      <c r="O20" s="60">
        <f>'[5]S.12.01.02'!O13</f>
        <v>0</v>
      </c>
      <c r="P20" s="60">
        <f>'[5]S.12.01.02'!P13</f>
        <v>0</v>
      </c>
      <c r="Q20" s="60">
        <f>'[5]S.12.01.02'!Q13</f>
        <v>0</v>
      </c>
      <c r="R20" s="60">
        <f>'[5]S.12.01.02'!R13</f>
        <v>139958757.79477701</v>
      </c>
      <c r="S20" s="60">
        <f>'[5]S.12.01.02'!S13</f>
        <v>139958757.79477701</v>
      </c>
    </row>
    <row r="21" spans="2:28" ht="30">
      <c r="B21" s="61" t="s">
        <v>3759</v>
      </c>
      <c r="C21" s="41" t="s">
        <v>2895</v>
      </c>
      <c r="D21" s="60">
        <f>'[5]S.12.01.02'!D14</f>
        <v>0</v>
      </c>
      <c r="E21" s="48"/>
      <c r="F21" s="60">
        <f>'[5]S.12.01.02'!F14</f>
        <v>0</v>
      </c>
      <c r="G21" s="60">
        <f>'[5]S.12.01.02'!G14</f>
        <v>0</v>
      </c>
      <c r="H21" s="48"/>
      <c r="I21" s="60">
        <f>'[5]S.12.01.02'!I14</f>
        <v>0</v>
      </c>
      <c r="J21" s="60">
        <f>'[5]S.12.01.02'!J14</f>
        <v>0</v>
      </c>
      <c r="K21" s="60">
        <f>'[5]S.12.01.02'!K14</f>
        <v>0</v>
      </c>
      <c r="L21" s="60">
        <f>'[5]S.12.01.02'!L14</f>
        <v>0</v>
      </c>
      <c r="M21" s="60">
        <f>'[5]S.12.01.02'!M14</f>
        <v>0</v>
      </c>
      <c r="N21" s="48"/>
      <c r="O21" s="60">
        <f>'[5]S.12.01.02'!O14</f>
        <v>0</v>
      </c>
      <c r="P21" s="60">
        <f>'[5]S.12.01.02'!P14</f>
        <v>0</v>
      </c>
      <c r="Q21" s="60">
        <f>'[5]S.12.01.02'!Q14</f>
        <v>0</v>
      </c>
      <c r="R21" s="60">
        <f>'[5]S.12.01.02'!R14</f>
        <v>0</v>
      </c>
      <c r="S21" s="60">
        <f>'[5]S.12.01.02'!S14</f>
        <v>0</v>
      </c>
    </row>
    <row r="22" spans="2:28">
      <c r="B22" s="61" t="s">
        <v>3786</v>
      </c>
      <c r="C22" s="41" t="s">
        <v>2897</v>
      </c>
      <c r="D22" s="60">
        <f>'[5]S.12.01.02'!D15</f>
        <v>0</v>
      </c>
      <c r="E22" s="46"/>
      <c r="F22" s="60">
        <f>'[5]S.12.01.02'!F15</f>
        <v>0</v>
      </c>
      <c r="G22" s="60">
        <f>'[5]S.12.01.02'!G15</f>
        <v>0</v>
      </c>
      <c r="H22" s="46"/>
      <c r="I22" s="60">
        <f>'[5]S.12.01.02'!I15</f>
        <v>0</v>
      </c>
      <c r="J22" s="60">
        <f>'[5]S.12.01.02'!J15</f>
        <v>0</v>
      </c>
      <c r="K22" s="60">
        <f>'[5]S.12.01.02'!K15</f>
        <v>0</v>
      </c>
      <c r="L22" s="60">
        <f>'[5]S.12.01.02'!L15</f>
        <v>15257046.568822</v>
      </c>
      <c r="M22" s="60">
        <f>'[5]S.12.01.02'!M15</f>
        <v>15257046.568822</v>
      </c>
      <c r="N22" s="46"/>
      <c r="O22" s="60">
        <f>'[5]S.12.01.02'!O15</f>
        <v>0</v>
      </c>
      <c r="P22" s="60">
        <f>'[5]S.12.01.02'!P15</f>
        <v>0</v>
      </c>
      <c r="Q22" s="60">
        <f>'[5]S.12.01.02'!Q15</f>
        <v>0</v>
      </c>
      <c r="R22" s="60">
        <f>'[5]S.12.01.02'!R15</f>
        <v>139958757.79477701</v>
      </c>
      <c r="S22" s="60">
        <f>'[5]S.12.01.02'!S15</f>
        <v>139958757.79477701</v>
      </c>
    </row>
    <row r="23" spans="2:28">
      <c r="B23" s="49" t="s">
        <v>3761</v>
      </c>
      <c r="C23" s="41" t="s">
        <v>2899</v>
      </c>
      <c r="D23" s="60">
        <f>'[5]S.12.01.02'!D16</f>
        <v>0</v>
      </c>
      <c r="E23" s="60">
        <f>'[5]S.12.01.02'!E16</f>
        <v>0</v>
      </c>
      <c r="F23" s="58"/>
      <c r="G23" s="48"/>
      <c r="H23" s="60">
        <f>'[5]S.12.01.02'!H16</f>
        <v>0</v>
      </c>
      <c r="I23" s="58"/>
      <c r="J23" s="48"/>
      <c r="K23" s="60">
        <f>'[5]S.12.01.02'!K16</f>
        <v>0</v>
      </c>
      <c r="L23" s="60">
        <f>'[5]S.12.01.02'!L16</f>
        <v>1607579.7885389072</v>
      </c>
      <c r="M23" s="60">
        <f>'[5]S.12.01.02'!M16</f>
        <v>1607579.7885389072</v>
      </c>
      <c r="N23" s="60">
        <f>'[5]S.12.01.02'!N16</f>
        <v>0</v>
      </c>
      <c r="O23" s="58"/>
      <c r="P23" s="48"/>
      <c r="Q23" s="60">
        <f>'[5]S.12.01.02'!Q16</f>
        <v>0</v>
      </c>
      <c r="R23" s="60">
        <f>'[5]S.12.01.02'!R16</f>
        <v>3825724.3684063908</v>
      </c>
      <c r="S23" s="60">
        <f>'[5]S.12.01.02'!S16</f>
        <v>3825724.3684063908</v>
      </c>
    </row>
    <row r="24" spans="2:28">
      <c r="B24" s="49" t="s">
        <v>3762</v>
      </c>
      <c r="C24" s="44" t="s">
        <v>2878</v>
      </c>
      <c r="D24" s="56"/>
      <c r="E24" s="66"/>
      <c r="F24" s="67"/>
      <c r="G24" s="67"/>
      <c r="H24" s="66"/>
      <c r="I24" s="67"/>
      <c r="J24" s="67"/>
      <c r="K24" s="66"/>
      <c r="L24" s="66"/>
      <c r="M24" s="66"/>
      <c r="N24" s="66"/>
      <c r="O24" s="67"/>
      <c r="P24" s="67"/>
      <c r="Q24" s="66"/>
      <c r="R24" s="66"/>
      <c r="S24" s="57"/>
    </row>
    <row r="25" spans="2:28">
      <c r="B25" s="61" t="s">
        <v>3763</v>
      </c>
      <c r="C25" s="41" t="s">
        <v>2901</v>
      </c>
      <c r="D25" s="60"/>
      <c r="E25" s="60"/>
      <c r="F25" s="56"/>
      <c r="G25" s="46"/>
      <c r="H25" s="60"/>
      <c r="I25" s="56"/>
      <c r="J25" s="46"/>
      <c r="K25" s="60"/>
      <c r="L25" s="60"/>
      <c r="M25" s="60"/>
      <c r="N25" s="60"/>
      <c r="O25" s="56"/>
      <c r="P25" s="46"/>
      <c r="Q25" s="60"/>
      <c r="R25" s="60"/>
      <c r="S25" s="60"/>
    </row>
    <row r="26" spans="2:28">
      <c r="B26" s="61" t="s">
        <v>3764</v>
      </c>
      <c r="C26" s="41" t="s">
        <v>2903</v>
      </c>
      <c r="D26" s="60"/>
      <c r="E26" s="46"/>
      <c r="F26" s="60"/>
      <c r="G26" s="60"/>
      <c r="H26" s="46"/>
      <c r="I26" s="60"/>
      <c r="J26" s="60"/>
      <c r="K26" s="60"/>
      <c r="L26" s="60"/>
      <c r="M26" s="60"/>
      <c r="N26" s="46"/>
      <c r="O26" s="60"/>
      <c r="P26" s="60"/>
      <c r="Q26" s="60"/>
      <c r="R26" s="60"/>
      <c r="S26" s="60"/>
    </row>
    <row r="27" spans="2:28">
      <c r="B27" s="61" t="s">
        <v>3293</v>
      </c>
      <c r="C27" s="41" t="s">
        <v>2905</v>
      </c>
      <c r="D27" s="60"/>
      <c r="E27" s="60"/>
      <c r="F27" s="58"/>
      <c r="G27" s="48"/>
      <c r="H27" s="60"/>
      <c r="I27" s="58"/>
      <c r="J27" s="48"/>
      <c r="K27" s="60"/>
      <c r="L27" s="60"/>
      <c r="M27" s="60"/>
      <c r="N27" s="60"/>
      <c r="O27" s="58"/>
      <c r="P27" s="48"/>
      <c r="Q27" s="60"/>
      <c r="R27" s="60"/>
      <c r="S27" s="60"/>
    </row>
    <row r="28" spans="2:28">
      <c r="B28" s="47" t="s">
        <v>3765</v>
      </c>
      <c r="C28" s="41" t="s">
        <v>2919</v>
      </c>
      <c r="D28" s="60">
        <f>'[5]S.12.01.02'!D17</f>
        <v>0</v>
      </c>
      <c r="E28" s="60">
        <f>'[5]S.12.01.02'!E17</f>
        <v>0</v>
      </c>
      <c r="F28" s="56"/>
      <c r="G28" s="46"/>
      <c r="H28" s="60">
        <f>'[5]S.12.01.02'!H17</f>
        <v>0</v>
      </c>
      <c r="I28" s="56"/>
      <c r="J28" s="46"/>
      <c r="K28" s="60">
        <f>'[5]S.12.01.02'!K17</f>
        <v>0</v>
      </c>
      <c r="L28" s="60">
        <f>'[5]S.12.01.02'!L17</f>
        <v>16864626.357360907</v>
      </c>
      <c r="M28" s="60">
        <f>'[5]S.12.01.02'!M17</f>
        <v>16864626.357360907</v>
      </c>
      <c r="N28" s="60">
        <f>'[5]S.12.01.02'!N17</f>
        <v>0</v>
      </c>
      <c r="O28" s="56"/>
      <c r="P28" s="46"/>
      <c r="Q28" s="60">
        <f>'[5]S.12.01.02'!Q17</f>
        <v>0</v>
      </c>
      <c r="R28" s="60">
        <f>'[5]S.12.01.02'!R17</f>
        <v>143784482.16318339</v>
      </c>
      <c r="S28" s="60">
        <f>S22+S23</f>
        <v>143784482.16318339</v>
      </c>
    </row>
    <row r="30" spans="2:28">
      <c r="AA30" s="13"/>
      <c r="AB30" s="13"/>
    </row>
  </sheetData>
  <mergeCells count="22">
    <mergeCell ref="Q11:Q13"/>
    <mergeCell ref="F12:F13"/>
    <mergeCell ref="G12:G13"/>
    <mergeCell ref="I12:I13"/>
    <mergeCell ref="J12:J13"/>
    <mergeCell ref="O12:O13"/>
    <mergeCell ref="R11:R13"/>
    <mergeCell ref="S11:S13"/>
    <mergeCell ref="B2:O2"/>
    <mergeCell ref="B5:L5"/>
    <mergeCell ref="D9:S10"/>
    <mergeCell ref="D11:D13"/>
    <mergeCell ref="E11:G11"/>
    <mergeCell ref="E12:E13"/>
    <mergeCell ref="H11:J11"/>
    <mergeCell ref="H12:H13"/>
    <mergeCell ref="K11:K13"/>
    <mergeCell ref="L11:L13"/>
    <mergeCell ref="P12:P13"/>
    <mergeCell ref="M11:M13"/>
    <mergeCell ref="N11:P11"/>
    <mergeCell ref="N12:N1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BD88A-4777-48AC-BDA8-CCF66DD893D5}">
  <sheetPr codeName="Blad76"/>
  <dimension ref="B2:AB34"/>
  <sheetViews>
    <sheetView showGridLines="0" workbookViewId="0"/>
  </sheetViews>
  <sheetFormatPr defaultRowHeight="15"/>
  <cols>
    <col min="2" max="2" width="85.140625" bestFit="1" customWidth="1"/>
    <col min="4" max="19" width="15.7109375" customWidth="1"/>
  </cols>
  <sheetData>
    <row r="2" spans="2:28" ht="23.25">
      <c r="B2" s="95" t="s">
        <v>615</v>
      </c>
      <c r="C2" s="96"/>
      <c r="D2" s="96"/>
      <c r="E2" s="96"/>
      <c r="F2" s="96"/>
      <c r="G2" s="96"/>
      <c r="H2" s="96"/>
      <c r="I2" s="96"/>
      <c r="J2" s="96"/>
      <c r="K2" s="96"/>
      <c r="L2" s="96"/>
      <c r="M2" s="96"/>
      <c r="N2" s="96"/>
      <c r="O2" s="96"/>
    </row>
    <row r="5" spans="2:28" ht="18.75">
      <c r="B5" s="97" t="s">
        <v>3787</v>
      </c>
      <c r="C5" s="96"/>
      <c r="D5" s="96"/>
      <c r="E5" s="96"/>
      <c r="F5" s="96"/>
      <c r="G5" s="96"/>
      <c r="H5" s="96"/>
      <c r="I5" s="96"/>
      <c r="J5" s="96"/>
      <c r="K5" s="96"/>
      <c r="L5" s="96"/>
    </row>
    <row r="7" spans="2:28">
      <c r="B7" t="s">
        <v>3110</v>
      </c>
      <c r="AA7" s="13" t="str">
        <f>Show!$B$72&amp;"SR.12.01.01.01 Table label {"&amp;COLUMN($C$1)&amp;"}"</f>
        <v>!SR.12.01.01.01 Table label {3}</v>
      </c>
      <c r="AB7" s="13" t="str">
        <f>Show!$B$72&amp;"SR.12.01.01.01 Table value {"&amp;COLUMN($D$1)&amp;"}"</f>
        <v>!SR.12.01.01.01 Table value {4}</v>
      </c>
    </row>
    <row r="8" spans="2:28">
      <c r="B8" t="s">
        <v>3111</v>
      </c>
    </row>
    <row r="9" spans="2:28">
      <c r="B9" s="40" t="s">
        <v>3788</v>
      </c>
      <c r="C9" s="53" t="s">
        <v>3115</v>
      </c>
      <c r="D9" s="51"/>
    </row>
    <row r="10" spans="2:28">
      <c r="B10" s="40" t="s">
        <v>3114</v>
      </c>
      <c r="C10" s="53" t="s">
        <v>3323</v>
      </c>
      <c r="D10" s="50"/>
    </row>
    <row r="11" spans="2:28">
      <c r="AA11" s="13" t="str">
        <f>Show!$B$72&amp;Show!$B$72&amp;"SR.12.01.01.01 Table label {"&amp;COLUMN($C$1)&amp;"}"</f>
        <v>!!SR.12.01.01.01 Table label {3}</v>
      </c>
      <c r="AB11" s="13" t="str">
        <f>Show!$B$72&amp;Show!$B$72&amp;"SR.12.01.01.01 Table value {"&amp;COLUMN($D$1)&amp;"}"</f>
        <v>!!SR.12.01.01.01 Table value {4}</v>
      </c>
    </row>
    <row r="13" spans="2:28">
      <c r="D13" s="101" t="s">
        <v>2877</v>
      </c>
      <c r="E13" s="102"/>
      <c r="F13" s="102"/>
      <c r="G13" s="102"/>
      <c r="H13" s="102"/>
      <c r="I13" s="102"/>
      <c r="J13" s="102"/>
      <c r="K13" s="102"/>
      <c r="L13" s="102"/>
      <c r="M13" s="102"/>
      <c r="N13" s="102"/>
      <c r="O13" s="102"/>
      <c r="P13" s="102"/>
      <c r="Q13" s="102"/>
      <c r="R13" s="102"/>
      <c r="S13" s="103"/>
    </row>
    <row r="14" spans="2:28">
      <c r="D14" s="104"/>
      <c r="E14" s="105"/>
      <c r="F14" s="105"/>
      <c r="G14" s="105"/>
      <c r="H14" s="105"/>
      <c r="I14" s="105"/>
      <c r="J14" s="105"/>
      <c r="K14" s="105"/>
      <c r="L14" s="105"/>
      <c r="M14" s="105"/>
      <c r="N14" s="105"/>
      <c r="O14" s="105"/>
      <c r="P14" s="105"/>
      <c r="Q14" s="105"/>
      <c r="R14" s="105"/>
      <c r="S14" s="106"/>
    </row>
    <row r="15" spans="2:28">
      <c r="D15" s="98" t="s">
        <v>1264</v>
      </c>
      <c r="E15" s="101" t="s">
        <v>3510</v>
      </c>
      <c r="F15" s="108"/>
      <c r="G15" s="109"/>
      <c r="H15" s="101" t="s">
        <v>3512</v>
      </c>
      <c r="I15" s="108"/>
      <c r="J15" s="109"/>
      <c r="K15" s="98" t="s">
        <v>3745</v>
      </c>
      <c r="L15" s="98" t="s">
        <v>3746</v>
      </c>
      <c r="M15" s="98" t="s">
        <v>3789</v>
      </c>
      <c r="N15" s="101" t="s">
        <v>3749</v>
      </c>
      <c r="O15" s="108"/>
      <c r="P15" s="109"/>
      <c r="Q15" s="98" t="s">
        <v>1267</v>
      </c>
      <c r="R15" s="98" t="s">
        <v>3750</v>
      </c>
      <c r="S15" s="98" t="s">
        <v>3751</v>
      </c>
    </row>
    <row r="16" spans="2:28">
      <c r="D16" s="99"/>
      <c r="E16" s="99"/>
      <c r="F16" s="98" t="s">
        <v>3743</v>
      </c>
      <c r="G16" s="98" t="s">
        <v>3744</v>
      </c>
      <c r="H16" s="99"/>
      <c r="I16" s="98" t="s">
        <v>3743</v>
      </c>
      <c r="J16" s="98" t="s">
        <v>3744</v>
      </c>
      <c r="K16" s="99"/>
      <c r="L16" s="99"/>
      <c r="M16" s="99"/>
      <c r="N16" s="99"/>
      <c r="O16" s="98" t="s">
        <v>3743</v>
      </c>
      <c r="P16" s="98" t="s">
        <v>3744</v>
      </c>
      <c r="Q16" s="99"/>
      <c r="R16" s="99"/>
      <c r="S16" s="99"/>
    </row>
    <row r="17" spans="2:28">
      <c r="D17" s="100"/>
      <c r="E17" s="100"/>
      <c r="F17" s="100"/>
      <c r="G17" s="100"/>
      <c r="H17" s="100"/>
      <c r="I17" s="100"/>
      <c r="J17" s="100"/>
      <c r="K17" s="100"/>
      <c r="L17" s="100"/>
      <c r="M17" s="100"/>
      <c r="N17" s="100"/>
      <c r="O17" s="100"/>
      <c r="P17" s="100"/>
      <c r="Q17" s="100"/>
      <c r="R17" s="100"/>
      <c r="S17" s="100"/>
    </row>
    <row r="18" spans="2:28">
      <c r="D18" s="45" t="s">
        <v>3219</v>
      </c>
      <c r="E18" s="45" t="s">
        <v>3225</v>
      </c>
      <c r="F18" s="45" t="s">
        <v>3223</v>
      </c>
      <c r="G18" s="45" t="s">
        <v>3229</v>
      </c>
      <c r="H18" s="45" t="s">
        <v>3231</v>
      </c>
      <c r="I18" s="45" t="s">
        <v>3233</v>
      </c>
      <c r="J18" s="45" t="s">
        <v>3234</v>
      </c>
      <c r="K18" s="45" t="s">
        <v>3236</v>
      </c>
      <c r="L18" s="45" t="s">
        <v>3239</v>
      </c>
      <c r="M18" s="45" t="s">
        <v>3477</v>
      </c>
      <c r="N18" s="45" t="s">
        <v>3479</v>
      </c>
      <c r="O18" s="45" t="s">
        <v>3594</v>
      </c>
      <c r="P18" s="45" t="s">
        <v>3596</v>
      </c>
      <c r="Q18" s="45" t="s">
        <v>3599</v>
      </c>
      <c r="R18" s="45" t="s">
        <v>3481</v>
      </c>
      <c r="S18" s="45" t="s">
        <v>3508</v>
      </c>
      <c r="AA18" s="13" t="str">
        <f>Show!$B$72&amp;"SR.12.01.01.01 Rows {"&amp;COLUMN($C$1)&amp;"}"&amp;"@ForceFilingCode:true"</f>
        <v>!SR.12.01.01.01 Rows {3}@ForceFilingCode:true</v>
      </c>
      <c r="AB18" s="13" t="str">
        <f>Show!$B$72&amp;"SR.12.01.01.01 Columns {"&amp;COLUMN($D$1)&amp;"}"</f>
        <v>!SR.12.01.01.01 Columns {4}</v>
      </c>
    </row>
    <row r="19" spans="2:28">
      <c r="B19" s="43" t="s">
        <v>2880</v>
      </c>
      <c r="C19" s="44" t="s">
        <v>2878</v>
      </c>
      <c r="D19" s="56"/>
      <c r="E19" s="66"/>
      <c r="F19" s="67"/>
      <c r="G19" s="67"/>
      <c r="H19" s="66"/>
      <c r="I19" s="67"/>
      <c r="J19" s="67"/>
      <c r="K19" s="66"/>
      <c r="L19" s="66"/>
      <c r="M19" s="66"/>
      <c r="N19" s="66"/>
      <c r="O19" s="67"/>
      <c r="P19" s="67"/>
      <c r="Q19" s="66"/>
      <c r="R19" s="66"/>
      <c r="S19" s="57"/>
    </row>
    <row r="20" spans="2:28">
      <c r="B20" s="47" t="s">
        <v>3291</v>
      </c>
      <c r="C20" s="41" t="s">
        <v>2883</v>
      </c>
      <c r="D20" s="60"/>
      <c r="E20" s="64"/>
      <c r="F20" s="58"/>
      <c r="G20" s="48"/>
      <c r="H20" s="64"/>
      <c r="I20" s="58"/>
      <c r="J20" s="48"/>
      <c r="K20" s="60"/>
      <c r="L20" s="60"/>
      <c r="M20" s="60"/>
      <c r="N20" s="64"/>
      <c r="O20" s="58"/>
      <c r="P20" s="48"/>
      <c r="Q20" s="60"/>
      <c r="R20" s="60"/>
      <c r="S20" s="60"/>
    </row>
    <row r="21" spans="2:28" ht="30">
      <c r="B21" s="47" t="s">
        <v>3752</v>
      </c>
      <c r="C21" s="41" t="s">
        <v>2885</v>
      </c>
      <c r="D21" s="63"/>
      <c r="E21" s="65"/>
      <c r="F21" s="58"/>
      <c r="G21" s="48"/>
      <c r="H21" s="65"/>
      <c r="I21" s="58"/>
      <c r="J21" s="48"/>
      <c r="K21" s="63"/>
      <c r="L21" s="63"/>
      <c r="M21" s="63"/>
      <c r="N21" s="65"/>
      <c r="O21" s="58"/>
      <c r="P21" s="48"/>
      <c r="Q21" s="63"/>
      <c r="R21" s="63"/>
      <c r="S21" s="63"/>
    </row>
    <row r="22" spans="2:28">
      <c r="B22" s="47" t="s">
        <v>3753</v>
      </c>
      <c r="C22" s="44" t="s">
        <v>2878</v>
      </c>
      <c r="D22" s="58"/>
      <c r="E22" s="67"/>
      <c r="F22" s="67"/>
      <c r="G22" s="67"/>
      <c r="H22" s="67"/>
      <c r="I22" s="67"/>
      <c r="J22" s="67"/>
      <c r="K22" s="67"/>
      <c r="L22" s="67"/>
      <c r="M22" s="67"/>
      <c r="N22" s="67"/>
      <c r="O22" s="67"/>
      <c r="P22" s="67"/>
      <c r="Q22" s="67"/>
      <c r="R22" s="67"/>
      <c r="S22" s="59"/>
    </row>
    <row r="23" spans="2:28">
      <c r="B23" s="49" t="s">
        <v>3292</v>
      </c>
      <c r="C23" s="44" t="s">
        <v>2878</v>
      </c>
      <c r="D23" s="56"/>
      <c r="E23" s="67"/>
      <c r="F23" s="66"/>
      <c r="G23" s="66"/>
      <c r="H23" s="67"/>
      <c r="I23" s="66"/>
      <c r="J23" s="66"/>
      <c r="K23" s="66"/>
      <c r="L23" s="66"/>
      <c r="M23" s="66"/>
      <c r="N23" s="67"/>
      <c r="O23" s="66"/>
      <c r="P23" s="66"/>
      <c r="Q23" s="66"/>
      <c r="R23" s="66"/>
      <c r="S23" s="57"/>
    </row>
    <row r="24" spans="2:28">
      <c r="B24" s="61" t="s">
        <v>3754</v>
      </c>
      <c r="C24" s="41" t="s">
        <v>2887</v>
      </c>
      <c r="D24" s="64"/>
      <c r="E24" s="48"/>
      <c r="F24" s="60"/>
      <c r="G24" s="64"/>
      <c r="H24" s="48"/>
      <c r="I24" s="60"/>
      <c r="J24" s="60"/>
      <c r="K24" s="60"/>
      <c r="L24" s="60"/>
      <c r="M24" s="64"/>
      <c r="N24" s="48"/>
      <c r="O24" s="60"/>
      <c r="P24" s="60"/>
      <c r="Q24" s="60"/>
      <c r="R24" s="60"/>
      <c r="S24" s="60"/>
    </row>
    <row r="25" spans="2:28" ht="30">
      <c r="B25" s="61" t="s">
        <v>3759</v>
      </c>
      <c r="C25" s="41" t="s">
        <v>2895</v>
      </c>
      <c r="D25" s="64"/>
      <c r="E25" s="48"/>
      <c r="F25" s="60"/>
      <c r="G25" s="64"/>
      <c r="H25" s="48"/>
      <c r="I25" s="60"/>
      <c r="J25" s="60"/>
      <c r="K25" s="60"/>
      <c r="L25" s="60"/>
      <c r="M25" s="64"/>
      <c r="N25" s="48"/>
      <c r="O25" s="60"/>
      <c r="P25" s="60"/>
      <c r="Q25" s="60"/>
      <c r="R25" s="60"/>
      <c r="S25" s="60"/>
    </row>
    <row r="26" spans="2:28">
      <c r="B26" s="61" t="s">
        <v>3786</v>
      </c>
      <c r="C26" s="41" t="s">
        <v>2897</v>
      </c>
      <c r="D26" s="64"/>
      <c r="E26" s="46"/>
      <c r="F26" s="63"/>
      <c r="G26" s="65"/>
      <c r="H26" s="46"/>
      <c r="I26" s="63"/>
      <c r="J26" s="63"/>
      <c r="K26" s="60"/>
      <c r="L26" s="60"/>
      <c r="M26" s="64"/>
      <c r="N26" s="46"/>
      <c r="O26" s="63"/>
      <c r="P26" s="63"/>
      <c r="Q26" s="60"/>
      <c r="R26" s="60"/>
      <c r="S26" s="60"/>
    </row>
    <row r="27" spans="2:28">
      <c r="B27" s="49" t="s">
        <v>3761</v>
      </c>
      <c r="C27" s="41" t="s">
        <v>2899</v>
      </c>
      <c r="D27" s="63"/>
      <c r="E27" s="65"/>
      <c r="F27" s="58"/>
      <c r="G27" s="48"/>
      <c r="H27" s="65"/>
      <c r="I27" s="58"/>
      <c r="J27" s="48"/>
      <c r="K27" s="63"/>
      <c r="L27" s="63"/>
      <c r="M27" s="63"/>
      <c r="N27" s="65"/>
      <c r="O27" s="58"/>
      <c r="P27" s="48"/>
      <c r="Q27" s="63"/>
      <c r="R27" s="63"/>
      <c r="S27" s="63"/>
    </row>
    <row r="28" spans="2:28">
      <c r="B28" s="49" t="s">
        <v>3762</v>
      </c>
      <c r="C28" s="44" t="s">
        <v>2878</v>
      </c>
      <c r="D28" s="56"/>
      <c r="E28" s="66"/>
      <c r="F28" s="67"/>
      <c r="G28" s="67"/>
      <c r="H28" s="66"/>
      <c r="I28" s="67"/>
      <c r="J28" s="67"/>
      <c r="K28" s="66"/>
      <c r="L28" s="66"/>
      <c r="M28" s="66"/>
      <c r="N28" s="66"/>
      <c r="O28" s="67"/>
      <c r="P28" s="67"/>
      <c r="Q28" s="66"/>
      <c r="R28" s="66"/>
      <c r="S28" s="57"/>
    </row>
    <row r="29" spans="2:28">
      <c r="B29" s="61" t="s">
        <v>3763</v>
      </c>
      <c r="C29" s="41" t="s">
        <v>2901</v>
      </c>
      <c r="D29" s="60"/>
      <c r="E29" s="65"/>
      <c r="F29" s="56"/>
      <c r="G29" s="46"/>
      <c r="H29" s="65"/>
      <c r="I29" s="56"/>
      <c r="J29" s="46"/>
      <c r="K29" s="60"/>
      <c r="L29" s="60"/>
      <c r="M29" s="60"/>
      <c r="N29" s="65"/>
      <c r="O29" s="56"/>
      <c r="P29" s="46"/>
      <c r="Q29" s="60"/>
      <c r="R29" s="60"/>
      <c r="S29" s="60"/>
    </row>
    <row r="30" spans="2:28">
      <c r="B30" s="61" t="s">
        <v>3764</v>
      </c>
      <c r="C30" s="41" t="s">
        <v>2903</v>
      </c>
      <c r="D30" s="64"/>
      <c r="E30" s="46"/>
      <c r="F30" s="63"/>
      <c r="G30" s="65"/>
      <c r="H30" s="46"/>
      <c r="I30" s="63"/>
      <c r="J30" s="63"/>
      <c r="K30" s="60"/>
      <c r="L30" s="60"/>
      <c r="M30" s="64"/>
      <c r="N30" s="46"/>
      <c r="O30" s="63"/>
      <c r="P30" s="63"/>
      <c r="Q30" s="60"/>
      <c r="R30" s="60"/>
      <c r="S30" s="60"/>
    </row>
    <row r="31" spans="2:28">
      <c r="B31" s="61" t="s">
        <v>3293</v>
      </c>
      <c r="C31" s="41" t="s">
        <v>2905</v>
      </c>
      <c r="D31" s="60"/>
      <c r="E31" s="64"/>
      <c r="F31" s="58"/>
      <c r="G31" s="48"/>
      <c r="H31" s="64"/>
      <c r="I31" s="58"/>
      <c r="J31" s="48"/>
      <c r="K31" s="60"/>
      <c r="L31" s="60"/>
      <c r="M31" s="60"/>
      <c r="N31" s="64"/>
      <c r="O31" s="58"/>
      <c r="P31" s="48"/>
      <c r="Q31" s="60"/>
      <c r="R31" s="60"/>
      <c r="S31" s="60"/>
    </row>
    <row r="32" spans="2:28">
      <c r="B32" s="47" t="s">
        <v>3765</v>
      </c>
      <c r="C32" s="41" t="s">
        <v>2919</v>
      </c>
      <c r="D32" s="60"/>
      <c r="E32" s="64"/>
      <c r="F32" s="56"/>
      <c r="G32" s="46"/>
      <c r="H32" s="64"/>
      <c r="I32" s="56"/>
      <c r="J32" s="46"/>
      <c r="K32" s="60"/>
      <c r="L32" s="60"/>
      <c r="M32" s="60"/>
      <c r="N32" s="64"/>
      <c r="O32" s="56"/>
      <c r="P32" s="46"/>
      <c r="Q32" s="60"/>
      <c r="R32" s="60"/>
      <c r="S32" s="60"/>
    </row>
    <row r="34" spans="27:28">
      <c r="AA34" s="13" t="str">
        <f>Show!$B$72&amp;Show!$B$72&amp;"SR.12.01.01.01 Rows {"&amp;COLUMN($C$1)&amp;"}"</f>
        <v>!!SR.12.01.01.01 Rows {3}</v>
      </c>
      <c r="AB34" s="13" t="str">
        <f>Show!$B$72&amp;Show!$B$72&amp;"SR.12.01.01.01 Columns {"&amp;COLUMN($S$1)&amp;"}"</f>
        <v>!!SR.12.01.01.01 Columns {19}</v>
      </c>
    </row>
  </sheetData>
  <sheetProtection sheet="1" objects="1" scenarios="1"/>
  <mergeCells count="22">
    <mergeCell ref="Q15:Q17"/>
    <mergeCell ref="F16:F17"/>
    <mergeCell ref="G16:G17"/>
    <mergeCell ref="I16:I17"/>
    <mergeCell ref="J16:J17"/>
    <mergeCell ref="O16:O17"/>
    <mergeCell ref="R15:R17"/>
    <mergeCell ref="S15:S17"/>
    <mergeCell ref="B2:O2"/>
    <mergeCell ref="B5:L5"/>
    <mergeCell ref="D13:S14"/>
    <mergeCell ref="D15:D17"/>
    <mergeCell ref="E15:G15"/>
    <mergeCell ref="E16:E17"/>
    <mergeCell ref="H15:J15"/>
    <mergeCell ref="H16:H17"/>
    <mergeCell ref="K15:K17"/>
    <mergeCell ref="L15:L17"/>
    <mergeCell ref="P16:P17"/>
    <mergeCell ref="M15:M17"/>
    <mergeCell ref="N15:P15"/>
    <mergeCell ref="N16:N17"/>
  </mergeCells>
  <dataValidations count="1">
    <dataValidation type="list" errorStyle="warning" allowBlank="1" showInputMessage="1" showErrorMessage="1" sqref="D9" xr:uid="{3CC22477-665C-46C2-9055-E6D706D6F453}">
      <formula1>hier_PU_20</formula1>
    </dataValidation>
  </dataValidation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5546-BF4E-4801-893B-B42FA5E5AC78}">
  <sheetPr codeName="Blad77"/>
  <dimension ref="B2:V31"/>
  <sheetViews>
    <sheetView showGridLines="0" workbookViewId="0"/>
  </sheetViews>
  <sheetFormatPr defaultRowHeight="15"/>
  <cols>
    <col min="2" max="2" width="74.42578125" bestFit="1" customWidth="1"/>
    <col min="4" max="4" width="40.7109375" customWidth="1"/>
    <col min="5" max="14" width="15.7109375" customWidth="1"/>
  </cols>
  <sheetData>
    <row r="2" spans="2:22" ht="23.25">
      <c r="B2" s="95" t="s">
        <v>619</v>
      </c>
      <c r="C2" s="96"/>
      <c r="D2" s="96"/>
      <c r="E2" s="96"/>
      <c r="F2" s="96"/>
      <c r="G2" s="96"/>
      <c r="H2" s="96"/>
      <c r="I2" s="96"/>
      <c r="J2" s="96"/>
      <c r="K2" s="96"/>
      <c r="L2" s="96"/>
      <c r="M2" s="96"/>
      <c r="N2" s="96"/>
      <c r="O2" s="96"/>
    </row>
    <row r="5" spans="2:22" ht="18.75">
      <c r="B5" s="97" t="s">
        <v>3790</v>
      </c>
      <c r="C5" s="96"/>
      <c r="D5" s="96"/>
      <c r="E5" s="96"/>
      <c r="F5" s="96"/>
      <c r="G5" s="96"/>
      <c r="H5" s="96"/>
      <c r="I5" s="96"/>
      <c r="J5" s="96"/>
      <c r="K5" s="96"/>
      <c r="L5" s="96"/>
    </row>
    <row r="9" spans="2:22">
      <c r="D9" s="101" t="s">
        <v>2877</v>
      </c>
      <c r="E9" s="102"/>
      <c r="F9" s="102"/>
      <c r="G9" s="102"/>
      <c r="H9" s="102"/>
      <c r="I9" s="102"/>
      <c r="J9" s="102"/>
      <c r="K9" s="102"/>
      <c r="L9" s="102"/>
      <c r="M9" s="103"/>
    </row>
    <row r="10" spans="2:22">
      <c r="D10" s="104"/>
      <c r="E10" s="105"/>
      <c r="F10" s="105"/>
      <c r="G10" s="105"/>
      <c r="H10" s="105"/>
      <c r="I10" s="105"/>
      <c r="J10" s="105"/>
      <c r="K10" s="105"/>
      <c r="L10" s="105"/>
      <c r="M10" s="106"/>
    </row>
    <row r="11" spans="2:22" ht="165">
      <c r="D11" s="55" t="s">
        <v>1264</v>
      </c>
      <c r="E11" s="55" t="s">
        <v>3510</v>
      </c>
      <c r="F11" s="55" t="s">
        <v>3512</v>
      </c>
      <c r="G11" s="55" t="s">
        <v>3745</v>
      </c>
      <c r="H11" s="55" t="s">
        <v>3746</v>
      </c>
      <c r="I11" s="55" t="s">
        <v>3789</v>
      </c>
      <c r="J11" s="55" t="s">
        <v>3749</v>
      </c>
      <c r="K11" s="55" t="s">
        <v>1267</v>
      </c>
      <c r="L11" s="55" t="s">
        <v>3750</v>
      </c>
      <c r="M11" s="55" t="s">
        <v>3751</v>
      </c>
    </row>
    <row r="12" spans="2:22">
      <c r="D12" s="45" t="s">
        <v>3219</v>
      </c>
      <c r="E12" s="45" t="s">
        <v>3225</v>
      </c>
      <c r="F12" s="45" t="s">
        <v>3231</v>
      </c>
      <c r="G12" s="45" t="s">
        <v>3236</v>
      </c>
      <c r="H12" s="45" t="s">
        <v>3239</v>
      </c>
      <c r="I12" s="45" t="s">
        <v>3477</v>
      </c>
      <c r="J12" s="45" t="s">
        <v>3479</v>
      </c>
      <c r="K12" s="45" t="s">
        <v>3599</v>
      </c>
      <c r="L12" s="45" t="s">
        <v>3481</v>
      </c>
      <c r="M12" s="45" t="s">
        <v>3508</v>
      </c>
      <c r="U12" s="13" t="str">
        <f>Show!$B$73&amp;"S.12.02.01.01 Rows {"&amp;COLUMN($C$1)&amp;"}"&amp;"@ForceFilingCode:true"</f>
        <v>!S.12.02.01.01 Rows {3}@ForceFilingCode:true</v>
      </c>
      <c r="V12" s="13" t="str">
        <f>Show!$B$73&amp;"S.12.02.01.01 Columns {"&amp;COLUMN($D$1)&amp;"}"</f>
        <v>!S.12.02.01.01 Columns {4}</v>
      </c>
    </row>
    <row r="13" spans="2:22">
      <c r="B13" s="43" t="s">
        <v>2880</v>
      </c>
      <c r="C13" s="44" t="s">
        <v>2878</v>
      </c>
      <c r="D13" s="56"/>
      <c r="E13" s="66"/>
      <c r="F13" s="66"/>
      <c r="G13" s="66"/>
      <c r="H13" s="66"/>
      <c r="I13" s="66"/>
      <c r="J13" s="66"/>
      <c r="K13" s="66"/>
      <c r="L13" s="66"/>
      <c r="M13" s="57"/>
    </row>
    <row r="14" spans="2:22">
      <c r="B14" s="47" t="s">
        <v>3559</v>
      </c>
      <c r="C14" s="41" t="s">
        <v>2883</v>
      </c>
      <c r="D14" s="60"/>
      <c r="E14" s="60"/>
      <c r="F14" s="60"/>
      <c r="G14" s="60"/>
      <c r="H14" s="60"/>
      <c r="I14" s="60"/>
      <c r="J14" s="60"/>
      <c r="K14" s="60"/>
      <c r="L14" s="60"/>
      <c r="M14" s="60"/>
    </row>
    <row r="15" spans="2:22">
      <c r="B15" s="47" t="s">
        <v>3791</v>
      </c>
      <c r="C15" s="41" t="s">
        <v>2885</v>
      </c>
      <c r="D15" s="60"/>
      <c r="E15" s="60"/>
      <c r="F15" s="60"/>
      <c r="G15" s="60"/>
      <c r="H15" s="60"/>
      <c r="I15" s="60"/>
      <c r="J15" s="60"/>
      <c r="K15" s="60"/>
      <c r="L15" s="60"/>
      <c r="M15" s="60"/>
    </row>
    <row r="16" spans="2:22">
      <c r="B16" s="47" t="s">
        <v>3792</v>
      </c>
      <c r="C16" s="41" t="s">
        <v>2887</v>
      </c>
      <c r="D16" s="60"/>
      <c r="E16" s="60"/>
      <c r="F16" s="60"/>
      <c r="G16" s="60"/>
      <c r="H16" s="60"/>
      <c r="I16" s="60"/>
      <c r="J16" s="60"/>
      <c r="K16" s="60"/>
      <c r="L16" s="60"/>
      <c r="M16" s="60"/>
    </row>
    <row r="18" spans="2:22">
      <c r="U18" s="13" t="str">
        <f>Show!$B$73&amp;Show!$B$73&amp;"S.12.02.01.01 Rows {"&amp;COLUMN($C$1)&amp;"}"</f>
        <v>!!S.12.02.01.01 Rows {3}</v>
      </c>
      <c r="V18" s="13" t="str">
        <f>Show!$B$73&amp;Show!$B$73&amp;"S.12.02.01.01 Columns {"&amp;COLUMN($M$1)&amp;"}"</f>
        <v>!!S.12.02.01.01 Columns {13}</v>
      </c>
    </row>
    <row r="20" spans="2:22" ht="18.75">
      <c r="B20" s="97" t="s">
        <v>3793</v>
      </c>
      <c r="C20" s="96"/>
      <c r="D20" s="96"/>
      <c r="E20" s="96"/>
      <c r="F20" s="96"/>
      <c r="G20" s="96"/>
      <c r="H20" s="96"/>
      <c r="I20" s="96"/>
      <c r="J20" s="96"/>
      <c r="K20" s="96"/>
      <c r="L20" s="96"/>
    </row>
    <row r="24" spans="2:22">
      <c r="D24" s="98" t="s">
        <v>56</v>
      </c>
      <c r="E24" s="101" t="s">
        <v>2877</v>
      </c>
      <c r="F24" s="102"/>
      <c r="G24" s="102"/>
      <c r="H24" s="102"/>
      <c r="I24" s="102"/>
      <c r="J24" s="102"/>
      <c r="K24" s="102"/>
      <c r="L24" s="102"/>
      <c r="M24" s="102"/>
      <c r="N24" s="103"/>
    </row>
    <row r="25" spans="2:22">
      <c r="D25" s="99"/>
      <c r="E25" s="104"/>
      <c r="F25" s="105"/>
      <c r="G25" s="105"/>
      <c r="H25" s="105"/>
      <c r="I25" s="105"/>
      <c r="J25" s="105"/>
      <c r="K25" s="105"/>
      <c r="L25" s="105"/>
      <c r="M25" s="105"/>
      <c r="N25" s="106"/>
    </row>
    <row r="26" spans="2:22" ht="165">
      <c r="D26" s="100"/>
      <c r="E26" s="55" t="s">
        <v>1264</v>
      </c>
      <c r="F26" s="55" t="s">
        <v>3510</v>
      </c>
      <c r="G26" s="55" t="s">
        <v>3512</v>
      </c>
      <c r="H26" s="55" t="s">
        <v>3745</v>
      </c>
      <c r="I26" s="55" t="s">
        <v>3746</v>
      </c>
      <c r="J26" s="55" t="s">
        <v>3789</v>
      </c>
      <c r="K26" s="55" t="s">
        <v>3749</v>
      </c>
      <c r="L26" s="55" t="s">
        <v>1267</v>
      </c>
      <c r="M26" s="55" t="s">
        <v>3750</v>
      </c>
      <c r="N26" s="55" t="s">
        <v>3751</v>
      </c>
    </row>
    <row r="27" spans="2:22">
      <c r="D27" s="45" t="s">
        <v>2879</v>
      </c>
      <c r="E27" s="45" t="s">
        <v>3219</v>
      </c>
      <c r="F27" s="45" t="s">
        <v>3225</v>
      </c>
      <c r="G27" s="45" t="s">
        <v>3231</v>
      </c>
      <c r="H27" s="45" t="s">
        <v>3236</v>
      </c>
      <c r="I27" s="45" t="s">
        <v>3239</v>
      </c>
      <c r="J27" s="45" t="s">
        <v>3477</v>
      </c>
      <c r="K27" s="45" t="s">
        <v>3479</v>
      </c>
      <c r="L27" s="45" t="s">
        <v>3599</v>
      </c>
      <c r="M27" s="45" t="s">
        <v>3481</v>
      </c>
      <c r="N27" s="45" t="s">
        <v>3508</v>
      </c>
      <c r="U27" s="13" t="str">
        <f>Show!$B$73&amp;"S.12.02.01.02 Rows {"&amp;COLUMN($C$1)&amp;"}"&amp;"@ForceFilingCode:true"</f>
        <v>!S.12.02.01.02 Rows {3}@ForceFilingCode:true</v>
      </c>
      <c r="V27" s="13" t="str">
        <f>Show!$B$73&amp;"S.12.02.01.02 Columns {"&amp;COLUMN($D$1)&amp;"}"</f>
        <v>!S.12.02.01.02 Columns {4}</v>
      </c>
    </row>
    <row r="28" spans="2:22">
      <c r="B28" s="43" t="s">
        <v>2880</v>
      </c>
      <c r="C28" s="44" t="s">
        <v>2878</v>
      </c>
      <c r="D28" s="56"/>
      <c r="E28" s="66"/>
      <c r="F28" s="66"/>
      <c r="G28" s="66"/>
      <c r="H28" s="66"/>
      <c r="I28" s="66"/>
      <c r="J28" s="66"/>
      <c r="K28" s="66"/>
      <c r="L28" s="66"/>
      <c r="M28" s="66"/>
      <c r="N28" s="57"/>
    </row>
    <row r="29" spans="2:22">
      <c r="B29" s="47" t="s">
        <v>3794</v>
      </c>
      <c r="C29" s="41" t="s">
        <v>2889</v>
      </c>
      <c r="D29" s="51"/>
      <c r="E29" s="60"/>
      <c r="F29" s="60"/>
      <c r="G29" s="60"/>
      <c r="H29" s="60"/>
      <c r="I29" s="60"/>
      <c r="J29" s="60"/>
      <c r="K29" s="60"/>
      <c r="L29" s="60"/>
      <c r="M29" s="60"/>
      <c r="N29" s="60"/>
    </row>
    <row r="31" spans="2:22">
      <c r="U31" s="13" t="str">
        <f>Show!$B$73&amp;Show!$B$73&amp;"S.12.02.01.02 Rows {"&amp;COLUMN($C$1)&amp;"}"</f>
        <v>!!S.12.02.01.02 Rows {3}</v>
      </c>
      <c r="V31" s="13" t="str">
        <f>Show!$B$73&amp;Show!$B$73&amp;"S.12.02.01.02 Columns {"&amp;COLUMN($N$1)&amp;"}"</f>
        <v>!!S.12.02.01.02 Columns {14}</v>
      </c>
    </row>
  </sheetData>
  <sheetProtection sheet="1" objects="1" scenarios="1"/>
  <mergeCells count="6">
    <mergeCell ref="B2:O2"/>
    <mergeCell ref="B5:L5"/>
    <mergeCell ref="D9:M10"/>
    <mergeCell ref="B20:L20"/>
    <mergeCell ref="D24:D26"/>
    <mergeCell ref="E24:N25"/>
  </mergeCells>
  <dataValidations count="1">
    <dataValidation type="list" errorStyle="warning" allowBlank="1" showInputMessage="1" showErrorMessage="1" sqref="D29" xr:uid="{FD97DBAE-BB9B-412D-A9AC-4E611499D856}">
      <formula1>hier_GA_18</formula1>
    </dataValidation>
  </dataValidation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E057-8BD7-4B74-8DAB-1FC7545DA41E}">
  <sheetPr codeName="Blad78"/>
  <dimension ref="B2:BG51"/>
  <sheetViews>
    <sheetView showGridLines="0" workbookViewId="0"/>
  </sheetViews>
  <sheetFormatPr defaultRowHeight="15"/>
  <cols>
    <col min="2" max="2" width="53.28515625" bestFit="1" customWidth="1"/>
    <col min="4" max="32" width="15.7109375" customWidth="1"/>
  </cols>
  <sheetData>
    <row r="2" spans="2:59" ht="23.25">
      <c r="B2" s="95" t="s">
        <v>621</v>
      </c>
      <c r="C2" s="96"/>
      <c r="D2" s="96"/>
      <c r="E2" s="96"/>
      <c r="F2" s="96"/>
      <c r="G2" s="96"/>
      <c r="H2" s="96"/>
      <c r="I2" s="96"/>
      <c r="J2" s="96"/>
      <c r="K2" s="96"/>
      <c r="L2" s="96"/>
      <c r="M2" s="96"/>
      <c r="N2" s="96"/>
      <c r="O2" s="96"/>
    </row>
    <row r="5" spans="2:59" ht="18.75">
      <c r="B5" s="97" t="s">
        <v>3795</v>
      </c>
      <c r="C5" s="96"/>
      <c r="D5" s="96"/>
      <c r="E5" s="96"/>
      <c r="F5" s="96"/>
      <c r="G5" s="96"/>
      <c r="H5" s="96"/>
      <c r="I5" s="96"/>
      <c r="J5" s="96"/>
      <c r="K5" s="96"/>
      <c r="L5" s="96"/>
    </row>
    <row r="9" spans="2:59">
      <c r="D9" s="101" t="s">
        <v>2877</v>
      </c>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3"/>
    </row>
    <row r="10" spans="2:59">
      <c r="D10" s="104"/>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2:59">
      <c r="D11" s="107" t="s">
        <v>1264</v>
      </c>
      <c r="E11" s="108"/>
      <c r="F11" s="108"/>
      <c r="G11" s="109"/>
      <c r="H11" s="107" t="s">
        <v>3797</v>
      </c>
      <c r="I11" s="108"/>
      <c r="J11" s="108"/>
      <c r="K11" s="109"/>
      <c r="L11" s="107" t="s">
        <v>3512</v>
      </c>
      <c r="M11" s="108"/>
      <c r="N11" s="108"/>
      <c r="O11" s="109"/>
      <c r="P11" s="107" t="s">
        <v>3798</v>
      </c>
      <c r="Q11" s="108"/>
      <c r="R11" s="108"/>
      <c r="S11" s="109"/>
      <c r="T11" s="107" t="s">
        <v>3746</v>
      </c>
      <c r="U11" s="108"/>
      <c r="V11" s="108"/>
      <c r="W11" s="109"/>
      <c r="X11" s="107" t="s">
        <v>3507</v>
      </c>
      <c r="Y11" s="108"/>
      <c r="Z11" s="108"/>
      <c r="AA11" s="109"/>
      <c r="AB11" s="107" t="s">
        <v>1269</v>
      </c>
      <c r="AC11" s="108"/>
      <c r="AD11" s="108"/>
      <c r="AE11" s="109"/>
      <c r="AF11" s="98" t="s">
        <v>3799</v>
      </c>
    </row>
    <row r="12" spans="2:59">
      <c r="D12" s="107" t="s">
        <v>3769</v>
      </c>
      <c r="E12" s="109"/>
      <c r="F12" s="107" t="s">
        <v>3774</v>
      </c>
      <c r="G12" s="109"/>
      <c r="H12" s="107" t="s">
        <v>3769</v>
      </c>
      <c r="I12" s="109"/>
      <c r="J12" s="107" t="s">
        <v>3774</v>
      </c>
      <c r="K12" s="109"/>
      <c r="L12" s="107" t="s">
        <v>3769</v>
      </c>
      <c r="M12" s="109"/>
      <c r="N12" s="107" t="s">
        <v>3774</v>
      </c>
      <c r="O12" s="109"/>
      <c r="P12" s="107" t="s">
        <v>3769</v>
      </c>
      <c r="Q12" s="109"/>
      <c r="R12" s="107" t="s">
        <v>3774</v>
      </c>
      <c r="S12" s="109"/>
      <c r="T12" s="107" t="s">
        <v>3769</v>
      </c>
      <c r="U12" s="109"/>
      <c r="V12" s="107" t="s">
        <v>3774</v>
      </c>
      <c r="W12" s="109"/>
      <c r="X12" s="107" t="s">
        <v>3769</v>
      </c>
      <c r="Y12" s="109"/>
      <c r="Z12" s="107" t="s">
        <v>3774</v>
      </c>
      <c r="AA12" s="109"/>
      <c r="AB12" s="107" t="s">
        <v>3769</v>
      </c>
      <c r="AC12" s="109"/>
      <c r="AD12" s="107" t="s">
        <v>3774</v>
      </c>
      <c r="AE12" s="109"/>
      <c r="AF12" s="99"/>
    </row>
    <row r="13" spans="2:59" ht="60">
      <c r="D13" s="55" t="s">
        <v>3796</v>
      </c>
      <c r="E13" s="55" t="s">
        <v>3773</v>
      </c>
      <c r="F13" s="55" t="s">
        <v>3775</v>
      </c>
      <c r="G13" s="55" t="s">
        <v>3776</v>
      </c>
      <c r="H13" s="55" t="s">
        <v>3796</v>
      </c>
      <c r="I13" s="55" t="s">
        <v>3773</v>
      </c>
      <c r="J13" s="55" t="s">
        <v>3775</v>
      </c>
      <c r="K13" s="55" t="s">
        <v>3776</v>
      </c>
      <c r="L13" s="55" t="s">
        <v>3796</v>
      </c>
      <c r="M13" s="55" t="s">
        <v>3773</v>
      </c>
      <c r="N13" s="55" t="s">
        <v>3775</v>
      </c>
      <c r="O13" s="55" t="s">
        <v>3776</v>
      </c>
      <c r="P13" s="55" t="s">
        <v>3796</v>
      </c>
      <c r="Q13" s="55" t="s">
        <v>3773</v>
      </c>
      <c r="R13" s="55" t="s">
        <v>3775</v>
      </c>
      <c r="S13" s="55" t="s">
        <v>3776</v>
      </c>
      <c r="T13" s="55" t="s">
        <v>3796</v>
      </c>
      <c r="U13" s="55" t="s">
        <v>3773</v>
      </c>
      <c r="V13" s="55" t="s">
        <v>3775</v>
      </c>
      <c r="W13" s="55" t="s">
        <v>3776</v>
      </c>
      <c r="X13" s="55" t="s">
        <v>3796</v>
      </c>
      <c r="Y13" s="55" t="s">
        <v>3773</v>
      </c>
      <c r="Z13" s="55" t="s">
        <v>3775</v>
      </c>
      <c r="AA13" s="55" t="s">
        <v>3776</v>
      </c>
      <c r="AB13" s="55" t="s">
        <v>3796</v>
      </c>
      <c r="AC13" s="55" t="s">
        <v>3773</v>
      </c>
      <c r="AD13" s="55" t="s">
        <v>3775</v>
      </c>
      <c r="AE13" s="55" t="s">
        <v>3776</v>
      </c>
      <c r="AF13" s="100"/>
    </row>
    <row r="14" spans="2:59">
      <c r="D14" s="45" t="s">
        <v>2879</v>
      </c>
      <c r="E14" s="45" t="s">
        <v>3219</v>
      </c>
      <c r="F14" s="45" t="s">
        <v>3225</v>
      </c>
      <c r="G14" s="45" t="s">
        <v>3223</v>
      </c>
      <c r="H14" s="45" t="s">
        <v>3229</v>
      </c>
      <c r="I14" s="45" t="s">
        <v>3231</v>
      </c>
      <c r="J14" s="45" t="s">
        <v>3233</v>
      </c>
      <c r="K14" s="45" t="s">
        <v>3234</v>
      </c>
      <c r="L14" s="45" t="s">
        <v>3236</v>
      </c>
      <c r="M14" s="45" t="s">
        <v>3239</v>
      </c>
      <c r="N14" s="45" t="s">
        <v>3241</v>
      </c>
      <c r="O14" s="45" t="s">
        <v>3243</v>
      </c>
      <c r="P14" s="45" t="s">
        <v>3375</v>
      </c>
      <c r="Q14" s="45" t="s">
        <v>3475</v>
      </c>
      <c r="R14" s="45" t="s">
        <v>3477</v>
      </c>
      <c r="S14" s="45" t="s">
        <v>3479</v>
      </c>
      <c r="T14" s="45" t="s">
        <v>3594</v>
      </c>
      <c r="U14" s="45" t="s">
        <v>3596</v>
      </c>
      <c r="V14" s="45" t="s">
        <v>3599</v>
      </c>
      <c r="W14" s="45" t="s">
        <v>3481</v>
      </c>
      <c r="X14" s="45" t="s">
        <v>3508</v>
      </c>
      <c r="Y14" s="45" t="s">
        <v>3509</v>
      </c>
      <c r="Z14" s="45" t="s">
        <v>3511</v>
      </c>
      <c r="AA14" s="45" t="s">
        <v>3513</v>
      </c>
      <c r="AB14" s="45" t="s">
        <v>3514</v>
      </c>
      <c r="AC14" s="45" t="s">
        <v>3515</v>
      </c>
      <c r="AD14" s="45" t="s">
        <v>3517</v>
      </c>
      <c r="AE14" s="45" t="s">
        <v>3518</v>
      </c>
      <c r="AF14" s="45" t="s">
        <v>3608</v>
      </c>
      <c r="BF14" s="13" t="str">
        <f>Show!$B$74&amp;"S.13.01.01.01 Rows {"&amp;COLUMN($C$1)&amp;"}"&amp;"@ForceFilingCode:true"</f>
        <v>!S.13.01.01.01 Rows {3}@ForceFilingCode:true</v>
      </c>
      <c r="BG14" s="13" t="str">
        <f>Show!$B$74&amp;"S.13.01.01.01 Columns {"&amp;COLUMN($D$1)&amp;"}"</f>
        <v>!S.13.01.01.01 Columns {4}</v>
      </c>
    </row>
    <row r="15" spans="2:59">
      <c r="B15" s="43" t="s">
        <v>2880</v>
      </c>
      <c r="C15" s="44" t="s">
        <v>2878</v>
      </c>
      <c r="D15" s="58"/>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59"/>
    </row>
    <row r="16" spans="2:59">
      <c r="B16" s="47" t="s">
        <v>3800</v>
      </c>
      <c r="C16" s="44" t="s">
        <v>2878</v>
      </c>
      <c r="D16" s="5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57"/>
    </row>
    <row r="17" spans="2:32">
      <c r="B17" s="49" t="s">
        <v>3801</v>
      </c>
      <c r="C17" s="41" t="s">
        <v>2883</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row>
    <row r="18" spans="2:32">
      <c r="B18" s="49" t="s">
        <v>3802</v>
      </c>
      <c r="C18" s="41" t="s">
        <v>2885</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row>
    <row r="19" spans="2:32">
      <c r="B19" s="49" t="s">
        <v>3803</v>
      </c>
      <c r="C19" s="41" t="s">
        <v>2887</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row>
    <row r="20" spans="2:32">
      <c r="B20" s="49" t="s">
        <v>3804</v>
      </c>
      <c r="C20" s="41" t="s">
        <v>2889</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row>
    <row r="21" spans="2:32">
      <c r="B21" s="49" t="s">
        <v>3805</v>
      </c>
      <c r="C21" s="41" t="s">
        <v>3078</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row>
    <row r="22" spans="2:32">
      <c r="B22" s="49" t="s">
        <v>3806</v>
      </c>
      <c r="C22" s="41" t="s">
        <v>2891</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row>
    <row r="23" spans="2:32">
      <c r="B23" s="49" t="s">
        <v>3807</v>
      </c>
      <c r="C23" s="41" t="s">
        <v>2893</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row>
    <row r="24" spans="2:32">
      <c r="B24" s="49" t="s">
        <v>3808</v>
      </c>
      <c r="C24" s="41" t="s">
        <v>2895</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row>
    <row r="25" spans="2:32">
      <c r="B25" s="49" t="s">
        <v>3809</v>
      </c>
      <c r="C25" s="41" t="s">
        <v>2897</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row>
    <row r="26" spans="2:32">
      <c r="B26" s="49" t="s">
        <v>22</v>
      </c>
      <c r="C26" s="41" t="s">
        <v>2899</v>
      </c>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row>
    <row r="27" spans="2:32">
      <c r="B27" s="49" t="s">
        <v>28</v>
      </c>
      <c r="C27" s="41" t="s">
        <v>2901</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row>
    <row r="28" spans="2:32">
      <c r="B28" s="49" t="s">
        <v>31</v>
      </c>
      <c r="C28" s="41" t="s">
        <v>2903</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row>
    <row r="29" spans="2:32">
      <c r="B29" s="49" t="s">
        <v>37</v>
      </c>
      <c r="C29" s="41" t="s">
        <v>2905</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row>
    <row r="30" spans="2:32">
      <c r="B30" s="49" t="s">
        <v>40</v>
      </c>
      <c r="C30" s="41" t="s">
        <v>2907</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row>
    <row r="31" spans="2:32">
      <c r="B31" s="49" t="s">
        <v>44</v>
      </c>
      <c r="C31" s="41" t="s">
        <v>2909</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row>
    <row r="32" spans="2:32">
      <c r="B32" s="49" t="s">
        <v>47</v>
      </c>
      <c r="C32" s="41" t="s">
        <v>2911</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row>
    <row r="33" spans="2:32">
      <c r="B33" s="49" t="s">
        <v>51</v>
      </c>
      <c r="C33" s="41" t="s">
        <v>2913</v>
      </c>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row>
    <row r="34" spans="2:32">
      <c r="B34" s="49" t="s">
        <v>54</v>
      </c>
      <c r="C34" s="41" t="s">
        <v>2915</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row>
    <row r="35" spans="2:32">
      <c r="B35" s="49" t="s">
        <v>58</v>
      </c>
      <c r="C35" s="41" t="s">
        <v>2917</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row>
    <row r="36" spans="2:32">
      <c r="B36" s="49" t="s">
        <v>61</v>
      </c>
      <c r="C36" s="41" t="s">
        <v>2919</v>
      </c>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row>
    <row r="37" spans="2:32">
      <c r="B37" s="49" t="s">
        <v>3810</v>
      </c>
      <c r="C37" s="41" t="s">
        <v>2921</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row>
    <row r="38" spans="2:32">
      <c r="B38" s="49" t="s">
        <v>3811</v>
      </c>
      <c r="C38" s="41" t="s">
        <v>2923</v>
      </c>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row>
    <row r="39" spans="2:32">
      <c r="B39" s="49" t="s">
        <v>3812</v>
      </c>
      <c r="C39" s="41" t="s">
        <v>2925</v>
      </c>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row>
    <row r="40" spans="2:32">
      <c r="B40" s="49" t="s">
        <v>3813</v>
      </c>
      <c r="C40" s="41" t="s">
        <v>2927</v>
      </c>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row>
    <row r="41" spans="2:32">
      <c r="B41" s="49" t="s">
        <v>3814</v>
      </c>
      <c r="C41" s="41" t="s">
        <v>2929</v>
      </c>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row>
    <row r="42" spans="2:32">
      <c r="B42" s="49" t="s">
        <v>3815</v>
      </c>
      <c r="C42" s="41" t="s">
        <v>2931</v>
      </c>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row>
    <row r="43" spans="2:32">
      <c r="B43" s="49" t="s">
        <v>3816</v>
      </c>
      <c r="C43" s="41" t="s">
        <v>2933</v>
      </c>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row>
    <row r="44" spans="2:32">
      <c r="B44" s="49" t="s">
        <v>3817</v>
      </c>
      <c r="C44" s="41" t="s">
        <v>2935</v>
      </c>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row>
    <row r="45" spans="2:32">
      <c r="B45" s="49" t="s">
        <v>3818</v>
      </c>
      <c r="C45" s="41" t="s">
        <v>2937</v>
      </c>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row>
    <row r="46" spans="2:32">
      <c r="B46" s="49" t="s">
        <v>3819</v>
      </c>
      <c r="C46" s="41" t="s">
        <v>2939</v>
      </c>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row>
    <row r="47" spans="2:32">
      <c r="B47" s="49" t="s">
        <v>3820</v>
      </c>
      <c r="C47" s="41" t="s">
        <v>2941</v>
      </c>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row>
    <row r="48" spans="2:32">
      <c r="B48" s="49" t="s">
        <v>3821</v>
      </c>
      <c r="C48" s="41" t="s">
        <v>2943</v>
      </c>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row>
    <row r="49" spans="2:59">
      <c r="B49" s="49" t="s">
        <v>3822</v>
      </c>
      <c r="C49" s="41" t="s">
        <v>2945</v>
      </c>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row>
    <row r="51" spans="2:59">
      <c r="BF51" s="13" t="str">
        <f>Show!$B$74&amp;Show!$B$74&amp;"S.13.01.01.01 Rows {"&amp;COLUMN($C$1)&amp;"}"</f>
        <v>!!S.13.01.01.01 Rows {3}</v>
      </c>
      <c r="BG51" s="13" t="str">
        <f>Show!$B$74&amp;Show!$B$74&amp;"S.13.01.01.01 Columns {"&amp;COLUMN($AF$1)&amp;"}"</f>
        <v>!!S.13.01.01.01 Columns {32}</v>
      </c>
    </row>
  </sheetData>
  <sheetProtection sheet="1" objects="1" scenarios="1"/>
  <mergeCells count="25">
    <mergeCell ref="X12:Y12"/>
    <mergeCell ref="Z12:AA12"/>
    <mergeCell ref="AB12:AC12"/>
    <mergeCell ref="AD12:AE12"/>
    <mergeCell ref="N12:O12"/>
    <mergeCell ref="P12:Q12"/>
    <mergeCell ref="R12:S12"/>
    <mergeCell ref="T12:U12"/>
    <mergeCell ref="V12:W12"/>
    <mergeCell ref="B2:O2"/>
    <mergeCell ref="B5:L5"/>
    <mergeCell ref="D9:AF10"/>
    <mergeCell ref="D11:G11"/>
    <mergeCell ref="H11:K11"/>
    <mergeCell ref="L11:O11"/>
    <mergeCell ref="P11:S11"/>
    <mergeCell ref="T11:W11"/>
    <mergeCell ref="X11:AA11"/>
    <mergeCell ref="AB11:AE11"/>
    <mergeCell ref="AF11:AF13"/>
    <mergeCell ref="D12:E12"/>
    <mergeCell ref="F12:G12"/>
    <mergeCell ref="H12:I12"/>
    <mergeCell ref="J12:K12"/>
    <mergeCell ref="L12:M12"/>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647F4-3A8E-49E4-9976-21602C0DBA67}">
  <sheetPr codeName="Blad79"/>
  <dimension ref="B2:U51"/>
  <sheetViews>
    <sheetView showGridLines="0" workbookViewId="0"/>
  </sheetViews>
  <sheetFormatPr defaultRowHeight="15"/>
  <cols>
    <col min="2" max="2" width="17.42578125" bestFit="1" customWidth="1"/>
    <col min="3" max="6" width="15.7109375" customWidth="1"/>
    <col min="7" max="8" width="40.7109375" customWidth="1"/>
    <col min="9" max="9" width="15.7109375" customWidth="1"/>
    <col min="10" max="10" width="40.7109375" customWidth="1"/>
  </cols>
  <sheetData>
    <row r="2" spans="2:21" ht="23.25">
      <c r="B2" s="95" t="s">
        <v>623</v>
      </c>
      <c r="C2" s="96"/>
      <c r="D2" s="96"/>
      <c r="E2" s="96"/>
      <c r="F2" s="96"/>
      <c r="G2" s="96"/>
      <c r="H2" s="96"/>
      <c r="I2" s="96"/>
      <c r="J2" s="96"/>
      <c r="K2" s="96"/>
      <c r="L2" s="96"/>
      <c r="M2" s="96"/>
      <c r="N2" s="96"/>
      <c r="O2" s="96"/>
    </row>
    <row r="5" spans="2:21" ht="18.75">
      <c r="B5" s="97" t="s">
        <v>3823</v>
      </c>
      <c r="C5" s="96"/>
      <c r="D5" s="96"/>
      <c r="E5" s="96"/>
      <c r="F5" s="96"/>
      <c r="G5" s="96"/>
      <c r="H5" s="96"/>
      <c r="I5" s="96"/>
      <c r="J5" s="96"/>
      <c r="K5" s="96"/>
      <c r="L5" s="96"/>
    </row>
    <row r="9" spans="2:21">
      <c r="B9" s="98" t="s">
        <v>3374</v>
      </c>
      <c r="C9" s="98" t="s">
        <v>3824</v>
      </c>
      <c r="D9" s="98" t="s">
        <v>3322</v>
      </c>
      <c r="E9" s="101" t="s">
        <v>2877</v>
      </c>
      <c r="F9" s="102"/>
      <c r="G9" s="102"/>
      <c r="H9" s="102"/>
      <c r="I9" s="102"/>
      <c r="J9" s="103"/>
    </row>
    <row r="10" spans="2:21">
      <c r="B10" s="99"/>
      <c r="C10" s="99"/>
      <c r="D10" s="99"/>
      <c r="E10" s="104"/>
      <c r="F10" s="105"/>
      <c r="G10" s="105"/>
      <c r="H10" s="105"/>
      <c r="I10" s="105"/>
      <c r="J10" s="106"/>
    </row>
    <row r="11" spans="2:21" ht="45">
      <c r="B11" s="100"/>
      <c r="C11" s="100"/>
      <c r="D11" s="100"/>
      <c r="E11" s="55" t="s">
        <v>3825</v>
      </c>
      <c r="F11" s="55" t="s">
        <v>3826</v>
      </c>
      <c r="G11" s="55" t="s">
        <v>3827</v>
      </c>
      <c r="H11" s="55" t="s">
        <v>3828</v>
      </c>
      <c r="I11" s="55" t="s">
        <v>3829</v>
      </c>
      <c r="J11" s="55" t="s">
        <v>56</v>
      </c>
    </row>
    <row r="12" spans="2:21">
      <c r="B12" s="42" t="s">
        <v>3513</v>
      </c>
      <c r="C12" s="42" t="s">
        <v>2879</v>
      </c>
      <c r="D12" s="42" t="s">
        <v>3219</v>
      </c>
      <c r="E12" s="42" t="s">
        <v>3225</v>
      </c>
      <c r="F12" s="42" t="s">
        <v>3223</v>
      </c>
      <c r="G12" s="42" t="s">
        <v>3229</v>
      </c>
      <c r="H12" s="42" t="s">
        <v>3231</v>
      </c>
      <c r="I12" s="42" t="s">
        <v>3233</v>
      </c>
      <c r="J12" s="42" t="s">
        <v>3234</v>
      </c>
      <c r="T12" s="13" t="str">
        <f>Show!$B$75&amp;"S.14.01.01.01 Rows {"&amp;COLUMN($B$1)&amp;"}"&amp;"@ForceFilingCode:true"</f>
        <v>!S.14.01.01.01 Rows {2}@ForceFilingCode:true</v>
      </c>
      <c r="U12" s="13" t="str">
        <f>Show!$B$75&amp;"S.14.01.01.01 Columns {"&amp;COLUMN($B$1)&amp;"}"</f>
        <v>!S.14.01.01.01 Columns {2}</v>
      </c>
    </row>
    <row r="13" spans="2:21">
      <c r="B13" s="50"/>
      <c r="C13" s="50"/>
      <c r="D13" s="50"/>
      <c r="E13" s="51"/>
      <c r="F13" s="50"/>
      <c r="G13" s="50"/>
      <c r="H13" s="60"/>
      <c r="I13" s="60"/>
      <c r="J13" s="51"/>
    </row>
    <row r="15" spans="2:21">
      <c r="T15" s="13" t="str">
        <f>Show!$B$75&amp;Show!$B$75&amp;"S.14.01.01.01 Rows {"&amp;COLUMN($B$1)&amp;"}"</f>
        <v>!!S.14.01.01.01 Rows {2}</v>
      </c>
      <c r="U15" s="13" t="str">
        <f>Show!$B$75&amp;Show!$B$75&amp;"S.14.01.01.01 Columns {"&amp;COLUMN($J$1)&amp;"}"</f>
        <v>!!S.14.01.01.01 Columns {10}</v>
      </c>
    </row>
    <row r="17" spans="2:21" ht="18.75">
      <c r="B17" s="97" t="s">
        <v>3830</v>
      </c>
      <c r="C17" s="96"/>
      <c r="D17" s="96"/>
      <c r="E17" s="96"/>
      <c r="F17" s="96"/>
      <c r="G17" s="96"/>
      <c r="H17" s="96"/>
      <c r="I17" s="96"/>
      <c r="J17" s="96"/>
      <c r="K17" s="96"/>
      <c r="L17" s="96"/>
    </row>
    <row r="21" spans="2:21">
      <c r="B21" s="98" t="s">
        <v>3824</v>
      </c>
      <c r="C21" s="101" t="s">
        <v>2877</v>
      </c>
      <c r="D21" s="102"/>
      <c r="E21" s="102"/>
      <c r="F21" s="102"/>
      <c r="G21" s="102"/>
      <c r="H21" s="102"/>
      <c r="I21" s="103"/>
    </row>
    <row r="22" spans="2:21">
      <c r="B22" s="99"/>
      <c r="C22" s="104"/>
      <c r="D22" s="105"/>
      <c r="E22" s="105"/>
      <c r="F22" s="105"/>
      <c r="G22" s="105"/>
      <c r="H22" s="105"/>
      <c r="I22" s="106"/>
    </row>
    <row r="23" spans="2:21" ht="45">
      <c r="B23" s="100"/>
      <c r="C23" s="55" t="s">
        <v>3831</v>
      </c>
      <c r="D23" s="55" t="s">
        <v>3832</v>
      </c>
      <c r="E23" s="55" t="s">
        <v>3833</v>
      </c>
      <c r="F23" s="55" t="s">
        <v>3834</v>
      </c>
      <c r="G23" s="55" t="s">
        <v>3835</v>
      </c>
      <c r="H23" s="55" t="s">
        <v>3836</v>
      </c>
      <c r="I23" s="55" t="s">
        <v>3837</v>
      </c>
    </row>
    <row r="24" spans="2:21">
      <c r="B24" s="42" t="s">
        <v>3236</v>
      </c>
      <c r="C24" s="42" t="s">
        <v>3239</v>
      </c>
      <c r="D24" s="42" t="s">
        <v>3241</v>
      </c>
      <c r="E24" s="42" t="s">
        <v>3243</v>
      </c>
      <c r="F24" s="42" t="s">
        <v>3375</v>
      </c>
      <c r="G24" s="42" t="s">
        <v>3475</v>
      </c>
      <c r="H24" s="42" t="s">
        <v>3477</v>
      </c>
      <c r="I24" s="42" t="s">
        <v>3479</v>
      </c>
      <c r="T24" s="13" t="str">
        <f>Show!$B$75&amp;"S.14.01.01.02 Rows {"&amp;COLUMN($B$1)&amp;"}"&amp;"@ForceFilingCode:true"</f>
        <v>!S.14.01.01.02 Rows {2}@ForceFilingCode:true</v>
      </c>
      <c r="U24" s="13" t="str">
        <f>Show!$B$75&amp;"S.14.01.01.02 Columns {"&amp;COLUMN($B$1)&amp;"}"</f>
        <v>!S.14.01.01.02 Columns {2}</v>
      </c>
    </row>
    <row r="25" spans="2:21">
      <c r="B25" s="50"/>
      <c r="C25" s="51"/>
      <c r="D25" s="51"/>
      <c r="E25" s="51"/>
      <c r="F25" s="51"/>
      <c r="G25" s="51"/>
      <c r="H25" s="51"/>
      <c r="I25" s="50"/>
    </row>
    <row r="27" spans="2:21">
      <c r="T27" s="13" t="str">
        <f>Show!$B$75&amp;Show!$B$75&amp;"S.14.01.01.02 Rows {"&amp;COLUMN($B$1)&amp;"}"</f>
        <v>!!S.14.01.01.02 Rows {2}</v>
      </c>
      <c r="U27" s="13" t="str">
        <f>Show!$B$75&amp;Show!$B$75&amp;"S.14.01.01.02 Columns {"&amp;COLUMN($I$1)&amp;"}"</f>
        <v>!!S.14.01.01.02 Columns {9}</v>
      </c>
    </row>
    <row r="29" spans="2:21" ht="18.75">
      <c r="B29" s="97" t="s">
        <v>3838</v>
      </c>
      <c r="C29" s="96"/>
      <c r="D29" s="96"/>
      <c r="E29" s="96"/>
      <c r="F29" s="96"/>
      <c r="G29" s="96"/>
      <c r="H29" s="96"/>
      <c r="I29" s="96"/>
      <c r="J29" s="96"/>
      <c r="K29" s="96"/>
      <c r="L29" s="96"/>
    </row>
    <row r="33" spans="2:21">
      <c r="B33" s="98" t="s">
        <v>3839</v>
      </c>
      <c r="C33" s="101" t="s">
        <v>2877</v>
      </c>
      <c r="D33" s="102"/>
      <c r="E33" s="102"/>
      <c r="F33" s="103"/>
    </row>
    <row r="34" spans="2:21">
      <c r="B34" s="99"/>
      <c r="C34" s="104"/>
      <c r="D34" s="105"/>
      <c r="E34" s="105"/>
      <c r="F34" s="106"/>
    </row>
    <row r="35" spans="2:21" ht="75">
      <c r="B35" s="100"/>
      <c r="C35" s="55" t="s">
        <v>3840</v>
      </c>
      <c r="D35" s="55" t="s">
        <v>3841</v>
      </c>
      <c r="E35" s="55" t="s">
        <v>3778</v>
      </c>
      <c r="F35" s="55" t="s">
        <v>3842</v>
      </c>
    </row>
    <row r="36" spans="2:21">
      <c r="B36" s="42" t="s">
        <v>3594</v>
      </c>
      <c r="C36" s="42" t="s">
        <v>3596</v>
      </c>
      <c r="D36" s="42" t="s">
        <v>3599</v>
      </c>
      <c r="E36" s="42" t="s">
        <v>3481</v>
      </c>
      <c r="F36" s="42" t="s">
        <v>3515</v>
      </c>
      <c r="T36" s="13" t="str">
        <f>Show!$B$75&amp;"S.14.01.01.03 Rows {"&amp;COLUMN($B$1)&amp;"}"&amp;"@ForceFilingCode:true"</f>
        <v>!S.14.01.01.03 Rows {2}@ForceFilingCode:true</v>
      </c>
      <c r="U36" s="13" t="str">
        <f>Show!$B$75&amp;"S.14.01.01.03 Columns {"&amp;COLUMN($B$1)&amp;"}"</f>
        <v>!S.14.01.01.03 Columns {2}</v>
      </c>
    </row>
    <row r="37" spans="2:21">
      <c r="B37" s="50"/>
      <c r="C37" s="60"/>
      <c r="D37" s="60"/>
      <c r="E37" s="60"/>
      <c r="F37" s="70"/>
    </row>
    <row r="39" spans="2:21">
      <c r="T39" s="13" t="str">
        <f>Show!$B$75&amp;Show!$B$75&amp;"S.14.01.01.03 Rows {"&amp;COLUMN($B$1)&amp;"}"</f>
        <v>!!S.14.01.01.03 Rows {2}</v>
      </c>
      <c r="U39" s="13" t="str">
        <f>Show!$B$75&amp;Show!$B$75&amp;"S.14.01.01.03 Columns {"&amp;COLUMN($F$1)&amp;"}"</f>
        <v>!!S.14.01.01.03 Columns {6}</v>
      </c>
    </row>
    <row r="41" spans="2:21" ht="18.75">
      <c r="B41" s="97" t="s">
        <v>3843</v>
      </c>
      <c r="C41" s="96"/>
      <c r="D41" s="96"/>
      <c r="E41" s="96"/>
      <c r="F41" s="96"/>
      <c r="G41" s="96"/>
      <c r="H41" s="96"/>
      <c r="I41" s="96"/>
      <c r="J41" s="96"/>
      <c r="K41" s="96"/>
      <c r="L41" s="96"/>
    </row>
    <row r="45" spans="2:21">
      <c r="B45" s="98" t="s">
        <v>3824</v>
      </c>
      <c r="C45" s="98" t="s">
        <v>3839</v>
      </c>
      <c r="D45" s="98" t="s">
        <v>2877</v>
      </c>
    </row>
    <row r="46" spans="2:21">
      <c r="B46" s="99"/>
      <c r="C46" s="99"/>
      <c r="D46" s="100"/>
    </row>
    <row r="47" spans="2:21">
      <c r="B47" s="100"/>
      <c r="C47" s="100"/>
      <c r="D47" s="55" t="s">
        <v>3844</v>
      </c>
    </row>
    <row r="48" spans="2:21">
      <c r="B48" s="42" t="s">
        <v>3509</v>
      </c>
      <c r="C48" s="42" t="s">
        <v>3511</v>
      </c>
      <c r="D48" s="42" t="s">
        <v>3514</v>
      </c>
      <c r="T48" s="13" t="str">
        <f>Show!$B$75&amp;"S.14.01.01.04 Rows {"&amp;COLUMN($B$1)&amp;"}"&amp;"@ForceFilingCode:true"</f>
        <v>!S.14.01.01.04 Rows {2}@ForceFilingCode:true</v>
      </c>
      <c r="U48" s="13" t="str">
        <f>Show!$B$75&amp;"S.14.01.01.04 Columns {"&amp;COLUMN($B$1)&amp;"}"</f>
        <v>!S.14.01.01.04 Columns {2}</v>
      </c>
    </row>
    <row r="49" spans="2:21">
      <c r="B49" s="50"/>
      <c r="C49" s="50"/>
      <c r="D49" s="50"/>
    </row>
    <row r="51" spans="2:21">
      <c r="T51" s="13" t="str">
        <f>Show!$B$75&amp;Show!$B$75&amp;"S.14.01.01.04 Rows {"&amp;COLUMN($B$1)&amp;"}"</f>
        <v>!!S.14.01.01.04 Rows {2}</v>
      </c>
      <c r="U51" s="13" t="str">
        <f>Show!$B$75&amp;Show!$B$75&amp;"S.14.01.01.04 Columns {"&amp;COLUMN($D$1)&amp;"}"</f>
        <v>!!S.14.01.01.04 Columns {4}</v>
      </c>
    </row>
  </sheetData>
  <sheetProtection sheet="1" objects="1" scenarios="1"/>
  <mergeCells count="16">
    <mergeCell ref="B41:L41"/>
    <mergeCell ref="B45:B47"/>
    <mergeCell ref="C45:C47"/>
    <mergeCell ref="D45:D46"/>
    <mergeCell ref="B17:L17"/>
    <mergeCell ref="B21:B23"/>
    <mergeCell ref="C21:I22"/>
    <mergeCell ref="B29:L29"/>
    <mergeCell ref="B33:B35"/>
    <mergeCell ref="C33:F34"/>
    <mergeCell ref="B2:O2"/>
    <mergeCell ref="B5:L5"/>
    <mergeCell ref="B9:B11"/>
    <mergeCell ref="C9:C11"/>
    <mergeCell ref="D9:D11"/>
    <mergeCell ref="E9:J10"/>
  </mergeCells>
  <dataValidations count="5">
    <dataValidation type="list" errorStyle="warning" allowBlank="1" showInputMessage="1" showErrorMessage="1" sqref="E13" xr:uid="{007B618F-0D2E-429F-809D-094C63268A2F}">
      <formula1>hier_LB_50</formula1>
    </dataValidation>
    <dataValidation type="list" errorStyle="warning" allowBlank="1" showInputMessage="1" showErrorMessage="1" sqref="C25" xr:uid="{5EDC80E5-8F58-4D17-80B6-19F98350BC77}">
      <formula1>hier_LB_48</formula1>
    </dataValidation>
    <dataValidation type="list" errorStyle="warning" allowBlank="1" showInputMessage="1" showErrorMessage="1" sqref="F25" xr:uid="{BDE1ADB8-5D68-4723-B2F8-BA1E812768F4}">
      <formula1>hier_LB_19</formula1>
    </dataValidation>
    <dataValidation type="list" errorStyle="warning" allowBlank="1" showInputMessage="1" showErrorMessage="1" sqref="G25" xr:uid="{0F13B65A-E513-4B33-94CF-ABCAD534A524}">
      <formula1>hier_LB_28</formula1>
    </dataValidation>
    <dataValidation type="list" errorStyle="warning" allowBlank="1" showInputMessage="1" showErrorMessage="1" sqref="H25" xr:uid="{C436EF21-D04E-4E3F-A583-B6368D3DF4F9}">
      <formula1>hier_LB_22</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5D96-9F64-4425-AAC2-7D61B82227F1}">
  <sheetPr codeName="Blad8"/>
  <dimension ref="B2:O63"/>
  <sheetViews>
    <sheetView showGridLines="0" topLeftCell="A34" workbookViewId="0"/>
  </sheetViews>
  <sheetFormatPr defaultRowHeight="15"/>
  <cols>
    <col min="2" max="2" width="85.28515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3029</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IF(COUNTIF(D:D,"Reported")&gt;0,Show!$B$4,"!")&amp;"S.01.01.04.01 Rows {"&amp;COLUMN($C$1)&amp;"}"&amp;"@ForceFilingCode:true"</f>
        <v>!S.01.01.04.01 Rows {3}@ForceFilingCode:true</v>
      </c>
      <c r="J13" s="13" t="str">
        <f>IF(COUNTIF(D:D,"Reported")&gt;0,Show!$B$4,"!")&amp;"S.01.01.04.01 Columns {"&amp;COLUMN($D$1)&amp;"}"</f>
        <v>!S.01.01.04.01 Columns {4}</v>
      </c>
    </row>
    <row r="14" spans="2:15">
      <c r="B14" s="43" t="s">
        <v>2880</v>
      </c>
      <c r="C14" s="44" t="s">
        <v>2878</v>
      </c>
      <c r="D14" s="48"/>
    </row>
    <row r="15" spans="2:15">
      <c r="B15" s="47" t="s">
        <v>2881</v>
      </c>
      <c r="C15" s="44" t="s">
        <v>2878</v>
      </c>
      <c r="D15" s="46"/>
    </row>
    <row r="16" spans="2:15">
      <c r="B16" s="52" t="s">
        <v>3030</v>
      </c>
      <c r="C16" s="41" t="s">
        <v>2883</v>
      </c>
      <c r="D16" s="51"/>
    </row>
    <row r="17" spans="2:4">
      <c r="B17" s="52" t="s">
        <v>3031</v>
      </c>
      <c r="C17" s="41" t="s">
        <v>2885</v>
      </c>
      <c r="D17" s="51"/>
    </row>
    <row r="18" spans="2:4">
      <c r="B18" s="52" t="s">
        <v>2886</v>
      </c>
      <c r="C18" s="41" t="s">
        <v>2887</v>
      </c>
      <c r="D18" s="51"/>
    </row>
    <row r="19" spans="2:4">
      <c r="B19" s="52" t="s">
        <v>2888</v>
      </c>
      <c r="C19" s="41" t="s">
        <v>2889</v>
      </c>
      <c r="D19" s="51"/>
    </row>
    <row r="20" spans="2:4">
      <c r="B20" s="52" t="s">
        <v>3032</v>
      </c>
      <c r="C20" s="41" t="s">
        <v>2891</v>
      </c>
      <c r="D20" s="51"/>
    </row>
    <row r="21" spans="2:4">
      <c r="B21" s="52" t="s">
        <v>3033</v>
      </c>
      <c r="C21" s="41" t="s">
        <v>2893</v>
      </c>
      <c r="D21" s="51"/>
    </row>
    <row r="22" spans="2:4">
      <c r="B22" s="52" t="s">
        <v>3034</v>
      </c>
      <c r="C22" s="41" t="s">
        <v>2895</v>
      </c>
      <c r="D22" s="51"/>
    </row>
    <row r="23" spans="2:4">
      <c r="B23" s="52" t="s">
        <v>2900</v>
      </c>
      <c r="C23" s="41" t="s">
        <v>2901</v>
      </c>
      <c r="D23" s="51"/>
    </row>
    <row r="24" spans="2:4">
      <c r="B24" s="52" t="s">
        <v>2902</v>
      </c>
      <c r="C24" s="41" t="s">
        <v>2903</v>
      </c>
      <c r="D24" s="51"/>
    </row>
    <row r="25" spans="2:4">
      <c r="B25" s="52" t="s">
        <v>2904</v>
      </c>
      <c r="C25" s="41" t="s">
        <v>2905</v>
      </c>
      <c r="D25" s="51"/>
    </row>
    <row r="26" spans="2:4">
      <c r="B26" s="52" t="s">
        <v>3035</v>
      </c>
      <c r="C26" s="41" t="s">
        <v>2907</v>
      </c>
      <c r="D26" s="51"/>
    </row>
    <row r="27" spans="2:4">
      <c r="B27" s="52" t="s">
        <v>3036</v>
      </c>
      <c r="C27" s="41" t="s">
        <v>2909</v>
      </c>
      <c r="D27" s="51"/>
    </row>
    <row r="28" spans="2:4">
      <c r="B28" s="52" t="s">
        <v>3037</v>
      </c>
      <c r="C28" s="41" t="s">
        <v>2911</v>
      </c>
      <c r="D28" s="51"/>
    </row>
    <row r="29" spans="2:4">
      <c r="B29" s="52" t="s">
        <v>3038</v>
      </c>
      <c r="C29" s="41" t="s">
        <v>2913</v>
      </c>
      <c r="D29" s="51"/>
    </row>
    <row r="30" spans="2:4">
      <c r="B30" s="52" t="s">
        <v>3039</v>
      </c>
      <c r="C30" s="41" t="s">
        <v>2915</v>
      </c>
      <c r="D30" s="51"/>
    </row>
    <row r="31" spans="2:4">
      <c r="B31" s="52" t="s">
        <v>3040</v>
      </c>
      <c r="C31" s="41" t="s">
        <v>2917</v>
      </c>
      <c r="D31" s="51"/>
    </row>
    <row r="32" spans="2:4">
      <c r="B32" s="52" t="s">
        <v>3041</v>
      </c>
      <c r="C32" s="41" t="s">
        <v>2919</v>
      </c>
      <c r="D32" s="51"/>
    </row>
    <row r="33" spans="2:4">
      <c r="B33" s="52" t="s">
        <v>3042</v>
      </c>
      <c r="C33" s="41" t="s">
        <v>2921</v>
      </c>
      <c r="D33" s="51"/>
    </row>
    <row r="34" spans="2:4">
      <c r="B34" s="52" t="s">
        <v>3043</v>
      </c>
      <c r="C34" s="41" t="s">
        <v>2931</v>
      </c>
      <c r="D34" s="51"/>
    </row>
    <row r="35" spans="2:4">
      <c r="B35" s="52" t="s">
        <v>3044</v>
      </c>
      <c r="C35" s="41" t="s">
        <v>2933</v>
      </c>
      <c r="D35" s="51"/>
    </row>
    <row r="36" spans="2:4">
      <c r="B36" s="52" t="s">
        <v>3045</v>
      </c>
      <c r="C36" s="41" t="s">
        <v>2953</v>
      </c>
      <c r="D36" s="51"/>
    </row>
    <row r="37" spans="2:4">
      <c r="B37" s="52" t="s">
        <v>3046</v>
      </c>
      <c r="C37" s="41" t="s">
        <v>2961</v>
      </c>
      <c r="D37" s="51"/>
    </row>
    <row r="38" spans="2:4">
      <c r="B38" s="52" t="s">
        <v>3047</v>
      </c>
      <c r="C38" s="41" t="s">
        <v>2963</v>
      </c>
      <c r="D38" s="51"/>
    </row>
    <row r="39" spans="2:4">
      <c r="B39" s="52" t="s">
        <v>3048</v>
      </c>
      <c r="C39" s="41" t="s">
        <v>2965</v>
      </c>
      <c r="D39" s="51"/>
    </row>
    <row r="40" spans="2:4">
      <c r="B40" s="52" t="s">
        <v>3049</v>
      </c>
      <c r="C40" s="41" t="s">
        <v>2967</v>
      </c>
      <c r="D40" s="51"/>
    </row>
    <row r="41" spans="2:4">
      <c r="B41" s="52" t="s">
        <v>3050</v>
      </c>
      <c r="C41" s="41" t="s">
        <v>2971</v>
      </c>
      <c r="D41" s="51"/>
    </row>
    <row r="42" spans="2:4" ht="30">
      <c r="B42" s="52" t="s">
        <v>3051</v>
      </c>
      <c r="C42" s="41" t="s">
        <v>2973</v>
      </c>
      <c r="D42" s="51"/>
    </row>
    <row r="43" spans="2:4">
      <c r="B43" s="52" t="s">
        <v>3052</v>
      </c>
      <c r="C43" s="41" t="s">
        <v>2975</v>
      </c>
      <c r="D43" s="51"/>
    </row>
    <row r="44" spans="2:4">
      <c r="B44" s="52" t="s">
        <v>3053</v>
      </c>
      <c r="C44" s="41" t="s">
        <v>2977</v>
      </c>
      <c r="D44" s="51"/>
    </row>
    <row r="45" spans="2:4">
      <c r="B45" s="52" t="s">
        <v>3054</v>
      </c>
      <c r="C45" s="41" t="s">
        <v>2979</v>
      </c>
      <c r="D45" s="51"/>
    </row>
    <row r="46" spans="2:4">
      <c r="B46" s="52" t="s">
        <v>3055</v>
      </c>
      <c r="C46" s="41" t="s">
        <v>2981</v>
      </c>
      <c r="D46" s="51"/>
    </row>
    <row r="47" spans="2:4">
      <c r="B47" s="52" t="s">
        <v>3056</v>
      </c>
      <c r="C47" s="41" t="s">
        <v>2983</v>
      </c>
      <c r="D47" s="51"/>
    </row>
    <row r="48" spans="2:4">
      <c r="B48" s="52" t="s">
        <v>3057</v>
      </c>
      <c r="C48" s="41" t="s">
        <v>2985</v>
      </c>
      <c r="D48" s="51"/>
    </row>
    <row r="49" spans="2:10">
      <c r="B49" s="52" t="s">
        <v>3058</v>
      </c>
      <c r="C49" s="41" t="s">
        <v>2987</v>
      </c>
      <c r="D49" s="51"/>
    </row>
    <row r="50" spans="2:10">
      <c r="B50" s="52" t="s">
        <v>3059</v>
      </c>
      <c r="C50" s="41" t="s">
        <v>2989</v>
      </c>
      <c r="D50" s="51"/>
    </row>
    <row r="51" spans="2:10">
      <c r="B51" s="52" t="s">
        <v>3060</v>
      </c>
      <c r="C51" s="41" t="s">
        <v>2991</v>
      </c>
      <c r="D51" s="51"/>
    </row>
    <row r="52" spans="2:10">
      <c r="B52" s="52" t="s">
        <v>3061</v>
      </c>
      <c r="C52" s="41" t="s">
        <v>3013</v>
      </c>
      <c r="D52" s="51"/>
    </row>
    <row r="53" spans="2:10">
      <c r="B53" s="52" t="s">
        <v>3062</v>
      </c>
      <c r="C53" s="41" t="s">
        <v>3015</v>
      </c>
      <c r="D53" s="51"/>
    </row>
    <row r="54" spans="2:10">
      <c r="B54" s="52" t="s">
        <v>3063</v>
      </c>
      <c r="C54" s="41" t="s">
        <v>3064</v>
      </c>
      <c r="D54" s="51"/>
    </row>
    <row r="55" spans="2:10">
      <c r="B55" s="52" t="s">
        <v>3065</v>
      </c>
      <c r="C55" s="41" t="s">
        <v>3066</v>
      </c>
      <c r="D55" s="51"/>
    </row>
    <row r="56" spans="2:10" ht="45">
      <c r="B56" s="52" t="s">
        <v>3067</v>
      </c>
      <c r="C56" s="41" t="s">
        <v>3068</v>
      </c>
      <c r="D56" s="51"/>
    </row>
    <row r="57" spans="2:10">
      <c r="B57" s="52" t="s">
        <v>3069</v>
      </c>
      <c r="C57" s="41" t="s">
        <v>3070</v>
      </c>
      <c r="D57" s="51"/>
    </row>
    <row r="58" spans="2:10">
      <c r="B58" s="52" t="s">
        <v>3016</v>
      </c>
      <c r="C58" s="41" t="s">
        <v>3017</v>
      </c>
      <c r="D58" s="51"/>
    </row>
    <row r="59" spans="2:10">
      <c r="B59" s="52" t="s">
        <v>3018</v>
      </c>
      <c r="C59" s="41" t="s">
        <v>3019</v>
      </c>
      <c r="D59" s="51"/>
    </row>
    <row r="60" spans="2:10">
      <c r="B60" s="52" t="s">
        <v>3020</v>
      </c>
      <c r="C60" s="41" t="s">
        <v>3021</v>
      </c>
      <c r="D60" s="51"/>
    </row>
    <row r="61" spans="2:10">
      <c r="B61" s="52" t="s">
        <v>3022</v>
      </c>
      <c r="C61" s="41" t="s">
        <v>3023</v>
      </c>
      <c r="D61" s="51"/>
    </row>
    <row r="62" spans="2:10">
      <c r="B62" s="52" t="s">
        <v>3071</v>
      </c>
      <c r="C62" s="41" t="s">
        <v>3072</v>
      </c>
      <c r="D62" s="51"/>
    </row>
    <row r="63" spans="2:10">
      <c r="I63" s="13" t="str">
        <f>IF(COUNTIF(D:D,"Reported")&gt;0,Show!$B$4&amp;Show!$B$4,"!!")&amp;"S.01.01.04.01 Rows {"&amp;COLUMN($C$1)&amp;"}"</f>
        <v>!!S.01.01.04.01 Rows {3}</v>
      </c>
      <c r="J63" s="13" t="str">
        <f>IF(COUNTIF(D:D,"Reported")&gt;0,Show!$B$4&amp;Show!$B$4,"!!")&amp;"S.01.01.04.01 Columns {"&amp;COLUMN($D$1)&amp;"}"</f>
        <v>!!S.01.01.04.01 Columns {4}</v>
      </c>
    </row>
  </sheetData>
  <sheetProtection sheet="1" objects="1" scenarios="1"/>
  <mergeCells count="3">
    <mergeCell ref="B2:O2"/>
    <mergeCell ref="B5:L5"/>
    <mergeCell ref="D9:D12"/>
  </mergeCells>
  <dataValidations count="35">
    <dataValidation type="list" errorStyle="warning" allowBlank="1" showInputMessage="1" showErrorMessage="1" sqref="D16" xr:uid="{8109F87D-D6E4-4720-9F93-A2907C15021A}">
      <formula1>hier_CN_2</formula1>
    </dataValidation>
    <dataValidation type="list" errorStyle="warning" allowBlank="1" showInputMessage="1" showErrorMessage="1" sqref="D17" xr:uid="{07631A7E-D70C-41B5-A246-E76EF5DA379B}">
      <formula1>hier_CN_17</formula1>
    </dataValidation>
    <dataValidation type="list" errorStyle="warning" allowBlank="1" showInputMessage="1" showErrorMessage="1" sqref="D18" xr:uid="{9EF37292-1F7F-4EDD-8F5F-A3A3C344A784}">
      <formula1>hier_CN_16</formula1>
    </dataValidation>
    <dataValidation type="list" errorStyle="warning" allowBlank="1" showInputMessage="1" showErrorMessage="1" sqref="D19" xr:uid="{419F86AB-AF3D-47B9-A96D-504EB6A017A5}">
      <formula1>hier_CN_19</formula1>
    </dataValidation>
    <dataValidation type="list" errorStyle="warning" allowBlank="1" showInputMessage="1" showErrorMessage="1" sqref="D20" xr:uid="{DBA74560-A6B0-4537-8BDC-377AE5981973}">
      <formula1>hier_CN_20</formula1>
    </dataValidation>
    <dataValidation type="list" errorStyle="warning" allowBlank="1" showInputMessage="1" showErrorMessage="1" sqref="D21" xr:uid="{154C3A55-8BBD-4C7C-8E12-6BFE00BC793B}">
      <formula1>hier_CN_34</formula1>
    </dataValidation>
    <dataValidation type="list" errorStyle="warning" allowBlank="1" showInputMessage="1" showErrorMessage="1" sqref="D22" xr:uid="{78DC87A0-8F57-475F-996E-A1FA8A915BB7}">
      <formula1>hier_CN_35</formula1>
    </dataValidation>
    <dataValidation type="list" errorStyle="warning" allowBlank="1" showInputMessage="1" showErrorMessage="1" sqref="D23 D37" xr:uid="{A34B79C7-1D9B-47FA-86A4-91A7FF1B7A4D}">
      <formula1>hier_CN_87</formula1>
    </dataValidation>
    <dataValidation type="list" errorStyle="warning" allowBlank="1" showInputMessage="1" showErrorMessage="1" sqref="D24" xr:uid="{A6FEFB46-7571-476F-A4DA-54711521FBF4}">
      <formula1>hier_CN_116</formula1>
    </dataValidation>
    <dataValidation type="list" errorStyle="warning" allowBlank="1" showInputMessage="1" showErrorMessage="1" sqref="D25" xr:uid="{8F90AF83-9596-48BF-89F1-F08BD9776A7B}">
      <formula1>hier_CN_27</formula1>
    </dataValidation>
    <dataValidation type="list" errorStyle="warning" allowBlank="1" showInputMessage="1" showErrorMessage="1" sqref="D26" xr:uid="{511A7104-F669-4D52-9379-4B2555926D7D}">
      <formula1>hier_CN_24</formula1>
    </dataValidation>
    <dataValidation type="list" errorStyle="warning" allowBlank="1" showInputMessage="1" showErrorMessage="1" sqref="D27" xr:uid="{D1093026-9538-460E-8235-93265B456590}">
      <formula1>hier_CN_118</formula1>
    </dataValidation>
    <dataValidation type="list" errorStyle="warning" allowBlank="1" showInputMessage="1" showErrorMessage="1" sqref="D28" xr:uid="{D7413F72-3073-4B03-9577-8CA2A4FCF99D}">
      <formula1>hier_CN_126</formula1>
    </dataValidation>
    <dataValidation type="list" errorStyle="warning" allowBlank="1" showInputMessage="1" showErrorMessage="1" sqref="D29 D30" xr:uid="{57973E8E-327A-4EB1-811F-6D439FDAF419}">
      <formula1>hier_CN_29</formula1>
    </dataValidation>
    <dataValidation type="list" errorStyle="warning" allowBlank="1" showInputMessage="1" showErrorMessage="1" sqref="D31 D40 D54 D55 D57" xr:uid="{154207CD-482E-48A4-BFBF-390B31AB3175}">
      <formula1>hier_CN_15</formula1>
    </dataValidation>
    <dataValidation type="list" errorStyle="warning" allowBlank="1" showInputMessage="1" showErrorMessage="1" sqref="D32" xr:uid="{FB1B0AF9-1F9B-49C1-9CA0-16C700CAADC5}">
      <formula1>hier_CN_89</formula1>
    </dataValidation>
    <dataValidation type="list" errorStyle="warning" allowBlank="1" showInputMessage="1" showErrorMessage="1" sqref="D33" xr:uid="{9537D774-9DF1-45B6-8397-240307AEDEDC}">
      <formula1>hier_CN_90</formula1>
    </dataValidation>
    <dataValidation type="list" errorStyle="warning" allowBlank="1" showInputMessage="1" showErrorMessage="1" sqref="D34 D35" xr:uid="{81985655-0B57-45D6-9A69-57DDBCB7D540}">
      <formula1>hier_CN_41</formula1>
    </dataValidation>
    <dataValidation type="list" errorStyle="warning" allowBlank="1" showInputMessage="1" showErrorMessage="1" sqref="D36" xr:uid="{381E9AA0-93AA-4D92-9FC1-4598D89A9AB3}">
      <formula1>hier_CN_43</formula1>
    </dataValidation>
    <dataValidation type="list" errorStyle="warning" allowBlank="1" showInputMessage="1" showErrorMessage="1" sqref="D38 D39" xr:uid="{9F0F0EAA-6D6B-40F7-A1D8-83752727E1E4}">
      <formula1>hier_CN_96</formula1>
    </dataValidation>
    <dataValidation type="list" errorStyle="warning" allowBlank="1" showInputMessage="1" showErrorMessage="1" sqref="D41" xr:uid="{011A8D1F-75B2-4E5B-9A84-E3FCBA352345}">
      <formula1>hier_CN_109</formula1>
    </dataValidation>
    <dataValidation type="list" errorStyle="warning" allowBlank="1" showInputMessage="1" showErrorMessage="1" sqref="D42" xr:uid="{A5E4F8DB-CD9C-40B3-9A6D-2B67F45D5CB5}">
      <formula1>hier_CN_49</formula1>
    </dataValidation>
    <dataValidation type="list" errorStyle="warning" allowBlank="1" showInputMessage="1" showErrorMessage="1" sqref="D43" xr:uid="{F7033FDB-2F33-4394-995B-7F92EF96A1D3}">
      <formula1>hier_CN_50</formula1>
    </dataValidation>
    <dataValidation type="list" errorStyle="warning" allowBlank="1" showInputMessage="1" showErrorMessage="1" sqref="D44 D45 D46 D47 D48" xr:uid="{9A7D9937-5624-4612-94C9-C43870605BD3}">
      <formula1>hier_CN_125</formula1>
    </dataValidation>
    <dataValidation type="list" errorStyle="warning" allowBlank="1" showInputMessage="1" showErrorMessage="1" sqref="D49" xr:uid="{A099C13E-1B30-409E-88B0-33DD9D9541A3}">
      <formula1>hier_CN_54</formula1>
    </dataValidation>
    <dataValidation type="list" errorStyle="warning" allowBlank="1" showInputMessage="1" showErrorMessage="1" sqref="D50" xr:uid="{F8AB05B8-808A-4AA2-8CD1-F688DAFBB2BB}">
      <formula1>hier_CN_56</formula1>
    </dataValidation>
    <dataValidation type="list" errorStyle="warning" allowBlank="1" showInputMessage="1" showErrorMessage="1" sqref="D51" xr:uid="{B807D8F8-64FF-49BC-A2D7-75B41B71B2CE}">
      <formula1>hier_CN_52</formula1>
    </dataValidation>
    <dataValidation type="list" errorStyle="warning" allowBlank="1" showInputMessage="1" showErrorMessage="1" sqref="D52" xr:uid="{EDF8744E-D3A1-49F2-8A73-4324C35319C0}">
      <formula1>hier_CN_58</formula1>
    </dataValidation>
    <dataValidation type="list" errorStyle="warning" allowBlank="1" showInputMessage="1" showErrorMessage="1" sqref="D53" xr:uid="{0ABC2653-281B-4178-B854-9219134E22B3}">
      <formula1>hier_CN_59</formula1>
    </dataValidation>
    <dataValidation type="list" errorStyle="warning" allowBlank="1" showInputMessage="1" showErrorMessage="1" sqref="D56" xr:uid="{474BE064-A995-45B0-B9CC-F30D5DF6ABB2}">
      <formula1>hier_CN_13</formula1>
    </dataValidation>
    <dataValidation type="list" errorStyle="warning" allowBlank="1" showInputMessage="1" showErrorMessage="1" sqref="D58" xr:uid="{2A5FE1BB-40DC-4E4B-B6D0-1CD9F1259F5F}">
      <formula1>hier_CN_61</formula1>
    </dataValidation>
    <dataValidation type="list" errorStyle="warning" allowBlank="1" showInputMessage="1" showErrorMessage="1" sqref="D59" xr:uid="{32EE7D1E-2681-4924-8CDA-D56CBD009158}">
      <formula1>hier_CN_63</formula1>
    </dataValidation>
    <dataValidation type="list" errorStyle="warning" allowBlank="1" showInputMessage="1" showErrorMessage="1" sqref="D60" xr:uid="{13F979E7-8DC0-47D2-9E9E-9BE29CDB7900}">
      <formula1>hier_CN_65</formula1>
    </dataValidation>
    <dataValidation type="list" errorStyle="warning" allowBlank="1" showInputMessage="1" showErrorMessage="1" sqref="D61" xr:uid="{4EC644EB-6630-45F5-B74B-C32A60EE8E8C}">
      <formula1>hier_CN_67</formula1>
    </dataValidation>
    <dataValidation type="list" errorStyle="warning" allowBlank="1" showInputMessage="1" showErrorMessage="1" sqref="D62" xr:uid="{879378D2-A245-4F40-B32C-1141CBBAD8AC}">
      <formula1>hier_CN_68</formula1>
    </dataValidation>
  </dataValidations>
  <hyperlinks>
    <hyperlink ref="B16" location="'S.01.02.04'!A1" display="S.01.02.04 - Basic Information - General" xr:uid="{08022553-AB41-42AE-8113-CBFA421C3BF3}"/>
    <hyperlink ref="B17" location="'S.01.03.04'!A1" display="S.01.03.04 - Basic Information - RFF and matching adjustment portfolios" xr:uid="{D8ACD241-B038-4D36-9E1A-798EFDAB03B9}"/>
    <hyperlink ref="B18" location="'S.02.01.01'!A1" display="S.02.01.01 - Balance sheet" xr:uid="{4C0260DB-06B9-4CA8-A2E0-2A5BCDEB108D}"/>
    <hyperlink ref="B19" location="'S.02.02.01'!A1" display="S.02.02.01 - Assets and liabilities by currency" xr:uid="{ACA2D5AC-43E3-4146-8184-C05CB7FA316A}"/>
    <hyperlink ref="B20" location="'S.03.01.04'!A1" display="S.03.01.04 - Off-balance sheet items - general" xr:uid="{4130BC2E-E7F1-4E89-AC9E-F78153B29177}"/>
    <hyperlink ref="B21" location="'S.03.02.04'!A1" display="S.03.02.04 - Off-balance sheet items - List of unlimited guarantees received by the group" xr:uid="{FCE99A0A-4453-4B35-B0D8-6FB0FE8E8151}"/>
    <hyperlink ref="B22" location="'S.03.03.04'!A1" display="S.03.03.04 - Off-balance sheet items - List of unlimited guarantees provided by the group" xr:uid="{6B7178A3-0337-47C2-A333-030794777CA1}"/>
    <hyperlink ref="B23" location="'S.05.01.01'!A1" display="S.05.01.01 - Premiums, claims and expenses by line of business" xr:uid="{7CE4E409-DB82-46AD-A2C8-13404C1F6DED}"/>
    <hyperlink ref="B24" location="'S.05.02.01'!A1" display="S.05.02.01 - Premiums, claims and expenses by country" xr:uid="{87C9D4D0-2BDA-4AFF-9245-4200AAE3BE5F}"/>
    <hyperlink ref="B25" location="'S.06.01.01'!A1" display="S.06.01.01 - Summary of assets" xr:uid="{616DBB09-19F8-4E0F-ADC9-15A2A7E0C8CD}"/>
    <hyperlink ref="B26" location="'S.06.02.04'!A1" display="S.06.02.04 - List of assets" xr:uid="{252ADEB4-A4AB-4714-9285-AC52C0409C5B}"/>
    <hyperlink ref="B27" location="'S.06.03.04'!A1" display="S.06.03.04 - Collective investment undertakings - look-through approach" xr:uid="{AE62A36C-D2F9-4613-B745-65CBAB3647D8}"/>
    <hyperlink ref="B28" location="'S.07.01.04'!A1" display="S.07.01.04 - Structured products" xr:uid="{CAA3D246-F95F-4DF2-83DA-4B92CDFA79F0}"/>
    <hyperlink ref="B29" location="'S.08.01.04'!A1" display="S.08.01.04 - Open derivatives" xr:uid="{E610DC7B-0B84-4E04-AA27-A7408E74019E}"/>
    <hyperlink ref="B30" location="'S.08.02.04'!A1" display="S.08.02.04 - Derivatives Transactions" xr:uid="{AF5E57E1-236C-434A-9D18-E2E972176621}"/>
    <hyperlink ref="B31" location="'S.09.01.04'!A1" display="S.09.01.04 - Income/gains and losses in the period" xr:uid="{3E78E21B-73A0-42F7-A7D1-EFFFE048385F}"/>
    <hyperlink ref="B32" location="'S.10.01.04'!A1" display="S.10.01.04 - Securities lending and repos" xr:uid="{80E29572-7C61-4316-A5AA-F430810CDC29}"/>
    <hyperlink ref="B33" location="'S.11.01.04'!A1" display="S.11.01.04 - Assets held as collateral" xr:uid="{14F4C41D-F76D-408D-A518-06A940672556}"/>
    <hyperlink ref="B34" location="'S.15.01.04'!A1" display="S.15.01.04 - Description of the guarantees of variable annuities" xr:uid="{B421DD1E-7E56-4611-84EE-06B534B0B0A9}"/>
    <hyperlink ref="B35" location="'S.15.02.04'!A1" display="S.15.02.04 - Hedging of guarantees of variable annuities" xr:uid="{E7010075-BE06-4D63-BCF7-C41B51D12D1E}"/>
    <hyperlink ref="B36" location="'S.22.01.04'!A1" display="S.22.01.04 - Impact of long term guarantees measures and transitionals" xr:uid="{1952C7EF-2659-463B-9BFC-1AF470DEF126}"/>
    <hyperlink ref="B37" location="'S.23.01.04'!A1" display="S.23.01.04 - Own funds" xr:uid="{8E8D0A1D-F7A1-40FD-B1BD-AA03F07C9881}"/>
    <hyperlink ref="B38" location="'S.23.02.04'!A1" display="S.23.02.04 - Detailed information by tiers on own funds" xr:uid="{91F78086-AA8D-4329-AF9F-16157DA8EC80}"/>
    <hyperlink ref="B39" location="'S.23.03.04'!A1" display="S.23.03.04 - Annual movements on own funds" xr:uid="{6DD75864-23D6-4093-AECA-7F60006D86CC}"/>
    <hyperlink ref="B40" location="'S.23.04.04'!A1" display="S.23.04.04 - List of items on own funds" xr:uid="{AC24935F-A905-4D71-AF1D-EE92159BBC77}"/>
    <hyperlink ref="B41" location="'S.25.01.04'!A1" display="S.25.01.04 - Solvency Capital Requirement - for groups on Standard Formula" xr:uid="{63454AB2-3DE6-4963-87CF-50A2C153783B}"/>
    <hyperlink ref="B42" location="'S.25.02.04'!A1" display="S.25.02.04 - Solvency Capital Requirement - for groups using the standard formula and partial internal model" xr:uid="{5A91DD80-4502-459B-8F3E-56955AF62405}"/>
    <hyperlink ref="B43" location="'S.25.03.04'!A1" display="S.25.03.04 - Solvency Capital Requirement - for groups on Full Internal Models" xr:uid="{1E41AE6D-5DDA-4D39-80BC-D541AC633FB1}"/>
    <hyperlink ref="B44" location="'S.26.01.04'!A1" display="S.26.01.04 - Solvency Capital Requirement - Market risk" xr:uid="{2B12EBC1-26B0-4C1D-8700-F3A48615529B}"/>
    <hyperlink ref="B45" location="'S.26.02.04'!A1" display="S.26.02.04 - Solvency Capital Requirement - Counterparty default risk" xr:uid="{1D548705-E3A8-4213-834E-52F1F42C05CA}"/>
    <hyperlink ref="B46" location="'S.26.03.04'!A1" display="S.26.03.04 - Solvency Capital Requirement - Life underwriting risk" xr:uid="{488E57C0-4658-4A00-8EE7-A381CCCD0C83}"/>
    <hyperlink ref="B47" location="'S.26.04.04'!A1" display="S.26.04.04 - Solvency Capital Requirement - Health underwriting risk" xr:uid="{A28F5982-D764-499C-ACDE-ECE5772B2FA2}"/>
    <hyperlink ref="B48" location="'S.26.05.04'!A1" display="S.26.05.04 - Solvency Capital Requirement - Non-Life underwriting risk" xr:uid="{6860F7F4-4CC0-4F80-8DA2-14AE99E8BD46}"/>
    <hyperlink ref="B49" location="'S.26.06.04'!A1" display="S.26.06.04 - Solvency Capital Requirement - Operational risk" xr:uid="{1EF5B28C-F1DA-45B6-A5B5-B43E4AA491D1}"/>
    <hyperlink ref="B50" location="'S.26.07.04'!A1" display="S.26.07.04 - Solvency Capital Requirement - Simplifications" xr:uid="{A1A9A1A4-34D6-4CDD-8E43-38BD2DB313C1}"/>
    <hyperlink ref="B51" location="'S.27.01.04'!A1" display="S.27.01.04 - Solvency Capital Requirement - Non-Life and Health catastrophe risk" xr:uid="{2810EF01-B21F-4D86-8287-E4F9C45943A2}"/>
    <hyperlink ref="B52" location="'S.31.01.04'!A1" display="S.31.01.04 - Share of reinsurers (including Finite Reinsurance and SPV's)" xr:uid="{6C12E1E7-B4D4-4450-B9C4-F7DE157B428D}"/>
    <hyperlink ref="B53" location="'S.31.02.04'!A1" display="S.31.02.04 - Special Purpose Vehicles" xr:uid="{0010CEDA-9194-4531-AEA3-0B727A22AAF6}"/>
    <hyperlink ref="B54" location="'S.32.01.04'!A1" display="S.32.01.04 - Undertakings in the scope of the group" xr:uid="{FF734EF2-DBB9-418E-BF15-EE9B9839605D}"/>
    <hyperlink ref="B55" location="'S.33.01.04'!A1" display="S.33.01.04 - Insurance and Reinsurance individual requirements" xr:uid="{C0367495-6B30-4D14-BB5E-2D0C79065822}"/>
    <hyperlink ref="B56" location="'S.34.01.04'!A1" display="S.34.01.04 - Other regulated and non-regulated financial undertakings including insurance holding companies and mixed financial holding company individual requirements" xr:uid="{EAB3F1C6-564F-43DB-AAEB-744A00CB1704}"/>
    <hyperlink ref="B57" location="'S.35.01.04'!A1" display="S.35.01.04 - Contribution to group Technical Provisions" xr:uid="{92406CB4-2DA3-4D5E-A1EB-F2397EC15E35}"/>
    <hyperlink ref="B58" location="'S.36.01.01'!A1" display="S.36.01.01 - IGT - Equity-type transactions, debt and asset transfer" xr:uid="{5DED8901-8B02-4DB7-9C97-2D2C2FB48D5C}"/>
    <hyperlink ref="B59" location="'S.36.02.01'!A1" display="S.36.02.01 - IGT - Derivatives" xr:uid="{623F09FA-88F3-4962-A896-0E6FE1CC107C}"/>
    <hyperlink ref="B60" location="'S.36.03.01'!A1" display="S.36.03.01 - IGT - Internal reinsurance" xr:uid="{DB9E05B2-4F1F-4163-9293-598AAAF8EF57}"/>
    <hyperlink ref="B61" location="'S.36.04.01'!A1" display="S.36.04.01 - IGT - Cost Sharing, contingent liabilities, off BS and other items" xr:uid="{971D5E8C-836A-41AE-8A7F-170C2B57CCF6}"/>
    <hyperlink ref="B62" location="'S.37.01.04'!A1" display="S.37.01.04 - Risk concentration" xr:uid="{CA329A02-2E79-48AF-9BD0-8A97F185F8DD}"/>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666B-7770-46DE-9636-CA1FE8E940E2}">
  <sheetPr codeName="Blad80"/>
  <dimension ref="B2:O15"/>
  <sheetViews>
    <sheetView showGridLines="0" workbookViewId="0"/>
  </sheetViews>
  <sheetFormatPr defaultRowHeight="15"/>
  <cols>
    <col min="2" max="2" width="9.42578125" bestFit="1" customWidth="1"/>
    <col min="3" max="4" width="15.7109375" customWidth="1"/>
  </cols>
  <sheetData>
    <row r="2" spans="2:15" ht="23.25">
      <c r="B2" s="95" t="s">
        <v>623</v>
      </c>
      <c r="C2" s="96"/>
      <c r="D2" s="96"/>
      <c r="E2" s="96"/>
      <c r="F2" s="96"/>
      <c r="G2" s="96"/>
      <c r="H2" s="96"/>
      <c r="I2" s="96"/>
      <c r="J2" s="96"/>
      <c r="K2" s="96"/>
      <c r="L2" s="96"/>
      <c r="M2" s="96"/>
      <c r="N2" s="96"/>
      <c r="O2" s="96"/>
    </row>
    <row r="5" spans="2:15" ht="18.75">
      <c r="B5" s="97" t="s">
        <v>3845</v>
      </c>
      <c r="C5" s="96"/>
      <c r="D5" s="96"/>
      <c r="E5" s="96"/>
      <c r="F5" s="96"/>
      <c r="G5" s="96"/>
      <c r="H5" s="96"/>
      <c r="I5" s="96"/>
      <c r="J5" s="96"/>
      <c r="K5" s="96"/>
      <c r="L5" s="96"/>
    </row>
    <row r="9" spans="2:15">
      <c r="B9" s="98" t="s">
        <v>3839</v>
      </c>
      <c r="C9" s="101" t="s">
        <v>2877</v>
      </c>
      <c r="D9" s="103"/>
    </row>
    <row r="10" spans="2:15">
      <c r="B10" s="99"/>
      <c r="C10" s="104"/>
      <c r="D10" s="106"/>
    </row>
    <row r="11" spans="2:15" ht="75">
      <c r="B11" s="100"/>
      <c r="C11" s="55" t="s">
        <v>3840</v>
      </c>
      <c r="D11" s="55" t="s">
        <v>3842</v>
      </c>
    </row>
    <row r="12" spans="2:15">
      <c r="B12" s="42" t="s">
        <v>3594</v>
      </c>
      <c r="C12" s="42" t="s">
        <v>3596</v>
      </c>
      <c r="D12" s="42" t="s">
        <v>3515</v>
      </c>
      <c r="L12" s="13" t="str">
        <f>Show!$B$76&amp;"S.14.01.10.01 Rows {"&amp;COLUMN($B$1)&amp;"}"&amp;"@ForceFilingCode:true"</f>
        <v>!S.14.01.10.01 Rows {2}@ForceFilingCode:true</v>
      </c>
      <c r="M12" s="13" t="str">
        <f>Show!$B$76&amp;"S.14.01.10.01 Columns {"&amp;COLUMN($B$1)&amp;"}"</f>
        <v>!S.14.01.10.01 Columns {2}</v>
      </c>
    </row>
    <row r="13" spans="2:15">
      <c r="B13" s="50"/>
      <c r="C13" s="60"/>
      <c r="D13" s="70"/>
    </row>
    <row r="15" spans="2:15">
      <c r="L15" s="13" t="str">
        <f>Show!$B$76&amp;Show!$B$76&amp;"S.14.01.10.01 Rows {"&amp;COLUMN($B$1)&amp;"}"</f>
        <v>!!S.14.01.10.01 Rows {2}</v>
      </c>
      <c r="M15" s="13" t="str">
        <f>Show!$B$76&amp;Show!$B$76&amp;"S.14.01.10.01 Columns {"&amp;COLUMN($D$1)&amp;"}"</f>
        <v>!!S.14.01.10.01 Columns {4}</v>
      </c>
    </row>
  </sheetData>
  <sheetProtection sheet="1" objects="1" scenarios="1"/>
  <mergeCells count="4">
    <mergeCell ref="B2:O2"/>
    <mergeCell ref="B5:L5"/>
    <mergeCell ref="B9:B11"/>
    <mergeCell ref="C9:D1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5C28-ECCD-4428-9A82-0618DC1A9448}">
  <sheetPr codeName="Blad81"/>
  <dimension ref="B2:R15"/>
  <sheetViews>
    <sheetView showGridLines="0" workbookViewId="0"/>
  </sheetViews>
  <sheetFormatPr defaultRowHeight="15"/>
  <cols>
    <col min="2" max="2" width="15" bestFit="1" customWidth="1"/>
    <col min="3" max="4" width="40.7109375" customWidth="1"/>
    <col min="5" max="6" width="15.7109375" customWidth="1"/>
    <col min="7" max="7" width="40.7109375" customWidth="1"/>
    <col min="8" max="8" width="15.7109375" customWidth="1"/>
    <col min="9" max="9" width="40.7109375" customWidth="1"/>
  </cols>
  <sheetData>
    <row r="2" spans="2:18" ht="23.25">
      <c r="B2" s="95" t="s">
        <v>626</v>
      </c>
      <c r="C2" s="96"/>
      <c r="D2" s="96"/>
      <c r="E2" s="96"/>
      <c r="F2" s="96"/>
      <c r="G2" s="96"/>
      <c r="H2" s="96"/>
      <c r="I2" s="96"/>
      <c r="J2" s="96"/>
      <c r="K2" s="96"/>
      <c r="L2" s="96"/>
      <c r="M2" s="96"/>
      <c r="N2" s="96"/>
      <c r="O2" s="96"/>
    </row>
    <row r="5" spans="2:18" ht="18.75">
      <c r="B5" s="97" t="s">
        <v>3846</v>
      </c>
      <c r="C5" s="96"/>
      <c r="D5" s="96"/>
      <c r="E5" s="96"/>
      <c r="F5" s="96"/>
      <c r="G5" s="96"/>
      <c r="H5" s="96"/>
      <c r="I5" s="96"/>
      <c r="J5" s="96"/>
      <c r="K5" s="96"/>
      <c r="L5" s="96"/>
    </row>
    <row r="9" spans="2:18">
      <c r="B9" s="98" t="s">
        <v>3824</v>
      </c>
      <c r="C9" s="101" t="s">
        <v>2877</v>
      </c>
      <c r="D9" s="102"/>
      <c r="E9" s="102"/>
      <c r="F9" s="102"/>
      <c r="G9" s="102"/>
      <c r="H9" s="102"/>
      <c r="I9" s="103"/>
    </row>
    <row r="10" spans="2:18">
      <c r="B10" s="99"/>
      <c r="C10" s="104"/>
      <c r="D10" s="105"/>
      <c r="E10" s="105"/>
      <c r="F10" s="105"/>
      <c r="G10" s="105"/>
      <c r="H10" s="105"/>
      <c r="I10" s="106"/>
    </row>
    <row r="11" spans="2:18" ht="30">
      <c r="B11" s="100"/>
      <c r="C11" s="55" t="s">
        <v>3847</v>
      </c>
      <c r="D11" s="55" t="s">
        <v>3848</v>
      </c>
      <c r="E11" s="55" t="s">
        <v>3849</v>
      </c>
      <c r="F11" s="55" t="s">
        <v>3850</v>
      </c>
      <c r="G11" s="55" t="s">
        <v>3851</v>
      </c>
      <c r="H11" s="55" t="s">
        <v>3852</v>
      </c>
      <c r="I11" s="55" t="s">
        <v>3853</v>
      </c>
    </row>
    <row r="12" spans="2:18">
      <c r="B12" s="42" t="s">
        <v>3223</v>
      </c>
      <c r="C12" s="42" t="s">
        <v>3229</v>
      </c>
      <c r="D12" s="42" t="s">
        <v>3231</v>
      </c>
      <c r="E12" s="42" t="s">
        <v>3233</v>
      </c>
      <c r="F12" s="42" t="s">
        <v>3234</v>
      </c>
      <c r="G12" s="42" t="s">
        <v>3236</v>
      </c>
      <c r="H12" s="42" t="s">
        <v>3239</v>
      </c>
      <c r="I12" s="42" t="s">
        <v>3241</v>
      </c>
      <c r="Q12" s="13" t="str">
        <f>Show!$B$77&amp;"S.15.01.01.01 Rows {"&amp;COLUMN($B$1)&amp;"}"&amp;"@ForceFilingCode:true"</f>
        <v>!S.15.01.01.01 Rows {2}@ForceFilingCode:true</v>
      </c>
      <c r="R12" s="13" t="str">
        <f>Show!$B$77&amp;"S.15.01.01.01 Columns {"&amp;COLUMN($B$1)&amp;"}"</f>
        <v>!S.15.01.01.01 Columns {2}</v>
      </c>
    </row>
    <row r="13" spans="2:18">
      <c r="B13" s="50"/>
      <c r="C13" s="51"/>
      <c r="D13" s="51"/>
      <c r="E13" s="54"/>
      <c r="F13" s="54"/>
      <c r="G13" s="51"/>
      <c r="H13" s="70"/>
      <c r="I13" s="51"/>
    </row>
    <row r="15" spans="2:18">
      <c r="Q15" s="13" t="str">
        <f>Show!$B$77&amp;Show!$B$77&amp;"S.15.01.01.01 Rows {"&amp;COLUMN($B$1)&amp;"}"</f>
        <v>!!S.15.01.01.01 Rows {2}</v>
      </c>
      <c r="R15" s="13" t="str">
        <f>Show!$B$77&amp;Show!$B$77&amp;"S.15.01.01.01 Columns {"&amp;COLUMN($I$1)&amp;"}"</f>
        <v>!!S.15.01.01.01 Columns {9}</v>
      </c>
    </row>
  </sheetData>
  <sheetProtection sheet="1" objects="1" scenarios="1"/>
  <mergeCells count="4">
    <mergeCell ref="B2:O2"/>
    <mergeCell ref="B5:L5"/>
    <mergeCell ref="B9:B11"/>
    <mergeCell ref="C9:I10"/>
  </mergeCells>
  <dataValidations count="2">
    <dataValidation type="date" operator="greaterThan" allowBlank="1" showInputMessage="1" showErrorMessage="1" errorTitle="Date value" error="This cell can only contain dates" sqref="E13:F13" xr:uid="{FFCC61BF-F5E1-43C7-AB66-12D1AE4CB329}">
      <formula1>1</formula1>
    </dataValidation>
    <dataValidation type="list" errorStyle="warning" allowBlank="1" showInputMessage="1" showErrorMessage="1" sqref="G13" xr:uid="{20AD5530-6C09-4288-B967-5457A6E39A79}">
      <formula1>hier_CG_9</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B382-3044-4F4A-A4E1-599F741E3149}">
  <sheetPr codeName="Blad82"/>
  <dimension ref="B2:U15"/>
  <sheetViews>
    <sheetView showGridLines="0" workbookViewId="0"/>
  </sheetViews>
  <sheetFormatPr defaultRowHeight="15"/>
  <cols>
    <col min="2" max="2" width="15" bestFit="1" customWidth="1"/>
    <col min="3" max="3" width="15.7109375" customWidth="1"/>
    <col min="4" max="6" width="40.7109375" customWidth="1"/>
    <col min="7" max="8" width="15.7109375" customWidth="1"/>
    <col min="9" max="9" width="40.7109375" customWidth="1"/>
    <col min="10" max="10" width="15.7109375" customWidth="1"/>
    <col min="11" max="11" width="40.7109375" customWidth="1"/>
  </cols>
  <sheetData>
    <row r="2" spans="2:21" ht="23.25">
      <c r="B2" s="95" t="s">
        <v>626</v>
      </c>
      <c r="C2" s="96"/>
      <c r="D2" s="96"/>
      <c r="E2" s="96"/>
      <c r="F2" s="96"/>
      <c r="G2" s="96"/>
      <c r="H2" s="96"/>
      <c r="I2" s="96"/>
      <c r="J2" s="96"/>
      <c r="K2" s="96"/>
      <c r="L2" s="96"/>
      <c r="M2" s="96"/>
      <c r="N2" s="96"/>
      <c r="O2" s="96"/>
    </row>
    <row r="5" spans="2:21" ht="18.75">
      <c r="B5" s="97" t="s">
        <v>3854</v>
      </c>
      <c r="C5" s="96"/>
      <c r="D5" s="96"/>
      <c r="E5" s="96"/>
      <c r="F5" s="96"/>
      <c r="G5" s="96"/>
      <c r="H5" s="96"/>
      <c r="I5" s="96"/>
      <c r="J5" s="96"/>
      <c r="K5" s="96"/>
      <c r="L5" s="96"/>
    </row>
    <row r="9" spans="2:21">
      <c r="B9" s="98" t="s">
        <v>3824</v>
      </c>
      <c r="C9" s="98" t="s">
        <v>3245</v>
      </c>
      <c r="D9" s="101" t="s">
        <v>2877</v>
      </c>
      <c r="E9" s="102"/>
      <c r="F9" s="102"/>
      <c r="G9" s="102"/>
      <c r="H9" s="102"/>
      <c r="I9" s="102"/>
      <c r="J9" s="102"/>
      <c r="K9" s="103"/>
    </row>
    <row r="10" spans="2:21">
      <c r="B10" s="99"/>
      <c r="C10" s="99"/>
      <c r="D10" s="104"/>
      <c r="E10" s="105"/>
      <c r="F10" s="105"/>
      <c r="G10" s="105"/>
      <c r="H10" s="105"/>
      <c r="I10" s="105"/>
      <c r="J10" s="105"/>
      <c r="K10" s="106"/>
    </row>
    <row r="11" spans="2:21" ht="30">
      <c r="B11" s="100"/>
      <c r="C11" s="100"/>
      <c r="D11" s="55" t="s">
        <v>3246</v>
      </c>
      <c r="E11" s="55" t="s">
        <v>3847</v>
      </c>
      <c r="F11" s="55" t="s">
        <v>3848</v>
      </c>
      <c r="G11" s="55" t="s">
        <v>3849</v>
      </c>
      <c r="H11" s="55" t="s">
        <v>3850</v>
      </c>
      <c r="I11" s="55" t="s">
        <v>3851</v>
      </c>
      <c r="J11" s="55" t="s">
        <v>3852</v>
      </c>
      <c r="K11" s="55" t="s">
        <v>3853</v>
      </c>
    </row>
    <row r="12" spans="2:21">
      <c r="B12" s="42" t="s">
        <v>3223</v>
      </c>
      <c r="C12" s="42" t="s">
        <v>3219</v>
      </c>
      <c r="D12" s="42" t="s">
        <v>2879</v>
      </c>
      <c r="E12" s="42" t="s">
        <v>3229</v>
      </c>
      <c r="F12" s="42" t="s">
        <v>3231</v>
      </c>
      <c r="G12" s="42" t="s">
        <v>3233</v>
      </c>
      <c r="H12" s="42" t="s">
        <v>3234</v>
      </c>
      <c r="I12" s="42" t="s">
        <v>3236</v>
      </c>
      <c r="J12" s="42" t="s">
        <v>3239</v>
      </c>
      <c r="K12" s="42" t="s">
        <v>3241</v>
      </c>
      <c r="T12" s="13" t="str">
        <f>Show!$B$78&amp;"S.15.01.04.01 Rows {"&amp;COLUMN($B$1)&amp;"}"&amp;"@ForceFilingCode:true"</f>
        <v>!S.15.01.04.01 Rows {2}@ForceFilingCode:true</v>
      </c>
      <c r="U12" s="13" t="str">
        <f>Show!$B$78&amp;"S.15.01.04.01 Columns {"&amp;COLUMN($B$1)&amp;"}"</f>
        <v>!S.15.01.04.01 Columns {2}</v>
      </c>
    </row>
    <row r="13" spans="2:21">
      <c r="B13" s="50"/>
      <c r="C13" s="50"/>
      <c r="D13" s="51"/>
      <c r="E13" s="51"/>
      <c r="F13" s="51"/>
      <c r="G13" s="54"/>
      <c r="H13" s="54"/>
      <c r="I13" s="51"/>
      <c r="J13" s="70"/>
      <c r="K13" s="51"/>
    </row>
    <row r="15" spans="2:21">
      <c r="T15" s="13" t="str">
        <f>Show!$B$78&amp;Show!$B$78&amp;"S.15.01.04.01 Rows {"&amp;COLUMN($B$1)&amp;"}"</f>
        <v>!!S.15.01.04.01 Rows {2}</v>
      </c>
      <c r="U15" s="13" t="str">
        <f>Show!$B$78&amp;Show!$B$78&amp;"S.15.01.04.01 Columns {"&amp;COLUMN($K$1)&amp;"}"</f>
        <v>!!S.15.01.04.01 Columns {11}</v>
      </c>
    </row>
  </sheetData>
  <sheetProtection sheet="1" objects="1" scenarios="1"/>
  <mergeCells count="5">
    <mergeCell ref="B2:O2"/>
    <mergeCell ref="B5:L5"/>
    <mergeCell ref="B9:B11"/>
    <mergeCell ref="C9:C11"/>
    <mergeCell ref="D9:K10"/>
  </mergeCells>
  <dataValidations count="2">
    <dataValidation type="date" operator="greaterThan" allowBlank="1" showInputMessage="1" showErrorMessage="1" errorTitle="Date value" error="This cell can only contain dates" sqref="G13:H13" xr:uid="{AEE746BD-D888-4DB5-B957-879DE959B5D4}">
      <formula1>1</formula1>
    </dataValidation>
    <dataValidation type="list" errorStyle="warning" allowBlank="1" showInputMessage="1" showErrorMessage="1" sqref="I13" xr:uid="{38A95999-EF4B-4BAB-8072-B7AD0B0B723D}">
      <formula1>hier_CG_9</formula1>
    </dataValidation>
  </dataValidation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F002-8FCE-4ED5-8CB9-6984CECFE3EB}">
  <sheetPr codeName="Blad83"/>
  <dimension ref="B2:U15"/>
  <sheetViews>
    <sheetView showGridLines="0" workbookViewId="0"/>
  </sheetViews>
  <sheetFormatPr defaultRowHeight="15"/>
  <cols>
    <col min="2" max="2" width="15" bestFit="1" customWidth="1"/>
    <col min="3" max="10" width="40.7109375" customWidth="1"/>
    <col min="11" max="12" width="15.7109375" customWidth="1"/>
  </cols>
  <sheetData>
    <row r="2" spans="2:21" ht="23.25">
      <c r="B2" s="95" t="s">
        <v>629</v>
      </c>
      <c r="C2" s="96"/>
      <c r="D2" s="96"/>
      <c r="E2" s="96"/>
      <c r="F2" s="96"/>
      <c r="G2" s="96"/>
      <c r="H2" s="96"/>
      <c r="I2" s="96"/>
      <c r="J2" s="96"/>
      <c r="K2" s="96"/>
      <c r="L2" s="96"/>
      <c r="M2" s="96"/>
      <c r="N2" s="96"/>
      <c r="O2" s="96"/>
    </row>
    <row r="5" spans="2:21" ht="18.75">
      <c r="B5" s="97" t="s">
        <v>3855</v>
      </c>
      <c r="C5" s="96"/>
      <c r="D5" s="96"/>
      <c r="E5" s="96"/>
      <c r="F5" s="96"/>
      <c r="G5" s="96"/>
      <c r="H5" s="96"/>
      <c r="I5" s="96"/>
      <c r="J5" s="96"/>
      <c r="K5" s="96"/>
      <c r="L5" s="96"/>
    </row>
    <row r="9" spans="2:21">
      <c r="B9" s="98" t="s">
        <v>3824</v>
      </c>
      <c r="C9" s="101" t="s">
        <v>2877</v>
      </c>
      <c r="D9" s="102"/>
      <c r="E9" s="102"/>
      <c r="F9" s="102"/>
      <c r="G9" s="102"/>
      <c r="H9" s="102"/>
      <c r="I9" s="102"/>
      <c r="J9" s="102"/>
      <c r="K9" s="102"/>
      <c r="L9" s="103"/>
    </row>
    <row r="10" spans="2:21">
      <c r="B10" s="99"/>
      <c r="C10" s="104"/>
      <c r="D10" s="105"/>
      <c r="E10" s="105"/>
      <c r="F10" s="105"/>
      <c r="G10" s="105"/>
      <c r="H10" s="105"/>
      <c r="I10" s="105"/>
      <c r="J10" s="105"/>
      <c r="K10" s="105"/>
      <c r="L10" s="106"/>
    </row>
    <row r="11" spans="2:21" ht="30">
      <c r="B11" s="100"/>
      <c r="C11" s="55" t="s">
        <v>3847</v>
      </c>
      <c r="D11" s="55" t="s">
        <v>3856</v>
      </c>
      <c r="E11" s="55" t="s">
        <v>3857</v>
      </c>
      <c r="F11" s="55" t="s">
        <v>3858</v>
      </c>
      <c r="G11" s="55" t="s">
        <v>3859</v>
      </c>
      <c r="H11" s="55" t="s">
        <v>3860</v>
      </c>
      <c r="I11" s="55" t="s">
        <v>3861</v>
      </c>
      <c r="J11" s="55" t="s">
        <v>3862</v>
      </c>
      <c r="K11" s="55" t="s">
        <v>3863</v>
      </c>
      <c r="L11" s="55" t="s">
        <v>3864</v>
      </c>
    </row>
    <row r="12" spans="2:21">
      <c r="B12" s="42" t="s">
        <v>3223</v>
      </c>
      <c r="C12" s="42" t="s">
        <v>3229</v>
      </c>
      <c r="D12" s="42" t="s">
        <v>3231</v>
      </c>
      <c r="E12" s="42" t="s">
        <v>3233</v>
      </c>
      <c r="F12" s="42" t="s">
        <v>3234</v>
      </c>
      <c r="G12" s="42" t="s">
        <v>3236</v>
      </c>
      <c r="H12" s="42" t="s">
        <v>3239</v>
      </c>
      <c r="I12" s="42" t="s">
        <v>3241</v>
      </c>
      <c r="J12" s="42" t="s">
        <v>3243</v>
      </c>
      <c r="K12" s="42" t="s">
        <v>3375</v>
      </c>
      <c r="L12" s="42" t="s">
        <v>3475</v>
      </c>
      <c r="T12" s="13" t="str">
        <f>Show!$B$79&amp;"S.15.02.01.01 Rows {"&amp;COLUMN($B$1)&amp;"}"&amp;"@ForceFilingCode:true"</f>
        <v>!S.15.02.01.01 Rows {2}@ForceFilingCode:true</v>
      </c>
      <c r="U12" s="13" t="str">
        <f>Show!$B$79&amp;"S.15.02.01.01 Columns {"&amp;COLUMN($B$1)&amp;"}"</f>
        <v>!S.15.02.01.01 Columns {2}</v>
      </c>
    </row>
    <row r="13" spans="2:21">
      <c r="B13" s="50"/>
      <c r="C13" s="51"/>
      <c r="D13" s="51"/>
      <c r="E13" s="51"/>
      <c r="F13" s="51"/>
      <c r="G13" s="51"/>
      <c r="H13" s="51"/>
      <c r="I13" s="51"/>
      <c r="J13" s="51"/>
      <c r="K13" s="60"/>
      <c r="L13" s="60"/>
    </row>
    <row r="15" spans="2:21">
      <c r="T15" s="13" t="str">
        <f>Show!$B$79&amp;Show!$B$79&amp;"S.15.02.01.01 Rows {"&amp;COLUMN($B$1)&amp;"}"</f>
        <v>!!S.15.02.01.01 Rows {2}</v>
      </c>
      <c r="U15" s="13" t="str">
        <f>Show!$B$79&amp;Show!$B$79&amp;"S.15.02.01.01 Columns {"&amp;COLUMN($L$1)&amp;"}"</f>
        <v>!!S.15.02.01.01 Columns {12}</v>
      </c>
    </row>
  </sheetData>
  <sheetProtection sheet="1" objects="1" scenarios="1"/>
  <mergeCells count="4">
    <mergeCell ref="B2:O2"/>
    <mergeCell ref="B5:L5"/>
    <mergeCell ref="B9:B11"/>
    <mergeCell ref="C9:L10"/>
  </mergeCells>
  <dataValidations count="2">
    <dataValidation type="list" errorStyle="warning" allowBlank="1" showInputMessage="1" showErrorMessage="1" sqref="D13" xr:uid="{D3D1F80E-FE41-46DF-A0EA-739F381D924A}">
      <formula1>hier_TB_2</formula1>
    </dataValidation>
    <dataValidation type="list" errorStyle="warning" allowBlank="1" showInputMessage="1" showErrorMessage="1" sqref="E13 F13 G13 H13 I13" xr:uid="{87F02BE4-5BA2-45B8-A6DA-C6A18B28DB1D}">
      <formula1>hier_CG_7</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287B-5DA9-4C42-9E2B-D5D770054404}">
  <sheetPr codeName="Blad84"/>
  <dimension ref="B2:X15"/>
  <sheetViews>
    <sheetView showGridLines="0" workbookViewId="0"/>
  </sheetViews>
  <sheetFormatPr defaultRowHeight="15"/>
  <cols>
    <col min="2" max="2" width="15" bestFit="1" customWidth="1"/>
    <col min="3" max="3" width="15.7109375" customWidth="1"/>
    <col min="4" max="12" width="40.7109375" customWidth="1"/>
    <col min="13" max="14" width="15.7109375" customWidth="1"/>
  </cols>
  <sheetData>
    <row r="2" spans="2:24" ht="23.25">
      <c r="B2" s="95" t="s">
        <v>629</v>
      </c>
      <c r="C2" s="96"/>
      <c r="D2" s="96"/>
      <c r="E2" s="96"/>
      <c r="F2" s="96"/>
      <c r="G2" s="96"/>
      <c r="H2" s="96"/>
      <c r="I2" s="96"/>
      <c r="J2" s="96"/>
      <c r="K2" s="96"/>
      <c r="L2" s="96"/>
      <c r="M2" s="96"/>
      <c r="N2" s="96"/>
      <c r="O2" s="96"/>
    </row>
    <row r="5" spans="2:24" ht="18.75">
      <c r="B5" s="97" t="s">
        <v>3865</v>
      </c>
      <c r="C5" s="96"/>
      <c r="D5" s="96"/>
      <c r="E5" s="96"/>
      <c r="F5" s="96"/>
      <c r="G5" s="96"/>
      <c r="H5" s="96"/>
      <c r="I5" s="96"/>
      <c r="J5" s="96"/>
      <c r="K5" s="96"/>
      <c r="L5" s="96"/>
    </row>
    <row r="9" spans="2:24">
      <c r="B9" s="98" t="s">
        <v>3824</v>
      </c>
      <c r="C9" s="98" t="s">
        <v>3245</v>
      </c>
      <c r="D9" s="101" t="s">
        <v>2877</v>
      </c>
      <c r="E9" s="102"/>
      <c r="F9" s="102"/>
      <c r="G9" s="102"/>
      <c r="H9" s="102"/>
      <c r="I9" s="102"/>
      <c r="J9" s="102"/>
      <c r="K9" s="102"/>
      <c r="L9" s="102"/>
      <c r="M9" s="102"/>
      <c r="N9" s="103"/>
    </row>
    <row r="10" spans="2:24">
      <c r="B10" s="99"/>
      <c r="C10" s="99"/>
      <c r="D10" s="104"/>
      <c r="E10" s="105"/>
      <c r="F10" s="105"/>
      <c r="G10" s="105"/>
      <c r="H10" s="105"/>
      <c r="I10" s="105"/>
      <c r="J10" s="105"/>
      <c r="K10" s="105"/>
      <c r="L10" s="105"/>
      <c r="M10" s="105"/>
      <c r="N10" s="106"/>
    </row>
    <row r="11" spans="2:24" ht="30">
      <c r="B11" s="100"/>
      <c r="C11" s="100"/>
      <c r="D11" s="55" t="s">
        <v>3246</v>
      </c>
      <c r="E11" s="55" t="s">
        <v>3847</v>
      </c>
      <c r="F11" s="55" t="s">
        <v>3856</v>
      </c>
      <c r="G11" s="55" t="s">
        <v>3857</v>
      </c>
      <c r="H11" s="55" t="s">
        <v>3858</v>
      </c>
      <c r="I11" s="55" t="s">
        <v>3859</v>
      </c>
      <c r="J11" s="55" t="s">
        <v>3860</v>
      </c>
      <c r="K11" s="55" t="s">
        <v>3861</v>
      </c>
      <c r="L11" s="55" t="s">
        <v>3862</v>
      </c>
      <c r="M11" s="55" t="s">
        <v>3863</v>
      </c>
      <c r="N11" s="55" t="s">
        <v>3864</v>
      </c>
    </row>
    <row r="12" spans="2:24">
      <c r="B12" s="42" t="s">
        <v>3223</v>
      </c>
      <c r="C12" s="42" t="s">
        <v>3219</v>
      </c>
      <c r="D12" s="42" t="s">
        <v>2879</v>
      </c>
      <c r="E12" s="42" t="s">
        <v>3229</v>
      </c>
      <c r="F12" s="42" t="s">
        <v>3231</v>
      </c>
      <c r="G12" s="42" t="s">
        <v>3233</v>
      </c>
      <c r="H12" s="42" t="s">
        <v>3234</v>
      </c>
      <c r="I12" s="42" t="s">
        <v>3236</v>
      </c>
      <c r="J12" s="42" t="s">
        <v>3239</v>
      </c>
      <c r="K12" s="42" t="s">
        <v>3241</v>
      </c>
      <c r="L12" s="42" t="s">
        <v>3243</v>
      </c>
      <c r="M12" s="42" t="s">
        <v>3375</v>
      </c>
      <c r="N12" s="42" t="s">
        <v>3475</v>
      </c>
      <c r="W12" s="13" t="str">
        <f>Show!$B$80&amp;"S.15.02.04.01 Rows {"&amp;COLUMN($B$1)&amp;"}"&amp;"@ForceFilingCode:true"</f>
        <v>!S.15.02.04.01 Rows {2}@ForceFilingCode:true</v>
      </c>
      <c r="X12" s="13" t="str">
        <f>Show!$B$80&amp;"S.15.02.04.01 Columns {"&amp;COLUMN($B$1)&amp;"}"</f>
        <v>!S.15.02.04.01 Columns {2}</v>
      </c>
    </row>
    <row r="13" spans="2:24">
      <c r="B13" s="50"/>
      <c r="C13" s="50"/>
      <c r="D13" s="51"/>
      <c r="E13" s="51"/>
      <c r="F13" s="51"/>
      <c r="G13" s="51"/>
      <c r="H13" s="51"/>
      <c r="I13" s="51"/>
      <c r="J13" s="51"/>
      <c r="K13" s="51"/>
      <c r="L13" s="51"/>
      <c r="M13" s="60"/>
      <c r="N13" s="60"/>
    </row>
    <row r="15" spans="2:24">
      <c r="W15" s="13" t="str">
        <f>Show!$B$80&amp;Show!$B$80&amp;"S.15.02.04.01 Rows {"&amp;COLUMN($B$1)&amp;"}"</f>
        <v>!!S.15.02.04.01 Rows {2}</v>
      </c>
      <c r="X15" s="13" t="str">
        <f>Show!$B$80&amp;Show!$B$80&amp;"S.15.02.04.01 Columns {"&amp;COLUMN($N$1)&amp;"}"</f>
        <v>!!S.15.02.04.01 Columns {14}</v>
      </c>
    </row>
  </sheetData>
  <sheetProtection sheet="1" objects="1" scenarios="1"/>
  <mergeCells count="5">
    <mergeCell ref="B2:O2"/>
    <mergeCell ref="B5:L5"/>
    <mergeCell ref="B9:B11"/>
    <mergeCell ref="C9:C11"/>
    <mergeCell ref="D9:N10"/>
  </mergeCells>
  <dataValidations count="2">
    <dataValidation type="list" errorStyle="warning" allowBlank="1" showInputMessage="1" showErrorMessage="1" sqref="F13" xr:uid="{25A1B43E-B142-4B2C-9CA4-971952BC38A2}">
      <formula1>hier_TB_2</formula1>
    </dataValidation>
    <dataValidation type="list" errorStyle="warning" allowBlank="1" showInputMessage="1" showErrorMessage="1" sqref="G13 H13 I13 J13 K13" xr:uid="{1D999FDD-BC80-468E-B4BC-83F8A27D295E}">
      <formula1>hier_CG_7</formula1>
    </dataValidation>
  </dataValidation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00E1-0368-4BD5-865A-1494B8590C93}">
  <sheetPr codeName="Blad85"/>
  <dimension ref="B2:P59"/>
  <sheetViews>
    <sheetView showGridLines="0" workbookViewId="0"/>
  </sheetViews>
  <sheetFormatPr defaultRowHeight="15"/>
  <cols>
    <col min="2" max="2" width="45.5703125" bestFit="1" customWidth="1"/>
    <col min="4" max="10" width="15.7109375" customWidth="1"/>
  </cols>
  <sheetData>
    <row r="2" spans="2:16" ht="23.25">
      <c r="B2" s="95" t="s">
        <v>632</v>
      </c>
      <c r="C2" s="96"/>
      <c r="D2" s="96"/>
      <c r="E2" s="96"/>
      <c r="F2" s="96"/>
      <c r="G2" s="96"/>
      <c r="H2" s="96"/>
      <c r="I2" s="96"/>
      <c r="J2" s="96"/>
      <c r="K2" s="96"/>
      <c r="L2" s="96"/>
      <c r="M2" s="96"/>
      <c r="N2" s="96"/>
      <c r="O2" s="96"/>
    </row>
    <row r="5" spans="2:16" ht="18.75">
      <c r="B5" s="97" t="s">
        <v>3866</v>
      </c>
      <c r="C5" s="96"/>
      <c r="D5" s="96"/>
      <c r="E5" s="96"/>
      <c r="F5" s="96"/>
      <c r="G5" s="96"/>
      <c r="H5" s="96"/>
      <c r="I5" s="96"/>
      <c r="J5" s="96"/>
      <c r="K5" s="96"/>
      <c r="L5" s="96"/>
    </row>
    <row r="7" spans="2:16">
      <c r="B7" t="s">
        <v>3110</v>
      </c>
      <c r="O7" s="13" t="str">
        <f>Show!$B$81&amp;"S.16.01.01.01 Table label {"&amp;COLUMN($C$1)&amp;"}"</f>
        <v>!S.16.01.01.01 Table label {3}</v>
      </c>
      <c r="P7" s="13" t="str">
        <f>Show!$B$81&amp;"S.16.01.01.01 Table value {"&amp;COLUMN($D$1)&amp;"}"</f>
        <v>!S.16.01.01.01 Table value {4}</v>
      </c>
    </row>
    <row r="8" spans="2:16">
      <c r="B8" t="s">
        <v>3111</v>
      </c>
    </row>
    <row r="9" spans="2:16">
      <c r="B9" s="40" t="s">
        <v>3867</v>
      </c>
      <c r="C9" s="53" t="s">
        <v>3113</v>
      </c>
      <c r="D9" s="51"/>
    </row>
    <row r="10" spans="2:16">
      <c r="B10" s="40" t="s">
        <v>3868</v>
      </c>
      <c r="C10" s="53" t="s">
        <v>3115</v>
      </c>
      <c r="D10" s="51"/>
    </row>
    <row r="11" spans="2:16">
      <c r="B11" s="40" t="s">
        <v>3606</v>
      </c>
      <c r="C11" s="53" t="s">
        <v>3323</v>
      </c>
      <c r="D11" s="51"/>
    </row>
    <row r="12" spans="2:16">
      <c r="O12" s="13" t="str">
        <f>Show!$B$81&amp;Show!$B$81&amp;"S.16.01.01.01 Table label {"&amp;COLUMN($C$1)&amp;"}"</f>
        <v>!!S.16.01.01.01 Table label {3}</v>
      </c>
      <c r="P12" s="13" t="str">
        <f>Show!$B$81&amp;Show!$B$81&amp;"S.16.01.01.01 Table value {"&amp;COLUMN($D$1)&amp;"}"</f>
        <v>!!S.16.01.01.01 Table value {4}</v>
      </c>
    </row>
    <row r="14" spans="2:16">
      <c r="D14" s="98" t="s">
        <v>2877</v>
      </c>
    </row>
    <row r="15" spans="2:16">
      <c r="D15" s="100"/>
    </row>
    <row r="16" spans="2:16" ht="30">
      <c r="D16" s="55" t="s">
        <v>3869</v>
      </c>
    </row>
    <row r="17" spans="2:16">
      <c r="D17" s="45" t="s">
        <v>2879</v>
      </c>
      <c r="O17" s="13" t="str">
        <f>Show!$B$81&amp;"S.16.01.01.01 Rows {"&amp;COLUMN($C$1)&amp;"}"&amp;"@ForceFilingCode:true"</f>
        <v>!S.16.01.01.01 Rows {3}@ForceFilingCode:true</v>
      </c>
      <c r="P17" s="13" t="str">
        <f>Show!$B$81&amp;"S.16.01.01.01 Columns {"&amp;COLUMN($D$1)&amp;"}"</f>
        <v>!S.16.01.01.01 Columns {4}</v>
      </c>
    </row>
    <row r="18" spans="2:16">
      <c r="B18" s="43" t="s">
        <v>2880</v>
      </c>
      <c r="C18" s="44" t="s">
        <v>2878</v>
      </c>
      <c r="D18" s="46"/>
    </row>
    <row r="19" spans="2:16">
      <c r="B19" s="47" t="s">
        <v>3870</v>
      </c>
      <c r="C19" s="41" t="s">
        <v>2883</v>
      </c>
      <c r="D19" s="70"/>
    </row>
    <row r="20" spans="2:16">
      <c r="B20" s="47" t="s">
        <v>3871</v>
      </c>
      <c r="C20" s="41" t="s">
        <v>2885</v>
      </c>
      <c r="D20" s="69"/>
    </row>
    <row r="21" spans="2:16">
      <c r="B21" s="47" t="s">
        <v>3872</v>
      </c>
      <c r="C21" s="41" t="s">
        <v>2887</v>
      </c>
      <c r="D21" s="69"/>
    </row>
    <row r="23" spans="2:16">
      <c r="O23" s="13" t="str">
        <f>Show!$B$81&amp;Show!$B$81&amp;"S.16.01.01.01 Rows {"&amp;COLUMN($C$1)&amp;"}"</f>
        <v>!!S.16.01.01.01 Rows {3}</v>
      </c>
      <c r="P23" s="13" t="str">
        <f>Show!$B$81&amp;Show!$B$81&amp;"S.16.01.01.01 Columns {"&amp;COLUMN($D$1)&amp;"}"</f>
        <v>!!S.16.01.01.01 Columns {4}</v>
      </c>
    </row>
    <row r="25" spans="2:16" ht="18.75">
      <c r="B25" s="97" t="s">
        <v>3873</v>
      </c>
      <c r="C25" s="96"/>
      <c r="D25" s="96"/>
      <c r="E25" s="96"/>
      <c r="F25" s="96"/>
      <c r="G25" s="96"/>
      <c r="H25" s="96"/>
      <c r="I25" s="96"/>
      <c r="J25" s="96"/>
      <c r="K25" s="96"/>
      <c r="L25" s="96"/>
    </row>
    <row r="27" spans="2:16">
      <c r="B27" t="s">
        <v>3110</v>
      </c>
      <c r="O27" s="13" t="str">
        <f>Show!$B$81&amp;"S.16.01.01.02 Table label {"&amp;COLUMN($C$1)&amp;"}"</f>
        <v>!S.16.01.01.02 Table label {3}</v>
      </c>
      <c r="P27" s="13" t="str">
        <f>Show!$B$81&amp;"S.16.01.01.02 Table value {"&amp;COLUMN($D$1)&amp;"}"</f>
        <v>!S.16.01.01.02 Table value {4}</v>
      </c>
    </row>
    <row r="28" spans="2:16">
      <c r="B28" t="s">
        <v>3111</v>
      </c>
    </row>
    <row r="29" spans="2:16">
      <c r="B29" s="40" t="s">
        <v>3867</v>
      </c>
      <c r="C29" s="53" t="s">
        <v>3113</v>
      </c>
      <c r="D29" s="51"/>
    </row>
    <row r="30" spans="2:16">
      <c r="B30" s="40" t="s">
        <v>3868</v>
      </c>
      <c r="C30" s="53" t="s">
        <v>3115</v>
      </c>
      <c r="D30" s="51"/>
    </row>
    <row r="31" spans="2:16">
      <c r="B31" s="40" t="s">
        <v>3606</v>
      </c>
      <c r="C31" s="53" t="s">
        <v>3323</v>
      </c>
      <c r="D31" s="51"/>
    </row>
    <row r="32" spans="2:16">
      <c r="B32" s="40" t="s">
        <v>3874</v>
      </c>
      <c r="C32" s="53" t="s">
        <v>3875</v>
      </c>
      <c r="D32" s="51"/>
    </row>
    <row r="33" spans="2:16">
      <c r="O33" s="13" t="str">
        <f>Show!$B$81&amp;Show!$B$81&amp;"S.16.01.01.02 Table label {"&amp;COLUMN($C$1)&amp;"}"</f>
        <v>!!S.16.01.01.02 Table label {3}</v>
      </c>
      <c r="P33" s="13" t="str">
        <f>Show!$B$81&amp;Show!$B$81&amp;"S.16.01.01.02 Table value {"&amp;COLUMN($D$1)&amp;"}"</f>
        <v>!!S.16.01.01.02 Table value {4}</v>
      </c>
    </row>
    <row r="35" spans="2:16">
      <c r="D35" s="101" t="s">
        <v>2877</v>
      </c>
      <c r="E35" s="102"/>
      <c r="F35" s="102"/>
      <c r="G35" s="102"/>
      <c r="H35" s="102"/>
      <c r="I35" s="102"/>
      <c r="J35" s="103"/>
    </row>
    <row r="36" spans="2:16">
      <c r="D36" s="104"/>
      <c r="E36" s="105"/>
      <c r="F36" s="105"/>
      <c r="G36" s="105"/>
      <c r="H36" s="105"/>
      <c r="I36" s="105"/>
      <c r="J36" s="106"/>
    </row>
    <row r="37" spans="2:16">
      <c r="D37" s="98" t="s">
        <v>3876</v>
      </c>
      <c r="E37" s="98" t="s">
        <v>3877</v>
      </c>
      <c r="F37" s="98" t="s">
        <v>3878</v>
      </c>
      <c r="G37" s="98" t="s">
        <v>3879</v>
      </c>
      <c r="H37" s="98" t="s">
        <v>3880</v>
      </c>
      <c r="I37" s="98" t="s">
        <v>3881</v>
      </c>
      <c r="J37" s="98" t="s">
        <v>3882</v>
      </c>
    </row>
    <row r="38" spans="2:16">
      <c r="D38" s="100"/>
      <c r="E38" s="100"/>
      <c r="F38" s="100"/>
      <c r="G38" s="100"/>
      <c r="H38" s="100"/>
      <c r="I38" s="100"/>
      <c r="J38" s="100"/>
    </row>
    <row r="39" spans="2:16">
      <c r="D39" s="45" t="s">
        <v>3219</v>
      </c>
      <c r="E39" s="45" t="s">
        <v>3225</v>
      </c>
      <c r="F39" s="45" t="s">
        <v>3223</v>
      </c>
      <c r="G39" s="45" t="s">
        <v>3229</v>
      </c>
      <c r="H39" s="45" t="s">
        <v>3231</v>
      </c>
      <c r="I39" s="45" t="s">
        <v>3233</v>
      </c>
      <c r="J39" s="45" t="s">
        <v>3234</v>
      </c>
      <c r="O39" s="13" t="str">
        <f>Show!$B$81&amp;"S.16.01.01.02 Rows {"&amp;COLUMN($C$1)&amp;"}"&amp;"@ForceFilingCode:true"</f>
        <v>!S.16.01.01.02 Rows {3}@ForceFilingCode:true</v>
      </c>
      <c r="P39" s="13" t="str">
        <f>Show!$B$81&amp;"S.16.01.01.02 Columns {"&amp;COLUMN($D$1)&amp;"}"</f>
        <v>!S.16.01.01.02 Columns {4}</v>
      </c>
    </row>
    <row r="40" spans="2:16">
      <c r="B40" s="43" t="s">
        <v>2880</v>
      </c>
      <c r="C40" s="44" t="s">
        <v>2878</v>
      </c>
      <c r="D40" s="56"/>
      <c r="E40" s="66"/>
      <c r="F40" s="66"/>
      <c r="G40" s="66"/>
      <c r="H40" s="66"/>
      <c r="I40" s="66"/>
      <c r="J40" s="57"/>
    </row>
    <row r="41" spans="2:16">
      <c r="B41" s="47" t="s">
        <v>3883</v>
      </c>
      <c r="C41" s="41" t="s">
        <v>2889</v>
      </c>
      <c r="D41" s="60"/>
      <c r="E41" s="60"/>
      <c r="F41" s="60"/>
      <c r="G41" s="60"/>
      <c r="H41" s="50"/>
      <c r="I41" s="60"/>
      <c r="J41" s="60"/>
    </row>
    <row r="42" spans="2:16">
      <c r="B42" s="49" t="s">
        <v>3884</v>
      </c>
      <c r="C42" s="41" t="s">
        <v>3078</v>
      </c>
      <c r="D42" s="60"/>
      <c r="E42" s="60"/>
      <c r="F42" s="60"/>
      <c r="G42" s="60"/>
      <c r="H42" s="50"/>
      <c r="I42" s="60"/>
      <c r="J42" s="60"/>
    </row>
    <row r="43" spans="2:16">
      <c r="B43" s="49" t="s">
        <v>3885</v>
      </c>
      <c r="C43" s="41" t="s">
        <v>2891</v>
      </c>
      <c r="D43" s="60"/>
      <c r="E43" s="60"/>
      <c r="F43" s="60"/>
      <c r="G43" s="60"/>
      <c r="H43" s="50"/>
      <c r="I43" s="60"/>
      <c r="J43" s="60"/>
    </row>
    <row r="44" spans="2:16">
      <c r="B44" s="49" t="s">
        <v>3886</v>
      </c>
      <c r="C44" s="41" t="s">
        <v>2893</v>
      </c>
      <c r="D44" s="60"/>
      <c r="E44" s="60"/>
      <c r="F44" s="60"/>
      <c r="G44" s="60"/>
      <c r="H44" s="50"/>
      <c r="I44" s="60"/>
      <c r="J44" s="60"/>
    </row>
    <row r="45" spans="2:16">
      <c r="B45" s="49" t="s">
        <v>3887</v>
      </c>
      <c r="C45" s="41" t="s">
        <v>2895</v>
      </c>
      <c r="D45" s="60"/>
      <c r="E45" s="60"/>
      <c r="F45" s="60"/>
      <c r="G45" s="60"/>
      <c r="H45" s="50"/>
      <c r="I45" s="60"/>
      <c r="J45" s="60"/>
    </row>
    <row r="46" spans="2:16">
      <c r="B46" s="49" t="s">
        <v>3888</v>
      </c>
      <c r="C46" s="41" t="s">
        <v>2897</v>
      </c>
      <c r="D46" s="60"/>
      <c r="E46" s="60"/>
      <c r="F46" s="60"/>
      <c r="G46" s="60"/>
      <c r="H46" s="50"/>
      <c r="I46" s="60"/>
      <c r="J46" s="60"/>
    </row>
    <row r="47" spans="2:16">
      <c r="B47" s="49" t="s">
        <v>3889</v>
      </c>
      <c r="C47" s="41" t="s">
        <v>2899</v>
      </c>
      <c r="D47" s="60"/>
      <c r="E47" s="60"/>
      <c r="F47" s="60"/>
      <c r="G47" s="60"/>
      <c r="H47" s="50"/>
      <c r="I47" s="60"/>
      <c r="J47" s="60"/>
    </row>
    <row r="48" spans="2:16">
      <c r="B48" s="49" t="s">
        <v>3890</v>
      </c>
      <c r="C48" s="41" t="s">
        <v>2901</v>
      </c>
      <c r="D48" s="60"/>
      <c r="E48" s="60"/>
      <c r="F48" s="60"/>
      <c r="G48" s="60"/>
      <c r="H48" s="50"/>
      <c r="I48" s="60"/>
      <c r="J48" s="60"/>
    </row>
    <row r="49" spans="2:16">
      <c r="B49" s="49" t="s">
        <v>3891</v>
      </c>
      <c r="C49" s="41" t="s">
        <v>2903</v>
      </c>
      <c r="D49" s="60"/>
      <c r="E49" s="60"/>
      <c r="F49" s="60"/>
      <c r="G49" s="60"/>
      <c r="H49" s="50"/>
      <c r="I49" s="60"/>
      <c r="J49" s="60"/>
    </row>
    <row r="50" spans="2:16">
      <c r="B50" s="49" t="s">
        <v>3892</v>
      </c>
      <c r="C50" s="41" t="s">
        <v>2905</v>
      </c>
      <c r="D50" s="60"/>
      <c r="E50" s="60"/>
      <c r="F50" s="60"/>
      <c r="G50" s="60"/>
      <c r="H50" s="50"/>
      <c r="I50" s="60"/>
      <c r="J50" s="60"/>
    </row>
    <row r="51" spans="2:16">
      <c r="B51" s="49" t="s">
        <v>3893</v>
      </c>
      <c r="C51" s="41" t="s">
        <v>2907</v>
      </c>
      <c r="D51" s="60"/>
      <c r="E51" s="60"/>
      <c r="F51" s="60"/>
      <c r="G51" s="60"/>
      <c r="H51" s="50"/>
      <c r="I51" s="60"/>
      <c r="J51" s="60"/>
    </row>
    <row r="52" spans="2:16">
      <c r="B52" s="49" t="s">
        <v>3894</v>
      </c>
      <c r="C52" s="41" t="s">
        <v>2909</v>
      </c>
      <c r="D52" s="60"/>
      <c r="E52" s="60"/>
      <c r="F52" s="60"/>
      <c r="G52" s="60"/>
      <c r="H52" s="50"/>
      <c r="I52" s="60"/>
      <c r="J52" s="60"/>
    </row>
    <row r="53" spans="2:16">
      <c r="B53" s="49" t="s">
        <v>3895</v>
      </c>
      <c r="C53" s="41" t="s">
        <v>2911</v>
      </c>
      <c r="D53" s="60"/>
      <c r="E53" s="60"/>
      <c r="F53" s="60"/>
      <c r="G53" s="60"/>
      <c r="H53" s="50"/>
      <c r="I53" s="60"/>
      <c r="J53" s="60"/>
    </row>
    <row r="54" spans="2:16">
      <c r="B54" s="49" t="s">
        <v>3896</v>
      </c>
      <c r="C54" s="41" t="s">
        <v>2913</v>
      </c>
      <c r="D54" s="60"/>
      <c r="E54" s="60"/>
      <c r="F54" s="60"/>
      <c r="G54" s="60"/>
      <c r="H54" s="50"/>
      <c r="I54" s="60"/>
      <c r="J54" s="60"/>
    </row>
    <row r="55" spans="2:16">
      <c r="B55" s="49" t="s">
        <v>3897</v>
      </c>
      <c r="C55" s="41" t="s">
        <v>2915</v>
      </c>
      <c r="D55" s="60"/>
      <c r="E55" s="60"/>
      <c r="F55" s="60"/>
      <c r="G55" s="60"/>
      <c r="H55" s="50"/>
      <c r="I55" s="60"/>
      <c r="J55" s="60"/>
    </row>
    <row r="56" spans="2:16">
      <c r="B56" s="49" t="s">
        <v>3898</v>
      </c>
      <c r="C56" s="41" t="s">
        <v>2917</v>
      </c>
      <c r="D56" s="60"/>
      <c r="E56" s="60"/>
      <c r="F56" s="60"/>
      <c r="G56" s="60"/>
      <c r="H56" s="50"/>
      <c r="I56" s="60"/>
      <c r="J56" s="60"/>
    </row>
    <row r="57" spans="2:16">
      <c r="B57" s="47" t="s">
        <v>3480</v>
      </c>
      <c r="C57" s="41" t="s">
        <v>2919</v>
      </c>
      <c r="D57" s="60"/>
      <c r="E57" s="60"/>
      <c r="F57" s="60"/>
      <c r="G57" s="60"/>
      <c r="H57" s="50"/>
      <c r="I57" s="60"/>
      <c r="J57" s="60"/>
    </row>
    <row r="59" spans="2:16">
      <c r="O59" s="13" t="str">
        <f>Show!$B$81&amp;Show!$B$81&amp;"S.16.01.01.02 Rows {"&amp;COLUMN($C$1)&amp;"}"</f>
        <v>!!S.16.01.01.02 Rows {3}</v>
      </c>
      <c r="P59" s="13" t="str">
        <f>Show!$B$81&amp;Show!$B$81&amp;"S.16.01.01.02 Columns {"&amp;COLUMN($J$1)&amp;"}"</f>
        <v>!!S.16.01.01.02 Columns {10}</v>
      </c>
    </row>
  </sheetData>
  <sheetProtection sheet="1" objects="1" scenarios="1"/>
  <mergeCells count="12">
    <mergeCell ref="I37:I38"/>
    <mergeCell ref="J37:J38"/>
    <mergeCell ref="B2:O2"/>
    <mergeCell ref="B5:L5"/>
    <mergeCell ref="D14:D15"/>
    <mergeCell ref="B25:L25"/>
    <mergeCell ref="D35:J36"/>
    <mergeCell ref="D37:D38"/>
    <mergeCell ref="E37:E38"/>
    <mergeCell ref="F37:F38"/>
    <mergeCell ref="G37:G38"/>
    <mergeCell ref="H37:H38"/>
  </mergeCells>
  <dataValidations count="4">
    <dataValidation type="list" errorStyle="warning" allowBlank="1" showInputMessage="1" showErrorMessage="1" sqref="D9 D29" xr:uid="{81739ECB-CEC5-4A38-AA23-71255F50F9FB}">
      <formula1>hier_LB_31</formula1>
    </dataValidation>
    <dataValidation type="list" errorStyle="warning" allowBlank="1" showInputMessage="1" showErrorMessage="1" sqref="D10 D30" xr:uid="{AC7C1087-9FF5-45C5-A58E-BF8F80B4288F}">
      <formula1>hier_AM_8</formula1>
    </dataValidation>
    <dataValidation type="list" errorStyle="warning" allowBlank="1" showInputMessage="1" showErrorMessage="1" sqref="D11 D31" xr:uid="{9CA99EEC-E12E-4401-AC7A-39F9823F48C0}">
      <formula1>hier_CU_1</formula1>
    </dataValidation>
    <dataValidation type="list" errorStyle="warning" allowBlank="1" showInputMessage="1" showErrorMessage="1" sqref="D32" xr:uid="{8474AC40-B615-4E2B-B8FC-1D4ACCA79E1D}">
      <formula1>hier_CA_1</formula1>
    </dataValidation>
  </dataValidation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A23A-EF8F-4F43-AC4E-DDD9A5AF0FCA}">
  <sheetPr codeName="Blad86"/>
  <dimension ref="B2:AB81"/>
  <sheetViews>
    <sheetView showGridLines="0" workbookViewId="0"/>
  </sheetViews>
  <sheetFormatPr defaultRowHeight="15"/>
  <cols>
    <col min="2" max="2" width="85.140625" bestFit="1" customWidth="1"/>
    <col min="4" max="20" width="15.7109375" customWidth="1"/>
  </cols>
  <sheetData>
    <row r="2" spans="2:28" ht="23.25">
      <c r="B2" s="95" t="s">
        <v>634</v>
      </c>
      <c r="C2" s="96"/>
      <c r="D2" s="96"/>
      <c r="E2" s="96"/>
      <c r="F2" s="96"/>
      <c r="G2" s="96"/>
      <c r="H2" s="96"/>
      <c r="I2" s="96"/>
      <c r="J2" s="96"/>
      <c r="K2" s="96"/>
      <c r="L2" s="96"/>
      <c r="M2" s="96"/>
      <c r="N2" s="96"/>
      <c r="O2" s="96"/>
    </row>
    <row r="5" spans="2:28" ht="18.75">
      <c r="B5" s="97" t="s">
        <v>3899</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2"/>
      <c r="T9" s="103"/>
    </row>
    <row r="10" spans="2:28">
      <c r="D10" s="104"/>
      <c r="E10" s="105"/>
      <c r="F10" s="105"/>
      <c r="G10" s="105"/>
      <c r="H10" s="105"/>
      <c r="I10" s="105"/>
      <c r="J10" s="105"/>
      <c r="K10" s="105"/>
      <c r="L10" s="105"/>
      <c r="M10" s="105"/>
      <c r="N10" s="105"/>
      <c r="O10" s="105"/>
      <c r="P10" s="105"/>
      <c r="Q10" s="105"/>
      <c r="R10" s="105"/>
      <c r="S10" s="105"/>
      <c r="T10" s="106"/>
    </row>
    <row r="11" spans="2:28">
      <c r="D11" s="107" t="s">
        <v>3900</v>
      </c>
      <c r="E11" s="108"/>
      <c r="F11" s="108"/>
      <c r="G11" s="108"/>
      <c r="H11" s="108"/>
      <c r="I11" s="108"/>
      <c r="J11" s="108"/>
      <c r="K11" s="108"/>
      <c r="L11" s="108"/>
      <c r="M11" s="108"/>
      <c r="N11" s="108"/>
      <c r="O11" s="109"/>
      <c r="P11" s="107" t="s">
        <v>3901</v>
      </c>
      <c r="Q11" s="108"/>
      <c r="R11" s="108"/>
      <c r="S11" s="109"/>
      <c r="T11" s="98" t="s">
        <v>3906</v>
      </c>
    </row>
    <row r="12" spans="2:28">
      <c r="D12" s="98" t="s">
        <v>3460</v>
      </c>
      <c r="E12" s="98" t="s">
        <v>3461</v>
      </c>
      <c r="F12" s="98" t="s">
        <v>3462</v>
      </c>
      <c r="G12" s="98" t="s">
        <v>3463</v>
      </c>
      <c r="H12" s="98" t="s">
        <v>3464</v>
      </c>
      <c r="I12" s="98" t="s">
        <v>3465</v>
      </c>
      <c r="J12" s="98" t="s">
        <v>3466</v>
      </c>
      <c r="K12" s="98" t="s">
        <v>3467</v>
      </c>
      <c r="L12" s="98" t="s">
        <v>3468</v>
      </c>
      <c r="M12" s="98" t="s">
        <v>3469</v>
      </c>
      <c r="N12" s="98" t="s">
        <v>3470</v>
      </c>
      <c r="O12" s="98" t="s">
        <v>3471</v>
      </c>
      <c r="P12" s="98" t="s">
        <v>3902</v>
      </c>
      <c r="Q12" s="98" t="s">
        <v>3903</v>
      </c>
      <c r="R12" s="98" t="s">
        <v>3904</v>
      </c>
      <c r="S12" s="98" t="s">
        <v>3905</v>
      </c>
      <c r="T12" s="99"/>
    </row>
    <row r="13" spans="2:28">
      <c r="D13" s="99"/>
      <c r="E13" s="99"/>
      <c r="F13" s="99"/>
      <c r="G13" s="99"/>
      <c r="H13" s="99"/>
      <c r="I13" s="99"/>
      <c r="J13" s="99"/>
      <c r="K13" s="99"/>
      <c r="L13" s="99"/>
      <c r="M13" s="99"/>
      <c r="N13" s="99"/>
      <c r="O13" s="99"/>
      <c r="P13" s="99"/>
      <c r="Q13" s="99"/>
      <c r="R13" s="99"/>
      <c r="S13" s="99"/>
      <c r="T13" s="99"/>
    </row>
    <row r="14" spans="2:28">
      <c r="D14" s="99"/>
      <c r="E14" s="99"/>
      <c r="F14" s="99"/>
      <c r="G14" s="99"/>
      <c r="H14" s="99"/>
      <c r="I14" s="99"/>
      <c r="J14" s="99"/>
      <c r="K14" s="99"/>
      <c r="L14" s="99"/>
      <c r="M14" s="99"/>
      <c r="N14" s="99"/>
      <c r="O14" s="99"/>
      <c r="P14" s="99"/>
      <c r="Q14" s="99"/>
      <c r="R14" s="99"/>
      <c r="S14" s="99"/>
      <c r="T14" s="99"/>
    </row>
    <row r="15" spans="2:28">
      <c r="D15" s="100"/>
      <c r="E15" s="100"/>
      <c r="F15" s="100"/>
      <c r="G15" s="100"/>
      <c r="H15" s="100"/>
      <c r="I15" s="100"/>
      <c r="J15" s="100"/>
      <c r="K15" s="100"/>
      <c r="L15" s="100"/>
      <c r="M15" s="100"/>
      <c r="N15" s="100"/>
      <c r="O15" s="100"/>
      <c r="P15" s="100"/>
      <c r="Q15" s="100"/>
      <c r="R15" s="100"/>
      <c r="S15" s="100"/>
      <c r="T15" s="100"/>
    </row>
    <row r="16" spans="2:28">
      <c r="D16" s="45" t="s">
        <v>3219</v>
      </c>
      <c r="E16" s="45" t="s">
        <v>3225</v>
      </c>
      <c r="F16" s="45" t="s">
        <v>3223</v>
      </c>
      <c r="G16" s="45" t="s">
        <v>3229</v>
      </c>
      <c r="H16" s="45" t="s">
        <v>3231</v>
      </c>
      <c r="I16" s="45" t="s">
        <v>3233</v>
      </c>
      <c r="J16" s="45" t="s">
        <v>3234</v>
      </c>
      <c r="K16" s="45" t="s">
        <v>3236</v>
      </c>
      <c r="L16" s="45" t="s">
        <v>3239</v>
      </c>
      <c r="M16" s="45" t="s">
        <v>3241</v>
      </c>
      <c r="N16" s="45" t="s">
        <v>3243</v>
      </c>
      <c r="O16" s="45" t="s">
        <v>3375</v>
      </c>
      <c r="P16" s="45" t="s">
        <v>3475</v>
      </c>
      <c r="Q16" s="45" t="s">
        <v>3477</v>
      </c>
      <c r="R16" s="45" t="s">
        <v>3479</v>
      </c>
      <c r="S16" s="45" t="s">
        <v>3594</v>
      </c>
      <c r="T16" s="45" t="s">
        <v>3596</v>
      </c>
      <c r="AA16" s="13" t="str">
        <f>Show!$B$82&amp;"S.17.01.01.01 Rows {"&amp;COLUMN($C$1)&amp;"}"&amp;"@ForceFilingCode:true"</f>
        <v>!S.17.01.01.01 Rows {3}@ForceFilingCode:true</v>
      </c>
      <c r="AB16" s="13" t="str">
        <f>Show!$B$82&amp;"S.17.01.01.01 Columns {"&amp;COLUMN($D$1)&amp;"}"</f>
        <v>!S.17.01.01.01 Columns {4}</v>
      </c>
    </row>
    <row r="17" spans="2:20">
      <c r="B17" s="43" t="s">
        <v>2880</v>
      </c>
      <c r="C17" s="44" t="s">
        <v>2878</v>
      </c>
      <c r="D17" s="56"/>
      <c r="E17" s="66"/>
      <c r="F17" s="66"/>
      <c r="G17" s="66"/>
      <c r="H17" s="66"/>
      <c r="I17" s="66"/>
      <c r="J17" s="66"/>
      <c r="K17" s="66"/>
      <c r="L17" s="66"/>
      <c r="M17" s="66"/>
      <c r="N17" s="66"/>
      <c r="O17" s="66"/>
      <c r="P17" s="66"/>
      <c r="Q17" s="66"/>
      <c r="R17" s="66"/>
      <c r="S17" s="66"/>
      <c r="T17" s="57"/>
    </row>
    <row r="18" spans="2:20">
      <c r="B18" s="47" t="s">
        <v>3291</v>
      </c>
      <c r="C18" s="41" t="s">
        <v>2883</v>
      </c>
      <c r="D18" s="60"/>
      <c r="E18" s="60"/>
      <c r="F18" s="60"/>
      <c r="G18" s="60"/>
      <c r="H18" s="60"/>
      <c r="I18" s="60"/>
      <c r="J18" s="60"/>
      <c r="K18" s="60"/>
      <c r="L18" s="60"/>
      <c r="M18" s="60"/>
      <c r="N18" s="60"/>
      <c r="O18" s="60"/>
      <c r="P18" s="63"/>
      <c r="Q18" s="63"/>
      <c r="R18" s="63"/>
      <c r="S18" s="63"/>
      <c r="T18" s="60"/>
    </row>
    <row r="19" spans="2:20">
      <c r="B19" s="49" t="s">
        <v>3907</v>
      </c>
      <c r="C19" s="41" t="s">
        <v>2885</v>
      </c>
      <c r="D19" s="60"/>
      <c r="E19" s="60"/>
      <c r="F19" s="60"/>
      <c r="G19" s="60"/>
      <c r="H19" s="60"/>
      <c r="I19" s="60"/>
      <c r="J19" s="60"/>
      <c r="K19" s="60"/>
      <c r="L19" s="60"/>
      <c r="M19" s="60"/>
      <c r="N19" s="60"/>
      <c r="O19" s="64"/>
      <c r="P19" s="58"/>
      <c r="Q19" s="58"/>
      <c r="R19" s="58"/>
      <c r="S19" s="48"/>
      <c r="T19" s="60"/>
    </row>
    <row r="20" spans="2:20">
      <c r="B20" s="49" t="s">
        <v>3908</v>
      </c>
      <c r="C20" s="41" t="s">
        <v>2887</v>
      </c>
      <c r="D20" s="63"/>
      <c r="E20" s="63"/>
      <c r="F20" s="63"/>
      <c r="G20" s="63"/>
      <c r="H20" s="63"/>
      <c r="I20" s="63"/>
      <c r="J20" s="63"/>
      <c r="K20" s="63"/>
      <c r="L20" s="63"/>
      <c r="M20" s="63"/>
      <c r="N20" s="63"/>
      <c r="O20" s="65"/>
      <c r="P20" s="56"/>
      <c r="Q20" s="56"/>
      <c r="R20" s="56"/>
      <c r="S20" s="46"/>
      <c r="T20" s="60"/>
    </row>
    <row r="21" spans="2:20">
      <c r="B21" s="49" t="s">
        <v>3909</v>
      </c>
      <c r="C21" s="44" t="s">
        <v>2889</v>
      </c>
      <c r="D21" s="56"/>
      <c r="E21" s="56"/>
      <c r="F21" s="56"/>
      <c r="G21" s="56"/>
      <c r="H21" s="56"/>
      <c r="I21" s="56"/>
      <c r="J21" s="56"/>
      <c r="K21" s="56"/>
      <c r="L21" s="56"/>
      <c r="M21" s="56"/>
      <c r="N21" s="56"/>
      <c r="O21" s="46"/>
      <c r="P21" s="60"/>
      <c r="Q21" s="60"/>
      <c r="R21" s="60"/>
      <c r="S21" s="60"/>
      <c r="T21" s="60"/>
    </row>
    <row r="22" spans="2:20" ht="30">
      <c r="B22" s="47" t="s">
        <v>3752</v>
      </c>
      <c r="C22" s="41" t="s">
        <v>3078</v>
      </c>
      <c r="D22" s="63"/>
      <c r="E22" s="63"/>
      <c r="F22" s="63"/>
      <c r="G22" s="63"/>
      <c r="H22" s="63"/>
      <c r="I22" s="63"/>
      <c r="J22" s="63"/>
      <c r="K22" s="63"/>
      <c r="L22" s="63"/>
      <c r="M22" s="63"/>
      <c r="N22" s="63"/>
      <c r="O22" s="63"/>
      <c r="P22" s="63"/>
      <c r="Q22" s="63"/>
      <c r="R22" s="63"/>
      <c r="S22" s="63"/>
      <c r="T22" s="63"/>
    </row>
    <row r="23" spans="2:20">
      <c r="B23" s="47" t="s">
        <v>3753</v>
      </c>
      <c r="C23" s="44" t="s">
        <v>2878</v>
      </c>
      <c r="D23" s="58"/>
      <c r="E23" s="67"/>
      <c r="F23" s="67"/>
      <c r="G23" s="67"/>
      <c r="H23" s="67"/>
      <c r="I23" s="67"/>
      <c r="J23" s="67"/>
      <c r="K23" s="67"/>
      <c r="L23" s="67"/>
      <c r="M23" s="67"/>
      <c r="N23" s="67"/>
      <c r="O23" s="67"/>
      <c r="P23" s="67"/>
      <c r="Q23" s="67"/>
      <c r="R23" s="67"/>
      <c r="S23" s="67"/>
      <c r="T23" s="59"/>
    </row>
    <row r="24" spans="2:20">
      <c r="B24" s="49" t="s">
        <v>3764</v>
      </c>
      <c r="C24" s="44" t="s">
        <v>2878</v>
      </c>
      <c r="D24" s="58"/>
      <c r="E24" s="67"/>
      <c r="F24" s="67"/>
      <c r="G24" s="67"/>
      <c r="H24" s="67"/>
      <c r="I24" s="67"/>
      <c r="J24" s="67"/>
      <c r="K24" s="67"/>
      <c r="L24" s="67"/>
      <c r="M24" s="67"/>
      <c r="N24" s="67"/>
      <c r="O24" s="67"/>
      <c r="P24" s="67"/>
      <c r="Q24" s="67"/>
      <c r="R24" s="67"/>
      <c r="S24" s="67"/>
      <c r="T24" s="59"/>
    </row>
    <row r="25" spans="2:20">
      <c r="B25" s="61" t="s">
        <v>3910</v>
      </c>
      <c r="C25" s="44" t="s">
        <v>2878</v>
      </c>
      <c r="D25" s="56"/>
      <c r="E25" s="66"/>
      <c r="F25" s="66"/>
      <c r="G25" s="66"/>
      <c r="H25" s="66"/>
      <c r="I25" s="66"/>
      <c r="J25" s="66"/>
      <c r="K25" s="66"/>
      <c r="L25" s="66"/>
      <c r="M25" s="66"/>
      <c r="N25" s="66"/>
      <c r="O25" s="66"/>
      <c r="P25" s="66"/>
      <c r="Q25" s="66"/>
      <c r="R25" s="66"/>
      <c r="S25" s="66"/>
      <c r="T25" s="57"/>
    </row>
    <row r="26" spans="2:20">
      <c r="B26" s="62" t="s">
        <v>3911</v>
      </c>
      <c r="C26" s="41" t="s">
        <v>2891</v>
      </c>
      <c r="D26" s="60"/>
      <c r="E26" s="60"/>
      <c r="F26" s="60"/>
      <c r="G26" s="60"/>
      <c r="H26" s="60"/>
      <c r="I26" s="60"/>
      <c r="J26" s="60"/>
      <c r="K26" s="60"/>
      <c r="L26" s="60"/>
      <c r="M26" s="60"/>
      <c r="N26" s="60"/>
      <c r="O26" s="60"/>
      <c r="P26" s="63"/>
      <c r="Q26" s="63"/>
      <c r="R26" s="63"/>
      <c r="S26" s="63"/>
      <c r="T26" s="60"/>
    </row>
    <row r="27" spans="2:20">
      <c r="B27" s="72" t="s">
        <v>3912</v>
      </c>
      <c r="C27" s="41" t="s">
        <v>2893</v>
      </c>
      <c r="D27" s="60"/>
      <c r="E27" s="60"/>
      <c r="F27" s="60"/>
      <c r="G27" s="60"/>
      <c r="H27" s="60"/>
      <c r="I27" s="60"/>
      <c r="J27" s="60"/>
      <c r="K27" s="60"/>
      <c r="L27" s="60"/>
      <c r="M27" s="60"/>
      <c r="N27" s="60"/>
      <c r="O27" s="64"/>
      <c r="P27" s="58"/>
      <c r="Q27" s="58"/>
      <c r="R27" s="58"/>
      <c r="S27" s="48"/>
      <c r="T27" s="60"/>
    </row>
    <row r="28" spans="2:20">
      <c r="B28" s="72" t="s">
        <v>3913</v>
      </c>
      <c r="C28" s="41" t="s">
        <v>2895</v>
      </c>
      <c r="D28" s="63"/>
      <c r="E28" s="63"/>
      <c r="F28" s="63"/>
      <c r="G28" s="63"/>
      <c r="H28" s="63"/>
      <c r="I28" s="63"/>
      <c r="J28" s="63"/>
      <c r="K28" s="63"/>
      <c r="L28" s="63"/>
      <c r="M28" s="63"/>
      <c r="N28" s="63"/>
      <c r="O28" s="65"/>
      <c r="P28" s="56"/>
      <c r="Q28" s="56"/>
      <c r="R28" s="56"/>
      <c r="S28" s="46"/>
      <c r="T28" s="60"/>
    </row>
    <row r="29" spans="2:20">
      <c r="B29" s="72" t="s">
        <v>3914</v>
      </c>
      <c r="C29" s="44" t="s">
        <v>2897</v>
      </c>
      <c r="D29" s="56"/>
      <c r="E29" s="56"/>
      <c r="F29" s="56"/>
      <c r="G29" s="56"/>
      <c r="H29" s="56"/>
      <c r="I29" s="56"/>
      <c r="J29" s="56"/>
      <c r="K29" s="56"/>
      <c r="L29" s="56"/>
      <c r="M29" s="56"/>
      <c r="N29" s="56"/>
      <c r="O29" s="46"/>
      <c r="P29" s="60"/>
      <c r="Q29" s="60"/>
      <c r="R29" s="60"/>
      <c r="S29" s="60"/>
      <c r="T29" s="60"/>
    </row>
    <row r="30" spans="2:20" ht="30">
      <c r="B30" s="62" t="s">
        <v>3915</v>
      </c>
      <c r="C30" s="41" t="s">
        <v>2899</v>
      </c>
      <c r="D30" s="60"/>
      <c r="E30" s="60"/>
      <c r="F30" s="60"/>
      <c r="G30" s="60"/>
      <c r="H30" s="60"/>
      <c r="I30" s="60"/>
      <c r="J30" s="60"/>
      <c r="K30" s="60"/>
      <c r="L30" s="60"/>
      <c r="M30" s="60"/>
      <c r="N30" s="60"/>
      <c r="O30" s="60"/>
      <c r="P30" s="60"/>
      <c r="Q30" s="60"/>
      <c r="R30" s="60"/>
      <c r="S30" s="60"/>
      <c r="T30" s="60"/>
    </row>
    <row r="31" spans="2:20" ht="30">
      <c r="B31" s="72" t="s">
        <v>3916</v>
      </c>
      <c r="C31" s="41" t="s">
        <v>2901</v>
      </c>
      <c r="D31" s="60"/>
      <c r="E31" s="60"/>
      <c r="F31" s="60"/>
      <c r="G31" s="60"/>
      <c r="H31" s="60"/>
      <c r="I31" s="60"/>
      <c r="J31" s="60"/>
      <c r="K31" s="60"/>
      <c r="L31" s="60"/>
      <c r="M31" s="60"/>
      <c r="N31" s="60"/>
      <c r="O31" s="60"/>
      <c r="P31" s="60"/>
      <c r="Q31" s="60"/>
      <c r="R31" s="60"/>
      <c r="S31" s="60"/>
      <c r="T31" s="60"/>
    </row>
    <row r="32" spans="2:20">
      <c r="B32" s="72" t="s">
        <v>3757</v>
      </c>
      <c r="C32" s="41" t="s">
        <v>2903</v>
      </c>
      <c r="D32" s="60"/>
      <c r="E32" s="60"/>
      <c r="F32" s="60"/>
      <c r="G32" s="60"/>
      <c r="H32" s="60"/>
      <c r="I32" s="60"/>
      <c r="J32" s="60"/>
      <c r="K32" s="60"/>
      <c r="L32" s="60"/>
      <c r="M32" s="60"/>
      <c r="N32" s="60"/>
      <c r="O32" s="60"/>
      <c r="P32" s="60"/>
      <c r="Q32" s="60"/>
      <c r="R32" s="60"/>
      <c r="S32" s="60"/>
      <c r="T32" s="60"/>
    </row>
    <row r="33" spans="2:20">
      <c r="B33" s="72" t="s">
        <v>3917</v>
      </c>
      <c r="C33" s="41" t="s">
        <v>2905</v>
      </c>
      <c r="D33" s="60"/>
      <c r="E33" s="60"/>
      <c r="F33" s="60"/>
      <c r="G33" s="60"/>
      <c r="H33" s="60"/>
      <c r="I33" s="60"/>
      <c r="J33" s="60"/>
      <c r="K33" s="60"/>
      <c r="L33" s="60"/>
      <c r="M33" s="60"/>
      <c r="N33" s="60"/>
      <c r="O33" s="60"/>
      <c r="P33" s="60"/>
      <c r="Q33" s="60"/>
      <c r="R33" s="60"/>
      <c r="S33" s="60"/>
      <c r="T33" s="60"/>
    </row>
    <row r="34" spans="2:20" ht="30">
      <c r="B34" s="62" t="s">
        <v>3918</v>
      </c>
      <c r="C34" s="41" t="s">
        <v>2907</v>
      </c>
      <c r="D34" s="60"/>
      <c r="E34" s="60"/>
      <c r="F34" s="60"/>
      <c r="G34" s="60"/>
      <c r="H34" s="60"/>
      <c r="I34" s="60"/>
      <c r="J34" s="60"/>
      <c r="K34" s="60"/>
      <c r="L34" s="60"/>
      <c r="M34" s="60"/>
      <c r="N34" s="60"/>
      <c r="O34" s="60"/>
      <c r="P34" s="60"/>
      <c r="Q34" s="60"/>
      <c r="R34" s="60"/>
      <c r="S34" s="60"/>
      <c r="T34" s="60"/>
    </row>
    <row r="35" spans="2:20">
      <c r="B35" s="62" t="s">
        <v>3919</v>
      </c>
      <c r="C35" s="41" t="s">
        <v>2909</v>
      </c>
      <c r="D35" s="63"/>
      <c r="E35" s="63"/>
      <c r="F35" s="63"/>
      <c r="G35" s="63"/>
      <c r="H35" s="63"/>
      <c r="I35" s="63"/>
      <c r="J35" s="63"/>
      <c r="K35" s="63"/>
      <c r="L35" s="63"/>
      <c r="M35" s="63"/>
      <c r="N35" s="63"/>
      <c r="O35" s="63"/>
      <c r="P35" s="63"/>
      <c r="Q35" s="63"/>
      <c r="R35" s="63"/>
      <c r="S35" s="63"/>
      <c r="T35" s="63"/>
    </row>
    <row r="36" spans="2:20">
      <c r="B36" s="61" t="s">
        <v>3920</v>
      </c>
      <c r="C36" s="44" t="s">
        <v>2878</v>
      </c>
      <c r="D36" s="56"/>
      <c r="E36" s="66"/>
      <c r="F36" s="66"/>
      <c r="G36" s="66"/>
      <c r="H36" s="66"/>
      <c r="I36" s="66"/>
      <c r="J36" s="66"/>
      <c r="K36" s="66"/>
      <c r="L36" s="66"/>
      <c r="M36" s="66"/>
      <c r="N36" s="66"/>
      <c r="O36" s="66"/>
      <c r="P36" s="66"/>
      <c r="Q36" s="66"/>
      <c r="R36" s="66"/>
      <c r="S36" s="66"/>
      <c r="T36" s="57"/>
    </row>
    <row r="37" spans="2:20">
      <c r="B37" s="62" t="s">
        <v>3911</v>
      </c>
      <c r="C37" s="41" t="s">
        <v>2911</v>
      </c>
      <c r="D37" s="60"/>
      <c r="E37" s="60"/>
      <c r="F37" s="60"/>
      <c r="G37" s="60"/>
      <c r="H37" s="60"/>
      <c r="I37" s="60"/>
      <c r="J37" s="60"/>
      <c r="K37" s="60"/>
      <c r="L37" s="60"/>
      <c r="M37" s="60"/>
      <c r="N37" s="60"/>
      <c r="O37" s="60"/>
      <c r="P37" s="63"/>
      <c r="Q37" s="63"/>
      <c r="R37" s="63"/>
      <c r="S37" s="63"/>
      <c r="T37" s="60"/>
    </row>
    <row r="38" spans="2:20">
      <c r="B38" s="72" t="s">
        <v>3912</v>
      </c>
      <c r="C38" s="41" t="s">
        <v>2913</v>
      </c>
      <c r="D38" s="60"/>
      <c r="E38" s="60"/>
      <c r="F38" s="60"/>
      <c r="G38" s="60"/>
      <c r="H38" s="60"/>
      <c r="I38" s="60"/>
      <c r="J38" s="60"/>
      <c r="K38" s="60"/>
      <c r="L38" s="60"/>
      <c r="M38" s="60"/>
      <c r="N38" s="60"/>
      <c r="O38" s="64"/>
      <c r="P38" s="58"/>
      <c r="Q38" s="58"/>
      <c r="R38" s="58"/>
      <c r="S38" s="48"/>
      <c r="T38" s="60"/>
    </row>
    <row r="39" spans="2:20">
      <c r="B39" s="72" t="s">
        <v>3913</v>
      </c>
      <c r="C39" s="41" t="s">
        <v>2915</v>
      </c>
      <c r="D39" s="63"/>
      <c r="E39" s="63"/>
      <c r="F39" s="63"/>
      <c r="G39" s="63"/>
      <c r="H39" s="63"/>
      <c r="I39" s="63"/>
      <c r="J39" s="63"/>
      <c r="K39" s="63"/>
      <c r="L39" s="63"/>
      <c r="M39" s="63"/>
      <c r="N39" s="63"/>
      <c r="O39" s="65"/>
      <c r="P39" s="56"/>
      <c r="Q39" s="56"/>
      <c r="R39" s="56"/>
      <c r="S39" s="46"/>
      <c r="T39" s="60"/>
    </row>
    <row r="40" spans="2:20">
      <c r="B40" s="72" t="s">
        <v>3914</v>
      </c>
      <c r="C40" s="44" t="s">
        <v>2917</v>
      </c>
      <c r="D40" s="56"/>
      <c r="E40" s="56"/>
      <c r="F40" s="56"/>
      <c r="G40" s="56"/>
      <c r="H40" s="56"/>
      <c r="I40" s="56"/>
      <c r="J40" s="56"/>
      <c r="K40" s="56"/>
      <c r="L40" s="56"/>
      <c r="M40" s="56"/>
      <c r="N40" s="56"/>
      <c r="O40" s="46"/>
      <c r="P40" s="60"/>
      <c r="Q40" s="60"/>
      <c r="R40" s="60"/>
      <c r="S40" s="60"/>
      <c r="T40" s="60"/>
    </row>
    <row r="41" spans="2:20" ht="30">
      <c r="B41" s="62" t="s">
        <v>3915</v>
      </c>
      <c r="C41" s="41" t="s">
        <v>2919</v>
      </c>
      <c r="D41" s="60"/>
      <c r="E41" s="60"/>
      <c r="F41" s="60"/>
      <c r="G41" s="60"/>
      <c r="H41" s="60"/>
      <c r="I41" s="60"/>
      <c r="J41" s="60"/>
      <c r="K41" s="60"/>
      <c r="L41" s="60"/>
      <c r="M41" s="60"/>
      <c r="N41" s="60"/>
      <c r="O41" s="60"/>
      <c r="P41" s="60"/>
      <c r="Q41" s="60"/>
      <c r="R41" s="60"/>
      <c r="S41" s="60"/>
      <c r="T41" s="60"/>
    </row>
    <row r="42" spans="2:20" ht="30">
      <c r="B42" s="72" t="s">
        <v>3916</v>
      </c>
      <c r="C42" s="41" t="s">
        <v>2921</v>
      </c>
      <c r="D42" s="60"/>
      <c r="E42" s="60"/>
      <c r="F42" s="60"/>
      <c r="G42" s="60"/>
      <c r="H42" s="60"/>
      <c r="I42" s="60"/>
      <c r="J42" s="60"/>
      <c r="K42" s="60"/>
      <c r="L42" s="60"/>
      <c r="M42" s="60"/>
      <c r="N42" s="60"/>
      <c r="O42" s="60"/>
      <c r="P42" s="60"/>
      <c r="Q42" s="60"/>
      <c r="R42" s="60"/>
      <c r="S42" s="60"/>
      <c r="T42" s="60"/>
    </row>
    <row r="43" spans="2:20">
      <c r="B43" s="72" t="s">
        <v>3757</v>
      </c>
      <c r="C43" s="41" t="s">
        <v>2923</v>
      </c>
      <c r="D43" s="60"/>
      <c r="E43" s="60"/>
      <c r="F43" s="60"/>
      <c r="G43" s="60"/>
      <c r="H43" s="60"/>
      <c r="I43" s="60"/>
      <c r="J43" s="60"/>
      <c r="K43" s="60"/>
      <c r="L43" s="60"/>
      <c r="M43" s="60"/>
      <c r="N43" s="60"/>
      <c r="O43" s="60"/>
      <c r="P43" s="60"/>
      <c r="Q43" s="60"/>
      <c r="R43" s="60"/>
      <c r="S43" s="60"/>
      <c r="T43" s="60"/>
    </row>
    <row r="44" spans="2:20">
      <c r="B44" s="72" t="s">
        <v>3917</v>
      </c>
      <c r="C44" s="41" t="s">
        <v>2925</v>
      </c>
      <c r="D44" s="60"/>
      <c r="E44" s="60"/>
      <c r="F44" s="60"/>
      <c r="G44" s="60"/>
      <c r="H44" s="60"/>
      <c r="I44" s="60"/>
      <c r="J44" s="60"/>
      <c r="K44" s="60"/>
      <c r="L44" s="60"/>
      <c r="M44" s="60"/>
      <c r="N44" s="60"/>
      <c r="O44" s="60"/>
      <c r="P44" s="60"/>
      <c r="Q44" s="60"/>
      <c r="R44" s="60"/>
      <c r="S44" s="60"/>
      <c r="T44" s="60"/>
    </row>
    <row r="45" spans="2:20" ht="30">
      <c r="B45" s="62" t="s">
        <v>3918</v>
      </c>
      <c r="C45" s="41" t="s">
        <v>2927</v>
      </c>
      <c r="D45" s="60"/>
      <c r="E45" s="60"/>
      <c r="F45" s="60"/>
      <c r="G45" s="60"/>
      <c r="H45" s="60"/>
      <c r="I45" s="60"/>
      <c r="J45" s="60"/>
      <c r="K45" s="60"/>
      <c r="L45" s="60"/>
      <c r="M45" s="60"/>
      <c r="N45" s="60"/>
      <c r="O45" s="60"/>
      <c r="P45" s="60"/>
      <c r="Q45" s="60"/>
      <c r="R45" s="60"/>
      <c r="S45" s="60"/>
      <c r="T45" s="60"/>
    </row>
    <row r="46" spans="2:20">
      <c r="B46" s="62" t="s">
        <v>3921</v>
      </c>
      <c r="C46" s="41" t="s">
        <v>2929</v>
      </c>
      <c r="D46" s="60"/>
      <c r="E46" s="60"/>
      <c r="F46" s="60"/>
      <c r="G46" s="60"/>
      <c r="H46" s="60"/>
      <c r="I46" s="60"/>
      <c r="J46" s="60"/>
      <c r="K46" s="60"/>
      <c r="L46" s="60"/>
      <c r="M46" s="60"/>
      <c r="N46" s="60"/>
      <c r="O46" s="60"/>
      <c r="P46" s="60"/>
      <c r="Q46" s="60"/>
      <c r="R46" s="60"/>
      <c r="S46" s="60"/>
      <c r="T46" s="60"/>
    </row>
    <row r="47" spans="2:20">
      <c r="B47" s="61" t="s">
        <v>3922</v>
      </c>
      <c r="C47" s="41" t="s">
        <v>2931</v>
      </c>
      <c r="D47" s="60"/>
      <c r="E47" s="60"/>
      <c r="F47" s="60"/>
      <c r="G47" s="60"/>
      <c r="H47" s="60"/>
      <c r="I47" s="60"/>
      <c r="J47" s="60"/>
      <c r="K47" s="60"/>
      <c r="L47" s="60"/>
      <c r="M47" s="60"/>
      <c r="N47" s="60"/>
      <c r="O47" s="60"/>
      <c r="P47" s="60"/>
      <c r="Q47" s="60"/>
      <c r="R47" s="60"/>
      <c r="S47" s="60"/>
      <c r="T47" s="60"/>
    </row>
    <row r="48" spans="2:20">
      <c r="B48" s="61" t="s">
        <v>3923</v>
      </c>
      <c r="C48" s="41" t="s">
        <v>2933</v>
      </c>
      <c r="D48" s="60"/>
      <c r="E48" s="60"/>
      <c r="F48" s="60"/>
      <c r="G48" s="60"/>
      <c r="H48" s="60"/>
      <c r="I48" s="60"/>
      <c r="J48" s="60"/>
      <c r="K48" s="60"/>
      <c r="L48" s="60"/>
      <c r="M48" s="60"/>
      <c r="N48" s="60"/>
      <c r="O48" s="60"/>
      <c r="P48" s="60"/>
      <c r="Q48" s="60"/>
      <c r="R48" s="60"/>
      <c r="S48" s="60"/>
      <c r="T48" s="60"/>
    </row>
    <row r="49" spans="2:20">
      <c r="B49" s="49" t="s">
        <v>3293</v>
      </c>
      <c r="C49" s="41" t="s">
        <v>2935</v>
      </c>
      <c r="D49" s="63"/>
      <c r="E49" s="63"/>
      <c r="F49" s="63"/>
      <c r="G49" s="63"/>
      <c r="H49" s="63"/>
      <c r="I49" s="63"/>
      <c r="J49" s="63"/>
      <c r="K49" s="63"/>
      <c r="L49" s="63"/>
      <c r="M49" s="63"/>
      <c r="N49" s="63"/>
      <c r="O49" s="63"/>
      <c r="P49" s="63"/>
      <c r="Q49" s="63"/>
      <c r="R49" s="63"/>
      <c r="S49" s="63"/>
      <c r="T49" s="63"/>
    </row>
    <row r="50" spans="2:20">
      <c r="B50" s="47" t="s">
        <v>3762</v>
      </c>
      <c r="C50" s="44" t="s">
        <v>2878</v>
      </c>
      <c r="D50" s="56"/>
      <c r="E50" s="66"/>
      <c r="F50" s="66"/>
      <c r="G50" s="66"/>
      <c r="H50" s="66"/>
      <c r="I50" s="66"/>
      <c r="J50" s="66"/>
      <c r="K50" s="66"/>
      <c r="L50" s="66"/>
      <c r="M50" s="66"/>
      <c r="N50" s="66"/>
      <c r="O50" s="66"/>
      <c r="P50" s="66"/>
      <c r="Q50" s="66"/>
      <c r="R50" s="66"/>
      <c r="S50" s="66"/>
      <c r="T50" s="57"/>
    </row>
    <row r="51" spans="2:20">
      <c r="B51" s="49" t="s">
        <v>3924</v>
      </c>
      <c r="C51" s="41" t="s">
        <v>2937</v>
      </c>
      <c r="D51" s="60"/>
      <c r="E51" s="60"/>
      <c r="F51" s="60"/>
      <c r="G51" s="60"/>
      <c r="H51" s="60"/>
      <c r="I51" s="60"/>
      <c r="J51" s="60"/>
      <c r="K51" s="60"/>
      <c r="L51" s="60"/>
      <c r="M51" s="60"/>
      <c r="N51" s="60"/>
      <c r="O51" s="60"/>
      <c r="P51" s="60"/>
      <c r="Q51" s="60"/>
      <c r="R51" s="60"/>
      <c r="S51" s="60"/>
      <c r="T51" s="60"/>
    </row>
    <row r="52" spans="2:20">
      <c r="B52" s="49" t="s">
        <v>3764</v>
      </c>
      <c r="C52" s="41" t="s">
        <v>2939</v>
      </c>
      <c r="D52" s="60"/>
      <c r="E52" s="60"/>
      <c r="F52" s="60"/>
      <c r="G52" s="60"/>
      <c r="H52" s="60"/>
      <c r="I52" s="60"/>
      <c r="J52" s="60"/>
      <c r="K52" s="60"/>
      <c r="L52" s="60"/>
      <c r="M52" s="60"/>
      <c r="N52" s="60"/>
      <c r="O52" s="60"/>
      <c r="P52" s="60"/>
      <c r="Q52" s="60"/>
      <c r="R52" s="60"/>
      <c r="S52" s="60"/>
      <c r="T52" s="60"/>
    </row>
    <row r="53" spans="2:20">
      <c r="B53" s="49" t="s">
        <v>3293</v>
      </c>
      <c r="C53" s="41" t="s">
        <v>2941</v>
      </c>
      <c r="D53" s="63"/>
      <c r="E53" s="63"/>
      <c r="F53" s="63"/>
      <c r="G53" s="63"/>
      <c r="H53" s="63"/>
      <c r="I53" s="63"/>
      <c r="J53" s="63"/>
      <c r="K53" s="63"/>
      <c r="L53" s="63"/>
      <c r="M53" s="63"/>
      <c r="N53" s="63"/>
      <c r="O53" s="63"/>
      <c r="P53" s="63"/>
      <c r="Q53" s="63"/>
      <c r="R53" s="63"/>
      <c r="S53" s="63"/>
      <c r="T53" s="63"/>
    </row>
    <row r="54" spans="2:20">
      <c r="B54" s="47" t="s">
        <v>3765</v>
      </c>
      <c r="C54" s="44" t="s">
        <v>2878</v>
      </c>
      <c r="D54" s="56"/>
      <c r="E54" s="66"/>
      <c r="F54" s="66"/>
      <c r="G54" s="66"/>
      <c r="H54" s="66"/>
      <c r="I54" s="66"/>
      <c r="J54" s="66"/>
      <c r="K54" s="66"/>
      <c r="L54" s="66"/>
      <c r="M54" s="66"/>
      <c r="N54" s="66"/>
      <c r="O54" s="66"/>
      <c r="P54" s="66"/>
      <c r="Q54" s="66"/>
      <c r="R54" s="66"/>
      <c r="S54" s="66"/>
      <c r="T54" s="57"/>
    </row>
    <row r="55" spans="2:20">
      <c r="B55" s="49" t="s">
        <v>3765</v>
      </c>
      <c r="C55" s="41" t="s">
        <v>2943</v>
      </c>
      <c r="D55" s="60"/>
      <c r="E55" s="60"/>
      <c r="F55" s="60"/>
      <c r="G55" s="60"/>
      <c r="H55" s="60"/>
      <c r="I55" s="60"/>
      <c r="J55" s="60"/>
      <c r="K55" s="60"/>
      <c r="L55" s="60"/>
      <c r="M55" s="60"/>
      <c r="N55" s="60"/>
      <c r="O55" s="60"/>
      <c r="P55" s="60"/>
      <c r="Q55" s="60"/>
      <c r="R55" s="60"/>
      <c r="S55" s="60"/>
      <c r="T55" s="60"/>
    </row>
    <row r="56" spans="2:20" ht="30">
      <c r="B56" s="49" t="s">
        <v>3925</v>
      </c>
      <c r="C56" s="41" t="s">
        <v>2945</v>
      </c>
      <c r="D56" s="60"/>
      <c r="E56" s="60"/>
      <c r="F56" s="60"/>
      <c r="G56" s="60"/>
      <c r="H56" s="60"/>
      <c r="I56" s="60"/>
      <c r="J56" s="60"/>
      <c r="K56" s="60"/>
      <c r="L56" s="60"/>
      <c r="M56" s="60"/>
      <c r="N56" s="60"/>
      <c r="O56" s="60"/>
      <c r="P56" s="60"/>
      <c r="Q56" s="60"/>
      <c r="R56" s="60"/>
      <c r="S56" s="60"/>
      <c r="T56" s="60"/>
    </row>
    <row r="57" spans="2:20">
      <c r="B57" s="49" t="s">
        <v>3926</v>
      </c>
      <c r="C57" s="41" t="s">
        <v>2947</v>
      </c>
      <c r="D57" s="63"/>
      <c r="E57" s="63"/>
      <c r="F57" s="63"/>
      <c r="G57" s="63"/>
      <c r="H57" s="63"/>
      <c r="I57" s="63"/>
      <c r="J57" s="63"/>
      <c r="K57" s="63"/>
      <c r="L57" s="63"/>
      <c r="M57" s="63"/>
      <c r="N57" s="63"/>
      <c r="O57" s="63"/>
      <c r="P57" s="63"/>
      <c r="Q57" s="63"/>
      <c r="R57" s="63"/>
      <c r="S57" s="63"/>
      <c r="T57" s="63"/>
    </row>
    <row r="58" spans="2:20">
      <c r="B58" s="47" t="s">
        <v>3927</v>
      </c>
      <c r="C58" s="44" t="s">
        <v>2878</v>
      </c>
      <c r="D58" s="56"/>
      <c r="E58" s="66"/>
      <c r="F58" s="66"/>
      <c r="G58" s="66"/>
      <c r="H58" s="66"/>
      <c r="I58" s="66"/>
      <c r="J58" s="66"/>
      <c r="K58" s="66"/>
      <c r="L58" s="66"/>
      <c r="M58" s="66"/>
      <c r="N58" s="66"/>
      <c r="O58" s="66"/>
      <c r="P58" s="66"/>
      <c r="Q58" s="66"/>
      <c r="R58" s="66"/>
      <c r="S58" s="66"/>
      <c r="T58" s="59"/>
    </row>
    <row r="59" spans="2:20">
      <c r="B59" s="49" t="s">
        <v>3928</v>
      </c>
      <c r="C59" s="41" t="s">
        <v>2949</v>
      </c>
      <c r="D59" s="50"/>
      <c r="E59" s="50"/>
      <c r="F59" s="50"/>
      <c r="G59" s="50"/>
      <c r="H59" s="50"/>
      <c r="I59" s="50"/>
      <c r="J59" s="50"/>
      <c r="K59" s="50"/>
      <c r="L59" s="50"/>
      <c r="M59" s="50"/>
      <c r="N59" s="50"/>
      <c r="O59" s="50"/>
      <c r="P59" s="50"/>
      <c r="Q59" s="50"/>
      <c r="R59" s="50"/>
      <c r="S59" s="73"/>
      <c r="T59" s="48"/>
    </row>
    <row r="60" spans="2:20">
      <c r="B60" s="49" t="s">
        <v>3929</v>
      </c>
      <c r="C60" s="41" t="s">
        <v>2951</v>
      </c>
      <c r="D60" s="74"/>
      <c r="E60" s="74"/>
      <c r="F60" s="74"/>
      <c r="G60" s="74"/>
      <c r="H60" s="74"/>
      <c r="I60" s="74"/>
      <c r="J60" s="74"/>
      <c r="K60" s="74"/>
      <c r="L60" s="74"/>
      <c r="M60" s="74"/>
      <c r="N60" s="74"/>
      <c r="O60" s="74"/>
      <c r="P60" s="74"/>
      <c r="Q60" s="74"/>
      <c r="R60" s="74"/>
      <c r="S60" s="75"/>
      <c r="T60" s="48"/>
    </row>
    <row r="61" spans="2:20">
      <c r="B61" s="47" t="s">
        <v>3930</v>
      </c>
      <c r="C61" s="44" t="s">
        <v>2878</v>
      </c>
      <c r="D61" s="58"/>
      <c r="E61" s="67"/>
      <c r="F61" s="67"/>
      <c r="G61" s="67"/>
      <c r="H61" s="67"/>
      <c r="I61" s="67"/>
      <c r="J61" s="67"/>
      <c r="K61" s="67"/>
      <c r="L61" s="67"/>
      <c r="M61" s="67"/>
      <c r="N61" s="67"/>
      <c r="O61" s="67"/>
      <c r="P61" s="67"/>
      <c r="Q61" s="67"/>
      <c r="R61" s="67"/>
      <c r="S61" s="67"/>
      <c r="T61" s="59"/>
    </row>
    <row r="62" spans="2:20">
      <c r="B62" s="49" t="s">
        <v>3769</v>
      </c>
      <c r="C62" s="44" t="s">
        <v>2878</v>
      </c>
      <c r="D62" s="56"/>
      <c r="E62" s="66"/>
      <c r="F62" s="66"/>
      <c r="G62" s="66"/>
      <c r="H62" s="66"/>
      <c r="I62" s="66"/>
      <c r="J62" s="66"/>
      <c r="K62" s="66"/>
      <c r="L62" s="66"/>
      <c r="M62" s="66"/>
      <c r="N62" s="66"/>
      <c r="O62" s="66"/>
      <c r="P62" s="66"/>
      <c r="Q62" s="66"/>
      <c r="R62" s="66"/>
      <c r="S62" s="66"/>
      <c r="T62" s="57"/>
    </row>
    <row r="63" spans="2:20">
      <c r="B63" s="61" t="s">
        <v>3931</v>
      </c>
      <c r="C63" s="41" t="s">
        <v>2953</v>
      </c>
      <c r="D63" s="60"/>
      <c r="E63" s="60"/>
      <c r="F63" s="60"/>
      <c r="G63" s="60"/>
      <c r="H63" s="60"/>
      <c r="I63" s="60"/>
      <c r="J63" s="60"/>
      <c r="K63" s="60"/>
      <c r="L63" s="60"/>
      <c r="M63" s="60"/>
      <c r="N63" s="60"/>
      <c r="O63" s="60"/>
      <c r="P63" s="60"/>
      <c r="Q63" s="60"/>
      <c r="R63" s="60"/>
      <c r="S63" s="60"/>
      <c r="T63" s="60"/>
    </row>
    <row r="64" spans="2:20">
      <c r="B64" s="61" t="s">
        <v>3932</v>
      </c>
      <c r="C64" s="41" t="s">
        <v>2955</v>
      </c>
      <c r="D64" s="63"/>
      <c r="E64" s="63"/>
      <c r="F64" s="63"/>
      <c r="G64" s="63"/>
      <c r="H64" s="63"/>
      <c r="I64" s="63"/>
      <c r="J64" s="63"/>
      <c r="K64" s="63"/>
      <c r="L64" s="63"/>
      <c r="M64" s="63"/>
      <c r="N64" s="63"/>
      <c r="O64" s="63"/>
      <c r="P64" s="63"/>
      <c r="Q64" s="63"/>
      <c r="R64" s="63"/>
      <c r="S64" s="63"/>
      <c r="T64" s="63"/>
    </row>
    <row r="65" spans="2:20">
      <c r="B65" s="49" t="s">
        <v>3774</v>
      </c>
      <c r="C65" s="44" t="s">
        <v>2878</v>
      </c>
      <c r="D65" s="56"/>
      <c r="E65" s="66"/>
      <c r="F65" s="66"/>
      <c r="G65" s="66"/>
      <c r="H65" s="66"/>
      <c r="I65" s="66"/>
      <c r="J65" s="66"/>
      <c r="K65" s="66"/>
      <c r="L65" s="66"/>
      <c r="M65" s="66"/>
      <c r="N65" s="66"/>
      <c r="O65" s="66"/>
      <c r="P65" s="66"/>
      <c r="Q65" s="66"/>
      <c r="R65" s="66"/>
      <c r="S65" s="66"/>
      <c r="T65" s="57"/>
    </row>
    <row r="66" spans="2:20">
      <c r="B66" s="61" t="s">
        <v>3775</v>
      </c>
      <c r="C66" s="41" t="s">
        <v>2957</v>
      </c>
      <c r="D66" s="60"/>
      <c r="E66" s="60"/>
      <c r="F66" s="60"/>
      <c r="G66" s="60"/>
      <c r="H66" s="60"/>
      <c r="I66" s="60"/>
      <c r="J66" s="60"/>
      <c r="K66" s="60"/>
      <c r="L66" s="60"/>
      <c r="M66" s="60"/>
      <c r="N66" s="60"/>
      <c r="O66" s="60"/>
      <c r="P66" s="60"/>
      <c r="Q66" s="60"/>
      <c r="R66" s="60"/>
      <c r="S66" s="60"/>
      <c r="T66" s="60"/>
    </row>
    <row r="67" spans="2:20">
      <c r="B67" s="61" t="s">
        <v>3933</v>
      </c>
      <c r="C67" s="41" t="s">
        <v>2959</v>
      </c>
      <c r="D67" s="63"/>
      <c r="E67" s="63"/>
      <c r="F67" s="63"/>
      <c r="G67" s="63"/>
      <c r="H67" s="63"/>
      <c r="I67" s="63"/>
      <c r="J67" s="63"/>
      <c r="K67" s="63"/>
      <c r="L67" s="63"/>
      <c r="M67" s="63"/>
      <c r="N67" s="63"/>
      <c r="O67" s="63"/>
      <c r="P67" s="63"/>
      <c r="Q67" s="63"/>
      <c r="R67" s="63"/>
      <c r="S67" s="63"/>
      <c r="T67" s="63"/>
    </row>
    <row r="68" spans="2:20">
      <c r="B68" s="47" t="s">
        <v>3934</v>
      </c>
      <c r="C68" s="44" t="s">
        <v>2878</v>
      </c>
      <c r="D68" s="58"/>
      <c r="E68" s="67"/>
      <c r="F68" s="67"/>
      <c r="G68" s="67"/>
      <c r="H68" s="67"/>
      <c r="I68" s="67"/>
      <c r="J68" s="67"/>
      <c r="K68" s="67"/>
      <c r="L68" s="67"/>
      <c r="M68" s="67"/>
      <c r="N68" s="67"/>
      <c r="O68" s="67"/>
      <c r="P68" s="67"/>
      <c r="Q68" s="67"/>
      <c r="R68" s="67"/>
      <c r="S68" s="67"/>
      <c r="T68" s="59"/>
    </row>
    <row r="69" spans="2:20">
      <c r="B69" s="49" t="s">
        <v>3769</v>
      </c>
      <c r="C69" s="44" t="s">
        <v>2878</v>
      </c>
      <c r="D69" s="56"/>
      <c r="E69" s="66"/>
      <c r="F69" s="66"/>
      <c r="G69" s="66"/>
      <c r="H69" s="66"/>
      <c r="I69" s="66"/>
      <c r="J69" s="66"/>
      <c r="K69" s="66"/>
      <c r="L69" s="66"/>
      <c r="M69" s="66"/>
      <c r="N69" s="66"/>
      <c r="O69" s="66"/>
      <c r="P69" s="66"/>
      <c r="Q69" s="66"/>
      <c r="R69" s="66"/>
      <c r="S69" s="66"/>
      <c r="T69" s="57"/>
    </row>
    <row r="70" spans="2:20">
      <c r="B70" s="61" t="s">
        <v>3931</v>
      </c>
      <c r="C70" s="41" t="s">
        <v>2961</v>
      </c>
      <c r="D70" s="60"/>
      <c r="E70" s="60"/>
      <c r="F70" s="60"/>
      <c r="G70" s="60"/>
      <c r="H70" s="60"/>
      <c r="I70" s="60"/>
      <c r="J70" s="60"/>
      <c r="K70" s="60"/>
      <c r="L70" s="60"/>
      <c r="M70" s="60"/>
      <c r="N70" s="60"/>
      <c r="O70" s="60"/>
      <c r="P70" s="60"/>
      <c r="Q70" s="60"/>
      <c r="R70" s="60"/>
      <c r="S70" s="60"/>
      <c r="T70" s="60"/>
    </row>
    <row r="71" spans="2:20">
      <c r="B71" s="61" t="s">
        <v>3932</v>
      </c>
      <c r="C71" s="41" t="s">
        <v>2963</v>
      </c>
      <c r="D71" s="63"/>
      <c r="E71" s="63"/>
      <c r="F71" s="63"/>
      <c r="G71" s="63"/>
      <c r="H71" s="63"/>
      <c r="I71" s="63"/>
      <c r="J71" s="63"/>
      <c r="K71" s="63"/>
      <c r="L71" s="63"/>
      <c r="M71" s="63"/>
      <c r="N71" s="63"/>
      <c r="O71" s="63"/>
      <c r="P71" s="63"/>
      <c r="Q71" s="63"/>
      <c r="R71" s="63"/>
      <c r="S71" s="63"/>
      <c r="T71" s="63"/>
    </row>
    <row r="72" spans="2:20">
      <c r="B72" s="49" t="s">
        <v>3774</v>
      </c>
      <c r="C72" s="44" t="s">
        <v>2878</v>
      </c>
      <c r="D72" s="56"/>
      <c r="E72" s="66"/>
      <c r="F72" s="66"/>
      <c r="G72" s="66"/>
      <c r="H72" s="66"/>
      <c r="I72" s="66"/>
      <c r="J72" s="66"/>
      <c r="K72" s="66"/>
      <c r="L72" s="66"/>
      <c r="M72" s="66"/>
      <c r="N72" s="66"/>
      <c r="O72" s="66"/>
      <c r="P72" s="66"/>
      <c r="Q72" s="66"/>
      <c r="R72" s="66"/>
      <c r="S72" s="66"/>
      <c r="T72" s="57"/>
    </row>
    <row r="73" spans="2:20">
      <c r="B73" s="61" t="s">
        <v>3775</v>
      </c>
      <c r="C73" s="41" t="s">
        <v>2965</v>
      </c>
      <c r="D73" s="60"/>
      <c r="E73" s="60"/>
      <c r="F73" s="60"/>
      <c r="G73" s="60"/>
      <c r="H73" s="60"/>
      <c r="I73" s="60"/>
      <c r="J73" s="60"/>
      <c r="K73" s="60"/>
      <c r="L73" s="60"/>
      <c r="M73" s="60"/>
      <c r="N73" s="60"/>
      <c r="O73" s="60"/>
      <c r="P73" s="60"/>
      <c r="Q73" s="60"/>
      <c r="R73" s="60"/>
      <c r="S73" s="60"/>
      <c r="T73" s="60"/>
    </row>
    <row r="74" spans="2:20">
      <c r="B74" s="61" t="s">
        <v>3933</v>
      </c>
      <c r="C74" s="41" t="s">
        <v>2967</v>
      </c>
      <c r="D74" s="60"/>
      <c r="E74" s="60"/>
      <c r="F74" s="60"/>
      <c r="G74" s="60"/>
      <c r="H74" s="60"/>
      <c r="I74" s="60"/>
      <c r="J74" s="60"/>
      <c r="K74" s="60"/>
      <c r="L74" s="60"/>
      <c r="M74" s="60"/>
      <c r="N74" s="60"/>
      <c r="O74" s="60"/>
      <c r="P74" s="60"/>
      <c r="Q74" s="60"/>
      <c r="R74" s="60"/>
      <c r="S74" s="60"/>
      <c r="T74" s="60"/>
    </row>
    <row r="75" spans="2:20">
      <c r="B75" s="47" t="s">
        <v>3777</v>
      </c>
      <c r="C75" s="41" t="s">
        <v>2969</v>
      </c>
      <c r="D75" s="70"/>
      <c r="E75" s="70"/>
      <c r="F75" s="70"/>
      <c r="G75" s="70"/>
      <c r="H75" s="70"/>
      <c r="I75" s="70"/>
      <c r="J75" s="70"/>
      <c r="K75" s="70"/>
      <c r="L75" s="70"/>
      <c r="M75" s="70"/>
      <c r="N75" s="70"/>
      <c r="O75" s="70"/>
      <c r="P75" s="70"/>
      <c r="Q75" s="70"/>
      <c r="R75" s="70"/>
      <c r="S75" s="70"/>
      <c r="T75" s="70"/>
    </row>
    <row r="76" spans="2:20">
      <c r="B76" s="47" t="s">
        <v>3779</v>
      </c>
      <c r="C76" s="41" t="s">
        <v>2971</v>
      </c>
      <c r="D76" s="60"/>
      <c r="E76" s="60"/>
      <c r="F76" s="60"/>
      <c r="G76" s="60"/>
      <c r="H76" s="60"/>
      <c r="I76" s="60"/>
      <c r="J76" s="60"/>
      <c r="K76" s="60"/>
      <c r="L76" s="60"/>
      <c r="M76" s="60"/>
      <c r="N76" s="60"/>
      <c r="O76" s="60"/>
      <c r="P76" s="60"/>
      <c r="Q76" s="60"/>
      <c r="R76" s="60"/>
      <c r="S76" s="60"/>
      <c r="T76" s="60"/>
    </row>
    <row r="77" spans="2:20">
      <c r="B77" s="47" t="s">
        <v>3780</v>
      </c>
      <c r="C77" s="41" t="s">
        <v>2973</v>
      </c>
      <c r="D77" s="60"/>
      <c r="E77" s="60"/>
      <c r="F77" s="60"/>
      <c r="G77" s="60"/>
      <c r="H77" s="60"/>
      <c r="I77" s="60"/>
      <c r="J77" s="60"/>
      <c r="K77" s="60"/>
      <c r="L77" s="60"/>
      <c r="M77" s="60"/>
      <c r="N77" s="60"/>
      <c r="O77" s="60"/>
      <c r="P77" s="60"/>
      <c r="Q77" s="60"/>
      <c r="R77" s="60"/>
      <c r="S77" s="60"/>
      <c r="T77" s="60"/>
    </row>
    <row r="78" spans="2:20">
      <c r="B78" s="47" t="s">
        <v>3781</v>
      </c>
      <c r="C78" s="41" t="s">
        <v>2975</v>
      </c>
      <c r="D78" s="60"/>
      <c r="E78" s="60"/>
      <c r="F78" s="60"/>
      <c r="G78" s="60"/>
      <c r="H78" s="60"/>
      <c r="I78" s="60"/>
      <c r="J78" s="60"/>
      <c r="K78" s="60"/>
      <c r="L78" s="60"/>
      <c r="M78" s="60"/>
      <c r="N78" s="60"/>
      <c r="O78" s="60"/>
      <c r="P78" s="60"/>
      <c r="Q78" s="60"/>
      <c r="R78" s="60"/>
      <c r="S78" s="60"/>
      <c r="T78" s="60"/>
    </row>
    <row r="79" spans="2:20" ht="30">
      <c r="B79" s="47" t="s">
        <v>3782</v>
      </c>
      <c r="C79" s="41" t="s">
        <v>3096</v>
      </c>
      <c r="D79" s="60"/>
      <c r="E79" s="60"/>
      <c r="F79" s="60"/>
      <c r="G79" s="60"/>
      <c r="H79" s="60"/>
      <c r="I79" s="60"/>
      <c r="J79" s="60"/>
      <c r="K79" s="60"/>
      <c r="L79" s="60"/>
      <c r="M79" s="60"/>
      <c r="N79" s="60"/>
      <c r="O79" s="60"/>
      <c r="P79" s="60"/>
      <c r="Q79" s="60"/>
      <c r="R79" s="60"/>
      <c r="S79" s="60"/>
      <c r="T79" s="60"/>
    </row>
    <row r="81" spans="27:28">
      <c r="AA81" s="13" t="str">
        <f>Show!$B$82&amp;Show!$B$82&amp;"S.17.01.01.01 Rows {"&amp;COLUMN($C$1)&amp;"}"</f>
        <v>!!S.17.01.01.01 Rows {3}</v>
      </c>
      <c r="AB81" s="13" t="str">
        <f>Show!$B$82&amp;Show!$B$82&amp;"S.17.01.01.01 Columns {"&amp;COLUMN($T$1)&amp;"}"</f>
        <v>!!S.17.01.01.01 Columns {20}</v>
      </c>
    </row>
  </sheetData>
  <sheetProtection sheet="1" objects="1" scenarios="1"/>
  <mergeCells count="22">
    <mergeCell ref="R12:R15"/>
    <mergeCell ref="M12:M15"/>
    <mergeCell ref="N12:N15"/>
    <mergeCell ref="O12:O15"/>
    <mergeCell ref="P12:P15"/>
    <mergeCell ref="Q12:Q15"/>
    <mergeCell ref="B2:O2"/>
    <mergeCell ref="B5:L5"/>
    <mergeCell ref="D9:T10"/>
    <mergeCell ref="D11:O11"/>
    <mergeCell ref="P11:S11"/>
    <mergeCell ref="T11:T15"/>
    <mergeCell ref="D12:D15"/>
    <mergeCell ref="E12:E15"/>
    <mergeCell ref="F12:F15"/>
    <mergeCell ref="G12:G15"/>
    <mergeCell ref="S12:S15"/>
    <mergeCell ref="H12:H15"/>
    <mergeCell ref="I12:I15"/>
    <mergeCell ref="J12:J15"/>
    <mergeCell ref="K12:K15"/>
    <mergeCell ref="L12:L1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9E51-4FE5-45C9-8611-F2A9BA4F98FF}">
  <sheetPr codeName="Blad87"/>
  <dimension ref="B2:AB41"/>
  <sheetViews>
    <sheetView showGridLines="0" topLeftCell="A12" workbookViewId="0">
      <selection activeCell="E29" sqref="E29"/>
    </sheetView>
  </sheetViews>
  <sheetFormatPr defaultRowHeight="15"/>
  <cols>
    <col min="2" max="2" width="85.140625" bestFit="1" customWidth="1"/>
    <col min="4" max="20" width="15.7109375" customWidth="1"/>
  </cols>
  <sheetData>
    <row r="2" spans="2:28" ht="23.25">
      <c r="B2" s="95" t="s">
        <v>634</v>
      </c>
      <c r="C2" s="96"/>
      <c r="D2" s="96"/>
      <c r="E2" s="96"/>
      <c r="F2" s="96"/>
      <c r="G2" s="96"/>
      <c r="H2" s="96"/>
      <c r="I2" s="96"/>
      <c r="J2" s="96"/>
      <c r="K2" s="96"/>
      <c r="L2" s="96"/>
      <c r="M2" s="96"/>
      <c r="N2" s="96"/>
      <c r="O2" s="96"/>
    </row>
    <row r="5" spans="2:28" ht="18.75">
      <c r="B5" s="97" t="s">
        <v>3935</v>
      </c>
      <c r="C5" s="96"/>
      <c r="D5" s="96"/>
      <c r="E5" s="96"/>
      <c r="F5" s="96"/>
      <c r="G5" s="96"/>
      <c r="H5" s="96"/>
      <c r="I5" s="96"/>
      <c r="J5" s="96"/>
      <c r="K5" s="96"/>
      <c r="L5" s="96"/>
    </row>
    <row r="9" spans="2:28">
      <c r="D9" s="101" t="s">
        <v>2877</v>
      </c>
      <c r="E9" s="102"/>
      <c r="F9" s="102"/>
      <c r="G9" s="102"/>
      <c r="H9" s="102"/>
      <c r="I9" s="102"/>
      <c r="J9" s="102"/>
      <c r="K9" s="102"/>
      <c r="L9" s="102"/>
      <c r="M9" s="102"/>
      <c r="N9" s="102"/>
      <c r="O9" s="102"/>
      <c r="P9" s="102"/>
      <c r="Q9" s="102"/>
      <c r="R9" s="102"/>
      <c r="S9" s="102"/>
      <c r="T9" s="103"/>
    </row>
    <row r="10" spans="2:28">
      <c r="D10" s="104"/>
      <c r="E10" s="105"/>
      <c r="F10" s="105"/>
      <c r="G10" s="105"/>
      <c r="H10" s="105"/>
      <c r="I10" s="105"/>
      <c r="J10" s="105"/>
      <c r="K10" s="105"/>
      <c r="L10" s="105"/>
      <c r="M10" s="105"/>
      <c r="N10" s="105"/>
      <c r="O10" s="105"/>
      <c r="P10" s="105"/>
      <c r="Q10" s="105"/>
      <c r="R10" s="105"/>
      <c r="S10" s="105"/>
      <c r="T10" s="106"/>
    </row>
    <row r="11" spans="2:28">
      <c r="D11" s="107" t="s">
        <v>3900</v>
      </c>
      <c r="E11" s="108"/>
      <c r="F11" s="108"/>
      <c r="G11" s="108"/>
      <c r="H11" s="108"/>
      <c r="I11" s="108"/>
      <c r="J11" s="108"/>
      <c r="K11" s="108"/>
      <c r="L11" s="108"/>
      <c r="M11" s="108"/>
      <c r="N11" s="108"/>
      <c r="O11" s="109"/>
      <c r="P11" s="107" t="s">
        <v>3909</v>
      </c>
      <c r="Q11" s="108"/>
      <c r="R11" s="108"/>
      <c r="S11" s="109"/>
      <c r="T11" s="98" t="s">
        <v>3906</v>
      </c>
    </row>
    <row r="12" spans="2:28">
      <c r="D12" s="98" t="s">
        <v>3460</v>
      </c>
      <c r="E12" s="98" t="s">
        <v>3461</v>
      </c>
      <c r="F12" s="98" t="s">
        <v>3462</v>
      </c>
      <c r="G12" s="98" t="s">
        <v>3463</v>
      </c>
      <c r="H12" s="98" t="s">
        <v>3464</v>
      </c>
      <c r="I12" s="98" t="s">
        <v>3465</v>
      </c>
      <c r="J12" s="98" t="s">
        <v>3466</v>
      </c>
      <c r="K12" s="98" t="s">
        <v>3467</v>
      </c>
      <c r="L12" s="98" t="s">
        <v>3468</v>
      </c>
      <c r="M12" s="98" t="s">
        <v>3469</v>
      </c>
      <c r="N12" s="98" t="s">
        <v>3470</v>
      </c>
      <c r="O12" s="98" t="s">
        <v>3471</v>
      </c>
      <c r="P12" s="98" t="s">
        <v>3902</v>
      </c>
      <c r="Q12" s="98" t="s">
        <v>3903</v>
      </c>
      <c r="R12" s="98" t="s">
        <v>3904</v>
      </c>
      <c r="S12" s="98" t="s">
        <v>3905</v>
      </c>
      <c r="T12" s="99"/>
    </row>
    <row r="13" spans="2:28">
      <c r="D13" s="99"/>
      <c r="E13" s="99"/>
      <c r="F13" s="99"/>
      <c r="G13" s="99"/>
      <c r="H13" s="99"/>
      <c r="I13" s="99"/>
      <c r="J13" s="99"/>
      <c r="K13" s="99"/>
      <c r="L13" s="99"/>
      <c r="M13" s="99"/>
      <c r="N13" s="99"/>
      <c r="O13" s="99"/>
      <c r="P13" s="99"/>
      <c r="Q13" s="99"/>
      <c r="R13" s="99"/>
      <c r="S13" s="99"/>
      <c r="T13" s="99"/>
    </row>
    <row r="14" spans="2:28">
      <c r="D14" s="100"/>
      <c r="E14" s="100"/>
      <c r="F14" s="100"/>
      <c r="G14" s="100"/>
      <c r="H14" s="100"/>
      <c r="I14" s="100"/>
      <c r="J14" s="100"/>
      <c r="K14" s="100"/>
      <c r="L14" s="100"/>
      <c r="M14" s="100"/>
      <c r="N14" s="100"/>
      <c r="O14" s="100"/>
      <c r="P14" s="100"/>
      <c r="Q14" s="100"/>
      <c r="R14" s="100"/>
      <c r="S14" s="100"/>
      <c r="T14" s="100"/>
    </row>
    <row r="15" spans="2:28">
      <c r="D15" s="45" t="s">
        <v>3219</v>
      </c>
      <c r="E15" s="45" t="s">
        <v>3225</v>
      </c>
      <c r="F15" s="45" t="s">
        <v>3223</v>
      </c>
      <c r="G15" s="45" t="s">
        <v>3229</v>
      </c>
      <c r="H15" s="45" t="s">
        <v>3231</v>
      </c>
      <c r="I15" s="45" t="s">
        <v>3233</v>
      </c>
      <c r="J15" s="45" t="s">
        <v>3234</v>
      </c>
      <c r="K15" s="45" t="s">
        <v>3236</v>
      </c>
      <c r="L15" s="45" t="s">
        <v>3239</v>
      </c>
      <c r="M15" s="45" t="s">
        <v>3241</v>
      </c>
      <c r="N15" s="45" t="s">
        <v>3243</v>
      </c>
      <c r="O15" s="45" t="s">
        <v>3375</v>
      </c>
      <c r="P15" s="45" t="s">
        <v>3475</v>
      </c>
      <c r="Q15" s="45" t="s">
        <v>3477</v>
      </c>
      <c r="R15" s="45" t="s">
        <v>3479</v>
      </c>
      <c r="S15" s="45" t="s">
        <v>3594</v>
      </c>
      <c r="T15" s="45" t="s">
        <v>3596</v>
      </c>
      <c r="AA15" s="13"/>
      <c r="AB15" s="13"/>
    </row>
    <row r="16" spans="2:28">
      <c r="B16" s="43" t="s">
        <v>2880</v>
      </c>
      <c r="C16" s="44" t="s">
        <v>2878</v>
      </c>
      <c r="D16" s="56"/>
      <c r="E16" s="66"/>
      <c r="F16" s="66"/>
      <c r="G16" s="66"/>
      <c r="H16" s="66"/>
      <c r="I16" s="66"/>
      <c r="J16" s="66"/>
      <c r="K16" s="66"/>
      <c r="L16" s="66"/>
      <c r="M16" s="66"/>
      <c r="N16" s="66"/>
      <c r="O16" s="66"/>
      <c r="P16" s="66"/>
      <c r="Q16" s="66"/>
      <c r="R16" s="66"/>
      <c r="S16" s="66"/>
      <c r="T16" s="57"/>
    </row>
    <row r="17" spans="2:20">
      <c r="B17" s="47" t="s">
        <v>3291</v>
      </c>
      <c r="C17" s="41" t="s">
        <v>2883</v>
      </c>
      <c r="D17" s="60">
        <f>'[5]SE.17.01.17'!D9</f>
        <v>0</v>
      </c>
      <c r="E17" s="60">
        <f>'[5]SE.17.01.17'!E9</f>
        <v>0</v>
      </c>
      <c r="F17" s="60">
        <f>'[5]SE.17.01.17'!F9</f>
        <v>0</v>
      </c>
      <c r="G17" s="60">
        <f>'[5]SE.17.01.17'!G9</f>
        <v>0</v>
      </c>
      <c r="H17" s="60">
        <f>'[5]SE.17.01.17'!H9</f>
        <v>0</v>
      </c>
      <c r="I17" s="60">
        <f>'[5]SE.17.01.17'!I9</f>
        <v>0</v>
      </c>
      <c r="J17" s="60">
        <f>'[5]SE.17.01.17'!J9</f>
        <v>0</v>
      </c>
      <c r="K17" s="60">
        <f>'[5]SE.17.01.17'!K9</f>
        <v>0</v>
      </c>
      <c r="L17" s="60">
        <f>'[5]SE.17.01.17'!L9</f>
        <v>0</v>
      </c>
      <c r="M17" s="60">
        <f>'[5]SE.17.01.17'!M9</f>
        <v>0</v>
      </c>
      <c r="N17" s="60">
        <f>'[5]SE.17.01.17'!N9</f>
        <v>0</v>
      </c>
      <c r="O17" s="60">
        <f>'[5]SE.17.01.17'!O9</f>
        <v>0</v>
      </c>
      <c r="P17" s="60">
        <f>'[5]SE.17.01.17'!P9</f>
        <v>0</v>
      </c>
      <c r="Q17" s="60">
        <f>'[5]SE.17.01.17'!Q9</f>
        <v>0</v>
      </c>
      <c r="R17" s="60">
        <f>'[5]SE.17.01.17'!R9</f>
        <v>0</v>
      </c>
      <c r="S17" s="60">
        <f>'[5]SE.17.01.17'!S9</f>
        <v>0</v>
      </c>
      <c r="T17" s="60">
        <f>'[5]SE.17.01.17'!T9</f>
        <v>0</v>
      </c>
    </row>
    <row r="18" spans="2:20" ht="30">
      <c r="B18" s="47" t="s">
        <v>3752</v>
      </c>
      <c r="C18" s="41" t="s">
        <v>3078</v>
      </c>
      <c r="D18" s="60">
        <f>'[5]SE.17.01.17'!D10</f>
        <v>0</v>
      </c>
      <c r="E18" s="60">
        <f>'[5]SE.17.01.17'!E10</f>
        <v>0</v>
      </c>
      <c r="F18" s="60">
        <f>'[5]SE.17.01.17'!F10</f>
        <v>0</v>
      </c>
      <c r="G18" s="60">
        <f>'[5]SE.17.01.17'!G10</f>
        <v>0</v>
      </c>
      <c r="H18" s="60">
        <f>'[5]SE.17.01.17'!H10</f>
        <v>0</v>
      </c>
      <c r="I18" s="60">
        <f>'[5]SE.17.01.17'!I10</f>
        <v>0</v>
      </c>
      <c r="J18" s="60">
        <f>'[5]SE.17.01.17'!J10</f>
        <v>0</v>
      </c>
      <c r="K18" s="60">
        <f>'[5]SE.17.01.17'!K10</f>
        <v>0</v>
      </c>
      <c r="L18" s="60">
        <f>'[5]SE.17.01.17'!L10</f>
        <v>0</v>
      </c>
      <c r="M18" s="60">
        <f>'[5]SE.17.01.17'!M10</f>
        <v>0</v>
      </c>
      <c r="N18" s="60">
        <f>'[5]SE.17.01.17'!N10</f>
        <v>0</v>
      </c>
      <c r="O18" s="60">
        <f>'[5]SE.17.01.17'!O10</f>
        <v>0</v>
      </c>
      <c r="P18" s="60">
        <f>'[5]SE.17.01.17'!P10</f>
        <v>0</v>
      </c>
      <c r="Q18" s="60">
        <f>'[5]SE.17.01.17'!Q10</f>
        <v>0</v>
      </c>
      <c r="R18" s="60">
        <f>'[5]SE.17.01.17'!R10</f>
        <v>0</v>
      </c>
      <c r="S18" s="60">
        <f>'[5]SE.17.01.17'!S10</f>
        <v>0</v>
      </c>
      <c r="T18" s="60">
        <f>'[5]SE.17.01.17'!T10</f>
        <v>0</v>
      </c>
    </row>
    <row r="19" spans="2:20">
      <c r="B19" s="47" t="s">
        <v>3753</v>
      </c>
      <c r="C19" s="44" t="s">
        <v>2878</v>
      </c>
      <c r="D19" s="58"/>
      <c r="E19" s="67"/>
      <c r="F19" s="67"/>
      <c r="G19" s="67"/>
      <c r="H19" s="67"/>
      <c r="I19" s="67"/>
      <c r="J19" s="67"/>
      <c r="K19" s="67"/>
      <c r="L19" s="67"/>
      <c r="M19" s="67"/>
      <c r="N19" s="67"/>
      <c r="O19" s="67"/>
      <c r="P19" s="67"/>
      <c r="Q19" s="67"/>
      <c r="R19" s="67"/>
      <c r="S19" s="67"/>
      <c r="T19" s="59"/>
    </row>
    <row r="20" spans="2:20">
      <c r="B20" s="49" t="s">
        <v>3764</v>
      </c>
      <c r="C20" s="44" t="s">
        <v>2878</v>
      </c>
      <c r="D20" s="58"/>
      <c r="E20" s="67"/>
      <c r="F20" s="67"/>
      <c r="G20" s="67"/>
      <c r="H20" s="67"/>
      <c r="I20" s="67"/>
      <c r="J20" s="67"/>
      <c r="K20" s="67"/>
      <c r="L20" s="67"/>
      <c r="M20" s="67"/>
      <c r="N20" s="67"/>
      <c r="O20" s="67"/>
      <c r="P20" s="67"/>
      <c r="Q20" s="67"/>
      <c r="R20" s="67"/>
      <c r="S20" s="67"/>
      <c r="T20" s="59"/>
    </row>
    <row r="21" spans="2:20">
      <c r="B21" s="61" t="s">
        <v>3910</v>
      </c>
      <c r="C21" s="44" t="s">
        <v>2878</v>
      </c>
      <c r="D21" s="56"/>
      <c r="E21" s="66"/>
      <c r="F21" s="66"/>
      <c r="G21" s="66"/>
      <c r="H21" s="66"/>
      <c r="I21" s="66"/>
      <c r="J21" s="66"/>
      <c r="K21" s="66"/>
      <c r="L21" s="66"/>
      <c r="M21" s="66"/>
      <c r="N21" s="66"/>
      <c r="O21" s="66"/>
      <c r="P21" s="66"/>
      <c r="Q21" s="66"/>
      <c r="R21" s="66"/>
      <c r="S21" s="66"/>
      <c r="T21" s="57"/>
    </row>
    <row r="22" spans="2:20">
      <c r="B22" s="62" t="s">
        <v>3520</v>
      </c>
      <c r="C22" s="41" t="s">
        <v>2891</v>
      </c>
      <c r="D22" s="60">
        <f>'[5]SE.17.01.17'!D14</f>
        <v>7010742.6168512823</v>
      </c>
      <c r="E22" s="60">
        <f>'[5]SE.17.01.17'!E14</f>
        <v>-2514094.4921983015</v>
      </c>
      <c r="F22" s="60">
        <f>'[5]SE.17.01.17'!F14</f>
        <v>-11969841.421749957</v>
      </c>
      <c r="G22" s="60">
        <f>'[5]SE.17.01.17'!G14</f>
        <v>507895873.2586751</v>
      </c>
      <c r="H22" s="60">
        <f>'[5]SE.17.01.17'!H14</f>
        <v>68560672.246485442</v>
      </c>
      <c r="I22" s="60">
        <f>'[5]SE.17.01.17'!I14</f>
        <v>327723.34055250708</v>
      </c>
      <c r="J22" s="60">
        <f>'[5]SE.17.01.17'!J14</f>
        <v>89700709.890490979</v>
      </c>
      <c r="K22" s="60">
        <f>'[5]SE.17.01.17'!K14</f>
        <v>-5329823.3911055271</v>
      </c>
      <c r="L22" s="60">
        <f>'[5]SE.17.01.17'!L14</f>
        <v>-2294967.7860286343</v>
      </c>
      <c r="M22" s="60">
        <f>'[5]SE.17.01.17'!M14</f>
        <v>1061424.2608664613</v>
      </c>
      <c r="N22" s="60">
        <f>'[5]SE.17.01.17'!N14</f>
        <v>11575295.785511956</v>
      </c>
      <c r="O22" s="60">
        <f>'[5]SE.17.01.17'!O14</f>
        <v>-1167114.7853872753</v>
      </c>
      <c r="P22" s="60">
        <f>'[5]SE.17.01.17'!P14</f>
        <v>14673.251511053279</v>
      </c>
      <c r="Q22" s="60">
        <f>'[5]SE.17.01.17'!Q14</f>
        <v>-18469776.279114909</v>
      </c>
      <c r="R22" s="60">
        <f>'[5]SE.17.01.17'!R14</f>
        <v>-57328.25573594794</v>
      </c>
      <c r="S22" s="60">
        <f>'[5]SE.17.01.17'!S14</f>
        <v>-22136722.58126805</v>
      </c>
      <c r="T22" s="60">
        <f>'[5]SE.17.01.17'!T14</f>
        <v>622207445.65835607</v>
      </c>
    </row>
    <row r="23" spans="2:20" ht="30">
      <c r="B23" s="62" t="s">
        <v>3918</v>
      </c>
      <c r="C23" s="41" t="s">
        <v>2907</v>
      </c>
      <c r="D23" s="60">
        <f>'[5]SE.17.01.17'!D15</f>
        <v>0</v>
      </c>
      <c r="E23" s="60">
        <f>'[5]SE.17.01.17'!E15</f>
        <v>0</v>
      </c>
      <c r="F23" s="60">
        <f>'[5]SE.17.01.17'!F15</f>
        <v>0</v>
      </c>
      <c r="G23" s="60">
        <f>'[5]SE.17.01.17'!G15</f>
        <v>0</v>
      </c>
      <c r="H23" s="60">
        <f>'[5]SE.17.01.17'!H15</f>
        <v>0</v>
      </c>
      <c r="I23" s="60">
        <f>'[5]SE.17.01.17'!I15</f>
        <v>0</v>
      </c>
      <c r="J23" s="60">
        <f>'[5]SE.17.01.17'!J15</f>
        <v>58336.374750580457</v>
      </c>
      <c r="K23" s="60">
        <f>'[5]SE.17.01.17'!K15</f>
        <v>0</v>
      </c>
      <c r="L23" s="60">
        <f>'[5]SE.17.01.17'!L15</f>
        <v>0</v>
      </c>
      <c r="M23" s="60">
        <f>'[5]SE.17.01.17'!M15</f>
        <v>0</v>
      </c>
      <c r="N23" s="60">
        <f>'[5]SE.17.01.17'!N15</f>
        <v>0</v>
      </c>
      <c r="O23" s="60">
        <f>'[5]SE.17.01.17'!O15</f>
        <v>0</v>
      </c>
      <c r="P23" s="60">
        <f>'[5]SE.17.01.17'!P15</f>
        <v>0</v>
      </c>
      <c r="Q23" s="60">
        <f>'[5]SE.17.01.17'!Q15</f>
        <v>-13738334.721784696</v>
      </c>
      <c r="R23" s="60">
        <f>'[5]SE.17.01.17'!R15</f>
        <v>-3.118114702417683E-3</v>
      </c>
      <c r="S23" s="60">
        <f>'[5]SE.17.01.17'!S15</f>
        <v>-19573463.83970369</v>
      </c>
      <c r="T23" s="60">
        <f>'[5]SE.17.01.17'!T15</f>
        <v>-33253462.189855918</v>
      </c>
    </row>
    <row r="24" spans="2:20">
      <c r="B24" s="62" t="s">
        <v>3919</v>
      </c>
      <c r="C24" s="41" t="s">
        <v>2909</v>
      </c>
      <c r="D24" s="60">
        <f>'[5]SE.17.01.17'!D16</f>
        <v>7010742.6168512823</v>
      </c>
      <c r="E24" s="60">
        <f>'[5]SE.17.01.17'!E16</f>
        <v>-2514094.4921983015</v>
      </c>
      <c r="F24" s="60">
        <f>'[5]SE.17.01.17'!F16</f>
        <v>-11969841.421749957</v>
      </c>
      <c r="G24" s="60">
        <f>'[5]SE.17.01.17'!G16</f>
        <v>507895873.2586751</v>
      </c>
      <c r="H24" s="60">
        <f>'[5]SE.17.01.17'!H16</f>
        <v>68560672.246485442</v>
      </c>
      <c r="I24" s="60">
        <f>'[5]SE.17.01.17'!I16</f>
        <v>327723.34055250708</v>
      </c>
      <c r="J24" s="60">
        <f>'[5]SE.17.01.17'!J16</f>
        <v>89642373.515740395</v>
      </c>
      <c r="K24" s="60">
        <f>'[5]SE.17.01.17'!K16</f>
        <v>-5329823.3911055271</v>
      </c>
      <c r="L24" s="60">
        <f>'[5]SE.17.01.17'!L16</f>
        <v>-2294967.7860286343</v>
      </c>
      <c r="M24" s="60">
        <f>'[5]SE.17.01.17'!M16</f>
        <v>1061424.2608664613</v>
      </c>
      <c r="N24" s="60">
        <f>'[5]SE.17.01.17'!N16</f>
        <v>11575295.785511956</v>
      </c>
      <c r="O24" s="60">
        <f>'[5]SE.17.01.17'!O16</f>
        <v>-1167114.7853872753</v>
      </c>
      <c r="P24" s="60">
        <f>'[5]SE.17.01.17'!P16</f>
        <v>14673.251511053279</v>
      </c>
      <c r="Q24" s="60">
        <f>'[5]SE.17.01.17'!Q16</f>
        <v>-4731441.5573302135</v>
      </c>
      <c r="R24" s="60">
        <f>'[5]SE.17.01.17'!R16</f>
        <v>-57328.252617833234</v>
      </c>
      <c r="S24" s="60">
        <f>'[5]SE.17.01.17'!S16</f>
        <v>-2563258.7415643595</v>
      </c>
      <c r="T24" s="60">
        <f>'[5]SE.17.01.17'!T16</f>
        <v>655460907.848212</v>
      </c>
    </row>
    <row r="25" spans="2:20">
      <c r="B25" s="61" t="s">
        <v>3920</v>
      </c>
      <c r="C25" s="44" t="s">
        <v>2878</v>
      </c>
      <c r="D25" s="56"/>
      <c r="E25" s="66"/>
      <c r="F25" s="66"/>
      <c r="G25" s="66"/>
      <c r="H25" s="66"/>
      <c r="I25" s="66"/>
      <c r="J25" s="66"/>
      <c r="K25" s="66"/>
      <c r="L25" s="66"/>
      <c r="M25" s="66"/>
      <c r="N25" s="66"/>
      <c r="O25" s="66"/>
      <c r="P25" s="66"/>
      <c r="Q25" s="66"/>
      <c r="R25" s="66"/>
      <c r="S25" s="66"/>
      <c r="T25" s="57"/>
    </row>
    <row r="26" spans="2:20">
      <c r="B26" s="62" t="s">
        <v>3520</v>
      </c>
      <c r="C26" s="41" t="s">
        <v>2911</v>
      </c>
      <c r="D26" s="60">
        <f>'[5]SE.17.01.17'!D18</f>
        <v>31942359.470047999</v>
      </c>
      <c r="E26" s="60">
        <f>'[5]SE.17.01.17'!E18</f>
        <v>15958688.536789775</v>
      </c>
      <c r="F26" s="60">
        <f>'[5]SE.17.01.17'!F18</f>
        <v>45558742.550071999</v>
      </c>
      <c r="G26" s="60">
        <f>'[5]SE.17.01.17'!G18</f>
        <v>677347149.67004406</v>
      </c>
      <c r="H26" s="60">
        <f>'[5]SE.17.01.17'!H18</f>
        <v>21496105.844903</v>
      </c>
      <c r="I26" s="60">
        <f>'[5]SE.17.01.17'!I18</f>
        <v>2269600.3743353956</v>
      </c>
      <c r="J26" s="60">
        <f>'[5]SE.17.01.17'!J18</f>
        <v>200208904.08587554</v>
      </c>
      <c r="K26" s="60">
        <f>'[5]SE.17.01.17'!K18</f>
        <v>76519466.143899262</v>
      </c>
      <c r="L26" s="60">
        <f>'[5]SE.17.01.17'!L18</f>
        <v>84843.438431000002</v>
      </c>
      <c r="M26" s="60">
        <f>'[5]SE.17.01.17'!M18</f>
        <v>38053328.805858001</v>
      </c>
      <c r="N26" s="60">
        <f>'[5]SE.17.01.17'!N18</f>
        <v>2227200.0827600001</v>
      </c>
      <c r="O26" s="60">
        <f>'[5]SE.17.01.17'!O18</f>
        <v>4035077.4968070006</v>
      </c>
      <c r="P26" s="60">
        <f>'[5]SE.17.01.17'!P18</f>
        <v>824528.83594107302</v>
      </c>
      <c r="Q26" s="60">
        <f>'[5]SE.17.01.17'!Q18</f>
        <v>110287604.66846415</v>
      </c>
      <c r="R26" s="60">
        <f>'[5]SE.17.01.17'!R18</f>
        <v>80936.777048121221</v>
      </c>
      <c r="S26" s="60">
        <f>'[5]SE.17.01.17'!S18</f>
        <v>87351137.040127724</v>
      </c>
      <c r="T26" s="60">
        <f>'[5]SE.17.01.17'!T18</f>
        <v>1314245673.8214042</v>
      </c>
    </row>
    <row r="27" spans="2:20" ht="30">
      <c r="B27" s="62" t="s">
        <v>3918</v>
      </c>
      <c r="C27" s="41" t="s">
        <v>2927</v>
      </c>
      <c r="D27" s="60">
        <f>'[5]SE.17.01.17'!D20</f>
        <v>0</v>
      </c>
      <c r="E27" s="60">
        <f>'[5]SE.17.01.17'!E20</f>
        <v>0</v>
      </c>
      <c r="F27" s="60">
        <f>'[5]SE.17.01.17'!F20</f>
        <v>0</v>
      </c>
      <c r="G27" s="60">
        <f>'[5]SE.17.01.17'!G20</f>
        <v>0</v>
      </c>
      <c r="H27" s="60">
        <f>'[5]SE.17.01.17'!H20</f>
        <v>0</v>
      </c>
      <c r="I27" s="60">
        <f>'[5]SE.17.01.17'!I20</f>
        <v>0</v>
      </c>
      <c r="J27" s="60">
        <f>'[5]SE.17.01.17'!J20</f>
        <v>125003.70225373226</v>
      </c>
      <c r="K27" s="60">
        <f>'[5]SE.17.01.17'!K20</f>
        <v>0</v>
      </c>
      <c r="L27" s="60">
        <f>'[5]SE.17.01.17'!L20</f>
        <v>0</v>
      </c>
      <c r="M27" s="60">
        <f>'[5]SE.17.01.17'!M20</f>
        <v>0</v>
      </c>
      <c r="N27" s="60">
        <f>'[5]SE.17.01.17'!N20</f>
        <v>0</v>
      </c>
      <c r="O27" s="60">
        <f>'[5]SE.17.01.17'!O20</f>
        <v>0</v>
      </c>
      <c r="P27" s="60">
        <f>'[5]SE.17.01.17'!P20</f>
        <v>0</v>
      </c>
      <c r="Q27" s="60">
        <f>'[5]SE.17.01.17'!Q20</f>
        <v>38853161.924346678</v>
      </c>
      <c r="R27" s="60">
        <f>'[5]SE.17.01.17'!R20</f>
        <v>0</v>
      </c>
      <c r="S27" s="60">
        <f>'[5]SE.17.01.17'!S20</f>
        <v>11399097.202304842</v>
      </c>
      <c r="T27" s="60">
        <f>'[5]SE.17.01.17'!T20</f>
        <v>50377262.828905247</v>
      </c>
    </row>
    <row r="28" spans="2:20">
      <c r="B28" s="62" t="s">
        <v>3921</v>
      </c>
      <c r="C28" s="41" t="s">
        <v>2929</v>
      </c>
      <c r="D28" s="60">
        <f>'[5]SE.17.01.17'!D21</f>
        <v>31942359.470047999</v>
      </c>
      <c r="E28" s="60">
        <f>'[5]SE.17.01.17'!E21</f>
        <v>15958688.536789775</v>
      </c>
      <c r="F28" s="60">
        <f>'[5]SE.17.01.17'!F21</f>
        <v>45558742.550071999</v>
      </c>
      <c r="G28" s="60">
        <f>'[5]SE.17.01.17'!G21</f>
        <v>677347149.67004406</v>
      </c>
      <c r="H28" s="60">
        <f>'[5]SE.17.01.17'!H21</f>
        <v>21496105.844903</v>
      </c>
      <c r="I28" s="60">
        <f>'[5]SE.17.01.17'!I21</f>
        <v>2269600.3743353956</v>
      </c>
      <c r="J28" s="60">
        <f>'[5]SE.17.01.17'!J21</f>
        <v>200083900.38362181</v>
      </c>
      <c r="K28" s="60">
        <f>'[5]SE.17.01.17'!K21</f>
        <v>76519466.143899262</v>
      </c>
      <c r="L28" s="60">
        <f>'[5]SE.17.01.17'!L21</f>
        <v>84843.438431000002</v>
      </c>
      <c r="M28" s="60">
        <f>'[5]SE.17.01.17'!M21</f>
        <v>38053328.805858001</v>
      </c>
      <c r="N28" s="60">
        <f>'[5]SE.17.01.17'!N21</f>
        <v>2227200.0827600001</v>
      </c>
      <c r="O28" s="60">
        <f>'[5]SE.17.01.17'!O21</f>
        <v>4035077.4968070006</v>
      </c>
      <c r="P28" s="60">
        <f>'[5]SE.17.01.17'!P21</f>
        <v>824528.83594107302</v>
      </c>
      <c r="Q28" s="60">
        <f>'[5]SE.17.01.17'!Q21</f>
        <v>71434442.744117469</v>
      </c>
      <c r="R28" s="60">
        <f>'[5]SE.17.01.17'!R21</f>
        <v>80936.777048121221</v>
      </c>
      <c r="S28" s="60">
        <f>'[5]SE.17.01.17'!S21</f>
        <v>75952039.837822884</v>
      </c>
      <c r="T28" s="60">
        <f>'[5]SE.17.01.17'!T21</f>
        <v>1263868410.9924991</v>
      </c>
    </row>
    <row r="29" spans="2:20">
      <c r="B29" s="49" t="s">
        <v>3922</v>
      </c>
      <c r="C29" s="41" t="s">
        <v>2931</v>
      </c>
      <c r="D29" s="60">
        <f>'[5]SE.17.01.17'!D22</f>
        <v>38953102.086899281</v>
      </c>
      <c r="E29" s="60">
        <f>'[5]SE.17.01.17'!E22</f>
        <v>13444594.044591473</v>
      </c>
      <c r="F29" s="60">
        <f>'[5]SE.17.01.17'!F22</f>
        <v>33588901.128322043</v>
      </c>
      <c r="G29" s="60">
        <f>'[5]SE.17.01.17'!G22</f>
        <v>1185243022.928719</v>
      </c>
      <c r="H29" s="60">
        <f>'[5]SE.17.01.17'!H22</f>
        <v>90056778.091388434</v>
      </c>
      <c r="I29" s="60">
        <f>'[5]SE.17.01.17'!I22</f>
        <v>2597323.7148879026</v>
      </c>
      <c r="J29" s="60">
        <f>'[5]SE.17.01.17'!J22</f>
        <v>289909613.97636652</v>
      </c>
      <c r="K29" s="60">
        <f>'[5]SE.17.01.17'!K22</f>
        <v>71189642.752793729</v>
      </c>
      <c r="L29" s="60">
        <f>'[5]SE.17.01.17'!L22</f>
        <v>-2210124.3475976344</v>
      </c>
      <c r="M29" s="60">
        <f>'[5]SE.17.01.17'!M22</f>
        <v>39114753.066724464</v>
      </c>
      <c r="N29" s="60">
        <f>'[5]SE.17.01.17'!N22</f>
        <v>13802495.868271956</v>
      </c>
      <c r="O29" s="60">
        <f>'[5]SE.17.01.17'!O22</f>
        <v>2867962.7114197253</v>
      </c>
      <c r="P29" s="60">
        <f>'[5]SE.17.01.17'!P22</f>
        <v>839202.08745212632</v>
      </c>
      <c r="Q29" s="60">
        <f>'[5]SE.17.01.17'!Q22</f>
        <v>91817828.389349252</v>
      </c>
      <c r="R29" s="60">
        <f>'[5]SE.17.01.17'!R22</f>
        <v>23608.521312173281</v>
      </c>
      <c r="S29" s="60">
        <f>'[5]SE.17.01.17'!S22</f>
        <v>65214414.458859675</v>
      </c>
      <c r="T29" s="60">
        <f>'[5]SE.17.01.17'!T22</f>
        <v>1936453119.4797606</v>
      </c>
    </row>
    <row r="30" spans="2:20">
      <c r="B30" s="49" t="s">
        <v>3923</v>
      </c>
      <c r="C30" s="41" t="s">
        <v>2933</v>
      </c>
      <c r="D30" s="60">
        <f>'[5]SE.17.01.17'!D23</f>
        <v>38953102.086899281</v>
      </c>
      <c r="E30" s="60">
        <f>'[5]SE.17.01.17'!E23</f>
        <v>13444594.044591473</v>
      </c>
      <c r="F30" s="60">
        <f>'[5]SE.17.01.17'!F23</f>
        <v>33588901.128322043</v>
      </c>
      <c r="G30" s="60">
        <f>'[5]SE.17.01.17'!G23</f>
        <v>1185243022.928719</v>
      </c>
      <c r="H30" s="60">
        <f>'[5]SE.17.01.17'!H23</f>
        <v>90056778.091388434</v>
      </c>
      <c r="I30" s="60">
        <f>'[5]SE.17.01.17'!I23</f>
        <v>2597323.7148879026</v>
      </c>
      <c r="J30" s="60">
        <f>'[5]SE.17.01.17'!J23</f>
        <v>289726273.89936221</v>
      </c>
      <c r="K30" s="60">
        <f>'[5]SE.17.01.17'!K23</f>
        <v>71189642.752793729</v>
      </c>
      <c r="L30" s="60">
        <f>'[5]SE.17.01.17'!L23</f>
        <v>-2210124.3475976344</v>
      </c>
      <c r="M30" s="60">
        <f>'[5]SE.17.01.17'!M23</f>
        <v>39114753.066724464</v>
      </c>
      <c r="N30" s="60">
        <f>'[5]SE.17.01.17'!N23</f>
        <v>13802495.868271956</v>
      </c>
      <c r="O30" s="60">
        <f>'[5]SE.17.01.17'!O23</f>
        <v>2867962.7114197253</v>
      </c>
      <c r="P30" s="60">
        <f>'[5]SE.17.01.17'!P23</f>
        <v>839202.08745212632</v>
      </c>
      <c r="Q30" s="60">
        <f>'[5]SE.17.01.17'!Q23</f>
        <v>66703001.186787255</v>
      </c>
      <c r="R30" s="60">
        <f>'[5]SE.17.01.17'!R23</f>
        <v>23608.524430287987</v>
      </c>
      <c r="S30" s="60">
        <f>'[5]SE.17.01.17'!S23</f>
        <v>73388781.096258521</v>
      </c>
      <c r="T30" s="60">
        <f>'[5]SE.17.01.17'!T23</f>
        <v>1919329318.8407111</v>
      </c>
    </row>
    <row r="31" spans="2:20">
      <c r="B31" s="49" t="s">
        <v>3293</v>
      </c>
      <c r="C31" s="41" t="s">
        <v>2935</v>
      </c>
      <c r="D31" s="60">
        <f>'[5]SE.17.01.17'!D24</f>
        <v>2868699.5505691469</v>
      </c>
      <c r="E31" s="60">
        <f>'[5]SE.17.01.17'!E24</f>
        <v>1433227.9578811289</v>
      </c>
      <c r="F31" s="60">
        <f>'[5]SE.17.01.17'!F24</f>
        <v>4091568.2637795652</v>
      </c>
      <c r="G31" s="60">
        <f>'[5]SE.17.01.17'!G24</f>
        <v>60831619.70735997</v>
      </c>
      <c r="H31" s="60">
        <f>'[5]SE.17.01.17'!H24</f>
        <v>1930535.8213779877</v>
      </c>
      <c r="I31" s="60">
        <f>'[5]SE.17.01.17'!I24</f>
        <v>203829.70080631098</v>
      </c>
      <c r="J31" s="60">
        <f>'[5]SE.17.01.17'!J24</f>
        <v>17980487.437368061</v>
      </c>
      <c r="K31" s="60">
        <f>'[5]SE.17.01.17'!K24</f>
        <v>6872108.4409130234</v>
      </c>
      <c r="L31" s="60">
        <f>'[5]SE.17.01.17'!L24</f>
        <v>7619.6729901551353</v>
      </c>
      <c r="M31" s="60">
        <f>'[5]SE.17.01.17'!M24</f>
        <v>3417517.3360435795</v>
      </c>
      <c r="N31" s="60">
        <f>'[5]SE.17.01.17'!N24</f>
        <v>200021.78869824042</v>
      </c>
      <c r="O31" s="60">
        <f>'[5]SE.17.01.17'!O24</f>
        <v>362384.78289169818</v>
      </c>
      <c r="P31" s="60">
        <f>'[5]SE.17.01.17'!P24</f>
        <v>74049.805347454007</v>
      </c>
      <c r="Q31" s="60">
        <f>'[5]SE.17.01.17'!Q24</f>
        <v>9904778.70748524</v>
      </c>
      <c r="R31" s="60">
        <f>'[5]SE.17.01.17'!R24</f>
        <v>7268.8210825557935</v>
      </c>
      <c r="S31" s="60">
        <f>'[5]SE.17.01.17'!S24</f>
        <v>7844885.9672901882</v>
      </c>
      <c r="T31" s="60">
        <f>'[5]SE.17.01.17'!T24</f>
        <v>118030603.76188433</v>
      </c>
    </row>
    <row r="32" spans="2:20">
      <c r="B32" s="49" t="s">
        <v>3762</v>
      </c>
      <c r="C32" s="44" t="s">
        <v>2878</v>
      </c>
      <c r="D32" s="56"/>
      <c r="E32" s="66"/>
      <c r="F32" s="66"/>
      <c r="G32" s="66"/>
      <c r="H32" s="66"/>
      <c r="I32" s="66"/>
      <c r="J32" s="66"/>
      <c r="K32" s="66"/>
      <c r="L32" s="66"/>
      <c r="M32" s="66"/>
      <c r="N32" s="66"/>
      <c r="O32" s="66"/>
      <c r="P32" s="66"/>
      <c r="Q32" s="66"/>
      <c r="R32" s="66"/>
      <c r="S32" s="66"/>
      <c r="T32" s="57"/>
    </row>
    <row r="33" spans="2:28">
      <c r="B33" s="61" t="s">
        <v>3763</v>
      </c>
      <c r="C33" s="41" t="s">
        <v>2937</v>
      </c>
      <c r="D33" s="60"/>
      <c r="E33" s="60"/>
      <c r="F33" s="60"/>
      <c r="G33" s="60"/>
      <c r="H33" s="60"/>
      <c r="I33" s="60"/>
      <c r="J33" s="60"/>
      <c r="K33" s="60"/>
      <c r="L33" s="60"/>
      <c r="M33" s="60"/>
      <c r="N33" s="60"/>
      <c r="O33" s="60"/>
      <c r="P33" s="60"/>
      <c r="Q33" s="60"/>
      <c r="R33" s="60"/>
      <c r="S33" s="60"/>
      <c r="T33" s="60"/>
    </row>
    <row r="34" spans="2:28">
      <c r="B34" s="61" t="s">
        <v>3764</v>
      </c>
      <c r="C34" s="41" t="s">
        <v>2939</v>
      </c>
      <c r="D34" s="60"/>
      <c r="E34" s="60"/>
      <c r="F34" s="60"/>
      <c r="G34" s="60"/>
      <c r="H34" s="60"/>
      <c r="I34" s="60"/>
      <c r="J34" s="60"/>
      <c r="K34" s="60"/>
      <c r="L34" s="60"/>
      <c r="M34" s="60"/>
      <c r="N34" s="60"/>
      <c r="O34" s="60"/>
      <c r="P34" s="60"/>
      <c r="Q34" s="60"/>
      <c r="R34" s="60"/>
      <c r="S34" s="60"/>
      <c r="T34" s="60"/>
    </row>
    <row r="35" spans="2:28">
      <c r="B35" s="61" t="s">
        <v>3293</v>
      </c>
      <c r="C35" s="41" t="s">
        <v>2941</v>
      </c>
      <c r="D35" s="60"/>
      <c r="E35" s="60"/>
      <c r="F35" s="60"/>
      <c r="G35" s="60"/>
      <c r="H35" s="60"/>
      <c r="I35" s="60"/>
      <c r="J35" s="60"/>
      <c r="K35" s="60"/>
      <c r="L35" s="60"/>
      <c r="M35" s="60"/>
      <c r="N35" s="60"/>
      <c r="O35" s="60"/>
      <c r="P35" s="60"/>
      <c r="Q35" s="60"/>
      <c r="R35" s="60"/>
      <c r="S35" s="60"/>
      <c r="T35" s="60"/>
    </row>
    <row r="36" spans="2:28">
      <c r="B36" s="47" t="s">
        <v>3765</v>
      </c>
      <c r="C36" s="44" t="s">
        <v>2878</v>
      </c>
      <c r="D36" s="56"/>
      <c r="E36" s="66"/>
      <c r="F36" s="66"/>
      <c r="G36" s="66"/>
      <c r="H36" s="66"/>
      <c r="I36" s="66"/>
      <c r="J36" s="66"/>
      <c r="K36" s="66"/>
      <c r="L36" s="66"/>
      <c r="M36" s="66"/>
      <c r="N36" s="66"/>
      <c r="O36" s="66"/>
      <c r="P36" s="66"/>
      <c r="Q36" s="66"/>
      <c r="R36" s="66"/>
      <c r="S36" s="66"/>
      <c r="T36" s="57"/>
    </row>
    <row r="37" spans="2:28">
      <c r="B37" s="49" t="s">
        <v>3765</v>
      </c>
      <c r="C37" s="41" t="s">
        <v>2943</v>
      </c>
      <c r="D37" s="60">
        <f>'[5]SE.17.01.17'!D26</f>
        <v>41821801.637468427</v>
      </c>
      <c r="E37" s="60">
        <f>'[5]SE.17.01.17'!E26</f>
        <v>14877822.002472602</v>
      </c>
      <c r="F37" s="60">
        <f>'[5]SE.17.01.17'!F26</f>
        <v>37680469.392101608</v>
      </c>
      <c r="G37" s="60">
        <f>'[5]SE.17.01.17'!G26</f>
        <v>1246074642.6360791</v>
      </c>
      <c r="H37" s="60">
        <f>'[5]SE.17.01.17'!H26</f>
        <v>91987313.912766427</v>
      </c>
      <c r="I37" s="60">
        <f>'[5]SE.17.01.17'!I26</f>
        <v>2801153.4156942135</v>
      </c>
      <c r="J37" s="60">
        <f>'[5]SE.17.01.17'!J26</f>
        <v>307890101.41373456</v>
      </c>
      <c r="K37" s="60">
        <f>'[5]SE.17.01.17'!K26</f>
        <v>78061751.193706751</v>
      </c>
      <c r="L37" s="60">
        <f>'[5]SE.17.01.17'!L26</f>
        <v>-2202504.6746074795</v>
      </c>
      <c r="M37" s="60">
        <f>'[5]SE.17.01.17'!M26</f>
        <v>42532270.402768046</v>
      </c>
      <c r="N37" s="60">
        <f>'[5]SE.17.01.17'!N26</f>
        <v>14002517.656970197</v>
      </c>
      <c r="O37" s="60">
        <f>'[5]SE.17.01.17'!O26</f>
        <v>3230347.4943114235</v>
      </c>
      <c r="P37" s="60">
        <f>'[5]SE.17.01.17'!P26</f>
        <v>913251.89279958035</v>
      </c>
      <c r="Q37" s="60">
        <f>'[5]SE.17.01.17'!Q26</f>
        <v>101722607.0968345</v>
      </c>
      <c r="R37" s="60">
        <f>'[5]SE.17.01.17'!R26</f>
        <v>30877.342394729076</v>
      </c>
      <c r="S37" s="60">
        <f>'[5]SE.17.01.17'!S26</f>
        <v>73059300.42614986</v>
      </c>
      <c r="T37" s="60">
        <f>'[5]SE.17.01.17'!T26</f>
        <v>2054483723.2416446</v>
      </c>
    </row>
    <row r="38" spans="2:28" ht="30">
      <c r="B38" s="49" t="s">
        <v>3925</v>
      </c>
      <c r="C38" s="41" t="s">
        <v>2945</v>
      </c>
      <c r="D38" s="60">
        <f>'[5]SE.17.01.17'!D27</f>
        <v>0</v>
      </c>
      <c r="E38" s="60">
        <f>'[5]SE.17.01.17'!E27</f>
        <v>0</v>
      </c>
      <c r="F38" s="60">
        <f>'[5]SE.17.01.17'!F27</f>
        <v>0</v>
      </c>
      <c r="G38" s="60">
        <f>'[5]SE.17.01.17'!G27</f>
        <v>0</v>
      </c>
      <c r="H38" s="60">
        <f>'[5]SE.17.01.17'!H27</f>
        <v>0</v>
      </c>
      <c r="I38" s="60">
        <f>'[5]SE.17.01.17'!I27</f>
        <v>0</v>
      </c>
      <c r="J38" s="60">
        <f>'[5]SE.17.01.17'!J27</f>
        <v>183340.07700431271</v>
      </c>
      <c r="K38" s="60">
        <f>'[5]SE.17.01.17'!K27</f>
        <v>0</v>
      </c>
      <c r="L38" s="60">
        <f>'[5]SE.17.01.17'!L27</f>
        <v>0</v>
      </c>
      <c r="M38" s="60">
        <f>'[5]SE.17.01.17'!M27</f>
        <v>0</v>
      </c>
      <c r="N38" s="60">
        <f>'[5]SE.17.01.17'!N27</f>
        <v>0</v>
      </c>
      <c r="O38" s="60">
        <f>'[5]SE.17.01.17'!O27</f>
        <v>0</v>
      </c>
      <c r="P38" s="60">
        <f>'[5]SE.17.01.17'!P27</f>
        <v>0</v>
      </c>
      <c r="Q38" s="60">
        <f>'[5]SE.17.01.17'!Q27</f>
        <v>25114827.202561982</v>
      </c>
      <c r="R38" s="60">
        <f>'[5]SE.17.01.17'!R27</f>
        <v>-3.118114702417683E-3</v>
      </c>
      <c r="S38" s="60">
        <f>'[5]SE.17.01.17'!S27</f>
        <v>-8174366.6373988483</v>
      </c>
      <c r="T38" s="60">
        <f>'[5]SE.17.01.17'!T27</f>
        <v>17123800.639049329</v>
      </c>
    </row>
    <row r="39" spans="2:28">
      <c r="B39" s="49" t="s">
        <v>3766</v>
      </c>
      <c r="C39" s="41" t="s">
        <v>2947</v>
      </c>
      <c r="D39" s="60">
        <f>'[5]SE.17.01.17'!D28</f>
        <v>41821801.637468427</v>
      </c>
      <c r="E39" s="60">
        <f>'[5]SE.17.01.17'!E28</f>
        <v>14877822.002472602</v>
      </c>
      <c r="F39" s="60">
        <f>'[5]SE.17.01.17'!F28</f>
        <v>37680469.392101608</v>
      </c>
      <c r="G39" s="60">
        <f>'[5]SE.17.01.17'!G28</f>
        <v>1246074642.6360791</v>
      </c>
      <c r="H39" s="60">
        <f>'[5]SE.17.01.17'!H28</f>
        <v>91987313.912766427</v>
      </c>
      <c r="I39" s="60">
        <f>'[5]SE.17.01.17'!I28</f>
        <v>2801153.4156942135</v>
      </c>
      <c r="J39" s="60">
        <f>'[5]SE.17.01.17'!J28</f>
        <v>307706761.33673024</v>
      </c>
      <c r="K39" s="60">
        <f>'[5]SE.17.01.17'!K28</f>
        <v>78061751.193706751</v>
      </c>
      <c r="L39" s="60">
        <f>'[5]SE.17.01.17'!L28</f>
        <v>-2202504.6746074795</v>
      </c>
      <c r="M39" s="60">
        <f>'[5]SE.17.01.17'!M28</f>
        <v>42532270.402768046</v>
      </c>
      <c r="N39" s="60">
        <f>'[5]SE.17.01.17'!N28</f>
        <v>14002517.656970197</v>
      </c>
      <c r="O39" s="60">
        <f>'[5]SE.17.01.17'!O28</f>
        <v>3230347.4943114235</v>
      </c>
      <c r="P39" s="60">
        <f>'[5]SE.17.01.17'!P28</f>
        <v>913251.89279958035</v>
      </c>
      <c r="Q39" s="60">
        <f>'[5]SE.17.01.17'!Q28</f>
        <v>76607779.894272506</v>
      </c>
      <c r="R39" s="60">
        <f>'[5]SE.17.01.17'!R28</f>
        <v>30877.345512843778</v>
      </c>
      <c r="S39" s="60">
        <f>'[5]SE.17.01.17'!S28</f>
        <v>81233667.063548714</v>
      </c>
      <c r="T39" s="60">
        <f>'[5]SE.17.01.17'!T28</f>
        <v>2037359922.6025956</v>
      </c>
    </row>
    <row r="41" spans="2:28">
      <c r="AA41" s="13"/>
      <c r="AB41" s="13"/>
    </row>
  </sheetData>
  <mergeCells count="22">
    <mergeCell ref="R12:R14"/>
    <mergeCell ref="M12:M14"/>
    <mergeCell ref="N12:N14"/>
    <mergeCell ref="O12:O14"/>
    <mergeCell ref="P12:P14"/>
    <mergeCell ref="Q12:Q14"/>
    <mergeCell ref="B2:O2"/>
    <mergeCell ref="B5:L5"/>
    <mergeCell ref="D9:T10"/>
    <mergeCell ref="D11:O11"/>
    <mergeCell ref="P11:S11"/>
    <mergeCell ref="T11:T14"/>
    <mergeCell ref="D12:D14"/>
    <mergeCell ref="E12:E14"/>
    <mergeCell ref="F12:F14"/>
    <mergeCell ref="G12:G14"/>
    <mergeCell ref="S12:S14"/>
    <mergeCell ref="H12:H14"/>
    <mergeCell ref="I12:I14"/>
    <mergeCell ref="J12:J14"/>
    <mergeCell ref="K12:K14"/>
    <mergeCell ref="L12:L1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F9AB-4C61-47DD-A215-24C83936AC3D}">
  <sheetPr codeName="Blad88"/>
  <dimension ref="B2:AB45"/>
  <sheetViews>
    <sheetView showGridLines="0" workbookViewId="0"/>
  </sheetViews>
  <sheetFormatPr defaultRowHeight="15"/>
  <cols>
    <col min="2" max="2" width="85.140625" bestFit="1" customWidth="1"/>
    <col min="4" max="20" width="15.7109375" customWidth="1"/>
  </cols>
  <sheetData>
    <row r="2" spans="2:28" ht="23.25">
      <c r="B2" s="95" t="s">
        <v>634</v>
      </c>
      <c r="C2" s="96"/>
      <c r="D2" s="96"/>
      <c r="E2" s="96"/>
      <c r="F2" s="96"/>
      <c r="G2" s="96"/>
      <c r="H2" s="96"/>
      <c r="I2" s="96"/>
      <c r="J2" s="96"/>
      <c r="K2" s="96"/>
      <c r="L2" s="96"/>
      <c r="M2" s="96"/>
      <c r="N2" s="96"/>
      <c r="O2" s="96"/>
    </row>
    <row r="5" spans="2:28" ht="18.75">
      <c r="B5" s="97" t="s">
        <v>3936</v>
      </c>
      <c r="C5" s="96"/>
      <c r="D5" s="96"/>
      <c r="E5" s="96"/>
      <c r="F5" s="96"/>
      <c r="G5" s="96"/>
      <c r="H5" s="96"/>
      <c r="I5" s="96"/>
      <c r="J5" s="96"/>
      <c r="K5" s="96"/>
      <c r="L5" s="96"/>
    </row>
    <row r="7" spans="2:28">
      <c r="B7" t="s">
        <v>3110</v>
      </c>
      <c r="AA7" s="13" t="str">
        <f>Show!$B$84&amp;"SR.17.01.01.01 Table label {"&amp;COLUMN($C$1)&amp;"}"</f>
        <v>!SR.17.01.01.01 Table label {3}</v>
      </c>
      <c r="AB7" s="13" t="str">
        <f>Show!$B$84&amp;"SR.17.01.01.01 Table value {"&amp;COLUMN($D$1)&amp;"}"</f>
        <v>!SR.17.01.01.01 Table value {4}</v>
      </c>
    </row>
    <row r="8" spans="2:28">
      <c r="B8" t="s">
        <v>3111</v>
      </c>
    </row>
    <row r="9" spans="2:28">
      <c r="B9" s="40" t="s">
        <v>3788</v>
      </c>
      <c r="C9" s="53" t="s">
        <v>3115</v>
      </c>
      <c r="D9" s="51"/>
    </row>
    <row r="10" spans="2:28">
      <c r="B10" s="40" t="s">
        <v>3114</v>
      </c>
      <c r="C10" s="53" t="s">
        <v>3323</v>
      </c>
      <c r="D10" s="50"/>
    </row>
    <row r="11" spans="2:28">
      <c r="AA11" s="13" t="str">
        <f>Show!$B$84&amp;Show!$B$84&amp;"SR.17.01.01.01 Table label {"&amp;COLUMN($C$1)&amp;"}"</f>
        <v>!!SR.17.01.01.01 Table label {3}</v>
      </c>
      <c r="AB11" s="13" t="str">
        <f>Show!$B$84&amp;Show!$B$84&amp;"SR.17.01.01.01 Table value {"&amp;COLUMN($D$1)&amp;"}"</f>
        <v>!!SR.17.01.01.01 Table value {4}</v>
      </c>
    </row>
    <row r="13" spans="2:28">
      <c r="D13" s="101" t="s">
        <v>2877</v>
      </c>
      <c r="E13" s="102"/>
      <c r="F13" s="102"/>
      <c r="G13" s="102"/>
      <c r="H13" s="102"/>
      <c r="I13" s="102"/>
      <c r="J13" s="102"/>
      <c r="K13" s="102"/>
      <c r="L13" s="102"/>
      <c r="M13" s="102"/>
      <c r="N13" s="102"/>
      <c r="O13" s="102"/>
      <c r="P13" s="102"/>
      <c r="Q13" s="102"/>
      <c r="R13" s="102"/>
      <c r="S13" s="102"/>
      <c r="T13" s="103"/>
    </row>
    <row r="14" spans="2:28">
      <c r="D14" s="104"/>
      <c r="E14" s="105"/>
      <c r="F14" s="105"/>
      <c r="G14" s="105"/>
      <c r="H14" s="105"/>
      <c r="I14" s="105"/>
      <c r="J14" s="105"/>
      <c r="K14" s="105"/>
      <c r="L14" s="105"/>
      <c r="M14" s="105"/>
      <c r="N14" s="105"/>
      <c r="O14" s="105"/>
      <c r="P14" s="105"/>
      <c r="Q14" s="105"/>
      <c r="R14" s="105"/>
      <c r="S14" s="105"/>
      <c r="T14" s="106"/>
    </row>
    <row r="15" spans="2:28">
      <c r="D15" s="107" t="s">
        <v>3900</v>
      </c>
      <c r="E15" s="108"/>
      <c r="F15" s="108"/>
      <c r="G15" s="108"/>
      <c r="H15" s="108"/>
      <c r="I15" s="108"/>
      <c r="J15" s="108"/>
      <c r="K15" s="108"/>
      <c r="L15" s="108"/>
      <c r="M15" s="108"/>
      <c r="N15" s="108"/>
      <c r="O15" s="109"/>
      <c r="P15" s="107" t="s">
        <v>3909</v>
      </c>
      <c r="Q15" s="108"/>
      <c r="R15" s="108"/>
      <c r="S15" s="109"/>
      <c r="T15" s="98" t="s">
        <v>3906</v>
      </c>
    </row>
    <row r="16" spans="2:28">
      <c r="D16" s="98" t="s">
        <v>3460</v>
      </c>
      <c r="E16" s="98" t="s">
        <v>3461</v>
      </c>
      <c r="F16" s="98" t="s">
        <v>3462</v>
      </c>
      <c r="G16" s="98" t="s">
        <v>3463</v>
      </c>
      <c r="H16" s="98" t="s">
        <v>3464</v>
      </c>
      <c r="I16" s="98" t="s">
        <v>3465</v>
      </c>
      <c r="J16" s="98" t="s">
        <v>3466</v>
      </c>
      <c r="K16" s="98" t="s">
        <v>3467</v>
      </c>
      <c r="L16" s="98" t="s">
        <v>3468</v>
      </c>
      <c r="M16" s="98" t="s">
        <v>3469</v>
      </c>
      <c r="N16" s="98" t="s">
        <v>3470</v>
      </c>
      <c r="O16" s="98" t="s">
        <v>3471</v>
      </c>
      <c r="P16" s="98" t="s">
        <v>3902</v>
      </c>
      <c r="Q16" s="98" t="s">
        <v>3903</v>
      </c>
      <c r="R16" s="98" t="s">
        <v>3904</v>
      </c>
      <c r="S16" s="98" t="s">
        <v>3905</v>
      </c>
      <c r="T16" s="99"/>
    </row>
    <row r="17" spans="2:28">
      <c r="D17" s="99"/>
      <c r="E17" s="99"/>
      <c r="F17" s="99"/>
      <c r="G17" s="99"/>
      <c r="H17" s="99"/>
      <c r="I17" s="99"/>
      <c r="J17" s="99"/>
      <c r="K17" s="99"/>
      <c r="L17" s="99"/>
      <c r="M17" s="99"/>
      <c r="N17" s="99"/>
      <c r="O17" s="99"/>
      <c r="P17" s="99"/>
      <c r="Q17" s="99"/>
      <c r="R17" s="99"/>
      <c r="S17" s="99"/>
      <c r="T17" s="99"/>
    </row>
    <row r="18" spans="2:28">
      <c r="D18" s="100"/>
      <c r="E18" s="100"/>
      <c r="F18" s="100"/>
      <c r="G18" s="100"/>
      <c r="H18" s="100"/>
      <c r="I18" s="100"/>
      <c r="J18" s="100"/>
      <c r="K18" s="100"/>
      <c r="L18" s="100"/>
      <c r="M18" s="100"/>
      <c r="N18" s="100"/>
      <c r="O18" s="100"/>
      <c r="P18" s="100"/>
      <c r="Q18" s="100"/>
      <c r="R18" s="100"/>
      <c r="S18" s="100"/>
      <c r="T18" s="100"/>
    </row>
    <row r="19" spans="2:28">
      <c r="D19" s="45" t="s">
        <v>3219</v>
      </c>
      <c r="E19" s="45" t="s">
        <v>3225</v>
      </c>
      <c r="F19" s="45" t="s">
        <v>3223</v>
      </c>
      <c r="G19" s="45" t="s">
        <v>3229</v>
      </c>
      <c r="H19" s="45" t="s">
        <v>3231</v>
      </c>
      <c r="I19" s="45" t="s">
        <v>3233</v>
      </c>
      <c r="J19" s="45" t="s">
        <v>3234</v>
      </c>
      <c r="K19" s="45" t="s">
        <v>3236</v>
      </c>
      <c r="L19" s="45" t="s">
        <v>3239</v>
      </c>
      <c r="M19" s="45" t="s">
        <v>3241</v>
      </c>
      <c r="N19" s="45" t="s">
        <v>3243</v>
      </c>
      <c r="O19" s="45" t="s">
        <v>3375</v>
      </c>
      <c r="P19" s="45" t="s">
        <v>3475</v>
      </c>
      <c r="Q19" s="45" t="s">
        <v>3477</v>
      </c>
      <c r="R19" s="45" t="s">
        <v>3479</v>
      </c>
      <c r="S19" s="45" t="s">
        <v>3594</v>
      </c>
      <c r="T19" s="45" t="s">
        <v>3596</v>
      </c>
      <c r="AA19" s="13" t="str">
        <f>Show!$B$84&amp;"SR.17.01.01.01 Rows {"&amp;COLUMN($C$1)&amp;"}"&amp;"@ForceFilingCode:true"</f>
        <v>!SR.17.01.01.01 Rows {3}@ForceFilingCode:true</v>
      </c>
      <c r="AB19" s="13" t="str">
        <f>Show!$B$84&amp;"SR.17.01.01.01 Columns {"&amp;COLUMN($D$1)&amp;"}"</f>
        <v>!SR.17.01.01.01 Columns {4}</v>
      </c>
    </row>
    <row r="20" spans="2:28">
      <c r="B20" s="43" t="s">
        <v>2880</v>
      </c>
      <c r="C20" s="44" t="s">
        <v>2878</v>
      </c>
      <c r="D20" s="56"/>
      <c r="E20" s="66"/>
      <c r="F20" s="66"/>
      <c r="G20" s="66"/>
      <c r="H20" s="66"/>
      <c r="I20" s="66"/>
      <c r="J20" s="66"/>
      <c r="K20" s="66"/>
      <c r="L20" s="66"/>
      <c r="M20" s="66"/>
      <c r="N20" s="66"/>
      <c r="O20" s="66"/>
      <c r="P20" s="66"/>
      <c r="Q20" s="66"/>
      <c r="R20" s="66"/>
      <c r="S20" s="66"/>
      <c r="T20" s="57"/>
    </row>
    <row r="21" spans="2:28">
      <c r="B21" s="47" t="s">
        <v>3291</v>
      </c>
      <c r="C21" s="41" t="s">
        <v>2883</v>
      </c>
      <c r="D21" s="60"/>
      <c r="E21" s="60"/>
      <c r="F21" s="60"/>
      <c r="G21" s="60"/>
      <c r="H21" s="60"/>
      <c r="I21" s="60"/>
      <c r="J21" s="60"/>
      <c r="K21" s="60"/>
      <c r="L21" s="60"/>
      <c r="M21" s="60"/>
      <c r="N21" s="60"/>
      <c r="O21" s="60"/>
      <c r="P21" s="60"/>
      <c r="Q21" s="60"/>
      <c r="R21" s="60"/>
      <c r="S21" s="60"/>
      <c r="T21" s="60"/>
    </row>
    <row r="22" spans="2:28" ht="30">
      <c r="B22" s="47" t="s">
        <v>3752</v>
      </c>
      <c r="C22" s="41" t="s">
        <v>3078</v>
      </c>
      <c r="D22" s="63"/>
      <c r="E22" s="63"/>
      <c r="F22" s="63"/>
      <c r="G22" s="63"/>
      <c r="H22" s="63"/>
      <c r="I22" s="63"/>
      <c r="J22" s="63"/>
      <c r="K22" s="63"/>
      <c r="L22" s="63"/>
      <c r="M22" s="63"/>
      <c r="N22" s="63"/>
      <c r="O22" s="63"/>
      <c r="P22" s="63"/>
      <c r="Q22" s="63"/>
      <c r="R22" s="63"/>
      <c r="S22" s="63"/>
      <c r="T22" s="63"/>
    </row>
    <row r="23" spans="2:28">
      <c r="B23" s="47" t="s">
        <v>3753</v>
      </c>
      <c r="C23" s="44" t="s">
        <v>2878</v>
      </c>
      <c r="D23" s="58"/>
      <c r="E23" s="67"/>
      <c r="F23" s="67"/>
      <c r="G23" s="67"/>
      <c r="H23" s="67"/>
      <c r="I23" s="67"/>
      <c r="J23" s="67"/>
      <c r="K23" s="67"/>
      <c r="L23" s="67"/>
      <c r="M23" s="67"/>
      <c r="N23" s="67"/>
      <c r="O23" s="67"/>
      <c r="P23" s="67"/>
      <c r="Q23" s="67"/>
      <c r="R23" s="67"/>
      <c r="S23" s="67"/>
      <c r="T23" s="59"/>
    </row>
    <row r="24" spans="2:28">
      <c r="B24" s="49" t="s">
        <v>3764</v>
      </c>
      <c r="C24" s="44" t="s">
        <v>2878</v>
      </c>
      <c r="D24" s="58"/>
      <c r="E24" s="67"/>
      <c r="F24" s="67"/>
      <c r="G24" s="67"/>
      <c r="H24" s="67"/>
      <c r="I24" s="67"/>
      <c r="J24" s="67"/>
      <c r="K24" s="67"/>
      <c r="L24" s="67"/>
      <c r="M24" s="67"/>
      <c r="N24" s="67"/>
      <c r="O24" s="67"/>
      <c r="P24" s="67"/>
      <c r="Q24" s="67"/>
      <c r="R24" s="67"/>
      <c r="S24" s="67"/>
      <c r="T24" s="59"/>
    </row>
    <row r="25" spans="2:28">
      <c r="B25" s="61" t="s">
        <v>3910</v>
      </c>
      <c r="C25" s="44" t="s">
        <v>2878</v>
      </c>
      <c r="D25" s="56"/>
      <c r="E25" s="66"/>
      <c r="F25" s="66"/>
      <c r="G25" s="66"/>
      <c r="H25" s="66"/>
      <c r="I25" s="66"/>
      <c r="J25" s="66"/>
      <c r="K25" s="66"/>
      <c r="L25" s="66"/>
      <c r="M25" s="66"/>
      <c r="N25" s="66"/>
      <c r="O25" s="66"/>
      <c r="P25" s="66"/>
      <c r="Q25" s="66"/>
      <c r="R25" s="66"/>
      <c r="S25" s="66"/>
      <c r="T25" s="57"/>
    </row>
    <row r="26" spans="2:28">
      <c r="B26" s="62" t="s">
        <v>3520</v>
      </c>
      <c r="C26" s="41" t="s">
        <v>2891</v>
      </c>
      <c r="D26" s="60"/>
      <c r="E26" s="60"/>
      <c r="F26" s="60"/>
      <c r="G26" s="60"/>
      <c r="H26" s="60"/>
      <c r="I26" s="60"/>
      <c r="J26" s="60"/>
      <c r="K26" s="60"/>
      <c r="L26" s="60"/>
      <c r="M26" s="60"/>
      <c r="N26" s="60"/>
      <c r="O26" s="60"/>
      <c r="P26" s="60"/>
      <c r="Q26" s="60"/>
      <c r="R26" s="60"/>
      <c r="S26" s="60"/>
      <c r="T26" s="60"/>
    </row>
    <row r="27" spans="2:28" ht="30">
      <c r="B27" s="62" t="s">
        <v>3918</v>
      </c>
      <c r="C27" s="41" t="s">
        <v>2907</v>
      </c>
      <c r="D27" s="60"/>
      <c r="E27" s="60"/>
      <c r="F27" s="60"/>
      <c r="G27" s="60"/>
      <c r="H27" s="60"/>
      <c r="I27" s="60"/>
      <c r="J27" s="60"/>
      <c r="K27" s="60"/>
      <c r="L27" s="60"/>
      <c r="M27" s="60"/>
      <c r="N27" s="60"/>
      <c r="O27" s="60"/>
      <c r="P27" s="60"/>
      <c r="Q27" s="60"/>
      <c r="R27" s="60"/>
      <c r="S27" s="60"/>
      <c r="T27" s="60"/>
    </row>
    <row r="28" spans="2:28">
      <c r="B28" s="62" t="s">
        <v>3919</v>
      </c>
      <c r="C28" s="41" t="s">
        <v>2909</v>
      </c>
      <c r="D28" s="63"/>
      <c r="E28" s="63"/>
      <c r="F28" s="63"/>
      <c r="G28" s="63"/>
      <c r="H28" s="63"/>
      <c r="I28" s="63"/>
      <c r="J28" s="63"/>
      <c r="K28" s="63"/>
      <c r="L28" s="63"/>
      <c r="M28" s="63"/>
      <c r="N28" s="63"/>
      <c r="O28" s="63"/>
      <c r="P28" s="63"/>
      <c r="Q28" s="63"/>
      <c r="R28" s="63"/>
      <c r="S28" s="63"/>
      <c r="T28" s="63"/>
    </row>
    <row r="29" spans="2:28">
      <c r="B29" s="61" t="s">
        <v>3920</v>
      </c>
      <c r="C29" s="44" t="s">
        <v>2878</v>
      </c>
      <c r="D29" s="56"/>
      <c r="E29" s="66"/>
      <c r="F29" s="66"/>
      <c r="G29" s="66"/>
      <c r="H29" s="66"/>
      <c r="I29" s="66"/>
      <c r="J29" s="66"/>
      <c r="K29" s="66"/>
      <c r="L29" s="66"/>
      <c r="M29" s="66"/>
      <c r="N29" s="66"/>
      <c r="O29" s="66"/>
      <c r="P29" s="66"/>
      <c r="Q29" s="66"/>
      <c r="R29" s="66"/>
      <c r="S29" s="66"/>
      <c r="T29" s="57"/>
    </row>
    <row r="30" spans="2:28">
      <c r="B30" s="62" t="s">
        <v>3520</v>
      </c>
      <c r="C30" s="41" t="s">
        <v>2911</v>
      </c>
      <c r="D30" s="60"/>
      <c r="E30" s="60"/>
      <c r="F30" s="60"/>
      <c r="G30" s="60"/>
      <c r="H30" s="60"/>
      <c r="I30" s="60"/>
      <c r="J30" s="60"/>
      <c r="K30" s="60"/>
      <c r="L30" s="60"/>
      <c r="M30" s="60"/>
      <c r="N30" s="60"/>
      <c r="O30" s="60"/>
      <c r="P30" s="60"/>
      <c r="Q30" s="60"/>
      <c r="R30" s="60"/>
      <c r="S30" s="60"/>
      <c r="T30" s="60"/>
    </row>
    <row r="31" spans="2:28" ht="30">
      <c r="B31" s="62" t="s">
        <v>3918</v>
      </c>
      <c r="C31" s="41" t="s">
        <v>2927</v>
      </c>
      <c r="D31" s="60"/>
      <c r="E31" s="60"/>
      <c r="F31" s="60"/>
      <c r="G31" s="60"/>
      <c r="H31" s="60"/>
      <c r="I31" s="60"/>
      <c r="J31" s="60"/>
      <c r="K31" s="60"/>
      <c r="L31" s="60"/>
      <c r="M31" s="60"/>
      <c r="N31" s="60"/>
      <c r="O31" s="60"/>
      <c r="P31" s="60"/>
      <c r="Q31" s="60"/>
      <c r="R31" s="60"/>
      <c r="S31" s="60"/>
      <c r="T31" s="60"/>
    </row>
    <row r="32" spans="2:28">
      <c r="B32" s="62" t="s">
        <v>3921</v>
      </c>
      <c r="C32" s="41" t="s">
        <v>2929</v>
      </c>
      <c r="D32" s="60"/>
      <c r="E32" s="60"/>
      <c r="F32" s="60"/>
      <c r="G32" s="60"/>
      <c r="H32" s="60"/>
      <c r="I32" s="60"/>
      <c r="J32" s="60"/>
      <c r="K32" s="60"/>
      <c r="L32" s="60"/>
      <c r="M32" s="60"/>
      <c r="N32" s="60"/>
      <c r="O32" s="60"/>
      <c r="P32" s="60"/>
      <c r="Q32" s="60"/>
      <c r="R32" s="60"/>
      <c r="S32" s="60"/>
      <c r="T32" s="60"/>
    </row>
    <row r="33" spans="2:28">
      <c r="B33" s="49" t="s">
        <v>3922</v>
      </c>
      <c r="C33" s="41" t="s">
        <v>2931</v>
      </c>
      <c r="D33" s="60"/>
      <c r="E33" s="60"/>
      <c r="F33" s="60"/>
      <c r="G33" s="60"/>
      <c r="H33" s="60"/>
      <c r="I33" s="60"/>
      <c r="J33" s="60"/>
      <c r="K33" s="60"/>
      <c r="L33" s="60"/>
      <c r="M33" s="60"/>
      <c r="N33" s="60"/>
      <c r="O33" s="60"/>
      <c r="P33" s="60"/>
      <c r="Q33" s="60"/>
      <c r="R33" s="60"/>
      <c r="S33" s="60"/>
      <c r="T33" s="60"/>
    </row>
    <row r="34" spans="2:28">
      <c r="B34" s="49" t="s">
        <v>3923</v>
      </c>
      <c r="C34" s="41" t="s">
        <v>2933</v>
      </c>
      <c r="D34" s="60"/>
      <c r="E34" s="60"/>
      <c r="F34" s="60"/>
      <c r="G34" s="60"/>
      <c r="H34" s="60"/>
      <c r="I34" s="60"/>
      <c r="J34" s="60"/>
      <c r="K34" s="60"/>
      <c r="L34" s="60"/>
      <c r="M34" s="60"/>
      <c r="N34" s="60"/>
      <c r="O34" s="60"/>
      <c r="P34" s="60"/>
      <c r="Q34" s="60"/>
      <c r="R34" s="60"/>
      <c r="S34" s="60"/>
      <c r="T34" s="60"/>
    </row>
    <row r="35" spans="2:28">
      <c r="B35" s="49" t="s">
        <v>3293</v>
      </c>
      <c r="C35" s="41" t="s">
        <v>2935</v>
      </c>
      <c r="D35" s="63"/>
      <c r="E35" s="63"/>
      <c r="F35" s="63"/>
      <c r="G35" s="63"/>
      <c r="H35" s="63"/>
      <c r="I35" s="63"/>
      <c r="J35" s="63"/>
      <c r="K35" s="63"/>
      <c r="L35" s="63"/>
      <c r="M35" s="63"/>
      <c r="N35" s="63"/>
      <c r="O35" s="63"/>
      <c r="P35" s="63"/>
      <c r="Q35" s="63"/>
      <c r="R35" s="63"/>
      <c r="S35" s="63"/>
      <c r="T35" s="63"/>
    </row>
    <row r="36" spans="2:28">
      <c r="B36" s="49" t="s">
        <v>3762</v>
      </c>
      <c r="C36" s="44" t="s">
        <v>2878</v>
      </c>
      <c r="D36" s="56"/>
      <c r="E36" s="66"/>
      <c r="F36" s="66"/>
      <c r="G36" s="66"/>
      <c r="H36" s="66"/>
      <c r="I36" s="66"/>
      <c r="J36" s="66"/>
      <c r="K36" s="66"/>
      <c r="L36" s="66"/>
      <c r="M36" s="66"/>
      <c r="N36" s="66"/>
      <c r="O36" s="66"/>
      <c r="P36" s="66"/>
      <c r="Q36" s="66"/>
      <c r="R36" s="66"/>
      <c r="S36" s="66"/>
      <c r="T36" s="57"/>
    </row>
    <row r="37" spans="2:28">
      <c r="B37" s="61" t="s">
        <v>3763</v>
      </c>
      <c r="C37" s="41" t="s">
        <v>2937</v>
      </c>
      <c r="D37" s="60"/>
      <c r="E37" s="60"/>
      <c r="F37" s="60"/>
      <c r="G37" s="60"/>
      <c r="H37" s="60"/>
      <c r="I37" s="60"/>
      <c r="J37" s="60"/>
      <c r="K37" s="60"/>
      <c r="L37" s="60"/>
      <c r="M37" s="60"/>
      <c r="N37" s="60"/>
      <c r="O37" s="60"/>
      <c r="P37" s="60"/>
      <c r="Q37" s="60"/>
      <c r="R37" s="60"/>
      <c r="S37" s="60"/>
      <c r="T37" s="60"/>
    </row>
    <row r="38" spans="2:28">
      <c r="B38" s="61" t="s">
        <v>3764</v>
      </c>
      <c r="C38" s="41" t="s">
        <v>2939</v>
      </c>
      <c r="D38" s="60"/>
      <c r="E38" s="60"/>
      <c r="F38" s="60"/>
      <c r="G38" s="60"/>
      <c r="H38" s="60"/>
      <c r="I38" s="60"/>
      <c r="J38" s="60"/>
      <c r="K38" s="60"/>
      <c r="L38" s="60"/>
      <c r="M38" s="60"/>
      <c r="N38" s="60"/>
      <c r="O38" s="60"/>
      <c r="P38" s="60"/>
      <c r="Q38" s="60"/>
      <c r="R38" s="60"/>
      <c r="S38" s="60"/>
      <c r="T38" s="60"/>
    </row>
    <row r="39" spans="2:28">
      <c r="B39" s="61" t="s">
        <v>3293</v>
      </c>
      <c r="C39" s="41" t="s">
        <v>2941</v>
      </c>
      <c r="D39" s="63"/>
      <c r="E39" s="63"/>
      <c r="F39" s="63"/>
      <c r="G39" s="63"/>
      <c r="H39" s="63"/>
      <c r="I39" s="63"/>
      <c r="J39" s="63"/>
      <c r="K39" s="63"/>
      <c r="L39" s="63"/>
      <c r="M39" s="63"/>
      <c r="N39" s="63"/>
      <c r="O39" s="63"/>
      <c r="P39" s="63"/>
      <c r="Q39" s="63"/>
      <c r="R39" s="63"/>
      <c r="S39" s="63"/>
      <c r="T39" s="63"/>
    </row>
    <row r="40" spans="2:28">
      <c r="B40" s="47" t="s">
        <v>3765</v>
      </c>
      <c r="C40" s="44" t="s">
        <v>2878</v>
      </c>
      <c r="D40" s="56"/>
      <c r="E40" s="66"/>
      <c r="F40" s="66"/>
      <c r="G40" s="66"/>
      <c r="H40" s="66"/>
      <c r="I40" s="66"/>
      <c r="J40" s="66"/>
      <c r="K40" s="66"/>
      <c r="L40" s="66"/>
      <c r="M40" s="66"/>
      <c r="N40" s="66"/>
      <c r="O40" s="66"/>
      <c r="P40" s="66"/>
      <c r="Q40" s="66"/>
      <c r="R40" s="66"/>
      <c r="S40" s="66"/>
      <c r="T40" s="57"/>
    </row>
    <row r="41" spans="2:28">
      <c r="B41" s="49" t="s">
        <v>3765</v>
      </c>
      <c r="C41" s="41" t="s">
        <v>2943</v>
      </c>
      <c r="D41" s="60"/>
      <c r="E41" s="60"/>
      <c r="F41" s="60"/>
      <c r="G41" s="60"/>
      <c r="H41" s="60"/>
      <c r="I41" s="60"/>
      <c r="J41" s="60"/>
      <c r="K41" s="60"/>
      <c r="L41" s="60"/>
      <c r="M41" s="60"/>
      <c r="N41" s="60"/>
      <c r="O41" s="60"/>
      <c r="P41" s="60"/>
      <c r="Q41" s="60"/>
      <c r="R41" s="60"/>
      <c r="S41" s="60"/>
      <c r="T41" s="60"/>
    </row>
    <row r="42" spans="2:28" ht="30">
      <c r="B42" s="49" t="s">
        <v>3925</v>
      </c>
      <c r="C42" s="41" t="s">
        <v>2945</v>
      </c>
      <c r="D42" s="60"/>
      <c r="E42" s="60"/>
      <c r="F42" s="60"/>
      <c r="G42" s="60"/>
      <c r="H42" s="60"/>
      <c r="I42" s="60"/>
      <c r="J42" s="60"/>
      <c r="K42" s="60"/>
      <c r="L42" s="60"/>
      <c r="M42" s="60"/>
      <c r="N42" s="60"/>
      <c r="O42" s="60"/>
      <c r="P42" s="60"/>
      <c r="Q42" s="60"/>
      <c r="R42" s="60"/>
      <c r="S42" s="60"/>
      <c r="T42" s="60"/>
    </row>
    <row r="43" spans="2:28">
      <c r="B43" s="49" t="s">
        <v>3766</v>
      </c>
      <c r="C43" s="41" t="s">
        <v>2947</v>
      </c>
      <c r="D43" s="60"/>
      <c r="E43" s="60"/>
      <c r="F43" s="60"/>
      <c r="G43" s="60"/>
      <c r="H43" s="60"/>
      <c r="I43" s="60"/>
      <c r="J43" s="60"/>
      <c r="K43" s="60"/>
      <c r="L43" s="60"/>
      <c r="M43" s="60"/>
      <c r="N43" s="60"/>
      <c r="O43" s="60"/>
      <c r="P43" s="60"/>
      <c r="Q43" s="60"/>
      <c r="R43" s="60"/>
      <c r="S43" s="60"/>
      <c r="T43" s="60"/>
    </row>
    <row r="45" spans="2:28">
      <c r="AA45" s="13" t="str">
        <f>Show!$B$84&amp;Show!$B$84&amp;"SR.17.01.01.01 Rows {"&amp;COLUMN($C$1)&amp;"}"</f>
        <v>!!SR.17.01.01.01 Rows {3}</v>
      </c>
      <c r="AB45" s="13" t="str">
        <f>Show!$B$84&amp;Show!$B$84&amp;"SR.17.01.01.01 Columns {"&amp;COLUMN($T$1)&amp;"}"</f>
        <v>!!SR.17.01.01.01 Columns {20}</v>
      </c>
    </row>
  </sheetData>
  <sheetProtection sheet="1" objects="1" scenarios="1"/>
  <mergeCells count="22">
    <mergeCell ref="R16:R18"/>
    <mergeCell ref="M16:M18"/>
    <mergeCell ref="N16:N18"/>
    <mergeCell ref="O16:O18"/>
    <mergeCell ref="P16:P18"/>
    <mergeCell ref="Q16:Q18"/>
    <mergeCell ref="B2:O2"/>
    <mergeCell ref="B5:L5"/>
    <mergeCell ref="D13:T14"/>
    <mergeCell ref="D15:O15"/>
    <mergeCell ref="P15:S15"/>
    <mergeCell ref="T15:T18"/>
    <mergeCell ref="D16:D18"/>
    <mergeCell ref="E16:E18"/>
    <mergeCell ref="F16:F18"/>
    <mergeCell ref="G16:G18"/>
    <mergeCell ref="S16:S18"/>
    <mergeCell ref="H16:H18"/>
    <mergeCell ref="I16:I18"/>
    <mergeCell ref="J16:J18"/>
    <mergeCell ref="K16:K18"/>
    <mergeCell ref="L16:L18"/>
  </mergeCells>
  <dataValidations count="1">
    <dataValidation type="list" errorStyle="warning" allowBlank="1" showInputMessage="1" showErrorMessage="1" sqref="D9" xr:uid="{BCB7430F-410F-4F35-8911-E3EE1F05ECF5}">
      <formula1>hier_PU_20</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FD24-3579-4A85-94FA-84035CBA0B94}">
  <sheetPr codeName="Blad89"/>
  <dimension ref="B2:Y33"/>
  <sheetViews>
    <sheetView showGridLines="0" workbookViewId="0"/>
  </sheetViews>
  <sheetFormatPr defaultRowHeight="15"/>
  <cols>
    <col min="2" max="2" width="74.42578125" bestFit="1" customWidth="1"/>
    <col min="4" max="4" width="40.7109375" customWidth="1"/>
    <col min="5" max="16" width="15.7109375" customWidth="1"/>
  </cols>
  <sheetData>
    <row r="2" spans="2:25" ht="23.25">
      <c r="B2" s="95" t="s">
        <v>638</v>
      </c>
      <c r="C2" s="96"/>
      <c r="D2" s="96"/>
      <c r="E2" s="96"/>
      <c r="F2" s="96"/>
      <c r="G2" s="96"/>
      <c r="H2" s="96"/>
      <c r="I2" s="96"/>
      <c r="J2" s="96"/>
      <c r="K2" s="96"/>
      <c r="L2" s="96"/>
      <c r="M2" s="96"/>
      <c r="N2" s="96"/>
      <c r="O2" s="96"/>
    </row>
    <row r="5" spans="2:25" ht="18.75">
      <c r="B5" s="97" t="s">
        <v>3937</v>
      </c>
      <c r="C5" s="96"/>
      <c r="D5" s="96"/>
      <c r="E5" s="96"/>
      <c r="F5" s="96"/>
      <c r="G5" s="96"/>
      <c r="H5" s="96"/>
      <c r="I5" s="96"/>
      <c r="J5" s="96"/>
      <c r="K5" s="96"/>
      <c r="L5" s="96"/>
    </row>
    <row r="9" spans="2:25">
      <c r="D9" s="101" t="s">
        <v>2877</v>
      </c>
      <c r="E9" s="102"/>
      <c r="F9" s="102"/>
      <c r="G9" s="102"/>
      <c r="H9" s="102"/>
      <c r="I9" s="102"/>
      <c r="J9" s="102"/>
      <c r="K9" s="102"/>
      <c r="L9" s="102"/>
      <c r="M9" s="102"/>
      <c r="N9" s="102"/>
      <c r="O9" s="103"/>
    </row>
    <row r="10" spans="2:25">
      <c r="D10" s="104"/>
      <c r="E10" s="105"/>
      <c r="F10" s="105"/>
      <c r="G10" s="105"/>
      <c r="H10" s="105"/>
      <c r="I10" s="105"/>
      <c r="J10" s="105"/>
      <c r="K10" s="105"/>
      <c r="L10" s="105"/>
      <c r="M10" s="105"/>
      <c r="N10" s="105"/>
      <c r="O10" s="106"/>
    </row>
    <row r="11" spans="2:25">
      <c r="D11" s="107" t="s">
        <v>3907</v>
      </c>
      <c r="E11" s="108"/>
      <c r="F11" s="108"/>
      <c r="G11" s="108"/>
      <c r="H11" s="108"/>
      <c r="I11" s="108"/>
      <c r="J11" s="108"/>
      <c r="K11" s="108"/>
      <c r="L11" s="108"/>
      <c r="M11" s="108"/>
      <c r="N11" s="108"/>
      <c r="O11" s="109"/>
    </row>
    <row r="12" spans="2:25"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row>
    <row r="13" spans="2:25">
      <c r="D13" s="45" t="s">
        <v>3219</v>
      </c>
      <c r="E13" s="45" t="s">
        <v>3225</v>
      </c>
      <c r="F13" s="45" t="s">
        <v>3223</v>
      </c>
      <c r="G13" s="45" t="s">
        <v>3229</v>
      </c>
      <c r="H13" s="45" t="s">
        <v>3231</v>
      </c>
      <c r="I13" s="45" t="s">
        <v>3233</v>
      </c>
      <c r="J13" s="45" t="s">
        <v>3234</v>
      </c>
      <c r="K13" s="45" t="s">
        <v>3236</v>
      </c>
      <c r="L13" s="45" t="s">
        <v>3239</v>
      </c>
      <c r="M13" s="45" t="s">
        <v>3241</v>
      </c>
      <c r="N13" s="45" t="s">
        <v>3243</v>
      </c>
      <c r="O13" s="45" t="s">
        <v>3375</v>
      </c>
      <c r="X13" s="13" t="str">
        <f>Show!$B$85&amp;"S.17.02.01.01 Rows {"&amp;COLUMN($C$1)&amp;"}"&amp;"@ForceFilingCode:true"</f>
        <v>!S.17.02.01.01 Rows {3}@ForceFilingCode:true</v>
      </c>
      <c r="Y13" s="13" t="str">
        <f>Show!$B$85&amp;"S.17.02.01.01 Columns {"&amp;COLUMN($D$1)&amp;"}"</f>
        <v>!S.17.02.01.01 Columns {4}</v>
      </c>
    </row>
    <row r="14" spans="2:25">
      <c r="B14" s="43" t="s">
        <v>2880</v>
      </c>
      <c r="C14" s="44" t="s">
        <v>2878</v>
      </c>
      <c r="D14" s="56"/>
      <c r="E14" s="66"/>
      <c r="F14" s="66"/>
      <c r="G14" s="66"/>
      <c r="H14" s="66"/>
      <c r="I14" s="66"/>
      <c r="J14" s="66"/>
      <c r="K14" s="66"/>
      <c r="L14" s="66"/>
      <c r="M14" s="66"/>
      <c r="N14" s="66"/>
      <c r="O14" s="57"/>
    </row>
    <row r="15" spans="2:25">
      <c r="B15" s="47" t="s">
        <v>3559</v>
      </c>
      <c r="C15" s="41" t="s">
        <v>2883</v>
      </c>
      <c r="D15" s="60"/>
      <c r="E15" s="60"/>
      <c r="F15" s="60"/>
      <c r="G15" s="60"/>
      <c r="H15" s="60"/>
      <c r="I15" s="60"/>
      <c r="J15" s="60"/>
      <c r="K15" s="60"/>
      <c r="L15" s="60"/>
      <c r="M15" s="60"/>
      <c r="N15" s="60"/>
      <c r="O15" s="60"/>
    </row>
    <row r="16" spans="2:25">
      <c r="B16" s="47" t="s">
        <v>3791</v>
      </c>
      <c r="C16" s="41" t="s">
        <v>2885</v>
      </c>
      <c r="D16" s="60"/>
      <c r="E16" s="60"/>
      <c r="F16" s="60"/>
      <c r="G16" s="60"/>
      <c r="H16" s="60"/>
      <c r="I16" s="60"/>
      <c r="J16" s="60"/>
      <c r="K16" s="60"/>
      <c r="L16" s="60"/>
      <c r="M16" s="60"/>
      <c r="N16" s="60"/>
      <c r="O16" s="60"/>
    </row>
    <row r="17" spans="2:25">
      <c r="B17" s="47" t="s">
        <v>3792</v>
      </c>
      <c r="C17" s="41" t="s">
        <v>2887</v>
      </c>
      <c r="D17" s="60"/>
      <c r="E17" s="60"/>
      <c r="F17" s="60"/>
      <c r="G17" s="60"/>
      <c r="H17" s="60"/>
      <c r="I17" s="60"/>
      <c r="J17" s="60"/>
      <c r="K17" s="60"/>
      <c r="L17" s="60"/>
      <c r="M17" s="60"/>
      <c r="N17" s="60"/>
      <c r="O17" s="60"/>
    </row>
    <row r="19" spans="2:25">
      <c r="X19" s="13" t="str">
        <f>Show!$B$85&amp;Show!$B$85&amp;"S.17.02.01.01 Rows {"&amp;COLUMN($C$1)&amp;"}"</f>
        <v>!!S.17.02.01.01 Rows {3}</v>
      </c>
      <c r="Y19" s="13" t="str">
        <f>Show!$B$85&amp;Show!$B$85&amp;"S.17.02.01.01 Columns {"&amp;COLUMN($O$1)&amp;"}"</f>
        <v>!!S.17.02.01.01 Columns {15}</v>
      </c>
    </row>
    <row r="21" spans="2:25" ht="18.75">
      <c r="B21" s="97" t="s">
        <v>3938</v>
      </c>
      <c r="C21" s="96"/>
      <c r="D21" s="96"/>
      <c r="E21" s="96"/>
      <c r="F21" s="96"/>
      <c r="G21" s="96"/>
      <c r="H21" s="96"/>
      <c r="I21" s="96"/>
      <c r="J21" s="96"/>
      <c r="K21" s="96"/>
      <c r="L21" s="96"/>
    </row>
    <row r="25" spans="2:25">
      <c r="D25" s="98" t="s">
        <v>56</v>
      </c>
      <c r="E25" s="101" t="s">
        <v>2877</v>
      </c>
      <c r="F25" s="102"/>
      <c r="G25" s="102"/>
      <c r="H25" s="102"/>
      <c r="I25" s="102"/>
      <c r="J25" s="102"/>
      <c r="K25" s="102"/>
      <c r="L25" s="102"/>
      <c r="M25" s="102"/>
      <c r="N25" s="102"/>
      <c r="O25" s="102"/>
      <c r="P25" s="103"/>
    </row>
    <row r="26" spans="2:25">
      <c r="D26" s="99"/>
      <c r="E26" s="104"/>
      <c r="F26" s="105"/>
      <c r="G26" s="105"/>
      <c r="H26" s="105"/>
      <c r="I26" s="105"/>
      <c r="J26" s="105"/>
      <c r="K26" s="105"/>
      <c r="L26" s="105"/>
      <c r="M26" s="105"/>
      <c r="N26" s="105"/>
      <c r="O26" s="105"/>
      <c r="P26" s="106"/>
    </row>
    <row r="27" spans="2:25">
      <c r="D27" s="99"/>
      <c r="E27" s="107" t="s">
        <v>3907</v>
      </c>
      <c r="F27" s="108"/>
      <c r="G27" s="108"/>
      <c r="H27" s="108"/>
      <c r="I27" s="108"/>
      <c r="J27" s="108"/>
      <c r="K27" s="108"/>
      <c r="L27" s="108"/>
      <c r="M27" s="108"/>
      <c r="N27" s="108"/>
      <c r="O27" s="108"/>
      <c r="P27" s="109"/>
    </row>
    <row r="28" spans="2:25" ht="60">
      <c r="D28" s="100"/>
      <c r="E28" s="55" t="s">
        <v>3460</v>
      </c>
      <c r="F28" s="55" t="s">
        <v>3461</v>
      </c>
      <c r="G28" s="55" t="s">
        <v>3462</v>
      </c>
      <c r="H28" s="55" t="s">
        <v>3463</v>
      </c>
      <c r="I28" s="55" t="s">
        <v>3464</v>
      </c>
      <c r="J28" s="55" t="s">
        <v>3465</v>
      </c>
      <c r="K28" s="55" t="s">
        <v>3466</v>
      </c>
      <c r="L28" s="55" t="s">
        <v>3467</v>
      </c>
      <c r="M28" s="55" t="s">
        <v>3468</v>
      </c>
      <c r="N28" s="55" t="s">
        <v>3469</v>
      </c>
      <c r="O28" s="55" t="s">
        <v>3470</v>
      </c>
      <c r="P28" s="55" t="s">
        <v>3471</v>
      </c>
    </row>
    <row r="29" spans="2:25">
      <c r="D29" s="45" t="s">
        <v>2879</v>
      </c>
      <c r="E29" s="45" t="s">
        <v>3219</v>
      </c>
      <c r="F29" s="45" t="s">
        <v>3225</v>
      </c>
      <c r="G29" s="45" t="s">
        <v>3223</v>
      </c>
      <c r="H29" s="45" t="s">
        <v>3229</v>
      </c>
      <c r="I29" s="45" t="s">
        <v>3231</v>
      </c>
      <c r="J29" s="45" t="s">
        <v>3233</v>
      </c>
      <c r="K29" s="45" t="s">
        <v>3234</v>
      </c>
      <c r="L29" s="45" t="s">
        <v>3236</v>
      </c>
      <c r="M29" s="45" t="s">
        <v>3239</v>
      </c>
      <c r="N29" s="45" t="s">
        <v>3241</v>
      </c>
      <c r="O29" s="45" t="s">
        <v>3243</v>
      </c>
      <c r="P29" s="45" t="s">
        <v>3375</v>
      </c>
      <c r="X29" s="13" t="str">
        <f>Show!$B$85&amp;"S.17.02.01.02 Rows {"&amp;COLUMN($C$1)&amp;"}"&amp;"@ForceFilingCode:true"</f>
        <v>!S.17.02.01.02 Rows {3}@ForceFilingCode:true</v>
      </c>
      <c r="Y29" s="13" t="str">
        <f>Show!$B$85&amp;"S.17.02.01.02 Columns {"&amp;COLUMN($D$1)&amp;"}"</f>
        <v>!S.17.02.01.02 Columns {4}</v>
      </c>
    </row>
    <row r="30" spans="2:25">
      <c r="B30" s="43" t="s">
        <v>2880</v>
      </c>
      <c r="C30" s="44" t="s">
        <v>2878</v>
      </c>
      <c r="D30" s="56"/>
      <c r="E30" s="66"/>
      <c r="F30" s="66"/>
      <c r="G30" s="66"/>
      <c r="H30" s="66"/>
      <c r="I30" s="66"/>
      <c r="J30" s="66"/>
      <c r="K30" s="66"/>
      <c r="L30" s="66"/>
      <c r="M30" s="66"/>
      <c r="N30" s="66"/>
      <c r="O30" s="66"/>
      <c r="P30" s="57"/>
    </row>
    <row r="31" spans="2:25">
      <c r="B31" s="47" t="s">
        <v>3794</v>
      </c>
      <c r="C31" s="41" t="s">
        <v>2889</v>
      </c>
      <c r="D31" s="51"/>
      <c r="E31" s="60"/>
      <c r="F31" s="60"/>
      <c r="G31" s="60"/>
      <c r="H31" s="60"/>
      <c r="I31" s="60"/>
      <c r="J31" s="60"/>
      <c r="K31" s="60"/>
      <c r="L31" s="60"/>
      <c r="M31" s="60"/>
      <c r="N31" s="60"/>
      <c r="O31" s="60"/>
      <c r="P31" s="60"/>
    </row>
    <row r="33" spans="24:25">
      <c r="X33" s="13" t="str">
        <f>Show!$B$85&amp;Show!$B$85&amp;"S.17.02.01.02 Rows {"&amp;COLUMN($C$1)&amp;"}"</f>
        <v>!!S.17.02.01.02 Rows {3}</v>
      </c>
      <c r="Y33" s="13" t="str">
        <f>Show!$B$85&amp;Show!$B$85&amp;"S.17.02.01.02 Columns {"&amp;COLUMN($P$1)&amp;"}"</f>
        <v>!!S.17.02.01.02 Columns {16}</v>
      </c>
    </row>
  </sheetData>
  <sheetProtection sheet="1" objects="1" scenarios="1"/>
  <mergeCells count="8">
    <mergeCell ref="D25:D28"/>
    <mergeCell ref="E25:P26"/>
    <mergeCell ref="E27:P27"/>
    <mergeCell ref="B2:O2"/>
    <mergeCell ref="B5:L5"/>
    <mergeCell ref="D9:O10"/>
    <mergeCell ref="D11:O11"/>
    <mergeCell ref="B21:L21"/>
  </mergeCells>
  <dataValidations count="1">
    <dataValidation type="list" errorStyle="warning" allowBlank="1" showInputMessage="1" showErrorMessage="1" sqref="D31" xr:uid="{33344AE7-839C-4978-9861-A5B40572027C}">
      <formula1>hier_GA_18</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332F-9E18-4F69-B38F-FEAE6DC1FB8B}">
  <sheetPr codeName="Blad9"/>
  <dimension ref="B2:O24"/>
  <sheetViews>
    <sheetView showGridLines="0" workbookViewId="0"/>
  </sheetViews>
  <sheetFormatPr defaultRowHeight="15"/>
  <cols>
    <col min="2" max="2" width="70.28515625" bestFit="1" customWidth="1"/>
    <col min="4" max="4" width="40.7109375" customWidth="1"/>
  </cols>
  <sheetData>
    <row r="2" spans="2:15" ht="23.25">
      <c r="B2" s="95" t="s">
        <v>512</v>
      </c>
      <c r="C2" s="96"/>
      <c r="D2" s="96"/>
      <c r="E2" s="96"/>
      <c r="F2" s="96"/>
      <c r="G2" s="96"/>
      <c r="H2" s="96"/>
      <c r="I2" s="96"/>
      <c r="J2" s="96"/>
      <c r="K2" s="96"/>
      <c r="L2" s="96"/>
      <c r="M2" s="96"/>
      <c r="N2" s="96"/>
      <c r="O2" s="96"/>
    </row>
    <row r="5" spans="2:15" ht="18.75">
      <c r="B5" s="97" t="s">
        <v>3073</v>
      </c>
      <c r="C5" s="96"/>
      <c r="D5" s="96"/>
      <c r="E5" s="96"/>
      <c r="F5" s="96"/>
      <c r="G5" s="96"/>
      <c r="H5" s="96"/>
      <c r="I5" s="96"/>
      <c r="J5" s="96"/>
      <c r="K5" s="96"/>
      <c r="L5" s="96"/>
    </row>
    <row r="9" spans="2:15">
      <c r="D9" s="98" t="s">
        <v>2877</v>
      </c>
    </row>
    <row r="10" spans="2:15">
      <c r="D10" s="99"/>
    </row>
    <row r="11" spans="2:15">
      <c r="D11" s="99"/>
    </row>
    <row r="12" spans="2:15">
      <c r="D12" s="100"/>
    </row>
    <row r="13" spans="2:15">
      <c r="D13" s="45" t="s">
        <v>2879</v>
      </c>
      <c r="I13" s="13" t="str">
        <f>IF(COUNTIF(D:D,"Reported")&gt;0,Show!$B$5,"!")&amp;"S.01.01.05.01 Rows {"&amp;COLUMN($C$1)&amp;"}"&amp;"@ForceFilingCode:true"</f>
        <v>!S.01.01.05.01 Rows {3}@ForceFilingCode:true</v>
      </c>
      <c r="J13" s="13" t="str">
        <f>IF(COUNTIF(D:D,"Reported")&gt;0,Show!$B$5,"!")&amp;"S.01.01.05.01 Columns {"&amp;COLUMN($D$1)&amp;"}"</f>
        <v>!S.01.01.05.01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3025</v>
      </c>
      <c r="C17" s="41" t="s">
        <v>2887</v>
      </c>
      <c r="D17" s="51"/>
    </row>
    <row r="18" spans="2:10">
      <c r="B18" s="52" t="s">
        <v>3026</v>
      </c>
      <c r="C18" s="41" t="s">
        <v>2901</v>
      </c>
      <c r="D18" s="51"/>
    </row>
    <row r="19" spans="2:10">
      <c r="B19" s="52" t="s">
        <v>3035</v>
      </c>
      <c r="C19" s="41" t="s">
        <v>2907</v>
      </c>
      <c r="D19" s="51"/>
    </row>
    <row r="20" spans="2:10">
      <c r="B20" s="52" t="s">
        <v>3036</v>
      </c>
      <c r="C20" s="41" t="s">
        <v>2909</v>
      </c>
      <c r="D20" s="51"/>
    </row>
    <row r="21" spans="2:10">
      <c r="B21" s="52" t="s">
        <v>3038</v>
      </c>
      <c r="C21" s="41" t="s">
        <v>2913</v>
      </c>
      <c r="D21" s="51"/>
    </row>
    <row r="22" spans="2:10">
      <c r="B22" s="52" t="s">
        <v>3039</v>
      </c>
      <c r="C22" s="41" t="s">
        <v>2915</v>
      </c>
      <c r="D22" s="51"/>
    </row>
    <row r="23" spans="2:10">
      <c r="B23" s="52" t="s">
        <v>3046</v>
      </c>
      <c r="C23" s="41" t="s">
        <v>2961</v>
      </c>
      <c r="D23" s="51"/>
    </row>
    <row r="24" spans="2:10">
      <c r="I24" s="13" t="str">
        <f>IF(COUNTIF(D:D,"Reported")&gt;0,Show!$B$5&amp;Show!$B$5,"!!")&amp;"S.01.01.05.01 Rows {"&amp;COLUMN($C$1)&amp;"}"</f>
        <v>!!S.01.01.05.01 Rows {3}</v>
      </c>
      <c r="J24" s="13" t="str">
        <f>IF(COUNTIF(D:D,"Reported")&gt;0,Show!$B$5&amp;Show!$B$5,"!!")&amp;"S.01.01.05.01 Columns {"&amp;COLUMN($D$1)&amp;"}"</f>
        <v>!!S.01.01.05.01 Columns {4}</v>
      </c>
    </row>
  </sheetData>
  <sheetProtection sheet="1" objects="1" scenarios="1"/>
  <mergeCells count="3">
    <mergeCell ref="B2:O2"/>
    <mergeCell ref="B5:L5"/>
    <mergeCell ref="D9:D12"/>
  </mergeCells>
  <dataValidations count="6">
    <dataValidation type="list" errorStyle="warning" allowBlank="1" showInputMessage="1" showErrorMessage="1" sqref="D16" xr:uid="{A6209AEA-2935-4A44-A2BA-3F9FC4C1BEE1}">
      <formula1>hier_CN_2</formula1>
    </dataValidation>
    <dataValidation type="list" errorStyle="warning" allowBlank="1" showInputMessage="1" showErrorMessage="1" sqref="D17" xr:uid="{CCA491FA-C241-41FF-8610-85F4DD9A7B64}">
      <formula1>hier_CN_16</formula1>
    </dataValidation>
    <dataValidation type="list" errorStyle="warning" allowBlank="1" showInputMessage="1" showErrorMessage="1" sqref="D18 D23" xr:uid="{F57674D8-B1C2-4170-84ED-95EBDC4633A8}">
      <formula1>hier_CN_87</formula1>
    </dataValidation>
    <dataValidation type="list" errorStyle="warning" allowBlank="1" showInputMessage="1" showErrorMessage="1" sqref="D19" xr:uid="{8BA3786D-6128-46CC-B65B-D667D33858C8}">
      <formula1>hier_CN_24</formula1>
    </dataValidation>
    <dataValidation type="list" errorStyle="warning" allowBlank="1" showInputMessage="1" showErrorMessage="1" sqref="D20" xr:uid="{F874A4DA-48EC-4F6C-A600-C493F9EBC0E3}">
      <formula1>hier_CN_118</formula1>
    </dataValidation>
    <dataValidation type="list" errorStyle="warning" allowBlank="1" showInputMessage="1" showErrorMessage="1" sqref="D21 D22" xr:uid="{979F3051-201E-43BB-ACD1-A74354413BEC}">
      <formula1>hier_CN_29</formula1>
    </dataValidation>
  </dataValidations>
  <hyperlinks>
    <hyperlink ref="B16" location="'S.01.02.04'!A1" display="S.01.02.04 - Basic Information - General" xr:uid="{7F45DE62-1978-4AA2-B66D-76811ED00B6B}"/>
    <hyperlink ref="B17" location="'S.02.01.02'!A1" display="S.02.01.02 - Balance sheet" xr:uid="{B6E095CD-F061-4B34-B42A-3ACDF2F55817}"/>
    <hyperlink ref="B18" location="'S.05.01.02'!A1" display="S.05.01.02 - Premiums, claims and expenses by line of business" xr:uid="{D573D0FE-7ED3-4FD3-916E-B6A078F56CD0}"/>
    <hyperlink ref="B19" location="'S.06.02.04'!A1" display="S.06.02.04 - List of assets" xr:uid="{6E028377-C2A1-43A5-8A71-39137BA69E00}"/>
    <hyperlink ref="B20" location="'S.06.03.04'!A1" display="S.06.03.04 - Collective investment undertakings - look-through approach" xr:uid="{77AC68AF-B79F-4420-B78D-ED4E1BDD3B68}"/>
    <hyperlink ref="B21" location="'S.08.01.04'!A1" display="S.08.01.04 - Open derivatives" xr:uid="{1584233A-08B4-44D5-8DEB-CF3ABE1962AC}"/>
    <hyperlink ref="B22" location="'S.08.02.04'!A1" display="S.08.02.04 - Derivatives Transactions" xr:uid="{BB95C8B7-5E86-45E3-8187-3BBEB1972F38}"/>
    <hyperlink ref="B23" location="'S.23.01.04'!A1" display="S.23.01.04 - Own funds" xr:uid="{D3B5E9C3-3477-4D5F-ACC8-75243FDC69A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8B6A7-D6C9-42A5-88EC-79DBD015A3FC}">
  <sheetPr codeName="Blad90"/>
  <dimension ref="B2:X49"/>
  <sheetViews>
    <sheetView showGridLines="0" workbookViewId="0"/>
  </sheetViews>
  <sheetFormatPr defaultRowHeight="15"/>
  <cols>
    <col min="2" max="2" width="53.28515625" bestFit="1" customWidth="1"/>
    <col min="4" max="12" width="15.7109375" customWidth="1"/>
  </cols>
  <sheetData>
    <row r="2" spans="2:24" ht="23.25">
      <c r="B2" s="95" t="s">
        <v>640</v>
      </c>
      <c r="C2" s="96"/>
      <c r="D2" s="96"/>
      <c r="E2" s="96"/>
      <c r="F2" s="96"/>
      <c r="G2" s="96"/>
      <c r="H2" s="96"/>
      <c r="I2" s="96"/>
      <c r="J2" s="96"/>
      <c r="K2" s="96"/>
      <c r="L2" s="96"/>
      <c r="M2" s="96"/>
      <c r="N2" s="96"/>
      <c r="O2" s="96"/>
    </row>
    <row r="5" spans="2:24" ht="18.75">
      <c r="B5" s="97" t="s">
        <v>3939</v>
      </c>
      <c r="C5" s="96"/>
      <c r="D5" s="96"/>
      <c r="E5" s="96"/>
      <c r="F5" s="96"/>
      <c r="G5" s="96"/>
      <c r="H5" s="96"/>
      <c r="I5" s="96"/>
      <c r="J5" s="96"/>
      <c r="K5" s="96"/>
      <c r="L5" s="96"/>
    </row>
    <row r="9" spans="2:24">
      <c r="D9" s="101" t="s">
        <v>2877</v>
      </c>
      <c r="E9" s="102"/>
      <c r="F9" s="102"/>
      <c r="G9" s="102"/>
      <c r="H9" s="102"/>
      <c r="I9" s="102"/>
      <c r="J9" s="102"/>
      <c r="K9" s="102"/>
      <c r="L9" s="103"/>
    </row>
    <row r="10" spans="2:24">
      <c r="D10" s="104"/>
      <c r="E10" s="105"/>
      <c r="F10" s="105"/>
      <c r="G10" s="105"/>
      <c r="H10" s="105"/>
      <c r="I10" s="105"/>
      <c r="J10" s="105"/>
      <c r="K10" s="105"/>
      <c r="L10" s="106"/>
    </row>
    <row r="11" spans="2:24">
      <c r="D11" s="107" t="s">
        <v>3940</v>
      </c>
      <c r="E11" s="108"/>
      <c r="F11" s="108"/>
      <c r="G11" s="109"/>
      <c r="H11" s="107" t="s">
        <v>3943</v>
      </c>
      <c r="I11" s="108"/>
      <c r="J11" s="108"/>
      <c r="K11" s="109"/>
      <c r="L11" s="98" t="s">
        <v>3799</v>
      </c>
    </row>
    <row r="12" spans="2:24">
      <c r="D12" s="107" t="s">
        <v>3769</v>
      </c>
      <c r="E12" s="109"/>
      <c r="F12" s="107" t="s">
        <v>3774</v>
      </c>
      <c r="G12" s="109"/>
      <c r="H12" s="107" t="s">
        <v>3769</v>
      </c>
      <c r="I12" s="109"/>
      <c r="J12" s="107" t="s">
        <v>3774</v>
      </c>
      <c r="K12" s="109"/>
      <c r="L12" s="99"/>
    </row>
    <row r="13" spans="2:24" ht="60">
      <c r="D13" s="55" t="s">
        <v>3941</v>
      </c>
      <c r="E13" s="55" t="s">
        <v>3932</v>
      </c>
      <c r="F13" s="55" t="s">
        <v>3775</v>
      </c>
      <c r="G13" s="55" t="s">
        <v>3942</v>
      </c>
      <c r="H13" s="55" t="s">
        <v>3941</v>
      </c>
      <c r="I13" s="55" t="s">
        <v>3932</v>
      </c>
      <c r="J13" s="55" t="s">
        <v>3775</v>
      </c>
      <c r="K13" s="55" t="s">
        <v>3942</v>
      </c>
      <c r="L13" s="100"/>
    </row>
    <row r="14" spans="2:24">
      <c r="D14" s="45" t="s">
        <v>2879</v>
      </c>
      <c r="E14" s="45" t="s">
        <v>3219</v>
      </c>
      <c r="F14" s="45" t="s">
        <v>3225</v>
      </c>
      <c r="G14" s="45" t="s">
        <v>3223</v>
      </c>
      <c r="H14" s="45" t="s">
        <v>3229</v>
      </c>
      <c r="I14" s="45" t="s">
        <v>3231</v>
      </c>
      <c r="J14" s="45" t="s">
        <v>3233</v>
      </c>
      <c r="K14" s="45" t="s">
        <v>3234</v>
      </c>
      <c r="L14" s="45" t="s">
        <v>3236</v>
      </c>
      <c r="W14" s="13" t="str">
        <f>Show!$B$86&amp;"S.18.01.01.01 Rows {"&amp;COLUMN($C$1)&amp;"}"&amp;"@ForceFilingCode:true"</f>
        <v>!S.18.01.01.01 Rows {3}@ForceFilingCode:true</v>
      </c>
      <c r="X14" s="13" t="str">
        <f>Show!$B$86&amp;"S.18.01.01.01 Columns {"&amp;COLUMN($D$1)&amp;"}"</f>
        <v>!S.18.01.01.01 Columns {4}</v>
      </c>
    </row>
    <row r="15" spans="2:24">
      <c r="B15" s="43" t="s">
        <v>2880</v>
      </c>
      <c r="C15" s="44" t="s">
        <v>2878</v>
      </c>
      <c r="D15" s="58"/>
      <c r="E15" s="67"/>
      <c r="F15" s="67"/>
      <c r="G15" s="67"/>
      <c r="H15" s="67"/>
      <c r="I15" s="67"/>
      <c r="J15" s="67"/>
      <c r="K15" s="67"/>
      <c r="L15" s="59"/>
    </row>
    <row r="16" spans="2:24">
      <c r="B16" s="47" t="s">
        <v>3800</v>
      </c>
      <c r="C16" s="44" t="s">
        <v>2878</v>
      </c>
      <c r="D16" s="56"/>
      <c r="E16" s="66"/>
      <c r="F16" s="66"/>
      <c r="G16" s="66"/>
      <c r="H16" s="66"/>
      <c r="I16" s="66"/>
      <c r="J16" s="66"/>
      <c r="K16" s="66"/>
      <c r="L16" s="57"/>
    </row>
    <row r="17" spans="2:12">
      <c r="B17" s="49" t="s">
        <v>3801</v>
      </c>
      <c r="C17" s="41" t="s">
        <v>2883</v>
      </c>
      <c r="D17" s="60"/>
      <c r="E17" s="60"/>
      <c r="F17" s="60"/>
      <c r="G17" s="60"/>
      <c r="H17" s="60"/>
      <c r="I17" s="60"/>
      <c r="J17" s="60"/>
      <c r="K17" s="60"/>
      <c r="L17" s="60"/>
    </row>
    <row r="18" spans="2:12">
      <c r="B18" s="49" t="s">
        <v>3802</v>
      </c>
      <c r="C18" s="41" t="s">
        <v>2885</v>
      </c>
      <c r="D18" s="60"/>
      <c r="E18" s="60"/>
      <c r="F18" s="60"/>
      <c r="G18" s="60"/>
      <c r="H18" s="60"/>
      <c r="I18" s="60"/>
      <c r="J18" s="60"/>
      <c r="K18" s="60"/>
      <c r="L18" s="60"/>
    </row>
    <row r="19" spans="2:12">
      <c r="B19" s="49" t="s">
        <v>3803</v>
      </c>
      <c r="C19" s="41" t="s">
        <v>2887</v>
      </c>
      <c r="D19" s="60"/>
      <c r="E19" s="60"/>
      <c r="F19" s="60"/>
      <c r="G19" s="60"/>
      <c r="H19" s="60"/>
      <c r="I19" s="60"/>
      <c r="J19" s="60"/>
      <c r="K19" s="60"/>
      <c r="L19" s="60"/>
    </row>
    <row r="20" spans="2:12">
      <c r="B20" s="49" t="s">
        <v>3804</v>
      </c>
      <c r="C20" s="41" t="s">
        <v>2889</v>
      </c>
      <c r="D20" s="60"/>
      <c r="E20" s="60"/>
      <c r="F20" s="60"/>
      <c r="G20" s="60"/>
      <c r="H20" s="60"/>
      <c r="I20" s="60"/>
      <c r="J20" s="60"/>
      <c r="K20" s="60"/>
      <c r="L20" s="60"/>
    </row>
    <row r="21" spans="2:12">
      <c r="B21" s="49" t="s">
        <v>3805</v>
      </c>
      <c r="C21" s="41" t="s">
        <v>3078</v>
      </c>
      <c r="D21" s="60"/>
      <c r="E21" s="60"/>
      <c r="F21" s="60"/>
      <c r="G21" s="60"/>
      <c r="H21" s="60"/>
      <c r="I21" s="60"/>
      <c r="J21" s="60"/>
      <c r="K21" s="60"/>
      <c r="L21" s="60"/>
    </row>
    <row r="22" spans="2:12">
      <c r="B22" s="49" t="s">
        <v>3806</v>
      </c>
      <c r="C22" s="41" t="s">
        <v>2891</v>
      </c>
      <c r="D22" s="60"/>
      <c r="E22" s="60"/>
      <c r="F22" s="60"/>
      <c r="G22" s="60"/>
      <c r="H22" s="60"/>
      <c r="I22" s="60"/>
      <c r="J22" s="60"/>
      <c r="K22" s="60"/>
      <c r="L22" s="60"/>
    </row>
    <row r="23" spans="2:12">
      <c r="B23" s="49" t="s">
        <v>3807</v>
      </c>
      <c r="C23" s="41" t="s">
        <v>2893</v>
      </c>
      <c r="D23" s="60"/>
      <c r="E23" s="60"/>
      <c r="F23" s="60"/>
      <c r="G23" s="60"/>
      <c r="H23" s="60"/>
      <c r="I23" s="60"/>
      <c r="J23" s="60"/>
      <c r="K23" s="60"/>
      <c r="L23" s="60"/>
    </row>
    <row r="24" spans="2:12">
      <c r="B24" s="49" t="s">
        <v>3808</v>
      </c>
      <c r="C24" s="41" t="s">
        <v>2895</v>
      </c>
      <c r="D24" s="60"/>
      <c r="E24" s="60"/>
      <c r="F24" s="60"/>
      <c r="G24" s="60"/>
      <c r="H24" s="60"/>
      <c r="I24" s="60"/>
      <c r="J24" s="60"/>
      <c r="K24" s="60"/>
      <c r="L24" s="60"/>
    </row>
    <row r="25" spans="2:12">
      <c r="B25" s="49" t="s">
        <v>3809</v>
      </c>
      <c r="C25" s="41" t="s">
        <v>2897</v>
      </c>
      <c r="D25" s="60"/>
      <c r="E25" s="60"/>
      <c r="F25" s="60"/>
      <c r="G25" s="60"/>
      <c r="H25" s="60"/>
      <c r="I25" s="60"/>
      <c r="J25" s="60"/>
      <c r="K25" s="60"/>
      <c r="L25" s="60"/>
    </row>
    <row r="26" spans="2:12">
      <c r="B26" s="49" t="s">
        <v>22</v>
      </c>
      <c r="C26" s="41" t="s">
        <v>2899</v>
      </c>
      <c r="D26" s="60"/>
      <c r="E26" s="60"/>
      <c r="F26" s="60"/>
      <c r="G26" s="60"/>
      <c r="H26" s="60"/>
      <c r="I26" s="60"/>
      <c r="J26" s="60"/>
      <c r="K26" s="60"/>
      <c r="L26" s="60"/>
    </row>
    <row r="27" spans="2:12">
      <c r="B27" s="49" t="s">
        <v>28</v>
      </c>
      <c r="C27" s="41" t="s">
        <v>2901</v>
      </c>
      <c r="D27" s="60"/>
      <c r="E27" s="60"/>
      <c r="F27" s="60"/>
      <c r="G27" s="60"/>
      <c r="H27" s="60"/>
      <c r="I27" s="60"/>
      <c r="J27" s="60"/>
      <c r="K27" s="60"/>
      <c r="L27" s="60"/>
    </row>
    <row r="28" spans="2:12">
      <c r="B28" s="49" t="s">
        <v>31</v>
      </c>
      <c r="C28" s="41" t="s">
        <v>2903</v>
      </c>
      <c r="D28" s="60"/>
      <c r="E28" s="60"/>
      <c r="F28" s="60"/>
      <c r="G28" s="60"/>
      <c r="H28" s="60"/>
      <c r="I28" s="60"/>
      <c r="J28" s="60"/>
      <c r="K28" s="60"/>
      <c r="L28" s="60"/>
    </row>
    <row r="29" spans="2:12">
      <c r="B29" s="49" t="s">
        <v>37</v>
      </c>
      <c r="C29" s="41" t="s">
        <v>2905</v>
      </c>
      <c r="D29" s="60"/>
      <c r="E29" s="60"/>
      <c r="F29" s="60"/>
      <c r="G29" s="60"/>
      <c r="H29" s="60"/>
      <c r="I29" s="60"/>
      <c r="J29" s="60"/>
      <c r="K29" s="60"/>
      <c r="L29" s="60"/>
    </row>
    <row r="30" spans="2:12">
      <c r="B30" s="49" t="s">
        <v>40</v>
      </c>
      <c r="C30" s="41" t="s">
        <v>2907</v>
      </c>
      <c r="D30" s="60"/>
      <c r="E30" s="60"/>
      <c r="F30" s="60"/>
      <c r="G30" s="60"/>
      <c r="H30" s="60"/>
      <c r="I30" s="60"/>
      <c r="J30" s="60"/>
      <c r="K30" s="60"/>
      <c r="L30" s="60"/>
    </row>
    <row r="31" spans="2:12">
      <c r="B31" s="49" t="s">
        <v>44</v>
      </c>
      <c r="C31" s="41" t="s">
        <v>2909</v>
      </c>
      <c r="D31" s="60"/>
      <c r="E31" s="60"/>
      <c r="F31" s="60"/>
      <c r="G31" s="60"/>
      <c r="H31" s="60"/>
      <c r="I31" s="60"/>
      <c r="J31" s="60"/>
      <c r="K31" s="60"/>
      <c r="L31" s="60"/>
    </row>
    <row r="32" spans="2:12">
      <c r="B32" s="49" t="s">
        <v>47</v>
      </c>
      <c r="C32" s="41" t="s">
        <v>2911</v>
      </c>
      <c r="D32" s="60"/>
      <c r="E32" s="60"/>
      <c r="F32" s="60"/>
      <c r="G32" s="60"/>
      <c r="H32" s="60"/>
      <c r="I32" s="60"/>
      <c r="J32" s="60"/>
      <c r="K32" s="60"/>
      <c r="L32" s="60"/>
    </row>
    <row r="33" spans="2:12">
      <c r="B33" s="49" t="s">
        <v>51</v>
      </c>
      <c r="C33" s="41" t="s">
        <v>2913</v>
      </c>
      <c r="D33" s="60"/>
      <c r="E33" s="60"/>
      <c r="F33" s="60"/>
      <c r="G33" s="60"/>
      <c r="H33" s="60"/>
      <c r="I33" s="60"/>
      <c r="J33" s="60"/>
      <c r="K33" s="60"/>
      <c r="L33" s="60"/>
    </row>
    <row r="34" spans="2:12">
      <c r="B34" s="49" t="s">
        <v>54</v>
      </c>
      <c r="C34" s="41" t="s">
        <v>2915</v>
      </c>
      <c r="D34" s="60"/>
      <c r="E34" s="60"/>
      <c r="F34" s="60"/>
      <c r="G34" s="60"/>
      <c r="H34" s="60"/>
      <c r="I34" s="60"/>
      <c r="J34" s="60"/>
      <c r="K34" s="60"/>
      <c r="L34" s="60"/>
    </row>
    <row r="35" spans="2:12">
      <c r="B35" s="49" t="s">
        <v>58</v>
      </c>
      <c r="C35" s="41" t="s">
        <v>2917</v>
      </c>
      <c r="D35" s="60"/>
      <c r="E35" s="60"/>
      <c r="F35" s="60"/>
      <c r="G35" s="60"/>
      <c r="H35" s="60"/>
      <c r="I35" s="60"/>
      <c r="J35" s="60"/>
      <c r="K35" s="60"/>
      <c r="L35" s="60"/>
    </row>
    <row r="36" spans="2:12">
      <c r="B36" s="49" t="s">
        <v>61</v>
      </c>
      <c r="C36" s="41" t="s">
        <v>2919</v>
      </c>
      <c r="D36" s="60"/>
      <c r="E36" s="60"/>
      <c r="F36" s="60"/>
      <c r="G36" s="60"/>
      <c r="H36" s="60"/>
      <c r="I36" s="60"/>
      <c r="J36" s="60"/>
      <c r="K36" s="60"/>
      <c r="L36" s="60"/>
    </row>
    <row r="37" spans="2:12">
      <c r="B37" s="49" t="s">
        <v>3810</v>
      </c>
      <c r="C37" s="41" t="s">
        <v>2921</v>
      </c>
      <c r="D37" s="60"/>
      <c r="E37" s="60"/>
      <c r="F37" s="60"/>
      <c r="G37" s="60"/>
      <c r="H37" s="60"/>
      <c r="I37" s="60"/>
      <c r="J37" s="60"/>
      <c r="K37" s="60"/>
      <c r="L37" s="60"/>
    </row>
    <row r="38" spans="2:12">
      <c r="B38" s="49" t="s">
        <v>3811</v>
      </c>
      <c r="C38" s="41" t="s">
        <v>2923</v>
      </c>
      <c r="D38" s="60"/>
      <c r="E38" s="60"/>
      <c r="F38" s="60"/>
      <c r="G38" s="60"/>
      <c r="H38" s="60"/>
      <c r="I38" s="60"/>
      <c r="J38" s="60"/>
      <c r="K38" s="60"/>
      <c r="L38" s="60"/>
    </row>
    <row r="39" spans="2:12">
      <c r="B39" s="49" t="s">
        <v>3812</v>
      </c>
      <c r="C39" s="41" t="s">
        <v>2925</v>
      </c>
      <c r="D39" s="60"/>
      <c r="E39" s="60"/>
      <c r="F39" s="60"/>
      <c r="G39" s="60"/>
      <c r="H39" s="60"/>
      <c r="I39" s="60"/>
      <c r="J39" s="60"/>
      <c r="K39" s="60"/>
      <c r="L39" s="60"/>
    </row>
    <row r="40" spans="2:12">
      <c r="B40" s="49" t="s">
        <v>3813</v>
      </c>
      <c r="C40" s="41" t="s">
        <v>2927</v>
      </c>
      <c r="D40" s="60"/>
      <c r="E40" s="60"/>
      <c r="F40" s="60"/>
      <c r="G40" s="60"/>
      <c r="H40" s="60"/>
      <c r="I40" s="60"/>
      <c r="J40" s="60"/>
      <c r="K40" s="60"/>
      <c r="L40" s="60"/>
    </row>
    <row r="41" spans="2:12">
      <c r="B41" s="49" t="s">
        <v>3814</v>
      </c>
      <c r="C41" s="41" t="s">
        <v>2929</v>
      </c>
      <c r="D41" s="60"/>
      <c r="E41" s="60"/>
      <c r="F41" s="60"/>
      <c r="G41" s="60"/>
      <c r="H41" s="60"/>
      <c r="I41" s="60"/>
      <c r="J41" s="60"/>
      <c r="K41" s="60"/>
      <c r="L41" s="60"/>
    </row>
    <row r="42" spans="2:12">
      <c r="B42" s="49" t="s">
        <v>3815</v>
      </c>
      <c r="C42" s="41" t="s">
        <v>2931</v>
      </c>
      <c r="D42" s="60"/>
      <c r="E42" s="60"/>
      <c r="F42" s="60"/>
      <c r="G42" s="60"/>
      <c r="H42" s="60"/>
      <c r="I42" s="60"/>
      <c r="J42" s="60"/>
      <c r="K42" s="60"/>
      <c r="L42" s="60"/>
    </row>
    <row r="43" spans="2:12">
      <c r="B43" s="49" t="s">
        <v>3816</v>
      </c>
      <c r="C43" s="41" t="s">
        <v>2933</v>
      </c>
      <c r="D43" s="60"/>
      <c r="E43" s="60"/>
      <c r="F43" s="60"/>
      <c r="G43" s="60"/>
      <c r="H43" s="60"/>
      <c r="I43" s="60"/>
      <c r="J43" s="60"/>
      <c r="K43" s="60"/>
      <c r="L43" s="60"/>
    </row>
    <row r="44" spans="2:12">
      <c r="B44" s="49" t="s">
        <v>3817</v>
      </c>
      <c r="C44" s="41" t="s">
        <v>2935</v>
      </c>
      <c r="D44" s="60"/>
      <c r="E44" s="60"/>
      <c r="F44" s="60"/>
      <c r="G44" s="60"/>
      <c r="H44" s="60"/>
      <c r="I44" s="60"/>
      <c r="J44" s="60"/>
      <c r="K44" s="60"/>
      <c r="L44" s="60"/>
    </row>
    <row r="45" spans="2:12">
      <c r="B45" s="49" t="s">
        <v>3818</v>
      </c>
      <c r="C45" s="41" t="s">
        <v>2937</v>
      </c>
      <c r="D45" s="60"/>
      <c r="E45" s="60"/>
      <c r="F45" s="60"/>
      <c r="G45" s="60"/>
      <c r="H45" s="60"/>
      <c r="I45" s="60"/>
      <c r="J45" s="60"/>
      <c r="K45" s="60"/>
      <c r="L45" s="60"/>
    </row>
    <row r="46" spans="2:12">
      <c r="B46" s="49" t="s">
        <v>3819</v>
      </c>
      <c r="C46" s="41" t="s">
        <v>2939</v>
      </c>
      <c r="D46" s="60"/>
      <c r="E46" s="60"/>
      <c r="F46" s="60"/>
      <c r="G46" s="60"/>
      <c r="H46" s="60"/>
      <c r="I46" s="60"/>
      <c r="J46" s="60"/>
      <c r="K46" s="60"/>
      <c r="L46" s="60"/>
    </row>
    <row r="47" spans="2:12">
      <c r="B47" s="49" t="s">
        <v>3944</v>
      </c>
      <c r="C47" s="41" t="s">
        <v>2941</v>
      </c>
      <c r="D47" s="60"/>
      <c r="E47" s="60"/>
      <c r="F47" s="60"/>
      <c r="G47" s="60"/>
      <c r="H47" s="60"/>
      <c r="I47" s="60"/>
      <c r="J47" s="60"/>
      <c r="K47" s="60"/>
      <c r="L47" s="60"/>
    </row>
    <row r="49" spans="23:24">
      <c r="W49" s="13" t="str">
        <f>Show!$B$86&amp;Show!$B$86&amp;"S.18.01.01.01 Rows {"&amp;COLUMN($C$1)&amp;"}"</f>
        <v>!!S.18.01.01.01 Rows {3}</v>
      </c>
      <c r="X49" s="13" t="str">
        <f>Show!$B$86&amp;Show!$B$86&amp;"S.18.01.01.01 Columns {"&amp;COLUMN($L$1)&amp;"}"</f>
        <v>!!S.18.01.01.01 Columns {12}</v>
      </c>
    </row>
  </sheetData>
  <sheetProtection sheet="1" objects="1" scenarios="1"/>
  <mergeCells count="10">
    <mergeCell ref="B2:O2"/>
    <mergeCell ref="B5:L5"/>
    <mergeCell ref="D9:L10"/>
    <mergeCell ref="D11:G11"/>
    <mergeCell ref="H11:K11"/>
    <mergeCell ref="L11:L13"/>
    <mergeCell ref="D12:E12"/>
    <mergeCell ref="F12:G12"/>
    <mergeCell ref="H12:I12"/>
    <mergeCell ref="J12:K12"/>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A159-56EB-477A-A405-F9C737C587BF}">
  <sheetPr codeName="Blad91"/>
  <dimension ref="B2:Y679"/>
  <sheetViews>
    <sheetView showGridLines="0" workbookViewId="0"/>
  </sheetViews>
  <sheetFormatPr defaultRowHeight="15"/>
  <cols>
    <col min="2" max="2" width="44.85546875" bestFit="1" customWidth="1"/>
    <col min="4" max="4" width="40.7109375" customWidth="1"/>
    <col min="5" max="19" width="15.7109375" customWidth="1"/>
  </cols>
  <sheetData>
    <row r="2" spans="2:25" ht="23.25">
      <c r="B2" s="95" t="s">
        <v>642</v>
      </c>
      <c r="C2" s="96"/>
      <c r="D2" s="96"/>
      <c r="E2" s="96"/>
      <c r="F2" s="96"/>
      <c r="G2" s="96"/>
      <c r="H2" s="96"/>
      <c r="I2" s="96"/>
      <c r="J2" s="96"/>
      <c r="K2" s="96"/>
      <c r="L2" s="96"/>
      <c r="M2" s="96"/>
      <c r="N2" s="96"/>
      <c r="O2" s="96"/>
    </row>
    <row r="5" spans="2:25" ht="18.75">
      <c r="B5" s="97" t="s">
        <v>3945</v>
      </c>
      <c r="C5" s="96"/>
      <c r="D5" s="96"/>
      <c r="E5" s="96"/>
      <c r="F5" s="96"/>
      <c r="G5" s="96"/>
      <c r="H5" s="96"/>
      <c r="I5" s="96"/>
      <c r="J5" s="96"/>
      <c r="K5" s="96"/>
      <c r="L5" s="96"/>
    </row>
    <row r="7" spans="2:25">
      <c r="B7" t="s">
        <v>3110</v>
      </c>
      <c r="X7" s="13" t="str">
        <f>Show!$B$87&amp;"S.19.01.01.01 Table label {"&amp;COLUMN($C$1)&amp;"}"</f>
        <v>!S.19.01.01.01 Table label {3}</v>
      </c>
      <c r="Y7" s="13" t="str">
        <f>Show!$B$87&amp;"S.19.01.01.01 Table value {"&amp;COLUMN($D$1)&amp;"}"</f>
        <v>!S.19.01.01.01 Table value {4}</v>
      </c>
    </row>
    <row r="8" spans="2:25">
      <c r="B8" t="s">
        <v>3111</v>
      </c>
    </row>
    <row r="9" spans="2:25">
      <c r="B9" s="40" t="s">
        <v>3427</v>
      </c>
      <c r="C9" s="53" t="s">
        <v>3113</v>
      </c>
      <c r="D9" s="51"/>
    </row>
    <row r="10" spans="2:25">
      <c r="B10" s="40" t="s">
        <v>3868</v>
      </c>
      <c r="C10" s="53" t="s">
        <v>3115</v>
      </c>
      <c r="D10" s="51"/>
    </row>
    <row r="11" spans="2:25">
      <c r="B11" s="40" t="s">
        <v>3606</v>
      </c>
      <c r="C11" s="53" t="s">
        <v>3323</v>
      </c>
      <c r="D11" s="51"/>
    </row>
    <row r="12" spans="2:25">
      <c r="B12" s="40" t="s">
        <v>3874</v>
      </c>
      <c r="C12" s="53" t="s">
        <v>3875</v>
      </c>
      <c r="D12" s="51"/>
    </row>
    <row r="13" spans="2:25">
      <c r="X13" s="13" t="str">
        <f>Show!$B$87&amp;Show!$B$87&amp;"S.19.01.01.01 Table label {"&amp;COLUMN($C$1)&amp;"}"</f>
        <v>!!S.19.01.01.01 Table label {3}</v>
      </c>
      <c r="Y13" s="13" t="str">
        <f>Show!$B$87&amp;Show!$B$87&amp;"S.19.01.01.01 Table value {"&amp;COLUMN($D$1)&amp;"}"</f>
        <v>!!S.19.01.01.01 Table value {4}</v>
      </c>
    </row>
    <row r="15" spans="2:25">
      <c r="D15" s="101" t="s">
        <v>2877</v>
      </c>
      <c r="E15" s="102"/>
      <c r="F15" s="102"/>
      <c r="G15" s="102"/>
      <c r="H15" s="102"/>
      <c r="I15" s="102"/>
      <c r="J15" s="102"/>
      <c r="K15" s="102"/>
      <c r="L15" s="102"/>
      <c r="M15" s="102"/>
      <c r="N15" s="102"/>
      <c r="O15" s="102"/>
      <c r="P15" s="102"/>
      <c r="Q15" s="102"/>
      <c r="R15" s="102"/>
      <c r="S15" s="103"/>
    </row>
    <row r="16" spans="2:25">
      <c r="D16" s="104"/>
      <c r="E16" s="105"/>
      <c r="F16" s="105"/>
      <c r="G16" s="105"/>
      <c r="H16" s="105"/>
      <c r="I16" s="105"/>
      <c r="J16" s="105"/>
      <c r="K16" s="105"/>
      <c r="L16" s="105"/>
      <c r="M16" s="105"/>
      <c r="N16" s="105"/>
      <c r="O16" s="105"/>
      <c r="P16" s="105"/>
      <c r="Q16" s="105"/>
      <c r="R16" s="105"/>
      <c r="S16" s="106"/>
    </row>
    <row r="17" spans="2:25">
      <c r="D17" s="55">
        <v>0</v>
      </c>
      <c r="E17" s="55">
        <v>1</v>
      </c>
      <c r="F17" s="55">
        <v>2</v>
      </c>
      <c r="G17" s="55">
        <v>3</v>
      </c>
      <c r="H17" s="55">
        <v>4</v>
      </c>
      <c r="I17" s="55">
        <v>5</v>
      </c>
      <c r="J17" s="55">
        <v>6</v>
      </c>
      <c r="K17" s="55">
        <v>7</v>
      </c>
      <c r="L17" s="55">
        <v>8</v>
      </c>
      <c r="M17" s="55">
        <v>9</v>
      </c>
      <c r="N17" s="55">
        <v>10</v>
      </c>
      <c r="O17" s="55">
        <v>11</v>
      </c>
      <c r="P17" s="55">
        <v>12</v>
      </c>
      <c r="Q17" s="55">
        <v>13</v>
      </c>
      <c r="R17" s="55">
        <v>14</v>
      </c>
      <c r="S17" s="55" t="s">
        <v>3946</v>
      </c>
    </row>
    <row r="18" spans="2:25">
      <c r="D18" s="45" t="s">
        <v>2879</v>
      </c>
      <c r="E18" s="45" t="s">
        <v>3219</v>
      </c>
      <c r="F18" s="45" t="s">
        <v>3225</v>
      </c>
      <c r="G18" s="45" t="s">
        <v>3223</v>
      </c>
      <c r="H18" s="45" t="s">
        <v>3229</v>
      </c>
      <c r="I18" s="45" t="s">
        <v>3231</v>
      </c>
      <c r="J18" s="45" t="s">
        <v>3233</v>
      </c>
      <c r="K18" s="45" t="s">
        <v>3234</v>
      </c>
      <c r="L18" s="45" t="s">
        <v>3236</v>
      </c>
      <c r="M18" s="45" t="s">
        <v>3239</v>
      </c>
      <c r="N18" s="45" t="s">
        <v>3241</v>
      </c>
      <c r="O18" s="45" t="s">
        <v>3243</v>
      </c>
      <c r="P18" s="45" t="s">
        <v>3375</v>
      </c>
      <c r="Q18" s="45" t="s">
        <v>3475</v>
      </c>
      <c r="R18" s="45" t="s">
        <v>3477</v>
      </c>
      <c r="S18" s="45" t="s">
        <v>3479</v>
      </c>
      <c r="X18" s="13" t="str">
        <f>Show!$B$87&amp;"S.19.01.01.01 Rows {"&amp;COLUMN($C$1)&amp;"}"&amp;"@ForceFilingCode:true"</f>
        <v>!S.19.01.01.01 Rows {3}@ForceFilingCode:true</v>
      </c>
      <c r="Y18" s="13" t="str">
        <f>Show!$B$87&amp;"S.19.01.01.01 Columns {"&amp;COLUMN($D$1)&amp;"}"</f>
        <v>!S.19.01.01.01 Columns {4}</v>
      </c>
    </row>
    <row r="19" spans="2:25">
      <c r="B19" s="43" t="s">
        <v>2880</v>
      </c>
      <c r="C19" s="44" t="s">
        <v>2878</v>
      </c>
      <c r="D19" s="58"/>
      <c r="E19" s="67"/>
      <c r="F19" s="67"/>
      <c r="G19" s="67"/>
      <c r="H19" s="67"/>
      <c r="I19" s="67"/>
      <c r="J19" s="67"/>
      <c r="K19" s="67"/>
      <c r="L19" s="67"/>
      <c r="M19" s="67"/>
      <c r="N19" s="67"/>
      <c r="O19" s="67"/>
      <c r="P19" s="67"/>
      <c r="Q19" s="67"/>
      <c r="R19" s="67"/>
      <c r="S19" s="57"/>
    </row>
    <row r="20" spans="2:25">
      <c r="B20" s="47" t="s">
        <v>3947</v>
      </c>
      <c r="C20" s="44" t="s">
        <v>2899</v>
      </c>
      <c r="D20" s="56"/>
      <c r="E20" s="56"/>
      <c r="F20" s="56"/>
      <c r="G20" s="56"/>
      <c r="H20" s="56"/>
      <c r="I20" s="56"/>
      <c r="J20" s="56"/>
      <c r="K20" s="56"/>
      <c r="L20" s="56"/>
      <c r="M20" s="56"/>
      <c r="N20" s="56"/>
      <c r="O20" s="56"/>
      <c r="P20" s="56"/>
      <c r="Q20" s="56"/>
      <c r="R20" s="46"/>
      <c r="S20" s="63"/>
    </row>
    <row r="21" spans="2:25">
      <c r="B21" s="47" t="s">
        <v>3884</v>
      </c>
      <c r="C21" s="41" t="s">
        <v>2901</v>
      </c>
      <c r="D21" s="60"/>
      <c r="E21" s="60"/>
      <c r="F21" s="60"/>
      <c r="G21" s="60"/>
      <c r="H21" s="60"/>
      <c r="I21" s="60"/>
      <c r="J21" s="60"/>
      <c r="K21" s="60"/>
      <c r="L21" s="60"/>
      <c r="M21" s="60"/>
      <c r="N21" s="60"/>
      <c r="O21" s="60"/>
      <c r="P21" s="60"/>
      <c r="Q21" s="60"/>
      <c r="R21" s="65"/>
      <c r="S21" s="48"/>
    </row>
    <row r="22" spans="2:25">
      <c r="B22" s="47" t="s">
        <v>3885</v>
      </c>
      <c r="C22" s="41" t="s">
        <v>2903</v>
      </c>
      <c r="D22" s="60"/>
      <c r="E22" s="60"/>
      <c r="F22" s="60"/>
      <c r="G22" s="60"/>
      <c r="H22" s="60"/>
      <c r="I22" s="60"/>
      <c r="J22" s="60"/>
      <c r="K22" s="60"/>
      <c r="L22" s="60"/>
      <c r="M22" s="60"/>
      <c r="N22" s="60"/>
      <c r="O22" s="60"/>
      <c r="P22" s="60"/>
      <c r="Q22" s="65"/>
      <c r="R22" s="58"/>
      <c r="S22" s="48"/>
    </row>
    <row r="23" spans="2:25">
      <c r="B23" s="47" t="s">
        <v>3886</v>
      </c>
      <c r="C23" s="41" t="s">
        <v>2905</v>
      </c>
      <c r="D23" s="60"/>
      <c r="E23" s="60"/>
      <c r="F23" s="60"/>
      <c r="G23" s="60"/>
      <c r="H23" s="60"/>
      <c r="I23" s="60"/>
      <c r="J23" s="60"/>
      <c r="K23" s="60"/>
      <c r="L23" s="60"/>
      <c r="M23" s="60"/>
      <c r="N23" s="60"/>
      <c r="O23" s="60"/>
      <c r="P23" s="65"/>
      <c r="Q23" s="58"/>
      <c r="R23" s="58"/>
      <c r="S23" s="48"/>
    </row>
    <row r="24" spans="2:25">
      <c r="B24" s="47" t="s">
        <v>3887</v>
      </c>
      <c r="C24" s="41" t="s">
        <v>2907</v>
      </c>
      <c r="D24" s="60"/>
      <c r="E24" s="60"/>
      <c r="F24" s="60"/>
      <c r="G24" s="60"/>
      <c r="H24" s="60"/>
      <c r="I24" s="60"/>
      <c r="J24" s="60"/>
      <c r="K24" s="60"/>
      <c r="L24" s="60"/>
      <c r="M24" s="60"/>
      <c r="N24" s="60"/>
      <c r="O24" s="65"/>
      <c r="P24" s="58"/>
      <c r="Q24" s="58"/>
      <c r="R24" s="58"/>
      <c r="S24" s="48"/>
    </row>
    <row r="25" spans="2:25">
      <c r="B25" s="47" t="s">
        <v>3888</v>
      </c>
      <c r="C25" s="41" t="s">
        <v>2909</v>
      </c>
      <c r="D25" s="60"/>
      <c r="E25" s="60"/>
      <c r="F25" s="60"/>
      <c r="G25" s="60"/>
      <c r="H25" s="60"/>
      <c r="I25" s="60"/>
      <c r="J25" s="60"/>
      <c r="K25" s="60"/>
      <c r="L25" s="60"/>
      <c r="M25" s="60"/>
      <c r="N25" s="65"/>
      <c r="O25" s="58"/>
      <c r="P25" s="58"/>
      <c r="Q25" s="58"/>
      <c r="R25" s="58"/>
      <c r="S25" s="48"/>
    </row>
    <row r="26" spans="2:25">
      <c r="B26" s="47" t="s">
        <v>3889</v>
      </c>
      <c r="C26" s="41" t="s">
        <v>2911</v>
      </c>
      <c r="D26" s="60"/>
      <c r="E26" s="60"/>
      <c r="F26" s="60"/>
      <c r="G26" s="60"/>
      <c r="H26" s="60"/>
      <c r="I26" s="60"/>
      <c r="J26" s="60"/>
      <c r="K26" s="60"/>
      <c r="L26" s="60"/>
      <c r="M26" s="65"/>
      <c r="N26" s="58"/>
      <c r="O26" s="58"/>
      <c r="P26" s="58"/>
      <c r="Q26" s="58"/>
      <c r="R26" s="58"/>
      <c r="S26" s="48"/>
    </row>
    <row r="27" spans="2:25">
      <c r="B27" s="47" t="s">
        <v>3890</v>
      </c>
      <c r="C27" s="41" t="s">
        <v>2913</v>
      </c>
      <c r="D27" s="60"/>
      <c r="E27" s="60"/>
      <c r="F27" s="60"/>
      <c r="G27" s="60"/>
      <c r="H27" s="60"/>
      <c r="I27" s="60"/>
      <c r="J27" s="60"/>
      <c r="K27" s="60"/>
      <c r="L27" s="65"/>
      <c r="M27" s="58"/>
      <c r="N27" s="58"/>
      <c r="O27" s="58"/>
      <c r="P27" s="58"/>
      <c r="Q27" s="58"/>
      <c r="R27" s="58"/>
      <c r="S27" s="48"/>
    </row>
    <row r="28" spans="2:25">
      <c r="B28" s="47" t="s">
        <v>3891</v>
      </c>
      <c r="C28" s="41" t="s">
        <v>2915</v>
      </c>
      <c r="D28" s="60"/>
      <c r="E28" s="60"/>
      <c r="F28" s="60"/>
      <c r="G28" s="60"/>
      <c r="H28" s="60"/>
      <c r="I28" s="60"/>
      <c r="J28" s="60"/>
      <c r="K28" s="65"/>
      <c r="L28" s="58"/>
      <c r="M28" s="58"/>
      <c r="N28" s="58"/>
      <c r="O28" s="58"/>
      <c r="P28" s="58"/>
      <c r="Q28" s="58"/>
      <c r="R28" s="58"/>
      <c r="S28" s="48"/>
    </row>
    <row r="29" spans="2:25">
      <c r="B29" s="47" t="s">
        <v>3892</v>
      </c>
      <c r="C29" s="41" t="s">
        <v>2917</v>
      </c>
      <c r="D29" s="60"/>
      <c r="E29" s="60"/>
      <c r="F29" s="60"/>
      <c r="G29" s="60"/>
      <c r="H29" s="60"/>
      <c r="I29" s="60"/>
      <c r="J29" s="65"/>
      <c r="K29" s="58"/>
      <c r="L29" s="58"/>
      <c r="M29" s="58"/>
      <c r="N29" s="58"/>
      <c r="O29" s="58"/>
      <c r="P29" s="58"/>
      <c r="Q29" s="58"/>
      <c r="R29" s="58"/>
      <c r="S29" s="48"/>
    </row>
    <row r="30" spans="2:25">
      <c r="B30" s="47" t="s">
        <v>3893</v>
      </c>
      <c r="C30" s="41" t="s">
        <v>2919</v>
      </c>
      <c r="D30" s="60"/>
      <c r="E30" s="60"/>
      <c r="F30" s="60"/>
      <c r="G30" s="60"/>
      <c r="H30" s="60"/>
      <c r="I30" s="65"/>
      <c r="J30" s="58"/>
      <c r="K30" s="58"/>
      <c r="L30" s="58"/>
      <c r="M30" s="58"/>
      <c r="N30" s="58"/>
      <c r="O30" s="58"/>
      <c r="P30" s="58"/>
      <c r="Q30" s="58"/>
      <c r="R30" s="58"/>
      <c r="S30" s="48"/>
    </row>
    <row r="31" spans="2:25">
      <c r="B31" s="47" t="s">
        <v>3894</v>
      </c>
      <c r="C31" s="41" t="s">
        <v>2921</v>
      </c>
      <c r="D31" s="60"/>
      <c r="E31" s="60"/>
      <c r="F31" s="60"/>
      <c r="G31" s="60"/>
      <c r="H31" s="65"/>
      <c r="I31" s="58"/>
      <c r="J31" s="58"/>
      <c r="K31" s="58"/>
      <c r="L31" s="58"/>
      <c r="M31" s="58"/>
      <c r="N31" s="58"/>
      <c r="O31" s="58"/>
      <c r="P31" s="58"/>
      <c r="Q31" s="58"/>
      <c r="R31" s="58"/>
      <c r="S31" s="48"/>
    </row>
    <row r="32" spans="2:25">
      <c r="B32" s="47" t="s">
        <v>3895</v>
      </c>
      <c r="C32" s="41" t="s">
        <v>2923</v>
      </c>
      <c r="D32" s="60"/>
      <c r="E32" s="60"/>
      <c r="F32" s="60"/>
      <c r="G32" s="65"/>
      <c r="H32" s="58"/>
      <c r="I32" s="58"/>
      <c r="J32" s="58"/>
      <c r="K32" s="58"/>
      <c r="L32" s="58"/>
      <c r="M32" s="58"/>
      <c r="N32" s="58"/>
      <c r="O32" s="58"/>
      <c r="P32" s="58"/>
      <c r="Q32" s="58"/>
      <c r="R32" s="58"/>
      <c r="S32" s="48"/>
    </row>
    <row r="33" spans="2:25">
      <c r="B33" s="47" t="s">
        <v>3896</v>
      </c>
      <c r="C33" s="41" t="s">
        <v>2925</v>
      </c>
      <c r="D33" s="60"/>
      <c r="E33" s="60"/>
      <c r="F33" s="65"/>
      <c r="G33" s="58"/>
      <c r="H33" s="58"/>
      <c r="I33" s="58"/>
      <c r="J33" s="58"/>
      <c r="K33" s="58"/>
      <c r="L33" s="58"/>
      <c r="M33" s="58"/>
      <c r="N33" s="58"/>
      <c r="O33" s="58"/>
      <c r="P33" s="58"/>
      <c r="Q33" s="58"/>
      <c r="R33" s="58"/>
      <c r="S33" s="48"/>
    </row>
    <row r="34" spans="2:25">
      <c r="B34" s="47" t="s">
        <v>3897</v>
      </c>
      <c r="C34" s="41" t="s">
        <v>2927</v>
      </c>
      <c r="D34" s="60"/>
      <c r="E34" s="65"/>
      <c r="F34" s="58"/>
      <c r="G34" s="58"/>
      <c r="H34" s="58"/>
      <c r="I34" s="58"/>
      <c r="J34" s="58"/>
      <c r="K34" s="58"/>
      <c r="L34" s="58"/>
      <c r="M34" s="58"/>
      <c r="N34" s="58"/>
      <c r="O34" s="58"/>
      <c r="P34" s="58"/>
      <c r="Q34" s="58"/>
      <c r="R34" s="58"/>
      <c r="S34" s="48"/>
    </row>
    <row r="35" spans="2:25">
      <c r="B35" s="47" t="s">
        <v>3898</v>
      </c>
      <c r="C35" s="41" t="s">
        <v>2929</v>
      </c>
      <c r="D35" s="64"/>
      <c r="E35" s="56"/>
      <c r="F35" s="56"/>
      <c r="G35" s="56"/>
      <c r="H35" s="56"/>
      <c r="I35" s="56"/>
      <c r="J35" s="56"/>
      <c r="K35" s="56"/>
      <c r="L35" s="56"/>
      <c r="M35" s="56"/>
      <c r="N35" s="56"/>
      <c r="O35" s="56"/>
      <c r="P35" s="56"/>
      <c r="Q35" s="56"/>
      <c r="R35" s="56"/>
      <c r="S35" s="46"/>
    </row>
    <row r="37" spans="2:25">
      <c r="X37" s="13" t="str">
        <f>Show!$B$87&amp;Show!$B$87&amp;"S.19.01.01.01 Rows {"&amp;COLUMN($C$1)&amp;"}"</f>
        <v>!!S.19.01.01.01 Rows {3}</v>
      </c>
      <c r="Y37" s="13" t="str">
        <f>Show!$B$87&amp;Show!$B$87&amp;"S.19.01.01.01 Columns {"&amp;COLUMN($S$1)&amp;"}"</f>
        <v>!!S.19.01.01.01 Columns {19}</v>
      </c>
    </row>
    <row r="39" spans="2:25" ht="18.75">
      <c r="B39" s="97" t="s">
        <v>3948</v>
      </c>
      <c r="C39" s="96"/>
      <c r="D39" s="96"/>
      <c r="E39" s="96"/>
      <c r="F39" s="96"/>
      <c r="G39" s="96"/>
      <c r="H39" s="96"/>
      <c r="I39" s="96"/>
      <c r="J39" s="96"/>
      <c r="K39" s="96"/>
      <c r="L39" s="96"/>
    </row>
    <row r="41" spans="2:25">
      <c r="B41" t="s">
        <v>3110</v>
      </c>
      <c r="X41" s="13" t="str">
        <f>Show!$B$87&amp;"S.19.01.01.02 Table label {"&amp;COLUMN($C$1)&amp;"}"</f>
        <v>!S.19.01.01.02 Table label {3}</v>
      </c>
      <c r="Y41" s="13" t="str">
        <f>Show!$B$87&amp;"S.19.01.01.02 Table value {"&amp;COLUMN($D$1)&amp;"}"</f>
        <v>!S.19.01.01.02 Table value {4}</v>
      </c>
    </row>
    <row r="42" spans="2:25">
      <c r="B42" t="s">
        <v>3111</v>
      </c>
    </row>
    <row r="43" spans="2:25">
      <c r="B43" s="40" t="s">
        <v>3427</v>
      </c>
      <c r="C43" s="53" t="s">
        <v>3113</v>
      </c>
      <c r="D43" s="51"/>
    </row>
    <row r="44" spans="2:25">
      <c r="B44" s="40" t="s">
        <v>3868</v>
      </c>
      <c r="C44" s="53" t="s">
        <v>3115</v>
      </c>
      <c r="D44" s="51"/>
    </row>
    <row r="45" spans="2:25">
      <c r="B45" s="40" t="s">
        <v>3606</v>
      </c>
      <c r="C45" s="53" t="s">
        <v>3323</v>
      </c>
      <c r="D45" s="51"/>
    </row>
    <row r="46" spans="2:25">
      <c r="B46" s="40" t="s">
        <v>3874</v>
      </c>
      <c r="C46" s="53" t="s">
        <v>3875</v>
      </c>
      <c r="D46" s="51"/>
    </row>
    <row r="47" spans="2:25">
      <c r="X47" s="13" t="str">
        <f>Show!$B$87&amp;Show!$B$87&amp;"S.19.01.01.02 Table label {"&amp;COLUMN($C$1)&amp;"}"</f>
        <v>!!S.19.01.01.02 Table label {3}</v>
      </c>
      <c r="Y47" s="13" t="str">
        <f>Show!$B$87&amp;Show!$B$87&amp;"S.19.01.01.02 Table value {"&amp;COLUMN($D$1)&amp;"}"</f>
        <v>!!S.19.01.01.02 Table value {4}</v>
      </c>
    </row>
    <row r="49" spans="2:25">
      <c r="D49" s="101" t="s">
        <v>2877</v>
      </c>
      <c r="E49" s="103"/>
    </row>
    <row r="50" spans="2:25">
      <c r="D50" s="104"/>
      <c r="E50" s="106"/>
    </row>
    <row r="51" spans="2:25" ht="30">
      <c r="D51" s="55" t="s">
        <v>3949</v>
      </c>
      <c r="E51" s="55" t="s">
        <v>3950</v>
      </c>
    </row>
    <row r="52" spans="2:25">
      <c r="D52" s="45" t="s">
        <v>3594</v>
      </c>
      <c r="E52" s="45" t="s">
        <v>3596</v>
      </c>
      <c r="X52" s="13" t="str">
        <f>Show!$B$87&amp;"S.19.01.01.02 Rows {"&amp;COLUMN($C$1)&amp;"}"&amp;"@ForceFilingCode:true"</f>
        <v>!S.19.01.01.02 Rows {3}@ForceFilingCode:true</v>
      </c>
      <c r="Y52" s="13" t="str">
        <f>Show!$B$87&amp;"S.19.01.01.02 Columns {"&amp;COLUMN($D$1)&amp;"}"</f>
        <v>!S.19.01.01.02 Columns {4}</v>
      </c>
    </row>
    <row r="53" spans="2:25">
      <c r="B53" s="43" t="s">
        <v>2880</v>
      </c>
      <c r="C53" s="44" t="s">
        <v>2878</v>
      </c>
      <c r="D53" s="56"/>
      <c r="E53" s="57"/>
    </row>
    <row r="54" spans="2:25">
      <c r="B54" s="47" t="s">
        <v>3947</v>
      </c>
      <c r="C54" s="41" t="s">
        <v>2899</v>
      </c>
      <c r="D54" s="60"/>
      <c r="E54" s="60"/>
    </row>
    <row r="55" spans="2:25">
      <c r="B55" s="47" t="s">
        <v>3884</v>
      </c>
      <c r="C55" s="41" t="s">
        <v>2901</v>
      </c>
      <c r="D55" s="60"/>
      <c r="E55" s="60"/>
    </row>
    <row r="56" spans="2:25">
      <c r="B56" s="47" t="s">
        <v>3885</v>
      </c>
      <c r="C56" s="41" t="s">
        <v>2903</v>
      </c>
      <c r="D56" s="60"/>
      <c r="E56" s="60"/>
    </row>
    <row r="57" spans="2:25">
      <c r="B57" s="47" t="s">
        <v>3886</v>
      </c>
      <c r="C57" s="41" t="s">
        <v>2905</v>
      </c>
      <c r="D57" s="60"/>
      <c r="E57" s="60"/>
    </row>
    <row r="58" spans="2:25">
      <c r="B58" s="47" t="s">
        <v>3887</v>
      </c>
      <c r="C58" s="41" t="s">
        <v>2907</v>
      </c>
      <c r="D58" s="60"/>
      <c r="E58" s="60"/>
    </row>
    <row r="59" spans="2:25">
      <c r="B59" s="47" t="s">
        <v>3888</v>
      </c>
      <c r="C59" s="41" t="s">
        <v>2909</v>
      </c>
      <c r="D59" s="60"/>
      <c r="E59" s="60"/>
    </row>
    <row r="60" spans="2:25">
      <c r="B60" s="47" t="s">
        <v>3889</v>
      </c>
      <c r="C60" s="41" t="s">
        <v>2911</v>
      </c>
      <c r="D60" s="60"/>
      <c r="E60" s="60"/>
    </row>
    <row r="61" spans="2:25">
      <c r="B61" s="47" t="s">
        <v>3890</v>
      </c>
      <c r="C61" s="41" t="s">
        <v>2913</v>
      </c>
      <c r="D61" s="60"/>
      <c r="E61" s="60"/>
    </row>
    <row r="62" spans="2:25">
      <c r="B62" s="47" t="s">
        <v>3891</v>
      </c>
      <c r="C62" s="41" t="s">
        <v>2915</v>
      </c>
      <c r="D62" s="60"/>
      <c r="E62" s="60"/>
    </row>
    <row r="63" spans="2:25">
      <c r="B63" s="47" t="s">
        <v>3892</v>
      </c>
      <c r="C63" s="41" t="s">
        <v>2917</v>
      </c>
      <c r="D63" s="60"/>
      <c r="E63" s="60"/>
    </row>
    <row r="64" spans="2:25">
      <c r="B64" s="47" t="s">
        <v>3893</v>
      </c>
      <c r="C64" s="41" t="s">
        <v>2919</v>
      </c>
      <c r="D64" s="60"/>
      <c r="E64" s="60"/>
    </row>
    <row r="65" spans="2:25">
      <c r="B65" s="47" t="s">
        <v>3894</v>
      </c>
      <c r="C65" s="41" t="s">
        <v>2921</v>
      </c>
      <c r="D65" s="60"/>
      <c r="E65" s="60"/>
    </row>
    <row r="66" spans="2:25">
      <c r="B66" s="47" t="s">
        <v>3895</v>
      </c>
      <c r="C66" s="41" t="s">
        <v>2923</v>
      </c>
      <c r="D66" s="60"/>
      <c r="E66" s="60"/>
    </row>
    <row r="67" spans="2:25">
      <c r="B67" s="47" t="s">
        <v>3896</v>
      </c>
      <c r="C67" s="41" t="s">
        <v>2925</v>
      </c>
      <c r="D67" s="60"/>
      <c r="E67" s="60"/>
    </row>
    <row r="68" spans="2:25">
      <c r="B68" s="47" t="s">
        <v>3897</v>
      </c>
      <c r="C68" s="41" t="s">
        <v>2927</v>
      </c>
      <c r="D68" s="60"/>
      <c r="E68" s="60"/>
    </row>
    <row r="69" spans="2:25">
      <c r="B69" s="47" t="s">
        <v>3898</v>
      </c>
      <c r="C69" s="41" t="s">
        <v>2929</v>
      </c>
      <c r="D69" s="60"/>
      <c r="E69" s="60"/>
    </row>
    <row r="70" spans="2:25">
      <c r="B70" s="47" t="s">
        <v>3480</v>
      </c>
      <c r="C70" s="41" t="s">
        <v>2931</v>
      </c>
      <c r="D70" s="60"/>
      <c r="E70" s="60"/>
    </row>
    <row r="72" spans="2:25">
      <c r="X72" s="13" t="str">
        <f>Show!$B$87&amp;Show!$B$87&amp;"S.19.01.01.02 Rows {"&amp;COLUMN($C$1)&amp;"}"</f>
        <v>!!S.19.01.01.02 Rows {3}</v>
      </c>
      <c r="Y72" s="13" t="str">
        <f>Show!$B$87&amp;Show!$B$87&amp;"S.19.01.01.02 Columns {"&amp;COLUMN($E$1)&amp;"}"</f>
        <v>!!S.19.01.01.02 Columns {5}</v>
      </c>
    </row>
    <row r="74" spans="2:25" ht="18.75">
      <c r="B74" s="97" t="s">
        <v>3951</v>
      </c>
      <c r="C74" s="96"/>
      <c r="D74" s="96"/>
      <c r="E74" s="96"/>
      <c r="F74" s="96"/>
      <c r="G74" s="96"/>
      <c r="H74" s="96"/>
      <c r="I74" s="96"/>
      <c r="J74" s="96"/>
      <c r="K74" s="96"/>
      <c r="L74" s="96"/>
    </row>
    <row r="76" spans="2:25">
      <c r="B76" t="s">
        <v>3110</v>
      </c>
      <c r="X76" s="13" t="str">
        <f>Show!$B$87&amp;"S.19.01.01.03 Table label {"&amp;COLUMN($C$1)&amp;"}"</f>
        <v>!S.19.01.01.03 Table label {3}</v>
      </c>
      <c r="Y76" s="13" t="str">
        <f>Show!$B$87&amp;"S.19.01.01.03 Table value {"&amp;COLUMN($D$1)&amp;"}"</f>
        <v>!S.19.01.01.03 Table value {4}</v>
      </c>
    </row>
    <row r="77" spans="2:25">
      <c r="B77" t="s">
        <v>3111</v>
      </c>
    </row>
    <row r="78" spans="2:25">
      <c r="B78" s="40" t="s">
        <v>3427</v>
      </c>
      <c r="C78" s="53" t="s">
        <v>3113</v>
      </c>
      <c r="D78" s="51"/>
    </row>
    <row r="79" spans="2:25">
      <c r="B79" s="40" t="s">
        <v>3868</v>
      </c>
      <c r="C79" s="53" t="s">
        <v>3115</v>
      </c>
      <c r="D79" s="51"/>
    </row>
    <row r="80" spans="2:25">
      <c r="B80" s="40" t="s">
        <v>3606</v>
      </c>
      <c r="C80" s="53" t="s">
        <v>3323</v>
      </c>
      <c r="D80" s="51"/>
    </row>
    <row r="81" spans="2:25">
      <c r="B81" s="40" t="s">
        <v>3874</v>
      </c>
      <c r="C81" s="53" t="s">
        <v>3875</v>
      </c>
      <c r="D81" s="51"/>
    </row>
    <row r="82" spans="2:25">
      <c r="X82" s="13" t="str">
        <f>Show!$B$87&amp;Show!$B$87&amp;"S.19.01.01.03 Table label {"&amp;COLUMN($C$1)&amp;"}"</f>
        <v>!!S.19.01.01.03 Table label {3}</v>
      </c>
      <c r="Y82" s="13" t="str">
        <f>Show!$B$87&amp;Show!$B$87&amp;"S.19.01.01.03 Table value {"&amp;COLUMN($D$1)&amp;"}"</f>
        <v>!!S.19.01.01.03 Table value {4}</v>
      </c>
    </row>
    <row r="84" spans="2:25">
      <c r="D84" s="101" t="s">
        <v>2877</v>
      </c>
      <c r="E84" s="102"/>
      <c r="F84" s="102"/>
      <c r="G84" s="102"/>
      <c r="H84" s="102"/>
      <c r="I84" s="102"/>
      <c r="J84" s="102"/>
      <c r="K84" s="102"/>
      <c r="L84" s="102"/>
      <c r="M84" s="102"/>
      <c r="N84" s="102"/>
      <c r="O84" s="102"/>
      <c r="P84" s="102"/>
      <c r="Q84" s="102"/>
      <c r="R84" s="102"/>
      <c r="S84" s="103"/>
    </row>
    <row r="85" spans="2:25">
      <c r="D85" s="104"/>
      <c r="E85" s="105"/>
      <c r="F85" s="105"/>
      <c r="G85" s="105"/>
      <c r="H85" s="105"/>
      <c r="I85" s="105"/>
      <c r="J85" s="105"/>
      <c r="K85" s="105"/>
      <c r="L85" s="105"/>
      <c r="M85" s="105"/>
      <c r="N85" s="105"/>
      <c r="O85" s="105"/>
      <c r="P85" s="105"/>
      <c r="Q85" s="105"/>
      <c r="R85" s="105"/>
      <c r="S85" s="106"/>
    </row>
    <row r="86" spans="2:25">
      <c r="D86" s="55">
        <v>0</v>
      </c>
      <c r="E86" s="55">
        <v>1</v>
      </c>
      <c r="F86" s="55">
        <v>2</v>
      </c>
      <c r="G86" s="55">
        <v>3</v>
      </c>
      <c r="H86" s="55">
        <v>4</v>
      </c>
      <c r="I86" s="55">
        <v>5</v>
      </c>
      <c r="J86" s="55">
        <v>6</v>
      </c>
      <c r="K86" s="55">
        <v>7</v>
      </c>
      <c r="L86" s="55">
        <v>8</v>
      </c>
      <c r="M86" s="55">
        <v>9</v>
      </c>
      <c r="N86" s="55">
        <v>10</v>
      </c>
      <c r="O86" s="55">
        <v>11</v>
      </c>
      <c r="P86" s="55">
        <v>12</v>
      </c>
      <c r="Q86" s="55">
        <v>13</v>
      </c>
      <c r="R86" s="55">
        <v>14</v>
      </c>
      <c r="S86" s="55" t="s">
        <v>3946</v>
      </c>
    </row>
    <row r="87" spans="2:25">
      <c r="D87" s="45" t="s">
        <v>3481</v>
      </c>
      <c r="E87" s="45" t="s">
        <v>3508</v>
      </c>
      <c r="F87" s="45" t="s">
        <v>3509</v>
      </c>
      <c r="G87" s="45" t="s">
        <v>3511</v>
      </c>
      <c r="H87" s="45" t="s">
        <v>3513</v>
      </c>
      <c r="I87" s="45" t="s">
        <v>3514</v>
      </c>
      <c r="J87" s="45" t="s">
        <v>3515</v>
      </c>
      <c r="K87" s="45" t="s">
        <v>3517</v>
      </c>
      <c r="L87" s="45" t="s">
        <v>3518</v>
      </c>
      <c r="M87" s="45" t="s">
        <v>3608</v>
      </c>
      <c r="N87" s="45" t="s">
        <v>3519</v>
      </c>
      <c r="O87" s="45" t="s">
        <v>3612</v>
      </c>
      <c r="P87" s="45" t="s">
        <v>3614</v>
      </c>
      <c r="Q87" s="45" t="s">
        <v>3616</v>
      </c>
      <c r="R87" s="45" t="s">
        <v>3618</v>
      </c>
      <c r="S87" s="45" t="s">
        <v>3620</v>
      </c>
      <c r="X87" s="13" t="str">
        <f>Show!$B$87&amp;"S.19.01.01.03 Rows {"&amp;COLUMN($C$1)&amp;"}"&amp;"@ForceFilingCode:true"</f>
        <v>!S.19.01.01.03 Rows {3}@ForceFilingCode:true</v>
      </c>
      <c r="Y87" s="13" t="str">
        <f>Show!$B$87&amp;"S.19.01.01.03 Columns {"&amp;COLUMN($D$1)&amp;"}"</f>
        <v>!S.19.01.01.03 Columns {4}</v>
      </c>
    </row>
    <row r="88" spans="2:25">
      <c r="B88" s="43" t="s">
        <v>2880</v>
      </c>
      <c r="C88" s="44" t="s">
        <v>2878</v>
      </c>
      <c r="D88" s="58"/>
      <c r="E88" s="67"/>
      <c r="F88" s="67"/>
      <c r="G88" s="67"/>
      <c r="H88" s="67"/>
      <c r="I88" s="67"/>
      <c r="J88" s="67"/>
      <c r="K88" s="67"/>
      <c r="L88" s="67"/>
      <c r="M88" s="67"/>
      <c r="N88" s="67"/>
      <c r="O88" s="67"/>
      <c r="P88" s="67"/>
      <c r="Q88" s="67"/>
      <c r="R88" s="67"/>
      <c r="S88" s="57"/>
    </row>
    <row r="89" spans="2:25">
      <c r="B89" s="47" t="s">
        <v>3947</v>
      </c>
      <c r="C89" s="44" t="s">
        <v>2899</v>
      </c>
      <c r="D89" s="56"/>
      <c r="E89" s="56"/>
      <c r="F89" s="56"/>
      <c r="G89" s="56"/>
      <c r="H89" s="56"/>
      <c r="I89" s="56"/>
      <c r="J89" s="56"/>
      <c r="K89" s="56"/>
      <c r="L89" s="56"/>
      <c r="M89" s="56"/>
      <c r="N89" s="56"/>
      <c r="O89" s="56"/>
      <c r="P89" s="56"/>
      <c r="Q89" s="56"/>
      <c r="R89" s="46"/>
      <c r="S89" s="63"/>
    </row>
    <row r="90" spans="2:25">
      <c r="B90" s="47" t="s">
        <v>3884</v>
      </c>
      <c r="C90" s="41" t="s">
        <v>2901</v>
      </c>
      <c r="D90" s="60"/>
      <c r="E90" s="60"/>
      <c r="F90" s="60"/>
      <c r="G90" s="60"/>
      <c r="H90" s="60"/>
      <c r="I90" s="60"/>
      <c r="J90" s="60"/>
      <c r="K90" s="60"/>
      <c r="L90" s="60"/>
      <c r="M90" s="60"/>
      <c r="N90" s="60"/>
      <c r="O90" s="60"/>
      <c r="P90" s="60"/>
      <c r="Q90" s="60"/>
      <c r="R90" s="65"/>
      <c r="S90" s="48"/>
    </row>
    <row r="91" spans="2:25">
      <c r="B91" s="47" t="s">
        <v>3885</v>
      </c>
      <c r="C91" s="41" t="s">
        <v>2903</v>
      </c>
      <c r="D91" s="60"/>
      <c r="E91" s="60"/>
      <c r="F91" s="60"/>
      <c r="G91" s="60"/>
      <c r="H91" s="60"/>
      <c r="I91" s="60"/>
      <c r="J91" s="60"/>
      <c r="K91" s="60"/>
      <c r="L91" s="60"/>
      <c r="M91" s="60"/>
      <c r="N91" s="60"/>
      <c r="O91" s="60"/>
      <c r="P91" s="60"/>
      <c r="Q91" s="65"/>
      <c r="R91" s="58"/>
      <c r="S91" s="48"/>
    </row>
    <row r="92" spans="2:25">
      <c r="B92" s="47" t="s">
        <v>3886</v>
      </c>
      <c r="C92" s="41" t="s">
        <v>2905</v>
      </c>
      <c r="D92" s="60"/>
      <c r="E92" s="60"/>
      <c r="F92" s="60"/>
      <c r="G92" s="60"/>
      <c r="H92" s="60"/>
      <c r="I92" s="60"/>
      <c r="J92" s="60"/>
      <c r="K92" s="60"/>
      <c r="L92" s="60"/>
      <c r="M92" s="60"/>
      <c r="N92" s="60"/>
      <c r="O92" s="60"/>
      <c r="P92" s="65"/>
      <c r="Q92" s="58"/>
      <c r="R92" s="58"/>
      <c r="S92" s="48"/>
    </row>
    <row r="93" spans="2:25">
      <c r="B93" s="47" t="s">
        <v>3887</v>
      </c>
      <c r="C93" s="41" t="s">
        <v>2907</v>
      </c>
      <c r="D93" s="60"/>
      <c r="E93" s="60"/>
      <c r="F93" s="60"/>
      <c r="G93" s="60"/>
      <c r="H93" s="60"/>
      <c r="I93" s="60"/>
      <c r="J93" s="60"/>
      <c r="K93" s="60"/>
      <c r="L93" s="60"/>
      <c r="M93" s="60"/>
      <c r="N93" s="60"/>
      <c r="O93" s="65"/>
      <c r="P93" s="58"/>
      <c r="Q93" s="58"/>
      <c r="R93" s="58"/>
      <c r="S93" s="48"/>
    </row>
    <row r="94" spans="2:25">
      <c r="B94" s="47" t="s">
        <v>3888</v>
      </c>
      <c r="C94" s="41" t="s">
        <v>2909</v>
      </c>
      <c r="D94" s="60"/>
      <c r="E94" s="60"/>
      <c r="F94" s="60"/>
      <c r="G94" s="60"/>
      <c r="H94" s="60"/>
      <c r="I94" s="60"/>
      <c r="J94" s="60"/>
      <c r="K94" s="60"/>
      <c r="L94" s="60"/>
      <c r="M94" s="60"/>
      <c r="N94" s="65"/>
      <c r="O94" s="58"/>
      <c r="P94" s="58"/>
      <c r="Q94" s="58"/>
      <c r="R94" s="58"/>
      <c r="S94" s="48"/>
    </row>
    <row r="95" spans="2:25">
      <c r="B95" s="47" t="s">
        <v>3889</v>
      </c>
      <c r="C95" s="41" t="s">
        <v>2911</v>
      </c>
      <c r="D95" s="60"/>
      <c r="E95" s="60"/>
      <c r="F95" s="60"/>
      <c r="G95" s="60"/>
      <c r="H95" s="60"/>
      <c r="I95" s="60"/>
      <c r="J95" s="60"/>
      <c r="K95" s="60"/>
      <c r="L95" s="60"/>
      <c r="M95" s="65"/>
      <c r="N95" s="58"/>
      <c r="O95" s="58"/>
      <c r="P95" s="58"/>
      <c r="Q95" s="58"/>
      <c r="R95" s="58"/>
      <c r="S95" s="48"/>
    </row>
    <row r="96" spans="2:25">
      <c r="B96" s="47" t="s">
        <v>3890</v>
      </c>
      <c r="C96" s="41" t="s">
        <v>2913</v>
      </c>
      <c r="D96" s="60"/>
      <c r="E96" s="60"/>
      <c r="F96" s="60"/>
      <c r="G96" s="60"/>
      <c r="H96" s="60"/>
      <c r="I96" s="60"/>
      <c r="J96" s="60"/>
      <c r="K96" s="60"/>
      <c r="L96" s="65"/>
      <c r="M96" s="58"/>
      <c r="N96" s="58"/>
      <c r="O96" s="58"/>
      <c r="P96" s="58"/>
      <c r="Q96" s="58"/>
      <c r="R96" s="58"/>
      <c r="S96" s="48"/>
    </row>
    <row r="97" spans="2:25">
      <c r="B97" s="47" t="s">
        <v>3891</v>
      </c>
      <c r="C97" s="41" t="s">
        <v>2915</v>
      </c>
      <c r="D97" s="60"/>
      <c r="E97" s="60"/>
      <c r="F97" s="60"/>
      <c r="G97" s="60"/>
      <c r="H97" s="60"/>
      <c r="I97" s="60"/>
      <c r="J97" s="60"/>
      <c r="K97" s="65"/>
      <c r="L97" s="58"/>
      <c r="M97" s="58"/>
      <c r="N97" s="58"/>
      <c r="O97" s="58"/>
      <c r="P97" s="58"/>
      <c r="Q97" s="58"/>
      <c r="R97" s="58"/>
      <c r="S97" s="48"/>
    </row>
    <row r="98" spans="2:25">
      <c r="B98" s="47" t="s">
        <v>3892</v>
      </c>
      <c r="C98" s="41" t="s">
        <v>2917</v>
      </c>
      <c r="D98" s="60"/>
      <c r="E98" s="60"/>
      <c r="F98" s="60"/>
      <c r="G98" s="60"/>
      <c r="H98" s="60"/>
      <c r="I98" s="60"/>
      <c r="J98" s="65"/>
      <c r="K98" s="58"/>
      <c r="L98" s="58"/>
      <c r="M98" s="58"/>
      <c r="N98" s="58"/>
      <c r="O98" s="58"/>
      <c r="P98" s="58"/>
      <c r="Q98" s="58"/>
      <c r="R98" s="58"/>
      <c r="S98" s="48"/>
    </row>
    <row r="99" spans="2:25">
      <c r="B99" s="47" t="s">
        <v>3893</v>
      </c>
      <c r="C99" s="41" t="s">
        <v>2919</v>
      </c>
      <c r="D99" s="60"/>
      <c r="E99" s="60"/>
      <c r="F99" s="60"/>
      <c r="G99" s="60"/>
      <c r="H99" s="60"/>
      <c r="I99" s="65"/>
      <c r="J99" s="58"/>
      <c r="K99" s="58"/>
      <c r="L99" s="58"/>
      <c r="M99" s="58"/>
      <c r="N99" s="58"/>
      <c r="O99" s="58"/>
      <c r="P99" s="58"/>
      <c r="Q99" s="58"/>
      <c r="R99" s="58"/>
      <c r="S99" s="48"/>
    </row>
    <row r="100" spans="2:25">
      <c r="B100" s="47" t="s">
        <v>3894</v>
      </c>
      <c r="C100" s="41" t="s">
        <v>2921</v>
      </c>
      <c r="D100" s="60"/>
      <c r="E100" s="60"/>
      <c r="F100" s="60"/>
      <c r="G100" s="60"/>
      <c r="H100" s="65"/>
      <c r="I100" s="58"/>
      <c r="J100" s="58"/>
      <c r="K100" s="58"/>
      <c r="L100" s="58"/>
      <c r="M100" s="58"/>
      <c r="N100" s="58"/>
      <c r="O100" s="58"/>
      <c r="P100" s="58"/>
      <c r="Q100" s="58"/>
      <c r="R100" s="58"/>
      <c r="S100" s="48"/>
    </row>
    <row r="101" spans="2:25">
      <c r="B101" s="47" t="s">
        <v>3895</v>
      </c>
      <c r="C101" s="41" t="s">
        <v>2923</v>
      </c>
      <c r="D101" s="60"/>
      <c r="E101" s="60"/>
      <c r="F101" s="60"/>
      <c r="G101" s="65"/>
      <c r="H101" s="58"/>
      <c r="I101" s="58"/>
      <c r="J101" s="58"/>
      <c r="K101" s="58"/>
      <c r="L101" s="58"/>
      <c r="M101" s="58"/>
      <c r="N101" s="58"/>
      <c r="O101" s="58"/>
      <c r="P101" s="58"/>
      <c r="Q101" s="58"/>
      <c r="R101" s="58"/>
      <c r="S101" s="48"/>
    </row>
    <row r="102" spans="2:25">
      <c r="B102" s="47" t="s">
        <v>3896</v>
      </c>
      <c r="C102" s="41" t="s">
        <v>2925</v>
      </c>
      <c r="D102" s="60"/>
      <c r="E102" s="60"/>
      <c r="F102" s="65"/>
      <c r="G102" s="58"/>
      <c r="H102" s="58"/>
      <c r="I102" s="58"/>
      <c r="J102" s="58"/>
      <c r="K102" s="58"/>
      <c r="L102" s="58"/>
      <c r="M102" s="58"/>
      <c r="N102" s="58"/>
      <c r="O102" s="58"/>
      <c r="P102" s="58"/>
      <c r="Q102" s="58"/>
      <c r="R102" s="58"/>
      <c r="S102" s="48"/>
    </row>
    <row r="103" spans="2:25">
      <c r="B103" s="47" t="s">
        <v>3897</v>
      </c>
      <c r="C103" s="41" t="s">
        <v>2927</v>
      </c>
      <c r="D103" s="60"/>
      <c r="E103" s="65"/>
      <c r="F103" s="58"/>
      <c r="G103" s="58"/>
      <c r="H103" s="58"/>
      <c r="I103" s="58"/>
      <c r="J103" s="58"/>
      <c r="K103" s="58"/>
      <c r="L103" s="58"/>
      <c r="M103" s="58"/>
      <c r="N103" s="58"/>
      <c r="O103" s="58"/>
      <c r="P103" s="58"/>
      <c r="Q103" s="58"/>
      <c r="R103" s="58"/>
      <c r="S103" s="48"/>
    </row>
    <row r="104" spans="2:25">
      <c r="B104" s="47" t="s">
        <v>3898</v>
      </c>
      <c r="C104" s="41" t="s">
        <v>2929</v>
      </c>
      <c r="D104" s="64"/>
      <c r="E104" s="56"/>
      <c r="F104" s="56"/>
      <c r="G104" s="56"/>
      <c r="H104" s="56"/>
      <c r="I104" s="56"/>
      <c r="J104" s="56"/>
      <c r="K104" s="56"/>
      <c r="L104" s="56"/>
      <c r="M104" s="56"/>
      <c r="N104" s="56"/>
      <c r="O104" s="56"/>
      <c r="P104" s="56"/>
      <c r="Q104" s="56"/>
      <c r="R104" s="56"/>
      <c r="S104" s="46"/>
    </row>
    <row r="106" spans="2:25">
      <c r="X106" s="13" t="str">
        <f>Show!$B$87&amp;Show!$B$87&amp;"S.19.01.01.03 Rows {"&amp;COLUMN($C$1)&amp;"}"</f>
        <v>!!S.19.01.01.03 Rows {3}</v>
      </c>
      <c r="Y106" s="13" t="str">
        <f>Show!$B$87&amp;Show!$B$87&amp;"S.19.01.01.03 Columns {"&amp;COLUMN($S$1)&amp;"}"</f>
        <v>!!S.19.01.01.03 Columns {19}</v>
      </c>
    </row>
    <row r="108" spans="2:25" ht="18.75">
      <c r="B108" s="97" t="s">
        <v>3952</v>
      </c>
      <c r="C108" s="96"/>
      <c r="D108" s="96"/>
      <c r="E108" s="96"/>
      <c r="F108" s="96"/>
      <c r="G108" s="96"/>
      <c r="H108" s="96"/>
      <c r="I108" s="96"/>
      <c r="J108" s="96"/>
      <c r="K108" s="96"/>
      <c r="L108" s="96"/>
    </row>
    <row r="110" spans="2:25">
      <c r="B110" t="s">
        <v>3110</v>
      </c>
      <c r="X110" s="13" t="str">
        <f>Show!$B$87&amp;"S.19.01.01.04 Table label {"&amp;COLUMN($C$1)&amp;"}"</f>
        <v>!S.19.01.01.04 Table label {3}</v>
      </c>
      <c r="Y110" s="13" t="str">
        <f>Show!$B$87&amp;"S.19.01.01.04 Table value {"&amp;COLUMN($D$1)&amp;"}"</f>
        <v>!S.19.01.01.04 Table value {4}</v>
      </c>
    </row>
    <row r="111" spans="2:25">
      <c r="B111" t="s">
        <v>3111</v>
      </c>
    </row>
    <row r="112" spans="2:25">
      <c r="B112" s="40" t="s">
        <v>3427</v>
      </c>
      <c r="C112" s="53" t="s">
        <v>3113</v>
      </c>
      <c r="D112" s="51"/>
    </row>
    <row r="113" spans="2:25">
      <c r="B113" s="40" t="s">
        <v>3868</v>
      </c>
      <c r="C113" s="53" t="s">
        <v>3115</v>
      </c>
      <c r="D113" s="51"/>
    </row>
    <row r="114" spans="2:25">
      <c r="B114" s="40" t="s">
        <v>3606</v>
      </c>
      <c r="C114" s="53" t="s">
        <v>3323</v>
      </c>
      <c r="D114" s="51"/>
    </row>
    <row r="115" spans="2:25">
      <c r="B115" s="40" t="s">
        <v>3874</v>
      </c>
      <c r="C115" s="53" t="s">
        <v>3875</v>
      </c>
      <c r="D115" s="51"/>
    </row>
    <row r="116" spans="2:25">
      <c r="X116" s="13" t="str">
        <f>Show!$B$87&amp;Show!$B$87&amp;"S.19.01.01.04 Table label {"&amp;COLUMN($C$1)&amp;"}"</f>
        <v>!!S.19.01.01.04 Table label {3}</v>
      </c>
      <c r="Y116" s="13" t="str">
        <f>Show!$B$87&amp;Show!$B$87&amp;"S.19.01.01.04 Table value {"&amp;COLUMN($D$1)&amp;"}"</f>
        <v>!!S.19.01.01.04 Table value {4}</v>
      </c>
    </row>
    <row r="118" spans="2:25">
      <c r="D118" s="98" t="s">
        <v>2877</v>
      </c>
    </row>
    <row r="119" spans="2:25">
      <c r="D119" s="100"/>
    </row>
    <row r="120" spans="2:25">
      <c r="D120" s="55" t="s">
        <v>3953</v>
      </c>
    </row>
    <row r="121" spans="2:25">
      <c r="D121" s="45" t="s">
        <v>3622</v>
      </c>
      <c r="X121" s="13" t="str">
        <f>Show!$B$87&amp;"S.19.01.01.04 Rows {"&amp;COLUMN($C$1)&amp;"}"&amp;"@ForceFilingCode:true"</f>
        <v>!S.19.01.01.04 Rows {3}@ForceFilingCode:true</v>
      </c>
      <c r="Y121" s="13" t="str">
        <f>Show!$B$87&amp;"S.19.01.01.04 Columns {"&amp;COLUMN($D$1)&amp;"}"</f>
        <v>!S.19.01.01.04 Columns {4}</v>
      </c>
    </row>
    <row r="122" spans="2:25">
      <c r="B122" s="43" t="s">
        <v>2880</v>
      </c>
      <c r="C122" s="44" t="s">
        <v>2878</v>
      </c>
      <c r="D122" s="46"/>
    </row>
    <row r="123" spans="2:25">
      <c r="B123" s="47" t="s">
        <v>3947</v>
      </c>
      <c r="C123" s="41" t="s">
        <v>2899</v>
      </c>
      <c r="D123" s="60"/>
    </row>
    <row r="124" spans="2:25">
      <c r="B124" s="47" t="s">
        <v>3884</v>
      </c>
      <c r="C124" s="41" t="s">
        <v>2901</v>
      </c>
      <c r="D124" s="60"/>
    </row>
    <row r="125" spans="2:25">
      <c r="B125" s="47" t="s">
        <v>3885</v>
      </c>
      <c r="C125" s="41" t="s">
        <v>2903</v>
      </c>
      <c r="D125" s="60"/>
    </row>
    <row r="126" spans="2:25">
      <c r="B126" s="47" t="s">
        <v>3886</v>
      </c>
      <c r="C126" s="41" t="s">
        <v>2905</v>
      </c>
      <c r="D126" s="60"/>
    </row>
    <row r="127" spans="2:25">
      <c r="B127" s="47" t="s">
        <v>3887</v>
      </c>
      <c r="C127" s="41" t="s">
        <v>2907</v>
      </c>
      <c r="D127" s="60"/>
    </row>
    <row r="128" spans="2:25">
      <c r="B128" s="47" t="s">
        <v>3888</v>
      </c>
      <c r="C128" s="41" t="s">
        <v>2909</v>
      </c>
      <c r="D128" s="60"/>
    </row>
    <row r="129" spans="2:25">
      <c r="B129" s="47" t="s">
        <v>3889</v>
      </c>
      <c r="C129" s="41" t="s">
        <v>2911</v>
      </c>
      <c r="D129" s="60"/>
    </row>
    <row r="130" spans="2:25">
      <c r="B130" s="47" t="s">
        <v>3890</v>
      </c>
      <c r="C130" s="41" t="s">
        <v>2913</v>
      </c>
      <c r="D130" s="60"/>
    </row>
    <row r="131" spans="2:25">
      <c r="B131" s="47" t="s">
        <v>3891</v>
      </c>
      <c r="C131" s="41" t="s">
        <v>2915</v>
      </c>
      <c r="D131" s="60"/>
    </row>
    <row r="132" spans="2:25">
      <c r="B132" s="47" t="s">
        <v>3892</v>
      </c>
      <c r="C132" s="41" t="s">
        <v>2917</v>
      </c>
      <c r="D132" s="60"/>
    </row>
    <row r="133" spans="2:25">
      <c r="B133" s="47" t="s">
        <v>3893</v>
      </c>
      <c r="C133" s="41" t="s">
        <v>2919</v>
      </c>
      <c r="D133" s="60"/>
    </row>
    <row r="134" spans="2:25">
      <c r="B134" s="47" t="s">
        <v>3894</v>
      </c>
      <c r="C134" s="41" t="s">
        <v>2921</v>
      </c>
      <c r="D134" s="60"/>
    </row>
    <row r="135" spans="2:25">
      <c r="B135" s="47" t="s">
        <v>3895</v>
      </c>
      <c r="C135" s="41" t="s">
        <v>2923</v>
      </c>
      <c r="D135" s="60"/>
    </row>
    <row r="136" spans="2:25">
      <c r="B136" s="47" t="s">
        <v>3896</v>
      </c>
      <c r="C136" s="41" t="s">
        <v>2925</v>
      </c>
      <c r="D136" s="60"/>
    </row>
    <row r="137" spans="2:25">
      <c r="B137" s="47" t="s">
        <v>3897</v>
      </c>
      <c r="C137" s="41" t="s">
        <v>2927</v>
      </c>
      <c r="D137" s="60"/>
    </row>
    <row r="138" spans="2:25">
      <c r="B138" s="47" t="s">
        <v>3898</v>
      </c>
      <c r="C138" s="41" t="s">
        <v>2929</v>
      </c>
      <c r="D138" s="60"/>
    </row>
    <row r="139" spans="2:25">
      <c r="B139" s="47" t="s">
        <v>3480</v>
      </c>
      <c r="C139" s="41" t="s">
        <v>2931</v>
      </c>
      <c r="D139" s="60"/>
    </row>
    <row r="141" spans="2:25">
      <c r="X141" s="13" t="str">
        <f>Show!$B$87&amp;Show!$B$87&amp;"S.19.01.01.04 Rows {"&amp;COLUMN($C$1)&amp;"}"</f>
        <v>!!S.19.01.01.04 Rows {3}</v>
      </c>
      <c r="Y141" s="13" t="str">
        <f>Show!$B$87&amp;Show!$B$87&amp;"S.19.01.01.04 Columns {"&amp;COLUMN($D$1)&amp;"}"</f>
        <v>!!S.19.01.01.04 Columns {4}</v>
      </c>
    </row>
    <row r="143" spans="2:25" ht="18.75">
      <c r="B143" s="97" t="s">
        <v>3954</v>
      </c>
      <c r="C143" s="96"/>
      <c r="D143" s="96"/>
      <c r="E143" s="96"/>
      <c r="F143" s="96"/>
      <c r="G143" s="96"/>
      <c r="H143" s="96"/>
      <c r="I143" s="96"/>
      <c r="J143" s="96"/>
      <c r="K143" s="96"/>
      <c r="L143" s="96"/>
    </row>
    <row r="145" spans="2:25">
      <c r="B145" t="s">
        <v>3110</v>
      </c>
      <c r="X145" s="13" t="str">
        <f>Show!$B$87&amp;"S.19.01.01.05 Table label {"&amp;COLUMN($C$1)&amp;"}"</f>
        <v>!S.19.01.01.05 Table label {3}</v>
      </c>
      <c r="Y145" s="13" t="str">
        <f>Show!$B$87&amp;"S.19.01.01.05 Table value {"&amp;COLUMN($D$1)&amp;"}"</f>
        <v>!S.19.01.01.05 Table value {4}</v>
      </c>
    </row>
    <row r="146" spans="2:25">
      <c r="B146" t="s">
        <v>3111</v>
      </c>
    </row>
    <row r="147" spans="2:25">
      <c r="B147" s="40" t="s">
        <v>3427</v>
      </c>
      <c r="C147" s="53" t="s">
        <v>3113</v>
      </c>
      <c r="D147" s="51"/>
    </row>
    <row r="148" spans="2:25">
      <c r="B148" s="40" t="s">
        <v>3868</v>
      </c>
      <c r="C148" s="53" t="s">
        <v>3115</v>
      </c>
      <c r="D148" s="51"/>
    </row>
    <row r="149" spans="2:25">
      <c r="B149" s="40" t="s">
        <v>3606</v>
      </c>
      <c r="C149" s="53" t="s">
        <v>3323</v>
      </c>
      <c r="D149" s="51"/>
    </row>
    <row r="150" spans="2:25">
      <c r="B150" s="40" t="s">
        <v>3874</v>
      </c>
      <c r="C150" s="53" t="s">
        <v>3875</v>
      </c>
      <c r="D150" s="51"/>
    </row>
    <row r="151" spans="2:25">
      <c r="X151" s="13" t="str">
        <f>Show!$B$87&amp;Show!$B$87&amp;"S.19.01.01.05 Table label {"&amp;COLUMN($C$1)&amp;"}"</f>
        <v>!!S.19.01.01.05 Table label {3}</v>
      </c>
      <c r="Y151" s="13" t="str">
        <f>Show!$B$87&amp;Show!$B$87&amp;"S.19.01.01.05 Table value {"&amp;COLUMN($D$1)&amp;"}"</f>
        <v>!!S.19.01.01.05 Table value {4}</v>
      </c>
    </row>
    <row r="153" spans="2:25">
      <c r="D153" s="101" t="s">
        <v>2877</v>
      </c>
      <c r="E153" s="102"/>
      <c r="F153" s="102"/>
      <c r="G153" s="102"/>
      <c r="H153" s="102"/>
      <c r="I153" s="102"/>
      <c r="J153" s="102"/>
      <c r="K153" s="102"/>
      <c r="L153" s="102"/>
      <c r="M153" s="102"/>
      <c r="N153" s="102"/>
      <c r="O153" s="102"/>
      <c r="P153" s="102"/>
      <c r="Q153" s="102"/>
      <c r="R153" s="102"/>
      <c r="S153" s="103"/>
    </row>
    <row r="154" spans="2:25">
      <c r="D154" s="104"/>
      <c r="E154" s="105"/>
      <c r="F154" s="105"/>
      <c r="G154" s="105"/>
      <c r="H154" s="105"/>
      <c r="I154" s="105"/>
      <c r="J154" s="105"/>
      <c r="K154" s="105"/>
      <c r="L154" s="105"/>
      <c r="M154" s="105"/>
      <c r="N154" s="105"/>
      <c r="O154" s="105"/>
      <c r="P154" s="105"/>
      <c r="Q154" s="105"/>
      <c r="R154" s="105"/>
      <c r="S154" s="106"/>
    </row>
    <row r="155" spans="2:25">
      <c r="D155" s="55">
        <v>0</v>
      </c>
      <c r="E155" s="55">
        <v>1</v>
      </c>
      <c r="F155" s="55">
        <v>2</v>
      </c>
      <c r="G155" s="55">
        <v>3</v>
      </c>
      <c r="H155" s="55">
        <v>4</v>
      </c>
      <c r="I155" s="55">
        <v>5</v>
      </c>
      <c r="J155" s="55">
        <v>6</v>
      </c>
      <c r="K155" s="55">
        <v>7</v>
      </c>
      <c r="L155" s="55">
        <v>8</v>
      </c>
      <c r="M155" s="55">
        <v>9</v>
      </c>
      <c r="N155" s="55">
        <v>10</v>
      </c>
      <c r="O155" s="55">
        <v>11</v>
      </c>
      <c r="P155" s="55">
        <v>12</v>
      </c>
      <c r="Q155" s="55">
        <v>13</v>
      </c>
      <c r="R155" s="55">
        <v>14</v>
      </c>
      <c r="S155" s="55" t="s">
        <v>3946</v>
      </c>
    </row>
    <row r="156" spans="2:25">
      <c r="D156" s="45" t="s">
        <v>3634</v>
      </c>
      <c r="E156" s="45" t="s">
        <v>3636</v>
      </c>
      <c r="F156" s="45" t="s">
        <v>3701</v>
      </c>
      <c r="G156" s="45" t="s">
        <v>3702</v>
      </c>
      <c r="H156" s="45" t="s">
        <v>3675</v>
      </c>
      <c r="I156" s="45" t="s">
        <v>3955</v>
      </c>
      <c r="J156" s="45" t="s">
        <v>3956</v>
      </c>
      <c r="K156" s="45" t="s">
        <v>3957</v>
      </c>
      <c r="L156" s="45" t="s">
        <v>3958</v>
      </c>
      <c r="M156" s="45" t="s">
        <v>3959</v>
      </c>
      <c r="N156" s="45" t="s">
        <v>3960</v>
      </c>
      <c r="O156" s="45" t="s">
        <v>3961</v>
      </c>
      <c r="P156" s="45" t="s">
        <v>3962</v>
      </c>
      <c r="Q156" s="45" t="s">
        <v>3963</v>
      </c>
      <c r="R156" s="45" t="s">
        <v>3964</v>
      </c>
      <c r="S156" s="45" t="s">
        <v>3965</v>
      </c>
      <c r="X156" s="13" t="str">
        <f>Show!$B$87&amp;"S.19.01.01.05 Rows {"&amp;COLUMN($C$1)&amp;"}"&amp;"@ForceFilingCode:true"</f>
        <v>!S.19.01.01.05 Rows {3}@ForceFilingCode:true</v>
      </c>
      <c r="Y156" s="13" t="str">
        <f>Show!$B$87&amp;"S.19.01.01.05 Columns {"&amp;COLUMN($D$1)&amp;"}"</f>
        <v>!S.19.01.01.05 Columns {4}</v>
      </c>
    </row>
    <row r="157" spans="2:25">
      <c r="B157" s="43" t="s">
        <v>2880</v>
      </c>
      <c r="C157" s="44" t="s">
        <v>2878</v>
      </c>
      <c r="D157" s="58"/>
      <c r="E157" s="67"/>
      <c r="F157" s="67"/>
      <c r="G157" s="67"/>
      <c r="H157" s="67"/>
      <c r="I157" s="67"/>
      <c r="J157" s="67"/>
      <c r="K157" s="67"/>
      <c r="L157" s="67"/>
      <c r="M157" s="67"/>
      <c r="N157" s="67"/>
      <c r="O157" s="67"/>
      <c r="P157" s="67"/>
      <c r="Q157" s="67"/>
      <c r="R157" s="67"/>
      <c r="S157" s="57"/>
    </row>
    <row r="158" spans="2:25">
      <c r="B158" s="47" t="s">
        <v>3947</v>
      </c>
      <c r="C158" s="44" t="s">
        <v>2899</v>
      </c>
      <c r="D158" s="56"/>
      <c r="E158" s="56"/>
      <c r="F158" s="56"/>
      <c r="G158" s="56"/>
      <c r="H158" s="56"/>
      <c r="I158" s="56"/>
      <c r="J158" s="56"/>
      <c r="K158" s="56"/>
      <c r="L158" s="56"/>
      <c r="M158" s="56"/>
      <c r="N158" s="56"/>
      <c r="O158" s="56"/>
      <c r="P158" s="56"/>
      <c r="Q158" s="56"/>
      <c r="R158" s="46"/>
      <c r="S158" s="63"/>
    </row>
    <row r="159" spans="2:25">
      <c r="B159" s="47" t="s">
        <v>3884</v>
      </c>
      <c r="C159" s="41" t="s">
        <v>2901</v>
      </c>
      <c r="D159" s="60"/>
      <c r="E159" s="60"/>
      <c r="F159" s="60"/>
      <c r="G159" s="60"/>
      <c r="H159" s="60"/>
      <c r="I159" s="60"/>
      <c r="J159" s="60"/>
      <c r="K159" s="60"/>
      <c r="L159" s="60"/>
      <c r="M159" s="60"/>
      <c r="N159" s="60"/>
      <c r="O159" s="60"/>
      <c r="P159" s="60"/>
      <c r="Q159" s="60"/>
      <c r="R159" s="65"/>
      <c r="S159" s="48"/>
    </row>
    <row r="160" spans="2:25">
      <c r="B160" s="47" t="s">
        <v>3885</v>
      </c>
      <c r="C160" s="41" t="s">
        <v>2903</v>
      </c>
      <c r="D160" s="60"/>
      <c r="E160" s="60"/>
      <c r="F160" s="60"/>
      <c r="G160" s="60"/>
      <c r="H160" s="60"/>
      <c r="I160" s="60"/>
      <c r="J160" s="60"/>
      <c r="K160" s="60"/>
      <c r="L160" s="60"/>
      <c r="M160" s="60"/>
      <c r="N160" s="60"/>
      <c r="O160" s="60"/>
      <c r="P160" s="60"/>
      <c r="Q160" s="65"/>
      <c r="R160" s="58"/>
      <c r="S160" s="48"/>
    </row>
    <row r="161" spans="2:25">
      <c r="B161" s="47" t="s">
        <v>3886</v>
      </c>
      <c r="C161" s="41" t="s">
        <v>2905</v>
      </c>
      <c r="D161" s="60"/>
      <c r="E161" s="60"/>
      <c r="F161" s="60"/>
      <c r="G161" s="60"/>
      <c r="H161" s="60"/>
      <c r="I161" s="60"/>
      <c r="J161" s="60"/>
      <c r="K161" s="60"/>
      <c r="L161" s="60"/>
      <c r="M161" s="60"/>
      <c r="N161" s="60"/>
      <c r="O161" s="60"/>
      <c r="P161" s="65"/>
      <c r="Q161" s="58"/>
      <c r="R161" s="58"/>
      <c r="S161" s="48"/>
    </row>
    <row r="162" spans="2:25">
      <c r="B162" s="47" t="s">
        <v>3887</v>
      </c>
      <c r="C162" s="41" t="s">
        <v>2907</v>
      </c>
      <c r="D162" s="60"/>
      <c r="E162" s="60"/>
      <c r="F162" s="60"/>
      <c r="G162" s="60"/>
      <c r="H162" s="60"/>
      <c r="I162" s="60"/>
      <c r="J162" s="60"/>
      <c r="K162" s="60"/>
      <c r="L162" s="60"/>
      <c r="M162" s="60"/>
      <c r="N162" s="60"/>
      <c r="O162" s="65"/>
      <c r="P162" s="58"/>
      <c r="Q162" s="58"/>
      <c r="R162" s="58"/>
      <c r="S162" s="48"/>
    </row>
    <row r="163" spans="2:25">
      <c r="B163" s="47" t="s">
        <v>3888</v>
      </c>
      <c r="C163" s="41" t="s">
        <v>2909</v>
      </c>
      <c r="D163" s="60"/>
      <c r="E163" s="60"/>
      <c r="F163" s="60"/>
      <c r="G163" s="60"/>
      <c r="H163" s="60"/>
      <c r="I163" s="60"/>
      <c r="J163" s="60"/>
      <c r="K163" s="60"/>
      <c r="L163" s="60"/>
      <c r="M163" s="60"/>
      <c r="N163" s="65"/>
      <c r="O163" s="58"/>
      <c r="P163" s="58"/>
      <c r="Q163" s="58"/>
      <c r="R163" s="58"/>
      <c r="S163" s="48"/>
    </row>
    <row r="164" spans="2:25">
      <c r="B164" s="47" t="s">
        <v>3889</v>
      </c>
      <c r="C164" s="41" t="s">
        <v>2911</v>
      </c>
      <c r="D164" s="60"/>
      <c r="E164" s="60"/>
      <c r="F164" s="60"/>
      <c r="G164" s="60"/>
      <c r="H164" s="60"/>
      <c r="I164" s="60"/>
      <c r="J164" s="60"/>
      <c r="K164" s="60"/>
      <c r="L164" s="60"/>
      <c r="M164" s="65"/>
      <c r="N164" s="58"/>
      <c r="O164" s="58"/>
      <c r="P164" s="58"/>
      <c r="Q164" s="58"/>
      <c r="R164" s="58"/>
      <c r="S164" s="48"/>
    </row>
    <row r="165" spans="2:25">
      <c r="B165" s="47" t="s">
        <v>3890</v>
      </c>
      <c r="C165" s="41" t="s">
        <v>2913</v>
      </c>
      <c r="D165" s="60"/>
      <c r="E165" s="60"/>
      <c r="F165" s="60"/>
      <c r="G165" s="60"/>
      <c r="H165" s="60"/>
      <c r="I165" s="60"/>
      <c r="J165" s="60"/>
      <c r="K165" s="60"/>
      <c r="L165" s="65"/>
      <c r="M165" s="58"/>
      <c r="N165" s="58"/>
      <c r="O165" s="58"/>
      <c r="P165" s="58"/>
      <c r="Q165" s="58"/>
      <c r="R165" s="58"/>
      <c r="S165" s="48"/>
    </row>
    <row r="166" spans="2:25">
      <c r="B166" s="47" t="s">
        <v>3891</v>
      </c>
      <c r="C166" s="41" t="s">
        <v>2915</v>
      </c>
      <c r="D166" s="60"/>
      <c r="E166" s="60"/>
      <c r="F166" s="60"/>
      <c r="G166" s="60"/>
      <c r="H166" s="60"/>
      <c r="I166" s="60"/>
      <c r="J166" s="60"/>
      <c r="K166" s="65"/>
      <c r="L166" s="58"/>
      <c r="M166" s="58"/>
      <c r="N166" s="58"/>
      <c r="O166" s="58"/>
      <c r="P166" s="58"/>
      <c r="Q166" s="58"/>
      <c r="R166" s="58"/>
      <c r="S166" s="48"/>
    </row>
    <row r="167" spans="2:25">
      <c r="B167" s="47" t="s">
        <v>3892</v>
      </c>
      <c r="C167" s="41" t="s">
        <v>2917</v>
      </c>
      <c r="D167" s="60"/>
      <c r="E167" s="60"/>
      <c r="F167" s="60"/>
      <c r="G167" s="60"/>
      <c r="H167" s="60"/>
      <c r="I167" s="60"/>
      <c r="J167" s="65"/>
      <c r="K167" s="58"/>
      <c r="L167" s="58"/>
      <c r="M167" s="58"/>
      <c r="N167" s="58"/>
      <c r="O167" s="58"/>
      <c r="P167" s="58"/>
      <c r="Q167" s="58"/>
      <c r="R167" s="58"/>
      <c r="S167" s="48"/>
    </row>
    <row r="168" spans="2:25">
      <c r="B168" s="47" t="s">
        <v>3893</v>
      </c>
      <c r="C168" s="41" t="s">
        <v>2919</v>
      </c>
      <c r="D168" s="60"/>
      <c r="E168" s="60"/>
      <c r="F168" s="60"/>
      <c r="G168" s="60"/>
      <c r="H168" s="60"/>
      <c r="I168" s="65"/>
      <c r="J168" s="58"/>
      <c r="K168" s="58"/>
      <c r="L168" s="58"/>
      <c r="M168" s="58"/>
      <c r="N168" s="58"/>
      <c r="O168" s="58"/>
      <c r="P168" s="58"/>
      <c r="Q168" s="58"/>
      <c r="R168" s="58"/>
      <c r="S168" s="48"/>
    </row>
    <row r="169" spans="2:25">
      <c r="B169" s="47" t="s">
        <v>3894</v>
      </c>
      <c r="C169" s="41" t="s">
        <v>2921</v>
      </c>
      <c r="D169" s="60"/>
      <c r="E169" s="60"/>
      <c r="F169" s="60"/>
      <c r="G169" s="60"/>
      <c r="H169" s="65"/>
      <c r="I169" s="58"/>
      <c r="J169" s="58"/>
      <c r="K169" s="58"/>
      <c r="L169" s="58"/>
      <c r="M169" s="58"/>
      <c r="N169" s="58"/>
      <c r="O169" s="58"/>
      <c r="P169" s="58"/>
      <c r="Q169" s="58"/>
      <c r="R169" s="58"/>
      <c r="S169" s="48"/>
    </row>
    <row r="170" spans="2:25">
      <c r="B170" s="47" t="s">
        <v>3895</v>
      </c>
      <c r="C170" s="41" t="s">
        <v>2923</v>
      </c>
      <c r="D170" s="60"/>
      <c r="E170" s="60"/>
      <c r="F170" s="60"/>
      <c r="G170" s="65"/>
      <c r="H170" s="58"/>
      <c r="I170" s="58"/>
      <c r="J170" s="58"/>
      <c r="K170" s="58"/>
      <c r="L170" s="58"/>
      <c r="M170" s="58"/>
      <c r="N170" s="58"/>
      <c r="O170" s="58"/>
      <c r="P170" s="58"/>
      <c r="Q170" s="58"/>
      <c r="R170" s="58"/>
      <c r="S170" s="48"/>
    </row>
    <row r="171" spans="2:25">
      <c r="B171" s="47" t="s">
        <v>3896</v>
      </c>
      <c r="C171" s="41" t="s">
        <v>2925</v>
      </c>
      <c r="D171" s="60"/>
      <c r="E171" s="60"/>
      <c r="F171" s="65"/>
      <c r="G171" s="58"/>
      <c r="H171" s="58"/>
      <c r="I171" s="58"/>
      <c r="J171" s="58"/>
      <c r="K171" s="58"/>
      <c r="L171" s="58"/>
      <c r="M171" s="58"/>
      <c r="N171" s="58"/>
      <c r="O171" s="58"/>
      <c r="P171" s="58"/>
      <c r="Q171" s="58"/>
      <c r="R171" s="58"/>
      <c r="S171" s="48"/>
    </row>
    <row r="172" spans="2:25">
      <c r="B172" s="47" t="s">
        <v>3897</v>
      </c>
      <c r="C172" s="41" t="s">
        <v>2927</v>
      </c>
      <c r="D172" s="60"/>
      <c r="E172" s="65"/>
      <c r="F172" s="58"/>
      <c r="G172" s="58"/>
      <c r="H172" s="58"/>
      <c r="I172" s="58"/>
      <c r="J172" s="58"/>
      <c r="K172" s="58"/>
      <c r="L172" s="58"/>
      <c r="M172" s="58"/>
      <c r="N172" s="58"/>
      <c r="O172" s="58"/>
      <c r="P172" s="58"/>
      <c r="Q172" s="58"/>
      <c r="R172" s="58"/>
      <c r="S172" s="48"/>
    </row>
    <row r="173" spans="2:25">
      <c r="B173" s="47" t="s">
        <v>3898</v>
      </c>
      <c r="C173" s="41" t="s">
        <v>2929</v>
      </c>
      <c r="D173" s="64"/>
      <c r="E173" s="56"/>
      <c r="F173" s="56"/>
      <c r="G173" s="56"/>
      <c r="H173" s="56"/>
      <c r="I173" s="56"/>
      <c r="J173" s="56"/>
      <c r="K173" s="56"/>
      <c r="L173" s="56"/>
      <c r="M173" s="56"/>
      <c r="N173" s="56"/>
      <c r="O173" s="56"/>
      <c r="P173" s="56"/>
      <c r="Q173" s="56"/>
      <c r="R173" s="56"/>
      <c r="S173" s="46"/>
    </row>
    <row r="175" spans="2:25">
      <c r="X175" s="13" t="str">
        <f>Show!$B$87&amp;Show!$B$87&amp;"S.19.01.01.05 Rows {"&amp;COLUMN($C$1)&amp;"}"</f>
        <v>!!S.19.01.01.05 Rows {3}</v>
      </c>
      <c r="Y175" s="13" t="str">
        <f>Show!$B$87&amp;Show!$B$87&amp;"S.19.01.01.05 Columns {"&amp;COLUMN($S$1)&amp;"}"</f>
        <v>!!S.19.01.01.05 Columns {19}</v>
      </c>
    </row>
    <row r="177" spans="2:25" ht="18.75">
      <c r="B177" s="97" t="s">
        <v>3966</v>
      </c>
      <c r="C177" s="96"/>
      <c r="D177" s="96"/>
      <c r="E177" s="96"/>
      <c r="F177" s="96"/>
      <c r="G177" s="96"/>
      <c r="H177" s="96"/>
      <c r="I177" s="96"/>
      <c r="J177" s="96"/>
      <c r="K177" s="96"/>
      <c r="L177" s="96"/>
    </row>
    <row r="179" spans="2:25">
      <c r="B179" t="s">
        <v>3110</v>
      </c>
      <c r="X179" s="13" t="str">
        <f>Show!$B$87&amp;"S.19.01.01.06 Table label {"&amp;COLUMN($C$1)&amp;"}"</f>
        <v>!S.19.01.01.06 Table label {3}</v>
      </c>
      <c r="Y179" s="13" t="str">
        <f>Show!$B$87&amp;"S.19.01.01.06 Table value {"&amp;COLUMN($D$1)&amp;"}"</f>
        <v>!S.19.01.01.06 Table value {4}</v>
      </c>
    </row>
    <row r="180" spans="2:25">
      <c r="B180" t="s">
        <v>3111</v>
      </c>
    </row>
    <row r="181" spans="2:25">
      <c r="B181" s="40" t="s">
        <v>3427</v>
      </c>
      <c r="C181" s="53" t="s">
        <v>3113</v>
      </c>
      <c r="D181" s="51"/>
    </row>
    <row r="182" spans="2:25">
      <c r="B182" s="40" t="s">
        <v>3868</v>
      </c>
      <c r="C182" s="53" t="s">
        <v>3115</v>
      </c>
      <c r="D182" s="51"/>
    </row>
    <row r="183" spans="2:25">
      <c r="B183" s="40" t="s">
        <v>3606</v>
      </c>
      <c r="C183" s="53" t="s">
        <v>3323</v>
      </c>
      <c r="D183" s="51"/>
    </row>
    <row r="184" spans="2:25">
      <c r="B184" s="40" t="s">
        <v>3874</v>
      </c>
      <c r="C184" s="53" t="s">
        <v>3875</v>
      </c>
      <c r="D184" s="51"/>
    </row>
    <row r="185" spans="2:25">
      <c r="X185" s="13" t="str">
        <f>Show!$B$87&amp;Show!$B$87&amp;"S.19.01.01.06 Table label {"&amp;COLUMN($C$1)&amp;"}"</f>
        <v>!!S.19.01.01.06 Table label {3}</v>
      </c>
      <c r="Y185" s="13" t="str">
        <f>Show!$B$87&amp;Show!$B$87&amp;"S.19.01.01.06 Table value {"&amp;COLUMN($D$1)&amp;"}"</f>
        <v>!!S.19.01.01.06 Table value {4}</v>
      </c>
    </row>
    <row r="187" spans="2:25">
      <c r="D187" s="98" t="s">
        <v>2877</v>
      </c>
    </row>
    <row r="188" spans="2:25">
      <c r="D188" s="100"/>
    </row>
    <row r="189" spans="2:25">
      <c r="D189" s="55" t="s">
        <v>3953</v>
      </c>
    </row>
    <row r="190" spans="2:25">
      <c r="D190" s="45" t="s">
        <v>3967</v>
      </c>
      <c r="X190" s="13" t="str">
        <f>Show!$B$87&amp;"S.19.01.01.06 Rows {"&amp;COLUMN($C$1)&amp;"}"&amp;"@ForceFilingCode:true"</f>
        <v>!S.19.01.01.06 Rows {3}@ForceFilingCode:true</v>
      </c>
      <c r="Y190" s="13" t="str">
        <f>Show!$B$87&amp;"S.19.01.01.06 Columns {"&amp;COLUMN($D$1)&amp;"}"</f>
        <v>!S.19.01.01.06 Columns {4}</v>
      </c>
    </row>
    <row r="191" spans="2:25">
      <c r="B191" s="43" t="s">
        <v>2880</v>
      </c>
      <c r="C191" s="44" t="s">
        <v>2878</v>
      </c>
      <c r="D191" s="46"/>
    </row>
    <row r="192" spans="2:25">
      <c r="B192" s="47" t="s">
        <v>3947</v>
      </c>
      <c r="C192" s="41" t="s">
        <v>2899</v>
      </c>
      <c r="D192" s="60"/>
    </row>
    <row r="193" spans="2:4">
      <c r="B193" s="47" t="s">
        <v>3884</v>
      </c>
      <c r="C193" s="41" t="s">
        <v>2901</v>
      </c>
      <c r="D193" s="60"/>
    </row>
    <row r="194" spans="2:4">
      <c r="B194" s="47" t="s">
        <v>3885</v>
      </c>
      <c r="C194" s="41" t="s">
        <v>2903</v>
      </c>
      <c r="D194" s="60"/>
    </row>
    <row r="195" spans="2:4">
      <c r="B195" s="47" t="s">
        <v>3886</v>
      </c>
      <c r="C195" s="41" t="s">
        <v>2905</v>
      </c>
      <c r="D195" s="60"/>
    </row>
    <row r="196" spans="2:4">
      <c r="B196" s="47" t="s">
        <v>3887</v>
      </c>
      <c r="C196" s="41" t="s">
        <v>2907</v>
      </c>
      <c r="D196" s="60"/>
    </row>
    <row r="197" spans="2:4">
      <c r="B197" s="47" t="s">
        <v>3888</v>
      </c>
      <c r="C197" s="41" t="s">
        <v>2909</v>
      </c>
      <c r="D197" s="60"/>
    </row>
    <row r="198" spans="2:4">
      <c r="B198" s="47" t="s">
        <v>3889</v>
      </c>
      <c r="C198" s="41" t="s">
        <v>2911</v>
      </c>
      <c r="D198" s="60"/>
    </row>
    <row r="199" spans="2:4">
      <c r="B199" s="47" t="s">
        <v>3890</v>
      </c>
      <c r="C199" s="41" t="s">
        <v>2913</v>
      </c>
      <c r="D199" s="60"/>
    </row>
    <row r="200" spans="2:4">
      <c r="B200" s="47" t="s">
        <v>3891</v>
      </c>
      <c r="C200" s="41" t="s">
        <v>2915</v>
      </c>
      <c r="D200" s="60"/>
    </row>
    <row r="201" spans="2:4">
      <c r="B201" s="47" t="s">
        <v>3892</v>
      </c>
      <c r="C201" s="41" t="s">
        <v>2917</v>
      </c>
      <c r="D201" s="60"/>
    </row>
    <row r="202" spans="2:4">
      <c r="B202" s="47" t="s">
        <v>3893</v>
      </c>
      <c r="C202" s="41" t="s">
        <v>2919</v>
      </c>
      <c r="D202" s="60"/>
    </row>
    <row r="203" spans="2:4">
      <c r="B203" s="47" t="s">
        <v>3894</v>
      </c>
      <c r="C203" s="41" t="s">
        <v>2921</v>
      </c>
      <c r="D203" s="60"/>
    </row>
    <row r="204" spans="2:4">
      <c r="B204" s="47" t="s">
        <v>3895</v>
      </c>
      <c r="C204" s="41" t="s">
        <v>2923</v>
      </c>
      <c r="D204" s="60"/>
    </row>
    <row r="205" spans="2:4">
      <c r="B205" s="47" t="s">
        <v>3896</v>
      </c>
      <c r="C205" s="41" t="s">
        <v>2925</v>
      </c>
      <c r="D205" s="60"/>
    </row>
    <row r="206" spans="2:4">
      <c r="B206" s="47" t="s">
        <v>3897</v>
      </c>
      <c r="C206" s="41" t="s">
        <v>2927</v>
      </c>
      <c r="D206" s="60"/>
    </row>
    <row r="207" spans="2:4">
      <c r="B207" s="47" t="s">
        <v>3898</v>
      </c>
      <c r="C207" s="41" t="s">
        <v>2929</v>
      </c>
      <c r="D207" s="60"/>
    </row>
    <row r="208" spans="2:4">
      <c r="B208" s="47" t="s">
        <v>3480</v>
      </c>
      <c r="C208" s="41" t="s">
        <v>2931</v>
      </c>
      <c r="D208" s="60"/>
    </row>
    <row r="210" spans="2:25">
      <c r="X210" s="13" t="str">
        <f>Show!$B$87&amp;Show!$B$87&amp;"S.19.01.01.06 Rows {"&amp;COLUMN($C$1)&amp;"}"</f>
        <v>!!S.19.01.01.06 Rows {3}</v>
      </c>
      <c r="Y210" s="13" t="str">
        <f>Show!$B$87&amp;Show!$B$87&amp;"S.19.01.01.06 Columns {"&amp;COLUMN($D$1)&amp;"}"</f>
        <v>!!S.19.01.01.06 Columns {4}</v>
      </c>
    </row>
    <row r="212" spans="2:25" ht="18.75">
      <c r="B212" s="97" t="s">
        <v>3968</v>
      </c>
      <c r="C212" s="96"/>
      <c r="D212" s="96"/>
      <c r="E212" s="96"/>
      <c r="F212" s="96"/>
      <c r="G212" s="96"/>
      <c r="H212" s="96"/>
      <c r="I212" s="96"/>
      <c r="J212" s="96"/>
      <c r="K212" s="96"/>
      <c r="L212" s="96"/>
    </row>
    <row r="214" spans="2:25">
      <c r="B214" t="s">
        <v>3110</v>
      </c>
      <c r="X214" s="13" t="str">
        <f>Show!$B$87&amp;"S.19.01.01.07 Table label {"&amp;COLUMN($C$1)&amp;"}"</f>
        <v>!S.19.01.01.07 Table label {3}</v>
      </c>
      <c r="Y214" s="13" t="str">
        <f>Show!$B$87&amp;"S.19.01.01.07 Table value {"&amp;COLUMN($D$1)&amp;"}"</f>
        <v>!S.19.01.01.07 Table value {4}</v>
      </c>
    </row>
    <row r="215" spans="2:25">
      <c r="B215" t="s">
        <v>3111</v>
      </c>
    </row>
    <row r="216" spans="2:25">
      <c r="B216" s="40" t="s">
        <v>3427</v>
      </c>
      <c r="C216" s="53" t="s">
        <v>3113</v>
      </c>
      <c r="D216" s="51"/>
    </row>
    <row r="217" spans="2:25">
      <c r="B217" s="40" t="s">
        <v>3868</v>
      </c>
      <c r="C217" s="53" t="s">
        <v>3115</v>
      </c>
      <c r="D217" s="51"/>
    </row>
    <row r="218" spans="2:25">
      <c r="B218" s="40" t="s">
        <v>3606</v>
      </c>
      <c r="C218" s="53" t="s">
        <v>3323</v>
      </c>
      <c r="D218" s="51"/>
    </row>
    <row r="219" spans="2:25">
      <c r="B219" s="40" t="s">
        <v>3874</v>
      </c>
      <c r="C219" s="53" t="s">
        <v>3875</v>
      </c>
      <c r="D219" s="51"/>
    </row>
    <row r="220" spans="2:25">
      <c r="X220" s="13" t="str">
        <f>Show!$B$87&amp;Show!$B$87&amp;"S.19.01.01.07 Table label {"&amp;COLUMN($C$1)&amp;"}"</f>
        <v>!!S.19.01.01.07 Table label {3}</v>
      </c>
      <c r="Y220" s="13" t="str">
        <f>Show!$B$87&amp;Show!$B$87&amp;"S.19.01.01.07 Table value {"&amp;COLUMN($D$1)&amp;"}"</f>
        <v>!!S.19.01.01.07 Table value {4}</v>
      </c>
    </row>
    <row r="222" spans="2:25">
      <c r="D222" s="101" t="s">
        <v>2877</v>
      </c>
      <c r="E222" s="102"/>
      <c r="F222" s="102"/>
      <c r="G222" s="102"/>
      <c r="H222" s="102"/>
      <c r="I222" s="102"/>
      <c r="J222" s="102"/>
      <c r="K222" s="102"/>
      <c r="L222" s="102"/>
      <c r="M222" s="102"/>
      <c r="N222" s="102"/>
      <c r="O222" s="102"/>
      <c r="P222" s="102"/>
      <c r="Q222" s="102"/>
      <c r="R222" s="102"/>
      <c r="S222" s="103"/>
    </row>
    <row r="223" spans="2:25">
      <c r="D223" s="104"/>
      <c r="E223" s="105"/>
      <c r="F223" s="105"/>
      <c r="G223" s="105"/>
      <c r="H223" s="105"/>
      <c r="I223" s="105"/>
      <c r="J223" s="105"/>
      <c r="K223" s="105"/>
      <c r="L223" s="105"/>
      <c r="M223" s="105"/>
      <c r="N223" s="105"/>
      <c r="O223" s="105"/>
      <c r="P223" s="105"/>
      <c r="Q223" s="105"/>
      <c r="R223" s="105"/>
      <c r="S223" s="106"/>
    </row>
    <row r="224" spans="2:25">
      <c r="D224" s="55">
        <v>0</v>
      </c>
      <c r="E224" s="55">
        <v>1</v>
      </c>
      <c r="F224" s="55">
        <v>2</v>
      </c>
      <c r="G224" s="55">
        <v>3</v>
      </c>
      <c r="H224" s="55">
        <v>4</v>
      </c>
      <c r="I224" s="55">
        <v>5</v>
      </c>
      <c r="J224" s="55">
        <v>6</v>
      </c>
      <c r="K224" s="55">
        <v>7</v>
      </c>
      <c r="L224" s="55">
        <v>8</v>
      </c>
      <c r="M224" s="55">
        <v>9</v>
      </c>
      <c r="N224" s="55">
        <v>10</v>
      </c>
      <c r="O224" s="55">
        <v>11</v>
      </c>
      <c r="P224" s="55">
        <v>12</v>
      </c>
      <c r="Q224" s="55">
        <v>13</v>
      </c>
      <c r="R224" s="55">
        <v>14</v>
      </c>
      <c r="S224" s="55" t="s">
        <v>3946</v>
      </c>
    </row>
    <row r="225" spans="2:25">
      <c r="D225" s="45" t="s">
        <v>3969</v>
      </c>
      <c r="E225" s="45" t="s">
        <v>3970</v>
      </c>
      <c r="F225" s="45" t="s">
        <v>3971</v>
      </c>
      <c r="G225" s="45" t="s">
        <v>3972</v>
      </c>
      <c r="H225" s="45" t="s">
        <v>3973</v>
      </c>
      <c r="I225" s="45" t="s">
        <v>3974</v>
      </c>
      <c r="J225" s="45" t="s">
        <v>3975</v>
      </c>
      <c r="K225" s="45" t="s">
        <v>3976</v>
      </c>
      <c r="L225" s="45" t="s">
        <v>3977</v>
      </c>
      <c r="M225" s="45" t="s">
        <v>3978</v>
      </c>
      <c r="N225" s="45" t="s">
        <v>3979</v>
      </c>
      <c r="O225" s="45" t="s">
        <v>3980</v>
      </c>
      <c r="P225" s="45" t="s">
        <v>3981</v>
      </c>
      <c r="Q225" s="45" t="s">
        <v>3982</v>
      </c>
      <c r="R225" s="45" t="s">
        <v>3983</v>
      </c>
      <c r="S225" s="45" t="s">
        <v>3984</v>
      </c>
      <c r="X225" s="13" t="str">
        <f>Show!$B$87&amp;"S.19.01.01.07 Rows {"&amp;COLUMN($C$1)&amp;"}"&amp;"@ForceFilingCode:true"</f>
        <v>!S.19.01.01.07 Rows {3}@ForceFilingCode:true</v>
      </c>
      <c r="Y225" s="13" t="str">
        <f>Show!$B$87&amp;"S.19.01.01.07 Columns {"&amp;COLUMN($D$1)&amp;"}"</f>
        <v>!S.19.01.01.07 Columns {4}</v>
      </c>
    </row>
    <row r="226" spans="2:25">
      <c r="B226" s="43" t="s">
        <v>2880</v>
      </c>
      <c r="C226" s="44" t="s">
        <v>2878</v>
      </c>
      <c r="D226" s="58"/>
      <c r="E226" s="67"/>
      <c r="F226" s="67"/>
      <c r="G226" s="67"/>
      <c r="H226" s="67"/>
      <c r="I226" s="67"/>
      <c r="J226" s="67"/>
      <c r="K226" s="67"/>
      <c r="L226" s="67"/>
      <c r="M226" s="67"/>
      <c r="N226" s="67"/>
      <c r="O226" s="67"/>
      <c r="P226" s="67"/>
      <c r="Q226" s="67"/>
      <c r="R226" s="67"/>
      <c r="S226" s="57"/>
    </row>
    <row r="227" spans="2:25">
      <c r="B227" s="47" t="s">
        <v>3947</v>
      </c>
      <c r="C227" s="44" t="s">
        <v>2939</v>
      </c>
      <c r="D227" s="56"/>
      <c r="E227" s="56"/>
      <c r="F227" s="56"/>
      <c r="G227" s="56"/>
      <c r="H227" s="56"/>
      <c r="I227" s="56"/>
      <c r="J227" s="56"/>
      <c r="K227" s="56"/>
      <c r="L227" s="56"/>
      <c r="M227" s="56"/>
      <c r="N227" s="56"/>
      <c r="O227" s="56"/>
      <c r="P227" s="56"/>
      <c r="Q227" s="56"/>
      <c r="R227" s="46"/>
      <c r="S227" s="63"/>
    </row>
    <row r="228" spans="2:25">
      <c r="B228" s="47" t="s">
        <v>3884</v>
      </c>
      <c r="C228" s="41" t="s">
        <v>2941</v>
      </c>
      <c r="D228" s="60"/>
      <c r="E228" s="60"/>
      <c r="F228" s="60"/>
      <c r="G228" s="60"/>
      <c r="H228" s="60"/>
      <c r="I228" s="60"/>
      <c r="J228" s="60"/>
      <c r="K228" s="60"/>
      <c r="L228" s="60"/>
      <c r="M228" s="60"/>
      <c r="N228" s="60"/>
      <c r="O228" s="60"/>
      <c r="P228" s="60"/>
      <c r="Q228" s="60"/>
      <c r="R228" s="65"/>
      <c r="S228" s="48"/>
    </row>
    <row r="229" spans="2:25">
      <c r="B229" s="47" t="s">
        <v>3885</v>
      </c>
      <c r="C229" s="41" t="s">
        <v>2943</v>
      </c>
      <c r="D229" s="60"/>
      <c r="E229" s="60"/>
      <c r="F229" s="60"/>
      <c r="G229" s="60"/>
      <c r="H229" s="60"/>
      <c r="I229" s="60"/>
      <c r="J229" s="60"/>
      <c r="K229" s="60"/>
      <c r="L229" s="60"/>
      <c r="M229" s="60"/>
      <c r="N229" s="60"/>
      <c r="O229" s="60"/>
      <c r="P229" s="60"/>
      <c r="Q229" s="65"/>
      <c r="R229" s="58"/>
      <c r="S229" s="48"/>
    </row>
    <row r="230" spans="2:25">
      <c r="B230" s="47" t="s">
        <v>3886</v>
      </c>
      <c r="C230" s="41" t="s">
        <v>2945</v>
      </c>
      <c r="D230" s="60"/>
      <c r="E230" s="60"/>
      <c r="F230" s="60"/>
      <c r="G230" s="60"/>
      <c r="H230" s="60"/>
      <c r="I230" s="60"/>
      <c r="J230" s="60"/>
      <c r="K230" s="60"/>
      <c r="L230" s="60"/>
      <c r="M230" s="60"/>
      <c r="N230" s="60"/>
      <c r="O230" s="60"/>
      <c r="P230" s="65"/>
      <c r="Q230" s="58"/>
      <c r="R230" s="58"/>
      <c r="S230" s="48"/>
    </row>
    <row r="231" spans="2:25">
      <c r="B231" s="47" t="s">
        <v>3887</v>
      </c>
      <c r="C231" s="41" t="s">
        <v>2947</v>
      </c>
      <c r="D231" s="60"/>
      <c r="E231" s="60"/>
      <c r="F231" s="60"/>
      <c r="G231" s="60"/>
      <c r="H231" s="60"/>
      <c r="I231" s="60"/>
      <c r="J231" s="60"/>
      <c r="K231" s="60"/>
      <c r="L231" s="60"/>
      <c r="M231" s="60"/>
      <c r="N231" s="60"/>
      <c r="O231" s="65"/>
      <c r="P231" s="58"/>
      <c r="Q231" s="58"/>
      <c r="R231" s="58"/>
      <c r="S231" s="48"/>
    </row>
    <row r="232" spans="2:25">
      <c r="B232" s="47" t="s">
        <v>3888</v>
      </c>
      <c r="C232" s="41" t="s">
        <v>2949</v>
      </c>
      <c r="D232" s="60"/>
      <c r="E232" s="60"/>
      <c r="F232" s="60"/>
      <c r="G232" s="60"/>
      <c r="H232" s="60"/>
      <c r="I232" s="60"/>
      <c r="J232" s="60"/>
      <c r="K232" s="60"/>
      <c r="L232" s="60"/>
      <c r="M232" s="60"/>
      <c r="N232" s="65"/>
      <c r="O232" s="58"/>
      <c r="P232" s="58"/>
      <c r="Q232" s="58"/>
      <c r="R232" s="58"/>
      <c r="S232" s="48"/>
    </row>
    <row r="233" spans="2:25">
      <c r="B233" s="47" t="s">
        <v>3889</v>
      </c>
      <c r="C233" s="41" t="s">
        <v>2951</v>
      </c>
      <c r="D233" s="60"/>
      <c r="E233" s="60"/>
      <c r="F233" s="60"/>
      <c r="G233" s="60"/>
      <c r="H233" s="60"/>
      <c r="I233" s="60"/>
      <c r="J233" s="60"/>
      <c r="K233" s="60"/>
      <c r="L233" s="60"/>
      <c r="M233" s="65"/>
      <c r="N233" s="58"/>
      <c r="O233" s="58"/>
      <c r="P233" s="58"/>
      <c r="Q233" s="58"/>
      <c r="R233" s="58"/>
      <c r="S233" s="48"/>
    </row>
    <row r="234" spans="2:25">
      <c r="B234" s="47" t="s">
        <v>3890</v>
      </c>
      <c r="C234" s="41" t="s">
        <v>2953</v>
      </c>
      <c r="D234" s="60"/>
      <c r="E234" s="60"/>
      <c r="F234" s="60"/>
      <c r="G234" s="60"/>
      <c r="H234" s="60"/>
      <c r="I234" s="60"/>
      <c r="J234" s="60"/>
      <c r="K234" s="60"/>
      <c r="L234" s="65"/>
      <c r="M234" s="58"/>
      <c r="N234" s="58"/>
      <c r="O234" s="58"/>
      <c r="P234" s="58"/>
      <c r="Q234" s="58"/>
      <c r="R234" s="58"/>
      <c r="S234" s="48"/>
    </row>
    <row r="235" spans="2:25">
      <c r="B235" s="47" t="s">
        <v>3891</v>
      </c>
      <c r="C235" s="41" t="s">
        <v>2955</v>
      </c>
      <c r="D235" s="60"/>
      <c r="E235" s="60"/>
      <c r="F235" s="60"/>
      <c r="G235" s="60"/>
      <c r="H235" s="60"/>
      <c r="I235" s="60"/>
      <c r="J235" s="60"/>
      <c r="K235" s="65"/>
      <c r="L235" s="58"/>
      <c r="M235" s="58"/>
      <c r="N235" s="58"/>
      <c r="O235" s="58"/>
      <c r="P235" s="58"/>
      <c r="Q235" s="58"/>
      <c r="R235" s="58"/>
      <c r="S235" s="48"/>
    </row>
    <row r="236" spans="2:25">
      <c r="B236" s="47" t="s">
        <v>3892</v>
      </c>
      <c r="C236" s="41" t="s">
        <v>2957</v>
      </c>
      <c r="D236" s="60"/>
      <c r="E236" s="60"/>
      <c r="F236" s="60"/>
      <c r="G236" s="60"/>
      <c r="H236" s="60"/>
      <c r="I236" s="60"/>
      <c r="J236" s="65"/>
      <c r="K236" s="58"/>
      <c r="L236" s="58"/>
      <c r="M236" s="58"/>
      <c r="N236" s="58"/>
      <c r="O236" s="58"/>
      <c r="P236" s="58"/>
      <c r="Q236" s="58"/>
      <c r="R236" s="58"/>
      <c r="S236" s="48"/>
    </row>
    <row r="237" spans="2:25">
      <c r="B237" s="47" t="s">
        <v>3893</v>
      </c>
      <c r="C237" s="41" t="s">
        <v>2959</v>
      </c>
      <c r="D237" s="60"/>
      <c r="E237" s="60"/>
      <c r="F237" s="60"/>
      <c r="G237" s="60"/>
      <c r="H237" s="60"/>
      <c r="I237" s="65"/>
      <c r="J237" s="58"/>
      <c r="K237" s="58"/>
      <c r="L237" s="58"/>
      <c r="M237" s="58"/>
      <c r="N237" s="58"/>
      <c r="O237" s="58"/>
      <c r="P237" s="58"/>
      <c r="Q237" s="58"/>
      <c r="R237" s="58"/>
      <c r="S237" s="48"/>
    </row>
    <row r="238" spans="2:25">
      <c r="B238" s="47" t="s">
        <v>3894</v>
      </c>
      <c r="C238" s="41" t="s">
        <v>2961</v>
      </c>
      <c r="D238" s="60"/>
      <c r="E238" s="60"/>
      <c r="F238" s="60"/>
      <c r="G238" s="60"/>
      <c r="H238" s="65"/>
      <c r="I238" s="58"/>
      <c r="J238" s="58"/>
      <c r="K238" s="58"/>
      <c r="L238" s="58"/>
      <c r="M238" s="58"/>
      <c r="N238" s="58"/>
      <c r="O238" s="58"/>
      <c r="P238" s="58"/>
      <c r="Q238" s="58"/>
      <c r="R238" s="58"/>
      <c r="S238" s="48"/>
    </row>
    <row r="239" spans="2:25">
      <c r="B239" s="47" t="s">
        <v>3895</v>
      </c>
      <c r="C239" s="41" t="s">
        <v>2963</v>
      </c>
      <c r="D239" s="60"/>
      <c r="E239" s="60"/>
      <c r="F239" s="60"/>
      <c r="G239" s="65"/>
      <c r="H239" s="58"/>
      <c r="I239" s="58"/>
      <c r="J239" s="58"/>
      <c r="K239" s="58"/>
      <c r="L239" s="58"/>
      <c r="M239" s="58"/>
      <c r="N239" s="58"/>
      <c r="O239" s="58"/>
      <c r="P239" s="58"/>
      <c r="Q239" s="58"/>
      <c r="R239" s="58"/>
      <c r="S239" s="48"/>
    </row>
    <row r="240" spans="2:25">
      <c r="B240" s="47" t="s">
        <v>3896</v>
      </c>
      <c r="C240" s="41" t="s">
        <v>2965</v>
      </c>
      <c r="D240" s="60"/>
      <c r="E240" s="60"/>
      <c r="F240" s="65"/>
      <c r="G240" s="58"/>
      <c r="H240" s="58"/>
      <c r="I240" s="58"/>
      <c r="J240" s="58"/>
      <c r="K240" s="58"/>
      <c r="L240" s="58"/>
      <c r="M240" s="58"/>
      <c r="N240" s="58"/>
      <c r="O240" s="58"/>
      <c r="P240" s="58"/>
      <c r="Q240" s="58"/>
      <c r="R240" s="58"/>
      <c r="S240" s="48"/>
    </row>
    <row r="241" spans="2:25">
      <c r="B241" s="47" t="s">
        <v>3897</v>
      </c>
      <c r="C241" s="41" t="s">
        <v>2967</v>
      </c>
      <c r="D241" s="60"/>
      <c r="E241" s="65"/>
      <c r="F241" s="58"/>
      <c r="G241" s="58"/>
      <c r="H241" s="58"/>
      <c r="I241" s="58"/>
      <c r="J241" s="58"/>
      <c r="K241" s="58"/>
      <c r="L241" s="58"/>
      <c r="M241" s="58"/>
      <c r="N241" s="58"/>
      <c r="O241" s="58"/>
      <c r="P241" s="58"/>
      <c r="Q241" s="58"/>
      <c r="R241" s="58"/>
      <c r="S241" s="48"/>
    </row>
    <row r="242" spans="2:25">
      <c r="B242" s="47" t="s">
        <v>3898</v>
      </c>
      <c r="C242" s="41" t="s">
        <v>2969</v>
      </c>
      <c r="D242" s="64"/>
      <c r="E242" s="56"/>
      <c r="F242" s="56"/>
      <c r="G242" s="56"/>
      <c r="H242" s="56"/>
      <c r="I242" s="56"/>
      <c r="J242" s="56"/>
      <c r="K242" s="56"/>
      <c r="L242" s="56"/>
      <c r="M242" s="56"/>
      <c r="N242" s="56"/>
      <c r="O242" s="56"/>
      <c r="P242" s="56"/>
      <c r="Q242" s="56"/>
      <c r="R242" s="56"/>
      <c r="S242" s="46"/>
    </row>
    <row r="244" spans="2:25">
      <c r="X244" s="13" t="str">
        <f>Show!$B$87&amp;Show!$B$87&amp;"S.19.01.01.07 Rows {"&amp;COLUMN($C$1)&amp;"}"</f>
        <v>!!S.19.01.01.07 Rows {3}</v>
      </c>
      <c r="Y244" s="13" t="str">
        <f>Show!$B$87&amp;Show!$B$87&amp;"S.19.01.01.07 Columns {"&amp;COLUMN($S$1)&amp;"}"</f>
        <v>!!S.19.01.01.07 Columns {19}</v>
      </c>
    </row>
    <row r="246" spans="2:25" ht="18.75">
      <c r="B246" s="97" t="s">
        <v>3985</v>
      </c>
      <c r="C246" s="96"/>
      <c r="D246" s="96"/>
      <c r="E246" s="96"/>
      <c r="F246" s="96"/>
      <c r="G246" s="96"/>
      <c r="H246" s="96"/>
      <c r="I246" s="96"/>
      <c r="J246" s="96"/>
      <c r="K246" s="96"/>
      <c r="L246" s="96"/>
    </row>
    <row r="248" spans="2:25">
      <c r="B248" t="s">
        <v>3110</v>
      </c>
      <c r="X248" s="13" t="str">
        <f>Show!$B$87&amp;"S.19.01.01.08 Table label {"&amp;COLUMN($C$1)&amp;"}"</f>
        <v>!S.19.01.01.08 Table label {3}</v>
      </c>
      <c r="Y248" s="13" t="str">
        <f>Show!$B$87&amp;"S.19.01.01.08 Table value {"&amp;COLUMN($D$1)&amp;"}"</f>
        <v>!S.19.01.01.08 Table value {4}</v>
      </c>
    </row>
    <row r="249" spans="2:25">
      <c r="B249" t="s">
        <v>3111</v>
      </c>
    </row>
    <row r="250" spans="2:25">
      <c r="B250" s="40" t="s">
        <v>3427</v>
      </c>
      <c r="C250" s="53" t="s">
        <v>3113</v>
      </c>
      <c r="D250" s="51"/>
    </row>
    <row r="251" spans="2:25">
      <c r="B251" s="40" t="s">
        <v>3868</v>
      </c>
      <c r="C251" s="53" t="s">
        <v>3115</v>
      </c>
      <c r="D251" s="51"/>
    </row>
    <row r="252" spans="2:25">
      <c r="B252" s="40" t="s">
        <v>3606</v>
      </c>
      <c r="C252" s="53" t="s">
        <v>3323</v>
      </c>
      <c r="D252" s="51"/>
    </row>
    <row r="253" spans="2:25">
      <c r="B253" s="40" t="s">
        <v>3874</v>
      </c>
      <c r="C253" s="53" t="s">
        <v>3875</v>
      </c>
      <c r="D253" s="51"/>
    </row>
    <row r="254" spans="2:25">
      <c r="X254" s="13" t="str">
        <f>Show!$B$87&amp;Show!$B$87&amp;"S.19.01.01.08 Table label {"&amp;COLUMN($C$1)&amp;"}"</f>
        <v>!!S.19.01.01.08 Table label {3}</v>
      </c>
      <c r="Y254" s="13" t="str">
        <f>Show!$B$87&amp;Show!$B$87&amp;"S.19.01.01.08 Table value {"&amp;COLUMN($D$1)&amp;"}"</f>
        <v>!!S.19.01.01.08 Table value {4}</v>
      </c>
    </row>
    <row r="256" spans="2:25">
      <c r="D256" s="101" t="s">
        <v>2877</v>
      </c>
      <c r="E256" s="103"/>
    </row>
    <row r="257" spans="2:25">
      <c r="D257" s="104"/>
      <c r="E257" s="106"/>
    </row>
    <row r="258" spans="2:25" ht="30">
      <c r="D258" s="55" t="s">
        <v>3949</v>
      </c>
      <c r="E258" s="55" t="s">
        <v>3950</v>
      </c>
    </row>
    <row r="259" spans="2:25">
      <c r="D259" s="45" t="s">
        <v>3986</v>
      </c>
      <c r="E259" s="45" t="s">
        <v>3987</v>
      </c>
      <c r="X259" s="13" t="str">
        <f>Show!$B$87&amp;"S.19.01.01.08 Rows {"&amp;COLUMN($C$1)&amp;"}"&amp;"@ForceFilingCode:true"</f>
        <v>!S.19.01.01.08 Rows {3}@ForceFilingCode:true</v>
      </c>
      <c r="Y259" s="13" t="str">
        <f>Show!$B$87&amp;"S.19.01.01.08 Columns {"&amp;COLUMN($D$1)&amp;"}"</f>
        <v>!S.19.01.01.08 Columns {4}</v>
      </c>
    </row>
    <row r="260" spans="2:25">
      <c r="B260" s="43" t="s">
        <v>2880</v>
      </c>
      <c r="C260" s="44" t="s">
        <v>2878</v>
      </c>
      <c r="D260" s="56"/>
      <c r="E260" s="57"/>
    </row>
    <row r="261" spans="2:25">
      <c r="B261" s="47" t="s">
        <v>3947</v>
      </c>
      <c r="C261" s="41" t="s">
        <v>2939</v>
      </c>
      <c r="D261" s="60"/>
      <c r="E261" s="60"/>
    </row>
    <row r="262" spans="2:25">
      <c r="B262" s="47" t="s">
        <v>3884</v>
      </c>
      <c r="C262" s="41" t="s">
        <v>2941</v>
      </c>
      <c r="D262" s="60"/>
      <c r="E262" s="60"/>
    </row>
    <row r="263" spans="2:25">
      <c r="B263" s="47" t="s">
        <v>3885</v>
      </c>
      <c r="C263" s="41" t="s">
        <v>2943</v>
      </c>
      <c r="D263" s="60"/>
      <c r="E263" s="60"/>
    </row>
    <row r="264" spans="2:25">
      <c r="B264" s="47" t="s">
        <v>3886</v>
      </c>
      <c r="C264" s="41" t="s">
        <v>2945</v>
      </c>
      <c r="D264" s="60"/>
      <c r="E264" s="60"/>
    </row>
    <row r="265" spans="2:25">
      <c r="B265" s="47" t="s">
        <v>3887</v>
      </c>
      <c r="C265" s="41" t="s">
        <v>2947</v>
      </c>
      <c r="D265" s="60"/>
      <c r="E265" s="60"/>
    </row>
    <row r="266" spans="2:25">
      <c r="B266" s="47" t="s">
        <v>3888</v>
      </c>
      <c r="C266" s="41" t="s">
        <v>2949</v>
      </c>
      <c r="D266" s="60"/>
      <c r="E266" s="60"/>
    </row>
    <row r="267" spans="2:25">
      <c r="B267" s="47" t="s">
        <v>3889</v>
      </c>
      <c r="C267" s="41" t="s">
        <v>2951</v>
      </c>
      <c r="D267" s="60"/>
      <c r="E267" s="60"/>
    </row>
    <row r="268" spans="2:25">
      <c r="B268" s="47" t="s">
        <v>3890</v>
      </c>
      <c r="C268" s="41" t="s">
        <v>2953</v>
      </c>
      <c r="D268" s="60"/>
      <c r="E268" s="60"/>
    </row>
    <row r="269" spans="2:25">
      <c r="B269" s="47" t="s">
        <v>3891</v>
      </c>
      <c r="C269" s="41" t="s">
        <v>2955</v>
      </c>
      <c r="D269" s="60"/>
      <c r="E269" s="60"/>
    </row>
    <row r="270" spans="2:25">
      <c r="B270" s="47" t="s">
        <v>3892</v>
      </c>
      <c r="C270" s="41" t="s">
        <v>2957</v>
      </c>
      <c r="D270" s="60"/>
      <c r="E270" s="60"/>
    </row>
    <row r="271" spans="2:25">
      <c r="B271" s="47" t="s">
        <v>3893</v>
      </c>
      <c r="C271" s="41" t="s">
        <v>2959</v>
      </c>
      <c r="D271" s="60"/>
      <c r="E271" s="60"/>
    </row>
    <row r="272" spans="2:25">
      <c r="B272" s="47" t="s">
        <v>3894</v>
      </c>
      <c r="C272" s="41" t="s">
        <v>2961</v>
      </c>
      <c r="D272" s="60"/>
      <c r="E272" s="60"/>
    </row>
    <row r="273" spans="2:25">
      <c r="B273" s="47" t="s">
        <v>3895</v>
      </c>
      <c r="C273" s="41" t="s">
        <v>2963</v>
      </c>
      <c r="D273" s="60"/>
      <c r="E273" s="60"/>
    </row>
    <row r="274" spans="2:25">
      <c r="B274" s="47" t="s">
        <v>3896</v>
      </c>
      <c r="C274" s="41" t="s">
        <v>2965</v>
      </c>
      <c r="D274" s="60"/>
      <c r="E274" s="60"/>
    </row>
    <row r="275" spans="2:25">
      <c r="B275" s="47" t="s">
        <v>3897</v>
      </c>
      <c r="C275" s="41" t="s">
        <v>2967</v>
      </c>
      <c r="D275" s="60"/>
      <c r="E275" s="60"/>
    </row>
    <row r="276" spans="2:25">
      <c r="B276" s="47" t="s">
        <v>3898</v>
      </c>
      <c r="C276" s="41" t="s">
        <v>2969</v>
      </c>
      <c r="D276" s="60"/>
      <c r="E276" s="60"/>
    </row>
    <row r="277" spans="2:25">
      <c r="B277" s="47" t="s">
        <v>3480</v>
      </c>
      <c r="C277" s="41" t="s">
        <v>2971</v>
      </c>
      <c r="D277" s="60"/>
      <c r="E277" s="60"/>
    </row>
    <row r="279" spans="2:25">
      <c r="X279" s="13" t="str">
        <f>Show!$B$87&amp;Show!$B$87&amp;"S.19.01.01.08 Rows {"&amp;COLUMN($C$1)&amp;"}"</f>
        <v>!!S.19.01.01.08 Rows {3}</v>
      </c>
      <c r="Y279" s="13" t="str">
        <f>Show!$B$87&amp;Show!$B$87&amp;"S.19.01.01.08 Columns {"&amp;COLUMN($E$1)&amp;"}"</f>
        <v>!!S.19.01.01.08 Columns {5}</v>
      </c>
    </row>
    <row r="281" spans="2:25" ht="18.75">
      <c r="B281" s="97" t="s">
        <v>3988</v>
      </c>
      <c r="C281" s="96"/>
      <c r="D281" s="96"/>
      <c r="E281" s="96"/>
      <c r="F281" s="96"/>
      <c r="G281" s="96"/>
      <c r="H281" s="96"/>
      <c r="I281" s="96"/>
      <c r="J281" s="96"/>
      <c r="K281" s="96"/>
      <c r="L281" s="96"/>
    </row>
    <row r="283" spans="2:25">
      <c r="B283" t="s">
        <v>3110</v>
      </c>
      <c r="X283" s="13" t="str">
        <f>Show!$B$87&amp;"S.19.01.01.09 Table label {"&amp;COLUMN($C$1)&amp;"}"</f>
        <v>!S.19.01.01.09 Table label {3}</v>
      </c>
      <c r="Y283" s="13" t="str">
        <f>Show!$B$87&amp;"S.19.01.01.09 Table value {"&amp;COLUMN($D$1)&amp;"}"</f>
        <v>!S.19.01.01.09 Table value {4}</v>
      </c>
    </row>
    <row r="284" spans="2:25">
      <c r="B284" t="s">
        <v>3111</v>
      </c>
    </row>
    <row r="285" spans="2:25">
      <c r="B285" s="40" t="s">
        <v>3427</v>
      </c>
      <c r="C285" s="53" t="s">
        <v>3113</v>
      </c>
      <c r="D285" s="51"/>
    </row>
    <row r="286" spans="2:25">
      <c r="B286" s="40" t="s">
        <v>3868</v>
      </c>
      <c r="C286" s="53" t="s">
        <v>3115</v>
      </c>
      <c r="D286" s="51"/>
    </row>
    <row r="287" spans="2:25">
      <c r="B287" s="40" t="s">
        <v>3606</v>
      </c>
      <c r="C287" s="53" t="s">
        <v>3323</v>
      </c>
      <c r="D287" s="51"/>
    </row>
    <row r="288" spans="2:25">
      <c r="B288" s="40" t="s">
        <v>3874</v>
      </c>
      <c r="C288" s="53" t="s">
        <v>3875</v>
      </c>
      <c r="D288" s="51"/>
    </row>
    <row r="289" spans="2:25">
      <c r="X289" s="13" t="str">
        <f>Show!$B$87&amp;Show!$B$87&amp;"S.19.01.01.09 Table label {"&amp;COLUMN($C$1)&amp;"}"</f>
        <v>!!S.19.01.01.09 Table label {3}</v>
      </c>
      <c r="Y289" s="13" t="str">
        <f>Show!$B$87&amp;Show!$B$87&amp;"S.19.01.01.09 Table value {"&amp;COLUMN($D$1)&amp;"}"</f>
        <v>!!S.19.01.01.09 Table value {4}</v>
      </c>
    </row>
    <row r="291" spans="2:25">
      <c r="D291" s="101" t="s">
        <v>2877</v>
      </c>
      <c r="E291" s="102"/>
      <c r="F291" s="102"/>
      <c r="G291" s="102"/>
      <c r="H291" s="102"/>
      <c r="I291" s="102"/>
      <c r="J291" s="102"/>
      <c r="K291" s="102"/>
      <c r="L291" s="102"/>
      <c r="M291" s="102"/>
      <c r="N291" s="102"/>
      <c r="O291" s="102"/>
      <c r="P291" s="102"/>
      <c r="Q291" s="102"/>
      <c r="R291" s="102"/>
      <c r="S291" s="103"/>
    </row>
    <row r="292" spans="2:25">
      <c r="D292" s="104"/>
      <c r="E292" s="105"/>
      <c r="F292" s="105"/>
      <c r="G292" s="105"/>
      <c r="H292" s="105"/>
      <c r="I292" s="105"/>
      <c r="J292" s="105"/>
      <c r="K292" s="105"/>
      <c r="L292" s="105"/>
      <c r="M292" s="105"/>
      <c r="N292" s="105"/>
      <c r="O292" s="105"/>
      <c r="P292" s="105"/>
      <c r="Q292" s="105"/>
      <c r="R292" s="105"/>
      <c r="S292" s="106"/>
    </row>
    <row r="293" spans="2:25">
      <c r="D293" s="55">
        <v>0</v>
      </c>
      <c r="E293" s="55">
        <v>1</v>
      </c>
      <c r="F293" s="55">
        <v>2</v>
      </c>
      <c r="G293" s="55">
        <v>3</v>
      </c>
      <c r="H293" s="55">
        <v>4</v>
      </c>
      <c r="I293" s="55">
        <v>5</v>
      </c>
      <c r="J293" s="55">
        <v>6</v>
      </c>
      <c r="K293" s="55">
        <v>7</v>
      </c>
      <c r="L293" s="55">
        <v>8</v>
      </c>
      <c r="M293" s="55">
        <v>9</v>
      </c>
      <c r="N293" s="55">
        <v>10</v>
      </c>
      <c r="O293" s="55">
        <v>11</v>
      </c>
      <c r="P293" s="55">
        <v>12</v>
      </c>
      <c r="Q293" s="55">
        <v>13</v>
      </c>
      <c r="R293" s="55">
        <v>14</v>
      </c>
      <c r="S293" s="55" t="s">
        <v>3946</v>
      </c>
    </row>
    <row r="294" spans="2:25">
      <c r="D294" s="45" t="s">
        <v>3989</v>
      </c>
      <c r="E294" s="45" t="s">
        <v>3990</v>
      </c>
      <c r="F294" s="45" t="s">
        <v>3991</v>
      </c>
      <c r="G294" s="45" t="s">
        <v>3992</v>
      </c>
      <c r="H294" s="45" t="s">
        <v>3993</v>
      </c>
      <c r="I294" s="45" t="s">
        <v>3994</v>
      </c>
      <c r="J294" s="45" t="s">
        <v>3995</v>
      </c>
      <c r="K294" s="45" t="s">
        <v>3996</v>
      </c>
      <c r="L294" s="45" t="s">
        <v>3997</v>
      </c>
      <c r="M294" s="45" t="s">
        <v>3998</v>
      </c>
      <c r="N294" s="45" t="s">
        <v>3999</v>
      </c>
      <c r="O294" s="45" t="s">
        <v>4000</v>
      </c>
      <c r="P294" s="45" t="s">
        <v>4001</v>
      </c>
      <c r="Q294" s="45" t="s">
        <v>4002</v>
      </c>
      <c r="R294" s="45" t="s">
        <v>4003</v>
      </c>
      <c r="S294" s="45" t="s">
        <v>4004</v>
      </c>
      <c r="X294" s="13" t="str">
        <f>Show!$B$87&amp;"S.19.01.01.09 Rows {"&amp;COLUMN($C$1)&amp;"}"&amp;"@ForceFilingCode:true"</f>
        <v>!S.19.01.01.09 Rows {3}@ForceFilingCode:true</v>
      </c>
      <c r="Y294" s="13" t="str">
        <f>Show!$B$87&amp;"S.19.01.01.09 Columns {"&amp;COLUMN($D$1)&amp;"}"</f>
        <v>!S.19.01.01.09 Columns {4}</v>
      </c>
    </row>
    <row r="295" spans="2:25">
      <c r="B295" s="43" t="s">
        <v>2880</v>
      </c>
      <c r="C295" s="44" t="s">
        <v>2878</v>
      </c>
      <c r="D295" s="58"/>
      <c r="E295" s="67"/>
      <c r="F295" s="67"/>
      <c r="G295" s="67"/>
      <c r="H295" s="67"/>
      <c r="I295" s="67"/>
      <c r="J295" s="67"/>
      <c r="K295" s="67"/>
      <c r="L295" s="67"/>
      <c r="M295" s="67"/>
      <c r="N295" s="67"/>
      <c r="O295" s="67"/>
      <c r="P295" s="67"/>
      <c r="Q295" s="67"/>
      <c r="R295" s="67"/>
      <c r="S295" s="57"/>
    </row>
    <row r="296" spans="2:25">
      <c r="B296" s="47" t="s">
        <v>3947</v>
      </c>
      <c r="C296" s="44" t="s">
        <v>2939</v>
      </c>
      <c r="D296" s="56"/>
      <c r="E296" s="56"/>
      <c r="F296" s="56"/>
      <c r="G296" s="56"/>
      <c r="H296" s="56"/>
      <c r="I296" s="56"/>
      <c r="J296" s="56"/>
      <c r="K296" s="56"/>
      <c r="L296" s="56"/>
      <c r="M296" s="56"/>
      <c r="N296" s="56"/>
      <c r="O296" s="56"/>
      <c r="P296" s="56"/>
      <c r="Q296" s="56"/>
      <c r="R296" s="46"/>
      <c r="S296" s="63"/>
    </row>
    <row r="297" spans="2:25">
      <c r="B297" s="47" t="s">
        <v>3884</v>
      </c>
      <c r="C297" s="41" t="s">
        <v>2941</v>
      </c>
      <c r="D297" s="60"/>
      <c r="E297" s="60"/>
      <c r="F297" s="60"/>
      <c r="G297" s="60"/>
      <c r="H297" s="60"/>
      <c r="I297" s="60"/>
      <c r="J297" s="60"/>
      <c r="K297" s="60"/>
      <c r="L297" s="60"/>
      <c r="M297" s="60"/>
      <c r="N297" s="60"/>
      <c r="O297" s="60"/>
      <c r="P297" s="60"/>
      <c r="Q297" s="60"/>
      <c r="R297" s="65"/>
      <c r="S297" s="48"/>
    </row>
    <row r="298" spans="2:25">
      <c r="B298" s="47" t="s">
        <v>3885</v>
      </c>
      <c r="C298" s="41" t="s">
        <v>2943</v>
      </c>
      <c r="D298" s="60"/>
      <c r="E298" s="60"/>
      <c r="F298" s="60"/>
      <c r="G298" s="60"/>
      <c r="H298" s="60"/>
      <c r="I298" s="60"/>
      <c r="J298" s="60"/>
      <c r="K298" s="60"/>
      <c r="L298" s="60"/>
      <c r="M298" s="60"/>
      <c r="N298" s="60"/>
      <c r="O298" s="60"/>
      <c r="P298" s="60"/>
      <c r="Q298" s="65"/>
      <c r="R298" s="58"/>
      <c r="S298" s="48"/>
    </row>
    <row r="299" spans="2:25">
      <c r="B299" s="47" t="s">
        <v>3886</v>
      </c>
      <c r="C299" s="41" t="s">
        <v>2945</v>
      </c>
      <c r="D299" s="60"/>
      <c r="E299" s="60"/>
      <c r="F299" s="60"/>
      <c r="G299" s="60"/>
      <c r="H299" s="60"/>
      <c r="I299" s="60"/>
      <c r="J299" s="60"/>
      <c r="K299" s="60"/>
      <c r="L299" s="60"/>
      <c r="M299" s="60"/>
      <c r="N299" s="60"/>
      <c r="O299" s="60"/>
      <c r="P299" s="65"/>
      <c r="Q299" s="58"/>
      <c r="R299" s="58"/>
      <c r="S299" s="48"/>
    </row>
    <row r="300" spans="2:25">
      <c r="B300" s="47" t="s">
        <v>3887</v>
      </c>
      <c r="C300" s="41" t="s">
        <v>2947</v>
      </c>
      <c r="D300" s="60"/>
      <c r="E300" s="60"/>
      <c r="F300" s="60"/>
      <c r="G300" s="60"/>
      <c r="H300" s="60"/>
      <c r="I300" s="60"/>
      <c r="J300" s="60"/>
      <c r="K300" s="60"/>
      <c r="L300" s="60"/>
      <c r="M300" s="60"/>
      <c r="N300" s="60"/>
      <c r="O300" s="65"/>
      <c r="P300" s="58"/>
      <c r="Q300" s="58"/>
      <c r="R300" s="58"/>
      <c r="S300" s="48"/>
    </row>
    <row r="301" spans="2:25">
      <c r="B301" s="47" t="s">
        <v>3888</v>
      </c>
      <c r="C301" s="41" t="s">
        <v>2949</v>
      </c>
      <c r="D301" s="60"/>
      <c r="E301" s="60"/>
      <c r="F301" s="60"/>
      <c r="G301" s="60"/>
      <c r="H301" s="60"/>
      <c r="I301" s="60"/>
      <c r="J301" s="60"/>
      <c r="K301" s="60"/>
      <c r="L301" s="60"/>
      <c r="M301" s="60"/>
      <c r="N301" s="65"/>
      <c r="O301" s="58"/>
      <c r="P301" s="58"/>
      <c r="Q301" s="58"/>
      <c r="R301" s="58"/>
      <c r="S301" s="48"/>
    </row>
    <row r="302" spans="2:25">
      <c r="B302" s="47" t="s">
        <v>3889</v>
      </c>
      <c r="C302" s="41" t="s">
        <v>2951</v>
      </c>
      <c r="D302" s="60"/>
      <c r="E302" s="60"/>
      <c r="F302" s="60"/>
      <c r="G302" s="60"/>
      <c r="H302" s="60"/>
      <c r="I302" s="60"/>
      <c r="J302" s="60"/>
      <c r="K302" s="60"/>
      <c r="L302" s="60"/>
      <c r="M302" s="65"/>
      <c r="N302" s="58"/>
      <c r="O302" s="58"/>
      <c r="P302" s="58"/>
      <c r="Q302" s="58"/>
      <c r="R302" s="58"/>
      <c r="S302" s="48"/>
    </row>
    <row r="303" spans="2:25">
      <c r="B303" s="47" t="s">
        <v>3890</v>
      </c>
      <c r="C303" s="41" t="s">
        <v>2953</v>
      </c>
      <c r="D303" s="60"/>
      <c r="E303" s="60"/>
      <c r="F303" s="60"/>
      <c r="G303" s="60"/>
      <c r="H303" s="60"/>
      <c r="I303" s="60"/>
      <c r="J303" s="60"/>
      <c r="K303" s="60"/>
      <c r="L303" s="65"/>
      <c r="M303" s="58"/>
      <c r="N303" s="58"/>
      <c r="O303" s="58"/>
      <c r="P303" s="58"/>
      <c r="Q303" s="58"/>
      <c r="R303" s="58"/>
      <c r="S303" s="48"/>
    </row>
    <row r="304" spans="2:25">
      <c r="B304" s="47" t="s">
        <v>3891</v>
      </c>
      <c r="C304" s="41" t="s">
        <v>2955</v>
      </c>
      <c r="D304" s="60"/>
      <c r="E304" s="60"/>
      <c r="F304" s="60"/>
      <c r="G304" s="60"/>
      <c r="H304" s="60"/>
      <c r="I304" s="60"/>
      <c r="J304" s="60"/>
      <c r="K304" s="65"/>
      <c r="L304" s="58"/>
      <c r="M304" s="58"/>
      <c r="N304" s="58"/>
      <c r="O304" s="58"/>
      <c r="P304" s="58"/>
      <c r="Q304" s="58"/>
      <c r="R304" s="58"/>
      <c r="S304" s="48"/>
    </row>
    <row r="305" spans="2:25">
      <c r="B305" s="47" t="s">
        <v>3892</v>
      </c>
      <c r="C305" s="41" t="s">
        <v>2957</v>
      </c>
      <c r="D305" s="60"/>
      <c r="E305" s="60"/>
      <c r="F305" s="60"/>
      <c r="G305" s="60"/>
      <c r="H305" s="60"/>
      <c r="I305" s="60"/>
      <c r="J305" s="65"/>
      <c r="K305" s="58"/>
      <c r="L305" s="58"/>
      <c r="M305" s="58"/>
      <c r="N305" s="58"/>
      <c r="O305" s="58"/>
      <c r="P305" s="58"/>
      <c r="Q305" s="58"/>
      <c r="R305" s="58"/>
      <c r="S305" s="48"/>
    </row>
    <row r="306" spans="2:25">
      <c r="B306" s="47" t="s">
        <v>3893</v>
      </c>
      <c r="C306" s="41" t="s">
        <v>2959</v>
      </c>
      <c r="D306" s="60"/>
      <c r="E306" s="60"/>
      <c r="F306" s="60"/>
      <c r="G306" s="60"/>
      <c r="H306" s="60"/>
      <c r="I306" s="65"/>
      <c r="J306" s="58"/>
      <c r="K306" s="58"/>
      <c r="L306" s="58"/>
      <c r="M306" s="58"/>
      <c r="N306" s="58"/>
      <c r="O306" s="58"/>
      <c r="P306" s="58"/>
      <c r="Q306" s="58"/>
      <c r="R306" s="58"/>
      <c r="S306" s="48"/>
    </row>
    <row r="307" spans="2:25">
      <c r="B307" s="47" t="s">
        <v>3894</v>
      </c>
      <c r="C307" s="41" t="s">
        <v>2961</v>
      </c>
      <c r="D307" s="60"/>
      <c r="E307" s="60"/>
      <c r="F307" s="60"/>
      <c r="G307" s="60"/>
      <c r="H307" s="65"/>
      <c r="I307" s="58"/>
      <c r="J307" s="58"/>
      <c r="K307" s="58"/>
      <c r="L307" s="58"/>
      <c r="M307" s="58"/>
      <c r="N307" s="58"/>
      <c r="O307" s="58"/>
      <c r="P307" s="58"/>
      <c r="Q307" s="58"/>
      <c r="R307" s="58"/>
      <c r="S307" s="48"/>
    </row>
    <row r="308" spans="2:25">
      <c r="B308" s="47" t="s">
        <v>3895</v>
      </c>
      <c r="C308" s="41" t="s">
        <v>2963</v>
      </c>
      <c r="D308" s="60"/>
      <c r="E308" s="60"/>
      <c r="F308" s="60"/>
      <c r="G308" s="65"/>
      <c r="H308" s="58"/>
      <c r="I308" s="58"/>
      <c r="J308" s="58"/>
      <c r="K308" s="58"/>
      <c r="L308" s="58"/>
      <c r="M308" s="58"/>
      <c r="N308" s="58"/>
      <c r="O308" s="58"/>
      <c r="P308" s="58"/>
      <c r="Q308" s="58"/>
      <c r="R308" s="58"/>
      <c r="S308" s="48"/>
    </row>
    <row r="309" spans="2:25">
      <c r="B309" s="47" t="s">
        <v>3896</v>
      </c>
      <c r="C309" s="41" t="s">
        <v>2965</v>
      </c>
      <c r="D309" s="60"/>
      <c r="E309" s="60"/>
      <c r="F309" s="65"/>
      <c r="G309" s="58"/>
      <c r="H309" s="58"/>
      <c r="I309" s="58"/>
      <c r="J309" s="58"/>
      <c r="K309" s="58"/>
      <c r="L309" s="58"/>
      <c r="M309" s="58"/>
      <c r="N309" s="58"/>
      <c r="O309" s="58"/>
      <c r="P309" s="58"/>
      <c r="Q309" s="58"/>
      <c r="R309" s="58"/>
      <c r="S309" s="48"/>
    </row>
    <row r="310" spans="2:25">
      <c r="B310" s="47" t="s">
        <v>3897</v>
      </c>
      <c r="C310" s="41" t="s">
        <v>2967</v>
      </c>
      <c r="D310" s="60"/>
      <c r="E310" s="65"/>
      <c r="F310" s="58"/>
      <c r="G310" s="58"/>
      <c r="H310" s="58"/>
      <c r="I310" s="58"/>
      <c r="J310" s="58"/>
      <c r="K310" s="58"/>
      <c r="L310" s="58"/>
      <c r="M310" s="58"/>
      <c r="N310" s="58"/>
      <c r="O310" s="58"/>
      <c r="P310" s="58"/>
      <c r="Q310" s="58"/>
      <c r="R310" s="58"/>
      <c r="S310" s="48"/>
    </row>
    <row r="311" spans="2:25">
      <c r="B311" s="47" t="s">
        <v>3898</v>
      </c>
      <c r="C311" s="41" t="s">
        <v>2969</v>
      </c>
      <c r="D311" s="64"/>
      <c r="E311" s="56"/>
      <c r="F311" s="56"/>
      <c r="G311" s="56"/>
      <c r="H311" s="56"/>
      <c r="I311" s="56"/>
      <c r="J311" s="56"/>
      <c r="K311" s="56"/>
      <c r="L311" s="56"/>
      <c r="M311" s="56"/>
      <c r="N311" s="56"/>
      <c r="O311" s="56"/>
      <c r="P311" s="56"/>
      <c r="Q311" s="56"/>
      <c r="R311" s="56"/>
      <c r="S311" s="46"/>
    </row>
    <row r="313" spans="2:25">
      <c r="X313" s="13" t="str">
        <f>Show!$B$87&amp;Show!$B$87&amp;"S.19.01.01.09 Rows {"&amp;COLUMN($C$1)&amp;"}"</f>
        <v>!!S.19.01.01.09 Rows {3}</v>
      </c>
      <c r="Y313" s="13" t="str">
        <f>Show!$B$87&amp;Show!$B$87&amp;"S.19.01.01.09 Columns {"&amp;COLUMN($S$1)&amp;"}"</f>
        <v>!!S.19.01.01.09 Columns {19}</v>
      </c>
    </row>
    <row r="315" spans="2:25" ht="18.75">
      <c r="B315" s="97" t="s">
        <v>4005</v>
      </c>
      <c r="C315" s="96"/>
      <c r="D315" s="96"/>
      <c r="E315" s="96"/>
      <c r="F315" s="96"/>
      <c r="G315" s="96"/>
      <c r="H315" s="96"/>
      <c r="I315" s="96"/>
      <c r="J315" s="96"/>
      <c r="K315" s="96"/>
      <c r="L315" s="96"/>
    </row>
    <row r="317" spans="2:25">
      <c r="B317" t="s">
        <v>3110</v>
      </c>
      <c r="X317" s="13" t="str">
        <f>Show!$B$87&amp;"S.19.01.01.10 Table label {"&amp;COLUMN($C$1)&amp;"}"</f>
        <v>!S.19.01.01.10 Table label {3}</v>
      </c>
      <c r="Y317" s="13" t="str">
        <f>Show!$B$87&amp;"S.19.01.01.10 Table value {"&amp;COLUMN($D$1)&amp;"}"</f>
        <v>!S.19.01.01.10 Table value {4}</v>
      </c>
    </row>
    <row r="318" spans="2:25">
      <c r="B318" t="s">
        <v>3111</v>
      </c>
    </row>
    <row r="319" spans="2:25">
      <c r="B319" s="40" t="s">
        <v>3427</v>
      </c>
      <c r="C319" s="53" t="s">
        <v>3113</v>
      </c>
      <c r="D319" s="51"/>
    </row>
    <row r="320" spans="2:25">
      <c r="B320" s="40" t="s">
        <v>3868</v>
      </c>
      <c r="C320" s="53" t="s">
        <v>3115</v>
      </c>
      <c r="D320" s="51"/>
    </row>
    <row r="321" spans="2:25">
      <c r="B321" s="40" t="s">
        <v>3606</v>
      </c>
      <c r="C321" s="53" t="s">
        <v>3323</v>
      </c>
      <c r="D321" s="51"/>
    </row>
    <row r="322" spans="2:25">
      <c r="B322" s="40" t="s">
        <v>3874</v>
      </c>
      <c r="C322" s="53" t="s">
        <v>3875</v>
      </c>
      <c r="D322" s="51"/>
    </row>
    <row r="323" spans="2:25">
      <c r="X323" s="13" t="str">
        <f>Show!$B$87&amp;Show!$B$87&amp;"S.19.01.01.10 Table label {"&amp;COLUMN($C$1)&amp;"}"</f>
        <v>!!S.19.01.01.10 Table label {3}</v>
      </c>
      <c r="Y323" s="13" t="str">
        <f>Show!$B$87&amp;Show!$B$87&amp;"S.19.01.01.10 Table value {"&amp;COLUMN($D$1)&amp;"}"</f>
        <v>!!S.19.01.01.10 Table value {4}</v>
      </c>
    </row>
    <row r="325" spans="2:25">
      <c r="D325" s="98" t="s">
        <v>2877</v>
      </c>
    </row>
    <row r="326" spans="2:25">
      <c r="D326" s="100"/>
    </row>
    <row r="327" spans="2:25">
      <c r="D327" s="55" t="s">
        <v>3953</v>
      </c>
    </row>
    <row r="328" spans="2:25">
      <c r="D328" s="45" t="s">
        <v>4006</v>
      </c>
      <c r="X328" s="13" t="str">
        <f>Show!$B$87&amp;"S.19.01.01.10 Rows {"&amp;COLUMN($C$1)&amp;"}"&amp;"@ForceFilingCode:true"</f>
        <v>!S.19.01.01.10 Rows {3}@ForceFilingCode:true</v>
      </c>
      <c r="Y328" s="13" t="str">
        <f>Show!$B$87&amp;"S.19.01.01.10 Columns {"&amp;COLUMN($D$1)&amp;"}"</f>
        <v>!S.19.01.01.10 Columns {4}</v>
      </c>
    </row>
    <row r="329" spans="2:25">
      <c r="B329" s="43" t="s">
        <v>2880</v>
      </c>
      <c r="C329" s="44" t="s">
        <v>2878</v>
      </c>
      <c r="D329" s="46"/>
    </row>
    <row r="330" spans="2:25">
      <c r="B330" s="47" t="s">
        <v>3947</v>
      </c>
      <c r="C330" s="41" t="s">
        <v>2939</v>
      </c>
      <c r="D330" s="60"/>
    </row>
    <row r="331" spans="2:25">
      <c r="B331" s="47" t="s">
        <v>3884</v>
      </c>
      <c r="C331" s="41" t="s">
        <v>2941</v>
      </c>
      <c r="D331" s="60"/>
    </row>
    <row r="332" spans="2:25">
      <c r="B332" s="47" t="s">
        <v>3885</v>
      </c>
      <c r="C332" s="41" t="s">
        <v>2943</v>
      </c>
      <c r="D332" s="60"/>
    </row>
    <row r="333" spans="2:25">
      <c r="B333" s="47" t="s">
        <v>3886</v>
      </c>
      <c r="C333" s="41" t="s">
        <v>2945</v>
      </c>
      <c r="D333" s="60"/>
    </row>
    <row r="334" spans="2:25">
      <c r="B334" s="47" t="s">
        <v>3887</v>
      </c>
      <c r="C334" s="41" t="s">
        <v>2947</v>
      </c>
      <c r="D334" s="60"/>
    </row>
    <row r="335" spans="2:25">
      <c r="B335" s="47" t="s">
        <v>3888</v>
      </c>
      <c r="C335" s="41" t="s">
        <v>2949</v>
      </c>
      <c r="D335" s="60"/>
    </row>
    <row r="336" spans="2:25">
      <c r="B336" s="47" t="s">
        <v>3889</v>
      </c>
      <c r="C336" s="41" t="s">
        <v>2951</v>
      </c>
      <c r="D336" s="60"/>
    </row>
    <row r="337" spans="2:25">
      <c r="B337" s="47" t="s">
        <v>3890</v>
      </c>
      <c r="C337" s="41" t="s">
        <v>2953</v>
      </c>
      <c r="D337" s="60"/>
    </row>
    <row r="338" spans="2:25">
      <c r="B338" s="47" t="s">
        <v>3891</v>
      </c>
      <c r="C338" s="41" t="s">
        <v>2955</v>
      </c>
      <c r="D338" s="60"/>
    </row>
    <row r="339" spans="2:25">
      <c r="B339" s="47" t="s">
        <v>3892</v>
      </c>
      <c r="C339" s="41" t="s">
        <v>2957</v>
      </c>
      <c r="D339" s="60"/>
    </row>
    <row r="340" spans="2:25">
      <c r="B340" s="47" t="s">
        <v>3893</v>
      </c>
      <c r="C340" s="41" t="s">
        <v>2959</v>
      </c>
      <c r="D340" s="60"/>
    </row>
    <row r="341" spans="2:25">
      <c r="B341" s="47" t="s">
        <v>3894</v>
      </c>
      <c r="C341" s="41" t="s">
        <v>2961</v>
      </c>
      <c r="D341" s="60"/>
    </row>
    <row r="342" spans="2:25">
      <c r="B342" s="47" t="s">
        <v>3895</v>
      </c>
      <c r="C342" s="41" t="s">
        <v>2963</v>
      </c>
      <c r="D342" s="60"/>
    </row>
    <row r="343" spans="2:25">
      <c r="B343" s="47" t="s">
        <v>3896</v>
      </c>
      <c r="C343" s="41" t="s">
        <v>2965</v>
      </c>
      <c r="D343" s="60"/>
    </row>
    <row r="344" spans="2:25">
      <c r="B344" s="47" t="s">
        <v>3897</v>
      </c>
      <c r="C344" s="41" t="s">
        <v>2967</v>
      </c>
      <c r="D344" s="60"/>
    </row>
    <row r="345" spans="2:25">
      <c r="B345" s="47" t="s">
        <v>3898</v>
      </c>
      <c r="C345" s="41" t="s">
        <v>2969</v>
      </c>
      <c r="D345" s="60"/>
    </row>
    <row r="346" spans="2:25">
      <c r="B346" s="47" t="s">
        <v>3480</v>
      </c>
      <c r="C346" s="41" t="s">
        <v>2971</v>
      </c>
      <c r="D346" s="60"/>
    </row>
    <row r="348" spans="2:25">
      <c r="X348" s="13" t="str">
        <f>Show!$B$87&amp;Show!$B$87&amp;"S.19.01.01.10 Rows {"&amp;COLUMN($C$1)&amp;"}"</f>
        <v>!!S.19.01.01.10 Rows {3}</v>
      </c>
      <c r="Y348" s="13" t="str">
        <f>Show!$B$87&amp;Show!$B$87&amp;"S.19.01.01.10 Columns {"&amp;COLUMN($D$1)&amp;"}"</f>
        <v>!!S.19.01.01.10 Columns {4}</v>
      </c>
    </row>
    <row r="350" spans="2:25" ht="18.75">
      <c r="B350" s="97" t="s">
        <v>4007</v>
      </c>
      <c r="C350" s="96"/>
      <c r="D350" s="96"/>
      <c r="E350" s="96"/>
      <c r="F350" s="96"/>
      <c r="G350" s="96"/>
      <c r="H350" s="96"/>
      <c r="I350" s="96"/>
      <c r="J350" s="96"/>
      <c r="K350" s="96"/>
      <c r="L350" s="96"/>
    </row>
    <row r="352" spans="2:25">
      <c r="B352" t="s">
        <v>3110</v>
      </c>
      <c r="X352" s="13" t="str">
        <f>Show!$B$87&amp;"S.19.01.01.11 Table label {"&amp;COLUMN($C$1)&amp;"}"</f>
        <v>!S.19.01.01.11 Table label {3}</v>
      </c>
      <c r="Y352" s="13" t="str">
        <f>Show!$B$87&amp;"S.19.01.01.11 Table value {"&amp;COLUMN($D$1)&amp;"}"</f>
        <v>!S.19.01.01.11 Table value {4}</v>
      </c>
    </row>
    <row r="353" spans="2:25">
      <c r="B353" t="s">
        <v>3111</v>
      </c>
    </row>
    <row r="354" spans="2:25">
      <c r="B354" s="40" t="s">
        <v>3427</v>
      </c>
      <c r="C354" s="53" t="s">
        <v>3113</v>
      </c>
      <c r="D354" s="51"/>
    </row>
    <row r="355" spans="2:25">
      <c r="B355" s="40" t="s">
        <v>3868</v>
      </c>
      <c r="C355" s="53" t="s">
        <v>3115</v>
      </c>
      <c r="D355" s="51"/>
    </row>
    <row r="356" spans="2:25">
      <c r="B356" s="40" t="s">
        <v>3606</v>
      </c>
      <c r="C356" s="53" t="s">
        <v>3323</v>
      </c>
      <c r="D356" s="51"/>
    </row>
    <row r="357" spans="2:25">
      <c r="B357" s="40" t="s">
        <v>3874</v>
      </c>
      <c r="C357" s="53" t="s">
        <v>3875</v>
      </c>
      <c r="D357" s="51"/>
    </row>
    <row r="358" spans="2:25">
      <c r="X358" s="13" t="str">
        <f>Show!$B$87&amp;Show!$B$87&amp;"S.19.01.01.11 Table label {"&amp;COLUMN($C$1)&amp;"}"</f>
        <v>!!S.19.01.01.11 Table label {3}</v>
      </c>
      <c r="Y358" s="13" t="str">
        <f>Show!$B$87&amp;Show!$B$87&amp;"S.19.01.01.11 Table value {"&amp;COLUMN($D$1)&amp;"}"</f>
        <v>!!S.19.01.01.11 Table value {4}</v>
      </c>
    </row>
    <row r="360" spans="2:25">
      <c r="D360" s="101" t="s">
        <v>2877</v>
      </c>
      <c r="E360" s="102"/>
      <c r="F360" s="102"/>
      <c r="G360" s="102"/>
      <c r="H360" s="102"/>
      <c r="I360" s="102"/>
      <c r="J360" s="102"/>
      <c r="K360" s="102"/>
      <c r="L360" s="102"/>
      <c r="M360" s="102"/>
      <c r="N360" s="102"/>
      <c r="O360" s="102"/>
      <c r="P360" s="102"/>
      <c r="Q360" s="102"/>
      <c r="R360" s="102"/>
      <c r="S360" s="103"/>
    </row>
    <row r="361" spans="2:25">
      <c r="D361" s="104"/>
      <c r="E361" s="105"/>
      <c r="F361" s="105"/>
      <c r="G361" s="105"/>
      <c r="H361" s="105"/>
      <c r="I361" s="105"/>
      <c r="J361" s="105"/>
      <c r="K361" s="105"/>
      <c r="L361" s="105"/>
      <c r="M361" s="105"/>
      <c r="N361" s="105"/>
      <c r="O361" s="105"/>
      <c r="P361" s="105"/>
      <c r="Q361" s="105"/>
      <c r="R361" s="105"/>
      <c r="S361" s="106"/>
    </row>
    <row r="362" spans="2:25">
      <c r="D362" s="55">
        <v>0</v>
      </c>
      <c r="E362" s="55">
        <v>1</v>
      </c>
      <c r="F362" s="55">
        <v>2</v>
      </c>
      <c r="G362" s="55">
        <v>3</v>
      </c>
      <c r="H362" s="55">
        <v>4</v>
      </c>
      <c r="I362" s="55">
        <v>5</v>
      </c>
      <c r="J362" s="55">
        <v>6</v>
      </c>
      <c r="K362" s="55">
        <v>7</v>
      </c>
      <c r="L362" s="55">
        <v>8</v>
      </c>
      <c r="M362" s="55">
        <v>9</v>
      </c>
      <c r="N362" s="55">
        <v>10</v>
      </c>
      <c r="O362" s="55">
        <v>11</v>
      </c>
      <c r="P362" s="55">
        <v>12</v>
      </c>
      <c r="Q362" s="55">
        <v>13</v>
      </c>
      <c r="R362" s="55">
        <v>14</v>
      </c>
      <c r="S362" s="55" t="s">
        <v>3946</v>
      </c>
    </row>
    <row r="363" spans="2:25">
      <c r="D363" s="45" t="s">
        <v>4008</v>
      </c>
      <c r="E363" s="45" t="s">
        <v>4009</v>
      </c>
      <c r="F363" s="45" t="s">
        <v>4010</v>
      </c>
      <c r="G363" s="45" t="s">
        <v>4011</v>
      </c>
      <c r="H363" s="45" t="s">
        <v>4012</v>
      </c>
      <c r="I363" s="45" t="s">
        <v>4013</v>
      </c>
      <c r="J363" s="45" t="s">
        <v>4014</v>
      </c>
      <c r="K363" s="45" t="s">
        <v>4015</v>
      </c>
      <c r="L363" s="45" t="s">
        <v>4016</v>
      </c>
      <c r="M363" s="45" t="s">
        <v>4017</v>
      </c>
      <c r="N363" s="45" t="s">
        <v>4018</v>
      </c>
      <c r="O363" s="45" t="s">
        <v>4019</v>
      </c>
      <c r="P363" s="45" t="s">
        <v>4020</v>
      </c>
      <c r="Q363" s="45" t="s">
        <v>4021</v>
      </c>
      <c r="R363" s="45" t="s">
        <v>4022</v>
      </c>
      <c r="S363" s="45" t="s">
        <v>4023</v>
      </c>
      <c r="X363" s="13" t="str">
        <f>Show!$B$87&amp;"S.19.01.01.11 Rows {"&amp;COLUMN($C$1)&amp;"}"&amp;"@ForceFilingCode:true"</f>
        <v>!S.19.01.01.11 Rows {3}@ForceFilingCode:true</v>
      </c>
      <c r="Y363" s="13" t="str">
        <f>Show!$B$87&amp;"S.19.01.01.11 Columns {"&amp;COLUMN($D$1)&amp;"}"</f>
        <v>!S.19.01.01.11 Columns {4}</v>
      </c>
    </row>
    <row r="364" spans="2:25">
      <c r="B364" s="43" t="s">
        <v>2880</v>
      </c>
      <c r="C364" s="44" t="s">
        <v>2878</v>
      </c>
      <c r="D364" s="58"/>
      <c r="E364" s="67"/>
      <c r="F364" s="67"/>
      <c r="G364" s="67"/>
      <c r="H364" s="67"/>
      <c r="I364" s="67"/>
      <c r="J364" s="67"/>
      <c r="K364" s="67"/>
      <c r="L364" s="67"/>
      <c r="M364" s="67"/>
      <c r="N364" s="67"/>
      <c r="O364" s="67"/>
      <c r="P364" s="67"/>
      <c r="Q364" s="67"/>
      <c r="R364" s="67"/>
      <c r="S364" s="57"/>
    </row>
    <row r="365" spans="2:25">
      <c r="B365" s="47" t="s">
        <v>3947</v>
      </c>
      <c r="C365" s="44" t="s">
        <v>2939</v>
      </c>
      <c r="D365" s="56"/>
      <c r="E365" s="56"/>
      <c r="F365" s="56"/>
      <c r="G365" s="56"/>
      <c r="H365" s="56"/>
      <c r="I365" s="56"/>
      <c r="J365" s="56"/>
      <c r="K365" s="56"/>
      <c r="L365" s="56"/>
      <c r="M365" s="56"/>
      <c r="N365" s="56"/>
      <c r="O365" s="56"/>
      <c r="P365" s="56"/>
      <c r="Q365" s="56"/>
      <c r="R365" s="46"/>
      <c r="S365" s="63"/>
    </row>
    <row r="366" spans="2:25">
      <c r="B366" s="47" t="s">
        <v>3884</v>
      </c>
      <c r="C366" s="41" t="s">
        <v>2941</v>
      </c>
      <c r="D366" s="60"/>
      <c r="E366" s="60"/>
      <c r="F366" s="60"/>
      <c r="G366" s="60"/>
      <c r="H366" s="60"/>
      <c r="I366" s="60"/>
      <c r="J366" s="60"/>
      <c r="K366" s="60"/>
      <c r="L366" s="60"/>
      <c r="M366" s="60"/>
      <c r="N366" s="60"/>
      <c r="O366" s="60"/>
      <c r="P366" s="60"/>
      <c r="Q366" s="60"/>
      <c r="R366" s="65"/>
      <c r="S366" s="48"/>
    </row>
    <row r="367" spans="2:25">
      <c r="B367" s="47" t="s">
        <v>3885</v>
      </c>
      <c r="C367" s="41" t="s">
        <v>2943</v>
      </c>
      <c r="D367" s="60"/>
      <c r="E367" s="60"/>
      <c r="F367" s="60"/>
      <c r="G367" s="60"/>
      <c r="H367" s="60"/>
      <c r="I367" s="60"/>
      <c r="J367" s="60"/>
      <c r="K367" s="60"/>
      <c r="L367" s="60"/>
      <c r="M367" s="60"/>
      <c r="N367" s="60"/>
      <c r="O367" s="60"/>
      <c r="P367" s="60"/>
      <c r="Q367" s="65"/>
      <c r="R367" s="58"/>
      <c r="S367" s="48"/>
    </row>
    <row r="368" spans="2:25">
      <c r="B368" s="47" t="s">
        <v>3886</v>
      </c>
      <c r="C368" s="41" t="s">
        <v>2945</v>
      </c>
      <c r="D368" s="60"/>
      <c r="E368" s="60"/>
      <c r="F368" s="60"/>
      <c r="G368" s="60"/>
      <c r="H368" s="60"/>
      <c r="I368" s="60"/>
      <c r="J368" s="60"/>
      <c r="K368" s="60"/>
      <c r="L368" s="60"/>
      <c r="M368" s="60"/>
      <c r="N368" s="60"/>
      <c r="O368" s="60"/>
      <c r="P368" s="65"/>
      <c r="Q368" s="58"/>
      <c r="R368" s="58"/>
      <c r="S368" s="48"/>
    </row>
    <row r="369" spans="2:25">
      <c r="B369" s="47" t="s">
        <v>3887</v>
      </c>
      <c r="C369" s="41" t="s">
        <v>2947</v>
      </c>
      <c r="D369" s="60"/>
      <c r="E369" s="60"/>
      <c r="F369" s="60"/>
      <c r="G369" s="60"/>
      <c r="H369" s="60"/>
      <c r="I369" s="60"/>
      <c r="J369" s="60"/>
      <c r="K369" s="60"/>
      <c r="L369" s="60"/>
      <c r="M369" s="60"/>
      <c r="N369" s="60"/>
      <c r="O369" s="65"/>
      <c r="P369" s="58"/>
      <c r="Q369" s="58"/>
      <c r="R369" s="58"/>
      <c r="S369" s="48"/>
    </row>
    <row r="370" spans="2:25">
      <c r="B370" s="47" t="s">
        <v>3888</v>
      </c>
      <c r="C370" s="41" t="s">
        <v>2949</v>
      </c>
      <c r="D370" s="60"/>
      <c r="E370" s="60"/>
      <c r="F370" s="60"/>
      <c r="G370" s="60"/>
      <c r="H370" s="60"/>
      <c r="I370" s="60"/>
      <c r="J370" s="60"/>
      <c r="K370" s="60"/>
      <c r="L370" s="60"/>
      <c r="M370" s="60"/>
      <c r="N370" s="65"/>
      <c r="O370" s="58"/>
      <c r="P370" s="58"/>
      <c r="Q370" s="58"/>
      <c r="R370" s="58"/>
      <c r="S370" s="48"/>
    </row>
    <row r="371" spans="2:25">
      <c r="B371" s="47" t="s">
        <v>3889</v>
      </c>
      <c r="C371" s="41" t="s">
        <v>2951</v>
      </c>
      <c r="D371" s="60"/>
      <c r="E371" s="60"/>
      <c r="F371" s="60"/>
      <c r="G371" s="60"/>
      <c r="H371" s="60"/>
      <c r="I371" s="60"/>
      <c r="J371" s="60"/>
      <c r="K371" s="60"/>
      <c r="L371" s="60"/>
      <c r="M371" s="65"/>
      <c r="N371" s="58"/>
      <c r="O371" s="58"/>
      <c r="P371" s="58"/>
      <c r="Q371" s="58"/>
      <c r="R371" s="58"/>
      <c r="S371" s="48"/>
    </row>
    <row r="372" spans="2:25">
      <c r="B372" s="47" t="s">
        <v>3890</v>
      </c>
      <c r="C372" s="41" t="s">
        <v>2953</v>
      </c>
      <c r="D372" s="60"/>
      <c r="E372" s="60"/>
      <c r="F372" s="60"/>
      <c r="G372" s="60"/>
      <c r="H372" s="60"/>
      <c r="I372" s="60"/>
      <c r="J372" s="60"/>
      <c r="K372" s="60"/>
      <c r="L372" s="65"/>
      <c r="M372" s="58"/>
      <c r="N372" s="58"/>
      <c r="O372" s="58"/>
      <c r="P372" s="58"/>
      <c r="Q372" s="58"/>
      <c r="R372" s="58"/>
      <c r="S372" s="48"/>
    </row>
    <row r="373" spans="2:25">
      <c r="B373" s="47" t="s">
        <v>3891</v>
      </c>
      <c r="C373" s="41" t="s">
        <v>2955</v>
      </c>
      <c r="D373" s="60"/>
      <c r="E373" s="60"/>
      <c r="F373" s="60"/>
      <c r="G373" s="60"/>
      <c r="H373" s="60"/>
      <c r="I373" s="60"/>
      <c r="J373" s="60"/>
      <c r="K373" s="65"/>
      <c r="L373" s="58"/>
      <c r="M373" s="58"/>
      <c r="N373" s="58"/>
      <c r="O373" s="58"/>
      <c r="P373" s="58"/>
      <c r="Q373" s="58"/>
      <c r="R373" s="58"/>
      <c r="S373" s="48"/>
    </row>
    <row r="374" spans="2:25">
      <c r="B374" s="47" t="s">
        <v>3892</v>
      </c>
      <c r="C374" s="41" t="s">
        <v>2957</v>
      </c>
      <c r="D374" s="60"/>
      <c r="E374" s="60"/>
      <c r="F374" s="60"/>
      <c r="G374" s="60"/>
      <c r="H374" s="60"/>
      <c r="I374" s="60"/>
      <c r="J374" s="65"/>
      <c r="K374" s="58"/>
      <c r="L374" s="58"/>
      <c r="M374" s="58"/>
      <c r="N374" s="58"/>
      <c r="O374" s="58"/>
      <c r="P374" s="58"/>
      <c r="Q374" s="58"/>
      <c r="R374" s="58"/>
      <c r="S374" s="48"/>
    </row>
    <row r="375" spans="2:25">
      <c r="B375" s="47" t="s">
        <v>3893</v>
      </c>
      <c r="C375" s="41" t="s">
        <v>2959</v>
      </c>
      <c r="D375" s="60"/>
      <c r="E375" s="60"/>
      <c r="F375" s="60"/>
      <c r="G375" s="60"/>
      <c r="H375" s="60"/>
      <c r="I375" s="65"/>
      <c r="J375" s="58"/>
      <c r="K375" s="58"/>
      <c r="L375" s="58"/>
      <c r="M375" s="58"/>
      <c r="N375" s="58"/>
      <c r="O375" s="58"/>
      <c r="P375" s="58"/>
      <c r="Q375" s="58"/>
      <c r="R375" s="58"/>
      <c r="S375" s="48"/>
    </row>
    <row r="376" spans="2:25">
      <c r="B376" s="47" t="s">
        <v>3894</v>
      </c>
      <c r="C376" s="41" t="s">
        <v>2961</v>
      </c>
      <c r="D376" s="60"/>
      <c r="E376" s="60"/>
      <c r="F376" s="60"/>
      <c r="G376" s="60"/>
      <c r="H376" s="65"/>
      <c r="I376" s="58"/>
      <c r="J376" s="58"/>
      <c r="K376" s="58"/>
      <c r="L376" s="58"/>
      <c r="M376" s="58"/>
      <c r="N376" s="58"/>
      <c r="O376" s="58"/>
      <c r="P376" s="58"/>
      <c r="Q376" s="58"/>
      <c r="R376" s="58"/>
      <c r="S376" s="48"/>
    </row>
    <row r="377" spans="2:25">
      <c r="B377" s="47" t="s">
        <v>3895</v>
      </c>
      <c r="C377" s="41" t="s">
        <v>2963</v>
      </c>
      <c r="D377" s="60"/>
      <c r="E377" s="60"/>
      <c r="F377" s="60"/>
      <c r="G377" s="65"/>
      <c r="H377" s="58"/>
      <c r="I377" s="58"/>
      <c r="J377" s="58"/>
      <c r="K377" s="58"/>
      <c r="L377" s="58"/>
      <c r="M377" s="58"/>
      <c r="N377" s="58"/>
      <c r="O377" s="58"/>
      <c r="P377" s="58"/>
      <c r="Q377" s="58"/>
      <c r="R377" s="58"/>
      <c r="S377" s="48"/>
    </row>
    <row r="378" spans="2:25">
      <c r="B378" s="47" t="s">
        <v>3896</v>
      </c>
      <c r="C378" s="41" t="s">
        <v>2965</v>
      </c>
      <c r="D378" s="60"/>
      <c r="E378" s="60"/>
      <c r="F378" s="65"/>
      <c r="G378" s="58"/>
      <c r="H378" s="58"/>
      <c r="I378" s="58"/>
      <c r="J378" s="58"/>
      <c r="K378" s="58"/>
      <c r="L378" s="58"/>
      <c r="M378" s="58"/>
      <c r="N378" s="58"/>
      <c r="O378" s="58"/>
      <c r="P378" s="58"/>
      <c r="Q378" s="58"/>
      <c r="R378" s="58"/>
      <c r="S378" s="48"/>
    </row>
    <row r="379" spans="2:25">
      <c r="B379" s="47" t="s">
        <v>3897</v>
      </c>
      <c r="C379" s="41" t="s">
        <v>2967</v>
      </c>
      <c r="D379" s="60"/>
      <c r="E379" s="65"/>
      <c r="F379" s="58"/>
      <c r="G379" s="58"/>
      <c r="H379" s="58"/>
      <c r="I379" s="58"/>
      <c r="J379" s="58"/>
      <c r="K379" s="58"/>
      <c r="L379" s="58"/>
      <c r="M379" s="58"/>
      <c r="N379" s="58"/>
      <c r="O379" s="58"/>
      <c r="P379" s="58"/>
      <c r="Q379" s="58"/>
      <c r="R379" s="58"/>
      <c r="S379" s="48"/>
    </row>
    <row r="380" spans="2:25">
      <c r="B380" s="47" t="s">
        <v>3898</v>
      </c>
      <c r="C380" s="41" t="s">
        <v>2969</v>
      </c>
      <c r="D380" s="64"/>
      <c r="E380" s="56"/>
      <c r="F380" s="56"/>
      <c r="G380" s="56"/>
      <c r="H380" s="56"/>
      <c r="I380" s="56"/>
      <c r="J380" s="56"/>
      <c r="K380" s="56"/>
      <c r="L380" s="56"/>
      <c r="M380" s="56"/>
      <c r="N380" s="56"/>
      <c r="O380" s="56"/>
      <c r="P380" s="56"/>
      <c r="Q380" s="56"/>
      <c r="R380" s="56"/>
      <c r="S380" s="46"/>
    </row>
    <row r="382" spans="2:25">
      <c r="X382" s="13" t="str">
        <f>Show!$B$87&amp;Show!$B$87&amp;"S.19.01.01.11 Rows {"&amp;COLUMN($C$1)&amp;"}"</f>
        <v>!!S.19.01.01.11 Rows {3}</v>
      </c>
      <c r="Y382" s="13" t="str">
        <f>Show!$B$87&amp;Show!$B$87&amp;"S.19.01.01.11 Columns {"&amp;COLUMN($S$1)&amp;"}"</f>
        <v>!!S.19.01.01.11 Columns {19}</v>
      </c>
    </row>
    <row r="384" spans="2:25" ht="18.75">
      <c r="B384" s="97" t="s">
        <v>4024</v>
      </c>
      <c r="C384" s="96"/>
      <c r="D384" s="96"/>
      <c r="E384" s="96"/>
      <c r="F384" s="96"/>
      <c r="G384" s="96"/>
      <c r="H384" s="96"/>
      <c r="I384" s="96"/>
      <c r="J384" s="96"/>
      <c r="K384" s="96"/>
      <c r="L384" s="96"/>
    </row>
    <row r="386" spans="2:25">
      <c r="B386" t="s">
        <v>3110</v>
      </c>
      <c r="X386" s="13" t="str">
        <f>Show!$B$87&amp;"S.19.01.01.12 Table label {"&amp;COLUMN($C$1)&amp;"}"</f>
        <v>!S.19.01.01.12 Table label {3}</v>
      </c>
      <c r="Y386" s="13" t="str">
        <f>Show!$B$87&amp;"S.19.01.01.12 Table value {"&amp;COLUMN($D$1)&amp;"}"</f>
        <v>!S.19.01.01.12 Table value {4}</v>
      </c>
    </row>
    <row r="387" spans="2:25">
      <c r="B387" t="s">
        <v>3111</v>
      </c>
    </row>
    <row r="388" spans="2:25">
      <c r="B388" s="40" t="s">
        <v>3427</v>
      </c>
      <c r="C388" s="53" t="s">
        <v>3113</v>
      </c>
      <c r="D388" s="51"/>
    </row>
    <row r="389" spans="2:25">
      <c r="B389" s="40" t="s">
        <v>3868</v>
      </c>
      <c r="C389" s="53" t="s">
        <v>3115</v>
      </c>
      <c r="D389" s="51"/>
    </row>
    <row r="390" spans="2:25">
      <c r="B390" s="40" t="s">
        <v>3606</v>
      </c>
      <c r="C390" s="53" t="s">
        <v>3323</v>
      </c>
      <c r="D390" s="51"/>
    </row>
    <row r="391" spans="2:25">
      <c r="B391" s="40" t="s">
        <v>3874</v>
      </c>
      <c r="C391" s="53" t="s">
        <v>3875</v>
      </c>
      <c r="D391" s="51"/>
    </row>
    <row r="392" spans="2:25">
      <c r="X392" s="13" t="str">
        <f>Show!$B$87&amp;Show!$B$87&amp;"S.19.01.01.12 Table label {"&amp;COLUMN($C$1)&amp;"}"</f>
        <v>!!S.19.01.01.12 Table label {3}</v>
      </c>
      <c r="Y392" s="13" t="str">
        <f>Show!$B$87&amp;Show!$B$87&amp;"S.19.01.01.12 Table value {"&amp;COLUMN($D$1)&amp;"}"</f>
        <v>!!S.19.01.01.12 Table value {4}</v>
      </c>
    </row>
    <row r="394" spans="2:25">
      <c r="D394" s="98" t="s">
        <v>2877</v>
      </c>
    </row>
    <row r="395" spans="2:25">
      <c r="D395" s="100"/>
    </row>
    <row r="396" spans="2:25">
      <c r="D396" s="55" t="s">
        <v>3953</v>
      </c>
    </row>
    <row r="397" spans="2:25">
      <c r="D397" s="45" t="s">
        <v>4025</v>
      </c>
      <c r="X397" s="13" t="str">
        <f>Show!$B$87&amp;"S.19.01.01.12 Rows {"&amp;COLUMN($C$1)&amp;"}"&amp;"@ForceFilingCode:true"</f>
        <v>!S.19.01.01.12 Rows {3}@ForceFilingCode:true</v>
      </c>
      <c r="Y397" s="13" t="str">
        <f>Show!$B$87&amp;"S.19.01.01.12 Columns {"&amp;COLUMN($D$1)&amp;"}"</f>
        <v>!S.19.01.01.12 Columns {4}</v>
      </c>
    </row>
    <row r="398" spans="2:25">
      <c r="B398" s="43" t="s">
        <v>2880</v>
      </c>
      <c r="C398" s="44" t="s">
        <v>2878</v>
      </c>
      <c r="D398" s="46"/>
    </row>
    <row r="399" spans="2:25">
      <c r="B399" s="47" t="s">
        <v>3947</v>
      </c>
      <c r="C399" s="41" t="s">
        <v>2939</v>
      </c>
      <c r="D399" s="60"/>
    </row>
    <row r="400" spans="2:25">
      <c r="B400" s="47" t="s">
        <v>3884</v>
      </c>
      <c r="C400" s="41" t="s">
        <v>2941</v>
      </c>
      <c r="D400" s="60"/>
    </row>
    <row r="401" spans="2:4">
      <c r="B401" s="47" t="s">
        <v>3885</v>
      </c>
      <c r="C401" s="41" t="s">
        <v>2943</v>
      </c>
      <c r="D401" s="60"/>
    </row>
    <row r="402" spans="2:4">
      <c r="B402" s="47" t="s">
        <v>3886</v>
      </c>
      <c r="C402" s="41" t="s">
        <v>2945</v>
      </c>
      <c r="D402" s="60"/>
    </row>
    <row r="403" spans="2:4">
      <c r="B403" s="47" t="s">
        <v>3887</v>
      </c>
      <c r="C403" s="41" t="s">
        <v>2947</v>
      </c>
      <c r="D403" s="60"/>
    </row>
    <row r="404" spans="2:4">
      <c r="B404" s="47" t="s">
        <v>3888</v>
      </c>
      <c r="C404" s="41" t="s">
        <v>2949</v>
      </c>
      <c r="D404" s="60"/>
    </row>
    <row r="405" spans="2:4">
      <c r="B405" s="47" t="s">
        <v>3889</v>
      </c>
      <c r="C405" s="41" t="s">
        <v>2951</v>
      </c>
      <c r="D405" s="60"/>
    </row>
    <row r="406" spans="2:4">
      <c r="B406" s="47" t="s">
        <v>3890</v>
      </c>
      <c r="C406" s="41" t="s">
        <v>2953</v>
      </c>
      <c r="D406" s="60"/>
    </row>
    <row r="407" spans="2:4">
      <c r="B407" s="47" t="s">
        <v>3891</v>
      </c>
      <c r="C407" s="41" t="s">
        <v>2955</v>
      </c>
      <c r="D407" s="60"/>
    </row>
    <row r="408" spans="2:4">
      <c r="B408" s="47" t="s">
        <v>3892</v>
      </c>
      <c r="C408" s="41" t="s">
        <v>2957</v>
      </c>
      <c r="D408" s="60"/>
    </row>
    <row r="409" spans="2:4">
      <c r="B409" s="47" t="s">
        <v>3893</v>
      </c>
      <c r="C409" s="41" t="s">
        <v>2959</v>
      </c>
      <c r="D409" s="60"/>
    </row>
    <row r="410" spans="2:4">
      <c r="B410" s="47" t="s">
        <v>3894</v>
      </c>
      <c r="C410" s="41" t="s">
        <v>2961</v>
      </c>
      <c r="D410" s="60"/>
    </row>
    <row r="411" spans="2:4">
      <c r="B411" s="47" t="s">
        <v>3895</v>
      </c>
      <c r="C411" s="41" t="s">
        <v>2963</v>
      </c>
      <c r="D411" s="60"/>
    </row>
    <row r="412" spans="2:4">
      <c r="B412" s="47" t="s">
        <v>3896</v>
      </c>
      <c r="C412" s="41" t="s">
        <v>2965</v>
      </c>
      <c r="D412" s="60"/>
    </row>
    <row r="413" spans="2:4">
      <c r="B413" s="47" t="s">
        <v>3897</v>
      </c>
      <c r="C413" s="41" t="s">
        <v>2967</v>
      </c>
      <c r="D413" s="60"/>
    </row>
    <row r="414" spans="2:4">
      <c r="B414" s="47" t="s">
        <v>3898</v>
      </c>
      <c r="C414" s="41" t="s">
        <v>2969</v>
      </c>
      <c r="D414" s="60"/>
    </row>
    <row r="415" spans="2:4">
      <c r="B415" s="47" t="s">
        <v>3480</v>
      </c>
      <c r="C415" s="41" t="s">
        <v>2971</v>
      </c>
      <c r="D415" s="60"/>
    </row>
    <row r="417" spans="2:25">
      <c r="X417" s="13" t="str">
        <f>Show!$B$87&amp;Show!$B$87&amp;"S.19.01.01.12 Rows {"&amp;COLUMN($C$1)&amp;"}"</f>
        <v>!!S.19.01.01.12 Rows {3}</v>
      </c>
      <c r="Y417" s="13" t="str">
        <f>Show!$B$87&amp;Show!$B$87&amp;"S.19.01.01.12 Columns {"&amp;COLUMN($D$1)&amp;"}"</f>
        <v>!!S.19.01.01.12 Columns {4}</v>
      </c>
    </row>
    <row r="419" spans="2:25" ht="18.75">
      <c r="B419" s="97" t="s">
        <v>4026</v>
      </c>
      <c r="C419" s="96"/>
      <c r="D419" s="96"/>
      <c r="E419" s="96"/>
      <c r="F419" s="96"/>
      <c r="G419" s="96"/>
      <c r="H419" s="96"/>
      <c r="I419" s="96"/>
      <c r="J419" s="96"/>
      <c r="K419" s="96"/>
      <c r="L419" s="96"/>
    </row>
    <row r="421" spans="2:25">
      <c r="B421" t="s">
        <v>3110</v>
      </c>
      <c r="X421" s="13" t="str">
        <f>Show!$B$87&amp;"S.19.01.01.13 Table label {"&amp;COLUMN($C$1)&amp;"}"</f>
        <v>!S.19.01.01.13 Table label {3}</v>
      </c>
      <c r="Y421" s="13" t="str">
        <f>Show!$B$87&amp;"S.19.01.01.13 Table value {"&amp;COLUMN($D$1)&amp;"}"</f>
        <v>!S.19.01.01.13 Table value {4}</v>
      </c>
    </row>
    <row r="422" spans="2:25">
      <c r="B422" t="s">
        <v>3111</v>
      </c>
    </row>
    <row r="423" spans="2:25">
      <c r="B423" s="40" t="s">
        <v>3427</v>
      </c>
      <c r="C423" s="53" t="s">
        <v>3113</v>
      </c>
      <c r="D423" s="51"/>
    </row>
    <row r="424" spans="2:25">
      <c r="B424" s="40" t="s">
        <v>3868</v>
      </c>
      <c r="C424" s="53" t="s">
        <v>3115</v>
      </c>
      <c r="D424" s="51"/>
    </row>
    <row r="425" spans="2:25">
      <c r="B425" s="40" t="s">
        <v>3606</v>
      </c>
      <c r="C425" s="53" t="s">
        <v>3323</v>
      </c>
      <c r="D425" s="51"/>
    </row>
    <row r="426" spans="2:25">
      <c r="B426" s="40" t="s">
        <v>3874</v>
      </c>
      <c r="C426" s="53" t="s">
        <v>3875</v>
      </c>
      <c r="D426" s="51"/>
    </row>
    <row r="427" spans="2:25">
      <c r="X427" s="13" t="str">
        <f>Show!$B$87&amp;Show!$B$87&amp;"S.19.01.01.13 Table label {"&amp;COLUMN($C$1)&amp;"}"</f>
        <v>!!S.19.01.01.13 Table label {3}</v>
      </c>
      <c r="Y427" s="13" t="str">
        <f>Show!$B$87&amp;Show!$B$87&amp;"S.19.01.01.13 Table value {"&amp;COLUMN($D$1)&amp;"}"</f>
        <v>!!S.19.01.01.13 Table value {4}</v>
      </c>
    </row>
    <row r="429" spans="2:25">
      <c r="D429" s="101" t="s">
        <v>2877</v>
      </c>
      <c r="E429" s="102"/>
      <c r="F429" s="102"/>
      <c r="G429" s="102"/>
      <c r="H429" s="102"/>
      <c r="I429" s="102"/>
      <c r="J429" s="102"/>
      <c r="K429" s="102"/>
      <c r="L429" s="102"/>
      <c r="M429" s="102"/>
      <c r="N429" s="102"/>
      <c r="O429" s="102"/>
      <c r="P429" s="102"/>
      <c r="Q429" s="102"/>
      <c r="R429" s="102"/>
      <c r="S429" s="103"/>
    </row>
    <row r="430" spans="2:25">
      <c r="D430" s="104"/>
      <c r="E430" s="105"/>
      <c r="F430" s="105"/>
      <c r="G430" s="105"/>
      <c r="H430" s="105"/>
      <c r="I430" s="105"/>
      <c r="J430" s="105"/>
      <c r="K430" s="105"/>
      <c r="L430" s="105"/>
      <c r="M430" s="105"/>
      <c r="N430" s="105"/>
      <c r="O430" s="105"/>
      <c r="P430" s="105"/>
      <c r="Q430" s="105"/>
      <c r="R430" s="105"/>
      <c r="S430" s="106"/>
    </row>
    <row r="431" spans="2:25">
      <c r="D431" s="55">
        <v>0</v>
      </c>
      <c r="E431" s="55">
        <v>1</v>
      </c>
      <c r="F431" s="55">
        <v>2</v>
      </c>
      <c r="G431" s="55">
        <v>3</v>
      </c>
      <c r="H431" s="55">
        <v>4</v>
      </c>
      <c r="I431" s="55">
        <v>5</v>
      </c>
      <c r="J431" s="55">
        <v>6</v>
      </c>
      <c r="K431" s="55">
        <v>7</v>
      </c>
      <c r="L431" s="55">
        <v>8</v>
      </c>
      <c r="M431" s="55">
        <v>9</v>
      </c>
      <c r="N431" s="55">
        <v>10</v>
      </c>
      <c r="O431" s="55">
        <v>11</v>
      </c>
      <c r="P431" s="55">
        <v>12</v>
      </c>
      <c r="Q431" s="55">
        <v>13</v>
      </c>
      <c r="R431" s="55">
        <v>14</v>
      </c>
      <c r="S431" s="55" t="s">
        <v>3946</v>
      </c>
    </row>
    <row r="432" spans="2:25">
      <c r="D432" s="45" t="s">
        <v>4027</v>
      </c>
      <c r="E432" s="45" t="s">
        <v>4028</v>
      </c>
      <c r="F432" s="45" t="s">
        <v>4029</v>
      </c>
      <c r="G432" s="45" t="s">
        <v>4030</v>
      </c>
      <c r="H432" s="45" t="s">
        <v>4031</v>
      </c>
      <c r="I432" s="45" t="s">
        <v>4032</v>
      </c>
      <c r="J432" s="45" t="s">
        <v>4033</v>
      </c>
      <c r="K432" s="45" t="s">
        <v>4034</v>
      </c>
      <c r="L432" s="45" t="s">
        <v>4035</v>
      </c>
      <c r="M432" s="45" t="s">
        <v>4036</v>
      </c>
      <c r="N432" s="45" t="s">
        <v>4037</v>
      </c>
      <c r="O432" s="45" t="s">
        <v>4038</v>
      </c>
      <c r="P432" s="45" t="s">
        <v>4039</v>
      </c>
      <c r="Q432" s="45" t="s">
        <v>4040</v>
      </c>
      <c r="R432" s="45" t="s">
        <v>4041</v>
      </c>
      <c r="S432" s="45" t="s">
        <v>4042</v>
      </c>
      <c r="X432" s="13" t="str">
        <f>Show!$B$87&amp;"S.19.01.01.13 Rows {"&amp;COLUMN($C$1)&amp;"}"&amp;"@ForceFilingCode:true"</f>
        <v>!S.19.01.01.13 Rows {3}@ForceFilingCode:true</v>
      </c>
      <c r="Y432" s="13" t="str">
        <f>Show!$B$87&amp;"S.19.01.01.13 Columns {"&amp;COLUMN($D$1)&amp;"}"</f>
        <v>!S.19.01.01.13 Columns {4}</v>
      </c>
    </row>
    <row r="433" spans="2:19">
      <c r="B433" s="43" t="s">
        <v>2880</v>
      </c>
      <c r="C433" s="44" t="s">
        <v>2878</v>
      </c>
      <c r="D433" s="58"/>
      <c r="E433" s="67"/>
      <c r="F433" s="67"/>
      <c r="G433" s="67"/>
      <c r="H433" s="67"/>
      <c r="I433" s="67"/>
      <c r="J433" s="67"/>
      <c r="K433" s="67"/>
      <c r="L433" s="67"/>
      <c r="M433" s="67"/>
      <c r="N433" s="67"/>
      <c r="O433" s="67"/>
      <c r="P433" s="67"/>
      <c r="Q433" s="67"/>
      <c r="R433" s="67"/>
      <c r="S433" s="57"/>
    </row>
    <row r="434" spans="2:19">
      <c r="B434" s="47" t="s">
        <v>3947</v>
      </c>
      <c r="C434" s="44" t="s">
        <v>2977</v>
      </c>
      <c r="D434" s="56"/>
      <c r="E434" s="56"/>
      <c r="F434" s="56"/>
      <c r="G434" s="56"/>
      <c r="H434" s="56"/>
      <c r="I434" s="56"/>
      <c r="J434" s="56"/>
      <c r="K434" s="56"/>
      <c r="L434" s="56"/>
      <c r="M434" s="56"/>
      <c r="N434" s="56"/>
      <c r="O434" s="56"/>
      <c r="P434" s="56"/>
      <c r="Q434" s="56"/>
      <c r="R434" s="46"/>
      <c r="S434" s="63"/>
    </row>
    <row r="435" spans="2:19">
      <c r="B435" s="47" t="s">
        <v>3884</v>
      </c>
      <c r="C435" s="41" t="s">
        <v>2979</v>
      </c>
      <c r="D435" s="60"/>
      <c r="E435" s="60"/>
      <c r="F435" s="60"/>
      <c r="G435" s="60"/>
      <c r="H435" s="60"/>
      <c r="I435" s="60"/>
      <c r="J435" s="60"/>
      <c r="K435" s="60"/>
      <c r="L435" s="60"/>
      <c r="M435" s="60"/>
      <c r="N435" s="60"/>
      <c r="O435" s="60"/>
      <c r="P435" s="60"/>
      <c r="Q435" s="60"/>
      <c r="R435" s="65"/>
      <c r="S435" s="48"/>
    </row>
    <row r="436" spans="2:19">
      <c r="B436" s="47" t="s">
        <v>3885</v>
      </c>
      <c r="C436" s="41" t="s">
        <v>2981</v>
      </c>
      <c r="D436" s="60"/>
      <c r="E436" s="60"/>
      <c r="F436" s="60"/>
      <c r="G436" s="60"/>
      <c r="H436" s="60"/>
      <c r="I436" s="60"/>
      <c r="J436" s="60"/>
      <c r="K436" s="60"/>
      <c r="L436" s="60"/>
      <c r="M436" s="60"/>
      <c r="N436" s="60"/>
      <c r="O436" s="60"/>
      <c r="P436" s="60"/>
      <c r="Q436" s="65"/>
      <c r="R436" s="58"/>
      <c r="S436" s="48"/>
    </row>
    <row r="437" spans="2:19">
      <c r="B437" s="47" t="s">
        <v>3886</v>
      </c>
      <c r="C437" s="41" t="s">
        <v>2983</v>
      </c>
      <c r="D437" s="60"/>
      <c r="E437" s="60"/>
      <c r="F437" s="60"/>
      <c r="G437" s="60"/>
      <c r="H437" s="60"/>
      <c r="I437" s="60"/>
      <c r="J437" s="60"/>
      <c r="K437" s="60"/>
      <c r="L437" s="60"/>
      <c r="M437" s="60"/>
      <c r="N437" s="60"/>
      <c r="O437" s="60"/>
      <c r="P437" s="65"/>
      <c r="Q437" s="58"/>
      <c r="R437" s="58"/>
      <c r="S437" s="48"/>
    </row>
    <row r="438" spans="2:19">
      <c r="B438" s="47" t="s">
        <v>3887</v>
      </c>
      <c r="C438" s="41" t="s">
        <v>2985</v>
      </c>
      <c r="D438" s="60"/>
      <c r="E438" s="60"/>
      <c r="F438" s="60"/>
      <c r="G438" s="60"/>
      <c r="H438" s="60"/>
      <c r="I438" s="60"/>
      <c r="J438" s="60"/>
      <c r="K438" s="60"/>
      <c r="L438" s="60"/>
      <c r="M438" s="60"/>
      <c r="N438" s="60"/>
      <c r="O438" s="65"/>
      <c r="P438" s="58"/>
      <c r="Q438" s="58"/>
      <c r="R438" s="58"/>
      <c r="S438" s="48"/>
    </row>
    <row r="439" spans="2:19">
      <c r="B439" s="47" t="s">
        <v>3888</v>
      </c>
      <c r="C439" s="41" t="s">
        <v>2987</v>
      </c>
      <c r="D439" s="60"/>
      <c r="E439" s="60"/>
      <c r="F439" s="60"/>
      <c r="G439" s="60"/>
      <c r="H439" s="60"/>
      <c r="I439" s="60"/>
      <c r="J439" s="60"/>
      <c r="K439" s="60"/>
      <c r="L439" s="60"/>
      <c r="M439" s="60"/>
      <c r="N439" s="65"/>
      <c r="O439" s="58"/>
      <c r="P439" s="58"/>
      <c r="Q439" s="58"/>
      <c r="R439" s="58"/>
      <c r="S439" s="48"/>
    </row>
    <row r="440" spans="2:19">
      <c r="B440" s="47" t="s">
        <v>3889</v>
      </c>
      <c r="C440" s="41" t="s">
        <v>2989</v>
      </c>
      <c r="D440" s="60"/>
      <c r="E440" s="60"/>
      <c r="F440" s="60"/>
      <c r="G440" s="60"/>
      <c r="H440" s="60"/>
      <c r="I440" s="60"/>
      <c r="J440" s="60"/>
      <c r="K440" s="60"/>
      <c r="L440" s="60"/>
      <c r="M440" s="65"/>
      <c r="N440" s="58"/>
      <c r="O440" s="58"/>
      <c r="P440" s="58"/>
      <c r="Q440" s="58"/>
      <c r="R440" s="58"/>
      <c r="S440" s="48"/>
    </row>
    <row r="441" spans="2:19">
      <c r="B441" s="47" t="s">
        <v>3890</v>
      </c>
      <c r="C441" s="41" t="s">
        <v>2991</v>
      </c>
      <c r="D441" s="60"/>
      <c r="E441" s="60"/>
      <c r="F441" s="60"/>
      <c r="G441" s="60"/>
      <c r="H441" s="60"/>
      <c r="I441" s="60"/>
      <c r="J441" s="60"/>
      <c r="K441" s="60"/>
      <c r="L441" s="65"/>
      <c r="M441" s="58"/>
      <c r="N441" s="58"/>
      <c r="O441" s="58"/>
      <c r="P441" s="58"/>
      <c r="Q441" s="58"/>
      <c r="R441" s="58"/>
      <c r="S441" s="48"/>
    </row>
    <row r="442" spans="2:19">
      <c r="B442" s="47" t="s">
        <v>3891</v>
      </c>
      <c r="C442" s="41" t="s">
        <v>2993</v>
      </c>
      <c r="D442" s="60"/>
      <c r="E442" s="60"/>
      <c r="F442" s="60"/>
      <c r="G442" s="60"/>
      <c r="H442" s="60"/>
      <c r="I442" s="60"/>
      <c r="J442" s="60"/>
      <c r="K442" s="65"/>
      <c r="L442" s="58"/>
      <c r="M442" s="58"/>
      <c r="N442" s="58"/>
      <c r="O442" s="58"/>
      <c r="P442" s="58"/>
      <c r="Q442" s="58"/>
      <c r="R442" s="58"/>
      <c r="S442" s="48"/>
    </row>
    <row r="443" spans="2:19">
      <c r="B443" s="47" t="s">
        <v>3892</v>
      </c>
      <c r="C443" s="41" t="s">
        <v>2995</v>
      </c>
      <c r="D443" s="60"/>
      <c r="E443" s="60"/>
      <c r="F443" s="60"/>
      <c r="G443" s="60"/>
      <c r="H443" s="60"/>
      <c r="I443" s="60"/>
      <c r="J443" s="65"/>
      <c r="K443" s="58"/>
      <c r="L443" s="58"/>
      <c r="M443" s="58"/>
      <c r="N443" s="58"/>
      <c r="O443" s="58"/>
      <c r="P443" s="58"/>
      <c r="Q443" s="58"/>
      <c r="R443" s="58"/>
      <c r="S443" s="48"/>
    </row>
    <row r="444" spans="2:19">
      <c r="B444" s="47" t="s">
        <v>3893</v>
      </c>
      <c r="C444" s="41" t="s">
        <v>2997</v>
      </c>
      <c r="D444" s="60"/>
      <c r="E444" s="60"/>
      <c r="F444" s="60"/>
      <c r="G444" s="60"/>
      <c r="H444" s="60"/>
      <c r="I444" s="65"/>
      <c r="J444" s="58"/>
      <c r="K444" s="58"/>
      <c r="L444" s="58"/>
      <c r="M444" s="58"/>
      <c r="N444" s="58"/>
      <c r="O444" s="58"/>
      <c r="P444" s="58"/>
      <c r="Q444" s="58"/>
      <c r="R444" s="58"/>
      <c r="S444" s="48"/>
    </row>
    <row r="445" spans="2:19">
      <c r="B445" s="47" t="s">
        <v>3894</v>
      </c>
      <c r="C445" s="41" t="s">
        <v>2999</v>
      </c>
      <c r="D445" s="60"/>
      <c r="E445" s="60"/>
      <c r="F445" s="60"/>
      <c r="G445" s="60"/>
      <c r="H445" s="65"/>
      <c r="I445" s="58"/>
      <c r="J445" s="58"/>
      <c r="K445" s="58"/>
      <c r="L445" s="58"/>
      <c r="M445" s="58"/>
      <c r="N445" s="58"/>
      <c r="O445" s="58"/>
      <c r="P445" s="58"/>
      <c r="Q445" s="58"/>
      <c r="R445" s="58"/>
      <c r="S445" s="48"/>
    </row>
    <row r="446" spans="2:19">
      <c r="B446" s="47" t="s">
        <v>3895</v>
      </c>
      <c r="C446" s="41" t="s">
        <v>3001</v>
      </c>
      <c r="D446" s="60"/>
      <c r="E446" s="60"/>
      <c r="F446" s="60"/>
      <c r="G446" s="65"/>
      <c r="H446" s="58"/>
      <c r="I446" s="58"/>
      <c r="J446" s="58"/>
      <c r="K446" s="58"/>
      <c r="L446" s="58"/>
      <c r="M446" s="58"/>
      <c r="N446" s="58"/>
      <c r="O446" s="58"/>
      <c r="P446" s="58"/>
      <c r="Q446" s="58"/>
      <c r="R446" s="58"/>
      <c r="S446" s="48"/>
    </row>
    <row r="447" spans="2:19">
      <c r="B447" s="47" t="s">
        <v>3896</v>
      </c>
      <c r="C447" s="41" t="s">
        <v>3003</v>
      </c>
      <c r="D447" s="60"/>
      <c r="E447" s="60"/>
      <c r="F447" s="65"/>
      <c r="G447" s="58"/>
      <c r="H447" s="58"/>
      <c r="I447" s="58"/>
      <c r="J447" s="58"/>
      <c r="K447" s="58"/>
      <c r="L447" s="58"/>
      <c r="M447" s="58"/>
      <c r="N447" s="58"/>
      <c r="O447" s="58"/>
      <c r="P447" s="58"/>
      <c r="Q447" s="58"/>
      <c r="R447" s="58"/>
      <c r="S447" s="48"/>
    </row>
    <row r="448" spans="2:19">
      <c r="B448" s="47" t="s">
        <v>3897</v>
      </c>
      <c r="C448" s="41" t="s">
        <v>3005</v>
      </c>
      <c r="D448" s="60"/>
      <c r="E448" s="65"/>
      <c r="F448" s="58"/>
      <c r="G448" s="58"/>
      <c r="H448" s="58"/>
      <c r="I448" s="58"/>
      <c r="J448" s="58"/>
      <c r="K448" s="58"/>
      <c r="L448" s="58"/>
      <c r="M448" s="58"/>
      <c r="N448" s="58"/>
      <c r="O448" s="58"/>
      <c r="P448" s="58"/>
      <c r="Q448" s="58"/>
      <c r="R448" s="58"/>
      <c r="S448" s="48"/>
    </row>
    <row r="449" spans="2:25">
      <c r="B449" s="47" t="s">
        <v>3898</v>
      </c>
      <c r="C449" s="41" t="s">
        <v>3007</v>
      </c>
      <c r="D449" s="64"/>
      <c r="E449" s="56"/>
      <c r="F449" s="56"/>
      <c r="G449" s="56"/>
      <c r="H449" s="56"/>
      <c r="I449" s="56"/>
      <c r="J449" s="56"/>
      <c r="K449" s="56"/>
      <c r="L449" s="56"/>
      <c r="M449" s="56"/>
      <c r="N449" s="56"/>
      <c r="O449" s="56"/>
      <c r="P449" s="56"/>
      <c r="Q449" s="56"/>
      <c r="R449" s="56"/>
      <c r="S449" s="46"/>
    </row>
    <row r="451" spans="2:25">
      <c r="X451" s="13" t="str">
        <f>Show!$B$87&amp;Show!$B$87&amp;"S.19.01.01.13 Rows {"&amp;COLUMN($C$1)&amp;"}"</f>
        <v>!!S.19.01.01.13 Rows {3}</v>
      </c>
      <c r="Y451" s="13" t="str">
        <f>Show!$B$87&amp;Show!$B$87&amp;"S.19.01.01.13 Columns {"&amp;COLUMN($S$1)&amp;"}"</f>
        <v>!!S.19.01.01.13 Columns {19}</v>
      </c>
    </row>
    <row r="453" spans="2:25" ht="18.75">
      <c r="B453" s="97" t="s">
        <v>4043</v>
      </c>
      <c r="C453" s="96"/>
      <c r="D453" s="96"/>
      <c r="E453" s="96"/>
      <c r="F453" s="96"/>
      <c r="G453" s="96"/>
      <c r="H453" s="96"/>
      <c r="I453" s="96"/>
      <c r="J453" s="96"/>
      <c r="K453" s="96"/>
      <c r="L453" s="96"/>
    </row>
    <row r="455" spans="2:25">
      <c r="B455" t="s">
        <v>3110</v>
      </c>
      <c r="X455" s="13" t="str">
        <f>Show!$B$87&amp;"S.19.01.01.14 Table label {"&amp;COLUMN($C$1)&amp;"}"</f>
        <v>!S.19.01.01.14 Table label {3}</v>
      </c>
      <c r="Y455" s="13" t="str">
        <f>Show!$B$87&amp;"S.19.01.01.14 Table value {"&amp;COLUMN($D$1)&amp;"}"</f>
        <v>!S.19.01.01.14 Table value {4}</v>
      </c>
    </row>
    <row r="456" spans="2:25">
      <c r="B456" t="s">
        <v>3111</v>
      </c>
    </row>
    <row r="457" spans="2:25">
      <c r="B457" s="40" t="s">
        <v>3427</v>
      </c>
      <c r="C457" s="53" t="s">
        <v>3113</v>
      </c>
      <c r="D457" s="51"/>
    </row>
    <row r="458" spans="2:25">
      <c r="B458" s="40" t="s">
        <v>3868</v>
      </c>
      <c r="C458" s="53" t="s">
        <v>3115</v>
      </c>
      <c r="D458" s="51"/>
    </row>
    <row r="459" spans="2:25">
      <c r="B459" s="40" t="s">
        <v>3606</v>
      </c>
      <c r="C459" s="53" t="s">
        <v>3323</v>
      </c>
      <c r="D459" s="51"/>
    </row>
    <row r="460" spans="2:25">
      <c r="B460" s="40" t="s">
        <v>3874</v>
      </c>
      <c r="C460" s="53" t="s">
        <v>3875</v>
      </c>
      <c r="D460" s="51"/>
    </row>
    <row r="461" spans="2:25">
      <c r="X461" s="13" t="str">
        <f>Show!$B$87&amp;Show!$B$87&amp;"S.19.01.01.14 Table label {"&amp;COLUMN($C$1)&amp;"}"</f>
        <v>!!S.19.01.01.14 Table label {3}</v>
      </c>
      <c r="Y461" s="13" t="str">
        <f>Show!$B$87&amp;Show!$B$87&amp;"S.19.01.01.14 Table value {"&amp;COLUMN($D$1)&amp;"}"</f>
        <v>!!S.19.01.01.14 Table value {4}</v>
      </c>
    </row>
    <row r="463" spans="2:25">
      <c r="D463" s="101" t="s">
        <v>2877</v>
      </c>
      <c r="E463" s="103"/>
    </row>
    <row r="464" spans="2:25">
      <c r="D464" s="104"/>
      <c r="E464" s="106"/>
    </row>
    <row r="465" spans="2:25" ht="30">
      <c r="D465" s="55" t="s">
        <v>3949</v>
      </c>
      <c r="E465" s="55" t="s">
        <v>3950</v>
      </c>
    </row>
    <row r="466" spans="2:25">
      <c r="D466" s="45" t="s">
        <v>4044</v>
      </c>
      <c r="E466" s="45" t="s">
        <v>4045</v>
      </c>
      <c r="X466" s="13" t="str">
        <f>Show!$B$87&amp;"S.19.01.01.14 Rows {"&amp;COLUMN($C$1)&amp;"}"&amp;"@ForceFilingCode:true"</f>
        <v>!S.19.01.01.14 Rows {3}@ForceFilingCode:true</v>
      </c>
      <c r="Y466" s="13" t="str">
        <f>Show!$B$87&amp;"S.19.01.01.14 Columns {"&amp;COLUMN($D$1)&amp;"}"</f>
        <v>!S.19.01.01.14 Columns {4}</v>
      </c>
    </row>
    <row r="467" spans="2:25">
      <c r="B467" s="43" t="s">
        <v>2880</v>
      </c>
      <c r="C467" s="44" t="s">
        <v>2878</v>
      </c>
      <c r="D467" s="56"/>
      <c r="E467" s="57"/>
    </row>
    <row r="468" spans="2:25">
      <c r="B468" s="47" t="s">
        <v>3947</v>
      </c>
      <c r="C468" s="41" t="s">
        <v>2977</v>
      </c>
      <c r="D468" s="60"/>
      <c r="E468" s="60"/>
    </row>
    <row r="469" spans="2:25">
      <c r="B469" s="47" t="s">
        <v>3884</v>
      </c>
      <c r="C469" s="41" t="s">
        <v>2979</v>
      </c>
      <c r="D469" s="60"/>
      <c r="E469" s="60"/>
    </row>
    <row r="470" spans="2:25">
      <c r="B470" s="47" t="s">
        <v>3885</v>
      </c>
      <c r="C470" s="41" t="s">
        <v>2981</v>
      </c>
      <c r="D470" s="60"/>
      <c r="E470" s="60"/>
    </row>
    <row r="471" spans="2:25">
      <c r="B471" s="47" t="s">
        <v>3886</v>
      </c>
      <c r="C471" s="41" t="s">
        <v>2983</v>
      </c>
      <c r="D471" s="60"/>
      <c r="E471" s="60"/>
    </row>
    <row r="472" spans="2:25">
      <c r="B472" s="47" t="s">
        <v>3887</v>
      </c>
      <c r="C472" s="41" t="s">
        <v>2985</v>
      </c>
      <c r="D472" s="60"/>
      <c r="E472" s="60"/>
    </row>
    <row r="473" spans="2:25">
      <c r="B473" s="47" t="s">
        <v>3888</v>
      </c>
      <c r="C473" s="41" t="s">
        <v>2987</v>
      </c>
      <c r="D473" s="60"/>
      <c r="E473" s="60"/>
    </row>
    <row r="474" spans="2:25">
      <c r="B474" s="47" t="s">
        <v>3889</v>
      </c>
      <c r="C474" s="41" t="s">
        <v>2989</v>
      </c>
      <c r="D474" s="60"/>
      <c r="E474" s="60"/>
    </row>
    <row r="475" spans="2:25">
      <c r="B475" s="47" t="s">
        <v>3890</v>
      </c>
      <c r="C475" s="41" t="s">
        <v>2991</v>
      </c>
      <c r="D475" s="60"/>
      <c r="E475" s="60"/>
    </row>
    <row r="476" spans="2:25">
      <c r="B476" s="47" t="s">
        <v>3891</v>
      </c>
      <c r="C476" s="41" t="s">
        <v>2993</v>
      </c>
      <c r="D476" s="60"/>
      <c r="E476" s="60"/>
    </row>
    <row r="477" spans="2:25">
      <c r="B477" s="47" t="s">
        <v>3892</v>
      </c>
      <c r="C477" s="41" t="s">
        <v>2995</v>
      </c>
      <c r="D477" s="60"/>
      <c r="E477" s="60"/>
    </row>
    <row r="478" spans="2:25">
      <c r="B478" s="47" t="s">
        <v>3893</v>
      </c>
      <c r="C478" s="41" t="s">
        <v>2997</v>
      </c>
      <c r="D478" s="60"/>
      <c r="E478" s="60"/>
    </row>
    <row r="479" spans="2:25">
      <c r="B479" s="47" t="s">
        <v>3894</v>
      </c>
      <c r="C479" s="41" t="s">
        <v>2999</v>
      </c>
      <c r="D479" s="60"/>
      <c r="E479" s="60"/>
    </row>
    <row r="480" spans="2:25">
      <c r="B480" s="47" t="s">
        <v>3895</v>
      </c>
      <c r="C480" s="41" t="s">
        <v>3001</v>
      </c>
      <c r="D480" s="60"/>
      <c r="E480" s="60"/>
    </row>
    <row r="481" spans="2:25">
      <c r="B481" s="47" t="s">
        <v>3896</v>
      </c>
      <c r="C481" s="41" t="s">
        <v>3003</v>
      </c>
      <c r="D481" s="60"/>
      <c r="E481" s="60"/>
    </row>
    <row r="482" spans="2:25">
      <c r="B482" s="47" t="s">
        <v>3897</v>
      </c>
      <c r="C482" s="41" t="s">
        <v>3005</v>
      </c>
      <c r="D482" s="60"/>
      <c r="E482" s="60"/>
    </row>
    <row r="483" spans="2:25">
      <c r="B483" s="47" t="s">
        <v>3898</v>
      </c>
      <c r="C483" s="41" t="s">
        <v>3007</v>
      </c>
      <c r="D483" s="60"/>
      <c r="E483" s="60"/>
    </row>
    <row r="484" spans="2:25">
      <c r="B484" s="47" t="s">
        <v>3480</v>
      </c>
      <c r="C484" s="41" t="s">
        <v>3009</v>
      </c>
      <c r="D484" s="60"/>
      <c r="E484" s="60"/>
    </row>
    <row r="486" spans="2:25">
      <c r="X486" s="13" t="str">
        <f>Show!$B$87&amp;Show!$B$87&amp;"S.19.01.01.14 Rows {"&amp;COLUMN($C$1)&amp;"}"</f>
        <v>!!S.19.01.01.14 Rows {3}</v>
      </c>
      <c r="Y486" s="13" t="str">
        <f>Show!$B$87&amp;Show!$B$87&amp;"S.19.01.01.14 Columns {"&amp;COLUMN($E$1)&amp;"}"</f>
        <v>!!S.19.01.01.14 Columns {5}</v>
      </c>
    </row>
    <row r="488" spans="2:25" ht="18.75">
      <c r="B488" s="97" t="s">
        <v>4046</v>
      </c>
      <c r="C488" s="96"/>
      <c r="D488" s="96"/>
      <c r="E488" s="96"/>
      <c r="F488" s="96"/>
      <c r="G488" s="96"/>
      <c r="H488" s="96"/>
      <c r="I488" s="96"/>
      <c r="J488" s="96"/>
      <c r="K488" s="96"/>
      <c r="L488" s="96"/>
    </row>
    <row r="490" spans="2:25">
      <c r="B490" t="s">
        <v>3110</v>
      </c>
      <c r="X490" s="13" t="str">
        <f>Show!$B$87&amp;"S.19.01.01.15 Table label {"&amp;COLUMN($C$1)&amp;"}"</f>
        <v>!S.19.01.01.15 Table label {3}</v>
      </c>
      <c r="Y490" s="13" t="str">
        <f>Show!$B$87&amp;"S.19.01.01.15 Table value {"&amp;COLUMN($D$1)&amp;"}"</f>
        <v>!S.19.01.01.15 Table value {4}</v>
      </c>
    </row>
    <row r="491" spans="2:25">
      <c r="B491" t="s">
        <v>3111</v>
      </c>
    </row>
    <row r="492" spans="2:25">
      <c r="B492" s="40" t="s">
        <v>3427</v>
      </c>
      <c r="C492" s="53" t="s">
        <v>3113</v>
      </c>
      <c r="D492" s="51"/>
    </row>
    <row r="493" spans="2:25">
      <c r="B493" s="40" t="s">
        <v>3868</v>
      </c>
      <c r="C493" s="53" t="s">
        <v>3115</v>
      </c>
      <c r="D493" s="51"/>
    </row>
    <row r="494" spans="2:25">
      <c r="B494" s="40" t="s">
        <v>3606</v>
      </c>
      <c r="C494" s="53" t="s">
        <v>3323</v>
      </c>
      <c r="D494" s="51"/>
    </row>
    <row r="495" spans="2:25">
      <c r="B495" s="40" t="s">
        <v>3874</v>
      </c>
      <c r="C495" s="53" t="s">
        <v>3875</v>
      </c>
      <c r="D495" s="51"/>
    </row>
    <row r="496" spans="2:25">
      <c r="X496" s="13" t="str">
        <f>Show!$B$87&amp;Show!$B$87&amp;"S.19.01.01.15 Table label {"&amp;COLUMN($C$1)&amp;"}"</f>
        <v>!!S.19.01.01.15 Table label {3}</v>
      </c>
      <c r="Y496" s="13" t="str">
        <f>Show!$B$87&amp;Show!$B$87&amp;"S.19.01.01.15 Table value {"&amp;COLUMN($D$1)&amp;"}"</f>
        <v>!!S.19.01.01.15 Table value {4}</v>
      </c>
    </row>
    <row r="498" spans="2:25">
      <c r="D498" s="101" t="s">
        <v>2877</v>
      </c>
      <c r="E498" s="102"/>
      <c r="F498" s="102"/>
      <c r="G498" s="102"/>
      <c r="H498" s="102"/>
      <c r="I498" s="102"/>
      <c r="J498" s="102"/>
      <c r="K498" s="102"/>
      <c r="L498" s="102"/>
      <c r="M498" s="102"/>
      <c r="N498" s="102"/>
      <c r="O498" s="102"/>
      <c r="P498" s="102"/>
      <c r="Q498" s="102"/>
      <c r="R498" s="102"/>
      <c r="S498" s="103"/>
    </row>
    <row r="499" spans="2:25">
      <c r="D499" s="104"/>
      <c r="E499" s="105"/>
      <c r="F499" s="105"/>
      <c r="G499" s="105"/>
      <c r="H499" s="105"/>
      <c r="I499" s="105"/>
      <c r="J499" s="105"/>
      <c r="K499" s="105"/>
      <c r="L499" s="105"/>
      <c r="M499" s="105"/>
      <c r="N499" s="105"/>
      <c r="O499" s="105"/>
      <c r="P499" s="105"/>
      <c r="Q499" s="105"/>
      <c r="R499" s="105"/>
      <c r="S499" s="106"/>
    </row>
    <row r="500" spans="2:25">
      <c r="D500" s="55">
        <v>0</v>
      </c>
      <c r="E500" s="55">
        <v>1</v>
      </c>
      <c r="F500" s="55">
        <v>2</v>
      </c>
      <c r="G500" s="55">
        <v>3</v>
      </c>
      <c r="H500" s="55">
        <v>4</v>
      </c>
      <c r="I500" s="55">
        <v>5</v>
      </c>
      <c r="J500" s="55">
        <v>6</v>
      </c>
      <c r="K500" s="55">
        <v>7</v>
      </c>
      <c r="L500" s="55">
        <v>8</v>
      </c>
      <c r="M500" s="55">
        <v>9</v>
      </c>
      <c r="N500" s="55">
        <v>10</v>
      </c>
      <c r="O500" s="55">
        <v>11</v>
      </c>
      <c r="P500" s="55">
        <v>12</v>
      </c>
      <c r="Q500" s="55">
        <v>13</v>
      </c>
      <c r="R500" s="55">
        <v>14</v>
      </c>
      <c r="S500" s="55" t="s">
        <v>3946</v>
      </c>
    </row>
    <row r="501" spans="2:25">
      <c r="D501" s="45" t="s">
        <v>4047</v>
      </c>
      <c r="E501" s="45" t="s">
        <v>4048</v>
      </c>
      <c r="F501" s="45" t="s">
        <v>4049</v>
      </c>
      <c r="G501" s="45" t="s">
        <v>4050</v>
      </c>
      <c r="H501" s="45" t="s">
        <v>4051</v>
      </c>
      <c r="I501" s="45" t="s">
        <v>4052</v>
      </c>
      <c r="J501" s="45" t="s">
        <v>4053</v>
      </c>
      <c r="K501" s="45" t="s">
        <v>4054</v>
      </c>
      <c r="L501" s="45" t="s">
        <v>4055</v>
      </c>
      <c r="M501" s="45" t="s">
        <v>4056</v>
      </c>
      <c r="N501" s="45" t="s">
        <v>4057</v>
      </c>
      <c r="O501" s="45" t="s">
        <v>4058</v>
      </c>
      <c r="P501" s="45" t="s">
        <v>4059</v>
      </c>
      <c r="Q501" s="45" t="s">
        <v>4060</v>
      </c>
      <c r="R501" s="45" t="s">
        <v>4061</v>
      </c>
      <c r="S501" s="45" t="s">
        <v>4062</v>
      </c>
      <c r="X501" s="13" t="str">
        <f>Show!$B$87&amp;"S.19.01.01.15 Rows {"&amp;COLUMN($C$1)&amp;"}"&amp;"@ForceFilingCode:true"</f>
        <v>!S.19.01.01.15 Rows {3}@ForceFilingCode:true</v>
      </c>
      <c r="Y501" s="13" t="str">
        <f>Show!$B$87&amp;"S.19.01.01.15 Columns {"&amp;COLUMN($D$1)&amp;"}"</f>
        <v>!S.19.01.01.15 Columns {4}</v>
      </c>
    </row>
    <row r="502" spans="2:25">
      <c r="B502" s="43" t="s">
        <v>2880</v>
      </c>
      <c r="C502" s="44" t="s">
        <v>2878</v>
      </c>
      <c r="D502" s="58"/>
      <c r="E502" s="67"/>
      <c r="F502" s="67"/>
      <c r="G502" s="67"/>
      <c r="H502" s="67"/>
      <c r="I502" s="67"/>
      <c r="J502" s="67"/>
      <c r="K502" s="67"/>
      <c r="L502" s="67"/>
      <c r="M502" s="67"/>
      <c r="N502" s="67"/>
      <c r="O502" s="67"/>
      <c r="P502" s="67"/>
      <c r="Q502" s="67"/>
      <c r="R502" s="67"/>
      <c r="S502" s="57"/>
    </row>
    <row r="503" spans="2:25">
      <c r="B503" s="47" t="s">
        <v>3947</v>
      </c>
      <c r="C503" s="44" t="s">
        <v>2977</v>
      </c>
      <c r="D503" s="56"/>
      <c r="E503" s="56"/>
      <c r="F503" s="56"/>
      <c r="G503" s="56"/>
      <c r="H503" s="56"/>
      <c r="I503" s="56"/>
      <c r="J503" s="56"/>
      <c r="K503" s="56"/>
      <c r="L503" s="56"/>
      <c r="M503" s="56"/>
      <c r="N503" s="56"/>
      <c r="O503" s="56"/>
      <c r="P503" s="56"/>
      <c r="Q503" s="56"/>
      <c r="R503" s="46"/>
      <c r="S503" s="63"/>
    </row>
    <row r="504" spans="2:25">
      <c r="B504" s="47" t="s">
        <v>3884</v>
      </c>
      <c r="C504" s="41" t="s">
        <v>2979</v>
      </c>
      <c r="D504" s="60"/>
      <c r="E504" s="60"/>
      <c r="F504" s="60"/>
      <c r="G504" s="60"/>
      <c r="H504" s="60"/>
      <c r="I504" s="60"/>
      <c r="J504" s="60"/>
      <c r="K504" s="60"/>
      <c r="L504" s="60"/>
      <c r="M504" s="60"/>
      <c r="N504" s="60"/>
      <c r="O504" s="60"/>
      <c r="P504" s="60"/>
      <c r="Q504" s="60"/>
      <c r="R504" s="65"/>
      <c r="S504" s="48"/>
    </row>
    <row r="505" spans="2:25">
      <c r="B505" s="47" t="s">
        <v>3885</v>
      </c>
      <c r="C505" s="41" t="s">
        <v>2981</v>
      </c>
      <c r="D505" s="60"/>
      <c r="E505" s="60"/>
      <c r="F505" s="60"/>
      <c r="G505" s="60"/>
      <c r="H505" s="60"/>
      <c r="I505" s="60"/>
      <c r="J505" s="60"/>
      <c r="K505" s="60"/>
      <c r="L505" s="60"/>
      <c r="M505" s="60"/>
      <c r="N505" s="60"/>
      <c r="O505" s="60"/>
      <c r="P505" s="60"/>
      <c r="Q505" s="65"/>
      <c r="R505" s="58"/>
      <c r="S505" s="48"/>
    </row>
    <row r="506" spans="2:25">
      <c r="B506" s="47" t="s">
        <v>3886</v>
      </c>
      <c r="C506" s="41" t="s">
        <v>2983</v>
      </c>
      <c r="D506" s="60"/>
      <c r="E506" s="60"/>
      <c r="F506" s="60"/>
      <c r="G506" s="60"/>
      <c r="H506" s="60"/>
      <c r="I506" s="60"/>
      <c r="J506" s="60"/>
      <c r="K506" s="60"/>
      <c r="L506" s="60"/>
      <c r="M506" s="60"/>
      <c r="N506" s="60"/>
      <c r="O506" s="60"/>
      <c r="P506" s="65"/>
      <c r="Q506" s="58"/>
      <c r="R506" s="58"/>
      <c r="S506" s="48"/>
    </row>
    <row r="507" spans="2:25">
      <c r="B507" s="47" t="s">
        <v>3887</v>
      </c>
      <c r="C507" s="41" t="s">
        <v>2985</v>
      </c>
      <c r="D507" s="60"/>
      <c r="E507" s="60"/>
      <c r="F507" s="60"/>
      <c r="G507" s="60"/>
      <c r="H507" s="60"/>
      <c r="I507" s="60"/>
      <c r="J507" s="60"/>
      <c r="K507" s="60"/>
      <c r="L507" s="60"/>
      <c r="M507" s="60"/>
      <c r="N507" s="60"/>
      <c r="O507" s="65"/>
      <c r="P507" s="58"/>
      <c r="Q507" s="58"/>
      <c r="R507" s="58"/>
      <c r="S507" s="48"/>
    </row>
    <row r="508" spans="2:25">
      <c r="B508" s="47" t="s">
        <v>3888</v>
      </c>
      <c r="C508" s="41" t="s">
        <v>2987</v>
      </c>
      <c r="D508" s="60"/>
      <c r="E508" s="60"/>
      <c r="F508" s="60"/>
      <c r="G508" s="60"/>
      <c r="H508" s="60"/>
      <c r="I508" s="60"/>
      <c r="J508" s="60"/>
      <c r="K508" s="60"/>
      <c r="L508" s="60"/>
      <c r="M508" s="60"/>
      <c r="N508" s="65"/>
      <c r="O508" s="58"/>
      <c r="P508" s="58"/>
      <c r="Q508" s="58"/>
      <c r="R508" s="58"/>
      <c r="S508" s="48"/>
    </row>
    <row r="509" spans="2:25">
      <c r="B509" s="47" t="s">
        <v>3889</v>
      </c>
      <c r="C509" s="41" t="s">
        <v>2989</v>
      </c>
      <c r="D509" s="60"/>
      <c r="E509" s="60"/>
      <c r="F509" s="60"/>
      <c r="G509" s="60"/>
      <c r="H509" s="60"/>
      <c r="I509" s="60"/>
      <c r="J509" s="60"/>
      <c r="K509" s="60"/>
      <c r="L509" s="60"/>
      <c r="M509" s="65"/>
      <c r="N509" s="58"/>
      <c r="O509" s="58"/>
      <c r="P509" s="58"/>
      <c r="Q509" s="58"/>
      <c r="R509" s="58"/>
      <c r="S509" s="48"/>
    </row>
    <row r="510" spans="2:25">
      <c r="B510" s="47" t="s">
        <v>3890</v>
      </c>
      <c r="C510" s="41" t="s">
        <v>2991</v>
      </c>
      <c r="D510" s="60"/>
      <c r="E510" s="60"/>
      <c r="F510" s="60"/>
      <c r="G510" s="60"/>
      <c r="H510" s="60"/>
      <c r="I510" s="60"/>
      <c r="J510" s="60"/>
      <c r="K510" s="60"/>
      <c r="L510" s="65"/>
      <c r="M510" s="58"/>
      <c r="N510" s="58"/>
      <c r="O510" s="58"/>
      <c r="P510" s="58"/>
      <c r="Q510" s="58"/>
      <c r="R510" s="58"/>
      <c r="S510" s="48"/>
    </row>
    <row r="511" spans="2:25">
      <c r="B511" s="47" t="s">
        <v>3891</v>
      </c>
      <c r="C511" s="41" t="s">
        <v>2993</v>
      </c>
      <c r="D511" s="60"/>
      <c r="E511" s="60"/>
      <c r="F511" s="60"/>
      <c r="G511" s="60"/>
      <c r="H511" s="60"/>
      <c r="I511" s="60"/>
      <c r="J511" s="60"/>
      <c r="K511" s="65"/>
      <c r="L511" s="58"/>
      <c r="M511" s="58"/>
      <c r="N511" s="58"/>
      <c r="O511" s="58"/>
      <c r="P511" s="58"/>
      <c r="Q511" s="58"/>
      <c r="R511" s="58"/>
      <c r="S511" s="48"/>
    </row>
    <row r="512" spans="2:25">
      <c r="B512" s="47" t="s">
        <v>3892</v>
      </c>
      <c r="C512" s="41" t="s">
        <v>2995</v>
      </c>
      <c r="D512" s="60"/>
      <c r="E512" s="60"/>
      <c r="F512" s="60"/>
      <c r="G512" s="60"/>
      <c r="H512" s="60"/>
      <c r="I512" s="60"/>
      <c r="J512" s="65"/>
      <c r="K512" s="58"/>
      <c r="L512" s="58"/>
      <c r="M512" s="58"/>
      <c r="N512" s="58"/>
      <c r="O512" s="58"/>
      <c r="P512" s="58"/>
      <c r="Q512" s="58"/>
      <c r="R512" s="58"/>
      <c r="S512" s="48"/>
    </row>
    <row r="513" spans="2:25">
      <c r="B513" s="47" t="s">
        <v>3893</v>
      </c>
      <c r="C513" s="41" t="s">
        <v>2997</v>
      </c>
      <c r="D513" s="60"/>
      <c r="E513" s="60"/>
      <c r="F513" s="60"/>
      <c r="G513" s="60"/>
      <c r="H513" s="60"/>
      <c r="I513" s="65"/>
      <c r="J513" s="58"/>
      <c r="K513" s="58"/>
      <c r="L513" s="58"/>
      <c r="M513" s="58"/>
      <c r="N513" s="58"/>
      <c r="O513" s="58"/>
      <c r="P513" s="58"/>
      <c r="Q513" s="58"/>
      <c r="R513" s="58"/>
      <c r="S513" s="48"/>
    </row>
    <row r="514" spans="2:25">
      <c r="B514" s="47" t="s">
        <v>3894</v>
      </c>
      <c r="C514" s="41" t="s">
        <v>2999</v>
      </c>
      <c r="D514" s="60"/>
      <c r="E514" s="60"/>
      <c r="F514" s="60"/>
      <c r="G514" s="60"/>
      <c r="H514" s="65"/>
      <c r="I514" s="58"/>
      <c r="J514" s="58"/>
      <c r="K514" s="58"/>
      <c r="L514" s="58"/>
      <c r="M514" s="58"/>
      <c r="N514" s="58"/>
      <c r="O514" s="58"/>
      <c r="P514" s="58"/>
      <c r="Q514" s="58"/>
      <c r="R514" s="58"/>
      <c r="S514" s="48"/>
    </row>
    <row r="515" spans="2:25">
      <c r="B515" s="47" t="s">
        <v>3895</v>
      </c>
      <c r="C515" s="41" t="s">
        <v>3001</v>
      </c>
      <c r="D515" s="60"/>
      <c r="E515" s="60"/>
      <c r="F515" s="60"/>
      <c r="G515" s="65"/>
      <c r="H515" s="58"/>
      <c r="I515" s="58"/>
      <c r="J515" s="58"/>
      <c r="K515" s="58"/>
      <c r="L515" s="58"/>
      <c r="M515" s="58"/>
      <c r="N515" s="58"/>
      <c r="O515" s="58"/>
      <c r="P515" s="58"/>
      <c r="Q515" s="58"/>
      <c r="R515" s="58"/>
      <c r="S515" s="48"/>
    </row>
    <row r="516" spans="2:25">
      <c r="B516" s="47" t="s">
        <v>3896</v>
      </c>
      <c r="C516" s="41" t="s">
        <v>3003</v>
      </c>
      <c r="D516" s="60"/>
      <c r="E516" s="60"/>
      <c r="F516" s="65"/>
      <c r="G516" s="58"/>
      <c r="H516" s="58"/>
      <c r="I516" s="58"/>
      <c r="J516" s="58"/>
      <c r="K516" s="58"/>
      <c r="L516" s="58"/>
      <c r="M516" s="58"/>
      <c r="N516" s="58"/>
      <c r="O516" s="58"/>
      <c r="P516" s="58"/>
      <c r="Q516" s="58"/>
      <c r="R516" s="58"/>
      <c r="S516" s="48"/>
    </row>
    <row r="517" spans="2:25">
      <c r="B517" s="47" t="s">
        <v>3897</v>
      </c>
      <c r="C517" s="41" t="s">
        <v>3005</v>
      </c>
      <c r="D517" s="60"/>
      <c r="E517" s="65"/>
      <c r="F517" s="58"/>
      <c r="G517" s="58"/>
      <c r="H517" s="58"/>
      <c r="I517" s="58"/>
      <c r="J517" s="58"/>
      <c r="K517" s="58"/>
      <c r="L517" s="58"/>
      <c r="M517" s="58"/>
      <c r="N517" s="58"/>
      <c r="O517" s="58"/>
      <c r="P517" s="58"/>
      <c r="Q517" s="58"/>
      <c r="R517" s="58"/>
      <c r="S517" s="48"/>
    </row>
    <row r="518" spans="2:25">
      <c r="B518" s="47" t="s">
        <v>3898</v>
      </c>
      <c r="C518" s="41" t="s">
        <v>3007</v>
      </c>
      <c r="D518" s="64"/>
      <c r="E518" s="56"/>
      <c r="F518" s="56"/>
      <c r="G518" s="56"/>
      <c r="H518" s="56"/>
      <c r="I518" s="56"/>
      <c r="J518" s="56"/>
      <c r="K518" s="56"/>
      <c r="L518" s="56"/>
      <c r="M518" s="56"/>
      <c r="N518" s="56"/>
      <c r="O518" s="56"/>
      <c r="P518" s="56"/>
      <c r="Q518" s="56"/>
      <c r="R518" s="56"/>
      <c r="S518" s="46"/>
    </row>
    <row r="520" spans="2:25">
      <c r="X520" s="13" t="str">
        <f>Show!$B$87&amp;Show!$B$87&amp;"S.19.01.01.15 Rows {"&amp;COLUMN($C$1)&amp;"}"</f>
        <v>!!S.19.01.01.15 Rows {3}</v>
      </c>
      <c r="Y520" s="13" t="str">
        <f>Show!$B$87&amp;Show!$B$87&amp;"S.19.01.01.15 Columns {"&amp;COLUMN($S$1)&amp;"}"</f>
        <v>!!S.19.01.01.15 Columns {19}</v>
      </c>
    </row>
    <row r="522" spans="2:25" ht="18.75">
      <c r="B522" s="97" t="s">
        <v>4063</v>
      </c>
      <c r="C522" s="96"/>
      <c r="D522" s="96"/>
      <c r="E522" s="96"/>
      <c r="F522" s="96"/>
      <c r="G522" s="96"/>
      <c r="H522" s="96"/>
      <c r="I522" s="96"/>
      <c r="J522" s="96"/>
      <c r="K522" s="96"/>
      <c r="L522" s="96"/>
    </row>
    <row r="524" spans="2:25">
      <c r="B524" t="s">
        <v>3110</v>
      </c>
      <c r="X524" s="13" t="str">
        <f>Show!$B$87&amp;"S.19.01.01.16 Table label {"&amp;COLUMN($C$1)&amp;"}"</f>
        <v>!S.19.01.01.16 Table label {3}</v>
      </c>
      <c r="Y524" s="13" t="str">
        <f>Show!$B$87&amp;"S.19.01.01.16 Table value {"&amp;COLUMN($D$1)&amp;"}"</f>
        <v>!S.19.01.01.16 Table value {4}</v>
      </c>
    </row>
    <row r="525" spans="2:25">
      <c r="B525" t="s">
        <v>3111</v>
      </c>
    </row>
    <row r="526" spans="2:25">
      <c r="B526" s="40" t="s">
        <v>3427</v>
      </c>
      <c r="C526" s="53" t="s">
        <v>3113</v>
      </c>
      <c r="D526" s="51"/>
    </row>
    <row r="527" spans="2:25">
      <c r="B527" s="40" t="s">
        <v>3868</v>
      </c>
      <c r="C527" s="53" t="s">
        <v>3115</v>
      </c>
      <c r="D527" s="51"/>
    </row>
    <row r="528" spans="2:25">
      <c r="B528" s="40" t="s">
        <v>3606</v>
      </c>
      <c r="C528" s="53" t="s">
        <v>3323</v>
      </c>
      <c r="D528" s="51"/>
    </row>
    <row r="529" spans="2:25">
      <c r="B529" s="40" t="s">
        <v>3874</v>
      </c>
      <c r="C529" s="53" t="s">
        <v>3875</v>
      </c>
      <c r="D529" s="51"/>
    </row>
    <row r="530" spans="2:25">
      <c r="X530" s="13" t="str">
        <f>Show!$B$87&amp;Show!$B$87&amp;"S.19.01.01.16 Table label {"&amp;COLUMN($C$1)&amp;"}"</f>
        <v>!!S.19.01.01.16 Table label {3}</v>
      </c>
      <c r="Y530" s="13" t="str">
        <f>Show!$B$87&amp;Show!$B$87&amp;"S.19.01.01.16 Table value {"&amp;COLUMN($D$1)&amp;"}"</f>
        <v>!!S.19.01.01.16 Table value {4}</v>
      </c>
    </row>
    <row r="532" spans="2:25">
      <c r="D532" s="98" t="s">
        <v>2877</v>
      </c>
    </row>
    <row r="533" spans="2:25">
      <c r="D533" s="100"/>
    </row>
    <row r="534" spans="2:25">
      <c r="D534" s="55" t="s">
        <v>3953</v>
      </c>
    </row>
    <row r="535" spans="2:25">
      <c r="D535" s="45" t="s">
        <v>4064</v>
      </c>
      <c r="X535" s="13" t="str">
        <f>Show!$B$87&amp;"S.19.01.01.16 Rows {"&amp;COLUMN($C$1)&amp;"}"&amp;"@ForceFilingCode:true"</f>
        <v>!S.19.01.01.16 Rows {3}@ForceFilingCode:true</v>
      </c>
      <c r="Y535" s="13" t="str">
        <f>Show!$B$87&amp;"S.19.01.01.16 Columns {"&amp;COLUMN($D$1)&amp;"}"</f>
        <v>!S.19.01.01.16 Columns {4}</v>
      </c>
    </row>
    <row r="536" spans="2:25">
      <c r="B536" s="43" t="s">
        <v>2880</v>
      </c>
      <c r="C536" s="44" t="s">
        <v>2878</v>
      </c>
      <c r="D536" s="46"/>
    </row>
    <row r="537" spans="2:25">
      <c r="B537" s="47" t="s">
        <v>3947</v>
      </c>
      <c r="C537" s="41" t="s">
        <v>2977</v>
      </c>
      <c r="D537" s="60"/>
    </row>
    <row r="538" spans="2:25">
      <c r="B538" s="47" t="s">
        <v>3884</v>
      </c>
      <c r="C538" s="41" t="s">
        <v>2979</v>
      </c>
      <c r="D538" s="60"/>
    </row>
    <row r="539" spans="2:25">
      <c r="B539" s="47" t="s">
        <v>3885</v>
      </c>
      <c r="C539" s="41" t="s">
        <v>2981</v>
      </c>
      <c r="D539" s="60"/>
    </row>
    <row r="540" spans="2:25">
      <c r="B540" s="47" t="s">
        <v>3886</v>
      </c>
      <c r="C540" s="41" t="s">
        <v>2983</v>
      </c>
      <c r="D540" s="60"/>
    </row>
    <row r="541" spans="2:25">
      <c r="B541" s="47" t="s">
        <v>3887</v>
      </c>
      <c r="C541" s="41" t="s">
        <v>2985</v>
      </c>
      <c r="D541" s="60"/>
    </row>
    <row r="542" spans="2:25">
      <c r="B542" s="47" t="s">
        <v>3888</v>
      </c>
      <c r="C542" s="41" t="s">
        <v>2987</v>
      </c>
      <c r="D542" s="60"/>
    </row>
    <row r="543" spans="2:25">
      <c r="B543" s="47" t="s">
        <v>3889</v>
      </c>
      <c r="C543" s="41" t="s">
        <v>2989</v>
      </c>
      <c r="D543" s="60"/>
    </row>
    <row r="544" spans="2:25">
      <c r="B544" s="47" t="s">
        <v>3890</v>
      </c>
      <c r="C544" s="41" t="s">
        <v>2991</v>
      </c>
      <c r="D544" s="60"/>
    </row>
    <row r="545" spans="2:25">
      <c r="B545" s="47" t="s">
        <v>3891</v>
      </c>
      <c r="C545" s="41" t="s">
        <v>2993</v>
      </c>
      <c r="D545" s="60"/>
    </row>
    <row r="546" spans="2:25">
      <c r="B546" s="47" t="s">
        <v>3892</v>
      </c>
      <c r="C546" s="41" t="s">
        <v>2995</v>
      </c>
      <c r="D546" s="60"/>
    </row>
    <row r="547" spans="2:25">
      <c r="B547" s="47" t="s">
        <v>3893</v>
      </c>
      <c r="C547" s="41" t="s">
        <v>2997</v>
      </c>
      <c r="D547" s="60"/>
    </row>
    <row r="548" spans="2:25">
      <c r="B548" s="47" t="s">
        <v>3894</v>
      </c>
      <c r="C548" s="41" t="s">
        <v>2999</v>
      </c>
      <c r="D548" s="60"/>
    </row>
    <row r="549" spans="2:25">
      <c r="B549" s="47" t="s">
        <v>3895</v>
      </c>
      <c r="C549" s="41" t="s">
        <v>3001</v>
      </c>
      <c r="D549" s="60"/>
    </row>
    <row r="550" spans="2:25">
      <c r="B550" s="47" t="s">
        <v>3896</v>
      </c>
      <c r="C550" s="41" t="s">
        <v>3003</v>
      </c>
      <c r="D550" s="60"/>
    </row>
    <row r="551" spans="2:25">
      <c r="B551" s="47" t="s">
        <v>3897</v>
      </c>
      <c r="C551" s="41" t="s">
        <v>3005</v>
      </c>
      <c r="D551" s="60"/>
    </row>
    <row r="552" spans="2:25">
      <c r="B552" s="47" t="s">
        <v>3898</v>
      </c>
      <c r="C552" s="41" t="s">
        <v>3007</v>
      </c>
      <c r="D552" s="60"/>
    </row>
    <row r="553" spans="2:25">
      <c r="B553" s="47" t="s">
        <v>3480</v>
      </c>
      <c r="C553" s="41" t="s">
        <v>3009</v>
      </c>
      <c r="D553" s="60"/>
    </row>
    <row r="555" spans="2:25">
      <c r="X555" s="13" t="str">
        <f>Show!$B$87&amp;Show!$B$87&amp;"S.19.01.01.16 Rows {"&amp;COLUMN($C$1)&amp;"}"</f>
        <v>!!S.19.01.01.16 Rows {3}</v>
      </c>
      <c r="Y555" s="13" t="str">
        <f>Show!$B$87&amp;Show!$B$87&amp;"S.19.01.01.16 Columns {"&amp;COLUMN($D$1)&amp;"}"</f>
        <v>!!S.19.01.01.16 Columns {4}</v>
      </c>
    </row>
    <row r="557" spans="2:25" ht="18.75">
      <c r="B557" s="97" t="s">
        <v>4065</v>
      </c>
      <c r="C557" s="96"/>
      <c r="D557" s="96"/>
      <c r="E557" s="96"/>
      <c r="F557" s="96"/>
      <c r="G557" s="96"/>
      <c r="H557" s="96"/>
      <c r="I557" s="96"/>
      <c r="J557" s="96"/>
      <c r="K557" s="96"/>
      <c r="L557" s="96"/>
    </row>
    <row r="559" spans="2:25">
      <c r="B559" t="s">
        <v>3110</v>
      </c>
      <c r="X559" s="13" t="str">
        <f>Show!$B$87&amp;"S.19.01.01.17 Table label {"&amp;COLUMN($C$1)&amp;"}"</f>
        <v>!S.19.01.01.17 Table label {3}</v>
      </c>
      <c r="Y559" s="13" t="str">
        <f>Show!$B$87&amp;"S.19.01.01.17 Table value {"&amp;COLUMN($D$1)&amp;"}"</f>
        <v>!S.19.01.01.17 Table value {4}</v>
      </c>
    </row>
    <row r="560" spans="2:25">
      <c r="B560" t="s">
        <v>3111</v>
      </c>
    </row>
    <row r="561" spans="2:25">
      <c r="B561" s="40" t="s">
        <v>3427</v>
      </c>
      <c r="C561" s="53" t="s">
        <v>3113</v>
      </c>
      <c r="D561" s="51"/>
    </row>
    <row r="562" spans="2:25">
      <c r="B562" s="40" t="s">
        <v>3868</v>
      </c>
      <c r="C562" s="53" t="s">
        <v>3115</v>
      </c>
      <c r="D562" s="51"/>
    </row>
    <row r="563" spans="2:25">
      <c r="B563" s="40" t="s">
        <v>3606</v>
      </c>
      <c r="C563" s="53" t="s">
        <v>3323</v>
      </c>
      <c r="D563" s="51"/>
    </row>
    <row r="564" spans="2:25">
      <c r="B564" s="40" t="s">
        <v>3874</v>
      </c>
      <c r="C564" s="53" t="s">
        <v>3875</v>
      </c>
      <c r="D564" s="51"/>
    </row>
    <row r="565" spans="2:25">
      <c r="X565" s="13" t="str">
        <f>Show!$B$87&amp;Show!$B$87&amp;"S.19.01.01.17 Table label {"&amp;COLUMN($C$1)&amp;"}"</f>
        <v>!!S.19.01.01.17 Table label {3}</v>
      </c>
      <c r="Y565" s="13" t="str">
        <f>Show!$B$87&amp;Show!$B$87&amp;"S.19.01.01.17 Table value {"&amp;COLUMN($D$1)&amp;"}"</f>
        <v>!!S.19.01.01.17 Table value {4}</v>
      </c>
    </row>
    <row r="567" spans="2:25">
      <c r="D567" s="101" t="s">
        <v>2877</v>
      </c>
      <c r="E567" s="102"/>
      <c r="F567" s="102"/>
      <c r="G567" s="102"/>
      <c r="H567" s="102"/>
      <c r="I567" s="102"/>
      <c r="J567" s="102"/>
      <c r="K567" s="102"/>
      <c r="L567" s="102"/>
      <c r="M567" s="102"/>
      <c r="N567" s="102"/>
      <c r="O567" s="102"/>
      <c r="P567" s="102"/>
      <c r="Q567" s="102"/>
      <c r="R567" s="102"/>
      <c r="S567" s="103"/>
    </row>
    <row r="568" spans="2:25">
      <c r="D568" s="104"/>
      <c r="E568" s="105"/>
      <c r="F568" s="105"/>
      <c r="G568" s="105"/>
      <c r="H568" s="105"/>
      <c r="I568" s="105"/>
      <c r="J568" s="105"/>
      <c r="K568" s="105"/>
      <c r="L568" s="105"/>
      <c r="M568" s="105"/>
      <c r="N568" s="105"/>
      <c r="O568" s="105"/>
      <c r="P568" s="105"/>
      <c r="Q568" s="105"/>
      <c r="R568" s="105"/>
      <c r="S568" s="106"/>
    </row>
    <row r="569" spans="2:25">
      <c r="D569" s="55">
        <v>0</v>
      </c>
      <c r="E569" s="55">
        <v>1</v>
      </c>
      <c r="F569" s="55">
        <v>2</v>
      </c>
      <c r="G569" s="55">
        <v>3</v>
      </c>
      <c r="H569" s="55">
        <v>4</v>
      </c>
      <c r="I569" s="55">
        <v>5</v>
      </c>
      <c r="J569" s="55">
        <v>6</v>
      </c>
      <c r="K569" s="55">
        <v>7</v>
      </c>
      <c r="L569" s="55">
        <v>8</v>
      </c>
      <c r="M569" s="55">
        <v>9</v>
      </c>
      <c r="N569" s="55">
        <v>10</v>
      </c>
      <c r="O569" s="55">
        <v>11</v>
      </c>
      <c r="P569" s="55">
        <v>12</v>
      </c>
      <c r="Q569" s="55">
        <v>13</v>
      </c>
      <c r="R569" s="55">
        <v>14</v>
      </c>
      <c r="S569" s="55" t="s">
        <v>3946</v>
      </c>
    </row>
    <row r="570" spans="2:25">
      <c r="D570" s="45" t="s">
        <v>4066</v>
      </c>
      <c r="E570" s="45" t="s">
        <v>4067</v>
      </c>
      <c r="F570" s="45" t="s">
        <v>4068</v>
      </c>
      <c r="G570" s="45" t="s">
        <v>4069</v>
      </c>
      <c r="H570" s="45" t="s">
        <v>4070</v>
      </c>
      <c r="I570" s="45" t="s">
        <v>4071</v>
      </c>
      <c r="J570" s="45" t="s">
        <v>4072</v>
      </c>
      <c r="K570" s="45" t="s">
        <v>4073</v>
      </c>
      <c r="L570" s="45" t="s">
        <v>4074</v>
      </c>
      <c r="M570" s="45" t="s">
        <v>4075</v>
      </c>
      <c r="N570" s="45" t="s">
        <v>4076</v>
      </c>
      <c r="O570" s="45" t="s">
        <v>4077</v>
      </c>
      <c r="P570" s="45" t="s">
        <v>4078</v>
      </c>
      <c r="Q570" s="45" t="s">
        <v>4079</v>
      </c>
      <c r="R570" s="45" t="s">
        <v>4080</v>
      </c>
      <c r="S570" s="45" t="s">
        <v>4081</v>
      </c>
      <c r="X570" s="13" t="str">
        <f>Show!$B$87&amp;"S.19.01.01.17 Rows {"&amp;COLUMN($C$1)&amp;"}"&amp;"@ForceFilingCode:true"</f>
        <v>!S.19.01.01.17 Rows {3}@ForceFilingCode:true</v>
      </c>
      <c r="Y570" s="13" t="str">
        <f>Show!$B$87&amp;"S.19.01.01.17 Columns {"&amp;COLUMN($D$1)&amp;"}"</f>
        <v>!S.19.01.01.17 Columns {4}</v>
      </c>
    </row>
    <row r="571" spans="2:25">
      <c r="B571" s="43" t="s">
        <v>2880</v>
      </c>
      <c r="C571" s="44" t="s">
        <v>2878</v>
      </c>
      <c r="D571" s="58"/>
      <c r="E571" s="67"/>
      <c r="F571" s="67"/>
      <c r="G571" s="67"/>
      <c r="H571" s="67"/>
      <c r="I571" s="67"/>
      <c r="J571" s="67"/>
      <c r="K571" s="67"/>
      <c r="L571" s="67"/>
      <c r="M571" s="67"/>
      <c r="N571" s="67"/>
      <c r="O571" s="67"/>
      <c r="P571" s="67"/>
      <c r="Q571" s="67"/>
      <c r="R571" s="67"/>
      <c r="S571" s="57"/>
    </row>
    <row r="572" spans="2:25">
      <c r="B572" s="47" t="s">
        <v>3947</v>
      </c>
      <c r="C572" s="44" t="s">
        <v>2977</v>
      </c>
      <c r="D572" s="56"/>
      <c r="E572" s="56"/>
      <c r="F572" s="56"/>
      <c r="G572" s="56"/>
      <c r="H572" s="56"/>
      <c r="I572" s="56"/>
      <c r="J572" s="56"/>
      <c r="K572" s="56"/>
      <c r="L572" s="56"/>
      <c r="M572" s="56"/>
      <c r="N572" s="56"/>
      <c r="O572" s="56"/>
      <c r="P572" s="56"/>
      <c r="Q572" s="56"/>
      <c r="R572" s="46"/>
      <c r="S572" s="63"/>
    </row>
    <row r="573" spans="2:25">
      <c r="B573" s="47" t="s">
        <v>3884</v>
      </c>
      <c r="C573" s="41" t="s">
        <v>2979</v>
      </c>
      <c r="D573" s="60"/>
      <c r="E573" s="60"/>
      <c r="F573" s="60"/>
      <c r="G573" s="60"/>
      <c r="H573" s="60"/>
      <c r="I573" s="60"/>
      <c r="J573" s="60"/>
      <c r="K573" s="60"/>
      <c r="L573" s="60"/>
      <c r="M573" s="60"/>
      <c r="N573" s="60"/>
      <c r="O573" s="60"/>
      <c r="P573" s="60"/>
      <c r="Q573" s="60"/>
      <c r="R573" s="65"/>
      <c r="S573" s="48"/>
    </row>
    <row r="574" spans="2:25">
      <c r="B574" s="47" t="s">
        <v>3885</v>
      </c>
      <c r="C574" s="41" t="s">
        <v>2981</v>
      </c>
      <c r="D574" s="60"/>
      <c r="E574" s="60"/>
      <c r="F574" s="60"/>
      <c r="G574" s="60"/>
      <c r="H574" s="60"/>
      <c r="I574" s="60"/>
      <c r="J574" s="60"/>
      <c r="K574" s="60"/>
      <c r="L574" s="60"/>
      <c r="M574" s="60"/>
      <c r="N574" s="60"/>
      <c r="O574" s="60"/>
      <c r="P574" s="60"/>
      <c r="Q574" s="65"/>
      <c r="R574" s="58"/>
      <c r="S574" s="48"/>
    </row>
    <row r="575" spans="2:25">
      <c r="B575" s="47" t="s">
        <v>3886</v>
      </c>
      <c r="C575" s="41" t="s">
        <v>2983</v>
      </c>
      <c r="D575" s="60"/>
      <c r="E575" s="60"/>
      <c r="F575" s="60"/>
      <c r="G575" s="60"/>
      <c r="H575" s="60"/>
      <c r="I575" s="60"/>
      <c r="J575" s="60"/>
      <c r="K575" s="60"/>
      <c r="L575" s="60"/>
      <c r="M575" s="60"/>
      <c r="N575" s="60"/>
      <c r="O575" s="60"/>
      <c r="P575" s="65"/>
      <c r="Q575" s="58"/>
      <c r="R575" s="58"/>
      <c r="S575" s="48"/>
    </row>
    <row r="576" spans="2:25">
      <c r="B576" s="47" t="s">
        <v>3887</v>
      </c>
      <c r="C576" s="41" t="s">
        <v>2985</v>
      </c>
      <c r="D576" s="60"/>
      <c r="E576" s="60"/>
      <c r="F576" s="60"/>
      <c r="G576" s="60"/>
      <c r="H576" s="60"/>
      <c r="I576" s="60"/>
      <c r="J576" s="60"/>
      <c r="K576" s="60"/>
      <c r="L576" s="60"/>
      <c r="M576" s="60"/>
      <c r="N576" s="60"/>
      <c r="O576" s="65"/>
      <c r="P576" s="58"/>
      <c r="Q576" s="58"/>
      <c r="R576" s="58"/>
      <c r="S576" s="48"/>
    </row>
    <row r="577" spans="2:25">
      <c r="B577" s="47" t="s">
        <v>3888</v>
      </c>
      <c r="C577" s="41" t="s">
        <v>2987</v>
      </c>
      <c r="D577" s="60"/>
      <c r="E577" s="60"/>
      <c r="F577" s="60"/>
      <c r="G577" s="60"/>
      <c r="H577" s="60"/>
      <c r="I577" s="60"/>
      <c r="J577" s="60"/>
      <c r="K577" s="60"/>
      <c r="L577" s="60"/>
      <c r="M577" s="60"/>
      <c r="N577" s="65"/>
      <c r="O577" s="58"/>
      <c r="P577" s="58"/>
      <c r="Q577" s="58"/>
      <c r="R577" s="58"/>
      <c r="S577" s="48"/>
    </row>
    <row r="578" spans="2:25">
      <c r="B578" s="47" t="s">
        <v>3889</v>
      </c>
      <c r="C578" s="41" t="s">
        <v>2989</v>
      </c>
      <c r="D578" s="60"/>
      <c r="E578" s="60"/>
      <c r="F578" s="60"/>
      <c r="G578" s="60"/>
      <c r="H578" s="60"/>
      <c r="I578" s="60"/>
      <c r="J578" s="60"/>
      <c r="K578" s="60"/>
      <c r="L578" s="60"/>
      <c r="M578" s="65"/>
      <c r="N578" s="58"/>
      <c r="O578" s="58"/>
      <c r="P578" s="58"/>
      <c r="Q578" s="58"/>
      <c r="R578" s="58"/>
      <c r="S578" s="48"/>
    </row>
    <row r="579" spans="2:25">
      <c r="B579" s="47" t="s">
        <v>3890</v>
      </c>
      <c r="C579" s="41" t="s">
        <v>2991</v>
      </c>
      <c r="D579" s="60"/>
      <c r="E579" s="60"/>
      <c r="F579" s="60"/>
      <c r="G579" s="60"/>
      <c r="H579" s="60"/>
      <c r="I579" s="60"/>
      <c r="J579" s="60"/>
      <c r="K579" s="60"/>
      <c r="L579" s="65"/>
      <c r="M579" s="58"/>
      <c r="N579" s="58"/>
      <c r="O579" s="58"/>
      <c r="P579" s="58"/>
      <c r="Q579" s="58"/>
      <c r="R579" s="58"/>
      <c r="S579" s="48"/>
    </row>
    <row r="580" spans="2:25">
      <c r="B580" s="47" t="s">
        <v>3891</v>
      </c>
      <c r="C580" s="41" t="s">
        <v>2993</v>
      </c>
      <c r="D580" s="60"/>
      <c r="E580" s="60"/>
      <c r="F580" s="60"/>
      <c r="G580" s="60"/>
      <c r="H580" s="60"/>
      <c r="I580" s="60"/>
      <c r="J580" s="60"/>
      <c r="K580" s="65"/>
      <c r="L580" s="58"/>
      <c r="M580" s="58"/>
      <c r="N580" s="58"/>
      <c r="O580" s="58"/>
      <c r="P580" s="58"/>
      <c r="Q580" s="58"/>
      <c r="R580" s="58"/>
      <c r="S580" s="48"/>
    </row>
    <row r="581" spans="2:25">
      <c r="B581" s="47" t="s">
        <v>3892</v>
      </c>
      <c r="C581" s="41" t="s">
        <v>2995</v>
      </c>
      <c r="D581" s="60"/>
      <c r="E581" s="60"/>
      <c r="F581" s="60"/>
      <c r="G581" s="60"/>
      <c r="H581" s="60"/>
      <c r="I581" s="60"/>
      <c r="J581" s="65"/>
      <c r="K581" s="58"/>
      <c r="L581" s="58"/>
      <c r="M581" s="58"/>
      <c r="N581" s="58"/>
      <c r="O581" s="58"/>
      <c r="P581" s="58"/>
      <c r="Q581" s="58"/>
      <c r="R581" s="58"/>
      <c r="S581" s="48"/>
    </row>
    <row r="582" spans="2:25">
      <c r="B582" s="47" t="s">
        <v>3893</v>
      </c>
      <c r="C582" s="41" t="s">
        <v>2997</v>
      </c>
      <c r="D582" s="60"/>
      <c r="E582" s="60"/>
      <c r="F582" s="60"/>
      <c r="G582" s="60"/>
      <c r="H582" s="60"/>
      <c r="I582" s="65"/>
      <c r="J582" s="58"/>
      <c r="K582" s="58"/>
      <c r="L582" s="58"/>
      <c r="M582" s="58"/>
      <c r="N582" s="58"/>
      <c r="O582" s="58"/>
      <c r="P582" s="58"/>
      <c r="Q582" s="58"/>
      <c r="R582" s="58"/>
      <c r="S582" s="48"/>
    </row>
    <row r="583" spans="2:25">
      <c r="B583" s="47" t="s">
        <v>3894</v>
      </c>
      <c r="C583" s="41" t="s">
        <v>2999</v>
      </c>
      <c r="D583" s="60"/>
      <c r="E583" s="60"/>
      <c r="F583" s="60"/>
      <c r="G583" s="60"/>
      <c r="H583" s="65"/>
      <c r="I583" s="58"/>
      <c r="J583" s="58"/>
      <c r="K583" s="58"/>
      <c r="L583" s="58"/>
      <c r="M583" s="58"/>
      <c r="N583" s="58"/>
      <c r="O583" s="58"/>
      <c r="P583" s="58"/>
      <c r="Q583" s="58"/>
      <c r="R583" s="58"/>
      <c r="S583" s="48"/>
    </row>
    <row r="584" spans="2:25">
      <c r="B584" s="47" t="s">
        <v>3895</v>
      </c>
      <c r="C584" s="41" t="s">
        <v>3001</v>
      </c>
      <c r="D584" s="60"/>
      <c r="E584" s="60"/>
      <c r="F584" s="60"/>
      <c r="G584" s="65"/>
      <c r="H584" s="58"/>
      <c r="I584" s="58"/>
      <c r="J584" s="58"/>
      <c r="K584" s="58"/>
      <c r="L584" s="58"/>
      <c r="M584" s="58"/>
      <c r="N584" s="58"/>
      <c r="O584" s="58"/>
      <c r="P584" s="58"/>
      <c r="Q584" s="58"/>
      <c r="R584" s="58"/>
      <c r="S584" s="48"/>
    </row>
    <row r="585" spans="2:25">
      <c r="B585" s="47" t="s">
        <v>3896</v>
      </c>
      <c r="C585" s="41" t="s">
        <v>3003</v>
      </c>
      <c r="D585" s="60"/>
      <c r="E585" s="60"/>
      <c r="F585" s="65"/>
      <c r="G585" s="58"/>
      <c r="H585" s="58"/>
      <c r="I585" s="58"/>
      <c r="J585" s="58"/>
      <c r="K585" s="58"/>
      <c r="L585" s="58"/>
      <c r="M585" s="58"/>
      <c r="N585" s="58"/>
      <c r="O585" s="58"/>
      <c r="P585" s="58"/>
      <c r="Q585" s="58"/>
      <c r="R585" s="58"/>
      <c r="S585" s="48"/>
    </row>
    <row r="586" spans="2:25">
      <c r="B586" s="47" t="s">
        <v>3897</v>
      </c>
      <c r="C586" s="41" t="s">
        <v>3005</v>
      </c>
      <c r="D586" s="60"/>
      <c r="E586" s="65"/>
      <c r="F586" s="58"/>
      <c r="G586" s="58"/>
      <c r="H586" s="58"/>
      <c r="I586" s="58"/>
      <c r="J586" s="58"/>
      <c r="K586" s="58"/>
      <c r="L586" s="58"/>
      <c r="M586" s="58"/>
      <c r="N586" s="58"/>
      <c r="O586" s="58"/>
      <c r="P586" s="58"/>
      <c r="Q586" s="58"/>
      <c r="R586" s="58"/>
      <c r="S586" s="48"/>
    </row>
    <row r="587" spans="2:25">
      <c r="B587" s="47" t="s">
        <v>3898</v>
      </c>
      <c r="C587" s="41" t="s">
        <v>3007</v>
      </c>
      <c r="D587" s="64"/>
      <c r="E587" s="56"/>
      <c r="F587" s="56"/>
      <c r="G587" s="56"/>
      <c r="H587" s="56"/>
      <c r="I587" s="56"/>
      <c r="J587" s="56"/>
      <c r="K587" s="56"/>
      <c r="L587" s="56"/>
      <c r="M587" s="56"/>
      <c r="N587" s="56"/>
      <c r="O587" s="56"/>
      <c r="P587" s="56"/>
      <c r="Q587" s="56"/>
      <c r="R587" s="56"/>
      <c r="S587" s="46"/>
    </row>
    <row r="589" spans="2:25">
      <c r="X589" s="13" t="str">
        <f>Show!$B$87&amp;Show!$B$87&amp;"S.19.01.01.17 Rows {"&amp;COLUMN($C$1)&amp;"}"</f>
        <v>!!S.19.01.01.17 Rows {3}</v>
      </c>
      <c r="Y589" s="13" t="str">
        <f>Show!$B$87&amp;Show!$B$87&amp;"S.19.01.01.17 Columns {"&amp;COLUMN($S$1)&amp;"}"</f>
        <v>!!S.19.01.01.17 Columns {19}</v>
      </c>
    </row>
    <row r="591" spans="2:25" ht="18.75">
      <c r="B591" s="97" t="s">
        <v>4082</v>
      </c>
      <c r="C591" s="96"/>
      <c r="D591" s="96"/>
      <c r="E591" s="96"/>
      <c r="F591" s="96"/>
      <c r="G591" s="96"/>
      <c r="H591" s="96"/>
      <c r="I591" s="96"/>
      <c r="J591" s="96"/>
      <c r="K591" s="96"/>
      <c r="L591" s="96"/>
    </row>
    <row r="593" spans="2:25">
      <c r="B593" t="s">
        <v>3110</v>
      </c>
      <c r="X593" s="13" t="str">
        <f>Show!$B$87&amp;"S.19.01.01.18 Table label {"&amp;COLUMN($C$1)&amp;"}"</f>
        <v>!S.19.01.01.18 Table label {3}</v>
      </c>
      <c r="Y593" s="13" t="str">
        <f>Show!$B$87&amp;"S.19.01.01.18 Table value {"&amp;COLUMN($D$1)&amp;"}"</f>
        <v>!S.19.01.01.18 Table value {4}</v>
      </c>
    </row>
    <row r="594" spans="2:25">
      <c r="B594" t="s">
        <v>3111</v>
      </c>
    </row>
    <row r="595" spans="2:25">
      <c r="B595" s="40" t="s">
        <v>3427</v>
      </c>
      <c r="C595" s="53" t="s">
        <v>3113</v>
      </c>
      <c r="D595" s="51"/>
    </row>
    <row r="596" spans="2:25">
      <c r="B596" s="40" t="s">
        <v>3868</v>
      </c>
      <c r="C596" s="53" t="s">
        <v>3115</v>
      </c>
      <c r="D596" s="51"/>
    </row>
    <row r="597" spans="2:25">
      <c r="B597" s="40" t="s">
        <v>3606</v>
      </c>
      <c r="C597" s="53" t="s">
        <v>3323</v>
      </c>
      <c r="D597" s="51"/>
    </row>
    <row r="598" spans="2:25">
      <c r="B598" s="40" t="s">
        <v>3874</v>
      </c>
      <c r="C598" s="53" t="s">
        <v>3875</v>
      </c>
      <c r="D598" s="51"/>
    </row>
    <row r="599" spans="2:25">
      <c r="X599" s="13" t="str">
        <f>Show!$B$87&amp;Show!$B$87&amp;"S.19.01.01.18 Table label {"&amp;COLUMN($C$1)&amp;"}"</f>
        <v>!!S.19.01.01.18 Table label {3}</v>
      </c>
      <c r="Y599" s="13" t="str">
        <f>Show!$B$87&amp;Show!$B$87&amp;"S.19.01.01.18 Table value {"&amp;COLUMN($D$1)&amp;"}"</f>
        <v>!!S.19.01.01.18 Table value {4}</v>
      </c>
    </row>
    <row r="601" spans="2:25">
      <c r="D601" s="98" t="s">
        <v>2877</v>
      </c>
    </row>
    <row r="602" spans="2:25">
      <c r="D602" s="100"/>
    </row>
    <row r="603" spans="2:25">
      <c r="D603" s="55" t="s">
        <v>3953</v>
      </c>
    </row>
    <row r="604" spans="2:25">
      <c r="D604" s="45" t="s">
        <v>4083</v>
      </c>
      <c r="X604" s="13" t="str">
        <f>Show!$B$87&amp;"S.19.01.01.18 Rows {"&amp;COLUMN($C$1)&amp;"}"&amp;"@ForceFilingCode:true"</f>
        <v>!S.19.01.01.18 Rows {3}@ForceFilingCode:true</v>
      </c>
      <c r="Y604" s="13" t="str">
        <f>Show!$B$87&amp;"S.19.01.01.18 Columns {"&amp;COLUMN($D$1)&amp;"}"</f>
        <v>!S.19.01.01.18 Columns {4}</v>
      </c>
    </row>
    <row r="605" spans="2:25">
      <c r="B605" s="43" t="s">
        <v>2880</v>
      </c>
      <c r="C605" s="44" t="s">
        <v>2878</v>
      </c>
      <c r="D605" s="46"/>
    </row>
    <row r="606" spans="2:25">
      <c r="B606" s="47" t="s">
        <v>3947</v>
      </c>
      <c r="C606" s="41" t="s">
        <v>2977</v>
      </c>
      <c r="D606" s="60"/>
    </row>
    <row r="607" spans="2:25">
      <c r="B607" s="47" t="s">
        <v>3884</v>
      </c>
      <c r="C607" s="41" t="s">
        <v>2979</v>
      </c>
      <c r="D607" s="60"/>
    </row>
    <row r="608" spans="2:25">
      <c r="B608" s="47" t="s">
        <v>3885</v>
      </c>
      <c r="C608" s="41" t="s">
        <v>2981</v>
      </c>
      <c r="D608" s="60"/>
    </row>
    <row r="609" spans="2:25">
      <c r="B609" s="47" t="s">
        <v>3886</v>
      </c>
      <c r="C609" s="41" t="s">
        <v>2983</v>
      </c>
      <c r="D609" s="60"/>
    </row>
    <row r="610" spans="2:25">
      <c r="B610" s="47" t="s">
        <v>3887</v>
      </c>
      <c r="C610" s="41" t="s">
        <v>2985</v>
      </c>
      <c r="D610" s="60"/>
    </row>
    <row r="611" spans="2:25">
      <c r="B611" s="47" t="s">
        <v>3888</v>
      </c>
      <c r="C611" s="41" t="s">
        <v>2987</v>
      </c>
      <c r="D611" s="60"/>
    </row>
    <row r="612" spans="2:25">
      <c r="B612" s="47" t="s">
        <v>3889</v>
      </c>
      <c r="C612" s="41" t="s">
        <v>2989</v>
      </c>
      <c r="D612" s="60"/>
    </row>
    <row r="613" spans="2:25">
      <c r="B613" s="47" t="s">
        <v>3890</v>
      </c>
      <c r="C613" s="41" t="s">
        <v>2991</v>
      </c>
      <c r="D613" s="60"/>
    </row>
    <row r="614" spans="2:25">
      <c r="B614" s="47" t="s">
        <v>3891</v>
      </c>
      <c r="C614" s="41" t="s">
        <v>2993</v>
      </c>
      <c r="D614" s="60"/>
    </row>
    <row r="615" spans="2:25">
      <c r="B615" s="47" t="s">
        <v>3892</v>
      </c>
      <c r="C615" s="41" t="s">
        <v>2995</v>
      </c>
      <c r="D615" s="60"/>
    </row>
    <row r="616" spans="2:25">
      <c r="B616" s="47" t="s">
        <v>3893</v>
      </c>
      <c r="C616" s="41" t="s">
        <v>2997</v>
      </c>
      <c r="D616" s="60"/>
    </row>
    <row r="617" spans="2:25">
      <c r="B617" s="47" t="s">
        <v>3894</v>
      </c>
      <c r="C617" s="41" t="s">
        <v>2999</v>
      </c>
      <c r="D617" s="60"/>
    </row>
    <row r="618" spans="2:25">
      <c r="B618" s="47" t="s">
        <v>3895</v>
      </c>
      <c r="C618" s="41" t="s">
        <v>3001</v>
      </c>
      <c r="D618" s="60"/>
    </row>
    <row r="619" spans="2:25">
      <c r="B619" s="47" t="s">
        <v>3896</v>
      </c>
      <c r="C619" s="41" t="s">
        <v>3003</v>
      </c>
      <c r="D619" s="60"/>
    </row>
    <row r="620" spans="2:25">
      <c r="B620" s="47" t="s">
        <v>3897</v>
      </c>
      <c r="C620" s="41" t="s">
        <v>3005</v>
      </c>
      <c r="D620" s="60"/>
    </row>
    <row r="621" spans="2:25">
      <c r="B621" s="47" t="s">
        <v>3898</v>
      </c>
      <c r="C621" s="41" t="s">
        <v>3007</v>
      </c>
      <c r="D621" s="60"/>
    </row>
    <row r="622" spans="2:25">
      <c r="B622" s="47" t="s">
        <v>3480</v>
      </c>
      <c r="C622" s="41" t="s">
        <v>3009</v>
      </c>
      <c r="D622" s="60"/>
    </row>
    <row r="624" spans="2:25">
      <c r="X624" s="13" t="str">
        <f>Show!$B$87&amp;Show!$B$87&amp;"S.19.01.01.18 Rows {"&amp;COLUMN($C$1)&amp;"}"</f>
        <v>!!S.19.01.01.18 Rows {3}</v>
      </c>
      <c r="Y624" s="13" t="str">
        <f>Show!$B$87&amp;Show!$B$87&amp;"S.19.01.01.18 Columns {"&amp;COLUMN($D$1)&amp;"}"</f>
        <v>!!S.19.01.01.18 Columns {4}</v>
      </c>
    </row>
    <row r="626" spans="2:25" ht="18.75">
      <c r="B626" s="97" t="s">
        <v>4084</v>
      </c>
      <c r="C626" s="96"/>
      <c r="D626" s="96"/>
      <c r="E626" s="96"/>
      <c r="F626" s="96"/>
      <c r="G626" s="96"/>
      <c r="H626" s="96"/>
      <c r="I626" s="96"/>
      <c r="J626" s="96"/>
      <c r="K626" s="96"/>
      <c r="L626" s="96"/>
    </row>
    <row r="628" spans="2:25">
      <c r="B628" t="s">
        <v>3110</v>
      </c>
      <c r="X628" s="13" t="str">
        <f>Show!$B$87&amp;"S.19.01.01.19 Table label {"&amp;COLUMN($C$1)&amp;"}"</f>
        <v>!S.19.01.01.19 Table label {3}</v>
      </c>
      <c r="Y628" s="13" t="str">
        <f>Show!$B$87&amp;"S.19.01.01.19 Table value {"&amp;COLUMN($D$1)&amp;"}"</f>
        <v>!S.19.01.01.19 Table value {4}</v>
      </c>
    </row>
    <row r="629" spans="2:25">
      <c r="B629" t="s">
        <v>3111</v>
      </c>
    </row>
    <row r="630" spans="2:25">
      <c r="B630" s="40" t="s">
        <v>3427</v>
      </c>
      <c r="C630" s="53" t="s">
        <v>3113</v>
      </c>
      <c r="D630" s="51"/>
    </row>
    <row r="631" spans="2:25">
      <c r="B631" s="40" t="s">
        <v>3606</v>
      </c>
      <c r="C631" s="53" t="s">
        <v>3323</v>
      </c>
      <c r="D631" s="51"/>
    </row>
    <row r="632" spans="2:25">
      <c r="X632" s="13" t="str">
        <f>Show!$B$87&amp;Show!$B$87&amp;"S.19.01.01.19 Table label {"&amp;COLUMN($C$1)&amp;"}"</f>
        <v>!!S.19.01.01.19 Table label {3}</v>
      </c>
      <c r="Y632" s="13" t="str">
        <f>Show!$B$87&amp;Show!$B$87&amp;"S.19.01.01.19 Table value {"&amp;COLUMN($D$1)&amp;"}"</f>
        <v>!!S.19.01.01.19 Table value {4}</v>
      </c>
    </row>
    <row r="634" spans="2:25">
      <c r="D634" s="101" t="s">
        <v>2877</v>
      </c>
      <c r="E634" s="102"/>
      <c r="F634" s="102"/>
      <c r="G634" s="102"/>
      <c r="H634" s="102"/>
      <c r="I634" s="102"/>
      <c r="J634" s="102"/>
      <c r="K634" s="102"/>
      <c r="L634" s="102"/>
      <c r="M634" s="102"/>
      <c r="N634" s="102"/>
      <c r="O634" s="102"/>
      <c r="P634" s="102"/>
      <c r="Q634" s="102"/>
      <c r="R634" s="103"/>
    </row>
    <row r="635" spans="2:25">
      <c r="D635" s="104"/>
      <c r="E635" s="105"/>
      <c r="F635" s="105"/>
      <c r="G635" s="105"/>
      <c r="H635" s="105"/>
      <c r="I635" s="105"/>
      <c r="J635" s="105"/>
      <c r="K635" s="105"/>
      <c r="L635" s="105"/>
      <c r="M635" s="105"/>
      <c r="N635" s="105"/>
      <c r="O635" s="105"/>
      <c r="P635" s="105"/>
      <c r="Q635" s="105"/>
      <c r="R635" s="106"/>
    </row>
    <row r="636" spans="2:25">
      <c r="D636" s="55" t="s">
        <v>3884</v>
      </c>
      <c r="E636" s="55" t="s">
        <v>3885</v>
      </c>
      <c r="F636" s="55" t="s">
        <v>3886</v>
      </c>
      <c r="G636" s="55" t="s">
        <v>3887</v>
      </c>
      <c r="H636" s="55" t="s">
        <v>3888</v>
      </c>
      <c r="I636" s="55" t="s">
        <v>3889</v>
      </c>
      <c r="J636" s="55" t="s">
        <v>3890</v>
      </c>
      <c r="K636" s="55" t="s">
        <v>3891</v>
      </c>
      <c r="L636" s="55" t="s">
        <v>3892</v>
      </c>
      <c r="M636" s="55" t="s">
        <v>3893</v>
      </c>
      <c r="N636" s="55" t="s">
        <v>3894</v>
      </c>
      <c r="O636" s="55" t="s">
        <v>3895</v>
      </c>
      <c r="P636" s="55" t="s">
        <v>3896</v>
      </c>
      <c r="Q636" s="55" t="s">
        <v>3897</v>
      </c>
      <c r="R636" s="55" t="s">
        <v>3898</v>
      </c>
    </row>
    <row r="637" spans="2:25">
      <c r="D637" s="45" t="s">
        <v>4085</v>
      </c>
      <c r="E637" s="45" t="s">
        <v>4086</v>
      </c>
      <c r="F637" s="45" t="s">
        <v>4087</v>
      </c>
      <c r="G637" s="45" t="s">
        <v>4088</v>
      </c>
      <c r="H637" s="45" t="s">
        <v>4089</v>
      </c>
      <c r="I637" s="45" t="s">
        <v>4090</v>
      </c>
      <c r="J637" s="45" t="s">
        <v>4091</v>
      </c>
      <c r="K637" s="45" t="s">
        <v>4092</v>
      </c>
      <c r="L637" s="45" t="s">
        <v>4093</v>
      </c>
      <c r="M637" s="45" t="s">
        <v>4094</v>
      </c>
      <c r="N637" s="45" t="s">
        <v>4095</v>
      </c>
      <c r="O637" s="45" t="s">
        <v>4096</v>
      </c>
      <c r="P637" s="45" t="s">
        <v>4097</v>
      </c>
      <c r="Q637" s="45" t="s">
        <v>4098</v>
      </c>
      <c r="R637" s="45" t="s">
        <v>4099</v>
      </c>
      <c r="X637" s="13" t="str">
        <f>Show!$B$87&amp;"S.19.01.01.19 Rows {"&amp;COLUMN($C$1)&amp;"}"&amp;"@ForceFilingCode:true"</f>
        <v>!S.19.01.01.19 Rows {3}@ForceFilingCode:true</v>
      </c>
      <c r="Y637" s="13" t="str">
        <f>Show!$B$87&amp;"S.19.01.01.19 Columns {"&amp;COLUMN($D$1)&amp;"}"</f>
        <v>!S.19.01.01.19 Columns {4}</v>
      </c>
    </row>
    <row r="638" spans="2:25">
      <c r="B638" s="43" t="s">
        <v>2880</v>
      </c>
      <c r="C638" s="44" t="s">
        <v>2878</v>
      </c>
      <c r="D638" s="56"/>
      <c r="E638" s="66"/>
      <c r="F638" s="66"/>
      <c r="G638" s="66"/>
      <c r="H638" s="66"/>
      <c r="I638" s="66"/>
      <c r="J638" s="66"/>
      <c r="K638" s="66"/>
      <c r="L638" s="66"/>
      <c r="M638" s="66"/>
      <c r="N638" s="66"/>
      <c r="O638" s="66"/>
      <c r="P638" s="66"/>
      <c r="Q638" s="66"/>
      <c r="R638" s="57"/>
    </row>
    <row r="639" spans="2:25">
      <c r="B639" s="47" t="s">
        <v>4100</v>
      </c>
      <c r="C639" s="41" t="s">
        <v>3064</v>
      </c>
      <c r="D639" s="70"/>
      <c r="E639" s="70"/>
      <c r="F639" s="70"/>
      <c r="G639" s="70"/>
      <c r="H639" s="70"/>
      <c r="I639" s="70"/>
      <c r="J639" s="70"/>
      <c r="K639" s="70"/>
      <c r="L639" s="70"/>
      <c r="M639" s="70"/>
      <c r="N639" s="70"/>
      <c r="O639" s="70"/>
      <c r="P639" s="70"/>
      <c r="Q639" s="70"/>
      <c r="R639" s="70"/>
    </row>
    <row r="640" spans="2:25">
      <c r="B640" s="47" t="s">
        <v>4101</v>
      </c>
      <c r="C640" s="41" t="s">
        <v>3066</v>
      </c>
      <c r="D640" s="70"/>
      <c r="E640" s="70"/>
      <c r="F640" s="70"/>
      <c r="G640" s="70"/>
      <c r="H640" s="70"/>
      <c r="I640" s="70"/>
      <c r="J640" s="70"/>
      <c r="K640" s="70"/>
      <c r="L640" s="70"/>
      <c r="M640" s="70"/>
      <c r="N640" s="70"/>
      <c r="O640" s="70"/>
      <c r="P640" s="70"/>
      <c r="Q640" s="70"/>
      <c r="R640" s="70"/>
    </row>
    <row r="641" spans="2:25">
      <c r="B641" s="47" t="s">
        <v>4102</v>
      </c>
      <c r="C641" s="41" t="s">
        <v>3068</v>
      </c>
      <c r="D641" s="70"/>
      <c r="E641" s="70"/>
      <c r="F641" s="70"/>
      <c r="G641" s="70"/>
      <c r="H641" s="70"/>
      <c r="I641" s="70"/>
      <c r="J641" s="70"/>
      <c r="K641" s="70"/>
      <c r="L641" s="70"/>
      <c r="M641" s="70"/>
      <c r="N641" s="70"/>
      <c r="O641" s="70"/>
      <c r="P641" s="70"/>
      <c r="Q641" s="70"/>
      <c r="R641" s="70"/>
    </row>
    <row r="643" spans="2:25">
      <c r="X643" s="13" t="str">
        <f>Show!$B$87&amp;Show!$B$87&amp;"S.19.01.01.19 Rows {"&amp;COLUMN($C$1)&amp;"}"</f>
        <v>!!S.19.01.01.19 Rows {3}</v>
      </c>
      <c r="Y643" s="13" t="str">
        <f>Show!$B$87&amp;Show!$B$87&amp;"S.19.01.01.19 Columns {"&amp;COLUMN($R$1)&amp;"}"</f>
        <v>!!S.19.01.01.19 Columns {18}</v>
      </c>
    </row>
    <row r="645" spans="2:25" ht="18.75">
      <c r="B645" s="97" t="s">
        <v>4103</v>
      </c>
      <c r="C645" s="96"/>
      <c r="D645" s="96"/>
      <c r="E645" s="96"/>
      <c r="F645" s="96"/>
      <c r="G645" s="96"/>
      <c r="H645" s="96"/>
      <c r="I645" s="96"/>
      <c r="J645" s="96"/>
      <c r="K645" s="96"/>
      <c r="L645" s="96"/>
    </row>
    <row r="647" spans="2:25">
      <c r="B647" t="s">
        <v>3110</v>
      </c>
      <c r="X647" s="13" t="str">
        <f>Show!$B$87&amp;"S.19.01.01.20 Table label {"&amp;COLUMN($C$1)&amp;"}"</f>
        <v>!S.19.01.01.20 Table label {3}</v>
      </c>
      <c r="Y647" s="13" t="str">
        <f>Show!$B$87&amp;"S.19.01.01.20 Table value {"&amp;COLUMN($D$1)&amp;"}"</f>
        <v>!S.19.01.01.20 Table value {4}</v>
      </c>
    </row>
    <row r="648" spans="2:25">
      <c r="B648" t="s">
        <v>3111</v>
      </c>
    </row>
    <row r="649" spans="2:25">
      <c r="B649" s="40" t="s">
        <v>3427</v>
      </c>
      <c r="C649" s="53" t="s">
        <v>3113</v>
      </c>
      <c r="D649" s="51"/>
    </row>
    <row r="650" spans="2:25">
      <c r="B650" s="40" t="s">
        <v>3606</v>
      </c>
      <c r="C650" s="53" t="s">
        <v>3323</v>
      </c>
      <c r="D650" s="51"/>
    </row>
    <row r="651" spans="2:25">
      <c r="X651" s="13" t="str">
        <f>Show!$B$87&amp;Show!$B$87&amp;"S.19.01.01.20 Table label {"&amp;COLUMN($C$1)&amp;"}"</f>
        <v>!!S.19.01.01.20 Table label {3}</v>
      </c>
      <c r="Y651" s="13" t="str">
        <f>Show!$B$87&amp;Show!$B$87&amp;"S.19.01.01.20 Table value {"&amp;COLUMN($D$1)&amp;"}"</f>
        <v>!!S.19.01.01.20 Table value {4}</v>
      </c>
    </row>
    <row r="653" spans="2:25">
      <c r="D653" s="101" t="s">
        <v>2877</v>
      </c>
      <c r="E653" s="102"/>
      <c r="F653" s="102"/>
      <c r="G653" s="102"/>
      <c r="H653" s="102"/>
      <c r="I653" s="102"/>
      <c r="J653" s="102"/>
      <c r="K653" s="102"/>
      <c r="L653" s="102"/>
      <c r="M653" s="102"/>
      <c r="N653" s="102"/>
      <c r="O653" s="102"/>
      <c r="P653" s="102"/>
      <c r="Q653" s="102"/>
      <c r="R653" s="103"/>
    </row>
    <row r="654" spans="2:25">
      <c r="D654" s="104"/>
      <c r="E654" s="105"/>
      <c r="F654" s="105"/>
      <c r="G654" s="105"/>
      <c r="H654" s="105"/>
      <c r="I654" s="105"/>
      <c r="J654" s="105"/>
      <c r="K654" s="105"/>
      <c r="L654" s="105"/>
      <c r="M654" s="105"/>
      <c r="N654" s="105"/>
      <c r="O654" s="105"/>
      <c r="P654" s="105"/>
      <c r="Q654" s="105"/>
      <c r="R654" s="106"/>
    </row>
    <row r="655" spans="2:25">
      <c r="D655" s="55" t="s">
        <v>4104</v>
      </c>
      <c r="E655" s="55" t="s">
        <v>4106</v>
      </c>
      <c r="F655" s="55" t="s">
        <v>4108</v>
      </c>
      <c r="G655" s="55" t="s">
        <v>4110</v>
      </c>
      <c r="H655" s="55" t="s">
        <v>4112</v>
      </c>
      <c r="I655" s="55" t="s">
        <v>4114</v>
      </c>
      <c r="J655" s="55" t="s">
        <v>4116</v>
      </c>
      <c r="K655" s="55" t="s">
        <v>4118</v>
      </c>
      <c r="L655" s="55" t="s">
        <v>4120</v>
      </c>
      <c r="M655" s="55" t="s">
        <v>4122</v>
      </c>
      <c r="N655" s="55" t="s">
        <v>4124</v>
      </c>
      <c r="O655" s="55" t="s">
        <v>4126</v>
      </c>
      <c r="P655" s="55" t="s">
        <v>4128</v>
      </c>
      <c r="Q655" s="55" t="s">
        <v>4130</v>
      </c>
      <c r="R655" s="55" t="s">
        <v>4132</v>
      </c>
    </row>
    <row r="656" spans="2:25">
      <c r="D656" s="45" t="s">
        <v>4105</v>
      </c>
      <c r="E656" s="45" t="s">
        <v>4107</v>
      </c>
      <c r="F656" s="45" t="s">
        <v>4109</v>
      </c>
      <c r="G656" s="45" t="s">
        <v>4111</v>
      </c>
      <c r="H656" s="45" t="s">
        <v>4113</v>
      </c>
      <c r="I656" s="45" t="s">
        <v>4115</v>
      </c>
      <c r="J656" s="45" t="s">
        <v>4117</v>
      </c>
      <c r="K656" s="45" t="s">
        <v>4119</v>
      </c>
      <c r="L656" s="45" t="s">
        <v>4121</v>
      </c>
      <c r="M656" s="45" t="s">
        <v>4123</v>
      </c>
      <c r="N656" s="45" t="s">
        <v>4125</v>
      </c>
      <c r="O656" s="45" t="s">
        <v>4127</v>
      </c>
      <c r="P656" s="45" t="s">
        <v>4129</v>
      </c>
      <c r="Q656" s="45" t="s">
        <v>4131</v>
      </c>
      <c r="R656" s="45" t="s">
        <v>4133</v>
      </c>
      <c r="X656" s="13" t="str">
        <f>Show!$B$87&amp;"S.19.01.01.20 Rows {"&amp;COLUMN($C$1)&amp;"}"&amp;"@ForceFilingCode:true"</f>
        <v>!S.19.01.01.20 Rows {3}@ForceFilingCode:true</v>
      </c>
      <c r="Y656" s="13" t="str">
        <f>Show!$B$87&amp;"S.19.01.01.20 Columns {"&amp;COLUMN($D$1)&amp;"}"</f>
        <v>!S.19.01.01.20 Columns {4}</v>
      </c>
    </row>
    <row r="657" spans="2:25">
      <c r="B657" s="43" t="s">
        <v>2880</v>
      </c>
      <c r="C657" s="44" t="s">
        <v>2878</v>
      </c>
      <c r="D657" s="56"/>
      <c r="E657" s="66"/>
      <c r="F657" s="66"/>
      <c r="G657" s="66"/>
      <c r="H657" s="66"/>
      <c r="I657" s="66"/>
      <c r="J657" s="66"/>
      <c r="K657" s="66"/>
      <c r="L657" s="66"/>
      <c r="M657" s="66"/>
      <c r="N657" s="66"/>
      <c r="O657" s="66"/>
      <c r="P657" s="66"/>
      <c r="Q657" s="66"/>
      <c r="R657" s="57"/>
    </row>
    <row r="658" spans="2:25">
      <c r="B658" s="47" t="s">
        <v>4134</v>
      </c>
      <c r="C658" s="41" t="s">
        <v>3070</v>
      </c>
      <c r="D658" s="70"/>
      <c r="E658" s="70"/>
      <c r="F658" s="70"/>
      <c r="G658" s="70"/>
      <c r="H658" s="70"/>
      <c r="I658" s="70"/>
      <c r="J658" s="70"/>
      <c r="K658" s="70"/>
      <c r="L658" s="70"/>
      <c r="M658" s="70"/>
      <c r="N658" s="70"/>
      <c r="O658" s="70"/>
      <c r="P658" s="70"/>
      <c r="Q658" s="70"/>
      <c r="R658" s="70"/>
    </row>
    <row r="659" spans="2:25">
      <c r="B659" s="47" t="s">
        <v>4135</v>
      </c>
      <c r="C659" s="41" t="s">
        <v>3017</v>
      </c>
      <c r="D659" s="70"/>
      <c r="E659" s="70"/>
      <c r="F659" s="70"/>
      <c r="G659" s="70"/>
      <c r="H659" s="70"/>
      <c r="I659" s="70"/>
      <c r="J659" s="70"/>
      <c r="K659" s="70"/>
      <c r="L659" s="70"/>
      <c r="M659" s="70"/>
      <c r="N659" s="70"/>
      <c r="O659" s="70"/>
      <c r="P659" s="70"/>
      <c r="Q659" s="70"/>
      <c r="R659" s="70"/>
    </row>
    <row r="660" spans="2:25">
      <c r="B660" s="47" t="s">
        <v>4136</v>
      </c>
      <c r="C660" s="41" t="s">
        <v>3019</v>
      </c>
      <c r="D660" s="70"/>
      <c r="E660" s="70"/>
      <c r="F660" s="70"/>
      <c r="G660" s="70"/>
      <c r="H660" s="70"/>
      <c r="I660" s="70"/>
      <c r="J660" s="70"/>
      <c r="K660" s="70"/>
      <c r="L660" s="70"/>
      <c r="M660" s="70"/>
      <c r="N660" s="70"/>
      <c r="O660" s="70"/>
      <c r="P660" s="70"/>
      <c r="Q660" s="70"/>
      <c r="R660" s="70"/>
    </row>
    <row r="662" spans="2:25">
      <c r="X662" s="13" t="str">
        <f>Show!$B$87&amp;Show!$B$87&amp;"S.19.01.01.20 Rows {"&amp;COLUMN($C$1)&amp;"}"</f>
        <v>!!S.19.01.01.20 Rows {3}</v>
      </c>
      <c r="Y662" s="13" t="str">
        <f>Show!$B$87&amp;Show!$B$87&amp;"S.19.01.01.20 Columns {"&amp;COLUMN($R$1)&amp;"}"</f>
        <v>!!S.19.01.01.20 Columns {18}</v>
      </c>
    </row>
    <row r="664" spans="2:25" ht="18.75">
      <c r="B664" s="97" t="s">
        <v>4137</v>
      </c>
      <c r="C664" s="96"/>
      <c r="D664" s="96"/>
      <c r="E664" s="96"/>
      <c r="F664" s="96"/>
      <c r="G664" s="96"/>
      <c r="H664" s="96"/>
      <c r="I664" s="96"/>
      <c r="J664" s="96"/>
      <c r="K664" s="96"/>
      <c r="L664" s="96"/>
    </row>
    <row r="666" spans="2:25">
      <c r="B666" t="s">
        <v>3110</v>
      </c>
      <c r="X666" s="13" t="str">
        <f>Show!$B$87&amp;"S.19.01.01.21 Table label {"&amp;COLUMN($C$1)&amp;"}"</f>
        <v>!S.19.01.01.21 Table label {3}</v>
      </c>
      <c r="Y666" s="13" t="str">
        <f>Show!$B$87&amp;"S.19.01.01.21 Table value {"&amp;COLUMN($D$1)&amp;"}"</f>
        <v>!S.19.01.01.21 Table value {4}</v>
      </c>
    </row>
    <row r="667" spans="2:25">
      <c r="B667" t="s">
        <v>3111</v>
      </c>
    </row>
    <row r="668" spans="2:25">
      <c r="B668" s="40" t="s">
        <v>3427</v>
      </c>
      <c r="C668" s="53" t="s">
        <v>3113</v>
      </c>
      <c r="D668" s="51"/>
    </row>
    <row r="669" spans="2:25">
      <c r="B669" s="40" t="s">
        <v>3606</v>
      </c>
      <c r="C669" s="53" t="s">
        <v>3323</v>
      </c>
      <c r="D669" s="51"/>
    </row>
    <row r="670" spans="2:25">
      <c r="X670" s="13" t="str">
        <f>Show!$B$87&amp;Show!$B$87&amp;"S.19.01.01.21 Table label {"&amp;COLUMN($C$1)&amp;"}"</f>
        <v>!!S.19.01.01.21 Table label {3}</v>
      </c>
      <c r="Y670" s="13" t="str">
        <f>Show!$B$87&amp;Show!$B$87&amp;"S.19.01.01.21 Table value {"&amp;COLUMN($D$1)&amp;"}"</f>
        <v>!!S.19.01.01.21 Table value {4}</v>
      </c>
    </row>
    <row r="672" spans="2:25">
      <c r="D672" s="98" t="s">
        <v>2877</v>
      </c>
    </row>
    <row r="673" spans="2:25">
      <c r="D673" s="100"/>
    </row>
    <row r="674" spans="2:25">
      <c r="D674" s="55" t="s">
        <v>4138</v>
      </c>
    </row>
    <row r="675" spans="2:25">
      <c r="D675" s="45" t="s">
        <v>4139</v>
      </c>
      <c r="X675" s="13" t="str">
        <f>Show!$B$87&amp;"S.19.01.01.21 Rows {"&amp;COLUMN($C$1)&amp;"}"&amp;"@ForceFilingCode:true"</f>
        <v>!S.19.01.01.21 Rows {3}@ForceFilingCode:true</v>
      </c>
      <c r="Y675" s="13" t="str">
        <f>Show!$B$87&amp;"S.19.01.01.21 Columns {"&amp;COLUMN($D$1)&amp;"}"</f>
        <v>!S.19.01.01.21 Columns {4}</v>
      </c>
    </row>
    <row r="676" spans="2:25">
      <c r="B676" s="43" t="s">
        <v>2880</v>
      </c>
      <c r="C676" s="44" t="s">
        <v>2878</v>
      </c>
      <c r="D676" s="46"/>
    </row>
    <row r="677" spans="2:25">
      <c r="B677" s="47" t="s">
        <v>4140</v>
      </c>
      <c r="C677" s="41" t="s">
        <v>3021</v>
      </c>
      <c r="D677" s="51"/>
    </row>
    <row r="679" spans="2:25">
      <c r="X679" s="13" t="str">
        <f>Show!$B$87&amp;Show!$B$87&amp;"S.19.01.01.21 Rows {"&amp;COLUMN($C$1)&amp;"}"</f>
        <v>!!S.19.01.01.21 Rows {3}</v>
      </c>
      <c r="Y679" s="13" t="str">
        <f>Show!$B$87&amp;Show!$B$87&amp;"S.19.01.01.21 Columns {"&amp;COLUMN($D$1)&amp;"}"</f>
        <v>!!S.19.01.01.21 Columns {4}</v>
      </c>
    </row>
  </sheetData>
  <sheetProtection sheet="1" objects="1" scenarios="1"/>
  <mergeCells count="43">
    <mergeCell ref="D672:D673"/>
    <mergeCell ref="D601:D602"/>
    <mergeCell ref="B626:L626"/>
    <mergeCell ref="D634:R635"/>
    <mergeCell ref="B645:L645"/>
    <mergeCell ref="D653:R654"/>
    <mergeCell ref="B664:L664"/>
    <mergeCell ref="B591:L591"/>
    <mergeCell ref="D394:D395"/>
    <mergeCell ref="B419:L419"/>
    <mergeCell ref="D429:S430"/>
    <mergeCell ref="B453:L453"/>
    <mergeCell ref="D463:E464"/>
    <mergeCell ref="B488:L488"/>
    <mergeCell ref="D498:S499"/>
    <mergeCell ref="B522:L522"/>
    <mergeCell ref="D532:D533"/>
    <mergeCell ref="B557:L557"/>
    <mergeCell ref="D567:S568"/>
    <mergeCell ref="B384:L384"/>
    <mergeCell ref="D187:D188"/>
    <mergeCell ref="B212:L212"/>
    <mergeCell ref="D222:S223"/>
    <mergeCell ref="B246:L246"/>
    <mergeCell ref="D256:E257"/>
    <mergeCell ref="B281:L281"/>
    <mergeCell ref="D291:S292"/>
    <mergeCell ref="B315:L315"/>
    <mergeCell ref="D325:D326"/>
    <mergeCell ref="B350:L350"/>
    <mergeCell ref="D360:S361"/>
    <mergeCell ref="B177:L177"/>
    <mergeCell ref="B2:O2"/>
    <mergeCell ref="B5:L5"/>
    <mergeCell ref="D15:S16"/>
    <mergeCell ref="B39:L39"/>
    <mergeCell ref="D49:E50"/>
    <mergeCell ref="B74:L74"/>
    <mergeCell ref="D84:S85"/>
    <mergeCell ref="B108:L108"/>
    <mergeCell ref="D118:D119"/>
    <mergeCell ref="B143:L143"/>
    <mergeCell ref="D153:S154"/>
  </mergeCells>
  <dataValidations count="4">
    <dataValidation type="list" errorStyle="warning" allowBlank="1" showInputMessage="1" showErrorMessage="1" sqref="D9 D43 D78 D112 D147 D181 D216 D250 D285 D319 D354 D388 D423 D457 D492 D526 D561 D595 D630 D649 D668" xr:uid="{6960E852-7438-4C5A-B166-F19741B8798B}">
      <formula1>hier_LB_31</formula1>
    </dataValidation>
    <dataValidation type="list" errorStyle="warning" allowBlank="1" showInputMessage="1" showErrorMessage="1" sqref="D10 D44 D79 D113 D148 D182 D217 D251 D286 D320 D355 D389 D424 D458 D493 D527 D562 D596" xr:uid="{A4F7C3A1-01A5-46CE-B2CF-619526F1AB81}">
      <formula1>hier_AM_8</formula1>
    </dataValidation>
    <dataValidation type="list" errorStyle="warning" allowBlank="1" showInputMessage="1" showErrorMessage="1" sqref="D11 D45 D80 D114 D149 D183 D218 D252 D287 D321 D356 D390 D425 D459 D494 D528 D563 D597 D631 D650 D669" xr:uid="{7F991926-C325-434F-9620-578416498177}">
      <formula1>hier_CU_1</formula1>
    </dataValidation>
    <dataValidation type="list" errorStyle="warning" allowBlank="1" showInputMessage="1" showErrorMessage="1" sqref="D12 D46 D81 D115 D150 D184 D219 D253 D288 D322 D357 D391 D426 D460 D495 D529 D564 D598" xr:uid="{6563631A-2056-45BE-8101-91D6009721FE}">
      <formula1>hier_CA_1</formula1>
    </dataValidation>
  </dataValidation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F4B4-63D3-4C57-B54D-52DAB1169BCF}">
  <sheetPr codeName="Blad92"/>
  <dimension ref="B2:T109"/>
  <sheetViews>
    <sheetView showGridLines="0" workbookViewId="0">
      <selection activeCell="E24" sqref="E24"/>
    </sheetView>
  </sheetViews>
  <sheetFormatPr defaultRowHeight="15"/>
  <cols>
    <col min="2" max="2" width="31.42578125" bestFit="1" customWidth="1"/>
    <col min="4" max="14" width="15.7109375" customWidth="1"/>
  </cols>
  <sheetData>
    <row r="2" spans="2:20" ht="23.25">
      <c r="B2" s="95" t="s">
        <v>642</v>
      </c>
      <c r="C2" s="96"/>
      <c r="D2" s="96"/>
      <c r="E2" s="96"/>
      <c r="F2" s="96"/>
      <c r="G2" s="96"/>
      <c r="H2" s="96"/>
      <c r="I2" s="96"/>
      <c r="J2" s="96"/>
      <c r="K2" s="96"/>
      <c r="L2" s="96"/>
      <c r="M2" s="96"/>
      <c r="N2" s="96"/>
      <c r="O2" s="96"/>
    </row>
    <row r="5" spans="2:20" ht="18.75">
      <c r="B5" s="97" t="s">
        <v>4141</v>
      </c>
      <c r="C5" s="96"/>
      <c r="D5" s="96"/>
      <c r="E5" s="96"/>
      <c r="F5" s="96"/>
      <c r="G5" s="96"/>
      <c r="H5" s="96"/>
      <c r="I5" s="96"/>
      <c r="J5" s="96"/>
      <c r="K5" s="96"/>
      <c r="L5" s="96"/>
    </row>
    <row r="7" spans="2:20">
      <c r="B7" t="s">
        <v>3110</v>
      </c>
      <c r="S7" s="13"/>
      <c r="T7" s="13"/>
    </row>
    <row r="8" spans="2:20">
      <c r="B8" t="s">
        <v>3111</v>
      </c>
    </row>
    <row r="9" spans="2:20" ht="30">
      <c r="B9" s="40" t="s">
        <v>3868</v>
      </c>
      <c r="C9" s="53" t="s">
        <v>3115</v>
      </c>
      <c r="D9" s="51" t="s">
        <v>2529</v>
      </c>
    </row>
    <row r="10" spans="2:20">
      <c r="S10" s="13"/>
      <c r="T10" s="13"/>
    </row>
    <row r="12" spans="2:20">
      <c r="D12" s="101" t="s">
        <v>2877</v>
      </c>
      <c r="E12" s="102"/>
      <c r="F12" s="102"/>
      <c r="G12" s="102"/>
      <c r="H12" s="102"/>
      <c r="I12" s="102"/>
      <c r="J12" s="102"/>
      <c r="K12" s="102"/>
      <c r="L12" s="102"/>
      <c r="M12" s="102"/>
      <c r="N12" s="103"/>
    </row>
    <row r="13" spans="2:20">
      <c r="D13" s="104"/>
      <c r="E13" s="105"/>
      <c r="F13" s="105"/>
      <c r="G13" s="105"/>
      <c r="H13" s="105"/>
      <c r="I13" s="105"/>
      <c r="J13" s="105"/>
      <c r="K13" s="105"/>
      <c r="L13" s="105"/>
      <c r="M13" s="105"/>
      <c r="N13" s="106"/>
    </row>
    <row r="14" spans="2:20">
      <c r="D14" s="55">
        <v>0</v>
      </c>
      <c r="E14" s="55">
        <v>1</v>
      </c>
      <c r="F14" s="55">
        <v>2</v>
      </c>
      <c r="G14" s="55">
        <v>3</v>
      </c>
      <c r="H14" s="55">
        <v>4</v>
      </c>
      <c r="I14" s="55">
        <v>5</v>
      </c>
      <c r="J14" s="55">
        <v>6</v>
      </c>
      <c r="K14" s="55">
        <v>7</v>
      </c>
      <c r="L14" s="55">
        <v>8</v>
      </c>
      <c r="M14" s="55">
        <v>9</v>
      </c>
      <c r="N14" s="55" t="s">
        <v>4142</v>
      </c>
    </row>
    <row r="15" spans="2:20">
      <c r="D15" s="45" t="s">
        <v>2879</v>
      </c>
      <c r="E15" s="45" t="s">
        <v>3219</v>
      </c>
      <c r="F15" s="45" t="s">
        <v>3225</v>
      </c>
      <c r="G15" s="45" t="s">
        <v>3223</v>
      </c>
      <c r="H15" s="45" t="s">
        <v>3229</v>
      </c>
      <c r="I15" s="45" t="s">
        <v>3231</v>
      </c>
      <c r="J15" s="45" t="s">
        <v>3233</v>
      </c>
      <c r="K15" s="45" t="s">
        <v>3234</v>
      </c>
      <c r="L15" s="45" t="s">
        <v>3236</v>
      </c>
      <c r="M15" s="45" t="s">
        <v>3239</v>
      </c>
      <c r="N15" s="45" t="s">
        <v>3241</v>
      </c>
      <c r="S15" s="13"/>
      <c r="T15" s="13"/>
    </row>
    <row r="16" spans="2:20">
      <c r="B16" s="43" t="s">
        <v>2880</v>
      </c>
      <c r="C16" s="44" t="s">
        <v>2878</v>
      </c>
      <c r="D16" s="58"/>
      <c r="E16" s="67"/>
      <c r="F16" s="67"/>
      <c r="G16" s="67"/>
      <c r="H16" s="67"/>
      <c r="I16" s="67"/>
      <c r="J16" s="67"/>
      <c r="K16" s="67"/>
      <c r="L16" s="67"/>
      <c r="M16" s="67"/>
      <c r="N16" s="57"/>
    </row>
    <row r="17" spans="2:20">
      <c r="B17" s="47" t="s">
        <v>3947</v>
      </c>
      <c r="C17" s="44" t="s">
        <v>2899</v>
      </c>
      <c r="D17" s="56"/>
      <c r="E17" s="56"/>
      <c r="F17" s="56"/>
      <c r="G17" s="56"/>
      <c r="H17" s="56"/>
      <c r="I17" s="56"/>
      <c r="J17" s="56"/>
      <c r="K17" s="56"/>
      <c r="L17" s="56"/>
      <c r="M17" s="46"/>
      <c r="N17" s="83">
        <f>SUM([6]Total!$N$20:$S$25)</f>
        <v>16856311.464136068</v>
      </c>
    </row>
    <row r="18" spans="2:20">
      <c r="B18" s="47" t="s">
        <v>3889</v>
      </c>
      <c r="C18" s="41" t="s">
        <v>2911</v>
      </c>
      <c r="D18" s="83">
        <f>[6]Total!D26</f>
        <v>0</v>
      </c>
      <c r="E18" s="83">
        <f>[6]Total!E26</f>
        <v>0</v>
      </c>
      <c r="F18" s="83">
        <f>[6]Total!F26</f>
        <v>0</v>
      </c>
      <c r="G18" s="83">
        <f>[6]Total!G26</f>
        <v>20802744.913845688</v>
      </c>
      <c r="H18" s="83">
        <f>[6]Total!H26</f>
        <v>19660222.407821581</v>
      </c>
      <c r="I18" s="83">
        <f>[6]Total!I26</f>
        <v>9851350.4999730363</v>
      </c>
      <c r="J18" s="83">
        <f>[6]Total!J26</f>
        <v>3737839.5235695634</v>
      </c>
      <c r="K18" s="83">
        <f>[6]Total!K26</f>
        <v>5137845.9546750207</v>
      </c>
      <c r="L18" s="83">
        <f>[6]Total!L26</f>
        <v>3023379.0623399592</v>
      </c>
      <c r="M18" s="83">
        <f>[6]Total!M26</f>
        <v>2009437.6705632827</v>
      </c>
      <c r="N18" s="48"/>
    </row>
    <row r="19" spans="2:20">
      <c r="B19" s="47" t="s">
        <v>3890</v>
      </c>
      <c r="C19" s="41" t="s">
        <v>2913</v>
      </c>
      <c r="D19" s="83">
        <f>[6]Total!D27</f>
        <v>0</v>
      </c>
      <c r="E19" s="83">
        <f>[6]Total!E27</f>
        <v>0</v>
      </c>
      <c r="F19" s="83">
        <f>[6]Total!F27</f>
        <v>25379397.768972706</v>
      </c>
      <c r="G19" s="83">
        <f>[6]Total!G27</f>
        <v>24689543.647814345</v>
      </c>
      <c r="H19" s="83">
        <f>[6]Total!H27</f>
        <v>14892927.585043374</v>
      </c>
      <c r="I19" s="83">
        <f>[6]Total!I27</f>
        <v>10076361.633592334</v>
      </c>
      <c r="J19" s="83">
        <f>[6]Total!J27</f>
        <v>5708683.1163350893</v>
      </c>
      <c r="K19" s="83">
        <f>[6]Total!K27</f>
        <v>4654462.5974117899</v>
      </c>
      <c r="L19" s="83">
        <f>[6]Total!L27</f>
        <v>2738431.1630818797</v>
      </c>
      <c r="M19" s="58"/>
      <c r="N19" s="48"/>
    </row>
    <row r="20" spans="2:20">
      <c r="B20" s="47" t="s">
        <v>3891</v>
      </c>
      <c r="C20" s="41" t="s">
        <v>2915</v>
      </c>
      <c r="D20" s="83">
        <f>[6]Total!D28</f>
        <v>0</v>
      </c>
      <c r="E20" s="83">
        <f>[6]Total!E28</f>
        <v>77659682.856493101</v>
      </c>
      <c r="F20" s="83">
        <f>[6]Total!F28</f>
        <v>34114880.00956095</v>
      </c>
      <c r="G20" s="83">
        <f>[6]Total!G28</f>
        <v>24293857.178995218</v>
      </c>
      <c r="H20" s="83">
        <f>[6]Total!H28</f>
        <v>14036603.900448738</v>
      </c>
      <c r="I20" s="83">
        <f>[6]Total!I28</f>
        <v>9818184.3363149147</v>
      </c>
      <c r="J20" s="83">
        <f>[6]Total!J28</f>
        <v>6397022.3630215777</v>
      </c>
      <c r="K20" s="83">
        <f>[6]Total!K28</f>
        <v>7862187.4710209388</v>
      </c>
      <c r="L20" s="58"/>
      <c r="M20" s="58"/>
      <c r="N20" s="48"/>
    </row>
    <row r="21" spans="2:20">
      <c r="B21" s="47" t="s">
        <v>3892</v>
      </c>
      <c r="C21" s="41" t="s">
        <v>2917</v>
      </c>
      <c r="D21" s="83">
        <f>[6]Total!D29</f>
        <v>287810024.07447636</v>
      </c>
      <c r="E21" s="83">
        <f>[6]Total!E29</f>
        <v>163609288.34193742</v>
      </c>
      <c r="F21" s="83">
        <f>[6]Total!F29</f>
        <v>45266691.669590428</v>
      </c>
      <c r="G21" s="83">
        <f>[6]Total!G29</f>
        <v>28951539.531467006</v>
      </c>
      <c r="H21" s="83">
        <f>[6]Total!H29</f>
        <v>24534797.204900578</v>
      </c>
      <c r="I21" s="83">
        <f>[6]Total!I29</f>
        <v>13169452.054499578</v>
      </c>
      <c r="J21" s="83">
        <f>[6]Total!J29</f>
        <v>8846410.9220313374</v>
      </c>
      <c r="K21" s="58"/>
      <c r="L21" s="58"/>
      <c r="M21" s="58"/>
      <c r="N21" s="48"/>
    </row>
    <row r="22" spans="2:20">
      <c r="B22" s="47" t="s">
        <v>3893</v>
      </c>
      <c r="C22" s="41" t="s">
        <v>2919</v>
      </c>
      <c r="D22" s="83">
        <f>[6]Total!D30</f>
        <v>376312048.36537927</v>
      </c>
      <c r="E22" s="83">
        <f>[6]Total!E30</f>
        <v>165290308.49050987</v>
      </c>
      <c r="F22" s="83">
        <f>[6]Total!F30</f>
        <v>44984215.020826213</v>
      </c>
      <c r="G22" s="83">
        <f>[6]Total!G30</f>
        <v>30268911.381772626</v>
      </c>
      <c r="H22" s="83">
        <f>[6]Total!H30</f>
        <v>17845219.883453365</v>
      </c>
      <c r="I22" s="83">
        <f>[6]Total!I30</f>
        <v>11659471.126823239</v>
      </c>
      <c r="J22" s="58"/>
      <c r="K22" s="58"/>
      <c r="L22" s="58"/>
      <c r="M22" s="58"/>
      <c r="N22" s="48"/>
    </row>
    <row r="23" spans="2:20">
      <c r="B23" s="47" t="s">
        <v>3894</v>
      </c>
      <c r="C23" s="41" t="s">
        <v>2921</v>
      </c>
      <c r="D23" s="83">
        <f>[6]Total!D31</f>
        <v>448332012.04150254</v>
      </c>
      <c r="E23" s="83">
        <f>[6]Total!E31</f>
        <v>201405261.12961835</v>
      </c>
      <c r="F23" s="83">
        <f>[6]Total!F31</f>
        <v>47938543.049519904</v>
      </c>
      <c r="G23" s="83">
        <f>[6]Total!G31</f>
        <v>35153189.047200873</v>
      </c>
      <c r="H23" s="83">
        <f>[6]Total!H31</f>
        <v>28840005.556730125</v>
      </c>
      <c r="I23" s="58"/>
      <c r="J23" s="58"/>
      <c r="K23" s="58"/>
      <c r="L23" s="58"/>
      <c r="M23" s="58"/>
      <c r="N23" s="48"/>
    </row>
    <row r="24" spans="2:20">
      <c r="B24" s="47" t="s">
        <v>3895</v>
      </c>
      <c r="C24" s="41" t="s">
        <v>2923</v>
      </c>
      <c r="D24" s="83">
        <f>[6]Total!D32</f>
        <v>469143571.21629751</v>
      </c>
      <c r="E24" s="83">
        <f>[6]Total!E32</f>
        <v>231248825.35238931</v>
      </c>
      <c r="F24" s="83">
        <f>[6]Total!F32</f>
        <v>70562305.20511055</v>
      </c>
      <c r="G24" s="83">
        <f>[6]Total!G32</f>
        <v>57664121.369338162</v>
      </c>
      <c r="H24" s="58"/>
      <c r="I24" s="58"/>
      <c r="J24" s="58"/>
      <c r="K24" s="58"/>
      <c r="L24" s="58"/>
      <c r="M24" s="58"/>
      <c r="N24" s="48"/>
    </row>
    <row r="25" spans="2:20">
      <c r="B25" s="47" t="s">
        <v>3896</v>
      </c>
      <c r="C25" s="41" t="s">
        <v>2925</v>
      </c>
      <c r="D25" s="83">
        <f>[6]Total!D33</f>
        <v>491479904.01603758</v>
      </c>
      <c r="E25" s="83">
        <f>[6]Total!E33</f>
        <v>238297852.37460762</v>
      </c>
      <c r="F25" s="83">
        <f>[6]Total!F33</f>
        <v>66145516.815002955</v>
      </c>
      <c r="G25" s="58"/>
      <c r="H25" s="58"/>
      <c r="I25" s="58"/>
      <c r="J25" s="58"/>
      <c r="K25" s="58"/>
      <c r="L25" s="58"/>
      <c r="M25" s="58"/>
      <c r="N25" s="48"/>
    </row>
    <row r="26" spans="2:20">
      <c r="B26" s="47" t="s">
        <v>3897</v>
      </c>
      <c r="C26" s="41" t="s">
        <v>2927</v>
      </c>
      <c r="D26" s="83">
        <f>[6]Total!D34</f>
        <v>583643542.22830749</v>
      </c>
      <c r="E26" s="83">
        <f>[6]Total!E34</f>
        <v>236472038.10397303</v>
      </c>
      <c r="F26" s="58"/>
      <c r="G26" s="58"/>
      <c r="H26" s="58"/>
      <c r="I26" s="58"/>
      <c r="J26" s="58"/>
      <c r="K26" s="58"/>
      <c r="L26" s="58"/>
      <c r="M26" s="58"/>
      <c r="N26" s="48"/>
    </row>
    <row r="27" spans="2:20">
      <c r="B27" s="47" t="s">
        <v>3898</v>
      </c>
      <c r="C27" s="41" t="s">
        <v>2929</v>
      </c>
      <c r="D27" s="83">
        <f>[6]Total!D35</f>
        <v>592429950.37059379</v>
      </c>
      <c r="E27" s="56"/>
      <c r="F27" s="56"/>
      <c r="G27" s="56"/>
      <c r="H27" s="56"/>
      <c r="I27" s="56"/>
      <c r="J27" s="56"/>
      <c r="K27" s="56"/>
      <c r="L27" s="56"/>
      <c r="M27" s="56"/>
      <c r="N27" s="46"/>
    </row>
    <row r="29" spans="2:20">
      <c r="S29" s="13"/>
      <c r="T29" s="13"/>
    </row>
    <row r="31" spans="2:20" ht="18.75">
      <c r="B31" s="97" t="s">
        <v>4143</v>
      </c>
      <c r="C31" s="96"/>
      <c r="D31" s="96"/>
      <c r="E31" s="96"/>
      <c r="F31" s="96"/>
      <c r="G31" s="96"/>
      <c r="H31" s="96"/>
      <c r="I31" s="96"/>
      <c r="J31" s="96"/>
      <c r="K31" s="96"/>
      <c r="L31" s="96"/>
    </row>
    <row r="33" spans="2:20">
      <c r="B33" t="s">
        <v>3110</v>
      </c>
      <c r="S33" s="13"/>
      <c r="T33" s="13"/>
    </row>
    <row r="34" spans="2:20">
      <c r="B34" t="s">
        <v>3111</v>
      </c>
    </row>
    <row r="35" spans="2:20" ht="30">
      <c r="B35" s="40" t="s">
        <v>3868</v>
      </c>
      <c r="C35" s="53" t="s">
        <v>3115</v>
      </c>
      <c r="D35" s="51" t="s">
        <v>2529</v>
      </c>
    </row>
    <row r="36" spans="2:20">
      <c r="S36" s="13"/>
      <c r="T36" s="13"/>
    </row>
    <row r="38" spans="2:20">
      <c r="D38" s="101" t="s">
        <v>2877</v>
      </c>
      <c r="E38" s="103"/>
    </row>
    <row r="39" spans="2:20">
      <c r="D39" s="104"/>
      <c r="E39" s="106"/>
    </row>
    <row r="40" spans="2:20" ht="30">
      <c r="D40" s="55" t="s">
        <v>3949</v>
      </c>
      <c r="E40" s="55" t="s">
        <v>3950</v>
      </c>
    </row>
    <row r="41" spans="2:20">
      <c r="D41" s="45" t="s">
        <v>3594</v>
      </c>
      <c r="E41" s="45" t="s">
        <v>3596</v>
      </c>
      <c r="S41" s="13"/>
      <c r="T41" s="13"/>
    </row>
    <row r="42" spans="2:20">
      <c r="B42" s="43" t="s">
        <v>2880</v>
      </c>
      <c r="C42" s="44" t="s">
        <v>2878</v>
      </c>
      <c r="D42" s="56"/>
      <c r="E42" s="57"/>
    </row>
    <row r="43" spans="2:20">
      <c r="B43" s="47" t="s">
        <v>3947</v>
      </c>
      <c r="C43" s="41" t="s">
        <v>2899</v>
      </c>
      <c r="D43" s="60">
        <f>SUM([6]Total!D54:D59)</f>
        <v>10431177.546548858</v>
      </c>
      <c r="E43" s="60">
        <f>SUM([6]Total!E54:E59)</f>
        <v>68330309.623512328</v>
      </c>
    </row>
    <row r="44" spans="2:20">
      <c r="B44" s="47" t="s">
        <v>3889</v>
      </c>
      <c r="C44" s="41" t="s">
        <v>2911</v>
      </c>
      <c r="D44" s="83">
        <f>[6]Total!D60</f>
        <v>2009437.6705632827</v>
      </c>
      <c r="E44" s="83">
        <f>[6]Total!E60</f>
        <v>64222820.03278812</v>
      </c>
    </row>
    <row r="45" spans="2:20">
      <c r="B45" s="47" t="s">
        <v>3890</v>
      </c>
      <c r="C45" s="41" t="s">
        <v>2913</v>
      </c>
      <c r="D45" s="83">
        <f>[6]Total!D61</f>
        <v>2738431.1630818797</v>
      </c>
      <c r="E45" s="83">
        <f>[6]Total!E61</f>
        <v>88139807.512251511</v>
      </c>
    </row>
    <row r="46" spans="2:20">
      <c r="B46" s="47" t="s">
        <v>3891</v>
      </c>
      <c r="C46" s="41" t="s">
        <v>2915</v>
      </c>
      <c r="D46" s="83">
        <f>[6]Total!D62</f>
        <v>7862187.4710209388</v>
      </c>
      <c r="E46" s="83">
        <f>[6]Total!E62</f>
        <v>174182418.11585546</v>
      </c>
    </row>
    <row r="47" spans="2:20">
      <c r="B47" s="47" t="s">
        <v>3892</v>
      </c>
      <c r="C47" s="41" t="s">
        <v>2917</v>
      </c>
      <c r="D47" s="83">
        <f>[6]Total!D63</f>
        <v>8846410.9220313374</v>
      </c>
      <c r="E47" s="83">
        <f>[6]Total!E63</f>
        <v>572188203.79890287</v>
      </c>
    </row>
    <row r="48" spans="2:20">
      <c r="B48" s="47" t="s">
        <v>3893</v>
      </c>
      <c r="C48" s="41" t="s">
        <v>2919</v>
      </c>
      <c r="D48" s="83">
        <f>[6]Total!D64</f>
        <v>11659471.126823239</v>
      </c>
      <c r="E48" s="83">
        <f>[6]Total!E64</f>
        <v>646360174.26876462</v>
      </c>
    </row>
    <row r="49" spans="2:20">
      <c r="B49" s="47" t="s">
        <v>3894</v>
      </c>
      <c r="C49" s="41" t="s">
        <v>2921</v>
      </c>
      <c r="D49" s="83">
        <f>[6]Total!D65</f>
        <v>28840005.556730125</v>
      </c>
      <c r="E49" s="83">
        <f>[6]Total!E65</f>
        <v>761669010.82457173</v>
      </c>
    </row>
    <row r="50" spans="2:20">
      <c r="B50" s="47" t="s">
        <v>3895</v>
      </c>
      <c r="C50" s="41" t="s">
        <v>2923</v>
      </c>
      <c r="D50" s="83">
        <f>[6]Total!D66</f>
        <v>57664121.369338162</v>
      </c>
      <c r="E50" s="83">
        <f>[6]Total!E66</f>
        <v>828618823.14313555</v>
      </c>
    </row>
    <row r="51" spans="2:20">
      <c r="B51" s="47" t="s">
        <v>3896</v>
      </c>
      <c r="C51" s="41" t="s">
        <v>2925</v>
      </c>
      <c r="D51" s="83">
        <f>[6]Total!D67</f>
        <v>66145516.815002955</v>
      </c>
      <c r="E51" s="83">
        <f>[6]Total!E67</f>
        <v>795923273.20564806</v>
      </c>
    </row>
    <row r="52" spans="2:20">
      <c r="B52" s="47" t="s">
        <v>3897</v>
      </c>
      <c r="C52" s="41" t="s">
        <v>2927</v>
      </c>
      <c r="D52" s="83">
        <f>[6]Total!D68</f>
        <v>236472038.10397303</v>
      </c>
      <c r="E52" s="83">
        <f>[6]Total!E68</f>
        <v>820115580.3322804</v>
      </c>
    </row>
    <row r="53" spans="2:20">
      <c r="B53" s="47" t="s">
        <v>3898</v>
      </c>
      <c r="C53" s="41" t="s">
        <v>2929</v>
      </c>
      <c r="D53" s="83">
        <f>[6]Total!D69</f>
        <v>592429950.37059379</v>
      </c>
      <c r="E53" s="83">
        <f>[6]Total!E69</f>
        <v>592429950.37059379</v>
      </c>
    </row>
    <row r="54" spans="2:20">
      <c r="B54" s="47" t="s">
        <v>3480</v>
      </c>
      <c r="C54" s="41" t="s">
        <v>2931</v>
      </c>
      <c r="D54" s="83">
        <f>[6]Total!D70</f>
        <v>1025098748.1157073</v>
      </c>
      <c r="E54" s="83">
        <f>[6]Total!E70</f>
        <v>5412180371.2283049</v>
      </c>
    </row>
    <row r="56" spans="2:20">
      <c r="S56" s="13"/>
      <c r="T56" s="13"/>
    </row>
    <row r="58" spans="2:20" ht="18.75">
      <c r="B58" s="97" t="s">
        <v>4144</v>
      </c>
      <c r="C58" s="96"/>
      <c r="D58" s="96"/>
      <c r="E58" s="96"/>
      <c r="F58" s="96"/>
      <c r="G58" s="96"/>
      <c r="H58" s="96"/>
      <c r="I58" s="96"/>
      <c r="J58" s="96"/>
      <c r="K58" s="96"/>
      <c r="L58" s="96"/>
    </row>
    <row r="60" spans="2:20">
      <c r="B60" t="s">
        <v>3110</v>
      </c>
      <c r="S60" s="13"/>
      <c r="T60" s="13"/>
    </row>
    <row r="61" spans="2:20">
      <c r="B61" t="s">
        <v>3111</v>
      </c>
    </row>
    <row r="62" spans="2:20" ht="30">
      <c r="B62" s="40" t="s">
        <v>3868</v>
      </c>
      <c r="C62" s="53" t="s">
        <v>3115</v>
      </c>
      <c r="D62" s="51" t="s">
        <v>2529</v>
      </c>
    </row>
    <row r="63" spans="2:20">
      <c r="S63" s="13"/>
      <c r="T63" s="13"/>
    </row>
    <row r="65" spans="2:20">
      <c r="D65" s="101" t="s">
        <v>2877</v>
      </c>
      <c r="E65" s="102"/>
      <c r="F65" s="102"/>
      <c r="G65" s="102"/>
      <c r="H65" s="102"/>
      <c r="I65" s="102"/>
      <c r="J65" s="102"/>
      <c r="K65" s="102"/>
      <c r="L65" s="102"/>
      <c r="M65" s="102"/>
      <c r="N65" s="103"/>
    </row>
    <row r="66" spans="2:20">
      <c r="D66" s="104"/>
      <c r="E66" s="105"/>
      <c r="F66" s="105"/>
      <c r="G66" s="105"/>
      <c r="H66" s="105"/>
      <c r="I66" s="105"/>
      <c r="J66" s="105"/>
      <c r="K66" s="105"/>
      <c r="L66" s="105"/>
      <c r="M66" s="105"/>
      <c r="N66" s="106"/>
    </row>
    <row r="67" spans="2:20">
      <c r="D67" s="55">
        <v>0</v>
      </c>
      <c r="E67" s="55">
        <v>1</v>
      </c>
      <c r="F67" s="55">
        <v>2</v>
      </c>
      <c r="G67" s="55">
        <v>3</v>
      </c>
      <c r="H67" s="55">
        <v>4</v>
      </c>
      <c r="I67" s="55">
        <v>5</v>
      </c>
      <c r="J67" s="55">
        <v>6</v>
      </c>
      <c r="K67" s="55">
        <v>7</v>
      </c>
      <c r="L67" s="55">
        <v>8</v>
      </c>
      <c r="M67" s="55">
        <v>9</v>
      </c>
      <c r="N67" s="55" t="s">
        <v>4142</v>
      </c>
    </row>
    <row r="68" spans="2:20">
      <c r="D68" s="45" t="s">
        <v>3481</v>
      </c>
      <c r="E68" s="45" t="s">
        <v>3508</v>
      </c>
      <c r="F68" s="45" t="s">
        <v>3509</v>
      </c>
      <c r="G68" s="45" t="s">
        <v>3511</v>
      </c>
      <c r="H68" s="45" t="s">
        <v>3513</v>
      </c>
      <c r="I68" s="45" t="s">
        <v>3514</v>
      </c>
      <c r="J68" s="45" t="s">
        <v>3515</v>
      </c>
      <c r="K68" s="45" t="s">
        <v>3517</v>
      </c>
      <c r="L68" s="45" t="s">
        <v>3518</v>
      </c>
      <c r="M68" s="45" t="s">
        <v>3608</v>
      </c>
      <c r="N68" s="45" t="s">
        <v>3519</v>
      </c>
      <c r="S68" s="13"/>
      <c r="T68" s="13"/>
    </row>
    <row r="69" spans="2:20">
      <c r="B69" s="43" t="s">
        <v>2880</v>
      </c>
      <c r="C69" s="44" t="s">
        <v>2878</v>
      </c>
      <c r="D69" s="58"/>
      <c r="E69" s="67"/>
      <c r="F69" s="67"/>
      <c r="G69" s="67"/>
      <c r="H69" s="67"/>
      <c r="I69" s="67"/>
      <c r="J69" s="67"/>
      <c r="K69" s="67"/>
      <c r="L69" s="67"/>
      <c r="M69" s="67"/>
      <c r="N69" s="57"/>
    </row>
    <row r="70" spans="2:20">
      <c r="B70" s="47" t="s">
        <v>3947</v>
      </c>
      <c r="C70" s="44" t="s">
        <v>2899</v>
      </c>
      <c r="D70" s="56"/>
      <c r="E70" s="56"/>
      <c r="F70" s="56"/>
      <c r="G70" s="56"/>
      <c r="H70" s="56"/>
      <c r="I70" s="56"/>
      <c r="J70" s="56"/>
      <c r="K70" s="56"/>
      <c r="L70" s="56"/>
      <c r="M70" s="46"/>
      <c r="N70" s="60">
        <f>SUM([6]Total!$N$89:$S$94)</f>
        <v>23428519.314357929</v>
      </c>
    </row>
    <row r="71" spans="2:20">
      <c r="B71" s="47" t="s">
        <v>3889</v>
      </c>
      <c r="C71" s="41" t="s">
        <v>2911</v>
      </c>
      <c r="D71" s="60">
        <f>[6]Total!D95</f>
        <v>0</v>
      </c>
      <c r="E71" s="60">
        <f>[6]Total!E95</f>
        <v>0</v>
      </c>
      <c r="F71" s="60">
        <f>[6]Total!F95</f>
        <v>0</v>
      </c>
      <c r="G71" s="60">
        <f>[6]Total!G95</f>
        <v>56853540.387723707</v>
      </c>
      <c r="H71" s="60">
        <f>[6]Total!H95</f>
        <v>36174728.678646356</v>
      </c>
      <c r="I71" s="60">
        <f>[6]Total!I95</f>
        <v>31238961.442484401</v>
      </c>
      <c r="J71" s="60">
        <f>[6]Total!J95</f>
        <v>16979336.357953344</v>
      </c>
      <c r="K71" s="60">
        <f>[6]Total!K95</f>
        <v>10188466.560242459</v>
      </c>
      <c r="L71" s="60">
        <f>[6]Total!L95</f>
        <v>5831822.4231808884</v>
      </c>
      <c r="M71" s="60">
        <f>[6]Total!M95</f>
        <v>3150686.4936423055</v>
      </c>
      <c r="N71" s="48"/>
    </row>
    <row r="72" spans="2:20">
      <c r="B72" s="47" t="s">
        <v>3890</v>
      </c>
      <c r="C72" s="41" t="s">
        <v>2913</v>
      </c>
      <c r="D72" s="60">
        <f>[6]Total!D96</f>
        <v>0</v>
      </c>
      <c r="E72" s="60">
        <f>[6]Total!E96</f>
        <v>0</v>
      </c>
      <c r="F72" s="60">
        <f>[6]Total!F96</f>
        <v>99197338.032658815</v>
      </c>
      <c r="G72" s="60">
        <f>[6]Total!G96</f>
        <v>65195182.363674209</v>
      </c>
      <c r="H72" s="60">
        <f>[6]Total!H96</f>
        <v>53788348.157181799</v>
      </c>
      <c r="I72" s="60">
        <f>[6]Total!I96</f>
        <v>17188752.293827441</v>
      </c>
      <c r="J72" s="60">
        <f>[6]Total!J96</f>
        <v>10977584.086196674</v>
      </c>
      <c r="K72" s="60">
        <f>[6]Total!K96</f>
        <v>3078533.3525696741</v>
      </c>
      <c r="L72" s="60">
        <f>[6]Total!L96</f>
        <v>8308285.8887652904</v>
      </c>
      <c r="M72" s="58"/>
      <c r="N72" s="48"/>
    </row>
    <row r="73" spans="2:20">
      <c r="B73" s="47" t="s">
        <v>3891</v>
      </c>
      <c r="C73" s="41" t="s">
        <v>2915</v>
      </c>
      <c r="D73" s="60">
        <f>[6]Total!D97</f>
        <v>0</v>
      </c>
      <c r="E73" s="60">
        <f>[6]Total!E97</f>
        <v>169442163.01389804</v>
      </c>
      <c r="F73" s="60">
        <f>[6]Total!F97</f>
        <v>95609061.546872303</v>
      </c>
      <c r="G73" s="60">
        <f>[6]Total!G97</f>
        <v>82666009.116228104</v>
      </c>
      <c r="H73" s="60">
        <f>[6]Total!H97</f>
        <v>30496387.562969532</v>
      </c>
      <c r="I73" s="60">
        <f>[6]Total!I97</f>
        <v>20991209.365288984</v>
      </c>
      <c r="J73" s="60">
        <f>[6]Total!J97</f>
        <v>14447336.990876807</v>
      </c>
      <c r="K73" s="60">
        <f>[6]Total!K97</f>
        <v>11641152.972575804</v>
      </c>
      <c r="L73" s="58"/>
      <c r="M73" s="58"/>
      <c r="N73" s="48"/>
    </row>
    <row r="74" spans="2:20">
      <c r="B74" s="47" t="s">
        <v>3892</v>
      </c>
      <c r="C74" s="41" t="s">
        <v>2917</v>
      </c>
      <c r="D74" s="60">
        <f>[6]Total!D98</f>
        <v>387694296.54018319</v>
      </c>
      <c r="E74" s="60">
        <f>[6]Total!E98</f>
        <v>228233731.4334974</v>
      </c>
      <c r="F74" s="60">
        <f>[6]Total!F98</f>
        <v>192027280.83299834</v>
      </c>
      <c r="G74" s="60">
        <f>[6]Total!G98</f>
        <v>138957507.08917245</v>
      </c>
      <c r="H74" s="60">
        <f>[6]Total!H98</f>
        <v>63906072.306714214</v>
      </c>
      <c r="I74" s="60">
        <f>[6]Total!I98</f>
        <v>41652014.719138496</v>
      </c>
      <c r="J74" s="60">
        <f>[6]Total!J98</f>
        <v>33466315.773021754</v>
      </c>
      <c r="K74" s="58"/>
      <c r="L74" s="58"/>
      <c r="M74" s="58"/>
      <c r="N74" s="48"/>
    </row>
    <row r="75" spans="2:20">
      <c r="B75" s="47" t="s">
        <v>3893</v>
      </c>
      <c r="C75" s="41" t="s">
        <v>2919</v>
      </c>
      <c r="D75" s="60">
        <f>[6]Total!D99</f>
        <v>409859307.90285724</v>
      </c>
      <c r="E75" s="60">
        <f>[6]Total!E99</f>
        <v>246423192.14705521</v>
      </c>
      <c r="F75" s="60">
        <f>[6]Total!F99</f>
        <v>166434590.77947217</v>
      </c>
      <c r="G75" s="60">
        <f>[6]Total!G99</f>
        <v>87022413.671967983</v>
      </c>
      <c r="H75" s="60">
        <f>[6]Total!H99</f>
        <v>60113126.352102749</v>
      </c>
      <c r="I75" s="60">
        <f>[6]Total!I99</f>
        <v>44535476.894358456</v>
      </c>
      <c r="J75" s="58"/>
      <c r="K75" s="58"/>
      <c r="L75" s="58"/>
      <c r="M75" s="58"/>
      <c r="N75" s="48"/>
    </row>
    <row r="76" spans="2:20">
      <c r="B76" s="47" t="s">
        <v>3894</v>
      </c>
      <c r="C76" s="41" t="s">
        <v>2921</v>
      </c>
      <c r="D76" s="60">
        <f>[6]Total!D100</f>
        <v>471195215.95257545</v>
      </c>
      <c r="E76" s="60">
        <f>[6]Total!E100</f>
        <v>237850850.44975075</v>
      </c>
      <c r="F76" s="60">
        <f>[6]Total!F100</f>
        <v>153116787.96273136</v>
      </c>
      <c r="G76" s="60">
        <f>[6]Total!G100</f>
        <v>97967439.36702241</v>
      </c>
      <c r="H76" s="60">
        <f>[6]Total!H100</f>
        <v>55862650.45405072</v>
      </c>
      <c r="I76" s="58"/>
      <c r="J76" s="58"/>
      <c r="K76" s="58"/>
      <c r="L76" s="58"/>
      <c r="M76" s="58"/>
      <c r="N76" s="48"/>
    </row>
    <row r="77" spans="2:20">
      <c r="B77" s="47" t="s">
        <v>3895</v>
      </c>
      <c r="C77" s="41" t="s">
        <v>2923</v>
      </c>
      <c r="D77" s="60">
        <f>[6]Total!D101</f>
        <v>491484255.22769469</v>
      </c>
      <c r="E77" s="60">
        <f>[6]Total!E101</f>
        <v>245484430.12320897</v>
      </c>
      <c r="F77" s="60">
        <f>[6]Total!F101</f>
        <v>162085805.20823595</v>
      </c>
      <c r="G77" s="60">
        <f>[6]Total!G101</f>
        <v>77313645.756171212</v>
      </c>
      <c r="H77" s="58"/>
      <c r="I77" s="58"/>
      <c r="J77" s="58"/>
      <c r="K77" s="58"/>
      <c r="L77" s="58"/>
      <c r="M77" s="58"/>
      <c r="N77" s="48"/>
    </row>
    <row r="78" spans="2:20">
      <c r="B78" s="47" t="s">
        <v>3896</v>
      </c>
      <c r="C78" s="41" t="s">
        <v>2925</v>
      </c>
      <c r="D78" s="60">
        <f>[6]Total!D102</f>
        <v>479240723.00182378</v>
      </c>
      <c r="E78" s="60">
        <f>[6]Total!E102</f>
        <v>224336204.22704864</v>
      </c>
      <c r="F78" s="60">
        <f>[6]Total!F102</f>
        <v>142528012.57630453</v>
      </c>
      <c r="G78" s="58"/>
      <c r="H78" s="58"/>
      <c r="I78" s="58"/>
      <c r="J78" s="58"/>
      <c r="K78" s="58"/>
      <c r="L78" s="58"/>
      <c r="M78" s="58"/>
      <c r="N78" s="48"/>
    </row>
    <row r="79" spans="2:20">
      <c r="B79" s="47" t="s">
        <v>3897</v>
      </c>
      <c r="C79" s="41" t="s">
        <v>2927</v>
      </c>
      <c r="D79" s="60">
        <f>[6]Total!D103</f>
        <v>548316380.12725377</v>
      </c>
      <c r="E79" s="60">
        <f>[6]Total!E103</f>
        <v>290417743.37508714</v>
      </c>
      <c r="F79" s="58"/>
      <c r="G79" s="58"/>
      <c r="H79" s="58"/>
      <c r="I79" s="58"/>
      <c r="J79" s="58"/>
      <c r="K79" s="58"/>
      <c r="L79" s="58"/>
      <c r="M79" s="58"/>
      <c r="N79" s="48"/>
    </row>
    <row r="80" spans="2:20">
      <c r="B80" s="47" t="s">
        <v>3898</v>
      </c>
      <c r="C80" s="41" t="s">
        <v>2929</v>
      </c>
      <c r="D80" s="60">
        <f>[6]Total!D104</f>
        <v>594428653.10304081</v>
      </c>
      <c r="E80" s="56"/>
      <c r="F80" s="56"/>
      <c r="G80" s="56"/>
      <c r="H80" s="56"/>
      <c r="I80" s="56"/>
      <c r="J80" s="56"/>
      <c r="K80" s="56"/>
      <c r="L80" s="56"/>
      <c r="M80" s="56"/>
      <c r="N80" s="46"/>
    </row>
    <row r="82" spans="2:20">
      <c r="S82" s="13"/>
      <c r="T82" s="13"/>
    </row>
    <row r="84" spans="2:20" ht="18.75">
      <c r="B84" s="97" t="s">
        <v>4145</v>
      </c>
      <c r="C84" s="96"/>
      <c r="D84" s="96"/>
      <c r="E84" s="96"/>
      <c r="F84" s="96"/>
      <c r="G84" s="96"/>
      <c r="H84" s="96"/>
      <c r="I84" s="96"/>
      <c r="J84" s="96"/>
      <c r="K84" s="96"/>
      <c r="L84" s="96"/>
    </row>
    <row r="86" spans="2:20">
      <c r="B86" t="s">
        <v>3110</v>
      </c>
      <c r="S86" s="13"/>
      <c r="T86" s="13"/>
    </row>
    <row r="87" spans="2:20">
      <c r="B87" t="s">
        <v>3111</v>
      </c>
    </row>
    <row r="88" spans="2:20" ht="30">
      <c r="B88" s="40" t="s">
        <v>3868</v>
      </c>
      <c r="C88" s="53" t="s">
        <v>3115</v>
      </c>
      <c r="D88" s="51" t="s">
        <v>2529</v>
      </c>
    </row>
    <row r="89" spans="2:20">
      <c r="S89" s="13"/>
      <c r="T89" s="13"/>
    </row>
    <row r="91" spans="2:20">
      <c r="D91" s="98" t="s">
        <v>2877</v>
      </c>
    </row>
    <row r="92" spans="2:20">
      <c r="D92" s="100"/>
    </row>
    <row r="93" spans="2:20" ht="45">
      <c r="D93" s="55" t="s">
        <v>3953</v>
      </c>
    </row>
    <row r="94" spans="2:20">
      <c r="D94" s="45" t="s">
        <v>3622</v>
      </c>
      <c r="S94" s="13"/>
      <c r="T94" s="13"/>
    </row>
    <row r="95" spans="2:20">
      <c r="B95" s="43" t="s">
        <v>2880</v>
      </c>
      <c r="C95" s="44" t="s">
        <v>2878</v>
      </c>
      <c r="D95" s="46"/>
    </row>
    <row r="96" spans="2:20">
      <c r="B96" s="47" t="s">
        <v>3947</v>
      </c>
      <c r="C96" s="41" t="s">
        <v>2899</v>
      </c>
      <c r="D96" s="60">
        <f>SUM([6]Total!$D$123:$D$128)</f>
        <v>2543029.4337562793</v>
      </c>
    </row>
    <row r="97" spans="2:20">
      <c r="B97" s="47" t="s">
        <v>3889</v>
      </c>
      <c r="C97" s="41" t="s">
        <v>2911</v>
      </c>
      <c r="D97" s="60">
        <f>[6]Total!D129</f>
        <v>2372671.8871668992</v>
      </c>
    </row>
    <row r="98" spans="2:20">
      <c r="B98" s="47" t="s">
        <v>3890</v>
      </c>
      <c r="C98" s="41" t="s">
        <v>2913</v>
      </c>
      <c r="D98" s="60">
        <f>[6]Total!D130</f>
        <v>6916216.2859301949</v>
      </c>
    </row>
    <row r="99" spans="2:20">
      <c r="B99" s="47" t="s">
        <v>3891</v>
      </c>
      <c r="C99" s="41" t="s">
        <v>2915</v>
      </c>
      <c r="D99" s="60">
        <f>[6]Total!D131</f>
        <v>9835470.4455118887</v>
      </c>
    </row>
    <row r="100" spans="2:20">
      <c r="B100" s="47" t="s">
        <v>3892</v>
      </c>
      <c r="C100" s="41" t="s">
        <v>2917</v>
      </c>
      <c r="D100" s="60">
        <f>[6]Total!D132</f>
        <v>27374050.085625194</v>
      </c>
    </row>
    <row r="101" spans="2:20">
      <c r="B101" s="47" t="s">
        <v>3893</v>
      </c>
      <c r="C101" s="41" t="s">
        <v>2919</v>
      </c>
      <c r="D101" s="60">
        <f>[6]Total!D133</f>
        <v>37589135.497187085</v>
      </c>
    </row>
    <row r="102" spans="2:20">
      <c r="B102" s="47" t="s">
        <v>3894</v>
      </c>
      <c r="C102" s="41" t="s">
        <v>2921</v>
      </c>
      <c r="D102" s="60">
        <f>[6]Total!D134</f>
        <v>47737682.119505569</v>
      </c>
    </row>
    <row r="103" spans="2:20">
      <c r="B103" s="47" t="s">
        <v>3895</v>
      </c>
      <c r="C103" s="41" t="s">
        <v>2923</v>
      </c>
      <c r="D103" s="60">
        <f>[6]Total!D135</f>
        <v>67643839.841642886</v>
      </c>
    </row>
    <row r="104" spans="2:20">
      <c r="B104" s="47" t="s">
        <v>3896</v>
      </c>
      <c r="C104" s="41" t="s">
        <v>2925</v>
      </c>
      <c r="D104" s="60">
        <f>[6]Total!D136</f>
        <v>126205532.67642383</v>
      </c>
    </row>
    <row r="105" spans="2:20">
      <c r="B105" s="47" t="s">
        <v>3897</v>
      </c>
      <c r="C105" s="41" t="s">
        <v>2927</v>
      </c>
      <c r="D105" s="60">
        <f>[6]Total!D137</f>
        <v>255872380.02788293</v>
      </c>
    </row>
    <row r="106" spans="2:20">
      <c r="B106" s="47" t="s">
        <v>3898</v>
      </c>
      <c r="C106" s="41" t="s">
        <v>2929</v>
      </c>
      <c r="D106" s="60">
        <f>[6]Total!D138</f>
        <v>545060316.27355611</v>
      </c>
    </row>
    <row r="107" spans="2:20">
      <c r="B107" s="47" t="s">
        <v>3480</v>
      </c>
      <c r="C107" s="41" t="s">
        <v>2931</v>
      </c>
      <c r="D107" s="60">
        <f>[6]Total!D139</f>
        <v>1129150324.5741889</v>
      </c>
    </row>
    <row r="109" spans="2:20">
      <c r="S109" s="13"/>
      <c r="T109" s="13"/>
    </row>
  </sheetData>
  <mergeCells count="9">
    <mergeCell ref="D65:N66"/>
    <mergeCell ref="B84:L84"/>
    <mergeCell ref="D91:D92"/>
    <mergeCell ref="B2:O2"/>
    <mergeCell ref="B5:L5"/>
    <mergeCell ref="D12:N13"/>
    <mergeCell ref="B31:L31"/>
    <mergeCell ref="D38:E39"/>
    <mergeCell ref="B58:L58"/>
  </mergeCells>
  <dataValidations count="1">
    <dataValidation type="list" errorStyle="warning" allowBlank="1" showInputMessage="1" showErrorMessage="1" sqref="D9 D35 D62 D88" xr:uid="{9EFBE74A-1830-40F4-9345-3CB0FB56754D}">
      <formula1>hier_AM_8</formula1>
    </dataValidation>
  </dataValidation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CB12-2A6B-47EF-8F24-6BA25470EE64}">
  <sheetPr codeName="Blad93"/>
  <dimension ref="B2:AP40"/>
  <sheetViews>
    <sheetView showGridLines="0" workbookViewId="0"/>
  </sheetViews>
  <sheetFormatPr defaultRowHeight="15"/>
  <cols>
    <col min="2" max="2" width="30.85546875" bestFit="1" customWidth="1"/>
    <col min="4" max="23" width="15.7109375" customWidth="1"/>
  </cols>
  <sheetData>
    <row r="2" spans="2:42" ht="23.25">
      <c r="B2" s="95" t="s">
        <v>645</v>
      </c>
      <c r="C2" s="96"/>
      <c r="D2" s="96"/>
      <c r="E2" s="96"/>
      <c r="F2" s="96"/>
      <c r="G2" s="96"/>
      <c r="H2" s="96"/>
      <c r="I2" s="96"/>
      <c r="J2" s="96"/>
      <c r="K2" s="96"/>
      <c r="L2" s="96"/>
      <c r="M2" s="96"/>
      <c r="N2" s="96"/>
      <c r="O2" s="96"/>
    </row>
    <row r="5" spans="2:42" ht="18.75">
      <c r="B5" s="97" t="s">
        <v>4146</v>
      </c>
      <c r="C5" s="96"/>
      <c r="D5" s="96"/>
      <c r="E5" s="96"/>
      <c r="F5" s="96"/>
      <c r="G5" s="96"/>
      <c r="H5" s="96"/>
      <c r="I5" s="96"/>
      <c r="J5" s="96"/>
      <c r="K5" s="96"/>
      <c r="L5" s="96"/>
    </row>
    <row r="7" spans="2:42">
      <c r="B7" t="s">
        <v>3110</v>
      </c>
      <c r="AO7" s="13" t="str">
        <f>Show!$B$89&amp;"S.20.01.01.01 Table label {"&amp;COLUMN($C$1)&amp;"}"</f>
        <v>!S.20.01.01.01 Table label {3}</v>
      </c>
      <c r="AP7" s="13" t="str">
        <f>Show!$B$89&amp;"S.20.01.01.01 Table value {"&amp;COLUMN($D$1)&amp;"}"</f>
        <v>!S.20.01.01.01 Table value {4}</v>
      </c>
    </row>
    <row r="8" spans="2:42">
      <c r="B8" t="s">
        <v>3111</v>
      </c>
    </row>
    <row r="9" spans="2:42">
      <c r="B9" s="40" t="s">
        <v>4147</v>
      </c>
      <c r="C9" s="53" t="s">
        <v>3113</v>
      </c>
      <c r="D9" s="51"/>
    </row>
    <row r="10" spans="2:42">
      <c r="B10" s="40" t="s">
        <v>4148</v>
      </c>
      <c r="C10" s="53" t="s">
        <v>3115</v>
      </c>
      <c r="D10" s="51"/>
    </row>
    <row r="11" spans="2:42">
      <c r="AO11" s="13" t="str">
        <f>Show!$B$89&amp;Show!$B$89&amp;"S.20.01.01.01 Table label {"&amp;COLUMN($C$1)&amp;"}"</f>
        <v>!!S.20.01.01.01 Table label {3}</v>
      </c>
      <c r="AP11" s="13" t="str">
        <f>Show!$B$89&amp;Show!$B$89&amp;"S.20.01.01.01 Table value {"&amp;COLUMN($D$1)&amp;"}"</f>
        <v>!!S.20.01.01.01 Table value {4}</v>
      </c>
    </row>
    <row r="13" spans="2:42">
      <c r="D13" s="101" t="s">
        <v>2877</v>
      </c>
      <c r="E13" s="102"/>
      <c r="F13" s="102"/>
      <c r="G13" s="102"/>
      <c r="H13" s="102"/>
      <c r="I13" s="102"/>
      <c r="J13" s="102"/>
      <c r="K13" s="102"/>
      <c r="L13" s="102"/>
      <c r="M13" s="102"/>
      <c r="N13" s="102"/>
      <c r="O13" s="102"/>
      <c r="P13" s="102"/>
      <c r="Q13" s="102"/>
      <c r="R13" s="102"/>
      <c r="S13" s="102"/>
      <c r="T13" s="102"/>
      <c r="U13" s="102"/>
      <c r="V13" s="102"/>
      <c r="W13" s="103"/>
    </row>
    <row r="14" spans="2:42">
      <c r="D14" s="104"/>
      <c r="E14" s="105"/>
      <c r="F14" s="105"/>
      <c r="G14" s="105"/>
      <c r="H14" s="105"/>
      <c r="I14" s="105"/>
      <c r="J14" s="105"/>
      <c r="K14" s="105"/>
      <c r="L14" s="105"/>
      <c r="M14" s="105"/>
      <c r="N14" s="105"/>
      <c r="O14" s="105"/>
      <c r="P14" s="105"/>
      <c r="Q14" s="105"/>
      <c r="R14" s="105"/>
      <c r="S14" s="105"/>
      <c r="T14" s="105"/>
      <c r="U14" s="105"/>
      <c r="V14" s="105"/>
      <c r="W14" s="106"/>
    </row>
    <row r="15" spans="2:42">
      <c r="D15" s="107" t="s">
        <v>4149</v>
      </c>
      <c r="E15" s="108"/>
      <c r="F15" s="108"/>
      <c r="G15" s="108"/>
      <c r="H15" s="108"/>
      <c r="I15" s="108"/>
      <c r="J15" s="108"/>
      <c r="K15" s="108"/>
      <c r="L15" s="109"/>
      <c r="M15" s="107" t="s">
        <v>4161</v>
      </c>
      <c r="N15" s="108"/>
      <c r="O15" s="108"/>
      <c r="P15" s="108"/>
      <c r="Q15" s="108"/>
      <c r="R15" s="109"/>
      <c r="S15" s="107" t="s">
        <v>4162</v>
      </c>
      <c r="T15" s="108"/>
      <c r="U15" s="108"/>
      <c r="V15" s="108"/>
      <c r="W15" s="109"/>
    </row>
    <row r="16" spans="2:42">
      <c r="D16" s="107" t="s">
        <v>4150</v>
      </c>
      <c r="E16" s="108"/>
      <c r="F16" s="108"/>
      <c r="G16" s="109"/>
      <c r="H16" s="107" t="s">
        <v>4155</v>
      </c>
      <c r="I16" s="108"/>
      <c r="J16" s="108"/>
      <c r="K16" s="108"/>
      <c r="L16" s="109"/>
      <c r="M16" s="107" t="s">
        <v>4150</v>
      </c>
      <c r="N16" s="108"/>
      <c r="O16" s="109"/>
      <c r="P16" s="107" t="s">
        <v>4155</v>
      </c>
      <c r="Q16" s="108"/>
      <c r="R16" s="109"/>
      <c r="S16" s="107" t="s">
        <v>4150</v>
      </c>
      <c r="T16" s="108"/>
      <c r="U16" s="109"/>
      <c r="V16" s="107" t="s">
        <v>4155</v>
      </c>
      <c r="W16" s="109"/>
    </row>
    <row r="17" spans="2:42" ht="30">
      <c r="D17" s="98" t="s">
        <v>4151</v>
      </c>
      <c r="E17" s="98" t="s">
        <v>4152</v>
      </c>
      <c r="F17" s="98" t="s">
        <v>4153</v>
      </c>
      <c r="G17" s="98" t="s">
        <v>4154</v>
      </c>
      <c r="H17" s="107" t="s">
        <v>4156</v>
      </c>
      <c r="I17" s="108"/>
      <c r="J17" s="109"/>
      <c r="K17" s="107" t="s">
        <v>4158</v>
      </c>
      <c r="L17" s="109"/>
      <c r="M17" s="98" t="s">
        <v>4151</v>
      </c>
      <c r="N17" s="98" t="s">
        <v>4153</v>
      </c>
      <c r="O17" s="98" t="s">
        <v>4154</v>
      </c>
      <c r="P17" s="107" t="s">
        <v>4156</v>
      </c>
      <c r="Q17" s="109"/>
      <c r="R17" s="55" t="s">
        <v>4158</v>
      </c>
      <c r="S17" s="98" t="s">
        <v>4151</v>
      </c>
      <c r="T17" s="98" t="s">
        <v>4153</v>
      </c>
      <c r="U17" s="98" t="s">
        <v>4154</v>
      </c>
      <c r="V17" s="98" t="s">
        <v>4157</v>
      </c>
      <c r="W17" s="98" t="s">
        <v>4153</v>
      </c>
    </row>
    <row r="18" spans="2:42" ht="105">
      <c r="D18" s="100"/>
      <c r="E18" s="100"/>
      <c r="F18" s="100"/>
      <c r="G18" s="100"/>
      <c r="H18" s="55" t="s">
        <v>4157</v>
      </c>
      <c r="I18" s="55" t="s">
        <v>4152</v>
      </c>
      <c r="J18" s="55" t="s">
        <v>4153</v>
      </c>
      <c r="K18" s="55" t="s">
        <v>4159</v>
      </c>
      <c r="L18" s="55" t="s">
        <v>4160</v>
      </c>
      <c r="M18" s="100"/>
      <c r="N18" s="100"/>
      <c r="O18" s="100"/>
      <c r="P18" s="55" t="s">
        <v>4157</v>
      </c>
      <c r="Q18" s="55" t="s">
        <v>4153</v>
      </c>
      <c r="R18" s="55" t="s">
        <v>4159</v>
      </c>
      <c r="S18" s="100"/>
      <c r="T18" s="100"/>
      <c r="U18" s="100"/>
      <c r="V18" s="100"/>
      <c r="W18" s="100"/>
    </row>
    <row r="19" spans="2:42">
      <c r="D19" s="45" t="s">
        <v>3219</v>
      </c>
      <c r="E19" s="45" t="s">
        <v>3225</v>
      </c>
      <c r="F19" s="45" t="s">
        <v>3223</v>
      </c>
      <c r="G19" s="45" t="s">
        <v>3229</v>
      </c>
      <c r="H19" s="45" t="s">
        <v>3231</v>
      </c>
      <c r="I19" s="45" t="s">
        <v>3233</v>
      </c>
      <c r="J19" s="45" t="s">
        <v>3234</v>
      </c>
      <c r="K19" s="45" t="s">
        <v>3236</v>
      </c>
      <c r="L19" s="45" t="s">
        <v>3239</v>
      </c>
      <c r="M19" s="45" t="s">
        <v>3241</v>
      </c>
      <c r="N19" s="45" t="s">
        <v>3243</v>
      </c>
      <c r="O19" s="45" t="s">
        <v>3375</v>
      </c>
      <c r="P19" s="45" t="s">
        <v>3475</v>
      </c>
      <c r="Q19" s="45" t="s">
        <v>3477</v>
      </c>
      <c r="R19" s="45" t="s">
        <v>3479</v>
      </c>
      <c r="S19" s="45" t="s">
        <v>3594</v>
      </c>
      <c r="T19" s="45" t="s">
        <v>3596</v>
      </c>
      <c r="U19" s="45" t="s">
        <v>3599</v>
      </c>
      <c r="V19" s="45" t="s">
        <v>3481</v>
      </c>
      <c r="W19" s="45" t="s">
        <v>3508</v>
      </c>
      <c r="AO19" s="13" t="str">
        <f>Show!$B$89&amp;"S.20.01.01.01 Rows {"&amp;COLUMN($C$1)&amp;"}"&amp;"@ForceFilingCode:true"</f>
        <v>!S.20.01.01.01 Rows {3}@ForceFilingCode:true</v>
      </c>
      <c r="AP19" s="13" t="str">
        <f>Show!$B$89&amp;"S.20.01.01.01 Columns {"&amp;COLUMN($D$1)&amp;"}"</f>
        <v>!S.20.01.01.01 Columns {4}</v>
      </c>
    </row>
    <row r="20" spans="2:42">
      <c r="B20" s="43" t="s">
        <v>2880</v>
      </c>
      <c r="C20" s="44" t="s">
        <v>2878</v>
      </c>
      <c r="D20" s="56"/>
      <c r="E20" s="66"/>
      <c r="F20" s="66"/>
      <c r="G20" s="66"/>
      <c r="H20" s="66"/>
      <c r="I20" s="66"/>
      <c r="J20" s="66"/>
      <c r="K20" s="66"/>
      <c r="L20" s="66"/>
      <c r="M20" s="66"/>
      <c r="N20" s="66"/>
      <c r="O20" s="66"/>
      <c r="P20" s="66"/>
      <c r="Q20" s="66"/>
      <c r="R20" s="66"/>
      <c r="S20" s="66"/>
      <c r="T20" s="66"/>
      <c r="U20" s="66"/>
      <c r="V20" s="66"/>
      <c r="W20" s="57"/>
    </row>
    <row r="21" spans="2:42">
      <c r="B21" s="47" t="s">
        <v>3947</v>
      </c>
      <c r="C21" s="41" t="s">
        <v>2883</v>
      </c>
      <c r="D21" s="50"/>
      <c r="E21" s="60"/>
      <c r="F21" s="60"/>
      <c r="G21" s="60"/>
      <c r="H21" s="50"/>
      <c r="I21" s="60"/>
      <c r="J21" s="60"/>
      <c r="K21" s="50"/>
      <c r="L21" s="60"/>
      <c r="M21" s="50"/>
      <c r="N21" s="60"/>
      <c r="O21" s="60"/>
      <c r="P21" s="50"/>
      <c r="Q21" s="60"/>
      <c r="R21" s="50"/>
      <c r="S21" s="50"/>
      <c r="T21" s="60"/>
      <c r="U21" s="60"/>
      <c r="V21" s="50"/>
      <c r="W21" s="60"/>
    </row>
    <row r="22" spans="2:42">
      <c r="B22" s="47" t="s">
        <v>3884</v>
      </c>
      <c r="C22" s="41" t="s">
        <v>2885</v>
      </c>
      <c r="D22" s="50"/>
      <c r="E22" s="60"/>
      <c r="F22" s="60"/>
      <c r="G22" s="60"/>
      <c r="H22" s="50"/>
      <c r="I22" s="60"/>
      <c r="J22" s="60"/>
      <c r="K22" s="50"/>
      <c r="L22" s="60"/>
      <c r="M22" s="50"/>
      <c r="N22" s="60"/>
      <c r="O22" s="60"/>
      <c r="P22" s="50"/>
      <c r="Q22" s="60"/>
      <c r="R22" s="50"/>
      <c r="S22" s="50"/>
      <c r="T22" s="60"/>
      <c r="U22" s="60"/>
      <c r="V22" s="50"/>
      <c r="W22" s="60"/>
    </row>
    <row r="23" spans="2:42">
      <c r="B23" s="47" t="s">
        <v>3885</v>
      </c>
      <c r="C23" s="41" t="s">
        <v>2887</v>
      </c>
      <c r="D23" s="50"/>
      <c r="E23" s="60"/>
      <c r="F23" s="60"/>
      <c r="G23" s="60"/>
      <c r="H23" s="50"/>
      <c r="I23" s="60"/>
      <c r="J23" s="60"/>
      <c r="K23" s="50"/>
      <c r="L23" s="60"/>
      <c r="M23" s="50"/>
      <c r="N23" s="60"/>
      <c r="O23" s="60"/>
      <c r="P23" s="50"/>
      <c r="Q23" s="60"/>
      <c r="R23" s="50"/>
      <c r="S23" s="50"/>
      <c r="T23" s="60"/>
      <c r="U23" s="60"/>
      <c r="V23" s="50"/>
      <c r="W23" s="60"/>
    </row>
    <row r="24" spans="2:42">
      <c r="B24" s="47" t="s">
        <v>3886</v>
      </c>
      <c r="C24" s="41" t="s">
        <v>2889</v>
      </c>
      <c r="D24" s="50"/>
      <c r="E24" s="60"/>
      <c r="F24" s="60"/>
      <c r="G24" s="60"/>
      <c r="H24" s="50"/>
      <c r="I24" s="60"/>
      <c r="J24" s="60"/>
      <c r="K24" s="50"/>
      <c r="L24" s="60"/>
      <c r="M24" s="50"/>
      <c r="N24" s="60"/>
      <c r="O24" s="60"/>
      <c r="P24" s="50"/>
      <c r="Q24" s="60"/>
      <c r="R24" s="50"/>
      <c r="S24" s="50"/>
      <c r="T24" s="60"/>
      <c r="U24" s="60"/>
      <c r="V24" s="50"/>
      <c r="W24" s="60"/>
    </row>
    <row r="25" spans="2:42">
      <c r="B25" s="47" t="s">
        <v>3887</v>
      </c>
      <c r="C25" s="41" t="s">
        <v>3078</v>
      </c>
      <c r="D25" s="50"/>
      <c r="E25" s="60"/>
      <c r="F25" s="60"/>
      <c r="G25" s="60"/>
      <c r="H25" s="50"/>
      <c r="I25" s="60"/>
      <c r="J25" s="60"/>
      <c r="K25" s="50"/>
      <c r="L25" s="60"/>
      <c r="M25" s="50"/>
      <c r="N25" s="60"/>
      <c r="O25" s="60"/>
      <c r="P25" s="50"/>
      <c r="Q25" s="60"/>
      <c r="R25" s="50"/>
      <c r="S25" s="50"/>
      <c r="T25" s="60"/>
      <c r="U25" s="60"/>
      <c r="V25" s="50"/>
      <c r="W25" s="60"/>
    </row>
    <row r="26" spans="2:42">
      <c r="B26" s="47" t="s">
        <v>3888</v>
      </c>
      <c r="C26" s="41" t="s">
        <v>2891</v>
      </c>
      <c r="D26" s="50"/>
      <c r="E26" s="60"/>
      <c r="F26" s="60"/>
      <c r="G26" s="60"/>
      <c r="H26" s="50"/>
      <c r="I26" s="60"/>
      <c r="J26" s="60"/>
      <c r="K26" s="50"/>
      <c r="L26" s="60"/>
      <c r="M26" s="50"/>
      <c r="N26" s="60"/>
      <c r="O26" s="60"/>
      <c r="P26" s="50"/>
      <c r="Q26" s="60"/>
      <c r="R26" s="50"/>
      <c r="S26" s="50"/>
      <c r="T26" s="60"/>
      <c r="U26" s="60"/>
      <c r="V26" s="50"/>
      <c r="W26" s="60"/>
    </row>
    <row r="27" spans="2:42">
      <c r="B27" s="47" t="s">
        <v>3889</v>
      </c>
      <c r="C27" s="41" t="s">
        <v>2893</v>
      </c>
      <c r="D27" s="50"/>
      <c r="E27" s="60"/>
      <c r="F27" s="60"/>
      <c r="G27" s="60"/>
      <c r="H27" s="50"/>
      <c r="I27" s="60"/>
      <c r="J27" s="60"/>
      <c r="K27" s="50"/>
      <c r="L27" s="60"/>
      <c r="M27" s="50"/>
      <c r="N27" s="60"/>
      <c r="O27" s="60"/>
      <c r="P27" s="50"/>
      <c r="Q27" s="60"/>
      <c r="R27" s="50"/>
      <c r="S27" s="50"/>
      <c r="T27" s="60"/>
      <c r="U27" s="60"/>
      <c r="V27" s="50"/>
      <c r="W27" s="60"/>
    </row>
    <row r="28" spans="2:42">
      <c r="B28" s="47" t="s">
        <v>3890</v>
      </c>
      <c r="C28" s="41" t="s">
        <v>2895</v>
      </c>
      <c r="D28" s="50"/>
      <c r="E28" s="60"/>
      <c r="F28" s="60"/>
      <c r="G28" s="60"/>
      <c r="H28" s="50"/>
      <c r="I28" s="60"/>
      <c r="J28" s="60"/>
      <c r="K28" s="50"/>
      <c r="L28" s="60"/>
      <c r="M28" s="50"/>
      <c r="N28" s="60"/>
      <c r="O28" s="60"/>
      <c r="P28" s="50"/>
      <c r="Q28" s="60"/>
      <c r="R28" s="50"/>
      <c r="S28" s="50"/>
      <c r="T28" s="60"/>
      <c r="U28" s="60"/>
      <c r="V28" s="50"/>
      <c r="W28" s="60"/>
    </row>
    <row r="29" spans="2:42">
      <c r="B29" s="47" t="s">
        <v>3891</v>
      </c>
      <c r="C29" s="41" t="s">
        <v>2897</v>
      </c>
      <c r="D29" s="50"/>
      <c r="E29" s="60"/>
      <c r="F29" s="60"/>
      <c r="G29" s="60"/>
      <c r="H29" s="50"/>
      <c r="I29" s="60"/>
      <c r="J29" s="60"/>
      <c r="K29" s="50"/>
      <c r="L29" s="60"/>
      <c r="M29" s="50"/>
      <c r="N29" s="60"/>
      <c r="O29" s="60"/>
      <c r="P29" s="50"/>
      <c r="Q29" s="60"/>
      <c r="R29" s="50"/>
      <c r="S29" s="50"/>
      <c r="T29" s="60"/>
      <c r="U29" s="60"/>
      <c r="V29" s="50"/>
      <c r="W29" s="60"/>
    </row>
    <row r="30" spans="2:42">
      <c r="B30" s="47" t="s">
        <v>3892</v>
      </c>
      <c r="C30" s="41" t="s">
        <v>2899</v>
      </c>
      <c r="D30" s="50"/>
      <c r="E30" s="60"/>
      <c r="F30" s="60"/>
      <c r="G30" s="60"/>
      <c r="H30" s="50"/>
      <c r="I30" s="60"/>
      <c r="J30" s="60"/>
      <c r="K30" s="50"/>
      <c r="L30" s="60"/>
      <c r="M30" s="50"/>
      <c r="N30" s="60"/>
      <c r="O30" s="60"/>
      <c r="P30" s="50"/>
      <c r="Q30" s="60"/>
      <c r="R30" s="50"/>
      <c r="S30" s="50"/>
      <c r="T30" s="60"/>
      <c r="U30" s="60"/>
      <c r="V30" s="50"/>
      <c r="W30" s="60"/>
    </row>
    <row r="31" spans="2:42">
      <c r="B31" s="47" t="s">
        <v>3893</v>
      </c>
      <c r="C31" s="41" t="s">
        <v>2901</v>
      </c>
      <c r="D31" s="50"/>
      <c r="E31" s="60"/>
      <c r="F31" s="60"/>
      <c r="G31" s="60"/>
      <c r="H31" s="50"/>
      <c r="I31" s="60"/>
      <c r="J31" s="60"/>
      <c r="K31" s="50"/>
      <c r="L31" s="60"/>
      <c r="M31" s="50"/>
      <c r="N31" s="60"/>
      <c r="O31" s="60"/>
      <c r="P31" s="50"/>
      <c r="Q31" s="60"/>
      <c r="R31" s="50"/>
      <c r="S31" s="50"/>
      <c r="T31" s="60"/>
      <c r="U31" s="60"/>
      <c r="V31" s="50"/>
      <c r="W31" s="60"/>
    </row>
    <row r="32" spans="2:42">
      <c r="B32" s="47" t="s">
        <v>3894</v>
      </c>
      <c r="C32" s="41" t="s">
        <v>2903</v>
      </c>
      <c r="D32" s="50"/>
      <c r="E32" s="60"/>
      <c r="F32" s="60"/>
      <c r="G32" s="60"/>
      <c r="H32" s="50"/>
      <c r="I32" s="60"/>
      <c r="J32" s="60"/>
      <c r="K32" s="50"/>
      <c r="L32" s="60"/>
      <c r="M32" s="50"/>
      <c r="N32" s="60"/>
      <c r="O32" s="60"/>
      <c r="P32" s="50"/>
      <c r="Q32" s="60"/>
      <c r="R32" s="50"/>
      <c r="S32" s="50"/>
      <c r="T32" s="60"/>
      <c r="U32" s="60"/>
      <c r="V32" s="50"/>
      <c r="W32" s="60"/>
    </row>
    <row r="33" spans="2:42">
      <c r="B33" s="47" t="s">
        <v>3895</v>
      </c>
      <c r="C33" s="41" t="s">
        <v>2905</v>
      </c>
      <c r="D33" s="50"/>
      <c r="E33" s="60"/>
      <c r="F33" s="60"/>
      <c r="G33" s="60"/>
      <c r="H33" s="50"/>
      <c r="I33" s="60"/>
      <c r="J33" s="60"/>
      <c r="K33" s="50"/>
      <c r="L33" s="60"/>
      <c r="M33" s="50"/>
      <c r="N33" s="60"/>
      <c r="O33" s="60"/>
      <c r="P33" s="50"/>
      <c r="Q33" s="60"/>
      <c r="R33" s="50"/>
      <c r="S33" s="50"/>
      <c r="T33" s="60"/>
      <c r="U33" s="60"/>
      <c r="V33" s="50"/>
      <c r="W33" s="60"/>
    </row>
    <row r="34" spans="2:42">
      <c r="B34" s="47" t="s">
        <v>3896</v>
      </c>
      <c r="C34" s="41" t="s">
        <v>2907</v>
      </c>
      <c r="D34" s="50"/>
      <c r="E34" s="60"/>
      <c r="F34" s="60"/>
      <c r="G34" s="60"/>
      <c r="H34" s="50"/>
      <c r="I34" s="60"/>
      <c r="J34" s="60"/>
      <c r="K34" s="50"/>
      <c r="L34" s="60"/>
      <c r="M34" s="50"/>
      <c r="N34" s="60"/>
      <c r="O34" s="60"/>
      <c r="P34" s="50"/>
      <c r="Q34" s="60"/>
      <c r="R34" s="50"/>
      <c r="S34" s="50"/>
      <c r="T34" s="60"/>
      <c r="U34" s="60"/>
      <c r="V34" s="50"/>
      <c r="W34" s="60"/>
    </row>
    <row r="35" spans="2:42">
      <c r="B35" s="47" t="s">
        <v>3897</v>
      </c>
      <c r="C35" s="41" t="s">
        <v>2909</v>
      </c>
      <c r="D35" s="50"/>
      <c r="E35" s="60"/>
      <c r="F35" s="60"/>
      <c r="G35" s="60"/>
      <c r="H35" s="50"/>
      <c r="I35" s="60"/>
      <c r="J35" s="60"/>
      <c r="K35" s="50"/>
      <c r="L35" s="60"/>
      <c r="M35" s="50"/>
      <c r="N35" s="60"/>
      <c r="O35" s="60"/>
      <c r="P35" s="50"/>
      <c r="Q35" s="60"/>
      <c r="R35" s="50"/>
      <c r="S35" s="50"/>
      <c r="T35" s="60"/>
      <c r="U35" s="60"/>
      <c r="V35" s="50"/>
      <c r="W35" s="60"/>
    </row>
    <row r="36" spans="2:42">
      <c r="B36" s="47" t="s">
        <v>4163</v>
      </c>
      <c r="C36" s="41" t="s">
        <v>2911</v>
      </c>
      <c r="D36" s="74"/>
      <c r="E36" s="63"/>
      <c r="F36" s="63"/>
      <c r="G36" s="63"/>
      <c r="H36" s="74"/>
      <c r="I36" s="63"/>
      <c r="J36" s="63"/>
      <c r="K36" s="74"/>
      <c r="L36" s="63"/>
      <c r="M36" s="50"/>
      <c r="N36" s="60"/>
      <c r="O36" s="60"/>
      <c r="P36" s="50"/>
      <c r="Q36" s="60"/>
      <c r="R36" s="50"/>
      <c r="S36" s="74"/>
      <c r="T36" s="63"/>
      <c r="U36" s="63"/>
      <c r="V36" s="74"/>
      <c r="W36" s="63"/>
    </row>
    <row r="37" spans="2:42">
      <c r="B37" s="47" t="s">
        <v>3898</v>
      </c>
      <c r="C37" s="44" t="s">
        <v>2913</v>
      </c>
      <c r="D37" s="58"/>
      <c r="E37" s="58"/>
      <c r="F37" s="58"/>
      <c r="G37" s="58"/>
      <c r="H37" s="58"/>
      <c r="I37" s="58"/>
      <c r="J37" s="58"/>
      <c r="K37" s="58"/>
      <c r="L37" s="48"/>
      <c r="M37" s="50"/>
      <c r="N37" s="60"/>
      <c r="O37" s="60"/>
      <c r="P37" s="50"/>
      <c r="Q37" s="60"/>
      <c r="R37" s="73"/>
      <c r="S37" s="58"/>
      <c r="T37" s="58"/>
      <c r="U37" s="58"/>
      <c r="V37" s="58"/>
      <c r="W37" s="48"/>
    </row>
    <row r="38" spans="2:42">
      <c r="B38" s="47" t="s">
        <v>3480</v>
      </c>
      <c r="C38" s="44" t="s">
        <v>2915</v>
      </c>
      <c r="D38" s="56"/>
      <c r="E38" s="56"/>
      <c r="F38" s="56"/>
      <c r="G38" s="56"/>
      <c r="H38" s="56"/>
      <c r="I38" s="56"/>
      <c r="J38" s="56"/>
      <c r="K38" s="56"/>
      <c r="L38" s="46"/>
      <c r="M38" s="50"/>
      <c r="N38" s="60"/>
      <c r="O38" s="60"/>
      <c r="P38" s="50"/>
      <c r="Q38" s="60"/>
      <c r="R38" s="73"/>
      <c r="S38" s="56"/>
      <c r="T38" s="56"/>
      <c r="U38" s="56"/>
      <c r="V38" s="56"/>
      <c r="W38" s="46"/>
    </row>
    <row r="40" spans="2:42">
      <c r="AO40" s="13" t="str">
        <f>Show!$B$89&amp;Show!$B$89&amp;"S.20.01.01.01 Rows {"&amp;COLUMN($C$1)&amp;"}"</f>
        <v>!!S.20.01.01.01 Rows {3}</v>
      </c>
      <c r="AP40" s="13" t="str">
        <f>Show!$B$89&amp;Show!$B$89&amp;"S.20.01.01.01 Columns {"&amp;COLUMN($W$1)&amp;"}"</f>
        <v>!!S.20.01.01.01 Columns {23}</v>
      </c>
    </row>
  </sheetData>
  <sheetProtection sheet="1" objects="1" scenarios="1"/>
  <mergeCells count="27">
    <mergeCell ref="U17:U18"/>
    <mergeCell ref="V17:V18"/>
    <mergeCell ref="W17:W18"/>
    <mergeCell ref="M17:M18"/>
    <mergeCell ref="N17:N18"/>
    <mergeCell ref="O17:O18"/>
    <mergeCell ref="P17:Q17"/>
    <mergeCell ref="S17:S18"/>
    <mergeCell ref="T17:T18"/>
    <mergeCell ref="K17:L17"/>
    <mergeCell ref="D16:G16"/>
    <mergeCell ref="H16:L16"/>
    <mergeCell ref="M16:O16"/>
    <mergeCell ref="P16:R16"/>
    <mergeCell ref="D17:D18"/>
    <mergeCell ref="E17:E18"/>
    <mergeCell ref="F17:F18"/>
    <mergeCell ref="G17:G18"/>
    <mergeCell ref="H17:J17"/>
    <mergeCell ref="S16:U16"/>
    <mergeCell ref="V16:W16"/>
    <mergeCell ref="B2:O2"/>
    <mergeCell ref="B5:L5"/>
    <mergeCell ref="D13:W14"/>
    <mergeCell ref="D15:L15"/>
    <mergeCell ref="M15:R15"/>
    <mergeCell ref="S15:W15"/>
  </mergeCells>
  <dataValidations count="2">
    <dataValidation type="list" errorStyle="warning" allowBlank="1" showInputMessage="1" showErrorMessage="1" sqref="D9" xr:uid="{A9AA1A84-B3AC-4935-9889-6B9091194BEA}">
      <formula1>hier_LB_30</formula1>
    </dataValidation>
    <dataValidation type="list" errorStyle="warning" allowBlank="1" showInputMessage="1" showErrorMessage="1" sqref="D10" xr:uid="{9006C947-5947-41DC-8C08-C165BAED6F3C}">
      <formula1>hier_AM_8</formula1>
    </dataValidation>
  </dataValidation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79AB-3B4F-45D2-8101-9449ECA84572}">
  <sheetPr codeName="Blad94"/>
  <dimension ref="B2:AO41"/>
  <sheetViews>
    <sheetView showGridLines="0" workbookViewId="0"/>
  </sheetViews>
  <sheetFormatPr defaultRowHeight="15"/>
  <cols>
    <col min="2" max="2" width="30.85546875" bestFit="1" customWidth="1"/>
    <col min="4" max="35" width="15.7109375" customWidth="1"/>
  </cols>
  <sheetData>
    <row r="2" spans="2:41" ht="23.25">
      <c r="B2" s="95" t="s">
        <v>647</v>
      </c>
      <c r="C2" s="96"/>
      <c r="D2" s="96"/>
      <c r="E2" s="96"/>
      <c r="F2" s="96"/>
      <c r="G2" s="96"/>
      <c r="H2" s="96"/>
      <c r="I2" s="96"/>
      <c r="J2" s="96"/>
      <c r="K2" s="96"/>
      <c r="L2" s="96"/>
      <c r="M2" s="96"/>
      <c r="N2" s="96"/>
      <c r="O2" s="96"/>
    </row>
    <row r="5" spans="2:41" ht="18.75">
      <c r="B5" s="97" t="s">
        <v>4164</v>
      </c>
      <c r="C5" s="96"/>
      <c r="D5" s="96"/>
      <c r="E5" s="96"/>
      <c r="F5" s="96"/>
      <c r="G5" s="96"/>
      <c r="H5" s="96"/>
      <c r="I5" s="96"/>
      <c r="J5" s="96"/>
      <c r="K5" s="96"/>
      <c r="L5" s="96"/>
    </row>
    <row r="7" spans="2:41">
      <c r="B7" t="s">
        <v>3110</v>
      </c>
      <c r="AN7" s="13" t="str">
        <f>Show!$B$90&amp;"S.21.01.01.01 Table label {"&amp;COLUMN($C$1)&amp;"}"</f>
        <v>!S.21.01.01.01 Table label {3}</v>
      </c>
      <c r="AO7" s="13" t="str">
        <f>Show!$B$90&amp;"S.21.01.01.01 Table value {"&amp;COLUMN($D$1)&amp;"}"</f>
        <v>!S.21.01.01.01 Table value {4}</v>
      </c>
    </row>
    <row r="8" spans="2:41">
      <c r="B8" t="s">
        <v>3111</v>
      </c>
    </row>
    <row r="9" spans="2:41">
      <c r="B9" s="40" t="s">
        <v>3427</v>
      </c>
      <c r="C9" s="53" t="s">
        <v>3113</v>
      </c>
      <c r="D9" s="51"/>
    </row>
    <row r="10" spans="2:41">
      <c r="B10" s="40" t="s">
        <v>4148</v>
      </c>
      <c r="C10" s="53" t="s">
        <v>3115</v>
      </c>
      <c r="D10" s="51"/>
    </row>
    <row r="11" spans="2:41">
      <c r="AN11" s="13" t="str">
        <f>Show!$B$90&amp;Show!$B$90&amp;"S.21.01.01.01 Table label {"&amp;COLUMN($C$1)&amp;"}"</f>
        <v>!!S.21.01.01.01 Table label {3}</v>
      </c>
      <c r="AO11" s="13" t="str">
        <f>Show!$B$90&amp;Show!$B$90&amp;"S.21.01.01.01 Table value {"&amp;COLUMN($D$1)&amp;"}"</f>
        <v>!!S.21.01.01.01 Table value {4}</v>
      </c>
    </row>
    <row r="13" spans="2:41">
      <c r="D13" s="101" t="s">
        <v>2877</v>
      </c>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3"/>
    </row>
    <row r="14" spans="2:41">
      <c r="D14" s="104"/>
      <c r="E14" s="10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6"/>
    </row>
    <row r="15" spans="2:41" ht="60">
      <c r="D15" s="55" t="s">
        <v>4165</v>
      </c>
      <c r="E15" s="55" t="s">
        <v>4166</v>
      </c>
      <c r="F15" s="55" t="s">
        <v>4167</v>
      </c>
      <c r="G15" s="55" t="s">
        <v>4168</v>
      </c>
      <c r="H15" s="55" t="s">
        <v>4169</v>
      </c>
      <c r="I15" s="55" t="s">
        <v>4170</v>
      </c>
      <c r="J15" s="55" t="s">
        <v>4171</v>
      </c>
      <c r="K15" s="55" t="s">
        <v>4172</v>
      </c>
      <c r="L15" s="55" t="s">
        <v>4173</v>
      </c>
      <c r="M15" s="55" t="s">
        <v>4174</v>
      </c>
      <c r="N15" s="55" t="s">
        <v>4175</v>
      </c>
      <c r="O15" s="55" t="s">
        <v>4176</v>
      </c>
      <c r="P15" s="55" t="s">
        <v>4177</v>
      </c>
      <c r="Q15" s="55" t="s">
        <v>4178</v>
      </c>
      <c r="R15" s="55" t="s">
        <v>4179</v>
      </c>
      <c r="S15" s="55" t="s">
        <v>4180</v>
      </c>
      <c r="T15" s="55" t="s">
        <v>4181</v>
      </c>
      <c r="U15" s="55" t="s">
        <v>4182</v>
      </c>
      <c r="V15" s="55" t="s">
        <v>4183</v>
      </c>
      <c r="W15" s="55" t="s">
        <v>4184</v>
      </c>
      <c r="X15" s="55" t="s">
        <v>4185</v>
      </c>
      <c r="Y15" s="55" t="s">
        <v>4186</v>
      </c>
      <c r="Z15" s="55" t="s">
        <v>4187</v>
      </c>
      <c r="AA15" s="55" t="s">
        <v>4188</v>
      </c>
      <c r="AB15" s="55" t="s">
        <v>4189</v>
      </c>
      <c r="AC15" s="55" t="s">
        <v>4190</v>
      </c>
      <c r="AD15" s="55" t="s">
        <v>4191</v>
      </c>
      <c r="AE15" s="55" t="s">
        <v>4192</v>
      </c>
      <c r="AF15" s="55" t="s">
        <v>4193</v>
      </c>
      <c r="AG15" s="55" t="s">
        <v>4194</v>
      </c>
      <c r="AH15" s="55" t="s">
        <v>4195</v>
      </c>
      <c r="AI15" s="55" t="s">
        <v>4196</v>
      </c>
    </row>
    <row r="16" spans="2:41">
      <c r="D16" s="45" t="s">
        <v>3225</v>
      </c>
      <c r="E16" s="45" t="s">
        <v>3223</v>
      </c>
      <c r="F16" s="45" t="s">
        <v>3229</v>
      </c>
      <c r="G16" s="45" t="s">
        <v>3231</v>
      </c>
      <c r="H16" s="45" t="s">
        <v>3233</v>
      </c>
      <c r="I16" s="45" t="s">
        <v>3234</v>
      </c>
      <c r="J16" s="45" t="s">
        <v>3236</v>
      </c>
      <c r="K16" s="45" t="s">
        <v>3239</v>
      </c>
      <c r="L16" s="45" t="s">
        <v>3241</v>
      </c>
      <c r="M16" s="45" t="s">
        <v>3243</v>
      </c>
      <c r="N16" s="45" t="s">
        <v>3375</v>
      </c>
      <c r="O16" s="45" t="s">
        <v>3475</v>
      </c>
      <c r="P16" s="45" t="s">
        <v>3477</v>
      </c>
      <c r="Q16" s="45" t="s">
        <v>3479</v>
      </c>
      <c r="R16" s="45" t="s">
        <v>3594</v>
      </c>
      <c r="S16" s="45" t="s">
        <v>3596</v>
      </c>
      <c r="T16" s="45" t="s">
        <v>3599</v>
      </c>
      <c r="U16" s="45" t="s">
        <v>3481</v>
      </c>
      <c r="V16" s="45" t="s">
        <v>3508</v>
      </c>
      <c r="W16" s="45" t="s">
        <v>3509</v>
      </c>
      <c r="X16" s="45" t="s">
        <v>3511</v>
      </c>
      <c r="Y16" s="45" t="s">
        <v>3513</v>
      </c>
      <c r="Z16" s="45" t="s">
        <v>3514</v>
      </c>
      <c r="AA16" s="45" t="s">
        <v>3515</v>
      </c>
      <c r="AB16" s="45" t="s">
        <v>3517</v>
      </c>
      <c r="AC16" s="45" t="s">
        <v>3518</v>
      </c>
      <c r="AD16" s="45" t="s">
        <v>3608</v>
      </c>
      <c r="AE16" s="45" t="s">
        <v>3519</v>
      </c>
      <c r="AF16" s="45" t="s">
        <v>3612</v>
      </c>
      <c r="AG16" s="45" t="s">
        <v>3614</v>
      </c>
      <c r="AH16" s="45" t="s">
        <v>3616</v>
      </c>
      <c r="AI16" s="45" t="s">
        <v>3618</v>
      </c>
      <c r="AN16" s="13" t="str">
        <f>Show!$B$90&amp;"S.21.01.01.01 Rows {"&amp;COLUMN($C$1)&amp;"}"&amp;"@ForceFilingCode:true"</f>
        <v>!S.21.01.01.01 Rows {3}@ForceFilingCode:true</v>
      </c>
      <c r="AO16" s="13" t="str">
        <f>Show!$B$90&amp;"S.21.01.01.01 Columns {"&amp;COLUMN($D$1)&amp;"}"</f>
        <v>!S.21.01.01.01 Columns {4}</v>
      </c>
    </row>
    <row r="17" spans="2:35">
      <c r="B17" s="43" t="s">
        <v>2880</v>
      </c>
      <c r="C17" s="44" t="s">
        <v>2878</v>
      </c>
      <c r="D17" s="5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57"/>
    </row>
    <row r="18" spans="2:35">
      <c r="B18" s="47" t="s">
        <v>4197</v>
      </c>
      <c r="C18" s="41" t="s">
        <v>2883</v>
      </c>
      <c r="D18" s="60"/>
      <c r="E18" s="60"/>
      <c r="F18" s="50"/>
      <c r="G18" s="60"/>
      <c r="H18" s="50"/>
      <c r="I18" s="60"/>
      <c r="J18" s="50"/>
      <c r="K18" s="60"/>
      <c r="L18" s="50"/>
      <c r="M18" s="60"/>
      <c r="N18" s="50"/>
      <c r="O18" s="60"/>
      <c r="P18" s="50"/>
      <c r="Q18" s="60"/>
      <c r="R18" s="50"/>
      <c r="S18" s="60"/>
      <c r="T18" s="50"/>
      <c r="U18" s="60"/>
      <c r="V18" s="50"/>
      <c r="W18" s="60"/>
      <c r="X18" s="50"/>
      <c r="Y18" s="60"/>
      <c r="Z18" s="50"/>
      <c r="AA18" s="60"/>
      <c r="AB18" s="50"/>
      <c r="AC18" s="60"/>
      <c r="AD18" s="50"/>
      <c r="AE18" s="60"/>
      <c r="AF18" s="50"/>
      <c r="AG18" s="60"/>
      <c r="AH18" s="50"/>
      <c r="AI18" s="60"/>
    </row>
    <row r="19" spans="2:35">
      <c r="B19" s="47" t="s">
        <v>4198</v>
      </c>
      <c r="C19" s="41" t="s">
        <v>2885</v>
      </c>
      <c r="D19" s="60"/>
      <c r="E19" s="60"/>
      <c r="F19" s="50"/>
      <c r="G19" s="60"/>
      <c r="H19" s="50"/>
      <c r="I19" s="60"/>
      <c r="J19" s="50"/>
      <c r="K19" s="60"/>
      <c r="L19" s="50"/>
      <c r="M19" s="60"/>
      <c r="N19" s="50"/>
      <c r="O19" s="60"/>
      <c r="P19" s="50"/>
      <c r="Q19" s="60"/>
      <c r="R19" s="50"/>
      <c r="S19" s="60"/>
      <c r="T19" s="50"/>
      <c r="U19" s="60"/>
      <c r="V19" s="50"/>
      <c r="W19" s="60"/>
      <c r="X19" s="50"/>
      <c r="Y19" s="60"/>
      <c r="Z19" s="50"/>
      <c r="AA19" s="60"/>
      <c r="AB19" s="50"/>
      <c r="AC19" s="60"/>
      <c r="AD19" s="50"/>
      <c r="AE19" s="60"/>
      <c r="AF19" s="50"/>
      <c r="AG19" s="60"/>
      <c r="AH19" s="50"/>
      <c r="AI19" s="60"/>
    </row>
    <row r="20" spans="2:35">
      <c r="B20" s="47" t="s">
        <v>4199</v>
      </c>
      <c r="C20" s="41" t="s">
        <v>2887</v>
      </c>
      <c r="D20" s="60"/>
      <c r="E20" s="60"/>
      <c r="F20" s="50"/>
      <c r="G20" s="60"/>
      <c r="H20" s="50"/>
      <c r="I20" s="60"/>
      <c r="J20" s="50"/>
      <c r="K20" s="60"/>
      <c r="L20" s="50"/>
      <c r="M20" s="60"/>
      <c r="N20" s="50"/>
      <c r="O20" s="60"/>
      <c r="P20" s="50"/>
      <c r="Q20" s="60"/>
      <c r="R20" s="50"/>
      <c r="S20" s="60"/>
      <c r="T20" s="50"/>
      <c r="U20" s="60"/>
      <c r="V20" s="50"/>
      <c r="W20" s="60"/>
      <c r="X20" s="50"/>
      <c r="Y20" s="60"/>
      <c r="Z20" s="50"/>
      <c r="AA20" s="60"/>
      <c r="AB20" s="50"/>
      <c r="AC20" s="60"/>
      <c r="AD20" s="50"/>
      <c r="AE20" s="60"/>
      <c r="AF20" s="50"/>
      <c r="AG20" s="60"/>
      <c r="AH20" s="50"/>
      <c r="AI20" s="60"/>
    </row>
    <row r="21" spans="2:35">
      <c r="B21" s="47" t="s">
        <v>4200</v>
      </c>
      <c r="C21" s="41" t="s">
        <v>2889</v>
      </c>
      <c r="D21" s="60"/>
      <c r="E21" s="60"/>
      <c r="F21" s="50"/>
      <c r="G21" s="60"/>
      <c r="H21" s="50"/>
      <c r="I21" s="60"/>
      <c r="J21" s="50"/>
      <c r="K21" s="60"/>
      <c r="L21" s="50"/>
      <c r="M21" s="60"/>
      <c r="N21" s="50"/>
      <c r="O21" s="60"/>
      <c r="P21" s="50"/>
      <c r="Q21" s="60"/>
      <c r="R21" s="50"/>
      <c r="S21" s="60"/>
      <c r="T21" s="50"/>
      <c r="U21" s="60"/>
      <c r="V21" s="50"/>
      <c r="W21" s="60"/>
      <c r="X21" s="50"/>
      <c r="Y21" s="60"/>
      <c r="Z21" s="50"/>
      <c r="AA21" s="60"/>
      <c r="AB21" s="50"/>
      <c r="AC21" s="60"/>
      <c r="AD21" s="50"/>
      <c r="AE21" s="60"/>
      <c r="AF21" s="50"/>
      <c r="AG21" s="60"/>
      <c r="AH21" s="50"/>
      <c r="AI21" s="60"/>
    </row>
    <row r="22" spans="2:35">
      <c r="B22" s="47" t="s">
        <v>4201</v>
      </c>
      <c r="C22" s="41" t="s">
        <v>3078</v>
      </c>
      <c r="D22" s="60"/>
      <c r="E22" s="60"/>
      <c r="F22" s="50"/>
      <c r="G22" s="60"/>
      <c r="H22" s="50"/>
      <c r="I22" s="60"/>
      <c r="J22" s="50"/>
      <c r="K22" s="60"/>
      <c r="L22" s="50"/>
      <c r="M22" s="60"/>
      <c r="N22" s="50"/>
      <c r="O22" s="60"/>
      <c r="P22" s="50"/>
      <c r="Q22" s="60"/>
      <c r="R22" s="50"/>
      <c r="S22" s="60"/>
      <c r="T22" s="50"/>
      <c r="U22" s="60"/>
      <c r="V22" s="50"/>
      <c r="W22" s="60"/>
      <c r="X22" s="50"/>
      <c r="Y22" s="60"/>
      <c r="Z22" s="50"/>
      <c r="AA22" s="60"/>
      <c r="AB22" s="50"/>
      <c r="AC22" s="60"/>
      <c r="AD22" s="50"/>
      <c r="AE22" s="60"/>
      <c r="AF22" s="50"/>
      <c r="AG22" s="60"/>
      <c r="AH22" s="50"/>
      <c r="AI22" s="60"/>
    </row>
    <row r="23" spans="2:35">
      <c r="B23" s="47" t="s">
        <v>4202</v>
      </c>
      <c r="C23" s="41" t="s">
        <v>2891</v>
      </c>
      <c r="D23" s="60"/>
      <c r="E23" s="60"/>
      <c r="F23" s="50"/>
      <c r="G23" s="60"/>
      <c r="H23" s="50"/>
      <c r="I23" s="60"/>
      <c r="J23" s="50"/>
      <c r="K23" s="60"/>
      <c r="L23" s="50"/>
      <c r="M23" s="60"/>
      <c r="N23" s="50"/>
      <c r="O23" s="60"/>
      <c r="P23" s="50"/>
      <c r="Q23" s="60"/>
      <c r="R23" s="50"/>
      <c r="S23" s="60"/>
      <c r="T23" s="50"/>
      <c r="U23" s="60"/>
      <c r="V23" s="50"/>
      <c r="W23" s="60"/>
      <c r="X23" s="50"/>
      <c r="Y23" s="60"/>
      <c r="Z23" s="50"/>
      <c r="AA23" s="60"/>
      <c r="AB23" s="50"/>
      <c r="AC23" s="60"/>
      <c r="AD23" s="50"/>
      <c r="AE23" s="60"/>
      <c r="AF23" s="50"/>
      <c r="AG23" s="60"/>
      <c r="AH23" s="50"/>
      <c r="AI23" s="60"/>
    </row>
    <row r="24" spans="2:35">
      <c r="B24" s="47" t="s">
        <v>4203</v>
      </c>
      <c r="C24" s="41" t="s">
        <v>2893</v>
      </c>
      <c r="D24" s="60"/>
      <c r="E24" s="60"/>
      <c r="F24" s="50"/>
      <c r="G24" s="60"/>
      <c r="H24" s="50"/>
      <c r="I24" s="60"/>
      <c r="J24" s="50"/>
      <c r="K24" s="60"/>
      <c r="L24" s="50"/>
      <c r="M24" s="60"/>
      <c r="N24" s="50"/>
      <c r="O24" s="60"/>
      <c r="P24" s="50"/>
      <c r="Q24" s="60"/>
      <c r="R24" s="50"/>
      <c r="S24" s="60"/>
      <c r="T24" s="50"/>
      <c r="U24" s="60"/>
      <c r="V24" s="50"/>
      <c r="W24" s="60"/>
      <c r="X24" s="50"/>
      <c r="Y24" s="60"/>
      <c r="Z24" s="50"/>
      <c r="AA24" s="60"/>
      <c r="AB24" s="50"/>
      <c r="AC24" s="60"/>
      <c r="AD24" s="50"/>
      <c r="AE24" s="60"/>
      <c r="AF24" s="50"/>
      <c r="AG24" s="60"/>
      <c r="AH24" s="50"/>
      <c r="AI24" s="60"/>
    </row>
    <row r="25" spans="2:35">
      <c r="B25" s="47" t="s">
        <v>4204</v>
      </c>
      <c r="C25" s="41" t="s">
        <v>2895</v>
      </c>
      <c r="D25" s="60"/>
      <c r="E25" s="60"/>
      <c r="F25" s="50"/>
      <c r="G25" s="60"/>
      <c r="H25" s="50"/>
      <c r="I25" s="60"/>
      <c r="J25" s="50"/>
      <c r="K25" s="60"/>
      <c r="L25" s="50"/>
      <c r="M25" s="60"/>
      <c r="N25" s="50"/>
      <c r="O25" s="60"/>
      <c r="P25" s="50"/>
      <c r="Q25" s="60"/>
      <c r="R25" s="50"/>
      <c r="S25" s="60"/>
      <c r="T25" s="50"/>
      <c r="U25" s="60"/>
      <c r="V25" s="50"/>
      <c r="W25" s="60"/>
      <c r="X25" s="50"/>
      <c r="Y25" s="60"/>
      <c r="Z25" s="50"/>
      <c r="AA25" s="60"/>
      <c r="AB25" s="50"/>
      <c r="AC25" s="60"/>
      <c r="AD25" s="50"/>
      <c r="AE25" s="60"/>
      <c r="AF25" s="50"/>
      <c r="AG25" s="60"/>
      <c r="AH25" s="50"/>
      <c r="AI25" s="60"/>
    </row>
    <row r="26" spans="2:35">
      <c r="B26" s="47" t="s">
        <v>4205</v>
      </c>
      <c r="C26" s="41" t="s">
        <v>2897</v>
      </c>
      <c r="D26" s="60"/>
      <c r="E26" s="60"/>
      <c r="F26" s="50"/>
      <c r="G26" s="60"/>
      <c r="H26" s="50"/>
      <c r="I26" s="60"/>
      <c r="J26" s="50"/>
      <c r="K26" s="60"/>
      <c r="L26" s="50"/>
      <c r="M26" s="60"/>
      <c r="N26" s="50"/>
      <c r="O26" s="60"/>
      <c r="P26" s="50"/>
      <c r="Q26" s="60"/>
      <c r="R26" s="50"/>
      <c r="S26" s="60"/>
      <c r="T26" s="50"/>
      <c r="U26" s="60"/>
      <c r="V26" s="50"/>
      <c r="W26" s="60"/>
      <c r="X26" s="50"/>
      <c r="Y26" s="60"/>
      <c r="Z26" s="50"/>
      <c r="AA26" s="60"/>
      <c r="AB26" s="50"/>
      <c r="AC26" s="60"/>
      <c r="AD26" s="50"/>
      <c r="AE26" s="60"/>
      <c r="AF26" s="50"/>
      <c r="AG26" s="60"/>
      <c r="AH26" s="50"/>
      <c r="AI26" s="60"/>
    </row>
    <row r="27" spans="2:35">
      <c r="B27" s="47" t="s">
        <v>4206</v>
      </c>
      <c r="C27" s="41" t="s">
        <v>2899</v>
      </c>
      <c r="D27" s="60"/>
      <c r="E27" s="60"/>
      <c r="F27" s="50"/>
      <c r="G27" s="60"/>
      <c r="H27" s="50"/>
      <c r="I27" s="60"/>
      <c r="J27" s="50"/>
      <c r="K27" s="60"/>
      <c r="L27" s="50"/>
      <c r="M27" s="60"/>
      <c r="N27" s="50"/>
      <c r="O27" s="60"/>
      <c r="P27" s="50"/>
      <c r="Q27" s="60"/>
      <c r="R27" s="50"/>
      <c r="S27" s="60"/>
      <c r="T27" s="50"/>
      <c r="U27" s="60"/>
      <c r="V27" s="50"/>
      <c r="W27" s="60"/>
      <c r="X27" s="50"/>
      <c r="Y27" s="60"/>
      <c r="Z27" s="50"/>
      <c r="AA27" s="60"/>
      <c r="AB27" s="50"/>
      <c r="AC27" s="60"/>
      <c r="AD27" s="50"/>
      <c r="AE27" s="60"/>
      <c r="AF27" s="50"/>
      <c r="AG27" s="60"/>
      <c r="AH27" s="50"/>
      <c r="AI27" s="60"/>
    </row>
    <row r="28" spans="2:35">
      <c r="B28" s="47" t="s">
        <v>4207</v>
      </c>
      <c r="C28" s="41" t="s">
        <v>2901</v>
      </c>
      <c r="D28" s="60"/>
      <c r="E28" s="60"/>
      <c r="F28" s="50"/>
      <c r="G28" s="60"/>
      <c r="H28" s="50"/>
      <c r="I28" s="60"/>
      <c r="J28" s="50"/>
      <c r="K28" s="60"/>
      <c r="L28" s="50"/>
      <c r="M28" s="60"/>
      <c r="N28" s="50"/>
      <c r="O28" s="60"/>
      <c r="P28" s="50"/>
      <c r="Q28" s="60"/>
      <c r="R28" s="50"/>
      <c r="S28" s="60"/>
      <c r="T28" s="50"/>
      <c r="U28" s="60"/>
      <c r="V28" s="50"/>
      <c r="W28" s="60"/>
      <c r="X28" s="50"/>
      <c r="Y28" s="60"/>
      <c r="Z28" s="50"/>
      <c r="AA28" s="60"/>
      <c r="AB28" s="50"/>
      <c r="AC28" s="60"/>
      <c r="AD28" s="50"/>
      <c r="AE28" s="60"/>
      <c r="AF28" s="50"/>
      <c r="AG28" s="60"/>
      <c r="AH28" s="50"/>
      <c r="AI28" s="60"/>
    </row>
    <row r="29" spans="2:35">
      <c r="B29" s="47" t="s">
        <v>4208</v>
      </c>
      <c r="C29" s="41" t="s">
        <v>2903</v>
      </c>
      <c r="D29" s="60"/>
      <c r="E29" s="60"/>
      <c r="F29" s="50"/>
      <c r="G29" s="60"/>
      <c r="H29" s="50"/>
      <c r="I29" s="60"/>
      <c r="J29" s="50"/>
      <c r="K29" s="60"/>
      <c r="L29" s="50"/>
      <c r="M29" s="60"/>
      <c r="N29" s="50"/>
      <c r="O29" s="60"/>
      <c r="P29" s="50"/>
      <c r="Q29" s="60"/>
      <c r="R29" s="50"/>
      <c r="S29" s="60"/>
      <c r="T29" s="50"/>
      <c r="U29" s="60"/>
      <c r="V29" s="50"/>
      <c r="W29" s="60"/>
      <c r="X29" s="50"/>
      <c r="Y29" s="60"/>
      <c r="Z29" s="50"/>
      <c r="AA29" s="60"/>
      <c r="AB29" s="50"/>
      <c r="AC29" s="60"/>
      <c r="AD29" s="50"/>
      <c r="AE29" s="60"/>
      <c r="AF29" s="50"/>
      <c r="AG29" s="60"/>
      <c r="AH29" s="50"/>
      <c r="AI29" s="60"/>
    </row>
    <row r="30" spans="2:35">
      <c r="B30" s="47" t="s">
        <v>4209</v>
      </c>
      <c r="C30" s="41" t="s">
        <v>2905</v>
      </c>
      <c r="D30" s="60"/>
      <c r="E30" s="60"/>
      <c r="F30" s="50"/>
      <c r="G30" s="60"/>
      <c r="H30" s="50"/>
      <c r="I30" s="60"/>
      <c r="J30" s="50"/>
      <c r="K30" s="60"/>
      <c r="L30" s="50"/>
      <c r="M30" s="60"/>
      <c r="N30" s="50"/>
      <c r="O30" s="60"/>
      <c r="P30" s="50"/>
      <c r="Q30" s="60"/>
      <c r="R30" s="50"/>
      <c r="S30" s="60"/>
      <c r="T30" s="50"/>
      <c r="U30" s="60"/>
      <c r="V30" s="50"/>
      <c r="W30" s="60"/>
      <c r="X30" s="50"/>
      <c r="Y30" s="60"/>
      <c r="Z30" s="50"/>
      <c r="AA30" s="60"/>
      <c r="AB30" s="50"/>
      <c r="AC30" s="60"/>
      <c r="AD30" s="50"/>
      <c r="AE30" s="60"/>
      <c r="AF30" s="50"/>
      <c r="AG30" s="60"/>
      <c r="AH30" s="50"/>
      <c r="AI30" s="60"/>
    </row>
    <row r="31" spans="2:35">
      <c r="B31" s="47" t="s">
        <v>4210</v>
      </c>
      <c r="C31" s="41" t="s">
        <v>2907</v>
      </c>
      <c r="D31" s="60"/>
      <c r="E31" s="60"/>
      <c r="F31" s="50"/>
      <c r="G31" s="60"/>
      <c r="H31" s="50"/>
      <c r="I31" s="60"/>
      <c r="J31" s="50"/>
      <c r="K31" s="60"/>
      <c r="L31" s="50"/>
      <c r="M31" s="60"/>
      <c r="N31" s="50"/>
      <c r="O31" s="60"/>
      <c r="P31" s="50"/>
      <c r="Q31" s="60"/>
      <c r="R31" s="50"/>
      <c r="S31" s="60"/>
      <c r="T31" s="50"/>
      <c r="U31" s="60"/>
      <c r="V31" s="50"/>
      <c r="W31" s="60"/>
      <c r="X31" s="50"/>
      <c r="Y31" s="60"/>
      <c r="Z31" s="50"/>
      <c r="AA31" s="60"/>
      <c r="AB31" s="50"/>
      <c r="AC31" s="60"/>
      <c r="AD31" s="50"/>
      <c r="AE31" s="60"/>
      <c r="AF31" s="50"/>
      <c r="AG31" s="60"/>
      <c r="AH31" s="50"/>
      <c r="AI31" s="60"/>
    </row>
    <row r="32" spans="2:35">
      <c r="B32" s="47" t="s">
        <v>4211</v>
      </c>
      <c r="C32" s="41" t="s">
        <v>2909</v>
      </c>
      <c r="D32" s="60"/>
      <c r="E32" s="60"/>
      <c r="F32" s="50"/>
      <c r="G32" s="60"/>
      <c r="H32" s="50"/>
      <c r="I32" s="60"/>
      <c r="J32" s="50"/>
      <c r="K32" s="60"/>
      <c r="L32" s="50"/>
      <c r="M32" s="60"/>
      <c r="N32" s="50"/>
      <c r="O32" s="60"/>
      <c r="P32" s="50"/>
      <c r="Q32" s="60"/>
      <c r="R32" s="50"/>
      <c r="S32" s="60"/>
      <c r="T32" s="50"/>
      <c r="U32" s="60"/>
      <c r="V32" s="50"/>
      <c r="W32" s="60"/>
      <c r="X32" s="50"/>
      <c r="Y32" s="60"/>
      <c r="Z32" s="50"/>
      <c r="AA32" s="60"/>
      <c r="AB32" s="50"/>
      <c r="AC32" s="60"/>
      <c r="AD32" s="50"/>
      <c r="AE32" s="60"/>
      <c r="AF32" s="50"/>
      <c r="AG32" s="60"/>
      <c r="AH32" s="50"/>
      <c r="AI32" s="60"/>
    </row>
    <row r="33" spans="2:41">
      <c r="B33" s="47" t="s">
        <v>4212</v>
      </c>
      <c r="C33" s="41" t="s">
        <v>2911</v>
      </c>
      <c r="D33" s="60"/>
      <c r="E33" s="60"/>
      <c r="F33" s="50"/>
      <c r="G33" s="60"/>
      <c r="H33" s="50"/>
      <c r="I33" s="60"/>
      <c r="J33" s="50"/>
      <c r="K33" s="60"/>
      <c r="L33" s="50"/>
      <c r="M33" s="60"/>
      <c r="N33" s="50"/>
      <c r="O33" s="60"/>
      <c r="P33" s="50"/>
      <c r="Q33" s="60"/>
      <c r="R33" s="50"/>
      <c r="S33" s="60"/>
      <c r="T33" s="50"/>
      <c r="U33" s="60"/>
      <c r="V33" s="50"/>
      <c r="W33" s="60"/>
      <c r="X33" s="50"/>
      <c r="Y33" s="60"/>
      <c r="Z33" s="50"/>
      <c r="AA33" s="60"/>
      <c r="AB33" s="50"/>
      <c r="AC33" s="60"/>
      <c r="AD33" s="50"/>
      <c r="AE33" s="60"/>
      <c r="AF33" s="50"/>
      <c r="AG33" s="60"/>
      <c r="AH33" s="50"/>
      <c r="AI33" s="60"/>
    </row>
    <row r="34" spans="2:41">
      <c r="B34" s="47" t="s">
        <v>4213</v>
      </c>
      <c r="C34" s="41" t="s">
        <v>2913</v>
      </c>
      <c r="D34" s="60"/>
      <c r="E34" s="60"/>
      <c r="F34" s="50"/>
      <c r="G34" s="60"/>
      <c r="H34" s="50"/>
      <c r="I34" s="60"/>
      <c r="J34" s="50"/>
      <c r="K34" s="60"/>
      <c r="L34" s="50"/>
      <c r="M34" s="60"/>
      <c r="N34" s="50"/>
      <c r="O34" s="60"/>
      <c r="P34" s="50"/>
      <c r="Q34" s="60"/>
      <c r="R34" s="50"/>
      <c r="S34" s="60"/>
      <c r="T34" s="50"/>
      <c r="U34" s="60"/>
      <c r="V34" s="50"/>
      <c r="W34" s="60"/>
      <c r="X34" s="50"/>
      <c r="Y34" s="60"/>
      <c r="Z34" s="50"/>
      <c r="AA34" s="60"/>
      <c r="AB34" s="50"/>
      <c r="AC34" s="60"/>
      <c r="AD34" s="50"/>
      <c r="AE34" s="60"/>
      <c r="AF34" s="50"/>
      <c r="AG34" s="60"/>
      <c r="AH34" s="50"/>
      <c r="AI34" s="60"/>
    </row>
    <row r="35" spans="2:41">
      <c r="B35" s="47" t="s">
        <v>4214</v>
      </c>
      <c r="C35" s="41" t="s">
        <v>2915</v>
      </c>
      <c r="D35" s="60"/>
      <c r="E35" s="60"/>
      <c r="F35" s="50"/>
      <c r="G35" s="60"/>
      <c r="H35" s="50"/>
      <c r="I35" s="60"/>
      <c r="J35" s="50"/>
      <c r="K35" s="60"/>
      <c r="L35" s="50"/>
      <c r="M35" s="60"/>
      <c r="N35" s="50"/>
      <c r="O35" s="60"/>
      <c r="P35" s="50"/>
      <c r="Q35" s="60"/>
      <c r="R35" s="50"/>
      <c r="S35" s="60"/>
      <c r="T35" s="50"/>
      <c r="U35" s="60"/>
      <c r="V35" s="50"/>
      <c r="W35" s="60"/>
      <c r="X35" s="50"/>
      <c r="Y35" s="60"/>
      <c r="Z35" s="50"/>
      <c r="AA35" s="60"/>
      <c r="AB35" s="50"/>
      <c r="AC35" s="60"/>
      <c r="AD35" s="50"/>
      <c r="AE35" s="60"/>
      <c r="AF35" s="50"/>
      <c r="AG35" s="60"/>
      <c r="AH35" s="50"/>
      <c r="AI35" s="60"/>
    </row>
    <row r="36" spans="2:41">
      <c r="B36" s="47" t="s">
        <v>4215</v>
      </c>
      <c r="C36" s="41" t="s">
        <v>2917</v>
      </c>
      <c r="D36" s="60"/>
      <c r="E36" s="60"/>
      <c r="F36" s="50"/>
      <c r="G36" s="60"/>
      <c r="H36" s="50"/>
      <c r="I36" s="60"/>
      <c r="J36" s="50"/>
      <c r="K36" s="60"/>
      <c r="L36" s="50"/>
      <c r="M36" s="60"/>
      <c r="N36" s="50"/>
      <c r="O36" s="60"/>
      <c r="P36" s="50"/>
      <c r="Q36" s="60"/>
      <c r="R36" s="50"/>
      <c r="S36" s="60"/>
      <c r="T36" s="50"/>
      <c r="U36" s="60"/>
      <c r="V36" s="50"/>
      <c r="W36" s="60"/>
      <c r="X36" s="50"/>
      <c r="Y36" s="60"/>
      <c r="Z36" s="50"/>
      <c r="AA36" s="60"/>
      <c r="AB36" s="50"/>
      <c r="AC36" s="60"/>
      <c r="AD36" s="50"/>
      <c r="AE36" s="60"/>
      <c r="AF36" s="50"/>
      <c r="AG36" s="60"/>
      <c r="AH36" s="50"/>
      <c r="AI36" s="60"/>
    </row>
    <row r="37" spans="2:41">
      <c r="B37" s="47" t="s">
        <v>4216</v>
      </c>
      <c r="C37" s="41" t="s">
        <v>2919</v>
      </c>
      <c r="D37" s="60"/>
      <c r="E37" s="63"/>
      <c r="F37" s="50"/>
      <c r="G37" s="60"/>
      <c r="H37" s="50"/>
      <c r="I37" s="60"/>
      <c r="J37" s="50"/>
      <c r="K37" s="60"/>
      <c r="L37" s="50"/>
      <c r="M37" s="60"/>
      <c r="N37" s="50"/>
      <c r="O37" s="60"/>
      <c r="P37" s="50"/>
      <c r="Q37" s="60"/>
      <c r="R37" s="50"/>
      <c r="S37" s="60"/>
      <c r="T37" s="50"/>
      <c r="U37" s="60"/>
      <c r="V37" s="50"/>
      <c r="W37" s="60"/>
      <c r="X37" s="50"/>
      <c r="Y37" s="60"/>
      <c r="Z37" s="50"/>
      <c r="AA37" s="60"/>
      <c r="AB37" s="50"/>
      <c r="AC37" s="60"/>
      <c r="AD37" s="50"/>
      <c r="AE37" s="60"/>
      <c r="AF37" s="50"/>
      <c r="AG37" s="60"/>
      <c r="AH37" s="50"/>
      <c r="AI37" s="60"/>
    </row>
    <row r="38" spans="2:41">
      <c r="B38" s="47" t="s">
        <v>4217</v>
      </c>
      <c r="C38" s="41" t="s">
        <v>2921</v>
      </c>
      <c r="D38" s="65"/>
      <c r="E38" s="48"/>
      <c r="F38" s="50"/>
      <c r="G38" s="60"/>
      <c r="H38" s="50"/>
      <c r="I38" s="60"/>
      <c r="J38" s="50"/>
      <c r="K38" s="60"/>
      <c r="L38" s="50"/>
      <c r="M38" s="60"/>
      <c r="N38" s="50"/>
      <c r="O38" s="60"/>
      <c r="P38" s="50"/>
      <c r="Q38" s="60"/>
      <c r="R38" s="50"/>
      <c r="S38" s="60"/>
      <c r="T38" s="50"/>
      <c r="U38" s="60"/>
      <c r="V38" s="50"/>
      <c r="W38" s="60"/>
      <c r="X38" s="50"/>
      <c r="Y38" s="60"/>
      <c r="Z38" s="50"/>
      <c r="AA38" s="60"/>
      <c r="AB38" s="50"/>
      <c r="AC38" s="60"/>
      <c r="AD38" s="50"/>
      <c r="AE38" s="60"/>
      <c r="AF38" s="50"/>
      <c r="AG38" s="60"/>
      <c r="AH38" s="50"/>
      <c r="AI38" s="60"/>
    </row>
    <row r="39" spans="2:41">
      <c r="B39" s="47" t="s">
        <v>3480</v>
      </c>
      <c r="C39" s="44" t="s">
        <v>2939</v>
      </c>
      <c r="D39" s="56"/>
      <c r="E39" s="46"/>
      <c r="F39" s="50"/>
      <c r="G39" s="60"/>
      <c r="H39" s="50"/>
      <c r="I39" s="60"/>
      <c r="J39" s="50"/>
      <c r="K39" s="60"/>
      <c r="L39" s="50"/>
      <c r="M39" s="60"/>
      <c r="N39" s="50"/>
      <c r="O39" s="60"/>
      <c r="P39" s="50"/>
      <c r="Q39" s="60"/>
      <c r="R39" s="50"/>
      <c r="S39" s="60"/>
      <c r="T39" s="50"/>
      <c r="U39" s="60"/>
      <c r="V39" s="50"/>
      <c r="W39" s="60"/>
      <c r="X39" s="50"/>
      <c r="Y39" s="60"/>
      <c r="Z39" s="50"/>
      <c r="AA39" s="60"/>
      <c r="AB39" s="50"/>
      <c r="AC39" s="60"/>
      <c r="AD39" s="50"/>
      <c r="AE39" s="60"/>
      <c r="AF39" s="50"/>
      <c r="AG39" s="60"/>
      <c r="AH39" s="50"/>
      <c r="AI39" s="60"/>
    </row>
    <row r="41" spans="2:41">
      <c r="AN41" s="13" t="str">
        <f>Show!$B$90&amp;Show!$B$90&amp;"S.21.01.01.01 Rows {"&amp;COLUMN($C$1)&amp;"}"</f>
        <v>!!S.21.01.01.01 Rows {3}</v>
      </c>
      <c r="AO41" s="13" t="str">
        <f>Show!$B$90&amp;Show!$B$90&amp;"S.21.01.01.01 Columns {"&amp;COLUMN($AI$1)&amp;"}"</f>
        <v>!!S.21.01.01.01 Columns {35}</v>
      </c>
    </row>
  </sheetData>
  <sheetProtection sheet="1" objects="1" scenarios="1"/>
  <mergeCells count="3">
    <mergeCell ref="B2:O2"/>
    <mergeCell ref="B5:L5"/>
    <mergeCell ref="D13:AI14"/>
  </mergeCells>
  <dataValidations count="2">
    <dataValidation type="list" errorStyle="warning" allowBlank="1" showInputMessage="1" showErrorMessage="1" sqref="D9" xr:uid="{A3042CF5-8A44-4EDE-9A72-467B52062E84}">
      <formula1>hier_LB_30</formula1>
    </dataValidation>
    <dataValidation type="list" errorStyle="warning" allowBlank="1" showInputMessage="1" showErrorMessage="1" sqref="D10" xr:uid="{45DDB8DB-168B-404D-9262-20FD8DBEBA52}">
      <formula1>hier_AM_8</formula1>
    </dataValidation>
  </dataValidation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F8EF-798E-4D28-8D44-D9D576066EC9}">
  <sheetPr codeName="Blad95"/>
  <dimension ref="B2:Y15"/>
  <sheetViews>
    <sheetView showGridLines="0" workbookViewId="0"/>
  </sheetViews>
  <sheetFormatPr defaultRowHeight="15"/>
  <cols>
    <col min="2" max="2" width="22.140625" bestFit="1" customWidth="1"/>
    <col min="3" max="6" width="40.7109375" customWidth="1"/>
    <col min="7" max="8" width="15.7109375" customWidth="1"/>
    <col min="9" max="9" width="40.7109375" customWidth="1"/>
    <col min="10" max="11" width="15.7109375" customWidth="1"/>
    <col min="12" max="12" width="40.7109375" customWidth="1"/>
    <col min="13" max="16" width="15.7109375" customWidth="1"/>
  </cols>
  <sheetData>
    <row r="2" spans="2:25" ht="23.25">
      <c r="B2" s="95" t="s">
        <v>649</v>
      </c>
      <c r="C2" s="96"/>
      <c r="D2" s="96"/>
      <c r="E2" s="96"/>
      <c r="F2" s="96"/>
      <c r="G2" s="96"/>
      <c r="H2" s="96"/>
      <c r="I2" s="96"/>
      <c r="J2" s="96"/>
      <c r="K2" s="96"/>
      <c r="L2" s="96"/>
      <c r="M2" s="96"/>
      <c r="N2" s="96"/>
      <c r="O2" s="96"/>
    </row>
    <row r="5" spans="2:25" ht="18.75">
      <c r="B5" s="97" t="s">
        <v>4218</v>
      </c>
      <c r="C5" s="96"/>
      <c r="D5" s="96"/>
      <c r="E5" s="96"/>
      <c r="F5" s="96"/>
      <c r="G5" s="96"/>
      <c r="H5" s="96"/>
      <c r="I5" s="96"/>
      <c r="J5" s="96"/>
      <c r="K5" s="96"/>
      <c r="L5" s="96"/>
    </row>
    <row r="9" spans="2:25">
      <c r="B9" s="98" t="s">
        <v>4219</v>
      </c>
      <c r="C9" s="101" t="s">
        <v>2877</v>
      </c>
      <c r="D9" s="102"/>
      <c r="E9" s="102"/>
      <c r="F9" s="102"/>
      <c r="G9" s="102"/>
      <c r="H9" s="102"/>
      <c r="I9" s="102"/>
      <c r="J9" s="102"/>
      <c r="K9" s="102"/>
      <c r="L9" s="102"/>
      <c r="M9" s="102"/>
      <c r="N9" s="102"/>
      <c r="O9" s="102"/>
      <c r="P9" s="103"/>
    </row>
    <row r="10" spans="2:25">
      <c r="B10" s="99"/>
      <c r="C10" s="104"/>
      <c r="D10" s="105"/>
      <c r="E10" s="105"/>
      <c r="F10" s="105"/>
      <c r="G10" s="105"/>
      <c r="H10" s="105"/>
      <c r="I10" s="105"/>
      <c r="J10" s="105"/>
      <c r="K10" s="105"/>
      <c r="L10" s="105"/>
      <c r="M10" s="105"/>
      <c r="N10" s="105"/>
      <c r="O10" s="105"/>
      <c r="P10" s="106"/>
    </row>
    <row r="11" spans="2:25" ht="75">
      <c r="B11" s="100"/>
      <c r="C11" s="55" t="s">
        <v>4220</v>
      </c>
      <c r="D11" s="55" t="s">
        <v>4221</v>
      </c>
      <c r="E11" s="55" t="s">
        <v>3427</v>
      </c>
      <c r="F11" s="55" t="s">
        <v>4222</v>
      </c>
      <c r="G11" s="55" t="s">
        <v>4223</v>
      </c>
      <c r="H11" s="55" t="s">
        <v>4224</v>
      </c>
      <c r="I11" s="55" t="s">
        <v>3606</v>
      </c>
      <c r="J11" s="55" t="s">
        <v>4225</v>
      </c>
      <c r="K11" s="55" t="s">
        <v>4226</v>
      </c>
      <c r="L11" s="55" t="s">
        <v>4227</v>
      </c>
      <c r="M11" s="55" t="s">
        <v>4228</v>
      </c>
      <c r="N11" s="55" t="s">
        <v>4229</v>
      </c>
      <c r="O11" s="55" t="s">
        <v>4230</v>
      </c>
      <c r="P11" s="55" t="s">
        <v>4231</v>
      </c>
    </row>
    <row r="12" spans="2:25">
      <c r="B12" s="42" t="s">
        <v>2879</v>
      </c>
      <c r="C12" s="42" t="s">
        <v>3219</v>
      </c>
      <c r="D12" s="42" t="s">
        <v>3225</v>
      </c>
      <c r="E12" s="42" t="s">
        <v>3223</v>
      </c>
      <c r="F12" s="42" t="s">
        <v>3229</v>
      </c>
      <c r="G12" s="42" t="s">
        <v>3231</v>
      </c>
      <c r="H12" s="42" t="s">
        <v>3233</v>
      </c>
      <c r="I12" s="42" t="s">
        <v>3234</v>
      </c>
      <c r="J12" s="42" t="s">
        <v>3236</v>
      </c>
      <c r="K12" s="42" t="s">
        <v>3239</v>
      </c>
      <c r="L12" s="42" t="s">
        <v>3241</v>
      </c>
      <c r="M12" s="42" t="s">
        <v>3243</v>
      </c>
      <c r="N12" s="42" t="s">
        <v>3375</v>
      </c>
      <c r="O12" s="42" t="s">
        <v>3475</v>
      </c>
      <c r="P12" s="42" t="s">
        <v>3477</v>
      </c>
      <c r="X12" s="13" t="str">
        <f>Show!$B$91&amp;"S.21.02.01.01 Rows {"&amp;COLUMN($B$1)&amp;"}"&amp;"@ForceFilingCode:true"</f>
        <v>!S.21.02.01.01 Rows {2}@ForceFilingCode:true</v>
      </c>
      <c r="Y12" s="13" t="str">
        <f>Show!$B$91&amp;"S.21.02.01.01 Columns {"&amp;COLUMN($B$1)&amp;"}"</f>
        <v>!S.21.02.01.01 Columns {2}</v>
      </c>
    </row>
    <row r="13" spans="2:25">
      <c r="B13" s="50"/>
      <c r="C13" s="51"/>
      <c r="D13" s="51"/>
      <c r="E13" s="51"/>
      <c r="F13" s="51"/>
      <c r="G13" s="54"/>
      <c r="H13" s="54"/>
      <c r="I13" s="51"/>
      <c r="J13" s="60"/>
      <c r="K13" s="60"/>
      <c r="L13" s="51"/>
      <c r="M13" s="60"/>
      <c r="N13" s="60"/>
      <c r="O13" s="60"/>
      <c r="P13" s="60"/>
    </row>
    <row r="15" spans="2:25">
      <c r="X15" s="13" t="str">
        <f>Show!$B$91&amp;Show!$B$91&amp;"S.21.02.01.01 Rows {"&amp;COLUMN($B$1)&amp;"}"</f>
        <v>!!S.21.02.01.01 Rows {2}</v>
      </c>
      <c r="Y15" s="13" t="str">
        <f>Show!$B$91&amp;Show!$B$91&amp;"S.21.02.01.01 Columns {"&amp;COLUMN($P$1)&amp;"}"</f>
        <v>!!S.21.02.01.01 Columns {16}</v>
      </c>
    </row>
  </sheetData>
  <sheetProtection sheet="1" objects="1" scenarios="1"/>
  <mergeCells count="4">
    <mergeCell ref="B2:O2"/>
    <mergeCell ref="B5:L5"/>
    <mergeCell ref="B9:B11"/>
    <mergeCell ref="C9:P10"/>
  </mergeCells>
  <dataValidations count="4">
    <dataValidation type="list" errorStyle="warning" allowBlank="1" showInputMessage="1" showErrorMessage="1" sqref="E13" xr:uid="{F8CFF1B3-B1BF-4F58-A4EE-535BAF582DDB}">
      <formula1>hier_LB_30</formula1>
    </dataValidation>
    <dataValidation type="date" operator="greaterThan" allowBlank="1" showInputMessage="1" showErrorMessage="1" errorTitle="Date value" error="This cell can only contain dates" sqref="G13:H13" xr:uid="{0EC53AC3-E174-4D6D-BCE5-25D113A6BA0C}">
      <formula1>1</formula1>
    </dataValidation>
    <dataValidation type="list" errorStyle="warning" allowBlank="1" showInputMessage="1" showErrorMessage="1" sqref="I13" xr:uid="{FA03BA52-24BE-421C-B539-3DFA52B5C13C}">
      <formula1>hier_CU_1</formula1>
    </dataValidation>
    <dataValidation type="list" errorStyle="warning" allowBlank="1" showInputMessage="1" showErrorMessage="1" sqref="L13" xr:uid="{FB25D0D3-F33D-4735-8D35-D4C051BAA4A5}">
      <formula1>hier_TB_3</formula1>
    </dataValidation>
  </dataValidation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B128B-0D7B-43B5-AC50-97B8C68619CD}">
  <sheetPr codeName="Blad96"/>
  <dimension ref="B2:O40"/>
  <sheetViews>
    <sheetView showGridLines="0" workbookViewId="0"/>
  </sheetViews>
  <sheetFormatPr defaultRowHeight="15"/>
  <cols>
    <col min="2" max="2" width="15.28515625" bestFit="1" customWidth="1"/>
    <col min="4" max="8" width="15.7109375" customWidth="1"/>
  </cols>
  <sheetData>
    <row r="2" spans="2:15" ht="23.25">
      <c r="B2" s="95" t="s">
        <v>651</v>
      </c>
      <c r="C2" s="96"/>
      <c r="D2" s="96"/>
      <c r="E2" s="96"/>
      <c r="F2" s="96"/>
      <c r="G2" s="96"/>
      <c r="H2" s="96"/>
      <c r="I2" s="96"/>
      <c r="J2" s="96"/>
      <c r="K2" s="96"/>
      <c r="L2" s="96"/>
      <c r="M2" s="96"/>
      <c r="N2" s="96"/>
      <c r="O2" s="96"/>
    </row>
    <row r="5" spans="2:15" ht="18.75">
      <c r="B5" s="97" t="s">
        <v>4232</v>
      </c>
      <c r="C5" s="96"/>
      <c r="D5" s="96"/>
      <c r="E5" s="96"/>
      <c r="F5" s="96"/>
      <c r="G5" s="96"/>
      <c r="H5" s="96"/>
      <c r="I5" s="96"/>
      <c r="J5" s="96"/>
      <c r="K5" s="96"/>
      <c r="L5" s="96"/>
    </row>
    <row r="7" spans="2:15">
      <c r="B7" t="s">
        <v>3110</v>
      </c>
      <c r="M7" s="13" t="str">
        <f>Show!$B$92&amp;"S.21.03.01.01 Table label {"&amp;COLUMN($C$1)&amp;"}"</f>
        <v>!S.21.03.01.01 Table label {3}</v>
      </c>
      <c r="N7" s="13" t="str">
        <f>Show!$B$92&amp;"S.21.03.01.01 Table value {"&amp;COLUMN($D$1)&amp;"}"</f>
        <v>!S.21.03.01.01 Table value {4}</v>
      </c>
    </row>
    <row r="8" spans="2:15">
      <c r="B8" t="s">
        <v>3111</v>
      </c>
    </row>
    <row r="9" spans="2:15">
      <c r="B9" s="40" t="s">
        <v>3427</v>
      </c>
      <c r="C9" s="53" t="s">
        <v>3113</v>
      </c>
      <c r="D9" s="51"/>
    </row>
    <row r="10" spans="2:15">
      <c r="M10" s="13" t="str">
        <f>Show!$B$92&amp;Show!$B$92&amp;"S.21.03.01.01 Table label {"&amp;COLUMN($C$1)&amp;"}"</f>
        <v>!!S.21.03.01.01 Table label {3}</v>
      </c>
      <c r="N10" s="13" t="str">
        <f>Show!$B$92&amp;Show!$B$92&amp;"S.21.03.01.01 Table value {"&amp;COLUMN($D$1)&amp;"}"</f>
        <v>!!S.21.03.01.01 Table value {4}</v>
      </c>
    </row>
    <row r="12" spans="2:15">
      <c r="D12" s="101" t="s">
        <v>2877</v>
      </c>
      <c r="E12" s="102"/>
      <c r="F12" s="102"/>
      <c r="G12" s="102"/>
      <c r="H12" s="103"/>
    </row>
    <row r="13" spans="2:15">
      <c r="D13" s="104"/>
      <c r="E13" s="105"/>
      <c r="F13" s="105"/>
      <c r="G13" s="105"/>
      <c r="H13" s="106"/>
    </row>
    <row r="14" spans="2:15" ht="45">
      <c r="D14" s="55" t="s">
        <v>4233</v>
      </c>
      <c r="E14" s="55" t="s">
        <v>4234</v>
      </c>
      <c r="F14" s="55" t="s">
        <v>4235</v>
      </c>
      <c r="G14" s="55" t="s">
        <v>4236</v>
      </c>
      <c r="H14" s="55" t="s">
        <v>4237</v>
      </c>
    </row>
    <row r="15" spans="2:15">
      <c r="D15" s="45" t="s">
        <v>3219</v>
      </c>
      <c r="E15" s="45" t="s">
        <v>3225</v>
      </c>
      <c r="F15" s="45" t="s">
        <v>3223</v>
      </c>
      <c r="G15" s="45" t="s">
        <v>3229</v>
      </c>
      <c r="H15" s="45" t="s">
        <v>3231</v>
      </c>
      <c r="M15" s="13" t="str">
        <f>Show!$B$92&amp;"S.21.03.01.01 Rows {"&amp;COLUMN($C$1)&amp;"}"&amp;"@ForceFilingCode:true"</f>
        <v>!S.21.03.01.01 Rows {3}@ForceFilingCode:true</v>
      </c>
      <c r="N15" s="13" t="str">
        <f>Show!$B$92&amp;"S.21.03.01.01 Columns {"&amp;COLUMN($D$1)&amp;"}"</f>
        <v>!S.21.03.01.01 Columns {4}</v>
      </c>
    </row>
    <row r="16" spans="2:15">
      <c r="B16" s="43" t="s">
        <v>2880</v>
      </c>
      <c r="C16" s="44" t="s">
        <v>2878</v>
      </c>
      <c r="D16" s="56"/>
      <c r="E16" s="66"/>
      <c r="F16" s="66"/>
      <c r="G16" s="66"/>
      <c r="H16" s="57"/>
    </row>
    <row r="17" spans="2:8">
      <c r="B17" s="47" t="s">
        <v>4197</v>
      </c>
      <c r="C17" s="41" t="s">
        <v>2883</v>
      </c>
      <c r="D17" s="60"/>
      <c r="E17" s="60"/>
      <c r="F17" s="50"/>
      <c r="G17" s="60"/>
      <c r="H17" s="60"/>
    </row>
    <row r="18" spans="2:8">
      <c r="B18" s="47" t="s">
        <v>4198</v>
      </c>
      <c r="C18" s="41" t="s">
        <v>2885</v>
      </c>
      <c r="D18" s="60"/>
      <c r="E18" s="60"/>
      <c r="F18" s="50"/>
      <c r="G18" s="60"/>
      <c r="H18" s="60"/>
    </row>
    <row r="19" spans="2:8">
      <c r="B19" s="47" t="s">
        <v>4199</v>
      </c>
      <c r="C19" s="41" t="s">
        <v>2887</v>
      </c>
      <c r="D19" s="60"/>
      <c r="E19" s="60"/>
      <c r="F19" s="50"/>
      <c r="G19" s="60"/>
      <c r="H19" s="60"/>
    </row>
    <row r="20" spans="2:8">
      <c r="B20" s="47" t="s">
        <v>4200</v>
      </c>
      <c r="C20" s="41" t="s">
        <v>2889</v>
      </c>
      <c r="D20" s="60"/>
      <c r="E20" s="60"/>
      <c r="F20" s="50"/>
      <c r="G20" s="60"/>
      <c r="H20" s="60"/>
    </row>
    <row r="21" spans="2:8">
      <c r="B21" s="47" t="s">
        <v>4201</v>
      </c>
      <c r="C21" s="41" t="s">
        <v>3078</v>
      </c>
      <c r="D21" s="60"/>
      <c r="E21" s="60"/>
      <c r="F21" s="50"/>
      <c r="G21" s="60"/>
      <c r="H21" s="60"/>
    </row>
    <row r="22" spans="2:8">
      <c r="B22" s="47" t="s">
        <v>4202</v>
      </c>
      <c r="C22" s="41" t="s">
        <v>2891</v>
      </c>
      <c r="D22" s="60"/>
      <c r="E22" s="60"/>
      <c r="F22" s="50"/>
      <c r="G22" s="60"/>
      <c r="H22" s="60"/>
    </row>
    <row r="23" spans="2:8">
      <c r="B23" s="47" t="s">
        <v>4203</v>
      </c>
      <c r="C23" s="41" t="s">
        <v>2893</v>
      </c>
      <c r="D23" s="60"/>
      <c r="E23" s="60"/>
      <c r="F23" s="50"/>
      <c r="G23" s="60"/>
      <c r="H23" s="60"/>
    </row>
    <row r="24" spans="2:8">
      <c r="B24" s="47" t="s">
        <v>4204</v>
      </c>
      <c r="C24" s="41" t="s">
        <v>2895</v>
      </c>
      <c r="D24" s="60"/>
      <c r="E24" s="60"/>
      <c r="F24" s="50"/>
      <c r="G24" s="60"/>
      <c r="H24" s="60"/>
    </row>
    <row r="25" spans="2:8">
      <c r="B25" s="47" t="s">
        <v>4205</v>
      </c>
      <c r="C25" s="41" t="s">
        <v>2897</v>
      </c>
      <c r="D25" s="60"/>
      <c r="E25" s="60"/>
      <c r="F25" s="50"/>
      <c r="G25" s="60"/>
      <c r="H25" s="60"/>
    </row>
    <row r="26" spans="2:8">
      <c r="B26" s="47" t="s">
        <v>4206</v>
      </c>
      <c r="C26" s="41" t="s">
        <v>2899</v>
      </c>
      <c r="D26" s="60"/>
      <c r="E26" s="60"/>
      <c r="F26" s="50"/>
      <c r="G26" s="60"/>
      <c r="H26" s="60"/>
    </row>
    <row r="27" spans="2:8">
      <c r="B27" s="47" t="s">
        <v>4207</v>
      </c>
      <c r="C27" s="41" t="s">
        <v>2901</v>
      </c>
      <c r="D27" s="60"/>
      <c r="E27" s="60"/>
      <c r="F27" s="50"/>
      <c r="G27" s="60"/>
      <c r="H27" s="60"/>
    </row>
    <row r="28" spans="2:8">
      <c r="B28" s="47" t="s">
        <v>4208</v>
      </c>
      <c r="C28" s="41" t="s">
        <v>2903</v>
      </c>
      <c r="D28" s="60"/>
      <c r="E28" s="60"/>
      <c r="F28" s="50"/>
      <c r="G28" s="60"/>
      <c r="H28" s="60"/>
    </row>
    <row r="29" spans="2:8">
      <c r="B29" s="47" t="s">
        <v>4209</v>
      </c>
      <c r="C29" s="41" t="s">
        <v>2905</v>
      </c>
      <c r="D29" s="60"/>
      <c r="E29" s="60"/>
      <c r="F29" s="50"/>
      <c r="G29" s="60"/>
      <c r="H29" s="60"/>
    </row>
    <row r="30" spans="2:8">
      <c r="B30" s="47" t="s">
        <v>4210</v>
      </c>
      <c r="C30" s="41" t="s">
        <v>2907</v>
      </c>
      <c r="D30" s="60"/>
      <c r="E30" s="60"/>
      <c r="F30" s="50"/>
      <c r="G30" s="60"/>
      <c r="H30" s="60"/>
    </row>
    <row r="31" spans="2:8">
      <c r="B31" s="47" t="s">
        <v>4211</v>
      </c>
      <c r="C31" s="41" t="s">
        <v>2909</v>
      </c>
      <c r="D31" s="60"/>
      <c r="E31" s="60"/>
      <c r="F31" s="50"/>
      <c r="G31" s="60"/>
      <c r="H31" s="60"/>
    </row>
    <row r="32" spans="2:8">
      <c r="B32" s="47" t="s">
        <v>4212</v>
      </c>
      <c r="C32" s="41" t="s">
        <v>2911</v>
      </c>
      <c r="D32" s="60"/>
      <c r="E32" s="60"/>
      <c r="F32" s="50"/>
      <c r="G32" s="60"/>
      <c r="H32" s="60"/>
    </row>
    <row r="33" spans="2:14">
      <c r="B33" s="47" t="s">
        <v>4213</v>
      </c>
      <c r="C33" s="41" t="s">
        <v>2913</v>
      </c>
      <c r="D33" s="60"/>
      <c r="E33" s="60"/>
      <c r="F33" s="50"/>
      <c r="G33" s="60"/>
      <c r="H33" s="60"/>
    </row>
    <row r="34" spans="2:14">
      <c r="B34" s="47" t="s">
        <v>4214</v>
      </c>
      <c r="C34" s="41" t="s">
        <v>2915</v>
      </c>
      <c r="D34" s="60"/>
      <c r="E34" s="60"/>
      <c r="F34" s="50"/>
      <c r="G34" s="60"/>
      <c r="H34" s="60"/>
    </row>
    <row r="35" spans="2:14">
      <c r="B35" s="47" t="s">
        <v>4215</v>
      </c>
      <c r="C35" s="41" t="s">
        <v>2917</v>
      </c>
      <c r="D35" s="60"/>
      <c r="E35" s="60"/>
      <c r="F35" s="50"/>
      <c r="G35" s="60"/>
      <c r="H35" s="60"/>
    </row>
    <row r="36" spans="2:14">
      <c r="B36" s="47" t="s">
        <v>4216</v>
      </c>
      <c r="C36" s="41" t="s">
        <v>2919</v>
      </c>
      <c r="D36" s="60"/>
      <c r="E36" s="63"/>
      <c r="F36" s="50"/>
      <c r="G36" s="60"/>
      <c r="H36" s="60"/>
    </row>
    <row r="37" spans="2:14">
      <c r="B37" s="47" t="s">
        <v>4217</v>
      </c>
      <c r="C37" s="41" t="s">
        <v>2921</v>
      </c>
      <c r="D37" s="65"/>
      <c r="E37" s="48"/>
      <c r="F37" s="50"/>
      <c r="G37" s="60"/>
      <c r="H37" s="60"/>
    </row>
    <row r="38" spans="2:14">
      <c r="B38" s="47" t="s">
        <v>3480</v>
      </c>
      <c r="C38" s="44" t="s">
        <v>2923</v>
      </c>
      <c r="D38" s="56"/>
      <c r="E38" s="46"/>
      <c r="F38" s="50"/>
      <c r="G38" s="60"/>
      <c r="H38" s="60"/>
    </row>
    <row r="40" spans="2:14">
      <c r="M40" s="13" t="str">
        <f>Show!$B$92&amp;Show!$B$92&amp;"S.21.03.01.01 Rows {"&amp;COLUMN($C$1)&amp;"}"</f>
        <v>!!S.21.03.01.01 Rows {3}</v>
      </c>
      <c r="N40" s="13" t="str">
        <f>Show!$B$92&amp;Show!$B$92&amp;"S.21.03.01.01 Columns {"&amp;COLUMN($H$1)&amp;"}"</f>
        <v>!!S.21.03.01.01 Columns {8}</v>
      </c>
    </row>
  </sheetData>
  <sheetProtection sheet="1" objects="1" scenarios="1"/>
  <mergeCells count="3">
    <mergeCell ref="B2:O2"/>
    <mergeCell ref="B5:L5"/>
    <mergeCell ref="D12:H13"/>
  </mergeCells>
  <dataValidations count="1">
    <dataValidation type="list" errorStyle="warning" allowBlank="1" showInputMessage="1" showErrorMessage="1" sqref="D9" xr:uid="{E30357D0-2609-4CA3-8ECC-B0C0F6BBD042}">
      <formula1>hier_LB_30</formula1>
    </dataValidation>
  </dataValidation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F6F9-5439-47AF-94E0-470E6C9C6A0D}">
  <sheetPr codeName="Blad97"/>
  <dimension ref="B2:T27"/>
  <sheetViews>
    <sheetView showGridLines="0" workbookViewId="0"/>
  </sheetViews>
  <sheetFormatPr defaultRowHeight="15"/>
  <cols>
    <col min="2" max="2" width="63.28515625" bestFit="1" customWidth="1"/>
    <col min="4" max="13" width="15.7109375" customWidth="1"/>
  </cols>
  <sheetData>
    <row r="2" spans="2:20" ht="23.25">
      <c r="B2" s="95" t="s">
        <v>653</v>
      </c>
      <c r="C2" s="96"/>
      <c r="D2" s="96"/>
      <c r="E2" s="96"/>
      <c r="F2" s="96"/>
      <c r="G2" s="96"/>
      <c r="H2" s="96"/>
      <c r="I2" s="96"/>
      <c r="J2" s="96"/>
      <c r="K2" s="96"/>
      <c r="L2" s="96"/>
      <c r="M2" s="96"/>
      <c r="N2" s="96"/>
      <c r="O2" s="96"/>
    </row>
    <row r="5" spans="2:20" ht="18.75">
      <c r="B5" s="97" t="s">
        <v>4238</v>
      </c>
      <c r="C5" s="96"/>
      <c r="D5" s="96"/>
      <c r="E5" s="96"/>
      <c r="F5" s="96"/>
      <c r="G5" s="96"/>
      <c r="H5" s="96"/>
      <c r="I5" s="96"/>
      <c r="J5" s="96"/>
      <c r="K5" s="96"/>
      <c r="L5" s="96"/>
    </row>
    <row r="9" spans="2:20">
      <c r="D9" s="101" t="s">
        <v>2877</v>
      </c>
      <c r="E9" s="102"/>
      <c r="F9" s="102"/>
      <c r="G9" s="102"/>
      <c r="H9" s="102"/>
      <c r="I9" s="102"/>
      <c r="J9" s="102"/>
      <c r="K9" s="102"/>
      <c r="L9" s="102"/>
      <c r="M9" s="103"/>
    </row>
    <row r="10" spans="2:20">
      <c r="D10" s="104"/>
      <c r="E10" s="105"/>
      <c r="F10" s="105"/>
      <c r="G10" s="105"/>
      <c r="H10" s="105"/>
      <c r="I10" s="105"/>
      <c r="J10" s="105"/>
      <c r="K10" s="105"/>
      <c r="L10" s="105"/>
      <c r="M10" s="106"/>
    </row>
    <row r="11" spans="2:20">
      <c r="D11" s="98" t="s">
        <v>4239</v>
      </c>
      <c r="E11" s="107" t="s">
        <v>4240</v>
      </c>
      <c r="F11" s="108"/>
      <c r="G11" s="108"/>
      <c r="H11" s="108"/>
      <c r="I11" s="108"/>
      <c r="J11" s="108"/>
      <c r="K11" s="108"/>
      <c r="L11" s="108"/>
      <c r="M11" s="109"/>
    </row>
    <row r="12" spans="2:20" ht="90">
      <c r="D12" s="100"/>
      <c r="E12" s="55" t="s">
        <v>4241</v>
      </c>
      <c r="F12" s="55" t="s">
        <v>4242</v>
      </c>
      <c r="G12" s="55" t="s">
        <v>4243</v>
      </c>
      <c r="H12" s="55" t="s">
        <v>4244</v>
      </c>
      <c r="I12" s="55" t="s">
        <v>4245</v>
      </c>
      <c r="J12" s="55" t="s">
        <v>4246</v>
      </c>
      <c r="K12" s="55" t="s">
        <v>4247</v>
      </c>
      <c r="L12" s="55" t="s">
        <v>4248</v>
      </c>
      <c r="M12" s="55" t="s">
        <v>4249</v>
      </c>
    </row>
    <row r="13" spans="2:20">
      <c r="D13" s="45" t="s">
        <v>2879</v>
      </c>
      <c r="E13" s="45" t="s">
        <v>3219</v>
      </c>
      <c r="F13" s="45" t="s">
        <v>3225</v>
      </c>
      <c r="G13" s="45" t="s">
        <v>3223</v>
      </c>
      <c r="H13" s="45" t="s">
        <v>3229</v>
      </c>
      <c r="I13" s="45" t="s">
        <v>3231</v>
      </c>
      <c r="J13" s="45" t="s">
        <v>3233</v>
      </c>
      <c r="K13" s="45" t="s">
        <v>3234</v>
      </c>
      <c r="L13" s="45" t="s">
        <v>3236</v>
      </c>
      <c r="M13" s="45" t="s">
        <v>3239</v>
      </c>
      <c r="S13" s="13" t="str">
        <f>Show!$B$93&amp;"S.22.01.01.01 Rows {"&amp;COLUMN($C$1)&amp;"}"&amp;"@ForceFilingCode:true"</f>
        <v>!S.22.01.01.01 Rows {3}@ForceFilingCode:true</v>
      </c>
      <c r="T13" s="13" t="str">
        <f>Show!$B$93&amp;"S.22.01.01.01 Columns {"&amp;COLUMN($D$1)&amp;"}"</f>
        <v>!S.22.01.01.01 Columns {4}</v>
      </c>
    </row>
    <row r="14" spans="2:20">
      <c r="B14" s="43" t="s">
        <v>2880</v>
      </c>
      <c r="C14" s="44" t="s">
        <v>2878</v>
      </c>
      <c r="D14" s="56"/>
      <c r="E14" s="66"/>
      <c r="F14" s="66"/>
      <c r="G14" s="66"/>
      <c r="H14" s="66"/>
      <c r="I14" s="66"/>
      <c r="J14" s="66"/>
      <c r="K14" s="66"/>
      <c r="L14" s="66"/>
      <c r="M14" s="57"/>
    </row>
    <row r="15" spans="2:20">
      <c r="B15" s="47" t="s">
        <v>4250</v>
      </c>
      <c r="C15" s="41" t="s">
        <v>2883</v>
      </c>
      <c r="D15" s="60"/>
      <c r="E15" s="60"/>
      <c r="F15" s="60"/>
      <c r="G15" s="60"/>
      <c r="H15" s="60"/>
      <c r="I15" s="60"/>
      <c r="J15" s="60"/>
      <c r="K15" s="60"/>
      <c r="L15" s="60"/>
      <c r="M15" s="60"/>
    </row>
    <row r="16" spans="2:20">
      <c r="B16" s="47" t="s">
        <v>4251</v>
      </c>
      <c r="C16" s="41" t="s">
        <v>2885</v>
      </c>
      <c r="D16" s="60"/>
      <c r="E16" s="60"/>
      <c r="F16" s="60"/>
      <c r="G16" s="60"/>
      <c r="H16" s="60"/>
      <c r="I16" s="60"/>
      <c r="J16" s="60"/>
      <c r="K16" s="60"/>
      <c r="L16" s="60"/>
      <c r="M16" s="60"/>
    </row>
    <row r="17" spans="2:20">
      <c r="B17" s="49" t="s">
        <v>3314</v>
      </c>
      <c r="C17" s="41" t="s">
        <v>2887</v>
      </c>
      <c r="D17" s="60"/>
      <c r="E17" s="60"/>
      <c r="F17" s="60"/>
      <c r="G17" s="60"/>
      <c r="H17" s="60"/>
      <c r="I17" s="60"/>
      <c r="J17" s="60"/>
      <c r="K17" s="60"/>
      <c r="L17" s="60"/>
      <c r="M17" s="60"/>
    </row>
    <row r="18" spans="2:20">
      <c r="B18" s="49" t="s">
        <v>4252</v>
      </c>
      <c r="C18" s="41" t="s">
        <v>2889</v>
      </c>
      <c r="D18" s="60"/>
      <c r="E18" s="60"/>
      <c r="F18" s="60"/>
      <c r="G18" s="60"/>
      <c r="H18" s="60"/>
      <c r="I18" s="60"/>
      <c r="J18" s="60"/>
      <c r="K18" s="60"/>
      <c r="L18" s="60"/>
      <c r="M18" s="60"/>
    </row>
    <row r="19" spans="2:20">
      <c r="B19" s="47" t="s">
        <v>4253</v>
      </c>
      <c r="C19" s="41" t="s">
        <v>3078</v>
      </c>
      <c r="D19" s="60"/>
      <c r="E19" s="60"/>
      <c r="F19" s="60"/>
      <c r="G19" s="60"/>
      <c r="H19" s="60"/>
      <c r="I19" s="60"/>
      <c r="J19" s="60"/>
      <c r="K19" s="60"/>
      <c r="L19" s="60"/>
      <c r="M19" s="60"/>
    </row>
    <row r="20" spans="2:20">
      <c r="B20" s="49" t="s">
        <v>2545</v>
      </c>
      <c r="C20" s="41" t="s">
        <v>2891</v>
      </c>
      <c r="D20" s="60"/>
      <c r="E20" s="60"/>
      <c r="F20" s="60"/>
      <c r="G20" s="60"/>
      <c r="H20" s="60"/>
      <c r="I20" s="60"/>
      <c r="J20" s="60"/>
      <c r="K20" s="60"/>
      <c r="L20" s="60"/>
      <c r="M20" s="60"/>
    </row>
    <row r="21" spans="2:20">
      <c r="B21" s="49" t="s">
        <v>2548</v>
      </c>
      <c r="C21" s="41" t="s">
        <v>2893</v>
      </c>
      <c r="D21" s="60"/>
      <c r="E21" s="60"/>
      <c r="F21" s="60"/>
      <c r="G21" s="60"/>
      <c r="H21" s="60"/>
      <c r="I21" s="60"/>
      <c r="J21" s="60"/>
      <c r="K21" s="60"/>
      <c r="L21" s="60"/>
      <c r="M21" s="60"/>
    </row>
    <row r="22" spans="2:20">
      <c r="B22" s="49" t="s">
        <v>2549</v>
      </c>
      <c r="C22" s="41" t="s">
        <v>2895</v>
      </c>
      <c r="D22" s="60"/>
      <c r="E22" s="60"/>
      <c r="F22" s="60"/>
      <c r="G22" s="60"/>
      <c r="H22" s="60"/>
      <c r="I22" s="60"/>
      <c r="J22" s="60"/>
      <c r="K22" s="60"/>
      <c r="L22" s="60"/>
      <c r="M22" s="60"/>
    </row>
    <row r="23" spans="2:20">
      <c r="B23" s="47" t="s">
        <v>711</v>
      </c>
      <c r="C23" s="41" t="s">
        <v>2897</v>
      </c>
      <c r="D23" s="60"/>
      <c r="E23" s="60"/>
      <c r="F23" s="60"/>
      <c r="G23" s="60"/>
      <c r="H23" s="60"/>
      <c r="I23" s="60"/>
      <c r="J23" s="60"/>
      <c r="K23" s="60"/>
      <c r="L23" s="60"/>
      <c r="M23" s="60"/>
    </row>
    <row r="24" spans="2:20">
      <c r="B24" s="47" t="s">
        <v>4254</v>
      </c>
      <c r="C24" s="41" t="s">
        <v>2899</v>
      </c>
      <c r="D24" s="60"/>
      <c r="E24" s="60"/>
      <c r="F24" s="60"/>
      <c r="G24" s="60"/>
      <c r="H24" s="60"/>
      <c r="I24" s="60"/>
      <c r="J24" s="60"/>
      <c r="K24" s="60"/>
      <c r="L24" s="60"/>
      <c r="M24" s="60"/>
    </row>
    <row r="25" spans="2:20">
      <c r="B25" s="47" t="s">
        <v>4255</v>
      </c>
      <c r="C25" s="41" t="s">
        <v>2901</v>
      </c>
      <c r="D25" s="60"/>
      <c r="E25" s="60"/>
      <c r="F25" s="60"/>
      <c r="G25" s="60"/>
      <c r="H25" s="60"/>
      <c r="I25" s="60"/>
      <c r="J25" s="60"/>
      <c r="K25" s="60"/>
      <c r="L25" s="60"/>
      <c r="M25" s="60"/>
    </row>
    <row r="27" spans="2:20">
      <c r="S27" s="13" t="str">
        <f>Show!$B$93&amp;Show!$B$93&amp;"S.22.01.01.01 Rows {"&amp;COLUMN($C$1)&amp;"}"</f>
        <v>!!S.22.01.01.01 Rows {3}</v>
      </c>
      <c r="T27" s="13" t="str">
        <f>Show!$B$93&amp;Show!$B$93&amp;"S.22.01.01.01 Columns {"&amp;COLUMN($M$1)&amp;"}"</f>
        <v>!!S.22.01.01.01 Columns {13}</v>
      </c>
    </row>
  </sheetData>
  <sheetProtection sheet="1" objects="1" scenarios="1"/>
  <mergeCells count="5">
    <mergeCell ref="B2:O2"/>
    <mergeCell ref="B5:L5"/>
    <mergeCell ref="D9:M10"/>
    <mergeCell ref="D11:D12"/>
    <mergeCell ref="E11:M1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AC0E-E77C-4C39-83B0-C24184E5239F}">
  <sheetPr codeName="Blad98"/>
  <dimension ref="B2:T25"/>
  <sheetViews>
    <sheetView showGridLines="0" workbookViewId="0"/>
  </sheetViews>
  <sheetFormatPr defaultRowHeight="15"/>
  <cols>
    <col min="2" max="2" width="63.28515625" bestFit="1" customWidth="1"/>
    <col min="4" max="13" width="15.7109375" customWidth="1"/>
  </cols>
  <sheetData>
    <row r="2" spans="2:20" ht="23.25">
      <c r="B2" s="95" t="s">
        <v>653</v>
      </c>
      <c r="C2" s="96"/>
      <c r="D2" s="96"/>
      <c r="E2" s="96"/>
      <c r="F2" s="96"/>
      <c r="G2" s="96"/>
      <c r="H2" s="96"/>
      <c r="I2" s="96"/>
      <c r="J2" s="96"/>
      <c r="K2" s="96"/>
      <c r="L2" s="96"/>
      <c r="M2" s="96"/>
      <c r="N2" s="96"/>
      <c r="O2" s="96"/>
    </row>
    <row r="5" spans="2:20" ht="18.75">
      <c r="B5" s="97" t="s">
        <v>4256</v>
      </c>
      <c r="C5" s="96"/>
      <c r="D5" s="96"/>
      <c r="E5" s="96"/>
      <c r="F5" s="96"/>
      <c r="G5" s="96"/>
      <c r="H5" s="96"/>
      <c r="I5" s="96"/>
      <c r="J5" s="96"/>
      <c r="K5" s="96"/>
      <c r="L5" s="96"/>
    </row>
    <row r="9" spans="2:20">
      <c r="D9" s="101" t="s">
        <v>2877</v>
      </c>
      <c r="E9" s="102"/>
      <c r="F9" s="102"/>
      <c r="G9" s="102"/>
      <c r="H9" s="102"/>
      <c r="I9" s="102"/>
      <c r="J9" s="102"/>
      <c r="K9" s="102"/>
      <c r="L9" s="102"/>
      <c r="M9" s="103"/>
    </row>
    <row r="10" spans="2:20">
      <c r="D10" s="104"/>
      <c r="E10" s="105"/>
      <c r="F10" s="105"/>
      <c r="G10" s="105"/>
      <c r="H10" s="105"/>
      <c r="I10" s="105"/>
      <c r="J10" s="105"/>
      <c r="K10" s="105"/>
      <c r="L10" s="105"/>
      <c r="M10" s="106"/>
    </row>
    <row r="11" spans="2:20">
      <c r="D11" s="98" t="s">
        <v>4239</v>
      </c>
      <c r="E11" s="107" t="s">
        <v>4240</v>
      </c>
      <c r="F11" s="108"/>
      <c r="G11" s="108"/>
      <c r="H11" s="108"/>
      <c r="I11" s="108"/>
      <c r="J11" s="108"/>
      <c r="K11" s="108"/>
      <c r="L11" s="108"/>
      <c r="M11" s="109"/>
    </row>
    <row r="12" spans="2:20" ht="90">
      <c r="D12" s="100"/>
      <c r="E12" s="55" t="s">
        <v>4241</v>
      </c>
      <c r="F12" s="55" t="s">
        <v>4242</v>
      </c>
      <c r="G12" s="55" t="s">
        <v>4243</v>
      </c>
      <c r="H12" s="55" t="s">
        <v>4244</v>
      </c>
      <c r="I12" s="55" t="s">
        <v>4245</v>
      </c>
      <c r="J12" s="55" t="s">
        <v>4246</v>
      </c>
      <c r="K12" s="55" t="s">
        <v>4247</v>
      </c>
      <c r="L12" s="55" t="s">
        <v>4248</v>
      </c>
      <c r="M12" s="55" t="s">
        <v>4249</v>
      </c>
    </row>
    <row r="13" spans="2:20">
      <c r="D13" s="45" t="s">
        <v>2879</v>
      </c>
      <c r="E13" s="45" t="s">
        <v>3219</v>
      </c>
      <c r="F13" s="45" t="s">
        <v>3225</v>
      </c>
      <c r="G13" s="45" t="s">
        <v>3223</v>
      </c>
      <c r="H13" s="45" t="s">
        <v>3229</v>
      </c>
      <c r="I13" s="45" t="s">
        <v>3231</v>
      </c>
      <c r="J13" s="45" t="s">
        <v>3233</v>
      </c>
      <c r="K13" s="45" t="s">
        <v>3234</v>
      </c>
      <c r="L13" s="45" t="s">
        <v>3236</v>
      </c>
      <c r="M13" s="45" t="s">
        <v>3239</v>
      </c>
      <c r="S13" s="13" t="str">
        <f>Show!$B$94&amp;"S.22.01.04.01 Rows {"&amp;COLUMN($C$1)&amp;"}"&amp;"@ForceFilingCode:true"</f>
        <v>!S.22.01.04.01 Rows {3}@ForceFilingCode:true</v>
      </c>
      <c r="T13" s="13" t="str">
        <f>Show!$B$94&amp;"S.22.01.04.01 Columns {"&amp;COLUMN($D$1)&amp;"}"</f>
        <v>!S.22.01.04.01 Columns {4}</v>
      </c>
    </row>
    <row r="14" spans="2:20">
      <c r="B14" s="43" t="s">
        <v>2880</v>
      </c>
      <c r="C14" s="44" t="s">
        <v>2878</v>
      </c>
      <c r="D14" s="56"/>
      <c r="E14" s="66"/>
      <c r="F14" s="66"/>
      <c r="G14" s="66"/>
      <c r="H14" s="66"/>
      <c r="I14" s="66"/>
      <c r="J14" s="66"/>
      <c r="K14" s="66"/>
      <c r="L14" s="66"/>
      <c r="M14" s="57"/>
    </row>
    <row r="15" spans="2:20">
      <c r="B15" s="47" t="s">
        <v>4250</v>
      </c>
      <c r="C15" s="41" t="s">
        <v>2883</v>
      </c>
      <c r="D15" s="60"/>
      <c r="E15" s="60"/>
      <c r="F15" s="60"/>
      <c r="G15" s="60"/>
      <c r="H15" s="60"/>
      <c r="I15" s="60"/>
      <c r="J15" s="60"/>
      <c r="K15" s="60"/>
      <c r="L15" s="60"/>
      <c r="M15" s="60"/>
    </row>
    <row r="16" spans="2:20">
      <c r="B16" s="47" t="s">
        <v>4251</v>
      </c>
      <c r="C16" s="41" t="s">
        <v>2885</v>
      </c>
      <c r="D16" s="60"/>
      <c r="E16" s="60"/>
      <c r="F16" s="60"/>
      <c r="G16" s="60"/>
      <c r="H16" s="60"/>
      <c r="I16" s="60"/>
      <c r="J16" s="60"/>
      <c r="K16" s="60"/>
      <c r="L16" s="60"/>
      <c r="M16" s="60"/>
    </row>
    <row r="17" spans="2:20">
      <c r="B17" s="49" t="s">
        <v>3314</v>
      </c>
      <c r="C17" s="41" t="s">
        <v>2887</v>
      </c>
      <c r="D17" s="60"/>
      <c r="E17" s="60"/>
      <c r="F17" s="60"/>
      <c r="G17" s="60"/>
      <c r="H17" s="60"/>
      <c r="I17" s="60"/>
      <c r="J17" s="60"/>
      <c r="K17" s="60"/>
      <c r="L17" s="60"/>
      <c r="M17" s="60"/>
    </row>
    <row r="18" spans="2:20">
      <c r="B18" s="49" t="s">
        <v>4252</v>
      </c>
      <c r="C18" s="41" t="s">
        <v>2889</v>
      </c>
      <c r="D18" s="60"/>
      <c r="E18" s="60"/>
      <c r="F18" s="60"/>
      <c r="G18" s="60"/>
      <c r="H18" s="60"/>
      <c r="I18" s="60"/>
      <c r="J18" s="60"/>
      <c r="K18" s="60"/>
      <c r="L18" s="60"/>
      <c r="M18" s="60"/>
    </row>
    <row r="19" spans="2:20">
      <c r="B19" s="47" t="s">
        <v>4253</v>
      </c>
      <c r="C19" s="41" t="s">
        <v>3078</v>
      </c>
      <c r="D19" s="60"/>
      <c r="E19" s="60"/>
      <c r="F19" s="60"/>
      <c r="G19" s="60"/>
      <c r="H19" s="60"/>
      <c r="I19" s="60"/>
      <c r="J19" s="60"/>
      <c r="K19" s="60"/>
      <c r="L19" s="60"/>
      <c r="M19" s="60"/>
    </row>
    <row r="20" spans="2:20">
      <c r="B20" s="49" t="s">
        <v>2545</v>
      </c>
      <c r="C20" s="41" t="s">
        <v>2891</v>
      </c>
      <c r="D20" s="60"/>
      <c r="E20" s="60"/>
      <c r="F20" s="60"/>
      <c r="G20" s="60"/>
      <c r="H20" s="60"/>
      <c r="I20" s="60"/>
      <c r="J20" s="60"/>
      <c r="K20" s="60"/>
      <c r="L20" s="60"/>
      <c r="M20" s="60"/>
    </row>
    <row r="21" spans="2:20">
      <c r="B21" s="49" t="s">
        <v>2548</v>
      </c>
      <c r="C21" s="41" t="s">
        <v>2893</v>
      </c>
      <c r="D21" s="60"/>
      <c r="E21" s="60"/>
      <c r="F21" s="60"/>
      <c r="G21" s="60"/>
      <c r="H21" s="60"/>
      <c r="I21" s="60"/>
      <c r="J21" s="60"/>
      <c r="K21" s="60"/>
      <c r="L21" s="60"/>
      <c r="M21" s="60"/>
    </row>
    <row r="22" spans="2:20">
      <c r="B22" s="49" t="s">
        <v>2549</v>
      </c>
      <c r="C22" s="41" t="s">
        <v>2895</v>
      </c>
      <c r="D22" s="60"/>
      <c r="E22" s="60"/>
      <c r="F22" s="60"/>
      <c r="G22" s="60"/>
      <c r="H22" s="60"/>
      <c r="I22" s="60"/>
      <c r="J22" s="60"/>
      <c r="K22" s="60"/>
      <c r="L22" s="60"/>
      <c r="M22" s="60"/>
    </row>
    <row r="23" spans="2:20">
      <c r="B23" s="47" t="s">
        <v>711</v>
      </c>
      <c r="C23" s="41" t="s">
        <v>2897</v>
      </c>
      <c r="D23" s="60"/>
      <c r="E23" s="60"/>
      <c r="F23" s="60"/>
      <c r="G23" s="60"/>
      <c r="H23" s="60"/>
      <c r="I23" s="60"/>
      <c r="J23" s="60"/>
      <c r="K23" s="60"/>
      <c r="L23" s="60"/>
      <c r="M23" s="60"/>
    </row>
    <row r="25" spans="2:20">
      <c r="S25" s="13" t="str">
        <f>Show!$B$94&amp;Show!$B$94&amp;"S.22.01.04.01 Rows {"&amp;COLUMN($C$1)&amp;"}"</f>
        <v>!!S.22.01.04.01 Rows {3}</v>
      </c>
      <c r="T25" s="13" t="str">
        <f>Show!$B$94&amp;Show!$B$94&amp;"S.22.01.04.01 Columns {"&amp;COLUMN($M$1)&amp;"}"</f>
        <v>!!S.22.01.04.01 Columns {13}</v>
      </c>
    </row>
  </sheetData>
  <sheetProtection sheet="1" objects="1" scenarios="1"/>
  <mergeCells count="5">
    <mergeCell ref="B2:O2"/>
    <mergeCell ref="B5:L5"/>
    <mergeCell ref="D9:M10"/>
    <mergeCell ref="D11:D12"/>
    <mergeCell ref="E11:M1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687F-CED7-4288-99B6-84A0C8DA934B}">
  <sheetPr codeName="Sheet1"/>
  <dimension ref="B2:T109"/>
  <sheetViews>
    <sheetView showGridLines="0" workbookViewId="0">
      <selection activeCell="F77" sqref="F77"/>
    </sheetView>
  </sheetViews>
  <sheetFormatPr defaultRowHeight="15"/>
  <cols>
    <col min="2" max="2" width="31.42578125" bestFit="1" customWidth="1"/>
    <col min="4" max="14" width="15.7109375" customWidth="1"/>
  </cols>
  <sheetData>
    <row r="2" spans="2:20" ht="23.25">
      <c r="B2" s="95" t="s">
        <v>642</v>
      </c>
      <c r="C2" s="96"/>
      <c r="D2" s="96"/>
      <c r="E2" s="96"/>
      <c r="F2" s="96"/>
      <c r="G2" s="96"/>
      <c r="H2" s="96"/>
      <c r="I2" s="96"/>
      <c r="J2" s="96"/>
      <c r="K2" s="96"/>
      <c r="L2" s="96"/>
      <c r="M2" s="96"/>
      <c r="N2" s="96"/>
      <c r="O2" s="96"/>
    </row>
    <row r="5" spans="2:20" ht="18.75">
      <c r="B5" s="97" t="s">
        <v>4141</v>
      </c>
      <c r="C5" s="96"/>
      <c r="D5" s="96"/>
      <c r="E5" s="96"/>
      <c r="F5" s="96"/>
      <c r="G5" s="96"/>
      <c r="H5" s="96"/>
      <c r="I5" s="96"/>
      <c r="J5" s="96"/>
      <c r="K5" s="96"/>
      <c r="L5" s="96"/>
    </row>
    <row r="7" spans="2:20">
      <c r="B7" t="s">
        <v>3110</v>
      </c>
      <c r="S7" s="13"/>
      <c r="T7" s="13"/>
    </row>
    <row r="8" spans="2:20">
      <c r="B8" t="s">
        <v>3111</v>
      </c>
    </row>
    <row r="9" spans="2:20" ht="30">
      <c r="B9" s="40" t="s">
        <v>3868</v>
      </c>
      <c r="C9" s="53" t="s">
        <v>3115</v>
      </c>
      <c r="D9" s="51" t="s">
        <v>2530</v>
      </c>
    </row>
    <row r="10" spans="2:20">
      <c r="S10" s="13"/>
      <c r="T10" s="13"/>
    </row>
    <row r="12" spans="2:20">
      <c r="D12" s="101" t="s">
        <v>2877</v>
      </c>
      <c r="E12" s="102"/>
      <c r="F12" s="102"/>
      <c r="G12" s="102"/>
      <c r="H12" s="102"/>
      <c r="I12" s="102"/>
      <c r="J12" s="102"/>
      <c r="K12" s="102"/>
      <c r="L12" s="102"/>
      <c r="M12" s="102"/>
      <c r="N12" s="103"/>
    </row>
    <row r="13" spans="2:20">
      <c r="D13" s="104"/>
      <c r="E13" s="105"/>
      <c r="F13" s="105"/>
      <c r="G13" s="105"/>
      <c r="H13" s="105"/>
      <c r="I13" s="105"/>
      <c r="J13" s="105"/>
      <c r="K13" s="105"/>
      <c r="L13" s="105"/>
      <c r="M13" s="105"/>
      <c r="N13" s="106"/>
    </row>
    <row r="14" spans="2:20">
      <c r="D14" s="55">
        <v>0</v>
      </c>
      <c r="E14" s="55">
        <v>1</v>
      </c>
      <c r="F14" s="55">
        <v>2</v>
      </c>
      <c r="G14" s="55">
        <v>3</v>
      </c>
      <c r="H14" s="55">
        <v>4</v>
      </c>
      <c r="I14" s="55">
        <v>5</v>
      </c>
      <c r="J14" s="55">
        <v>6</v>
      </c>
      <c r="K14" s="55">
        <v>7</v>
      </c>
      <c r="L14" s="55">
        <v>8</v>
      </c>
      <c r="M14" s="55">
        <v>9</v>
      </c>
      <c r="N14" s="55" t="s">
        <v>4142</v>
      </c>
    </row>
    <row r="15" spans="2:20">
      <c r="D15" s="45" t="s">
        <v>2879</v>
      </c>
      <c r="E15" s="45" t="s">
        <v>3219</v>
      </c>
      <c r="F15" s="45" t="s">
        <v>3225</v>
      </c>
      <c r="G15" s="45" t="s">
        <v>3223</v>
      </c>
      <c r="H15" s="45" t="s">
        <v>3229</v>
      </c>
      <c r="I15" s="45" t="s">
        <v>3231</v>
      </c>
      <c r="J15" s="45" t="s">
        <v>3233</v>
      </c>
      <c r="K15" s="45" t="s">
        <v>3234</v>
      </c>
      <c r="L15" s="45" t="s">
        <v>3236</v>
      </c>
      <c r="M15" s="45" t="s">
        <v>3239</v>
      </c>
      <c r="N15" s="45" t="s">
        <v>3241</v>
      </c>
      <c r="S15" s="13"/>
      <c r="T15" s="13"/>
    </row>
    <row r="16" spans="2:20">
      <c r="B16" s="43" t="s">
        <v>2880</v>
      </c>
      <c r="C16" s="44" t="s">
        <v>2878</v>
      </c>
      <c r="D16" s="58"/>
      <c r="E16" s="67"/>
      <c r="F16" s="67"/>
      <c r="G16" s="67"/>
      <c r="H16" s="67"/>
      <c r="I16" s="67"/>
      <c r="J16" s="67"/>
      <c r="K16" s="67"/>
      <c r="L16" s="67"/>
      <c r="M16" s="67"/>
      <c r="N16" s="57"/>
    </row>
    <row r="17" spans="2:20">
      <c r="B17" s="47" t="s">
        <v>3947</v>
      </c>
      <c r="C17" s="44" t="s">
        <v>2899</v>
      </c>
      <c r="D17" s="56"/>
      <c r="E17" s="56"/>
      <c r="F17" s="56"/>
      <c r="G17" s="56"/>
      <c r="H17" s="56"/>
      <c r="I17" s="56"/>
      <c r="J17" s="56"/>
      <c r="K17" s="56"/>
      <c r="L17" s="56"/>
      <c r="M17" s="46"/>
      <c r="N17" s="83">
        <f>SUM([7]Total!$N$20:$S$25)</f>
        <v>0</v>
      </c>
    </row>
    <row r="18" spans="2:20">
      <c r="B18" s="47" t="s">
        <v>3889</v>
      </c>
      <c r="C18" s="41" t="s">
        <v>2911</v>
      </c>
      <c r="D18" s="83">
        <f>[7]Total!D26</f>
        <v>0</v>
      </c>
      <c r="E18" s="83">
        <f>[7]Total!E26</f>
        <v>0</v>
      </c>
      <c r="F18" s="83">
        <f>[7]Total!F26</f>
        <v>0</v>
      </c>
      <c r="G18" s="83">
        <f>[7]Total!G26</f>
        <v>5152.4100000000008</v>
      </c>
      <c r="H18" s="83">
        <f>[7]Total!H26</f>
        <v>292.22999999999996</v>
      </c>
      <c r="I18" s="83">
        <f>[7]Total!I26</f>
        <v>237.8</v>
      </c>
      <c r="J18" s="83">
        <f>[7]Total!J26</f>
        <v>12.61</v>
      </c>
      <c r="K18" s="83">
        <f>[7]Total!K26</f>
        <v>0</v>
      </c>
      <c r="L18" s="83">
        <f>[7]Total!L26</f>
        <v>10.25</v>
      </c>
      <c r="M18" s="83">
        <f>[7]Total!M26</f>
        <v>0</v>
      </c>
      <c r="N18" s="48"/>
    </row>
    <row r="19" spans="2:20">
      <c r="B19" s="47" t="s">
        <v>3890</v>
      </c>
      <c r="C19" s="41" t="s">
        <v>2913</v>
      </c>
      <c r="D19" s="83">
        <f>[7]Total!D27</f>
        <v>0</v>
      </c>
      <c r="E19" s="83">
        <f>[7]Total!E27</f>
        <v>0</v>
      </c>
      <c r="F19" s="83">
        <f>[7]Total!F27</f>
        <v>41443.460000000006</v>
      </c>
      <c r="G19" s="83">
        <f>[7]Total!G27</f>
        <v>-5850.7</v>
      </c>
      <c r="H19" s="83">
        <f>[7]Total!H27</f>
        <v>1122.83</v>
      </c>
      <c r="I19" s="83">
        <f>[7]Total!I27</f>
        <v>38601.620000000003</v>
      </c>
      <c r="J19" s="83">
        <f>[7]Total!J27</f>
        <v>-38568.36</v>
      </c>
      <c r="K19" s="83">
        <f>[7]Total!K27</f>
        <v>0</v>
      </c>
      <c r="L19" s="83">
        <f>[7]Total!L27</f>
        <v>55.39</v>
      </c>
      <c r="M19" s="58"/>
      <c r="N19" s="48"/>
    </row>
    <row r="20" spans="2:20">
      <c r="B20" s="47" t="s">
        <v>3891</v>
      </c>
      <c r="C20" s="41" t="s">
        <v>2915</v>
      </c>
      <c r="D20" s="83">
        <f>[7]Total!D28</f>
        <v>0</v>
      </c>
      <c r="E20" s="83">
        <f>[7]Total!E28</f>
        <v>1381215.6676055945</v>
      </c>
      <c r="F20" s="83">
        <f>[7]Total!F28</f>
        <v>171340.36012471397</v>
      </c>
      <c r="G20" s="83">
        <f>[7]Total!G28</f>
        <v>59130.760340251079</v>
      </c>
      <c r="H20" s="83">
        <f>[7]Total!H28</f>
        <v>4832.8820177671878</v>
      </c>
      <c r="I20" s="83">
        <f>[7]Total!I28</f>
        <v>3634.4424399403597</v>
      </c>
      <c r="J20" s="83">
        <f>[7]Total!J28</f>
        <v>5682.7784757134104</v>
      </c>
      <c r="K20" s="83">
        <f>[7]Total!K28</f>
        <v>487.83384490032995</v>
      </c>
      <c r="L20" s="58"/>
      <c r="M20" s="58"/>
      <c r="N20" s="48"/>
    </row>
    <row r="21" spans="2:20">
      <c r="B21" s="47" t="s">
        <v>3892</v>
      </c>
      <c r="C21" s="41" t="s">
        <v>2917</v>
      </c>
      <c r="D21" s="83">
        <f>[7]Total!D29</f>
        <v>1843164.6970594018</v>
      </c>
      <c r="E21" s="83">
        <f>[7]Total!E29</f>
        <v>5105833.3067088379</v>
      </c>
      <c r="F21" s="83">
        <f>[7]Total!F29</f>
        <v>1346611.3843992657</v>
      </c>
      <c r="G21" s="83">
        <f>[7]Total!G29</f>
        <v>516639.14985035756</v>
      </c>
      <c r="H21" s="83">
        <f>[7]Total!H29</f>
        <v>381322.09821221099</v>
      </c>
      <c r="I21" s="83">
        <f>[7]Total!I29</f>
        <v>172575.81242265814</v>
      </c>
      <c r="J21" s="83">
        <f>[7]Total!J29</f>
        <v>84742.014903350675</v>
      </c>
      <c r="K21" s="58"/>
      <c r="L21" s="58"/>
      <c r="M21" s="58"/>
      <c r="N21" s="48"/>
    </row>
    <row r="22" spans="2:20">
      <c r="B22" s="47" t="s">
        <v>3893</v>
      </c>
      <c r="C22" s="41" t="s">
        <v>2919</v>
      </c>
      <c r="D22" s="83">
        <f>[7]Total!D30</f>
        <v>1362956.5798791458</v>
      </c>
      <c r="E22" s="83">
        <f>[7]Total!E30</f>
        <v>5964389.7069079056</v>
      </c>
      <c r="F22" s="83">
        <f>[7]Total!F30</f>
        <v>1318319.5157491751</v>
      </c>
      <c r="G22" s="83">
        <f>[7]Total!G30</f>
        <v>589743.01783711335</v>
      </c>
      <c r="H22" s="83">
        <f>[7]Total!H30</f>
        <v>374841.54596277419</v>
      </c>
      <c r="I22" s="83">
        <f>[7]Total!I30</f>
        <v>116704.71121664961</v>
      </c>
      <c r="J22" s="58"/>
      <c r="K22" s="58"/>
      <c r="L22" s="58"/>
      <c r="M22" s="58"/>
      <c r="N22" s="48"/>
    </row>
    <row r="23" spans="2:20">
      <c r="B23" s="47" t="s">
        <v>3894</v>
      </c>
      <c r="C23" s="41" t="s">
        <v>2921</v>
      </c>
      <c r="D23" s="83">
        <f>[7]Total!D31</f>
        <v>2674805.7992113377</v>
      </c>
      <c r="E23" s="83">
        <f>[7]Total!E31</f>
        <v>14029982.389899176</v>
      </c>
      <c r="F23" s="83">
        <f>[7]Total!F31</f>
        <v>4720858.0908420356</v>
      </c>
      <c r="G23" s="83">
        <f>[7]Total!G31</f>
        <v>767434.29874702008</v>
      </c>
      <c r="H23" s="83">
        <f>[7]Total!H31</f>
        <v>534413.71298932133</v>
      </c>
      <c r="I23" s="58"/>
      <c r="J23" s="58"/>
      <c r="K23" s="58"/>
      <c r="L23" s="58"/>
      <c r="M23" s="58"/>
      <c r="N23" s="48"/>
    </row>
    <row r="24" spans="2:20">
      <c r="B24" s="47" t="s">
        <v>3895</v>
      </c>
      <c r="C24" s="41" t="s">
        <v>2923</v>
      </c>
      <c r="D24" s="83">
        <f>[7]Total!D32</f>
        <v>2630226.6897360189</v>
      </c>
      <c r="E24" s="83">
        <f>[7]Total!E32</f>
        <v>27149700.348019399</v>
      </c>
      <c r="F24" s="83">
        <f>[7]Total!F32</f>
        <v>10845621.389297351</v>
      </c>
      <c r="G24" s="83">
        <f>[7]Total!G32</f>
        <v>4088355.9644183465</v>
      </c>
      <c r="H24" s="58"/>
      <c r="I24" s="58"/>
      <c r="J24" s="58"/>
      <c r="K24" s="58"/>
      <c r="L24" s="58"/>
      <c r="M24" s="58"/>
      <c r="N24" s="48"/>
    </row>
    <row r="25" spans="2:20">
      <c r="B25" s="47" t="s">
        <v>3896</v>
      </c>
      <c r="C25" s="41" t="s">
        <v>2925</v>
      </c>
      <c r="D25" s="83">
        <f>[7]Total!D33</f>
        <v>6194786.0474370746</v>
      </c>
      <c r="E25" s="83">
        <f>[7]Total!E33</f>
        <v>24857448.90754484</v>
      </c>
      <c r="F25" s="83">
        <f>[7]Total!F33</f>
        <v>9226244.8421393614</v>
      </c>
      <c r="G25" s="58"/>
      <c r="H25" s="58"/>
      <c r="I25" s="58"/>
      <c r="J25" s="58"/>
      <c r="K25" s="58"/>
      <c r="L25" s="58"/>
      <c r="M25" s="58"/>
      <c r="N25" s="48"/>
    </row>
    <row r="26" spans="2:20">
      <c r="B26" s="47" t="s">
        <v>3897</v>
      </c>
      <c r="C26" s="41" t="s">
        <v>2927</v>
      </c>
      <c r="D26" s="83">
        <f>[7]Total!D34</f>
        <v>6479283.923147941</v>
      </c>
      <c r="E26" s="83">
        <f>[7]Total!E34</f>
        <v>40380874.95177459</v>
      </c>
      <c r="F26" s="58"/>
      <c r="G26" s="58"/>
      <c r="H26" s="58"/>
      <c r="I26" s="58"/>
      <c r="J26" s="58"/>
      <c r="K26" s="58"/>
      <c r="L26" s="58"/>
      <c r="M26" s="58"/>
      <c r="N26" s="48"/>
    </row>
    <row r="27" spans="2:20">
      <c r="B27" s="47" t="s">
        <v>3898</v>
      </c>
      <c r="C27" s="41" t="s">
        <v>2929</v>
      </c>
      <c r="D27" s="83">
        <f>[7]Total!D35</f>
        <v>13732149.045489414</v>
      </c>
      <c r="E27" s="56"/>
      <c r="F27" s="56"/>
      <c r="G27" s="56"/>
      <c r="H27" s="56"/>
      <c r="I27" s="56"/>
      <c r="J27" s="56"/>
      <c r="K27" s="56"/>
      <c r="L27" s="56"/>
      <c r="M27" s="56"/>
      <c r="N27" s="46"/>
    </row>
    <row r="29" spans="2:20">
      <c r="S29" s="13"/>
      <c r="T29" s="13"/>
    </row>
    <row r="31" spans="2:20" ht="18.75">
      <c r="B31" s="97" t="s">
        <v>4143</v>
      </c>
      <c r="C31" s="96"/>
      <c r="D31" s="96"/>
      <c r="E31" s="96"/>
      <c r="F31" s="96"/>
      <c r="G31" s="96"/>
      <c r="H31" s="96"/>
      <c r="I31" s="96"/>
      <c r="J31" s="96"/>
      <c r="K31" s="96"/>
      <c r="L31" s="96"/>
    </row>
    <row r="33" spans="2:20">
      <c r="B33" t="s">
        <v>3110</v>
      </c>
      <c r="S33" s="13"/>
      <c r="T33" s="13"/>
    </row>
    <row r="34" spans="2:20">
      <c r="B34" t="s">
        <v>3111</v>
      </c>
    </row>
    <row r="35" spans="2:20" ht="30">
      <c r="B35" s="40" t="s">
        <v>3868</v>
      </c>
      <c r="C35" s="53" t="s">
        <v>3115</v>
      </c>
      <c r="D35" s="51" t="str">
        <f>D9</f>
        <v>Underwriting year [UWY]</v>
      </c>
    </row>
    <row r="36" spans="2:20">
      <c r="S36" s="13"/>
      <c r="T36" s="13"/>
    </row>
    <row r="38" spans="2:20">
      <c r="D38" s="101" t="s">
        <v>2877</v>
      </c>
      <c r="E38" s="103"/>
    </row>
    <row r="39" spans="2:20">
      <c r="D39" s="104"/>
      <c r="E39" s="106"/>
    </row>
    <row r="40" spans="2:20" ht="30">
      <c r="D40" s="55" t="s">
        <v>3949</v>
      </c>
      <c r="E40" s="55" t="s">
        <v>3950</v>
      </c>
    </row>
    <row r="41" spans="2:20">
      <c r="D41" s="45" t="s">
        <v>3594</v>
      </c>
      <c r="E41" s="45" t="s">
        <v>3596</v>
      </c>
      <c r="S41" s="13"/>
      <c r="T41" s="13"/>
    </row>
    <row r="42" spans="2:20">
      <c r="B42" s="43" t="s">
        <v>2880</v>
      </c>
      <c r="C42" s="44" t="s">
        <v>2878</v>
      </c>
      <c r="D42" s="56"/>
      <c r="E42" s="57"/>
    </row>
    <row r="43" spans="2:20">
      <c r="B43" s="47" t="s">
        <v>3947</v>
      </c>
      <c r="C43" s="41" t="s">
        <v>2899</v>
      </c>
      <c r="D43" s="60">
        <f>SUM([7]Total!D54:D59)</f>
        <v>0</v>
      </c>
      <c r="E43" s="60">
        <f>SUM([7]Total!E54:E59)</f>
        <v>0</v>
      </c>
    </row>
    <row r="44" spans="2:20">
      <c r="B44" s="47" t="s">
        <v>3889</v>
      </c>
      <c r="C44" s="41" t="s">
        <v>2911</v>
      </c>
      <c r="D44" s="83">
        <f>[7]Total!D60</f>
        <v>0</v>
      </c>
      <c r="E44" s="83">
        <f>[7]Total!E60</f>
        <v>5705.3</v>
      </c>
    </row>
    <row r="45" spans="2:20">
      <c r="B45" s="47" t="s">
        <v>3890</v>
      </c>
      <c r="C45" s="41" t="s">
        <v>2913</v>
      </c>
      <c r="D45" s="83">
        <f>[7]Total!D61</f>
        <v>55.39</v>
      </c>
      <c r="E45" s="83">
        <f>[7]Total!E61</f>
        <v>36804.24000000002</v>
      </c>
    </row>
    <row r="46" spans="2:20">
      <c r="B46" s="47" t="s">
        <v>3891</v>
      </c>
      <c r="C46" s="41" t="s">
        <v>2915</v>
      </c>
      <c r="D46" s="83">
        <f>[7]Total!D62</f>
        <v>487.83384490032995</v>
      </c>
      <c r="E46" s="83">
        <f>[7]Total!E62</f>
        <v>1626324.7248488811</v>
      </c>
    </row>
    <row r="47" spans="2:20">
      <c r="B47" s="47" t="s">
        <v>3892</v>
      </c>
      <c r="C47" s="41" t="s">
        <v>2917</v>
      </c>
      <c r="D47" s="83">
        <f>[7]Total!D63</f>
        <v>84742.014903350675</v>
      </c>
      <c r="E47" s="83">
        <f>[7]Total!E63</f>
        <v>9450888.4635560829</v>
      </c>
    </row>
    <row r="48" spans="2:20">
      <c r="B48" s="47" t="s">
        <v>3893</v>
      </c>
      <c r="C48" s="41" t="s">
        <v>2919</v>
      </c>
      <c r="D48" s="83">
        <f>[7]Total!D64</f>
        <v>116704.71121664961</v>
      </c>
      <c r="E48" s="83">
        <f>[7]Total!E64</f>
        <v>9726955.0775527619</v>
      </c>
    </row>
    <row r="49" spans="2:20">
      <c r="B49" s="47" t="s">
        <v>3894</v>
      </c>
      <c r="C49" s="41" t="s">
        <v>2921</v>
      </c>
      <c r="D49" s="83">
        <f>[7]Total!D65</f>
        <v>534413.71298932133</v>
      </c>
      <c r="E49" s="83">
        <f>[7]Total!E65</f>
        <v>22727494.291688893</v>
      </c>
    </row>
    <row r="50" spans="2:20">
      <c r="B50" s="47" t="s">
        <v>3895</v>
      </c>
      <c r="C50" s="41" t="s">
        <v>2923</v>
      </c>
      <c r="D50" s="83">
        <f>[7]Total!D66</f>
        <v>4088355.9644183465</v>
      </c>
      <c r="E50" s="83">
        <f>[7]Total!E66</f>
        <v>44713904.391471118</v>
      </c>
    </row>
    <row r="51" spans="2:20">
      <c r="B51" s="47" t="s">
        <v>3896</v>
      </c>
      <c r="C51" s="41" t="s">
        <v>2925</v>
      </c>
      <c r="D51" s="83">
        <f>[7]Total!D67</f>
        <v>9226244.8421393614</v>
      </c>
      <c r="E51" s="83">
        <f>[7]Total!E67</f>
        <v>40278479.797121279</v>
      </c>
    </row>
    <row r="52" spans="2:20">
      <c r="B52" s="47" t="s">
        <v>3897</v>
      </c>
      <c r="C52" s="41" t="s">
        <v>2927</v>
      </c>
      <c r="D52" s="83">
        <f>[7]Total!D68</f>
        <v>40380874.95177459</v>
      </c>
      <c r="E52" s="83">
        <f>[7]Total!E68</f>
        <v>46860158.874922536</v>
      </c>
    </row>
    <row r="53" spans="2:20">
      <c r="B53" s="47" t="s">
        <v>3898</v>
      </c>
      <c r="C53" s="41" t="s">
        <v>2929</v>
      </c>
      <c r="D53" s="83">
        <f>[7]Total!D69</f>
        <v>13732149.045489414</v>
      </c>
      <c r="E53" s="83">
        <f>[7]Total!E69</f>
        <v>13732149.045489414</v>
      </c>
    </row>
    <row r="54" spans="2:20">
      <c r="B54" s="47" t="s">
        <v>3480</v>
      </c>
      <c r="C54" s="41" t="s">
        <v>2931</v>
      </c>
      <c r="D54" s="83">
        <f>[7]Total!D70</f>
        <v>68164028.466775939</v>
      </c>
      <c r="E54" s="83">
        <f>[7]Total!E70</f>
        <v>189158864.20665097</v>
      </c>
    </row>
    <row r="56" spans="2:20">
      <c r="S56" s="13"/>
      <c r="T56" s="13"/>
    </row>
    <row r="58" spans="2:20" ht="18.75">
      <c r="B58" s="97" t="s">
        <v>4144</v>
      </c>
      <c r="C58" s="96"/>
      <c r="D58" s="96"/>
      <c r="E58" s="96"/>
      <c r="F58" s="96"/>
      <c r="G58" s="96"/>
      <c r="H58" s="96"/>
      <c r="I58" s="96"/>
      <c r="J58" s="96"/>
      <c r="K58" s="96"/>
      <c r="L58" s="96"/>
    </row>
    <row r="60" spans="2:20">
      <c r="B60" t="s">
        <v>3110</v>
      </c>
      <c r="S60" s="13"/>
      <c r="T60" s="13"/>
    </row>
    <row r="61" spans="2:20">
      <c r="B61" t="s">
        <v>3111</v>
      </c>
    </row>
    <row r="62" spans="2:20" ht="30">
      <c r="B62" s="40" t="s">
        <v>3868</v>
      </c>
      <c r="C62" s="53" t="s">
        <v>3115</v>
      </c>
      <c r="D62" s="51" t="str">
        <f>D35</f>
        <v>Underwriting year [UWY]</v>
      </c>
    </row>
    <row r="63" spans="2:20">
      <c r="S63" s="13"/>
      <c r="T63" s="13"/>
    </row>
    <row r="65" spans="2:20">
      <c r="D65" s="101" t="s">
        <v>2877</v>
      </c>
      <c r="E65" s="102"/>
      <c r="F65" s="102"/>
      <c r="G65" s="102"/>
      <c r="H65" s="102"/>
      <c r="I65" s="102"/>
      <c r="J65" s="102"/>
      <c r="K65" s="102"/>
      <c r="L65" s="102"/>
      <c r="M65" s="102"/>
      <c r="N65" s="103"/>
    </row>
    <row r="66" spans="2:20">
      <c r="D66" s="104"/>
      <c r="E66" s="105"/>
      <c r="F66" s="105"/>
      <c r="G66" s="105"/>
      <c r="H66" s="105"/>
      <c r="I66" s="105"/>
      <c r="J66" s="105"/>
      <c r="K66" s="105"/>
      <c r="L66" s="105"/>
      <c r="M66" s="105"/>
      <c r="N66" s="106"/>
    </row>
    <row r="67" spans="2:20">
      <c r="D67" s="55">
        <v>0</v>
      </c>
      <c r="E67" s="55">
        <v>1</v>
      </c>
      <c r="F67" s="55">
        <v>2</v>
      </c>
      <c r="G67" s="55">
        <v>3</v>
      </c>
      <c r="H67" s="55">
        <v>4</v>
      </c>
      <c r="I67" s="55">
        <v>5</v>
      </c>
      <c r="J67" s="55">
        <v>6</v>
      </c>
      <c r="K67" s="55">
        <v>7</v>
      </c>
      <c r="L67" s="55">
        <v>8</v>
      </c>
      <c r="M67" s="55">
        <v>9</v>
      </c>
      <c r="N67" s="55" t="s">
        <v>4142</v>
      </c>
    </row>
    <row r="68" spans="2:20">
      <c r="D68" s="45" t="s">
        <v>3481</v>
      </c>
      <c r="E68" s="45" t="s">
        <v>3508</v>
      </c>
      <c r="F68" s="45" t="s">
        <v>3509</v>
      </c>
      <c r="G68" s="45" t="s">
        <v>3511</v>
      </c>
      <c r="H68" s="45" t="s">
        <v>3513</v>
      </c>
      <c r="I68" s="45" t="s">
        <v>3514</v>
      </c>
      <c r="J68" s="45" t="s">
        <v>3515</v>
      </c>
      <c r="K68" s="45" t="s">
        <v>3517</v>
      </c>
      <c r="L68" s="45" t="s">
        <v>3518</v>
      </c>
      <c r="M68" s="45" t="s">
        <v>3608</v>
      </c>
      <c r="N68" s="45" t="s">
        <v>3519</v>
      </c>
      <c r="S68" s="13"/>
      <c r="T68" s="13"/>
    </row>
    <row r="69" spans="2:20">
      <c r="B69" s="43" t="s">
        <v>2880</v>
      </c>
      <c r="C69" s="44" t="s">
        <v>2878</v>
      </c>
      <c r="D69" s="58"/>
      <c r="E69" s="67"/>
      <c r="F69" s="67"/>
      <c r="G69" s="67"/>
      <c r="H69" s="67"/>
      <c r="I69" s="67"/>
      <c r="J69" s="67"/>
      <c r="K69" s="67"/>
      <c r="L69" s="67"/>
      <c r="M69" s="67"/>
      <c r="N69" s="57"/>
    </row>
    <row r="70" spans="2:20">
      <c r="B70" s="47" t="s">
        <v>3947</v>
      </c>
      <c r="C70" s="44" t="s">
        <v>2899</v>
      </c>
      <c r="D70" s="56"/>
      <c r="E70" s="56"/>
      <c r="F70" s="56"/>
      <c r="G70" s="56"/>
      <c r="H70" s="56"/>
      <c r="I70" s="56"/>
      <c r="J70" s="56"/>
      <c r="K70" s="56"/>
      <c r="L70" s="56"/>
      <c r="M70" s="46"/>
      <c r="N70" s="60">
        <f>SUM([7]Total!$N$89:$S$94)</f>
        <v>0</v>
      </c>
    </row>
    <row r="71" spans="2:20">
      <c r="B71" s="47" t="s">
        <v>3889</v>
      </c>
      <c r="C71" s="41" t="s">
        <v>2911</v>
      </c>
      <c r="D71" s="60">
        <f>[7]Total!D95</f>
        <v>0</v>
      </c>
      <c r="E71" s="60">
        <f>[7]Total!E95</f>
        <v>0</v>
      </c>
      <c r="F71" s="60">
        <f>[7]Total!F95</f>
        <v>0</v>
      </c>
      <c r="G71" s="60">
        <f>[7]Total!G95</f>
        <v>0</v>
      </c>
      <c r="H71" s="60">
        <f>[7]Total!H95</f>
        <v>0</v>
      </c>
      <c r="I71" s="60">
        <f>[7]Total!I95</f>
        <v>0</v>
      </c>
      <c r="J71" s="60">
        <f>[7]Total!J95</f>
        <v>0</v>
      </c>
      <c r="K71" s="60">
        <f>[7]Total!K95</f>
        <v>9505.09</v>
      </c>
      <c r="L71" s="60">
        <f>[7]Total!L95</f>
        <v>2234.5329999999999</v>
      </c>
      <c r="M71" s="60">
        <f>[7]Total!M95</f>
        <v>0</v>
      </c>
      <c r="N71" s="48"/>
    </row>
    <row r="72" spans="2:20">
      <c r="B72" s="47" t="s">
        <v>3890</v>
      </c>
      <c r="C72" s="41" t="s">
        <v>2913</v>
      </c>
      <c r="D72" s="60">
        <f>[7]Total!D96</f>
        <v>0</v>
      </c>
      <c r="E72" s="60">
        <f>[7]Total!E96</f>
        <v>0</v>
      </c>
      <c r="F72" s="60">
        <f>[7]Total!F96</f>
        <v>0</v>
      </c>
      <c r="G72" s="60">
        <f>[7]Total!G96</f>
        <v>0</v>
      </c>
      <c r="H72" s="60">
        <f>[7]Total!H96</f>
        <v>0</v>
      </c>
      <c r="I72" s="60">
        <f>[7]Total!I96</f>
        <v>0</v>
      </c>
      <c r="J72" s="60">
        <f>[7]Total!J96</f>
        <v>53575.280000000013</v>
      </c>
      <c r="K72" s="60">
        <f>[7]Total!K96</f>
        <v>11763.864629999996</v>
      </c>
      <c r="L72" s="60">
        <f>[7]Total!L96</f>
        <v>11457.649557199999</v>
      </c>
      <c r="M72" s="58"/>
      <c r="N72" s="48"/>
    </row>
    <row r="73" spans="2:20">
      <c r="B73" s="47" t="s">
        <v>3891</v>
      </c>
      <c r="C73" s="41" t="s">
        <v>2915</v>
      </c>
      <c r="D73" s="60">
        <f>[7]Total!D97</f>
        <v>0</v>
      </c>
      <c r="E73" s="60">
        <f>[7]Total!E97</f>
        <v>0</v>
      </c>
      <c r="F73" s="60">
        <f>[7]Total!F97</f>
        <v>0</v>
      </c>
      <c r="G73" s="60">
        <f>[7]Total!G97</f>
        <v>0</v>
      </c>
      <c r="H73" s="60">
        <f>[7]Total!H97</f>
        <v>0</v>
      </c>
      <c r="I73" s="60">
        <f>[7]Total!I97</f>
        <v>130158.75632536394</v>
      </c>
      <c r="J73" s="60">
        <f>[7]Total!J97</f>
        <v>16579.362822747004</v>
      </c>
      <c r="K73" s="60">
        <f>[7]Total!K97</f>
        <v>4877.1412180883644</v>
      </c>
      <c r="L73" s="58"/>
      <c r="M73" s="58"/>
      <c r="N73" s="48"/>
    </row>
    <row r="74" spans="2:20">
      <c r="B74" s="47" t="s">
        <v>3892</v>
      </c>
      <c r="C74" s="41" t="s">
        <v>2917</v>
      </c>
      <c r="D74" s="60">
        <f>[7]Total!D98</f>
        <v>8807670.4399999976</v>
      </c>
      <c r="E74" s="60">
        <f>[7]Total!E98</f>
        <v>0</v>
      </c>
      <c r="F74" s="60">
        <f>[7]Total!F98</f>
        <v>0</v>
      </c>
      <c r="G74" s="60">
        <f>[7]Total!G98</f>
        <v>0</v>
      </c>
      <c r="H74" s="60">
        <f>[7]Total!H98</f>
        <v>1318290.8535527498</v>
      </c>
      <c r="I74" s="60">
        <f>[7]Total!I98</f>
        <v>527299.30505501386</v>
      </c>
      <c r="J74" s="60">
        <f>[7]Total!J98</f>
        <v>441479.81316230074</v>
      </c>
      <c r="K74" s="58"/>
      <c r="L74" s="58"/>
      <c r="M74" s="58"/>
      <c r="N74" s="48"/>
    </row>
    <row r="75" spans="2:20">
      <c r="B75" s="47" t="s">
        <v>3893</v>
      </c>
      <c r="C75" s="41" t="s">
        <v>2919</v>
      </c>
      <c r="D75" s="60">
        <f>[7]Total!D99</f>
        <v>16919553.260000002</v>
      </c>
      <c r="E75" s="60">
        <f>[7]Total!E99</f>
        <v>0</v>
      </c>
      <c r="F75" s="60">
        <f>[7]Total!F99</f>
        <v>0</v>
      </c>
      <c r="G75" s="60">
        <f>[7]Total!G99</f>
        <v>1130927.0871698698</v>
      </c>
      <c r="H75" s="60">
        <f>[7]Total!H99</f>
        <v>491960.3761063682</v>
      </c>
      <c r="I75" s="60">
        <f>[7]Total!I99</f>
        <v>398391.94256927248</v>
      </c>
      <c r="J75" s="58"/>
      <c r="K75" s="58"/>
      <c r="L75" s="58"/>
      <c r="M75" s="58"/>
      <c r="N75" s="48"/>
    </row>
    <row r="76" spans="2:20">
      <c r="B76" s="47" t="s">
        <v>3894</v>
      </c>
      <c r="C76" s="41" t="s">
        <v>2921</v>
      </c>
      <c r="D76" s="60">
        <f>[7]Total!D100</f>
        <v>43389322.600000001</v>
      </c>
      <c r="E76" s="60">
        <f>[7]Total!E100</f>
        <v>0</v>
      </c>
      <c r="F76" s="60">
        <f>[7]Total!F100</f>
        <v>3818921.9732271051</v>
      </c>
      <c r="G76" s="60">
        <f>[7]Total!G100</f>
        <v>1503158.7947129027</v>
      </c>
      <c r="H76" s="60">
        <f>[7]Total!H100</f>
        <v>777831.07093780325</v>
      </c>
      <c r="I76" s="58"/>
      <c r="J76" s="58"/>
      <c r="K76" s="58"/>
      <c r="L76" s="58"/>
      <c r="M76" s="58"/>
      <c r="N76" s="48"/>
    </row>
    <row r="77" spans="2:20">
      <c r="B77" s="47" t="s">
        <v>3895</v>
      </c>
      <c r="C77" s="41" t="s">
        <v>2923</v>
      </c>
      <c r="D77" s="60">
        <f>[7]Total!D101</f>
        <v>65613659.785567813</v>
      </c>
      <c r="E77" s="60">
        <f>[7]Total!E101</f>
        <v>8705245.4015707094</v>
      </c>
      <c r="F77" s="60">
        <f>[7]Total!F101</f>
        <v>12682432.073239619</v>
      </c>
      <c r="G77" s="60">
        <f>[7]Total!G101</f>
        <v>5005879.0701692067</v>
      </c>
      <c r="H77" s="58"/>
      <c r="I77" s="58"/>
      <c r="J77" s="58"/>
      <c r="K77" s="58"/>
      <c r="L77" s="58"/>
      <c r="M77" s="58"/>
      <c r="N77" s="48"/>
    </row>
    <row r="78" spans="2:20">
      <c r="B78" s="47" t="s">
        <v>3896</v>
      </c>
      <c r="C78" s="41" t="s">
        <v>2925</v>
      </c>
      <c r="D78" s="60">
        <f>[7]Total!D102</f>
        <v>41755661.363864116</v>
      </c>
      <c r="E78" s="60">
        <f>[7]Total!E102</f>
        <v>26110631.886693206</v>
      </c>
      <c r="F78" s="60">
        <f>[7]Total!F102</f>
        <v>8529659.8229691107</v>
      </c>
      <c r="G78" s="58"/>
      <c r="H78" s="58"/>
      <c r="I78" s="58"/>
      <c r="J78" s="58"/>
      <c r="K78" s="58"/>
      <c r="L78" s="58"/>
      <c r="M78" s="58"/>
      <c r="N78" s="48"/>
    </row>
    <row r="79" spans="2:20">
      <c r="B79" s="47" t="s">
        <v>3897</v>
      </c>
      <c r="C79" s="41" t="s">
        <v>2927</v>
      </c>
      <c r="D79" s="60">
        <f>[7]Total!D103</f>
        <v>42455281.620293289</v>
      </c>
      <c r="E79" s="60">
        <f>[7]Total!E103</f>
        <v>44052690.336923555</v>
      </c>
      <c r="F79" s="58"/>
      <c r="G79" s="58"/>
      <c r="H79" s="58"/>
      <c r="I79" s="58"/>
      <c r="J79" s="58"/>
      <c r="K79" s="58"/>
      <c r="L79" s="58"/>
      <c r="M79" s="58"/>
      <c r="N79" s="48"/>
    </row>
    <row r="80" spans="2:20">
      <c r="B80" s="47" t="s">
        <v>3898</v>
      </c>
      <c r="C80" s="41" t="s">
        <v>2929</v>
      </c>
      <c r="D80" s="60">
        <f>[7]Total!D104</f>
        <v>136392178.31528115</v>
      </c>
      <c r="E80" s="56"/>
      <c r="F80" s="56"/>
      <c r="G80" s="56"/>
      <c r="H80" s="56"/>
      <c r="I80" s="56"/>
      <c r="J80" s="56"/>
      <c r="K80" s="56"/>
      <c r="L80" s="56"/>
      <c r="M80" s="56"/>
      <c r="N80" s="46"/>
    </row>
    <row r="82" spans="2:20">
      <c r="S82" s="13"/>
      <c r="T82" s="13"/>
    </row>
    <row r="84" spans="2:20" ht="18.75">
      <c r="B84" s="97" t="s">
        <v>4145</v>
      </c>
      <c r="C84" s="96"/>
      <c r="D84" s="96"/>
      <c r="E84" s="96"/>
      <c r="F84" s="96"/>
      <c r="G84" s="96"/>
      <c r="H84" s="96"/>
      <c r="I84" s="96"/>
      <c r="J84" s="96"/>
      <c r="K84" s="96"/>
      <c r="L84" s="96"/>
    </row>
    <row r="86" spans="2:20">
      <c r="B86" t="s">
        <v>3110</v>
      </c>
      <c r="S86" s="13"/>
      <c r="T86" s="13"/>
    </row>
    <row r="87" spans="2:20">
      <c r="B87" t="s">
        <v>3111</v>
      </c>
    </row>
    <row r="88" spans="2:20" ht="30">
      <c r="B88" s="40" t="s">
        <v>3868</v>
      </c>
      <c r="C88" s="53" t="s">
        <v>3115</v>
      </c>
      <c r="D88" s="51" t="str">
        <f>D62</f>
        <v>Underwriting year [UWY]</v>
      </c>
    </row>
    <row r="89" spans="2:20">
      <c r="S89" s="13"/>
      <c r="T89" s="13"/>
    </row>
    <row r="91" spans="2:20">
      <c r="D91" s="98" t="s">
        <v>2877</v>
      </c>
    </row>
    <row r="92" spans="2:20">
      <c r="D92" s="100"/>
    </row>
    <row r="93" spans="2:20" ht="45">
      <c r="D93" s="55" t="s">
        <v>3953</v>
      </c>
    </row>
    <row r="94" spans="2:20">
      <c r="D94" s="45" t="s">
        <v>3622</v>
      </c>
      <c r="S94" s="13"/>
      <c r="T94" s="13"/>
    </row>
    <row r="95" spans="2:20">
      <c r="B95" s="43" t="s">
        <v>2880</v>
      </c>
      <c r="C95" s="44" t="s">
        <v>2878</v>
      </c>
      <c r="D95" s="46"/>
    </row>
    <row r="96" spans="2:20">
      <c r="B96" s="47" t="s">
        <v>3947</v>
      </c>
      <c r="C96" s="41" t="s">
        <v>2899</v>
      </c>
      <c r="D96" s="60">
        <f>SUM([7]Total!$D$123:$D$128)</f>
        <v>0</v>
      </c>
    </row>
    <row r="97" spans="2:20">
      <c r="B97" s="47" t="s">
        <v>3889</v>
      </c>
      <c r="C97" s="41" t="s">
        <v>2911</v>
      </c>
      <c r="D97" s="60">
        <f>[7]Total!D129</f>
        <v>0</v>
      </c>
    </row>
    <row r="98" spans="2:20">
      <c r="B98" s="47" t="s">
        <v>3890</v>
      </c>
      <c r="C98" s="41" t="s">
        <v>2913</v>
      </c>
      <c r="D98" s="60">
        <f>[7]Total!D130</f>
        <v>11385.338736768623</v>
      </c>
    </row>
    <row r="99" spans="2:20">
      <c r="B99" s="47" t="s">
        <v>3891</v>
      </c>
      <c r="C99" s="41" t="s">
        <v>2915</v>
      </c>
      <c r="D99" s="60">
        <f>[7]Total!D131</f>
        <v>4831.3216679008374</v>
      </c>
    </row>
    <row r="100" spans="2:20">
      <c r="B100" s="47" t="s">
        <v>3892</v>
      </c>
      <c r="C100" s="41" t="s">
        <v>2917</v>
      </c>
      <c r="D100" s="60">
        <f>[7]Total!D132</f>
        <v>436668.04239564837</v>
      </c>
    </row>
    <row r="101" spans="2:20">
      <c r="B101" s="47" t="s">
        <v>3893</v>
      </c>
      <c r="C101" s="41" t="s">
        <v>2919</v>
      </c>
      <c r="D101" s="60">
        <f>[7]Total!D133</f>
        <v>394123.20977270685</v>
      </c>
    </row>
    <row r="102" spans="2:20">
      <c r="B102" s="47" t="s">
        <v>3894</v>
      </c>
      <c r="C102" s="41" t="s">
        <v>2921</v>
      </c>
      <c r="D102" s="60">
        <f>[7]Total!D134</f>
        <v>765714.75615904911</v>
      </c>
    </row>
    <row r="103" spans="2:20">
      <c r="B103" s="47" t="s">
        <v>3895</v>
      </c>
      <c r="C103" s="41" t="s">
        <v>2923</v>
      </c>
      <c r="D103" s="60">
        <f>[7]Total!D135</f>
        <v>4904195.8554218076</v>
      </c>
    </row>
    <row r="104" spans="2:20">
      <c r="B104" s="47" t="s">
        <v>3896</v>
      </c>
      <c r="C104" s="41" t="s">
        <v>2925</v>
      </c>
      <c r="D104" s="60">
        <f>[7]Total!D136</f>
        <v>8343889.1532494053</v>
      </c>
    </row>
    <row r="105" spans="2:20">
      <c r="B105" s="47" t="s">
        <v>3897</v>
      </c>
      <c r="C105" s="41" t="s">
        <v>2927</v>
      </c>
      <c r="D105" s="60">
        <f>[7]Total!D137</f>
        <v>40272160.165307306</v>
      </c>
    </row>
    <row r="106" spans="2:20">
      <c r="B106" s="47" t="s">
        <v>3898</v>
      </c>
      <c r="C106" s="41" t="s">
        <v>2929</v>
      </c>
      <c r="D106" s="60">
        <f>[7]Total!D138</f>
        <v>129962381.40465194</v>
      </c>
    </row>
    <row r="107" spans="2:20">
      <c r="B107" s="47" t="s">
        <v>3480</v>
      </c>
      <c r="C107" s="41" t="s">
        <v>2931</v>
      </c>
      <c r="D107" s="60">
        <f>[7]Total!D139</f>
        <v>185095349.24736255</v>
      </c>
    </row>
    <row r="109" spans="2:20">
      <c r="S109" s="13"/>
      <c r="T109" s="13"/>
    </row>
  </sheetData>
  <mergeCells count="9">
    <mergeCell ref="D65:N66"/>
    <mergeCell ref="B84:L84"/>
    <mergeCell ref="D91:D92"/>
    <mergeCell ref="B2:O2"/>
    <mergeCell ref="B5:L5"/>
    <mergeCell ref="D12:N13"/>
    <mergeCell ref="B31:L31"/>
    <mergeCell ref="D38:E39"/>
    <mergeCell ref="B58:L58"/>
  </mergeCells>
  <dataValidations count="1">
    <dataValidation type="list" errorStyle="warning" allowBlank="1" showInputMessage="1" showErrorMessage="1" sqref="D9 D35 D62 D88" xr:uid="{2D4D7E92-52A2-4B87-A2C2-CB82A976FCCA}">
      <formula1>hier_AM_8</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8A0B466E8E5A4AB96EAD80C1B4269A" ma:contentTypeVersion="5" ma:contentTypeDescription="Create a new document." ma:contentTypeScope="" ma:versionID="da2916899fdf22f6b303c5f95dded925">
  <xsd:schema xmlns:xsd="http://www.w3.org/2001/XMLSchema" xmlns:xs="http://www.w3.org/2001/XMLSchema" xmlns:p="http://schemas.microsoft.com/office/2006/metadata/properties" xmlns:ns2="65e8b907-d3d8-42c7-811f-435a6ce1ae2c" xmlns:ns3="049037a6-1c0f-49a5-bbfd-9f6f1d5ce57d" targetNamespace="http://schemas.microsoft.com/office/2006/metadata/properties" ma:root="true" ma:fieldsID="bd22aed794a497dfd8a6eb7139450592" ns2:_="" ns3:_="">
    <xsd:import namespace="65e8b907-d3d8-42c7-811f-435a6ce1ae2c"/>
    <xsd:import namespace="049037a6-1c0f-49a5-bbfd-9f6f1d5ce57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e8b907-d3d8-42c7-811f-435a6ce1ae2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49037a6-1c0f-49a5-bbfd-9f6f1d5ce57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5e8b907-d3d8-42c7-811f-435a6ce1ae2c">FHKD3DEXVTAK-1030786038-165</_dlc_DocId>
    <_dlc_DocIdUrl xmlns="65e8b907-d3d8-42c7-811f-435a6ce1ae2c">
      <Url>https://ageas.sharepoint.com/sites/sfcrandrsrgroup_ageas_teams/_layouts/15/DocIdRedir.aspx?ID=FHKD3DEXVTAK-1030786038-165</Url>
      <Description>FHKD3DEXVTAK-1030786038-165</Description>
    </_dlc_DocIdUrl>
  </documentManagement>
</p:properties>
</file>

<file path=customXml/itemProps1.xml><?xml version="1.0" encoding="utf-8"?>
<ds:datastoreItem xmlns:ds="http://schemas.openxmlformats.org/officeDocument/2006/customXml" ds:itemID="{6C69ECBD-E099-44E6-843F-29C03E2F3F5C}"/>
</file>

<file path=customXml/itemProps2.xml><?xml version="1.0" encoding="utf-8"?>
<ds:datastoreItem xmlns:ds="http://schemas.openxmlformats.org/officeDocument/2006/customXml" ds:itemID="{107DB583-25B0-46D8-87D4-5D77BCFC50B3}"/>
</file>

<file path=customXml/itemProps3.xml><?xml version="1.0" encoding="utf-8"?>
<ds:datastoreItem xmlns:ds="http://schemas.openxmlformats.org/officeDocument/2006/customXml" ds:itemID="{1ACB8644-92F8-467D-B383-BE644BF702A1}"/>
</file>

<file path=customXml/itemProps4.xml><?xml version="1.0" encoding="utf-8"?>
<ds:datastoreItem xmlns:ds="http://schemas.openxmlformats.org/officeDocument/2006/customXml" ds:itemID="{7ADD681C-1DA2-4B21-9430-7C8D5C18BE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511</vt:i4>
      </vt:variant>
    </vt:vector>
  </HeadingPairs>
  <TitlesOfParts>
    <vt:vector size="713" baseType="lpstr">
      <vt:lpstr>General data</vt:lpstr>
      <vt:lpstr>XBRL Errors</vt:lpstr>
      <vt:lpstr>Index</vt:lpstr>
      <vt:lpstr>Show</vt:lpstr>
      <vt:lpstr>Hierarchies</vt:lpstr>
      <vt:lpstr>S.01.01.01</vt:lpstr>
      <vt:lpstr>S.01.01.02</vt:lpstr>
      <vt:lpstr>S.01.01.04</vt:lpstr>
      <vt:lpstr>S.01.01.05</vt:lpstr>
      <vt:lpstr>S.01.01.07</vt:lpstr>
      <vt:lpstr>S.01.01.08</vt:lpstr>
      <vt:lpstr>S.01.01.10</vt:lpstr>
      <vt:lpstr>S.01.01.11</vt:lpstr>
      <vt:lpstr>S.01.01.12</vt:lpstr>
      <vt:lpstr>S.01.01.13</vt:lpstr>
      <vt:lpstr>S.01.01.14</vt:lpstr>
      <vt:lpstr>S.01.01.15</vt:lpstr>
      <vt:lpstr>SR.01.01.01</vt:lpstr>
      <vt:lpstr>SR.01.01.04</vt:lpstr>
      <vt:lpstr>SR.01.01.07</vt:lpstr>
      <vt:lpstr>SE.01.01.16</vt:lpstr>
      <vt:lpstr>SE.01.01.17</vt:lpstr>
      <vt:lpstr>SE.01.01.18</vt:lpstr>
      <vt:lpstr>SE.01.01.19</vt:lpstr>
      <vt:lpstr>S.01.02.01</vt:lpstr>
      <vt:lpstr>S.01.02.04</vt:lpstr>
      <vt:lpstr>S.01.02.07</vt:lpstr>
      <vt:lpstr>S.01.03.01</vt:lpstr>
      <vt:lpstr>S.01.03.04</vt:lpstr>
      <vt:lpstr>S.02.01.01</vt:lpstr>
      <vt:lpstr>S.02.01.02</vt:lpstr>
      <vt:lpstr>S.02.01.07</vt:lpstr>
      <vt:lpstr>S.02.01.08</vt:lpstr>
      <vt:lpstr>SR.02.01.01</vt:lpstr>
      <vt:lpstr>SR.02.01.07</vt:lpstr>
      <vt:lpstr>SE.02.01.16</vt:lpstr>
      <vt:lpstr>SE.02.01.17</vt:lpstr>
      <vt:lpstr>SE.02.01.18</vt:lpstr>
      <vt:lpstr>SE.02.01.19</vt:lpstr>
      <vt:lpstr>S.02.02.01</vt:lpstr>
      <vt:lpstr>S.02.03.07</vt:lpstr>
      <vt:lpstr>S.03.01.01</vt:lpstr>
      <vt:lpstr>S.03.01.04</vt:lpstr>
      <vt:lpstr>S.03.02.01</vt:lpstr>
      <vt:lpstr>S.03.02.04</vt:lpstr>
      <vt:lpstr>S.03.03.01</vt:lpstr>
      <vt:lpstr>S.03.03.04</vt:lpstr>
      <vt:lpstr>S.04.01.01</vt:lpstr>
      <vt:lpstr>S.04.02.01</vt:lpstr>
      <vt:lpstr>S.05.01.01</vt:lpstr>
      <vt:lpstr>S.05.01.02</vt:lpstr>
      <vt:lpstr>S.05.01.13</vt:lpstr>
      <vt:lpstr>S.05.02.01</vt:lpstr>
      <vt:lpstr>S.06.01.01</vt:lpstr>
      <vt:lpstr>S.06.02.01</vt:lpstr>
      <vt:lpstr>S.06.02.04</vt:lpstr>
      <vt:lpstr>S.06.02.07</vt:lpstr>
      <vt:lpstr>SE.06.02.16</vt:lpstr>
      <vt:lpstr>SE.06.02.18</vt:lpstr>
      <vt:lpstr>S.06.03.01</vt:lpstr>
      <vt:lpstr>S.06.03.04</vt:lpstr>
      <vt:lpstr>S.07.01.01</vt:lpstr>
      <vt:lpstr>S.07.01.04</vt:lpstr>
      <vt:lpstr>S.08.01.01</vt:lpstr>
      <vt:lpstr>S.08.01.04</vt:lpstr>
      <vt:lpstr>S.08.02.01</vt:lpstr>
      <vt:lpstr>S.08.02.04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S.14.01.10</vt:lpstr>
      <vt:lpstr>S.15.01.01</vt:lpstr>
      <vt:lpstr>S.15.01.04</vt:lpstr>
      <vt:lpstr>S.15.02.01</vt:lpstr>
      <vt:lpstr>S.15.02.04</vt:lpstr>
      <vt:lpstr>S.16.01.01</vt:lpstr>
      <vt:lpstr>S.17.01.01</vt:lpstr>
      <vt:lpstr>S.17.01.02</vt:lpstr>
      <vt:lpstr>SR.17.01.01</vt:lpstr>
      <vt:lpstr>S.17.02.01</vt:lpstr>
      <vt:lpstr>S.18.01.01</vt:lpstr>
      <vt:lpstr>S.19.01.01</vt:lpstr>
      <vt:lpstr>S.19.01.21 AY</vt:lpstr>
      <vt:lpstr>S.20.01.01</vt:lpstr>
      <vt:lpstr>S.21.01.01</vt:lpstr>
      <vt:lpstr>S.21.02.01</vt:lpstr>
      <vt:lpstr>S.21.03.01</vt:lpstr>
      <vt:lpstr>S.22.01.01</vt:lpstr>
      <vt:lpstr>S.22.01.04</vt:lpstr>
      <vt:lpstr>S.19.01.21 UWY</vt:lpstr>
      <vt:lpstr>S.22.01.21</vt:lpstr>
      <vt:lpstr>S.22.01.22</vt:lpstr>
      <vt:lpstr>SR.22.02.01</vt:lpstr>
      <vt:lpstr>SR.22.03.01</vt:lpstr>
      <vt:lpstr>S.22.04.01</vt:lpstr>
      <vt:lpstr>S.22.05.01</vt:lpstr>
      <vt:lpstr>S.22.06.01</vt:lpstr>
      <vt:lpstr>S.23.01.01</vt:lpstr>
      <vt:lpstr>S.23.01.04</vt:lpstr>
      <vt:lpstr>S.23.01.07</vt:lpstr>
      <vt:lpstr>S.23.01.13</vt:lpstr>
      <vt:lpstr>S.23.01.22</vt:lpstr>
      <vt:lpstr>S.23.02.01</vt:lpstr>
      <vt:lpstr>S.23.02.04</vt:lpstr>
      <vt:lpstr>S.23.03.01</vt:lpstr>
      <vt:lpstr>S.23.03.04</vt:lpstr>
      <vt:lpstr>S.23.03.07</vt:lpstr>
      <vt:lpstr>S.23.04.01</vt:lpstr>
      <vt:lpstr>S.23.04.04</vt:lpstr>
      <vt:lpstr>S.24.01.01</vt:lpstr>
      <vt:lpstr>S.25.01.01</vt:lpstr>
      <vt:lpstr>S.25.01.04</vt:lpstr>
      <vt:lpstr>S.25.01.21</vt:lpstr>
      <vt:lpstr>S.25.01.22</vt:lpstr>
      <vt:lpstr>SR.25.01.01</vt:lpstr>
      <vt:lpstr>SR.25.01.04</vt:lpstr>
      <vt:lpstr>S.25.02.01</vt:lpstr>
      <vt:lpstr>S.25.02.04</vt:lpstr>
      <vt:lpstr>S.25.02.21</vt:lpstr>
      <vt:lpstr>S.25.02.22</vt:lpstr>
      <vt:lpstr>SR.25.02.01</vt:lpstr>
      <vt:lpstr>SR.25.02.04</vt:lpstr>
      <vt:lpstr>S.25.03.01</vt:lpstr>
      <vt:lpstr>S.25.03.04</vt:lpstr>
      <vt:lpstr>S.25.03.21</vt:lpstr>
      <vt:lpstr>S.25.03.22</vt:lpstr>
      <vt:lpstr>SR.25.03.01</vt:lpstr>
      <vt:lpstr>SR.25.03.04</vt:lpstr>
      <vt:lpstr>S.25.04.11</vt:lpstr>
      <vt:lpstr>S.25.04.13</vt:lpstr>
      <vt:lpstr>S.26.01.01</vt:lpstr>
      <vt:lpstr>S.26.01.04</vt:lpstr>
      <vt:lpstr>SR.26.01.01</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S.27.01.01</vt:lpstr>
      <vt:lpstr>S.27.01.04</vt:lpstr>
      <vt:lpstr>SR.27.01.01</vt:lpstr>
      <vt:lpstr>S.28.01.01</vt:lpstr>
      <vt:lpstr>S.28.02.01</vt:lpstr>
      <vt:lpstr>S.29.01.01</vt:lpstr>
      <vt:lpstr>S.29.01.07</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S.36.03.01</vt:lpstr>
      <vt:lpstr>S.36.04.01</vt:lpstr>
      <vt:lpstr>S.37.01.04</vt:lpstr>
      <vt:lpstr>S.38.01.10</vt:lpstr>
      <vt:lpstr>S.39.01.11</vt:lpstr>
      <vt:lpstr>S.40.01.10</vt:lpstr>
      <vt:lpstr>S.41.01.11</vt:lpstr>
      <vt:lpstr>E.01.01.16</vt:lpstr>
      <vt:lpstr>E.02.01.16</vt:lpstr>
      <vt:lpstr>E.03.01.16</vt:lpstr>
      <vt:lpstr>SPV.01.01.20</vt:lpstr>
      <vt:lpstr>SPV.01.02.20</vt:lpstr>
      <vt:lpstr>SPV.02.01.20</vt:lpstr>
      <vt:lpstr>SPV.02.02.20</vt:lpstr>
      <vt:lpstr>SPV.03.01.20</vt:lpstr>
      <vt:lpstr>SPV.03.02.20</vt:lpstr>
      <vt:lpstr>T.99.01.01</vt:lpstr>
      <vt:lpstr>'General data'!Currencies</vt:lpstr>
      <vt:lpstr>dr_x_0</vt:lpstr>
      <vt:lpstr>dr_x_1</vt:lpstr>
      <vt:lpstr>dr_x_10</vt:lpstr>
      <vt:lpstr>dr_x_100</vt:lpstr>
      <vt:lpstr>dr_x_101</vt:lpstr>
      <vt:lpstr>dr_x_102</vt:lpstr>
      <vt:lpstr>dr_x_103</vt:lpstr>
      <vt:lpstr>dr_x_104</vt:lpstr>
      <vt:lpstr>dr_x_105</vt:lpstr>
      <vt:lpstr>dr_x_106</vt:lpstr>
      <vt:lpstr>dr_x_107</vt:lpstr>
      <vt:lpstr>dr_x_108</vt:lpstr>
      <vt:lpstr>dr_x_109</vt:lpstr>
      <vt:lpstr>dr_x_11</vt:lpstr>
      <vt:lpstr>dr_x_110</vt:lpstr>
      <vt:lpstr>dr_x_111</vt:lpstr>
      <vt:lpstr>dr_x_113</vt:lpstr>
      <vt:lpstr>dr_x_115</vt:lpstr>
      <vt:lpstr>dr_x_116</vt:lpstr>
      <vt:lpstr>dr_x_117</vt:lpstr>
      <vt:lpstr>dr_x_118</vt:lpstr>
      <vt:lpstr>dr_x_119</vt:lpstr>
      <vt:lpstr>dr_x_12</vt:lpstr>
      <vt:lpstr>dr_x_120</vt:lpstr>
      <vt:lpstr>dr_x_121</vt:lpstr>
      <vt:lpstr>dr_x_122</vt:lpstr>
      <vt:lpstr>dr_x_123</vt:lpstr>
      <vt:lpstr>dr_x_124</vt:lpstr>
      <vt:lpstr>dr_x_125</vt:lpstr>
      <vt:lpstr>dr_x_126</vt:lpstr>
      <vt:lpstr>dr_x_127</vt:lpstr>
      <vt:lpstr>dr_x_128</vt:lpstr>
      <vt:lpstr>dr_x_129</vt:lpstr>
      <vt:lpstr>dr_x_13</vt:lpstr>
      <vt:lpstr>dr_x_130</vt:lpstr>
      <vt:lpstr>dr_x_131</vt:lpstr>
      <vt:lpstr>dr_x_132</vt:lpstr>
      <vt:lpstr>dr_x_133</vt:lpstr>
      <vt:lpstr>dr_x_134</vt:lpstr>
      <vt:lpstr>dr_x_135</vt:lpstr>
      <vt:lpstr>dr_x_136</vt:lpstr>
      <vt:lpstr>dr_x_137</vt:lpstr>
      <vt:lpstr>dr_x_138</vt:lpstr>
      <vt:lpstr>dr_x_139</vt:lpstr>
      <vt:lpstr>dr_x_14</vt:lpstr>
      <vt:lpstr>dr_x_140</vt:lpstr>
      <vt:lpstr>dr_x_141</vt:lpstr>
      <vt:lpstr>dr_x_142</vt:lpstr>
      <vt:lpstr>dr_x_143</vt:lpstr>
      <vt:lpstr>dr_x_144</vt:lpstr>
      <vt:lpstr>dr_x_145</vt:lpstr>
      <vt:lpstr>dr_x_146</vt:lpstr>
      <vt:lpstr>dr_x_147</vt:lpstr>
      <vt:lpstr>dr_x_148</vt:lpstr>
      <vt:lpstr>dr_x_149</vt:lpstr>
      <vt:lpstr>dr_x_150</vt:lpstr>
      <vt:lpstr>dr_x_151</vt:lpstr>
      <vt:lpstr>dr_x_152</vt:lpstr>
      <vt:lpstr>dr_x_153</vt:lpstr>
      <vt:lpstr>dr_x_154</vt:lpstr>
      <vt:lpstr>dr_x_155</vt:lpstr>
      <vt:lpstr>dr_x_156</vt:lpstr>
      <vt:lpstr>dr_x_157</vt:lpstr>
      <vt:lpstr>dr_x_158</vt:lpstr>
      <vt:lpstr>dr_x_159</vt:lpstr>
      <vt:lpstr>dr_x_160</vt:lpstr>
      <vt:lpstr>dr_x_161</vt:lpstr>
      <vt:lpstr>dr_x_162</vt:lpstr>
      <vt:lpstr>dr_x_163</vt:lpstr>
      <vt:lpstr>dr_x_164</vt:lpstr>
      <vt:lpstr>dr_x_165</vt:lpstr>
      <vt:lpstr>dr_x_166</vt:lpstr>
      <vt:lpstr>dr_x_167</vt:lpstr>
      <vt:lpstr>dr_x_168</vt:lpstr>
      <vt:lpstr>dr_x_169</vt:lpstr>
      <vt:lpstr>dr_x_170</vt:lpstr>
      <vt:lpstr>dr_x_171</vt:lpstr>
      <vt:lpstr>dr_x_172</vt:lpstr>
      <vt:lpstr>dr_x_173</vt:lpstr>
      <vt:lpstr>dr_x_174</vt:lpstr>
      <vt:lpstr>dr_x_175</vt:lpstr>
      <vt:lpstr>dr_x_176</vt:lpstr>
      <vt:lpstr>dr_x_177</vt:lpstr>
      <vt:lpstr>dr_x_178</vt:lpstr>
      <vt:lpstr>dr_x_179</vt:lpstr>
      <vt:lpstr>dr_x_180</vt:lpstr>
      <vt:lpstr>dr_x_181</vt:lpstr>
      <vt:lpstr>dr_x_182</vt:lpstr>
      <vt:lpstr>dr_x_183</vt:lpstr>
      <vt:lpstr>dr_x_184</vt:lpstr>
      <vt:lpstr>dr_x_185</vt:lpstr>
      <vt:lpstr>dr_x_186</vt:lpstr>
      <vt:lpstr>dr_x_187</vt:lpstr>
      <vt:lpstr>dr_x_188</vt:lpstr>
      <vt:lpstr>dr_x_189</vt:lpstr>
      <vt:lpstr>dr_x_190</vt:lpstr>
      <vt:lpstr>dr_x_191</vt:lpstr>
      <vt:lpstr>dr_x_192</vt:lpstr>
      <vt:lpstr>dr_x_193</vt:lpstr>
      <vt:lpstr>dr_x_194</vt:lpstr>
      <vt:lpstr>dr_x_195</vt:lpstr>
      <vt:lpstr>dr_x_196</vt:lpstr>
      <vt:lpstr>dr_x_197</vt:lpstr>
      <vt:lpstr>dr_x_198</vt:lpstr>
      <vt:lpstr>dr_x_199</vt:lpstr>
      <vt:lpstr>dr_x_2</vt:lpstr>
      <vt:lpstr>dr_x_200</vt:lpstr>
      <vt:lpstr>dr_x_201</vt:lpstr>
      <vt:lpstr>dr_x_202</vt:lpstr>
      <vt:lpstr>dr_x_203</vt:lpstr>
      <vt:lpstr>dr_x_204</vt:lpstr>
      <vt:lpstr>dr_x_205</vt:lpstr>
      <vt:lpstr>dr_x_206</vt:lpstr>
      <vt:lpstr>dr_x_207</vt:lpstr>
      <vt:lpstr>dr_x_208</vt:lpstr>
      <vt:lpstr>dr_x_209</vt:lpstr>
      <vt:lpstr>dr_x_210</vt:lpstr>
      <vt:lpstr>dr_x_211</vt:lpstr>
      <vt:lpstr>dr_x_212</vt:lpstr>
      <vt:lpstr>dr_x_213</vt:lpstr>
      <vt:lpstr>dr_x_214</vt:lpstr>
      <vt:lpstr>dr_x_215</vt:lpstr>
      <vt:lpstr>dr_x_216</vt:lpstr>
      <vt:lpstr>dr_x_217</vt:lpstr>
      <vt:lpstr>dr_x_218</vt:lpstr>
      <vt:lpstr>dr_x_219</vt:lpstr>
      <vt:lpstr>dr_x_220</vt:lpstr>
      <vt:lpstr>dr_x_221</vt:lpstr>
      <vt:lpstr>dr_x_222</vt:lpstr>
      <vt:lpstr>dr_x_223</vt:lpstr>
      <vt:lpstr>dr_x_224</vt:lpstr>
      <vt:lpstr>dr_x_225</vt:lpstr>
      <vt:lpstr>dr_x_226</vt:lpstr>
      <vt:lpstr>dr_x_227</vt:lpstr>
      <vt:lpstr>dr_x_228</vt:lpstr>
      <vt:lpstr>dr_x_229</vt:lpstr>
      <vt:lpstr>dr_x_23</vt:lpstr>
      <vt:lpstr>dr_x_230</vt:lpstr>
      <vt:lpstr>dr_x_231</vt:lpstr>
      <vt:lpstr>dr_x_232</vt:lpstr>
      <vt:lpstr>dr_x_233</vt:lpstr>
      <vt:lpstr>dr_x_234</vt:lpstr>
      <vt:lpstr>dr_x_235</vt:lpstr>
      <vt:lpstr>dr_x_236</vt:lpstr>
      <vt:lpstr>dr_x_237</vt:lpstr>
      <vt:lpstr>dr_x_238</vt:lpstr>
      <vt:lpstr>dr_x_239</vt:lpstr>
      <vt:lpstr>dr_x_24</vt:lpstr>
      <vt:lpstr>dr_x_240</vt:lpstr>
      <vt:lpstr>dr_x_241</vt:lpstr>
      <vt:lpstr>dr_x_242</vt:lpstr>
      <vt:lpstr>dr_x_243</vt:lpstr>
      <vt:lpstr>dr_x_244</vt:lpstr>
      <vt:lpstr>dr_x_245</vt:lpstr>
      <vt:lpstr>dr_x_246</vt:lpstr>
      <vt:lpstr>dr_x_247</vt:lpstr>
      <vt:lpstr>dr_x_248</vt:lpstr>
      <vt:lpstr>dr_x_25</vt:lpstr>
      <vt:lpstr>dr_x_26</vt:lpstr>
      <vt:lpstr>dr_x_27</vt:lpstr>
      <vt:lpstr>dr_x_28</vt:lpstr>
      <vt:lpstr>dr_x_29</vt:lpstr>
      <vt:lpstr>dr_x_3</vt:lpstr>
      <vt:lpstr>dr_x_30</vt:lpstr>
      <vt:lpstr>dr_x_31</vt:lpstr>
      <vt:lpstr>dr_x_32</vt:lpstr>
      <vt:lpstr>dr_x_33</vt:lpstr>
      <vt:lpstr>dr_x_34</vt:lpstr>
      <vt:lpstr>dr_x_35</vt:lpstr>
      <vt:lpstr>dr_x_36</vt:lpstr>
      <vt:lpstr>dr_x_37</vt:lpstr>
      <vt:lpstr>dr_x_38</vt:lpstr>
      <vt:lpstr>dr_x_39</vt:lpstr>
      <vt:lpstr>dr_x_4</vt:lpstr>
      <vt:lpstr>dr_x_40</vt:lpstr>
      <vt:lpstr>dr_x_41</vt:lpstr>
      <vt:lpstr>dr_x_42</vt:lpstr>
      <vt:lpstr>dr_x_43</vt:lpstr>
      <vt:lpstr>dr_x_44</vt:lpstr>
      <vt:lpstr>dr_x_45</vt:lpstr>
      <vt:lpstr>dr_x_46</vt:lpstr>
      <vt:lpstr>dr_x_47</vt:lpstr>
      <vt:lpstr>dr_x_48</vt:lpstr>
      <vt:lpstr>dr_x_49</vt:lpstr>
      <vt:lpstr>dr_x_5</vt:lpstr>
      <vt:lpstr>dr_x_50</vt:lpstr>
      <vt:lpstr>dr_x_51</vt:lpstr>
      <vt:lpstr>dr_x_52</vt:lpstr>
      <vt:lpstr>dr_x_53</vt:lpstr>
      <vt:lpstr>dr_x_54</vt:lpstr>
      <vt:lpstr>dr_x_55</vt:lpstr>
      <vt:lpstr>dr_x_56</vt:lpstr>
      <vt:lpstr>dr_x_57</vt:lpstr>
      <vt:lpstr>dr_x_58</vt:lpstr>
      <vt:lpstr>dr_x_59</vt:lpstr>
      <vt:lpstr>dr_x_6</vt:lpstr>
      <vt:lpstr>dr_x_60</vt:lpstr>
      <vt:lpstr>dr_x_61</vt:lpstr>
      <vt:lpstr>dr_x_62</vt:lpstr>
      <vt:lpstr>dr_x_63</vt:lpstr>
      <vt:lpstr>dr_x_64</vt:lpstr>
      <vt:lpstr>dr_x_65</vt:lpstr>
      <vt:lpstr>dr_x_66</vt:lpstr>
      <vt:lpstr>dr_x_67</vt:lpstr>
      <vt:lpstr>dr_x_68</vt:lpstr>
      <vt:lpstr>dr_x_69</vt:lpstr>
      <vt:lpstr>dr_x_7</vt:lpstr>
      <vt:lpstr>dr_x_70</vt:lpstr>
      <vt:lpstr>dr_x_71</vt:lpstr>
      <vt:lpstr>dr_x_72</vt:lpstr>
      <vt:lpstr>dr_x_73</vt:lpstr>
      <vt:lpstr>dr_x_74</vt:lpstr>
      <vt:lpstr>dr_x_75</vt:lpstr>
      <vt:lpstr>dr_x_76</vt:lpstr>
      <vt:lpstr>dr_x_77</vt:lpstr>
      <vt:lpstr>dr_x_78</vt:lpstr>
      <vt:lpstr>dr_x_79</vt:lpstr>
      <vt:lpstr>dr_x_80</vt:lpstr>
      <vt:lpstr>dr_x_81</vt:lpstr>
      <vt:lpstr>dr_x_82</vt:lpstr>
      <vt:lpstr>dr_x_83</vt:lpstr>
      <vt:lpstr>dr_x_84</vt:lpstr>
      <vt:lpstr>dr_x_85</vt:lpstr>
      <vt:lpstr>dr_x_86</vt:lpstr>
      <vt:lpstr>dr_x_87</vt:lpstr>
      <vt:lpstr>dr_x_88</vt:lpstr>
      <vt:lpstr>dr_x_89</vt:lpstr>
      <vt:lpstr>dr_x_9</vt:lpstr>
      <vt:lpstr>dr_x_90</vt:lpstr>
      <vt:lpstr>dr_x_91</vt:lpstr>
      <vt:lpstr>dr_x_92</vt:lpstr>
      <vt:lpstr>dr_x_93</vt:lpstr>
      <vt:lpstr>dr_x_94</vt:lpstr>
      <vt:lpstr>dr_x_95</vt:lpstr>
      <vt:lpstr>dr_x_96</vt:lpstr>
      <vt:lpstr>dr_x_97</vt:lpstr>
      <vt:lpstr>dr_x_98</vt:lpstr>
      <vt:lpstr>dr_x_99</vt:lpstr>
      <vt:lpstr>dr_y_112</vt:lpstr>
      <vt:lpstr>dr_y_114</vt:lpstr>
      <vt:lpstr>dr_y_15</vt:lpstr>
      <vt:lpstr>dr_y_16</vt:lpstr>
      <vt:lpstr>dr_y_17</vt:lpstr>
      <vt:lpstr>dr_y_18</vt:lpstr>
      <vt:lpstr>dr_y_19</vt:lpstr>
      <vt:lpstr>dr_y_20</vt:lpstr>
      <vt:lpstr>dr_y_21</vt:lpstr>
      <vt:lpstr>dr_y_22</vt:lpstr>
      <vt:lpstr>dr_y_8</vt:lpstr>
      <vt:lpstr>hier_AM_11</vt:lpstr>
      <vt:lpstr>hier_AM_6</vt:lpstr>
      <vt:lpstr>hier_AM_7</vt:lpstr>
      <vt:lpstr>hier_AM_8</vt:lpstr>
      <vt:lpstr>hier_AO_1</vt:lpstr>
      <vt:lpstr>hier_AO_2</vt:lpstr>
      <vt:lpstr>hier_AP_11</vt:lpstr>
      <vt:lpstr>hier_AP_12</vt:lpstr>
      <vt:lpstr>hier_AP_13</vt:lpstr>
      <vt:lpstr>hier_AP_14</vt:lpstr>
      <vt:lpstr>hier_AP_15</vt:lpstr>
      <vt:lpstr>hier_AP_16</vt:lpstr>
      <vt:lpstr>hier_AP_17</vt:lpstr>
      <vt:lpstr>hier_AP_18</vt:lpstr>
      <vt:lpstr>hier_AP_23</vt:lpstr>
      <vt:lpstr>hier_AP_24</vt:lpstr>
      <vt:lpstr>hier_AP_25</vt:lpstr>
      <vt:lpstr>hier_AP_26</vt:lpstr>
      <vt:lpstr>hier_AP_27</vt:lpstr>
      <vt:lpstr>hier_AP_28</vt:lpstr>
      <vt:lpstr>hier_AP_3</vt:lpstr>
      <vt:lpstr>hier_AP_4</vt:lpstr>
      <vt:lpstr>hier_AP_5</vt:lpstr>
      <vt:lpstr>hier_AP_6</vt:lpstr>
      <vt:lpstr>hier_AP_7</vt:lpstr>
      <vt:lpstr>hier_AP_8</vt:lpstr>
      <vt:lpstr>hier_AP_9</vt:lpstr>
      <vt:lpstr>hier_BR_3</vt:lpstr>
      <vt:lpstr>hier_BR_4</vt:lpstr>
      <vt:lpstr>hier_CA_1</vt:lpstr>
      <vt:lpstr>hier_CG_11</vt:lpstr>
      <vt:lpstr>hier_CG_2</vt:lpstr>
      <vt:lpstr>hier_CG_5</vt:lpstr>
      <vt:lpstr>hier_CG_7</vt:lpstr>
      <vt:lpstr>hier_CG_9</vt:lpstr>
      <vt:lpstr>hier_CN_1</vt:lpstr>
      <vt:lpstr>hier_CN_100</vt:lpstr>
      <vt:lpstr>hier_CN_101</vt:lpstr>
      <vt:lpstr>hier_CN_102</vt:lpstr>
      <vt:lpstr>hier_CN_103</vt:lpstr>
      <vt:lpstr>hier_CN_104</vt:lpstr>
      <vt:lpstr>hier_CN_106</vt:lpstr>
      <vt:lpstr>hier_CN_108</vt:lpstr>
      <vt:lpstr>hier_CN_109</vt:lpstr>
      <vt:lpstr>hier_CN_111</vt:lpstr>
      <vt:lpstr>hier_CN_112</vt:lpstr>
      <vt:lpstr>hier_CN_113</vt:lpstr>
      <vt:lpstr>hier_CN_114</vt:lpstr>
      <vt:lpstr>hier_CN_115</vt:lpstr>
      <vt:lpstr>hier_CN_116</vt:lpstr>
      <vt:lpstr>hier_CN_117</vt:lpstr>
      <vt:lpstr>hier_CN_118</vt:lpstr>
      <vt:lpstr>hier_CN_119</vt:lpstr>
      <vt:lpstr>hier_CN_120</vt:lpstr>
      <vt:lpstr>hier_CN_121</vt:lpstr>
      <vt:lpstr>hier_CN_122</vt:lpstr>
      <vt:lpstr>hier_CN_123</vt:lpstr>
      <vt:lpstr>hier_CN_124</vt:lpstr>
      <vt:lpstr>hier_CN_125</vt:lpstr>
      <vt:lpstr>hier_CN_126</vt:lpstr>
      <vt:lpstr>hier_CN_127</vt:lpstr>
      <vt:lpstr>hier_CN_13</vt:lpstr>
      <vt:lpstr>hier_CN_14</vt:lpstr>
      <vt:lpstr>hier_CN_15</vt:lpstr>
      <vt:lpstr>hier_CN_16</vt:lpstr>
      <vt:lpstr>hier_CN_17</vt:lpstr>
      <vt:lpstr>hier_CN_18</vt:lpstr>
      <vt:lpstr>hier_CN_19</vt:lpstr>
      <vt:lpstr>hier_CN_2</vt:lpstr>
      <vt:lpstr>hier_CN_20</vt:lpstr>
      <vt:lpstr>hier_CN_23</vt:lpstr>
      <vt:lpstr>hier_CN_24</vt:lpstr>
      <vt:lpstr>hier_CN_27</vt:lpstr>
      <vt:lpstr>hier_CN_28</vt:lpstr>
      <vt:lpstr>hier_CN_29</vt:lpstr>
      <vt:lpstr>hier_CN_30</vt:lpstr>
      <vt:lpstr>hier_CN_31</vt:lpstr>
      <vt:lpstr>hier_CN_32</vt:lpstr>
      <vt:lpstr>hier_CN_33</vt:lpstr>
      <vt:lpstr>hier_CN_34</vt:lpstr>
      <vt:lpstr>hier_CN_35</vt:lpstr>
      <vt:lpstr>hier_CN_36</vt:lpstr>
      <vt:lpstr>hier_CN_37</vt:lpstr>
      <vt:lpstr>hier_CN_39</vt:lpstr>
      <vt:lpstr>hier_CN_40</vt:lpstr>
      <vt:lpstr>hier_CN_41</vt:lpstr>
      <vt:lpstr>hier_CN_42</vt:lpstr>
      <vt:lpstr>hier_CN_43</vt:lpstr>
      <vt:lpstr>hier_CN_45</vt:lpstr>
      <vt:lpstr>hier_CN_46</vt:lpstr>
      <vt:lpstr>hier_CN_49</vt:lpstr>
      <vt:lpstr>hier_CN_50</vt:lpstr>
      <vt:lpstr>hier_CN_51</vt:lpstr>
      <vt:lpstr>hier_CN_52</vt:lpstr>
      <vt:lpstr>hier_CN_53</vt:lpstr>
      <vt:lpstr>hier_CN_54</vt:lpstr>
      <vt:lpstr>hier_CN_55</vt:lpstr>
      <vt:lpstr>hier_CN_56</vt:lpstr>
      <vt:lpstr>hier_CN_57</vt:lpstr>
      <vt:lpstr>hier_CN_58</vt:lpstr>
      <vt:lpstr>hier_CN_59</vt:lpstr>
      <vt:lpstr>hier_CN_60</vt:lpstr>
      <vt:lpstr>hier_CN_61</vt:lpstr>
      <vt:lpstr>hier_CN_62</vt:lpstr>
      <vt:lpstr>hier_CN_63</vt:lpstr>
      <vt:lpstr>hier_CN_64</vt:lpstr>
      <vt:lpstr>hier_CN_65</vt:lpstr>
      <vt:lpstr>hier_CN_66</vt:lpstr>
      <vt:lpstr>hier_CN_67</vt:lpstr>
      <vt:lpstr>hier_CN_68</vt:lpstr>
      <vt:lpstr>hier_CN_75</vt:lpstr>
      <vt:lpstr>hier_CN_77</vt:lpstr>
      <vt:lpstr>hier_CN_78</vt:lpstr>
      <vt:lpstr>hier_CN_79</vt:lpstr>
      <vt:lpstr>hier_CN_8</vt:lpstr>
      <vt:lpstr>hier_CN_81</vt:lpstr>
      <vt:lpstr>hier_CN_83</vt:lpstr>
      <vt:lpstr>hier_CN_84</vt:lpstr>
      <vt:lpstr>hier_CN_85</vt:lpstr>
      <vt:lpstr>hier_CN_86</vt:lpstr>
      <vt:lpstr>hier_CN_87</vt:lpstr>
      <vt:lpstr>hier_CN_89</vt:lpstr>
      <vt:lpstr>hier_CN_9</vt:lpstr>
      <vt:lpstr>hier_CN_90</vt:lpstr>
      <vt:lpstr>hier_CN_92</vt:lpstr>
      <vt:lpstr>hier_CN_93</vt:lpstr>
      <vt:lpstr>hier_CN_94</vt:lpstr>
      <vt:lpstr>hier_CN_95</vt:lpstr>
      <vt:lpstr>hier_CN_96</vt:lpstr>
      <vt:lpstr>hier_CN_97</vt:lpstr>
      <vt:lpstr>hier_CS_10</vt:lpstr>
      <vt:lpstr>hier_CS_11</vt:lpstr>
      <vt:lpstr>hier_CS_12</vt:lpstr>
      <vt:lpstr>hier_CS_13</vt:lpstr>
      <vt:lpstr>hier_CS_14</vt:lpstr>
      <vt:lpstr>hier_CS_15</vt:lpstr>
      <vt:lpstr>hier_CS_16</vt:lpstr>
      <vt:lpstr>hier_CS_20</vt:lpstr>
      <vt:lpstr>hier_CS_21</vt:lpstr>
      <vt:lpstr>hier_CS_3</vt:lpstr>
      <vt:lpstr>hier_CS_4</vt:lpstr>
      <vt:lpstr>hier_CU_1</vt:lpstr>
      <vt:lpstr>hier_CU_4</vt:lpstr>
      <vt:lpstr>hier_CU_5</vt:lpstr>
      <vt:lpstr>hier_EL_13</vt:lpstr>
      <vt:lpstr>hier_EL_14</vt:lpstr>
      <vt:lpstr>hier_EL_7</vt:lpstr>
      <vt:lpstr>hier_EX_5</vt:lpstr>
      <vt:lpstr>hier_GA_1</vt:lpstr>
      <vt:lpstr>hier_GA_18</vt:lpstr>
      <vt:lpstr>hier_GA_32</vt:lpstr>
      <vt:lpstr>hier_GA_33</vt:lpstr>
      <vt:lpstr>hier_GA_35</vt:lpstr>
      <vt:lpstr>hier_GA_36</vt:lpstr>
      <vt:lpstr>hier_GA_4</vt:lpstr>
      <vt:lpstr>hier_GA_5</vt:lpstr>
      <vt:lpstr>hier_LA_1</vt:lpstr>
      <vt:lpstr>hier_LB_19</vt:lpstr>
      <vt:lpstr>hier_LB_22</vt:lpstr>
      <vt:lpstr>hier_LB_28</vt:lpstr>
      <vt:lpstr>hier_LB_30</vt:lpstr>
      <vt:lpstr>hier_LB_31</vt:lpstr>
      <vt:lpstr>hier_LB_32</vt:lpstr>
      <vt:lpstr>hier_LB_33</vt:lpstr>
      <vt:lpstr>hier_LB_4</vt:lpstr>
      <vt:lpstr>hier_LB_43</vt:lpstr>
      <vt:lpstr>hier_LB_47</vt:lpstr>
      <vt:lpstr>hier_LB_48</vt:lpstr>
      <vt:lpstr>hier_LB_49</vt:lpstr>
      <vt:lpstr>hier_LB_50</vt:lpstr>
      <vt:lpstr>hier_LB_51</vt:lpstr>
      <vt:lpstr>hier_LB_52</vt:lpstr>
      <vt:lpstr>hier_LT_1</vt:lpstr>
      <vt:lpstr>hier_LT_3</vt:lpstr>
      <vt:lpstr>hier_LT_4</vt:lpstr>
      <vt:lpstr>hier_LT_5</vt:lpstr>
      <vt:lpstr>hier_MC_18</vt:lpstr>
      <vt:lpstr>hier_MC_26</vt:lpstr>
      <vt:lpstr>hier_MC_28</vt:lpstr>
      <vt:lpstr>hier_MC_29</vt:lpstr>
      <vt:lpstr>hier_MC_30</vt:lpstr>
      <vt:lpstr>hier_MC_31</vt:lpstr>
      <vt:lpstr>hier_MC_32</vt:lpstr>
      <vt:lpstr>hier_MC_33</vt:lpstr>
      <vt:lpstr>hier_MC_35</vt:lpstr>
      <vt:lpstr>hier_MC_36</vt:lpstr>
      <vt:lpstr>hier_MC_37</vt:lpstr>
      <vt:lpstr>hier_MC_48</vt:lpstr>
      <vt:lpstr>hier_MC_50</vt:lpstr>
      <vt:lpstr>hier_NC_1</vt:lpstr>
      <vt:lpstr>hier_PC_1</vt:lpstr>
      <vt:lpstr>hier_PC_2</vt:lpstr>
      <vt:lpstr>hier_PC_3</vt:lpstr>
      <vt:lpstr>hier_PU_15</vt:lpstr>
      <vt:lpstr>hier_PU_17</vt:lpstr>
      <vt:lpstr>hier_PU_19</vt:lpstr>
      <vt:lpstr>hier_PU_20</vt:lpstr>
      <vt:lpstr>hier_PU_23</vt:lpstr>
      <vt:lpstr>hier_PU_24</vt:lpstr>
      <vt:lpstr>hier_PU_25</vt:lpstr>
      <vt:lpstr>hier_PU_27</vt:lpstr>
      <vt:lpstr>hier_PU_30</vt:lpstr>
      <vt:lpstr>hier_PU_33</vt:lpstr>
      <vt:lpstr>hier_PU_34</vt:lpstr>
      <vt:lpstr>hier_PU_35</vt:lpstr>
      <vt:lpstr>hier_PU_37</vt:lpstr>
      <vt:lpstr>hier_PU_39</vt:lpstr>
      <vt:lpstr>hier_RT_10</vt:lpstr>
      <vt:lpstr>hier_RT_13</vt:lpstr>
      <vt:lpstr>hier_RT_14</vt:lpstr>
      <vt:lpstr>hier_SE_14</vt:lpstr>
      <vt:lpstr>hier_SE_16</vt:lpstr>
      <vt:lpstr>hier_SE_17</vt:lpstr>
      <vt:lpstr>hier_SE_18</vt:lpstr>
      <vt:lpstr>hier_SE_21</vt:lpstr>
      <vt:lpstr>hier_SE_22</vt:lpstr>
      <vt:lpstr>hier_SE_23</vt:lpstr>
      <vt:lpstr>hier_SE_26</vt:lpstr>
      <vt:lpstr>hier_SE_27</vt:lpstr>
      <vt:lpstr>hier_SE_28</vt:lpstr>
      <vt:lpstr>hier_SE_29</vt:lpstr>
      <vt:lpstr>hier_SE_8</vt:lpstr>
      <vt:lpstr>hier_TB_11</vt:lpstr>
      <vt:lpstr>hier_TB_12</vt:lpstr>
      <vt:lpstr>hier_TB_13</vt:lpstr>
      <vt:lpstr>hier_TB_14</vt:lpstr>
      <vt:lpstr>hier_TB_2</vt:lpstr>
      <vt:lpstr>hier_TB_3</vt:lpstr>
      <vt:lpstr>hier_TB_4</vt:lpstr>
      <vt:lpstr>hier_TB_7</vt:lpstr>
      <vt:lpstr>hier_TB_8</vt:lpstr>
      <vt:lpstr>hier_TB_9</vt:lpstr>
      <vt:lpstr>hier_VM_23</vt:lpstr>
      <vt:lpstr>hier_VM_24</vt:lpstr>
      <vt:lpstr>'General data'!Modules</vt:lpstr>
      <vt:lpstr>'General data'!PP_CompressOutput</vt:lpstr>
      <vt:lpstr>PP_ConcatenateAssertionMessages</vt:lpstr>
      <vt:lpstr>'General data'!PP_Country</vt:lpstr>
      <vt:lpstr>'General data'!PP_Currency</vt:lpstr>
      <vt:lpstr>'General data'!PP_Debug</vt:lpstr>
      <vt:lpstr>'General data'!PP_DecimalDecimals</vt:lpstr>
      <vt:lpstr>'General data'!PP_DecimalPrecision</vt:lpstr>
      <vt:lpstr>'General data'!PP_DeclarerType</vt:lpstr>
      <vt:lpstr>'General data'!PP_Domain</vt:lpstr>
      <vt:lpstr>'General data'!PP_FilingEmailAddress</vt:lpstr>
      <vt:lpstr>'General data'!PP_Identifier</vt:lpstr>
      <vt:lpstr>'General data'!PP_Language</vt:lpstr>
      <vt:lpstr>'General data'!PP_Module</vt:lpstr>
      <vt:lpstr>'General data'!PP_MonetaryDecimals</vt:lpstr>
      <vt:lpstr>'General data'!PP_MonetaryPrecision</vt:lpstr>
      <vt:lpstr>'General data'!PP_Period_end_date</vt:lpstr>
      <vt:lpstr>'General data'!PP_Period_start_date</vt:lpstr>
      <vt:lpstr>'General data'!PP_PostParser</vt:lpstr>
      <vt:lpstr>'General data'!PP_PostParserParameter</vt:lpstr>
      <vt:lpstr>'General data'!PP_Taxonomy</vt:lpstr>
      <vt:lpstr>'General data'!rAddReqs</vt:lpstr>
      <vt:lpstr>'General data'!rAddTitle</vt:lpstr>
      <vt:lpstr>rEntryPointCode</vt:lpstr>
      <vt:lpstr>rEntryPointNumber</vt:lpstr>
      <vt:lpstr>rVersion</vt:lpstr>
      <vt:lpstr>'General data'!Taxonomies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VANHEULE Pieterjan</cp:lastModifiedBy>
  <dcterms:created xsi:type="dcterms:W3CDTF">2021-12-14T11:03:40Z</dcterms:created>
  <dcterms:modified xsi:type="dcterms:W3CDTF">2026-04-17T15:38:07Z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33ee86-59da-43fd-af10-78953f6aa35c_Enabled">
    <vt:lpwstr>true</vt:lpwstr>
  </property>
  <property fmtid="{D5CDD505-2E9C-101B-9397-08002B2CF9AE}" pid="3" name="MSIP_Label_3a33ee86-59da-43fd-af10-78953f6aa35c_SetDate">
    <vt:lpwstr>2023-04-26T11:41:09Z</vt:lpwstr>
  </property>
  <property fmtid="{D5CDD505-2E9C-101B-9397-08002B2CF9AE}" pid="4" name="MSIP_Label_3a33ee86-59da-43fd-af10-78953f6aa35c_Method">
    <vt:lpwstr>Privileged</vt:lpwstr>
  </property>
  <property fmtid="{D5CDD505-2E9C-101B-9397-08002B2CF9AE}" pid="5" name="MSIP_Label_3a33ee86-59da-43fd-af10-78953f6aa35c_Name">
    <vt:lpwstr>Internal File</vt:lpwstr>
  </property>
  <property fmtid="{D5CDD505-2E9C-101B-9397-08002B2CF9AE}" pid="6" name="MSIP_Label_3a33ee86-59da-43fd-af10-78953f6aa35c_SiteId">
    <vt:lpwstr>acd889b8-4843-42e8-9100-9a0fa223b8f5</vt:lpwstr>
  </property>
  <property fmtid="{D5CDD505-2E9C-101B-9397-08002B2CF9AE}" pid="7" name="MSIP_Label_3a33ee86-59da-43fd-af10-78953f6aa35c_ActionId">
    <vt:lpwstr>0b59ecc8-3424-45b1-b62b-3a401f46c291</vt:lpwstr>
  </property>
  <property fmtid="{D5CDD505-2E9C-101B-9397-08002B2CF9AE}" pid="8" name="MSIP_Label_3a33ee86-59da-43fd-af10-78953f6aa35c_ContentBits">
    <vt:lpwstr>0</vt:lpwstr>
  </property>
  <property fmtid="{D5CDD505-2E9C-101B-9397-08002B2CF9AE}" pid="9" name="ContentTypeId">
    <vt:lpwstr>0x0101008A8A0B466E8E5A4AB96EAD80C1B4269A</vt:lpwstr>
  </property>
  <property fmtid="{D5CDD505-2E9C-101B-9397-08002B2CF9AE}" pid="10" name="_dlc_DocIdItemGuid">
    <vt:lpwstr>88b9f1df-6967-4d85-b999-65403f87085a</vt:lpwstr>
  </property>
</Properties>
</file>